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使い方" sheetId="1" state="visible" r:id="rId3"/>
    <sheet name="01_因子設定" sheetId="2" state="visible" r:id="rId4"/>
    <sheet name="02_実験計画" sheetId="3" state="visible" r:id="rId5"/>
    <sheet name="03_実験結果" sheetId="4" state="visible" r:id="rId6"/>
    <sheet name="04_回帰ANOVA" sheetId="5" state="visible" r:id="rId7"/>
    <sheet name="05_残差診断" sheetId="6" state="visible" r:id="rId8"/>
    <sheet name="06_正準解析" sheetId="7" state="visible" r:id="rId9"/>
    <sheet name="07_最適化" sheetId="8" state="visible" r:id="rId10"/>
    <sheet name="08_工程窓" sheetId="9" state="visible" r:id="rId11"/>
    <sheet name="09_確認実験" sheetId="10" state="visible" r:id="rId12"/>
    <sheet name="_XtX" sheetId="11" state="visible" r:id="rId13"/>
    <sheet name="_grid" sheetId="12" state="visible" r:id="rId14"/>
    <sheet name="_eig" sheetId="13" state="visible" r:id="rId15"/>
    <sheet name="_slice" sheetId="14" state="visible" r:id="rId16"/>
    <sheet name="_win" sheetId="15" state="visible" r:id="rId1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<sst xmlns="http://schemas.openxmlformats.org/spreadsheetml/2006/main" count="523" uniqueCount="368">
  <si>
    <r>
      <rPr>
        <b val="true"/>
        <sz val="14"/>
        <color rgb="FF1F3864"/>
        <rFont val="Noto Sans CJK SC"/>
        <family val="2"/>
      </rPr>
      <t xml:space="preserve">応答曲面法（</t>
    </r>
    <r>
      <rPr>
        <b val="true"/>
        <sz val="14"/>
        <color rgb="FF1F3864"/>
        <rFont val="Meiryo UI"/>
        <family val="0"/>
        <charset val="1"/>
      </rPr>
      <t xml:space="preserve">RSM</t>
    </r>
    <r>
      <rPr>
        <b val="true"/>
        <sz val="14"/>
        <color rgb="FF1F3864"/>
        <rFont val="Noto Sans CJK SC"/>
        <family val="2"/>
      </rPr>
      <t xml:space="preserve">）ツール </t>
    </r>
    <r>
      <rPr>
        <b val="true"/>
        <sz val="14"/>
        <color rgb="FF1F3864"/>
        <rFont val="Meiryo UI"/>
        <family val="0"/>
        <charset val="1"/>
      </rPr>
      <t xml:space="preserve">v1.1 ── 3</t>
    </r>
    <r>
      <rPr>
        <b val="true"/>
        <sz val="14"/>
        <color rgb="FF1F3864"/>
        <rFont val="Noto Sans CJK SC"/>
        <family val="2"/>
      </rPr>
      <t xml:space="preserve">因子・</t>
    </r>
    <r>
      <rPr>
        <b val="true"/>
        <sz val="14"/>
        <color rgb="FF1F3864"/>
        <rFont val="Meiryo UI"/>
        <family val="0"/>
        <charset val="1"/>
      </rPr>
      <t xml:space="preserve">2</t>
    </r>
    <r>
      <rPr>
        <b val="true"/>
        <sz val="14"/>
        <color rgb="FF1F3864"/>
        <rFont val="Noto Sans CJK SC"/>
        <family val="2"/>
      </rPr>
      <t xml:space="preserve">次モデル</t>
    </r>
  </si>
  <si>
    <r>
      <rPr>
        <sz val="9"/>
        <color rgb="FF595959"/>
        <rFont val="Noto Sans CJK SC"/>
        <family val="2"/>
      </rPr>
      <t xml:space="preserve">作成日 </t>
    </r>
    <r>
      <rPr>
        <sz val="9"/>
        <color rgb="FF595959"/>
        <rFont val="Meiryo UI"/>
        <family val="0"/>
        <charset val="1"/>
      </rPr>
      <t xml:space="preserve">2026-09-30</t>
    </r>
    <r>
      <rPr>
        <sz val="9"/>
        <color rgb="FF595959"/>
        <rFont val="Noto Sans CJK SC"/>
        <family val="2"/>
      </rPr>
      <t xml:space="preserve">　／　同梱データは架空の乾燥炉データ（検証用）　／　</t>
    </r>
    <r>
      <rPr>
        <sz val="9"/>
        <color rgb="FF595959"/>
        <rFont val="Meiryo UI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因子版・</t>
    </r>
    <r>
      <rPr>
        <sz val="9"/>
        <color rgb="FF595959"/>
        <rFont val="Meiryo UI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因子版・</t>
    </r>
    <r>
      <rPr>
        <sz val="9"/>
        <color rgb="FF595959"/>
        <rFont val="Meiryo UI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因子版は別ファイル</t>
    </r>
  </si>
  <si>
    <t xml:space="preserve">この版でできること</t>
  </si>
  <si>
    <r>
      <rPr>
        <sz val="10"/>
        <rFont val="Meiryo UI"/>
        <family val="0"/>
        <charset val="1"/>
      </rPr>
      <t xml:space="preserve">3</t>
    </r>
    <r>
      <rPr>
        <sz val="10"/>
        <rFont val="Noto Sans CJK SC"/>
        <family val="2"/>
      </rPr>
      <t xml:space="preserve">因子の中心複合計画（面心／回転可能）・</t>
    </r>
    <r>
      <rPr>
        <sz val="10"/>
        <rFont val="Meiryo UI"/>
        <family val="0"/>
        <charset val="1"/>
      </rPr>
      <t xml:space="preserve">Box-Behnken</t>
    </r>
    <r>
      <rPr>
        <sz val="10"/>
        <rFont val="Noto Sans CJK SC"/>
        <family val="2"/>
      </rPr>
      <t xml:space="preserve">計画の生成、安全限界チェック、ランダマイズ（完全ランダム／変更困難因子でグループ化した順序生成）、</t>
    </r>
    <r>
      <rPr>
        <sz val="10"/>
        <rFont val="Meiryo UI"/>
        <family val="0"/>
        <charset val="1"/>
      </rPr>
      <t xml:space="preserve">2</t>
    </r>
    <r>
      <rPr>
        <sz val="10"/>
        <rFont val="Noto Sans CJK SC"/>
        <family val="2"/>
      </rPr>
      <t xml:space="preserve">次回帰・</t>
    </r>
    <r>
      <rPr>
        <sz val="10"/>
        <rFont val="Meiryo UI"/>
        <family val="0"/>
        <charset val="1"/>
      </rPr>
      <t xml:space="preserve">ANOVA</t>
    </r>
    <r>
      <rPr>
        <sz val="10"/>
        <rFont val="Noto Sans CJK SC"/>
        <family val="2"/>
      </rPr>
      <t xml:space="preserve">・適合度の欠如・残差診断・モデル縮小、正準解析（停留点・固有値）、領域内の最適化（点予測／予測限界ベース）、工程窓の可視化と組合せチェック、確認実験の判定</t>
    </r>
  </si>
  <si>
    <t xml:space="preserve">手順と判断ゲート</t>
  </si>
  <si>
    <r>
      <rPr>
        <b val="true"/>
        <sz val="10"/>
        <rFont val="Meiryo UI"/>
        <family val="0"/>
        <charset val="1"/>
      </rPr>
      <t xml:space="preserve">① 01_</t>
    </r>
    <r>
      <rPr>
        <b val="true"/>
        <sz val="10"/>
        <rFont val="Noto Sans CJK SC"/>
        <family val="2"/>
      </rPr>
      <t xml:space="preserve">因子設定</t>
    </r>
  </si>
  <si>
    <r>
      <rPr>
        <sz val="10"/>
        <rFont val="Noto Sans CJK SC"/>
        <family val="2"/>
      </rPr>
      <t xml:space="preserve">因子名・単位・範囲（</t>
    </r>
    <r>
      <rPr>
        <sz val="10"/>
        <rFont val="Meiryo UI"/>
        <family val="0"/>
        <charset val="1"/>
      </rPr>
      <t xml:space="preserve">±1</t>
    </r>
    <r>
      <rPr>
        <sz val="10"/>
        <rFont val="Noto Sans CJK SC"/>
        <family val="2"/>
      </rPr>
      <t xml:space="preserve">）・安全限界、</t>
    </r>
    <r>
      <rPr>
        <sz val="10"/>
        <rFont val="Meiryo UI"/>
        <family val="0"/>
        <charset val="1"/>
      </rPr>
      <t xml:space="preserve">Y</t>
    </r>
    <r>
      <rPr>
        <sz val="10"/>
        <rFont val="Noto Sans CJK SC"/>
        <family val="2"/>
      </rPr>
      <t xml:space="preserve">の方向と規格、計画の種類、中心点数を入力。『安全限界チェック』が</t>
    </r>
    <r>
      <rPr>
        <sz val="10"/>
        <rFont val="Meiryo UI"/>
        <family val="0"/>
        <charset val="1"/>
      </rPr>
      <t xml:space="preserve">×</t>
    </r>
    <r>
      <rPr>
        <sz val="10"/>
        <rFont val="Noto Sans CJK SC"/>
        <family val="2"/>
      </rPr>
      <t xml:space="preserve">の計画は実行不可。</t>
    </r>
  </si>
  <si>
    <r>
      <rPr>
        <b val="true"/>
        <sz val="10"/>
        <rFont val="Meiryo UI"/>
        <family val="0"/>
        <charset val="1"/>
      </rPr>
      <t xml:space="preserve">② 02_</t>
    </r>
    <r>
      <rPr>
        <b val="true"/>
        <sz val="10"/>
        <rFont val="Noto Sans CJK SC"/>
        <family val="2"/>
      </rPr>
      <t xml:space="preserve">実験計画</t>
    </r>
  </si>
  <si>
    <t xml:space="preserve">標準順の計画と実験順序を確認（通常は触らない）。順序を変えたいときは乱数キーを入れ替え。</t>
  </si>
  <si>
    <r>
      <rPr>
        <b val="true"/>
        <sz val="10"/>
        <rFont val="Meiryo UI"/>
        <family val="0"/>
        <charset val="1"/>
      </rPr>
      <t xml:space="preserve">③ 03_</t>
    </r>
    <r>
      <rPr>
        <b val="true"/>
        <sz val="10"/>
        <rFont val="Noto Sans CJK SC"/>
        <family val="2"/>
      </rPr>
      <t xml:space="preserve">実験結果</t>
    </r>
  </si>
  <si>
    <r>
      <rPr>
        <sz val="10"/>
        <rFont val="Noto Sans CJK SC"/>
        <family val="2"/>
      </rPr>
      <t xml:space="preserve">実験順に実施し、</t>
    </r>
    <r>
      <rPr>
        <sz val="10"/>
        <rFont val="Meiryo UI"/>
        <family val="0"/>
        <charset val="1"/>
      </rPr>
      <t xml:space="preserve">Y</t>
    </r>
    <r>
      <rPr>
        <sz val="10"/>
        <rFont val="Noto Sans CJK SC"/>
        <family val="2"/>
      </rPr>
      <t xml:space="preserve">を入力。異常があればメモ欄へ。</t>
    </r>
  </si>
  <si>
    <r>
      <rPr>
        <b val="true"/>
        <sz val="10"/>
        <rFont val="Meiryo UI"/>
        <family val="0"/>
        <charset val="1"/>
      </rPr>
      <t xml:space="preserve">④ 04_</t>
    </r>
    <r>
      <rPr>
        <b val="true"/>
        <sz val="10"/>
        <rFont val="Noto Sans CJK SC"/>
        <family val="2"/>
      </rPr>
      <t xml:space="preserve">回帰</t>
    </r>
    <r>
      <rPr>
        <b val="true"/>
        <sz val="10"/>
        <rFont val="Meiryo UI"/>
        <family val="0"/>
        <charset val="1"/>
      </rPr>
      <t xml:space="preserve">ANOVA</t>
    </r>
  </si>
  <si>
    <r>
      <rPr>
        <sz val="10"/>
        <rFont val="Noto Sans CJK SC"/>
        <family val="2"/>
      </rPr>
      <t xml:space="preserve">判断ゲートに</t>
    </r>
    <r>
      <rPr>
        <sz val="10"/>
        <rFont val="Meiryo UI"/>
        <family val="0"/>
        <charset val="1"/>
      </rPr>
      <t xml:space="preserve">×</t>
    </r>
    <r>
      <rPr>
        <sz val="10"/>
        <rFont val="Noto Sans CJK SC"/>
        <family val="2"/>
      </rPr>
      <t xml:space="preserve">がないことを確認し、△は内容を理解して記録。不要項は</t>
    </r>
    <r>
      <rPr>
        <sz val="10"/>
        <rFont val="Meiryo UI"/>
        <family val="0"/>
        <charset val="1"/>
      </rPr>
      <t xml:space="preserve">B</t>
    </r>
    <r>
      <rPr>
        <sz val="10"/>
        <rFont val="Noto Sans CJK SC"/>
        <family val="2"/>
      </rPr>
      <t xml:space="preserve">列を</t>
    </r>
    <r>
      <rPr>
        <sz val="10"/>
        <rFont val="Meiryo UI"/>
        <family val="0"/>
        <charset val="1"/>
      </rPr>
      <t xml:space="preserve">0</t>
    </r>
    <r>
      <rPr>
        <sz val="10"/>
        <rFont val="Noto Sans CJK SC"/>
        <family val="2"/>
      </rPr>
      <t xml:space="preserve">にして除外（階層性に注意）。</t>
    </r>
  </si>
  <si>
    <r>
      <rPr>
        <b val="true"/>
        <sz val="10"/>
        <rFont val="Meiryo UI"/>
        <family val="0"/>
        <charset val="1"/>
      </rPr>
      <t xml:space="preserve">⑤ 05_</t>
    </r>
    <r>
      <rPr>
        <b val="true"/>
        <sz val="10"/>
        <rFont val="Noto Sans CJK SC"/>
        <family val="2"/>
      </rPr>
      <t xml:space="preserve">残差診断</t>
    </r>
  </si>
  <si>
    <t xml:space="preserve">グラフでパターン・外れ値を目視確認。外れ値は消す前に原因を調査。</t>
  </si>
  <si>
    <r>
      <rPr>
        <b val="true"/>
        <sz val="10"/>
        <rFont val="Meiryo UI"/>
        <family val="0"/>
        <charset val="1"/>
      </rPr>
      <t xml:space="preserve">⑥ 06_</t>
    </r>
    <r>
      <rPr>
        <b val="true"/>
        <sz val="10"/>
        <rFont val="Noto Sans CJK SC"/>
        <family val="2"/>
      </rPr>
      <t xml:space="preserve">正準解析</t>
    </r>
  </si>
  <si>
    <r>
      <rPr>
        <sz val="10"/>
        <rFont val="Noto Sans CJK SC"/>
        <family val="2"/>
      </rPr>
      <t xml:space="preserve">停留点が最大／最小／鞍点か、領域内か外かを確認。鞍点・領域外なら</t>
    </r>
    <r>
      <rPr>
        <sz val="10"/>
        <rFont val="Meiryo UI"/>
        <family val="0"/>
        <charset val="1"/>
      </rPr>
      <t xml:space="preserve">07</t>
    </r>
    <r>
      <rPr>
        <sz val="10"/>
        <rFont val="Noto Sans CJK SC"/>
        <family val="2"/>
      </rPr>
      <t xml:space="preserve">の探索結果を採用。</t>
    </r>
  </si>
  <si>
    <r>
      <rPr>
        <b val="true"/>
        <sz val="10"/>
        <rFont val="Meiryo UI"/>
        <family val="0"/>
        <charset val="1"/>
      </rPr>
      <t xml:space="preserve">⑦ 07_</t>
    </r>
    <r>
      <rPr>
        <b val="true"/>
        <sz val="10"/>
        <rFont val="Noto Sans CJK SC"/>
        <family val="2"/>
      </rPr>
      <t xml:space="preserve">最適化</t>
    </r>
  </si>
  <si>
    <r>
      <rPr>
        <sz val="10"/>
        <rFont val="Noto Sans CJK SC"/>
        <family val="2"/>
      </rPr>
      <t xml:space="preserve">ロバスト最適（規格側の予測限界と規格の差が最大）を推奨条件とする。必要なら</t>
    </r>
    <r>
      <rPr>
        <sz val="10"/>
        <rFont val="Meiryo UI"/>
        <family val="0"/>
        <charset val="1"/>
      </rPr>
      <t xml:space="preserve">Solver</t>
    </r>
    <r>
      <rPr>
        <sz val="10"/>
        <rFont val="Noto Sans CJK SC"/>
        <family val="2"/>
      </rPr>
      <t xml:space="preserve">で精密化。</t>
    </r>
  </si>
  <si>
    <r>
      <rPr>
        <b val="true"/>
        <sz val="10"/>
        <rFont val="Meiryo UI"/>
        <family val="0"/>
        <charset val="1"/>
      </rPr>
      <t xml:space="preserve">⑧ 08_</t>
    </r>
    <r>
      <rPr>
        <b val="true"/>
        <sz val="10"/>
        <rFont val="Noto Sans CJK SC"/>
        <family val="2"/>
      </rPr>
      <t xml:space="preserve">工程窓</t>
    </r>
  </si>
  <si>
    <r>
      <rPr>
        <sz val="10"/>
        <rFont val="Meiryo UI"/>
        <family val="0"/>
        <charset val="1"/>
      </rPr>
      <t xml:space="preserve">2</t>
    </r>
    <r>
      <rPr>
        <sz val="10"/>
        <rFont val="Noto Sans CJK SC"/>
        <family val="2"/>
      </rPr>
      <t xml:space="preserve">因子断面の緑領域が工程窓。③の</t>
    </r>
    <r>
      <rPr>
        <sz val="10"/>
        <rFont val="Meiryo UI"/>
        <family val="0"/>
        <charset val="1"/>
      </rPr>
      <t xml:space="preserve">1</t>
    </r>
    <r>
      <rPr>
        <sz val="10"/>
        <rFont val="Noto Sans CJK SC"/>
        <family val="2"/>
      </rPr>
      <t xml:space="preserve">因子窓は楽観的なので、④で運用範囲の全組合せを必ず確認。</t>
    </r>
  </si>
  <si>
    <r>
      <rPr>
        <b val="true"/>
        <sz val="10"/>
        <rFont val="Meiryo UI"/>
        <family val="0"/>
        <charset val="1"/>
      </rPr>
      <t xml:space="preserve">⑨ 09_</t>
    </r>
    <r>
      <rPr>
        <b val="true"/>
        <sz val="10"/>
        <rFont val="Noto Sans CJK SC"/>
        <family val="2"/>
      </rPr>
      <t xml:space="preserve">確認実験</t>
    </r>
  </si>
  <si>
    <t xml:space="preserve">推奨条件で確認実験。両側予測区間内なら採用、外れたら計画・モデルを見直す。</t>
  </si>
  <si>
    <t xml:space="preserve">セルの色</t>
  </si>
  <si>
    <t xml:space="preserve">黄色・青字</t>
  </si>
  <si>
    <t xml:space="preserve">入力セル。ほかは計算式なので編集しない。</t>
  </si>
  <si>
    <r>
      <rPr>
        <b val="true"/>
        <sz val="10"/>
        <rFont val="Noto Sans CJK SC"/>
        <family val="2"/>
      </rPr>
      <t xml:space="preserve">『</t>
    </r>
    <r>
      <rPr>
        <b val="true"/>
        <sz val="10"/>
        <rFont val="Meiryo UI"/>
        <family val="0"/>
        <charset val="1"/>
      </rPr>
      <t xml:space="preserve">_</t>
    </r>
    <r>
      <rPr>
        <b val="true"/>
        <sz val="10"/>
        <rFont val="Noto Sans CJK SC"/>
        <family val="2"/>
      </rPr>
      <t xml:space="preserve">』で始まるシート</t>
    </r>
  </si>
  <si>
    <r>
      <rPr>
        <sz val="10"/>
        <rFont val="Noto Sans CJK SC"/>
        <family val="2"/>
      </rPr>
      <t xml:space="preserve">計算用（編集不要）。</t>
    </r>
    <r>
      <rPr>
        <sz val="10"/>
        <rFont val="Meiryo UI"/>
        <family val="0"/>
        <charset val="1"/>
      </rPr>
      <t xml:space="preserve">_XtX</t>
    </r>
    <r>
      <rPr>
        <sz val="10"/>
        <rFont val="Noto Sans CJK SC"/>
        <family val="2"/>
      </rPr>
      <t xml:space="preserve">＝回帰の行列計算、</t>
    </r>
    <r>
      <rPr>
        <sz val="10"/>
        <rFont val="Meiryo UI"/>
        <family val="0"/>
        <charset val="1"/>
      </rPr>
      <t xml:space="preserve">_grid</t>
    </r>
    <r>
      <rPr>
        <sz val="10"/>
        <rFont val="Noto Sans CJK SC"/>
        <family val="2"/>
      </rPr>
      <t xml:space="preserve">＝</t>
    </r>
    <r>
      <rPr>
        <sz val="10"/>
        <rFont val="Meiryo UI"/>
        <family val="0"/>
        <charset val="1"/>
      </rPr>
      <t xml:space="preserve">4913</t>
    </r>
    <r>
      <rPr>
        <sz val="10"/>
        <rFont val="Noto Sans CJK SC"/>
        <family val="2"/>
      </rPr>
      <t xml:space="preserve">点の探索、</t>
    </r>
    <r>
      <rPr>
        <sz val="10"/>
        <rFont val="Meiryo UI"/>
        <family val="0"/>
        <charset val="1"/>
      </rPr>
      <t xml:space="preserve">_eig</t>
    </r>
    <r>
      <rPr>
        <sz val="10"/>
        <rFont val="Noto Sans CJK SC"/>
        <family val="2"/>
      </rPr>
      <t xml:space="preserve">＝固有値、</t>
    </r>
    <r>
      <rPr>
        <sz val="10"/>
        <rFont val="Meiryo UI"/>
        <family val="0"/>
        <charset val="1"/>
      </rPr>
      <t xml:space="preserve">_slice</t>
    </r>
    <r>
      <rPr>
        <sz val="10"/>
        <rFont val="Noto Sans CJK SC"/>
        <family val="2"/>
      </rPr>
      <t xml:space="preserve">＝断面、</t>
    </r>
    <r>
      <rPr>
        <sz val="10"/>
        <rFont val="Meiryo UI"/>
        <family val="0"/>
        <charset val="1"/>
      </rPr>
      <t xml:space="preserve">_win</t>
    </r>
    <r>
      <rPr>
        <sz val="10"/>
        <rFont val="Noto Sans CJK SC"/>
        <family val="2"/>
      </rPr>
      <t xml:space="preserve">＝工程窓。</t>
    </r>
  </si>
  <si>
    <t xml:space="preserve">前提と限界（重要）</t>
  </si>
  <si>
    <t xml:space="preserve">コード化単位</t>
  </si>
  <si>
    <r>
      <rPr>
        <sz val="10"/>
        <rFont val="Noto Sans CJK SC"/>
        <family val="2"/>
      </rPr>
      <t xml:space="preserve">回帰係数は −</t>
    </r>
    <r>
      <rPr>
        <sz val="10"/>
        <rFont val="Meiryo UI"/>
        <family val="0"/>
        <charset val="1"/>
      </rPr>
      <t xml:space="preserve">1</t>
    </r>
    <r>
      <rPr>
        <sz val="10"/>
        <rFont val="Noto Sans CJK SC"/>
        <family val="2"/>
      </rPr>
      <t xml:space="preserve">〜</t>
    </r>
    <r>
      <rPr>
        <sz val="10"/>
        <rFont val="Meiryo UI"/>
        <family val="0"/>
        <charset val="1"/>
      </rPr>
      <t xml:space="preserve">+1 </t>
    </r>
    <r>
      <rPr>
        <sz val="10"/>
        <rFont val="Noto Sans CJK SC"/>
        <family val="2"/>
      </rPr>
      <t xml:space="preserve">に正規化した単位。係数の大小がそのまま効果の大きさ比較になる。</t>
    </r>
  </si>
  <si>
    <t xml:space="preserve">予測限界の片側／両側</t>
  </si>
  <si>
    <r>
      <rPr>
        <sz val="10"/>
        <rFont val="Noto Sans CJK SC"/>
        <family val="2"/>
      </rPr>
      <t xml:space="preserve">工程窓・ロバスト最適は、最大化・最小化では片側の予測限界（信頼水準</t>
    </r>
    <r>
      <rPr>
        <sz val="10"/>
        <rFont val="Meiryo UI"/>
        <family val="0"/>
        <charset val="1"/>
      </rPr>
      <t xml:space="preserve">95%</t>
    </r>
    <r>
      <rPr>
        <sz val="10"/>
        <rFont val="Noto Sans CJK SC"/>
        <family val="2"/>
      </rPr>
      <t xml:space="preserve">なら下側</t>
    </r>
    <r>
      <rPr>
        <sz val="10"/>
        <rFont val="Meiryo UI"/>
        <family val="0"/>
        <charset val="1"/>
      </rPr>
      <t xml:space="preserve">95%</t>
    </r>
    <r>
      <rPr>
        <sz val="10"/>
        <rFont val="Noto Sans CJK SC"/>
        <family val="2"/>
      </rPr>
      <t xml:space="preserve">限界＝</t>
    </r>
    <r>
      <rPr>
        <sz val="10"/>
        <rFont val="Meiryo UI"/>
        <family val="0"/>
        <charset val="1"/>
      </rPr>
      <t xml:space="preserve">t0.95</t>
    </r>
    <r>
      <rPr>
        <sz val="10"/>
        <rFont val="Noto Sans CJK SC"/>
        <family val="2"/>
      </rPr>
      <t xml:space="preserve">）、目標値では両側予測区間（</t>
    </r>
    <r>
      <rPr>
        <sz val="10"/>
        <rFont val="Meiryo UI"/>
        <family val="0"/>
        <charset val="1"/>
      </rPr>
      <t xml:space="preserve">t0.975</t>
    </r>
    <r>
      <rPr>
        <sz val="10"/>
        <rFont val="Noto Sans CJK SC"/>
        <family val="2"/>
      </rPr>
      <t xml:space="preserve">）で判定。確認実験の判定は常に両側予測区間。</t>
    </r>
  </si>
  <si>
    <t xml:space="preserve">予測区間と許容区間</t>
  </si>
  <si>
    <r>
      <rPr>
        <sz val="10"/>
        <rFont val="Noto Sans CJK SC"/>
        <family val="2"/>
      </rPr>
      <t xml:space="preserve">予測区間が保証するのは『将来の</t>
    </r>
    <r>
      <rPr>
        <sz val="10"/>
        <rFont val="Meiryo UI"/>
        <family val="0"/>
        <charset val="1"/>
      </rPr>
      <t xml:space="preserve">1</t>
    </r>
    <r>
      <rPr>
        <sz val="10"/>
        <rFont val="Noto Sans CJK SC"/>
        <family val="2"/>
      </rPr>
      <t xml:space="preserve">回の測定値』。量産で『ロットの大部分（例：</t>
    </r>
    <r>
      <rPr>
        <sz val="10"/>
        <rFont val="Meiryo UI"/>
        <family val="0"/>
        <charset val="1"/>
      </rPr>
      <t xml:space="preserve">99%</t>
    </r>
    <r>
      <rPr>
        <sz val="10"/>
        <rFont val="Noto Sans CJK SC"/>
        <family val="2"/>
      </rPr>
      <t xml:space="preserve">）が規格内』と言うには許容区間（</t>
    </r>
    <r>
      <rPr>
        <sz val="10"/>
        <rFont val="Meiryo UI"/>
        <family val="0"/>
        <charset val="1"/>
      </rPr>
      <t xml:space="preserve">Tolerance Interval</t>
    </r>
    <r>
      <rPr>
        <sz val="10"/>
        <rFont val="Noto Sans CJK SC"/>
        <family val="2"/>
      </rPr>
      <t xml:space="preserve">）が本来の指標で、予測区間より広くなる。この工程窓は量産の工程能力保証ではなく、条件設定の目安として使う。量産移行時は工程能力調査（</t>
    </r>
    <r>
      <rPr>
        <sz val="10"/>
        <rFont val="Meiryo UI"/>
        <family val="0"/>
        <charset val="1"/>
      </rPr>
      <t xml:space="preserve">Cpk</t>
    </r>
    <r>
      <rPr>
        <sz val="10"/>
        <rFont val="Noto Sans CJK SC"/>
        <family val="2"/>
      </rPr>
      <t xml:space="preserve">）で確認。</t>
    </r>
  </si>
  <si>
    <t xml:space="preserve">探索範囲</t>
  </si>
  <si>
    <r>
      <rPr>
        <sz val="10"/>
        <rFont val="Noto Sans CJK SC"/>
        <family val="2"/>
      </rPr>
      <t xml:space="preserve">最適化・工程窓は </t>
    </r>
    <r>
      <rPr>
        <sz val="10"/>
        <rFont val="Meiryo UI"/>
        <family val="0"/>
        <charset val="1"/>
      </rPr>
      <t xml:space="preserve">±1</t>
    </r>
    <r>
      <rPr>
        <sz val="10"/>
        <rFont val="Noto Sans CJK SC"/>
        <family val="2"/>
      </rPr>
      <t xml:space="preserve">（要因点の範囲）内のみ。外挿はしない。</t>
    </r>
    <r>
      <rPr>
        <sz val="10"/>
        <rFont val="Meiryo UI"/>
        <family val="0"/>
        <charset val="1"/>
      </rPr>
      <t xml:space="preserve">BBD</t>
    </r>
    <r>
      <rPr>
        <sz val="10"/>
        <rFont val="Noto Sans CJK SC"/>
        <family val="2"/>
      </rPr>
      <t xml:space="preserve">は頂点付近にデータがないため半径√</t>
    </r>
    <r>
      <rPr>
        <sz val="10"/>
        <rFont val="Meiryo UI"/>
        <family val="0"/>
        <charset val="1"/>
      </rPr>
      <t xml:space="preserve">2</t>
    </r>
    <r>
      <rPr>
        <sz val="10"/>
        <rFont val="Noto Sans CJK SC"/>
        <family val="2"/>
      </rPr>
      <t xml:space="preserve">の球内に限定。</t>
    </r>
  </si>
  <si>
    <r>
      <rPr>
        <b val="true"/>
        <sz val="10"/>
        <rFont val="Noto Sans CJK SC"/>
        <family val="2"/>
      </rPr>
      <t xml:space="preserve">分割区画（</t>
    </r>
    <r>
      <rPr>
        <b val="true"/>
        <sz val="10"/>
        <rFont val="Meiryo UI"/>
        <family val="0"/>
        <charset val="1"/>
      </rPr>
      <t xml:space="preserve">Split-Plot</t>
    </r>
    <r>
      <rPr>
        <b val="true"/>
        <sz val="10"/>
        <rFont val="Noto Sans CJK SC"/>
        <family val="2"/>
      </rPr>
      <t xml:space="preserve">）</t>
    </r>
  </si>
  <si>
    <r>
      <rPr>
        <sz val="10"/>
        <rFont val="Meiryo UI"/>
        <family val="0"/>
        <charset val="1"/>
      </rPr>
      <t xml:space="preserve">v1</t>
    </r>
    <r>
      <rPr>
        <sz val="10"/>
        <rFont val="Noto Sans CJK SC"/>
        <family val="2"/>
      </rPr>
      <t xml:space="preserve">は分割区画の解析に対応していない。『変更困難因子でグループ化』は実験順序を作るだけで、解析は完全ランダムとみなした近似（変更困難因子の</t>
    </r>
    <r>
      <rPr>
        <sz val="10"/>
        <rFont val="Meiryo UI"/>
        <family val="0"/>
        <charset val="1"/>
      </rPr>
      <t xml:space="preserve">p</t>
    </r>
    <r>
      <rPr>
        <sz val="10"/>
        <rFont val="Noto Sans CJK SC"/>
        <family val="2"/>
      </rPr>
      <t xml:space="preserve">値は小さく出やすい）。</t>
    </r>
    <r>
      <rPr>
        <sz val="10"/>
        <rFont val="Meiryo UI"/>
        <family val="0"/>
        <charset val="1"/>
      </rPr>
      <t xml:space="preserve">04</t>
    </r>
    <r>
      <rPr>
        <sz val="10"/>
        <rFont val="Noto Sans CJK SC"/>
        <family val="2"/>
      </rPr>
      <t xml:space="preserve">の判断ゲートに△を表示。正式な解析は</t>
    </r>
    <r>
      <rPr>
        <sz val="10"/>
        <rFont val="Meiryo UI"/>
        <family val="0"/>
        <charset val="1"/>
      </rPr>
      <t xml:space="preserve">JMP</t>
    </r>
    <r>
      <rPr>
        <sz val="10"/>
        <rFont val="Noto Sans CJK SC"/>
        <family val="2"/>
      </rPr>
      <t xml:space="preserve">・</t>
    </r>
    <r>
      <rPr>
        <sz val="10"/>
        <rFont val="Meiryo UI"/>
        <family val="0"/>
        <charset val="1"/>
      </rPr>
      <t xml:space="preserve">R</t>
    </r>
    <r>
      <rPr>
        <sz val="10"/>
        <rFont val="Noto Sans CJK SC"/>
        <family val="2"/>
      </rPr>
      <t xml:space="preserve">（</t>
    </r>
    <r>
      <rPr>
        <sz val="10"/>
        <rFont val="Meiryo UI"/>
        <family val="0"/>
        <charset val="1"/>
      </rPr>
      <t xml:space="preserve">lme4</t>
    </r>
    <r>
      <rPr>
        <sz val="10"/>
        <rFont val="Noto Sans CJK SC"/>
        <family val="2"/>
      </rPr>
      <t xml:space="preserve">等）で。</t>
    </r>
  </si>
  <si>
    <t xml:space="preserve">固有値</t>
  </si>
  <si>
    <r>
      <rPr>
        <sz val="10"/>
        <rFont val="Meiryo UI"/>
        <family val="0"/>
        <charset val="1"/>
      </rPr>
      <t xml:space="preserve">Jacobi</t>
    </r>
    <r>
      <rPr>
        <sz val="10"/>
        <rFont val="Noto Sans CJK SC"/>
        <family val="2"/>
      </rPr>
      <t xml:space="preserve">法の数値計算（</t>
    </r>
    <r>
      <rPr>
        <sz val="10"/>
        <rFont val="Meiryo UI"/>
        <family val="0"/>
        <charset val="1"/>
      </rPr>
      <t xml:space="preserve">24</t>
    </r>
    <r>
      <rPr>
        <sz val="10"/>
        <rFont val="Noto Sans CJK SC"/>
        <family val="2"/>
      </rPr>
      <t xml:space="preserve">回転）。</t>
    </r>
    <r>
      <rPr>
        <sz val="10"/>
        <rFont val="Meiryo UI"/>
        <family val="0"/>
        <charset val="1"/>
      </rPr>
      <t xml:space="preserve">3×3</t>
    </r>
    <r>
      <rPr>
        <sz val="10"/>
        <rFont val="Noto Sans CJK SC"/>
        <family val="2"/>
      </rPr>
      <t xml:space="preserve">行列では十分収束する。</t>
    </r>
  </si>
  <si>
    <t xml:space="preserve">この版にないもの</t>
  </si>
  <si>
    <r>
      <rPr>
        <sz val="10"/>
        <rFont val="Noto Sans CJK SC"/>
        <family val="2"/>
      </rPr>
      <t xml:space="preserve">スクリーニング（</t>
    </r>
    <r>
      <rPr>
        <sz val="10"/>
        <rFont val="Meiryo UI"/>
        <family val="0"/>
        <charset val="1"/>
      </rPr>
      <t xml:space="preserve">Plackett-Burman</t>
    </r>
    <r>
      <rPr>
        <sz val="10"/>
        <rFont val="Noto Sans CJK SC"/>
        <family val="2"/>
      </rPr>
      <t xml:space="preserve">）・曲率判定・最急上昇法（</t>
    </r>
    <r>
      <rPr>
        <sz val="10"/>
        <rFont val="Meiryo UI"/>
        <family val="0"/>
        <charset val="1"/>
      </rPr>
      <t xml:space="preserve">v2</t>
    </r>
    <r>
      <rPr>
        <sz val="10"/>
        <rFont val="Noto Sans CJK SC"/>
        <family val="2"/>
      </rPr>
      <t xml:space="preserve">予定）、多目的最適化（望ましさ関数）・モンテカルロ・分割区画の正式解析（</t>
    </r>
    <r>
      <rPr>
        <sz val="10"/>
        <rFont val="Meiryo UI"/>
        <family val="0"/>
        <charset val="1"/>
      </rPr>
      <t xml:space="preserve">v3</t>
    </r>
    <r>
      <rPr>
        <sz val="10"/>
        <rFont val="Noto Sans CJK SC"/>
        <family val="2"/>
      </rPr>
      <t xml:space="preserve">予定）。</t>
    </r>
  </si>
  <si>
    <t xml:space="preserve">動作環境</t>
  </si>
  <si>
    <r>
      <rPr>
        <sz val="10"/>
        <rFont val="Meiryo UI"/>
        <family val="0"/>
        <charset val="1"/>
      </rPr>
      <t xml:space="preserve">Excel 2019</t>
    </r>
    <r>
      <rPr>
        <sz val="10"/>
        <rFont val="Noto Sans CJK SC"/>
        <family val="2"/>
      </rPr>
      <t xml:space="preserve">以降または </t>
    </r>
    <r>
      <rPr>
        <sz val="10"/>
        <rFont val="Meiryo UI"/>
        <family val="0"/>
        <charset val="1"/>
      </rPr>
      <t xml:space="preserve">Microsoft 365</t>
    </r>
    <r>
      <rPr>
        <sz val="10"/>
        <rFont val="Noto Sans CJK SC"/>
        <family val="2"/>
      </rPr>
      <t xml:space="preserve">（</t>
    </r>
    <r>
      <rPr>
        <sz val="10"/>
        <rFont val="Meiryo UI"/>
        <family val="0"/>
        <charset val="1"/>
      </rPr>
      <t xml:space="preserve">1</t>
    </r>
    <r>
      <rPr>
        <sz val="10"/>
        <rFont val="Noto Sans CJK SC"/>
        <family val="2"/>
      </rPr>
      <t xml:space="preserve">因子窓で </t>
    </r>
    <r>
      <rPr>
        <sz val="10"/>
        <rFont val="Meiryo UI"/>
        <family val="0"/>
        <charset val="1"/>
      </rPr>
      <t xml:space="preserve">MAXIFS/MINIFS </t>
    </r>
    <r>
      <rPr>
        <sz val="10"/>
        <rFont val="Noto Sans CJK SC"/>
        <family val="2"/>
      </rPr>
      <t xml:space="preserve">を使用）。マクロなし。</t>
    </r>
  </si>
  <si>
    <t xml:space="preserve">架空データについて</t>
  </si>
  <si>
    <r>
      <rPr>
        <sz val="10"/>
        <rFont val="Noto Sans CJK SC"/>
        <family val="2"/>
      </rPr>
      <t xml:space="preserve">炉温</t>
    </r>
    <r>
      <rPr>
        <sz val="10"/>
        <rFont val="Meiryo UI"/>
        <family val="0"/>
        <charset val="1"/>
      </rPr>
      <t xml:space="preserve">55</t>
    </r>
    <r>
      <rPr>
        <sz val="10"/>
        <rFont val="Noto Sans CJK SC"/>
        <family val="2"/>
      </rPr>
      <t xml:space="preserve">〜</t>
    </r>
    <r>
      <rPr>
        <sz val="10"/>
        <rFont val="Meiryo UI"/>
        <family val="0"/>
        <charset val="1"/>
      </rPr>
      <t xml:space="preserve">75℃</t>
    </r>
    <r>
      <rPr>
        <sz val="10"/>
        <rFont val="Noto Sans CJK SC"/>
        <family val="2"/>
      </rPr>
      <t xml:space="preserve">・乾燥時間</t>
    </r>
    <r>
      <rPr>
        <sz val="10"/>
        <rFont val="Meiryo UI"/>
        <family val="0"/>
        <charset val="1"/>
      </rPr>
      <t xml:space="preserve">20</t>
    </r>
    <r>
      <rPr>
        <sz val="10"/>
        <rFont val="Noto Sans CJK SC"/>
        <family val="2"/>
      </rPr>
      <t xml:space="preserve">〜</t>
    </r>
    <r>
      <rPr>
        <sz val="10"/>
        <rFont val="Meiryo UI"/>
        <family val="0"/>
        <charset val="1"/>
      </rPr>
      <t xml:space="preserve">40min</t>
    </r>
    <r>
      <rPr>
        <sz val="10"/>
        <rFont val="Noto Sans CJK SC"/>
        <family val="2"/>
      </rPr>
      <t xml:space="preserve">・循環風速</t>
    </r>
    <r>
      <rPr>
        <sz val="10"/>
        <rFont val="Meiryo UI"/>
        <family val="0"/>
        <charset val="1"/>
      </rPr>
      <t xml:space="preserve">1</t>
    </r>
    <r>
      <rPr>
        <sz val="10"/>
        <rFont val="Noto Sans CJK SC"/>
        <family val="2"/>
      </rPr>
      <t xml:space="preserve">〜</t>
    </r>
    <r>
      <rPr>
        <sz val="10"/>
        <rFont val="Meiryo UI"/>
        <family val="0"/>
        <charset val="1"/>
      </rPr>
      <t xml:space="preserve">3m/s</t>
    </r>
    <r>
      <rPr>
        <sz val="10"/>
        <rFont val="Noto Sans CJK SC"/>
        <family val="2"/>
      </rPr>
      <t xml:space="preserve">、</t>
    </r>
    <r>
      <rPr>
        <sz val="10"/>
        <rFont val="Meiryo UI"/>
        <family val="0"/>
        <charset val="1"/>
      </rPr>
      <t xml:space="preserve">Y</t>
    </r>
    <r>
      <rPr>
        <sz val="10"/>
        <rFont val="Noto Sans CJK SC"/>
        <family val="2"/>
      </rPr>
      <t xml:space="preserve">＝剥離強度（最大化、</t>
    </r>
    <r>
      <rPr>
        <sz val="10"/>
        <rFont val="Meiryo UI"/>
        <family val="0"/>
        <charset val="1"/>
      </rPr>
      <t xml:space="preserve">LSL=48.5</t>
    </r>
    <r>
      <rPr>
        <sz val="10"/>
        <rFont val="Noto Sans CJK SC"/>
        <family val="2"/>
      </rPr>
      <t xml:space="preserve">）。数値はツール検証用の作り物。安全上限（炉温</t>
    </r>
    <r>
      <rPr>
        <sz val="10"/>
        <rFont val="Meiryo UI"/>
        <family val="0"/>
        <charset val="1"/>
      </rPr>
      <t xml:space="preserve">80℃</t>
    </r>
    <r>
      <rPr>
        <sz val="10"/>
        <rFont val="Noto Sans CJK SC"/>
        <family val="2"/>
      </rPr>
      <t xml:space="preserve">等）も仮値なので、実案件では必ず再設定。</t>
    </r>
  </si>
  <si>
    <r>
      <rPr>
        <b val="true"/>
        <sz val="14"/>
        <color rgb="FF1F3864"/>
        <rFont val="Meiryo UI"/>
        <family val="0"/>
        <charset val="1"/>
      </rPr>
      <t xml:space="preserve">01 </t>
    </r>
    <r>
      <rPr>
        <b val="true"/>
        <sz val="14"/>
        <color rgb="FF1F3864"/>
        <rFont val="Noto Sans CJK SC"/>
        <family val="2"/>
      </rPr>
      <t xml:space="preserve">因子と目的変数の設定（</t>
    </r>
    <r>
      <rPr>
        <b val="true"/>
        <sz val="14"/>
        <color rgb="FF1F3864"/>
        <rFont val="Meiryo UI"/>
        <family val="0"/>
        <charset val="1"/>
      </rPr>
      <t xml:space="preserve">3</t>
    </r>
    <r>
      <rPr>
        <b val="true"/>
        <sz val="14"/>
        <color rgb="FF1F3864"/>
        <rFont val="Noto Sans CJK SC"/>
        <family val="2"/>
      </rPr>
      <t xml:space="preserve">因子）</t>
    </r>
  </si>
  <si>
    <t xml:space="preserve">黄色セル（青字）が入力欄。架空の乾燥炉データ（接着剤塗布後の溶剤乾燥・バッチ式）を例として入れてあります。</t>
  </si>
  <si>
    <t xml:space="preserve">No</t>
  </si>
  <si>
    <t xml:space="preserve">因子名</t>
  </si>
  <si>
    <t xml:space="preserve">記号</t>
  </si>
  <si>
    <t xml:space="preserve">単位</t>
  </si>
  <si>
    <r>
      <rPr>
        <b val="true"/>
        <sz val="10"/>
        <color rgb="FFFFFFFF"/>
        <rFont val="Noto Sans CJK SC"/>
        <family val="2"/>
      </rPr>
      <t xml:space="preserve">下限</t>
    </r>
    <r>
      <rPr>
        <b val="true"/>
        <sz val="10"/>
        <color rgb="FFFFFFFF"/>
        <rFont val="Meiryo UI"/>
        <family val="0"/>
        <charset val="1"/>
      </rPr>
      <t xml:space="preserve">(-1)</t>
    </r>
  </si>
  <si>
    <r>
      <rPr>
        <b val="true"/>
        <sz val="10"/>
        <color rgb="FFFFFFFF"/>
        <rFont val="Noto Sans CJK SC"/>
        <family val="2"/>
      </rPr>
      <t xml:space="preserve">上限</t>
    </r>
    <r>
      <rPr>
        <b val="true"/>
        <sz val="10"/>
        <color rgb="FFFFFFFF"/>
        <rFont val="Meiryo UI"/>
        <family val="0"/>
        <charset val="1"/>
      </rPr>
      <t xml:space="preserve">(+1)</t>
    </r>
  </si>
  <si>
    <r>
      <rPr>
        <b val="true"/>
        <sz val="10"/>
        <color rgb="FFFFFFFF"/>
        <rFont val="Noto Sans CJK SC"/>
        <family val="2"/>
      </rPr>
      <t xml:space="preserve">中心</t>
    </r>
    <r>
      <rPr>
        <b val="true"/>
        <sz val="10"/>
        <color rgb="FFFFFFFF"/>
        <rFont val="Meiryo UI"/>
        <family val="0"/>
        <charset val="1"/>
      </rPr>
      <t xml:space="preserve">(0)</t>
    </r>
  </si>
  <si>
    <t xml:space="preserve">半幅</t>
  </si>
  <si>
    <t xml:space="preserve">安全下限</t>
  </si>
  <si>
    <t xml:space="preserve">安全上限</t>
  </si>
  <si>
    <t xml:space="preserve">変更困難</t>
  </si>
  <si>
    <r>
      <rPr>
        <b val="true"/>
        <sz val="10"/>
        <color rgb="FFFFFFFF"/>
        <rFont val="Noto Sans CJK SC"/>
        <family val="2"/>
      </rPr>
      <t xml:space="preserve">安全下限</t>
    </r>
    <r>
      <rPr>
        <b val="true"/>
        <sz val="10"/>
        <color rgb="FFFFFFFF"/>
        <rFont val="Meiryo UI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コード</t>
    </r>
    <r>
      <rPr>
        <b val="true"/>
        <sz val="10"/>
        <color rgb="FFFFFFFF"/>
        <rFont val="Meiryo UI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</si>
  <si>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安全上限</t>
    </r>
    <r>
      <rPr>
        <b val="true"/>
        <sz val="10"/>
        <color rgb="FFFFFFFF"/>
        <rFont val="Meiryo UI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コード</t>
    </r>
    <r>
      <rPr>
        <b val="true"/>
        <sz val="10"/>
        <color rgb="FFFFFFFF"/>
        <rFont val="Meiryo UI"/>
        <family val="0"/>
        <charset val="1"/>
      </rPr>
      <t xml:space="preserve">)</t>
    </r>
  </si>
  <si>
    <t xml:space="preserve">備考</t>
  </si>
  <si>
    <t xml:space="preserve">炉温</t>
  </si>
  <si>
    <t xml:space="preserve">X1</t>
  </si>
  <si>
    <t xml:space="preserve">℃</t>
  </si>
  <si>
    <t xml:space="preserve">○</t>
  </si>
  <si>
    <r>
      <rPr>
        <sz val="10"/>
        <rFont val="Noto Sans CJK SC"/>
        <family val="2"/>
      </rPr>
      <t xml:space="preserve">安全上限</t>
    </r>
    <r>
      <rPr>
        <sz val="10"/>
        <rFont val="Meiryo UI"/>
        <family val="0"/>
        <charset val="1"/>
      </rPr>
      <t xml:space="preserve">80℃</t>
    </r>
    <r>
      <rPr>
        <sz val="10"/>
        <rFont val="Noto Sans CJK SC"/>
        <family val="2"/>
      </rPr>
      <t xml:space="preserve">は仮値。溶剤の引火点・防爆の温度等級から必ず再設定</t>
    </r>
  </si>
  <si>
    <t xml:space="preserve">乾燥時間</t>
  </si>
  <si>
    <t xml:space="preserve">X2</t>
  </si>
  <si>
    <t xml:space="preserve">min</t>
  </si>
  <si>
    <t xml:space="preserve">循環風速</t>
  </si>
  <si>
    <t xml:space="preserve">X3</t>
  </si>
  <si>
    <t xml:space="preserve">m/s</t>
  </si>
  <si>
    <t xml:space="preserve">ファン能力の範囲</t>
  </si>
  <si>
    <r>
      <rPr>
        <b val="true"/>
        <sz val="10"/>
        <rFont val="Noto Sans CJK SC"/>
        <family val="2"/>
      </rPr>
      <t xml:space="preserve">目的変数（</t>
    </r>
    <r>
      <rPr>
        <b val="true"/>
        <sz val="10"/>
        <rFont val="Meiryo UI"/>
        <family val="0"/>
        <charset val="1"/>
      </rPr>
      <t xml:space="preserve">Y</t>
    </r>
    <r>
      <rPr>
        <b val="true"/>
        <sz val="10"/>
        <rFont val="Noto Sans CJK SC"/>
        <family val="2"/>
      </rPr>
      <t xml:space="preserve">）</t>
    </r>
  </si>
  <si>
    <t xml:space="preserve">名称</t>
  </si>
  <si>
    <t xml:space="preserve">剥離強度</t>
  </si>
  <si>
    <t xml:space="preserve">N/25mm</t>
  </si>
  <si>
    <t xml:space="preserve">最適化の方向</t>
  </si>
  <si>
    <t xml:space="preserve">最大化</t>
  </si>
  <si>
    <r>
      <rPr>
        <sz val="10"/>
        <rFont val="Noto Sans CJK SC"/>
        <family val="2"/>
      </rPr>
      <t xml:space="preserve">最大化→</t>
    </r>
    <r>
      <rPr>
        <sz val="10"/>
        <rFont val="Meiryo UI"/>
        <family val="0"/>
        <charset val="1"/>
      </rPr>
      <t xml:space="preserve">LSL</t>
    </r>
    <r>
      <rPr>
        <sz val="10"/>
        <rFont val="Noto Sans CJK SC"/>
        <family val="2"/>
      </rPr>
      <t xml:space="preserve">のみ使用 </t>
    </r>
    <r>
      <rPr>
        <sz val="10"/>
        <rFont val="Meiryo UI"/>
        <family val="0"/>
        <charset val="1"/>
      </rPr>
      <t xml:space="preserve">/ </t>
    </r>
    <r>
      <rPr>
        <sz val="10"/>
        <rFont val="Noto Sans CJK SC"/>
        <family val="2"/>
      </rPr>
      <t xml:space="preserve">最小化→</t>
    </r>
    <r>
      <rPr>
        <sz val="10"/>
        <rFont val="Meiryo UI"/>
        <family val="0"/>
        <charset val="1"/>
      </rPr>
      <t xml:space="preserve">USL</t>
    </r>
    <r>
      <rPr>
        <sz val="10"/>
        <rFont val="Noto Sans CJK SC"/>
        <family val="2"/>
      </rPr>
      <t xml:space="preserve">のみ </t>
    </r>
    <r>
      <rPr>
        <sz val="10"/>
        <rFont val="Meiryo UI"/>
        <family val="0"/>
        <charset val="1"/>
      </rPr>
      <t xml:space="preserve">/ </t>
    </r>
    <r>
      <rPr>
        <sz val="10"/>
        <rFont val="Noto Sans CJK SC"/>
        <family val="2"/>
      </rPr>
      <t xml:space="preserve">目標値→</t>
    </r>
    <r>
      <rPr>
        <sz val="10"/>
        <rFont val="Meiryo UI"/>
        <family val="0"/>
        <charset val="1"/>
      </rPr>
      <t xml:space="preserve">LSL</t>
    </r>
    <r>
      <rPr>
        <sz val="10"/>
        <rFont val="Noto Sans CJK SC"/>
        <family val="2"/>
      </rPr>
      <t xml:space="preserve">・</t>
    </r>
    <r>
      <rPr>
        <sz val="10"/>
        <rFont val="Meiryo UI"/>
        <family val="0"/>
        <charset val="1"/>
      </rPr>
      <t xml:space="preserve">USL</t>
    </r>
    <r>
      <rPr>
        <sz val="10"/>
        <rFont val="Noto Sans CJK SC"/>
        <family val="2"/>
      </rPr>
      <t xml:space="preserve">・</t>
    </r>
    <r>
      <rPr>
        <sz val="10"/>
        <rFont val="Meiryo UI"/>
        <family val="0"/>
        <charset val="1"/>
      </rPr>
      <t xml:space="preserve">T </t>
    </r>
    <r>
      <rPr>
        <sz val="10"/>
        <rFont val="Noto Sans CJK SC"/>
        <family val="2"/>
      </rPr>
      <t xml:space="preserve">を使用</t>
    </r>
  </si>
  <si>
    <r>
      <rPr>
        <b val="true"/>
        <sz val="10"/>
        <rFont val="Noto Sans CJK SC"/>
        <family val="2"/>
      </rPr>
      <t xml:space="preserve">下限規格 </t>
    </r>
    <r>
      <rPr>
        <b val="true"/>
        <sz val="10"/>
        <rFont val="Meiryo UI"/>
        <family val="0"/>
        <charset val="1"/>
      </rPr>
      <t xml:space="preserve">LSL</t>
    </r>
  </si>
  <si>
    <r>
      <rPr>
        <b val="true"/>
        <sz val="10"/>
        <rFont val="Noto Sans CJK SC"/>
        <family val="2"/>
      </rPr>
      <t xml:space="preserve">上限規格 </t>
    </r>
    <r>
      <rPr>
        <b val="true"/>
        <sz val="10"/>
        <rFont val="Meiryo UI"/>
        <family val="0"/>
        <charset val="1"/>
      </rPr>
      <t xml:space="preserve">USL</t>
    </r>
  </si>
  <si>
    <r>
      <rPr>
        <b val="true"/>
        <sz val="10"/>
        <rFont val="Noto Sans CJK SC"/>
        <family val="2"/>
      </rPr>
      <t xml:space="preserve">目標値 </t>
    </r>
    <r>
      <rPr>
        <b val="true"/>
        <sz val="10"/>
        <rFont val="Meiryo UI"/>
        <family val="0"/>
        <charset val="1"/>
      </rPr>
      <t xml:space="preserve">T</t>
    </r>
  </si>
  <si>
    <t xml:space="preserve">予測区間の信頼水準</t>
  </si>
  <si>
    <r>
      <rPr>
        <sz val="10"/>
        <rFont val="Noto Sans CJK SC"/>
        <family val="2"/>
      </rPr>
      <t xml:space="preserve">最大化・最小化は片側の予測限界（例：</t>
    </r>
    <r>
      <rPr>
        <sz val="10"/>
        <rFont val="Meiryo UI"/>
        <family val="0"/>
        <charset val="1"/>
      </rPr>
      <t xml:space="preserve">95%</t>
    </r>
    <r>
      <rPr>
        <sz val="10"/>
        <rFont val="Noto Sans CJK SC"/>
        <family val="2"/>
      </rPr>
      <t xml:space="preserve">なら下側</t>
    </r>
    <r>
      <rPr>
        <sz val="10"/>
        <rFont val="Meiryo UI"/>
        <family val="0"/>
        <charset val="1"/>
      </rPr>
      <t xml:space="preserve">95%</t>
    </r>
    <r>
      <rPr>
        <sz val="10"/>
        <rFont val="Noto Sans CJK SC"/>
        <family val="2"/>
      </rPr>
      <t xml:space="preserve">限界）、目標値は両側の予測区間で工程窓を判定</t>
    </r>
  </si>
  <si>
    <t xml:space="preserve">実験計画</t>
  </si>
  <si>
    <t xml:space="preserve">計画の種類</t>
  </si>
  <si>
    <r>
      <rPr>
        <sz val="10"/>
        <color rgb="FF0000FF"/>
        <rFont val="Noto Sans CJK SC"/>
        <family val="2"/>
      </rPr>
      <t xml:space="preserve">面心</t>
    </r>
    <r>
      <rPr>
        <sz val="10"/>
        <color rgb="FF0000FF"/>
        <rFont val="Meiryo UI"/>
        <family val="0"/>
        <charset val="1"/>
      </rPr>
      <t xml:space="preserve">CCD(α=1)</t>
    </r>
  </si>
  <si>
    <r>
      <rPr>
        <sz val="10"/>
        <rFont val="Meiryo UI"/>
        <family val="0"/>
        <charset val="1"/>
      </rPr>
      <t xml:space="preserve">3</t>
    </r>
    <r>
      <rPr>
        <sz val="10"/>
        <rFont val="Noto Sans CJK SC"/>
        <family val="2"/>
      </rPr>
      <t xml:space="preserve">因子</t>
    </r>
    <r>
      <rPr>
        <sz val="10"/>
        <rFont val="Meiryo UI"/>
        <family val="0"/>
        <charset val="1"/>
      </rPr>
      <t xml:space="preserve">: CCD=</t>
    </r>
    <r>
      <rPr>
        <sz val="10"/>
        <rFont val="Noto Sans CJK SC"/>
        <family val="2"/>
      </rPr>
      <t xml:space="preserve">要因</t>
    </r>
    <r>
      <rPr>
        <sz val="10"/>
        <rFont val="Meiryo UI"/>
        <family val="0"/>
        <charset val="1"/>
      </rPr>
      <t xml:space="preserve">8+</t>
    </r>
    <r>
      <rPr>
        <sz val="10"/>
        <rFont val="Noto Sans CJK SC"/>
        <family val="2"/>
      </rPr>
      <t xml:space="preserve">軸</t>
    </r>
    <r>
      <rPr>
        <sz val="10"/>
        <rFont val="Meiryo UI"/>
        <family val="0"/>
        <charset val="1"/>
      </rPr>
      <t xml:space="preserve">6+</t>
    </r>
    <r>
      <rPr>
        <sz val="10"/>
        <rFont val="Noto Sans CJK SC"/>
        <family val="2"/>
      </rPr>
      <t xml:space="preserve">中心、</t>
    </r>
    <r>
      <rPr>
        <sz val="10"/>
        <rFont val="Meiryo UI"/>
        <family val="0"/>
        <charset val="1"/>
      </rPr>
      <t xml:space="preserve">BBD=12+</t>
    </r>
    <r>
      <rPr>
        <sz val="10"/>
        <rFont val="Noto Sans CJK SC"/>
        <family val="2"/>
      </rPr>
      <t xml:space="preserve">中心。</t>
    </r>
    <r>
      <rPr>
        <sz val="10"/>
        <rFont val="Meiryo UI"/>
        <family val="0"/>
        <charset val="1"/>
      </rPr>
      <t xml:space="preserve">BBD</t>
    </r>
    <r>
      <rPr>
        <sz val="10"/>
        <rFont val="Noto Sans CJK SC"/>
        <family val="2"/>
      </rPr>
      <t xml:space="preserve">は全因子同時の極端条件（立方体の頂点）を含まない</t>
    </r>
  </si>
  <si>
    <t xml:space="preserve">中心点の数</t>
  </si>
  <si>
    <r>
      <rPr>
        <sz val="10"/>
        <rFont val="Noto Sans CJK SC"/>
        <family val="2"/>
      </rPr>
      <t xml:space="preserve">純誤差（適合度の欠如の検定）に使うため</t>
    </r>
    <r>
      <rPr>
        <sz val="10"/>
        <rFont val="Meiryo UI"/>
        <family val="0"/>
        <charset val="1"/>
      </rPr>
      <t xml:space="preserve">3</t>
    </r>
    <r>
      <rPr>
        <sz val="10"/>
        <rFont val="Noto Sans CJK SC"/>
        <family val="2"/>
      </rPr>
      <t xml:space="preserve">以上。推奨</t>
    </r>
    <r>
      <rPr>
        <sz val="10"/>
        <rFont val="Meiryo UI"/>
        <family val="0"/>
        <charset val="1"/>
      </rPr>
      <t xml:space="preserve">5</t>
    </r>
    <r>
      <rPr>
        <sz val="10"/>
        <rFont val="Noto Sans CJK SC"/>
        <family val="2"/>
      </rPr>
      <t xml:space="preserve">〜</t>
    </r>
    <r>
      <rPr>
        <sz val="10"/>
        <rFont val="Meiryo UI"/>
        <family val="0"/>
        <charset val="1"/>
      </rPr>
      <t xml:space="preserve">6</t>
    </r>
  </si>
  <si>
    <r>
      <rPr>
        <b val="true"/>
        <sz val="10"/>
        <rFont val="Meiryo UI"/>
        <family val="0"/>
        <charset val="1"/>
      </rPr>
      <t xml:space="preserve">α</t>
    </r>
    <r>
      <rPr>
        <b val="true"/>
        <sz val="10"/>
        <rFont val="Noto Sans CJK SC"/>
        <family val="2"/>
      </rPr>
      <t xml:space="preserve">（軸点距離）</t>
    </r>
  </si>
  <si>
    <r>
      <rPr>
        <b val="true"/>
        <sz val="10"/>
        <rFont val="Noto Sans CJK SC"/>
        <family val="2"/>
      </rPr>
      <t xml:space="preserve">総実験数 </t>
    </r>
    <r>
      <rPr>
        <b val="true"/>
        <sz val="10"/>
        <rFont val="Meiryo UI"/>
        <family val="0"/>
        <charset val="1"/>
      </rPr>
      <t xml:space="preserve">N</t>
    </r>
  </si>
  <si>
    <t xml:space="preserve">ランダマイズ方式</t>
  </si>
  <si>
    <t xml:space="preserve">完全ランダム</t>
  </si>
  <si>
    <r>
      <rPr>
        <sz val="10"/>
        <rFont val="Noto Sans CJK SC"/>
        <family val="2"/>
      </rPr>
      <t xml:space="preserve">グループ化＝変更困難因子の水準ごとに実験をまとめる順序生成のみ。解析は分割区画に対応していない（</t>
    </r>
    <r>
      <rPr>
        <sz val="10"/>
        <rFont val="Meiryo UI"/>
        <family val="0"/>
        <charset val="1"/>
      </rPr>
      <t xml:space="preserve">04</t>
    </r>
    <r>
      <rPr>
        <sz val="10"/>
        <rFont val="Noto Sans CJK SC"/>
        <family val="2"/>
      </rPr>
      <t xml:space="preserve">に警告表示）</t>
    </r>
  </si>
  <si>
    <r>
      <rPr>
        <b val="true"/>
        <sz val="10"/>
        <rFont val="Noto Sans CJK SC"/>
        <family val="2"/>
      </rPr>
      <t xml:space="preserve">変更困難因子 </t>
    </r>
    <r>
      <rPr>
        <b val="true"/>
        <sz val="10"/>
        <rFont val="Meiryo UI"/>
        <family val="0"/>
        <charset val="1"/>
      </rPr>
      <t xml:space="preserve">No</t>
    </r>
  </si>
  <si>
    <t xml:space="preserve">計画点数（中心点除く）</t>
  </si>
  <si>
    <t xml:space="preserve">安全限界チェック（計画上の最小・最大の実値）</t>
  </si>
  <si>
    <t xml:space="preserve">因子</t>
  </si>
  <si>
    <t xml:space="preserve">計画の最小</t>
  </si>
  <si>
    <t xml:space="preserve">計画の最大</t>
  </si>
  <si>
    <t xml:space="preserve">判定</t>
  </si>
  <si>
    <t xml:space="preserve">総合判定</t>
  </si>
  <si>
    <r>
      <rPr>
        <b val="true"/>
        <sz val="14"/>
        <color rgb="FF1F3864"/>
        <rFont val="Meiryo UI"/>
        <family val="0"/>
        <charset val="1"/>
      </rPr>
      <t xml:space="preserve">02 </t>
    </r>
    <r>
      <rPr>
        <b val="true"/>
        <sz val="14"/>
        <color rgb="FF1F3864"/>
        <rFont val="Noto Sans CJK SC"/>
        <family val="2"/>
      </rPr>
      <t xml:space="preserve">実験計画（標準順）とランダマイズ</t>
    </r>
  </si>
  <si>
    <r>
      <rPr>
        <sz val="9"/>
        <color rgb="FF595959"/>
        <rFont val="Noto Sans CJK SC"/>
        <family val="2"/>
      </rPr>
      <t xml:space="preserve">計画の種類・中心点数は</t>
    </r>
    <r>
      <rPr>
        <sz val="9"/>
        <color rgb="FF595959"/>
        <rFont val="Meiryo UI"/>
        <family val="0"/>
        <charset val="1"/>
      </rPr>
      <t xml:space="preserve">01</t>
    </r>
    <r>
      <rPr>
        <sz val="9"/>
        <color rgb="FF595959"/>
        <rFont val="Noto Sans CJK SC"/>
        <family val="2"/>
      </rPr>
      <t xml:space="preserve">で選択。乱数キーを入れ替えると実験順序が変わります（</t>
    </r>
    <r>
      <rPr>
        <sz val="9"/>
        <color rgb="FF595959"/>
        <rFont val="Meiryo UI"/>
        <family val="0"/>
        <charset val="1"/>
      </rPr>
      <t xml:space="preserve">=RAND()</t>
    </r>
    <r>
      <rPr>
        <sz val="9"/>
        <color rgb="FF595959"/>
        <rFont val="Noto Sans CJK SC"/>
        <family val="2"/>
      </rPr>
      <t xml:space="preserve">を入れ→コピー→値貼り付け）。</t>
    </r>
  </si>
  <si>
    <t xml:space="preserve">標準順</t>
  </si>
  <si>
    <t xml:space="preserve">区分</t>
  </si>
  <si>
    <t xml:space="preserve">使用</t>
  </si>
  <si>
    <r>
      <rPr>
        <b val="true"/>
        <sz val="10"/>
        <color rgb="FFFFFFFF"/>
        <rFont val="Meiryo UI"/>
        <family val="0"/>
        <charset val="1"/>
      </rPr>
      <t xml:space="preserve">X1(</t>
    </r>
    <r>
      <rPr>
        <b val="true"/>
        <sz val="10"/>
        <color rgb="FFFFFFFF"/>
        <rFont val="Noto Sans CJK SC"/>
        <family val="2"/>
      </rPr>
      <t xml:space="preserve">コード</t>
    </r>
    <r>
      <rPr>
        <b val="true"/>
        <sz val="10"/>
        <color rgb="FFFFFFFF"/>
        <rFont val="Meiryo UI"/>
        <family val="0"/>
        <charset val="1"/>
      </rPr>
      <t xml:space="preserve">)</t>
    </r>
  </si>
  <si>
    <r>
      <rPr>
        <b val="true"/>
        <sz val="10"/>
        <color rgb="FFFFFFFF"/>
        <rFont val="Meiryo UI"/>
        <family val="0"/>
        <charset val="1"/>
      </rPr>
      <t xml:space="preserve">X2(</t>
    </r>
    <r>
      <rPr>
        <b val="true"/>
        <sz val="10"/>
        <color rgb="FFFFFFFF"/>
        <rFont val="Noto Sans CJK SC"/>
        <family val="2"/>
      </rPr>
      <t xml:space="preserve">コード</t>
    </r>
    <r>
      <rPr>
        <b val="true"/>
        <sz val="10"/>
        <color rgb="FFFFFFFF"/>
        <rFont val="Meiryo UI"/>
        <family val="0"/>
        <charset val="1"/>
      </rPr>
      <t xml:space="preserve">)</t>
    </r>
  </si>
  <si>
    <r>
      <rPr>
        <b val="true"/>
        <sz val="10"/>
        <color rgb="FFFFFFFF"/>
        <rFont val="Meiryo UI"/>
        <family val="0"/>
        <charset val="1"/>
      </rPr>
      <t xml:space="preserve">X3(</t>
    </r>
    <r>
      <rPr>
        <b val="true"/>
        <sz val="10"/>
        <color rgb="FFFFFFFF"/>
        <rFont val="Noto Sans CJK SC"/>
        <family val="2"/>
      </rPr>
      <t xml:space="preserve">コード</t>
    </r>
    <r>
      <rPr>
        <b val="true"/>
        <sz val="10"/>
        <color rgb="FFFFFFFF"/>
        <rFont val="Meiryo UI"/>
        <family val="0"/>
        <charset val="1"/>
      </rPr>
      <t xml:space="preserve">)</t>
    </r>
  </si>
  <si>
    <t xml:space="preserve">安全判定</t>
  </si>
  <si>
    <t xml:space="preserve">乱数キー</t>
  </si>
  <si>
    <t xml:space="preserve">並べ替えキー</t>
  </si>
  <si>
    <t xml:space="preserve">実験順序</t>
  </si>
  <si>
    <r>
      <rPr>
        <b val="true"/>
        <sz val="10"/>
        <color rgb="FFFFFFFF"/>
        <rFont val="Meiryo UI"/>
        <family val="0"/>
        <charset val="1"/>
      </rPr>
      <t xml:space="preserve">Y</t>
    </r>
    <r>
      <rPr>
        <b val="true"/>
        <sz val="10"/>
        <color rgb="FFFFFFFF"/>
        <rFont val="Noto Sans CJK SC"/>
        <family val="2"/>
      </rPr>
      <t xml:space="preserve">（</t>
    </r>
    <r>
      <rPr>
        <b val="true"/>
        <sz val="10"/>
        <color rgb="FFFFFFFF"/>
        <rFont val="Meiryo UI"/>
        <family val="0"/>
        <charset val="1"/>
      </rPr>
      <t xml:space="preserve">03</t>
    </r>
    <r>
      <rPr>
        <b val="true"/>
        <sz val="10"/>
        <color rgb="FFFFFFFF"/>
        <rFont val="Noto Sans CJK SC"/>
        <family val="2"/>
      </rPr>
      <t xml:space="preserve">から）</t>
    </r>
  </si>
  <si>
    <t xml:space="preserve">CCD1</t>
  </si>
  <si>
    <t xml:space="preserve">CCD2</t>
  </si>
  <si>
    <t xml:space="preserve">CCD3</t>
  </si>
  <si>
    <t xml:space="preserve">BBD1</t>
  </si>
  <si>
    <t xml:space="preserve">BBD2</t>
  </si>
  <si>
    <t xml:space="preserve">BBD3</t>
  </si>
  <si>
    <r>
      <rPr>
        <b val="true"/>
        <sz val="10"/>
        <color rgb="FFFFFFFF"/>
        <rFont val="Noto Sans CJK SC"/>
        <family val="2"/>
      </rPr>
      <t xml:space="preserve">水準</t>
    </r>
    <r>
      <rPr>
        <b val="true"/>
        <sz val="10"/>
        <color rgb="FFFFFFFF"/>
        <rFont val="Meiryo UI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コード</t>
    </r>
    <r>
      <rPr>
        <b val="true"/>
        <sz val="10"/>
        <color rgb="FFFFFFFF"/>
        <rFont val="Meiryo UI"/>
        <family val="0"/>
        <charset val="1"/>
      </rPr>
      <t xml:space="preserve">)</t>
    </r>
  </si>
  <si>
    <t xml:space="preserve">グループ順位</t>
  </si>
  <si>
    <r>
      <rPr>
        <sz val="10"/>
        <rFont val="Noto Sans CJK SC"/>
        <family val="2"/>
      </rPr>
      <t xml:space="preserve">グループ順位＝変更困難因子の水準を実施する順番（</t>
    </r>
    <r>
      <rPr>
        <sz val="10"/>
        <rFont val="Meiryo UI"/>
        <family val="0"/>
        <charset val="1"/>
      </rPr>
      <t xml:space="preserve">1</t>
    </r>
    <r>
      <rPr>
        <sz val="10"/>
        <rFont val="Noto Sans CJK SC"/>
        <family val="2"/>
      </rPr>
      <t xml:space="preserve">が最初）。入れ替え可</t>
    </r>
  </si>
  <si>
    <r>
      <rPr>
        <sz val="10"/>
        <rFont val="Noto Sans CJK SC"/>
        <family val="2"/>
      </rPr>
      <t xml:space="preserve">右側のパターン列：</t>
    </r>
    <r>
      <rPr>
        <sz val="10"/>
        <rFont val="Meiryo UI"/>
        <family val="0"/>
        <charset val="1"/>
      </rPr>
      <t xml:space="preserve">CCD</t>
    </r>
    <r>
      <rPr>
        <sz val="10"/>
        <rFont val="Noto Sans CJK SC"/>
        <family val="2"/>
      </rPr>
      <t xml:space="preserve">／</t>
    </r>
    <r>
      <rPr>
        <sz val="10"/>
        <rFont val="Meiryo UI"/>
        <family val="0"/>
        <charset val="1"/>
      </rPr>
      <t xml:space="preserve">BBD</t>
    </r>
    <r>
      <rPr>
        <sz val="10"/>
        <rFont val="Noto Sans CJK SC"/>
        <family val="2"/>
      </rPr>
      <t xml:space="preserve">の基本パターン（編集不要）</t>
    </r>
  </si>
  <si>
    <r>
      <rPr>
        <b val="true"/>
        <sz val="14"/>
        <color rgb="FF1F3864"/>
        <rFont val="Meiryo UI"/>
        <family val="0"/>
        <charset val="1"/>
      </rPr>
      <t xml:space="preserve">03 </t>
    </r>
    <r>
      <rPr>
        <b val="true"/>
        <sz val="14"/>
        <color rgb="FF1F3864"/>
        <rFont val="Noto Sans CJK SC"/>
        <family val="2"/>
      </rPr>
      <t xml:space="preserve">実験指示書・結果入力（実験順）</t>
    </r>
  </si>
  <si>
    <r>
      <rPr>
        <sz val="9"/>
        <color rgb="FF595959"/>
        <rFont val="Noto Sans CJK SC"/>
        <family val="2"/>
      </rPr>
      <t xml:space="preserve">この順番で実験し、</t>
    </r>
    <r>
      <rPr>
        <sz val="9"/>
        <color rgb="FF595959"/>
        <rFont val="Meiryo UI"/>
        <family val="0"/>
        <charset val="1"/>
      </rPr>
      <t xml:space="preserve">Y</t>
    </r>
    <r>
      <rPr>
        <sz val="9"/>
        <color rgb="FF595959"/>
        <rFont val="Noto Sans CJK SC"/>
        <family val="2"/>
      </rPr>
      <t xml:space="preserve">を入力。現在の</t>
    </r>
    <r>
      <rPr>
        <sz val="9"/>
        <color rgb="FF595959"/>
        <rFont val="Meiryo UI"/>
        <family val="0"/>
        <charset val="1"/>
      </rPr>
      <t xml:space="preserve">Y</t>
    </r>
    <r>
      <rPr>
        <sz val="9"/>
        <color rgb="FF595959"/>
        <rFont val="Noto Sans CJK SC"/>
        <family val="2"/>
      </rPr>
      <t xml:space="preserve">は検証用の架空データ。計画を変えたら入れ直してください。</t>
    </r>
  </si>
  <si>
    <t xml:space="preserve">変更困難因子の水準</t>
  </si>
  <si>
    <t xml:space="preserve">メモ（異常・気付き）</t>
  </si>
  <si>
    <r>
      <rPr>
        <b val="true"/>
        <sz val="14"/>
        <color rgb="FF1F3864"/>
        <rFont val="Meiryo UI"/>
        <family val="0"/>
        <charset val="1"/>
      </rPr>
      <t xml:space="preserve">04 2</t>
    </r>
    <r>
      <rPr>
        <b val="true"/>
        <sz val="14"/>
        <color rgb="FF1F3864"/>
        <rFont val="Noto Sans CJK SC"/>
        <family val="2"/>
      </rPr>
      <t xml:space="preserve">次回帰モデルと</t>
    </r>
    <r>
      <rPr>
        <b val="true"/>
        <sz val="14"/>
        <color rgb="FF1F3864"/>
        <rFont val="Meiryo UI"/>
        <family val="0"/>
        <charset val="1"/>
      </rPr>
      <t xml:space="preserve">ANOVA</t>
    </r>
    <r>
      <rPr>
        <b val="true"/>
        <sz val="14"/>
        <color rgb="FF1F3864"/>
        <rFont val="Noto Sans CJK SC"/>
        <family val="2"/>
      </rPr>
      <t xml:space="preserve">（コード化単位）</t>
    </r>
  </si>
  <si>
    <r>
      <rPr>
        <sz val="9"/>
        <color rgb="FF595959"/>
        <rFont val="Meiryo UI"/>
        <family val="0"/>
        <charset val="1"/>
      </rPr>
      <t xml:space="preserve">B</t>
    </r>
    <r>
      <rPr>
        <sz val="9"/>
        <color rgb="FF595959"/>
        <rFont val="Noto Sans CJK SC"/>
        <family val="2"/>
      </rPr>
      <t xml:space="preserve">列を</t>
    </r>
    <r>
      <rPr>
        <sz val="9"/>
        <color rgb="FF595959"/>
        <rFont val="Meiryo UI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にすると、その項を除外して再計算（モデル縮小）。切片は常に</t>
    </r>
    <r>
      <rPr>
        <sz val="9"/>
        <color rgb="FF595959"/>
        <rFont val="Meiryo UI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。</t>
    </r>
  </si>
  <si>
    <t xml:space="preserve">項</t>
  </si>
  <si>
    <r>
      <rPr>
        <b val="true"/>
        <sz val="10"/>
        <color rgb="FFFFFFFF"/>
        <rFont val="Noto Sans CJK SC"/>
        <family val="2"/>
      </rPr>
      <t xml:space="preserve">使用</t>
    </r>
    <r>
      <rPr>
        <b val="true"/>
        <sz val="10"/>
        <color rgb="FFFFFFFF"/>
        <rFont val="Meiryo UI"/>
        <family val="0"/>
        <charset val="1"/>
      </rPr>
      <t xml:space="preserve">(1/0)</t>
    </r>
  </si>
  <si>
    <t xml:space="preserve">係数</t>
  </si>
  <si>
    <t xml:space="preserve">標準誤差</t>
  </si>
  <si>
    <r>
      <rPr>
        <b val="true"/>
        <sz val="10"/>
        <color rgb="FFFFFFFF"/>
        <rFont val="Meiryo UI"/>
        <family val="0"/>
        <charset val="1"/>
      </rPr>
      <t xml:space="preserve">t</t>
    </r>
    <r>
      <rPr>
        <b val="true"/>
        <sz val="10"/>
        <color rgb="FFFFFFFF"/>
        <rFont val="Noto Sans CJK SC"/>
        <family val="2"/>
      </rPr>
      <t xml:space="preserve">値</t>
    </r>
  </si>
  <si>
    <r>
      <rPr>
        <b val="true"/>
        <sz val="10"/>
        <color rgb="FFFFFFFF"/>
        <rFont val="Meiryo UI"/>
        <family val="0"/>
        <charset val="1"/>
      </rPr>
      <t xml:space="preserve">p</t>
    </r>
    <r>
      <rPr>
        <b val="true"/>
        <sz val="10"/>
        <color rgb="FFFFFFFF"/>
        <rFont val="Noto Sans CJK SC"/>
        <family val="2"/>
      </rPr>
      <t xml:space="preserve">値</t>
    </r>
  </si>
  <si>
    <t xml:space="preserve">有意</t>
  </si>
  <si>
    <t xml:space="preserve">階層性チェック</t>
  </si>
  <si>
    <t xml:space="preserve">統計量</t>
  </si>
  <si>
    <t xml:space="preserve">値</t>
  </si>
  <si>
    <t xml:space="preserve">切片</t>
  </si>
  <si>
    <r>
      <rPr>
        <b val="true"/>
        <sz val="10"/>
        <rFont val="Meiryo UI"/>
        <family val="0"/>
        <charset val="1"/>
      </rPr>
      <t xml:space="preserve">n</t>
    </r>
    <r>
      <rPr>
        <b val="true"/>
        <sz val="10"/>
        <rFont val="Noto Sans CJK SC"/>
        <family val="2"/>
      </rPr>
      <t xml:space="preserve">（実験数）</t>
    </r>
  </si>
  <si>
    <r>
      <rPr>
        <b val="true"/>
        <sz val="10"/>
        <rFont val="Meiryo UI"/>
        <family val="0"/>
        <charset val="1"/>
      </rPr>
      <t xml:space="preserve">p</t>
    </r>
    <r>
      <rPr>
        <b val="true"/>
        <sz val="10"/>
        <rFont val="Noto Sans CJK SC"/>
        <family val="2"/>
      </rPr>
      <t xml:space="preserve">（項数）</t>
    </r>
  </si>
  <si>
    <t xml:space="preserve">残差自由度</t>
  </si>
  <si>
    <t xml:space="preserve">SSE</t>
  </si>
  <si>
    <t xml:space="preserve">X1·X2</t>
  </si>
  <si>
    <r>
      <rPr>
        <b val="true"/>
        <sz val="10"/>
        <rFont val="Meiryo UI"/>
        <family val="0"/>
        <charset val="1"/>
      </rPr>
      <t xml:space="preserve">Y</t>
    </r>
    <r>
      <rPr>
        <b val="true"/>
        <sz val="10"/>
        <rFont val="Noto Sans CJK SC"/>
        <family val="2"/>
      </rPr>
      <t xml:space="preserve">の平均</t>
    </r>
  </si>
  <si>
    <t xml:space="preserve">X1·X3</t>
  </si>
  <si>
    <t xml:space="preserve">SST</t>
  </si>
  <si>
    <t xml:space="preserve">X2·X3</t>
  </si>
  <si>
    <t xml:space="preserve">SSR</t>
  </si>
  <si>
    <t xml:space="preserve">X1²</t>
  </si>
  <si>
    <t xml:space="preserve">MSE</t>
  </si>
  <si>
    <t xml:space="preserve">X2²</t>
  </si>
  <si>
    <r>
      <rPr>
        <b val="true"/>
        <sz val="10"/>
        <rFont val="Meiryo UI"/>
        <family val="0"/>
        <charset val="1"/>
      </rPr>
      <t xml:space="preserve">s</t>
    </r>
    <r>
      <rPr>
        <b val="true"/>
        <sz val="10"/>
        <rFont val="Noto Sans CJK SC"/>
        <family val="2"/>
      </rPr>
      <t xml:space="preserve">（残差標準偏差）</t>
    </r>
  </si>
  <si>
    <t xml:space="preserve">X3²</t>
  </si>
  <si>
    <t xml:space="preserve">R²</t>
  </si>
  <si>
    <r>
      <rPr>
        <b val="true"/>
        <sz val="10"/>
        <rFont val="Noto Sans CJK SC"/>
        <family val="2"/>
      </rPr>
      <t xml:space="preserve">調整済み</t>
    </r>
    <r>
      <rPr>
        <b val="true"/>
        <sz val="10"/>
        <rFont val="Meiryo UI"/>
        <family val="0"/>
        <charset val="1"/>
      </rPr>
      <t xml:space="preserve">R²</t>
    </r>
  </si>
  <si>
    <r>
      <rPr>
        <sz val="10"/>
        <rFont val="Noto Sans CJK SC"/>
        <family val="2"/>
      </rPr>
      <t xml:space="preserve">有意：</t>
    </r>
    <r>
      <rPr>
        <sz val="10"/>
        <rFont val="Meiryo UI"/>
        <family val="0"/>
        <charset val="1"/>
      </rPr>
      <t xml:space="preserve">** p&lt;0.01</t>
    </r>
    <r>
      <rPr>
        <sz val="10"/>
        <rFont val="Noto Sans CJK SC"/>
        <family val="2"/>
      </rPr>
      <t xml:space="preserve">　</t>
    </r>
    <r>
      <rPr>
        <sz val="10"/>
        <rFont val="Meiryo UI"/>
        <family val="0"/>
        <charset val="1"/>
      </rPr>
      <t xml:space="preserve">* p&lt;0.05</t>
    </r>
    <r>
      <rPr>
        <sz val="10"/>
        <rFont val="Noto Sans CJK SC"/>
        <family val="2"/>
      </rPr>
      <t xml:space="preserve">　△ </t>
    </r>
    <r>
      <rPr>
        <sz val="10"/>
        <rFont val="Meiryo UI"/>
        <family val="0"/>
        <charset val="1"/>
      </rPr>
      <t xml:space="preserve">p&lt;0.1</t>
    </r>
    <r>
      <rPr>
        <sz val="10"/>
        <rFont val="Noto Sans CJK SC"/>
        <family val="2"/>
      </rPr>
      <t xml:space="preserve">。</t>
    </r>
    <r>
      <rPr>
        <sz val="10"/>
        <rFont val="Meiryo UI"/>
        <family val="0"/>
        <charset val="1"/>
      </rPr>
      <t xml:space="preserve">p</t>
    </r>
    <r>
      <rPr>
        <sz val="10"/>
        <rFont val="Noto Sans CJK SC"/>
        <family val="2"/>
      </rPr>
      <t xml:space="preserve">値だけで機械的に削らず、技術的な意味と階層性を優先。</t>
    </r>
  </si>
  <si>
    <t xml:space="preserve">PRESS</t>
  </si>
  <si>
    <r>
      <rPr>
        <b val="true"/>
        <sz val="10"/>
        <rFont val="Noto Sans CJK SC"/>
        <family val="2"/>
      </rPr>
      <t xml:space="preserve">予測</t>
    </r>
    <r>
      <rPr>
        <b val="true"/>
        <sz val="10"/>
        <rFont val="Meiryo UI"/>
        <family val="0"/>
        <charset val="1"/>
      </rPr>
      <t xml:space="preserve">R²</t>
    </r>
  </si>
  <si>
    <r>
      <rPr>
        <b val="true"/>
        <sz val="10"/>
        <rFont val="Meiryo UI"/>
        <family val="0"/>
        <charset val="1"/>
      </rPr>
      <t xml:space="preserve">t</t>
    </r>
    <r>
      <rPr>
        <b val="true"/>
        <sz val="10"/>
        <rFont val="Noto Sans CJK SC"/>
        <family val="2"/>
      </rPr>
      <t xml:space="preserve">値（工程窓・最適化用）</t>
    </r>
  </si>
  <si>
    <r>
      <rPr>
        <b val="true"/>
        <sz val="10"/>
        <rFont val="Meiryo UI"/>
        <family val="0"/>
        <charset val="1"/>
      </rPr>
      <t xml:space="preserve">Y</t>
    </r>
    <r>
      <rPr>
        <b val="true"/>
        <sz val="10"/>
        <rFont val="Noto Sans CJK SC"/>
        <family val="2"/>
      </rPr>
      <t xml:space="preserve">未入力数</t>
    </r>
  </si>
  <si>
    <r>
      <rPr>
        <b val="true"/>
        <sz val="10"/>
        <rFont val="Noto Sans CJK SC"/>
        <family val="2"/>
      </rPr>
      <t xml:space="preserve">中心点</t>
    </r>
    <r>
      <rPr>
        <b val="true"/>
        <sz val="10"/>
        <rFont val="Meiryo UI"/>
        <family val="0"/>
        <charset val="1"/>
      </rPr>
      <t xml:space="preserve">Y</t>
    </r>
    <r>
      <rPr>
        <b val="true"/>
        <sz val="10"/>
        <rFont val="Noto Sans CJK SC"/>
        <family val="2"/>
      </rPr>
      <t xml:space="preserve">の平均</t>
    </r>
  </si>
  <si>
    <r>
      <rPr>
        <b val="true"/>
        <sz val="10"/>
        <rFont val="Meiryo UI"/>
        <family val="0"/>
        <charset val="1"/>
      </rPr>
      <t xml:space="preserve">t</t>
    </r>
    <r>
      <rPr>
        <b val="true"/>
        <sz val="10"/>
        <rFont val="Noto Sans CJK SC"/>
        <family val="2"/>
      </rPr>
      <t xml:space="preserve">値（両側・確認実験用）</t>
    </r>
  </si>
  <si>
    <r>
      <rPr>
        <sz val="10"/>
        <rFont val="Noto Sans CJK SC"/>
        <family val="2"/>
      </rPr>
      <t xml:space="preserve">工程窓用</t>
    </r>
    <r>
      <rPr>
        <sz val="10"/>
        <rFont val="Meiryo UI"/>
        <family val="0"/>
        <charset val="1"/>
      </rPr>
      <t xml:space="preserve">t</t>
    </r>
    <r>
      <rPr>
        <sz val="10"/>
        <rFont val="Noto Sans CJK SC"/>
        <family val="2"/>
      </rPr>
      <t xml:space="preserve">：最大化・最小化＝片側（信頼水準</t>
    </r>
    <r>
      <rPr>
        <sz val="10"/>
        <rFont val="Meiryo UI"/>
        <family val="0"/>
        <charset val="1"/>
      </rPr>
      <t xml:space="preserve">95%</t>
    </r>
    <r>
      <rPr>
        <sz val="10"/>
        <rFont val="Noto Sans CJK SC"/>
        <family val="2"/>
      </rPr>
      <t xml:space="preserve">なら </t>
    </r>
    <r>
      <rPr>
        <sz val="10"/>
        <rFont val="Meiryo UI"/>
        <family val="0"/>
        <charset val="1"/>
      </rPr>
      <t xml:space="preserve">t0.95</t>
    </r>
    <r>
      <rPr>
        <sz val="10"/>
        <rFont val="Noto Sans CJK SC"/>
        <family val="2"/>
      </rPr>
      <t xml:space="preserve">）、目標値＝両側（</t>
    </r>
    <r>
      <rPr>
        <sz val="10"/>
        <rFont val="Meiryo UI"/>
        <family val="0"/>
        <charset val="1"/>
      </rPr>
      <t xml:space="preserve">t0.975</t>
    </r>
    <r>
      <rPr>
        <sz val="10"/>
        <rFont val="Noto Sans CJK SC"/>
        <family val="2"/>
      </rPr>
      <t xml:space="preserve">）</t>
    </r>
  </si>
  <si>
    <t xml:space="preserve">要因</t>
  </si>
  <si>
    <t xml:space="preserve">自由度</t>
  </si>
  <si>
    <t xml:space="preserve">平方和</t>
  </si>
  <si>
    <t xml:space="preserve">平均平方</t>
  </si>
  <si>
    <r>
      <rPr>
        <b val="true"/>
        <sz val="10"/>
        <color rgb="FFFFFFFF"/>
        <rFont val="Meiryo UI"/>
        <family val="0"/>
        <charset val="1"/>
      </rPr>
      <t xml:space="preserve">F</t>
    </r>
    <r>
      <rPr>
        <b val="true"/>
        <sz val="10"/>
        <color rgb="FFFFFFFF"/>
        <rFont val="Noto Sans CJK SC"/>
        <family val="2"/>
      </rPr>
      <t xml:space="preserve">値</t>
    </r>
  </si>
  <si>
    <t xml:space="preserve">回帰</t>
  </si>
  <si>
    <t xml:space="preserve">残差</t>
  </si>
  <si>
    <t xml:space="preserve">　適合度の欠如</t>
  </si>
  <si>
    <t xml:space="preserve">　純誤差</t>
  </si>
  <si>
    <t xml:space="preserve">合計</t>
  </si>
  <si>
    <t xml:space="preserve">判断ゲート</t>
  </si>
  <si>
    <t xml:space="preserve">計画の安全性</t>
  </si>
  <si>
    <t xml:space="preserve">ランダマイズ</t>
  </si>
  <si>
    <t xml:space="preserve">データ</t>
  </si>
  <si>
    <t xml:space="preserve">回帰の有意性</t>
  </si>
  <si>
    <t xml:space="preserve">適合度の欠如</t>
  </si>
  <si>
    <r>
      <rPr>
        <b val="true"/>
        <sz val="10"/>
        <rFont val="Meiryo UI"/>
        <family val="0"/>
        <charset val="1"/>
      </rPr>
      <t xml:space="preserve">R²</t>
    </r>
    <r>
      <rPr>
        <b val="true"/>
        <sz val="10"/>
        <rFont val="Noto Sans CJK SC"/>
        <family val="2"/>
      </rPr>
      <t xml:space="preserve">と予測</t>
    </r>
    <r>
      <rPr>
        <b val="true"/>
        <sz val="10"/>
        <rFont val="Meiryo UI"/>
        <family val="0"/>
        <charset val="1"/>
      </rPr>
      <t xml:space="preserve">R²</t>
    </r>
  </si>
  <si>
    <r>
      <rPr>
        <b val="true"/>
        <sz val="10"/>
        <rFont val="Meiryo UI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がなく、△の内容を理解・記録してから </t>
    </r>
    <r>
      <rPr>
        <b val="true"/>
        <sz val="10"/>
        <rFont val="Meiryo UI"/>
        <family val="0"/>
        <charset val="1"/>
      </rPr>
      <t xml:space="preserve">06</t>
    </r>
    <r>
      <rPr>
        <b val="true"/>
        <sz val="10"/>
        <rFont val="Noto Sans CJK SC"/>
        <family val="2"/>
      </rPr>
      <t xml:space="preserve">（正準解析）→</t>
    </r>
    <r>
      <rPr>
        <b val="true"/>
        <sz val="10"/>
        <rFont val="Meiryo UI"/>
        <family val="0"/>
        <charset val="1"/>
      </rPr>
      <t xml:space="preserve">07</t>
    </r>
    <r>
      <rPr>
        <b val="true"/>
        <sz val="10"/>
        <rFont val="Noto Sans CJK SC"/>
        <family val="2"/>
      </rPr>
      <t xml:space="preserve">（最適化）→</t>
    </r>
    <r>
      <rPr>
        <b val="true"/>
        <sz val="10"/>
        <rFont val="Meiryo UI"/>
        <family val="0"/>
        <charset val="1"/>
      </rPr>
      <t xml:space="preserve">08</t>
    </r>
    <r>
      <rPr>
        <b val="true"/>
        <sz val="10"/>
        <rFont val="Noto Sans CJK SC"/>
        <family val="2"/>
      </rPr>
      <t xml:space="preserve">（工程窓）へ進みます。</t>
    </r>
  </si>
  <si>
    <r>
      <rPr>
        <b val="true"/>
        <sz val="14"/>
        <color rgb="FF1F3864"/>
        <rFont val="Meiryo UI"/>
        <family val="0"/>
        <charset val="1"/>
      </rPr>
      <t xml:space="preserve">05 </t>
    </r>
    <r>
      <rPr>
        <b val="true"/>
        <sz val="14"/>
        <color rgb="FF1F3864"/>
        <rFont val="Noto Sans CJK SC"/>
        <family val="2"/>
      </rPr>
      <t xml:space="preserve">残差診断</t>
    </r>
  </si>
  <si>
    <r>
      <rPr>
        <sz val="9"/>
        <color rgb="FF595959"/>
        <rFont val="Noto Sans CJK SC"/>
        <family val="2"/>
      </rPr>
      <t xml:space="preserve">スチューデント化残差の絶対値が</t>
    </r>
    <r>
      <rPr>
        <sz val="9"/>
        <color rgb="FF595959"/>
        <rFont val="Meiryo UI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超は要確認（測定ミス・異常の可能性）。消す前に原因を調べる。</t>
    </r>
  </si>
  <si>
    <t xml:space="preserve">実験順</t>
  </si>
  <si>
    <r>
      <rPr>
        <b val="true"/>
        <sz val="10"/>
        <color rgb="FFFFFFFF"/>
        <rFont val="Meiryo UI"/>
        <family val="0"/>
        <charset val="1"/>
      </rPr>
      <t xml:space="preserve">Y</t>
    </r>
    <r>
      <rPr>
        <b val="true"/>
        <sz val="10"/>
        <color rgb="FFFFFFFF"/>
        <rFont val="Noto Sans CJK SC"/>
        <family val="2"/>
      </rPr>
      <t xml:space="preserve">実測</t>
    </r>
  </si>
  <si>
    <t xml:space="preserve">予測</t>
  </si>
  <si>
    <t xml:space="preserve">標準化残差</t>
  </si>
  <si>
    <r>
      <rPr>
        <b val="true"/>
        <sz val="10"/>
        <color rgb="FFFFFFFF"/>
        <rFont val="Noto Sans CJK SC"/>
        <family val="2"/>
      </rPr>
      <t xml:space="preserve">てこ比</t>
    </r>
    <r>
      <rPr>
        <b val="true"/>
        <sz val="10"/>
        <color rgb="FFFFFFFF"/>
        <rFont val="Meiryo UI"/>
        <family val="0"/>
        <charset val="1"/>
      </rPr>
      <t xml:space="preserve">h</t>
    </r>
  </si>
  <si>
    <t xml:space="preserve">スチューデント化残差</t>
  </si>
  <si>
    <t xml:space="preserve">k</t>
  </si>
  <si>
    <r>
      <rPr>
        <b val="true"/>
        <sz val="10"/>
        <color rgb="FFFFFFFF"/>
        <rFont val="Noto Sans CJK SC"/>
        <family val="2"/>
      </rPr>
      <t xml:space="preserve">採用</t>
    </r>
    <r>
      <rPr>
        <b val="true"/>
        <sz val="10"/>
        <color rgb="FFFFFFFF"/>
        <rFont val="Meiryo UI"/>
        <family val="0"/>
        <charset val="1"/>
      </rPr>
      <t xml:space="preserve">k</t>
    </r>
  </si>
  <si>
    <r>
      <rPr>
        <b val="true"/>
        <sz val="10"/>
        <color rgb="FFFFFFFF"/>
        <rFont val="Noto Sans CJK SC"/>
        <family val="2"/>
      </rPr>
      <t xml:space="preserve">残差</t>
    </r>
    <r>
      <rPr>
        <b val="true"/>
        <sz val="10"/>
        <color rgb="FFFFFFFF"/>
        <rFont val="Meiryo UI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昇順</t>
    </r>
    <r>
      <rPr>
        <b val="true"/>
        <sz val="10"/>
        <color rgb="FFFFFFFF"/>
        <rFont val="Meiryo UI"/>
        <family val="0"/>
        <charset val="1"/>
      </rPr>
      <t xml:space="preserve">)</t>
    </r>
  </si>
  <si>
    <t xml:space="preserve">理論分位点</t>
  </si>
  <si>
    <t xml:space="preserve">実測</t>
  </si>
  <si>
    <r>
      <rPr>
        <sz val="10"/>
        <rFont val="Noto Sans CJK SC"/>
        <family val="2"/>
      </rPr>
      <t xml:space="preserve">見方：①残差</t>
    </r>
    <r>
      <rPr>
        <sz val="10"/>
        <rFont val="Meiryo UI"/>
        <family val="0"/>
        <charset val="1"/>
      </rPr>
      <t xml:space="preserve">vs</t>
    </r>
    <r>
      <rPr>
        <sz val="10"/>
        <rFont val="Noto Sans CJK SC"/>
        <family val="2"/>
      </rPr>
      <t xml:space="preserve">予測に漏斗形・曲線パターンがない ②正規確率がほぼ直線 ③実験順に傾向（ドリフト）がない ④実測</t>
    </r>
    <r>
      <rPr>
        <sz val="10"/>
        <rFont val="Meiryo UI"/>
        <family val="0"/>
        <charset val="1"/>
      </rPr>
      <t xml:space="preserve">vs</t>
    </r>
    <r>
      <rPr>
        <sz val="10"/>
        <rFont val="Noto Sans CJK SC"/>
        <family val="2"/>
      </rPr>
      <t xml:space="preserve">予測が</t>
    </r>
    <r>
      <rPr>
        <sz val="10"/>
        <rFont val="Meiryo UI"/>
        <family val="0"/>
        <charset val="1"/>
      </rPr>
      <t xml:space="preserve">45°</t>
    </r>
    <r>
      <rPr>
        <sz val="10"/>
        <rFont val="Noto Sans CJK SC"/>
        <family val="2"/>
      </rPr>
      <t xml:space="preserve">線上</t>
    </r>
  </si>
  <si>
    <r>
      <rPr>
        <b val="true"/>
        <sz val="14"/>
        <color rgb="FF1F3864"/>
        <rFont val="Meiryo UI"/>
        <family val="0"/>
        <charset val="1"/>
      </rPr>
      <t xml:space="preserve">06 </t>
    </r>
    <r>
      <rPr>
        <b val="true"/>
        <sz val="14"/>
        <color rgb="FF1F3864"/>
        <rFont val="Noto Sans CJK SC"/>
        <family val="2"/>
      </rPr>
      <t xml:space="preserve">正準解析（停留点の種類と位置）</t>
    </r>
  </si>
  <si>
    <t xml:space="preserve">最適化の前に必ず確認：停留点が最大点・最小点・鞍点のどれか、実験領域の内か外か。</t>
  </si>
  <si>
    <r>
      <rPr>
        <b val="true"/>
        <sz val="10"/>
        <rFont val="Meiryo UI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次係数行列 </t>
    </r>
    <r>
      <rPr>
        <b val="true"/>
        <sz val="10"/>
        <rFont val="Meiryo UI"/>
        <family val="0"/>
        <charset val="1"/>
      </rPr>
      <t xml:space="preserve">B</t>
    </r>
  </si>
  <si>
    <r>
      <rPr>
        <b val="true"/>
        <sz val="10"/>
        <rFont val="Meiryo UI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次係数 </t>
    </r>
    <r>
      <rPr>
        <b val="true"/>
        <sz val="10"/>
        <rFont val="Meiryo UI"/>
        <family val="0"/>
        <charset val="1"/>
      </rPr>
      <t xml:space="preserve">b</t>
    </r>
  </si>
  <si>
    <r>
      <rPr>
        <b val="true"/>
        <sz val="10"/>
        <color rgb="FFFFFFFF"/>
        <rFont val="Noto Sans CJK SC"/>
        <family val="2"/>
      </rPr>
      <t xml:space="preserve">停留点</t>
    </r>
    <r>
      <rPr>
        <b val="true"/>
        <sz val="10"/>
        <color rgb="FFFFFFFF"/>
        <rFont val="Meiryo UI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コード</t>
    </r>
    <r>
      <rPr>
        <b val="true"/>
        <sz val="10"/>
        <color rgb="FFFFFFFF"/>
        <rFont val="Meiryo UI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</si>
  <si>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停留点</t>
    </r>
    <r>
      <rPr>
        <b val="true"/>
        <sz val="10"/>
        <color rgb="FFFFFFFF"/>
        <rFont val="Meiryo UI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実値</t>
    </r>
    <r>
      <rPr>
        <b val="true"/>
        <sz val="10"/>
        <color rgb="FFFFFFFF"/>
        <rFont val="Meiryo UI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</si>
  <si>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停留点での予測</t>
    </r>
    <r>
      <rPr>
        <b val="true"/>
        <sz val="10"/>
        <rFont val="Meiryo UI"/>
        <family val="0"/>
        <charset val="1"/>
      </rPr>
      <t xml:space="preserve">Y</t>
    </r>
  </si>
  <si>
    <t xml:space="preserve">中心からの距離</t>
  </si>
  <si>
    <t xml:space="preserve">実験領域内か</t>
  </si>
  <si>
    <t xml:space="preserve">λ1</t>
  </si>
  <si>
    <t xml:space="preserve">λ2</t>
  </si>
  <si>
    <t xml:space="preserve">λ3</t>
  </si>
  <si>
    <t xml:space="preserve">停留点の種類</t>
  </si>
  <si>
    <t xml:space="preserve">尾根（リッジ）</t>
  </si>
  <si>
    <t xml:space="preserve">判断</t>
  </si>
  <si>
    <r>
      <rPr>
        <sz val="10"/>
        <rFont val="Noto Sans CJK SC"/>
        <family val="2"/>
      </rPr>
      <t xml:space="preserve">固有値は</t>
    </r>
    <r>
      <rPr>
        <sz val="10"/>
        <rFont val="Meiryo UI"/>
        <family val="0"/>
        <charset val="1"/>
      </rPr>
      <t xml:space="preserve">Jacobi</t>
    </r>
    <r>
      <rPr>
        <sz val="10"/>
        <rFont val="Noto Sans CJK SC"/>
        <family val="2"/>
      </rPr>
      <t xml:space="preserve">法で数値計算（</t>
    </r>
    <r>
      <rPr>
        <sz val="10"/>
        <rFont val="Meiryo UI"/>
        <family val="0"/>
        <charset val="1"/>
      </rPr>
      <t xml:space="preserve">_eig</t>
    </r>
    <r>
      <rPr>
        <sz val="10"/>
        <rFont val="Noto Sans CJK SC"/>
        <family val="2"/>
      </rPr>
      <t xml:space="preserve">シート）。</t>
    </r>
    <r>
      <rPr>
        <sz val="10"/>
        <rFont val="Meiryo UI"/>
        <family val="0"/>
        <charset val="1"/>
      </rPr>
      <t xml:space="preserve">λ</t>
    </r>
    <r>
      <rPr>
        <sz val="10"/>
        <rFont val="Noto Sans CJK SC"/>
        <family val="2"/>
      </rPr>
      <t xml:space="preserve">が全て負→最大点、全て正→最小点、正負混在→鞍点。</t>
    </r>
  </si>
  <si>
    <r>
      <rPr>
        <b val="true"/>
        <sz val="14"/>
        <color rgb="FF1F3864"/>
        <rFont val="Meiryo UI"/>
        <family val="0"/>
        <charset val="1"/>
      </rPr>
      <t xml:space="preserve">07 </t>
    </r>
    <r>
      <rPr>
        <b val="true"/>
        <sz val="14"/>
        <color rgb="FF1F3864"/>
        <rFont val="Noto Sans CJK SC"/>
        <family val="2"/>
      </rPr>
      <t xml:space="preserve">最適化（実験領域内の</t>
    </r>
    <r>
      <rPr>
        <b val="true"/>
        <sz val="14"/>
        <color rgb="FF1F3864"/>
        <rFont val="Meiryo UI"/>
        <family val="0"/>
        <charset val="1"/>
      </rPr>
      <t xml:space="preserve">3</t>
    </r>
    <r>
      <rPr>
        <b val="true"/>
        <sz val="14"/>
        <color rgb="FF1F3864"/>
        <rFont val="Noto Sans CJK SC"/>
        <family val="2"/>
      </rPr>
      <t xml:space="preserve">次元グリッド探索）</t>
    </r>
  </si>
  <si>
    <t xml:space="preserve">『点予測の最適』と『予測限界で規格への余裕が最大の条件（ロバスト最適）』を並べて表示します。</t>
  </si>
  <si>
    <t xml:space="preserve">項目</t>
  </si>
  <si>
    <t xml:space="preserve">ロバスト最適（推奨）</t>
  </si>
  <si>
    <t xml:space="preserve">点予測の最適</t>
  </si>
  <si>
    <t xml:space="preserve">説明</t>
  </si>
  <si>
    <t xml:space="preserve">グリッド行</t>
  </si>
  <si>
    <r>
      <rPr>
        <sz val="10"/>
        <rFont val="Noto Sans CJK SC"/>
        <family val="2"/>
      </rPr>
      <t xml:space="preserve">ロバスト最適：規格側の予測限界（最大化なら下側限界）と規格の差が最大の条件。ばらつきを考慮した推奨条件。
点予測の最適：予測値そのものが最大（最小・目標値に最も近い）条件。境界に張り付きやすく、区間は広め。
両者が大きく違う場合、点予測の最適は『予測のばらつきが大きい場所』にある。原則ロバスト最適を採用。
判定用下限・上限：最大化・最小化は片側、目標値は両側の予測限界（</t>
    </r>
    <r>
      <rPr>
        <sz val="10"/>
        <rFont val="Meiryo UI"/>
        <family val="0"/>
        <charset val="1"/>
      </rPr>
      <t xml:space="preserve">04</t>
    </r>
    <r>
      <rPr>
        <sz val="10"/>
        <rFont val="Noto Sans CJK SC"/>
        <family val="2"/>
      </rPr>
      <t xml:space="preserve">の</t>
    </r>
    <r>
      <rPr>
        <sz val="10"/>
        <rFont val="Meiryo UI"/>
        <family val="0"/>
        <charset val="1"/>
      </rPr>
      <t xml:space="preserve">t</t>
    </r>
    <r>
      <rPr>
        <sz val="10"/>
        <rFont val="Noto Sans CJK SC"/>
        <family val="2"/>
      </rPr>
      <t xml:space="preserve">値を使用）。
</t>
    </r>
    <r>
      <rPr>
        <sz val="10"/>
        <rFont val="Meiryo UI"/>
        <family val="0"/>
        <charset val="1"/>
      </rPr>
      <t xml:space="preserve">×</t>
    </r>
    <r>
      <rPr>
        <sz val="10"/>
        <rFont val="Noto Sans CJK SC"/>
        <family val="2"/>
      </rPr>
      <t xml:space="preserve">の場合：規格が厳しすぎる／因子範囲が不適切／モデル誤差が大きい。範囲を移して追加実験、</t>
    </r>
    <r>
      <rPr>
        <sz val="10"/>
        <rFont val="Meiryo UI"/>
        <family val="0"/>
        <charset val="1"/>
      </rPr>
      <t xml:space="preserve">s</t>
    </r>
    <r>
      <rPr>
        <sz val="10"/>
        <rFont val="Noto Sans CJK SC"/>
        <family val="2"/>
      </rPr>
      <t xml:space="preserve">の低減を検討。</t>
    </r>
  </si>
  <si>
    <r>
      <rPr>
        <b val="true"/>
        <sz val="10"/>
        <rFont val="Noto Sans CJK SC"/>
        <family val="2"/>
      </rPr>
      <t xml:space="preserve">予測</t>
    </r>
    <r>
      <rPr>
        <b val="true"/>
        <sz val="10"/>
        <rFont val="Meiryo UI"/>
        <family val="0"/>
        <charset val="1"/>
      </rPr>
      <t xml:space="preserve">Y</t>
    </r>
  </si>
  <si>
    <t xml:space="preserve">判定用下限</t>
  </si>
  <si>
    <t xml:space="preserve">判定用上限</t>
  </si>
  <si>
    <t xml:space="preserve">規格への余裕</t>
  </si>
  <si>
    <r>
      <rPr>
        <b val="true"/>
        <sz val="10"/>
        <rFont val="Noto Sans CJK SC"/>
        <family val="2"/>
      </rPr>
      <t xml:space="preserve">ロバスト最適の上位</t>
    </r>
    <r>
      <rPr>
        <b val="true"/>
        <sz val="10"/>
        <rFont val="Meiryo UI"/>
        <family val="0"/>
        <charset val="1"/>
      </rPr>
      <t xml:space="preserve">5</t>
    </r>
    <r>
      <rPr>
        <b val="true"/>
        <sz val="10"/>
        <rFont val="Noto Sans CJK SC"/>
        <family val="2"/>
      </rPr>
      <t xml:space="preserve">候補（実値）</t>
    </r>
  </si>
  <si>
    <t xml:space="preserve">順位</t>
  </si>
  <si>
    <r>
      <rPr>
        <b val="true"/>
        <sz val="10"/>
        <color rgb="FFFFFFFF"/>
        <rFont val="Noto Sans CJK SC"/>
        <family val="2"/>
      </rPr>
      <t xml:space="preserve">予測</t>
    </r>
    <r>
      <rPr>
        <b val="true"/>
        <sz val="10"/>
        <color rgb="FFFFFFFF"/>
        <rFont val="Meiryo UI"/>
        <family val="0"/>
        <charset val="1"/>
      </rPr>
      <t xml:space="preserve">Y</t>
    </r>
  </si>
  <si>
    <t xml:space="preserve">余裕</t>
  </si>
  <si>
    <t xml:space="preserve">上位候補が近い値に集まっていれば最適点は安定。ばらばらなら平坦（尾根）で、工程窓を広く取れる可能性。</t>
  </si>
  <si>
    <r>
      <rPr>
        <b val="true"/>
        <sz val="10"/>
        <rFont val="Noto Sans CJK SC"/>
        <family val="2"/>
      </rPr>
      <t xml:space="preserve">（任意）</t>
    </r>
    <r>
      <rPr>
        <b val="true"/>
        <sz val="10"/>
        <rFont val="Meiryo UI"/>
        <family val="0"/>
        <charset val="1"/>
      </rPr>
      <t xml:space="preserve">Solver</t>
    </r>
    <r>
      <rPr>
        <b val="true"/>
        <sz val="10"/>
        <rFont val="Noto Sans CJK SC"/>
        <family val="2"/>
      </rPr>
      <t xml:space="preserve">で精密化</t>
    </r>
  </si>
  <si>
    <r>
      <rPr>
        <sz val="10"/>
        <rFont val="Noto Sans CJK SC"/>
        <family val="2"/>
      </rPr>
      <t xml:space="preserve">グリッドは</t>
    </r>
    <r>
      <rPr>
        <sz val="10"/>
        <rFont val="Meiryo UI"/>
        <family val="0"/>
        <charset val="1"/>
      </rPr>
      <t xml:space="preserve">0.125</t>
    </r>
    <r>
      <rPr>
        <sz val="10"/>
        <rFont val="Noto Sans CJK SC"/>
        <family val="2"/>
      </rPr>
      <t xml:space="preserve">刻み。細かく詰める場合は、下の黄色セルにロバスト最適のコード値を値貼り付け→データ→ソルバー：目的セル『余裕』を最大化、変数セルは黄色セル、制約は右の表示、解法『</t>
    </r>
    <r>
      <rPr>
        <sz val="10"/>
        <rFont val="Meiryo UI"/>
        <family val="0"/>
        <charset val="1"/>
      </rPr>
      <t xml:space="preserve">GRG</t>
    </r>
    <r>
      <rPr>
        <sz val="10"/>
        <rFont val="Noto Sans CJK SC"/>
        <family val="2"/>
      </rPr>
      <t xml:space="preserve">非線形』（マルチスタート推奨）。</t>
    </r>
  </si>
  <si>
    <t xml:space="preserve">q</t>
  </si>
  <si>
    <t xml:space="preserve">判定用下限／上限</t>
  </si>
  <si>
    <t xml:space="preserve">余裕（目的セル）</t>
  </si>
  <si>
    <r>
      <rPr>
        <b val="true"/>
        <sz val="14"/>
        <color rgb="FF1F3864"/>
        <rFont val="Meiryo UI"/>
        <family val="0"/>
        <charset val="1"/>
      </rPr>
      <t xml:space="preserve">08 </t>
    </r>
    <r>
      <rPr>
        <b val="true"/>
        <sz val="14"/>
        <color rgb="FF1F3864"/>
        <rFont val="Noto Sans CJK SC"/>
        <family val="2"/>
      </rPr>
      <t xml:space="preserve">工程窓（予測限界ベース）</t>
    </r>
  </si>
  <si>
    <r>
      <rPr>
        <sz val="9"/>
        <color rgb="FF595959"/>
        <rFont val="Meiryo UI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因子を軸にした断面で予測値と『規格への余裕』を表示。余裕≧</t>
    </r>
    <r>
      <rPr>
        <sz val="9"/>
        <color rgb="FF595959"/>
        <rFont val="Meiryo UI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（緑）が工程窓。残りの因子は下で指定した値に固定。</t>
    </r>
  </si>
  <si>
    <t xml:space="preserve">横軸の因子</t>
  </si>
  <si>
    <t xml:space="preserve">縦軸の因子</t>
  </si>
  <si>
    <t xml:space="preserve">固定因子の値</t>
  </si>
  <si>
    <t xml:space="preserve">ロバスト最適点</t>
  </si>
  <si>
    <r>
      <rPr>
        <b val="true"/>
        <sz val="10"/>
        <color rgb="FFFFFFFF"/>
        <rFont val="Noto Sans CJK SC"/>
        <family val="2"/>
      </rPr>
      <t xml:space="preserve">手入力</t>
    </r>
    <r>
      <rPr>
        <b val="true"/>
        <sz val="10"/>
        <color rgb="FFFFFFFF"/>
        <rFont val="Meiryo UI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コード</t>
    </r>
    <r>
      <rPr>
        <b val="true"/>
        <sz val="10"/>
        <color rgb="FFFFFFFF"/>
        <rFont val="Meiryo UI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</si>
  <si>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使用する固定値</t>
    </r>
    <r>
      <rPr>
        <b val="true"/>
        <sz val="10"/>
        <color rgb="FFFFFFFF"/>
        <rFont val="Meiryo UI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コード</t>
    </r>
    <r>
      <rPr>
        <b val="true"/>
        <sz val="10"/>
        <color rgb="FFFFFFFF"/>
        <rFont val="Meiryo UI"/>
        <family val="0"/>
        <charset val="1"/>
      </rPr>
      <t xml:space="preserve">)</t>
    </r>
  </si>
  <si>
    <t xml:space="preserve">実値</t>
  </si>
  <si>
    <t xml:space="preserve">役割</t>
  </si>
  <si>
    <r>
      <rPr>
        <b val="true"/>
        <sz val="10"/>
        <rFont val="Noto Sans CJK SC"/>
        <family val="2"/>
      </rPr>
      <t xml:space="preserve">① 予測値 </t>
    </r>
    <r>
      <rPr>
        <b val="true"/>
        <sz val="10"/>
        <rFont val="Meiryo UI"/>
        <family val="0"/>
        <charset val="1"/>
      </rPr>
      <t xml:space="preserve">Ŷ</t>
    </r>
    <r>
      <rPr>
        <b val="true"/>
        <sz val="10"/>
        <rFont val="Noto Sans CJK SC"/>
        <family val="2"/>
      </rPr>
      <t xml:space="preserve">（点予測）</t>
    </r>
  </si>
  <si>
    <t xml:space="preserve">縦↓ 実値</t>
  </si>
  <si>
    <t xml:space="preserve">コード</t>
  </si>
  <si>
    <r>
      <rPr>
        <b val="true"/>
        <sz val="10"/>
        <rFont val="Noto Sans CJK SC"/>
        <family val="2"/>
      </rPr>
      <t xml:space="preserve">② 規格への余裕（予測限界ベース）　緑＝工程窓（余裕≧</t>
    </r>
    <r>
      <rPr>
        <b val="true"/>
        <sz val="10"/>
        <rFont val="Meiryo UI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）／赤＝規格外のおそれ／外＝安全限界・領域外</t>
    </r>
  </si>
  <si>
    <r>
      <rPr>
        <b val="true"/>
        <sz val="10"/>
        <rFont val="Meiryo UI"/>
        <family val="0"/>
        <charset val="1"/>
      </rPr>
      <t xml:space="preserve">③ 1</t>
    </r>
    <r>
      <rPr>
        <b val="true"/>
        <sz val="10"/>
        <rFont val="Noto Sans CJK SC"/>
        <family val="2"/>
      </rPr>
      <t xml:space="preserve">因子ずつの工程窓（他の因子はロバスト最適点に固定、</t>
    </r>
    <r>
      <rPr>
        <b val="true"/>
        <sz val="10"/>
        <rFont val="Meiryo UI"/>
        <family val="0"/>
        <charset val="1"/>
      </rPr>
      <t xml:space="preserve">0.025</t>
    </r>
    <r>
      <rPr>
        <b val="true"/>
        <sz val="10"/>
        <rFont val="Noto Sans CJK SC"/>
        <family val="2"/>
      </rPr>
      <t xml:space="preserve">刻み）</t>
    </r>
  </si>
  <si>
    <r>
      <rPr>
        <b val="true"/>
        <sz val="10"/>
        <color rgb="FFFFFFFF"/>
        <rFont val="Noto Sans CJK SC"/>
        <family val="2"/>
      </rPr>
      <t xml:space="preserve">最適</t>
    </r>
    <r>
      <rPr>
        <b val="true"/>
        <sz val="10"/>
        <color rgb="FFFFFFFF"/>
        <rFont val="Meiryo UI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コード</t>
    </r>
    <r>
      <rPr>
        <b val="true"/>
        <sz val="10"/>
        <color rgb="FFFFFFFF"/>
        <rFont val="Meiryo UI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</si>
  <si>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窓下限</t>
    </r>
    <r>
      <rPr>
        <b val="true"/>
        <sz val="10"/>
        <color rgb="FFFFFFFF"/>
        <rFont val="Meiryo UI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コード</t>
    </r>
    <r>
      <rPr>
        <b val="true"/>
        <sz val="10"/>
        <color rgb="FFFFFFFF"/>
        <rFont val="Meiryo UI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</si>
  <si>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窓上限</t>
    </r>
    <r>
      <rPr>
        <b val="true"/>
        <sz val="10"/>
        <color rgb="FFFFFFFF"/>
        <rFont val="Meiryo UI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コード</t>
    </r>
    <r>
      <rPr>
        <b val="true"/>
        <sz val="10"/>
        <color rgb="FFFFFFFF"/>
        <rFont val="Meiryo UI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</si>
  <si>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窓下限</t>
    </r>
    <r>
      <rPr>
        <b val="true"/>
        <sz val="10"/>
        <color rgb="FFFFFFFF"/>
        <rFont val="Meiryo UI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実値</t>
    </r>
    <r>
      <rPr>
        <b val="true"/>
        <sz val="10"/>
        <color rgb="FFFFFFFF"/>
        <rFont val="Meiryo UI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</si>
  <si>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窓上限</t>
    </r>
    <r>
      <rPr>
        <b val="true"/>
        <sz val="10"/>
        <color rgb="FFFFFFFF"/>
        <rFont val="Meiryo UI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実値</t>
    </r>
    <r>
      <rPr>
        <b val="true"/>
        <sz val="10"/>
        <color rgb="FFFFFFFF"/>
        <rFont val="Meiryo UI"/>
        <family val="0"/>
        <charset val="1"/>
      </rPr>
      <t xml:space="preserve">)</t>
    </r>
  </si>
  <si>
    <r>
      <rPr>
        <b val="true"/>
        <sz val="10"/>
        <color rgb="FFC00000"/>
        <rFont val="Noto Sans CJK SC"/>
        <family val="2"/>
      </rPr>
      <t xml:space="preserve">注意：③は</t>
    </r>
    <r>
      <rPr>
        <b val="true"/>
        <sz val="10"/>
        <color rgb="FFC00000"/>
        <rFont val="Meiryo UI"/>
        <family val="0"/>
        <charset val="1"/>
      </rPr>
      <t xml:space="preserve">1</t>
    </r>
    <r>
      <rPr>
        <b val="true"/>
        <sz val="10"/>
        <color rgb="FFC00000"/>
        <rFont val="Noto Sans CJK SC"/>
        <family val="2"/>
      </rPr>
      <t xml:space="preserve">因子だけを動かした範囲なので楽観的。複数因子が同時にずれると外れることがある → ④で必ず組合せ確認。</t>
    </r>
  </si>
  <si>
    <r>
      <rPr>
        <b val="true"/>
        <sz val="10"/>
        <rFont val="Noto Sans CJK SC"/>
        <family val="2"/>
      </rPr>
      <t xml:space="preserve">④ 提案工程窓の組合せチェック（各因子の下限・中央・上限の全組合せ </t>
    </r>
    <r>
      <rPr>
        <b val="true"/>
        <sz val="10"/>
        <rFont val="Meiryo UI"/>
        <family val="0"/>
        <charset val="1"/>
      </rPr>
      <t xml:space="preserve">3^3=27</t>
    </r>
    <r>
      <rPr>
        <b val="true"/>
        <sz val="10"/>
        <rFont val="Noto Sans CJK SC"/>
        <family val="2"/>
      </rPr>
      <t xml:space="preserve">点を評価）</t>
    </r>
  </si>
  <si>
    <r>
      <rPr>
        <sz val="10"/>
        <rFont val="Noto Sans CJK SC"/>
        <family val="2"/>
      </rPr>
      <t xml:space="preserve">初期値は③の窓にリンク。実際に運用したい範囲（例：炉温</t>
    </r>
    <r>
      <rPr>
        <sz val="10"/>
        <rFont val="Meiryo UI"/>
        <family val="0"/>
        <charset val="1"/>
      </rPr>
      <t xml:space="preserve">65</t>
    </r>
    <r>
      <rPr>
        <sz val="10"/>
        <rFont val="Noto Sans CJK SC"/>
        <family val="2"/>
      </rPr>
      <t xml:space="preserve">〜</t>
    </r>
    <r>
      <rPr>
        <sz val="10"/>
        <rFont val="Meiryo UI"/>
        <family val="0"/>
        <charset val="1"/>
      </rPr>
      <t xml:space="preserve">70℃</t>
    </r>
    <r>
      <rPr>
        <sz val="10"/>
        <rFont val="Noto Sans CJK SC"/>
        <family val="2"/>
      </rPr>
      <t xml:space="preserve">）を数値で上書きして確認します。</t>
    </r>
  </si>
  <si>
    <t xml:space="preserve">評価点数</t>
  </si>
  <si>
    <t xml:space="preserve">安全限界・領域外の点</t>
  </si>
  <si>
    <t xml:space="preserve">規格外のおそれがある点</t>
  </si>
  <si>
    <t xml:space="preserve">最小の余裕</t>
  </si>
  <si>
    <t xml:space="preserve">最悪の組合せ（実値）</t>
  </si>
  <si>
    <r>
      <rPr>
        <b val="true"/>
        <sz val="14"/>
        <color rgb="FF1F3864"/>
        <rFont val="Meiryo UI"/>
        <family val="0"/>
        <charset val="1"/>
      </rPr>
      <t xml:space="preserve">09 </t>
    </r>
    <r>
      <rPr>
        <b val="true"/>
        <sz val="14"/>
        <color rgb="FF1F3864"/>
        <rFont val="Noto Sans CJK SC"/>
        <family val="2"/>
      </rPr>
      <t xml:space="preserve">確認実験（予測 </t>
    </r>
    <r>
      <rPr>
        <b val="true"/>
        <sz val="14"/>
        <color rgb="FF1F3864"/>
        <rFont val="Meiryo UI"/>
        <family val="0"/>
        <charset val="1"/>
      </rPr>
      <t xml:space="preserve">vs </t>
    </r>
    <r>
      <rPr>
        <b val="true"/>
        <sz val="14"/>
        <color rgb="FF1F3864"/>
        <rFont val="Noto Sans CJK SC"/>
        <family val="2"/>
      </rPr>
      <t xml:space="preserve">実測）</t>
    </r>
  </si>
  <si>
    <r>
      <rPr>
        <sz val="9"/>
        <color rgb="FF595959"/>
        <rFont val="Noto Sans CJK SC"/>
        <family val="2"/>
      </rPr>
      <t xml:space="preserve">推奨条件で確認実験を行い、実測値が両側予測区間に入るかを確認。</t>
    </r>
    <r>
      <rPr>
        <sz val="9"/>
        <color rgb="FF595959"/>
        <rFont val="Meiryo UI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行目はロバスト最適にリンク済み（上書き可）。</t>
    </r>
  </si>
  <si>
    <r>
      <rPr>
        <b val="true"/>
        <sz val="10"/>
        <color rgb="FFFFFFFF"/>
        <rFont val="Noto Sans CJK SC"/>
        <family val="2"/>
      </rPr>
      <t xml:space="preserve">予測区間下限</t>
    </r>
    <r>
      <rPr>
        <b val="true"/>
        <sz val="10"/>
        <color rgb="FFFFFFFF"/>
        <rFont val="Meiryo UI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両側</t>
    </r>
    <r>
      <rPr>
        <b val="true"/>
        <sz val="10"/>
        <color rgb="FFFFFFFF"/>
        <rFont val="Meiryo UI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</si>
  <si>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予測区間上限</t>
    </r>
    <r>
      <rPr>
        <b val="true"/>
        <sz val="10"/>
        <color rgb="FFFFFFFF"/>
        <rFont val="Meiryo UI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両側</t>
    </r>
    <r>
      <rPr>
        <b val="true"/>
        <sz val="10"/>
        <color rgb="FFFFFFFF"/>
        <rFont val="Meiryo UI"/>
        <family val="0"/>
        <charset val="1"/>
      </rPr>
      <t xml:space="preserve">)</t>
    </r>
  </si>
  <si>
    <t xml:space="preserve">モデル判定</t>
  </si>
  <si>
    <t xml:space="preserve">規格判定</t>
  </si>
  <si>
    <t xml:space="preserve">X1c</t>
  </si>
  <si>
    <t xml:space="preserve">X2c</t>
  </si>
  <si>
    <t xml:space="preserve">X3c</t>
  </si>
  <si>
    <r>
      <rPr>
        <sz val="10"/>
        <rFont val="Noto Sans CJK SC"/>
        <family val="2"/>
      </rPr>
      <t xml:space="preserve">確認実験は同条件で</t>
    </r>
    <r>
      <rPr>
        <sz val="10"/>
        <rFont val="Meiryo UI"/>
        <family val="0"/>
        <charset val="1"/>
      </rPr>
      <t xml:space="preserve">3</t>
    </r>
    <r>
      <rPr>
        <sz val="10"/>
        <rFont val="Noto Sans CJK SC"/>
        <family val="2"/>
      </rPr>
      <t xml:space="preserve">回以上を推奨。平均が予測区間の中にあり、個々も区間内ならモデルを採用。外れたら</t>
    </r>
    <r>
      <rPr>
        <sz val="10"/>
        <rFont val="Meiryo UI"/>
        <family val="0"/>
        <charset val="1"/>
      </rPr>
      <t xml:space="preserve">02</t>
    </r>
    <r>
      <rPr>
        <sz val="10"/>
        <rFont val="Noto Sans CJK SC"/>
        <family val="2"/>
      </rPr>
      <t xml:space="preserve">〜</t>
    </r>
    <r>
      <rPr>
        <sz val="10"/>
        <rFont val="Meiryo UI"/>
        <family val="0"/>
        <charset val="1"/>
      </rPr>
      <t xml:space="preserve">04</t>
    </r>
    <r>
      <rPr>
        <sz val="10"/>
        <rFont val="Noto Sans CJK SC"/>
        <family val="2"/>
      </rPr>
      <t xml:space="preserve">へ戻る。</t>
    </r>
  </si>
  <si>
    <t xml:space="preserve">計算用：モデル行列・正規方程式（編集不要）</t>
  </si>
  <si>
    <t xml:space="preserve">使用項→</t>
  </si>
  <si>
    <t xml:space="preserve">Y</t>
  </si>
  <si>
    <r>
      <rPr>
        <b val="true"/>
        <sz val="10"/>
        <rFont val="Meiryo UI"/>
        <family val="0"/>
        <charset val="1"/>
      </rPr>
      <t xml:space="preserve">X'X</t>
    </r>
    <r>
      <rPr>
        <b val="true"/>
        <sz val="10"/>
        <rFont val="Noto Sans CJK SC"/>
        <family val="2"/>
      </rPr>
      <t xml:space="preserve">（除外項は単位行列扱い）</t>
    </r>
  </si>
  <si>
    <t xml:space="preserve">X'y</t>
  </si>
  <si>
    <t xml:space="preserve">(X'X)^-1</t>
  </si>
  <si>
    <r>
      <rPr>
        <b val="true"/>
        <sz val="10"/>
        <rFont val="Noto Sans CJK SC"/>
        <family val="2"/>
      </rPr>
      <t xml:space="preserve">係数</t>
    </r>
    <r>
      <rPr>
        <b val="true"/>
        <sz val="10"/>
        <rFont val="Meiryo UI"/>
        <family val="0"/>
        <charset val="1"/>
      </rPr>
      <t xml:space="preserve">b</t>
    </r>
  </si>
  <si>
    <r>
      <rPr>
        <b val="true"/>
        <sz val="10"/>
        <rFont val="Meiryo UI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（使用項のみの</t>
    </r>
    <r>
      <rPr>
        <b val="true"/>
        <sz val="10"/>
        <rFont val="Meiryo UI"/>
        <family val="0"/>
        <charset val="1"/>
      </rPr>
      <t xml:space="preserve">(X'X)^-1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</si>
  <si>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係数</t>
    </r>
    <r>
      <rPr>
        <b val="true"/>
        <sz val="10"/>
        <rFont val="Meiryo UI"/>
        <family val="0"/>
        <charset val="1"/>
      </rPr>
      <t xml:space="preserve">b</t>
    </r>
    <r>
      <rPr>
        <b val="true"/>
        <sz val="10"/>
        <rFont val="Noto Sans CJK SC"/>
        <family val="2"/>
      </rPr>
      <t xml:space="preserve">（横並び）</t>
    </r>
  </si>
  <si>
    <r>
      <rPr>
        <b val="true"/>
        <sz val="14"/>
        <color rgb="FF1F3864"/>
        <rFont val="Noto Sans CJK SC"/>
        <family val="2"/>
      </rPr>
      <t xml:space="preserve">計算用：</t>
    </r>
    <r>
      <rPr>
        <b val="true"/>
        <sz val="14"/>
        <color rgb="FF1F3864"/>
        <rFont val="Meiryo UI"/>
        <family val="0"/>
        <charset val="1"/>
      </rPr>
      <t xml:space="preserve">3</t>
    </r>
    <r>
      <rPr>
        <b val="true"/>
        <sz val="14"/>
        <color rgb="FF1F3864"/>
        <rFont val="Noto Sans CJK SC"/>
        <family val="2"/>
      </rPr>
      <t xml:space="preserve">次元グリッド探索（各因子 </t>
    </r>
    <r>
      <rPr>
        <b val="true"/>
        <sz val="14"/>
        <color rgb="FF1F3864"/>
        <rFont val="Meiryo UI"/>
        <family val="0"/>
        <charset val="1"/>
      </rPr>
      <t xml:space="preserve">-1</t>
    </r>
    <r>
      <rPr>
        <b val="true"/>
        <sz val="14"/>
        <color rgb="FF1F3864"/>
        <rFont val="Noto Sans CJK SC"/>
        <family val="2"/>
      </rPr>
      <t xml:space="preserve">〜</t>
    </r>
    <r>
      <rPr>
        <b val="true"/>
        <sz val="14"/>
        <color rgb="FF1F3864"/>
        <rFont val="Meiryo UI"/>
        <family val="0"/>
        <charset val="1"/>
      </rPr>
      <t xml:space="preserve">+1 </t>
    </r>
    <r>
      <rPr>
        <b val="true"/>
        <sz val="14"/>
        <color rgb="FF1F3864"/>
        <rFont val="Noto Sans CJK SC"/>
        <family val="2"/>
      </rPr>
      <t xml:space="preserve">を</t>
    </r>
    <r>
      <rPr>
        <b val="true"/>
        <sz val="14"/>
        <color rgb="FF1F3864"/>
        <rFont val="Meiryo UI"/>
        <family val="0"/>
        <charset val="1"/>
      </rPr>
      <t xml:space="preserve">0.125</t>
    </r>
    <r>
      <rPr>
        <b val="true"/>
        <sz val="14"/>
        <color rgb="FF1F3864"/>
        <rFont val="Noto Sans CJK SC"/>
        <family val="2"/>
      </rPr>
      <t xml:space="preserve">刻み、</t>
    </r>
    <r>
      <rPr>
        <b val="true"/>
        <sz val="14"/>
        <color rgb="FF1F3864"/>
        <rFont val="Meiryo UI"/>
        <family val="0"/>
        <charset val="1"/>
      </rPr>
      <t xml:space="preserve">17^3=4913</t>
    </r>
    <r>
      <rPr>
        <b val="true"/>
        <sz val="14"/>
        <color rgb="FF1F3864"/>
        <rFont val="Noto Sans CJK SC"/>
        <family val="2"/>
      </rPr>
      <t xml:space="preserve">点）</t>
    </r>
  </si>
  <si>
    <t xml:space="preserve">i1</t>
  </si>
  <si>
    <t xml:space="preserve">i2</t>
  </si>
  <si>
    <t xml:space="preserve">i3</t>
  </si>
  <si>
    <t xml:space="preserve">有効</t>
  </si>
  <si>
    <t xml:space="preserve">点予測スコア</t>
  </si>
  <si>
    <r>
      <rPr>
        <b val="true"/>
        <sz val="10"/>
        <color rgb="FFFFFFFF"/>
        <rFont val="Noto Sans CJK SC"/>
        <family val="2"/>
      </rPr>
      <t xml:space="preserve">順位用</t>
    </r>
    <r>
      <rPr>
        <b val="true"/>
        <sz val="10"/>
        <color rgb="FFFFFFFF"/>
        <rFont val="Meiryo UI"/>
        <family val="0"/>
        <charset val="1"/>
      </rPr>
      <t xml:space="preserve">1</t>
    </r>
  </si>
  <si>
    <r>
      <rPr>
        <b val="true"/>
        <sz val="10"/>
        <color rgb="FFFFFFFF"/>
        <rFont val="Noto Sans CJK SC"/>
        <family val="2"/>
      </rPr>
      <t xml:space="preserve">順位用</t>
    </r>
    <r>
      <rPr>
        <b val="true"/>
        <sz val="10"/>
        <color rgb="FFFFFFFF"/>
        <rFont val="Meiryo UI"/>
        <family val="0"/>
        <charset val="1"/>
      </rPr>
      <t xml:space="preserve">2</t>
    </r>
  </si>
  <si>
    <r>
      <rPr>
        <b val="true"/>
        <sz val="14"/>
        <color rgb="FF1F3864"/>
        <rFont val="Noto Sans CJK SC"/>
        <family val="2"/>
      </rPr>
      <t xml:space="preserve">計算用：</t>
    </r>
    <r>
      <rPr>
        <b val="true"/>
        <sz val="14"/>
        <color rgb="FF1F3864"/>
        <rFont val="Meiryo UI"/>
        <family val="0"/>
        <charset val="1"/>
      </rPr>
      <t xml:space="preserve">Jacobi</t>
    </r>
    <r>
      <rPr>
        <b val="true"/>
        <sz val="14"/>
        <color rgb="FF1F3864"/>
        <rFont val="Noto Sans CJK SC"/>
        <family val="2"/>
      </rPr>
      <t xml:space="preserve">法による固有値（編集不要）</t>
    </r>
  </si>
  <si>
    <r>
      <rPr>
        <b val="true"/>
        <sz val="10"/>
        <rFont val="Noto Sans CJK SC"/>
        <family val="2"/>
      </rPr>
      <t xml:space="preserve">回転</t>
    </r>
    <r>
      <rPr>
        <b val="true"/>
        <sz val="10"/>
        <rFont val="Meiryo UI"/>
        <family val="0"/>
        <charset val="1"/>
      </rPr>
      <t xml:space="preserve">1 (1,2)</t>
    </r>
  </si>
  <si>
    <r>
      <rPr>
        <b val="true"/>
        <sz val="10"/>
        <rFont val="Noto Sans CJK SC"/>
        <family val="2"/>
      </rPr>
      <t xml:space="preserve">回転</t>
    </r>
    <r>
      <rPr>
        <b val="true"/>
        <sz val="10"/>
        <rFont val="Meiryo UI"/>
        <family val="0"/>
        <charset val="1"/>
      </rPr>
      <t xml:space="preserve">2 (1,3)</t>
    </r>
  </si>
  <si>
    <r>
      <rPr>
        <b val="true"/>
        <sz val="10"/>
        <rFont val="Noto Sans CJK SC"/>
        <family val="2"/>
      </rPr>
      <t xml:space="preserve">回転</t>
    </r>
    <r>
      <rPr>
        <b val="true"/>
        <sz val="10"/>
        <rFont val="Meiryo UI"/>
        <family val="0"/>
        <charset val="1"/>
      </rPr>
      <t xml:space="preserve">3 (2,3)</t>
    </r>
  </si>
  <si>
    <r>
      <rPr>
        <b val="true"/>
        <sz val="10"/>
        <rFont val="Noto Sans CJK SC"/>
        <family val="2"/>
      </rPr>
      <t xml:space="preserve">回転</t>
    </r>
    <r>
      <rPr>
        <b val="true"/>
        <sz val="10"/>
        <rFont val="Meiryo UI"/>
        <family val="0"/>
        <charset val="1"/>
      </rPr>
      <t xml:space="preserve">4 (1,2)</t>
    </r>
  </si>
  <si>
    <r>
      <rPr>
        <b val="true"/>
        <sz val="10"/>
        <rFont val="Noto Sans CJK SC"/>
        <family val="2"/>
      </rPr>
      <t xml:space="preserve">回転</t>
    </r>
    <r>
      <rPr>
        <b val="true"/>
        <sz val="10"/>
        <rFont val="Meiryo UI"/>
        <family val="0"/>
        <charset val="1"/>
      </rPr>
      <t xml:space="preserve">5 (1,3)</t>
    </r>
  </si>
  <si>
    <r>
      <rPr>
        <b val="true"/>
        <sz val="10"/>
        <rFont val="Noto Sans CJK SC"/>
        <family val="2"/>
      </rPr>
      <t xml:space="preserve">回転</t>
    </r>
    <r>
      <rPr>
        <b val="true"/>
        <sz val="10"/>
        <rFont val="Meiryo UI"/>
        <family val="0"/>
        <charset val="1"/>
      </rPr>
      <t xml:space="preserve">6 (2,3)</t>
    </r>
  </si>
  <si>
    <r>
      <rPr>
        <b val="true"/>
        <sz val="10"/>
        <rFont val="Noto Sans CJK SC"/>
        <family val="2"/>
      </rPr>
      <t xml:space="preserve">回転</t>
    </r>
    <r>
      <rPr>
        <b val="true"/>
        <sz val="10"/>
        <rFont val="Meiryo UI"/>
        <family val="0"/>
        <charset val="1"/>
      </rPr>
      <t xml:space="preserve">7 (1,2)</t>
    </r>
  </si>
  <si>
    <r>
      <rPr>
        <b val="true"/>
        <sz val="10"/>
        <rFont val="Noto Sans CJK SC"/>
        <family val="2"/>
      </rPr>
      <t xml:space="preserve">回転</t>
    </r>
    <r>
      <rPr>
        <b val="true"/>
        <sz val="10"/>
        <rFont val="Meiryo UI"/>
        <family val="0"/>
        <charset val="1"/>
      </rPr>
      <t xml:space="preserve">8 (1,3)</t>
    </r>
  </si>
  <si>
    <r>
      <rPr>
        <b val="true"/>
        <sz val="10"/>
        <rFont val="Noto Sans CJK SC"/>
        <family val="2"/>
      </rPr>
      <t xml:space="preserve">回転</t>
    </r>
    <r>
      <rPr>
        <b val="true"/>
        <sz val="10"/>
        <rFont val="Meiryo UI"/>
        <family val="0"/>
        <charset val="1"/>
      </rPr>
      <t xml:space="preserve">9 (2,3)</t>
    </r>
  </si>
  <si>
    <r>
      <rPr>
        <b val="true"/>
        <sz val="10"/>
        <rFont val="Noto Sans CJK SC"/>
        <family val="2"/>
      </rPr>
      <t xml:space="preserve">回転</t>
    </r>
    <r>
      <rPr>
        <b val="true"/>
        <sz val="10"/>
        <rFont val="Meiryo UI"/>
        <family val="0"/>
        <charset val="1"/>
      </rPr>
      <t xml:space="preserve">10 (1,2)</t>
    </r>
  </si>
  <si>
    <r>
      <rPr>
        <b val="true"/>
        <sz val="10"/>
        <rFont val="Noto Sans CJK SC"/>
        <family val="2"/>
      </rPr>
      <t xml:space="preserve">回転</t>
    </r>
    <r>
      <rPr>
        <b val="true"/>
        <sz val="10"/>
        <rFont val="Meiryo UI"/>
        <family val="0"/>
        <charset val="1"/>
      </rPr>
      <t xml:space="preserve">11 (1,3)</t>
    </r>
  </si>
  <si>
    <r>
      <rPr>
        <b val="true"/>
        <sz val="10"/>
        <rFont val="Noto Sans CJK SC"/>
        <family val="2"/>
      </rPr>
      <t xml:space="preserve">回転</t>
    </r>
    <r>
      <rPr>
        <b val="true"/>
        <sz val="10"/>
        <rFont val="Meiryo UI"/>
        <family val="0"/>
        <charset val="1"/>
      </rPr>
      <t xml:space="preserve">12 (2,3)</t>
    </r>
  </si>
  <si>
    <r>
      <rPr>
        <b val="true"/>
        <sz val="10"/>
        <rFont val="Noto Sans CJK SC"/>
        <family val="2"/>
      </rPr>
      <t xml:space="preserve">回転</t>
    </r>
    <r>
      <rPr>
        <b val="true"/>
        <sz val="10"/>
        <rFont val="Meiryo UI"/>
        <family val="0"/>
        <charset val="1"/>
      </rPr>
      <t xml:space="preserve">13 (1,2)</t>
    </r>
  </si>
  <si>
    <r>
      <rPr>
        <b val="true"/>
        <sz val="10"/>
        <rFont val="Noto Sans CJK SC"/>
        <family val="2"/>
      </rPr>
      <t xml:space="preserve">回転</t>
    </r>
    <r>
      <rPr>
        <b val="true"/>
        <sz val="10"/>
        <rFont val="Meiryo UI"/>
        <family val="0"/>
        <charset val="1"/>
      </rPr>
      <t xml:space="preserve">14 (1,3)</t>
    </r>
  </si>
  <si>
    <r>
      <rPr>
        <b val="true"/>
        <sz val="10"/>
        <rFont val="Noto Sans CJK SC"/>
        <family val="2"/>
      </rPr>
      <t xml:space="preserve">回転</t>
    </r>
    <r>
      <rPr>
        <b val="true"/>
        <sz val="10"/>
        <rFont val="Meiryo UI"/>
        <family val="0"/>
        <charset val="1"/>
      </rPr>
      <t xml:space="preserve">15 (2,3)</t>
    </r>
  </si>
  <si>
    <r>
      <rPr>
        <b val="true"/>
        <sz val="10"/>
        <rFont val="Noto Sans CJK SC"/>
        <family val="2"/>
      </rPr>
      <t xml:space="preserve">回転</t>
    </r>
    <r>
      <rPr>
        <b val="true"/>
        <sz val="10"/>
        <rFont val="Meiryo UI"/>
        <family val="0"/>
        <charset val="1"/>
      </rPr>
      <t xml:space="preserve">16 (1,2)</t>
    </r>
  </si>
  <si>
    <r>
      <rPr>
        <b val="true"/>
        <sz val="10"/>
        <rFont val="Noto Sans CJK SC"/>
        <family val="2"/>
      </rPr>
      <t xml:space="preserve">回転</t>
    </r>
    <r>
      <rPr>
        <b val="true"/>
        <sz val="10"/>
        <rFont val="Meiryo UI"/>
        <family val="0"/>
        <charset val="1"/>
      </rPr>
      <t xml:space="preserve">17 (1,3)</t>
    </r>
  </si>
  <si>
    <r>
      <rPr>
        <b val="true"/>
        <sz val="10"/>
        <rFont val="Noto Sans CJK SC"/>
        <family val="2"/>
      </rPr>
      <t xml:space="preserve">回転</t>
    </r>
    <r>
      <rPr>
        <b val="true"/>
        <sz val="10"/>
        <rFont val="Meiryo UI"/>
        <family val="0"/>
        <charset val="1"/>
      </rPr>
      <t xml:space="preserve">18 (2,3)</t>
    </r>
  </si>
  <si>
    <r>
      <rPr>
        <b val="true"/>
        <sz val="10"/>
        <rFont val="Noto Sans CJK SC"/>
        <family val="2"/>
      </rPr>
      <t xml:space="preserve">回転</t>
    </r>
    <r>
      <rPr>
        <b val="true"/>
        <sz val="10"/>
        <rFont val="Meiryo UI"/>
        <family val="0"/>
        <charset val="1"/>
      </rPr>
      <t xml:space="preserve">19 (1,2)</t>
    </r>
  </si>
  <si>
    <r>
      <rPr>
        <b val="true"/>
        <sz val="10"/>
        <rFont val="Noto Sans CJK SC"/>
        <family val="2"/>
      </rPr>
      <t xml:space="preserve">回転</t>
    </r>
    <r>
      <rPr>
        <b val="true"/>
        <sz val="10"/>
        <rFont val="Meiryo UI"/>
        <family val="0"/>
        <charset val="1"/>
      </rPr>
      <t xml:space="preserve">20 (1,3)</t>
    </r>
  </si>
  <si>
    <r>
      <rPr>
        <b val="true"/>
        <sz val="10"/>
        <rFont val="Noto Sans CJK SC"/>
        <family val="2"/>
      </rPr>
      <t xml:space="preserve">回転</t>
    </r>
    <r>
      <rPr>
        <b val="true"/>
        <sz val="10"/>
        <rFont val="Meiryo UI"/>
        <family val="0"/>
        <charset val="1"/>
      </rPr>
      <t xml:space="preserve">21 (2,3)</t>
    </r>
  </si>
  <si>
    <r>
      <rPr>
        <b val="true"/>
        <sz val="10"/>
        <rFont val="Noto Sans CJK SC"/>
        <family val="2"/>
      </rPr>
      <t xml:space="preserve">回転</t>
    </r>
    <r>
      <rPr>
        <b val="true"/>
        <sz val="10"/>
        <rFont val="Meiryo UI"/>
        <family val="0"/>
        <charset val="1"/>
      </rPr>
      <t xml:space="preserve">22 (1,2)</t>
    </r>
  </si>
  <si>
    <r>
      <rPr>
        <b val="true"/>
        <sz val="10"/>
        <rFont val="Noto Sans CJK SC"/>
        <family val="2"/>
      </rPr>
      <t xml:space="preserve">回転</t>
    </r>
    <r>
      <rPr>
        <b val="true"/>
        <sz val="10"/>
        <rFont val="Meiryo UI"/>
        <family val="0"/>
        <charset val="1"/>
      </rPr>
      <t xml:space="preserve">23 (1,3)</t>
    </r>
  </si>
  <si>
    <r>
      <rPr>
        <b val="true"/>
        <sz val="10"/>
        <rFont val="Noto Sans CJK SC"/>
        <family val="2"/>
      </rPr>
      <t xml:space="preserve">回転</t>
    </r>
    <r>
      <rPr>
        <b val="true"/>
        <sz val="10"/>
        <rFont val="Meiryo UI"/>
        <family val="0"/>
        <charset val="1"/>
      </rPr>
      <t xml:space="preserve">24 (2,3)</t>
    </r>
  </si>
  <si>
    <r>
      <rPr>
        <b val="true"/>
        <sz val="14"/>
        <color rgb="FF1F3864"/>
        <rFont val="Noto Sans CJK SC"/>
        <family val="2"/>
      </rPr>
      <t xml:space="preserve">計算用：</t>
    </r>
    <r>
      <rPr>
        <b val="true"/>
        <sz val="14"/>
        <color rgb="FF1F3864"/>
        <rFont val="Meiryo UI"/>
        <family val="0"/>
        <charset val="1"/>
      </rPr>
      <t xml:space="preserve">2</t>
    </r>
    <r>
      <rPr>
        <b val="true"/>
        <sz val="14"/>
        <color rgb="FF1F3864"/>
        <rFont val="Noto Sans CJK SC"/>
        <family val="2"/>
      </rPr>
      <t xml:space="preserve">因子断面の多項式展開（編集不要）</t>
    </r>
  </si>
  <si>
    <r>
      <rPr>
        <b val="true"/>
        <sz val="10"/>
        <color rgb="FFFFFFFF"/>
        <rFont val="Noto Sans CJK SC"/>
        <family val="2"/>
      </rPr>
      <t xml:space="preserve">定数</t>
    </r>
    <r>
      <rPr>
        <b val="true"/>
        <sz val="10"/>
        <color rgb="FFFFFFFF"/>
        <rFont val="Meiryo UI"/>
        <family val="0"/>
        <charset val="1"/>
      </rPr>
      <t xml:space="preserve">c</t>
    </r>
  </si>
  <si>
    <r>
      <rPr>
        <b val="true"/>
        <sz val="10"/>
        <color rgb="FFFFFFFF"/>
        <rFont val="Meiryo UI"/>
        <family val="0"/>
        <charset val="1"/>
      </rPr>
      <t xml:space="preserve">α(</t>
    </r>
    <r>
      <rPr>
        <b val="true"/>
        <sz val="10"/>
        <color rgb="FFFFFFFF"/>
        <rFont val="Noto Sans CJK SC"/>
        <family val="2"/>
      </rPr>
      <t xml:space="preserve">横</t>
    </r>
    <r>
      <rPr>
        <b val="true"/>
        <sz val="10"/>
        <color rgb="FFFFFFFF"/>
        <rFont val="Meiryo UI"/>
        <family val="0"/>
        <charset val="1"/>
      </rPr>
      <t xml:space="preserve">)</t>
    </r>
  </si>
  <si>
    <r>
      <rPr>
        <b val="true"/>
        <sz val="10"/>
        <color rgb="FFFFFFFF"/>
        <rFont val="Meiryo UI"/>
        <family val="0"/>
        <charset val="1"/>
      </rPr>
      <t xml:space="preserve">β(</t>
    </r>
    <r>
      <rPr>
        <b val="true"/>
        <sz val="10"/>
        <color rgb="FFFFFFFF"/>
        <rFont val="Noto Sans CJK SC"/>
        <family val="2"/>
      </rPr>
      <t xml:space="preserve">縦</t>
    </r>
    <r>
      <rPr>
        <b val="true"/>
        <sz val="10"/>
        <color rgb="FFFFFFFF"/>
        <rFont val="Meiryo UI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</si>
  <si>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固定値</t>
    </r>
    <r>
      <rPr>
        <b val="true"/>
        <sz val="10"/>
        <color rgb="FFFFFFFF"/>
        <rFont val="Meiryo UI"/>
        <family val="0"/>
        <charset val="1"/>
      </rPr>
      <t xml:space="preserve">OK</t>
    </r>
  </si>
  <si>
    <r>
      <rPr>
        <sz val="10"/>
        <rFont val="Noto Sans CJK SC"/>
        <family val="2"/>
      </rPr>
      <t xml:space="preserve">固定値すべて</t>
    </r>
    <r>
      <rPr>
        <sz val="10"/>
        <rFont val="Meiryo UI"/>
        <family val="0"/>
        <charset val="1"/>
      </rPr>
      <t xml:space="preserve">OK</t>
    </r>
  </si>
  <si>
    <r>
      <rPr>
        <sz val="10"/>
        <rFont val="Noto Sans CJK SC"/>
        <family val="2"/>
      </rPr>
      <t xml:space="preserve">横軸 安全下限</t>
    </r>
    <r>
      <rPr>
        <sz val="10"/>
        <rFont val="Meiryo UI"/>
        <family val="0"/>
        <charset val="1"/>
      </rPr>
      <t xml:space="preserve">/</t>
    </r>
    <r>
      <rPr>
        <sz val="10"/>
        <rFont val="Noto Sans CJK SC"/>
        <family val="2"/>
      </rPr>
      <t xml:space="preserve">上限</t>
    </r>
  </si>
  <si>
    <r>
      <rPr>
        <sz val="10"/>
        <rFont val="Noto Sans CJK SC"/>
        <family val="2"/>
      </rPr>
      <t xml:space="preserve">縦軸 安全下限</t>
    </r>
    <r>
      <rPr>
        <sz val="10"/>
        <rFont val="Meiryo UI"/>
        <family val="0"/>
        <charset val="1"/>
      </rPr>
      <t xml:space="preserve">/</t>
    </r>
    <r>
      <rPr>
        <sz val="10"/>
        <rFont val="Noto Sans CJK SC"/>
        <family val="2"/>
      </rPr>
      <t xml:space="preserve">上限</t>
    </r>
  </si>
  <si>
    <t xml:space="preserve">固定値の二乗和</t>
  </si>
  <si>
    <t xml:space="preserve">1</t>
  </si>
  <si>
    <t xml:space="preserve">a</t>
  </si>
  <si>
    <t xml:space="preserve">b</t>
  </si>
  <si>
    <t xml:space="preserve">ab</t>
  </si>
  <si>
    <t xml:space="preserve">a²</t>
  </si>
  <si>
    <t xml:space="preserve">b²</t>
  </si>
  <si>
    <r>
      <rPr>
        <b val="true"/>
        <sz val="10"/>
        <rFont val="Meiryo UI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転置</t>
    </r>
  </si>
  <si>
    <t xml:space="preserve">C·M</t>
  </si>
  <si>
    <t xml:space="preserve">G=M'CM</t>
  </si>
  <si>
    <t xml:space="preserve">h=M'b</t>
  </si>
  <si>
    <t xml:space="preserve">単項式</t>
  </si>
  <si>
    <r>
      <rPr>
        <b val="true"/>
        <sz val="10"/>
        <color rgb="FFFFFFFF"/>
        <rFont val="Meiryo UI"/>
        <family val="0"/>
        <charset val="1"/>
      </rPr>
      <t xml:space="preserve">a</t>
    </r>
    <r>
      <rPr>
        <b val="true"/>
        <sz val="10"/>
        <color rgb="FFFFFFFF"/>
        <rFont val="Noto Sans CJK SC"/>
        <family val="2"/>
      </rPr>
      <t xml:space="preserve">の次数</t>
    </r>
  </si>
  <si>
    <r>
      <rPr>
        <b val="true"/>
        <sz val="10"/>
        <color rgb="FFFFFFFF"/>
        <rFont val="Meiryo UI"/>
        <family val="0"/>
        <charset val="1"/>
      </rPr>
      <t xml:space="preserve">b</t>
    </r>
    <r>
      <rPr>
        <b val="true"/>
        <sz val="10"/>
        <color rgb="FFFFFFFF"/>
        <rFont val="Noto Sans CJK SC"/>
        <family val="2"/>
      </rPr>
      <t xml:space="preserve">の次数</t>
    </r>
  </si>
  <si>
    <t xml:space="preserve">a^0 b^0</t>
  </si>
  <si>
    <t xml:space="preserve">a^0 b^1</t>
  </si>
  <si>
    <t xml:space="preserve">a^0 b^2</t>
  </si>
  <si>
    <t xml:space="preserve">a^0 b^3</t>
  </si>
  <si>
    <t xml:space="preserve">a^0 b^4</t>
  </si>
  <si>
    <t xml:space="preserve">a^1 b^0</t>
  </si>
  <si>
    <t xml:space="preserve">a^1 b^1</t>
  </si>
  <si>
    <t xml:space="preserve">a^1 b^2</t>
  </si>
  <si>
    <t xml:space="preserve">a^1 b^3</t>
  </si>
  <si>
    <t xml:space="preserve">a^2 b^0</t>
  </si>
  <si>
    <t xml:space="preserve">a^2 b^1</t>
  </si>
  <si>
    <t xml:space="preserve">a^2 b^2</t>
  </si>
  <si>
    <t xml:space="preserve">a^3 b^0</t>
  </si>
  <si>
    <t xml:space="preserve">a^3 b^1</t>
  </si>
  <si>
    <t xml:space="preserve">a^4 b^0</t>
  </si>
  <si>
    <r>
      <rPr>
        <b val="true"/>
        <sz val="10"/>
        <rFont val="Noto Sans CJK SC"/>
        <family val="2"/>
      </rPr>
      <t xml:space="preserve">予測</t>
    </r>
    <r>
      <rPr>
        <b val="true"/>
        <sz val="10"/>
        <rFont val="Meiryo UI"/>
        <family val="0"/>
        <charset val="1"/>
      </rPr>
      <t xml:space="preserve">Y </t>
    </r>
    <r>
      <rPr>
        <b val="true"/>
        <sz val="10"/>
        <rFont val="Noto Sans CJK SC"/>
        <family val="2"/>
      </rPr>
      <t xml:space="preserve">格子（行</t>
    </r>
    <r>
      <rPr>
        <b val="true"/>
        <sz val="10"/>
        <rFont val="Meiryo UI"/>
        <family val="0"/>
        <charset val="1"/>
      </rPr>
      <t xml:space="preserve">=</t>
    </r>
    <r>
      <rPr>
        <b val="true"/>
        <sz val="10"/>
        <rFont val="Noto Sans CJK SC"/>
        <family val="2"/>
      </rPr>
      <t xml:space="preserve">縦軸</t>
    </r>
    <r>
      <rPr>
        <b val="true"/>
        <sz val="10"/>
        <rFont val="Meiryo UI"/>
        <family val="0"/>
        <charset val="1"/>
      </rPr>
      <t xml:space="preserve">b</t>
    </r>
    <r>
      <rPr>
        <b val="true"/>
        <sz val="10"/>
        <rFont val="Noto Sans CJK SC"/>
        <family val="2"/>
      </rPr>
      <t xml:space="preserve">、列</t>
    </r>
    <r>
      <rPr>
        <b val="true"/>
        <sz val="10"/>
        <rFont val="Meiryo UI"/>
        <family val="0"/>
        <charset val="1"/>
      </rPr>
      <t xml:space="preserve">=</t>
    </r>
    <r>
      <rPr>
        <b val="true"/>
        <sz val="10"/>
        <rFont val="Noto Sans CJK SC"/>
        <family val="2"/>
      </rPr>
      <t xml:space="preserve">横軸</t>
    </r>
    <r>
      <rPr>
        <b val="true"/>
        <sz val="10"/>
        <rFont val="Meiryo UI"/>
        <family val="0"/>
        <charset val="1"/>
      </rPr>
      <t xml:space="preserve">a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</si>
  <si>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Meiryo UI"/>
        <family val="0"/>
        <charset val="1"/>
      </rPr>
      <t xml:space="preserve">q </t>
    </r>
    <r>
      <rPr>
        <b val="true"/>
        <sz val="10"/>
        <rFont val="Noto Sans CJK SC"/>
        <family val="2"/>
      </rPr>
      <t xml:space="preserve">格子</t>
    </r>
  </si>
  <si>
    <r>
      <rPr>
        <b val="true"/>
        <sz val="14"/>
        <color rgb="FF1F3864"/>
        <rFont val="Noto Sans CJK SC"/>
        <family val="2"/>
      </rPr>
      <t xml:space="preserve">計算用：</t>
    </r>
    <r>
      <rPr>
        <b val="true"/>
        <sz val="14"/>
        <color rgb="FF1F3864"/>
        <rFont val="Meiryo UI"/>
        <family val="0"/>
        <charset val="1"/>
      </rPr>
      <t xml:space="preserve">1</t>
    </r>
    <r>
      <rPr>
        <b val="true"/>
        <sz val="14"/>
        <color rgb="FF1F3864"/>
        <rFont val="Noto Sans CJK SC"/>
        <family val="2"/>
      </rPr>
      <t xml:space="preserve">因子ずつの窓（他因子はロバスト最適に固定）と、提案窓の組合せチェック</t>
    </r>
  </si>
  <si>
    <t xml:space="preserve">t</t>
  </si>
  <si>
    <t xml:space="preserve">下限</t>
  </si>
  <si>
    <t xml:space="preserve">上限</t>
  </si>
  <si>
    <t xml:space="preserve">合格</t>
  </si>
  <si>
    <r>
      <rPr>
        <b val="true"/>
        <sz val="10"/>
        <color rgb="FFFFFFFF"/>
        <rFont val="Meiryo UI"/>
        <family val="0"/>
        <charset val="1"/>
      </rPr>
      <t xml:space="preserve">X1</t>
    </r>
    <r>
      <rPr>
        <b val="true"/>
        <sz val="10"/>
        <color rgb="FFFFFFFF"/>
        <rFont val="Noto Sans CJK SC"/>
        <family val="2"/>
      </rPr>
      <t xml:space="preserve">実</t>
    </r>
  </si>
  <si>
    <r>
      <rPr>
        <b val="true"/>
        <sz val="10"/>
        <color rgb="FFFFFFFF"/>
        <rFont val="Meiryo UI"/>
        <family val="0"/>
        <charset val="1"/>
      </rPr>
      <t xml:space="preserve">X2</t>
    </r>
    <r>
      <rPr>
        <b val="true"/>
        <sz val="10"/>
        <color rgb="FFFFFFFF"/>
        <rFont val="Noto Sans CJK SC"/>
        <family val="2"/>
      </rPr>
      <t xml:space="preserve">実</t>
    </r>
  </si>
  <si>
    <r>
      <rPr>
        <b val="true"/>
        <sz val="10"/>
        <color rgb="FFFFFFFF"/>
        <rFont val="Meiryo UI"/>
        <family val="0"/>
        <charset val="1"/>
      </rPr>
      <t xml:space="preserve">X3</t>
    </r>
    <r>
      <rPr>
        <b val="true"/>
        <sz val="10"/>
        <color rgb="FFFFFFFF"/>
        <rFont val="Noto Sans CJK SC"/>
        <family val="2"/>
      </rPr>
      <t xml:space="preserve">実</t>
    </r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</si>
</sst>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0"/>
    <numFmt numFmtId="166" formatCode="0.000"/>
    <numFmt numFmtId="167" formatCode="0.0"/>
    <numFmt numFmtId="168" formatCode="0%"/>
    <numFmt numFmtId="169" formatCode="General"/>
    <numFmt numFmtId="170" formatCode="0.000;\-0.000;0"/>
    <numFmt numFmtId="171" formatCode="0.000000"/>
    <numFmt numFmtId="172" formatCode="0.0000"/>
    <numFmt numFmtId="173" formatCode="0"/>
    <numFmt numFmtId="174" formatCode="0.00000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Noto Sans CJK SC"/>
      <family val="2"/>
    </font>
    <font>
      <b val="true"/>
      <sz val="14"/>
      <color rgb="FF1F3864"/>
      <name val="Meiryo UI"/>
      <family val="0"/>
      <charset val="1"/>
    </font>
    <font>
      <sz val="9"/>
      <color rgb="FF595959"/>
      <name val="Noto Sans CJK SC"/>
      <family val="2"/>
    </font>
    <font>
      <sz val="9"/>
      <color rgb="FF595959"/>
      <name val="Meiryo UI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name val="Meiryo UI"/>
      <family val="0"/>
      <charset val="1"/>
    </font>
    <font>
      <sz val="10"/>
      <name val="Meiryo UI"/>
      <family val="0"/>
      <charset val="1"/>
    </font>
    <font>
      <sz val="10"/>
      <name val="Noto Sans CJK SC"/>
      <family val="2"/>
    </font>
    <font>
      <b val="true"/>
      <sz val="10"/>
      <name val="Noto Sans CJK SC"/>
      <family val="2"/>
    </font>
    <font>
      <b val="true"/>
      <sz val="10"/>
      <color rgb="FFFFFFFF"/>
      <name val="Meiryo UI"/>
      <family val="0"/>
      <charset val="1"/>
    </font>
    <font>
      <sz val="10"/>
      <color rgb="FF0000FF"/>
      <name val="Noto Sans CJK SC"/>
      <family val="2"/>
    </font>
    <font>
      <sz val="10"/>
      <color rgb="FF0000FF"/>
      <name val="Meiryo UI"/>
      <family val="0"/>
      <charset val="1"/>
    </font>
    <font>
      <b val="true"/>
      <sz val="18"/>
      <color rgb="FF000000"/>
      <name val="Noto Sans CJK SC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Noto Sans CJK SC"/>
      <family val="2"/>
    </font>
    <font>
      <b val="true"/>
      <sz val="10"/>
      <color rgb="FFC00000"/>
      <name val="Meiryo UI"/>
      <family val="0"/>
      <charset val="1"/>
    </font>
    <font>
      <b val="true"/>
      <sz val="8"/>
      <color rgb="FFFFFFFF"/>
      <name val="Noto Sans CJK SC"/>
      <family val="2"/>
    </font>
    <font>
      <b val="true"/>
      <sz val="8"/>
      <color rgb="FFFFFFFF"/>
      <name val="Meiryo UI"/>
      <family val="0"/>
      <charset val="1"/>
    </font>
    <font>
      <sz val="8"/>
      <name val="Meiryo UI"/>
      <family val="0"/>
      <charset val="1"/>
    </font>
    <font>
      <b val="true"/>
      <sz val="10"/>
      <color rgb="FFC00000"/>
      <name val="Noto Sans CJK SC"/>
      <family val="2"/>
    </font>
    <font>
      <sz val="8"/>
      <name val="Noto Sans CJK SC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3864"/>
      </patternFill>
    </fill>
    <fill>
      <patternFill patternType="solid">
        <fgColor rgb="FFDDEBF7"/>
        <bgColor rgb="FFEDEDED"/>
      </patternFill>
    </fill>
    <fill>
      <patternFill patternType="solid">
        <fgColor rgb="FFFFF2CC"/>
        <bgColor rgb="FFF2F2F2"/>
      </patternFill>
    </fill>
    <fill>
      <patternFill patternType="solid">
        <fgColor rgb="FFEDEDED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>
          <bgColor rgb="FFF8CBAD"/>
        </patternFill>
      </fill>
    </dxf>
    <dxf>
      <font>
        <color rgb="FFBFBFBF"/>
      </font>
    </dxf>
    <dxf>
      <font>
        <color rgb="FFBFBFBF"/>
      </font>
      <fill>
        <patternFill>
          <bgColor rgb="FFF2F2F2"/>
        </patternFill>
      </fill>
    </dxf>
    <dxf>
      <fill>
        <patternFill>
          <bgColor rgb="FFFFE699"/>
        </patternFill>
      </fill>
    </dxf>
    <dxf>
      <fill>
        <patternFill>
          <bgColor rgb="FFD9D9D9"/>
        </patternFill>
      </fill>
    </dxf>
    <dxf>
      <fill>
        <patternFill>
          <bgColor rgb="FFA9D08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DEDED"/>
      <rgbColor rgb="FFFFE699"/>
      <rgbColor rgb="FFA9D08E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1F3864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残差 vs 予測値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"残差 vs 予測値"</c:f>
              <c:strCache>
                <c:ptCount val="1"/>
                <c:pt idx="0">
                  <c:v>残差 vs 予測値</c:v>
                </c:pt>
              </c:strCache>
            </c:strRef>
          </c:tx>
          <c:spPr>
            <a:solidFill>
              <a:srgbClr val="ffffff"/>
            </a:solidFill>
            <a:ln w="47520">
              <a:noFill/>
            </a:ln>
          </c:spPr>
          <c:marker>
            <c:symbol val="circle"/>
            <c:size val="6"/>
            <c:spPr>
              <a:noFill/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05_残差診断!$O$5:$O$28</c:f>
              <c:numCache>
                <c:formatCode>0.00</c:formatCode>
                <c:ptCount val="24"/>
                <c:pt idx="0">
                  <c:v>48.5836363636364</c:v>
                </c:pt>
                <c:pt idx="1">
                  <c:v>48.3809090909091</c:v>
                </c:pt>
                <c:pt idx="2">
                  <c:v>38.1540909090909</c:v>
                </c:pt>
                <c:pt idx="3">
                  <c:v>42.9040909090909</c:v>
                </c:pt>
                <c:pt idx="4">
                  <c:v>41.2440909090909</c:v>
                </c:pt>
                <c:pt idx="5">
                  <c:v>48.3809090909091</c:v>
                </c:pt>
                <c:pt idx="6">
                  <c:v>38.9440909090909</c:v>
                </c:pt>
                <c:pt idx="7">
                  <c:v>43.2836363636364</c:v>
                </c:pt>
                <c:pt idx="8">
                  <c:v>48.3809090909091</c:v>
                </c:pt>
                <c:pt idx="9">
                  <c:v>45.8236363636364</c:v>
                </c:pt>
                <c:pt idx="10">
                  <c:v>46.9340909090909</c:v>
                </c:pt>
                <c:pt idx="11">
                  <c:v>48.5236363636364</c:v>
                </c:pt>
                <c:pt idx="12">
                  <c:v>42.8040909090909</c:v>
                </c:pt>
                <c:pt idx="13">
                  <c:v>48.3809090909091</c:v>
                </c:pt>
                <c:pt idx="14">
                  <c:v>50.2940909090909</c:v>
                </c:pt>
                <c:pt idx="15">
                  <c:v>44.2836363636364</c:v>
                </c:pt>
                <c:pt idx="16">
                  <c:v>48.3809090909091</c:v>
                </c:pt>
                <c:pt idx="17">
                  <c:v>48.3809090909091</c:v>
                </c:pt>
                <c:pt idx="18">
                  <c:v>48.4236363636364</c:v>
                </c:pt>
                <c:pt idx="19">
                  <c:v>40.3140909090909</c:v>
                </c:pt>
                <c:pt idx="20">
                  <c:v>40.3140909090909</c:v>
                </c:pt>
                <c:pt idx="21">
                  <c:v>40.3140909090909</c:v>
                </c:pt>
                <c:pt idx="22">
                  <c:v>40.3140909090909</c:v>
                </c:pt>
                <c:pt idx="23">
                  <c:v>40.3140909090909</c:v>
                </c:pt>
              </c:numCache>
            </c:numRef>
          </c:xVal>
          <c:yVal>
            <c:numRef>
              <c:f>05_残差診断!$P$5:$P$28</c:f>
              <c:numCache>
                <c:formatCode>0.000</c:formatCode>
                <c:ptCount val="24"/>
                <c:pt idx="0">
                  <c:v>-0.283636363636397</c:v>
                </c:pt>
                <c:pt idx="1">
                  <c:v>0.1190909090909</c:v>
                </c:pt>
                <c:pt idx="2">
                  <c:v>0.24590909090908</c:v>
                </c:pt>
                <c:pt idx="3">
                  <c:v>0.0959090909090818</c:v>
                </c:pt>
                <c:pt idx="4">
                  <c:v>-0.0440909090909187</c:v>
                </c:pt>
                <c:pt idx="5">
                  <c:v>-0.180909090909097</c:v>
                </c:pt>
                <c:pt idx="6">
                  <c:v>-0.344090909090916</c:v>
                </c:pt>
                <c:pt idx="7">
                  <c:v>0.0163636363636499</c:v>
                </c:pt>
                <c:pt idx="8">
                  <c:v>-0.480909090909101</c:v>
                </c:pt>
                <c:pt idx="9">
                  <c:v>0.0763636363636095</c:v>
                </c:pt>
                <c:pt idx="10">
                  <c:v>0.0659090909090807</c:v>
                </c:pt>
                <c:pt idx="11">
                  <c:v>-0.223636363636359</c:v>
                </c:pt>
                <c:pt idx="12">
                  <c:v>0.395909090909079</c:v>
                </c:pt>
                <c:pt idx="13">
                  <c:v>-0.480909090909101</c:v>
                </c:pt>
                <c:pt idx="14">
                  <c:v>-0.194090909090917</c:v>
                </c:pt>
                <c:pt idx="15">
                  <c:v>-0.583636363636373</c:v>
                </c:pt>
                <c:pt idx="16">
                  <c:v>0.919090909090897</c:v>
                </c:pt>
                <c:pt idx="17">
                  <c:v>0.519090909090899</c:v>
                </c:pt>
                <c:pt idx="18">
                  <c:v>0.376363636363621</c:v>
                </c:pt>
                <c:pt idx="19">
                  <c:v>-0.0140909090909176</c:v>
                </c:pt>
                <c:pt idx="20">
                  <c:v>-0.0140909090909176</c:v>
                </c:pt>
                <c:pt idx="21">
                  <c:v>-0.0140909090909176</c:v>
                </c:pt>
                <c:pt idx="22">
                  <c:v>-0.0140909090909176</c:v>
                </c:pt>
                <c:pt idx="23">
                  <c:v>-0.0140909090909176</c:v>
                </c:pt>
              </c:numCache>
            </c:numRef>
          </c:yVal>
          <c:smooth val="1"/>
        </c:ser>
        <c:axId val="1585970"/>
        <c:axId val="28333190"/>
      </c:scatterChart>
      <c:valAx>
        <c:axId val="158597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予測値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333190"/>
        <c:crosses val="autoZero"/>
        <c:crossBetween val="midCat"/>
      </c:valAx>
      <c:valAx>
        <c:axId val="283331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残差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85970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正規確率プロット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"正規確率プロット"</c:f>
              <c:strCache>
                <c:ptCount val="1"/>
                <c:pt idx="0">
                  <c:v>正規確率プロット</c:v>
                </c:pt>
              </c:strCache>
            </c:strRef>
          </c:tx>
          <c:spPr>
            <a:solidFill>
              <a:srgbClr val="ffffff"/>
            </a:solidFill>
            <a:ln w="47520">
              <a:noFill/>
            </a:ln>
          </c:spPr>
          <c:marker>
            <c:symbol val="circle"/>
            <c:size val="6"/>
            <c:spPr>
              <a:noFill/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05_残差診断!$R$5:$R$28</c:f>
              <c:numCache>
                <c:formatCode>0.000</c:formatCode>
                <c:ptCount val="24"/>
                <c:pt idx="0">
                  <c:v>-0.583636363636373</c:v>
                </c:pt>
                <c:pt idx="1">
                  <c:v>-0.480909090909101</c:v>
                </c:pt>
                <c:pt idx="2">
                  <c:v>-0.480909090909101</c:v>
                </c:pt>
                <c:pt idx="3">
                  <c:v>-0.344090909090916</c:v>
                </c:pt>
                <c:pt idx="4">
                  <c:v>-0.283636363636397</c:v>
                </c:pt>
                <c:pt idx="5">
                  <c:v>-0.223636363636359</c:v>
                </c:pt>
                <c:pt idx="6">
                  <c:v>-0.194090909090917</c:v>
                </c:pt>
                <c:pt idx="7">
                  <c:v>-0.180909090909097</c:v>
                </c:pt>
                <c:pt idx="8">
                  <c:v>-0.0440909090909187</c:v>
                </c:pt>
                <c:pt idx="9">
                  <c:v>-0.0140909090909176</c:v>
                </c:pt>
                <c:pt idx="10">
                  <c:v>0.0163636363636499</c:v>
                </c:pt>
                <c:pt idx="11">
                  <c:v>0.0659090909090807</c:v>
                </c:pt>
                <c:pt idx="12">
                  <c:v>0.0763636363636095</c:v>
                </c:pt>
                <c:pt idx="13">
                  <c:v>0.0959090909090818</c:v>
                </c:pt>
                <c:pt idx="14">
                  <c:v>0.1190909090909</c:v>
                </c:pt>
                <c:pt idx="15">
                  <c:v>0.24590909090908</c:v>
                </c:pt>
                <c:pt idx="16">
                  <c:v>0.376363636363621</c:v>
                </c:pt>
                <c:pt idx="17">
                  <c:v>0.395909090909079</c:v>
                </c:pt>
                <c:pt idx="18">
                  <c:v>0.519090909090899</c:v>
                </c:pt>
                <c:pt idx="19">
                  <c:v>0.919090909090897</c:v>
                </c:pt>
                <c:pt idx="20">
                  <c:v>0.919090909090897</c:v>
                </c:pt>
                <c:pt idx="21">
                  <c:v>0.919090909090897</c:v>
                </c:pt>
                <c:pt idx="22">
                  <c:v>0.919090909090897</c:v>
                </c:pt>
                <c:pt idx="23">
                  <c:v>0.919090909090897</c:v>
                </c:pt>
              </c:numCache>
            </c:numRef>
          </c:xVal>
          <c:yVal>
            <c:numRef>
              <c:f>05_残差診断!$S$5:$S$28</c:f>
              <c:numCache>
                <c:formatCode>0.000</c:formatCode>
                <c:ptCount val="24"/>
                <c:pt idx="0">
                  <c:v>-1.86824165486393</c:v>
                </c:pt>
                <c:pt idx="1">
                  <c:v>-1.4034126358514</c:v>
                </c:pt>
                <c:pt idx="2">
                  <c:v>-1.12814364527876</c:v>
                </c:pt>
                <c:pt idx="3">
                  <c:v>-0.91913552204621</c:v>
                </c:pt>
                <c:pt idx="4">
                  <c:v>-0.744142742220168</c:v>
                </c:pt>
                <c:pt idx="5">
                  <c:v>-0.589455797849779</c:v>
                </c:pt>
                <c:pt idx="6">
                  <c:v>-0.447767518482949</c:v>
                </c:pt>
                <c:pt idx="7">
                  <c:v>-0.314572291838885</c:v>
                </c:pt>
                <c:pt idx="8">
                  <c:v>-0.186756121063737</c:v>
                </c:pt>
                <c:pt idx="9">
                  <c:v>-0.0619316234553173</c:v>
                </c:pt>
                <c:pt idx="10">
                  <c:v>0.0619316234553173</c:v>
                </c:pt>
                <c:pt idx="11">
                  <c:v>0.186756121063737</c:v>
                </c:pt>
                <c:pt idx="12">
                  <c:v>0.314572291838885</c:v>
                </c:pt>
                <c:pt idx="13">
                  <c:v>0.447767518482949</c:v>
                </c:pt>
                <c:pt idx="14">
                  <c:v>0.589455797849779</c:v>
                </c:pt>
                <c:pt idx="15">
                  <c:v>0.744142742220168</c:v>
                </c:pt>
                <c:pt idx="16">
                  <c:v>0.91913552204621</c:v>
                </c:pt>
                <c:pt idx="17">
                  <c:v>1.12814364527876</c:v>
                </c:pt>
                <c:pt idx="18">
                  <c:v>1.4034126358514</c:v>
                </c:pt>
                <c:pt idx="19">
                  <c:v>1.86824165486393</c:v>
                </c:pt>
                <c:pt idx="20">
                  <c:v>1.86824165486393</c:v>
                </c:pt>
                <c:pt idx="21">
                  <c:v>1.86824165486393</c:v>
                </c:pt>
                <c:pt idx="22">
                  <c:v>1.86824165486393</c:v>
                </c:pt>
                <c:pt idx="23">
                  <c:v>1.86824165486393</c:v>
                </c:pt>
              </c:numCache>
            </c:numRef>
          </c:yVal>
          <c:smooth val="1"/>
        </c:ser>
        <c:axId val="33190254"/>
        <c:axId val="86928042"/>
      </c:scatterChart>
      <c:valAx>
        <c:axId val="3319025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残差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928042"/>
        <c:crosses val="autoZero"/>
        <c:crossBetween val="midCat"/>
      </c:valAx>
      <c:valAx>
        <c:axId val="869280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理論分位点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190254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残差 vs 実験順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"残差 vs 実験順"</c:f>
              <c:strCache>
                <c:ptCount val="1"/>
                <c:pt idx="0">
                  <c:v>残差 vs 実験順</c:v>
                </c:pt>
              </c:strCache>
            </c:strRef>
          </c:tx>
          <c:spPr>
            <a:solidFill>
              <a:srgbClr val="ffffff"/>
            </a:solidFill>
            <a:ln w="47520">
              <a:noFill/>
            </a:ln>
          </c:spPr>
          <c:marker>
            <c:symbol val="circle"/>
            <c:size val="6"/>
            <c:spPr>
              <a:noFill/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05_残差診断!$Q$5:$Q$28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</c:numCache>
            </c:numRef>
          </c:xVal>
          <c:yVal>
            <c:numRef>
              <c:f>05_残差診断!$P$5:$P$28</c:f>
              <c:numCache>
                <c:formatCode>0.000</c:formatCode>
                <c:ptCount val="24"/>
                <c:pt idx="0">
                  <c:v>-0.283636363636397</c:v>
                </c:pt>
                <c:pt idx="1">
                  <c:v>0.1190909090909</c:v>
                </c:pt>
                <c:pt idx="2">
                  <c:v>0.24590909090908</c:v>
                </c:pt>
                <c:pt idx="3">
                  <c:v>0.0959090909090818</c:v>
                </c:pt>
                <c:pt idx="4">
                  <c:v>-0.0440909090909187</c:v>
                </c:pt>
                <c:pt idx="5">
                  <c:v>-0.180909090909097</c:v>
                </c:pt>
                <c:pt idx="6">
                  <c:v>-0.344090909090916</c:v>
                </c:pt>
                <c:pt idx="7">
                  <c:v>0.0163636363636499</c:v>
                </c:pt>
                <c:pt idx="8">
                  <c:v>-0.480909090909101</c:v>
                </c:pt>
                <c:pt idx="9">
                  <c:v>0.0763636363636095</c:v>
                </c:pt>
                <c:pt idx="10">
                  <c:v>0.0659090909090807</c:v>
                </c:pt>
                <c:pt idx="11">
                  <c:v>-0.223636363636359</c:v>
                </c:pt>
                <c:pt idx="12">
                  <c:v>0.395909090909079</c:v>
                </c:pt>
                <c:pt idx="13">
                  <c:v>-0.480909090909101</c:v>
                </c:pt>
                <c:pt idx="14">
                  <c:v>-0.194090909090917</c:v>
                </c:pt>
                <c:pt idx="15">
                  <c:v>-0.583636363636373</c:v>
                </c:pt>
                <c:pt idx="16">
                  <c:v>0.919090909090897</c:v>
                </c:pt>
                <c:pt idx="17">
                  <c:v>0.519090909090899</c:v>
                </c:pt>
                <c:pt idx="18">
                  <c:v>0.376363636363621</c:v>
                </c:pt>
                <c:pt idx="19">
                  <c:v>-0.0140909090909176</c:v>
                </c:pt>
                <c:pt idx="20">
                  <c:v>-0.0140909090909176</c:v>
                </c:pt>
                <c:pt idx="21">
                  <c:v>-0.0140909090909176</c:v>
                </c:pt>
                <c:pt idx="22">
                  <c:v>-0.0140909090909176</c:v>
                </c:pt>
                <c:pt idx="23">
                  <c:v>-0.0140909090909176</c:v>
                </c:pt>
              </c:numCache>
            </c:numRef>
          </c:yVal>
          <c:smooth val="1"/>
        </c:ser>
        <c:axId val="20943780"/>
        <c:axId val="59109189"/>
      </c:scatterChart>
      <c:valAx>
        <c:axId val="2094378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実験順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109189"/>
        <c:crosses val="autoZero"/>
        <c:crossBetween val="midCat"/>
      </c:valAx>
      <c:valAx>
        <c:axId val="5910918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残差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943780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実測 vs 予測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"実測 vs 予測"</c:f>
              <c:strCache>
                <c:ptCount val="1"/>
                <c:pt idx="0">
                  <c:v>実測 vs 予測</c:v>
                </c:pt>
              </c:strCache>
            </c:strRef>
          </c:tx>
          <c:spPr>
            <a:solidFill>
              <a:srgbClr val="ffffff"/>
            </a:solidFill>
            <a:ln w="47520">
              <a:noFill/>
            </a:ln>
          </c:spPr>
          <c:marker>
            <c:symbol val="circle"/>
            <c:size val="6"/>
            <c:spPr>
              <a:noFill/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05_残差診断!$O$5:$O$28</c:f>
              <c:numCache>
                <c:formatCode>0.00</c:formatCode>
                <c:ptCount val="24"/>
                <c:pt idx="0">
                  <c:v>48.5836363636364</c:v>
                </c:pt>
                <c:pt idx="1">
                  <c:v>48.3809090909091</c:v>
                </c:pt>
                <c:pt idx="2">
                  <c:v>38.1540909090909</c:v>
                </c:pt>
                <c:pt idx="3">
                  <c:v>42.9040909090909</c:v>
                </c:pt>
                <c:pt idx="4">
                  <c:v>41.2440909090909</c:v>
                </c:pt>
                <c:pt idx="5">
                  <c:v>48.3809090909091</c:v>
                </c:pt>
                <c:pt idx="6">
                  <c:v>38.9440909090909</c:v>
                </c:pt>
                <c:pt idx="7">
                  <c:v>43.2836363636364</c:v>
                </c:pt>
                <c:pt idx="8">
                  <c:v>48.3809090909091</c:v>
                </c:pt>
                <c:pt idx="9">
                  <c:v>45.8236363636364</c:v>
                </c:pt>
                <c:pt idx="10">
                  <c:v>46.9340909090909</c:v>
                </c:pt>
                <c:pt idx="11">
                  <c:v>48.5236363636364</c:v>
                </c:pt>
                <c:pt idx="12">
                  <c:v>42.8040909090909</c:v>
                </c:pt>
                <c:pt idx="13">
                  <c:v>48.3809090909091</c:v>
                </c:pt>
                <c:pt idx="14">
                  <c:v>50.2940909090909</c:v>
                </c:pt>
                <c:pt idx="15">
                  <c:v>44.2836363636364</c:v>
                </c:pt>
                <c:pt idx="16">
                  <c:v>48.3809090909091</c:v>
                </c:pt>
                <c:pt idx="17">
                  <c:v>48.3809090909091</c:v>
                </c:pt>
                <c:pt idx="18">
                  <c:v>48.4236363636364</c:v>
                </c:pt>
                <c:pt idx="19">
                  <c:v>40.3140909090909</c:v>
                </c:pt>
                <c:pt idx="20">
                  <c:v>40.3140909090909</c:v>
                </c:pt>
                <c:pt idx="21">
                  <c:v>40.3140909090909</c:v>
                </c:pt>
                <c:pt idx="22">
                  <c:v>40.3140909090909</c:v>
                </c:pt>
                <c:pt idx="23">
                  <c:v>40.3140909090909</c:v>
                </c:pt>
              </c:numCache>
            </c:numRef>
          </c:xVal>
          <c:yVal>
            <c:numRef>
              <c:f>05_残差診断!$T$5:$T$28</c:f>
              <c:numCache>
                <c:formatCode>0.00</c:formatCode>
                <c:ptCount val="24"/>
                <c:pt idx="0">
                  <c:v>48.3</c:v>
                </c:pt>
                <c:pt idx="1">
                  <c:v>48.5</c:v>
                </c:pt>
                <c:pt idx="2">
                  <c:v>38.4</c:v>
                </c:pt>
                <c:pt idx="3">
                  <c:v>43</c:v>
                </c:pt>
                <c:pt idx="4">
                  <c:v>41.2</c:v>
                </c:pt>
                <c:pt idx="5">
                  <c:v>48.2</c:v>
                </c:pt>
                <c:pt idx="6">
                  <c:v>38.6</c:v>
                </c:pt>
                <c:pt idx="7">
                  <c:v>43.3</c:v>
                </c:pt>
                <c:pt idx="8">
                  <c:v>47.9</c:v>
                </c:pt>
                <c:pt idx="9">
                  <c:v>45.9</c:v>
                </c:pt>
                <c:pt idx="10">
                  <c:v>47</c:v>
                </c:pt>
                <c:pt idx="11">
                  <c:v>48.3</c:v>
                </c:pt>
                <c:pt idx="12">
                  <c:v>43.2</c:v>
                </c:pt>
                <c:pt idx="13">
                  <c:v>47.9</c:v>
                </c:pt>
                <c:pt idx="14">
                  <c:v>50.1</c:v>
                </c:pt>
                <c:pt idx="15">
                  <c:v>43.7</c:v>
                </c:pt>
                <c:pt idx="16">
                  <c:v>49.3</c:v>
                </c:pt>
                <c:pt idx="17">
                  <c:v>48.9</c:v>
                </c:pt>
                <c:pt idx="18">
                  <c:v>48.8</c:v>
                </c:pt>
                <c:pt idx="19">
                  <c:v>40.3</c:v>
                </c:pt>
                <c:pt idx="20">
                  <c:v>40.3</c:v>
                </c:pt>
                <c:pt idx="21">
                  <c:v>40.3</c:v>
                </c:pt>
                <c:pt idx="22">
                  <c:v>40.3</c:v>
                </c:pt>
                <c:pt idx="23">
                  <c:v>40.3</c:v>
                </c:pt>
              </c:numCache>
            </c:numRef>
          </c:yVal>
          <c:smooth val="1"/>
        </c:ser>
        <c:axId val="8606498"/>
        <c:axId val="12505445"/>
      </c:scatterChart>
      <c:valAx>
        <c:axId val="860649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予測値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505445"/>
        <c:crosses val="autoZero"/>
        <c:crossBetween val="midCat"/>
      </c:valAx>
      <c:valAx>
        <c:axId val="125054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実測値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06498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21</xdr:col>
      <xdr:colOff>0</xdr:colOff>
      <xdr:row>2</xdr:row>
      <xdr:rowOff>106920</xdr:rowOff>
    </xdr:from>
    <xdr:to>
      <xdr:col>28</xdr:col>
      <xdr:colOff>39240</xdr:colOff>
      <xdr:row>15</xdr:row>
      <xdr:rowOff>141480</xdr:rowOff>
    </xdr:to>
    <xdr:graphicFrame>
      <xdr:nvGraphicFramePr>
        <xdr:cNvPr id="0" name="Chart 1"/>
        <xdr:cNvGraphicFramePr/>
      </xdr:nvGraphicFramePr>
      <xdr:xfrm>
        <a:off x="12363480" y="571680"/>
        <a:ext cx="43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29</xdr:col>
      <xdr:colOff>0</xdr:colOff>
      <xdr:row>2</xdr:row>
      <xdr:rowOff>106920</xdr:rowOff>
    </xdr:from>
    <xdr:to>
      <xdr:col>36</xdr:col>
      <xdr:colOff>39240</xdr:colOff>
      <xdr:row>15</xdr:row>
      <xdr:rowOff>141480</xdr:rowOff>
    </xdr:to>
    <xdr:graphicFrame>
      <xdr:nvGraphicFramePr>
        <xdr:cNvPr id="1" name="Chart 2"/>
        <xdr:cNvGraphicFramePr/>
      </xdr:nvGraphicFramePr>
      <xdr:xfrm>
        <a:off x="17255520" y="571680"/>
        <a:ext cx="43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21</xdr:col>
      <xdr:colOff>0</xdr:colOff>
      <xdr:row>17</xdr:row>
      <xdr:rowOff>108360</xdr:rowOff>
    </xdr:from>
    <xdr:to>
      <xdr:col>28</xdr:col>
      <xdr:colOff>39240</xdr:colOff>
      <xdr:row>31</xdr:row>
      <xdr:rowOff>141120</xdr:rowOff>
    </xdr:to>
    <xdr:graphicFrame>
      <xdr:nvGraphicFramePr>
        <xdr:cNvPr id="2" name="Chart 3"/>
        <xdr:cNvGraphicFramePr/>
      </xdr:nvGraphicFramePr>
      <xdr:xfrm>
        <a:off x="12363480" y="3619440"/>
        <a:ext cx="43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29</xdr:col>
      <xdr:colOff>0</xdr:colOff>
      <xdr:row>17</xdr:row>
      <xdr:rowOff>108360</xdr:rowOff>
    </xdr:from>
    <xdr:to>
      <xdr:col>36</xdr:col>
      <xdr:colOff>39240</xdr:colOff>
      <xdr:row>31</xdr:row>
      <xdr:rowOff>141120</xdr:rowOff>
    </xdr:to>
    <xdr:graphicFrame>
      <xdr:nvGraphicFramePr>
        <xdr:cNvPr id="3" name="Chart 4"/>
        <xdr:cNvGraphicFramePr/>
      </xdr:nvGraphicFramePr>
      <xdr:xfrm>
        <a:off x="17255520" y="3619440"/>
        <a:ext cx="43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B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0"/>
  </cols>
  <sheetData>
    <row r="1" customFormat="false" ht="21.6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</row>
    <row r="5" customFormat="false" ht="45" hidden="false" customHeight="true" outlineLevel="0" collapsed="false">
      <c r="A5" s="4"/>
      <c r="B5" s="5" t="s">
        <v>3</v>
      </c>
    </row>
    <row r="6" customFormat="false" ht="15" hidden="false" customHeight="false" outlineLevel="0" collapsed="false">
      <c r="A6" s="3" t="s">
        <v>4</v>
      </c>
      <c r="B6" s="3"/>
    </row>
    <row r="7" customFormat="false" ht="30" hidden="false" customHeight="true" outlineLevel="0" collapsed="false">
      <c r="A7" s="4" t="s">
        <v>5</v>
      </c>
      <c r="B7" s="6" t="s">
        <v>6</v>
      </c>
    </row>
    <row r="8" customFormat="false" ht="18" hidden="false" customHeight="true" outlineLevel="0" collapsed="false">
      <c r="A8" s="4" t="s">
        <v>7</v>
      </c>
      <c r="B8" s="6" t="s">
        <v>8</v>
      </c>
    </row>
    <row r="9" customFormat="false" ht="18" hidden="false" customHeight="true" outlineLevel="0" collapsed="false">
      <c r="A9" s="4" t="s">
        <v>9</v>
      </c>
      <c r="B9" s="6" t="s">
        <v>10</v>
      </c>
    </row>
    <row r="10" customFormat="false" ht="18" hidden="false" customHeight="true" outlineLevel="0" collapsed="false">
      <c r="A10" s="4" t="s">
        <v>11</v>
      </c>
      <c r="B10" s="6" t="s">
        <v>12</v>
      </c>
    </row>
    <row r="11" customFormat="false" ht="18" hidden="false" customHeight="true" outlineLevel="0" collapsed="false">
      <c r="A11" s="4" t="s">
        <v>13</v>
      </c>
      <c r="B11" s="6" t="s">
        <v>14</v>
      </c>
    </row>
    <row r="12" customFormat="false" ht="18" hidden="false" customHeight="true" outlineLevel="0" collapsed="false">
      <c r="A12" s="4" t="s">
        <v>15</v>
      </c>
      <c r="B12" s="6" t="s">
        <v>16</v>
      </c>
    </row>
    <row r="13" customFormat="false" ht="18" hidden="false" customHeight="true" outlineLevel="0" collapsed="false">
      <c r="A13" s="4" t="s">
        <v>17</v>
      </c>
      <c r="B13" s="6" t="s">
        <v>18</v>
      </c>
    </row>
    <row r="14" customFormat="false" ht="18" hidden="false" customHeight="true" outlineLevel="0" collapsed="false">
      <c r="A14" s="4" t="s">
        <v>19</v>
      </c>
      <c r="B14" s="5" t="s">
        <v>20</v>
      </c>
    </row>
    <row r="15" customFormat="false" ht="18" hidden="false" customHeight="true" outlineLevel="0" collapsed="false">
      <c r="A15" s="4" t="s">
        <v>21</v>
      </c>
      <c r="B15" s="6" t="s">
        <v>22</v>
      </c>
    </row>
    <row r="16" customFormat="false" ht="15" hidden="false" customHeight="false" outlineLevel="0" collapsed="false">
      <c r="A16" s="3" t="s">
        <v>23</v>
      </c>
      <c r="B16" s="3"/>
    </row>
    <row r="17" customFormat="false" ht="18" hidden="false" customHeight="true" outlineLevel="0" collapsed="false">
      <c r="A17" s="7" t="s">
        <v>24</v>
      </c>
      <c r="B17" s="6" t="s">
        <v>25</v>
      </c>
    </row>
    <row r="18" customFormat="false" ht="30" hidden="false" customHeight="true" outlineLevel="0" collapsed="false">
      <c r="A18" s="7" t="s">
        <v>26</v>
      </c>
      <c r="B18" s="6" t="s">
        <v>27</v>
      </c>
    </row>
    <row r="19" customFormat="false" ht="15" hidden="false" customHeight="false" outlineLevel="0" collapsed="false">
      <c r="A19" s="3" t="s">
        <v>28</v>
      </c>
      <c r="B19" s="3"/>
    </row>
    <row r="20" customFormat="false" ht="18" hidden="false" customHeight="true" outlineLevel="0" collapsed="false">
      <c r="A20" s="7" t="s">
        <v>29</v>
      </c>
      <c r="B20" s="6" t="s">
        <v>30</v>
      </c>
    </row>
    <row r="21" customFormat="false" ht="30" hidden="false" customHeight="true" outlineLevel="0" collapsed="false">
      <c r="A21" s="7" t="s">
        <v>31</v>
      </c>
      <c r="B21" s="6" t="s">
        <v>32</v>
      </c>
    </row>
    <row r="22" customFormat="false" ht="45" hidden="false" customHeight="true" outlineLevel="0" collapsed="false">
      <c r="A22" s="7" t="s">
        <v>33</v>
      </c>
      <c r="B22" s="6" t="s">
        <v>34</v>
      </c>
    </row>
    <row r="23" customFormat="false" ht="18" hidden="false" customHeight="true" outlineLevel="0" collapsed="false">
      <c r="A23" s="7" t="s">
        <v>35</v>
      </c>
      <c r="B23" s="6" t="s">
        <v>36</v>
      </c>
    </row>
    <row r="24" customFormat="false" ht="30" hidden="false" customHeight="true" outlineLevel="0" collapsed="false">
      <c r="A24" s="7" t="s">
        <v>37</v>
      </c>
      <c r="B24" s="5" t="s">
        <v>38</v>
      </c>
    </row>
    <row r="25" customFormat="false" ht="18" hidden="false" customHeight="true" outlineLevel="0" collapsed="false">
      <c r="A25" s="7" t="s">
        <v>39</v>
      </c>
      <c r="B25" s="5" t="s">
        <v>40</v>
      </c>
    </row>
    <row r="26" customFormat="false" ht="30" hidden="false" customHeight="true" outlineLevel="0" collapsed="false">
      <c r="A26" s="7" t="s">
        <v>41</v>
      </c>
      <c r="B26" s="6" t="s">
        <v>42</v>
      </c>
    </row>
    <row r="27" customFormat="false" ht="30" hidden="false" customHeight="true" outlineLevel="0" collapsed="false">
      <c r="A27" s="7" t="s">
        <v>43</v>
      </c>
      <c r="B27" s="5" t="s">
        <v>44</v>
      </c>
    </row>
    <row r="28" customFormat="false" ht="30" hidden="false" customHeight="true" outlineLevel="0" collapsed="false">
      <c r="A28" s="7" t="s">
        <v>45</v>
      </c>
      <c r="B28" s="6" t="s">
        <v>46</v>
      </c>
    </row>
  </sheetData>
  <mergeCells count="4">
    <mergeCell ref="A4:B4"/>
    <mergeCell ref="A6:B6"/>
    <mergeCell ref="A16:B16"/>
    <mergeCell ref="A19:B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N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7"/>
    <col collapsed="false" customWidth="true" hidden="false" outlineLevel="0" max="4" min="4" style="0" width="9"/>
    <col collapsed="false" customWidth="true" hidden="false" outlineLevel="0" max="6" min="5" style="0" width="10"/>
    <col collapsed="false" customWidth="true" hidden="false" outlineLevel="0" max="7" min="7" style="0" width="9"/>
    <col collapsed="false" customWidth="true" hidden="false" outlineLevel="0" max="8" min="8" style="0" width="8"/>
    <col collapsed="false" customWidth="true" hidden="false" outlineLevel="0" max="11" min="9" style="0" width="9"/>
    <col collapsed="false" customWidth="true" hidden="false" outlineLevel="0" max="13" min="12" style="0" width="11"/>
    <col collapsed="false" customWidth="true" hidden="false" outlineLevel="0" max="14" min="14" style="0" width="46"/>
  </cols>
  <sheetData>
    <row r="1" customFormat="false" ht="21.6" hidden="false" customHeight="false" outlineLevel="0" collapsed="false">
      <c r="A1" s="8" t="s">
        <v>47</v>
      </c>
    </row>
    <row r="2" customFormat="false" ht="15" hidden="false" customHeight="false" outlineLevel="0" collapsed="false">
      <c r="A2" s="2" t="s">
        <v>48</v>
      </c>
    </row>
    <row r="4" customFormat="false" ht="29.85" hidden="false" customHeight="false" outlineLevel="0" collapsed="false">
      <c r="A4" s="9" t="s">
        <v>49</v>
      </c>
      <c r="B4" s="10" t="s">
        <v>50</v>
      </c>
      <c r="C4" s="10" t="s">
        <v>51</v>
      </c>
      <c r="D4" s="10" t="s">
        <v>52</v>
      </c>
      <c r="E4" s="10" t="s">
        <v>53</v>
      </c>
      <c r="F4" s="10" t="s">
        <v>54</v>
      </c>
      <c r="G4" s="10" t="s">
        <v>55</v>
      </c>
      <c r="H4" s="10" t="s">
        <v>56</v>
      </c>
      <c r="I4" s="10" t="s">
        <v>57</v>
      </c>
      <c r="J4" s="10" t="s">
        <v>58</v>
      </c>
      <c r="K4" s="10" t="s">
        <v>59</v>
      </c>
      <c r="L4" s="10" t="s">
        <v>60</v>
      </c>
      <c r="M4" s="10" t="s">
        <v>61</v>
      </c>
      <c r="N4" s="10" t="s">
        <v>62</v>
      </c>
    </row>
    <row r="5" customFormat="false" ht="29.85" hidden="false" customHeight="false" outlineLevel="0" collapsed="false">
      <c r="A5" s="11" t="n">
        <v>1</v>
      </c>
      <c r="B5" s="12" t="s">
        <v>63</v>
      </c>
      <c r="C5" s="13" t="s">
        <v>64</v>
      </c>
      <c r="D5" s="14" t="s">
        <v>65</v>
      </c>
      <c r="E5" s="12" t="n">
        <v>55</v>
      </c>
      <c r="F5" s="12" t="n">
        <v>75</v>
      </c>
      <c r="G5" s="15" t="n">
        <f aca="false">(E5+F5)/2</f>
        <v>65</v>
      </c>
      <c r="H5" s="15" t="n">
        <f aca="false">(F5-E5)/2</f>
        <v>10</v>
      </c>
      <c r="I5" s="12"/>
      <c r="J5" s="12" t="n">
        <v>80</v>
      </c>
      <c r="K5" s="14" t="s">
        <v>66</v>
      </c>
      <c r="L5" s="16" t="n">
        <f aca="false">IF(I5="",-99,(I5-G5)/H5)</f>
        <v>-99</v>
      </c>
      <c r="M5" s="16" t="n">
        <f aca="false">IF(J5="",99,(J5-G5)/H5)</f>
        <v>1.5</v>
      </c>
      <c r="N5" s="6" t="s">
        <v>67</v>
      </c>
    </row>
    <row r="6" customFormat="false" ht="15" hidden="false" customHeight="false" outlineLevel="0" collapsed="false">
      <c r="A6" s="11" t="n">
        <v>2</v>
      </c>
      <c r="B6" s="12" t="s">
        <v>68</v>
      </c>
      <c r="C6" s="13" t="s">
        <v>69</v>
      </c>
      <c r="D6" s="14" t="s">
        <v>70</v>
      </c>
      <c r="E6" s="12" t="n">
        <v>20</v>
      </c>
      <c r="F6" s="12" t="n">
        <v>40</v>
      </c>
      <c r="G6" s="15" t="n">
        <f aca="false">(E6+F6)/2</f>
        <v>30</v>
      </c>
      <c r="H6" s="15" t="n">
        <f aca="false">(F6-E6)/2</f>
        <v>10</v>
      </c>
      <c r="I6" s="12" t="n">
        <v>10</v>
      </c>
      <c r="J6" s="12"/>
      <c r="K6" s="14"/>
      <c r="L6" s="16" t="n">
        <f aca="false">IF(I6="",-99,(I6-G6)/H6)</f>
        <v>-2</v>
      </c>
      <c r="M6" s="16" t="n">
        <f aca="false">IF(J6="",99,(J6-G6)/H6)</f>
        <v>99</v>
      </c>
      <c r="N6" s="5"/>
    </row>
    <row r="7" customFormat="false" ht="15" hidden="false" customHeight="false" outlineLevel="0" collapsed="false">
      <c r="A7" s="11" t="n">
        <v>3</v>
      </c>
      <c r="B7" s="12" t="s">
        <v>71</v>
      </c>
      <c r="C7" s="13" t="s">
        <v>72</v>
      </c>
      <c r="D7" s="14" t="s">
        <v>73</v>
      </c>
      <c r="E7" s="12" t="n">
        <v>1</v>
      </c>
      <c r="F7" s="12" t="n">
        <v>3</v>
      </c>
      <c r="G7" s="15" t="n">
        <f aca="false">(E7+F7)/2</f>
        <v>2</v>
      </c>
      <c r="H7" s="15" t="n">
        <f aca="false">(F7-E7)/2</f>
        <v>1</v>
      </c>
      <c r="I7" s="12" t="n">
        <v>0.5</v>
      </c>
      <c r="J7" s="12" t="n">
        <v>4</v>
      </c>
      <c r="K7" s="14"/>
      <c r="L7" s="16" t="n">
        <f aca="false">IF(I7="",-99,(I7-G7)/H7)</f>
        <v>-1.5</v>
      </c>
      <c r="M7" s="16" t="n">
        <f aca="false">IF(J7="",99,(J7-G7)/H7)</f>
        <v>2</v>
      </c>
      <c r="N7" s="6" t="s">
        <v>74</v>
      </c>
    </row>
    <row r="10" customFormat="false" ht="15" hidden="false" customHeight="false" outlineLevel="0" collapsed="false">
      <c r="A10" s="17" t="s">
        <v>75</v>
      </c>
    </row>
    <row r="11" customFormat="false" ht="15" hidden="false" customHeight="false" outlineLevel="0" collapsed="false">
      <c r="A11" s="18" t="s">
        <v>76</v>
      </c>
      <c r="B11" s="12" t="s">
        <v>77</v>
      </c>
    </row>
    <row r="12" customFormat="false" ht="15" hidden="false" customHeight="false" outlineLevel="0" collapsed="false">
      <c r="A12" s="18" t="s">
        <v>52</v>
      </c>
      <c r="B12" s="14" t="s">
        <v>78</v>
      </c>
    </row>
    <row r="13" customFormat="false" ht="15" hidden="false" customHeight="false" outlineLevel="0" collapsed="false">
      <c r="A13" s="18" t="s">
        <v>79</v>
      </c>
      <c r="B13" s="12" t="s">
        <v>80</v>
      </c>
      <c r="C13" s="19" t="s">
        <v>81</v>
      </c>
    </row>
    <row r="14" customFormat="false" ht="15" hidden="false" customHeight="false" outlineLevel="0" collapsed="false">
      <c r="A14" s="18" t="s">
        <v>82</v>
      </c>
      <c r="B14" s="20" t="n">
        <v>48.5</v>
      </c>
    </row>
    <row r="15" customFormat="false" ht="15" hidden="false" customHeight="false" outlineLevel="0" collapsed="false">
      <c r="A15" s="18" t="s">
        <v>83</v>
      </c>
      <c r="B15" s="20"/>
    </row>
    <row r="16" customFormat="false" ht="15" hidden="false" customHeight="false" outlineLevel="0" collapsed="false">
      <c r="A16" s="18" t="s">
        <v>84</v>
      </c>
      <c r="B16" s="20"/>
    </row>
    <row r="17" customFormat="false" ht="15" hidden="false" customHeight="false" outlineLevel="0" collapsed="false">
      <c r="A17" s="18" t="s">
        <v>85</v>
      </c>
      <c r="B17" s="21" t="n">
        <v>0.95</v>
      </c>
      <c r="C17" s="19" t="s">
        <v>86</v>
      </c>
    </row>
    <row r="19" customFormat="false" ht="15" hidden="false" customHeight="false" outlineLevel="0" collapsed="false">
      <c r="A19" s="17" t="s">
        <v>87</v>
      </c>
    </row>
    <row r="20" customFormat="false" ht="15" hidden="false" customHeight="false" outlineLevel="0" collapsed="false">
      <c r="A20" s="18" t="s">
        <v>88</v>
      </c>
      <c r="B20" s="12" t="s">
        <v>89</v>
      </c>
      <c r="C20" s="22" t="s">
        <v>90</v>
      </c>
    </row>
    <row r="21" customFormat="false" ht="15" hidden="false" customHeight="false" outlineLevel="0" collapsed="false">
      <c r="A21" s="18" t="s">
        <v>91</v>
      </c>
      <c r="B21" s="14" t="n">
        <v>6</v>
      </c>
      <c r="C21" s="19" t="s">
        <v>92</v>
      </c>
    </row>
    <row r="22" customFormat="false" ht="15" hidden="false" customHeight="false" outlineLevel="0" collapsed="false">
      <c r="A22" s="23" t="s">
        <v>93</v>
      </c>
      <c r="B22" s="16" t="n">
        <f aca="false">IF(B20="回転可能CCD(α=1.682)",1.68179283050743,1)</f>
        <v>1</v>
      </c>
    </row>
    <row r="23" customFormat="false" ht="15" hidden="false" customHeight="false" outlineLevel="0" collapsed="false">
      <c r="A23" s="18" t="s">
        <v>94</v>
      </c>
      <c r="B23" s="24" t="n">
        <f aca="false">B26+B21</f>
        <v>20</v>
      </c>
    </row>
    <row r="24" customFormat="false" ht="15" hidden="false" customHeight="false" outlineLevel="0" collapsed="false">
      <c r="A24" s="18" t="s">
        <v>95</v>
      </c>
      <c r="B24" s="12" t="s">
        <v>96</v>
      </c>
      <c r="C24" s="19" t="s">
        <v>97</v>
      </c>
    </row>
    <row r="25" customFormat="false" ht="15" hidden="false" customHeight="false" outlineLevel="0" collapsed="false">
      <c r="A25" s="18" t="s">
        <v>98</v>
      </c>
      <c r="B25" s="24" t="n">
        <f aca="false">IFERROR(MATCH("○",K5:K7,0),0)</f>
        <v>1</v>
      </c>
    </row>
    <row r="26" customFormat="false" ht="15" hidden="false" customHeight="false" outlineLevel="0" collapsed="false">
      <c r="A26" s="18" t="s">
        <v>99</v>
      </c>
      <c r="B26" s="24" t="n">
        <f aca="false">IF(B20="Box-Behnken",12,14)</f>
        <v>14</v>
      </c>
    </row>
    <row r="27" customFormat="false" ht="15" hidden="false" customHeight="false" outlineLevel="0" collapsed="false">
      <c r="A27" s="17" t="s">
        <v>100</v>
      </c>
    </row>
    <row r="28" customFormat="false" ht="29.85" hidden="false" customHeight="false" outlineLevel="0" collapsed="false">
      <c r="A28" s="10" t="s">
        <v>101</v>
      </c>
      <c r="B28" s="10" t="s">
        <v>102</v>
      </c>
      <c r="C28" s="10" t="s">
        <v>103</v>
      </c>
      <c r="D28" s="10" t="s">
        <v>57</v>
      </c>
      <c r="E28" s="10" t="s">
        <v>58</v>
      </c>
      <c r="F28" s="10" t="s">
        <v>104</v>
      </c>
    </row>
    <row r="29" customFormat="false" ht="15" hidden="false" customHeight="false" outlineLevel="0" collapsed="false">
      <c r="A29" s="24" t="str">
        <f aca="false">B5</f>
        <v>炉温</v>
      </c>
      <c r="B29" s="15" t="n">
        <f aca="false">G5-$B$22*H5</f>
        <v>55</v>
      </c>
      <c r="C29" s="15" t="n">
        <f aca="false">G5+$B$22*H5</f>
        <v>75</v>
      </c>
      <c r="D29" s="24" t="str">
        <f aca="false">IF(I5="","―",I5)</f>
        <v>―</v>
      </c>
      <c r="E29" s="24" t="n">
        <f aca="false">IF(J5="","―",J5)</f>
        <v>80</v>
      </c>
      <c r="F29" s="25" t="str">
        <f aca="false">IF(AND(OR(I5="",B29&gt;=I5),OR(J5="",C29&lt;=J5)),"OK","安全限界超過")</f>
        <v>OK</v>
      </c>
    </row>
    <row r="30" customFormat="false" ht="15" hidden="false" customHeight="false" outlineLevel="0" collapsed="false">
      <c r="A30" s="24" t="str">
        <f aca="false">B6</f>
        <v>乾燥時間</v>
      </c>
      <c r="B30" s="15" t="n">
        <f aca="false">G6-$B$22*H6</f>
        <v>20</v>
      </c>
      <c r="C30" s="15" t="n">
        <f aca="false">G6+$B$22*H6</f>
        <v>40</v>
      </c>
      <c r="D30" s="24" t="n">
        <f aca="false">IF(I6="","―",I6)</f>
        <v>10</v>
      </c>
      <c r="E30" s="24" t="str">
        <f aca="false">IF(J6="","―",J6)</f>
        <v>―</v>
      </c>
      <c r="F30" s="25" t="str">
        <f aca="false">IF(AND(OR(I6="",B30&gt;=I6),OR(J6="",C30&lt;=J6)),"OK","安全限界超過")</f>
        <v>OK</v>
      </c>
    </row>
    <row r="31" customFormat="false" ht="15" hidden="false" customHeight="false" outlineLevel="0" collapsed="false">
      <c r="A31" s="24" t="str">
        <f aca="false">B7</f>
        <v>循環風速</v>
      </c>
      <c r="B31" s="15" t="n">
        <f aca="false">G7-$B$22*H7</f>
        <v>1</v>
      </c>
      <c r="C31" s="15" t="n">
        <f aca="false">G7+$B$22*H7</f>
        <v>3</v>
      </c>
      <c r="D31" s="24" t="n">
        <f aca="false">IF(I7="","―",I7)</f>
        <v>0.5</v>
      </c>
      <c r="E31" s="24" t="n">
        <f aca="false">IF(J7="","―",J7)</f>
        <v>4</v>
      </c>
      <c r="F31" s="25" t="str">
        <f aca="false">IF(AND(OR(I7="",B31&gt;=I7),OR(J7="",C31&lt;=J7)),"OK","安全限界超過")</f>
        <v>OK</v>
      </c>
    </row>
    <row r="32" customFormat="false" ht="15" hidden="false" customHeight="false" outlineLevel="0" collapsed="false">
      <c r="A32" s="18" t="s">
        <v>105</v>
      </c>
      <c r="B32" s="26" t="str">
        <f aca="false">IF(COUNTIF(F29:F31,"安全限界超過")&gt;0,"× 安全限界を超える実験点あり → この計画は実行不可。面心CCDかBox-Behnkenへ変更、または範囲を縮小","○ 全実験点が安全限界内")</f>
        <v>○ 全実験点が安全限界内</v>
      </c>
      <c r="C32" s="26"/>
      <c r="D32" s="26"/>
      <c r="E32" s="26"/>
      <c r="F32" s="26"/>
    </row>
  </sheetData>
  <mergeCells count="1">
    <mergeCell ref="B32:F32"/>
  </mergeCells>
  <conditionalFormatting sqref="F29:F31">
    <cfRule type="cellIs" priority="2" operator="equal" aboveAverage="0" equalAverage="0" bottom="0" percent="0" rank="0" text="" dxfId="0">
      <formula>"安全限界超過"</formula>
    </cfRule>
  </conditionalFormatting>
  <dataValidations count="5">
    <dataValidation allowBlank="true" errorStyle="stop" operator="between" showDropDown="false" showErrorMessage="false" showInputMessage="false" sqref="K5:K7" type="list">
      <formula1>"○"</formula1>
      <formula2>0</formula2>
    </dataValidation>
    <dataValidation allowBlank="false" errorStyle="stop" operator="between" showDropDown="false" showErrorMessage="false" showInputMessage="false" sqref="B13" type="list">
      <formula1>"最大化,最小化,目標値"</formula1>
      <formula2>0</formula2>
    </dataValidation>
    <dataValidation allowBlank="false" errorStyle="stop" operator="between" showDropDown="false" showErrorMessage="false" showInputMessage="false" sqref="B20" type="list">
      <formula1>"面心CCD(α=1),回転可能CCD(α=1.682),Box-Behnken"</formula1>
      <formula2>0</formula2>
    </dataValidation>
    <dataValidation allowBlank="false" errorStyle="stop" operator="between" showDropDown="false" showErrorMessage="false" showInputMessage="false" sqref="B21" type="whole">
      <formula1>3</formula1>
      <formula2>10</formula2>
    </dataValidation>
    <dataValidation allowBlank="false" errorStyle="stop" operator="between" showDropDown="false" showErrorMessage="false" showInputMessage="false" sqref="B24" type="list">
      <formula1>"完全ランダム,変更困難因子でグループ化"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X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3" min="3" style="0" width="5"/>
    <col collapsed="false" customWidth="true" hidden="false" outlineLevel="0" max="6" min="4" style="0" width="9"/>
    <col collapsed="false" customWidth="true" hidden="false" outlineLevel="0" max="9" min="7" style="0" width="13"/>
  </cols>
  <sheetData>
    <row r="1" customFormat="false" ht="21.6" hidden="false" customHeight="false" outlineLevel="0" collapsed="false">
      <c r="A1" s="8" t="s">
        <v>106</v>
      </c>
    </row>
    <row r="2" customFormat="false" ht="15" hidden="false" customHeight="false" outlineLevel="0" collapsed="false">
      <c r="A2" s="2" t="s">
        <v>107</v>
      </c>
    </row>
    <row r="4" customFormat="false" ht="29.85" hidden="false" customHeight="false" outlineLevel="0" collapsed="false">
      <c r="A4" s="10" t="s">
        <v>108</v>
      </c>
      <c r="B4" s="10" t="s">
        <v>109</v>
      </c>
      <c r="C4" s="10" t="s">
        <v>110</v>
      </c>
      <c r="D4" s="9" t="s">
        <v>111</v>
      </c>
      <c r="E4" s="9" t="s">
        <v>112</v>
      </c>
      <c r="F4" s="9" t="s">
        <v>113</v>
      </c>
      <c r="G4" s="10" t="str">
        <f aca="false">"X1 "&amp;01_因子設定!B5&amp;"["&amp;01_因子設定!D5&amp;"]"</f>
        <v>X1 炉温[℃]</v>
      </c>
      <c r="H4" s="10" t="str">
        <f aca="false">"X2 "&amp;01_因子設定!B6&amp;"["&amp;01_因子設定!D6&amp;"]"</f>
        <v>X2 乾燥時間[min]</v>
      </c>
      <c r="I4" s="10" t="str">
        <f aca="false">"X3 "&amp;01_因子設定!B7&amp;"["&amp;01_因子設定!D7&amp;"]"</f>
        <v>X3 循環風速[m/s]</v>
      </c>
      <c r="J4" s="10" t="s">
        <v>114</v>
      </c>
      <c r="K4" s="10" t="s">
        <v>115</v>
      </c>
      <c r="L4" s="10" t="s">
        <v>116</v>
      </c>
      <c r="M4" s="10" t="s">
        <v>117</v>
      </c>
      <c r="N4" s="9" t="s">
        <v>118</v>
      </c>
      <c r="P4" s="9" t="s">
        <v>119</v>
      </c>
      <c r="Q4" s="9" t="s">
        <v>120</v>
      </c>
      <c r="R4" s="9" t="s">
        <v>121</v>
      </c>
      <c r="S4" s="9" t="s">
        <v>122</v>
      </c>
      <c r="T4" s="9" t="s">
        <v>123</v>
      </c>
      <c r="U4" s="9" t="s">
        <v>124</v>
      </c>
      <c r="W4" s="10" t="s">
        <v>125</v>
      </c>
      <c r="X4" s="10" t="s">
        <v>126</v>
      </c>
    </row>
    <row r="5" customFormat="false" ht="15" hidden="false" customHeight="false" outlineLevel="0" collapsed="false">
      <c r="A5" s="11" t="n">
        <v>1</v>
      </c>
      <c r="B5" s="11" t="str">
        <f aca="false">IF(A5&gt;01_因子設定!$B$23,"未使用",IF(A5&gt;01_因子設定!$B$26,"中心点",IF(01_因子設定!$B$20="Box-Behnken","BBD点",IF(A5&lt;=8,"要因点","軸点"))))</f>
        <v>要因点</v>
      </c>
      <c r="C5" s="11" t="n">
        <f aca="false">IF(A5&lt;=01_因子設定!$B$23,1,0)</f>
        <v>1</v>
      </c>
      <c r="D5" s="27" t="n">
        <f aca="false">IF($C5=0,0,IF(01_因子設定!$B$20="Box-Behnken",S5,P5*IF($A5&gt;8,01_因子設定!$B$22,1)))</f>
        <v>-1</v>
      </c>
      <c r="E5" s="27" t="n">
        <f aca="false">IF($C5=0,0,IF(01_因子設定!$B$20="Box-Behnken",T5,Q5*IF($A5&gt;8,01_因子設定!$B$22,1)))</f>
        <v>-1</v>
      </c>
      <c r="F5" s="27" t="n">
        <f aca="false">IF($C5=0,0,IF(01_因子設定!$B$20="Box-Behnken",U5,R5*IF($A5&gt;8,01_因子設定!$B$22,1)))</f>
        <v>-1</v>
      </c>
      <c r="G5" s="28" t="n">
        <f aca="false">IF($C5=1,01_因子設定!$G$5+D5*01_因子設定!$H$5,"")</f>
        <v>55</v>
      </c>
      <c r="H5" s="28" t="n">
        <f aca="false">IF($C5=1,01_因子設定!$G$6+E5*01_因子設定!$H$6,"")</f>
        <v>20</v>
      </c>
      <c r="I5" s="28" t="n">
        <f aca="false">IF($C5=1,01_因子設定!$G$7+F5*01_因子設定!$H$7,"")</f>
        <v>1</v>
      </c>
      <c r="J5" s="11" t="str">
        <f aca="false">IF(C5=0,"",IF(AND(OR(01_因子設定!$I$5="",G5&gt;=01_因子設定!$I$5),OR(01_因子設定!$J$5="",G5&lt;=01_因子設定!$J$5),OR(01_因子設定!$I$6="",H5&gt;=01_因子設定!$I$6),OR(01_因子設定!$J$6="",H5&lt;=01_因子設定!$J$6),OR(01_因子設定!$I$7="",I5&gt;=01_因子設定!$I$7),OR(01_因子設定!$J$7="",I5&lt;=01_因子設定!$J$7)),"OK","安全限界超過"))</f>
        <v>OK</v>
      </c>
      <c r="K5" s="29" t="n">
        <v>0.085744</v>
      </c>
      <c r="L5" s="30" t="n">
        <f aca="false">IF(C5=0,99,IF(AND(01_因子設定!$B$24="変更困難因子でグループ化",01_因子設定!$B$25&gt;0),VLOOKUP(ROUND(INDEX(D5:F5,01_因子設定!$B$25),6),$W$5:$X$9,2,FALSE())+K5*0.9,K5))</f>
        <v>0.085744</v>
      </c>
      <c r="M5" s="31" t="n">
        <f aca="false">IF(C5=1,SUMPRODUCT(($C$5:$C$28=1)*($L$5:$L$28&lt;L5))+1,"")</f>
        <v>3</v>
      </c>
      <c r="N5" s="28" t="n">
        <f aca="false">IF(C5=1,INDEX(03_実験結果!$H$5:$H$28,M5),0)</f>
        <v>38.4</v>
      </c>
      <c r="P5" s="32" t="n">
        <v>-1</v>
      </c>
      <c r="Q5" s="32" t="n">
        <v>-1</v>
      </c>
      <c r="R5" s="32" t="n">
        <v>-1</v>
      </c>
      <c r="S5" s="32" t="n">
        <v>-1</v>
      </c>
      <c r="T5" s="32" t="n">
        <v>-1</v>
      </c>
      <c r="U5" s="32" t="n">
        <v>0</v>
      </c>
      <c r="W5" s="33" t="n">
        <v>-1.681793</v>
      </c>
      <c r="X5" s="12" t="n">
        <v>3</v>
      </c>
    </row>
    <row r="6" customFormat="false" ht="15" hidden="false" customHeight="false" outlineLevel="0" collapsed="false">
      <c r="A6" s="11" t="n">
        <v>2</v>
      </c>
      <c r="B6" s="11" t="str">
        <f aca="false">IF(A6&gt;01_因子設定!$B$23,"未使用",IF(A6&gt;01_因子設定!$B$26,"中心点",IF(01_因子設定!$B$20="Box-Behnken","BBD点",IF(A6&lt;=8,"要因点","軸点"))))</f>
        <v>要因点</v>
      </c>
      <c r="C6" s="11" t="n">
        <f aca="false">IF(A6&lt;=01_因子設定!$B$23,1,0)</f>
        <v>1</v>
      </c>
      <c r="D6" s="27" t="n">
        <f aca="false">IF($C6=0,0,IF(01_因子設定!$B$20="Box-Behnken",S6,P6*IF($A6&gt;8,01_因子設定!$B$22,1)))</f>
        <v>1</v>
      </c>
      <c r="E6" s="27" t="n">
        <f aca="false">IF($C6=0,0,IF(01_因子設定!$B$20="Box-Behnken",T6,Q6*IF($A6&gt;8,01_因子設定!$B$22,1)))</f>
        <v>-1</v>
      </c>
      <c r="F6" s="27" t="n">
        <f aca="false">IF($C6=0,0,IF(01_因子設定!$B$20="Box-Behnken",U6,R6*IF($A6&gt;8,01_因子設定!$B$22,1)))</f>
        <v>-1</v>
      </c>
      <c r="G6" s="28" t="n">
        <f aca="false">IF($C6=1,01_因子設定!$G$5+D6*01_因子設定!$H$5,"")</f>
        <v>75</v>
      </c>
      <c r="H6" s="28" t="n">
        <f aca="false">IF($C6=1,01_因子設定!$G$6+E6*01_因子設定!$H$6,"")</f>
        <v>20</v>
      </c>
      <c r="I6" s="28" t="n">
        <f aca="false">IF($C6=1,01_因子設定!$G$7+F6*01_因子設定!$H$7,"")</f>
        <v>1</v>
      </c>
      <c r="J6" s="11" t="str">
        <f aca="false">IF(C6=0,"",IF(AND(OR(01_因子設定!$I$5="",G6&gt;=01_因子設定!$I$5),OR(01_因子設定!$J$5="",G6&lt;=01_因子設定!$J$5),OR(01_因子設定!$I$6="",H6&gt;=01_因子設定!$I$6),OR(01_因子設定!$J$6="",H6&lt;=01_因子設定!$J$6),OR(01_因子設定!$I$7="",I6&gt;=01_因子設定!$I$7),OR(01_因子設定!$J$7="",I6&lt;=01_因子設定!$J$7)),"OK","安全限界超過"))</f>
        <v>OK</v>
      </c>
      <c r="K6" s="29" t="n">
        <v>0.317704</v>
      </c>
      <c r="L6" s="30" t="n">
        <f aca="false">IF(C6=0,99,IF(AND(01_因子設定!$B$24="変更困難因子でグループ化",01_因子設定!$B$25&gt;0),VLOOKUP(ROUND(INDEX(D6:F6,01_因子設定!$B$25),6),$W$5:$X$9,2,FALSE())+K6*0.9,K6))</f>
        <v>0.317704</v>
      </c>
      <c r="M6" s="31" t="n">
        <f aca="false">IF(C6=1,SUMPRODUCT(($C$5:$C$28=1)*($L$5:$L$28&lt;L6))+1,"")</f>
        <v>5</v>
      </c>
      <c r="N6" s="28" t="n">
        <f aca="false">IF(C6=1,INDEX(03_実験結果!$H$5:$H$28,M6),0)</f>
        <v>41.2</v>
      </c>
      <c r="P6" s="32" t="n">
        <v>1</v>
      </c>
      <c r="Q6" s="32" t="n">
        <v>-1</v>
      </c>
      <c r="R6" s="32" t="n">
        <v>-1</v>
      </c>
      <c r="S6" s="32" t="n">
        <v>1</v>
      </c>
      <c r="T6" s="32" t="n">
        <v>-1</v>
      </c>
      <c r="U6" s="32" t="n">
        <v>0</v>
      </c>
      <c r="W6" s="33" t="n">
        <v>-1</v>
      </c>
      <c r="X6" s="12" t="n">
        <v>1</v>
      </c>
    </row>
    <row r="7" customFormat="false" ht="15" hidden="false" customHeight="false" outlineLevel="0" collapsed="false">
      <c r="A7" s="11" t="n">
        <v>3</v>
      </c>
      <c r="B7" s="11" t="str">
        <f aca="false">IF(A7&gt;01_因子設定!$B$23,"未使用",IF(A7&gt;01_因子設定!$B$26,"中心点",IF(01_因子設定!$B$20="Box-Behnken","BBD点",IF(A7&lt;=8,"要因点","軸点"))))</f>
        <v>要因点</v>
      </c>
      <c r="C7" s="11" t="n">
        <f aca="false">IF(A7&lt;=01_因子設定!$B$23,1,0)</f>
        <v>1</v>
      </c>
      <c r="D7" s="27" t="n">
        <f aca="false">IF($C7=0,0,IF(01_因子設定!$B$20="Box-Behnken",S7,P7*IF($A7&gt;8,01_因子設定!$B$22,1)))</f>
        <v>-1</v>
      </c>
      <c r="E7" s="27" t="n">
        <f aca="false">IF($C7=0,0,IF(01_因子設定!$B$20="Box-Behnken",T7,Q7*IF($A7&gt;8,01_因子設定!$B$22,1)))</f>
        <v>1</v>
      </c>
      <c r="F7" s="27" t="n">
        <f aca="false">IF($C7=0,0,IF(01_因子設定!$B$20="Box-Behnken",U7,R7*IF($A7&gt;8,01_因子設定!$B$22,1)))</f>
        <v>-1</v>
      </c>
      <c r="G7" s="28" t="n">
        <f aca="false">IF($C7=1,01_因子設定!$G$5+D7*01_因子設定!$H$5,"")</f>
        <v>55</v>
      </c>
      <c r="H7" s="28" t="n">
        <f aca="false">IF($C7=1,01_因子設定!$G$6+E7*01_因子設定!$H$6,"")</f>
        <v>40</v>
      </c>
      <c r="I7" s="28" t="n">
        <f aca="false">IF($C7=1,01_因子設定!$G$7+F7*01_因子設定!$H$7,"")</f>
        <v>1</v>
      </c>
      <c r="J7" s="11" t="str">
        <f aca="false">IF(C7=0,"",IF(AND(OR(01_因子設定!$I$5="",G7&gt;=01_因子設定!$I$5),OR(01_因子設定!$J$5="",G7&lt;=01_因子設定!$J$5),OR(01_因子設定!$I$6="",H7&gt;=01_因子設定!$I$6),OR(01_因子設定!$J$6="",H7&lt;=01_因子設定!$J$6),OR(01_因子設定!$I$7="",I7&gt;=01_因子設定!$I$7),OR(01_因子設定!$J$7="",I7&lt;=01_因子設定!$J$7)),"OK","安全限界超過"))</f>
        <v>OK</v>
      </c>
      <c r="K7" s="29" t="n">
        <v>0.345364</v>
      </c>
      <c r="L7" s="30" t="n">
        <f aca="false">IF(C7=0,99,IF(AND(01_因子設定!$B$24="変更困難因子でグループ化",01_因子設定!$B$25&gt;0),VLOOKUP(ROUND(INDEX(D7:F7,01_因子設定!$B$25),6),$W$5:$X$9,2,FALSE())+K7*0.9,K7))</f>
        <v>0.345364</v>
      </c>
      <c r="M7" s="31" t="n">
        <f aca="false">IF(C7=1,SUMPRODUCT(($C$5:$C$28=1)*($L$5:$L$28&lt;L7))+1,"")</f>
        <v>7</v>
      </c>
      <c r="N7" s="28" t="n">
        <f aca="false">IF(C7=1,INDEX(03_実験結果!$H$5:$H$28,M7),0)</f>
        <v>38.6</v>
      </c>
      <c r="P7" s="32" t="n">
        <v>-1</v>
      </c>
      <c r="Q7" s="32" t="n">
        <v>1</v>
      </c>
      <c r="R7" s="32" t="n">
        <v>-1</v>
      </c>
      <c r="S7" s="32" t="n">
        <v>-1</v>
      </c>
      <c r="T7" s="32" t="n">
        <v>1</v>
      </c>
      <c r="U7" s="32" t="n">
        <v>0</v>
      </c>
      <c r="W7" s="33" t="n">
        <v>0</v>
      </c>
      <c r="X7" s="12" t="n">
        <v>5</v>
      </c>
    </row>
    <row r="8" customFormat="false" ht="15" hidden="false" customHeight="false" outlineLevel="0" collapsed="false">
      <c r="A8" s="11" t="n">
        <v>4</v>
      </c>
      <c r="B8" s="11" t="str">
        <f aca="false">IF(A8&gt;01_因子設定!$B$23,"未使用",IF(A8&gt;01_因子設定!$B$26,"中心点",IF(01_因子設定!$B$20="Box-Behnken","BBD点",IF(A8&lt;=8,"要因点","軸点"))))</f>
        <v>要因点</v>
      </c>
      <c r="C8" s="11" t="n">
        <f aca="false">IF(A8&lt;=01_因子設定!$B$23,1,0)</f>
        <v>1</v>
      </c>
      <c r="D8" s="27" t="n">
        <f aca="false">IF($C8=0,0,IF(01_因子設定!$B$20="Box-Behnken",S8,P8*IF($A8&gt;8,01_因子設定!$B$22,1)))</f>
        <v>1</v>
      </c>
      <c r="E8" s="27" t="n">
        <f aca="false">IF($C8=0,0,IF(01_因子設定!$B$20="Box-Behnken",T8,Q8*IF($A8&gt;8,01_因子設定!$B$22,1)))</f>
        <v>1</v>
      </c>
      <c r="F8" s="27" t="n">
        <f aca="false">IF($C8=0,0,IF(01_因子設定!$B$20="Box-Behnken",U8,R8*IF($A8&gt;8,01_因子設定!$B$22,1)))</f>
        <v>-1</v>
      </c>
      <c r="G8" s="28" t="n">
        <f aca="false">IF($C8=1,01_因子設定!$G$5+D8*01_因子設定!$H$5,"")</f>
        <v>75</v>
      </c>
      <c r="H8" s="28" t="n">
        <f aca="false">IF($C8=1,01_因子設定!$G$6+E8*01_因子設定!$H$6,"")</f>
        <v>40</v>
      </c>
      <c r="I8" s="28" t="n">
        <f aca="false">IF($C8=1,01_因子設定!$G$7+F8*01_因子設定!$H$7,"")</f>
        <v>1</v>
      </c>
      <c r="J8" s="11" t="str">
        <f aca="false">IF(C8=0,"",IF(AND(OR(01_因子設定!$I$5="",G8&gt;=01_因子設定!$I$5),OR(01_因子設定!$J$5="",G8&lt;=01_因子設定!$J$5),OR(01_因子設定!$I$6="",H8&gt;=01_因子設定!$I$6),OR(01_因子設定!$J$6="",H8&lt;=01_因子設定!$J$6),OR(01_因子設定!$I$7="",I8&gt;=01_因子設定!$I$7),OR(01_因子設定!$J$7="",I8&lt;=01_因子設定!$J$7)),"OK","安全限界超過"))</f>
        <v>OK</v>
      </c>
      <c r="K8" s="29" t="n">
        <v>0.508758</v>
      </c>
      <c r="L8" s="30" t="n">
        <f aca="false">IF(C8=0,99,IF(AND(01_因子設定!$B$24="変更困難因子でグループ化",01_因子設定!$B$25&gt;0),VLOOKUP(ROUND(INDEX(D8:F8,01_因子設定!$B$25),6),$W$5:$X$9,2,FALSE())+K8*0.9,K8))</f>
        <v>0.508758</v>
      </c>
      <c r="M8" s="31" t="n">
        <f aca="false">IF(C8=1,SUMPRODUCT(($C$5:$C$28=1)*($L$5:$L$28&lt;L8))+1,"")</f>
        <v>11</v>
      </c>
      <c r="N8" s="28" t="n">
        <f aca="false">IF(C8=1,INDEX(03_実験結果!$H$5:$H$28,M8),0)</f>
        <v>47</v>
      </c>
      <c r="P8" s="32" t="n">
        <v>1</v>
      </c>
      <c r="Q8" s="32" t="n">
        <v>1</v>
      </c>
      <c r="R8" s="32" t="n">
        <v>-1</v>
      </c>
      <c r="S8" s="32" t="n">
        <v>1</v>
      </c>
      <c r="T8" s="32" t="n">
        <v>1</v>
      </c>
      <c r="U8" s="32" t="n">
        <v>0</v>
      </c>
      <c r="W8" s="33" t="n">
        <v>1</v>
      </c>
      <c r="X8" s="12" t="n">
        <v>2</v>
      </c>
    </row>
    <row r="9" customFormat="false" ht="15" hidden="false" customHeight="false" outlineLevel="0" collapsed="false">
      <c r="A9" s="11" t="n">
        <v>5</v>
      </c>
      <c r="B9" s="11" t="str">
        <f aca="false">IF(A9&gt;01_因子設定!$B$23,"未使用",IF(A9&gt;01_因子設定!$B$26,"中心点",IF(01_因子設定!$B$20="Box-Behnken","BBD点",IF(A9&lt;=8,"要因点","軸点"))))</f>
        <v>要因点</v>
      </c>
      <c r="C9" s="11" t="n">
        <f aca="false">IF(A9&lt;=01_因子設定!$B$23,1,0)</f>
        <v>1</v>
      </c>
      <c r="D9" s="27" t="n">
        <f aca="false">IF($C9=0,0,IF(01_因子設定!$B$20="Box-Behnken",S9,P9*IF($A9&gt;8,01_因子設定!$B$22,1)))</f>
        <v>-1</v>
      </c>
      <c r="E9" s="27" t="n">
        <f aca="false">IF($C9=0,0,IF(01_因子設定!$B$20="Box-Behnken",T9,Q9*IF($A9&gt;8,01_因子設定!$B$22,1)))</f>
        <v>-1</v>
      </c>
      <c r="F9" s="27" t="n">
        <f aca="false">IF($C9=0,0,IF(01_因子設定!$B$20="Box-Behnken",U9,R9*IF($A9&gt;8,01_因子設定!$B$22,1)))</f>
        <v>1</v>
      </c>
      <c r="G9" s="28" t="n">
        <f aca="false">IF($C9=1,01_因子設定!$G$5+D9*01_因子設定!$H$5,"")</f>
        <v>55</v>
      </c>
      <c r="H9" s="28" t="n">
        <f aca="false">IF($C9=1,01_因子設定!$G$6+E9*01_因子設定!$H$6,"")</f>
        <v>20</v>
      </c>
      <c r="I9" s="28" t="n">
        <f aca="false">IF($C9=1,01_因子設定!$G$7+F9*01_因子設定!$H$7,"")</f>
        <v>3</v>
      </c>
      <c r="J9" s="11" t="str">
        <f aca="false">IF(C9=0,"",IF(AND(OR(01_因子設定!$I$5="",G9&gt;=01_因子設定!$I$5),OR(01_因子設定!$J$5="",G9&lt;=01_因子設定!$J$5),OR(01_因子設定!$I$6="",H9&gt;=01_因子設定!$I$6),OR(01_因子設定!$J$6="",H9&lt;=01_因子設定!$J$6),OR(01_因子設定!$I$7="",I9&gt;=01_因子設定!$I$7),OR(01_因子設定!$J$7="",I9&lt;=01_因子設定!$J$7)),"OK","安全限界超過"))</f>
        <v>OK</v>
      </c>
      <c r="K9" s="29" t="n">
        <v>0.972097</v>
      </c>
      <c r="L9" s="30" t="n">
        <f aca="false">IF(C9=0,99,IF(AND(01_因子設定!$B$24="変更困難因子でグループ化",01_因子設定!$B$25&gt;0),VLOOKUP(ROUND(INDEX(D9:F9,01_因子設定!$B$25),6),$W$5:$X$9,2,FALSE())+K9*0.9,K9))</f>
        <v>0.972097</v>
      </c>
      <c r="M9" s="31" t="n">
        <f aca="false">IF(C9=1,SUMPRODUCT(($C$5:$C$28=1)*($L$5:$L$28&lt;L9))+1,"")</f>
        <v>20</v>
      </c>
      <c r="N9" s="28" t="n">
        <f aca="false">IF(C9=1,INDEX(03_実験結果!$H$5:$H$28,M9),0)</f>
        <v>40.3</v>
      </c>
      <c r="P9" s="32" t="n">
        <v>-1</v>
      </c>
      <c r="Q9" s="32" t="n">
        <v>-1</v>
      </c>
      <c r="R9" s="32" t="n">
        <v>1</v>
      </c>
      <c r="S9" s="32" t="n">
        <v>-1</v>
      </c>
      <c r="T9" s="32" t="n">
        <v>0</v>
      </c>
      <c r="U9" s="32" t="n">
        <v>-1</v>
      </c>
      <c r="W9" s="33" t="n">
        <v>1.681793</v>
      </c>
      <c r="X9" s="12" t="n">
        <v>4</v>
      </c>
    </row>
    <row r="10" customFormat="false" ht="15" hidden="false" customHeight="false" outlineLevel="0" collapsed="false">
      <c r="A10" s="11" t="n">
        <v>6</v>
      </c>
      <c r="B10" s="11" t="str">
        <f aca="false">IF(A10&gt;01_因子設定!$B$23,"未使用",IF(A10&gt;01_因子設定!$B$26,"中心点",IF(01_因子設定!$B$20="Box-Behnken","BBD点",IF(A10&lt;=8,"要因点","軸点"))))</f>
        <v>要因点</v>
      </c>
      <c r="C10" s="11" t="n">
        <f aca="false">IF(A10&lt;=01_因子設定!$B$23,1,0)</f>
        <v>1</v>
      </c>
      <c r="D10" s="27" t="n">
        <f aca="false">IF($C10=0,0,IF(01_因子設定!$B$20="Box-Behnken",S10,P10*IF($A10&gt;8,01_因子設定!$B$22,1)))</f>
        <v>1</v>
      </c>
      <c r="E10" s="27" t="n">
        <f aca="false">IF($C10=0,0,IF(01_因子設定!$B$20="Box-Behnken",T10,Q10*IF($A10&gt;8,01_因子設定!$B$22,1)))</f>
        <v>-1</v>
      </c>
      <c r="F10" s="27" t="n">
        <f aca="false">IF($C10=0,0,IF(01_因子設定!$B$20="Box-Behnken",U10,R10*IF($A10&gt;8,01_因子設定!$B$22,1)))</f>
        <v>1</v>
      </c>
      <c r="G10" s="28" t="n">
        <f aca="false">IF($C10=1,01_因子設定!$G$5+D10*01_因子設定!$H$5,"")</f>
        <v>75</v>
      </c>
      <c r="H10" s="28" t="n">
        <f aca="false">IF($C10=1,01_因子設定!$G$6+E10*01_因子設定!$H$6,"")</f>
        <v>20</v>
      </c>
      <c r="I10" s="28" t="n">
        <f aca="false">IF($C10=1,01_因子設定!$G$7+F10*01_因子設定!$H$7,"")</f>
        <v>3</v>
      </c>
      <c r="J10" s="11" t="str">
        <f aca="false">IF(C10=0,"",IF(AND(OR(01_因子設定!$I$5="",G10&gt;=01_因子設定!$I$5),OR(01_因子設定!$J$5="",G10&lt;=01_因子設定!$J$5),OR(01_因子設定!$I$6="",H10&gt;=01_因子設定!$I$6),OR(01_因子設定!$J$6="",H10&lt;=01_因子設定!$J$6),OR(01_因子設定!$I$7="",I10&gt;=01_因子設定!$I$7),OR(01_因子設定!$J$7="",I10&lt;=01_因子設定!$J$7)),"OK","安全限界超過"))</f>
        <v>OK</v>
      </c>
      <c r="K10" s="29" t="n">
        <v>0.567553</v>
      </c>
      <c r="L10" s="30" t="n">
        <f aca="false">IF(C10=0,99,IF(AND(01_因子設定!$B$24="変更困難因子でグループ化",01_因子設定!$B$25&gt;0),VLOOKUP(ROUND(INDEX(D10:F10,01_因子設定!$B$25),6),$W$5:$X$9,2,FALSE())+K10*0.9,K10))</f>
        <v>0.567553</v>
      </c>
      <c r="M10" s="31" t="n">
        <f aca="false">IF(C10=1,SUMPRODUCT(($C$5:$C$28=1)*($L$5:$L$28&lt;L10))+1,"")</f>
        <v>13</v>
      </c>
      <c r="N10" s="28" t="n">
        <f aca="false">IF(C10=1,INDEX(03_実験結果!$H$5:$H$28,M10),0)</f>
        <v>43.2</v>
      </c>
      <c r="P10" s="32" t="n">
        <v>1</v>
      </c>
      <c r="Q10" s="32" t="n">
        <v>-1</v>
      </c>
      <c r="R10" s="32" t="n">
        <v>1</v>
      </c>
      <c r="S10" s="32" t="n">
        <v>1</v>
      </c>
      <c r="T10" s="32" t="n">
        <v>0</v>
      </c>
      <c r="U10" s="32" t="n">
        <v>-1</v>
      </c>
    </row>
    <row r="11" customFormat="false" ht="15" hidden="false" customHeight="false" outlineLevel="0" collapsed="false">
      <c r="A11" s="11" t="n">
        <v>7</v>
      </c>
      <c r="B11" s="11" t="str">
        <f aca="false">IF(A11&gt;01_因子設定!$B$23,"未使用",IF(A11&gt;01_因子設定!$B$26,"中心点",IF(01_因子設定!$B$20="Box-Behnken","BBD点",IF(A11&lt;=8,"要因点","軸点"))))</f>
        <v>要因点</v>
      </c>
      <c r="C11" s="11" t="n">
        <f aca="false">IF(A11&lt;=01_因子設定!$B$23,1,0)</f>
        <v>1</v>
      </c>
      <c r="D11" s="27" t="n">
        <f aca="false">IF($C11=0,0,IF(01_因子設定!$B$20="Box-Behnken",S11,P11*IF($A11&gt;8,01_因子設定!$B$22,1)))</f>
        <v>-1</v>
      </c>
      <c r="E11" s="27" t="n">
        <f aca="false">IF($C11=0,0,IF(01_因子設定!$B$20="Box-Behnken",T11,Q11*IF($A11&gt;8,01_因子設定!$B$22,1)))</f>
        <v>1</v>
      </c>
      <c r="F11" s="27" t="n">
        <f aca="false">IF($C11=0,0,IF(01_因子設定!$B$20="Box-Behnken",U11,R11*IF($A11&gt;8,01_因子設定!$B$22,1)))</f>
        <v>1</v>
      </c>
      <c r="G11" s="28" t="n">
        <f aca="false">IF($C11=1,01_因子設定!$G$5+D11*01_因子設定!$H$5,"")</f>
        <v>55</v>
      </c>
      <c r="H11" s="28" t="n">
        <f aca="false">IF($C11=1,01_因子設定!$G$6+E11*01_因子設定!$H$6,"")</f>
        <v>40</v>
      </c>
      <c r="I11" s="28" t="n">
        <f aca="false">IF($C11=1,01_因子設定!$G$7+F11*01_因子設定!$H$7,"")</f>
        <v>3</v>
      </c>
      <c r="J11" s="11" t="str">
        <f aca="false">IF(C11=0,"",IF(AND(OR(01_因子設定!$I$5="",G11&gt;=01_因子設定!$I$5),OR(01_因子設定!$J$5="",G11&lt;=01_因子設定!$J$5),OR(01_因子設定!$I$6="",H11&gt;=01_因子設定!$I$6),OR(01_因子設定!$J$6="",H11&lt;=01_因子設定!$J$6),OR(01_因子設定!$I$7="",I11&gt;=01_因子設定!$I$7),OR(01_因子設定!$J$7="",I11&lt;=01_因子設定!$J$7)),"OK","安全限界超過"))</f>
        <v>OK</v>
      </c>
      <c r="K11" s="29" t="n">
        <v>0.314194</v>
      </c>
      <c r="L11" s="30" t="n">
        <f aca="false">IF(C11=0,99,IF(AND(01_因子設定!$B$24="変更困難因子でグループ化",01_因子設定!$B$25&gt;0),VLOOKUP(ROUND(INDEX(D11:F11,01_因子設定!$B$25),6),$W$5:$X$9,2,FALSE())+K11*0.9,K11))</f>
        <v>0.314194</v>
      </c>
      <c r="M11" s="31" t="n">
        <f aca="false">IF(C11=1,SUMPRODUCT(($C$5:$C$28=1)*($L$5:$L$28&lt;L11))+1,"")</f>
        <v>4</v>
      </c>
      <c r="N11" s="28" t="n">
        <f aca="false">IF(C11=1,INDEX(03_実験結果!$H$5:$H$28,M11),0)</f>
        <v>43</v>
      </c>
      <c r="P11" s="32" t="n">
        <v>-1</v>
      </c>
      <c r="Q11" s="32" t="n">
        <v>1</v>
      </c>
      <c r="R11" s="32" t="n">
        <v>1</v>
      </c>
      <c r="S11" s="32" t="n">
        <v>-1</v>
      </c>
      <c r="T11" s="32" t="n">
        <v>0</v>
      </c>
      <c r="U11" s="32" t="n">
        <v>1</v>
      </c>
      <c r="W11" s="19" t="s">
        <v>127</v>
      </c>
    </row>
    <row r="12" customFormat="false" ht="15" hidden="false" customHeight="false" outlineLevel="0" collapsed="false">
      <c r="A12" s="11" t="n">
        <v>8</v>
      </c>
      <c r="B12" s="11" t="str">
        <f aca="false">IF(A12&gt;01_因子設定!$B$23,"未使用",IF(A12&gt;01_因子設定!$B$26,"中心点",IF(01_因子設定!$B$20="Box-Behnken","BBD点",IF(A12&lt;=8,"要因点","軸点"))))</f>
        <v>要因点</v>
      </c>
      <c r="C12" s="11" t="n">
        <f aca="false">IF(A12&lt;=01_因子設定!$B$23,1,0)</f>
        <v>1</v>
      </c>
      <c r="D12" s="27" t="n">
        <f aca="false">IF($C12=0,0,IF(01_因子設定!$B$20="Box-Behnken",S12,P12*IF($A12&gt;8,01_因子設定!$B$22,1)))</f>
        <v>1</v>
      </c>
      <c r="E12" s="27" t="n">
        <f aca="false">IF($C12=0,0,IF(01_因子設定!$B$20="Box-Behnken",T12,Q12*IF($A12&gt;8,01_因子設定!$B$22,1)))</f>
        <v>1</v>
      </c>
      <c r="F12" s="27" t="n">
        <f aca="false">IF($C12=0,0,IF(01_因子設定!$B$20="Box-Behnken",U12,R12*IF($A12&gt;8,01_因子設定!$B$22,1)))</f>
        <v>1</v>
      </c>
      <c r="G12" s="28" t="n">
        <f aca="false">IF($C12=1,01_因子設定!$G$5+D12*01_因子設定!$H$5,"")</f>
        <v>75</v>
      </c>
      <c r="H12" s="28" t="n">
        <f aca="false">IF($C12=1,01_因子設定!$G$6+E12*01_因子設定!$H$6,"")</f>
        <v>40</v>
      </c>
      <c r="I12" s="28" t="n">
        <f aca="false">IF($C12=1,01_因子設定!$G$7+F12*01_因子設定!$H$7,"")</f>
        <v>3</v>
      </c>
      <c r="J12" s="11" t="str">
        <f aca="false">IF(C12=0,"",IF(AND(OR(01_因子設定!$I$5="",G12&gt;=01_因子設定!$I$5),OR(01_因子設定!$J$5="",G12&lt;=01_因子設定!$J$5),OR(01_因子設定!$I$6="",H12&gt;=01_因子設定!$I$6),OR(01_因子設定!$J$6="",H12&lt;=01_因子設定!$J$6),OR(01_因子設定!$I$7="",I12&gt;=01_因子設定!$I$7),OR(01_因子設定!$J$7="",I12&lt;=01_因子設定!$J$7)),"OK","安全限界超過"))</f>
        <v>OK</v>
      </c>
      <c r="K12" s="29" t="n">
        <v>0.657406</v>
      </c>
      <c r="L12" s="30" t="n">
        <f aca="false">IF(C12=0,99,IF(AND(01_因子設定!$B$24="変更困難因子でグループ化",01_因子設定!$B$25&gt;0),VLOOKUP(ROUND(INDEX(D12:F12,01_因子設定!$B$25),6),$W$5:$X$9,2,FALSE())+K12*0.9,K12))</f>
        <v>0.657406</v>
      </c>
      <c r="M12" s="31" t="n">
        <f aca="false">IF(C12=1,SUMPRODUCT(($C$5:$C$28=1)*($L$5:$L$28&lt;L12))+1,"")</f>
        <v>15</v>
      </c>
      <c r="N12" s="28" t="n">
        <f aca="false">IF(C12=1,INDEX(03_実験結果!$H$5:$H$28,M12),0)</f>
        <v>50.1</v>
      </c>
      <c r="P12" s="32" t="n">
        <v>1</v>
      </c>
      <c r="Q12" s="32" t="n">
        <v>1</v>
      </c>
      <c r="R12" s="32" t="n">
        <v>1</v>
      </c>
      <c r="S12" s="32" t="n">
        <v>1</v>
      </c>
      <c r="T12" s="32" t="n">
        <v>0</v>
      </c>
      <c r="U12" s="32" t="n">
        <v>1</v>
      </c>
    </row>
    <row r="13" customFormat="false" ht="15" hidden="false" customHeight="false" outlineLevel="0" collapsed="false">
      <c r="A13" s="11" t="n">
        <v>9</v>
      </c>
      <c r="B13" s="11" t="str">
        <f aca="false">IF(A13&gt;01_因子設定!$B$23,"未使用",IF(A13&gt;01_因子設定!$B$26,"中心点",IF(01_因子設定!$B$20="Box-Behnken","BBD点",IF(A13&lt;=8,"要因点","軸点"))))</f>
        <v>軸点</v>
      </c>
      <c r="C13" s="11" t="n">
        <f aca="false">IF(A13&lt;=01_因子設定!$B$23,1,0)</f>
        <v>1</v>
      </c>
      <c r="D13" s="27" t="n">
        <f aca="false">IF($C13=0,0,IF(01_因子設定!$B$20="Box-Behnken",S13,P13*IF($A13&gt;8,01_因子設定!$B$22,1)))</f>
        <v>-1</v>
      </c>
      <c r="E13" s="27" t="n">
        <f aca="false">IF($C13=0,0,IF(01_因子設定!$B$20="Box-Behnken",T13,Q13*IF($A13&gt;8,01_因子設定!$B$22,1)))</f>
        <v>0</v>
      </c>
      <c r="F13" s="27" t="n">
        <f aca="false">IF($C13=0,0,IF(01_因子設定!$B$20="Box-Behnken",U13,R13*IF($A13&gt;8,01_因子設定!$B$22,1)))</f>
        <v>0</v>
      </c>
      <c r="G13" s="28" t="n">
        <f aca="false">IF($C13=1,01_因子設定!$G$5+D13*01_因子設定!$H$5,"")</f>
        <v>55</v>
      </c>
      <c r="H13" s="28" t="n">
        <f aca="false">IF($C13=1,01_因子設定!$G$6+E13*01_因子設定!$H$6,"")</f>
        <v>30</v>
      </c>
      <c r="I13" s="28" t="n">
        <f aca="false">IF($C13=1,01_因子設定!$G$7+F13*01_因子設定!$H$7,"")</f>
        <v>2</v>
      </c>
      <c r="J13" s="11" t="str">
        <f aca="false">IF(C13=0,"",IF(AND(OR(01_因子設定!$I$5="",G13&gt;=01_因子設定!$I$5),OR(01_因子設定!$J$5="",G13&lt;=01_因子設定!$J$5),OR(01_因子設定!$I$6="",H13&gt;=01_因子設定!$I$6),OR(01_因子設定!$J$6="",H13&lt;=01_因子設定!$J$6),OR(01_因子設定!$I$7="",I13&gt;=01_因子設定!$I$7),OR(01_因子設定!$J$7="",I13&lt;=01_因子設定!$J$7)),"OK","安全限界超過"))</f>
        <v>OK</v>
      </c>
      <c r="K13" s="29" t="n">
        <v>0.350569</v>
      </c>
      <c r="L13" s="30" t="n">
        <f aca="false">IF(C13=0,99,IF(AND(01_因子設定!$B$24="変更困難因子でグループ化",01_因子設定!$B$25&gt;0),VLOOKUP(ROUND(INDEX(D13:F13,01_因子設定!$B$25),6),$W$5:$X$9,2,FALSE())+K13*0.9,K13))</f>
        <v>0.350569</v>
      </c>
      <c r="M13" s="31" t="n">
        <f aca="false">IF(C13=1,SUMPRODUCT(($C$5:$C$28=1)*($L$5:$L$28&lt;L13))+1,"")</f>
        <v>8</v>
      </c>
      <c r="N13" s="28" t="n">
        <f aca="false">IF(C13=1,INDEX(03_実験結果!$H$5:$H$28,M13),0)</f>
        <v>43.3</v>
      </c>
      <c r="P13" s="32" t="n">
        <v>-1</v>
      </c>
      <c r="Q13" s="32" t="n">
        <v>0</v>
      </c>
      <c r="R13" s="32" t="n">
        <v>0</v>
      </c>
      <c r="S13" s="32" t="n">
        <v>0</v>
      </c>
      <c r="T13" s="32" t="n">
        <v>-1</v>
      </c>
      <c r="U13" s="32" t="n">
        <v>-1</v>
      </c>
    </row>
    <row r="14" customFormat="false" ht="15" hidden="false" customHeight="false" outlineLevel="0" collapsed="false">
      <c r="A14" s="11" t="n">
        <v>10</v>
      </c>
      <c r="B14" s="11" t="str">
        <f aca="false">IF(A14&gt;01_因子設定!$B$23,"未使用",IF(A14&gt;01_因子設定!$B$26,"中心点",IF(01_因子設定!$B$20="Box-Behnken","BBD点",IF(A14&lt;=8,"要因点","軸点"))))</f>
        <v>軸点</v>
      </c>
      <c r="C14" s="11" t="n">
        <f aca="false">IF(A14&lt;=01_因子設定!$B$23,1,0)</f>
        <v>1</v>
      </c>
      <c r="D14" s="27" t="n">
        <f aca="false">IF($C14=0,0,IF(01_因子設定!$B$20="Box-Behnken",S14,P14*IF($A14&gt;8,01_因子設定!$B$22,1)))</f>
        <v>1</v>
      </c>
      <c r="E14" s="27" t="n">
        <f aca="false">IF($C14=0,0,IF(01_因子設定!$B$20="Box-Behnken",T14,Q14*IF($A14&gt;8,01_因子設定!$B$22,1)))</f>
        <v>0</v>
      </c>
      <c r="F14" s="27" t="n">
        <f aca="false">IF($C14=0,0,IF(01_因子設定!$B$20="Box-Behnken",U14,R14*IF($A14&gt;8,01_因子設定!$B$22,1)))</f>
        <v>0</v>
      </c>
      <c r="G14" s="28" t="n">
        <f aca="false">IF($C14=1,01_因子設定!$G$5+D14*01_因子設定!$H$5,"")</f>
        <v>75</v>
      </c>
      <c r="H14" s="28" t="n">
        <f aca="false">IF($C14=1,01_因子設定!$G$6+E14*01_因子設定!$H$6,"")</f>
        <v>30</v>
      </c>
      <c r="I14" s="28" t="n">
        <f aca="false">IF($C14=1,01_因子設定!$G$7+F14*01_因子設定!$H$7,"")</f>
        <v>2</v>
      </c>
      <c r="J14" s="11" t="str">
        <f aca="false">IF(C14=0,"",IF(AND(OR(01_因子設定!$I$5="",G14&gt;=01_因子設定!$I$5),OR(01_因子設定!$J$5="",G14&lt;=01_因子設定!$J$5),OR(01_因子設定!$I$6="",H14&gt;=01_因子設定!$I$6),OR(01_因子設定!$J$6="",H14&lt;=01_因子設定!$J$6),OR(01_因子設定!$I$7="",I14&gt;=01_因子設定!$I$7),OR(01_因子設定!$J$7="",I14&lt;=01_因子設定!$J$7)),"OK","安全限界超過"))</f>
        <v>OK</v>
      </c>
      <c r="K14" s="29" t="n">
        <v>0.559888</v>
      </c>
      <c r="L14" s="30" t="n">
        <f aca="false">IF(C14=0,99,IF(AND(01_因子設定!$B$24="変更困難因子でグループ化",01_因子設定!$B$25&gt;0),VLOOKUP(ROUND(INDEX(D14:F14,01_因子設定!$B$25),6),$W$5:$X$9,2,FALSE())+K14*0.9,K14))</f>
        <v>0.559888</v>
      </c>
      <c r="M14" s="31" t="n">
        <f aca="false">IF(C14=1,SUMPRODUCT(($C$5:$C$28=1)*($L$5:$L$28&lt;L14))+1,"")</f>
        <v>12</v>
      </c>
      <c r="N14" s="28" t="n">
        <f aca="false">IF(C14=1,INDEX(03_実験結果!$H$5:$H$28,M14),0)</f>
        <v>48.3</v>
      </c>
      <c r="P14" s="32" t="n">
        <v>1</v>
      </c>
      <c r="Q14" s="32" t="n">
        <v>0</v>
      </c>
      <c r="R14" s="32" t="n">
        <v>0</v>
      </c>
      <c r="S14" s="32" t="n">
        <v>0</v>
      </c>
      <c r="T14" s="32" t="n">
        <v>1</v>
      </c>
      <c r="U14" s="32" t="n">
        <v>-1</v>
      </c>
    </row>
    <row r="15" customFormat="false" ht="15" hidden="false" customHeight="false" outlineLevel="0" collapsed="false">
      <c r="A15" s="11" t="n">
        <v>11</v>
      </c>
      <c r="B15" s="11" t="str">
        <f aca="false">IF(A15&gt;01_因子設定!$B$23,"未使用",IF(A15&gt;01_因子設定!$B$26,"中心点",IF(01_因子設定!$B$20="Box-Behnken","BBD点",IF(A15&lt;=8,"要因点","軸点"))))</f>
        <v>軸点</v>
      </c>
      <c r="C15" s="11" t="n">
        <f aca="false">IF(A15&lt;=01_因子設定!$B$23,1,0)</f>
        <v>1</v>
      </c>
      <c r="D15" s="27" t="n">
        <f aca="false">IF($C15=0,0,IF(01_因子設定!$B$20="Box-Behnken",S15,P15*IF($A15&gt;8,01_因子設定!$B$22,1)))</f>
        <v>0</v>
      </c>
      <c r="E15" s="27" t="n">
        <f aca="false">IF($C15=0,0,IF(01_因子設定!$B$20="Box-Behnken",T15,Q15*IF($A15&gt;8,01_因子設定!$B$22,1)))</f>
        <v>-1</v>
      </c>
      <c r="F15" s="27" t="n">
        <f aca="false">IF($C15=0,0,IF(01_因子設定!$B$20="Box-Behnken",U15,R15*IF($A15&gt;8,01_因子設定!$B$22,1)))</f>
        <v>0</v>
      </c>
      <c r="G15" s="28" t="n">
        <f aca="false">IF($C15=1,01_因子設定!$G$5+D15*01_因子設定!$H$5,"")</f>
        <v>65</v>
      </c>
      <c r="H15" s="28" t="n">
        <f aca="false">IF($C15=1,01_因子設定!$G$6+E15*01_因子設定!$H$6,"")</f>
        <v>20</v>
      </c>
      <c r="I15" s="28" t="n">
        <f aca="false">IF($C15=1,01_因子設定!$G$7+F15*01_因子設定!$H$7,"")</f>
        <v>2</v>
      </c>
      <c r="J15" s="11" t="str">
        <f aca="false">IF(C15=0,"",IF(AND(OR(01_因子設定!$I$5="",G15&gt;=01_因子設定!$I$5),OR(01_因子設定!$J$5="",G15&lt;=01_因子設定!$J$5),OR(01_因子設定!$I$6="",H15&gt;=01_因子設定!$I$6),OR(01_因子設定!$J$6="",H15&lt;=01_因子設定!$J$6),OR(01_因子設定!$I$7="",I15&gt;=01_因子設定!$I$7),OR(01_因子設定!$J$7="",I15&lt;=01_因子設定!$J$7)),"OK","安全限界超過"))</f>
        <v>OK</v>
      </c>
      <c r="K15" s="29" t="n">
        <v>0.681928</v>
      </c>
      <c r="L15" s="30" t="n">
        <f aca="false">IF(C15=0,99,IF(AND(01_因子設定!$B$24="変更困難因子でグループ化",01_因子設定!$B$25&gt;0),VLOOKUP(ROUND(INDEX(D15:F15,01_因子設定!$B$25),6),$W$5:$X$9,2,FALSE())+K15*0.9,K15))</f>
        <v>0.681928</v>
      </c>
      <c r="M15" s="31" t="n">
        <f aca="false">IF(C15=1,SUMPRODUCT(($C$5:$C$28=1)*($L$5:$L$28&lt;L15))+1,"")</f>
        <v>16</v>
      </c>
      <c r="N15" s="28" t="n">
        <f aca="false">IF(C15=1,INDEX(03_実験結果!$H$5:$H$28,M15),0)</f>
        <v>43.7</v>
      </c>
      <c r="P15" s="32" t="n">
        <v>0</v>
      </c>
      <c r="Q15" s="32" t="n">
        <v>-1</v>
      </c>
      <c r="R15" s="32" t="n">
        <v>0</v>
      </c>
      <c r="S15" s="32" t="n">
        <v>0</v>
      </c>
      <c r="T15" s="32" t="n">
        <v>-1</v>
      </c>
      <c r="U15" s="32" t="n">
        <v>1</v>
      </c>
    </row>
    <row r="16" customFormat="false" ht="15" hidden="false" customHeight="false" outlineLevel="0" collapsed="false">
      <c r="A16" s="11" t="n">
        <v>12</v>
      </c>
      <c r="B16" s="11" t="str">
        <f aca="false">IF(A16&gt;01_因子設定!$B$23,"未使用",IF(A16&gt;01_因子設定!$B$26,"中心点",IF(01_因子設定!$B$20="Box-Behnken","BBD点",IF(A16&lt;=8,"要因点","軸点"))))</f>
        <v>軸点</v>
      </c>
      <c r="C16" s="11" t="n">
        <f aca="false">IF(A16&lt;=01_因子設定!$B$23,1,0)</f>
        <v>1</v>
      </c>
      <c r="D16" s="27" t="n">
        <f aca="false">IF($C16=0,0,IF(01_因子設定!$B$20="Box-Behnken",S16,P16*IF($A16&gt;8,01_因子設定!$B$22,1)))</f>
        <v>0</v>
      </c>
      <c r="E16" s="27" t="n">
        <f aca="false">IF($C16=0,0,IF(01_因子設定!$B$20="Box-Behnken",T16,Q16*IF($A16&gt;8,01_因子設定!$B$22,1)))</f>
        <v>1</v>
      </c>
      <c r="F16" s="27" t="n">
        <f aca="false">IF($C16=0,0,IF(01_因子設定!$B$20="Box-Behnken",U16,R16*IF($A16&gt;8,01_因子設定!$B$22,1)))</f>
        <v>0</v>
      </c>
      <c r="G16" s="28" t="n">
        <f aca="false">IF($C16=1,01_因子設定!$G$5+D16*01_因子設定!$H$5,"")</f>
        <v>65</v>
      </c>
      <c r="H16" s="28" t="n">
        <f aca="false">IF($C16=1,01_因子設定!$G$6+E16*01_因子設定!$H$6,"")</f>
        <v>40</v>
      </c>
      <c r="I16" s="28" t="n">
        <f aca="false">IF($C16=1,01_因子設定!$G$7+F16*01_因子設定!$H$7,"")</f>
        <v>2</v>
      </c>
      <c r="J16" s="11" t="str">
        <f aca="false">IF(C16=0,"",IF(AND(OR(01_因子設定!$I$5="",G16&gt;=01_因子設定!$I$5),OR(01_因子設定!$J$5="",G16&lt;=01_因子設定!$J$5),OR(01_因子設定!$I$6="",H16&gt;=01_因子設定!$I$6),OR(01_因子設定!$J$6="",H16&lt;=01_因子設定!$J$6),OR(01_因子設定!$I$7="",I16&gt;=01_因子設定!$I$7),OR(01_因子設定!$J$7="",I16&lt;=01_因子設定!$J$7)),"OK","安全限界超過"))</f>
        <v>OK</v>
      </c>
      <c r="K16" s="29" t="n">
        <v>0.920446</v>
      </c>
      <c r="L16" s="30" t="n">
        <f aca="false">IF(C16=0,99,IF(AND(01_因子設定!$B$24="変更困難因子でグループ化",01_因子設定!$B$25&gt;0),VLOOKUP(ROUND(INDEX(D16:F16,01_因子設定!$B$25),6),$W$5:$X$9,2,FALSE())+K16*0.9,K16))</f>
        <v>0.920446</v>
      </c>
      <c r="M16" s="31" t="n">
        <f aca="false">IF(C16=1,SUMPRODUCT(($C$5:$C$28=1)*($L$5:$L$28&lt;L16))+1,"")</f>
        <v>19</v>
      </c>
      <c r="N16" s="28" t="n">
        <f aca="false">IF(C16=1,INDEX(03_実験結果!$H$5:$H$28,M16),0)</f>
        <v>48.8</v>
      </c>
      <c r="P16" s="32" t="n">
        <v>0</v>
      </c>
      <c r="Q16" s="32" t="n">
        <v>1</v>
      </c>
      <c r="R16" s="32" t="n">
        <v>0</v>
      </c>
      <c r="S16" s="32" t="n">
        <v>0</v>
      </c>
      <c r="T16" s="32" t="n">
        <v>1</v>
      </c>
      <c r="U16" s="32" t="n">
        <v>1</v>
      </c>
    </row>
    <row r="17" customFormat="false" ht="15" hidden="false" customHeight="false" outlineLevel="0" collapsed="false">
      <c r="A17" s="11" t="n">
        <v>13</v>
      </c>
      <c r="B17" s="11" t="str">
        <f aca="false">IF(A17&gt;01_因子設定!$B$23,"未使用",IF(A17&gt;01_因子設定!$B$26,"中心点",IF(01_因子設定!$B$20="Box-Behnken","BBD点",IF(A17&lt;=8,"要因点","軸点"))))</f>
        <v>軸点</v>
      </c>
      <c r="C17" s="11" t="n">
        <f aca="false">IF(A17&lt;=01_因子設定!$B$23,1,0)</f>
        <v>1</v>
      </c>
      <c r="D17" s="27" t="n">
        <f aca="false">IF($C17=0,0,IF(01_因子設定!$B$20="Box-Behnken",S17,P17*IF($A17&gt;8,01_因子設定!$B$22,1)))</f>
        <v>0</v>
      </c>
      <c r="E17" s="27" t="n">
        <f aca="false">IF($C17=0,0,IF(01_因子設定!$B$20="Box-Behnken",T17,Q17*IF($A17&gt;8,01_因子設定!$B$22,1)))</f>
        <v>0</v>
      </c>
      <c r="F17" s="27" t="n">
        <f aca="false">IF($C17=0,0,IF(01_因子設定!$B$20="Box-Behnken",U17,R17*IF($A17&gt;8,01_因子設定!$B$22,1)))</f>
        <v>-1</v>
      </c>
      <c r="G17" s="28" t="n">
        <f aca="false">IF($C17=1,01_因子設定!$G$5+D17*01_因子設定!$H$5,"")</f>
        <v>65</v>
      </c>
      <c r="H17" s="28" t="n">
        <f aca="false">IF($C17=1,01_因子設定!$G$6+E17*01_因子設定!$H$6,"")</f>
        <v>30</v>
      </c>
      <c r="I17" s="28" t="n">
        <f aca="false">IF($C17=1,01_因子設定!$G$7+F17*01_因子設定!$H$7,"")</f>
        <v>1</v>
      </c>
      <c r="J17" s="11" t="str">
        <f aca="false">IF(C17=0,"",IF(AND(OR(01_因子設定!$I$5="",G17&gt;=01_因子設定!$I$5),OR(01_因子設定!$J$5="",G17&lt;=01_因子設定!$J$5),OR(01_因子設定!$I$6="",H17&gt;=01_因子設定!$I$6),OR(01_因子設定!$J$6="",H17&lt;=01_因子設定!$J$6),OR(01_因子設定!$I$7="",I17&gt;=01_因子設定!$I$7),OR(01_因子設定!$J$7="",I17&lt;=01_因子設定!$J$7)),"OK","安全限界超過"))</f>
        <v>OK</v>
      </c>
      <c r="K17" s="29" t="n">
        <v>0.467942</v>
      </c>
      <c r="L17" s="30" t="n">
        <f aca="false">IF(C17=0,99,IF(AND(01_因子設定!$B$24="変更困難因子でグループ化",01_因子設定!$B$25&gt;0),VLOOKUP(ROUND(INDEX(D17:F17,01_因子設定!$B$25),6),$W$5:$X$9,2,FALSE())+K17*0.9,K17))</f>
        <v>0.467942</v>
      </c>
      <c r="M17" s="31" t="n">
        <f aca="false">IF(C17=1,SUMPRODUCT(($C$5:$C$28=1)*($L$5:$L$28&lt;L17))+1,"")</f>
        <v>10</v>
      </c>
      <c r="N17" s="28" t="n">
        <f aca="false">IF(C17=1,INDEX(03_実験結果!$H$5:$H$28,M17),0)</f>
        <v>45.9</v>
      </c>
      <c r="P17" s="32" t="n">
        <v>0</v>
      </c>
      <c r="Q17" s="32" t="n">
        <v>0</v>
      </c>
      <c r="R17" s="32" t="n">
        <v>-1</v>
      </c>
      <c r="S17" s="32" t="n">
        <v>0</v>
      </c>
      <c r="T17" s="32" t="n">
        <v>0</v>
      </c>
      <c r="U17" s="32" t="n">
        <v>0</v>
      </c>
    </row>
    <row r="18" customFormat="false" ht="15" hidden="false" customHeight="false" outlineLevel="0" collapsed="false">
      <c r="A18" s="11" t="n">
        <v>14</v>
      </c>
      <c r="B18" s="11" t="str">
        <f aca="false">IF(A18&gt;01_因子設定!$B$23,"未使用",IF(A18&gt;01_因子設定!$B$26,"中心点",IF(01_因子設定!$B$20="Box-Behnken","BBD点",IF(A18&lt;=8,"要因点","軸点"))))</f>
        <v>軸点</v>
      </c>
      <c r="C18" s="11" t="n">
        <f aca="false">IF(A18&lt;=01_因子設定!$B$23,1,0)</f>
        <v>1</v>
      </c>
      <c r="D18" s="27" t="n">
        <f aca="false">IF($C18=0,0,IF(01_因子設定!$B$20="Box-Behnken",S18,P18*IF($A18&gt;8,01_因子設定!$B$22,1)))</f>
        <v>0</v>
      </c>
      <c r="E18" s="27" t="n">
        <f aca="false">IF($C18=0,0,IF(01_因子設定!$B$20="Box-Behnken",T18,Q18*IF($A18&gt;8,01_因子設定!$B$22,1)))</f>
        <v>0</v>
      </c>
      <c r="F18" s="27" t="n">
        <f aca="false">IF($C18=0,0,IF(01_因子設定!$B$20="Box-Behnken",U18,R18*IF($A18&gt;8,01_因子設定!$B$22,1)))</f>
        <v>1</v>
      </c>
      <c r="G18" s="28" t="n">
        <f aca="false">IF($C18=1,01_因子設定!$G$5+D18*01_因子設定!$H$5,"")</f>
        <v>65</v>
      </c>
      <c r="H18" s="28" t="n">
        <f aca="false">IF($C18=1,01_因子設定!$G$6+E18*01_因子設定!$H$6,"")</f>
        <v>30</v>
      </c>
      <c r="I18" s="28" t="n">
        <f aca="false">IF($C18=1,01_因子設定!$G$7+F18*01_因子設定!$H$7,"")</f>
        <v>3</v>
      </c>
      <c r="J18" s="11" t="str">
        <f aca="false">IF(C18=0,"",IF(AND(OR(01_因子設定!$I$5="",G18&gt;=01_因子設定!$I$5),OR(01_因子設定!$J$5="",G18&lt;=01_因子設定!$J$5),OR(01_因子設定!$I$6="",H18&gt;=01_因子設定!$I$6),OR(01_因子設定!$J$6="",H18&lt;=01_因子設定!$J$6),OR(01_因子設定!$I$7="",I18&gt;=01_因子設定!$I$7),OR(01_因子設定!$J$7="",I18&lt;=01_因子設定!$J$7)),"OK","安全限界超過"))</f>
        <v>OK</v>
      </c>
      <c r="K18" s="29" t="n">
        <v>0.015268</v>
      </c>
      <c r="L18" s="30" t="n">
        <f aca="false">IF(C18=0,99,IF(AND(01_因子設定!$B$24="変更困難因子でグループ化",01_因子設定!$B$25&gt;0),VLOOKUP(ROUND(INDEX(D18:F18,01_因子設定!$B$25),6),$W$5:$X$9,2,FALSE())+K18*0.9,K18))</f>
        <v>0.015268</v>
      </c>
      <c r="M18" s="31" t="n">
        <f aca="false">IF(C18=1,SUMPRODUCT(($C$5:$C$28=1)*($L$5:$L$28&lt;L18))+1,"")</f>
        <v>1</v>
      </c>
      <c r="N18" s="28" t="n">
        <f aca="false">IF(C18=1,INDEX(03_実験結果!$H$5:$H$28,M18),0)</f>
        <v>48.3</v>
      </c>
      <c r="P18" s="32" t="n">
        <v>0</v>
      </c>
      <c r="Q18" s="32" t="n">
        <v>0</v>
      </c>
      <c r="R18" s="32" t="n">
        <v>1</v>
      </c>
      <c r="S18" s="32" t="n">
        <v>0</v>
      </c>
      <c r="T18" s="32" t="n">
        <v>0</v>
      </c>
      <c r="U18" s="32" t="n">
        <v>0</v>
      </c>
    </row>
    <row r="19" customFormat="false" ht="15" hidden="false" customHeight="false" outlineLevel="0" collapsed="false">
      <c r="A19" s="11" t="n">
        <v>15</v>
      </c>
      <c r="B19" s="11" t="str">
        <f aca="false">IF(A19&gt;01_因子設定!$B$23,"未使用",IF(A19&gt;01_因子設定!$B$26,"中心点",IF(01_因子設定!$B$20="Box-Behnken","BBD点",IF(A19&lt;=8,"要因点","軸点"))))</f>
        <v>中心点</v>
      </c>
      <c r="C19" s="11" t="n">
        <f aca="false">IF(A19&lt;=01_因子設定!$B$23,1,0)</f>
        <v>1</v>
      </c>
      <c r="D19" s="27" t="n">
        <f aca="false">IF($C19=0,0,IF(01_因子設定!$B$20="Box-Behnken",S19,P19*IF($A19&gt;8,01_因子設定!$B$22,1)))</f>
        <v>0</v>
      </c>
      <c r="E19" s="27" t="n">
        <f aca="false">IF($C19=0,0,IF(01_因子設定!$B$20="Box-Behnken",T19,Q19*IF($A19&gt;8,01_因子設定!$B$22,1)))</f>
        <v>0</v>
      </c>
      <c r="F19" s="27" t="n">
        <f aca="false">IF($C19=0,0,IF(01_因子設定!$B$20="Box-Behnken",U19,R19*IF($A19&gt;8,01_因子設定!$B$22,1)))</f>
        <v>0</v>
      </c>
      <c r="G19" s="28" t="n">
        <f aca="false">IF($C19=1,01_因子設定!$G$5+D19*01_因子設定!$H$5,"")</f>
        <v>65</v>
      </c>
      <c r="H19" s="28" t="n">
        <f aca="false">IF($C19=1,01_因子設定!$G$6+E19*01_因子設定!$H$6,"")</f>
        <v>30</v>
      </c>
      <c r="I19" s="28" t="n">
        <f aca="false">IF($C19=1,01_因子設定!$G$7+F19*01_因子設定!$H$7,"")</f>
        <v>2</v>
      </c>
      <c r="J19" s="11" t="str">
        <f aca="false">IF(C19=0,"",IF(AND(OR(01_因子設定!$I$5="",G19&gt;=01_因子設定!$I$5),OR(01_因子設定!$J$5="",G19&lt;=01_因子設定!$J$5),OR(01_因子設定!$I$6="",H19&gt;=01_因子設定!$I$6),OR(01_因子設定!$J$6="",H19&lt;=01_因子設定!$J$6),OR(01_因子設定!$I$7="",I19&gt;=01_因子設定!$I$7),OR(01_因子設定!$J$7="",I19&lt;=01_因子設定!$J$7)),"OK","安全限界超過"))</f>
        <v>OK</v>
      </c>
      <c r="K19" s="29" t="n">
        <v>0.030983</v>
      </c>
      <c r="L19" s="30" t="n">
        <f aca="false">IF(C19=0,99,IF(AND(01_因子設定!$B$24="変更困難因子でグループ化",01_因子設定!$B$25&gt;0),VLOOKUP(ROUND(INDEX(D19:F19,01_因子設定!$B$25),6),$W$5:$X$9,2,FALSE())+K19*0.9,K19))</f>
        <v>0.030983</v>
      </c>
      <c r="M19" s="31" t="n">
        <f aca="false">IF(C19=1,SUMPRODUCT(($C$5:$C$28=1)*($L$5:$L$28&lt;L19))+1,"")</f>
        <v>2</v>
      </c>
      <c r="N19" s="28" t="n">
        <f aca="false">IF(C19=1,INDEX(03_実験結果!$H$5:$H$28,M19),0)</f>
        <v>48.5</v>
      </c>
      <c r="P19" s="32" t="n">
        <v>0</v>
      </c>
      <c r="Q19" s="32" t="n">
        <v>0</v>
      </c>
      <c r="R19" s="32" t="n">
        <v>0</v>
      </c>
      <c r="S19" s="32" t="n">
        <v>0</v>
      </c>
      <c r="T19" s="32" t="n">
        <v>0</v>
      </c>
      <c r="U19" s="32" t="n">
        <v>0</v>
      </c>
    </row>
    <row r="20" customFormat="false" ht="15" hidden="false" customHeight="false" outlineLevel="0" collapsed="false">
      <c r="A20" s="11" t="n">
        <v>16</v>
      </c>
      <c r="B20" s="11" t="str">
        <f aca="false">IF(A20&gt;01_因子設定!$B$23,"未使用",IF(A20&gt;01_因子設定!$B$26,"中心点",IF(01_因子設定!$B$20="Box-Behnken","BBD点",IF(A20&lt;=8,"要因点","軸点"))))</f>
        <v>中心点</v>
      </c>
      <c r="C20" s="11" t="n">
        <f aca="false">IF(A20&lt;=01_因子設定!$B$23,1,0)</f>
        <v>1</v>
      </c>
      <c r="D20" s="27" t="n">
        <f aca="false">IF($C20=0,0,IF(01_因子設定!$B$20="Box-Behnken",S20,P20*IF($A20&gt;8,01_因子設定!$B$22,1)))</f>
        <v>0</v>
      </c>
      <c r="E20" s="27" t="n">
        <f aca="false">IF($C20=0,0,IF(01_因子設定!$B$20="Box-Behnken",T20,Q20*IF($A20&gt;8,01_因子設定!$B$22,1)))</f>
        <v>0</v>
      </c>
      <c r="F20" s="27" t="n">
        <f aca="false">IF($C20=0,0,IF(01_因子設定!$B$20="Box-Behnken",U20,R20*IF($A20&gt;8,01_因子設定!$B$22,1)))</f>
        <v>0</v>
      </c>
      <c r="G20" s="28" t="n">
        <f aca="false">IF($C20=1,01_因子設定!$G$5+D20*01_因子設定!$H$5,"")</f>
        <v>65</v>
      </c>
      <c r="H20" s="28" t="n">
        <f aca="false">IF($C20=1,01_因子設定!$G$6+E20*01_因子設定!$H$6,"")</f>
        <v>30</v>
      </c>
      <c r="I20" s="28" t="n">
        <f aca="false">IF($C20=1,01_因子設定!$G$7+F20*01_因子設定!$H$7,"")</f>
        <v>2</v>
      </c>
      <c r="J20" s="11" t="str">
        <f aca="false">IF(C20=0,"",IF(AND(OR(01_因子設定!$I$5="",G20&gt;=01_因子設定!$I$5),OR(01_因子設定!$J$5="",G20&lt;=01_因子設定!$J$5),OR(01_因子設定!$I$6="",H20&gt;=01_因子設定!$I$6),OR(01_因子設定!$J$6="",H20&lt;=01_因子設定!$J$6),OR(01_因子設定!$I$7="",I20&gt;=01_因子設定!$I$7),OR(01_因子設定!$J$7="",I20&lt;=01_因子設定!$J$7)),"OK","安全限界超過"))</f>
        <v>OK</v>
      </c>
      <c r="K20" s="29" t="n">
        <v>0.341024</v>
      </c>
      <c r="L20" s="30" t="n">
        <f aca="false">IF(C20=0,99,IF(AND(01_因子設定!$B$24="変更困難因子でグループ化",01_因子設定!$B$25&gt;0),VLOOKUP(ROUND(INDEX(D20:F20,01_因子設定!$B$25),6),$W$5:$X$9,2,FALSE())+K20*0.9,K20))</f>
        <v>0.341024</v>
      </c>
      <c r="M20" s="31" t="n">
        <f aca="false">IF(C20=1,SUMPRODUCT(($C$5:$C$28=1)*($L$5:$L$28&lt;L20))+1,"")</f>
        <v>6</v>
      </c>
      <c r="N20" s="28" t="n">
        <f aca="false">IF(C20=1,INDEX(03_実験結果!$H$5:$H$28,M20),0)</f>
        <v>48.2</v>
      </c>
      <c r="P20" s="32" t="n">
        <v>0</v>
      </c>
      <c r="Q20" s="32" t="n">
        <v>0</v>
      </c>
      <c r="R20" s="32" t="n">
        <v>0</v>
      </c>
      <c r="S20" s="32" t="n">
        <v>0</v>
      </c>
      <c r="T20" s="32" t="n">
        <v>0</v>
      </c>
      <c r="U20" s="32" t="n">
        <v>0</v>
      </c>
    </row>
    <row r="21" customFormat="false" ht="15" hidden="false" customHeight="false" outlineLevel="0" collapsed="false">
      <c r="A21" s="11" t="n">
        <v>17</v>
      </c>
      <c r="B21" s="11" t="str">
        <f aca="false">IF(A21&gt;01_因子設定!$B$23,"未使用",IF(A21&gt;01_因子設定!$B$26,"中心点",IF(01_因子設定!$B$20="Box-Behnken","BBD点",IF(A21&lt;=8,"要因点","軸点"))))</f>
        <v>中心点</v>
      </c>
      <c r="C21" s="11" t="n">
        <f aca="false">IF(A21&lt;=01_因子設定!$B$23,1,0)</f>
        <v>1</v>
      </c>
      <c r="D21" s="27" t="n">
        <f aca="false">IF($C21=0,0,IF(01_因子設定!$B$20="Box-Behnken",S21,P21*IF($A21&gt;8,01_因子設定!$B$22,1)))</f>
        <v>0</v>
      </c>
      <c r="E21" s="27" t="n">
        <f aca="false">IF($C21=0,0,IF(01_因子設定!$B$20="Box-Behnken",T21,Q21*IF($A21&gt;8,01_因子設定!$B$22,1)))</f>
        <v>0</v>
      </c>
      <c r="F21" s="27" t="n">
        <f aca="false">IF($C21=0,0,IF(01_因子設定!$B$20="Box-Behnken",U21,R21*IF($A21&gt;8,01_因子設定!$B$22,1)))</f>
        <v>0</v>
      </c>
      <c r="G21" s="28" t="n">
        <f aca="false">IF($C21=1,01_因子設定!$G$5+D21*01_因子設定!$H$5,"")</f>
        <v>65</v>
      </c>
      <c r="H21" s="28" t="n">
        <f aca="false">IF($C21=1,01_因子設定!$G$6+E21*01_因子設定!$H$6,"")</f>
        <v>30</v>
      </c>
      <c r="I21" s="28" t="n">
        <f aca="false">IF($C21=1,01_因子設定!$G$7+F21*01_因子設定!$H$7,"")</f>
        <v>2</v>
      </c>
      <c r="J21" s="11" t="str">
        <f aca="false">IF(C21=0,"",IF(AND(OR(01_因子設定!$I$5="",G21&gt;=01_因子設定!$I$5),OR(01_因子設定!$J$5="",G21&lt;=01_因子設定!$J$5),OR(01_因子設定!$I$6="",H21&gt;=01_因子設定!$I$6),OR(01_因子設定!$J$6="",H21&lt;=01_因子設定!$J$6),OR(01_因子設定!$I$7="",I21&gt;=01_因子設定!$I$7),OR(01_因子設定!$J$7="",I21&lt;=01_因子設定!$J$7)),"OK","安全限界超過"))</f>
        <v>OK</v>
      </c>
      <c r="K21" s="29" t="n">
        <v>0.833281</v>
      </c>
      <c r="L21" s="30" t="n">
        <f aca="false">IF(C21=0,99,IF(AND(01_因子設定!$B$24="変更困難因子でグループ化",01_因子設定!$B$25&gt;0),VLOOKUP(ROUND(INDEX(D21:F21,01_因子設定!$B$25),6),$W$5:$X$9,2,FALSE())+K21*0.9,K21))</f>
        <v>0.833281</v>
      </c>
      <c r="M21" s="31" t="n">
        <f aca="false">IF(C21=1,SUMPRODUCT(($C$5:$C$28=1)*($L$5:$L$28&lt;L21))+1,"")</f>
        <v>18</v>
      </c>
      <c r="N21" s="28" t="n">
        <f aca="false">IF(C21=1,INDEX(03_実験結果!$H$5:$H$28,M21),0)</f>
        <v>48.9</v>
      </c>
      <c r="P21" s="32" t="n">
        <v>0</v>
      </c>
      <c r="Q21" s="32" t="n">
        <v>0</v>
      </c>
      <c r="R21" s="32" t="n">
        <v>0</v>
      </c>
      <c r="S21" s="32" t="n">
        <v>0</v>
      </c>
      <c r="T21" s="32" t="n">
        <v>0</v>
      </c>
      <c r="U21" s="32" t="n">
        <v>0</v>
      </c>
    </row>
    <row r="22" customFormat="false" ht="15" hidden="false" customHeight="false" outlineLevel="0" collapsed="false">
      <c r="A22" s="11" t="n">
        <v>18</v>
      </c>
      <c r="B22" s="11" t="str">
        <f aca="false">IF(A22&gt;01_因子設定!$B$23,"未使用",IF(A22&gt;01_因子設定!$B$26,"中心点",IF(01_因子設定!$B$20="Box-Behnken","BBD点",IF(A22&lt;=8,"要因点","軸点"))))</f>
        <v>中心点</v>
      </c>
      <c r="C22" s="11" t="n">
        <f aca="false">IF(A22&lt;=01_因子設定!$B$23,1,0)</f>
        <v>1</v>
      </c>
      <c r="D22" s="27" t="n">
        <f aca="false">IF($C22=0,0,IF(01_因子設定!$B$20="Box-Behnken",S22,P22*IF($A22&gt;8,01_因子設定!$B$22,1)))</f>
        <v>0</v>
      </c>
      <c r="E22" s="27" t="n">
        <f aca="false">IF($C22=0,0,IF(01_因子設定!$B$20="Box-Behnken",T22,Q22*IF($A22&gt;8,01_因子設定!$B$22,1)))</f>
        <v>0</v>
      </c>
      <c r="F22" s="27" t="n">
        <f aca="false">IF($C22=0,0,IF(01_因子設定!$B$20="Box-Behnken",U22,R22*IF($A22&gt;8,01_因子設定!$B$22,1)))</f>
        <v>0</v>
      </c>
      <c r="G22" s="28" t="n">
        <f aca="false">IF($C22=1,01_因子設定!$G$5+D22*01_因子設定!$H$5,"")</f>
        <v>65</v>
      </c>
      <c r="H22" s="28" t="n">
        <f aca="false">IF($C22=1,01_因子設定!$G$6+E22*01_因子設定!$H$6,"")</f>
        <v>30</v>
      </c>
      <c r="I22" s="28" t="n">
        <f aca="false">IF($C22=1,01_因子設定!$G$7+F22*01_因子設定!$H$7,"")</f>
        <v>2</v>
      </c>
      <c r="J22" s="11" t="str">
        <f aca="false">IF(C22=0,"",IF(AND(OR(01_因子設定!$I$5="",G22&gt;=01_因子設定!$I$5),OR(01_因子設定!$J$5="",G22&lt;=01_因子設定!$J$5),OR(01_因子設定!$I$6="",H22&gt;=01_因子設定!$I$6),OR(01_因子設定!$J$6="",H22&lt;=01_因子設定!$J$6),OR(01_因子設定!$I$7="",I22&gt;=01_因子設定!$I$7),OR(01_因子設定!$J$7="",I22&lt;=01_因子設定!$J$7)),"OK","安全限界超過"))</f>
        <v>OK</v>
      </c>
      <c r="K22" s="29" t="n">
        <v>0.76611</v>
      </c>
      <c r="L22" s="30" t="n">
        <f aca="false">IF(C22=0,99,IF(AND(01_因子設定!$B$24="変更困難因子でグループ化",01_因子設定!$B$25&gt;0),VLOOKUP(ROUND(INDEX(D22:F22,01_因子設定!$B$25),6),$W$5:$X$9,2,FALSE())+K22*0.9,K22))</f>
        <v>0.76611</v>
      </c>
      <c r="M22" s="31" t="n">
        <f aca="false">IF(C22=1,SUMPRODUCT(($C$5:$C$28=1)*($L$5:$L$28&lt;L22))+1,"")</f>
        <v>17</v>
      </c>
      <c r="N22" s="28" t="n">
        <f aca="false">IF(C22=1,INDEX(03_実験結果!$H$5:$H$28,M22),0)</f>
        <v>49.3</v>
      </c>
      <c r="P22" s="32" t="n">
        <v>0</v>
      </c>
      <c r="Q22" s="32" t="n">
        <v>0</v>
      </c>
      <c r="R22" s="32" t="n">
        <v>0</v>
      </c>
      <c r="S22" s="32" t="n">
        <v>0</v>
      </c>
      <c r="T22" s="32" t="n">
        <v>0</v>
      </c>
      <c r="U22" s="32" t="n">
        <v>0</v>
      </c>
    </row>
    <row r="23" customFormat="false" ht="15" hidden="false" customHeight="false" outlineLevel="0" collapsed="false">
      <c r="A23" s="11" t="n">
        <v>19</v>
      </c>
      <c r="B23" s="11" t="str">
        <f aca="false">IF(A23&gt;01_因子設定!$B$23,"未使用",IF(A23&gt;01_因子設定!$B$26,"中心点",IF(01_因子設定!$B$20="Box-Behnken","BBD点",IF(A23&lt;=8,"要因点","軸点"))))</f>
        <v>中心点</v>
      </c>
      <c r="C23" s="11" t="n">
        <f aca="false">IF(A23&lt;=01_因子設定!$B$23,1,0)</f>
        <v>1</v>
      </c>
      <c r="D23" s="27" t="n">
        <f aca="false">IF($C23=0,0,IF(01_因子設定!$B$20="Box-Behnken",S23,P23*IF($A23&gt;8,01_因子設定!$B$22,1)))</f>
        <v>0</v>
      </c>
      <c r="E23" s="27" t="n">
        <f aca="false">IF($C23=0,0,IF(01_因子設定!$B$20="Box-Behnken",T23,Q23*IF($A23&gt;8,01_因子設定!$B$22,1)))</f>
        <v>0</v>
      </c>
      <c r="F23" s="27" t="n">
        <f aca="false">IF($C23=0,0,IF(01_因子設定!$B$20="Box-Behnken",U23,R23*IF($A23&gt;8,01_因子設定!$B$22,1)))</f>
        <v>0</v>
      </c>
      <c r="G23" s="28" t="n">
        <f aca="false">IF($C23=1,01_因子設定!$G$5+D23*01_因子設定!$H$5,"")</f>
        <v>65</v>
      </c>
      <c r="H23" s="28" t="n">
        <f aca="false">IF($C23=1,01_因子設定!$G$6+E23*01_因子設定!$H$6,"")</f>
        <v>30</v>
      </c>
      <c r="I23" s="28" t="n">
        <f aca="false">IF($C23=1,01_因子設定!$G$7+F23*01_因子設定!$H$7,"")</f>
        <v>2</v>
      </c>
      <c r="J23" s="11" t="str">
        <f aca="false">IF(C23=0,"",IF(AND(OR(01_因子設定!$I$5="",G23&gt;=01_因子設定!$I$5),OR(01_因子設定!$J$5="",G23&lt;=01_因子設定!$J$5),OR(01_因子設定!$I$6="",H23&gt;=01_因子設定!$I$6),OR(01_因子設定!$J$6="",H23&lt;=01_因子設定!$J$6),OR(01_因子設定!$I$7="",I23&gt;=01_因子設定!$I$7),OR(01_因子設定!$J$7="",I23&lt;=01_因子設定!$J$7)),"OK","安全限界超過"))</f>
        <v>OK</v>
      </c>
      <c r="K23" s="29" t="n">
        <v>0.573266</v>
      </c>
      <c r="L23" s="30" t="n">
        <f aca="false">IF(C23=0,99,IF(AND(01_因子設定!$B$24="変更困難因子でグループ化",01_因子設定!$B$25&gt;0),VLOOKUP(ROUND(INDEX(D23:F23,01_因子設定!$B$25),6),$W$5:$X$9,2,FALSE())+K23*0.9,K23))</f>
        <v>0.573266</v>
      </c>
      <c r="M23" s="31" t="n">
        <f aca="false">IF(C23=1,SUMPRODUCT(($C$5:$C$28=1)*($L$5:$L$28&lt;L23))+1,"")</f>
        <v>14</v>
      </c>
      <c r="N23" s="28" t="n">
        <f aca="false">IF(C23=1,INDEX(03_実験結果!$H$5:$H$28,M23),0)</f>
        <v>47.9</v>
      </c>
      <c r="P23" s="32" t="n">
        <v>0</v>
      </c>
      <c r="Q23" s="32" t="n">
        <v>0</v>
      </c>
      <c r="R23" s="32" t="n">
        <v>0</v>
      </c>
      <c r="S23" s="32" t="n">
        <v>0</v>
      </c>
      <c r="T23" s="32" t="n">
        <v>0</v>
      </c>
      <c r="U23" s="32" t="n">
        <v>0</v>
      </c>
    </row>
    <row r="24" customFormat="false" ht="15" hidden="false" customHeight="false" outlineLevel="0" collapsed="false">
      <c r="A24" s="11" t="n">
        <v>20</v>
      </c>
      <c r="B24" s="11" t="str">
        <f aca="false">IF(A24&gt;01_因子設定!$B$23,"未使用",IF(A24&gt;01_因子設定!$B$26,"中心点",IF(01_因子設定!$B$20="Box-Behnken","BBD点",IF(A24&lt;=8,"要因点","軸点"))))</f>
        <v>中心点</v>
      </c>
      <c r="C24" s="11" t="n">
        <f aca="false">IF(A24&lt;=01_因子設定!$B$23,1,0)</f>
        <v>1</v>
      </c>
      <c r="D24" s="27" t="n">
        <f aca="false">IF($C24=0,0,IF(01_因子設定!$B$20="Box-Behnken",S24,P24*IF($A24&gt;8,01_因子設定!$B$22,1)))</f>
        <v>0</v>
      </c>
      <c r="E24" s="27" t="n">
        <f aca="false">IF($C24=0,0,IF(01_因子設定!$B$20="Box-Behnken",T24,Q24*IF($A24&gt;8,01_因子設定!$B$22,1)))</f>
        <v>0</v>
      </c>
      <c r="F24" s="27" t="n">
        <f aca="false">IF($C24=0,0,IF(01_因子設定!$B$20="Box-Behnken",U24,R24*IF($A24&gt;8,01_因子設定!$B$22,1)))</f>
        <v>0</v>
      </c>
      <c r="G24" s="28" t="n">
        <f aca="false">IF($C24=1,01_因子設定!$G$5+D24*01_因子設定!$H$5,"")</f>
        <v>65</v>
      </c>
      <c r="H24" s="28" t="n">
        <f aca="false">IF($C24=1,01_因子設定!$G$6+E24*01_因子設定!$H$6,"")</f>
        <v>30</v>
      </c>
      <c r="I24" s="28" t="n">
        <f aca="false">IF($C24=1,01_因子設定!$G$7+F24*01_因子設定!$H$7,"")</f>
        <v>2</v>
      </c>
      <c r="J24" s="11" t="str">
        <f aca="false">IF(C24=0,"",IF(AND(OR(01_因子設定!$I$5="",G24&gt;=01_因子設定!$I$5),OR(01_因子設定!$J$5="",G24&lt;=01_因子設定!$J$5),OR(01_因子設定!$I$6="",H24&gt;=01_因子設定!$I$6),OR(01_因子設定!$J$6="",H24&lt;=01_因子設定!$J$6),OR(01_因子設定!$I$7="",I24&gt;=01_因子設定!$I$7),OR(01_因子設定!$J$7="",I24&lt;=01_因子設定!$J$7)),"OK","安全限界超過"))</f>
        <v>OK</v>
      </c>
      <c r="K24" s="29" t="n">
        <v>0.38958</v>
      </c>
      <c r="L24" s="30" t="n">
        <f aca="false">IF(C24=0,99,IF(AND(01_因子設定!$B$24="変更困難因子でグループ化",01_因子設定!$B$25&gt;0),VLOOKUP(ROUND(INDEX(D24:F24,01_因子設定!$B$25),6),$W$5:$X$9,2,FALSE())+K24*0.9,K24))</f>
        <v>0.38958</v>
      </c>
      <c r="M24" s="31" t="n">
        <f aca="false">IF(C24=1,SUMPRODUCT(($C$5:$C$28=1)*($L$5:$L$28&lt;L24))+1,"")</f>
        <v>9</v>
      </c>
      <c r="N24" s="28" t="n">
        <f aca="false">IF(C24=1,INDEX(03_実験結果!$H$5:$H$28,M24),0)</f>
        <v>47.9</v>
      </c>
      <c r="P24" s="32" t="n">
        <v>0</v>
      </c>
      <c r="Q24" s="32" t="n">
        <v>0</v>
      </c>
      <c r="R24" s="32" t="n">
        <v>0</v>
      </c>
      <c r="S24" s="32" t="n">
        <v>0</v>
      </c>
      <c r="T24" s="32" t="n">
        <v>0</v>
      </c>
      <c r="U24" s="32" t="n">
        <v>0</v>
      </c>
    </row>
    <row r="25" customFormat="false" ht="15" hidden="false" customHeight="false" outlineLevel="0" collapsed="false">
      <c r="A25" s="11" t="n">
        <v>21</v>
      </c>
      <c r="B25" s="11" t="str">
        <f aca="false">IF(A25&gt;01_因子設定!$B$23,"未使用",IF(A25&gt;01_因子設定!$B$26,"中心点",IF(01_因子設定!$B$20="Box-Behnken","BBD点",IF(A25&lt;=8,"要因点","軸点"))))</f>
        <v>未使用</v>
      </c>
      <c r="C25" s="11" t="n">
        <f aca="false">IF(A25&lt;=01_因子設定!$B$23,1,0)</f>
        <v>0</v>
      </c>
      <c r="D25" s="27" t="n">
        <f aca="false">IF($C25=0,0,IF(01_因子設定!$B$20="Box-Behnken",S25,P25*IF($A25&gt;8,01_因子設定!$B$22,1)))</f>
        <v>0</v>
      </c>
      <c r="E25" s="27" t="n">
        <f aca="false">IF($C25=0,0,IF(01_因子設定!$B$20="Box-Behnken",T25,Q25*IF($A25&gt;8,01_因子設定!$B$22,1)))</f>
        <v>0</v>
      </c>
      <c r="F25" s="27" t="n">
        <f aca="false">IF($C25=0,0,IF(01_因子設定!$B$20="Box-Behnken",U25,R25*IF($A25&gt;8,01_因子設定!$B$22,1)))</f>
        <v>0</v>
      </c>
      <c r="G25" s="28" t="str">
        <f aca="false">IF($C25=1,01_因子設定!$G$5+D25*01_因子設定!$H$5,"")</f>
        <v/>
      </c>
      <c r="H25" s="28" t="str">
        <f aca="false">IF($C25=1,01_因子設定!$G$6+E25*01_因子設定!$H$6,"")</f>
        <v/>
      </c>
      <c r="I25" s="28" t="str">
        <f aca="false">IF($C25=1,01_因子設定!$G$7+F25*01_因子設定!$H$7,"")</f>
        <v/>
      </c>
      <c r="J25" s="11" t="str">
        <f aca="false">IF(C25=0,"",IF(AND(OR(01_因子設定!$I$5="",G25&gt;=01_因子設定!$I$5),OR(01_因子設定!$J$5="",G25&lt;=01_因子設定!$J$5),OR(01_因子設定!$I$6="",H25&gt;=01_因子設定!$I$6),OR(01_因子設定!$J$6="",H25&lt;=01_因子設定!$J$6),OR(01_因子設定!$I$7="",I25&gt;=01_因子設定!$I$7),OR(01_因子設定!$J$7="",I25&lt;=01_因子設定!$J$7)),"OK","安全限界超過"))</f>
        <v/>
      </c>
      <c r="K25" s="29" t="n">
        <v>0.106602</v>
      </c>
      <c r="L25" s="30" t="n">
        <f aca="false">IF(C25=0,99,IF(AND(01_因子設定!$B$24="変更困難因子でグループ化",01_因子設定!$B$25&gt;0),VLOOKUP(ROUND(INDEX(D25:F25,01_因子設定!$B$25),6),$W$5:$X$9,2,FALSE())+K25*0.9,K25))</f>
        <v>99</v>
      </c>
      <c r="M25" s="31" t="str">
        <f aca="false">IF(C25=1,SUMPRODUCT(($C$5:$C$28=1)*($L$5:$L$28&lt;L25))+1,"")</f>
        <v/>
      </c>
      <c r="N25" s="28" t="n">
        <f aca="false">IF(C25=1,INDEX(03_実験結果!$H$5:$H$28,M25),0)</f>
        <v>0</v>
      </c>
      <c r="P25" s="32" t="n">
        <v>0</v>
      </c>
      <c r="Q25" s="32" t="n">
        <v>0</v>
      </c>
      <c r="R25" s="32" t="n">
        <v>0</v>
      </c>
      <c r="S25" s="32" t="n">
        <v>0</v>
      </c>
      <c r="T25" s="32" t="n">
        <v>0</v>
      </c>
      <c r="U25" s="32" t="n">
        <v>0</v>
      </c>
    </row>
    <row r="26" customFormat="false" ht="15" hidden="false" customHeight="false" outlineLevel="0" collapsed="false">
      <c r="A26" s="11" t="n">
        <v>22</v>
      </c>
      <c r="B26" s="11" t="str">
        <f aca="false">IF(A26&gt;01_因子設定!$B$23,"未使用",IF(A26&gt;01_因子設定!$B$26,"中心点",IF(01_因子設定!$B$20="Box-Behnken","BBD点",IF(A26&lt;=8,"要因点","軸点"))))</f>
        <v>未使用</v>
      </c>
      <c r="C26" s="11" t="n">
        <f aca="false">IF(A26&lt;=01_因子設定!$B$23,1,0)</f>
        <v>0</v>
      </c>
      <c r="D26" s="27" t="n">
        <f aca="false">IF($C26=0,0,IF(01_因子設定!$B$20="Box-Behnken",S26,P26*IF($A26&gt;8,01_因子設定!$B$22,1)))</f>
        <v>0</v>
      </c>
      <c r="E26" s="27" t="n">
        <f aca="false">IF($C26=0,0,IF(01_因子設定!$B$20="Box-Behnken",T26,Q26*IF($A26&gt;8,01_因子設定!$B$22,1)))</f>
        <v>0</v>
      </c>
      <c r="F26" s="27" t="n">
        <f aca="false">IF($C26=0,0,IF(01_因子設定!$B$20="Box-Behnken",U26,R26*IF($A26&gt;8,01_因子設定!$B$22,1)))</f>
        <v>0</v>
      </c>
      <c r="G26" s="28" t="str">
        <f aca="false">IF($C26=1,01_因子設定!$G$5+D26*01_因子設定!$H$5,"")</f>
        <v/>
      </c>
      <c r="H26" s="28" t="str">
        <f aca="false">IF($C26=1,01_因子設定!$G$6+E26*01_因子設定!$H$6,"")</f>
        <v/>
      </c>
      <c r="I26" s="28" t="str">
        <f aca="false">IF($C26=1,01_因子設定!$G$7+F26*01_因子設定!$H$7,"")</f>
        <v/>
      </c>
      <c r="J26" s="11" t="str">
        <f aca="false">IF(C26=0,"",IF(AND(OR(01_因子設定!$I$5="",G26&gt;=01_因子設定!$I$5),OR(01_因子設定!$J$5="",G26&lt;=01_因子設定!$J$5),OR(01_因子設定!$I$6="",H26&gt;=01_因子設定!$I$6),OR(01_因子設定!$J$6="",H26&lt;=01_因子設定!$J$6),OR(01_因子設定!$I$7="",I26&gt;=01_因子設定!$I$7),OR(01_因子設定!$J$7="",I26&lt;=01_因子設定!$J$7)),"OK","安全限界超過"))</f>
        <v/>
      </c>
      <c r="K26" s="29" t="n">
        <v>0.445716</v>
      </c>
      <c r="L26" s="30" t="n">
        <f aca="false">IF(C26=0,99,IF(AND(01_因子設定!$B$24="変更困難因子でグループ化",01_因子設定!$B$25&gt;0),VLOOKUP(ROUND(INDEX(D26:F26,01_因子設定!$B$25),6),$W$5:$X$9,2,FALSE())+K26*0.9,K26))</f>
        <v>99</v>
      </c>
      <c r="M26" s="31" t="str">
        <f aca="false">IF(C26=1,SUMPRODUCT(($C$5:$C$28=1)*($L$5:$L$28&lt;L26))+1,"")</f>
        <v/>
      </c>
      <c r="N26" s="28" t="n">
        <f aca="false">IF(C26=1,INDEX(03_実験結果!$H$5:$H$28,M26),0)</f>
        <v>0</v>
      </c>
      <c r="P26" s="32" t="n">
        <v>0</v>
      </c>
      <c r="Q26" s="32" t="n">
        <v>0</v>
      </c>
      <c r="R26" s="32" t="n">
        <v>0</v>
      </c>
      <c r="S26" s="32" t="n">
        <v>0</v>
      </c>
      <c r="T26" s="32" t="n">
        <v>0</v>
      </c>
      <c r="U26" s="32" t="n">
        <v>0</v>
      </c>
    </row>
    <row r="27" customFormat="false" ht="15" hidden="false" customHeight="false" outlineLevel="0" collapsed="false">
      <c r="A27" s="11" t="n">
        <v>23</v>
      </c>
      <c r="B27" s="11" t="str">
        <f aca="false">IF(A27&gt;01_因子設定!$B$23,"未使用",IF(A27&gt;01_因子設定!$B$26,"中心点",IF(01_因子設定!$B$20="Box-Behnken","BBD点",IF(A27&lt;=8,"要因点","軸点"))))</f>
        <v>未使用</v>
      </c>
      <c r="C27" s="11" t="n">
        <f aca="false">IF(A27&lt;=01_因子設定!$B$23,1,0)</f>
        <v>0</v>
      </c>
      <c r="D27" s="27" t="n">
        <f aca="false">IF($C27=0,0,IF(01_因子設定!$B$20="Box-Behnken",S27,P27*IF($A27&gt;8,01_因子設定!$B$22,1)))</f>
        <v>0</v>
      </c>
      <c r="E27" s="27" t="n">
        <f aca="false">IF($C27=0,0,IF(01_因子設定!$B$20="Box-Behnken",T27,Q27*IF($A27&gt;8,01_因子設定!$B$22,1)))</f>
        <v>0</v>
      </c>
      <c r="F27" s="27" t="n">
        <f aca="false">IF($C27=0,0,IF(01_因子設定!$B$20="Box-Behnken",U27,R27*IF($A27&gt;8,01_因子設定!$B$22,1)))</f>
        <v>0</v>
      </c>
      <c r="G27" s="28" t="str">
        <f aca="false">IF($C27=1,01_因子設定!$G$5+D27*01_因子設定!$H$5,"")</f>
        <v/>
      </c>
      <c r="H27" s="28" t="str">
        <f aca="false">IF($C27=1,01_因子設定!$G$6+E27*01_因子設定!$H$6,"")</f>
        <v/>
      </c>
      <c r="I27" s="28" t="str">
        <f aca="false">IF($C27=1,01_因子設定!$G$7+F27*01_因子設定!$H$7,"")</f>
        <v/>
      </c>
      <c r="J27" s="11" t="str">
        <f aca="false">IF(C27=0,"",IF(AND(OR(01_因子設定!$I$5="",G27&gt;=01_因子設定!$I$5),OR(01_因子設定!$J$5="",G27&lt;=01_因子設定!$J$5),OR(01_因子設定!$I$6="",H27&gt;=01_因子設定!$I$6),OR(01_因子設定!$J$6="",H27&lt;=01_因子設定!$J$6),OR(01_因子設定!$I$7="",I27&gt;=01_因子設定!$I$7),OR(01_因子設定!$J$7="",I27&lt;=01_因子設定!$J$7)),"OK","安全限界超過"))</f>
        <v/>
      </c>
      <c r="K27" s="29" t="n">
        <v>0.538449</v>
      </c>
      <c r="L27" s="30" t="n">
        <f aca="false">IF(C27=0,99,IF(AND(01_因子設定!$B$24="変更困難因子でグループ化",01_因子設定!$B$25&gt;0),VLOOKUP(ROUND(INDEX(D27:F27,01_因子設定!$B$25),6),$W$5:$X$9,2,FALSE())+K27*0.9,K27))</f>
        <v>99</v>
      </c>
      <c r="M27" s="31" t="str">
        <f aca="false">IF(C27=1,SUMPRODUCT(($C$5:$C$28=1)*($L$5:$L$28&lt;L27))+1,"")</f>
        <v/>
      </c>
      <c r="N27" s="28" t="n">
        <f aca="false">IF(C27=1,INDEX(03_実験結果!$H$5:$H$28,M27),0)</f>
        <v>0</v>
      </c>
      <c r="P27" s="32" t="n">
        <v>0</v>
      </c>
      <c r="Q27" s="32" t="n">
        <v>0</v>
      </c>
      <c r="R27" s="32" t="n">
        <v>0</v>
      </c>
      <c r="S27" s="32" t="n">
        <v>0</v>
      </c>
      <c r="T27" s="32" t="n">
        <v>0</v>
      </c>
      <c r="U27" s="32" t="n">
        <v>0</v>
      </c>
    </row>
    <row r="28" customFormat="false" ht="15" hidden="false" customHeight="false" outlineLevel="0" collapsed="false">
      <c r="A28" s="11" t="n">
        <v>24</v>
      </c>
      <c r="B28" s="11" t="str">
        <f aca="false">IF(A28&gt;01_因子設定!$B$23,"未使用",IF(A28&gt;01_因子設定!$B$26,"中心点",IF(01_因子設定!$B$20="Box-Behnken","BBD点",IF(A28&lt;=8,"要因点","軸点"))))</f>
        <v>未使用</v>
      </c>
      <c r="C28" s="11" t="n">
        <f aca="false">IF(A28&lt;=01_因子設定!$B$23,1,0)</f>
        <v>0</v>
      </c>
      <c r="D28" s="27" t="n">
        <f aca="false">IF($C28=0,0,IF(01_因子設定!$B$20="Box-Behnken",S28,P28*IF($A28&gt;8,01_因子設定!$B$22,1)))</f>
        <v>0</v>
      </c>
      <c r="E28" s="27" t="n">
        <f aca="false">IF($C28=0,0,IF(01_因子設定!$B$20="Box-Behnken",T28,Q28*IF($A28&gt;8,01_因子設定!$B$22,1)))</f>
        <v>0</v>
      </c>
      <c r="F28" s="27" t="n">
        <f aca="false">IF($C28=0,0,IF(01_因子設定!$B$20="Box-Behnken",U28,R28*IF($A28&gt;8,01_因子設定!$B$22,1)))</f>
        <v>0</v>
      </c>
      <c r="G28" s="28" t="str">
        <f aca="false">IF($C28=1,01_因子設定!$G$5+D28*01_因子設定!$H$5,"")</f>
        <v/>
      </c>
      <c r="H28" s="28" t="str">
        <f aca="false">IF($C28=1,01_因子設定!$G$6+E28*01_因子設定!$H$6,"")</f>
        <v/>
      </c>
      <c r="I28" s="28" t="str">
        <f aca="false">IF($C28=1,01_因子設定!$G$7+F28*01_因子設定!$H$7,"")</f>
        <v/>
      </c>
      <c r="J28" s="11" t="str">
        <f aca="false">IF(C28=0,"",IF(AND(OR(01_因子設定!$I$5="",G28&gt;=01_因子設定!$I$5),OR(01_因子設定!$J$5="",G28&lt;=01_因子設定!$J$5),OR(01_因子設定!$I$6="",H28&gt;=01_因子設定!$I$6),OR(01_因子設定!$J$6="",H28&lt;=01_因子設定!$J$6),OR(01_因子設定!$I$7="",I28&gt;=01_因子設定!$I$7),OR(01_因子設定!$J$7="",I28&lt;=01_因子設定!$J$7)),"OK","安全限界超過"))</f>
        <v/>
      </c>
      <c r="K28" s="29" t="n">
        <v>0.152997</v>
      </c>
      <c r="L28" s="30" t="n">
        <f aca="false">IF(C28=0,99,IF(AND(01_因子設定!$B$24="変更困難因子でグループ化",01_因子設定!$B$25&gt;0),VLOOKUP(ROUND(INDEX(D28:F28,01_因子設定!$B$25),6),$W$5:$X$9,2,FALSE())+K28*0.9,K28))</f>
        <v>99</v>
      </c>
      <c r="M28" s="31" t="str">
        <f aca="false">IF(C28=1,SUMPRODUCT(($C$5:$C$28=1)*($L$5:$L$28&lt;L28))+1,"")</f>
        <v/>
      </c>
      <c r="N28" s="28" t="n">
        <f aca="false">IF(C28=1,INDEX(03_実験結果!$H$5:$H$28,M28),0)</f>
        <v>0</v>
      </c>
      <c r="P28" s="32" t="n">
        <v>0</v>
      </c>
      <c r="Q28" s="32" t="n">
        <v>0</v>
      </c>
      <c r="R28" s="32" t="n">
        <v>0</v>
      </c>
      <c r="S28" s="32" t="n">
        <v>0</v>
      </c>
      <c r="T28" s="32" t="n">
        <v>0</v>
      </c>
      <c r="U28" s="32" t="n">
        <v>0</v>
      </c>
    </row>
    <row r="30" customFormat="false" ht="15" hidden="false" customHeight="false" outlineLevel="0" collapsed="false">
      <c r="P30" s="19" t="s">
        <v>128</v>
      </c>
    </row>
  </sheetData>
  <conditionalFormatting sqref="J5:J28">
    <cfRule type="cellIs" priority="2" operator="equal" aboveAverage="0" equalAverage="0" bottom="0" percent="0" rank="0" text="" dxfId="0">
      <formula>"安全限界超過"</formula>
    </cfRule>
  </conditionalFormatting>
  <conditionalFormatting sqref="A5:N28">
    <cfRule type="expression" priority="3" aboveAverage="0" equalAverage="0" bottom="0" percent="0" rank="0" text="" dxfId="1">
      <formula>$C5=0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I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7"/>
    <col collapsed="false" customWidth="true" hidden="false" outlineLevel="0" max="3" min="3" style="0" width="8"/>
    <col collapsed="false" customWidth="true" hidden="false" outlineLevel="0" max="7" min="4" style="0" width="12"/>
    <col collapsed="false" customWidth="true" hidden="false" outlineLevel="0" max="8" min="8" style="0" width="16"/>
    <col collapsed="false" customWidth="true" hidden="false" outlineLevel="0" max="9" min="9" style="0" width="30"/>
  </cols>
  <sheetData>
    <row r="1" customFormat="false" ht="21.6" hidden="false" customHeight="false" outlineLevel="0" collapsed="false">
      <c r="A1" s="8" t="s">
        <v>129</v>
      </c>
    </row>
    <row r="2" customFormat="false" ht="15" hidden="false" customHeight="false" outlineLevel="0" collapsed="false">
      <c r="A2" s="2" t="s">
        <v>130</v>
      </c>
    </row>
    <row r="4" customFormat="false" ht="29.85" hidden="false" customHeight="false" outlineLevel="0" collapsed="false">
      <c r="A4" s="10" t="s">
        <v>117</v>
      </c>
      <c r="B4" s="10" t="s">
        <v>108</v>
      </c>
      <c r="C4" s="10" t="s">
        <v>109</v>
      </c>
      <c r="D4" s="10" t="str">
        <f aca="false">01_因子設定!B5&amp;"["&amp;01_因子設定!D5&amp;"]"</f>
        <v>炉温[℃]</v>
      </c>
      <c r="E4" s="10" t="str">
        <f aca="false">01_因子設定!B6&amp;"["&amp;01_因子設定!D6&amp;"]"</f>
        <v>乾燥時間[min]</v>
      </c>
      <c r="F4" s="10" t="str">
        <f aca="false">01_因子設定!B7&amp;"["&amp;01_因子設定!D7&amp;"]"</f>
        <v>循環風速[m/s]</v>
      </c>
      <c r="G4" s="10" t="s">
        <v>131</v>
      </c>
      <c r="H4" s="10" t="str">
        <f aca="false">"Y："&amp;01_因子設定!B11&amp;"["&amp;01_因子設定!B12&amp;"]"</f>
        <v>Y：剥離強度[N/25mm]</v>
      </c>
      <c r="I4" s="10" t="s">
        <v>132</v>
      </c>
    </row>
    <row r="5" customFormat="false" ht="15" hidden="false" customHeight="false" outlineLevel="0" collapsed="false">
      <c r="A5" s="13" t="n">
        <v>1</v>
      </c>
      <c r="B5" s="34" t="n">
        <f aca="false">IF(A5&lt;=01_因子設定!$B$23,INDEX(02_実験計画!$A$5:$A$28,MATCH(A5,02_実験計画!$M$5:$M$28,0)),"")</f>
        <v>14</v>
      </c>
      <c r="C5" s="34" t="str">
        <f aca="false">IF(B5="","",INDEX(02_実験計画!$B$5:$B$28,B5))</f>
        <v>軸点</v>
      </c>
      <c r="D5" s="28" t="n">
        <f aca="false">IF($B5="","",INDEX(02_実験計画!$G$5:$G$28,$B5))</f>
        <v>65</v>
      </c>
      <c r="E5" s="28" t="n">
        <f aca="false">IF($B5="","",INDEX(02_実験計画!$H$5:$H$28,$B5))</f>
        <v>30</v>
      </c>
      <c r="F5" s="28" t="n">
        <f aca="false">IF($B5="","",INDEX(02_実験計画!$I$5:$I$28,$B5))</f>
        <v>3</v>
      </c>
      <c r="G5" s="28" t="n">
        <f aca="false">IF(OR(B5="",01_因子設定!$B$25=0),"",INDEX(D5:F5,01_因子設定!$B$25))</f>
        <v>65</v>
      </c>
      <c r="H5" s="20" t="n">
        <v>48.3</v>
      </c>
      <c r="I5" s="14"/>
    </row>
    <row r="6" customFormat="false" ht="15" hidden="false" customHeight="false" outlineLevel="0" collapsed="false">
      <c r="A6" s="13" t="n">
        <v>2</v>
      </c>
      <c r="B6" s="34" t="n">
        <f aca="false">IF(A6&lt;=01_因子設定!$B$23,INDEX(02_実験計画!$A$5:$A$28,MATCH(A6,02_実験計画!$M$5:$M$28,0)),"")</f>
        <v>15</v>
      </c>
      <c r="C6" s="34" t="str">
        <f aca="false">IF(B6="","",INDEX(02_実験計画!$B$5:$B$28,B6))</f>
        <v>中心点</v>
      </c>
      <c r="D6" s="28" t="n">
        <f aca="false">IF($B6="","",INDEX(02_実験計画!$G$5:$G$28,$B6))</f>
        <v>65</v>
      </c>
      <c r="E6" s="28" t="n">
        <f aca="false">IF($B6="","",INDEX(02_実験計画!$H$5:$H$28,$B6))</f>
        <v>30</v>
      </c>
      <c r="F6" s="28" t="n">
        <f aca="false">IF($B6="","",INDEX(02_実験計画!$I$5:$I$28,$B6))</f>
        <v>2</v>
      </c>
      <c r="G6" s="28" t="n">
        <f aca="false">IF(OR(B6="",01_因子設定!$B$25=0),"",INDEX(D6:F6,01_因子設定!$B$25))</f>
        <v>65</v>
      </c>
      <c r="H6" s="20" t="n">
        <v>48.5</v>
      </c>
      <c r="I6" s="14"/>
    </row>
    <row r="7" customFormat="false" ht="15" hidden="false" customHeight="false" outlineLevel="0" collapsed="false">
      <c r="A7" s="13" t="n">
        <v>3</v>
      </c>
      <c r="B7" s="34" t="n">
        <f aca="false">IF(A7&lt;=01_因子設定!$B$23,INDEX(02_実験計画!$A$5:$A$28,MATCH(A7,02_実験計画!$M$5:$M$28,0)),"")</f>
        <v>1</v>
      </c>
      <c r="C7" s="34" t="str">
        <f aca="false">IF(B7="","",INDEX(02_実験計画!$B$5:$B$28,B7))</f>
        <v>要因点</v>
      </c>
      <c r="D7" s="28" t="n">
        <f aca="false">IF($B7="","",INDEX(02_実験計画!$G$5:$G$28,$B7))</f>
        <v>55</v>
      </c>
      <c r="E7" s="28" t="n">
        <f aca="false">IF($B7="","",INDEX(02_実験計画!$H$5:$H$28,$B7))</f>
        <v>20</v>
      </c>
      <c r="F7" s="28" t="n">
        <f aca="false">IF($B7="","",INDEX(02_実験計画!$I$5:$I$28,$B7))</f>
        <v>1</v>
      </c>
      <c r="G7" s="28" t="n">
        <f aca="false">IF(OR(B7="",01_因子設定!$B$25=0),"",INDEX(D7:F7,01_因子設定!$B$25))</f>
        <v>55</v>
      </c>
      <c r="H7" s="20" t="n">
        <v>38.4</v>
      </c>
      <c r="I7" s="14"/>
    </row>
    <row r="8" customFormat="false" ht="15" hidden="false" customHeight="false" outlineLevel="0" collapsed="false">
      <c r="A8" s="13" t="n">
        <v>4</v>
      </c>
      <c r="B8" s="34" t="n">
        <f aca="false">IF(A8&lt;=01_因子設定!$B$23,INDEX(02_実験計画!$A$5:$A$28,MATCH(A8,02_実験計画!$M$5:$M$28,0)),"")</f>
        <v>7</v>
      </c>
      <c r="C8" s="34" t="str">
        <f aca="false">IF(B8="","",INDEX(02_実験計画!$B$5:$B$28,B8))</f>
        <v>要因点</v>
      </c>
      <c r="D8" s="28" t="n">
        <f aca="false">IF($B8="","",INDEX(02_実験計画!$G$5:$G$28,$B8))</f>
        <v>55</v>
      </c>
      <c r="E8" s="28" t="n">
        <f aca="false">IF($B8="","",INDEX(02_実験計画!$H$5:$H$28,$B8))</f>
        <v>40</v>
      </c>
      <c r="F8" s="28" t="n">
        <f aca="false">IF($B8="","",INDEX(02_実験計画!$I$5:$I$28,$B8))</f>
        <v>3</v>
      </c>
      <c r="G8" s="28" t="n">
        <f aca="false">IF(OR(B8="",01_因子設定!$B$25=0),"",INDEX(D8:F8,01_因子設定!$B$25))</f>
        <v>55</v>
      </c>
      <c r="H8" s="20" t="n">
        <v>43</v>
      </c>
      <c r="I8" s="14"/>
    </row>
    <row r="9" customFormat="false" ht="15" hidden="false" customHeight="false" outlineLevel="0" collapsed="false">
      <c r="A9" s="13" t="n">
        <v>5</v>
      </c>
      <c r="B9" s="34" t="n">
        <f aca="false">IF(A9&lt;=01_因子設定!$B$23,INDEX(02_実験計画!$A$5:$A$28,MATCH(A9,02_実験計画!$M$5:$M$28,0)),"")</f>
        <v>2</v>
      </c>
      <c r="C9" s="34" t="str">
        <f aca="false">IF(B9="","",INDEX(02_実験計画!$B$5:$B$28,B9))</f>
        <v>要因点</v>
      </c>
      <c r="D9" s="28" t="n">
        <f aca="false">IF($B9="","",INDEX(02_実験計画!$G$5:$G$28,$B9))</f>
        <v>75</v>
      </c>
      <c r="E9" s="28" t="n">
        <f aca="false">IF($B9="","",INDEX(02_実験計画!$H$5:$H$28,$B9))</f>
        <v>20</v>
      </c>
      <c r="F9" s="28" t="n">
        <f aca="false">IF($B9="","",INDEX(02_実験計画!$I$5:$I$28,$B9))</f>
        <v>1</v>
      </c>
      <c r="G9" s="28" t="n">
        <f aca="false">IF(OR(B9="",01_因子設定!$B$25=0),"",INDEX(D9:F9,01_因子設定!$B$25))</f>
        <v>75</v>
      </c>
      <c r="H9" s="20" t="n">
        <v>41.2</v>
      </c>
      <c r="I9" s="14"/>
    </row>
    <row r="10" customFormat="false" ht="15" hidden="false" customHeight="false" outlineLevel="0" collapsed="false">
      <c r="A10" s="13" t="n">
        <v>6</v>
      </c>
      <c r="B10" s="34" t="n">
        <f aca="false">IF(A10&lt;=01_因子設定!$B$23,INDEX(02_実験計画!$A$5:$A$28,MATCH(A10,02_実験計画!$M$5:$M$28,0)),"")</f>
        <v>16</v>
      </c>
      <c r="C10" s="34" t="str">
        <f aca="false">IF(B10="","",INDEX(02_実験計画!$B$5:$B$28,B10))</f>
        <v>中心点</v>
      </c>
      <c r="D10" s="28" t="n">
        <f aca="false">IF($B10="","",INDEX(02_実験計画!$G$5:$G$28,$B10))</f>
        <v>65</v>
      </c>
      <c r="E10" s="28" t="n">
        <f aca="false">IF($B10="","",INDEX(02_実験計画!$H$5:$H$28,$B10))</f>
        <v>30</v>
      </c>
      <c r="F10" s="28" t="n">
        <f aca="false">IF($B10="","",INDEX(02_実験計画!$I$5:$I$28,$B10))</f>
        <v>2</v>
      </c>
      <c r="G10" s="28" t="n">
        <f aca="false">IF(OR(B10="",01_因子設定!$B$25=0),"",INDEX(D10:F10,01_因子設定!$B$25))</f>
        <v>65</v>
      </c>
      <c r="H10" s="20" t="n">
        <v>48.2</v>
      </c>
      <c r="I10" s="14"/>
    </row>
    <row r="11" customFormat="false" ht="15" hidden="false" customHeight="false" outlineLevel="0" collapsed="false">
      <c r="A11" s="13" t="n">
        <v>7</v>
      </c>
      <c r="B11" s="34" t="n">
        <f aca="false">IF(A11&lt;=01_因子設定!$B$23,INDEX(02_実験計画!$A$5:$A$28,MATCH(A11,02_実験計画!$M$5:$M$28,0)),"")</f>
        <v>3</v>
      </c>
      <c r="C11" s="34" t="str">
        <f aca="false">IF(B11="","",INDEX(02_実験計画!$B$5:$B$28,B11))</f>
        <v>要因点</v>
      </c>
      <c r="D11" s="28" t="n">
        <f aca="false">IF($B11="","",INDEX(02_実験計画!$G$5:$G$28,$B11))</f>
        <v>55</v>
      </c>
      <c r="E11" s="28" t="n">
        <f aca="false">IF($B11="","",INDEX(02_実験計画!$H$5:$H$28,$B11))</f>
        <v>40</v>
      </c>
      <c r="F11" s="28" t="n">
        <f aca="false">IF($B11="","",INDEX(02_実験計画!$I$5:$I$28,$B11))</f>
        <v>1</v>
      </c>
      <c r="G11" s="28" t="n">
        <f aca="false">IF(OR(B11="",01_因子設定!$B$25=0),"",INDEX(D11:F11,01_因子設定!$B$25))</f>
        <v>55</v>
      </c>
      <c r="H11" s="20" t="n">
        <v>38.6</v>
      </c>
      <c r="I11" s="14"/>
    </row>
    <row r="12" customFormat="false" ht="15" hidden="false" customHeight="false" outlineLevel="0" collapsed="false">
      <c r="A12" s="13" t="n">
        <v>8</v>
      </c>
      <c r="B12" s="34" t="n">
        <f aca="false">IF(A12&lt;=01_因子設定!$B$23,INDEX(02_実験計画!$A$5:$A$28,MATCH(A12,02_実験計画!$M$5:$M$28,0)),"")</f>
        <v>9</v>
      </c>
      <c r="C12" s="34" t="str">
        <f aca="false">IF(B12="","",INDEX(02_実験計画!$B$5:$B$28,B12))</f>
        <v>軸点</v>
      </c>
      <c r="D12" s="28" t="n">
        <f aca="false">IF($B12="","",INDEX(02_実験計画!$G$5:$G$28,$B12))</f>
        <v>55</v>
      </c>
      <c r="E12" s="28" t="n">
        <f aca="false">IF($B12="","",INDEX(02_実験計画!$H$5:$H$28,$B12))</f>
        <v>30</v>
      </c>
      <c r="F12" s="28" t="n">
        <f aca="false">IF($B12="","",INDEX(02_実験計画!$I$5:$I$28,$B12))</f>
        <v>2</v>
      </c>
      <c r="G12" s="28" t="n">
        <f aca="false">IF(OR(B12="",01_因子設定!$B$25=0),"",INDEX(D12:F12,01_因子設定!$B$25))</f>
        <v>55</v>
      </c>
      <c r="H12" s="20" t="n">
        <v>43.3</v>
      </c>
      <c r="I12" s="14"/>
    </row>
    <row r="13" customFormat="false" ht="15" hidden="false" customHeight="false" outlineLevel="0" collapsed="false">
      <c r="A13" s="13" t="n">
        <v>9</v>
      </c>
      <c r="B13" s="34" t="n">
        <f aca="false">IF(A13&lt;=01_因子設定!$B$23,INDEX(02_実験計画!$A$5:$A$28,MATCH(A13,02_実験計画!$M$5:$M$28,0)),"")</f>
        <v>20</v>
      </c>
      <c r="C13" s="34" t="str">
        <f aca="false">IF(B13="","",INDEX(02_実験計画!$B$5:$B$28,B13))</f>
        <v>中心点</v>
      </c>
      <c r="D13" s="28" t="n">
        <f aca="false">IF($B13="","",INDEX(02_実験計画!$G$5:$G$28,$B13))</f>
        <v>65</v>
      </c>
      <c r="E13" s="28" t="n">
        <f aca="false">IF($B13="","",INDEX(02_実験計画!$H$5:$H$28,$B13))</f>
        <v>30</v>
      </c>
      <c r="F13" s="28" t="n">
        <f aca="false">IF($B13="","",INDEX(02_実験計画!$I$5:$I$28,$B13))</f>
        <v>2</v>
      </c>
      <c r="G13" s="28" t="n">
        <f aca="false">IF(OR(B13="",01_因子設定!$B$25=0),"",INDEX(D13:F13,01_因子設定!$B$25))</f>
        <v>65</v>
      </c>
      <c r="H13" s="20" t="n">
        <v>47.9</v>
      </c>
      <c r="I13" s="14"/>
    </row>
    <row r="14" customFormat="false" ht="15" hidden="false" customHeight="false" outlineLevel="0" collapsed="false">
      <c r="A14" s="13" t="n">
        <v>10</v>
      </c>
      <c r="B14" s="34" t="n">
        <f aca="false">IF(A14&lt;=01_因子設定!$B$23,INDEX(02_実験計画!$A$5:$A$28,MATCH(A14,02_実験計画!$M$5:$M$28,0)),"")</f>
        <v>13</v>
      </c>
      <c r="C14" s="34" t="str">
        <f aca="false">IF(B14="","",INDEX(02_実験計画!$B$5:$B$28,B14))</f>
        <v>軸点</v>
      </c>
      <c r="D14" s="28" t="n">
        <f aca="false">IF($B14="","",INDEX(02_実験計画!$G$5:$G$28,$B14))</f>
        <v>65</v>
      </c>
      <c r="E14" s="28" t="n">
        <f aca="false">IF($B14="","",INDEX(02_実験計画!$H$5:$H$28,$B14))</f>
        <v>30</v>
      </c>
      <c r="F14" s="28" t="n">
        <f aca="false">IF($B14="","",INDEX(02_実験計画!$I$5:$I$28,$B14))</f>
        <v>1</v>
      </c>
      <c r="G14" s="28" t="n">
        <f aca="false">IF(OR(B14="",01_因子設定!$B$25=0),"",INDEX(D14:F14,01_因子設定!$B$25))</f>
        <v>65</v>
      </c>
      <c r="H14" s="20" t="n">
        <v>45.9</v>
      </c>
      <c r="I14" s="14"/>
    </row>
    <row r="15" customFormat="false" ht="15" hidden="false" customHeight="false" outlineLevel="0" collapsed="false">
      <c r="A15" s="13" t="n">
        <v>11</v>
      </c>
      <c r="B15" s="34" t="n">
        <f aca="false">IF(A15&lt;=01_因子設定!$B$23,INDEX(02_実験計画!$A$5:$A$28,MATCH(A15,02_実験計画!$M$5:$M$28,0)),"")</f>
        <v>4</v>
      </c>
      <c r="C15" s="34" t="str">
        <f aca="false">IF(B15="","",INDEX(02_実験計画!$B$5:$B$28,B15))</f>
        <v>要因点</v>
      </c>
      <c r="D15" s="28" t="n">
        <f aca="false">IF($B15="","",INDEX(02_実験計画!$G$5:$G$28,$B15))</f>
        <v>75</v>
      </c>
      <c r="E15" s="28" t="n">
        <f aca="false">IF($B15="","",INDEX(02_実験計画!$H$5:$H$28,$B15))</f>
        <v>40</v>
      </c>
      <c r="F15" s="28" t="n">
        <f aca="false">IF($B15="","",INDEX(02_実験計画!$I$5:$I$28,$B15))</f>
        <v>1</v>
      </c>
      <c r="G15" s="28" t="n">
        <f aca="false">IF(OR(B15="",01_因子設定!$B$25=0),"",INDEX(D15:F15,01_因子設定!$B$25))</f>
        <v>75</v>
      </c>
      <c r="H15" s="20" t="n">
        <v>47</v>
      </c>
      <c r="I15" s="14"/>
    </row>
    <row r="16" customFormat="false" ht="15" hidden="false" customHeight="false" outlineLevel="0" collapsed="false">
      <c r="A16" s="13" t="n">
        <v>12</v>
      </c>
      <c r="B16" s="34" t="n">
        <f aca="false">IF(A16&lt;=01_因子設定!$B$23,INDEX(02_実験計画!$A$5:$A$28,MATCH(A16,02_実験計画!$M$5:$M$28,0)),"")</f>
        <v>10</v>
      </c>
      <c r="C16" s="34" t="str">
        <f aca="false">IF(B16="","",INDEX(02_実験計画!$B$5:$B$28,B16))</f>
        <v>軸点</v>
      </c>
      <c r="D16" s="28" t="n">
        <f aca="false">IF($B16="","",INDEX(02_実験計画!$G$5:$G$28,$B16))</f>
        <v>75</v>
      </c>
      <c r="E16" s="28" t="n">
        <f aca="false">IF($B16="","",INDEX(02_実験計画!$H$5:$H$28,$B16))</f>
        <v>30</v>
      </c>
      <c r="F16" s="28" t="n">
        <f aca="false">IF($B16="","",INDEX(02_実験計画!$I$5:$I$28,$B16))</f>
        <v>2</v>
      </c>
      <c r="G16" s="28" t="n">
        <f aca="false">IF(OR(B16="",01_因子設定!$B$25=0),"",INDEX(D16:F16,01_因子設定!$B$25))</f>
        <v>75</v>
      </c>
      <c r="H16" s="20" t="n">
        <v>48.3</v>
      </c>
      <c r="I16" s="14"/>
    </row>
    <row r="17" customFormat="false" ht="15" hidden="false" customHeight="false" outlineLevel="0" collapsed="false">
      <c r="A17" s="13" t="n">
        <v>13</v>
      </c>
      <c r="B17" s="34" t="n">
        <f aca="false">IF(A17&lt;=01_因子設定!$B$23,INDEX(02_実験計画!$A$5:$A$28,MATCH(A17,02_実験計画!$M$5:$M$28,0)),"")</f>
        <v>6</v>
      </c>
      <c r="C17" s="34" t="str">
        <f aca="false">IF(B17="","",INDEX(02_実験計画!$B$5:$B$28,B17))</f>
        <v>要因点</v>
      </c>
      <c r="D17" s="28" t="n">
        <f aca="false">IF($B17="","",INDEX(02_実験計画!$G$5:$G$28,$B17))</f>
        <v>75</v>
      </c>
      <c r="E17" s="28" t="n">
        <f aca="false">IF($B17="","",INDEX(02_実験計画!$H$5:$H$28,$B17))</f>
        <v>20</v>
      </c>
      <c r="F17" s="28" t="n">
        <f aca="false">IF($B17="","",INDEX(02_実験計画!$I$5:$I$28,$B17))</f>
        <v>3</v>
      </c>
      <c r="G17" s="28" t="n">
        <f aca="false">IF(OR(B17="",01_因子設定!$B$25=0),"",INDEX(D17:F17,01_因子設定!$B$25))</f>
        <v>75</v>
      </c>
      <c r="H17" s="20" t="n">
        <v>43.2</v>
      </c>
      <c r="I17" s="14"/>
    </row>
    <row r="18" customFormat="false" ht="15" hidden="false" customHeight="false" outlineLevel="0" collapsed="false">
      <c r="A18" s="13" t="n">
        <v>14</v>
      </c>
      <c r="B18" s="34" t="n">
        <f aca="false">IF(A18&lt;=01_因子設定!$B$23,INDEX(02_実験計画!$A$5:$A$28,MATCH(A18,02_実験計画!$M$5:$M$28,0)),"")</f>
        <v>19</v>
      </c>
      <c r="C18" s="34" t="str">
        <f aca="false">IF(B18="","",INDEX(02_実験計画!$B$5:$B$28,B18))</f>
        <v>中心点</v>
      </c>
      <c r="D18" s="28" t="n">
        <f aca="false">IF($B18="","",INDEX(02_実験計画!$G$5:$G$28,$B18))</f>
        <v>65</v>
      </c>
      <c r="E18" s="28" t="n">
        <f aca="false">IF($B18="","",INDEX(02_実験計画!$H$5:$H$28,$B18))</f>
        <v>30</v>
      </c>
      <c r="F18" s="28" t="n">
        <f aca="false">IF($B18="","",INDEX(02_実験計画!$I$5:$I$28,$B18))</f>
        <v>2</v>
      </c>
      <c r="G18" s="28" t="n">
        <f aca="false">IF(OR(B18="",01_因子設定!$B$25=0),"",INDEX(D18:F18,01_因子設定!$B$25))</f>
        <v>65</v>
      </c>
      <c r="H18" s="20" t="n">
        <v>47.9</v>
      </c>
      <c r="I18" s="14"/>
    </row>
    <row r="19" customFormat="false" ht="15" hidden="false" customHeight="false" outlineLevel="0" collapsed="false">
      <c r="A19" s="13" t="n">
        <v>15</v>
      </c>
      <c r="B19" s="34" t="n">
        <f aca="false">IF(A19&lt;=01_因子設定!$B$23,INDEX(02_実験計画!$A$5:$A$28,MATCH(A19,02_実験計画!$M$5:$M$28,0)),"")</f>
        <v>8</v>
      </c>
      <c r="C19" s="34" t="str">
        <f aca="false">IF(B19="","",INDEX(02_実験計画!$B$5:$B$28,B19))</f>
        <v>要因点</v>
      </c>
      <c r="D19" s="28" t="n">
        <f aca="false">IF($B19="","",INDEX(02_実験計画!$G$5:$G$28,$B19))</f>
        <v>75</v>
      </c>
      <c r="E19" s="28" t="n">
        <f aca="false">IF($B19="","",INDEX(02_実験計画!$H$5:$H$28,$B19))</f>
        <v>40</v>
      </c>
      <c r="F19" s="28" t="n">
        <f aca="false">IF($B19="","",INDEX(02_実験計画!$I$5:$I$28,$B19))</f>
        <v>3</v>
      </c>
      <c r="G19" s="28" t="n">
        <f aca="false">IF(OR(B19="",01_因子設定!$B$25=0),"",INDEX(D19:F19,01_因子設定!$B$25))</f>
        <v>75</v>
      </c>
      <c r="H19" s="20" t="n">
        <v>50.1</v>
      </c>
      <c r="I19" s="14"/>
    </row>
    <row r="20" customFormat="false" ht="15" hidden="false" customHeight="false" outlineLevel="0" collapsed="false">
      <c r="A20" s="13" t="n">
        <v>16</v>
      </c>
      <c r="B20" s="34" t="n">
        <f aca="false">IF(A20&lt;=01_因子設定!$B$23,INDEX(02_実験計画!$A$5:$A$28,MATCH(A20,02_実験計画!$M$5:$M$28,0)),"")</f>
        <v>11</v>
      </c>
      <c r="C20" s="34" t="str">
        <f aca="false">IF(B20="","",INDEX(02_実験計画!$B$5:$B$28,B20))</f>
        <v>軸点</v>
      </c>
      <c r="D20" s="28" t="n">
        <f aca="false">IF($B20="","",INDEX(02_実験計画!$G$5:$G$28,$B20))</f>
        <v>65</v>
      </c>
      <c r="E20" s="28" t="n">
        <f aca="false">IF($B20="","",INDEX(02_実験計画!$H$5:$H$28,$B20))</f>
        <v>20</v>
      </c>
      <c r="F20" s="28" t="n">
        <f aca="false">IF($B20="","",INDEX(02_実験計画!$I$5:$I$28,$B20))</f>
        <v>2</v>
      </c>
      <c r="G20" s="28" t="n">
        <f aca="false">IF(OR(B20="",01_因子設定!$B$25=0),"",INDEX(D20:F20,01_因子設定!$B$25))</f>
        <v>65</v>
      </c>
      <c r="H20" s="20" t="n">
        <v>43.7</v>
      </c>
      <c r="I20" s="14"/>
    </row>
    <row r="21" customFormat="false" ht="15" hidden="false" customHeight="false" outlineLevel="0" collapsed="false">
      <c r="A21" s="13" t="n">
        <v>17</v>
      </c>
      <c r="B21" s="34" t="n">
        <f aca="false">IF(A21&lt;=01_因子設定!$B$23,INDEX(02_実験計画!$A$5:$A$28,MATCH(A21,02_実験計画!$M$5:$M$28,0)),"")</f>
        <v>18</v>
      </c>
      <c r="C21" s="34" t="str">
        <f aca="false">IF(B21="","",INDEX(02_実験計画!$B$5:$B$28,B21))</f>
        <v>中心点</v>
      </c>
      <c r="D21" s="28" t="n">
        <f aca="false">IF($B21="","",INDEX(02_実験計画!$G$5:$G$28,$B21))</f>
        <v>65</v>
      </c>
      <c r="E21" s="28" t="n">
        <f aca="false">IF($B21="","",INDEX(02_実験計画!$H$5:$H$28,$B21))</f>
        <v>30</v>
      </c>
      <c r="F21" s="28" t="n">
        <f aca="false">IF($B21="","",INDEX(02_実験計画!$I$5:$I$28,$B21))</f>
        <v>2</v>
      </c>
      <c r="G21" s="28" t="n">
        <f aca="false">IF(OR(B21="",01_因子設定!$B$25=0),"",INDEX(D21:F21,01_因子設定!$B$25))</f>
        <v>65</v>
      </c>
      <c r="H21" s="20" t="n">
        <v>49.3</v>
      </c>
      <c r="I21" s="14"/>
    </row>
    <row r="22" customFormat="false" ht="15" hidden="false" customHeight="false" outlineLevel="0" collapsed="false">
      <c r="A22" s="13" t="n">
        <v>18</v>
      </c>
      <c r="B22" s="34" t="n">
        <f aca="false">IF(A22&lt;=01_因子設定!$B$23,INDEX(02_実験計画!$A$5:$A$28,MATCH(A22,02_実験計画!$M$5:$M$28,0)),"")</f>
        <v>17</v>
      </c>
      <c r="C22" s="34" t="str">
        <f aca="false">IF(B22="","",INDEX(02_実験計画!$B$5:$B$28,B22))</f>
        <v>中心点</v>
      </c>
      <c r="D22" s="28" t="n">
        <f aca="false">IF($B22="","",INDEX(02_実験計画!$G$5:$G$28,$B22))</f>
        <v>65</v>
      </c>
      <c r="E22" s="28" t="n">
        <f aca="false">IF($B22="","",INDEX(02_実験計画!$H$5:$H$28,$B22))</f>
        <v>30</v>
      </c>
      <c r="F22" s="28" t="n">
        <f aca="false">IF($B22="","",INDEX(02_実験計画!$I$5:$I$28,$B22))</f>
        <v>2</v>
      </c>
      <c r="G22" s="28" t="n">
        <f aca="false">IF(OR(B22="",01_因子設定!$B$25=0),"",INDEX(D22:F22,01_因子設定!$B$25))</f>
        <v>65</v>
      </c>
      <c r="H22" s="20" t="n">
        <v>48.9</v>
      </c>
      <c r="I22" s="14"/>
    </row>
    <row r="23" customFormat="false" ht="15" hidden="false" customHeight="false" outlineLevel="0" collapsed="false">
      <c r="A23" s="13" t="n">
        <v>19</v>
      </c>
      <c r="B23" s="34" t="n">
        <f aca="false">IF(A23&lt;=01_因子設定!$B$23,INDEX(02_実験計画!$A$5:$A$28,MATCH(A23,02_実験計画!$M$5:$M$28,0)),"")</f>
        <v>12</v>
      </c>
      <c r="C23" s="34" t="str">
        <f aca="false">IF(B23="","",INDEX(02_実験計画!$B$5:$B$28,B23))</f>
        <v>軸点</v>
      </c>
      <c r="D23" s="28" t="n">
        <f aca="false">IF($B23="","",INDEX(02_実験計画!$G$5:$G$28,$B23))</f>
        <v>65</v>
      </c>
      <c r="E23" s="28" t="n">
        <f aca="false">IF($B23="","",INDEX(02_実験計画!$H$5:$H$28,$B23))</f>
        <v>40</v>
      </c>
      <c r="F23" s="28" t="n">
        <f aca="false">IF($B23="","",INDEX(02_実験計画!$I$5:$I$28,$B23))</f>
        <v>2</v>
      </c>
      <c r="G23" s="28" t="n">
        <f aca="false">IF(OR(B23="",01_因子設定!$B$25=0),"",INDEX(D23:F23,01_因子設定!$B$25))</f>
        <v>65</v>
      </c>
      <c r="H23" s="20" t="n">
        <v>48.8</v>
      </c>
      <c r="I23" s="14"/>
    </row>
    <row r="24" customFormat="false" ht="15" hidden="false" customHeight="false" outlineLevel="0" collapsed="false">
      <c r="A24" s="13" t="n">
        <v>20</v>
      </c>
      <c r="B24" s="34" t="n">
        <f aca="false">IF(A24&lt;=01_因子設定!$B$23,INDEX(02_実験計画!$A$5:$A$28,MATCH(A24,02_実験計画!$M$5:$M$28,0)),"")</f>
        <v>5</v>
      </c>
      <c r="C24" s="34" t="str">
        <f aca="false">IF(B24="","",INDEX(02_実験計画!$B$5:$B$28,B24))</f>
        <v>要因点</v>
      </c>
      <c r="D24" s="28" t="n">
        <f aca="false">IF($B24="","",INDEX(02_実験計画!$G$5:$G$28,$B24))</f>
        <v>55</v>
      </c>
      <c r="E24" s="28" t="n">
        <f aca="false">IF($B24="","",INDEX(02_実験計画!$H$5:$H$28,$B24))</f>
        <v>20</v>
      </c>
      <c r="F24" s="28" t="n">
        <f aca="false">IF($B24="","",INDEX(02_実験計画!$I$5:$I$28,$B24))</f>
        <v>3</v>
      </c>
      <c r="G24" s="28" t="n">
        <f aca="false">IF(OR(B24="",01_因子設定!$B$25=0),"",INDEX(D24:F24,01_因子設定!$B$25))</f>
        <v>55</v>
      </c>
      <c r="H24" s="20" t="n">
        <v>40.3</v>
      </c>
      <c r="I24" s="14"/>
    </row>
    <row r="25" customFormat="false" ht="15" hidden="false" customHeight="false" outlineLevel="0" collapsed="false">
      <c r="A25" s="13" t="n">
        <v>21</v>
      </c>
      <c r="B25" s="34" t="str">
        <f aca="false">IF(A25&lt;=01_因子設定!$B$23,INDEX(02_実験計画!$A$5:$A$28,MATCH(A25,02_実験計画!$M$5:$M$28,0)),"")</f>
        <v/>
      </c>
      <c r="C25" s="34" t="str">
        <f aca="false">IF(B25="","",INDEX(02_実験計画!$B$5:$B$28,B25))</f>
        <v/>
      </c>
      <c r="D25" s="28" t="str">
        <f aca="false">IF($B25="","",INDEX(02_実験計画!$G$5:$G$28,$B25))</f>
        <v/>
      </c>
      <c r="E25" s="28" t="str">
        <f aca="false">IF($B25="","",INDEX(02_実験計画!$H$5:$H$28,$B25))</f>
        <v/>
      </c>
      <c r="F25" s="28" t="str">
        <f aca="false">IF($B25="","",INDEX(02_実験計画!$I$5:$I$28,$B25))</f>
        <v/>
      </c>
      <c r="G25" s="28" t="str">
        <f aca="false">IF(OR(B25="",01_因子設定!$B$25=0),"",INDEX(D25:F25,01_因子設定!$B$25))</f>
        <v/>
      </c>
      <c r="H25" s="20"/>
      <c r="I25" s="14"/>
    </row>
    <row r="26" customFormat="false" ht="15" hidden="false" customHeight="false" outlineLevel="0" collapsed="false">
      <c r="A26" s="13" t="n">
        <v>22</v>
      </c>
      <c r="B26" s="34" t="str">
        <f aca="false">IF(A26&lt;=01_因子設定!$B$23,INDEX(02_実験計画!$A$5:$A$28,MATCH(A26,02_実験計画!$M$5:$M$28,0)),"")</f>
        <v/>
      </c>
      <c r="C26" s="34" t="str">
        <f aca="false">IF(B26="","",INDEX(02_実験計画!$B$5:$B$28,B26))</f>
        <v/>
      </c>
      <c r="D26" s="28" t="str">
        <f aca="false">IF($B26="","",INDEX(02_実験計画!$G$5:$G$28,$B26))</f>
        <v/>
      </c>
      <c r="E26" s="28" t="str">
        <f aca="false">IF($B26="","",INDEX(02_実験計画!$H$5:$H$28,$B26))</f>
        <v/>
      </c>
      <c r="F26" s="28" t="str">
        <f aca="false">IF($B26="","",INDEX(02_実験計画!$I$5:$I$28,$B26))</f>
        <v/>
      </c>
      <c r="G26" s="28" t="str">
        <f aca="false">IF(OR(B26="",01_因子設定!$B$25=0),"",INDEX(D26:F26,01_因子設定!$B$25))</f>
        <v/>
      </c>
      <c r="H26" s="20"/>
      <c r="I26" s="14"/>
    </row>
    <row r="27" customFormat="false" ht="15" hidden="false" customHeight="false" outlineLevel="0" collapsed="false">
      <c r="A27" s="13" t="n">
        <v>23</v>
      </c>
      <c r="B27" s="34" t="str">
        <f aca="false">IF(A27&lt;=01_因子設定!$B$23,INDEX(02_実験計画!$A$5:$A$28,MATCH(A27,02_実験計画!$M$5:$M$28,0)),"")</f>
        <v/>
      </c>
      <c r="C27" s="34" t="str">
        <f aca="false">IF(B27="","",INDEX(02_実験計画!$B$5:$B$28,B27))</f>
        <v/>
      </c>
      <c r="D27" s="28" t="str">
        <f aca="false">IF($B27="","",INDEX(02_実験計画!$G$5:$G$28,$B27))</f>
        <v/>
      </c>
      <c r="E27" s="28" t="str">
        <f aca="false">IF($B27="","",INDEX(02_実験計画!$H$5:$H$28,$B27))</f>
        <v/>
      </c>
      <c r="F27" s="28" t="str">
        <f aca="false">IF($B27="","",INDEX(02_実験計画!$I$5:$I$28,$B27))</f>
        <v/>
      </c>
      <c r="G27" s="28" t="str">
        <f aca="false">IF(OR(B27="",01_因子設定!$B$25=0),"",INDEX(D27:F27,01_因子設定!$B$25))</f>
        <v/>
      </c>
      <c r="H27" s="20"/>
      <c r="I27" s="14"/>
    </row>
    <row r="28" customFormat="false" ht="15" hidden="false" customHeight="false" outlineLevel="0" collapsed="false">
      <c r="A28" s="13" t="n">
        <v>24</v>
      </c>
      <c r="B28" s="34" t="str">
        <f aca="false">IF(A28&lt;=01_因子設定!$B$23,INDEX(02_実験計画!$A$5:$A$28,MATCH(A28,02_実験計画!$M$5:$M$28,0)),"")</f>
        <v/>
      </c>
      <c r="C28" s="34" t="str">
        <f aca="false">IF(B28="","",INDEX(02_実験計画!$B$5:$B$28,B28))</f>
        <v/>
      </c>
      <c r="D28" s="28" t="str">
        <f aca="false">IF($B28="","",INDEX(02_実験計画!$G$5:$G$28,$B28))</f>
        <v/>
      </c>
      <c r="E28" s="28" t="str">
        <f aca="false">IF($B28="","",INDEX(02_実験計画!$H$5:$H$28,$B28))</f>
        <v/>
      </c>
      <c r="F28" s="28" t="str">
        <f aca="false">IF($B28="","",INDEX(02_実験計画!$I$5:$I$28,$B28))</f>
        <v/>
      </c>
      <c r="G28" s="28" t="str">
        <f aca="false">IF(OR(B28="",01_因子設定!$B$25=0),"",INDEX(D28:F28,01_因子設定!$B$25))</f>
        <v/>
      </c>
      <c r="H28" s="20"/>
      <c r="I28" s="14"/>
    </row>
  </sheetData>
  <conditionalFormatting sqref="A5:I28">
    <cfRule type="expression" priority="2" aboveAverage="0" equalAverage="0" bottom="0" percent="0" rank="0" text="" dxfId="2">
      <formula>$B5=""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K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4" min="3" style="0" width="12"/>
    <col collapsed="false" customWidth="true" hidden="false" outlineLevel="0" max="5" min="5" style="0" width="9"/>
    <col collapsed="false" customWidth="true" hidden="false" outlineLevel="0" max="6" min="6" style="0" width="10"/>
    <col collapsed="false" customWidth="true" hidden="false" outlineLevel="0" max="7" min="7" style="0" width="16"/>
    <col collapsed="false" customWidth="true" hidden="false" outlineLevel="0" max="8" min="8" style="0" width="24"/>
    <col collapsed="false" customWidth="true" hidden="false" outlineLevel="0" max="10" min="10" style="0" width="22"/>
    <col collapsed="false" customWidth="true" hidden="false" outlineLevel="0" max="11" min="11" style="0" width="12"/>
  </cols>
  <sheetData>
    <row r="1" customFormat="false" ht="21.6" hidden="false" customHeight="false" outlineLevel="0" collapsed="false">
      <c r="A1" s="8" t="s">
        <v>133</v>
      </c>
    </row>
    <row r="2" customFormat="false" ht="15" hidden="false" customHeight="false" outlineLevel="0" collapsed="false">
      <c r="A2" s="35" t="s">
        <v>134</v>
      </c>
    </row>
    <row r="5" customFormat="false" ht="15" hidden="false" customHeight="false" outlineLevel="0" collapsed="false">
      <c r="A5" s="10" t="s">
        <v>135</v>
      </c>
      <c r="B5" s="10" t="s">
        <v>136</v>
      </c>
      <c r="C5" s="10" t="s">
        <v>137</v>
      </c>
      <c r="D5" s="10" t="s">
        <v>138</v>
      </c>
      <c r="E5" s="9" t="s">
        <v>139</v>
      </c>
      <c r="F5" s="9" t="s">
        <v>140</v>
      </c>
      <c r="G5" s="10" t="s">
        <v>141</v>
      </c>
      <c r="H5" s="10" t="s">
        <v>142</v>
      </c>
      <c r="J5" s="3" t="s">
        <v>143</v>
      </c>
      <c r="K5" s="3" t="s">
        <v>144</v>
      </c>
    </row>
    <row r="6" customFormat="false" ht="15" hidden="false" customHeight="false" outlineLevel="0" collapsed="false">
      <c r="A6" s="36" t="s">
        <v>145</v>
      </c>
      <c r="B6" s="11" t="n">
        <v>1</v>
      </c>
      <c r="C6" s="30" t="n">
        <f aca="false">IF(B6=1,_XtX!M45,0)</f>
        <v>48.3809090909091</v>
      </c>
      <c r="D6" s="30" t="n">
        <f aca="false">IF(B6=1,SQRT($K$13*INDEX(_XtX!$B$58:$K$67,1,1)),"")</f>
        <v>0.176349109054916</v>
      </c>
      <c r="E6" s="15" t="n">
        <f aca="false">IF(B6=1,C6/D6,"")</f>
        <v>274.347340625594</v>
      </c>
      <c r="F6" s="30" t="n">
        <f aca="false">IF(B6=1,TDIST(ABS(E6),$K$8,2),"")</f>
        <v>1.01818944711345E-020</v>
      </c>
      <c r="G6" s="13" t="str">
        <f aca="false">IF(F6="","",IF(F6&lt;0.01,"**",IF(F6&lt;0.05,"*",IF(F6&lt;0.1,"△",""))))</f>
        <v>**</v>
      </c>
      <c r="H6" s="24"/>
      <c r="J6" s="23" t="s">
        <v>146</v>
      </c>
      <c r="K6" s="37" t="n">
        <f aca="false">SUM(_XtX!A5:A28)</f>
        <v>20</v>
      </c>
    </row>
    <row r="7" customFormat="false" ht="15" hidden="false" customHeight="false" outlineLevel="0" collapsed="false">
      <c r="A7" s="13" t="s">
        <v>64</v>
      </c>
      <c r="B7" s="14" t="n">
        <v>1</v>
      </c>
      <c r="C7" s="30" t="n">
        <f aca="false">IF(B7=1,_XtX!M46,0)</f>
        <v>2.62</v>
      </c>
      <c r="D7" s="30" t="n">
        <f aca="false">IF(B7=1,SQRT($K$13*INDEX(_XtX!$B$58:$K$67,2,2)),"")</f>
        <v>0.162217586760947</v>
      </c>
      <c r="E7" s="15" t="n">
        <f aca="false">IF(B7=1,C7/D7,"")</f>
        <v>16.1511464466611</v>
      </c>
      <c r="F7" s="30" t="n">
        <f aca="false">IF(B7=1,TDIST(ABS(E7),$K$8,2),"")</f>
        <v>1.71462981049275E-008</v>
      </c>
      <c r="G7" s="13" t="str">
        <f aca="false">IF(F7="","",IF(F7&lt;0.01,"**",IF(F7&lt;0.05,"*",IF(F7&lt;0.1,"△",""))))</f>
        <v>**</v>
      </c>
      <c r="H7" s="24"/>
      <c r="J7" s="23" t="s">
        <v>147</v>
      </c>
      <c r="K7" s="37" t="n">
        <f aca="false">SUM($B$6:$B$15)</f>
        <v>10</v>
      </c>
    </row>
    <row r="8" customFormat="false" ht="15" hidden="false" customHeight="false" outlineLevel="0" collapsed="false">
      <c r="A8" s="13" t="s">
        <v>69</v>
      </c>
      <c r="B8" s="14" t="n">
        <v>1</v>
      </c>
      <c r="C8" s="30" t="n">
        <f aca="false">IF(B8=1,_XtX!M47,0)</f>
        <v>2.07</v>
      </c>
      <c r="D8" s="30" t="n">
        <f aca="false">IF(B8=1,SQRT($K$13*INDEX(_XtX!$B$58:$K$67,3,3)),"")</f>
        <v>0.162217586760947</v>
      </c>
      <c r="E8" s="15" t="n">
        <f aca="false">IF(B8=1,C8/D8,"")</f>
        <v>12.7606386048047</v>
      </c>
      <c r="F8" s="30" t="n">
        <f aca="false">IF(B8=1,TDIST(ABS(E8),$K$8,2),"")</f>
        <v>1.63568086651378E-007</v>
      </c>
      <c r="G8" s="13" t="str">
        <f aca="false">IF(F8="","",IF(F8&lt;0.01,"**",IF(F8&lt;0.05,"*",IF(F8&lt;0.1,"△",""))))</f>
        <v>**</v>
      </c>
      <c r="H8" s="24"/>
      <c r="J8" s="18" t="s">
        <v>148</v>
      </c>
      <c r="K8" s="37" t="n">
        <f aca="false">K6-K7</f>
        <v>10</v>
      </c>
    </row>
    <row r="9" customFormat="false" ht="15" hidden="false" customHeight="false" outlineLevel="0" collapsed="false">
      <c r="A9" s="13" t="s">
        <v>72</v>
      </c>
      <c r="B9" s="14" t="n">
        <v>1</v>
      </c>
      <c r="C9" s="30" t="n">
        <f aca="false">IF(B9=1,_XtX!M48,0)</f>
        <v>1.38</v>
      </c>
      <c r="D9" s="30" t="n">
        <f aca="false">IF(B9=1,SQRT($K$13*INDEX(_XtX!$B$58:$K$67,4,4)),"")</f>
        <v>0.162217586760947</v>
      </c>
      <c r="E9" s="15" t="n">
        <f aca="false">IF(B9=1,C9/D9,"")</f>
        <v>8.50709240320315</v>
      </c>
      <c r="F9" s="30" t="n">
        <f aca="false">IF(B9=1,TDIST(ABS(E9),$K$8,2),"")</f>
        <v>6.84632800043332E-006</v>
      </c>
      <c r="G9" s="13" t="str">
        <f aca="false">IF(F9="","",IF(F9&lt;0.01,"**",IF(F9&lt;0.05,"*",IF(F9&lt;0.1,"△",""))))</f>
        <v>**</v>
      </c>
      <c r="H9" s="24"/>
      <c r="J9" s="23" t="s">
        <v>149</v>
      </c>
      <c r="K9" s="16" t="n">
        <f aca="false">SUMSQ(_XtX!P5:P28)</f>
        <v>2.63145454545454</v>
      </c>
    </row>
    <row r="10" customFormat="false" ht="15" hidden="false" customHeight="false" outlineLevel="0" collapsed="false">
      <c r="A10" s="13" t="s">
        <v>150</v>
      </c>
      <c r="B10" s="14" t="n">
        <v>1</v>
      </c>
      <c r="C10" s="30" t="n">
        <f aca="false">IF(B10=1,_XtX!M49,0)</f>
        <v>1.225</v>
      </c>
      <c r="D10" s="30" t="n">
        <f aca="false">IF(B10=1,SQRT($K$13*INDEX(_XtX!$B$58:$K$67,5,5)),"")</f>
        <v>0.181364775571724</v>
      </c>
      <c r="E10" s="15" t="n">
        <f aca="false">IF(B10=1,C10/D10,"")</f>
        <v>6.75434353853101</v>
      </c>
      <c r="F10" s="30" t="n">
        <f aca="false">IF(B10=1,TDIST(ABS(E10),$K$8,2),"")</f>
        <v>5.0151792213317E-005</v>
      </c>
      <c r="G10" s="13" t="str">
        <f aca="false">IF(F10="","",IF(F10&lt;0.01,"**",IF(F10&lt;0.05,"*",IF(F10&lt;0.1,"△",""))))</f>
        <v>**</v>
      </c>
      <c r="H10" s="24" t="str">
        <f aca="false">IF(AND(B10=1,OR($B$7=0,$B$8=0)),"主効果が除外されています","")</f>
        <v/>
      </c>
      <c r="J10" s="23" t="s">
        <v>151</v>
      </c>
      <c r="K10" s="16" t="n">
        <f aca="false">SUMPRODUCT(_XtX!L5:L28,_XtX!A5:A28)/K6</f>
        <v>45.54</v>
      </c>
    </row>
    <row r="11" customFormat="false" ht="15" hidden="false" customHeight="false" outlineLevel="0" collapsed="false">
      <c r="A11" s="13" t="s">
        <v>152</v>
      </c>
      <c r="B11" s="14" t="n">
        <v>1</v>
      </c>
      <c r="C11" s="30" t="n">
        <f aca="false">IF(B11=1,_XtX!M50,0)</f>
        <v>-0.149999999999999</v>
      </c>
      <c r="D11" s="30" t="n">
        <f aca="false">IF(B11=1,SQRT($K$13*INDEX(_XtX!$B$58:$K$67,6,6)),"")</f>
        <v>0.181364775571724</v>
      </c>
      <c r="E11" s="15" t="n">
        <f aca="false">IF(B11=1,C11/D11,"")</f>
        <v>-0.827062474105836</v>
      </c>
      <c r="F11" s="30" t="n">
        <f aca="false">IF(B11=1,TDIST(ABS(E11),$K$8,2),"")</f>
        <v>0.427496043039532</v>
      </c>
      <c r="G11" s="13" t="str">
        <f aca="false">IF(F11="","",IF(F11&lt;0.01,"**",IF(F11&lt;0.05,"*",IF(F11&lt;0.1,"△",""))))</f>
        <v/>
      </c>
      <c r="H11" s="24" t="str">
        <f aca="false">IF(AND(B11=1,OR($B$7=0,$B$9=0)),"主効果が除外されています","")</f>
        <v/>
      </c>
      <c r="J11" s="23" t="s">
        <v>153</v>
      </c>
      <c r="K11" s="16" t="n">
        <f aca="false">SUMPRODUCT(_XtX!A5:A28,(_XtX!L5:L28-K10)^2)</f>
        <v>267.088</v>
      </c>
    </row>
    <row r="12" customFormat="false" ht="15" hidden="false" customHeight="false" outlineLevel="0" collapsed="false">
      <c r="A12" s="13" t="s">
        <v>154</v>
      </c>
      <c r="B12" s="14" t="n">
        <v>1</v>
      </c>
      <c r="C12" s="30" t="n">
        <f aca="false">IF(B12=1,_XtX!M51,0)</f>
        <v>0.45</v>
      </c>
      <c r="D12" s="30" t="n">
        <f aca="false">IF(B12=1,SQRT($K$13*INDEX(_XtX!$B$58:$K$67,7,7)),"")</f>
        <v>0.181364775571724</v>
      </c>
      <c r="E12" s="15" t="n">
        <f aca="false">IF(B12=1,C12/D12,"")</f>
        <v>2.48118742231752</v>
      </c>
      <c r="F12" s="30" t="n">
        <f aca="false">IF(B12=1,TDIST(ABS(E12),$K$8,2),"")</f>
        <v>0.0324767153966406</v>
      </c>
      <c r="G12" s="13" t="str">
        <f aca="false">IF(F12="","",IF(F12&lt;0.01,"**",IF(F12&lt;0.05,"*",IF(F12&lt;0.1,"△",""))))</f>
        <v>*</v>
      </c>
      <c r="H12" s="24" t="str">
        <f aca="false">IF(AND(B12=1,OR($B$8=0,$B$9=0)),"主効果が除外されています","")</f>
        <v/>
      </c>
      <c r="J12" s="23" t="s">
        <v>155</v>
      </c>
      <c r="K12" s="16" t="n">
        <f aca="false">K11-K9</f>
        <v>264.456545454545</v>
      </c>
    </row>
    <row r="13" customFormat="false" ht="15" hidden="false" customHeight="false" outlineLevel="0" collapsed="false">
      <c r="A13" s="13" t="s">
        <v>156</v>
      </c>
      <c r="B13" s="14" t="n">
        <v>1</v>
      </c>
      <c r="C13" s="30" t="n">
        <f aca="false">IF(B13=1,_XtX!M52,0)</f>
        <v>-2.47727272727275</v>
      </c>
      <c r="D13" s="30" t="n">
        <f aca="false">IF(B13=1,SQRT($K$13*INDEX(_XtX!$B$58:$K$67,8,8)),"")</f>
        <v>0.309336800588528</v>
      </c>
      <c r="E13" s="15" t="n">
        <f aca="false">IF(B13=1,C13/D13,"")</f>
        <v>-8.00833500107203</v>
      </c>
      <c r="F13" s="30" t="n">
        <f aca="false">IF(B13=1,TDIST(ABS(E13),$K$8,2),"")</f>
        <v>1.16680171721274E-005</v>
      </c>
      <c r="G13" s="13" t="str">
        <f aca="false">IF(F13="","",IF(F13&lt;0.01,"**",IF(F13&lt;0.05,"*",IF(F13&lt;0.1,"△",""))))</f>
        <v>**</v>
      </c>
      <c r="H13" s="24" t="str">
        <f aca="false">IF(AND(B13=1,OR($B$7=0)),"主効果が除外されています","")</f>
        <v/>
      </c>
      <c r="J13" s="23" t="s">
        <v>157</v>
      </c>
      <c r="K13" s="30" t="n">
        <f aca="false">K9/K8</f>
        <v>0.263145454545454</v>
      </c>
    </row>
    <row r="14" customFormat="false" ht="15" hidden="false" customHeight="false" outlineLevel="0" collapsed="false">
      <c r="A14" s="13" t="s">
        <v>158</v>
      </c>
      <c r="B14" s="14" t="n">
        <v>1</v>
      </c>
      <c r="C14" s="30" t="n">
        <f aca="false">IF(B14=1,_XtX!M53,0)</f>
        <v>-2.02727272727272</v>
      </c>
      <c r="D14" s="30" t="n">
        <f aca="false">IF(B14=1,SQRT($K$13*INDEX(_XtX!$B$58:$K$67,9,9)),"")</f>
        <v>0.309336800588528</v>
      </c>
      <c r="E14" s="15" t="n">
        <f aca="false">IF(B14=1,C14/D14,"")</f>
        <v>-6.55360992748273</v>
      </c>
      <c r="F14" s="30" t="n">
        <f aca="false">IF(B14=1,TDIST(ABS(E14),$K$8,2),"")</f>
        <v>6.44348939182836E-005</v>
      </c>
      <c r="G14" s="13" t="str">
        <f aca="false">IF(F14="","",IF(F14&lt;0.01,"**",IF(F14&lt;0.05,"*",IF(F14&lt;0.1,"△",""))))</f>
        <v>**</v>
      </c>
      <c r="H14" s="24" t="str">
        <f aca="false">IF(AND(B14=1,OR($B$8=0)),"主効果が除外されています","")</f>
        <v/>
      </c>
      <c r="J14" s="23" t="s">
        <v>159</v>
      </c>
      <c r="K14" s="16" t="n">
        <f aca="false">SQRT(K13)</f>
        <v>0.512977050700569</v>
      </c>
    </row>
    <row r="15" customFormat="false" ht="15" hidden="false" customHeight="false" outlineLevel="0" collapsed="false">
      <c r="A15" s="13" t="s">
        <v>160</v>
      </c>
      <c r="B15" s="14" t="n">
        <v>1</v>
      </c>
      <c r="C15" s="30" t="n">
        <f aca="false">IF(B15=1,_XtX!M54,0)</f>
        <v>-1.17727272727271</v>
      </c>
      <c r="D15" s="30" t="n">
        <f aca="false">IF(B15=1,SQRT($K$13*INDEX(_XtX!$B$58:$K$67,10,10)),"")</f>
        <v>0.309336800588528</v>
      </c>
      <c r="E15" s="15" t="n">
        <f aca="false">IF(B15=1,C15/D15,"")</f>
        <v>-3.80579589959193</v>
      </c>
      <c r="F15" s="30" t="n">
        <f aca="false">IF(B15=1,TDIST(ABS(E15),$K$8,2),"")</f>
        <v>0.00345288239592462</v>
      </c>
      <c r="G15" s="13" t="str">
        <f aca="false">IF(F15="","",IF(F15&lt;0.01,"**",IF(F15&lt;0.05,"*",IF(F15&lt;0.1,"△",""))))</f>
        <v>**</v>
      </c>
      <c r="H15" s="24" t="str">
        <f aca="false">IF(AND(B15=1,OR($B$9=0)),"主効果が除外されています","")</f>
        <v/>
      </c>
      <c r="J15" s="23" t="s">
        <v>161</v>
      </c>
      <c r="K15" s="16" t="n">
        <f aca="false">1-K9/K11</f>
        <v>0.990147612227227</v>
      </c>
    </row>
    <row r="16" customFormat="false" ht="15" hidden="false" customHeight="false" outlineLevel="0" collapsed="false">
      <c r="J16" s="18" t="s">
        <v>162</v>
      </c>
      <c r="K16" s="16" t="n">
        <f aca="false">1-(K9/K8)/(K11/(K6-1))</f>
        <v>0.98128046323173</v>
      </c>
    </row>
    <row r="17" customFormat="false" ht="15" hidden="false" customHeight="false" outlineLevel="0" collapsed="false">
      <c r="A17" s="19" t="s">
        <v>163</v>
      </c>
      <c r="J17" s="23" t="s">
        <v>164</v>
      </c>
      <c r="K17" s="16" t="n">
        <f aca="false">SUMPRODUCT(_XtX!A5:A28,(_XtX!P5:P28/(1-_XtX!N5:N28))^2)</f>
        <v>13.569427345466</v>
      </c>
    </row>
    <row r="18" customFormat="false" ht="15" hidden="false" customHeight="false" outlineLevel="0" collapsed="false">
      <c r="J18" s="18" t="s">
        <v>165</v>
      </c>
      <c r="K18" s="16" t="n">
        <f aca="false">1-K17/K11</f>
        <v>0.949194919481721</v>
      </c>
    </row>
    <row r="19" customFormat="false" ht="15" hidden="false" customHeight="false" outlineLevel="0" collapsed="false">
      <c r="J19" s="23" t="s">
        <v>166</v>
      </c>
      <c r="K19" s="16" t="n">
        <f aca="false">IF(01_因子設定!$B$13="目標値",TINV(1-01_因子設定!B17,K8),TINV(2*(1-01_因子設定!B17),K8))</f>
        <v>1.81246112281168</v>
      </c>
    </row>
    <row r="20" customFormat="false" ht="15" hidden="false" customHeight="false" outlineLevel="0" collapsed="false">
      <c r="J20" s="23" t="s">
        <v>167</v>
      </c>
      <c r="K20" s="37" t="n">
        <f aca="false">SUMPRODUCT((03_実験結果!$A$5:$A$28&lt;=01_因子設定!$B$23)*(03_実験結果!$H$5:$H$28=""))</f>
        <v>0</v>
      </c>
    </row>
    <row r="21" customFormat="false" ht="15" hidden="false" customHeight="false" outlineLevel="0" collapsed="false">
      <c r="J21" s="18" t="s">
        <v>91</v>
      </c>
      <c r="K21" s="37" t="n">
        <f aca="false">COUNTIF(02_実験計画!B5:B28,"中心点")</f>
        <v>6</v>
      </c>
    </row>
    <row r="22" customFormat="false" ht="15" hidden="false" customHeight="false" outlineLevel="0" collapsed="false">
      <c r="J22" s="18" t="s">
        <v>168</v>
      </c>
      <c r="K22" s="16" t="n">
        <f aca="false">IFERROR(AVERAGEIF(02_実験計画!B5:B28,"中心点",02_実験計画!$N$5:$N$28),0)</f>
        <v>48.45</v>
      </c>
    </row>
    <row r="23" customFormat="false" ht="15" hidden="false" customHeight="false" outlineLevel="0" collapsed="false">
      <c r="J23" s="23" t="s">
        <v>169</v>
      </c>
      <c r="K23" s="16" t="n">
        <f aca="false">TINV(1-01_因子設定!B17,K8)</f>
        <v>2.22813885198627</v>
      </c>
    </row>
    <row r="24" customFormat="false" ht="15" hidden="false" customHeight="false" outlineLevel="0" collapsed="false">
      <c r="J24" s="19" t="s">
        <v>170</v>
      </c>
    </row>
    <row r="25" customFormat="false" ht="15" hidden="false" customHeight="false" outlineLevel="0" collapsed="false">
      <c r="A25" s="10" t="s">
        <v>171</v>
      </c>
      <c r="B25" s="10" t="s">
        <v>172</v>
      </c>
      <c r="C25" s="10" t="s">
        <v>173</v>
      </c>
      <c r="D25" s="10" t="s">
        <v>174</v>
      </c>
      <c r="E25" s="9" t="s">
        <v>175</v>
      </c>
      <c r="F25" s="9" t="s">
        <v>140</v>
      </c>
      <c r="G25" s="10" t="s">
        <v>104</v>
      </c>
    </row>
    <row r="26" customFormat="false" ht="15" hidden="false" customHeight="false" outlineLevel="0" collapsed="false">
      <c r="A26" s="26" t="s">
        <v>176</v>
      </c>
      <c r="B26" s="37" t="n">
        <f aca="false">K7-1</f>
        <v>9</v>
      </c>
      <c r="C26" s="16" t="n">
        <f aca="false">K12</f>
        <v>264.456545454545</v>
      </c>
      <c r="D26" s="30" t="n">
        <f aca="false">C26/B26</f>
        <v>29.3840606060606</v>
      </c>
      <c r="E26" s="15" t="n">
        <f aca="false">D26/D27</f>
        <v>111.664708998365</v>
      </c>
      <c r="F26" s="30" t="n">
        <f aca="false">FDIST(E26,B26,B27)</f>
        <v>7.70845340749818E-009</v>
      </c>
      <c r="G26" s="26" t="str">
        <f aca="false">IF(F26&lt;0.05,"有意","有意でない")</f>
        <v>有意</v>
      </c>
    </row>
    <row r="27" customFormat="false" ht="15" hidden="false" customHeight="false" outlineLevel="0" collapsed="false">
      <c r="A27" s="26" t="s">
        <v>177</v>
      </c>
      <c r="B27" s="37" t="n">
        <f aca="false">K8</f>
        <v>10</v>
      </c>
      <c r="C27" s="16" t="n">
        <f aca="false">K9</f>
        <v>2.63145454545454</v>
      </c>
      <c r="D27" s="30" t="n">
        <f aca="false">K13</f>
        <v>0.263145454545454</v>
      </c>
      <c r="E27" s="15"/>
      <c r="F27" s="30"/>
    </row>
    <row r="28" customFormat="false" ht="15" hidden="false" customHeight="false" outlineLevel="0" collapsed="false">
      <c r="A28" s="26" t="s">
        <v>178</v>
      </c>
      <c r="B28" s="37" t="n">
        <f aca="false">B27-B29</f>
        <v>5</v>
      </c>
      <c r="C28" s="16" t="n">
        <f aca="false">C27-C29</f>
        <v>1.03645454545454</v>
      </c>
      <c r="D28" s="30" t="n">
        <f aca="false">IF(B28&gt;0,C28/B28,"")</f>
        <v>0.207290909090908</v>
      </c>
      <c r="E28" s="15" t="n">
        <f aca="false">IF(AND(B28&gt;0,B29&gt;0),D28/D29,"")</f>
        <v>0.649814762040467</v>
      </c>
      <c r="F28" s="30" t="n">
        <f aca="false">IF(E28="","",FDIST(E28,B28,B29))</f>
        <v>0.676138569497833</v>
      </c>
      <c r="G28" s="26" t="str">
        <f aca="false">IF(F28="","検定不可",IF(F28&lt;0.05,"有意（不適合）","有意でない（適合）"))</f>
        <v>有意でない（適合）</v>
      </c>
    </row>
    <row r="29" customFormat="false" ht="15" hidden="false" customHeight="false" outlineLevel="0" collapsed="false">
      <c r="A29" s="26" t="s">
        <v>179</v>
      </c>
      <c r="B29" s="37" t="n">
        <f aca="false">MAX(K21-1,0)</f>
        <v>5</v>
      </c>
      <c r="C29" s="16" t="n">
        <f aca="false">SUMPRODUCT((02_実験計画!$B$5:$B$28="中心点")*(02_実験計画!$N$5:$N$28-K22)^2)</f>
        <v>1.595</v>
      </c>
      <c r="D29" s="30" t="n">
        <f aca="false">IF(B29&gt;0,C29/B29,"")</f>
        <v>0.318999999999999</v>
      </c>
      <c r="E29" s="15"/>
      <c r="F29" s="30"/>
    </row>
    <row r="30" customFormat="false" ht="15" hidden="false" customHeight="false" outlineLevel="0" collapsed="false">
      <c r="A30" s="26" t="s">
        <v>180</v>
      </c>
      <c r="B30" s="37" t="n">
        <f aca="false">K6-1</f>
        <v>19</v>
      </c>
      <c r="C30" s="16" t="n">
        <f aca="false">K11</f>
        <v>267.088</v>
      </c>
      <c r="D30" s="30"/>
      <c r="E30" s="15"/>
      <c r="F30" s="30"/>
    </row>
    <row r="33" customFormat="false" ht="15" hidden="false" customHeight="false" outlineLevel="0" collapsed="false">
      <c r="A33" s="17" t="s">
        <v>181</v>
      </c>
    </row>
    <row r="34" customFormat="false" ht="30" hidden="false" customHeight="true" outlineLevel="0" collapsed="false">
      <c r="A34" s="18" t="s">
        <v>182</v>
      </c>
      <c r="B34" s="6" t="str">
        <f aca="false">IF(LEFT(01_因子設定!$B$32,1)="×","× 計画が安全限界を超過（01参照）→ 計画を変更してから実験する","○ 全実験点が安全限界内")</f>
        <v>○ 全実験点が安全限界内</v>
      </c>
      <c r="C34" s="6"/>
      <c r="D34" s="6"/>
      <c r="E34" s="6"/>
      <c r="F34" s="6"/>
      <c r="G34" s="6"/>
      <c r="H34" s="6"/>
    </row>
    <row r="35" customFormat="false" ht="30" hidden="false" customHeight="true" outlineLevel="0" collapsed="false">
      <c r="A35" s="18" t="s">
        <v>183</v>
      </c>
      <c r="B35" s="6" t="str">
        <f aca="false">IF(01_因子設定!$B$24="変更困難因子でグループ化",IF(01_因子設定!$B$25&gt;0,"△ 分割区画の順序で実施。この解析は完全ランダムとみなした近似で、変更困難因子のp値は小さく（有意に）出やすい → 正式にはJMP/R等で分割区画解析","△ グループ化を選んでいるが変更困難因子に○がない（完全ランダムとして生成）"),IF(01_因子設定!$B$25&gt;0,"△ 変更困難因子に○があるが完全ランダムで生成。現場で実施できるか確認（できなければグループ化＋正式解析はJMP/R等）","○ 完全ランダム"))</f>
        <v>△ 変更困難因子に○があるが完全ランダムで生成。現場で実施できるか確認（できなければグループ化＋正式解析はJMP/R等）</v>
      </c>
      <c r="C35" s="6"/>
      <c r="D35" s="6"/>
      <c r="E35" s="6"/>
      <c r="F35" s="6"/>
      <c r="G35" s="6"/>
      <c r="H35" s="6"/>
    </row>
    <row r="36" customFormat="false" ht="30" hidden="false" customHeight="true" outlineLevel="0" collapsed="false">
      <c r="A36" s="18" t="s">
        <v>184</v>
      </c>
      <c r="B36" s="6" t="str">
        <f aca="false">IF(K20&gt;0,"× Yが"&amp;K20&amp;"件未入力 → 結果は無効","○ 全件入力済")</f>
        <v>○ 全件入力済</v>
      </c>
      <c r="C36" s="6"/>
      <c r="D36" s="6"/>
      <c r="E36" s="6"/>
      <c r="F36" s="6"/>
      <c r="G36" s="6"/>
      <c r="H36" s="6"/>
    </row>
    <row r="37" customFormat="false" ht="30" hidden="false" customHeight="true" outlineLevel="0" collapsed="false">
      <c r="A37" s="18" t="s">
        <v>185</v>
      </c>
      <c r="B37" s="6" t="str">
        <f aca="false">IF(F26&lt;0.05,"○ 回帰は有意","× 有意でない → 因子・範囲の見直し。最適化に進まない")</f>
        <v>○ 回帰は有意</v>
      </c>
      <c r="C37" s="6"/>
      <c r="D37" s="6"/>
      <c r="E37" s="6"/>
      <c r="F37" s="6"/>
      <c r="G37" s="6"/>
      <c r="H37" s="6"/>
    </row>
    <row r="38" customFormat="false" ht="30" hidden="false" customHeight="true" outlineLevel="0" collapsed="false">
      <c r="A38" s="18" t="s">
        <v>186</v>
      </c>
      <c r="B38" s="6" t="str">
        <f aca="false">IF(F28="","－ 純誤差がないため検定不可（中心点を増やす）",IF(F28&lt;0.05,"× 2次モデルで説明しきれない → 変換・領域縮小・因子追加を検討","○ 2次モデルで説明できている"))</f>
        <v>○ 2次モデルで説明できている</v>
      </c>
      <c r="C38" s="6"/>
      <c r="D38" s="6"/>
      <c r="E38" s="6"/>
      <c r="F38" s="6"/>
      <c r="G38" s="6"/>
      <c r="H38" s="6"/>
    </row>
    <row r="39" customFormat="false" ht="30" hidden="false" customHeight="true" outlineLevel="0" collapsed="false">
      <c r="A39" s="23" t="s">
        <v>187</v>
      </c>
      <c r="B39" s="6" t="str">
        <f aca="false">IF(K15-K18&gt;0.2,"△ 差が0.2超 → 過学習の可能性。不要項の除外を検討","○ 差は0.2以内")</f>
        <v>○ 差は0.2以内</v>
      </c>
      <c r="C39" s="6"/>
      <c r="D39" s="6"/>
      <c r="E39" s="6"/>
      <c r="F39" s="6"/>
      <c r="G39" s="6"/>
      <c r="H39" s="6"/>
    </row>
    <row r="40" customFormat="false" ht="30" hidden="false" customHeight="true" outlineLevel="0" collapsed="false">
      <c r="A40" s="18" t="s">
        <v>177</v>
      </c>
      <c r="B40" s="6" t="str">
        <f aca="false">"05_残差診断のグラフで、パターン・外れ値がないことを目視確認"</f>
        <v>05_残差診断のグラフで、パターン・外れ値がないことを目視確認</v>
      </c>
      <c r="C40" s="6"/>
      <c r="D40" s="6"/>
      <c r="E40" s="6"/>
      <c r="F40" s="6"/>
      <c r="G40" s="6"/>
      <c r="H40" s="6"/>
    </row>
    <row r="42" customFormat="false" ht="15" hidden="false" customHeight="false" outlineLevel="0" collapsed="false">
      <c r="A42" s="38" t="s">
        <v>188</v>
      </c>
    </row>
  </sheetData>
  <mergeCells count="7">
    <mergeCell ref="B34:H34"/>
    <mergeCell ref="B35:H35"/>
    <mergeCell ref="B36:H36"/>
    <mergeCell ref="B37:H37"/>
    <mergeCell ref="B38:H38"/>
    <mergeCell ref="B39:H39"/>
    <mergeCell ref="B40:H40"/>
  </mergeCells>
  <conditionalFormatting sqref="B34:B40">
    <cfRule type="expression" priority="2" aboveAverage="0" equalAverage="0" bottom="0" percent="0" rank="0" text="" dxfId="0">
      <formula>LEFT(B34,1)="×"</formula>
    </cfRule>
    <cfRule type="expression" priority="3" aboveAverage="0" equalAverage="0" bottom="0" percent="0" rank="0" text="" dxfId="3">
      <formula>LEFT(B34,1)="△"</formula>
    </cfRule>
  </conditionalFormatting>
  <dataValidations count="1">
    <dataValidation allowBlank="false" errorStyle="stop" operator="between" showDropDown="false" showErrorMessage="false" showInputMessage="false" sqref="B7:B15" type="list">
      <formula1>"1,0"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V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7"/>
    <col collapsed="false" customWidth="true" hidden="false" outlineLevel="0" max="3" min="3" style="0" width="5"/>
    <col collapsed="false" customWidth="true" hidden="false" outlineLevel="0" max="6" min="4" style="0" width="9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9" min="9" style="0" width="14"/>
    <col collapsed="false" customWidth="true" hidden="false" outlineLevel="0" max="10" min="10" style="0" width="9"/>
    <col collapsed="false" customWidth="true" hidden="false" outlineLevel="0" max="12" min="12" style="0" width="5"/>
    <col collapsed="false" customWidth="true" hidden="false" outlineLevel="0" max="13" min="13" style="0" width="6"/>
    <col collapsed="false" customWidth="true" hidden="false" outlineLevel="0" max="14" min="14" style="0" width="7"/>
  </cols>
  <sheetData>
    <row r="1" customFormat="false" ht="21.6" hidden="false" customHeight="false" outlineLevel="0" collapsed="false">
      <c r="A1" s="8" t="s">
        <v>189</v>
      </c>
    </row>
    <row r="2" customFormat="false" ht="15" hidden="false" customHeight="false" outlineLevel="0" collapsed="false">
      <c r="A2" s="2" t="s">
        <v>190</v>
      </c>
    </row>
    <row r="4" customFormat="false" ht="29.85" hidden="false" customHeight="false" outlineLevel="0" collapsed="false">
      <c r="A4" s="10" t="s">
        <v>108</v>
      </c>
      <c r="B4" s="10" t="s">
        <v>191</v>
      </c>
      <c r="C4" s="10" t="s">
        <v>110</v>
      </c>
      <c r="D4" s="9" t="s">
        <v>192</v>
      </c>
      <c r="E4" s="10" t="s">
        <v>193</v>
      </c>
      <c r="F4" s="10" t="s">
        <v>177</v>
      </c>
      <c r="G4" s="10" t="s">
        <v>194</v>
      </c>
      <c r="H4" s="10" t="s">
        <v>195</v>
      </c>
      <c r="I4" s="10" t="s">
        <v>196</v>
      </c>
      <c r="J4" s="10" t="s">
        <v>104</v>
      </c>
      <c r="L4" s="9" t="s">
        <v>197</v>
      </c>
      <c r="M4" s="10" t="s">
        <v>198</v>
      </c>
      <c r="N4" s="10" t="s">
        <v>108</v>
      </c>
      <c r="O4" s="10" t="s">
        <v>193</v>
      </c>
      <c r="P4" s="10" t="s">
        <v>177</v>
      </c>
      <c r="Q4" s="10" t="s">
        <v>191</v>
      </c>
      <c r="R4" s="10" t="s">
        <v>199</v>
      </c>
      <c r="S4" s="10" t="s">
        <v>200</v>
      </c>
      <c r="T4" s="10" t="s">
        <v>201</v>
      </c>
    </row>
    <row r="5" customFormat="false" ht="15" hidden="false" customHeight="false" outlineLevel="0" collapsed="false">
      <c r="A5" s="11" t="n">
        <v>1</v>
      </c>
      <c r="B5" s="11" t="n">
        <f aca="false">02_実験計画!M5</f>
        <v>3</v>
      </c>
      <c r="C5" s="11" t="n">
        <f aca="false">02_実験計画!C5</f>
        <v>1</v>
      </c>
      <c r="D5" s="15" t="n">
        <f aca="false">IF(C5=1,_XtX!L5,"")</f>
        <v>38.4</v>
      </c>
      <c r="E5" s="15" t="n">
        <f aca="false">IF(C5=1,_XtX!O5,"")</f>
        <v>38.1540909090909</v>
      </c>
      <c r="F5" s="16" t="n">
        <f aca="false">IF(C5=1,D5-E5,"")</f>
        <v>0.24590909090908</v>
      </c>
      <c r="G5" s="15" t="n">
        <f aca="false">IF(C5=1,F5/04_回帰ANOVA!$K$14,"")</f>
        <v>0.479376398170726</v>
      </c>
      <c r="H5" s="16" t="n">
        <f aca="false">IF(C5=1,_XtX!N5,"")</f>
        <v>0.793181818181818</v>
      </c>
      <c r="I5" s="15" t="n">
        <f aca="false">IF(C5=1,IF(H5&lt;0.9999,F5/(04_回帰ANOVA!$K$14*SQRT(1-H5)),0),"")</f>
        <v>1.05410115709385</v>
      </c>
      <c r="J5" s="25" t="str">
        <f aca="false">IF(C5=1,IF(ABS(I5)&gt;3,"要確認",IF(ABS(I5)&gt;2,"注意","")),"")</f>
        <v/>
      </c>
      <c r="L5" s="24" t="n">
        <v>1</v>
      </c>
      <c r="M5" s="24" t="n">
        <f aca="false">MIN(L5,04_回帰ANOVA!$K$6)</f>
        <v>1</v>
      </c>
      <c r="N5" s="24" t="n">
        <f aca="false">MATCH(M5,$B$5:$B$28,0)</f>
        <v>14</v>
      </c>
      <c r="O5" s="15" t="n">
        <f aca="false">INDEX($E$5:$E$28,N5)</f>
        <v>48.5836363636364</v>
      </c>
      <c r="P5" s="16" t="n">
        <f aca="false">INDEX($F$5:$F$28,N5)</f>
        <v>-0.283636363636397</v>
      </c>
      <c r="Q5" s="24" t="n">
        <f aca="false">M5</f>
        <v>1</v>
      </c>
      <c r="R5" s="16" t="n">
        <f aca="false">SMALL($F$5:$F$28,M5)</f>
        <v>-0.583636363636373</v>
      </c>
      <c r="S5" s="16" t="n">
        <f aca="false">NORMSINV((M5-0.375)/(04_回帰ANOVA!$K$6+0.25))</f>
        <v>-1.86824165486393</v>
      </c>
      <c r="T5" s="15" t="n">
        <f aca="false">INDEX($D$5:$D$28,N5)</f>
        <v>48.3</v>
      </c>
    </row>
    <row r="6" customFormat="false" ht="15" hidden="false" customHeight="false" outlineLevel="0" collapsed="false">
      <c r="A6" s="11" t="n">
        <v>2</v>
      </c>
      <c r="B6" s="11" t="n">
        <f aca="false">02_実験計画!M6</f>
        <v>5</v>
      </c>
      <c r="C6" s="11" t="n">
        <f aca="false">02_実験計画!C6</f>
        <v>1</v>
      </c>
      <c r="D6" s="15" t="n">
        <f aca="false">IF(C6=1,_XtX!L6,"")</f>
        <v>41.2</v>
      </c>
      <c r="E6" s="15" t="n">
        <f aca="false">IF(C6=1,_XtX!O6,"")</f>
        <v>41.2440909090909</v>
      </c>
      <c r="F6" s="16" t="n">
        <f aca="false">IF(C6=1,D6-E6,"")</f>
        <v>-0.0440909090909187</v>
      </c>
      <c r="G6" s="15" t="n">
        <f aca="false">IF(C6=1,F6/04_回帰ANOVA!$K$14,"")</f>
        <v>-0.085951036270929</v>
      </c>
      <c r="H6" s="16" t="n">
        <f aca="false">IF(C6=1,_XtX!N6,"")</f>
        <v>0.793181818181818</v>
      </c>
      <c r="I6" s="15" t="n">
        <f aca="false">IF(C6=1,IF(H6&lt;0.9999,F6/(04_回帰ANOVA!$K$14*SQRT(1-H6)),0),"")</f>
        <v>-0.188997804506711</v>
      </c>
      <c r="J6" s="25" t="str">
        <f aca="false">IF(C6=1,IF(ABS(I6)&gt;3,"要確認",IF(ABS(I6)&gt;2,"注意","")),"")</f>
        <v/>
      </c>
      <c r="L6" s="24" t="n">
        <v>2</v>
      </c>
      <c r="M6" s="24" t="n">
        <f aca="false">MIN(L6,04_回帰ANOVA!$K$6)</f>
        <v>2</v>
      </c>
      <c r="N6" s="24" t="n">
        <f aca="false">MATCH(M6,$B$5:$B$28,0)</f>
        <v>15</v>
      </c>
      <c r="O6" s="15" t="n">
        <f aca="false">INDEX($E$5:$E$28,N6)</f>
        <v>48.3809090909091</v>
      </c>
      <c r="P6" s="16" t="n">
        <f aca="false">INDEX($F$5:$F$28,N6)</f>
        <v>0.1190909090909</v>
      </c>
      <c r="Q6" s="24" t="n">
        <f aca="false">M6</f>
        <v>2</v>
      </c>
      <c r="R6" s="16" t="n">
        <f aca="false">SMALL($F$5:$F$28,M6)</f>
        <v>-0.480909090909101</v>
      </c>
      <c r="S6" s="16" t="n">
        <f aca="false">NORMSINV((M6-0.375)/(04_回帰ANOVA!$K$6+0.25))</f>
        <v>-1.4034126358514</v>
      </c>
      <c r="T6" s="15" t="n">
        <f aca="false">INDEX($D$5:$D$28,N6)</f>
        <v>48.5</v>
      </c>
    </row>
    <row r="7" customFormat="false" ht="15" hidden="false" customHeight="false" outlineLevel="0" collapsed="false">
      <c r="A7" s="11" t="n">
        <v>3</v>
      </c>
      <c r="B7" s="11" t="n">
        <f aca="false">02_実験計画!M7</f>
        <v>7</v>
      </c>
      <c r="C7" s="11" t="n">
        <f aca="false">02_実験計画!C7</f>
        <v>1</v>
      </c>
      <c r="D7" s="15" t="n">
        <f aca="false">IF(C7=1,_XtX!L7,"")</f>
        <v>38.6</v>
      </c>
      <c r="E7" s="15" t="n">
        <f aca="false">IF(C7=1,_XtX!O7,"")</f>
        <v>38.9440909090909</v>
      </c>
      <c r="F7" s="16" t="n">
        <f aca="false">IF(C7=1,D7-E7,"")</f>
        <v>-0.344090909090916</v>
      </c>
      <c r="G7" s="15" t="n">
        <f aca="false">IF(C7=1,F7/04_回帰ANOVA!$K$14,"")</f>
        <v>-0.670772520176085</v>
      </c>
      <c r="H7" s="16" t="n">
        <f aca="false">IF(C7=1,_XtX!N7,"")</f>
        <v>0.793181818181818</v>
      </c>
      <c r="I7" s="15" t="n">
        <f aca="false">IF(C7=1,IF(H7&lt;0.9999,F7/(04_回帰ANOVA!$K$14*SQRT(1-H7)),0),"")</f>
        <v>-1.47496224754177</v>
      </c>
      <c r="J7" s="25" t="str">
        <f aca="false">IF(C7=1,IF(ABS(I7)&gt;3,"要確認",IF(ABS(I7)&gt;2,"注意","")),"")</f>
        <v/>
      </c>
      <c r="L7" s="24" t="n">
        <v>3</v>
      </c>
      <c r="M7" s="24" t="n">
        <f aca="false">MIN(L7,04_回帰ANOVA!$K$6)</f>
        <v>3</v>
      </c>
      <c r="N7" s="24" t="n">
        <f aca="false">MATCH(M7,$B$5:$B$28,0)</f>
        <v>1</v>
      </c>
      <c r="O7" s="15" t="n">
        <f aca="false">INDEX($E$5:$E$28,N7)</f>
        <v>38.1540909090909</v>
      </c>
      <c r="P7" s="16" t="n">
        <f aca="false">INDEX($F$5:$F$28,N7)</f>
        <v>0.24590909090908</v>
      </c>
      <c r="Q7" s="24" t="n">
        <f aca="false">M7</f>
        <v>3</v>
      </c>
      <c r="R7" s="16" t="n">
        <f aca="false">SMALL($F$5:$F$28,M7)</f>
        <v>-0.480909090909101</v>
      </c>
      <c r="S7" s="16" t="n">
        <f aca="false">NORMSINV((M7-0.375)/(04_回帰ANOVA!$K$6+0.25))</f>
        <v>-1.12814364527876</v>
      </c>
      <c r="T7" s="15" t="n">
        <f aca="false">INDEX($D$5:$D$28,N7)</f>
        <v>38.4</v>
      </c>
    </row>
    <row r="8" customFormat="false" ht="15" hidden="false" customHeight="false" outlineLevel="0" collapsed="false">
      <c r="A8" s="11" t="n">
        <v>4</v>
      </c>
      <c r="B8" s="11" t="n">
        <f aca="false">02_実験計画!M8</f>
        <v>11</v>
      </c>
      <c r="C8" s="11" t="n">
        <f aca="false">02_実験計画!C8</f>
        <v>1</v>
      </c>
      <c r="D8" s="15" t="n">
        <f aca="false">IF(C8=1,_XtX!L8,"")</f>
        <v>47</v>
      </c>
      <c r="E8" s="15" t="n">
        <f aca="false">IF(C8=1,_XtX!O8,"")</f>
        <v>46.9340909090909</v>
      </c>
      <c r="F8" s="16" t="n">
        <f aca="false">IF(C8=1,D8-E8,"")</f>
        <v>0.0659090909090807</v>
      </c>
      <c r="G8" s="15" t="n">
        <f aca="false">IF(C8=1,F8/04_回帰ANOVA!$K$14,"")</f>
        <v>0.128483507827629</v>
      </c>
      <c r="H8" s="16" t="n">
        <f aca="false">IF(C8=1,_XtX!N8,"")</f>
        <v>0.793181818181818</v>
      </c>
      <c r="I8" s="15" t="n">
        <f aca="false">IF(C8=1,IF(H8&lt;0.9999,F8/(04_回帰ANOVA!$K$14*SQRT(1-H8)),0),"")</f>
        <v>0.282522491272813</v>
      </c>
      <c r="J8" s="25" t="str">
        <f aca="false">IF(C8=1,IF(ABS(I8)&gt;3,"要確認",IF(ABS(I8)&gt;2,"注意","")),"")</f>
        <v/>
      </c>
      <c r="L8" s="24" t="n">
        <v>4</v>
      </c>
      <c r="M8" s="24" t="n">
        <f aca="false">MIN(L8,04_回帰ANOVA!$K$6)</f>
        <v>4</v>
      </c>
      <c r="N8" s="24" t="n">
        <f aca="false">MATCH(M8,$B$5:$B$28,0)</f>
        <v>7</v>
      </c>
      <c r="O8" s="15" t="n">
        <f aca="false">INDEX($E$5:$E$28,N8)</f>
        <v>42.9040909090909</v>
      </c>
      <c r="P8" s="16" t="n">
        <f aca="false">INDEX($F$5:$F$28,N8)</f>
        <v>0.0959090909090818</v>
      </c>
      <c r="Q8" s="24" t="n">
        <f aca="false">M8</f>
        <v>4</v>
      </c>
      <c r="R8" s="16" t="n">
        <f aca="false">SMALL($F$5:$F$28,M8)</f>
        <v>-0.344090909090916</v>
      </c>
      <c r="S8" s="16" t="n">
        <f aca="false">NORMSINV((M8-0.375)/(04_回帰ANOVA!$K$6+0.25))</f>
        <v>-0.91913552204621</v>
      </c>
      <c r="T8" s="15" t="n">
        <f aca="false">INDEX($D$5:$D$28,N8)</f>
        <v>43</v>
      </c>
    </row>
    <row r="9" customFormat="false" ht="15" hidden="false" customHeight="false" outlineLevel="0" collapsed="false">
      <c r="A9" s="11" t="n">
        <v>5</v>
      </c>
      <c r="B9" s="11" t="n">
        <f aca="false">02_実験計画!M9</f>
        <v>20</v>
      </c>
      <c r="C9" s="11" t="n">
        <f aca="false">02_実験計画!C9</f>
        <v>1</v>
      </c>
      <c r="D9" s="15" t="n">
        <f aca="false">IF(C9=1,_XtX!L9,"")</f>
        <v>40.3</v>
      </c>
      <c r="E9" s="15" t="n">
        <f aca="false">IF(C9=1,_XtX!O9,"")</f>
        <v>40.3140909090909</v>
      </c>
      <c r="F9" s="16" t="n">
        <f aca="false">IF(C9=1,D9-E9,"")</f>
        <v>-0.0140909090909176</v>
      </c>
      <c r="G9" s="15" t="n">
        <f aca="false">IF(C9=1,F9/04_回帰ANOVA!$K$14,"")</f>
        <v>-0.0274688878804105</v>
      </c>
      <c r="H9" s="16" t="n">
        <f aca="false">IF(C9=1,_XtX!N9,"")</f>
        <v>0.793181818181818</v>
      </c>
      <c r="I9" s="15" t="n">
        <f aca="false">IF(C9=1,IF(H9&lt;0.9999,F9/(04_回帰ANOVA!$K$14*SQRT(1-H9)),0),"")</f>
        <v>-0.0604013602031989</v>
      </c>
      <c r="J9" s="25" t="str">
        <f aca="false">IF(C9=1,IF(ABS(I9)&gt;3,"要確認",IF(ABS(I9)&gt;2,"注意","")),"")</f>
        <v/>
      </c>
      <c r="L9" s="24" t="n">
        <v>5</v>
      </c>
      <c r="M9" s="24" t="n">
        <f aca="false">MIN(L9,04_回帰ANOVA!$K$6)</f>
        <v>5</v>
      </c>
      <c r="N9" s="24" t="n">
        <f aca="false">MATCH(M9,$B$5:$B$28,0)</f>
        <v>2</v>
      </c>
      <c r="O9" s="15" t="n">
        <f aca="false">INDEX($E$5:$E$28,N9)</f>
        <v>41.2440909090909</v>
      </c>
      <c r="P9" s="16" t="n">
        <f aca="false">INDEX($F$5:$F$28,N9)</f>
        <v>-0.0440909090909187</v>
      </c>
      <c r="Q9" s="24" t="n">
        <f aca="false">M9</f>
        <v>5</v>
      </c>
      <c r="R9" s="16" t="n">
        <f aca="false">SMALL($F$5:$F$28,M9)</f>
        <v>-0.283636363636397</v>
      </c>
      <c r="S9" s="16" t="n">
        <f aca="false">NORMSINV((M9-0.375)/(04_回帰ANOVA!$K$6+0.25))</f>
        <v>-0.744142742220168</v>
      </c>
      <c r="T9" s="15" t="n">
        <f aca="false">INDEX($D$5:$D$28,N9)</f>
        <v>41.2</v>
      </c>
    </row>
    <row r="10" customFormat="false" ht="15" hidden="false" customHeight="false" outlineLevel="0" collapsed="false">
      <c r="A10" s="11" t="n">
        <v>6</v>
      </c>
      <c r="B10" s="11" t="n">
        <f aca="false">02_実験計画!M10</f>
        <v>13</v>
      </c>
      <c r="C10" s="11" t="n">
        <f aca="false">02_実験計画!C10</f>
        <v>1</v>
      </c>
      <c r="D10" s="15" t="n">
        <f aca="false">IF(C10=1,_XtX!L10,"")</f>
        <v>43.2</v>
      </c>
      <c r="E10" s="15" t="n">
        <f aca="false">IF(C10=1,_XtX!O10,"")</f>
        <v>42.8040909090909</v>
      </c>
      <c r="F10" s="16" t="n">
        <f aca="false">IF(C10=1,D10-E10,"")</f>
        <v>0.395909090909079</v>
      </c>
      <c r="G10" s="15" t="n">
        <f aca="false">IF(C10=1,F10/04_回帰ANOVA!$K$14,"")</f>
        <v>0.771787140123304</v>
      </c>
      <c r="H10" s="16" t="n">
        <f aca="false">IF(C10=1,_XtX!N10,"")</f>
        <v>0.793181818181818</v>
      </c>
      <c r="I10" s="15" t="n">
        <f aca="false">IF(C10=1,IF(H10&lt;0.9999,F10/(04_回帰ANOVA!$K$14*SQRT(1-H10)),0),"")</f>
        <v>1.69708337861138</v>
      </c>
      <c r="J10" s="25" t="str">
        <f aca="false">IF(C10=1,IF(ABS(I10)&gt;3,"要確認",IF(ABS(I10)&gt;2,"注意","")),"")</f>
        <v/>
      </c>
      <c r="L10" s="24" t="n">
        <v>6</v>
      </c>
      <c r="M10" s="24" t="n">
        <f aca="false">MIN(L10,04_回帰ANOVA!$K$6)</f>
        <v>6</v>
      </c>
      <c r="N10" s="24" t="n">
        <f aca="false">MATCH(M10,$B$5:$B$28,0)</f>
        <v>16</v>
      </c>
      <c r="O10" s="15" t="n">
        <f aca="false">INDEX($E$5:$E$28,N10)</f>
        <v>48.3809090909091</v>
      </c>
      <c r="P10" s="16" t="n">
        <f aca="false">INDEX($F$5:$F$28,N10)</f>
        <v>-0.180909090909097</v>
      </c>
      <c r="Q10" s="24" t="n">
        <f aca="false">M10</f>
        <v>6</v>
      </c>
      <c r="R10" s="16" t="n">
        <f aca="false">SMALL($F$5:$F$28,M10)</f>
        <v>-0.223636363636359</v>
      </c>
      <c r="S10" s="16" t="n">
        <f aca="false">NORMSINV((M10-0.375)/(04_回帰ANOVA!$K$6+0.25))</f>
        <v>-0.589455797849779</v>
      </c>
      <c r="T10" s="15" t="n">
        <f aca="false">INDEX($D$5:$D$28,N10)</f>
        <v>48.2</v>
      </c>
    </row>
    <row r="11" customFormat="false" ht="15" hidden="false" customHeight="false" outlineLevel="0" collapsed="false">
      <c r="A11" s="11" t="n">
        <v>7</v>
      </c>
      <c r="B11" s="11" t="n">
        <f aca="false">02_実験計画!M11</f>
        <v>4</v>
      </c>
      <c r="C11" s="11" t="n">
        <f aca="false">02_実験計画!C11</f>
        <v>1</v>
      </c>
      <c r="D11" s="15" t="n">
        <f aca="false">IF(C11=1,_XtX!L11,"")</f>
        <v>43</v>
      </c>
      <c r="E11" s="15" t="n">
        <f aca="false">IF(C11=1,_XtX!O11,"")</f>
        <v>42.9040909090909</v>
      </c>
      <c r="F11" s="16" t="n">
        <f aca="false">IF(C11=1,D11-E11,"")</f>
        <v>0.0959090909090818</v>
      </c>
      <c r="G11" s="15" t="n">
        <f aca="false">IF(C11=1,F11/04_回帰ANOVA!$K$14,"")</f>
        <v>0.186965656218148</v>
      </c>
      <c r="H11" s="16" t="n">
        <f aca="false">IF(C11=1,_XtX!N11,"")</f>
        <v>0.793181818181818</v>
      </c>
      <c r="I11" s="15" t="n">
        <f aca="false">IF(C11=1,IF(H11&lt;0.9999,F11/(04_回帰ANOVA!$K$14*SQRT(1-H11)),0),"")</f>
        <v>0.411118935576325</v>
      </c>
      <c r="J11" s="25" t="str">
        <f aca="false">IF(C11=1,IF(ABS(I11)&gt;3,"要確認",IF(ABS(I11)&gt;2,"注意","")),"")</f>
        <v/>
      </c>
      <c r="L11" s="24" t="n">
        <v>7</v>
      </c>
      <c r="M11" s="24" t="n">
        <f aca="false">MIN(L11,04_回帰ANOVA!$K$6)</f>
        <v>7</v>
      </c>
      <c r="N11" s="24" t="n">
        <f aca="false">MATCH(M11,$B$5:$B$28,0)</f>
        <v>3</v>
      </c>
      <c r="O11" s="15" t="n">
        <f aca="false">INDEX($E$5:$E$28,N11)</f>
        <v>38.9440909090909</v>
      </c>
      <c r="P11" s="16" t="n">
        <f aca="false">INDEX($F$5:$F$28,N11)</f>
        <v>-0.344090909090916</v>
      </c>
      <c r="Q11" s="24" t="n">
        <f aca="false">M11</f>
        <v>7</v>
      </c>
      <c r="R11" s="16" t="n">
        <f aca="false">SMALL($F$5:$F$28,M11)</f>
        <v>-0.194090909090917</v>
      </c>
      <c r="S11" s="16" t="n">
        <f aca="false">NORMSINV((M11-0.375)/(04_回帰ANOVA!$K$6+0.25))</f>
        <v>-0.447767518482949</v>
      </c>
      <c r="T11" s="15" t="n">
        <f aca="false">INDEX($D$5:$D$28,N11)</f>
        <v>38.6</v>
      </c>
    </row>
    <row r="12" customFormat="false" ht="15" hidden="false" customHeight="false" outlineLevel="0" collapsed="false">
      <c r="A12" s="11" t="n">
        <v>8</v>
      </c>
      <c r="B12" s="11" t="n">
        <f aca="false">02_実験計画!M12</f>
        <v>15</v>
      </c>
      <c r="C12" s="11" t="n">
        <f aca="false">02_実験計画!C12</f>
        <v>1</v>
      </c>
      <c r="D12" s="15" t="n">
        <f aca="false">IF(C12=1,_XtX!L12,"")</f>
        <v>50.1</v>
      </c>
      <c r="E12" s="15" t="n">
        <f aca="false">IF(C12=1,_XtX!O12,"")</f>
        <v>50.2940909090909</v>
      </c>
      <c r="F12" s="16" t="n">
        <f aca="false">IF(C12=1,D12-E12,"")</f>
        <v>-0.194090909090917</v>
      </c>
      <c r="G12" s="15" t="n">
        <f aca="false">IF(C12=1,F12/04_回帰ANOVA!$K$14,"")</f>
        <v>-0.378361778223507</v>
      </c>
      <c r="H12" s="16" t="n">
        <f aca="false">IF(C12=1,_XtX!N12,"")</f>
        <v>0.793181818181818</v>
      </c>
      <c r="I12" s="15" t="n">
        <f aca="false">IF(C12=1,IF(H12&lt;0.9999,F12/(04_回帰ANOVA!$K$14*SQRT(1-H12)),0),"")</f>
        <v>-0.831980026024241</v>
      </c>
      <c r="J12" s="25" t="str">
        <f aca="false">IF(C12=1,IF(ABS(I12)&gt;3,"要確認",IF(ABS(I12)&gt;2,"注意","")),"")</f>
        <v/>
      </c>
      <c r="L12" s="24" t="n">
        <v>8</v>
      </c>
      <c r="M12" s="24" t="n">
        <f aca="false">MIN(L12,04_回帰ANOVA!$K$6)</f>
        <v>8</v>
      </c>
      <c r="N12" s="24" t="n">
        <f aca="false">MATCH(M12,$B$5:$B$28,0)</f>
        <v>9</v>
      </c>
      <c r="O12" s="15" t="n">
        <f aca="false">INDEX($E$5:$E$28,N12)</f>
        <v>43.2836363636364</v>
      </c>
      <c r="P12" s="16" t="n">
        <f aca="false">INDEX($F$5:$F$28,N12)</f>
        <v>0.0163636363636499</v>
      </c>
      <c r="Q12" s="24" t="n">
        <f aca="false">M12</f>
        <v>8</v>
      </c>
      <c r="R12" s="16" t="n">
        <f aca="false">SMALL($F$5:$F$28,M12)</f>
        <v>-0.180909090909097</v>
      </c>
      <c r="S12" s="16" t="n">
        <f aca="false">NORMSINV((M12-0.375)/(04_回帰ANOVA!$K$6+0.25))</f>
        <v>-0.314572291838885</v>
      </c>
      <c r="T12" s="15" t="n">
        <f aca="false">INDEX($D$5:$D$28,N12)</f>
        <v>43.3</v>
      </c>
    </row>
    <row r="13" customFormat="false" ht="15" hidden="false" customHeight="false" outlineLevel="0" collapsed="false">
      <c r="A13" s="11" t="n">
        <v>9</v>
      </c>
      <c r="B13" s="11" t="n">
        <f aca="false">02_実験計画!M13</f>
        <v>8</v>
      </c>
      <c r="C13" s="11" t="n">
        <f aca="false">02_実験計画!C13</f>
        <v>1</v>
      </c>
      <c r="D13" s="15" t="n">
        <f aca="false">IF(C13=1,_XtX!L13,"")</f>
        <v>43.3</v>
      </c>
      <c r="E13" s="15" t="n">
        <f aca="false">IF(C13=1,_XtX!O13,"")</f>
        <v>43.2836363636364</v>
      </c>
      <c r="F13" s="16" t="n">
        <f aca="false">IF(C13=1,D13-E13,"")</f>
        <v>0.0163636363636499</v>
      </c>
      <c r="G13" s="15" t="n">
        <f aca="false">IF(C13=1,F13/04_回帰ANOVA!$K$14,"")</f>
        <v>0.0318993536675807</v>
      </c>
      <c r="H13" s="16" t="n">
        <f aca="false">IF(C13=1,_XtX!N13,"")</f>
        <v>0.490909090909091</v>
      </c>
      <c r="I13" s="15" t="n">
        <f aca="false">IF(C13=1,IF(H13&lt;0.9999,F13/(04_回帰ANOVA!$K$14*SQRT(1-H13)),0),"")</f>
        <v>0.0447078940147345</v>
      </c>
      <c r="J13" s="25" t="str">
        <f aca="false">IF(C13=1,IF(ABS(I13)&gt;3,"要確認",IF(ABS(I13)&gt;2,"注意","")),"")</f>
        <v/>
      </c>
      <c r="L13" s="24" t="n">
        <v>9</v>
      </c>
      <c r="M13" s="24" t="n">
        <f aca="false">MIN(L13,04_回帰ANOVA!$K$6)</f>
        <v>9</v>
      </c>
      <c r="N13" s="24" t="n">
        <f aca="false">MATCH(M13,$B$5:$B$28,0)</f>
        <v>20</v>
      </c>
      <c r="O13" s="15" t="n">
        <f aca="false">INDEX($E$5:$E$28,N13)</f>
        <v>48.3809090909091</v>
      </c>
      <c r="P13" s="16" t="n">
        <f aca="false">INDEX($F$5:$F$28,N13)</f>
        <v>-0.480909090909101</v>
      </c>
      <c r="Q13" s="24" t="n">
        <f aca="false">M13</f>
        <v>9</v>
      </c>
      <c r="R13" s="16" t="n">
        <f aca="false">SMALL($F$5:$F$28,M13)</f>
        <v>-0.0440909090909187</v>
      </c>
      <c r="S13" s="16" t="n">
        <f aca="false">NORMSINV((M13-0.375)/(04_回帰ANOVA!$K$6+0.25))</f>
        <v>-0.186756121063737</v>
      </c>
      <c r="T13" s="15" t="n">
        <f aca="false">INDEX($D$5:$D$28,N13)</f>
        <v>47.9</v>
      </c>
    </row>
    <row r="14" customFormat="false" ht="15" hidden="false" customHeight="false" outlineLevel="0" collapsed="false">
      <c r="A14" s="11" t="n">
        <v>10</v>
      </c>
      <c r="B14" s="11" t="n">
        <f aca="false">02_実験計画!M14</f>
        <v>12</v>
      </c>
      <c r="C14" s="11" t="n">
        <f aca="false">02_実験計画!C14</f>
        <v>1</v>
      </c>
      <c r="D14" s="15" t="n">
        <f aca="false">IF(C14=1,_XtX!L14,"")</f>
        <v>48.3</v>
      </c>
      <c r="E14" s="15" t="n">
        <f aca="false">IF(C14=1,_XtX!O14,"")</f>
        <v>48.5236363636364</v>
      </c>
      <c r="F14" s="16" t="n">
        <f aca="false">IF(C14=1,D14-E14,"")</f>
        <v>-0.223636363636359</v>
      </c>
      <c r="G14" s="15" t="n">
        <f aca="false">IF(C14=1,F14/04_回帰ANOVA!$K$14,"")</f>
        <v>-0.435957833456567</v>
      </c>
      <c r="H14" s="16" t="n">
        <f aca="false">IF(C14=1,_XtX!N14,"")</f>
        <v>0.490909090909091</v>
      </c>
      <c r="I14" s="15" t="n">
        <f aca="false">IF(C14=1,IF(H14&lt;0.9999,F14/(04_回帰ANOVA!$K$14*SQRT(1-H14)),0),"")</f>
        <v>-0.611007884867521</v>
      </c>
      <c r="J14" s="25" t="str">
        <f aca="false">IF(C14=1,IF(ABS(I14)&gt;3,"要確認",IF(ABS(I14)&gt;2,"注意","")),"")</f>
        <v/>
      </c>
      <c r="L14" s="24" t="n">
        <v>10</v>
      </c>
      <c r="M14" s="24" t="n">
        <f aca="false">MIN(L14,04_回帰ANOVA!$K$6)</f>
        <v>10</v>
      </c>
      <c r="N14" s="24" t="n">
        <f aca="false">MATCH(M14,$B$5:$B$28,0)</f>
        <v>13</v>
      </c>
      <c r="O14" s="15" t="n">
        <f aca="false">INDEX($E$5:$E$28,N14)</f>
        <v>45.8236363636364</v>
      </c>
      <c r="P14" s="16" t="n">
        <f aca="false">INDEX($F$5:$F$28,N14)</f>
        <v>0.0763636363636095</v>
      </c>
      <c r="Q14" s="24" t="n">
        <f aca="false">M14</f>
        <v>10</v>
      </c>
      <c r="R14" s="16" t="n">
        <f aca="false">SMALL($F$5:$F$28,M14)</f>
        <v>-0.0140909090909176</v>
      </c>
      <c r="S14" s="16" t="n">
        <f aca="false">NORMSINV((M14-0.375)/(04_回帰ANOVA!$K$6+0.25))</f>
        <v>-0.0619316234553173</v>
      </c>
      <c r="T14" s="15" t="n">
        <f aca="false">INDEX($D$5:$D$28,N14)</f>
        <v>45.9</v>
      </c>
    </row>
    <row r="15" customFormat="false" ht="15" hidden="false" customHeight="false" outlineLevel="0" collapsed="false">
      <c r="A15" s="11" t="n">
        <v>11</v>
      </c>
      <c r="B15" s="11" t="n">
        <f aca="false">02_実験計画!M15</f>
        <v>16</v>
      </c>
      <c r="C15" s="11" t="n">
        <f aca="false">02_実験計画!C15</f>
        <v>1</v>
      </c>
      <c r="D15" s="15" t="n">
        <f aca="false">IF(C15=1,_XtX!L15,"")</f>
        <v>43.7</v>
      </c>
      <c r="E15" s="15" t="n">
        <f aca="false">IF(C15=1,_XtX!O15,"")</f>
        <v>44.2836363636364</v>
      </c>
      <c r="F15" s="16" t="n">
        <f aca="false">IF(C15=1,D15-E15,"")</f>
        <v>-0.583636363636373</v>
      </c>
      <c r="G15" s="15" t="n">
        <f aca="false">IF(C15=1,F15/04_回帰ANOVA!$K$14,"")</f>
        <v>-1.13774361414279</v>
      </c>
      <c r="H15" s="16" t="n">
        <f aca="false">IF(C15=1,_XtX!N15,"")</f>
        <v>0.490909090909091</v>
      </c>
      <c r="I15" s="15" t="n">
        <f aca="false">IF(C15=1,IF(H15&lt;0.9999,F15/(04_回帰ANOVA!$K$14*SQRT(1-H15)),0),"")</f>
        <v>-1.5945815531909</v>
      </c>
      <c r="J15" s="25" t="str">
        <f aca="false">IF(C15=1,IF(ABS(I15)&gt;3,"要確認",IF(ABS(I15)&gt;2,"注意","")),"")</f>
        <v/>
      </c>
      <c r="L15" s="24" t="n">
        <v>11</v>
      </c>
      <c r="M15" s="24" t="n">
        <f aca="false">MIN(L15,04_回帰ANOVA!$K$6)</f>
        <v>11</v>
      </c>
      <c r="N15" s="24" t="n">
        <f aca="false">MATCH(M15,$B$5:$B$28,0)</f>
        <v>4</v>
      </c>
      <c r="O15" s="15" t="n">
        <f aca="false">INDEX($E$5:$E$28,N15)</f>
        <v>46.9340909090909</v>
      </c>
      <c r="P15" s="16" t="n">
        <f aca="false">INDEX($F$5:$F$28,N15)</f>
        <v>0.0659090909090807</v>
      </c>
      <c r="Q15" s="24" t="n">
        <f aca="false">M15</f>
        <v>11</v>
      </c>
      <c r="R15" s="16" t="n">
        <f aca="false">SMALL($F$5:$F$28,M15)</f>
        <v>0.0163636363636499</v>
      </c>
      <c r="S15" s="16" t="n">
        <f aca="false">NORMSINV((M15-0.375)/(04_回帰ANOVA!$K$6+0.25))</f>
        <v>0.0619316234553173</v>
      </c>
      <c r="T15" s="15" t="n">
        <f aca="false">INDEX($D$5:$D$28,N15)</f>
        <v>47</v>
      </c>
    </row>
    <row r="16" customFormat="false" ht="15" hidden="false" customHeight="false" outlineLevel="0" collapsed="false">
      <c r="A16" s="11" t="n">
        <v>12</v>
      </c>
      <c r="B16" s="11" t="n">
        <f aca="false">02_実験計画!M16</f>
        <v>19</v>
      </c>
      <c r="C16" s="11" t="n">
        <f aca="false">02_実験計画!C16</f>
        <v>1</v>
      </c>
      <c r="D16" s="15" t="n">
        <f aca="false">IF(C16=1,_XtX!L16,"")</f>
        <v>48.8</v>
      </c>
      <c r="E16" s="15" t="n">
        <f aca="false">IF(C16=1,_XtX!O16,"")</f>
        <v>48.4236363636364</v>
      </c>
      <c r="F16" s="16" t="n">
        <f aca="false">IF(C16=1,D16-E16,"")</f>
        <v>0.376363636363621</v>
      </c>
      <c r="G16" s="15" t="n">
        <f aca="false">IF(C16=1,F16/04_回帰ANOVA!$K$14,"")</f>
        <v>0.733685134353719</v>
      </c>
      <c r="H16" s="16" t="n">
        <f aca="false">IF(C16=1,_XtX!N16,"")</f>
        <v>0.490909090909091</v>
      </c>
      <c r="I16" s="15" t="n">
        <f aca="false">IF(C16=1,IF(H16&lt;0.9999,F16/(04_回帰ANOVA!$K$14*SQRT(1-H16)),0),"")</f>
        <v>1.028281562338</v>
      </c>
      <c r="J16" s="25" t="str">
        <f aca="false">IF(C16=1,IF(ABS(I16)&gt;3,"要確認",IF(ABS(I16)&gt;2,"注意","")),"")</f>
        <v/>
      </c>
      <c r="L16" s="24" t="n">
        <v>12</v>
      </c>
      <c r="M16" s="24" t="n">
        <f aca="false">MIN(L16,04_回帰ANOVA!$K$6)</f>
        <v>12</v>
      </c>
      <c r="N16" s="24" t="n">
        <f aca="false">MATCH(M16,$B$5:$B$28,0)</f>
        <v>10</v>
      </c>
      <c r="O16" s="15" t="n">
        <f aca="false">INDEX($E$5:$E$28,N16)</f>
        <v>48.5236363636364</v>
      </c>
      <c r="P16" s="16" t="n">
        <f aca="false">INDEX($F$5:$F$28,N16)</f>
        <v>-0.223636363636359</v>
      </c>
      <c r="Q16" s="24" t="n">
        <f aca="false">M16</f>
        <v>12</v>
      </c>
      <c r="R16" s="16" t="n">
        <f aca="false">SMALL($F$5:$F$28,M16)</f>
        <v>0.0659090909090807</v>
      </c>
      <c r="S16" s="16" t="n">
        <f aca="false">NORMSINV((M16-0.375)/(04_回帰ANOVA!$K$6+0.25))</f>
        <v>0.186756121063737</v>
      </c>
      <c r="T16" s="15" t="n">
        <f aca="false">INDEX($D$5:$D$28,N16)</f>
        <v>48.3</v>
      </c>
    </row>
    <row r="17" customFormat="false" ht="15" hidden="false" customHeight="false" outlineLevel="0" collapsed="false">
      <c r="A17" s="11" t="n">
        <v>13</v>
      </c>
      <c r="B17" s="11" t="n">
        <f aca="false">02_実験計画!M17</f>
        <v>10</v>
      </c>
      <c r="C17" s="11" t="n">
        <f aca="false">02_実験計画!C17</f>
        <v>1</v>
      </c>
      <c r="D17" s="15" t="n">
        <f aca="false">IF(C17=1,_XtX!L17,"")</f>
        <v>45.9</v>
      </c>
      <c r="E17" s="15" t="n">
        <f aca="false">IF(C17=1,_XtX!O17,"")</f>
        <v>45.8236363636364</v>
      </c>
      <c r="F17" s="16" t="n">
        <f aca="false">IF(C17=1,D17-E17,"")</f>
        <v>0.0763636363636095</v>
      </c>
      <c r="G17" s="15" t="n">
        <f aca="false">IF(C17=1,F17/04_回帰ANOVA!$K$14,"")</f>
        <v>0.148863650448534</v>
      </c>
      <c r="H17" s="16" t="n">
        <f aca="false">IF(C17=1,_XtX!N17,"")</f>
        <v>0.490909090909091</v>
      </c>
      <c r="I17" s="15" t="n">
        <f aca="false">IF(C17=1,IF(H17&lt;0.9999,F17/(04_回帰ANOVA!$K$14*SQRT(1-H17)),0),"")</f>
        <v>0.208636838735182</v>
      </c>
      <c r="J17" s="25" t="str">
        <f aca="false">IF(C17=1,IF(ABS(I17)&gt;3,"要確認",IF(ABS(I17)&gt;2,"注意","")),"")</f>
        <v/>
      </c>
      <c r="L17" s="24" t="n">
        <v>13</v>
      </c>
      <c r="M17" s="24" t="n">
        <f aca="false">MIN(L17,04_回帰ANOVA!$K$6)</f>
        <v>13</v>
      </c>
      <c r="N17" s="24" t="n">
        <f aca="false">MATCH(M17,$B$5:$B$28,0)</f>
        <v>6</v>
      </c>
      <c r="O17" s="15" t="n">
        <f aca="false">INDEX($E$5:$E$28,N17)</f>
        <v>42.8040909090909</v>
      </c>
      <c r="P17" s="16" t="n">
        <f aca="false">INDEX($F$5:$F$28,N17)</f>
        <v>0.395909090909079</v>
      </c>
      <c r="Q17" s="24" t="n">
        <f aca="false">M17</f>
        <v>13</v>
      </c>
      <c r="R17" s="16" t="n">
        <f aca="false">SMALL($F$5:$F$28,M17)</f>
        <v>0.0763636363636095</v>
      </c>
      <c r="S17" s="16" t="n">
        <f aca="false">NORMSINV((M17-0.375)/(04_回帰ANOVA!$K$6+0.25))</f>
        <v>0.314572291838885</v>
      </c>
      <c r="T17" s="15" t="n">
        <f aca="false">INDEX($D$5:$D$28,N17)</f>
        <v>43.2</v>
      </c>
    </row>
    <row r="18" customFormat="false" ht="15" hidden="false" customHeight="false" outlineLevel="0" collapsed="false">
      <c r="A18" s="11" t="n">
        <v>14</v>
      </c>
      <c r="B18" s="11" t="n">
        <f aca="false">02_実験計画!M18</f>
        <v>1</v>
      </c>
      <c r="C18" s="11" t="n">
        <f aca="false">02_実験計画!C18</f>
        <v>1</v>
      </c>
      <c r="D18" s="15" t="n">
        <f aca="false">IF(C18=1,_XtX!L18,"")</f>
        <v>48.3</v>
      </c>
      <c r="E18" s="15" t="n">
        <f aca="false">IF(C18=1,_XtX!O18,"")</f>
        <v>48.5836363636364</v>
      </c>
      <c r="F18" s="16" t="n">
        <f aca="false">IF(C18=1,D18-E18,"")</f>
        <v>-0.283636363636397</v>
      </c>
      <c r="G18" s="15" t="n">
        <f aca="false">IF(C18=1,F18/04_回帰ANOVA!$K$14,"")</f>
        <v>-0.552922130237673</v>
      </c>
      <c r="H18" s="16" t="n">
        <f aca="false">IF(C18=1,_XtX!N18,"")</f>
        <v>0.490909090909091</v>
      </c>
      <c r="I18" s="15" t="n">
        <f aca="false">IF(C18=1,IF(H18&lt;0.9999,F18/(04_回帰ANOVA!$K$14*SQRT(1-H18)),0),"")</f>
        <v>-0.774936829588182</v>
      </c>
      <c r="J18" s="25" t="str">
        <f aca="false">IF(C18=1,IF(ABS(I18)&gt;3,"要確認",IF(ABS(I18)&gt;2,"注意","")),"")</f>
        <v/>
      </c>
      <c r="L18" s="24" t="n">
        <v>14</v>
      </c>
      <c r="M18" s="24" t="n">
        <f aca="false">MIN(L18,04_回帰ANOVA!$K$6)</f>
        <v>14</v>
      </c>
      <c r="N18" s="24" t="n">
        <f aca="false">MATCH(M18,$B$5:$B$28,0)</f>
        <v>19</v>
      </c>
      <c r="O18" s="15" t="n">
        <f aca="false">INDEX($E$5:$E$28,N18)</f>
        <v>48.3809090909091</v>
      </c>
      <c r="P18" s="16" t="n">
        <f aca="false">INDEX($F$5:$F$28,N18)</f>
        <v>-0.480909090909101</v>
      </c>
      <c r="Q18" s="24" t="n">
        <f aca="false">M18</f>
        <v>14</v>
      </c>
      <c r="R18" s="16" t="n">
        <f aca="false">SMALL($F$5:$F$28,M18)</f>
        <v>0.0959090909090818</v>
      </c>
      <c r="S18" s="16" t="n">
        <f aca="false">NORMSINV((M18-0.375)/(04_回帰ANOVA!$K$6+0.25))</f>
        <v>0.447767518482949</v>
      </c>
      <c r="T18" s="15" t="n">
        <f aca="false">INDEX($D$5:$D$28,N18)</f>
        <v>47.9</v>
      </c>
    </row>
    <row r="19" customFormat="false" ht="15" hidden="false" customHeight="false" outlineLevel="0" collapsed="false">
      <c r="A19" s="11" t="n">
        <v>15</v>
      </c>
      <c r="B19" s="11" t="n">
        <f aca="false">02_実験計画!M19</f>
        <v>2</v>
      </c>
      <c r="C19" s="11" t="n">
        <f aca="false">02_実験計画!C19</f>
        <v>1</v>
      </c>
      <c r="D19" s="15" t="n">
        <f aca="false">IF(C19=1,_XtX!L19,"")</f>
        <v>48.5</v>
      </c>
      <c r="E19" s="15" t="n">
        <f aca="false">IF(C19=1,_XtX!O19,"")</f>
        <v>48.3809090909091</v>
      </c>
      <c r="F19" s="16" t="n">
        <f aca="false">IF(C19=1,D19-E19,"")</f>
        <v>0.1190909090909</v>
      </c>
      <c r="G19" s="15" t="n">
        <f aca="false">IF(C19=1,F19/04_回帰ANOVA!$K$14,"")</f>
        <v>0.232156407247183</v>
      </c>
      <c r="H19" s="16" t="n">
        <f aca="false">IF(C19=1,_XtX!N19,"")</f>
        <v>0.118181818181818</v>
      </c>
      <c r="I19" s="15" t="n">
        <f aca="false">IF(C19=1,IF(H19&lt;0.9999,F19/(04_回帰ANOVA!$K$14*SQRT(1-H19)),0),"")</f>
        <v>0.247224296441599</v>
      </c>
      <c r="J19" s="25" t="str">
        <f aca="false">IF(C19=1,IF(ABS(I19)&gt;3,"要確認",IF(ABS(I19)&gt;2,"注意","")),"")</f>
        <v/>
      </c>
      <c r="L19" s="24" t="n">
        <v>15</v>
      </c>
      <c r="M19" s="24" t="n">
        <f aca="false">MIN(L19,04_回帰ANOVA!$K$6)</f>
        <v>15</v>
      </c>
      <c r="N19" s="24" t="n">
        <f aca="false">MATCH(M19,$B$5:$B$28,0)</f>
        <v>8</v>
      </c>
      <c r="O19" s="15" t="n">
        <f aca="false">INDEX($E$5:$E$28,N19)</f>
        <v>50.2940909090909</v>
      </c>
      <c r="P19" s="16" t="n">
        <f aca="false">INDEX($F$5:$F$28,N19)</f>
        <v>-0.194090909090917</v>
      </c>
      <c r="Q19" s="24" t="n">
        <f aca="false">M19</f>
        <v>15</v>
      </c>
      <c r="R19" s="16" t="n">
        <f aca="false">SMALL($F$5:$F$28,M19)</f>
        <v>0.1190909090909</v>
      </c>
      <c r="S19" s="16" t="n">
        <f aca="false">NORMSINV((M19-0.375)/(04_回帰ANOVA!$K$6+0.25))</f>
        <v>0.589455797849779</v>
      </c>
      <c r="T19" s="15" t="n">
        <f aca="false">INDEX($D$5:$D$28,N19)</f>
        <v>50.1</v>
      </c>
    </row>
    <row r="20" customFormat="false" ht="15" hidden="false" customHeight="false" outlineLevel="0" collapsed="false">
      <c r="A20" s="11" t="n">
        <v>16</v>
      </c>
      <c r="B20" s="11" t="n">
        <f aca="false">02_実験計画!M20</f>
        <v>6</v>
      </c>
      <c r="C20" s="11" t="n">
        <f aca="false">02_実験計画!C20</f>
        <v>1</v>
      </c>
      <c r="D20" s="15" t="n">
        <f aca="false">IF(C20=1,_XtX!L20,"")</f>
        <v>48.2</v>
      </c>
      <c r="E20" s="15" t="n">
        <f aca="false">IF(C20=1,_XtX!O20,"")</f>
        <v>48.3809090909091</v>
      </c>
      <c r="F20" s="16" t="n">
        <f aca="false">IF(C20=1,D20-E20,"")</f>
        <v>-0.180909090909097</v>
      </c>
      <c r="G20" s="15" t="n">
        <f aca="false">IF(C20=1,F20/04_回帰ANOVA!$K$14,"")</f>
        <v>-0.352665076657973</v>
      </c>
      <c r="H20" s="16" t="n">
        <f aca="false">IF(C20=1,_XtX!N20,"")</f>
        <v>0.118181818181818</v>
      </c>
      <c r="I20" s="15" t="n">
        <f aca="false">IF(C20=1,IF(H20&lt;0.9999,F20/(04_回帰ANOVA!$K$14*SQRT(1-H20)),0),"")</f>
        <v>-0.375554465586896</v>
      </c>
      <c r="J20" s="25" t="str">
        <f aca="false">IF(C20=1,IF(ABS(I20)&gt;3,"要確認",IF(ABS(I20)&gt;2,"注意","")),"")</f>
        <v/>
      </c>
      <c r="L20" s="24" t="n">
        <v>16</v>
      </c>
      <c r="M20" s="24" t="n">
        <f aca="false">MIN(L20,04_回帰ANOVA!$K$6)</f>
        <v>16</v>
      </c>
      <c r="N20" s="24" t="n">
        <f aca="false">MATCH(M20,$B$5:$B$28,0)</f>
        <v>11</v>
      </c>
      <c r="O20" s="15" t="n">
        <f aca="false">INDEX($E$5:$E$28,N20)</f>
        <v>44.2836363636364</v>
      </c>
      <c r="P20" s="16" t="n">
        <f aca="false">INDEX($F$5:$F$28,N20)</f>
        <v>-0.583636363636373</v>
      </c>
      <c r="Q20" s="24" t="n">
        <f aca="false">M20</f>
        <v>16</v>
      </c>
      <c r="R20" s="16" t="n">
        <f aca="false">SMALL($F$5:$F$28,M20)</f>
        <v>0.24590909090908</v>
      </c>
      <c r="S20" s="16" t="n">
        <f aca="false">NORMSINV((M20-0.375)/(04_回帰ANOVA!$K$6+0.25))</f>
        <v>0.744142742220168</v>
      </c>
      <c r="T20" s="15" t="n">
        <f aca="false">INDEX($D$5:$D$28,N20)</f>
        <v>43.7</v>
      </c>
    </row>
    <row r="21" customFormat="false" ht="15" hidden="false" customHeight="false" outlineLevel="0" collapsed="false">
      <c r="A21" s="11" t="n">
        <v>17</v>
      </c>
      <c r="B21" s="11" t="n">
        <f aca="false">02_実験計画!M21</f>
        <v>18</v>
      </c>
      <c r="C21" s="11" t="n">
        <f aca="false">02_実験計画!C21</f>
        <v>1</v>
      </c>
      <c r="D21" s="15" t="n">
        <f aca="false">IF(C21=1,_XtX!L21,"")</f>
        <v>48.9</v>
      </c>
      <c r="E21" s="15" t="n">
        <f aca="false">IF(C21=1,_XtX!O21,"")</f>
        <v>48.3809090909091</v>
      </c>
      <c r="F21" s="16" t="n">
        <f aca="false">IF(C21=1,D21-E21,"")</f>
        <v>0.519090909090899</v>
      </c>
      <c r="G21" s="15" t="n">
        <f aca="false">IF(C21=1,F21/04_回帰ANOVA!$K$14,"")</f>
        <v>1.0119183857874</v>
      </c>
      <c r="H21" s="16" t="n">
        <f aca="false">IF(C21=1,_XtX!N21,"")</f>
        <v>0.118181818181818</v>
      </c>
      <c r="I21" s="15" t="n">
        <f aca="false">IF(C21=1,IF(H21&lt;0.9999,F21/(04_回帰ANOVA!$K$14*SQRT(1-H21)),0),"")</f>
        <v>1.07759597914626</v>
      </c>
      <c r="J21" s="25" t="str">
        <f aca="false">IF(C21=1,IF(ABS(I21)&gt;3,"要確認",IF(ABS(I21)&gt;2,"注意","")),"")</f>
        <v/>
      </c>
      <c r="L21" s="24" t="n">
        <v>17</v>
      </c>
      <c r="M21" s="24" t="n">
        <f aca="false">MIN(L21,04_回帰ANOVA!$K$6)</f>
        <v>17</v>
      </c>
      <c r="N21" s="24" t="n">
        <f aca="false">MATCH(M21,$B$5:$B$28,0)</f>
        <v>18</v>
      </c>
      <c r="O21" s="15" t="n">
        <f aca="false">INDEX($E$5:$E$28,N21)</f>
        <v>48.3809090909091</v>
      </c>
      <c r="P21" s="16" t="n">
        <f aca="false">INDEX($F$5:$F$28,N21)</f>
        <v>0.919090909090897</v>
      </c>
      <c r="Q21" s="24" t="n">
        <f aca="false">M21</f>
        <v>17</v>
      </c>
      <c r="R21" s="16" t="n">
        <f aca="false">SMALL($F$5:$F$28,M21)</f>
        <v>0.376363636363621</v>
      </c>
      <c r="S21" s="16" t="n">
        <f aca="false">NORMSINV((M21-0.375)/(04_回帰ANOVA!$K$6+0.25))</f>
        <v>0.91913552204621</v>
      </c>
      <c r="T21" s="15" t="n">
        <f aca="false">INDEX($D$5:$D$28,N21)</f>
        <v>49.3</v>
      </c>
    </row>
    <row r="22" customFormat="false" ht="15" hidden="false" customHeight="false" outlineLevel="0" collapsed="false">
      <c r="A22" s="11" t="n">
        <v>18</v>
      </c>
      <c r="B22" s="11" t="n">
        <f aca="false">02_実験計画!M22</f>
        <v>17</v>
      </c>
      <c r="C22" s="11" t="n">
        <f aca="false">02_実験計画!C22</f>
        <v>1</v>
      </c>
      <c r="D22" s="15" t="n">
        <f aca="false">IF(C22=1,_XtX!L22,"")</f>
        <v>49.3</v>
      </c>
      <c r="E22" s="15" t="n">
        <f aca="false">IF(C22=1,_XtX!O22,"")</f>
        <v>48.3809090909091</v>
      </c>
      <c r="F22" s="16" t="n">
        <f aca="false">IF(C22=1,D22-E22,"")</f>
        <v>0.919090909090897</v>
      </c>
      <c r="G22" s="15" t="n">
        <f aca="false">IF(C22=1,F22/04_回帰ANOVA!$K$14,"")</f>
        <v>1.79168036432761</v>
      </c>
      <c r="H22" s="16" t="n">
        <f aca="false">IF(C22=1,_XtX!N22,"")</f>
        <v>0.118181818181818</v>
      </c>
      <c r="I22" s="15" t="n">
        <f aca="false">IF(C22=1,IF(H22&lt;0.9999,F22/(04_回帰ANOVA!$K$14*SQRT(1-H22)),0),"")</f>
        <v>1.90796766185093</v>
      </c>
      <c r="J22" s="25" t="str">
        <f aca="false">IF(C22=1,IF(ABS(I22)&gt;3,"要確認",IF(ABS(I22)&gt;2,"注意","")),"")</f>
        <v/>
      </c>
      <c r="L22" s="24" t="n">
        <v>18</v>
      </c>
      <c r="M22" s="24" t="n">
        <f aca="false">MIN(L22,04_回帰ANOVA!$K$6)</f>
        <v>18</v>
      </c>
      <c r="N22" s="24" t="n">
        <f aca="false">MATCH(M22,$B$5:$B$28,0)</f>
        <v>17</v>
      </c>
      <c r="O22" s="15" t="n">
        <f aca="false">INDEX($E$5:$E$28,N22)</f>
        <v>48.3809090909091</v>
      </c>
      <c r="P22" s="16" t="n">
        <f aca="false">INDEX($F$5:$F$28,N22)</f>
        <v>0.519090909090899</v>
      </c>
      <c r="Q22" s="24" t="n">
        <f aca="false">M22</f>
        <v>18</v>
      </c>
      <c r="R22" s="16" t="n">
        <f aca="false">SMALL($F$5:$F$28,M22)</f>
        <v>0.395909090909079</v>
      </c>
      <c r="S22" s="16" t="n">
        <f aca="false">NORMSINV((M22-0.375)/(04_回帰ANOVA!$K$6+0.25))</f>
        <v>1.12814364527876</v>
      </c>
      <c r="T22" s="15" t="n">
        <f aca="false">INDEX($D$5:$D$28,N22)</f>
        <v>48.9</v>
      </c>
    </row>
    <row r="23" customFormat="false" ht="15" hidden="false" customHeight="false" outlineLevel="0" collapsed="false">
      <c r="A23" s="11" t="n">
        <v>19</v>
      </c>
      <c r="B23" s="11" t="n">
        <f aca="false">02_実験計画!M23</f>
        <v>14</v>
      </c>
      <c r="C23" s="11" t="n">
        <f aca="false">02_実験計画!C23</f>
        <v>1</v>
      </c>
      <c r="D23" s="15" t="n">
        <f aca="false">IF(C23=1,_XtX!L23,"")</f>
        <v>47.9</v>
      </c>
      <c r="E23" s="15" t="n">
        <f aca="false">IF(C23=1,_XtX!O23,"")</f>
        <v>48.3809090909091</v>
      </c>
      <c r="F23" s="16" t="n">
        <f aca="false">IF(C23=1,D23-E23,"")</f>
        <v>-0.480909090909101</v>
      </c>
      <c r="G23" s="15" t="n">
        <f aca="false">IF(C23=1,F23/04_回帰ANOVA!$K$14,"")</f>
        <v>-0.937486560563143</v>
      </c>
      <c r="H23" s="16" t="n">
        <f aca="false">IF(C23=1,_XtX!N23,"")</f>
        <v>0.118181818181818</v>
      </c>
      <c r="I23" s="15" t="n">
        <f aca="false">IF(C23=1,IF(H23&lt;0.9999,F23/(04_回帰ANOVA!$K$14*SQRT(1-H23)),0),"")</f>
        <v>-0.998333227615405</v>
      </c>
      <c r="J23" s="25" t="str">
        <f aca="false">IF(C23=1,IF(ABS(I23)&gt;3,"要確認",IF(ABS(I23)&gt;2,"注意","")),"")</f>
        <v/>
      </c>
      <c r="L23" s="24" t="n">
        <v>19</v>
      </c>
      <c r="M23" s="24" t="n">
        <f aca="false">MIN(L23,04_回帰ANOVA!$K$6)</f>
        <v>19</v>
      </c>
      <c r="N23" s="24" t="n">
        <f aca="false">MATCH(M23,$B$5:$B$28,0)</f>
        <v>12</v>
      </c>
      <c r="O23" s="15" t="n">
        <f aca="false">INDEX($E$5:$E$28,N23)</f>
        <v>48.4236363636364</v>
      </c>
      <c r="P23" s="16" t="n">
        <f aca="false">INDEX($F$5:$F$28,N23)</f>
        <v>0.376363636363621</v>
      </c>
      <c r="Q23" s="24" t="n">
        <f aca="false">M23</f>
        <v>19</v>
      </c>
      <c r="R23" s="16" t="n">
        <f aca="false">SMALL($F$5:$F$28,M23)</f>
        <v>0.519090909090899</v>
      </c>
      <c r="S23" s="16" t="n">
        <f aca="false">NORMSINV((M23-0.375)/(04_回帰ANOVA!$K$6+0.25))</f>
        <v>1.4034126358514</v>
      </c>
      <c r="T23" s="15" t="n">
        <f aca="false">INDEX($D$5:$D$28,N23)</f>
        <v>48.8</v>
      </c>
    </row>
    <row r="24" customFormat="false" ht="15" hidden="false" customHeight="false" outlineLevel="0" collapsed="false">
      <c r="A24" s="11" t="n">
        <v>20</v>
      </c>
      <c r="B24" s="11" t="n">
        <f aca="false">02_実験計画!M24</f>
        <v>9</v>
      </c>
      <c r="C24" s="11" t="n">
        <f aca="false">02_実験計画!C24</f>
        <v>1</v>
      </c>
      <c r="D24" s="15" t="n">
        <f aca="false">IF(C24=1,_XtX!L24,"")</f>
        <v>47.9</v>
      </c>
      <c r="E24" s="15" t="n">
        <f aca="false">IF(C24=1,_XtX!O24,"")</f>
        <v>48.3809090909091</v>
      </c>
      <c r="F24" s="16" t="n">
        <f aca="false">IF(C24=1,D24-E24,"")</f>
        <v>-0.480909090909101</v>
      </c>
      <c r="G24" s="15" t="n">
        <f aca="false">IF(C24=1,F24/04_回帰ANOVA!$K$14,"")</f>
        <v>-0.937486560563143</v>
      </c>
      <c r="H24" s="16" t="n">
        <f aca="false">IF(C24=1,_XtX!N24,"")</f>
        <v>0.118181818181818</v>
      </c>
      <c r="I24" s="15" t="n">
        <f aca="false">IF(C24=1,IF(H24&lt;0.9999,F24/(04_回帰ANOVA!$K$14*SQRT(1-H24)),0),"")</f>
        <v>-0.998333227615405</v>
      </c>
      <c r="J24" s="25" t="str">
        <f aca="false">IF(C24=1,IF(ABS(I24)&gt;3,"要確認",IF(ABS(I24)&gt;2,"注意","")),"")</f>
        <v/>
      </c>
      <c r="L24" s="24" t="n">
        <v>20</v>
      </c>
      <c r="M24" s="24" t="n">
        <f aca="false">MIN(L24,04_回帰ANOVA!$K$6)</f>
        <v>20</v>
      </c>
      <c r="N24" s="24" t="n">
        <f aca="false">MATCH(M24,$B$5:$B$28,0)</f>
        <v>5</v>
      </c>
      <c r="O24" s="15" t="n">
        <f aca="false">INDEX($E$5:$E$28,N24)</f>
        <v>40.3140909090909</v>
      </c>
      <c r="P24" s="16" t="n">
        <f aca="false">INDEX($F$5:$F$28,N24)</f>
        <v>-0.0140909090909176</v>
      </c>
      <c r="Q24" s="24" t="n">
        <f aca="false">M24</f>
        <v>20</v>
      </c>
      <c r="R24" s="16" t="n">
        <f aca="false">SMALL($F$5:$F$28,M24)</f>
        <v>0.919090909090897</v>
      </c>
      <c r="S24" s="16" t="n">
        <f aca="false">NORMSINV((M24-0.375)/(04_回帰ANOVA!$K$6+0.25))</f>
        <v>1.86824165486393</v>
      </c>
      <c r="T24" s="15" t="n">
        <f aca="false">INDEX($D$5:$D$28,N24)</f>
        <v>40.3</v>
      </c>
    </row>
    <row r="25" customFormat="false" ht="15" hidden="false" customHeight="false" outlineLevel="0" collapsed="false">
      <c r="A25" s="11" t="n">
        <v>21</v>
      </c>
      <c r="B25" s="11" t="str">
        <f aca="false">02_実験計画!M25</f>
        <v/>
      </c>
      <c r="C25" s="11" t="n">
        <f aca="false">02_実験計画!C25</f>
        <v>0</v>
      </c>
      <c r="D25" s="15" t="str">
        <f aca="false">IF(C25=1,_XtX!L25,"")</f>
        <v/>
      </c>
      <c r="E25" s="15" t="str">
        <f aca="false">IF(C25=1,_XtX!O25,"")</f>
        <v/>
      </c>
      <c r="F25" s="16" t="str">
        <f aca="false">IF(C25=1,D25-E25,"")</f>
        <v/>
      </c>
      <c r="G25" s="15" t="str">
        <f aca="false">IF(C25=1,F25/04_回帰ANOVA!$K$14,"")</f>
        <v/>
      </c>
      <c r="H25" s="16" t="str">
        <f aca="false">IF(C25=1,_XtX!N25,"")</f>
        <v/>
      </c>
      <c r="I25" s="15" t="str">
        <f aca="false">IF(C25=1,IF(H25&lt;0.9999,F25/(04_回帰ANOVA!$K$14*SQRT(1-H25)),0),"")</f>
        <v/>
      </c>
      <c r="J25" s="25" t="str">
        <f aca="false">IF(C25=1,IF(ABS(I25)&gt;3,"要確認",IF(ABS(I25)&gt;2,"注意","")),"")</f>
        <v/>
      </c>
      <c r="L25" s="24" t="n">
        <v>21</v>
      </c>
      <c r="M25" s="24" t="n">
        <f aca="false">MIN(L25,04_回帰ANOVA!$K$6)</f>
        <v>20</v>
      </c>
      <c r="N25" s="24" t="n">
        <f aca="false">MATCH(M25,$B$5:$B$28,0)</f>
        <v>5</v>
      </c>
      <c r="O25" s="15" t="n">
        <f aca="false">INDEX($E$5:$E$28,N25)</f>
        <v>40.3140909090909</v>
      </c>
      <c r="P25" s="16" t="n">
        <f aca="false">INDEX($F$5:$F$28,N25)</f>
        <v>-0.0140909090909176</v>
      </c>
      <c r="Q25" s="24" t="n">
        <f aca="false">M25</f>
        <v>20</v>
      </c>
      <c r="R25" s="16" t="n">
        <f aca="false">SMALL($F$5:$F$28,M25)</f>
        <v>0.919090909090897</v>
      </c>
      <c r="S25" s="16" t="n">
        <f aca="false">NORMSINV((M25-0.375)/(04_回帰ANOVA!$K$6+0.25))</f>
        <v>1.86824165486393</v>
      </c>
      <c r="T25" s="15" t="n">
        <f aca="false">INDEX($D$5:$D$28,N25)</f>
        <v>40.3</v>
      </c>
    </row>
    <row r="26" customFormat="false" ht="15" hidden="false" customHeight="false" outlineLevel="0" collapsed="false">
      <c r="A26" s="11" t="n">
        <v>22</v>
      </c>
      <c r="B26" s="11" t="str">
        <f aca="false">02_実験計画!M26</f>
        <v/>
      </c>
      <c r="C26" s="11" t="n">
        <f aca="false">02_実験計画!C26</f>
        <v>0</v>
      </c>
      <c r="D26" s="15" t="str">
        <f aca="false">IF(C26=1,_XtX!L26,"")</f>
        <v/>
      </c>
      <c r="E26" s="15" t="str">
        <f aca="false">IF(C26=1,_XtX!O26,"")</f>
        <v/>
      </c>
      <c r="F26" s="16" t="str">
        <f aca="false">IF(C26=1,D26-E26,"")</f>
        <v/>
      </c>
      <c r="G26" s="15" t="str">
        <f aca="false">IF(C26=1,F26/04_回帰ANOVA!$K$14,"")</f>
        <v/>
      </c>
      <c r="H26" s="16" t="str">
        <f aca="false">IF(C26=1,_XtX!N26,"")</f>
        <v/>
      </c>
      <c r="I26" s="15" t="str">
        <f aca="false">IF(C26=1,IF(H26&lt;0.9999,F26/(04_回帰ANOVA!$K$14*SQRT(1-H26)),0),"")</f>
        <v/>
      </c>
      <c r="J26" s="25" t="str">
        <f aca="false">IF(C26=1,IF(ABS(I26)&gt;3,"要確認",IF(ABS(I26)&gt;2,"注意","")),"")</f>
        <v/>
      </c>
      <c r="L26" s="24" t="n">
        <v>22</v>
      </c>
      <c r="M26" s="24" t="n">
        <f aca="false">MIN(L26,04_回帰ANOVA!$K$6)</f>
        <v>20</v>
      </c>
      <c r="N26" s="24" t="n">
        <f aca="false">MATCH(M26,$B$5:$B$28,0)</f>
        <v>5</v>
      </c>
      <c r="O26" s="15" t="n">
        <f aca="false">INDEX($E$5:$E$28,N26)</f>
        <v>40.3140909090909</v>
      </c>
      <c r="P26" s="16" t="n">
        <f aca="false">INDEX($F$5:$F$28,N26)</f>
        <v>-0.0140909090909176</v>
      </c>
      <c r="Q26" s="24" t="n">
        <f aca="false">M26</f>
        <v>20</v>
      </c>
      <c r="R26" s="16" t="n">
        <f aca="false">SMALL($F$5:$F$28,M26)</f>
        <v>0.919090909090897</v>
      </c>
      <c r="S26" s="16" t="n">
        <f aca="false">NORMSINV((M26-0.375)/(04_回帰ANOVA!$K$6+0.25))</f>
        <v>1.86824165486393</v>
      </c>
      <c r="T26" s="15" t="n">
        <f aca="false">INDEX($D$5:$D$28,N26)</f>
        <v>40.3</v>
      </c>
    </row>
    <row r="27" customFormat="false" ht="15" hidden="false" customHeight="false" outlineLevel="0" collapsed="false">
      <c r="A27" s="11" t="n">
        <v>23</v>
      </c>
      <c r="B27" s="11" t="str">
        <f aca="false">02_実験計画!M27</f>
        <v/>
      </c>
      <c r="C27" s="11" t="n">
        <f aca="false">02_実験計画!C27</f>
        <v>0</v>
      </c>
      <c r="D27" s="15" t="str">
        <f aca="false">IF(C27=1,_XtX!L27,"")</f>
        <v/>
      </c>
      <c r="E27" s="15" t="str">
        <f aca="false">IF(C27=1,_XtX!O27,"")</f>
        <v/>
      </c>
      <c r="F27" s="16" t="str">
        <f aca="false">IF(C27=1,D27-E27,"")</f>
        <v/>
      </c>
      <c r="G27" s="15" t="str">
        <f aca="false">IF(C27=1,F27/04_回帰ANOVA!$K$14,"")</f>
        <v/>
      </c>
      <c r="H27" s="16" t="str">
        <f aca="false">IF(C27=1,_XtX!N27,"")</f>
        <v/>
      </c>
      <c r="I27" s="15" t="str">
        <f aca="false">IF(C27=1,IF(H27&lt;0.9999,F27/(04_回帰ANOVA!$K$14*SQRT(1-H27)),0),"")</f>
        <v/>
      </c>
      <c r="J27" s="25" t="str">
        <f aca="false">IF(C27=1,IF(ABS(I27)&gt;3,"要確認",IF(ABS(I27)&gt;2,"注意","")),"")</f>
        <v/>
      </c>
      <c r="L27" s="24" t="n">
        <v>23</v>
      </c>
      <c r="M27" s="24" t="n">
        <f aca="false">MIN(L27,04_回帰ANOVA!$K$6)</f>
        <v>20</v>
      </c>
      <c r="N27" s="24" t="n">
        <f aca="false">MATCH(M27,$B$5:$B$28,0)</f>
        <v>5</v>
      </c>
      <c r="O27" s="15" t="n">
        <f aca="false">INDEX($E$5:$E$28,N27)</f>
        <v>40.3140909090909</v>
      </c>
      <c r="P27" s="16" t="n">
        <f aca="false">INDEX($F$5:$F$28,N27)</f>
        <v>-0.0140909090909176</v>
      </c>
      <c r="Q27" s="24" t="n">
        <f aca="false">M27</f>
        <v>20</v>
      </c>
      <c r="R27" s="16" t="n">
        <f aca="false">SMALL($F$5:$F$28,M27)</f>
        <v>0.919090909090897</v>
      </c>
      <c r="S27" s="16" t="n">
        <f aca="false">NORMSINV((M27-0.375)/(04_回帰ANOVA!$K$6+0.25))</f>
        <v>1.86824165486393</v>
      </c>
      <c r="T27" s="15" t="n">
        <f aca="false">INDEX($D$5:$D$28,N27)</f>
        <v>40.3</v>
      </c>
    </row>
    <row r="28" customFormat="false" ht="15" hidden="false" customHeight="false" outlineLevel="0" collapsed="false">
      <c r="A28" s="11" t="n">
        <v>24</v>
      </c>
      <c r="B28" s="11" t="str">
        <f aca="false">02_実験計画!M28</f>
        <v/>
      </c>
      <c r="C28" s="11" t="n">
        <f aca="false">02_実験計画!C28</f>
        <v>0</v>
      </c>
      <c r="D28" s="15" t="str">
        <f aca="false">IF(C28=1,_XtX!L28,"")</f>
        <v/>
      </c>
      <c r="E28" s="15" t="str">
        <f aca="false">IF(C28=1,_XtX!O28,"")</f>
        <v/>
      </c>
      <c r="F28" s="16" t="str">
        <f aca="false">IF(C28=1,D28-E28,"")</f>
        <v/>
      </c>
      <c r="G28" s="15" t="str">
        <f aca="false">IF(C28=1,F28/04_回帰ANOVA!$K$14,"")</f>
        <v/>
      </c>
      <c r="H28" s="16" t="str">
        <f aca="false">IF(C28=1,_XtX!N28,"")</f>
        <v/>
      </c>
      <c r="I28" s="15" t="str">
        <f aca="false">IF(C28=1,IF(H28&lt;0.9999,F28/(04_回帰ANOVA!$K$14*SQRT(1-H28)),0),"")</f>
        <v/>
      </c>
      <c r="J28" s="25" t="str">
        <f aca="false">IF(C28=1,IF(ABS(I28)&gt;3,"要確認",IF(ABS(I28)&gt;2,"注意","")),"")</f>
        <v/>
      </c>
      <c r="L28" s="24" t="n">
        <v>24</v>
      </c>
      <c r="M28" s="24" t="n">
        <f aca="false">MIN(L28,04_回帰ANOVA!$K$6)</f>
        <v>20</v>
      </c>
      <c r="N28" s="24" t="n">
        <f aca="false">MATCH(M28,$B$5:$B$28,0)</f>
        <v>5</v>
      </c>
      <c r="O28" s="15" t="n">
        <f aca="false">INDEX($E$5:$E$28,N28)</f>
        <v>40.3140909090909</v>
      </c>
      <c r="P28" s="16" t="n">
        <f aca="false">INDEX($F$5:$F$28,N28)</f>
        <v>-0.0140909090909176</v>
      </c>
      <c r="Q28" s="24" t="n">
        <f aca="false">M28</f>
        <v>20</v>
      </c>
      <c r="R28" s="16" t="n">
        <f aca="false">SMALL($F$5:$F$28,M28)</f>
        <v>0.919090909090897</v>
      </c>
      <c r="S28" s="16" t="n">
        <f aca="false">NORMSINV((M28-0.375)/(04_回帰ANOVA!$K$6+0.25))</f>
        <v>1.86824165486393</v>
      </c>
      <c r="T28" s="15" t="n">
        <f aca="false">INDEX($D$5:$D$28,N28)</f>
        <v>40.3</v>
      </c>
    </row>
    <row r="37" customFormat="false" ht="15" hidden="false" customHeight="false" outlineLevel="0" collapsed="false">
      <c r="V37" s="19" t="s">
        <v>202</v>
      </c>
    </row>
  </sheetData>
  <conditionalFormatting sqref="J5:J28">
    <cfRule type="cellIs" priority="2" operator="equal" aboveAverage="0" equalAverage="0" bottom="0" percent="0" rank="0" text="" dxfId="0">
      <formula>"要確認"</formula>
    </cfRule>
    <cfRule type="cellIs" priority="3" operator="equal" aboveAverage="0" equalAverage="0" bottom="0" percent="0" rank="0" text="" dxfId="3">
      <formula>"注意"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H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4"/>
    <col collapsed="false" customWidth="true" hidden="false" outlineLevel="0" max="4" min="4" style="0" width="10"/>
    <col collapsed="false" customWidth="true" hidden="false" outlineLevel="0" max="7" min="5" style="0" width="12"/>
  </cols>
  <sheetData>
    <row r="1" customFormat="false" ht="21.6" hidden="false" customHeight="false" outlineLevel="0" collapsed="false">
      <c r="A1" s="8" t="s">
        <v>203</v>
      </c>
    </row>
    <row r="2" customFormat="false" ht="15" hidden="false" customHeight="false" outlineLevel="0" collapsed="false">
      <c r="A2" s="2" t="s">
        <v>204</v>
      </c>
    </row>
    <row r="5" customFormat="false" ht="15" hidden="false" customHeight="false" outlineLevel="0" collapsed="false">
      <c r="A5" s="38" t="s">
        <v>205</v>
      </c>
      <c r="F5" s="38" t="s">
        <v>206</v>
      </c>
    </row>
    <row r="6" customFormat="false" ht="15" hidden="false" customHeight="false" outlineLevel="0" collapsed="false">
      <c r="A6" s="23" t="s">
        <v>64</v>
      </c>
      <c r="B6" s="30" t="n">
        <f aca="false">04_回帰ANOVA!C13</f>
        <v>-2.47727272727275</v>
      </c>
      <c r="C6" s="30" t="n">
        <f aca="false">04_回帰ANOVA!C10/2</f>
        <v>0.612499999999999</v>
      </c>
      <c r="D6" s="30" t="n">
        <f aca="false">04_回帰ANOVA!C11/2</f>
        <v>-0.0749999999999997</v>
      </c>
      <c r="F6" s="30" t="n">
        <f aca="false">04_回帰ANOVA!C7</f>
        <v>2.62</v>
      </c>
    </row>
    <row r="7" customFormat="false" ht="15" hidden="false" customHeight="false" outlineLevel="0" collapsed="false">
      <c r="A7" s="23" t="s">
        <v>69</v>
      </c>
      <c r="B7" s="30" t="n">
        <f aca="false">04_回帰ANOVA!C10/2</f>
        <v>0.612499999999999</v>
      </c>
      <c r="C7" s="30" t="n">
        <f aca="false">04_回帰ANOVA!C14</f>
        <v>-2.02727272727272</v>
      </c>
      <c r="D7" s="30" t="n">
        <f aca="false">04_回帰ANOVA!C12/2</f>
        <v>0.225</v>
      </c>
      <c r="F7" s="30" t="n">
        <f aca="false">04_回帰ANOVA!C8</f>
        <v>2.07</v>
      </c>
    </row>
    <row r="8" customFormat="false" ht="15" hidden="false" customHeight="false" outlineLevel="0" collapsed="false">
      <c r="A8" s="23" t="s">
        <v>72</v>
      </c>
      <c r="B8" s="30" t="n">
        <f aca="false">04_回帰ANOVA!C11/2</f>
        <v>-0.0749999999999997</v>
      </c>
      <c r="C8" s="30" t="n">
        <f aca="false">04_回帰ANOVA!C12/2</f>
        <v>0.225</v>
      </c>
      <c r="D8" s="30" t="n">
        <f aca="false">04_回帰ANOVA!C15</f>
        <v>-1.17727272727271</v>
      </c>
      <c r="F8" s="30" t="n">
        <f aca="false">04_回帰ANOVA!C9</f>
        <v>1.38</v>
      </c>
    </row>
    <row r="12" customFormat="false" ht="15" hidden="false" customHeight="false" outlineLevel="0" collapsed="false">
      <c r="A12" s="10" t="s">
        <v>101</v>
      </c>
      <c r="B12" s="10" t="s">
        <v>207</v>
      </c>
      <c r="C12" s="10" t="s">
        <v>208</v>
      </c>
      <c r="D12" s="10" t="s">
        <v>52</v>
      </c>
    </row>
    <row r="13" customFormat="false" ht="15" hidden="false" customHeight="false" outlineLevel="0" collapsed="false">
      <c r="A13" s="26" t="str">
        <f aca="false">01_因子設定!B5</f>
        <v>炉温</v>
      </c>
      <c r="B13" s="16" t="n">
        <f aca="false">IFERROR(-0.5*INDEX(MMULT(MINVERSE($B$6:$D$8),$F$6:$F$8),1,1),"算出不可")</f>
        <v>0.705792736460701</v>
      </c>
      <c r="C13" s="15" t="n">
        <f aca="false">IF(ISNUMBER(B13),01_因子設定!G5+B13*01_因子設定!H5,"")</f>
        <v>72.057927364607</v>
      </c>
      <c r="D13" s="24" t="str">
        <f aca="false">01_因子設定!D5</f>
        <v>℃</v>
      </c>
    </row>
    <row r="14" customFormat="false" ht="15" hidden="false" customHeight="false" outlineLevel="0" collapsed="false">
      <c r="A14" s="26" t="str">
        <f aca="false">01_因子設定!B6</f>
        <v>乾燥時間</v>
      </c>
      <c r="B14" s="16" t="n">
        <f aca="false">IFERROR(-0.5*INDEX(MMULT(MINVERSE($B$6:$D$8),$F$6:$F$8),2,1),"算出不可")</f>
        <v>0.800825080834119</v>
      </c>
      <c r="C14" s="15" t="n">
        <f aca="false">IF(ISNUMBER(B14),01_因子設定!G6+B14*01_因子設定!H6,"")</f>
        <v>38.0082508083412</v>
      </c>
      <c r="D14" s="24" t="str">
        <f aca="false">01_因子設定!D6</f>
        <v>min</v>
      </c>
    </row>
    <row r="15" customFormat="false" ht="15" hidden="false" customHeight="false" outlineLevel="0" collapsed="false">
      <c r="A15" s="26" t="str">
        <f aca="false">01_因子設定!B7</f>
        <v>循環風速</v>
      </c>
      <c r="B15" s="16" t="n">
        <f aca="false">IFERROR(-0.5*INDEX(MMULT(MINVERSE($B$6:$D$8),$F$6:$F$8),3,1),"算出不可")</f>
        <v>0.694190198261352</v>
      </c>
      <c r="C15" s="15" t="n">
        <f aca="false">IF(ISNUMBER(B15),01_因子設定!G7+B15*01_因子設定!H7,"")</f>
        <v>2.69419019826135</v>
      </c>
      <c r="D15" s="24" t="str">
        <f aca="false">01_因子設定!D7</f>
        <v>m/s</v>
      </c>
    </row>
    <row r="18" customFormat="false" ht="15" hidden="false" customHeight="false" outlineLevel="0" collapsed="false">
      <c r="A18" s="18" t="s">
        <v>209</v>
      </c>
      <c r="B18" s="15" t="n">
        <f aca="false">IF(ISNUMBER(B13),04_回帰ANOVA!C6+0.5*SUMPRODUCT(F6:F8,B13:B15),"")</f>
        <v>50.6133427711363</v>
      </c>
    </row>
    <row r="19" customFormat="false" ht="15" hidden="false" customHeight="false" outlineLevel="0" collapsed="false">
      <c r="A19" s="18" t="s">
        <v>210</v>
      </c>
      <c r="B19" s="16" t="n">
        <f aca="false">IF(ISNUMBER(B13),SQRT(SUMSQ(B13:B15)),"")</f>
        <v>1.273328012845</v>
      </c>
    </row>
    <row r="20" customFormat="false" ht="15" hidden="false" customHeight="false" outlineLevel="0" collapsed="false">
      <c r="A20" s="18" t="s">
        <v>211</v>
      </c>
      <c r="B20" s="26" t="str">
        <f aca="false">IF(NOT(ISNUMBER(B13)),"－",IF(01_因子設定!$B$20="Box-Behnken",IF(B19&lt;=SQRT(2),"領域内","領域外（外挿）"),IF(01_因子設定!$B$20="回転可能CCD(α=1.682)",IF(B19&lt;=1.68179283050743,"領域内","領域外（外挿）"),IF(MAX(ABS(B13),ABS(B14),ABS(B15))&lt;=1,"領域内","領域外（外挿）"))))</f>
        <v>領域内</v>
      </c>
    </row>
    <row r="22" customFormat="false" ht="15" hidden="false" customHeight="false" outlineLevel="0" collapsed="false">
      <c r="A22" s="10" t="s">
        <v>39</v>
      </c>
      <c r="B22" s="10" t="s">
        <v>144</v>
      </c>
    </row>
    <row r="23" customFormat="false" ht="15" hidden="false" customHeight="false" outlineLevel="0" collapsed="false">
      <c r="A23" s="23" t="s">
        <v>212</v>
      </c>
      <c r="B23" s="30" t="n">
        <f aca="false">SMALL((_eig!B125~_eig!C126~_eig!D127),1)</f>
        <v>-2.92568084374717</v>
      </c>
    </row>
    <row r="24" customFormat="false" ht="15" hidden="false" customHeight="false" outlineLevel="0" collapsed="false">
      <c r="A24" s="23" t="s">
        <v>213</v>
      </c>
      <c r="B24" s="30" t="n">
        <f aca="false">SMALL((_eig!B125~_eig!C126~_eig!D127),2)</f>
        <v>-1.64050298252132</v>
      </c>
    </row>
    <row r="25" customFormat="false" ht="15" hidden="false" customHeight="false" outlineLevel="0" collapsed="false">
      <c r="A25" s="23" t="s">
        <v>214</v>
      </c>
      <c r="B25" s="30" t="n">
        <f aca="false">SMALL((_eig!B125~_eig!C126~_eig!D127),3)</f>
        <v>-1.11563435554969</v>
      </c>
    </row>
    <row r="28" customFormat="false" ht="15" hidden="false" customHeight="false" outlineLevel="0" collapsed="false">
      <c r="A28" s="18" t="s">
        <v>215</v>
      </c>
      <c r="B28" s="26" t="str">
        <f aca="false">IF(MAX(B23:B25)&lt;0,"最大点",IF(MIN(B23:B25)&gt;0,"最小点","鞍点"))</f>
        <v>最大点</v>
      </c>
      <c r="C28" s="26"/>
      <c r="D28" s="26"/>
      <c r="E28" s="26"/>
      <c r="F28" s="26"/>
      <c r="G28" s="26"/>
      <c r="H28" s="26"/>
    </row>
    <row r="29" customFormat="false" ht="15" hidden="false" customHeight="false" outlineLevel="0" collapsed="false">
      <c r="A29" s="18" t="s">
        <v>216</v>
      </c>
      <c r="B29" s="39" t="str">
        <f aca="false">IF(MIN(ABS(B23),ABS(B24),ABS(B25))&lt;0.1*MAX(ABS(B23),ABS(B24),ABS(B25)),"あり：ほぼ平らな方向がある → その方向には工程窓を広く取れる可能性","なし：全方向に明確な曲率")</f>
        <v>なし：全方向に明確な曲率</v>
      </c>
      <c r="C29" s="39"/>
      <c r="D29" s="39"/>
      <c r="E29" s="39"/>
      <c r="F29" s="39"/>
      <c r="G29" s="39"/>
      <c r="H29" s="39"/>
    </row>
    <row r="30" customFormat="false" ht="15" hidden="false" customHeight="false" outlineLevel="0" collapsed="false">
      <c r="A30" s="18" t="s">
        <v>217</v>
      </c>
      <c r="B30" s="26" t="str">
        <f aca="false">IF(NOT(ISNUMBER(B13)),"停留点を算出できない（2次項を除外している等）→ 07の探索結果を使う",IF(B20&lt;&gt;"領域内","停留点は実験領域外。外挿値は信用しない → 07の領域内探索結果を採用し、必要なら領域を移して追加実験",IF(OR(AND(01_因子設定!$B$13="最大化",B28="最大点"),AND(01_因子設定!$B$13="最小化",B28="最小点")),"停留点が領域内の最適点候補。07の結果と一致するか確認",IF(B28="鞍点","鞍点のため停留点は最適点ではない → 07の探索結果（領域境界上になりやすい）を採用","停留点は目的と逆向きの極値 → 07の探索結果を採用"))))</f>
        <v>停留点が領域内の最適点候補。07の結果と一致するか確認</v>
      </c>
      <c r="C30" s="26"/>
      <c r="D30" s="26"/>
      <c r="E30" s="26"/>
      <c r="F30" s="26"/>
      <c r="G30" s="26"/>
      <c r="H30" s="26"/>
    </row>
    <row r="32" customFormat="false" ht="15" hidden="false" customHeight="false" outlineLevel="0" collapsed="false">
      <c r="A32" s="19" t="s">
        <v>218</v>
      </c>
    </row>
  </sheetData>
  <mergeCells count="3">
    <mergeCell ref="B28:H28"/>
    <mergeCell ref="B29:H29"/>
    <mergeCell ref="B30:H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V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6" min="4" style="0" width="12"/>
    <col collapsed="false" customWidth="true" hidden="false" outlineLevel="0" max="10" min="7" style="0" width="10"/>
  </cols>
  <sheetData>
    <row r="1" customFormat="false" ht="21.6" hidden="false" customHeight="false" outlineLevel="0" collapsed="false">
      <c r="A1" s="8" t="s">
        <v>219</v>
      </c>
    </row>
    <row r="2" customFormat="false" ht="15" hidden="false" customHeight="false" outlineLevel="0" collapsed="false">
      <c r="A2" s="2" t="s">
        <v>220</v>
      </c>
    </row>
    <row r="4" customFormat="false" ht="29.85" hidden="false" customHeight="false" outlineLevel="0" collapsed="false">
      <c r="A4" s="10" t="s">
        <v>221</v>
      </c>
      <c r="B4" s="10" t="s">
        <v>222</v>
      </c>
      <c r="C4" s="10" t="s">
        <v>223</v>
      </c>
      <c r="D4" s="10"/>
      <c r="E4" s="10" t="s">
        <v>224</v>
      </c>
    </row>
    <row r="5" customFormat="false" ht="15" hidden="false" customHeight="true" outlineLevel="0" collapsed="false">
      <c r="A5" s="18" t="s">
        <v>225</v>
      </c>
      <c r="B5" s="24" t="n">
        <f aca="false">MATCH(MAX(_grid!$Y$5:$Y$4917),_grid!$Y$5:$Y$4917,0)</f>
        <v>4009</v>
      </c>
      <c r="C5" s="24" t="n">
        <f aca="false">MATCH(MAX(_grid!$Z$5:$Z$4917),_grid!$Z$5:$Z$4917,0)</f>
        <v>4316</v>
      </c>
      <c r="E5" s="40" t="s">
        <v>226</v>
      </c>
      <c r="F5" s="40"/>
      <c r="G5" s="40"/>
      <c r="H5" s="40"/>
      <c r="I5" s="40"/>
      <c r="J5" s="40"/>
      <c r="K5" s="40"/>
    </row>
    <row r="6" customFormat="false" ht="15" hidden="false" customHeight="false" outlineLevel="0" collapsed="false">
      <c r="A6" s="23" t="str">
        <f aca="false">01_因子設定!B5&amp;"（コード）"</f>
        <v>炉温（コード）</v>
      </c>
      <c r="B6" s="16" t="n">
        <f aca="false">INDEX(_grid!$D$5:$D$4917,B$5)</f>
        <v>0.625</v>
      </c>
      <c r="C6" s="16" t="n">
        <f aca="false">INDEX(_grid!$D$5:$D$4917,C$5)</f>
        <v>0.75</v>
      </c>
      <c r="E6" s="40"/>
      <c r="F6" s="40"/>
      <c r="G6" s="40"/>
      <c r="H6" s="40"/>
      <c r="I6" s="40"/>
      <c r="J6" s="40"/>
      <c r="K6" s="40"/>
    </row>
    <row r="7" customFormat="false" ht="15" hidden="false" customHeight="false" outlineLevel="0" collapsed="false">
      <c r="A7" s="23" t="str">
        <f aca="false">01_因子設定!B6&amp;"（コード）"</f>
        <v>乾燥時間（コード）</v>
      </c>
      <c r="B7" s="16" t="n">
        <f aca="false">INDEX(_grid!$E$5:$E$4917,B$5)</f>
        <v>0.75</v>
      </c>
      <c r="C7" s="16" t="n">
        <f aca="false">INDEX(_grid!$E$5:$E$4917,C$5)</f>
        <v>0.875</v>
      </c>
      <c r="E7" s="40"/>
      <c r="F7" s="40"/>
      <c r="G7" s="40"/>
      <c r="H7" s="40"/>
      <c r="I7" s="40"/>
      <c r="J7" s="40"/>
      <c r="K7" s="40"/>
    </row>
    <row r="8" customFormat="false" ht="15" hidden="false" customHeight="false" outlineLevel="0" collapsed="false">
      <c r="A8" s="23" t="str">
        <f aca="false">01_因子設定!B7&amp;"（コード）"</f>
        <v>循環風速（コード）</v>
      </c>
      <c r="B8" s="16" t="n">
        <f aca="false">INDEX(_grid!$F$5:$F$4917,B$5)</f>
        <v>0.625</v>
      </c>
      <c r="C8" s="16" t="n">
        <f aca="false">INDEX(_grid!$F$5:$F$4917,C$5)</f>
        <v>0.75</v>
      </c>
      <c r="E8" s="40"/>
      <c r="F8" s="40"/>
      <c r="G8" s="40"/>
      <c r="H8" s="40"/>
      <c r="I8" s="40"/>
      <c r="J8" s="40"/>
      <c r="K8" s="40"/>
    </row>
    <row r="9" customFormat="false" ht="15" hidden="false" customHeight="false" outlineLevel="0" collapsed="false">
      <c r="A9" s="23" t="str">
        <f aca="false">01_因子設定!B5&amp;"["&amp;01_因子設定!D5&amp;"]"</f>
        <v>炉温[℃]</v>
      </c>
      <c r="B9" s="41" t="n">
        <f aca="false">01_因子設定!$G$5+B6*01_因子設定!$H$5</f>
        <v>71.25</v>
      </c>
      <c r="C9" s="41" t="n">
        <f aca="false">01_因子設定!$G$5+C6*01_因子設定!$H$5</f>
        <v>72.5</v>
      </c>
      <c r="E9" s="40"/>
      <c r="F9" s="40"/>
      <c r="G9" s="40"/>
      <c r="H9" s="40"/>
      <c r="I9" s="40"/>
      <c r="J9" s="40"/>
      <c r="K9" s="40"/>
    </row>
    <row r="10" customFormat="false" ht="15" hidden="false" customHeight="false" outlineLevel="0" collapsed="false">
      <c r="A10" s="23" t="str">
        <f aca="false">01_因子設定!B6&amp;"["&amp;01_因子設定!D6&amp;"]"</f>
        <v>乾燥時間[min]</v>
      </c>
      <c r="B10" s="41" t="n">
        <f aca="false">01_因子設定!$G$6+B7*01_因子設定!$H$6</f>
        <v>37.5</v>
      </c>
      <c r="C10" s="41" t="n">
        <f aca="false">01_因子設定!$G$6+C7*01_因子設定!$H$6</f>
        <v>38.75</v>
      </c>
      <c r="E10" s="40"/>
      <c r="F10" s="40"/>
      <c r="G10" s="40"/>
      <c r="H10" s="40"/>
      <c r="I10" s="40"/>
      <c r="J10" s="40"/>
      <c r="K10" s="40"/>
    </row>
    <row r="11" customFormat="false" ht="15" hidden="false" customHeight="false" outlineLevel="0" collapsed="false">
      <c r="A11" s="23" t="str">
        <f aca="false">01_因子設定!B7&amp;"["&amp;01_因子設定!D7&amp;"]"</f>
        <v>循環風速[m/s]</v>
      </c>
      <c r="B11" s="41" t="n">
        <f aca="false">01_因子設定!$G$7+B8*01_因子設定!$H$7</f>
        <v>2.625</v>
      </c>
      <c r="C11" s="41" t="n">
        <f aca="false">01_因子設定!$G$7+C8*01_因子設定!$H$7</f>
        <v>2.75</v>
      </c>
      <c r="E11" s="40"/>
      <c r="F11" s="40"/>
      <c r="G11" s="40"/>
      <c r="H11" s="40"/>
      <c r="I11" s="40"/>
      <c r="J11" s="40"/>
      <c r="K11" s="40"/>
    </row>
    <row r="12" customFormat="false" ht="15" hidden="false" customHeight="false" outlineLevel="0" collapsed="false">
      <c r="A12" s="18" t="s">
        <v>227</v>
      </c>
      <c r="B12" s="15" t="n">
        <f aca="false">INDEX(_grid!$Q$5:$Q$4917,B$5)</f>
        <v>50.5920738636364</v>
      </c>
      <c r="C12" s="15" t="n">
        <f aca="false">INDEX(_grid!$Q$5:$Q$4917,C$5)</f>
        <v>50.5991903409091</v>
      </c>
      <c r="E12" s="40"/>
      <c r="F12" s="40"/>
      <c r="G12" s="40"/>
      <c r="H12" s="40"/>
      <c r="I12" s="40"/>
      <c r="J12" s="40"/>
      <c r="K12" s="40"/>
    </row>
    <row r="13" customFormat="false" ht="15" hidden="false" customHeight="false" outlineLevel="0" collapsed="false">
      <c r="A13" s="18" t="s">
        <v>228</v>
      </c>
      <c r="B13" s="15" t="n">
        <f aca="false">INDEX(_grid!$T$5:$T$4917,B$5)</f>
        <v>49.5447239722584</v>
      </c>
      <c r="C13" s="15" t="n">
        <f aca="false">INDEX(_grid!$T$5:$T$4917,C$5)</f>
        <v>49.4972662157555</v>
      </c>
      <c r="E13" s="40"/>
      <c r="F13" s="40"/>
      <c r="G13" s="40"/>
      <c r="H13" s="40"/>
      <c r="I13" s="40"/>
      <c r="J13" s="40"/>
      <c r="K13" s="40"/>
    </row>
    <row r="14" customFormat="false" ht="15" hidden="false" customHeight="false" outlineLevel="0" collapsed="false">
      <c r="A14" s="18" t="s">
        <v>229</v>
      </c>
      <c r="B14" s="15" t="n">
        <f aca="false">INDEX(_grid!$U$5:$U$4917,B$5)</f>
        <v>51.6394237550144</v>
      </c>
      <c r="C14" s="15" t="n">
        <f aca="false">INDEX(_grid!$U$5:$U$4917,C$5)</f>
        <v>51.7011144660627</v>
      </c>
      <c r="E14" s="40"/>
      <c r="F14" s="40"/>
      <c r="G14" s="40"/>
      <c r="H14" s="40"/>
      <c r="I14" s="40"/>
      <c r="J14" s="40"/>
      <c r="K14" s="40"/>
    </row>
    <row r="15" customFormat="false" ht="15" hidden="false" customHeight="false" outlineLevel="0" collapsed="false">
      <c r="A15" s="18" t="s">
        <v>230</v>
      </c>
      <c r="B15" s="15" t="n">
        <f aca="false">INDEX(_grid!$W$5:$W$4917,B$5)</f>
        <v>1.04472397225836</v>
      </c>
      <c r="C15" s="15" t="n">
        <f aca="false">INDEX(_grid!$W$5:$W$4917,C$5)</f>
        <v>0.997266215755523</v>
      </c>
      <c r="E15" s="40"/>
      <c r="F15" s="40"/>
      <c r="G15" s="40"/>
      <c r="H15" s="40"/>
      <c r="I15" s="40"/>
      <c r="J15" s="40"/>
      <c r="K15" s="40"/>
    </row>
    <row r="16" customFormat="false" ht="15" hidden="false" customHeight="false" outlineLevel="0" collapsed="false">
      <c r="A16" s="18" t="s">
        <v>104</v>
      </c>
      <c r="B16" s="26" t="str">
        <f aca="false">IF(B15&lt;-1E+029,"有効な点なし（安全限界・領域を確認）",IF(B15&gt;=0,"○ 予測限界でも規格を満たす","× 予測限界では規格を満たせない"))</f>
        <v>○ 予測限界でも規格を満たす</v>
      </c>
      <c r="C16" s="26" t="str">
        <f aca="false">IF(C15&lt;-1E+029,"有効な点なし（安全限界・領域を確認）",IF(C15&gt;=0,"○ 予測限界でも規格を満たす","× 予測限界では規格を満たせない"))</f>
        <v>○ 予測限界でも規格を満たす</v>
      </c>
      <c r="E16" s="40"/>
      <c r="F16" s="40"/>
      <c r="G16" s="40"/>
      <c r="H16" s="40"/>
      <c r="I16" s="40"/>
      <c r="J16" s="40"/>
      <c r="K16" s="40"/>
    </row>
    <row r="19" customFormat="false" ht="15" hidden="false" customHeight="false" outlineLevel="0" collapsed="false">
      <c r="A19" s="17" t="s">
        <v>231</v>
      </c>
    </row>
    <row r="20" customFormat="false" ht="15" hidden="false" customHeight="false" outlineLevel="0" collapsed="false">
      <c r="A20" s="10" t="s">
        <v>232</v>
      </c>
      <c r="B20" s="10" t="s">
        <v>225</v>
      </c>
      <c r="C20" s="10" t="str">
        <f aca="false">01_因子設定!B5</f>
        <v>炉温</v>
      </c>
      <c r="D20" s="10" t="str">
        <f aca="false">01_因子設定!B6</f>
        <v>乾燥時間</v>
      </c>
      <c r="E20" s="10" t="str">
        <f aca="false">01_因子設定!B7</f>
        <v>循環風速</v>
      </c>
      <c r="F20" s="10" t="s">
        <v>233</v>
      </c>
      <c r="G20" s="10" t="s">
        <v>228</v>
      </c>
      <c r="H20" s="10" t="s">
        <v>229</v>
      </c>
      <c r="I20" s="10" t="s">
        <v>234</v>
      </c>
    </row>
    <row r="21" customFormat="false" ht="15" hidden="false" customHeight="false" outlineLevel="0" collapsed="false">
      <c r="A21" s="11" t="n">
        <v>1</v>
      </c>
      <c r="B21" s="24" t="n">
        <f aca="false">MATCH(LARGE(_grid!$Y$5:$Y$4917,1),_grid!$Y$5:$Y$4917,0)</f>
        <v>4009</v>
      </c>
      <c r="C21" s="15" t="n">
        <f aca="false">01_因子設定!$G$5+INDEX(_grid!$D$5:$D$4917,$B21)*01_因子設定!$H$5</f>
        <v>71.25</v>
      </c>
      <c r="D21" s="15" t="n">
        <f aca="false">01_因子設定!$G$6+INDEX(_grid!$E$5:$E$4917,$B21)*01_因子設定!$H$6</f>
        <v>37.5</v>
      </c>
      <c r="E21" s="15" t="n">
        <f aca="false">01_因子設定!$G$7+INDEX(_grid!$F$5:$F$4917,$B21)*01_因子設定!$H$7</f>
        <v>2.625</v>
      </c>
      <c r="F21" s="15" t="n">
        <f aca="false">INDEX(_grid!$Q$5:$Q$4917,$B21)</f>
        <v>50.5920738636364</v>
      </c>
      <c r="G21" s="15" t="n">
        <f aca="false">INDEX(_grid!$T$5:$T$4917,$B21)</f>
        <v>49.5447239722584</v>
      </c>
      <c r="H21" s="15" t="n">
        <f aca="false">INDEX(_grid!$U$5:$U$4917,$B21)</f>
        <v>51.6394237550144</v>
      </c>
      <c r="I21" s="15" t="n">
        <f aca="false">INDEX(_grid!$W$5:$W$4917,$B21)</f>
        <v>1.04472397225836</v>
      </c>
    </row>
    <row r="22" customFormat="false" ht="15" hidden="false" customHeight="false" outlineLevel="0" collapsed="false">
      <c r="A22" s="11" t="n">
        <v>2</v>
      </c>
      <c r="B22" s="24" t="n">
        <f aca="false">MATCH(LARGE(_grid!$Y$5:$Y$4917,2),_grid!$Y$5:$Y$4917,0)</f>
        <v>4298</v>
      </c>
      <c r="C22" s="15" t="n">
        <f aca="false">01_因子設定!$G$5+INDEX(_grid!$D$5:$D$4917,$B22)*01_因子設定!$H$5</f>
        <v>72.5</v>
      </c>
      <c r="D22" s="15" t="n">
        <f aca="false">01_因子設定!$G$6+INDEX(_grid!$E$5:$E$4917,$B22)*01_因子設定!$H$6</f>
        <v>37.5</v>
      </c>
      <c r="E22" s="15" t="n">
        <f aca="false">01_因子設定!$G$7+INDEX(_grid!$F$5:$F$4917,$B22)*01_因子設定!$H$7</f>
        <v>2.625</v>
      </c>
      <c r="F22" s="15" t="n">
        <f aca="false">INDEX(_grid!$Q$5:$Q$4917,$B22)</f>
        <v>50.5969176136364</v>
      </c>
      <c r="G22" s="15" t="n">
        <f aca="false">INDEX(_grid!$T$5:$T$4917,$B22)</f>
        <v>49.5344358494682</v>
      </c>
      <c r="H22" s="15" t="n">
        <f aca="false">INDEX(_grid!$U$5:$U$4917,$B22)</f>
        <v>51.6593993778045</v>
      </c>
      <c r="I22" s="15" t="n">
        <f aca="false">INDEX(_grid!$W$5:$W$4917,$B22)</f>
        <v>1.03443584946821</v>
      </c>
    </row>
    <row r="23" customFormat="false" ht="15" hidden="false" customHeight="false" outlineLevel="0" collapsed="false">
      <c r="A23" s="11" t="n">
        <v>3</v>
      </c>
      <c r="B23" s="24" t="n">
        <f aca="false">MATCH(LARGE(_grid!$Y$5:$Y$4917,3),_grid!$Y$5:$Y$4917,0)</f>
        <v>4010</v>
      </c>
      <c r="C23" s="15" t="n">
        <f aca="false">01_因子設定!$G$5+INDEX(_grid!$D$5:$D$4917,$B23)*01_因子設定!$H$5</f>
        <v>71.25</v>
      </c>
      <c r="D23" s="15" t="n">
        <f aca="false">01_因子設定!$G$6+INDEX(_grid!$E$5:$E$4917,$B23)*01_因子設定!$H$6</f>
        <v>37.5</v>
      </c>
      <c r="E23" s="15" t="n">
        <f aca="false">01_因子設定!$G$7+INDEX(_grid!$F$5:$F$4917,$B23)*01_因子設定!$H$7</f>
        <v>2.75</v>
      </c>
      <c r="F23" s="15" t="n">
        <f aca="false">INDEX(_grid!$Q$5:$Q$4917,$B23)</f>
        <v>50.5926988636364</v>
      </c>
      <c r="G23" s="15" t="n">
        <f aca="false">INDEX(_grid!$T$5:$T$4917,$B23)</f>
        <v>49.5302170994682</v>
      </c>
      <c r="H23" s="15" t="n">
        <f aca="false">INDEX(_grid!$U$5:$U$4917,$B23)</f>
        <v>51.6551806278045</v>
      </c>
      <c r="I23" s="15" t="n">
        <f aca="false">INDEX(_grid!$W$5:$W$4917,$B23)</f>
        <v>1.03021709946822</v>
      </c>
    </row>
    <row r="24" customFormat="false" ht="15" hidden="false" customHeight="false" outlineLevel="0" collapsed="false">
      <c r="A24" s="11" t="n">
        <v>4</v>
      </c>
      <c r="B24" s="24" t="n">
        <f aca="false">MATCH(LARGE(_grid!$Y$5:$Y$4917,4),_grid!$Y$5:$Y$4917,0)</f>
        <v>3992</v>
      </c>
      <c r="C24" s="15" t="n">
        <f aca="false">01_因子設定!$G$5+INDEX(_grid!$D$5:$D$4917,$B24)*01_因子設定!$H$5</f>
        <v>71.25</v>
      </c>
      <c r="D24" s="15" t="n">
        <f aca="false">01_因子設定!$G$6+INDEX(_grid!$E$5:$E$4917,$B24)*01_因子設定!$H$6</f>
        <v>36.25</v>
      </c>
      <c r="E24" s="15" t="n">
        <f aca="false">01_因子設定!$G$7+INDEX(_grid!$F$5:$F$4917,$B24)*01_因子設定!$H$7</f>
        <v>2.625</v>
      </c>
      <c r="F24" s="15" t="n">
        <f aca="false">INDEX(_grid!$Q$5:$Q$4917,$B24)</f>
        <v>50.5509019886364</v>
      </c>
      <c r="G24" s="15" t="n">
        <f aca="false">INDEX(_grid!$T$5:$T$4917,$B24)</f>
        <v>49.5207351688847</v>
      </c>
      <c r="H24" s="15" t="n">
        <f aca="false">INDEX(_grid!$U$5:$U$4917,$B24)</f>
        <v>51.581068808388</v>
      </c>
      <c r="I24" s="15" t="n">
        <f aca="false">INDEX(_grid!$W$5:$W$4917,$B24)</f>
        <v>1.02073516888473</v>
      </c>
    </row>
    <row r="25" customFormat="false" ht="15" hidden="false" customHeight="false" outlineLevel="0" collapsed="false">
      <c r="A25" s="11" t="n">
        <v>5</v>
      </c>
      <c r="B25" s="24" t="n">
        <f aca="false">MATCH(LARGE(_grid!$Y$5:$Y$4917,5),_grid!$Y$5:$Y$4917,0)</f>
        <v>4299</v>
      </c>
      <c r="C25" s="15" t="n">
        <f aca="false">01_因子設定!$G$5+INDEX(_grid!$D$5:$D$4917,$B25)*01_因子設定!$H$5</f>
        <v>72.5</v>
      </c>
      <c r="D25" s="15" t="n">
        <f aca="false">01_因子設定!$G$6+INDEX(_grid!$E$5:$E$4917,$B25)*01_因子設定!$H$6</f>
        <v>37.5</v>
      </c>
      <c r="E25" s="15" t="n">
        <f aca="false">01_因子設定!$G$7+INDEX(_grid!$F$5:$F$4917,$B25)*01_因子設定!$H$7</f>
        <v>2.75</v>
      </c>
      <c r="F25" s="15" t="n">
        <f aca="false">INDEX(_grid!$Q$5:$Q$4917,$B25)</f>
        <v>50.5951988636364</v>
      </c>
      <c r="G25" s="15" t="n">
        <f aca="false">INDEX(_grid!$T$5:$T$4917,$B25)</f>
        <v>49.5195498552799</v>
      </c>
      <c r="H25" s="15" t="n">
        <f aca="false">INDEX(_grid!$U$5:$U$4917,$B25)</f>
        <v>51.6708478719929</v>
      </c>
      <c r="I25" s="15" t="n">
        <f aca="false">INDEX(_grid!$W$5:$W$4917,$B25)</f>
        <v>1.0195498552799</v>
      </c>
    </row>
    <row r="26" customFormat="false" ht="15" hidden="false" customHeight="false" outlineLevel="0" collapsed="false">
      <c r="A26" s="19" t="s">
        <v>235</v>
      </c>
    </row>
    <row r="28" customFormat="false" ht="15" hidden="false" customHeight="false" outlineLevel="0" collapsed="false">
      <c r="A28" s="17" t="s">
        <v>236</v>
      </c>
    </row>
    <row r="29" customFormat="false" ht="42" hidden="false" customHeight="true" outlineLevel="0" collapsed="false">
      <c r="A29" s="40" t="s">
        <v>237</v>
      </c>
      <c r="B29" s="40"/>
      <c r="C29" s="40"/>
      <c r="D29" s="40"/>
      <c r="E29" s="40"/>
      <c r="F29" s="40"/>
      <c r="G29" s="40"/>
      <c r="H29" s="40"/>
      <c r="I29" s="40"/>
      <c r="J29" s="40"/>
      <c r="K29" s="40"/>
    </row>
    <row r="30" customFormat="false" ht="15" hidden="false" customHeight="false" outlineLevel="0" collapsed="false">
      <c r="A30" s="23" t="str">
        <f aca="false">01_因子設定!B5&amp;"（コード）"</f>
        <v>炉温（コード）</v>
      </c>
      <c r="B30" s="42" t="n">
        <v>0</v>
      </c>
      <c r="C30" s="24" t="str">
        <f aca="false">"制約："&amp;TEXT(MAX(-1,01_因子設定!L5),"0.00")&amp;" ≦ B30 ≦ "&amp;TEXT(MIN(1,01_因子設定!M5),"0.00")</f>
        <v>制約：-1.00 ≦ B30 ≦ 1.00</v>
      </c>
      <c r="D30" s="15" t="n">
        <f aca="false">01_因子設定!$G$5+B30*01_因子設定!$H$5</f>
        <v>65</v>
      </c>
      <c r="M30" s="10" t="s">
        <v>145</v>
      </c>
      <c r="N30" s="9" t="s">
        <v>64</v>
      </c>
      <c r="O30" s="9" t="s">
        <v>69</v>
      </c>
      <c r="P30" s="9" t="s">
        <v>72</v>
      </c>
      <c r="Q30" s="9" t="s">
        <v>150</v>
      </c>
      <c r="R30" s="9" t="s">
        <v>152</v>
      </c>
      <c r="S30" s="9" t="s">
        <v>154</v>
      </c>
      <c r="T30" s="9" t="s">
        <v>156</v>
      </c>
      <c r="U30" s="9" t="s">
        <v>158</v>
      </c>
      <c r="V30" s="9" t="s">
        <v>160</v>
      </c>
    </row>
    <row r="31" customFormat="false" ht="15" hidden="false" customHeight="false" outlineLevel="0" collapsed="false">
      <c r="A31" s="23" t="str">
        <f aca="false">01_因子設定!B6&amp;"（コード）"</f>
        <v>乾燥時間（コード）</v>
      </c>
      <c r="B31" s="42" t="n">
        <v>0</v>
      </c>
      <c r="C31" s="24" t="str">
        <f aca="false">"制約："&amp;TEXT(MAX(-1,01_因子設定!L6),"0.00")&amp;" ≦ B31 ≦ "&amp;TEXT(MIN(1,01_因子設定!M6),"0.00")</f>
        <v>制約：-1.00 ≦ B31 ≦ 1.00</v>
      </c>
      <c r="D31" s="15" t="n">
        <f aca="false">01_因子設定!$G$6+B31*01_因子設定!$H$6</f>
        <v>30</v>
      </c>
      <c r="M31" s="16" t="n">
        <f aca="false">1</f>
        <v>1</v>
      </c>
      <c r="N31" s="16" t="n">
        <f aca="false">$B$30</f>
        <v>0</v>
      </c>
      <c r="O31" s="16" t="n">
        <f aca="false">$B$31</f>
        <v>0</v>
      </c>
      <c r="P31" s="16" t="n">
        <f aca="false">$B$32</f>
        <v>0</v>
      </c>
      <c r="Q31" s="16" t="n">
        <f aca="false">$B$30*$B$31</f>
        <v>0</v>
      </c>
      <c r="R31" s="16" t="n">
        <f aca="false">$B$30*$B$32</f>
        <v>0</v>
      </c>
      <c r="S31" s="16" t="n">
        <f aca="false">$B$31*$B$32</f>
        <v>0</v>
      </c>
      <c r="T31" s="16" t="n">
        <f aca="false">$B$30*$B$30</f>
        <v>0</v>
      </c>
      <c r="U31" s="16" t="n">
        <f aca="false">$B$31*$B$31</f>
        <v>0</v>
      </c>
      <c r="V31" s="16" t="n">
        <f aca="false">$B$32*$B$32</f>
        <v>0</v>
      </c>
    </row>
    <row r="32" customFormat="false" ht="15" hidden="false" customHeight="false" outlineLevel="0" collapsed="false">
      <c r="A32" s="23" t="str">
        <f aca="false">01_因子設定!B7&amp;"（コード）"</f>
        <v>循環風速（コード）</v>
      </c>
      <c r="B32" s="42" t="n">
        <v>0</v>
      </c>
      <c r="C32" s="24" t="str">
        <f aca="false">"制約："&amp;TEXT(MAX(-1,01_因子設定!L7),"0.00")&amp;" ≦ B32 ≦ "&amp;TEXT(MIN(1,01_因子設定!M7),"0.00")</f>
        <v>制約：-1.00 ≦ B32 ≦ 1.00</v>
      </c>
      <c r="D32" s="15" t="n">
        <f aca="false">01_因子設定!$G$7+B32*01_因子設定!$H$7</f>
        <v>2</v>
      </c>
    </row>
    <row r="34" customFormat="false" ht="15" hidden="false" customHeight="false" outlineLevel="0" collapsed="false">
      <c r="A34" s="18" t="s">
        <v>227</v>
      </c>
      <c r="B34" s="15" t="n">
        <f aca="false">SUMPRODUCT(M31:V31,_XtX!$B$71:$K$71)</f>
        <v>48.3809090909091</v>
      </c>
    </row>
    <row r="35" customFormat="false" ht="15" hidden="false" customHeight="false" outlineLevel="0" collapsed="false">
      <c r="A35" s="23" t="s">
        <v>238</v>
      </c>
      <c r="B35" s="30" t="n">
        <f aca="false">SUMPRODUCT(MMULT(M31:V31,_XtX!$B$58:$K$67),M31:V31)</f>
        <v>0.118181818181818</v>
      </c>
    </row>
    <row r="36" customFormat="false" ht="15" hidden="false" customHeight="false" outlineLevel="0" collapsed="false">
      <c r="A36" s="18" t="s">
        <v>239</v>
      </c>
      <c r="B36" s="15" t="n">
        <f aca="false">B34-04_回帰ANOVA!$K$19*04_回帰ANOVA!$K$14*SQRT(1+B35)</f>
        <v>47.3977521509158</v>
      </c>
      <c r="C36" s="15" t="n">
        <f aca="false">B34+04_回帰ANOVA!$K$19*04_回帰ANOVA!$K$14*SQRT(1+B35)</f>
        <v>49.3640660309024</v>
      </c>
    </row>
    <row r="37" customFormat="false" ht="15" hidden="false" customHeight="false" outlineLevel="0" collapsed="false">
      <c r="A37" s="18" t="s">
        <v>240</v>
      </c>
      <c r="B37" s="43" t="n">
        <f aca="false">IF(01_因子設定!$B$13="最大化",B36-01_因子設定!$B$14,IF(01_因子設定!$B$13="最小化",01_因子設定!$B$15-C36,MIN(B36-01_因子設定!$B$14,01_因子設定!$B$15-C36)))</f>
        <v>-1.10224784908424</v>
      </c>
      <c r="C37" s="24" t="str">
        <f aca="false">IF(01_因子設定!$B$20="Box-Behnken","BBDの場合は制約『黄色セルの二乗和≦2』も追加","")</f>
        <v/>
      </c>
    </row>
  </sheetData>
  <mergeCells count="2">
    <mergeCell ref="E5:K16"/>
    <mergeCell ref="A29:K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W8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6"/>
    <col collapsed="false" customWidth="true" hidden="false" outlineLevel="0" max="23" min="3" style="0" width="5.2"/>
  </cols>
  <sheetData>
    <row r="1" customFormat="false" ht="21.6" hidden="false" customHeight="false" outlineLevel="0" collapsed="false">
      <c r="A1" s="8" t="s">
        <v>241</v>
      </c>
    </row>
    <row r="2" customFormat="false" ht="15" hidden="false" customHeight="false" outlineLevel="0" collapsed="false">
      <c r="A2" s="35" t="s">
        <v>242</v>
      </c>
    </row>
    <row r="4" customFormat="false" ht="15" hidden="false" customHeight="false" outlineLevel="0" collapsed="false">
      <c r="A4" s="18" t="s">
        <v>243</v>
      </c>
      <c r="B4" s="14" t="s">
        <v>64</v>
      </c>
      <c r="C4" s="24" t="n">
        <f aca="false">VALUE(RIGHT(B4,1))</f>
        <v>1</v>
      </c>
      <c r="D4" s="26" t="str">
        <f aca="false">INDEX(01_因子設定!$B$5:$B$7,C4)&amp;"["&amp;INDEX(01_因子設定!$D$5:$D$7,C4)&amp;"]"</f>
        <v>炉温[℃]</v>
      </c>
      <c r="E4" s="44" t="str">
        <f aca="false">IF(C4=C5,"× 横軸と縦軸に同じ因子は指定できません","")</f>
        <v/>
      </c>
    </row>
    <row r="5" customFormat="false" ht="15" hidden="false" customHeight="false" outlineLevel="0" collapsed="false">
      <c r="A5" s="18" t="s">
        <v>244</v>
      </c>
      <c r="B5" s="14" t="s">
        <v>69</v>
      </c>
      <c r="C5" s="24" t="n">
        <f aca="false">VALUE(RIGHT(B5,1))</f>
        <v>2</v>
      </c>
      <c r="D5" s="26" t="str">
        <f aca="false">INDEX(01_因子設定!$B$5:$B$7,C5)&amp;"["&amp;INDEX(01_因子設定!$D$5:$D$7,C5)&amp;"]"</f>
        <v>乾燥時間[min]</v>
      </c>
    </row>
    <row r="6" customFormat="false" ht="15" hidden="false" customHeight="false" outlineLevel="0" collapsed="false">
      <c r="A6" s="18" t="s">
        <v>245</v>
      </c>
      <c r="B6" s="12" t="s">
        <v>246</v>
      </c>
    </row>
    <row r="8" customFormat="false" ht="72.35" hidden="false" customHeight="false" outlineLevel="0" collapsed="false">
      <c r="A8" s="10" t="s">
        <v>101</v>
      </c>
      <c r="B8" s="10" t="s">
        <v>247</v>
      </c>
      <c r="C8" s="10" t="s">
        <v>248</v>
      </c>
      <c r="D8" s="10" t="s">
        <v>249</v>
      </c>
      <c r="E8" s="10" t="s">
        <v>250</v>
      </c>
    </row>
    <row r="9" customFormat="false" ht="15" hidden="false" customHeight="false" outlineLevel="0" collapsed="false">
      <c r="A9" s="26" t="str">
        <f aca="false">01_因子設定!B5</f>
        <v>炉温</v>
      </c>
      <c r="B9" s="45" t="n">
        <v>0</v>
      </c>
      <c r="C9" s="15" t="n">
        <f aca="false">IF($B$6="手入力",B9,IF($B$6="点予測最適点",07_最適化!$C$6,07_最適化!$B$6))</f>
        <v>0.625</v>
      </c>
      <c r="D9" s="15" t="n">
        <f aca="false">01_因子設定!G5+C9*01_因子設定!H5</f>
        <v>71.25</v>
      </c>
      <c r="E9" s="11" t="str">
        <f aca="false">IF($C$4=1,"横軸",IF($C$5=1,"縦軸","固定"))</f>
        <v>横軸</v>
      </c>
    </row>
    <row r="10" customFormat="false" ht="15" hidden="false" customHeight="false" outlineLevel="0" collapsed="false">
      <c r="A10" s="26" t="str">
        <f aca="false">01_因子設定!B6</f>
        <v>乾燥時間</v>
      </c>
      <c r="B10" s="45" t="n">
        <v>0</v>
      </c>
      <c r="C10" s="15" t="n">
        <f aca="false">IF($B$6="手入力",B10,IF($B$6="点予測最適点",07_最適化!$C$7,07_最適化!$B$7))</f>
        <v>0.75</v>
      </c>
      <c r="D10" s="15" t="n">
        <f aca="false">01_因子設定!G6+C10*01_因子設定!H6</f>
        <v>37.5</v>
      </c>
      <c r="E10" s="11" t="str">
        <f aca="false">IF($C$4=2,"横軸",IF($C$5=2,"縦軸","固定"))</f>
        <v>縦軸</v>
      </c>
    </row>
    <row r="11" customFormat="false" ht="15" hidden="false" customHeight="false" outlineLevel="0" collapsed="false">
      <c r="A11" s="26" t="str">
        <f aca="false">01_因子設定!B7</f>
        <v>循環風速</v>
      </c>
      <c r="B11" s="45" t="n">
        <v>0</v>
      </c>
      <c r="C11" s="15" t="n">
        <f aca="false">IF($B$6="手入力",B11,IF($B$6="点予測最適点",07_最適化!$C$8,07_最適化!$B$8))</f>
        <v>0.625</v>
      </c>
      <c r="D11" s="15" t="n">
        <f aca="false">01_因子設定!G7+C11*01_因子設定!H7</f>
        <v>2.625</v>
      </c>
      <c r="E11" s="11" t="str">
        <f aca="false">IF($C$4=3,"横軸",IF($C$5=3,"縦軸","固定"))</f>
        <v>固定</v>
      </c>
    </row>
    <row r="13" customFormat="false" ht="15" hidden="false" customHeight="false" outlineLevel="0" collapsed="false">
      <c r="A13" s="17" t="s">
        <v>251</v>
      </c>
    </row>
    <row r="14" customFormat="false" ht="15" hidden="false" customHeight="false" outlineLevel="0" collapsed="false">
      <c r="A14" s="10" t="s">
        <v>252</v>
      </c>
      <c r="B14" s="10" t="s">
        <v>253</v>
      </c>
      <c r="C14" s="46" t="n">
        <v>-1</v>
      </c>
      <c r="D14" s="46" t="n">
        <v>-0.9</v>
      </c>
      <c r="E14" s="46" t="n">
        <v>-0.8</v>
      </c>
      <c r="F14" s="46" t="n">
        <v>-0.7</v>
      </c>
      <c r="G14" s="46" t="n">
        <v>-0.6</v>
      </c>
      <c r="H14" s="46" t="n">
        <v>-0.5</v>
      </c>
      <c r="I14" s="46" t="n">
        <v>-0.4</v>
      </c>
      <c r="J14" s="46" t="n">
        <v>-0.3</v>
      </c>
      <c r="K14" s="46" t="n">
        <v>-0.2</v>
      </c>
      <c r="L14" s="46" t="n">
        <v>-0.1</v>
      </c>
      <c r="M14" s="46" t="n">
        <v>0</v>
      </c>
      <c r="N14" s="46" t="n">
        <v>0.1</v>
      </c>
      <c r="O14" s="46" t="n">
        <v>0.2</v>
      </c>
      <c r="P14" s="46" t="n">
        <v>0.3</v>
      </c>
      <c r="Q14" s="46" t="n">
        <v>0.4</v>
      </c>
      <c r="R14" s="46" t="n">
        <v>0.5</v>
      </c>
      <c r="S14" s="46" t="n">
        <v>0.6</v>
      </c>
      <c r="T14" s="46" t="n">
        <v>0.7</v>
      </c>
      <c r="U14" s="46" t="n">
        <v>0.8</v>
      </c>
      <c r="V14" s="46" t="n">
        <v>0.9</v>
      </c>
      <c r="W14" s="46" t="n">
        <v>1</v>
      </c>
    </row>
    <row r="15" customFormat="false" ht="23.1" hidden="false" customHeight="false" outlineLevel="0" collapsed="false">
      <c r="A15" s="47" t="str">
        <f aca="false">"縦↓ "&amp;$D$5</f>
        <v>縦↓ 乾燥時間[min]</v>
      </c>
      <c r="B15" s="10" t="str">
        <f aca="false">"横→ "&amp;$D$4</f>
        <v>横→ 炉温[℃]</v>
      </c>
      <c r="C15" s="48" t="n">
        <f aca="false">INDEX(01_因子設定!$G$5:$G$7,$C$4)+C14*INDEX(01_因子設定!$H$5:$H$7,$C$4)</f>
        <v>55</v>
      </c>
      <c r="D15" s="48" t="n">
        <f aca="false">INDEX(01_因子設定!$G$5:$G$7,$C$4)+D14*INDEX(01_因子設定!$H$5:$H$7,$C$4)</f>
        <v>56</v>
      </c>
      <c r="E15" s="48" t="n">
        <f aca="false">INDEX(01_因子設定!$G$5:$G$7,$C$4)+E14*INDEX(01_因子設定!$H$5:$H$7,$C$4)</f>
        <v>57</v>
      </c>
      <c r="F15" s="48" t="n">
        <f aca="false">INDEX(01_因子設定!$G$5:$G$7,$C$4)+F14*INDEX(01_因子設定!$H$5:$H$7,$C$4)</f>
        <v>58</v>
      </c>
      <c r="G15" s="48" t="n">
        <f aca="false">INDEX(01_因子設定!$G$5:$G$7,$C$4)+G14*INDEX(01_因子設定!$H$5:$H$7,$C$4)</f>
        <v>59</v>
      </c>
      <c r="H15" s="48" t="n">
        <f aca="false">INDEX(01_因子設定!$G$5:$G$7,$C$4)+H14*INDEX(01_因子設定!$H$5:$H$7,$C$4)</f>
        <v>60</v>
      </c>
      <c r="I15" s="48" t="n">
        <f aca="false">INDEX(01_因子設定!$G$5:$G$7,$C$4)+I14*INDEX(01_因子設定!$H$5:$H$7,$C$4)</f>
        <v>61</v>
      </c>
      <c r="J15" s="48" t="n">
        <f aca="false">INDEX(01_因子設定!$G$5:$G$7,$C$4)+J14*INDEX(01_因子設定!$H$5:$H$7,$C$4)</f>
        <v>62</v>
      </c>
      <c r="K15" s="48" t="n">
        <f aca="false">INDEX(01_因子設定!$G$5:$G$7,$C$4)+K14*INDEX(01_因子設定!$H$5:$H$7,$C$4)</f>
        <v>63</v>
      </c>
      <c r="L15" s="48" t="n">
        <f aca="false">INDEX(01_因子設定!$G$5:$G$7,$C$4)+L14*INDEX(01_因子設定!$H$5:$H$7,$C$4)</f>
        <v>64</v>
      </c>
      <c r="M15" s="48" t="n">
        <f aca="false">INDEX(01_因子設定!$G$5:$G$7,$C$4)+M14*INDEX(01_因子設定!$H$5:$H$7,$C$4)</f>
        <v>65</v>
      </c>
      <c r="N15" s="48" t="n">
        <f aca="false">INDEX(01_因子設定!$G$5:$G$7,$C$4)+N14*INDEX(01_因子設定!$H$5:$H$7,$C$4)</f>
        <v>66</v>
      </c>
      <c r="O15" s="48" t="n">
        <f aca="false">INDEX(01_因子設定!$G$5:$G$7,$C$4)+O14*INDEX(01_因子設定!$H$5:$H$7,$C$4)</f>
        <v>67</v>
      </c>
      <c r="P15" s="48" t="n">
        <f aca="false">INDEX(01_因子設定!$G$5:$G$7,$C$4)+P14*INDEX(01_因子設定!$H$5:$H$7,$C$4)</f>
        <v>68</v>
      </c>
      <c r="Q15" s="48" t="n">
        <f aca="false">INDEX(01_因子設定!$G$5:$G$7,$C$4)+Q14*INDEX(01_因子設定!$H$5:$H$7,$C$4)</f>
        <v>69</v>
      </c>
      <c r="R15" s="48" t="n">
        <f aca="false">INDEX(01_因子設定!$G$5:$G$7,$C$4)+R14*INDEX(01_因子設定!$H$5:$H$7,$C$4)</f>
        <v>70</v>
      </c>
      <c r="S15" s="48" t="n">
        <f aca="false">INDEX(01_因子設定!$G$5:$G$7,$C$4)+S14*INDEX(01_因子設定!$H$5:$H$7,$C$4)</f>
        <v>71</v>
      </c>
      <c r="T15" s="48" t="n">
        <f aca="false">INDEX(01_因子設定!$G$5:$G$7,$C$4)+T14*INDEX(01_因子設定!$H$5:$H$7,$C$4)</f>
        <v>72</v>
      </c>
      <c r="U15" s="48" t="n">
        <f aca="false">INDEX(01_因子設定!$G$5:$G$7,$C$4)+U14*INDEX(01_因子設定!$H$5:$H$7,$C$4)</f>
        <v>73</v>
      </c>
      <c r="V15" s="48" t="n">
        <f aca="false">INDEX(01_因子設定!$G$5:$G$7,$C$4)+V14*INDEX(01_因子設定!$H$5:$H$7,$C$4)</f>
        <v>74</v>
      </c>
      <c r="W15" s="48" t="n">
        <f aca="false">INDEX(01_因子設定!$G$5:$G$7,$C$4)+W14*INDEX(01_因子設定!$H$5:$H$7,$C$4)</f>
        <v>75</v>
      </c>
    </row>
    <row r="16" customFormat="false" ht="15" hidden="false" customHeight="false" outlineLevel="0" collapsed="false">
      <c r="A16" s="49" t="n">
        <f aca="false">INDEX(01_因子設定!$G$5:$G$7,$C$5)+B16*INDEX(01_因子設定!$H$5:$H$7,$C$5)</f>
        <v>40</v>
      </c>
      <c r="B16" s="49" t="n">
        <v>1</v>
      </c>
      <c r="C16" s="50" t="n">
        <f aca="false">IF(AND(_slice!$H$5=1,C$14&gt;=_slice!$H$6-0.000000001,C$14&lt;=_slice!$I$6+0.000000001,$B16&gt;=_slice!$H$7-0.000000001,$B16&lt;=_slice!$I$7+0.000000001,IF(01_因子設定!$B$20="Box-Behnken",C$14^2+$B16^2+_slice!$H$8&lt;=2+0.000000001,TRUE())),_slice!C74,"外")</f>
        <v>42.8789914772727</v>
      </c>
      <c r="D16" s="50" t="n">
        <f aca="false">IF(AND(_slice!$H$5=1,D$14&gt;=_slice!$H$6-0.000000001,D$14&lt;=_slice!$I$6+0.000000001,$B16&gt;=_slice!$H$7-0.000000001,$B16&lt;=_slice!$I$7+0.000000001,IF(01_因子設定!$B$20="Box-Behnken",D$14^2+$B16^2+_slice!$H$8&lt;=2+0.000000001,TRUE())),_slice!D74,"外")</f>
        <v>43.7247982954546</v>
      </c>
      <c r="E16" s="50" t="n">
        <f aca="false">IF(AND(_slice!$H$5=1,E$14&gt;=_slice!$H$6-0.000000001,E$14&lt;=_slice!$I$6+0.000000001,$B16&gt;=_slice!$H$7-0.000000001,$B16&lt;=_slice!$I$7+0.000000001,IF(01_因子設定!$B$20="Box-Behnken",E$14^2+$B16^2+_slice!$H$8&lt;=2+0.000000001,TRUE())),_slice!E74,"外")</f>
        <v>44.5210596590909</v>
      </c>
      <c r="F16" s="50" t="n">
        <f aca="false">IF(AND(_slice!$H$5=1,F$14&gt;=_slice!$H$6-0.000000001,F$14&lt;=_slice!$I$6+0.000000001,$B16&gt;=_slice!$H$7-0.000000001,$B16&lt;=_slice!$I$7+0.000000001,IF(01_因子設定!$B$20="Box-Behnken",F$14^2+$B16^2+_slice!$H$8&lt;=2+0.000000001,TRUE())),_slice!F74,"外")</f>
        <v>45.2677755681818</v>
      </c>
      <c r="G16" s="50" t="n">
        <f aca="false">IF(AND(_slice!$H$5=1,G$14&gt;=_slice!$H$6-0.000000001,G$14&lt;=_slice!$I$6+0.000000001,$B16&gt;=_slice!$H$7-0.000000001,$B16&lt;=_slice!$I$7+0.000000001,IF(01_因子設定!$B$20="Box-Behnken",G$14^2+$B16^2+_slice!$H$8&lt;=2+0.000000001,TRUE())),_slice!G74,"外")</f>
        <v>45.9649460227273</v>
      </c>
      <c r="H16" s="50" t="n">
        <f aca="false">IF(AND(_slice!$H$5=1,H$14&gt;=_slice!$H$6-0.000000001,H$14&lt;=_slice!$I$6+0.000000001,$B16&gt;=_slice!$H$7-0.000000001,$B16&lt;=_slice!$I$7+0.000000001,IF(01_因子設定!$B$20="Box-Behnken",H$14^2+$B16^2+_slice!$H$8&lt;=2+0.000000001,TRUE())),_slice!H74,"外")</f>
        <v>46.6125710227273</v>
      </c>
      <c r="I16" s="50" t="n">
        <f aca="false">IF(AND(_slice!$H$5=1,I$14&gt;=_slice!$H$6-0.000000001,I$14&lt;=_slice!$I$6+0.000000001,$B16&gt;=_slice!$H$7-0.000000001,$B16&lt;=_slice!$I$7+0.000000001,IF(01_因子設定!$B$20="Box-Behnken",I$14^2+$B16^2+_slice!$H$8&lt;=2+0.000000001,TRUE())),_slice!I74,"外")</f>
        <v>47.2106505681818</v>
      </c>
      <c r="J16" s="50" t="n">
        <f aca="false">IF(AND(_slice!$H$5=1,J$14&gt;=_slice!$H$6-0.000000001,J$14&lt;=_slice!$I$6+0.000000001,$B16&gt;=_slice!$H$7-0.000000001,$B16&lt;=_slice!$I$7+0.000000001,IF(01_因子設定!$B$20="Box-Behnken",J$14^2+$B16^2+_slice!$H$8&lt;=2+0.000000001,TRUE())),_slice!J74,"外")</f>
        <v>47.7591846590909</v>
      </c>
      <c r="K16" s="50" t="n">
        <f aca="false">IF(AND(_slice!$H$5=1,K$14&gt;=_slice!$H$6-0.000000001,K$14&lt;=_slice!$I$6+0.000000001,$B16&gt;=_slice!$H$7-0.000000001,$B16&lt;=_slice!$I$7+0.000000001,IF(01_因子設定!$B$20="Box-Behnken",K$14^2+$B16^2+_slice!$H$8&lt;=2+0.000000001,TRUE())),_slice!K74,"外")</f>
        <v>48.2581732954546</v>
      </c>
      <c r="L16" s="50" t="n">
        <f aca="false">IF(AND(_slice!$H$5=1,L$14&gt;=_slice!$H$6-0.000000001,L$14&lt;=_slice!$I$6+0.000000001,$B16&gt;=_slice!$H$7-0.000000001,$B16&lt;=_slice!$I$7+0.000000001,IF(01_因子設定!$B$20="Box-Behnken",L$14^2+$B16^2+_slice!$H$8&lt;=2+0.000000001,TRUE())),_slice!L74,"外")</f>
        <v>48.7076164772727</v>
      </c>
      <c r="M16" s="50" t="n">
        <f aca="false">IF(AND(_slice!$H$5=1,M$14&gt;=_slice!$H$6-0.000000001,M$14&lt;=_slice!$I$6+0.000000001,$B16&gt;=_slice!$H$7-0.000000001,$B16&lt;=_slice!$I$7+0.000000001,IF(01_因子設定!$B$20="Box-Behnken",M$14^2+$B16^2+_slice!$H$8&lt;=2+0.000000001,TRUE())),_slice!M74,"外")</f>
        <v>49.1075142045455</v>
      </c>
      <c r="N16" s="50" t="n">
        <f aca="false">IF(AND(_slice!$H$5=1,N$14&gt;=_slice!$H$6-0.000000001,N$14&lt;=_slice!$I$6+0.000000001,$B16&gt;=_slice!$H$7-0.000000001,$B16&lt;=_slice!$I$7+0.000000001,IF(01_因子設定!$B$20="Box-Behnken",N$14^2+$B16^2+_slice!$H$8&lt;=2+0.000000001,TRUE())),_slice!N74,"外")</f>
        <v>49.4578664772728</v>
      </c>
      <c r="O16" s="50" t="n">
        <f aca="false">IF(AND(_slice!$H$5=1,O$14&gt;=_slice!$H$6-0.000000001,O$14&lt;=_slice!$I$6+0.000000001,$B16&gt;=_slice!$H$7-0.000000001,$B16&lt;=_slice!$I$7+0.000000001,IF(01_因子設定!$B$20="Box-Behnken",O$14^2+$B16^2+_slice!$H$8&lt;=2+0.000000001,TRUE())),_slice!O74,"外")</f>
        <v>49.7586732954546</v>
      </c>
      <c r="P16" s="50" t="n">
        <f aca="false">IF(AND(_slice!$H$5=1,P$14&gt;=_slice!$H$6-0.000000001,P$14&lt;=_slice!$I$6+0.000000001,$B16&gt;=_slice!$H$7-0.000000001,$B16&lt;=_slice!$I$7+0.000000001,IF(01_因子設定!$B$20="Box-Behnken",P$14^2+$B16^2+_slice!$H$8&lt;=2+0.000000001,TRUE())),_slice!P74,"外")</f>
        <v>50.0099346590909</v>
      </c>
      <c r="Q16" s="50" t="n">
        <f aca="false">IF(AND(_slice!$H$5=1,Q$14&gt;=_slice!$H$6-0.000000001,Q$14&lt;=_slice!$I$6+0.000000001,$B16&gt;=_slice!$H$7-0.000000001,$B16&lt;=_slice!$I$7+0.000000001,IF(01_因子設定!$B$20="Box-Behnken",Q$14^2+$B16^2+_slice!$H$8&lt;=2+0.000000001,TRUE())),_slice!Q74,"外")</f>
        <v>50.2116505681818</v>
      </c>
      <c r="R16" s="50" t="n">
        <f aca="false">IF(AND(_slice!$H$5=1,R$14&gt;=_slice!$H$6-0.000000001,R$14&lt;=_slice!$I$6+0.000000001,$B16&gt;=_slice!$H$7-0.000000001,$B16&lt;=_slice!$I$7+0.000000001,IF(01_因子設定!$B$20="Box-Behnken",R$14^2+$B16^2+_slice!$H$8&lt;=2+0.000000001,TRUE())),_slice!R74,"外")</f>
        <v>50.3638210227273</v>
      </c>
      <c r="S16" s="50" t="n">
        <f aca="false">IF(AND(_slice!$H$5=1,S$14&gt;=_slice!$H$6-0.000000001,S$14&lt;=_slice!$I$6+0.000000001,$B16&gt;=_slice!$H$7-0.000000001,$B16&lt;=_slice!$I$7+0.000000001,IF(01_因子設定!$B$20="Box-Behnken",S$14^2+$B16^2+_slice!$H$8&lt;=2+0.000000001,TRUE())),_slice!S74,"外")</f>
        <v>50.4664460227273</v>
      </c>
      <c r="T16" s="50" t="n">
        <f aca="false">IF(AND(_slice!$H$5=1,T$14&gt;=_slice!$H$6-0.000000001,T$14&lt;=_slice!$I$6+0.000000001,$B16&gt;=_slice!$H$7-0.000000001,$B16&lt;=_slice!$I$7+0.000000001,IF(01_因子設定!$B$20="Box-Behnken",T$14^2+$B16^2+_slice!$H$8&lt;=2+0.000000001,TRUE())),_slice!T74,"外")</f>
        <v>50.5195255681818</v>
      </c>
      <c r="U16" s="50" t="n">
        <f aca="false">IF(AND(_slice!$H$5=1,U$14&gt;=_slice!$H$6-0.000000001,U$14&lt;=_slice!$I$6+0.000000001,$B16&gt;=_slice!$H$7-0.000000001,$B16&lt;=_slice!$I$7+0.000000001,IF(01_因子設定!$B$20="Box-Behnken",U$14^2+$B16^2+_slice!$H$8&lt;=2+0.000000001,TRUE())),_slice!U74,"外")</f>
        <v>50.5230596590909</v>
      </c>
      <c r="V16" s="50" t="n">
        <f aca="false">IF(AND(_slice!$H$5=1,V$14&gt;=_slice!$H$6-0.000000001,V$14&lt;=_slice!$I$6+0.000000001,$B16&gt;=_slice!$H$7-0.000000001,$B16&lt;=_slice!$I$7+0.000000001,IF(01_因子設定!$B$20="Box-Behnken",V$14^2+$B16^2+_slice!$H$8&lt;=2+0.000000001,TRUE())),_slice!V74,"外")</f>
        <v>50.4770482954546</v>
      </c>
      <c r="W16" s="50" t="n">
        <f aca="false">IF(AND(_slice!$H$5=1,W$14&gt;=_slice!$H$6-0.000000001,W$14&lt;=_slice!$I$6+0.000000001,$B16&gt;=_slice!$H$7-0.000000001,$B16&lt;=_slice!$I$7+0.000000001,IF(01_因子設定!$B$20="Box-Behnken",W$14^2+$B16^2+_slice!$H$8&lt;=2+0.000000001,TRUE())),_slice!W74,"外")</f>
        <v>50.3814914772727</v>
      </c>
    </row>
    <row r="17" customFormat="false" ht="15" hidden="false" customHeight="false" outlineLevel="0" collapsed="false">
      <c r="A17" s="49" t="n">
        <f aca="false">INDEX(01_因子設定!$G$5:$G$7,$C$5)+B17*INDEX(01_因子設定!$H$5:$H$7,$C$5)</f>
        <v>39</v>
      </c>
      <c r="B17" s="49" t="n">
        <v>0.9</v>
      </c>
      <c r="C17" s="50" t="n">
        <f aca="false">IF(AND(_slice!$H$5=1,C$14&gt;=_slice!$H$6-0.000000001,C$14&lt;=_slice!$I$6+0.000000001,$B17&gt;=_slice!$H$7-0.000000001,$B17&lt;=_slice!$I$7+0.000000001,IF(01_因子設定!$B$20="Box-Behnken",C$14^2+$B17^2+_slice!$H$8&lt;=2+0.000000001,TRUE())),_slice!C75,"外")</f>
        <v>43.1515482954545</v>
      </c>
      <c r="D17" s="50" t="n">
        <f aca="false">IF(AND(_slice!$H$5=1,D$14&gt;=_slice!$H$6-0.000000001,D$14&lt;=_slice!$I$6+0.000000001,$B17&gt;=_slice!$H$7-0.000000001,$B17&lt;=_slice!$I$7+0.000000001,IF(01_因子設定!$B$20="Box-Behnken",D$14^2+$B17^2+_slice!$H$8&lt;=2+0.000000001,TRUE())),_slice!D75,"外")</f>
        <v>43.9851051136364</v>
      </c>
      <c r="E17" s="50" t="n">
        <f aca="false">IF(AND(_slice!$H$5=1,E$14&gt;=_slice!$H$6-0.000000001,E$14&lt;=_slice!$I$6+0.000000001,$B17&gt;=_slice!$H$7-0.000000001,$B17&lt;=_slice!$I$7+0.000000001,IF(01_因子設定!$B$20="Box-Behnken",E$14^2+$B17^2+_slice!$H$8&lt;=2+0.000000001,TRUE())),_slice!E75,"外")</f>
        <v>44.7691164772727</v>
      </c>
      <c r="F17" s="50" t="n">
        <f aca="false">IF(AND(_slice!$H$5=1,F$14&gt;=_slice!$H$6-0.000000001,F$14&lt;=_slice!$I$6+0.000000001,$B17&gt;=_slice!$H$7-0.000000001,$B17&lt;=_slice!$I$7+0.000000001,IF(01_因子設定!$B$20="Box-Behnken",F$14^2+$B17^2+_slice!$H$8&lt;=2+0.000000001,TRUE())),_slice!F75,"外")</f>
        <v>45.5035823863637</v>
      </c>
      <c r="G17" s="50" t="n">
        <f aca="false">IF(AND(_slice!$H$5=1,G$14&gt;=_slice!$H$6-0.000000001,G$14&lt;=_slice!$I$6+0.000000001,$B17&gt;=_slice!$H$7-0.000000001,$B17&lt;=_slice!$I$7+0.000000001,IF(01_因子設定!$B$20="Box-Behnken",G$14^2+$B17^2+_slice!$H$8&lt;=2+0.000000001,TRUE())),_slice!G75,"外")</f>
        <v>46.1885028409091</v>
      </c>
      <c r="H17" s="50" t="n">
        <f aca="false">IF(AND(_slice!$H$5=1,H$14&gt;=_slice!$H$6-0.000000001,H$14&lt;=_slice!$I$6+0.000000001,$B17&gt;=_slice!$H$7-0.000000001,$B17&lt;=_slice!$I$7+0.000000001,IF(01_因子設定!$B$20="Box-Behnken",H$14^2+$B17^2+_slice!$H$8&lt;=2+0.000000001,TRUE())),_slice!H75,"外")</f>
        <v>46.8238778409091</v>
      </c>
      <c r="I17" s="50" t="n">
        <f aca="false">IF(AND(_slice!$H$5=1,I$14&gt;=_slice!$H$6-0.000000001,I$14&lt;=_slice!$I$6+0.000000001,$B17&gt;=_slice!$H$7-0.000000001,$B17&lt;=_slice!$I$7+0.000000001,IF(01_因子設定!$B$20="Box-Behnken",I$14^2+$B17^2+_slice!$H$8&lt;=2+0.000000001,TRUE())),_slice!I75,"外")</f>
        <v>47.4097073863637</v>
      </c>
      <c r="J17" s="50" t="n">
        <f aca="false">IF(AND(_slice!$H$5=1,J$14&gt;=_slice!$H$6-0.000000001,J$14&lt;=_slice!$I$6+0.000000001,$B17&gt;=_slice!$H$7-0.000000001,$B17&lt;=_slice!$I$7+0.000000001,IF(01_因子設定!$B$20="Box-Behnken",J$14^2+$B17^2+_slice!$H$8&lt;=2+0.000000001,TRUE())),_slice!J75,"外")</f>
        <v>47.9459914772727</v>
      </c>
      <c r="K17" s="50" t="n">
        <f aca="false">IF(AND(_slice!$H$5=1,K$14&gt;=_slice!$H$6-0.000000001,K$14&lt;=_slice!$I$6+0.000000001,$B17&gt;=_slice!$H$7-0.000000001,$B17&lt;=_slice!$I$7+0.000000001,IF(01_因子設定!$B$20="Box-Behnken",K$14^2+$B17^2+_slice!$H$8&lt;=2+0.000000001,TRUE())),_slice!K75,"外")</f>
        <v>48.4327301136364</v>
      </c>
      <c r="L17" s="50" t="n">
        <f aca="false">IF(AND(_slice!$H$5=1,L$14&gt;=_slice!$H$6-0.000000001,L$14&lt;=_slice!$I$6+0.000000001,$B17&gt;=_slice!$H$7-0.000000001,$B17&lt;=_slice!$I$7+0.000000001,IF(01_因子設定!$B$20="Box-Behnken",L$14^2+$B17^2+_slice!$H$8&lt;=2+0.000000001,TRUE())),_slice!L75,"外")</f>
        <v>48.8699232954546</v>
      </c>
      <c r="M17" s="50" t="n">
        <f aca="false">IF(AND(_slice!$H$5=1,M$14&gt;=_slice!$H$6-0.000000001,M$14&lt;=_slice!$I$6+0.000000001,$B17&gt;=_slice!$H$7-0.000000001,$B17&lt;=_slice!$I$7+0.000000001,IF(01_因子設定!$B$20="Box-Behnken",M$14^2+$B17^2+_slice!$H$8&lt;=2+0.000000001,TRUE())),_slice!M75,"外")</f>
        <v>49.2575710227273</v>
      </c>
      <c r="N17" s="50" t="n">
        <f aca="false">IF(AND(_slice!$H$5=1,N$14&gt;=_slice!$H$6-0.000000001,N$14&lt;=_slice!$I$6+0.000000001,$B17&gt;=_slice!$H$7-0.000000001,$B17&lt;=_slice!$I$7+0.000000001,IF(01_因子設定!$B$20="Box-Behnken",N$14^2+$B17^2+_slice!$H$8&lt;=2+0.000000001,TRUE())),_slice!N75,"外")</f>
        <v>49.5956732954546</v>
      </c>
      <c r="O17" s="50" t="n">
        <f aca="false">IF(AND(_slice!$H$5=1,O$14&gt;=_slice!$H$6-0.000000001,O$14&lt;=_slice!$I$6+0.000000001,$B17&gt;=_slice!$H$7-0.000000001,$B17&lt;=_slice!$I$7+0.000000001,IF(01_因子設定!$B$20="Box-Behnken",O$14^2+$B17^2+_slice!$H$8&lt;=2+0.000000001,TRUE())),_slice!O75,"外")</f>
        <v>49.8842301136364</v>
      </c>
      <c r="P17" s="50" t="n">
        <f aca="false">IF(AND(_slice!$H$5=1,P$14&gt;=_slice!$H$6-0.000000001,P$14&lt;=_slice!$I$6+0.000000001,$B17&gt;=_slice!$H$7-0.000000001,$B17&lt;=_slice!$I$7+0.000000001,IF(01_因子設定!$B$20="Box-Behnken",P$14^2+$B17^2+_slice!$H$8&lt;=2+0.000000001,TRUE())),_slice!P75,"外")</f>
        <v>50.1232414772727</v>
      </c>
      <c r="Q17" s="50" t="n">
        <f aca="false">IF(AND(_slice!$H$5=1,Q$14&gt;=_slice!$H$6-0.000000001,Q$14&lt;=_slice!$I$6+0.000000001,$B17&gt;=_slice!$H$7-0.000000001,$B17&lt;=_slice!$I$7+0.000000001,IF(01_因子設定!$B$20="Box-Behnken",Q$14^2+$B17^2+_slice!$H$8&lt;=2+0.000000001,TRUE())),_slice!Q75,"外")</f>
        <v>50.3127073863637</v>
      </c>
      <c r="R17" s="50" t="n">
        <f aca="false">IF(AND(_slice!$H$5=1,R$14&gt;=_slice!$H$6-0.000000001,R$14&lt;=_slice!$I$6+0.000000001,$B17&gt;=_slice!$H$7-0.000000001,$B17&lt;=_slice!$I$7+0.000000001,IF(01_因子設定!$B$20="Box-Behnken",R$14^2+$B17^2+_slice!$H$8&lt;=2+0.000000001,TRUE())),_slice!R75,"外")</f>
        <v>50.4526278409091</v>
      </c>
      <c r="S17" s="50" t="n">
        <f aca="false">IF(AND(_slice!$H$5=1,S$14&gt;=_slice!$H$6-0.000000001,S$14&lt;=_slice!$I$6+0.000000001,$B17&gt;=_slice!$H$7-0.000000001,$B17&lt;=_slice!$I$7+0.000000001,IF(01_因子設定!$B$20="Box-Behnken",S$14^2+$B17^2+_slice!$H$8&lt;=2+0.000000001,TRUE())),_slice!S75,"外")</f>
        <v>50.5430028409091</v>
      </c>
      <c r="T17" s="50" t="n">
        <f aca="false">IF(AND(_slice!$H$5=1,T$14&gt;=_slice!$H$6-0.000000001,T$14&lt;=_slice!$I$6+0.000000001,$B17&gt;=_slice!$H$7-0.000000001,$B17&lt;=_slice!$I$7+0.000000001,IF(01_因子設定!$B$20="Box-Behnken",T$14^2+$B17^2+_slice!$H$8&lt;=2+0.000000001,TRUE())),_slice!T75,"外")</f>
        <v>50.5838323863636</v>
      </c>
      <c r="U17" s="50" t="n">
        <f aca="false">IF(AND(_slice!$H$5=1,U$14&gt;=_slice!$H$6-0.000000001,U$14&lt;=_slice!$I$6+0.000000001,$B17&gt;=_slice!$H$7-0.000000001,$B17&lt;=_slice!$I$7+0.000000001,IF(01_因子設定!$B$20="Box-Behnken",U$14^2+$B17^2+_slice!$H$8&lt;=2+0.000000001,TRUE())),_slice!U75,"外")</f>
        <v>50.5751164772727</v>
      </c>
      <c r="V17" s="50" t="n">
        <f aca="false">IF(AND(_slice!$H$5=1,V$14&gt;=_slice!$H$6-0.000000001,V$14&lt;=_slice!$I$6+0.000000001,$B17&gt;=_slice!$H$7-0.000000001,$B17&lt;=_slice!$I$7+0.000000001,IF(01_因子設定!$B$20="Box-Behnken",V$14^2+$B17^2+_slice!$H$8&lt;=2+0.000000001,TRUE())),_slice!V75,"外")</f>
        <v>50.5168551136364</v>
      </c>
      <c r="W17" s="50" t="n">
        <f aca="false">IF(AND(_slice!$H$5=1,W$14&gt;=_slice!$H$6-0.000000001,W$14&lt;=_slice!$I$6+0.000000001,$B17&gt;=_slice!$H$7-0.000000001,$B17&lt;=_slice!$I$7+0.000000001,IF(01_因子設定!$B$20="Box-Behnken",W$14^2+$B17^2+_slice!$H$8&lt;=2+0.000000001,TRUE())),_slice!W75,"外")</f>
        <v>50.4090482954546</v>
      </c>
    </row>
    <row r="18" customFormat="false" ht="15" hidden="false" customHeight="false" outlineLevel="0" collapsed="false">
      <c r="A18" s="49" t="n">
        <f aca="false">INDEX(01_因子設定!$G$5:$G$7,$C$5)+B18*INDEX(01_因子設定!$H$5:$H$7,$C$5)</f>
        <v>38</v>
      </c>
      <c r="B18" s="49" t="n">
        <v>0.8</v>
      </c>
      <c r="C18" s="50" t="n">
        <f aca="false">IF(AND(_slice!$H$5=1,C$14&gt;=_slice!$H$6-0.000000001,C$14&lt;=_slice!$I$6+0.000000001,$B18&gt;=_slice!$H$7-0.000000001,$B18&lt;=_slice!$I$7+0.000000001,IF(01_因子設定!$B$20="Box-Behnken",C$14^2+$B18^2+_slice!$H$8&lt;=2+0.000000001,TRUE())),_slice!C76,"外")</f>
        <v>43.3835596590909</v>
      </c>
      <c r="D18" s="50" t="n">
        <f aca="false">IF(AND(_slice!$H$5=1,D$14&gt;=_slice!$H$6-0.000000001,D$14&lt;=_slice!$I$6+0.000000001,$B18&gt;=_slice!$H$7-0.000000001,$B18&lt;=_slice!$I$7+0.000000001,IF(01_因子設定!$B$20="Box-Behnken",D$14^2+$B18^2+_slice!$H$8&lt;=2+0.000000001,TRUE())),_slice!D76,"外")</f>
        <v>44.2048664772727</v>
      </c>
      <c r="E18" s="50" t="n">
        <f aca="false">IF(AND(_slice!$H$5=1,E$14&gt;=_slice!$H$6-0.000000001,E$14&lt;=_slice!$I$6+0.000000001,$B18&gt;=_slice!$H$7-0.000000001,$B18&lt;=_slice!$I$7+0.000000001,IF(01_因子設定!$B$20="Box-Behnken",E$14^2+$B18^2+_slice!$H$8&lt;=2+0.000000001,TRUE())),_slice!E76,"外")</f>
        <v>44.9766278409091</v>
      </c>
      <c r="F18" s="50" t="n">
        <f aca="false">IF(AND(_slice!$H$5=1,F$14&gt;=_slice!$H$6-0.000000001,F$14&lt;=_slice!$I$6+0.000000001,$B18&gt;=_slice!$H$7-0.000000001,$B18&lt;=_slice!$I$7+0.000000001,IF(01_因子設定!$B$20="Box-Behnken",F$14^2+$B18^2+_slice!$H$8&lt;=2+0.000000001,TRUE())),_slice!F76,"外")</f>
        <v>45.69884375</v>
      </c>
      <c r="G18" s="50" t="n">
        <f aca="false">IF(AND(_slice!$H$5=1,G$14&gt;=_slice!$H$6-0.000000001,G$14&lt;=_slice!$I$6+0.000000001,$B18&gt;=_slice!$H$7-0.000000001,$B18&lt;=_slice!$I$7+0.000000001,IF(01_因子設定!$B$20="Box-Behnken",G$14^2+$B18^2+_slice!$H$8&lt;=2+0.000000001,TRUE())),_slice!G76,"外")</f>
        <v>46.3715142045455</v>
      </c>
      <c r="H18" s="50" t="n">
        <f aca="false">IF(AND(_slice!$H$5=1,H$14&gt;=_slice!$H$6-0.000000001,H$14&lt;=_slice!$I$6+0.000000001,$B18&gt;=_slice!$H$7-0.000000001,$B18&lt;=_slice!$I$7+0.000000001,IF(01_因子設定!$B$20="Box-Behnken",H$14^2+$B18^2+_slice!$H$8&lt;=2+0.000000001,TRUE())),_slice!H76,"外")</f>
        <v>46.9946392045455</v>
      </c>
      <c r="I18" s="50" t="n">
        <f aca="false">IF(AND(_slice!$H$5=1,I$14&gt;=_slice!$H$6-0.000000001,I$14&lt;=_slice!$I$6+0.000000001,$B18&gt;=_slice!$H$7-0.000000001,$B18&lt;=_slice!$I$7+0.000000001,IF(01_因子設定!$B$20="Box-Behnken",I$14^2+$B18^2+_slice!$H$8&lt;=2+0.000000001,TRUE())),_slice!I76,"外")</f>
        <v>47.56821875</v>
      </c>
      <c r="J18" s="50" t="n">
        <f aca="false">IF(AND(_slice!$H$5=1,J$14&gt;=_slice!$H$6-0.000000001,J$14&lt;=_slice!$I$6+0.000000001,$B18&gt;=_slice!$H$7-0.000000001,$B18&lt;=_slice!$I$7+0.000000001,IF(01_因子設定!$B$20="Box-Behnken",J$14^2+$B18^2+_slice!$H$8&lt;=2+0.000000001,TRUE())),_slice!J76,"外")</f>
        <v>48.0922528409091</v>
      </c>
      <c r="K18" s="50" t="n">
        <f aca="false">IF(AND(_slice!$H$5=1,K$14&gt;=_slice!$H$6-0.000000001,K$14&lt;=_slice!$I$6+0.000000001,$B18&gt;=_slice!$H$7-0.000000001,$B18&lt;=_slice!$I$7+0.000000001,IF(01_因子設定!$B$20="Box-Behnken",K$14^2+$B18^2+_slice!$H$8&lt;=2+0.000000001,TRUE())),_slice!K76,"外")</f>
        <v>48.5667414772727</v>
      </c>
      <c r="L18" s="50" t="n">
        <f aca="false">IF(AND(_slice!$H$5=1,L$14&gt;=_slice!$H$6-0.000000001,L$14&lt;=_slice!$I$6+0.000000001,$B18&gt;=_slice!$H$7-0.000000001,$B18&lt;=_slice!$I$7+0.000000001,IF(01_因子設定!$B$20="Box-Behnken",L$14^2+$B18^2+_slice!$H$8&lt;=2+0.000000001,TRUE())),_slice!L76,"外")</f>
        <v>48.9916846590909</v>
      </c>
      <c r="M18" s="50" t="n">
        <f aca="false">IF(AND(_slice!$H$5=1,M$14&gt;=_slice!$H$6-0.000000001,M$14&lt;=_slice!$I$6+0.000000001,$B18&gt;=_slice!$H$7-0.000000001,$B18&lt;=_slice!$I$7+0.000000001,IF(01_因子設定!$B$20="Box-Behnken",M$14^2+$B18^2+_slice!$H$8&lt;=2+0.000000001,TRUE())),_slice!M76,"外")</f>
        <v>49.3670823863637</v>
      </c>
      <c r="N18" s="50" t="n">
        <f aca="false">IF(AND(_slice!$H$5=1,N$14&gt;=_slice!$H$6-0.000000001,N$14&lt;=_slice!$I$6+0.000000001,$B18&gt;=_slice!$H$7-0.000000001,$B18&lt;=_slice!$I$7+0.000000001,IF(01_因子設定!$B$20="Box-Behnken",N$14^2+$B18^2+_slice!$H$8&lt;=2+0.000000001,TRUE())),_slice!N76,"外")</f>
        <v>49.6929346590909</v>
      </c>
      <c r="O18" s="50" t="n">
        <f aca="false">IF(AND(_slice!$H$5=1,O$14&gt;=_slice!$H$6-0.000000001,O$14&lt;=_slice!$I$6+0.000000001,$B18&gt;=_slice!$H$7-0.000000001,$B18&lt;=_slice!$I$7+0.000000001,IF(01_因子設定!$B$20="Box-Behnken",O$14^2+$B18^2+_slice!$H$8&lt;=2+0.000000001,TRUE())),_slice!O76,"外")</f>
        <v>49.9692414772727</v>
      </c>
      <c r="P18" s="50" t="n">
        <f aca="false">IF(AND(_slice!$H$5=1,P$14&gt;=_slice!$H$6-0.000000001,P$14&lt;=_slice!$I$6+0.000000001,$B18&gt;=_slice!$H$7-0.000000001,$B18&lt;=_slice!$I$7+0.000000001,IF(01_因子設定!$B$20="Box-Behnken",P$14^2+$B18^2+_slice!$H$8&lt;=2+0.000000001,TRUE())),_slice!P76,"外")</f>
        <v>50.1960028409091</v>
      </c>
      <c r="Q18" s="50" t="n">
        <f aca="false">IF(AND(_slice!$H$5=1,Q$14&gt;=_slice!$H$6-0.000000001,Q$14&lt;=_slice!$I$6+0.000000001,$B18&gt;=_slice!$H$7-0.000000001,$B18&lt;=_slice!$I$7+0.000000001,IF(01_因子設定!$B$20="Box-Behnken",Q$14^2+$B18^2+_slice!$H$8&lt;=2+0.000000001,TRUE())),_slice!Q76,"外")</f>
        <v>50.37321875</v>
      </c>
      <c r="R18" s="50" t="n">
        <f aca="false">IF(AND(_slice!$H$5=1,R$14&gt;=_slice!$H$6-0.000000001,R$14&lt;=_slice!$I$6+0.000000001,$B18&gt;=_slice!$H$7-0.000000001,$B18&lt;=_slice!$I$7+0.000000001,IF(01_因子設定!$B$20="Box-Behnken",R$14^2+$B18^2+_slice!$H$8&lt;=2+0.000000001,TRUE())),_slice!R76,"外")</f>
        <v>50.5008892045455</v>
      </c>
      <c r="S18" s="50" t="n">
        <f aca="false">IF(AND(_slice!$H$5=1,S$14&gt;=_slice!$H$6-0.000000001,S$14&lt;=_slice!$I$6+0.000000001,$B18&gt;=_slice!$H$7-0.000000001,$B18&lt;=_slice!$I$7+0.000000001,IF(01_因子設定!$B$20="Box-Behnken",S$14^2+$B18^2+_slice!$H$8&lt;=2+0.000000001,TRUE())),_slice!S76,"外")</f>
        <v>50.5790142045455</v>
      </c>
      <c r="T18" s="50" t="n">
        <f aca="false">IF(AND(_slice!$H$5=1,T$14&gt;=_slice!$H$6-0.000000001,T$14&lt;=_slice!$I$6+0.000000001,$B18&gt;=_slice!$H$7-0.000000001,$B18&lt;=_slice!$I$7+0.000000001,IF(01_因子設定!$B$20="Box-Behnken",T$14^2+$B18^2+_slice!$H$8&lt;=2+0.000000001,TRUE())),_slice!T76,"外")</f>
        <v>50.60759375</v>
      </c>
      <c r="U18" s="50" t="n">
        <f aca="false">IF(AND(_slice!$H$5=1,U$14&gt;=_slice!$H$6-0.000000001,U$14&lt;=_slice!$I$6+0.000000001,$B18&gt;=_slice!$H$7-0.000000001,$B18&lt;=_slice!$I$7+0.000000001,IF(01_因子設定!$B$20="Box-Behnken",U$14^2+$B18^2+_slice!$H$8&lt;=2+0.000000001,TRUE())),_slice!U76,"外")</f>
        <v>50.5866278409091</v>
      </c>
      <c r="V18" s="50" t="n">
        <f aca="false">IF(AND(_slice!$H$5=1,V$14&gt;=_slice!$H$6-0.000000001,V$14&lt;=_slice!$I$6+0.000000001,$B18&gt;=_slice!$H$7-0.000000001,$B18&lt;=_slice!$I$7+0.000000001,IF(01_因子設定!$B$20="Box-Behnken",V$14^2+$B18^2+_slice!$H$8&lt;=2+0.000000001,TRUE())),_slice!V76,"外")</f>
        <v>50.5161164772727</v>
      </c>
      <c r="W18" s="50" t="n">
        <f aca="false">IF(AND(_slice!$H$5=1,W$14&gt;=_slice!$H$6-0.000000001,W$14&lt;=_slice!$I$6+0.000000001,$B18&gt;=_slice!$H$7-0.000000001,$B18&lt;=_slice!$I$7+0.000000001,IF(01_因子設定!$B$20="Box-Behnken",W$14^2+$B18^2+_slice!$H$8&lt;=2+0.000000001,TRUE())),_slice!W76,"外")</f>
        <v>50.3960596590909</v>
      </c>
    </row>
    <row r="19" customFormat="false" ht="15" hidden="false" customHeight="false" outlineLevel="0" collapsed="false">
      <c r="A19" s="49" t="n">
        <f aca="false">INDEX(01_因子設定!$G$5:$G$7,$C$5)+B19*INDEX(01_因子設定!$H$5:$H$7,$C$5)</f>
        <v>37</v>
      </c>
      <c r="B19" s="49" t="n">
        <v>0.7</v>
      </c>
      <c r="C19" s="50" t="n">
        <f aca="false">IF(AND(_slice!$H$5=1,C$14&gt;=_slice!$H$6-0.000000001,C$14&lt;=_slice!$I$6+0.000000001,$B19&gt;=_slice!$H$7-0.000000001,$B19&lt;=_slice!$I$7+0.000000001,IF(01_因子設定!$B$20="Box-Behnken",C$14^2+$B19^2+_slice!$H$8&lt;=2+0.000000001,TRUE())),_slice!C77,"外")</f>
        <v>43.5750255681818</v>
      </c>
      <c r="D19" s="50" t="n">
        <f aca="false">IF(AND(_slice!$H$5=1,D$14&gt;=_slice!$H$6-0.000000001,D$14&lt;=_slice!$I$6+0.000000001,$B19&gt;=_slice!$H$7-0.000000001,$B19&lt;=_slice!$I$7+0.000000001,IF(01_因子設定!$B$20="Box-Behnken",D$14^2+$B19^2+_slice!$H$8&lt;=2+0.000000001,TRUE())),_slice!D77,"外")</f>
        <v>44.3840823863636</v>
      </c>
      <c r="E19" s="50" t="n">
        <f aca="false">IF(AND(_slice!$H$5=1,E$14&gt;=_slice!$H$6-0.000000001,E$14&lt;=_slice!$I$6+0.000000001,$B19&gt;=_slice!$H$7-0.000000001,$B19&lt;=_slice!$I$7+0.000000001,IF(01_因子設定!$B$20="Box-Behnken",E$14^2+$B19^2+_slice!$H$8&lt;=2+0.000000001,TRUE())),_slice!E77,"外")</f>
        <v>45.14359375</v>
      </c>
      <c r="F19" s="50" t="n">
        <f aca="false">IF(AND(_slice!$H$5=1,F$14&gt;=_slice!$H$6-0.000000001,F$14&lt;=_slice!$I$6+0.000000001,$B19&gt;=_slice!$H$7-0.000000001,$B19&lt;=_slice!$I$7+0.000000001,IF(01_因子設定!$B$20="Box-Behnken",F$14^2+$B19^2+_slice!$H$8&lt;=2+0.000000001,TRUE())),_slice!F77,"外")</f>
        <v>45.8535596590909</v>
      </c>
      <c r="G19" s="50" t="n">
        <f aca="false">IF(AND(_slice!$H$5=1,G$14&gt;=_slice!$H$6-0.000000001,G$14&lt;=_slice!$I$6+0.000000001,$B19&gt;=_slice!$H$7-0.000000001,$B19&lt;=_slice!$I$7+0.000000001,IF(01_因子設定!$B$20="Box-Behnken",G$14^2+$B19^2+_slice!$H$8&lt;=2+0.000000001,TRUE())),_slice!G77,"外")</f>
        <v>46.5139801136364</v>
      </c>
      <c r="H19" s="50" t="n">
        <f aca="false">IF(AND(_slice!$H$5=1,H$14&gt;=_slice!$H$6-0.000000001,H$14&lt;=_slice!$I$6+0.000000001,$B19&gt;=_slice!$H$7-0.000000001,$B19&lt;=_slice!$I$7+0.000000001,IF(01_因子設定!$B$20="Box-Behnken",H$14^2+$B19^2+_slice!$H$8&lt;=2+0.000000001,TRUE())),_slice!H77,"外")</f>
        <v>47.1248551136364</v>
      </c>
      <c r="I19" s="50" t="n">
        <f aca="false">IF(AND(_slice!$H$5=1,I$14&gt;=_slice!$H$6-0.000000001,I$14&lt;=_slice!$I$6+0.000000001,$B19&gt;=_slice!$H$7-0.000000001,$B19&lt;=_slice!$I$7+0.000000001,IF(01_因子設定!$B$20="Box-Behnken",I$14^2+$B19^2+_slice!$H$8&lt;=2+0.000000001,TRUE())),_slice!I77,"外")</f>
        <v>47.6861846590909</v>
      </c>
      <c r="J19" s="50" t="n">
        <f aca="false">IF(AND(_slice!$H$5=1,J$14&gt;=_slice!$H$6-0.000000001,J$14&lt;=_slice!$I$6+0.000000001,$B19&gt;=_slice!$H$7-0.000000001,$B19&lt;=_slice!$I$7+0.000000001,IF(01_因子設定!$B$20="Box-Behnken",J$14^2+$B19^2+_slice!$H$8&lt;=2+0.000000001,TRUE())),_slice!J77,"外")</f>
        <v>48.19796875</v>
      </c>
      <c r="K19" s="50" t="n">
        <f aca="false">IF(AND(_slice!$H$5=1,K$14&gt;=_slice!$H$6-0.000000001,K$14&lt;=_slice!$I$6+0.000000001,$B19&gt;=_slice!$H$7-0.000000001,$B19&lt;=_slice!$I$7+0.000000001,IF(01_因子設定!$B$20="Box-Behnken",K$14^2+$B19^2+_slice!$H$8&lt;=2+0.000000001,TRUE())),_slice!K77,"外")</f>
        <v>48.6602073863636</v>
      </c>
      <c r="L19" s="50" t="n">
        <f aca="false">IF(AND(_slice!$H$5=1,L$14&gt;=_slice!$H$6-0.000000001,L$14&lt;=_slice!$I$6+0.000000001,$B19&gt;=_slice!$H$7-0.000000001,$B19&lt;=_slice!$I$7+0.000000001,IF(01_因子設定!$B$20="Box-Behnken",L$14^2+$B19^2+_slice!$H$8&lt;=2+0.000000001,TRUE())),_slice!L77,"外")</f>
        <v>49.0729005681818</v>
      </c>
      <c r="M19" s="50" t="n">
        <f aca="false">IF(AND(_slice!$H$5=1,M$14&gt;=_slice!$H$6-0.000000001,M$14&lt;=_slice!$I$6+0.000000001,$B19&gt;=_slice!$H$7-0.000000001,$B19&lt;=_slice!$I$7+0.000000001,IF(01_因子設定!$B$20="Box-Behnken",M$14^2+$B19^2+_slice!$H$8&lt;=2+0.000000001,TRUE())),_slice!M77,"外")</f>
        <v>49.4360482954546</v>
      </c>
      <c r="N19" s="50" t="n">
        <f aca="false">IF(AND(_slice!$H$5=1,N$14&gt;=_slice!$H$6-0.000000001,N$14&lt;=_slice!$I$6+0.000000001,$B19&gt;=_slice!$H$7-0.000000001,$B19&lt;=_slice!$I$7+0.000000001,IF(01_因子設定!$B$20="Box-Behnken",N$14^2+$B19^2+_slice!$H$8&lt;=2+0.000000001,TRUE())),_slice!N77,"外")</f>
        <v>49.7496505681818</v>
      </c>
      <c r="O19" s="50" t="n">
        <f aca="false">IF(AND(_slice!$H$5=1,O$14&gt;=_slice!$H$6-0.000000001,O$14&lt;=_slice!$I$6+0.000000001,$B19&gt;=_slice!$H$7-0.000000001,$B19&lt;=_slice!$I$7+0.000000001,IF(01_因子設定!$B$20="Box-Behnken",O$14^2+$B19^2+_slice!$H$8&lt;=2+0.000000001,TRUE())),_slice!O77,"外")</f>
        <v>50.0137073863637</v>
      </c>
      <c r="P19" s="50" t="n">
        <f aca="false">IF(AND(_slice!$H$5=1,P$14&gt;=_slice!$H$6-0.000000001,P$14&lt;=_slice!$I$6+0.000000001,$B19&gt;=_slice!$H$7-0.000000001,$B19&lt;=_slice!$I$7+0.000000001,IF(01_因子設定!$B$20="Box-Behnken",P$14^2+$B19^2+_slice!$H$8&lt;=2+0.000000001,TRUE())),_slice!P77,"外")</f>
        <v>50.22821875</v>
      </c>
      <c r="Q19" s="50" t="n">
        <f aca="false">IF(AND(_slice!$H$5=1,Q$14&gt;=_slice!$H$6-0.000000001,Q$14&lt;=_slice!$I$6+0.000000001,$B19&gt;=_slice!$H$7-0.000000001,$B19&lt;=_slice!$I$7+0.000000001,IF(01_因子設定!$B$20="Box-Behnken",Q$14^2+$B19^2+_slice!$H$8&lt;=2+0.000000001,TRUE())),_slice!Q77,"外")</f>
        <v>50.3931846590909</v>
      </c>
      <c r="R19" s="50" t="n">
        <f aca="false">IF(AND(_slice!$H$5=1,R$14&gt;=_slice!$H$6-0.000000001,R$14&lt;=_slice!$I$6+0.000000001,$B19&gt;=_slice!$H$7-0.000000001,$B19&lt;=_slice!$I$7+0.000000001,IF(01_因子設定!$B$20="Box-Behnken",R$14^2+$B19^2+_slice!$H$8&lt;=2+0.000000001,TRUE())),_slice!R77,"外")</f>
        <v>50.5086051136364</v>
      </c>
      <c r="S19" s="50" t="n">
        <f aca="false">IF(AND(_slice!$H$5=1,S$14&gt;=_slice!$H$6-0.000000001,S$14&lt;=_slice!$I$6+0.000000001,$B19&gt;=_slice!$H$7-0.000000001,$B19&lt;=_slice!$I$7+0.000000001,IF(01_因子設定!$B$20="Box-Behnken",S$14^2+$B19^2+_slice!$H$8&lt;=2+0.000000001,TRUE())),_slice!S77,"外")</f>
        <v>50.5744801136364</v>
      </c>
      <c r="T19" s="50" t="n">
        <f aca="false">IF(AND(_slice!$H$5=1,T$14&gt;=_slice!$H$6-0.000000001,T$14&lt;=_slice!$I$6+0.000000001,$B19&gt;=_slice!$H$7-0.000000001,$B19&lt;=_slice!$I$7+0.000000001,IF(01_因子設定!$B$20="Box-Behnken",T$14^2+$B19^2+_slice!$H$8&lt;=2+0.000000001,TRUE())),_slice!T77,"外")</f>
        <v>50.5908096590909</v>
      </c>
      <c r="U19" s="50" t="n">
        <f aca="false">IF(AND(_slice!$H$5=1,U$14&gt;=_slice!$H$6-0.000000001,U$14&lt;=_slice!$I$6+0.000000001,$B19&gt;=_slice!$H$7-0.000000001,$B19&lt;=_slice!$I$7+0.000000001,IF(01_因子設定!$B$20="Box-Behnken",U$14^2+$B19^2+_slice!$H$8&lt;=2+0.000000001,TRUE())),_slice!U77,"外")</f>
        <v>50.55759375</v>
      </c>
      <c r="V19" s="50" t="n">
        <f aca="false">IF(AND(_slice!$H$5=1,V$14&gt;=_slice!$H$6-0.000000001,V$14&lt;=_slice!$I$6+0.000000001,$B19&gt;=_slice!$H$7-0.000000001,$B19&lt;=_slice!$I$7+0.000000001,IF(01_因子設定!$B$20="Box-Behnken",V$14^2+$B19^2+_slice!$H$8&lt;=2+0.000000001,TRUE())),_slice!V77,"外")</f>
        <v>50.4748323863636</v>
      </c>
      <c r="W19" s="50" t="n">
        <f aca="false">IF(AND(_slice!$H$5=1,W$14&gt;=_slice!$H$6-0.000000001,W$14&lt;=_slice!$I$6+0.000000001,$B19&gt;=_slice!$H$7-0.000000001,$B19&lt;=_slice!$I$7+0.000000001,IF(01_因子設定!$B$20="Box-Behnken",W$14^2+$B19^2+_slice!$H$8&lt;=2+0.000000001,TRUE())),_slice!W77,"外")</f>
        <v>50.3425255681818</v>
      </c>
    </row>
    <row r="20" customFormat="false" ht="15" hidden="false" customHeight="false" outlineLevel="0" collapsed="false">
      <c r="A20" s="49" t="n">
        <f aca="false">INDEX(01_因子設定!$G$5:$G$7,$C$5)+B20*INDEX(01_因子設定!$H$5:$H$7,$C$5)</f>
        <v>36</v>
      </c>
      <c r="B20" s="49" t="n">
        <v>0.6</v>
      </c>
      <c r="C20" s="50" t="n">
        <f aca="false">IF(AND(_slice!$H$5=1,C$14&gt;=_slice!$H$6-0.000000001,C$14&lt;=_slice!$I$6+0.000000001,$B20&gt;=_slice!$H$7-0.000000001,$B20&lt;=_slice!$I$7+0.000000001,IF(01_因子設定!$B$20="Box-Behnken",C$14^2+$B20^2+_slice!$H$8&lt;=2+0.000000001,TRUE())),_slice!C78,"外")</f>
        <v>43.7259460227273</v>
      </c>
      <c r="D20" s="50" t="n">
        <f aca="false">IF(AND(_slice!$H$5=1,D$14&gt;=_slice!$H$6-0.000000001,D$14&lt;=_slice!$I$6+0.000000001,$B20&gt;=_slice!$H$7-0.000000001,$B20&lt;=_slice!$I$7+0.000000001,IF(01_因子設定!$B$20="Box-Behnken",D$14^2+$B20^2+_slice!$H$8&lt;=2+0.000000001,TRUE())),_slice!D78,"外")</f>
        <v>44.5227528409091</v>
      </c>
      <c r="E20" s="50" t="n">
        <f aca="false">IF(AND(_slice!$H$5=1,E$14&gt;=_slice!$H$6-0.000000001,E$14&lt;=_slice!$I$6+0.000000001,$B20&gt;=_slice!$H$7-0.000000001,$B20&lt;=_slice!$I$7+0.000000001,IF(01_因子設定!$B$20="Box-Behnken",E$14^2+$B20^2+_slice!$H$8&lt;=2+0.000000001,TRUE())),_slice!E78,"外")</f>
        <v>45.2700142045455</v>
      </c>
      <c r="F20" s="50" t="n">
        <f aca="false">IF(AND(_slice!$H$5=1,F$14&gt;=_slice!$H$6-0.000000001,F$14&lt;=_slice!$I$6+0.000000001,$B20&gt;=_slice!$H$7-0.000000001,$B20&lt;=_slice!$I$7+0.000000001,IF(01_因子設定!$B$20="Box-Behnken",F$14^2+$B20^2+_slice!$H$8&lt;=2+0.000000001,TRUE())),_slice!F78,"外")</f>
        <v>45.9677301136364</v>
      </c>
      <c r="G20" s="50" t="n">
        <f aca="false">IF(AND(_slice!$H$5=1,G$14&gt;=_slice!$H$6-0.000000001,G$14&lt;=_slice!$I$6+0.000000001,$B20&gt;=_slice!$H$7-0.000000001,$B20&lt;=_slice!$I$7+0.000000001,IF(01_因子設定!$B$20="Box-Behnken",G$14^2+$B20^2+_slice!$H$8&lt;=2+0.000000001,TRUE())),_slice!G78,"外")</f>
        <v>46.6159005681818</v>
      </c>
      <c r="H20" s="50" t="n">
        <f aca="false">IF(AND(_slice!$H$5=1,H$14&gt;=_slice!$H$6-0.000000001,H$14&lt;=_slice!$I$6+0.000000001,$B20&gt;=_slice!$H$7-0.000000001,$B20&lt;=_slice!$I$7+0.000000001,IF(01_因子設定!$B$20="Box-Behnken",H$14^2+$B20^2+_slice!$H$8&lt;=2+0.000000001,TRUE())),_slice!H78,"外")</f>
        <v>47.2145255681818</v>
      </c>
      <c r="I20" s="50" t="n">
        <f aca="false">IF(AND(_slice!$H$5=1,I$14&gt;=_slice!$H$6-0.000000001,I$14&lt;=_slice!$I$6+0.000000001,$B20&gt;=_slice!$H$7-0.000000001,$B20&lt;=_slice!$I$7+0.000000001,IF(01_因子設定!$B$20="Box-Behnken",I$14^2+$B20^2+_slice!$H$8&lt;=2+0.000000001,TRUE())),_slice!I78,"外")</f>
        <v>47.7636051136364</v>
      </c>
      <c r="J20" s="50" t="n">
        <f aca="false">IF(AND(_slice!$H$5=1,J$14&gt;=_slice!$H$6-0.000000001,J$14&lt;=_slice!$I$6+0.000000001,$B20&gt;=_slice!$H$7-0.000000001,$B20&lt;=_slice!$I$7+0.000000001,IF(01_因子設定!$B$20="Box-Behnken",J$14^2+$B20^2+_slice!$H$8&lt;=2+0.000000001,TRUE())),_slice!J78,"外")</f>
        <v>48.2631392045455</v>
      </c>
      <c r="K20" s="50" t="n">
        <f aca="false">IF(AND(_slice!$H$5=1,K$14&gt;=_slice!$H$6-0.000000001,K$14&lt;=_slice!$I$6+0.000000001,$B20&gt;=_slice!$H$7-0.000000001,$B20&lt;=_slice!$I$7+0.000000001,IF(01_因子設定!$B$20="Box-Behnken",K$14^2+$B20^2+_slice!$H$8&lt;=2+0.000000001,TRUE())),_slice!K78,"外")</f>
        <v>48.7131278409091</v>
      </c>
      <c r="L20" s="50" t="n">
        <f aca="false">IF(AND(_slice!$H$5=1,L$14&gt;=_slice!$H$6-0.000000001,L$14&lt;=_slice!$I$6+0.000000001,$B20&gt;=_slice!$H$7-0.000000001,$B20&lt;=_slice!$I$7+0.000000001,IF(01_因子設定!$B$20="Box-Behnken",L$14^2+$B20^2+_slice!$H$8&lt;=2+0.000000001,TRUE())),_slice!L78,"外")</f>
        <v>49.1135710227273</v>
      </c>
      <c r="M20" s="50" t="n">
        <f aca="false">IF(AND(_slice!$H$5=1,M$14&gt;=_slice!$H$6-0.000000001,M$14&lt;=_slice!$I$6+0.000000001,$B20&gt;=_slice!$H$7-0.000000001,$B20&lt;=_slice!$I$7+0.000000001,IF(01_因子設定!$B$20="Box-Behnken",M$14^2+$B20^2+_slice!$H$8&lt;=2+0.000000001,TRUE())),_slice!M78,"外")</f>
        <v>49.46446875</v>
      </c>
      <c r="N20" s="50" t="n">
        <f aca="false">IF(AND(_slice!$H$5=1,N$14&gt;=_slice!$H$6-0.000000001,N$14&lt;=_slice!$I$6+0.000000001,$B20&gt;=_slice!$H$7-0.000000001,$B20&lt;=_slice!$I$7+0.000000001,IF(01_因子設定!$B$20="Box-Behnken",N$14^2+$B20^2+_slice!$H$8&lt;=2+0.000000001,TRUE())),_slice!N78,"外")</f>
        <v>49.7658210227273</v>
      </c>
      <c r="O20" s="50" t="n">
        <f aca="false">IF(AND(_slice!$H$5=1,O$14&gt;=_slice!$H$6-0.000000001,O$14&lt;=_slice!$I$6+0.000000001,$B20&gt;=_slice!$H$7-0.000000001,$B20&lt;=_slice!$I$7+0.000000001,IF(01_因子設定!$B$20="Box-Behnken",O$14^2+$B20^2+_slice!$H$8&lt;=2+0.000000001,TRUE())),_slice!O78,"外")</f>
        <v>50.0176278409091</v>
      </c>
      <c r="P20" s="50" t="n">
        <f aca="false">IF(AND(_slice!$H$5=1,P$14&gt;=_slice!$H$6-0.000000001,P$14&lt;=_slice!$I$6+0.000000001,$B20&gt;=_slice!$H$7-0.000000001,$B20&lt;=_slice!$I$7+0.000000001,IF(01_因子設定!$B$20="Box-Behnken",P$14^2+$B20^2+_slice!$H$8&lt;=2+0.000000001,TRUE())),_slice!P78,"外")</f>
        <v>50.2198892045455</v>
      </c>
      <c r="Q20" s="50" t="n">
        <f aca="false">IF(AND(_slice!$H$5=1,Q$14&gt;=_slice!$H$6-0.000000001,Q$14&lt;=_slice!$I$6+0.000000001,$B20&gt;=_slice!$H$7-0.000000001,$B20&lt;=_slice!$I$7+0.000000001,IF(01_因子設定!$B$20="Box-Behnken",Q$14^2+$B20^2+_slice!$H$8&lt;=2+0.000000001,TRUE())),_slice!Q78,"外")</f>
        <v>50.3726051136364</v>
      </c>
      <c r="R20" s="50" t="n">
        <f aca="false">IF(AND(_slice!$H$5=1,R$14&gt;=_slice!$H$6-0.000000001,R$14&lt;=_slice!$I$6+0.000000001,$B20&gt;=_slice!$H$7-0.000000001,$B20&lt;=_slice!$I$7+0.000000001,IF(01_因子設定!$B$20="Box-Behnken",R$14^2+$B20^2+_slice!$H$8&lt;=2+0.000000001,TRUE())),_slice!R78,"外")</f>
        <v>50.4757755681818</v>
      </c>
      <c r="S20" s="50" t="n">
        <f aca="false">IF(AND(_slice!$H$5=1,S$14&gt;=_slice!$H$6-0.000000001,S$14&lt;=_slice!$I$6+0.000000001,$B20&gt;=_slice!$H$7-0.000000001,$B20&lt;=_slice!$I$7+0.000000001,IF(01_因子設定!$B$20="Box-Behnken",S$14^2+$B20^2+_slice!$H$8&lt;=2+0.000000001,TRUE())),_slice!S78,"外")</f>
        <v>50.5294005681818</v>
      </c>
      <c r="T20" s="50" t="n">
        <f aca="false">IF(AND(_slice!$H$5=1,T$14&gt;=_slice!$H$6-0.000000001,T$14&lt;=_slice!$I$6+0.000000001,$B20&gt;=_slice!$H$7-0.000000001,$B20&lt;=_slice!$I$7+0.000000001,IF(01_因子設定!$B$20="Box-Behnken",T$14^2+$B20^2+_slice!$H$8&lt;=2+0.000000001,TRUE())),_slice!T78,"外")</f>
        <v>50.5334801136364</v>
      </c>
      <c r="U20" s="50" t="n">
        <f aca="false">IF(AND(_slice!$H$5=1,U$14&gt;=_slice!$H$6-0.000000001,U$14&lt;=_slice!$I$6+0.000000001,$B20&gt;=_slice!$H$7-0.000000001,$B20&lt;=_slice!$I$7+0.000000001,IF(01_因子設定!$B$20="Box-Behnken",U$14^2+$B20^2+_slice!$H$8&lt;=2+0.000000001,TRUE())),_slice!U78,"外")</f>
        <v>50.4880142045455</v>
      </c>
      <c r="V20" s="50" t="n">
        <f aca="false">IF(AND(_slice!$H$5=1,V$14&gt;=_slice!$H$6-0.000000001,V$14&lt;=_slice!$I$6+0.000000001,$B20&gt;=_slice!$H$7-0.000000001,$B20&lt;=_slice!$I$7+0.000000001,IF(01_因子設定!$B$20="Box-Behnken",V$14^2+$B20^2+_slice!$H$8&lt;=2+0.000000001,TRUE())),_slice!V78,"外")</f>
        <v>50.3930028409091</v>
      </c>
      <c r="W20" s="50" t="n">
        <f aca="false">IF(AND(_slice!$H$5=1,W$14&gt;=_slice!$H$6-0.000000001,W$14&lt;=_slice!$I$6+0.000000001,$B20&gt;=_slice!$H$7-0.000000001,$B20&lt;=_slice!$I$7+0.000000001,IF(01_因子設定!$B$20="Box-Behnken",W$14^2+$B20^2+_slice!$H$8&lt;=2+0.000000001,TRUE())),_slice!W78,"外")</f>
        <v>50.2484460227273</v>
      </c>
    </row>
    <row r="21" customFormat="false" ht="15" hidden="false" customHeight="false" outlineLevel="0" collapsed="false">
      <c r="A21" s="49" t="n">
        <f aca="false">INDEX(01_因子設定!$G$5:$G$7,$C$5)+B21*INDEX(01_因子設定!$H$5:$H$7,$C$5)</f>
        <v>35</v>
      </c>
      <c r="B21" s="49" t="n">
        <v>0.5</v>
      </c>
      <c r="C21" s="50" t="n">
        <f aca="false">IF(AND(_slice!$H$5=1,C$14&gt;=_slice!$H$6-0.000000001,C$14&lt;=_slice!$I$6+0.000000001,$B21&gt;=_slice!$H$7-0.000000001,$B21&lt;=_slice!$I$7+0.000000001,IF(01_因子設定!$B$20="Box-Behnken",C$14^2+$B21^2+_slice!$H$8&lt;=2+0.000000001,TRUE())),_slice!C79,"外")</f>
        <v>43.8363210227273</v>
      </c>
      <c r="D21" s="50" t="n">
        <f aca="false">IF(AND(_slice!$H$5=1,D$14&gt;=_slice!$H$6-0.000000001,D$14&lt;=_slice!$I$6+0.000000001,$B21&gt;=_slice!$H$7-0.000000001,$B21&lt;=_slice!$I$7+0.000000001,IF(01_因子設定!$B$20="Box-Behnken",D$14^2+$B21^2+_slice!$H$8&lt;=2+0.000000001,TRUE())),_slice!D79,"外")</f>
        <v>44.6208778409091</v>
      </c>
      <c r="E21" s="50" t="n">
        <f aca="false">IF(AND(_slice!$H$5=1,E$14&gt;=_slice!$H$6-0.000000001,E$14&lt;=_slice!$I$6+0.000000001,$B21&gt;=_slice!$H$7-0.000000001,$B21&lt;=_slice!$I$7+0.000000001,IF(01_因子設定!$B$20="Box-Behnken",E$14^2+$B21^2+_slice!$H$8&lt;=2+0.000000001,TRUE())),_slice!E79,"外")</f>
        <v>45.3558892045455</v>
      </c>
      <c r="F21" s="50" t="n">
        <f aca="false">IF(AND(_slice!$H$5=1,F$14&gt;=_slice!$H$6-0.000000001,F$14&lt;=_slice!$I$6+0.000000001,$B21&gt;=_slice!$H$7-0.000000001,$B21&lt;=_slice!$I$7+0.000000001,IF(01_因子設定!$B$20="Box-Behnken",F$14^2+$B21^2+_slice!$H$8&lt;=2+0.000000001,TRUE())),_slice!F79,"外")</f>
        <v>46.0413551136364</v>
      </c>
      <c r="G21" s="50" t="n">
        <f aca="false">IF(AND(_slice!$H$5=1,G$14&gt;=_slice!$H$6-0.000000001,G$14&lt;=_slice!$I$6+0.000000001,$B21&gt;=_slice!$H$7-0.000000001,$B21&lt;=_slice!$I$7+0.000000001,IF(01_因子設定!$B$20="Box-Behnken",G$14^2+$B21^2+_slice!$H$8&lt;=2+0.000000001,TRUE())),_slice!G79,"外")</f>
        <v>46.6772755681818</v>
      </c>
      <c r="H21" s="50" t="n">
        <f aca="false">IF(AND(_slice!$H$5=1,H$14&gt;=_slice!$H$6-0.000000001,H$14&lt;=_slice!$I$6+0.000000001,$B21&gt;=_slice!$H$7-0.000000001,$B21&lt;=_slice!$I$7+0.000000001,IF(01_因子設定!$B$20="Box-Behnken",H$14^2+$B21^2+_slice!$H$8&lt;=2+0.000000001,TRUE())),_slice!H79,"外")</f>
        <v>47.2636505681818</v>
      </c>
      <c r="I21" s="50" t="n">
        <f aca="false">IF(AND(_slice!$H$5=1,I$14&gt;=_slice!$H$6-0.000000001,I$14&lt;=_slice!$I$6+0.000000001,$B21&gt;=_slice!$H$7-0.000000001,$B21&lt;=_slice!$I$7+0.000000001,IF(01_因子設定!$B$20="Box-Behnken",I$14^2+$B21^2+_slice!$H$8&lt;=2+0.000000001,TRUE())),_slice!I79,"外")</f>
        <v>47.8004801136364</v>
      </c>
      <c r="J21" s="50" t="n">
        <f aca="false">IF(AND(_slice!$H$5=1,J$14&gt;=_slice!$H$6-0.000000001,J$14&lt;=_slice!$I$6+0.000000001,$B21&gt;=_slice!$H$7-0.000000001,$B21&lt;=_slice!$I$7+0.000000001,IF(01_因子設定!$B$20="Box-Behnken",J$14^2+$B21^2+_slice!$H$8&lt;=2+0.000000001,TRUE())),_slice!J79,"外")</f>
        <v>48.2877642045455</v>
      </c>
      <c r="K21" s="50" t="n">
        <f aca="false">IF(AND(_slice!$H$5=1,K$14&gt;=_slice!$H$6-0.000000001,K$14&lt;=_slice!$I$6+0.000000001,$B21&gt;=_slice!$H$7-0.000000001,$B21&lt;=_slice!$I$7+0.000000001,IF(01_因子設定!$B$20="Box-Behnken",K$14^2+$B21^2+_slice!$H$8&lt;=2+0.000000001,TRUE())),_slice!K79,"外")</f>
        <v>48.7255028409091</v>
      </c>
      <c r="L21" s="50" t="n">
        <f aca="false">IF(AND(_slice!$H$5=1,L$14&gt;=_slice!$H$6-0.000000001,L$14&lt;=_slice!$I$6+0.000000001,$B21&gt;=_slice!$H$7-0.000000001,$B21&lt;=_slice!$I$7+0.000000001,IF(01_因子設定!$B$20="Box-Behnken",L$14^2+$B21^2+_slice!$H$8&lt;=2+0.000000001,TRUE())),_slice!L79,"外")</f>
        <v>49.1136960227273</v>
      </c>
      <c r="M21" s="50" t="n">
        <f aca="false">IF(AND(_slice!$H$5=1,M$14&gt;=_slice!$H$6-0.000000001,M$14&lt;=_slice!$I$6+0.000000001,$B21&gt;=_slice!$H$7-0.000000001,$B21&lt;=_slice!$I$7+0.000000001,IF(01_因子設定!$B$20="Box-Behnken",M$14^2+$B21^2+_slice!$H$8&lt;=2+0.000000001,TRUE())),_slice!M79,"外")</f>
        <v>49.45234375</v>
      </c>
      <c r="N21" s="50" t="n">
        <f aca="false">IF(AND(_slice!$H$5=1,N$14&gt;=_slice!$H$6-0.000000001,N$14&lt;=_slice!$I$6+0.000000001,$B21&gt;=_slice!$H$7-0.000000001,$B21&lt;=_slice!$I$7+0.000000001,IF(01_因子設定!$B$20="Box-Behnken",N$14^2+$B21^2+_slice!$H$8&lt;=2+0.000000001,TRUE())),_slice!N79,"外")</f>
        <v>49.7414460227273</v>
      </c>
      <c r="O21" s="50" t="n">
        <f aca="false">IF(AND(_slice!$H$5=1,O$14&gt;=_slice!$H$6-0.000000001,O$14&lt;=_slice!$I$6+0.000000001,$B21&gt;=_slice!$H$7-0.000000001,$B21&lt;=_slice!$I$7+0.000000001,IF(01_因子設定!$B$20="Box-Behnken",O$14^2+$B21^2+_slice!$H$8&lt;=2+0.000000001,TRUE())),_slice!O79,"外")</f>
        <v>49.9810028409091</v>
      </c>
      <c r="P21" s="50" t="n">
        <f aca="false">IF(AND(_slice!$H$5=1,P$14&gt;=_slice!$H$6-0.000000001,P$14&lt;=_slice!$I$6+0.000000001,$B21&gt;=_slice!$H$7-0.000000001,$B21&lt;=_slice!$I$7+0.000000001,IF(01_因子設定!$B$20="Box-Behnken",P$14^2+$B21^2+_slice!$H$8&lt;=2+0.000000001,TRUE())),_slice!P79,"外")</f>
        <v>50.1710142045455</v>
      </c>
      <c r="Q21" s="50" t="n">
        <f aca="false">IF(AND(_slice!$H$5=1,Q$14&gt;=_slice!$H$6-0.000000001,Q$14&lt;=_slice!$I$6+0.000000001,$B21&gt;=_slice!$H$7-0.000000001,$B21&lt;=_slice!$I$7+0.000000001,IF(01_因子設定!$B$20="Box-Behnken",Q$14^2+$B21^2+_slice!$H$8&lt;=2+0.000000001,TRUE())),_slice!Q79,"外")</f>
        <v>50.3114801136364</v>
      </c>
      <c r="R21" s="50" t="n">
        <f aca="false">IF(AND(_slice!$H$5=1,R$14&gt;=_slice!$H$6-0.000000001,R$14&lt;=_slice!$I$6+0.000000001,$B21&gt;=_slice!$H$7-0.000000001,$B21&lt;=_slice!$I$7+0.000000001,IF(01_因子設定!$B$20="Box-Behnken",R$14^2+$B21^2+_slice!$H$8&lt;=2+0.000000001,TRUE())),_slice!R79,"外")</f>
        <v>50.4024005681818</v>
      </c>
      <c r="S21" s="50" t="n">
        <f aca="false">IF(AND(_slice!$H$5=1,S$14&gt;=_slice!$H$6-0.000000001,S$14&lt;=_slice!$I$6+0.000000001,$B21&gt;=_slice!$H$7-0.000000001,$B21&lt;=_slice!$I$7+0.000000001,IF(01_因子設定!$B$20="Box-Behnken",S$14^2+$B21^2+_slice!$H$8&lt;=2+0.000000001,TRUE())),_slice!S79,"外")</f>
        <v>50.4437755681818</v>
      </c>
      <c r="T21" s="50" t="n">
        <f aca="false">IF(AND(_slice!$H$5=1,T$14&gt;=_slice!$H$6-0.000000001,T$14&lt;=_slice!$I$6+0.000000001,$B21&gt;=_slice!$H$7-0.000000001,$B21&lt;=_slice!$I$7+0.000000001,IF(01_因子設定!$B$20="Box-Behnken",T$14^2+$B21^2+_slice!$H$8&lt;=2+0.000000001,TRUE())),_slice!T79,"外")</f>
        <v>50.4356051136364</v>
      </c>
      <c r="U21" s="50" t="n">
        <f aca="false">IF(AND(_slice!$H$5=1,U$14&gt;=_slice!$H$6-0.000000001,U$14&lt;=_slice!$I$6+0.000000001,$B21&gt;=_slice!$H$7-0.000000001,$B21&lt;=_slice!$I$7+0.000000001,IF(01_因子設定!$B$20="Box-Behnken",U$14^2+$B21^2+_slice!$H$8&lt;=2+0.000000001,TRUE())),_slice!U79,"外")</f>
        <v>50.3778892045455</v>
      </c>
      <c r="V21" s="50" t="n">
        <f aca="false">IF(AND(_slice!$H$5=1,V$14&gt;=_slice!$H$6-0.000000001,V$14&lt;=_slice!$I$6+0.000000001,$B21&gt;=_slice!$H$7-0.000000001,$B21&lt;=_slice!$I$7+0.000000001,IF(01_因子設定!$B$20="Box-Behnken",V$14^2+$B21^2+_slice!$H$8&lt;=2+0.000000001,TRUE())),_slice!V79,"外")</f>
        <v>50.2706278409091</v>
      </c>
      <c r="W21" s="50" t="n">
        <f aca="false">IF(AND(_slice!$H$5=1,W$14&gt;=_slice!$H$6-0.000000001,W$14&lt;=_slice!$I$6+0.000000001,$B21&gt;=_slice!$H$7-0.000000001,$B21&lt;=_slice!$I$7+0.000000001,IF(01_因子設定!$B$20="Box-Behnken",W$14^2+$B21^2+_slice!$H$8&lt;=2+0.000000001,TRUE())),_slice!W79,"外")</f>
        <v>50.1138210227273</v>
      </c>
    </row>
    <row r="22" customFormat="false" ht="15" hidden="false" customHeight="false" outlineLevel="0" collapsed="false">
      <c r="A22" s="49" t="n">
        <f aca="false">INDEX(01_因子設定!$G$5:$G$7,$C$5)+B22*INDEX(01_因子設定!$H$5:$H$7,$C$5)</f>
        <v>34</v>
      </c>
      <c r="B22" s="49" t="n">
        <v>0.4</v>
      </c>
      <c r="C22" s="50" t="n">
        <f aca="false">IF(AND(_slice!$H$5=1,C$14&gt;=_slice!$H$6-0.000000001,C$14&lt;=_slice!$I$6+0.000000001,$B22&gt;=_slice!$H$7-0.000000001,$B22&lt;=_slice!$I$7+0.000000001,IF(01_因子設定!$B$20="Box-Behnken",C$14^2+$B22^2+_slice!$H$8&lt;=2+0.000000001,TRUE())),_slice!C80,"外")</f>
        <v>43.9061505681818</v>
      </c>
      <c r="D22" s="50" t="n">
        <f aca="false">IF(AND(_slice!$H$5=1,D$14&gt;=_slice!$H$6-0.000000001,D$14&lt;=_slice!$I$6+0.000000001,$B22&gt;=_slice!$H$7-0.000000001,$B22&lt;=_slice!$I$7+0.000000001,IF(01_因子設定!$B$20="Box-Behnken",D$14^2+$B22^2+_slice!$H$8&lt;=2+0.000000001,TRUE())),_slice!D80,"外")</f>
        <v>44.6784573863636</v>
      </c>
      <c r="E22" s="50" t="n">
        <f aca="false">IF(AND(_slice!$H$5=1,E$14&gt;=_slice!$H$6-0.000000001,E$14&lt;=_slice!$I$6+0.000000001,$B22&gt;=_slice!$H$7-0.000000001,$B22&lt;=_slice!$I$7+0.000000001,IF(01_因子設定!$B$20="Box-Behnken",E$14^2+$B22^2+_slice!$H$8&lt;=2+0.000000001,TRUE())),_slice!E80,"外")</f>
        <v>45.40121875</v>
      </c>
      <c r="F22" s="50" t="n">
        <f aca="false">IF(AND(_slice!$H$5=1,F$14&gt;=_slice!$H$6-0.000000001,F$14&lt;=_slice!$I$6+0.000000001,$B22&gt;=_slice!$H$7-0.000000001,$B22&lt;=_slice!$I$7+0.000000001,IF(01_因子設定!$B$20="Box-Behnken",F$14^2+$B22^2+_slice!$H$8&lt;=2+0.000000001,TRUE())),_slice!F80,"外")</f>
        <v>46.0744346590909</v>
      </c>
      <c r="G22" s="50" t="n">
        <f aca="false">IF(AND(_slice!$H$5=1,G$14&gt;=_slice!$H$6-0.000000001,G$14&lt;=_slice!$I$6+0.000000001,$B22&gt;=_slice!$H$7-0.000000001,$B22&lt;=_slice!$I$7+0.000000001,IF(01_因子設定!$B$20="Box-Behnken",G$14^2+$B22^2+_slice!$H$8&lt;=2+0.000000001,TRUE())),_slice!G80,"外")</f>
        <v>46.6981051136364</v>
      </c>
      <c r="H22" s="50" t="n">
        <f aca="false">IF(AND(_slice!$H$5=1,H$14&gt;=_slice!$H$6-0.000000001,H$14&lt;=_slice!$I$6+0.000000001,$B22&gt;=_slice!$H$7-0.000000001,$B22&lt;=_slice!$I$7+0.000000001,IF(01_因子設定!$B$20="Box-Behnken",H$14^2+$B22^2+_slice!$H$8&lt;=2+0.000000001,TRUE())),_slice!H80,"外")</f>
        <v>47.2722301136364</v>
      </c>
      <c r="I22" s="50" t="n">
        <f aca="false">IF(AND(_slice!$H$5=1,I$14&gt;=_slice!$H$6-0.000000001,I$14&lt;=_slice!$I$6+0.000000001,$B22&gt;=_slice!$H$7-0.000000001,$B22&lt;=_slice!$I$7+0.000000001,IF(01_因子設定!$B$20="Box-Behnken",I$14^2+$B22^2+_slice!$H$8&lt;=2+0.000000001,TRUE())),_slice!I80,"外")</f>
        <v>47.7968096590909</v>
      </c>
      <c r="J22" s="50" t="n">
        <f aca="false">IF(AND(_slice!$H$5=1,J$14&gt;=_slice!$H$6-0.000000001,J$14&lt;=_slice!$I$6+0.000000001,$B22&gt;=_slice!$H$7-0.000000001,$B22&lt;=_slice!$I$7+0.000000001,IF(01_因子設定!$B$20="Box-Behnken",J$14^2+$B22^2+_slice!$H$8&lt;=2+0.000000001,TRUE())),_slice!J80,"外")</f>
        <v>48.27184375</v>
      </c>
      <c r="K22" s="50" t="n">
        <f aca="false">IF(AND(_slice!$H$5=1,K$14&gt;=_slice!$H$6-0.000000001,K$14&lt;=_slice!$I$6+0.000000001,$B22&gt;=_slice!$H$7-0.000000001,$B22&lt;=_slice!$I$7+0.000000001,IF(01_因子設定!$B$20="Box-Behnken",K$14^2+$B22^2+_slice!$H$8&lt;=2+0.000000001,TRUE())),_slice!K80,"外")</f>
        <v>48.6973323863637</v>
      </c>
      <c r="L22" s="50" t="n">
        <f aca="false">IF(AND(_slice!$H$5=1,L$14&gt;=_slice!$H$6-0.000000001,L$14&lt;=_slice!$I$6+0.000000001,$B22&gt;=_slice!$H$7-0.000000001,$B22&lt;=_slice!$I$7+0.000000001,IF(01_因子設定!$B$20="Box-Behnken",L$14^2+$B22^2+_slice!$H$8&lt;=2+0.000000001,TRUE())),_slice!L80,"外")</f>
        <v>49.0732755681818</v>
      </c>
      <c r="M22" s="50" t="n">
        <f aca="false">IF(AND(_slice!$H$5=1,M$14&gt;=_slice!$H$6-0.000000001,M$14&lt;=_slice!$I$6+0.000000001,$B22&gt;=_slice!$H$7-0.000000001,$B22&lt;=_slice!$I$7+0.000000001,IF(01_因子設定!$B$20="Box-Behnken",M$14^2+$B22^2+_slice!$H$8&lt;=2+0.000000001,TRUE())),_slice!M80,"外")</f>
        <v>49.3996732954546</v>
      </c>
      <c r="N22" s="50" t="n">
        <f aca="false">IF(AND(_slice!$H$5=1,N$14&gt;=_slice!$H$6-0.000000001,N$14&lt;=_slice!$I$6+0.000000001,$B22&gt;=_slice!$H$7-0.000000001,$B22&lt;=_slice!$I$7+0.000000001,IF(01_因子設定!$B$20="Box-Behnken",N$14^2+$B22^2+_slice!$H$8&lt;=2+0.000000001,TRUE())),_slice!N80,"外")</f>
        <v>49.6765255681818</v>
      </c>
      <c r="O22" s="50" t="n">
        <f aca="false">IF(AND(_slice!$H$5=1,O$14&gt;=_slice!$H$6-0.000000001,O$14&lt;=_slice!$I$6+0.000000001,$B22&gt;=_slice!$H$7-0.000000001,$B22&lt;=_slice!$I$7+0.000000001,IF(01_因子設定!$B$20="Box-Behnken",O$14^2+$B22^2+_slice!$H$8&lt;=2+0.000000001,TRUE())),_slice!O80,"外")</f>
        <v>49.9038323863637</v>
      </c>
      <c r="P22" s="50" t="n">
        <f aca="false">IF(AND(_slice!$H$5=1,P$14&gt;=_slice!$H$6-0.000000001,P$14&lt;=_slice!$I$6+0.000000001,$B22&gt;=_slice!$H$7-0.000000001,$B22&lt;=_slice!$I$7+0.000000001,IF(01_因子設定!$B$20="Box-Behnken",P$14^2+$B22^2+_slice!$H$8&lt;=2+0.000000001,TRUE())),_slice!P80,"外")</f>
        <v>50.08159375</v>
      </c>
      <c r="Q22" s="50" t="n">
        <f aca="false">IF(AND(_slice!$H$5=1,Q$14&gt;=_slice!$H$6-0.000000001,Q$14&lt;=_slice!$I$6+0.000000001,$B22&gt;=_slice!$H$7-0.000000001,$B22&lt;=_slice!$I$7+0.000000001,IF(01_因子設定!$B$20="Box-Behnken",Q$14^2+$B22^2+_slice!$H$8&lt;=2+0.000000001,TRUE())),_slice!Q80,"外")</f>
        <v>50.2098096590909</v>
      </c>
      <c r="R22" s="50" t="n">
        <f aca="false">IF(AND(_slice!$H$5=1,R$14&gt;=_slice!$H$6-0.000000001,R$14&lt;=_slice!$I$6+0.000000001,$B22&gt;=_slice!$H$7-0.000000001,$B22&lt;=_slice!$I$7+0.000000001,IF(01_因子設定!$B$20="Box-Behnken",R$14^2+$B22^2+_slice!$H$8&lt;=2+0.000000001,TRUE())),_slice!R80,"外")</f>
        <v>50.2884801136364</v>
      </c>
      <c r="S22" s="50" t="n">
        <f aca="false">IF(AND(_slice!$H$5=1,S$14&gt;=_slice!$H$6-0.000000001,S$14&lt;=_slice!$I$6+0.000000001,$B22&gt;=_slice!$H$7-0.000000001,$B22&lt;=_slice!$I$7+0.000000001,IF(01_因子設定!$B$20="Box-Behnken",S$14^2+$B22^2+_slice!$H$8&lt;=2+0.000000001,TRUE())),_slice!S80,"外")</f>
        <v>50.3176051136364</v>
      </c>
      <c r="T22" s="50" t="n">
        <f aca="false">IF(AND(_slice!$H$5=1,T$14&gt;=_slice!$H$6-0.000000001,T$14&lt;=_slice!$I$6+0.000000001,$B22&gt;=_slice!$H$7-0.000000001,$B22&lt;=_slice!$I$7+0.000000001,IF(01_因子設定!$B$20="Box-Behnken",T$14^2+$B22^2+_slice!$H$8&lt;=2+0.000000001,TRUE())),_slice!T80,"外")</f>
        <v>50.2971846590909</v>
      </c>
      <c r="U22" s="50" t="n">
        <f aca="false">IF(AND(_slice!$H$5=1,U$14&gt;=_slice!$H$6-0.000000001,U$14&lt;=_slice!$I$6+0.000000001,$B22&gt;=_slice!$H$7-0.000000001,$B22&lt;=_slice!$I$7+0.000000001,IF(01_因子設定!$B$20="Box-Behnken",U$14^2+$B22^2+_slice!$H$8&lt;=2+0.000000001,TRUE())),_slice!U80,"外")</f>
        <v>50.22721875</v>
      </c>
      <c r="V22" s="50" t="n">
        <f aca="false">IF(AND(_slice!$H$5=1,V$14&gt;=_slice!$H$6-0.000000001,V$14&lt;=_slice!$I$6+0.000000001,$B22&gt;=_slice!$H$7-0.000000001,$B22&lt;=_slice!$I$7+0.000000001,IF(01_因子設定!$B$20="Box-Behnken",V$14^2+$B22^2+_slice!$H$8&lt;=2+0.000000001,TRUE())),_slice!V80,"外")</f>
        <v>50.1077073863636</v>
      </c>
      <c r="W22" s="50" t="n">
        <f aca="false">IF(AND(_slice!$H$5=1,W$14&gt;=_slice!$H$6-0.000000001,W$14&lt;=_slice!$I$6+0.000000001,$B22&gt;=_slice!$H$7-0.000000001,$B22&lt;=_slice!$I$7+0.000000001,IF(01_因子設定!$B$20="Box-Behnken",W$14^2+$B22^2+_slice!$H$8&lt;=2+0.000000001,TRUE())),_slice!W80,"外")</f>
        <v>49.9386505681818</v>
      </c>
    </row>
    <row r="23" customFormat="false" ht="15" hidden="false" customHeight="false" outlineLevel="0" collapsed="false">
      <c r="A23" s="49" t="n">
        <f aca="false">INDEX(01_因子設定!$G$5:$G$7,$C$5)+B23*INDEX(01_因子設定!$H$5:$H$7,$C$5)</f>
        <v>33</v>
      </c>
      <c r="B23" s="49" t="n">
        <v>0.3</v>
      </c>
      <c r="C23" s="50" t="n">
        <f aca="false">IF(AND(_slice!$H$5=1,C$14&gt;=_slice!$H$6-0.000000001,C$14&lt;=_slice!$I$6+0.000000001,$B23&gt;=_slice!$H$7-0.000000001,$B23&lt;=_slice!$I$7+0.000000001,IF(01_因子設定!$B$20="Box-Behnken",C$14^2+$B23^2+_slice!$H$8&lt;=2+0.000000001,TRUE())),_slice!C81,"外")</f>
        <v>43.9354346590909</v>
      </c>
      <c r="D23" s="50" t="n">
        <f aca="false">IF(AND(_slice!$H$5=1,D$14&gt;=_slice!$H$6-0.000000001,D$14&lt;=_slice!$I$6+0.000000001,$B23&gt;=_slice!$H$7-0.000000001,$B23&lt;=_slice!$I$7+0.000000001,IF(01_因子設定!$B$20="Box-Behnken",D$14^2+$B23^2+_slice!$H$8&lt;=2+0.000000001,TRUE())),_slice!D81,"外")</f>
        <v>44.6954914772727</v>
      </c>
      <c r="E23" s="50" t="n">
        <f aca="false">IF(AND(_slice!$H$5=1,E$14&gt;=_slice!$H$6-0.000000001,E$14&lt;=_slice!$I$6+0.000000001,$B23&gt;=_slice!$H$7-0.000000001,$B23&lt;=_slice!$I$7+0.000000001,IF(01_因子設定!$B$20="Box-Behnken",E$14^2+$B23^2+_slice!$H$8&lt;=2+0.000000001,TRUE())),_slice!E81,"外")</f>
        <v>45.4060028409091</v>
      </c>
      <c r="F23" s="50" t="n">
        <f aca="false">IF(AND(_slice!$H$5=1,F$14&gt;=_slice!$H$6-0.000000001,F$14&lt;=_slice!$I$6+0.000000001,$B23&gt;=_slice!$H$7-0.000000001,$B23&lt;=_slice!$I$7+0.000000001,IF(01_因子設定!$B$20="Box-Behnken",F$14^2+$B23^2+_slice!$H$8&lt;=2+0.000000001,TRUE())),_slice!F81,"外")</f>
        <v>46.06696875</v>
      </c>
      <c r="G23" s="50" t="n">
        <f aca="false">IF(AND(_slice!$H$5=1,G$14&gt;=_slice!$H$6-0.000000001,G$14&lt;=_slice!$I$6+0.000000001,$B23&gt;=_slice!$H$7-0.000000001,$B23&lt;=_slice!$I$7+0.000000001,IF(01_因子設定!$B$20="Box-Behnken",G$14^2+$B23^2+_slice!$H$8&lt;=2+0.000000001,TRUE())),_slice!G81,"外")</f>
        <v>46.6783892045455</v>
      </c>
      <c r="H23" s="50" t="n">
        <f aca="false">IF(AND(_slice!$H$5=1,H$14&gt;=_slice!$H$6-0.000000001,H$14&lt;=_slice!$I$6+0.000000001,$B23&gt;=_slice!$H$7-0.000000001,$B23&lt;=_slice!$I$7+0.000000001,IF(01_因子設定!$B$20="Box-Behnken",H$14^2+$B23^2+_slice!$H$8&lt;=2+0.000000001,TRUE())),_slice!H81,"外")</f>
        <v>47.2402642045455</v>
      </c>
      <c r="I23" s="50" t="n">
        <f aca="false">IF(AND(_slice!$H$5=1,I$14&gt;=_slice!$H$6-0.000000001,I$14&lt;=_slice!$I$6+0.000000001,$B23&gt;=_slice!$H$7-0.000000001,$B23&lt;=_slice!$I$7+0.000000001,IF(01_因子設定!$B$20="Box-Behnken",I$14^2+$B23^2+_slice!$H$8&lt;=2+0.000000001,TRUE())),_slice!I81,"外")</f>
        <v>47.75259375</v>
      </c>
      <c r="J23" s="50" t="n">
        <f aca="false">IF(AND(_slice!$H$5=1,J$14&gt;=_slice!$H$6-0.000000001,J$14&lt;=_slice!$I$6+0.000000001,$B23&gt;=_slice!$H$7-0.000000001,$B23&lt;=_slice!$I$7+0.000000001,IF(01_因子設定!$B$20="Box-Behnken",J$14^2+$B23^2+_slice!$H$8&lt;=2+0.000000001,TRUE())),_slice!J81,"外")</f>
        <v>48.2153778409091</v>
      </c>
      <c r="K23" s="50" t="n">
        <f aca="false">IF(AND(_slice!$H$5=1,K$14&gt;=_slice!$H$6-0.000000001,K$14&lt;=_slice!$I$6+0.000000001,$B23&gt;=_slice!$H$7-0.000000001,$B23&lt;=_slice!$I$7+0.000000001,IF(01_因子設定!$B$20="Box-Behnken",K$14^2+$B23^2+_slice!$H$8&lt;=2+0.000000001,TRUE())),_slice!K81,"外")</f>
        <v>48.6286164772727</v>
      </c>
      <c r="L23" s="50" t="n">
        <f aca="false">IF(AND(_slice!$H$5=1,L$14&gt;=_slice!$H$6-0.000000001,L$14&lt;=_slice!$I$6+0.000000001,$B23&gt;=_slice!$H$7-0.000000001,$B23&lt;=_slice!$I$7+0.000000001,IF(01_因子設定!$B$20="Box-Behnken",L$14^2+$B23^2+_slice!$H$8&lt;=2+0.000000001,TRUE())),_slice!L81,"外")</f>
        <v>48.9923096590909</v>
      </c>
      <c r="M23" s="50" t="n">
        <f aca="false">IF(AND(_slice!$H$5=1,M$14&gt;=_slice!$H$6-0.000000001,M$14&lt;=_slice!$I$6+0.000000001,$B23&gt;=_slice!$H$7-0.000000001,$B23&lt;=_slice!$I$7+0.000000001,IF(01_因子設定!$B$20="Box-Behnken",M$14^2+$B23^2+_slice!$H$8&lt;=2+0.000000001,TRUE())),_slice!M81,"外")</f>
        <v>49.3064573863637</v>
      </c>
      <c r="N23" s="50" t="n">
        <f aca="false">IF(AND(_slice!$H$5=1,N$14&gt;=_slice!$H$6-0.000000001,N$14&lt;=_slice!$I$6+0.000000001,$B23&gt;=_slice!$H$7-0.000000001,$B23&lt;=_slice!$I$7+0.000000001,IF(01_因子設定!$B$20="Box-Behnken",N$14^2+$B23^2+_slice!$H$8&lt;=2+0.000000001,TRUE())),_slice!N81,"外")</f>
        <v>49.5710596590909</v>
      </c>
      <c r="O23" s="50" t="n">
        <f aca="false">IF(AND(_slice!$H$5=1,O$14&gt;=_slice!$H$6-0.000000001,O$14&lt;=_slice!$I$6+0.000000001,$B23&gt;=_slice!$H$7-0.000000001,$B23&lt;=_slice!$I$7+0.000000001,IF(01_因子設定!$B$20="Box-Behnken",O$14^2+$B23^2+_slice!$H$8&lt;=2+0.000000001,TRUE())),_slice!O81,"外")</f>
        <v>49.7861164772727</v>
      </c>
      <c r="P23" s="50" t="n">
        <f aca="false">IF(AND(_slice!$H$5=1,P$14&gt;=_slice!$H$6-0.000000001,P$14&lt;=_slice!$I$6+0.000000001,$B23&gt;=_slice!$H$7-0.000000001,$B23&lt;=_slice!$I$7+0.000000001,IF(01_因子設定!$B$20="Box-Behnken",P$14^2+$B23^2+_slice!$H$8&lt;=2+0.000000001,TRUE())),_slice!P81,"外")</f>
        <v>49.9516278409091</v>
      </c>
      <c r="Q23" s="50" t="n">
        <f aca="false">IF(AND(_slice!$H$5=1,Q$14&gt;=_slice!$H$6-0.000000001,Q$14&lt;=_slice!$I$6+0.000000001,$B23&gt;=_slice!$H$7-0.000000001,$B23&lt;=_slice!$I$7+0.000000001,IF(01_因子設定!$B$20="Box-Behnken",Q$14^2+$B23^2+_slice!$H$8&lt;=2+0.000000001,TRUE())),_slice!Q81,"外")</f>
        <v>50.06759375</v>
      </c>
      <c r="R23" s="50" t="n">
        <f aca="false">IF(AND(_slice!$H$5=1,R$14&gt;=_slice!$H$6-0.000000001,R$14&lt;=_slice!$I$6+0.000000001,$B23&gt;=_slice!$H$7-0.000000001,$B23&lt;=_slice!$I$7+0.000000001,IF(01_因子設定!$B$20="Box-Behnken",R$14^2+$B23^2+_slice!$H$8&lt;=2+0.000000001,TRUE())),_slice!R81,"外")</f>
        <v>50.1340142045455</v>
      </c>
      <c r="S23" s="50" t="n">
        <f aca="false">IF(AND(_slice!$H$5=1,S$14&gt;=_slice!$H$6-0.000000001,S$14&lt;=_slice!$I$6+0.000000001,$B23&gt;=_slice!$H$7-0.000000001,$B23&lt;=_slice!$I$7+0.000000001,IF(01_因子設定!$B$20="Box-Behnken",S$14^2+$B23^2+_slice!$H$8&lt;=2+0.000000001,TRUE())),_slice!S81,"外")</f>
        <v>50.1508892045455</v>
      </c>
      <c r="T23" s="50" t="n">
        <f aca="false">IF(AND(_slice!$H$5=1,T$14&gt;=_slice!$H$6-0.000000001,T$14&lt;=_slice!$I$6+0.000000001,$B23&gt;=_slice!$H$7-0.000000001,$B23&lt;=_slice!$I$7+0.000000001,IF(01_因子設定!$B$20="Box-Behnken",T$14^2+$B23^2+_slice!$H$8&lt;=2+0.000000001,TRUE())),_slice!T81,"外")</f>
        <v>50.11821875</v>
      </c>
      <c r="U23" s="50" t="n">
        <f aca="false">IF(AND(_slice!$H$5=1,U$14&gt;=_slice!$H$6-0.000000001,U$14&lt;=_slice!$I$6+0.000000001,$B23&gt;=_slice!$H$7-0.000000001,$B23&lt;=_slice!$I$7+0.000000001,IF(01_因子設定!$B$20="Box-Behnken",U$14^2+$B23^2+_slice!$H$8&lt;=2+0.000000001,TRUE())),_slice!U81,"外")</f>
        <v>50.0360028409091</v>
      </c>
      <c r="V23" s="50" t="n">
        <f aca="false">IF(AND(_slice!$H$5=1,V$14&gt;=_slice!$H$6-0.000000001,V$14&lt;=_slice!$I$6+0.000000001,$B23&gt;=_slice!$H$7-0.000000001,$B23&lt;=_slice!$I$7+0.000000001,IF(01_因子設定!$B$20="Box-Behnken",V$14^2+$B23^2+_slice!$H$8&lt;=2+0.000000001,TRUE())),_slice!V81,"外")</f>
        <v>49.9042414772727</v>
      </c>
      <c r="W23" s="50" t="n">
        <f aca="false">IF(AND(_slice!$H$5=1,W$14&gt;=_slice!$H$6-0.000000001,W$14&lt;=_slice!$I$6+0.000000001,$B23&gt;=_slice!$H$7-0.000000001,$B23&lt;=_slice!$I$7+0.000000001,IF(01_因子設定!$B$20="Box-Behnken",W$14^2+$B23^2+_slice!$H$8&lt;=2+0.000000001,TRUE())),_slice!W81,"外")</f>
        <v>49.7229346590909</v>
      </c>
    </row>
    <row r="24" customFormat="false" ht="15" hidden="false" customHeight="false" outlineLevel="0" collapsed="false">
      <c r="A24" s="49" t="n">
        <f aca="false">INDEX(01_因子設定!$G$5:$G$7,$C$5)+B24*INDEX(01_因子設定!$H$5:$H$7,$C$5)</f>
        <v>32</v>
      </c>
      <c r="B24" s="49" t="n">
        <v>0.2</v>
      </c>
      <c r="C24" s="50" t="n">
        <f aca="false">IF(AND(_slice!$H$5=1,C$14&gt;=_slice!$H$6-0.000000001,C$14&lt;=_slice!$I$6+0.000000001,$B24&gt;=_slice!$H$7-0.000000001,$B24&lt;=_slice!$I$7+0.000000001,IF(01_因子設定!$B$20="Box-Behnken",C$14^2+$B24^2+_slice!$H$8&lt;=2+0.000000001,TRUE())),_slice!C82,"外")</f>
        <v>43.9241732954545</v>
      </c>
      <c r="D24" s="50" t="n">
        <f aca="false">IF(AND(_slice!$H$5=1,D$14&gt;=_slice!$H$6-0.000000001,D$14&lt;=_slice!$I$6+0.000000001,$B24&gt;=_slice!$H$7-0.000000001,$B24&lt;=_slice!$I$7+0.000000001,IF(01_因子設定!$B$20="Box-Behnken",D$14^2+$B24^2+_slice!$H$8&lt;=2+0.000000001,TRUE())),_slice!D82,"外")</f>
        <v>44.6719801136364</v>
      </c>
      <c r="E24" s="50" t="n">
        <f aca="false">IF(AND(_slice!$H$5=1,E$14&gt;=_slice!$H$6-0.000000001,E$14&lt;=_slice!$I$6+0.000000001,$B24&gt;=_slice!$H$7-0.000000001,$B24&lt;=_slice!$I$7+0.000000001,IF(01_因子設定!$B$20="Box-Behnken",E$14^2+$B24^2+_slice!$H$8&lt;=2+0.000000001,TRUE())),_slice!E82,"外")</f>
        <v>45.3702414772727</v>
      </c>
      <c r="F24" s="50" t="n">
        <f aca="false">IF(AND(_slice!$H$5=1,F$14&gt;=_slice!$H$6-0.000000001,F$14&lt;=_slice!$I$6+0.000000001,$B24&gt;=_slice!$H$7-0.000000001,$B24&lt;=_slice!$I$7+0.000000001,IF(01_因子設定!$B$20="Box-Behnken",F$14^2+$B24^2+_slice!$H$8&lt;=2+0.000000001,TRUE())),_slice!F82,"外")</f>
        <v>46.0189573863636</v>
      </c>
      <c r="G24" s="50" t="n">
        <f aca="false">IF(AND(_slice!$H$5=1,G$14&gt;=_slice!$H$6-0.000000001,G$14&lt;=_slice!$I$6+0.000000001,$B24&gt;=_slice!$H$7-0.000000001,$B24&lt;=_slice!$I$7+0.000000001,IF(01_因子設定!$B$20="Box-Behnken",G$14^2+$B24^2+_slice!$H$8&lt;=2+0.000000001,TRUE())),_slice!G82,"外")</f>
        <v>46.6181278409091</v>
      </c>
      <c r="H24" s="50" t="n">
        <f aca="false">IF(AND(_slice!$H$5=1,H$14&gt;=_slice!$H$6-0.000000001,H$14&lt;=_slice!$I$6+0.000000001,$B24&gt;=_slice!$H$7-0.000000001,$B24&lt;=_slice!$I$7+0.000000001,IF(01_因子設定!$B$20="Box-Behnken",H$14^2+$B24^2+_slice!$H$8&lt;=2+0.000000001,TRUE())),_slice!H82,"外")</f>
        <v>47.1677528409091</v>
      </c>
      <c r="I24" s="50" t="n">
        <f aca="false">IF(AND(_slice!$H$5=1,I$14&gt;=_slice!$H$6-0.000000001,I$14&lt;=_slice!$I$6+0.000000001,$B24&gt;=_slice!$H$7-0.000000001,$B24&lt;=_slice!$I$7+0.000000001,IF(01_因子設定!$B$20="Box-Behnken",I$14^2+$B24^2+_slice!$H$8&lt;=2+0.000000001,TRUE())),_slice!I82,"外")</f>
        <v>47.6678323863637</v>
      </c>
      <c r="J24" s="50" t="n">
        <f aca="false">IF(AND(_slice!$H$5=1,J$14&gt;=_slice!$H$6-0.000000001,J$14&lt;=_slice!$I$6+0.000000001,$B24&gt;=_slice!$H$7-0.000000001,$B24&lt;=_slice!$I$7+0.000000001,IF(01_因子設定!$B$20="Box-Behnken",J$14^2+$B24^2+_slice!$H$8&lt;=2+0.000000001,TRUE())),_slice!J82,"外")</f>
        <v>48.1183664772727</v>
      </c>
      <c r="K24" s="50" t="n">
        <f aca="false">IF(AND(_slice!$H$5=1,K$14&gt;=_slice!$H$6-0.000000001,K$14&lt;=_slice!$I$6+0.000000001,$B24&gt;=_slice!$H$7-0.000000001,$B24&lt;=_slice!$I$7+0.000000001,IF(01_因子設定!$B$20="Box-Behnken",K$14^2+$B24^2+_slice!$H$8&lt;=2+0.000000001,TRUE())),_slice!K82,"外")</f>
        <v>48.5193551136364</v>
      </c>
      <c r="L24" s="50" t="n">
        <f aca="false">IF(AND(_slice!$H$5=1,L$14&gt;=_slice!$H$6-0.000000001,L$14&lt;=_slice!$I$6+0.000000001,$B24&gt;=_slice!$H$7-0.000000001,$B24&lt;=_slice!$I$7+0.000000001,IF(01_因子設定!$B$20="Box-Behnken",L$14^2+$B24^2+_slice!$H$8&lt;=2+0.000000001,TRUE())),_slice!L82,"外")</f>
        <v>48.8707982954546</v>
      </c>
      <c r="M24" s="50" t="n">
        <f aca="false">IF(AND(_slice!$H$5=1,M$14&gt;=_slice!$H$6-0.000000001,M$14&lt;=_slice!$I$6+0.000000001,$B24&gt;=_slice!$H$7-0.000000001,$B24&lt;=_slice!$I$7+0.000000001,IF(01_因子設定!$B$20="Box-Behnken",M$14^2+$B24^2+_slice!$H$8&lt;=2+0.000000001,TRUE())),_slice!M82,"外")</f>
        <v>49.1726960227273</v>
      </c>
      <c r="N24" s="50" t="n">
        <f aca="false">IF(AND(_slice!$H$5=1,N$14&gt;=_slice!$H$6-0.000000001,N$14&lt;=_slice!$I$6+0.000000001,$B24&gt;=_slice!$H$7-0.000000001,$B24&lt;=_slice!$I$7+0.000000001,IF(01_因子設定!$B$20="Box-Behnken",N$14^2+$B24^2+_slice!$H$8&lt;=2+0.000000001,TRUE())),_slice!N82,"外")</f>
        <v>49.4250482954546</v>
      </c>
      <c r="O24" s="50" t="n">
        <f aca="false">IF(AND(_slice!$H$5=1,O$14&gt;=_slice!$H$6-0.000000001,O$14&lt;=_slice!$I$6+0.000000001,$B24&gt;=_slice!$H$7-0.000000001,$B24&lt;=_slice!$I$7+0.000000001,IF(01_因子設定!$B$20="Box-Behnken",O$14^2+$B24^2+_slice!$H$8&lt;=2+0.000000001,TRUE())),_slice!O82,"外")</f>
        <v>49.6278551136364</v>
      </c>
      <c r="P24" s="50" t="n">
        <f aca="false">IF(AND(_slice!$H$5=1,P$14&gt;=_slice!$H$6-0.000000001,P$14&lt;=_slice!$I$6+0.000000001,$B24&gt;=_slice!$H$7-0.000000001,$B24&lt;=_slice!$I$7+0.000000001,IF(01_因子設定!$B$20="Box-Behnken",P$14^2+$B24^2+_slice!$H$8&lt;=2+0.000000001,TRUE())),_slice!P82,"外")</f>
        <v>49.7811164772727</v>
      </c>
      <c r="Q24" s="50" t="n">
        <f aca="false">IF(AND(_slice!$H$5=1,Q$14&gt;=_slice!$H$6-0.000000001,Q$14&lt;=_slice!$I$6+0.000000001,$B24&gt;=_slice!$H$7-0.000000001,$B24&lt;=_slice!$I$7+0.000000001,IF(01_因子設定!$B$20="Box-Behnken",Q$14^2+$B24^2+_slice!$H$8&lt;=2+0.000000001,TRUE())),_slice!Q82,"外")</f>
        <v>49.8848323863637</v>
      </c>
      <c r="R24" s="50" t="n">
        <f aca="false">IF(AND(_slice!$H$5=1,R$14&gt;=_slice!$H$6-0.000000001,R$14&lt;=_slice!$I$6+0.000000001,$B24&gt;=_slice!$H$7-0.000000001,$B24&lt;=_slice!$I$7+0.000000001,IF(01_因子設定!$B$20="Box-Behnken",R$14^2+$B24^2+_slice!$H$8&lt;=2+0.000000001,TRUE())),_slice!R82,"外")</f>
        <v>49.9390028409091</v>
      </c>
      <c r="S24" s="50" t="n">
        <f aca="false">IF(AND(_slice!$H$5=1,S$14&gt;=_slice!$H$6-0.000000001,S$14&lt;=_slice!$I$6+0.000000001,$B24&gt;=_slice!$H$7-0.000000001,$B24&lt;=_slice!$I$7+0.000000001,IF(01_因子設定!$B$20="Box-Behnken",S$14^2+$B24^2+_slice!$H$8&lt;=2+0.000000001,TRUE())),_slice!S82,"外")</f>
        <v>49.9436278409091</v>
      </c>
      <c r="T24" s="50" t="n">
        <f aca="false">IF(AND(_slice!$H$5=1,T$14&gt;=_slice!$H$6-0.000000001,T$14&lt;=_slice!$I$6+0.000000001,$B24&gt;=_slice!$H$7-0.000000001,$B24&lt;=_slice!$I$7+0.000000001,IF(01_因子設定!$B$20="Box-Behnken",T$14^2+$B24^2+_slice!$H$8&lt;=2+0.000000001,TRUE())),_slice!T82,"外")</f>
        <v>49.8987073863636</v>
      </c>
      <c r="U24" s="50" t="n">
        <f aca="false">IF(AND(_slice!$H$5=1,U$14&gt;=_slice!$H$6-0.000000001,U$14&lt;=_slice!$I$6+0.000000001,$B24&gt;=_slice!$H$7-0.000000001,$B24&lt;=_slice!$I$7+0.000000001,IF(01_因子設定!$B$20="Box-Behnken",U$14^2+$B24^2+_slice!$H$8&lt;=2+0.000000001,TRUE())),_slice!U82,"外")</f>
        <v>49.8042414772727</v>
      </c>
      <c r="V24" s="50" t="n">
        <f aca="false">IF(AND(_slice!$H$5=1,V$14&gt;=_slice!$H$6-0.000000001,V$14&lt;=_slice!$I$6+0.000000001,$B24&gt;=_slice!$H$7-0.000000001,$B24&lt;=_slice!$I$7+0.000000001,IF(01_因子設定!$B$20="Box-Behnken",V$14^2+$B24^2+_slice!$H$8&lt;=2+0.000000001,TRUE())),_slice!V82,"外")</f>
        <v>49.6602301136364</v>
      </c>
      <c r="W24" s="50" t="n">
        <f aca="false">IF(AND(_slice!$H$5=1,W$14&gt;=_slice!$H$6-0.000000001,W$14&lt;=_slice!$I$6+0.000000001,$B24&gt;=_slice!$H$7-0.000000001,$B24&lt;=_slice!$I$7+0.000000001,IF(01_因子設定!$B$20="Box-Behnken",W$14^2+$B24^2+_slice!$H$8&lt;=2+0.000000001,TRUE())),_slice!W82,"外")</f>
        <v>49.4666732954545</v>
      </c>
    </row>
    <row r="25" customFormat="false" ht="15" hidden="false" customHeight="false" outlineLevel="0" collapsed="false">
      <c r="A25" s="49" t="n">
        <f aca="false">INDEX(01_因子設定!$G$5:$G$7,$C$5)+B25*INDEX(01_因子設定!$H$5:$H$7,$C$5)</f>
        <v>31</v>
      </c>
      <c r="B25" s="49" t="n">
        <v>0.1</v>
      </c>
      <c r="C25" s="50" t="n">
        <f aca="false">IF(AND(_slice!$H$5=1,C$14&gt;=_slice!$H$6-0.000000001,C$14&lt;=_slice!$I$6+0.000000001,$B25&gt;=_slice!$H$7-0.000000001,$B25&lt;=_slice!$I$7+0.000000001,IF(01_因子設定!$B$20="Box-Behnken",C$14^2+$B25^2+_slice!$H$8&lt;=2+0.000000001,TRUE())),_slice!C83,"外")</f>
        <v>43.8723664772727</v>
      </c>
      <c r="D25" s="50" t="n">
        <f aca="false">IF(AND(_slice!$H$5=1,D$14&gt;=_slice!$H$6-0.000000001,D$14&lt;=_slice!$I$6+0.000000001,$B25&gt;=_slice!$H$7-0.000000001,$B25&lt;=_slice!$I$7+0.000000001,IF(01_因子設定!$B$20="Box-Behnken",D$14^2+$B25^2+_slice!$H$8&lt;=2+0.000000001,TRUE())),_slice!D83,"外")</f>
        <v>44.6079232954545</v>
      </c>
      <c r="E25" s="50" t="n">
        <f aca="false">IF(AND(_slice!$H$5=1,E$14&gt;=_slice!$H$6-0.000000001,E$14&lt;=_slice!$I$6+0.000000001,$B25&gt;=_slice!$H$7-0.000000001,$B25&lt;=_slice!$I$7+0.000000001,IF(01_因子設定!$B$20="Box-Behnken",E$14^2+$B25^2+_slice!$H$8&lt;=2+0.000000001,TRUE())),_slice!E83,"外")</f>
        <v>45.2939346590909</v>
      </c>
      <c r="F25" s="50" t="n">
        <f aca="false">IF(AND(_slice!$H$5=1,F$14&gt;=_slice!$H$6-0.000000001,F$14&lt;=_slice!$I$6+0.000000001,$B25&gt;=_slice!$H$7-0.000000001,$B25&lt;=_slice!$I$7+0.000000001,IF(01_因子設定!$B$20="Box-Behnken",F$14^2+$B25^2+_slice!$H$8&lt;=2+0.000000001,TRUE())),_slice!F83,"外")</f>
        <v>45.9304005681818</v>
      </c>
      <c r="G25" s="50" t="n">
        <f aca="false">IF(AND(_slice!$H$5=1,G$14&gt;=_slice!$H$6-0.000000001,G$14&lt;=_slice!$I$6+0.000000001,$B25&gt;=_slice!$H$7-0.000000001,$B25&lt;=_slice!$I$7+0.000000001,IF(01_因子設定!$B$20="Box-Behnken",G$14^2+$B25^2+_slice!$H$8&lt;=2+0.000000001,TRUE())),_slice!G83,"外")</f>
        <v>46.5173210227273</v>
      </c>
      <c r="H25" s="50" t="n">
        <f aca="false">IF(AND(_slice!$H$5=1,H$14&gt;=_slice!$H$6-0.000000001,H$14&lt;=_slice!$I$6+0.000000001,$B25&gt;=_slice!$H$7-0.000000001,$B25&lt;=_slice!$I$7+0.000000001,IF(01_因子設定!$B$20="Box-Behnken",H$14^2+$B25^2+_slice!$H$8&lt;=2+0.000000001,TRUE())),_slice!H83,"外")</f>
        <v>47.0546960227273</v>
      </c>
      <c r="I25" s="50" t="n">
        <f aca="false">IF(AND(_slice!$H$5=1,I$14&gt;=_slice!$H$6-0.000000001,I$14&lt;=_slice!$I$6+0.000000001,$B25&gt;=_slice!$H$7-0.000000001,$B25&lt;=_slice!$I$7+0.000000001,IF(01_因子設定!$B$20="Box-Behnken",I$14^2+$B25^2+_slice!$H$8&lt;=2+0.000000001,TRUE())),_slice!I83,"外")</f>
        <v>47.5425255681818</v>
      </c>
      <c r="J25" s="50" t="n">
        <f aca="false">IF(AND(_slice!$H$5=1,J$14&gt;=_slice!$H$6-0.000000001,J$14&lt;=_slice!$I$6+0.000000001,$B25&gt;=_slice!$H$7-0.000000001,$B25&lt;=_slice!$I$7+0.000000001,IF(01_因子設定!$B$20="Box-Behnken",J$14^2+$B25^2+_slice!$H$8&lt;=2+0.000000001,TRUE())),_slice!J83,"外")</f>
        <v>47.9808096590909</v>
      </c>
      <c r="K25" s="50" t="n">
        <f aca="false">IF(AND(_slice!$H$5=1,K$14&gt;=_slice!$H$6-0.000000001,K$14&lt;=_slice!$I$6+0.000000001,$B25&gt;=_slice!$H$7-0.000000001,$B25&lt;=_slice!$I$7+0.000000001,IF(01_因子設定!$B$20="Box-Behnken",K$14^2+$B25^2+_slice!$H$8&lt;=2+0.000000001,TRUE())),_slice!K83,"外")</f>
        <v>48.3695482954546</v>
      </c>
      <c r="L25" s="50" t="n">
        <f aca="false">IF(AND(_slice!$H$5=1,L$14&gt;=_slice!$H$6-0.000000001,L$14&lt;=_slice!$I$6+0.000000001,$B25&gt;=_slice!$H$7-0.000000001,$B25&lt;=_slice!$I$7+0.000000001,IF(01_因子設定!$B$20="Box-Behnken",L$14^2+$B25^2+_slice!$H$8&lt;=2+0.000000001,TRUE())),_slice!L83,"外")</f>
        <v>48.7087414772727</v>
      </c>
      <c r="M25" s="50" t="n">
        <f aca="false">IF(AND(_slice!$H$5=1,M$14&gt;=_slice!$H$6-0.000000001,M$14&lt;=_slice!$I$6+0.000000001,$B25&gt;=_slice!$H$7-0.000000001,$B25&lt;=_slice!$I$7+0.000000001,IF(01_因子設定!$B$20="Box-Behnken",M$14^2+$B25^2+_slice!$H$8&lt;=2+0.000000001,TRUE())),_slice!M83,"外")</f>
        <v>48.9983892045455</v>
      </c>
      <c r="N25" s="50" t="n">
        <f aca="false">IF(AND(_slice!$H$5=1,N$14&gt;=_slice!$H$6-0.000000001,N$14&lt;=_slice!$I$6+0.000000001,$B25&gt;=_slice!$H$7-0.000000001,$B25&lt;=_slice!$I$7+0.000000001,IF(01_因子設定!$B$20="Box-Behnken",N$14^2+$B25^2+_slice!$H$8&lt;=2+0.000000001,TRUE())),_slice!N83,"外")</f>
        <v>49.2384914772727</v>
      </c>
      <c r="O25" s="50" t="n">
        <f aca="false">IF(AND(_slice!$H$5=1,O$14&gt;=_slice!$H$6-0.000000001,O$14&lt;=_slice!$I$6+0.000000001,$B25&gt;=_slice!$H$7-0.000000001,$B25&lt;=_slice!$I$7+0.000000001,IF(01_因子設定!$B$20="Box-Behnken",O$14^2+$B25^2+_slice!$H$8&lt;=2+0.000000001,TRUE())),_slice!O83,"外")</f>
        <v>49.4290482954546</v>
      </c>
      <c r="P25" s="50" t="n">
        <f aca="false">IF(AND(_slice!$H$5=1,P$14&gt;=_slice!$H$6-0.000000001,P$14&lt;=_slice!$I$6+0.000000001,$B25&gt;=_slice!$H$7-0.000000001,$B25&lt;=_slice!$I$7+0.000000001,IF(01_因子設定!$B$20="Box-Behnken",P$14^2+$B25^2+_slice!$H$8&lt;=2+0.000000001,TRUE())),_slice!P83,"外")</f>
        <v>49.5700596590909</v>
      </c>
      <c r="Q25" s="50" t="n">
        <f aca="false">IF(AND(_slice!$H$5=1,Q$14&gt;=_slice!$H$6-0.000000001,Q$14&lt;=_slice!$I$6+0.000000001,$B25&gt;=_slice!$H$7-0.000000001,$B25&lt;=_slice!$I$7+0.000000001,IF(01_因子設定!$B$20="Box-Behnken",Q$14^2+$B25^2+_slice!$H$8&lt;=2+0.000000001,TRUE())),_slice!Q83,"外")</f>
        <v>49.6615255681818</v>
      </c>
      <c r="R25" s="50" t="n">
        <f aca="false">IF(AND(_slice!$H$5=1,R$14&gt;=_slice!$H$6-0.000000001,R$14&lt;=_slice!$I$6+0.000000001,$B25&gt;=_slice!$H$7-0.000000001,$B25&lt;=_slice!$I$7+0.000000001,IF(01_因子設定!$B$20="Box-Behnken",R$14^2+$B25^2+_slice!$H$8&lt;=2+0.000000001,TRUE())),_slice!R83,"外")</f>
        <v>49.7034460227273</v>
      </c>
      <c r="S25" s="50" t="n">
        <f aca="false">IF(AND(_slice!$H$5=1,S$14&gt;=_slice!$H$6-0.000000001,S$14&lt;=_slice!$I$6+0.000000001,$B25&gt;=_slice!$H$7-0.000000001,$B25&lt;=_slice!$I$7+0.000000001,IF(01_因子設定!$B$20="Box-Behnken",S$14^2+$B25^2+_slice!$H$8&lt;=2+0.000000001,TRUE())),_slice!S83,"外")</f>
        <v>49.6958210227273</v>
      </c>
      <c r="T25" s="50" t="n">
        <f aca="false">IF(AND(_slice!$H$5=1,T$14&gt;=_slice!$H$6-0.000000001,T$14&lt;=_slice!$I$6+0.000000001,$B25&gt;=_slice!$H$7-0.000000001,$B25&lt;=_slice!$I$7+0.000000001,IF(01_因子設定!$B$20="Box-Behnken",T$14^2+$B25^2+_slice!$H$8&lt;=2+0.000000001,TRUE())),_slice!T83,"外")</f>
        <v>49.6386505681818</v>
      </c>
      <c r="U25" s="50" t="n">
        <f aca="false">IF(AND(_slice!$H$5=1,U$14&gt;=_slice!$H$6-0.000000001,U$14&lt;=_slice!$I$6+0.000000001,$B25&gt;=_slice!$H$7-0.000000001,$B25&lt;=_slice!$I$7+0.000000001,IF(01_因子設定!$B$20="Box-Behnken",U$14^2+$B25^2+_slice!$H$8&lt;=2+0.000000001,TRUE())),_slice!U83,"外")</f>
        <v>49.5319346590909</v>
      </c>
      <c r="V25" s="50" t="n">
        <f aca="false">IF(AND(_slice!$H$5=1,V$14&gt;=_slice!$H$6-0.000000001,V$14&lt;=_slice!$I$6+0.000000001,$B25&gt;=_slice!$H$7-0.000000001,$B25&lt;=_slice!$I$7+0.000000001,IF(01_因子設定!$B$20="Box-Behnken",V$14^2+$B25^2+_slice!$H$8&lt;=2+0.000000001,TRUE())),_slice!V83,"外")</f>
        <v>49.3756732954546</v>
      </c>
      <c r="W25" s="50" t="n">
        <f aca="false">IF(AND(_slice!$H$5=1,W$14&gt;=_slice!$H$6-0.000000001,W$14&lt;=_slice!$I$6+0.000000001,$B25&gt;=_slice!$H$7-0.000000001,$B25&lt;=_slice!$I$7+0.000000001,IF(01_因子設定!$B$20="Box-Behnken",W$14^2+$B25^2+_slice!$H$8&lt;=2+0.000000001,TRUE())),_slice!W83,"外")</f>
        <v>49.1698664772727</v>
      </c>
    </row>
    <row r="26" customFormat="false" ht="15" hidden="false" customHeight="false" outlineLevel="0" collapsed="false">
      <c r="A26" s="49" t="n">
        <f aca="false">INDEX(01_因子設定!$G$5:$G$7,$C$5)+B26*INDEX(01_因子設定!$H$5:$H$7,$C$5)</f>
        <v>30</v>
      </c>
      <c r="B26" s="49" t="n">
        <v>0</v>
      </c>
      <c r="C26" s="50" t="n">
        <f aca="false">IF(AND(_slice!$H$5=1,C$14&gt;=_slice!$H$6-0.000000001,C$14&lt;=_slice!$I$6+0.000000001,$B26&gt;=_slice!$H$7-0.000000001,$B26&lt;=_slice!$I$7+0.000000001,IF(01_因子設定!$B$20="Box-Behnken",C$14^2+$B26^2+_slice!$H$8&lt;=2+0.000000001,TRUE())),_slice!C84,"外")</f>
        <v>43.7800142045454</v>
      </c>
      <c r="D26" s="50" t="n">
        <f aca="false">IF(AND(_slice!$H$5=1,D$14&gt;=_slice!$H$6-0.000000001,D$14&lt;=_slice!$I$6+0.000000001,$B26&gt;=_slice!$H$7-0.000000001,$B26&lt;=_slice!$I$7+0.000000001,IF(01_因子設定!$B$20="Box-Behnken",D$14^2+$B26^2+_slice!$H$8&lt;=2+0.000000001,TRUE())),_slice!D84,"外")</f>
        <v>44.5033210227273</v>
      </c>
      <c r="E26" s="50" t="n">
        <f aca="false">IF(AND(_slice!$H$5=1,E$14&gt;=_slice!$H$6-0.000000001,E$14&lt;=_slice!$I$6+0.000000001,$B26&gt;=_slice!$H$7-0.000000001,$B26&lt;=_slice!$I$7+0.000000001,IF(01_因子設定!$B$20="Box-Behnken",E$14^2+$B26^2+_slice!$H$8&lt;=2+0.000000001,TRUE())),_slice!E84,"外")</f>
        <v>45.1770823863636</v>
      </c>
      <c r="F26" s="50" t="n">
        <f aca="false">IF(AND(_slice!$H$5=1,F$14&gt;=_slice!$H$6-0.000000001,F$14&lt;=_slice!$I$6+0.000000001,$B26&gt;=_slice!$H$7-0.000000001,$B26&lt;=_slice!$I$7+0.000000001,IF(01_因子設定!$B$20="Box-Behnken",F$14^2+$B26^2+_slice!$H$8&lt;=2+0.000000001,TRUE())),_slice!F84,"外")</f>
        <v>45.8012982954546</v>
      </c>
      <c r="G26" s="50" t="n">
        <f aca="false">IF(AND(_slice!$H$5=1,G$14&gt;=_slice!$H$6-0.000000001,G$14&lt;=_slice!$I$6+0.000000001,$B26&gt;=_slice!$H$7-0.000000001,$B26&lt;=_slice!$I$7+0.000000001,IF(01_因子設定!$B$20="Box-Behnken",G$14^2+$B26^2+_slice!$H$8&lt;=2+0.000000001,TRUE())),_slice!G84,"外")</f>
        <v>46.37596875</v>
      </c>
      <c r="H26" s="50" t="n">
        <f aca="false">IF(AND(_slice!$H$5=1,H$14&gt;=_slice!$H$6-0.000000001,H$14&lt;=_slice!$I$6+0.000000001,$B26&gt;=_slice!$H$7-0.000000001,$B26&lt;=_slice!$I$7+0.000000001,IF(01_因子設定!$B$20="Box-Behnken",H$14^2+$B26^2+_slice!$H$8&lt;=2+0.000000001,TRUE())),_slice!H84,"外")</f>
        <v>46.90109375</v>
      </c>
      <c r="I26" s="50" t="n">
        <f aca="false">IF(AND(_slice!$H$5=1,I$14&gt;=_slice!$H$6-0.000000001,I$14&lt;=_slice!$I$6+0.000000001,$B26&gt;=_slice!$H$7-0.000000001,$B26&lt;=_slice!$I$7+0.000000001,IF(01_因子設定!$B$20="Box-Behnken",I$14^2+$B26^2+_slice!$H$8&lt;=2+0.000000001,TRUE())),_slice!I84,"外")</f>
        <v>47.3766732954546</v>
      </c>
      <c r="J26" s="50" t="n">
        <f aca="false">IF(AND(_slice!$H$5=1,J$14&gt;=_slice!$H$6-0.000000001,J$14&lt;=_slice!$I$6+0.000000001,$B26&gt;=_slice!$H$7-0.000000001,$B26&lt;=_slice!$I$7+0.000000001,IF(01_因子設定!$B$20="Box-Behnken",J$14^2+$B26^2+_slice!$H$8&lt;=2+0.000000001,TRUE())),_slice!J84,"外")</f>
        <v>47.8027073863637</v>
      </c>
      <c r="K26" s="50" t="n">
        <f aca="false">IF(AND(_slice!$H$5=1,K$14&gt;=_slice!$H$6-0.000000001,K$14&lt;=_slice!$I$6+0.000000001,$B26&gt;=_slice!$H$7-0.000000001,$B26&lt;=_slice!$I$7+0.000000001,IF(01_因子設定!$B$20="Box-Behnken",K$14^2+$B26^2+_slice!$H$8&lt;=2+0.000000001,TRUE())),_slice!K84,"外")</f>
        <v>48.1791960227273</v>
      </c>
      <c r="L26" s="50" t="n">
        <f aca="false">IF(AND(_slice!$H$5=1,L$14&gt;=_slice!$H$6-0.000000001,L$14&lt;=_slice!$I$6+0.000000001,$B26&gt;=_slice!$H$7-0.000000001,$B26&lt;=_slice!$I$7+0.000000001,IF(01_因子設定!$B$20="Box-Behnken",L$14^2+$B26^2+_slice!$H$8&lt;=2+0.000000001,TRUE())),_slice!L84,"外")</f>
        <v>48.5061392045455</v>
      </c>
      <c r="M26" s="50" t="n">
        <f aca="false">IF(AND(_slice!$H$5=1,M$14&gt;=_slice!$H$6-0.000000001,M$14&lt;=_slice!$I$6+0.000000001,$B26&gt;=_slice!$H$7-0.000000001,$B26&lt;=_slice!$I$7+0.000000001,IF(01_因子設定!$B$20="Box-Behnken",M$14^2+$B26^2+_slice!$H$8&lt;=2+0.000000001,TRUE())),_slice!M84,"外")</f>
        <v>48.7835369318182</v>
      </c>
      <c r="N26" s="50" t="n">
        <f aca="false">IF(AND(_slice!$H$5=1,N$14&gt;=_slice!$H$6-0.000000001,N$14&lt;=_slice!$I$6+0.000000001,$B26&gt;=_slice!$H$7-0.000000001,$B26&lt;=_slice!$I$7+0.000000001,IF(01_因子設定!$B$20="Box-Behnken",N$14^2+$B26^2+_slice!$H$8&lt;=2+0.000000001,TRUE())),_slice!N84,"外")</f>
        <v>49.0113892045455</v>
      </c>
      <c r="O26" s="50" t="n">
        <f aca="false">IF(AND(_slice!$H$5=1,O$14&gt;=_slice!$H$6-0.000000001,O$14&lt;=_slice!$I$6+0.000000001,$B26&gt;=_slice!$H$7-0.000000001,$B26&lt;=_slice!$I$7+0.000000001,IF(01_因子設定!$B$20="Box-Behnken",O$14^2+$B26^2+_slice!$H$8&lt;=2+0.000000001,TRUE())),_slice!O84,"外")</f>
        <v>49.1896960227273</v>
      </c>
      <c r="P26" s="50" t="n">
        <f aca="false">IF(AND(_slice!$H$5=1,P$14&gt;=_slice!$H$6-0.000000001,P$14&lt;=_slice!$I$6+0.000000001,$B26&gt;=_slice!$H$7-0.000000001,$B26&lt;=_slice!$I$7+0.000000001,IF(01_因子設定!$B$20="Box-Behnken",P$14^2+$B26^2+_slice!$H$8&lt;=2+0.000000001,TRUE())),_slice!P84,"外")</f>
        <v>49.3184573863637</v>
      </c>
      <c r="Q26" s="50" t="n">
        <f aca="false">IF(AND(_slice!$H$5=1,Q$14&gt;=_slice!$H$6-0.000000001,Q$14&lt;=_slice!$I$6+0.000000001,$B26&gt;=_slice!$H$7-0.000000001,$B26&lt;=_slice!$I$7+0.000000001,IF(01_因子設定!$B$20="Box-Behnken",Q$14^2+$B26^2+_slice!$H$8&lt;=2+0.000000001,TRUE())),_slice!Q84,"外")</f>
        <v>49.3976732954546</v>
      </c>
      <c r="R26" s="50" t="n">
        <f aca="false">IF(AND(_slice!$H$5=1,R$14&gt;=_slice!$H$6-0.000000001,R$14&lt;=_slice!$I$6+0.000000001,$B26&gt;=_slice!$H$7-0.000000001,$B26&lt;=_slice!$I$7+0.000000001,IF(01_因子設定!$B$20="Box-Behnken",R$14^2+$B26^2+_slice!$H$8&lt;=2+0.000000001,TRUE())),_slice!R84,"外")</f>
        <v>49.42734375</v>
      </c>
      <c r="S26" s="50" t="n">
        <f aca="false">IF(AND(_slice!$H$5=1,S$14&gt;=_slice!$H$6-0.000000001,S$14&lt;=_slice!$I$6+0.000000001,$B26&gt;=_slice!$H$7-0.000000001,$B26&lt;=_slice!$I$7+0.000000001,IF(01_因子設定!$B$20="Box-Behnken",S$14^2+$B26^2+_slice!$H$8&lt;=2+0.000000001,TRUE())),_slice!S84,"外")</f>
        <v>49.40746875</v>
      </c>
      <c r="T26" s="50" t="n">
        <f aca="false">IF(AND(_slice!$H$5=1,T$14&gt;=_slice!$H$6-0.000000001,T$14&lt;=_slice!$I$6+0.000000001,$B26&gt;=_slice!$H$7-0.000000001,$B26&lt;=_slice!$I$7+0.000000001,IF(01_因子設定!$B$20="Box-Behnken",T$14^2+$B26^2+_slice!$H$8&lt;=2+0.000000001,TRUE())),_slice!T84,"外")</f>
        <v>49.3380482954546</v>
      </c>
      <c r="U26" s="50" t="n">
        <f aca="false">IF(AND(_slice!$H$5=1,U$14&gt;=_slice!$H$6-0.000000001,U$14&lt;=_slice!$I$6+0.000000001,$B26&gt;=_slice!$H$7-0.000000001,$B26&lt;=_slice!$I$7+0.000000001,IF(01_因子設定!$B$20="Box-Behnken",U$14^2+$B26^2+_slice!$H$8&lt;=2+0.000000001,TRUE())),_slice!U84,"外")</f>
        <v>49.2190823863636</v>
      </c>
      <c r="V26" s="50" t="n">
        <f aca="false">IF(AND(_slice!$H$5=1,V$14&gt;=_slice!$H$6-0.000000001,V$14&lt;=_slice!$I$6+0.000000001,$B26&gt;=_slice!$H$7-0.000000001,$B26&lt;=_slice!$I$7+0.000000001,IF(01_因子設定!$B$20="Box-Behnken",V$14^2+$B26^2+_slice!$H$8&lt;=2+0.000000001,TRUE())),_slice!V84,"外")</f>
        <v>49.0505710227273</v>
      </c>
      <c r="W26" s="50" t="n">
        <f aca="false">IF(AND(_slice!$H$5=1,W$14&gt;=_slice!$H$6-0.000000001,W$14&lt;=_slice!$I$6+0.000000001,$B26&gt;=_slice!$H$7-0.000000001,$B26&lt;=_slice!$I$7+0.000000001,IF(01_因子設定!$B$20="Box-Behnken",W$14^2+$B26^2+_slice!$H$8&lt;=2+0.000000001,TRUE())),_slice!W84,"外")</f>
        <v>48.8325142045455</v>
      </c>
    </row>
    <row r="27" customFormat="false" ht="15" hidden="false" customHeight="false" outlineLevel="0" collapsed="false">
      <c r="A27" s="49" t="n">
        <f aca="false">INDEX(01_因子設定!$G$5:$G$7,$C$5)+B27*INDEX(01_因子設定!$H$5:$H$7,$C$5)</f>
        <v>29</v>
      </c>
      <c r="B27" s="49" t="n">
        <v>-0.1</v>
      </c>
      <c r="C27" s="50" t="n">
        <f aca="false">IF(AND(_slice!$H$5=1,C$14&gt;=_slice!$H$6-0.000000001,C$14&lt;=_slice!$I$6+0.000000001,$B27&gt;=_slice!$H$7-0.000000001,$B27&lt;=_slice!$I$7+0.000000001,IF(01_因子設定!$B$20="Box-Behnken",C$14^2+$B27^2+_slice!$H$8&lt;=2+0.000000001,TRUE())),_slice!C85,"外")</f>
        <v>43.6471164772727</v>
      </c>
      <c r="D27" s="50" t="n">
        <f aca="false">IF(AND(_slice!$H$5=1,D$14&gt;=_slice!$H$6-0.000000001,D$14&lt;=_slice!$I$6+0.000000001,$B27&gt;=_slice!$H$7-0.000000001,$B27&lt;=_slice!$I$7+0.000000001,IF(01_因子設定!$B$20="Box-Behnken",D$14^2+$B27^2+_slice!$H$8&lt;=2+0.000000001,TRUE())),_slice!D85,"外")</f>
        <v>44.3581732954546</v>
      </c>
      <c r="E27" s="50" t="n">
        <f aca="false">IF(AND(_slice!$H$5=1,E$14&gt;=_slice!$H$6-0.000000001,E$14&lt;=_slice!$I$6+0.000000001,$B27&gt;=_slice!$H$7-0.000000001,$B27&lt;=_slice!$I$7+0.000000001,IF(01_因子設定!$B$20="Box-Behnken",E$14^2+$B27^2+_slice!$H$8&lt;=2+0.000000001,TRUE())),_slice!E85,"外")</f>
        <v>45.0196846590909</v>
      </c>
      <c r="F27" s="50" t="n">
        <f aca="false">IF(AND(_slice!$H$5=1,F$14&gt;=_slice!$H$6-0.000000001,F$14&lt;=_slice!$I$6+0.000000001,$B27&gt;=_slice!$H$7-0.000000001,$B27&lt;=_slice!$I$7+0.000000001,IF(01_因子設定!$B$20="Box-Behnken",F$14^2+$B27^2+_slice!$H$8&lt;=2+0.000000001,TRUE())),_slice!F85,"外")</f>
        <v>45.6316505681818</v>
      </c>
      <c r="G27" s="50" t="n">
        <f aca="false">IF(AND(_slice!$H$5=1,G$14&gt;=_slice!$H$6-0.000000001,G$14&lt;=_slice!$I$6+0.000000001,$B27&gt;=_slice!$H$7-0.000000001,$B27&lt;=_slice!$I$7+0.000000001,IF(01_因子設定!$B$20="Box-Behnken",G$14^2+$B27^2+_slice!$H$8&lt;=2+0.000000001,TRUE())),_slice!G85,"外")</f>
        <v>46.1940710227273</v>
      </c>
      <c r="H27" s="50" t="n">
        <f aca="false">IF(AND(_slice!$H$5=1,H$14&gt;=_slice!$H$6-0.000000001,H$14&lt;=_slice!$I$6+0.000000001,$B27&gt;=_slice!$H$7-0.000000001,$B27&lt;=_slice!$I$7+0.000000001,IF(01_因子設定!$B$20="Box-Behnken",H$14^2+$B27^2+_slice!$H$8&lt;=2+0.000000001,TRUE())),_slice!H85,"外")</f>
        <v>46.7069460227273</v>
      </c>
      <c r="I27" s="50" t="n">
        <f aca="false">IF(AND(_slice!$H$5=1,I$14&gt;=_slice!$H$6-0.000000001,I$14&lt;=_slice!$I$6+0.000000001,$B27&gt;=_slice!$H$7-0.000000001,$B27&lt;=_slice!$I$7+0.000000001,IF(01_因子設定!$B$20="Box-Behnken",I$14^2+$B27^2+_slice!$H$8&lt;=2+0.000000001,TRUE())),_slice!I85,"外")</f>
        <v>47.1702755681818</v>
      </c>
      <c r="J27" s="50" t="n">
        <f aca="false">IF(AND(_slice!$H$5=1,J$14&gt;=_slice!$H$6-0.000000001,J$14&lt;=_slice!$I$6+0.000000001,$B27&gt;=_slice!$H$7-0.000000001,$B27&lt;=_slice!$I$7+0.000000001,IF(01_因子設定!$B$20="Box-Behnken",J$14^2+$B27^2+_slice!$H$8&lt;=2+0.000000001,TRUE())),_slice!J85,"外")</f>
        <v>47.5840596590909</v>
      </c>
      <c r="K27" s="50" t="n">
        <f aca="false">IF(AND(_slice!$H$5=1,K$14&gt;=_slice!$H$6-0.000000001,K$14&lt;=_slice!$I$6+0.000000001,$B27&gt;=_slice!$H$7-0.000000001,$B27&lt;=_slice!$I$7+0.000000001,IF(01_因子設定!$B$20="Box-Behnken",K$14^2+$B27^2+_slice!$H$8&lt;=2+0.000000001,TRUE())),_slice!K85,"外")</f>
        <v>47.9482982954546</v>
      </c>
      <c r="L27" s="50" t="n">
        <f aca="false">IF(AND(_slice!$H$5=1,L$14&gt;=_slice!$H$6-0.000000001,L$14&lt;=_slice!$I$6+0.000000001,$B27&gt;=_slice!$H$7-0.000000001,$B27&lt;=_slice!$I$7+0.000000001,IF(01_因子設定!$B$20="Box-Behnken",L$14^2+$B27^2+_slice!$H$8&lt;=2+0.000000001,TRUE())),_slice!L85,"外")</f>
        <v>48.2629914772728</v>
      </c>
      <c r="M27" s="50" t="n">
        <f aca="false">IF(AND(_slice!$H$5=1,M$14&gt;=_slice!$H$6-0.000000001,M$14&lt;=_slice!$I$6+0.000000001,$B27&gt;=_slice!$H$7-0.000000001,$B27&lt;=_slice!$I$7+0.000000001,IF(01_因子設定!$B$20="Box-Behnken",M$14^2+$B27^2+_slice!$H$8&lt;=2+0.000000001,TRUE())),_slice!M85,"外")</f>
        <v>48.5281392045455</v>
      </c>
      <c r="N27" s="50" t="n">
        <f aca="false">IF(AND(_slice!$H$5=1,N$14&gt;=_slice!$H$6-0.000000001,N$14&lt;=_slice!$I$6+0.000000001,$B27&gt;=_slice!$H$7-0.000000001,$B27&lt;=_slice!$I$7+0.000000001,IF(01_因子設定!$B$20="Box-Behnken",N$14^2+$B27^2+_slice!$H$8&lt;=2+0.000000001,TRUE())),_slice!N85,"外")</f>
        <v>48.7437414772728</v>
      </c>
      <c r="O27" s="50" t="n">
        <f aca="false">IF(AND(_slice!$H$5=1,O$14&gt;=_slice!$H$6-0.000000001,O$14&lt;=_slice!$I$6+0.000000001,$B27&gt;=_slice!$H$7-0.000000001,$B27&lt;=_slice!$I$7+0.000000001,IF(01_因子設定!$B$20="Box-Behnken",O$14^2+$B27^2+_slice!$H$8&lt;=2+0.000000001,TRUE())),_slice!O85,"外")</f>
        <v>48.9097982954546</v>
      </c>
      <c r="P27" s="50" t="n">
        <f aca="false">IF(AND(_slice!$H$5=1,P$14&gt;=_slice!$H$6-0.000000001,P$14&lt;=_slice!$I$6+0.000000001,$B27&gt;=_slice!$H$7-0.000000001,$B27&lt;=_slice!$I$7+0.000000001,IF(01_因子設定!$B$20="Box-Behnken",P$14^2+$B27^2+_slice!$H$8&lt;=2+0.000000001,TRUE())),_slice!P85,"外")</f>
        <v>49.0263096590909</v>
      </c>
      <c r="Q27" s="50" t="n">
        <f aca="false">IF(AND(_slice!$H$5=1,Q$14&gt;=_slice!$H$6-0.000000001,Q$14&lt;=_slice!$I$6+0.000000001,$B27&gt;=_slice!$H$7-0.000000001,$B27&lt;=_slice!$I$7+0.000000001,IF(01_因子設定!$B$20="Box-Behnken",Q$14^2+$B27^2+_slice!$H$8&lt;=2+0.000000001,TRUE())),_slice!Q85,"外")</f>
        <v>49.0932755681818</v>
      </c>
      <c r="R27" s="50" t="n">
        <f aca="false">IF(AND(_slice!$H$5=1,R$14&gt;=_slice!$H$6-0.000000001,R$14&lt;=_slice!$I$6+0.000000001,$B27&gt;=_slice!$H$7-0.000000001,$B27&lt;=_slice!$I$7+0.000000001,IF(01_因子設定!$B$20="Box-Behnken",R$14^2+$B27^2+_slice!$H$8&lt;=2+0.000000001,TRUE())),_slice!R85,"外")</f>
        <v>49.1106960227273</v>
      </c>
      <c r="S27" s="50" t="n">
        <f aca="false">IF(AND(_slice!$H$5=1,S$14&gt;=_slice!$H$6-0.000000001,S$14&lt;=_slice!$I$6+0.000000001,$B27&gt;=_slice!$H$7-0.000000001,$B27&lt;=_slice!$I$7+0.000000001,IF(01_因子設定!$B$20="Box-Behnken",S$14^2+$B27^2+_slice!$H$8&lt;=2+0.000000001,TRUE())),_slice!S85,"外")</f>
        <v>49.0785710227273</v>
      </c>
      <c r="T27" s="50" t="n">
        <f aca="false">IF(AND(_slice!$H$5=1,T$14&gt;=_slice!$H$6-0.000000001,T$14&lt;=_slice!$I$6+0.000000001,$B27&gt;=_slice!$H$7-0.000000001,$B27&lt;=_slice!$I$7+0.000000001,IF(01_因子設定!$B$20="Box-Behnken",T$14^2+$B27^2+_slice!$H$8&lt;=2+0.000000001,TRUE())),_slice!T85,"外")</f>
        <v>48.9969005681818</v>
      </c>
      <c r="U27" s="50" t="n">
        <f aca="false">IF(AND(_slice!$H$5=1,U$14&gt;=_slice!$H$6-0.000000001,U$14&lt;=_slice!$I$6+0.000000001,$B27&gt;=_slice!$H$7-0.000000001,$B27&lt;=_slice!$I$7+0.000000001,IF(01_因子設定!$B$20="Box-Behnken",U$14^2+$B27^2+_slice!$H$8&lt;=2+0.000000001,TRUE())),_slice!U85,"外")</f>
        <v>48.8656846590909</v>
      </c>
      <c r="V27" s="50" t="n">
        <f aca="false">IF(AND(_slice!$H$5=1,V$14&gt;=_slice!$H$6-0.000000001,V$14&lt;=_slice!$I$6+0.000000001,$B27&gt;=_slice!$H$7-0.000000001,$B27&lt;=_slice!$I$7+0.000000001,IF(01_因子設定!$B$20="Box-Behnken",V$14^2+$B27^2+_slice!$H$8&lt;=2+0.000000001,TRUE())),_slice!V85,"外")</f>
        <v>48.6849232954546</v>
      </c>
      <c r="W27" s="50" t="n">
        <f aca="false">IF(AND(_slice!$H$5=1,W$14&gt;=_slice!$H$6-0.000000001,W$14&lt;=_slice!$I$6+0.000000001,$B27&gt;=_slice!$H$7-0.000000001,$B27&lt;=_slice!$I$7+0.000000001,IF(01_因子設定!$B$20="Box-Behnken",W$14^2+$B27^2+_slice!$H$8&lt;=2+0.000000001,TRUE())),_slice!W85,"外")</f>
        <v>48.4546164772727</v>
      </c>
    </row>
    <row r="28" customFormat="false" ht="15" hidden="false" customHeight="false" outlineLevel="0" collapsed="false">
      <c r="A28" s="49" t="n">
        <f aca="false">INDEX(01_因子設定!$G$5:$G$7,$C$5)+B28*INDEX(01_因子設定!$H$5:$H$7,$C$5)</f>
        <v>28</v>
      </c>
      <c r="B28" s="49" t="n">
        <v>-0.2</v>
      </c>
      <c r="C28" s="50" t="n">
        <f aca="false">IF(AND(_slice!$H$5=1,C$14&gt;=_slice!$H$6-0.000000001,C$14&lt;=_slice!$I$6+0.000000001,$B28&gt;=_slice!$H$7-0.000000001,$B28&lt;=_slice!$I$7+0.000000001,IF(01_因子設定!$B$20="Box-Behnken",C$14^2+$B28^2+_slice!$H$8&lt;=2+0.000000001,TRUE())),_slice!C86,"外")</f>
        <v>43.4736732954545</v>
      </c>
      <c r="D28" s="50" t="n">
        <f aca="false">IF(AND(_slice!$H$5=1,D$14&gt;=_slice!$H$6-0.000000001,D$14&lt;=_slice!$I$6+0.000000001,$B28&gt;=_slice!$H$7-0.000000001,$B28&lt;=_slice!$I$7+0.000000001,IF(01_因子設定!$B$20="Box-Behnken",D$14^2+$B28^2+_slice!$H$8&lt;=2+0.000000001,TRUE())),_slice!D86,"外")</f>
        <v>44.1724801136364</v>
      </c>
      <c r="E28" s="50" t="n">
        <f aca="false">IF(AND(_slice!$H$5=1,E$14&gt;=_slice!$H$6-0.000000001,E$14&lt;=_slice!$I$6+0.000000001,$B28&gt;=_slice!$H$7-0.000000001,$B28&lt;=_slice!$I$7+0.000000001,IF(01_因子設定!$B$20="Box-Behnken",E$14^2+$B28^2+_slice!$H$8&lt;=2+0.000000001,TRUE())),_slice!E86,"外")</f>
        <v>44.8217414772727</v>
      </c>
      <c r="F28" s="50" t="n">
        <f aca="false">IF(AND(_slice!$H$5=1,F$14&gt;=_slice!$H$6-0.000000001,F$14&lt;=_slice!$I$6+0.000000001,$B28&gt;=_slice!$H$7-0.000000001,$B28&lt;=_slice!$I$7+0.000000001,IF(01_因子設定!$B$20="Box-Behnken",F$14^2+$B28^2+_slice!$H$8&lt;=2+0.000000001,TRUE())),_slice!F86,"外")</f>
        <v>45.4214573863636</v>
      </c>
      <c r="G28" s="50" t="n">
        <f aca="false">IF(AND(_slice!$H$5=1,G$14&gt;=_slice!$H$6-0.000000001,G$14&lt;=_slice!$I$6+0.000000001,$B28&gt;=_slice!$H$7-0.000000001,$B28&lt;=_slice!$I$7+0.000000001,IF(01_因子設定!$B$20="Box-Behnken",G$14^2+$B28^2+_slice!$H$8&lt;=2+0.000000001,TRUE())),_slice!G86,"外")</f>
        <v>45.9716278409091</v>
      </c>
      <c r="H28" s="50" t="n">
        <f aca="false">IF(AND(_slice!$H$5=1,H$14&gt;=_slice!$H$6-0.000000001,H$14&lt;=_slice!$I$6+0.000000001,$B28&gt;=_slice!$H$7-0.000000001,$B28&lt;=_slice!$I$7+0.000000001,IF(01_因子設定!$B$20="Box-Behnken",H$14^2+$B28^2+_slice!$H$8&lt;=2+0.000000001,TRUE())),_slice!H86,"外")</f>
        <v>46.4722528409091</v>
      </c>
      <c r="I28" s="50" t="n">
        <f aca="false">IF(AND(_slice!$H$5=1,I$14&gt;=_slice!$H$6-0.000000001,I$14&lt;=_slice!$I$6+0.000000001,$B28&gt;=_slice!$H$7-0.000000001,$B28&lt;=_slice!$I$7+0.000000001,IF(01_因子設定!$B$20="Box-Behnken",I$14^2+$B28^2+_slice!$H$8&lt;=2+0.000000001,TRUE())),_slice!I86,"外")</f>
        <v>46.9233323863637</v>
      </c>
      <c r="J28" s="50" t="n">
        <f aca="false">IF(AND(_slice!$H$5=1,J$14&gt;=_slice!$H$6-0.000000001,J$14&lt;=_slice!$I$6+0.000000001,$B28&gt;=_slice!$H$7-0.000000001,$B28&lt;=_slice!$I$7+0.000000001,IF(01_因子設定!$B$20="Box-Behnken",J$14^2+$B28^2+_slice!$H$8&lt;=2+0.000000001,TRUE())),_slice!J86,"外")</f>
        <v>47.3248664772727</v>
      </c>
      <c r="K28" s="50" t="n">
        <f aca="false">IF(AND(_slice!$H$5=1,K$14&gt;=_slice!$H$6-0.000000001,K$14&lt;=_slice!$I$6+0.000000001,$B28&gt;=_slice!$H$7-0.000000001,$B28&lt;=_slice!$I$7+0.000000001,IF(01_因子設定!$B$20="Box-Behnken",K$14^2+$B28^2+_slice!$H$8&lt;=2+0.000000001,TRUE())),_slice!K86,"外")</f>
        <v>47.6768551136364</v>
      </c>
      <c r="L28" s="50" t="n">
        <f aca="false">IF(AND(_slice!$H$5=1,L$14&gt;=_slice!$H$6-0.000000001,L$14&lt;=_slice!$I$6+0.000000001,$B28&gt;=_slice!$H$7-0.000000001,$B28&lt;=_slice!$I$7+0.000000001,IF(01_因子設定!$B$20="Box-Behnken",L$14^2+$B28^2+_slice!$H$8&lt;=2+0.000000001,TRUE())),_slice!L86,"外")</f>
        <v>47.9792982954546</v>
      </c>
      <c r="M28" s="50" t="n">
        <f aca="false">IF(AND(_slice!$H$5=1,M$14&gt;=_slice!$H$6-0.000000001,M$14&lt;=_slice!$I$6+0.000000001,$B28&gt;=_slice!$H$7-0.000000001,$B28&lt;=_slice!$I$7+0.000000001,IF(01_因子設定!$B$20="Box-Behnken",M$14^2+$B28^2+_slice!$H$8&lt;=2+0.000000001,TRUE())),_slice!M86,"外")</f>
        <v>48.2321960227273</v>
      </c>
      <c r="N28" s="50" t="n">
        <f aca="false">IF(AND(_slice!$H$5=1,N$14&gt;=_slice!$H$6-0.000000001,N$14&lt;=_slice!$I$6+0.000000001,$B28&gt;=_slice!$H$7-0.000000001,$B28&lt;=_slice!$I$7+0.000000001,IF(01_因子設定!$B$20="Box-Behnken",N$14^2+$B28^2+_slice!$H$8&lt;=2+0.000000001,TRUE())),_slice!N86,"外")</f>
        <v>48.4355482954546</v>
      </c>
      <c r="O28" s="50" t="n">
        <f aca="false">IF(AND(_slice!$H$5=1,O$14&gt;=_slice!$H$6-0.000000001,O$14&lt;=_slice!$I$6+0.000000001,$B28&gt;=_slice!$H$7-0.000000001,$B28&lt;=_slice!$I$7+0.000000001,IF(01_因子設定!$B$20="Box-Behnken",O$14^2+$B28^2+_slice!$H$8&lt;=2+0.000000001,TRUE())),_slice!O86,"外")</f>
        <v>48.5893551136364</v>
      </c>
      <c r="P28" s="50" t="n">
        <f aca="false">IF(AND(_slice!$H$5=1,P$14&gt;=_slice!$H$6-0.000000001,P$14&lt;=_slice!$I$6+0.000000001,$B28&gt;=_slice!$H$7-0.000000001,$B28&lt;=_slice!$I$7+0.000000001,IF(01_因子設定!$B$20="Box-Behnken",P$14^2+$B28^2+_slice!$H$8&lt;=2+0.000000001,TRUE())),_slice!P86,"外")</f>
        <v>48.6936164772727</v>
      </c>
      <c r="Q28" s="50" t="n">
        <f aca="false">IF(AND(_slice!$H$5=1,Q$14&gt;=_slice!$H$6-0.000000001,Q$14&lt;=_slice!$I$6+0.000000001,$B28&gt;=_slice!$H$7-0.000000001,$B28&lt;=_slice!$I$7+0.000000001,IF(01_因子設定!$B$20="Box-Behnken",Q$14^2+$B28^2+_slice!$H$8&lt;=2+0.000000001,TRUE())),_slice!Q86,"外")</f>
        <v>48.7483323863637</v>
      </c>
      <c r="R28" s="50" t="n">
        <f aca="false">IF(AND(_slice!$H$5=1,R$14&gt;=_slice!$H$6-0.000000001,R$14&lt;=_slice!$I$6+0.000000001,$B28&gt;=_slice!$H$7-0.000000001,$B28&lt;=_slice!$I$7+0.000000001,IF(01_因子設定!$B$20="Box-Behnken",R$14^2+$B28^2+_slice!$H$8&lt;=2+0.000000001,TRUE())),_slice!R86,"外")</f>
        <v>48.7535028409091</v>
      </c>
      <c r="S28" s="50" t="n">
        <f aca="false">IF(AND(_slice!$H$5=1,S$14&gt;=_slice!$H$6-0.000000001,S$14&lt;=_slice!$I$6+0.000000001,$B28&gt;=_slice!$H$7-0.000000001,$B28&lt;=_slice!$I$7+0.000000001,IF(01_因子設定!$B$20="Box-Behnken",S$14^2+$B28^2+_slice!$H$8&lt;=2+0.000000001,TRUE())),_slice!S86,"外")</f>
        <v>48.7091278409091</v>
      </c>
      <c r="T28" s="50" t="n">
        <f aca="false">IF(AND(_slice!$H$5=1,T$14&gt;=_slice!$H$6-0.000000001,T$14&lt;=_slice!$I$6+0.000000001,$B28&gt;=_slice!$H$7-0.000000001,$B28&lt;=_slice!$I$7+0.000000001,IF(01_因子設定!$B$20="Box-Behnken",T$14^2+$B28^2+_slice!$H$8&lt;=2+0.000000001,TRUE())),_slice!T86,"外")</f>
        <v>48.6152073863636</v>
      </c>
      <c r="U28" s="50" t="n">
        <f aca="false">IF(AND(_slice!$H$5=1,U$14&gt;=_slice!$H$6-0.000000001,U$14&lt;=_slice!$I$6+0.000000001,$B28&gt;=_slice!$H$7-0.000000001,$B28&lt;=_slice!$I$7+0.000000001,IF(01_因子設定!$B$20="Box-Behnken",U$14^2+$B28^2+_slice!$H$8&lt;=2+0.000000001,TRUE())),_slice!U86,"外")</f>
        <v>48.4717414772727</v>
      </c>
      <c r="V28" s="50" t="n">
        <f aca="false">IF(AND(_slice!$H$5=1,V$14&gt;=_slice!$H$6-0.000000001,V$14&lt;=_slice!$I$6+0.000000001,$B28&gt;=_slice!$H$7-0.000000001,$B28&lt;=_slice!$I$7+0.000000001,IF(01_因子設定!$B$20="Box-Behnken",V$14^2+$B28^2+_slice!$H$8&lt;=2+0.000000001,TRUE())),_slice!V86,"外")</f>
        <v>48.2787301136364</v>
      </c>
      <c r="W28" s="50" t="n">
        <f aca="false">IF(AND(_slice!$H$5=1,W$14&gt;=_slice!$H$6-0.000000001,W$14&lt;=_slice!$I$6+0.000000001,$B28&gt;=_slice!$H$7-0.000000001,$B28&lt;=_slice!$I$7+0.000000001,IF(01_因子設定!$B$20="Box-Behnken",W$14^2+$B28^2+_slice!$H$8&lt;=2+0.000000001,TRUE())),_slice!W86,"外")</f>
        <v>48.0361732954545</v>
      </c>
    </row>
    <row r="29" customFormat="false" ht="15" hidden="false" customHeight="false" outlineLevel="0" collapsed="false">
      <c r="A29" s="49" t="n">
        <f aca="false">INDEX(01_因子設定!$G$5:$G$7,$C$5)+B29*INDEX(01_因子設定!$H$5:$H$7,$C$5)</f>
        <v>27</v>
      </c>
      <c r="B29" s="49" t="n">
        <v>-0.3</v>
      </c>
      <c r="C29" s="50" t="n">
        <f aca="false">IF(AND(_slice!$H$5=1,C$14&gt;=_slice!$H$6-0.000000001,C$14&lt;=_slice!$I$6+0.000000001,$B29&gt;=_slice!$H$7-0.000000001,$B29&lt;=_slice!$I$7+0.000000001,IF(01_因子設定!$B$20="Box-Behnken",C$14^2+$B29^2+_slice!$H$8&lt;=2+0.000000001,TRUE())),_slice!C87,"外")</f>
        <v>43.2596846590909</v>
      </c>
      <c r="D29" s="50" t="n">
        <f aca="false">IF(AND(_slice!$H$5=1,D$14&gt;=_slice!$H$6-0.000000001,D$14&lt;=_slice!$I$6+0.000000001,$B29&gt;=_slice!$H$7-0.000000001,$B29&lt;=_slice!$I$7+0.000000001,IF(01_因子設定!$B$20="Box-Behnken",D$14^2+$B29^2+_slice!$H$8&lt;=2+0.000000001,TRUE())),_slice!D87,"外")</f>
        <v>43.9462414772727</v>
      </c>
      <c r="E29" s="50" t="n">
        <f aca="false">IF(AND(_slice!$H$5=1,E$14&gt;=_slice!$H$6-0.000000001,E$14&lt;=_slice!$I$6+0.000000001,$B29&gt;=_slice!$H$7-0.000000001,$B29&lt;=_slice!$I$7+0.000000001,IF(01_因子設定!$B$20="Box-Behnken",E$14^2+$B29^2+_slice!$H$8&lt;=2+0.000000001,TRUE())),_slice!E87,"外")</f>
        <v>44.5832528409091</v>
      </c>
      <c r="F29" s="50" t="n">
        <f aca="false">IF(AND(_slice!$H$5=1,F$14&gt;=_slice!$H$6-0.000000001,F$14&lt;=_slice!$I$6+0.000000001,$B29&gt;=_slice!$H$7-0.000000001,$B29&lt;=_slice!$I$7+0.000000001,IF(01_因子設定!$B$20="Box-Behnken",F$14^2+$B29^2+_slice!$H$8&lt;=2+0.000000001,TRUE())),_slice!F87,"外")</f>
        <v>45.17071875</v>
      </c>
      <c r="G29" s="50" t="n">
        <f aca="false">IF(AND(_slice!$H$5=1,G$14&gt;=_slice!$H$6-0.000000001,G$14&lt;=_slice!$I$6+0.000000001,$B29&gt;=_slice!$H$7-0.000000001,$B29&lt;=_slice!$I$7+0.000000001,IF(01_因子設定!$B$20="Box-Behnken",G$14^2+$B29^2+_slice!$H$8&lt;=2+0.000000001,TRUE())),_slice!G87,"外")</f>
        <v>45.7086392045455</v>
      </c>
      <c r="H29" s="50" t="n">
        <f aca="false">IF(AND(_slice!$H$5=1,H$14&gt;=_slice!$H$6-0.000000001,H$14&lt;=_slice!$I$6+0.000000001,$B29&gt;=_slice!$H$7-0.000000001,$B29&lt;=_slice!$I$7+0.000000001,IF(01_因子設定!$B$20="Box-Behnken",H$14^2+$B29^2+_slice!$H$8&lt;=2+0.000000001,TRUE())),_slice!H87,"外")</f>
        <v>46.1970142045455</v>
      </c>
      <c r="I29" s="50" t="n">
        <f aca="false">IF(AND(_slice!$H$5=1,I$14&gt;=_slice!$H$6-0.000000001,I$14&lt;=_slice!$I$6+0.000000001,$B29&gt;=_slice!$H$7-0.000000001,$B29&lt;=_slice!$I$7+0.000000001,IF(01_因子設定!$B$20="Box-Behnken",I$14^2+$B29^2+_slice!$H$8&lt;=2+0.000000001,TRUE())),_slice!I87,"外")</f>
        <v>46.63584375</v>
      </c>
      <c r="J29" s="50" t="n">
        <f aca="false">IF(AND(_slice!$H$5=1,J$14&gt;=_slice!$H$6-0.000000001,J$14&lt;=_slice!$I$6+0.000000001,$B29&gt;=_slice!$H$7-0.000000001,$B29&lt;=_slice!$I$7+0.000000001,IF(01_因子設定!$B$20="Box-Behnken",J$14^2+$B29^2+_slice!$H$8&lt;=2+0.000000001,TRUE())),_slice!J87,"外")</f>
        <v>47.0251278409091</v>
      </c>
      <c r="K29" s="50" t="n">
        <f aca="false">IF(AND(_slice!$H$5=1,K$14&gt;=_slice!$H$6-0.000000001,K$14&lt;=_slice!$I$6+0.000000001,$B29&gt;=_slice!$H$7-0.000000001,$B29&lt;=_slice!$I$7+0.000000001,IF(01_因子設定!$B$20="Box-Behnken",K$14^2+$B29^2+_slice!$H$8&lt;=2+0.000000001,TRUE())),_slice!K87,"外")</f>
        <v>47.3648664772727</v>
      </c>
      <c r="L29" s="50" t="n">
        <f aca="false">IF(AND(_slice!$H$5=1,L$14&gt;=_slice!$H$6-0.000000001,L$14&lt;=_slice!$I$6+0.000000001,$B29&gt;=_slice!$H$7-0.000000001,$B29&lt;=_slice!$I$7+0.000000001,IF(01_因子設定!$B$20="Box-Behnken",L$14^2+$B29^2+_slice!$H$8&lt;=2+0.000000001,TRUE())),_slice!L87,"外")</f>
        <v>47.6550596590909</v>
      </c>
      <c r="M29" s="50" t="n">
        <f aca="false">IF(AND(_slice!$H$5=1,M$14&gt;=_slice!$H$6-0.000000001,M$14&lt;=_slice!$I$6+0.000000001,$B29&gt;=_slice!$H$7-0.000000001,$B29&lt;=_slice!$I$7+0.000000001,IF(01_因子設定!$B$20="Box-Behnken",M$14^2+$B29^2+_slice!$H$8&lt;=2+0.000000001,TRUE())),_slice!M87,"外")</f>
        <v>47.8957073863637</v>
      </c>
      <c r="N29" s="50" t="n">
        <f aca="false">IF(AND(_slice!$H$5=1,N$14&gt;=_slice!$H$6-0.000000001,N$14&lt;=_slice!$I$6+0.000000001,$B29&gt;=_slice!$H$7-0.000000001,$B29&lt;=_slice!$I$7+0.000000001,IF(01_因子設定!$B$20="Box-Behnken",N$14^2+$B29^2+_slice!$H$8&lt;=2+0.000000001,TRUE())),_slice!N87,"外")</f>
        <v>48.0868096590909</v>
      </c>
      <c r="O29" s="50" t="n">
        <f aca="false">IF(AND(_slice!$H$5=1,O$14&gt;=_slice!$H$6-0.000000001,O$14&lt;=_slice!$I$6+0.000000001,$B29&gt;=_slice!$H$7-0.000000001,$B29&lt;=_slice!$I$7+0.000000001,IF(01_因子設定!$B$20="Box-Behnken",O$14^2+$B29^2+_slice!$H$8&lt;=2+0.000000001,TRUE())),_slice!O87,"外")</f>
        <v>48.2283664772727</v>
      </c>
      <c r="P29" s="50" t="n">
        <f aca="false">IF(AND(_slice!$H$5=1,P$14&gt;=_slice!$H$6-0.000000001,P$14&lt;=_slice!$I$6+0.000000001,$B29&gt;=_slice!$H$7-0.000000001,$B29&lt;=_slice!$I$7+0.000000001,IF(01_因子設定!$B$20="Box-Behnken",P$14^2+$B29^2+_slice!$H$8&lt;=2+0.000000001,TRUE())),_slice!P87,"外")</f>
        <v>48.3203778409091</v>
      </c>
      <c r="Q29" s="50" t="n">
        <f aca="false">IF(AND(_slice!$H$5=1,Q$14&gt;=_slice!$H$6-0.000000001,Q$14&lt;=_slice!$I$6+0.000000001,$B29&gt;=_slice!$H$7-0.000000001,$B29&lt;=_slice!$I$7+0.000000001,IF(01_因子設定!$B$20="Box-Behnken",Q$14^2+$B29^2+_slice!$H$8&lt;=2+0.000000001,TRUE())),_slice!Q87,"外")</f>
        <v>48.36284375</v>
      </c>
      <c r="R29" s="50" t="n">
        <f aca="false">IF(AND(_slice!$H$5=1,R$14&gt;=_slice!$H$6-0.000000001,R$14&lt;=_slice!$I$6+0.000000001,$B29&gt;=_slice!$H$7-0.000000001,$B29&lt;=_slice!$I$7+0.000000001,IF(01_因子設定!$B$20="Box-Behnken",R$14^2+$B29^2+_slice!$H$8&lt;=2+0.000000001,TRUE())),_slice!R87,"外")</f>
        <v>48.3557642045455</v>
      </c>
      <c r="S29" s="50" t="n">
        <f aca="false">IF(AND(_slice!$H$5=1,S$14&gt;=_slice!$H$6-0.000000001,S$14&lt;=_slice!$I$6+0.000000001,$B29&gt;=_slice!$H$7-0.000000001,$B29&lt;=_slice!$I$7+0.000000001,IF(01_因子設定!$B$20="Box-Behnken",S$14^2+$B29^2+_slice!$H$8&lt;=2+0.000000001,TRUE())),_slice!S87,"外")</f>
        <v>48.2991392045455</v>
      </c>
      <c r="T29" s="50" t="n">
        <f aca="false">IF(AND(_slice!$H$5=1,T$14&gt;=_slice!$H$6-0.000000001,T$14&lt;=_slice!$I$6+0.000000001,$B29&gt;=_slice!$H$7-0.000000001,$B29&lt;=_slice!$I$7+0.000000001,IF(01_因子設定!$B$20="Box-Behnken",T$14^2+$B29^2+_slice!$H$8&lt;=2+0.000000001,TRUE())),_slice!T87,"外")</f>
        <v>48.19296875</v>
      </c>
      <c r="U29" s="50" t="n">
        <f aca="false">IF(AND(_slice!$H$5=1,U$14&gt;=_slice!$H$6-0.000000001,U$14&lt;=_slice!$I$6+0.000000001,$B29&gt;=_slice!$H$7-0.000000001,$B29&lt;=_slice!$I$7+0.000000001,IF(01_因子設定!$B$20="Box-Behnken",U$14^2+$B29^2+_slice!$H$8&lt;=2+0.000000001,TRUE())),_slice!U87,"外")</f>
        <v>48.0372528409091</v>
      </c>
      <c r="V29" s="50" t="n">
        <f aca="false">IF(AND(_slice!$H$5=1,V$14&gt;=_slice!$H$6-0.000000001,V$14&lt;=_slice!$I$6+0.000000001,$B29&gt;=_slice!$H$7-0.000000001,$B29&lt;=_slice!$I$7+0.000000001,IF(01_因子設定!$B$20="Box-Behnken",V$14^2+$B29^2+_slice!$H$8&lt;=2+0.000000001,TRUE())),_slice!V87,"外")</f>
        <v>47.8319914772727</v>
      </c>
      <c r="W29" s="50" t="n">
        <f aca="false">IF(AND(_slice!$H$5=1,W$14&gt;=_slice!$H$6-0.000000001,W$14&lt;=_slice!$I$6+0.000000001,$B29&gt;=_slice!$H$7-0.000000001,$B29&lt;=_slice!$I$7+0.000000001,IF(01_因子設定!$B$20="Box-Behnken",W$14^2+$B29^2+_slice!$H$8&lt;=2+0.000000001,TRUE())),_slice!W87,"外")</f>
        <v>47.5771846590909</v>
      </c>
    </row>
    <row r="30" customFormat="false" ht="15" hidden="false" customHeight="false" outlineLevel="0" collapsed="false">
      <c r="A30" s="49" t="n">
        <f aca="false">INDEX(01_因子設定!$G$5:$G$7,$C$5)+B30*INDEX(01_因子設定!$H$5:$H$7,$C$5)</f>
        <v>26</v>
      </c>
      <c r="B30" s="49" t="n">
        <v>-0.4</v>
      </c>
      <c r="C30" s="50" t="n">
        <f aca="false">IF(AND(_slice!$H$5=1,C$14&gt;=_slice!$H$6-0.000000001,C$14&lt;=_slice!$I$6+0.000000001,$B30&gt;=_slice!$H$7-0.000000001,$B30&lt;=_slice!$I$7+0.000000001,IF(01_因子設定!$B$20="Box-Behnken",C$14^2+$B30^2+_slice!$H$8&lt;=2+0.000000001,TRUE())),_slice!C88,"外")</f>
        <v>43.0051505681818</v>
      </c>
      <c r="D30" s="50" t="n">
        <f aca="false">IF(AND(_slice!$H$5=1,D$14&gt;=_slice!$H$6-0.000000001,D$14&lt;=_slice!$I$6+0.000000001,$B30&gt;=_slice!$H$7-0.000000001,$B30&lt;=_slice!$I$7+0.000000001,IF(01_因子設定!$B$20="Box-Behnken",D$14^2+$B30^2+_slice!$H$8&lt;=2+0.000000001,TRUE())),_slice!D88,"外")</f>
        <v>43.6794573863636</v>
      </c>
      <c r="E30" s="50" t="n">
        <f aca="false">IF(AND(_slice!$H$5=1,E$14&gt;=_slice!$H$6-0.000000001,E$14&lt;=_slice!$I$6+0.000000001,$B30&gt;=_slice!$H$7-0.000000001,$B30&lt;=_slice!$I$7+0.000000001,IF(01_因子設定!$B$20="Box-Behnken",E$14^2+$B30^2+_slice!$H$8&lt;=2+0.000000001,TRUE())),_slice!E88,"外")</f>
        <v>44.30421875</v>
      </c>
      <c r="F30" s="50" t="n">
        <f aca="false">IF(AND(_slice!$H$5=1,F$14&gt;=_slice!$H$6-0.000000001,F$14&lt;=_slice!$I$6+0.000000001,$B30&gt;=_slice!$H$7-0.000000001,$B30&lt;=_slice!$I$7+0.000000001,IF(01_因子設定!$B$20="Box-Behnken",F$14^2+$B30^2+_slice!$H$8&lt;=2+0.000000001,TRUE())),_slice!F88,"外")</f>
        <v>44.8794346590909</v>
      </c>
      <c r="G30" s="50" t="n">
        <f aca="false">IF(AND(_slice!$H$5=1,G$14&gt;=_slice!$H$6-0.000000001,G$14&lt;=_slice!$I$6+0.000000001,$B30&gt;=_slice!$H$7-0.000000001,$B30&lt;=_slice!$I$7+0.000000001,IF(01_因子設定!$B$20="Box-Behnken",G$14^2+$B30^2+_slice!$H$8&lt;=2+0.000000001,TRUE())),_slice!G88,"外")</f>
        <v>45.4051051136364</v>
      </c>
      <c r="H30" s="50" t="n">
        <f aca="false">IF(AND(_slice!$H$5=1,H$14&gt;=_slice!$H$6-0.000000001,H$14&lt;=_slice!$I$6+0.000000001,$B30&gt;=_slice!$H$7-0.000000001,$B30&lt;=_slice!$I$7+0.000000001,IF(01_因子設定!$B$20="Box-Behnken",H$14^2+$B30^2+_slice!$H$8&lt;=2+0.000000001,TRUE())),_slice!H88,"外")</f>
        <v>45.8812301136364</v>
      </c>
      <c r="I30" s="50" t="n">
        <f aca="false">IF(AND(_slice!$H$5=1,I$14&gt;=_slice!$H$6-0.000000001,I$14&lt;=_slice!$I$6+0.000000001,$B30&gt;=_slice!$H$7-0.000000001,$B30&lt;=_slice!$I$7+0.000000001,IF(01_因子設定!$B$20="Box-Behnken",I$14^2+$B30^2+_slice!$H$8&lt;=2+0.000000001,TRUE())),_slice!I88,"外")</f>
        <v>46.3078096590909</v>
      </c>
      <c r="J30" s="50" t="n">
        <f aca="false">IF(AND(_slice!$H$5=1,J$14&gt;=_slice!$H$6-0.000000001,J$14&lt;=_slice!$I$6+0.000000001,$B30&gt;=_slice!$H$7-0.000000001,$B30&lt;=_slice!$I$7+0.000000001,IF(01_因子設定!$B$20="Box-Behnken",J$14^2+$B30^2+_slice!$H$8&lt;=2+0.000000001,TRUE())),_slice!J88,"外")</f>
        <v>46.68484375</v>
      </c>
      <c r="K30" s="50" t="n">
        <f aca="false">IF(AND(_slice!$H$5=1,K$14&gt;=_slice!$H$6-0.000000001,K$14&lt;=_slice!$I$6+0.000000001,$B30&gt;=_slice!$H$7-0.000000001,$B30&lt;=_slice!$I$7+0.000000001,IF(01_因子設定!$B$20="Box-Behnken",K$14^2+$B30^2+_slice!$H$8&lt;=2+0.000000001,TRUE())),_slice!K88,"外")</f>
        <v>47.0123323863636</v>
      </c>
      <c r="L30" s="50" t="n">
        <f aca="false">IF(AND(_slice!$H$5=1,L$14&gt;=_slice!$H$6-0.000000001,L$14&lt;=_slice!$I$6+0.000000001,$B30&gt;=_slice!$H$7-0.000000001,$B30&lt;=_slice!$I$7+0.000000001,IF(01_因子設定!$B$20="Box-Behnken",L$14^2+$B30^2+_slice!$H$8&lt;=2+0.000000001,TRUE())),_slice!L88,"外")</f>
        <v>47.2902755681818</v>
      </c>
      <c r="M30" s="50" t="n">
        <f aca="false">IF(AND(_slice!$H$5=1,M$14&gt;=_slice!$H$6-0.000000001,M$14&lt;=_slice!$I$6+0.000000001,$B30&gt;=_slice!$H$7-0.000000001,$B30&lt;=_slice!$I$7+0.000000001,IF(01_因子設定!$B$20="Box-Behnken",M$14^2+$B30^2+_slice!$H$8&lt;=2+0.000000001,TRUE())),_slice!M88,"外")</f>
        <v>47.5186732954546</v>
      </c>
      <c r="N30" s="50" t="n">
        <f aca="false">IF(AND(_slice!$H$5=1,N$14&gt;=_slice!$H$6-0.000000001,N$14&lt;=_slice!$I$6+0.000000001,$B30&gt;=_slice!$H$7-0.000000001,$B30&lt;=_slice!$I$7+0.000000001,IF(01_因子設定!$B$20="Box-Behnken",N$14^2+$B30^2+_slice!$H$8&lt;=2+0.000000001,TRUE())),_slice!N88,"外")</f>
        <v>47.6975255681818</v>
      </c>
      <c r="O30" s="50" t="n">
        <f aca="false">IF(AND(_slice!$H$5=1,O$14&gt;=_slice!$H$6-0.000000001,O$14&lt;=_slice!$I$6+0.000000001,$B30&gt;=_slice!$H$7-0.000000001,$B30&lt;=_slice!$I$7+0.000000001,IF(01_因子設定!$B$20="Box-Behnken",O$14^2+$B30^2+_slice!$H$8&lt;=2+0.000000001,TRUE())),_slice!O88,"外")</f>
        <v>47.8268323863637</v>
      </c>
      <c r="P30" s="50" t="n">
        <f aca="false">IF(AND(_slice!$H$5=1,P$14&gt;=_slice!$H$6-0.000000001,P$14&lt;=_slice!$I$6+0.000000001,$B30&gt;=_slice!$H$7-0.000000001,$B30&lt;=_slice!$I$7+0.000000001,IF(01_因子設定!$B$20="Box-Behnken",P$14^2+$B30^2+_slice!$H$8&lt;=2+0.000000001,TRUE())),_slice!P88,"外")</f>
        <v>47.90659375</v>
      </c>
      <c r="Q30" s="50" t="n">
        <f aca="false">IF(AND(_slice!$H$5=1,Q$14&gt;=_slice!$H$6-0.000000001,Q$14&lt;=_slice!$I$6+0.000000001,$B30&gt;=_slice!$H$7-0.000000001,$B30&lt;=_slice!$I$7+0.000000001,IF(01_因子設定!$B$20="Box-Behnken",Q$14^2+$B30^2+_slice!$H$8&lt;=2+0.000000001,TRUE())),_slice!Q88,"外")</f>
        <v>47.9368096590909</v>
      </c>
      <c r="R30" s="50" t="n">
        <f aca="false">IF(AND(_slice!$H$5=1,R$14&gt;=_slice!$H$6-0.000000001,R$14&lt;=_slice!$I$6+0.000000001,$B30&gt;=_slice!$H$7-0.000000001,$B30&lt;=_slice!$I$7+0.000000001,IF(01_因子設定!$B$20="Box-Behnken",R$14^2+$B30^2+_slice!$H$8&lt;=2+0.000000001,TRUE())),_slice!R88,"外")</f>
        <v>47.9174801136364</v>
      </c>
      <c r="S30" s="50" t="n">
        <f aca="false">IF(AND(_slice!$H$5=1,S$14&gt;=_slice!$H$6-0.000000001,S$14&lt;=_slice!$I$6+0.000000001,$B30&gt;=_slice!$H$7-0.000000001,$B30&lt;=_slice!$I$7+0.000000001,IF(01_因子設定!$B$20="Box-Behnken",S$14^2+$B30^2+_slice!$H$8&lt;=2+0.000000001,TRUE())),_slice!S88,"外")</f>
        <v>47.8486051136364</v>
      </c>
      <c r="T30" s="50" t="n">
        <f aca="false">IF(AND(_slice!$H$5=1,T$14&gt;=_slice!$H$6-0.000000001,T$14&lt;=_slice!$I$6+0.000000001,$B30&gt;=_slice!$H$7-0.000000001,$B30&lt;=_slice!$I$7+0.000000001,IF(01_因子設定!$B$20="Box-Behnken",T$14^2+$B30^2+_slice!$H$8&lt;=2+0.000000001,TRUE())),_slice!T88,"外")</f>
        <v>47.7301846590909</v>
      </c>
      <c r="U30" s="50" t="n">
        <f aca="false">IF(AND(_slice!$H$5=1,U$14&gt;=_slice!$H$6-0.000000001,U$14&lt;=_slice!$I$6+0.000000001,$B30&gt;=_slice!$H$7-0.000000001,$B30&lt;=_slice!$I$7+0.000000001,IF(01_因子設定!$B$20="Box-Behnken",U$14^2+$B30^2+_slice!$H$8&lt;=2+0.000000001,TRUE())),_slice!U88,"外")</f>
        <v>47.56221875</v>
      </c>
      <c r="V30" s="50" t="n">
        <f aca="false">IF(AND(_slice!$H$5=1,V$14&gt;=_slice!$H$6-0.000000001,V$14&lt;=_slice!$I$6+0.000000001,$B30&gt;=_slice!$H$7-0.000000001,$B30&lt;=_slice!$I$7+0.000000001,IF(01_因子設定!$B$20="Box-Behnken",V$14^2+$B30^2+_slice!$H$8&lt;=2+0.000000001,TRUE())),_slice!V88,"外")</f>
        <v>47.3447073863636</v>
      </c>
      <c r="W30" s="50" t="n">
        <f aca="false">IF(AND(_slice!$H$5=1,W$14&gt;=_slice!$H$6-0.000000001,W$14&lt;=_slice!$I$6+0.000000001,$B30&gt;=_slice!$H$7-0.000000001,$B30&lt;=_slice!$I$7+0.000000001,IF(01_因子設定!$B$20="Box-Behnken",W$14^2+$B30^2+_slice!$H$8&lt;=2+0.000000001,TRUE())),_slice!W88,"外")</f>
        <v>47.0776505681818</v>
      </c>
    </row>
    <row r="31" customFormat="false" ht="15" hidden="false" customHeight="false" outlineLevel="0" collapsed="false">
      <c r="A31" s="49" t="n">
        <f aca="false">INDEX(01_因子設定!$G$5:$G$7,$C$5)+B31*INDEX(01_因子設定!$H$5:$H$7,$C$5)</f>
        <v>25</v>
      </c>
      <c r="B31" s="49" t="n">
        <v>-0.5</v>
      </c>
      <c r="C31" s="50" t="n">
        <f aca="false">IF(AND(_slice!$H$5=1,C$14&gt;=_slice!$H$6-0.000000001,C$14&lt;=_slice!$I$6+0.000000001,$B31&gt;=_slice!$H$7-0.000000001,$B31&lt;=_slice!$I$7+0.000000001,IF(01_因子設定!$B$20="Box-Behnken",C$14^2+$B31^2+_slice!$H$8&lt;=2+0.000000001,TRUE())),_slice!C89,"外")</f>
        <v>42.7100710227273</v>
      </c>
      <c r="D31" s="50" t="n">
        <f aca="false">IF(AND(_slice!$H$5=1,D$14&gt;=_slice!$H$6-0.000000001,D$14&lt;=_slice!$I$6+0.000000001,$B31&gt;=_slice!$H$7-0.000000001,$B31&lt;=_slice!$I$7+0.000000001,IF(01_因子設定!$B$20="Box-Behnken",D$14^2+$B31^2+_slice!$H$8&lt;=2+0.000000001,TRUE())),_slice!D89,"外")</f>
        <v>43.3721278409091</v>
      </c>
      <c r="E31" s="50" t="n">
        <f aca="false">IF(AND(_slice!$H$5=1,E$14&gt;=_slice!$H$6-0.000000001,E$14&lt;=_slice!$I$6+0.000000001,$B31&gt;=_slice!$H$7-0.000000001,$B31&lt;=_slice!$I$7+0.000000001,IF(01_因子設定!$B$20="Box-Behnken",E$14^2+$B31^2+_slice!$H$8&lt;=2+0.000000001,TRUE())),_slice!E89,"外")</f>
        <v>43.9846392045455</v>
      </c>
      <c r="F31" s="50" t="n">
        <f aca="false">IF(AND(_slice!$H$5=1,F$14&gt;=_slice!$H$6-0.000000001,F$14&lt;=_slice!$I$6+0.000000001,$B31&gt;=_slice!$H$7-0.000000001,$B31&lt;=_slice!$I$7+0.000000001,IF(01_因子設定!$B$20="Box-Behnken",F$14^2+$B31^2+_slice!$H$8&lt;=2+0.000000001,TRUE())),_slice!F89,"外")</f>
        <v>44.5476051136364</v>
      </c>
      <c r="G31" s="50" t="n">
        <f aca="false">IF(AND(_slice!$H$5=1,G$14&gt;=_slice!$H$6-0.000000001,G$14&lt;=_slice!$I$6+0.000000001,$B31&gt;=_slice!$H$7-0.000000001,$B31&lt;=_slice!$I$7+0.000000001,IF(01_因子設定!$B$20="Box-Behnken",G$14^2+$B31^2+_slice!$H$8&lt;=2+0.000000001,TRUE())),_slice!G89,"外")</f>
        <v>45.0610255681818</v>
      </c>
      <c r="H31" s="50" t="n">
        <f aca="false">IF(AND(_slice!$H$5=1,H$14&gt;=_slice!$H$6-0.000000001,H$14&lt;=_slice!$I$6+0.000000001,$B31&gt;=_slice!$H$7-0.000000001,$B31&lt;=_slice!$I$7+0.000000001,IF(01_因子設定!$B$20="Box-Behnken",H$14^2+$B31^2+_slice!$H$8&lt;=2+0.000000001,TRUE())),_slice!H89,"外")</f>
        <v>45.5249005681818</v>
      </c>
      <c r="I31" s="50" t="n">
        <f aca="false">IF(AND(_slice!$H$5=1,I$14&gt;=_slice!$H$6-0.000000001,I$14&lt;=_slice!$I$6+0.000000001,$B31&gt;=_slice!$H$7-0.000000001,$B31&lt;=_slice!$I$7+0.000000001,IF(01_因子設定!$B$20="Box-Behnken",I$14^2+$B31^2+_slice!$H$8&lt;=2+0.000000001,TRUE())),_slice!I89,"外")</f>
        <v>45.9392301136364</v>
      </c>
      <c r="J31" s="50" t="n">
        <f aca="false">IF(AND(_slice!$H$5=1,J$14&gt;=_slice!$H$6-0.000000001,J$14&lt;=_slice!$I$6+0.000000001,$B31&gt;=_slice!$H$7-0.000000001,$B31&lt;=_slice!$I$7+0.000000001,IF(01_因子設定!$B$20="Box-Behnken",J$14^2+$B31^2+_slice!$H$8&lt;=2+0.000000001,TRUE())),_slice!J89,"外")</f>
        <v>46.3040142045455</v>
      </c>
      <c r="K31" s="50" t="n">
        <f aca="false">IF(AND(_slice!$H$5=1,K$14&gt;=_slice!$H$6-0.000000001,K$14&lt;=_slice!$I$6+0.000000001,$B31&gt;=_slice!$H$7-0.000000001,$B31&lt;=_slice!$I$7+0.000000001,IF(01_因子設定!$B$20="Box-Behnken",K$14^2+$B31^2+_slice!$H$8&lt;=2+0.000000001,TRUE())),_slice!K89,"外")</f>
        <v>46.6192528409091</v>
      </c>
      <c r="L31" s="50" t="n">
        <f aca="false">IF(AND(_slice!$H$5=1,L$14&gt;=_slice!$H$6-0.000000001,L$14&lt;=_slice!$I$6+0.000000001,$B31&gt;=_slice!$H$7-0.000000001,$B31&lt;=_slice!$I$7+0.000000001,IF(01_因子設定!$B$20="Box-Behnken",L$14^2+$B31^2+_slice!$H$8&lt;=2+0.000000001,TRUE())),_slice!L89,"外")</f>
        <v>46.8849460227273</v>
      </c>
      <c r="M31" s="50" t="n">
        <f aca="false">IF(AND(_slice!$H$5=1,M$14&gt;=_slice!$H$6-0.000000001,M$14&lt;=_slice!$I$6+0.000000001,$B31&gt;=_slice!$H$7-0.000000001,$B31&lt;=_slice!$I$7+0.000000001,IF(01_因子設定!$B$20="Box-Behnken",M$14^2+$B31^2+_slice!$H$8&lt;=2+0.000000001,TRUE())),_slice!M89,"外")</f>
        <v>47.10109375</v>
      </c>
      <c r="N31" s="50" t="n">
        <f aca="false">IF(AND(_slice!$H$5=1,N$14&gt;=_slice!$H$6-0.000000001,N$14&lt;=_slice!$I$6+0.000000001,$B31&gt;=_slice!$H$7-0.000000001,$B31&lt;=_slice!$I$7+0.000000001,IF(01_因子設定!$B$20="Box-Behnken",N$14^2+$B31^2+_slice!$H$8&lt;=2+0.000000001,TRUE())),_slice!N89,"外")</f>
        <v>47.2676960227273</v>
      </c>
      <c r="O31" s="50" t="n">
        <f aca="false">IF(AND(_slice!$H$5=1,O$14&gt;=_slice!$H$6-0.000000001,O$14&lt;=_slice!$I$6+0.000000001,$B31&gt;=_slice!$H$7-0.000000001,$B31&lt;=_slice!$I$7+0.000000001,IF(01_因子設定!$B$20="Box-Behnken",O$14^2+$B31^2+_slice!$H$8&lt;=2+0.000000001,TRUE())),_slice!O89,"外")</f>
        <v>47.3847528409091</v>
      </c>
      <c r="P31" s="50" t="n">
        <f aca="false">IF(AND(_slice!$H$5=1,P$14&gt;=_slice!$H$6-0.000000001,P$14&lt;=_slice!$I$6+0.000000001,$B31&gt;=_slice!$H$7-0.000000001,$B31&lt;=_slice!$I$7+0.000000001,IF(01_因子設定!$B$20="Box-Behnken",P$14^2+$B31^2+_slice!$H$8&lt;=2+0.000000001,TRUE())),_slice!P89,"外")</f>
        <v>47.4522642045455</v>
      </c>
      <c r="Q31" s="50" t="n">
        <f aca="false">IF(AND(_slice!$H$5=1,Q$14&gt;=_slice!$H$6-0.000000001,Q$14&lt;=_slice!$I$6+0.000000001,$B31&gt;=_slice!$H$7-0.000000001,$B31&lt;=_slice!$I$7+0.000000001,IF(01_因子設定!$B$20="Box-Behnken",Q$14^2+$B31^2+_slice!$H$8&lt;=2+0.000000001,TRUE())),_slice!Q89,"外")</f>
        <v>47.4702301136364</v>
      </c>
      <c r="R31" s="50" t="n">
        <f aca="false">IF(AND(_slice!$H$5=1,R$14&gt;=_slice!$H$6-0.000000001,R$14&lt;=_slice!$I$6+0.000000001,$B31&gt;=_slice!$H$7-0.000000001,$B31&lt;=_slice!$I$7+0.000000001,IF(01_因子設定!$B$20="Box-Behnken",R$14^2+$B31^2+_slice!$H$8&lt;=2+0.000000001,TRUE())),_slice!R89,"外")</f>
        <v>47.4386505681818</v>
      </c>
      <c r="S31" s="50" t="n">
        <f aca="false">IF(AND(_slice!$H$5=1,S$14&gt;=_slice!$H$6-0.000000001,S$14&lt;=_slice!$I$6+0.000000001,$B31&gt;=_slice!$H$7-0.000000001,$B31&lt;=_slice!$I$7+0.000000001,IF(01_因子設定!$B$20="Box-Behnken",S$14^2+$B31^2+_slice!$H$8&lt;=2+0.000000001,TRUE())),_slice!S89,"外")</f>
        <v>47.3575255681818</v>
      </c>
      <c r="T31" s="50" t="n">
        <f aca="false">IF(AND(_slice!$H$5=1,T$14&gt;=_slice!$H$6-0.000000001,T$14&lt;=_slice!$I$6+0.000000001,$B31&gt;=_slice!$H$7-0.000000001,$B31&lt;=_slice!$I$7+0.000000001,IF(01_因子設定!$B$20="Box-Behnken",T$14^2+$B31^2+_slice!$H$8&lt;=2+0.000000001,TRUE())),_slice!T89,"外")</f>
        <v>47.2268551136364</v>
      </c>
      <c r="U31" s="50" t="n">
        <f aca="false">IF(AND(_slice!$H$5=1,U$14&gt;=_slice!$H$6-0.000000001,U$14&lt;=_slice!$I$6+0.000000001,$B31&gt;=_slice!$H$7-0.000000001,$B31&lt;=_slice!$I$7+0.000000001,IF(01_因子設定!$B$20="Box-Behnken",U$14^2+$B31^2+_slice!$H$8&lt;=2+0.000000001,TRUE())),_slice!U89,"外")</f>
        <v>47.0466392045455</v>
      </c>
      <c r="V31" s="50" t="n">
        <f aca="false">IF(AND(_slice!$H$5=1,V$14&gt;=_slice!$H$6-0.000000001,V$14&lt;=_slice!$I$6+0.000000001,$B31&gt;=_slice!$H$7-0.000000001,$B31&lt;=_slice!$I$7+0.000000001,IF(01_因子設定!$B$20="Box-Behnken",V$14^2+$B31^2+_slice!$H$8&lt;=2+0.000000001,TRUE())),_slice!V89,"外")</f>
        <v>46.8168778409091</v>
      </c>
      <c r="W31" s="50" t="n">
        <f aca="false">IF(AND(_slice!$H$5=1,W$14&gt;=_slice!$H$6-0.000000001,W$14&lt;=_slice!$I$6+0.000000001,$B31&gt;=_slice!$H$7-0.000000001,$B31&lt;=_slice!$I$7+0.000000001,IF(01_因子設定!$B$20="Box-Behnken",W$14^2+$B31^2+_slice!$H$8&lt;=2+0.000000001,TRUE())),_slice!W89,"外")</f>
        <v>46.5375710227273</v>
      </c>
    </row>
    <row r="32" customFormat="false" ht="15" hidden="false" customHeight="false" outlineLevel="0" collapsed="false">
      <c r="A32" s="49" t="n">
        <f aca="false">INDEX(01_因子設定!$G$5:$G$7,$C$5)+B32*INDEX(01_因子設定!$H$5:$H$7,$C$5)</f>
        <v>24</v>
      </c>
      <c r="B32" s="49" t="n">
        <v>-0.6</v>
      </c>
      <c r="C32" s="50" t="n">
        <f aca="false">IF(AND(_slice!$H$5=1,C$14&gt;=_slice!$H$6-0.000000001,C$14&lt;=_slice!$I$6+0.000000001,$B32&gt;=_slice!$H$7-0.000000001,$B32&lt;=_slice!$I$7+0.000000001,IF(01_因子設定!$B$20="Box-Behnken",C$14^2+$B32^2+_slice!$H$8&lt;=2+0.000000001,TRUE())),_slice!C90,"外")</f>
        <v>42.3744460227273</v>
      </c>
      <c r="D32" s="50" t="n">
        <f aca="false">IF(AND(_slice!$H$5=1,D$14&gt;=_slice!$H$6-0.000000001,D$14&lt;=_slice!$I$6+0.000000001,$B32&gt;=_slice!$H$7-0.000000001,$B32&lt;=_slice!$I$7+0.000000001,IF(01_因子設定!$B$20="Box-Behnken",D$14^2+$B32^2+_slice!$H$8&lt;=2+0.000000001,TRUE())),_slice!D90,"外")</f>
        <v>43.0242528409091</v>
      </c>
      <c r="E32" s="50" t="n">
        <f aca="false">IF(AND(_slice!$H$5=1,E$14&gt;=_slice!$H$6-0.000000001,E$14&lt;=_slice!$I$6+0.000000001,$B32&gt;=_slice!$H$7-0.000000001,$B32&lt;=_slice!$I$7+0.000000001,IF(01_因子設定!$B$20="Box-Behnken",E$14^2+$B32^2+_slice!$H$8&lt;=2+0.000000001,TRUE())),_slice!E90,"外")</f>
        <v>43.6245142045455</v>
      </c>
      <c r="F32" s="50" t="n">
        <f aca="false">IF(AND(_slice!$H$5=1,F$14&gt;=_slice!$H$6-0.000000001,F$14&lt;=_slice!$I$6+0.000000001,$B32&gt;=_slice!$H$7-0.000000001,$B32&lt;=_slice!$I$7+0.000000001,IF(01_因子設定!$B$20="Box-Behnken",F$14^2+$B32^2+_slice!$H$8&lt;=2+0.000000001,TRUE())),_slice!F90,"外")</f>
        <v>44.1752301136364</v>
      </c>
      <c r="G32" s="50" t="n">
        <f aca="false">IF(AND(_slice!$H$5=1,G$14&gt;=_slice!$H$6-0.000000001,G$14&lt;=_slice!$I$6+0.000000001,$B32&gt;=_slice!$H$7-0.000000001,$B32&lt;=_slice!$I$7+0.000000001,IF(01_因子設定!$B$20="Box-Behnken",G$14^2+$B32^2+_slice!$H$8&lt;=2+0.000000001,TRUE())),_slice!G90,"外")</f>
        <v>44.6764005681818</v>
      </c>
      <c r="H32" s="50" t="n">
        <f aca="false">IF(AND(_slice!$H$5=1,H$14&gt;=_slice!$H$6-0.000000001,H$14&lt;=_slice!$I$6+0.000000001,$B32&gt;=_slice!$H$7-0.000000001,$B32&lt;=_slice!$I$7+0.000000001,IF(01_因子設定!$B$20="Box-Behnken",H$14^2+$B32^2+_slice!$H$8&lt;=2+0.000000001,TRUE())),_slice!H90,"外")</f>
        <v>45.1280255681818</v>
      </c>
      <c r="I32" s="50" t="n">
        <f aca="false">IF(AND(_slice!$H$5=1,I$14&gt;=_slice!$H$6-0.000000001,I$14&lt;=_slice!$I$6+0.000000001,$B32&gt;=_slice!$H$7-0.000000001,$B32&lt;=_slice!$I$7+0.000000001,IF(01_因子設定!$B$20="Box-Behnken",I$14^2+$B32^2+_slice!$H$8&lt;=2+0.000000001,TRUE())),_slice!I90,"外")</f>
        <v>45.5301051136364</v>
      </c>
      <c r="J32" s="50" t="n">
        <f aca="false">IF(AND(_slice!$H$5=1,J$14&gt;=_slice!$H$6-0.000000001,J$14&lt;=_slice!$I$6+0.000000001,$B32&gt;=_slice!$H$7-0.000000001,$B32&lt;=_slice!$I$7+0.000000001,IF(01_因子設定!$B$20="Box-Behnken",J$14^2+$B32^2+_slice!$H$8&lt;=2+0.000000001,TRUE())),_slice!J90,"外")</f>
        <v>45.8826392045455</v>
      </c>
      <c r="K32" s="50" t="n">
        <f aca="false">IF(AND(_slice!$H$5=1,K$14&gt;=_slice!$H$6-0.000000001,K$14&lt;=_slice!$I$6+0.000000001,$B32&gt;=_slice!$H$7-0.000000001,$B32&lt;=_slice!$I$7+0.000000001,IF(01_因子設定!$B$20="Box-Behnken",K$14^2+$B32^2+_slice!$H$8&lt;=2+0.000000001,TRUE())),_slice!K90,"外")</f>
        <v>46.1856278409091</v>
      </c>
      <c r="L32" s="50" t="n">
        <f aca="false">IF(AND(_slice!$H$5=1,L$14&gt;=_slice!$H$6-0.000000001,L$14&lt;=_slice!$I$6+0.000000001,$B32&gt;=_slice!$H$7-0.000000001,$B32&lt;=_slice!$I$7+0.000000001,IF(01_因子設定!$B$20="Box-Behnken",L$14^2+$B32^2+_slice!$H$8&lt;=2+0.000000001,TRUE())),_slice!L90,"外")</f>
        <v>46.4390710227273</v>
      </c>
      <c r="M32" s="50" t="n">
        <f aca="false">IF(AND(_slice!$H$5=1,M$14&gt;=_slice!$H$6-0.000000001,M$14&lt;=_slice!$I$6+0.000000001,$B32&gt;=_slice!$H$7-0.000000001,$B32&lt;=_slice!$I$7+0.000000001,IF(01_因子設定!$B$20="Box-Behnken",M$14^2+$B32^2+_slice!$H$8&lt;=2+0.000000001,TRUE())),_slice!M90,"外")</f>
        <v>46.64296875</v>
      </c>
      <c r="N32" s="50" t="n">
        <f aca="false">IF(AND(_slice!$H$5=1,N$14&gt;=_slice!$H$6-0.000000001,N$14&lt;=_slice!$I$6+0.000000001,$B32&gt;=_slice!$H$7-0.000000001,$B32&lt;=_slice!$I$7+0.000000001,IF(01_因子設定!$B$20="Box-Behnken",N$14^2+$B32^2+_slice!$H$8&lt;=2+0.000000001,TRUE())),_slice!N90,"外")</f>
        <v>46.7973210227273</v>
      </c>
      <c r="O32" s="50" t="n">
        <f aca="false">IF(AND(_slice!$H$5=1,O$14&gt;=_slice!$H$6-0.000000001,O$14&lt;=_slice!$I$6+0.000000001,$B32&gt;=_slice!$H$7-0.000000001,$B32&lt;=_slice!$I$7+0.000000001,IF(01_因子設定!$B$20="Box-Behnken",O$14^2+$B32^2+_slice!$H$8&lt;=2+0.000000001,TRUE())),_slice!O90,"外")</f>
        <v>46.9021278409091</v>
      </c>
      <c r="P32" s="50" t="n">
        <f aca="false">IF(AND(_slice!$H$5=1,P$14&gt;=_slice!$H$6-0.000000001,P$14&lt;=_slice!$I$6+0.000000001,$B32&gt;=_slice!$H$7-0.000000001,$B32&lt;=_slice!$I$7+0.000000001,IF(01_因子設定!$B$20="Box-Behnken",P$14^2+$B32^2+_slice!$H$8&lt;=2+0.000000001,TRUE())),_slice!P90,"外")</f>
        <v>46.9573892045455</v>
      </c>
      <c r="Q32" s="50" t="n">
        <f aca="false">IF(AND(_slice!$H$5=1,Q$14&gt;=_slice!$H$6-0.000000001,Q$14&lt;=_slice!$I$6+0.000000001,$B32&gt;=_slice!$H$7-0.000000001,$B32&lt;=_slice!$I$7+0.000000001,IF(01_因子設定!$B$20="Box-Behnken",Q$14^2+$B32^2+_slice!$H$8&lt;=2+0.000000001,TRUE())),_slice!Q90,"外")</f>
        <v>46.9631051136364</v>
      </c>
      <c r="R32" s="50" t="n">
        <f aca="false">IF(AND(_slice!$H$5=1,R$14&gt;=_slice!$H$6-0.000000001,R$14&lt;=_slice!$I$6+0.000000001,$B32&gt;=_slice!$H$7-0.000000001,$B32&lt;=_slice!$I$7+0.000000001,IF(01_因子設定!$B$20="Box-Behnken",R$14^2+$B32^2+_slice!$H$8&lt;=2+0.000000001,TRUE())),_slice!R90,"外")</f>
        <v>46.9192755681818</v>
      </c>
      <c r="S32" s="50" t="n">
        <f aca="false">IF(AND(_slice!$H$5=1,S$14&gt;=_slice!$H$6-0.000000001,S$14&lt;=_slice!$I$6+0.000000001,$B32&gt;=_slice!$H$7-0.000000001,$B32&lt;=_slice!$I$7+0.000000001,IF(01_因子設定!$B$20="Box-Behnken",S$14^2+$B32^2+_slice!$H$8&lt;=2+0.000000001,TRUE())),_slice!S90,"外")</f>
        <v>46.8259005681818</v>
      </c>
      <c r="T32" s="50" t="n">
        <f aca="false">IF(AND(_slice!$H$5=1,T$14&gt;=_slice!$H$6-0.000000001,T$14&lt;=_slice!$I$6+0.000000001,$B32&gt;=_slice!$H$7-0.000000001,$B32&lt;=_slice!$I$7+0.000000001,IF(01_因子設定!$B$20="Box-Behnken",T$14^2+$B32^2+_slice!$H$8&lt;=2+0.000000001,TRUE())),_slice!T90,"外")</f>
        <v>46.6829801136364</v>
      </c>
      <c r="U32" s="50" t="n">
        <f aca="false">IF(AND(_slice!$H$5=1,U$14&gt;=_slice!$H$6-0.000000001,U$14&lt;=_slice!$I$6+0.000000001,$B32&gt;=_slice!$H$7-0.000000001,$B32&lt;=_slice!$I$7+0.000000001,IF(01_因子設定!$B$20="Box-Behnken",U$14^2+$B32^2+_slice!$H$8&lt;=2+0.000000001,TRUE())),_slice!U90,"外")</f>
        <v>46.4905142045455</v>
      </c>
      <c r="V32" s="50" t="n">
        <f aca="false">IF(AND(_slice!$H$5=1,V$14&gt;=_slice!$H$6-0.000000001,V$14&lt;=_slice!$I$6+0.000000001,$B32&gt;=_slice!$H$7-0.000000001,$B32&lt;=_slice!$I$7+0.000000001,IF(01_因子設定!$B$20="Box-Behnken",V$14^2+$B32^2+_slice!$H$8&lt;=2+0.000000001,TRUE())),_slice!V90,"外")</f>
        <v>46.2485028409091</v>
      </c>
      <c r="W32" s="50" t="n">
        <f aca="false">IF(AND(_slice!$H$5=1,W$14&gt;=_slice!$H$6-0.000000001,W$14&lt;=_slice!$I$6+0.000000001,$B32&gt;=_slice!$H$7-0.000000001,$B32&lt;=_slice!$I$7+0.000000001,IF(01_因子設定!$B$20="Box-Behnken",W$14^2+$B32^2+_slice!$H$8&lt;=2+0.000000001,TRUE())),_slice!W90,"外")</f>
        <v>45.9569460227273</v>
      </c>
    </row>
    <row r="33" customFormat="false" ht="15" hidden="false" customHeight="false" outlineLevel="0" collapsed="false">
      <c r="A33" s="49" t="n">
        <f aca="false">INDEX(01_因子設定!$G$5:$G$7,$C$5)+B33*INDEX(01_因子設定!$H$5:$H$7,$C$5)</f>
        <v>23</v>
      </c>
      <c r="B33" s="49" t="n">
        <v>-0.7</v>
      </c>
      <c r="C33" s="50" t="n">
        <f aca="false">IF(AND(_slice!$H$5=1,C$14&gt;=_slice!$H$6-0.000000001,C$14&lt;=_slice!$I$6+0.000000001,$B33&gt;=_slice!$H$7-0.000000001,$B33&lt;=_slice!$I$7+0.000000001,IF(01_因子設定!$B$20="Box-Behnken",C$14^2+$B33^2+_slice!$H$8&lt;=2+0.000000001,TRUE())),_slice!C91,"外")</f>
        <v>41.9982755681818</v>
      </c>
      <c r="D33" s="50" t="n">
        <f aca="false">IF(AND(_slice!$H$5=1,D$14&gt;=_slice!$H$6-0.000000001,D$14&lt;=_slice!$I$6+0.000000001,$B33&gt;=_slice!$H$7-0.000000001,$B33&lt;=_slice!$I$7+0.000000001,IF(01_因子設定!$B$20="Box-Behnken",D$14^2+$B33^2+_slice!$H$8&lt;=2+0.000000001,TRUE())),_slice!D91,"外")</f>
        <v>42.6358323863636</v>
      </c>
      <c r="E33" s="50" t="n">
        <f aca="false">IF(AND(_slice!$H$5=1,E$14&gt;=_slice!$H$6-0.000000001,E$14&lt;=_slice!$I$6+0.000000001,$B33&gt;=_slice!$H$7-0.000000001,$B33&lt;=_slice!$I$7+0.000000001,IF(01_因子設定!$B$20="Box-Behnken",E$14^2+$B33^2+_slice!$H$8&lt;=2+0.000000001,TRUE())),_slice!E91,"外")</f>
        <v>43.22384375</v>
      </c>
      <c r="F33" s="50" t="n">
        <f aca="false">IF(AND(_slice!$H$5=1,F$14&gt;=_slice!$H$6-0.000000001,F$14&lt;=_slice!$I$6+0.000000001,$B33&gt;=_slice!$H$7-0.000000001,$B33&lt;=_slice!$I$7+0.000000001,IF(01_因子設定!$B$20="Box-Behnken",F$14^2+$B33^2+_slice!$H$8&lt;=2+0.000000001,TRUE())),_slice!F91,"外")</f>
        <v>43.7623096590909</v>
      </c>
      <c r="G33" s="50" t="n">
        <f aca="false">IF(AND(_slice!$H$5=1,G$14&gt;=_slice!$H$6-0.000000001,G$14&lt;=_slice!$I$6+0.000000001,$B33&gt;=_slice!$H$7-0.000000001,$B33&lt;=_slice!$I$7+0.000000001,IF(01_因子設定!$B$20="Box-Behnken",G$14^2+$B33^2+_slice!$H$8&lt;=2+0.000000001,TRUE())),_slice!G91,"外")</f>
        <v>44.2512301136364</v>
      </c>
      <c r="H33" s="50" t="n">
        <f aca="false">IF(AND(_slice!$H$5=1,H$14&gt;=_slice!$H$6-0.000000001,H$14&lt;=_slice!$I$6+0.000000001,$B33&gt;=_slice!$H$7-0.000000001,$B33&lt;=_slice!$I$7+0.000000001,IF(01_因子設定!$B$20="Box-Behnken",H$14^2+$B33^2+_slice!$H$8&lt;=2+0.000000001,TRUE())),_slice!H91,"外")</f>
        <v>44.6906051136364</v>
      </c>
      <c r="I33" s="50" t="n">
        <f aca="false">IF(AND(_slice!$H$5=1,I$14&gt;=_slice!$H$6-0.000000001,I$14&lt;=_slice!$I$6+0.000000001,$B33&gt;=_slice!$H$7-0.000000001,$B33&lt;=_slice!$I$7+0.000000001,IF(01_因子設定!$B$20="Box-Behnken",I$14^2+$B33^2+_slice!$H$8&lt;=2+0.000000001,TRUE())),_slice!I91,"外")</f>
        <v>45.0804346590909</v>
      </c>
      <c r="J33" s="50" t="n">
        <f aca="false">IF(AND(_slice!$H$5=1,J$14&gt;=_slice!$H$6-0.000000001,J$14&lt;=_slice!$I$6+0.000000001,$B33&gt;=_slice!$H$7-0.000000001,$B33&lt;=_slice!$I$7+0.000000001,IF(01_因子設定!$B$20="Box-Behnken",J$14^2+$B33^2+_slice!$H$8&lt;=2+0.000000001,TRUE())),_slice!J91,"外")</f>
        <v>45.42071875</v>
      </c>
      <c r="K33" s="50" t="n">
        <f aca="false">IF(AND(_slice!$H$5=1,K$14&gt;=_slice!$H$6-0.000000001,K$14&lt;=_slice!$I$6+0.000000001,$B33&gt;=_slice!$H$7-0.000000001,$B33&lt;=_slice!$I$7+0.000000001,IF(01_因子設定!$B$20="Box-Behnken",K$14^2+$B33^2+_slice!$H$8&lt;=2+0.000000001,TRUE())),_slice!K91,"外")</f>
        <v>45.7114573863637</v>
      </c>
      <c r="L33" s="50" t="n">
        <f aca="false">IF(AND(_slice!$H$5=1,L$14&gt;=_slice!$H$6-0.000000001,L$14&lt;=_slice!$I$6+0.000000001,$B33&gt;=_slice!$H$7-0.000000001,$B33&lt;=_slice!$I$7+0.000000001,IF(01_因子設定!$B$20="Box-Behnken",L$14^2+$B33^2+_slice!$H$8&lt;=2+0.000000001,TRUE())),_slice!L91,"外")</f>
        <v>45.9526505681818</v>
      </c>
      <c r="M33" s="50" t="n">
        <f aca="false">IF(AND(_slice!$H$5=1,M$14&gt;=_slice!$H$6-0.000000001,M$14&lt;=_slice!$I$6+0.000000001,$B33&gt;=_slice!$H$7-0.000000001,$B33&lt;=_slice!$I$7+0.000000001,IF(01_因子設定!$B$20="Box-Behnken",M$14^2+$B33^2+_slice!$H$8&lt;=2+0.000000001,TRUE())),_slice!M91,"外")</f>
        <v>46.1442982954546</v>
      </c>
      <c r="N33" s="50" t="n">
        <f aca="false">IF(AND(_slice!$H$5=1,N$14&gt;=_slice!$H$6-0.000000001,N$14&lt;=_slice!$I$6+0.000000001,$B33&gt;=_slice!$H$7-0.000000001,$B33&lt;=_slice!$I$7+0.000000001,IF(01_因子設定!$B$20="Box-Behnken",N$14^2+$B33^2+_slice!$H$8&lt;=2+0.000000001,TRUE())),_slice!N91,"外")</f>
        <v>46.2864005681819</v>
      </c>
      <c r="O33" s="50" t="n">
        <f aca="false">IF(AND(_slice!$H$5=1,O$14&gt;=_slice!$H$6-0.000000001,O$14&lt;=_slice!$I$6+0.000000001,$B33&gt;=_slice!$H$7-0.000000001,$B33&lt;=_slice!$I$7+0.000000001,IF(01_因子設定!$B$20="Box-Behnken",O$14^2+$B33^2+_slice!$H$8&lt;=2+0.000000001,TRUE())),_slice!O91,"外")</f>
        <v>46.3789573863637</v>
      </c>
      <c r="P33" s="50" t="n">
        <f aca="false">IF(AND(_slice!$H$5=1,P$14&gt;=_slice!$H$6-0.000000001,P$14&lt;=_slice!$I$6+0.000000001,$B33&gt;=_slice!$H$7-0.000000001,$B33&lt;=_slice!$I$7+0.000000001,IF(01_因子設定!$B$20="Box-Behnken",P$14^2+$B33^2+_slice!$H$8&lt;=2+0.000000001,TRUE())),_slice!P91,"外")</f>
        <v>46.42196875</v>
      </c>
      <c r="Q33" s="50" t="n">
        <f aca="false">IF(AND(_slice!$H$5=1,Q$14&gt;=_slice!$H$6-0.000000001,Q$14&lt;=_slice!$I$6+0.000000001,$B33&gt;=_slice!$H$7-0.000000001,$B33&lt;=_slice!$I$7+0.000000001,IF(01_因子設定!$B$20="Box-Behnken",Q$14^2+$B33^2+_slice!$H$8&lt;=2+0.000000001,TRUE())),_slice!Q91,"外")</f>
        <v>46.4154346590909</v>
      </c>
      <c r="R33" s="50" t="n">
        <f aca="false">IF(AND(_slice!$H$5=1,R$14&gt;=_slice!$H$6-0.000000001,R$14&lt;=_slice!$I$6+0.000000001,$B33&gt;=_slice!$H$7-0.000000001,$B33&lt;=_slice!$I$7+0.000000001,IF(01_因子設定!$B$20="Box-Behnken",R$14^2+$B33^2+_slice!$H$8&lt;=2+0.000000001,TRUE())),_slice!R91,"外")</f>
        <v>46.3593551136364</v>
      </c>
      <c r="S33" s="50" t="n">
        <f aca="false">IF(AND(_slice!$H$5=1,S$14&gt;=_slice!$H$6-0.000000001,S$14&lt;=_slice!$I$6+0.000000001,$B33&gt;=_slice!$H$7-0.000000001,$B33&lt;=_slice!$I$7+0.000000001,IF(01_因子設定!$B$20="Box-Behnken",S$14^2+$B33^2+_slice!$H$8&lt;=2+0.000000001,TRUE())),_slice!S91,"外")</f>
        <v>46.2537301136364</v>
      </c>
      <c r="T33" s="50" t="n">
        <f aca="false">IF(AND(_slice!$H$5=1,T$14&gt;=_slice!$H$6-0.000000001,T$14&lt;=_slice!$I$6+0.000000001,$B33&gt;=_slice!$H$7-0.000000001,$B33&lt;=_slice!$I$7+0.000000001,IF(01_因子設定!$B$20="Box-Behnken",T$14^2+$B33^2+_slice!$H$8&lt;=2+0.000000001,TRUE())),_slice!T91,"外")</f>
        <v>46.0985596590909</v>
      </c>
      <c r="U33" s="50" t="n">
        <f aca="false">IF(AND(_slice!$H$5=1,U$14&gt;=_slice!$H$6-0.000000001,U$14&lt;=_slice!$I$6+0.000000001,$B33&gt;=_slice!$H$7-0.000000001,$B33&lt;=_slice!$I$7+0.000000001,IF(01_因子設定!$B$20="Box-Behnken",U$14^2+$B33^2+_slice!$H$8&lt;=2+0.000000001,TRUE())),_slice!U91,"外")</f>
        <v>45.89384375</v>
      </c>
      <c r="V33" s="50" t="n">
        <f aca="false">IF(AND(_slice!$H$5=1,V$14&gt;=_slice!$H$6-0.000000001,V$14&lt;=_slice!$I$6+0.000000001,$B33&gt;=_slice!$H$7-0.000000001,$B33&lt;=_slice!$I$7+0.000000001,IF(01_因子設定!$B$20="Box-Behnken",V$14^2+$B33^2+_slice!$H$8&lt;=2+0.000000001,TRUE())),_slice!V91,"外")</f>
        <v>45.6395823863637</v>
      </c>
      <c r="W33" s="50" t="n">
        <f aca="false">IF(AND(_slice!$H$5=1,W$14&gt;=_slice!$H$6-0.000000001,W$14&lt;=_slice!$I$6+0.000000001,$B33&gt;=_slice!$H$7-0.000000001,$B33&lt;=_slice!$I$7+0.000000001,IF(01_因子設定!$B$20="Box-Behnken",W$14^2+$B33^2+_slice!$H$8&lt;=2+0.000000001,TRUE())),_slice!W91,"外")</f>
        <v>45.3357755681818</v>
      </c>
    </row>
    <row r="34" customFormat="false" ht="15" hidden="false" customHeight="false" outlineLevel="0" collapsed="false">
      <c r="A34" s="49" t="n">
        <f aca="false">INDEX(01_因子設定!$G$5:$G$7,$C$5)+B34*INDEX(01_因子設定!$H$5:$H$7,$C$5)</f>
        <v>22</v>
      </c>
      <c r="B34" s="49" t="n">
        <v>-0.8</v>
      </c>
      <c r="C34" s="50" t="n">
        <f aca="false">IF(AND(_slice!$H$5=1,C$14&gt;=_slice!$H$6-0.000000001,C$14&lt;=_slice!$I$6+0.000000001,$B34&gt;=_slice!$H$7-0.000000001,$B34&lt;=_slice!$I$7+0.000000001,IF(01_因子設定!$B$20="Box-Behnken",C$14^2+$B34^2+_slice!$H$8&lt;=2+0.000000001,TRUE())),_slice!C92,"外")</f>
        <v>41.5815596590909</v>
      </c>
      <c r="D34" s="50" t="n">
        <f aca="false">IF(AND(_slice!$H$5=1,D$14&gt;=_slice!$H$6-0.000000001,D$14&lt;=_slice!$I$6+0.000000001,$B34&gt;=_slice!$H$7-0.000000001,$B34&lt;=_slice!$I$7+0.000000001,IF(01_因子設定!$B$20="Box-Behnken",D$14^2+$B34^2+_slice!$H$8&lt;=2+0.000000001,TRUE())),_slice!D92,"外")</f>
        <v>42.2068664772727</v>
      </c>
      <c r="E34" s="50" t="n">
        <f aca="false">IF(AND(_slice!$H$5=1,E$14&gt;=_slice!$H$6-0.000000001,E$14&lt;=_slice!$I$6+0.000000001,$B34&gt;=_slice!$H$7-0.000000001,$B34&lt;=_slice!$I$7+0.000000001,IF(01_因子設定!$B$20="Box-Behnken",E$14^2+$B34^2+_slice!$H$8&lt;=2+0.000000001,TRUE())),_slice!E92,"外")</f>
        <v>42.7826278409091</v>
      </c>
      <c r="F34" s="50" t="n">
        <f aca="false">IF(AND(_slice!$H$5=1,F$14&gt;=_slice!$H$6-0.000000001,F$14&lt;=_slice!$I$6+0.000000001,$B34&gt;=_slice!$H$7-0.000000001,$B34&lt;=_slice!$I$7+0.000000001,IF(01_因子設定!$B$20="Box-Behnken",F$14^2+$B34^2+_slice!$H$8&lt;=2+0.000000001,TRUE())),_slice!F92,"外")</f>
        <v>43.30884375</v>
      </c>
      <c r="G34" s="50" t="n">
        <f aca="false">IF(AND(_slice!$H$5=1,G$14&gt;=_slice!$H$6-0.000000001,G$14&lt;=_slice!$I$6+0.000000001,$B34&gt;=_slice!$H$7-0.000000001,$B34&lt;=_slice!$I$7+0.000000001,IF(01_因子設定!$B$20="Box-Behnken",G$14^2+$B34^2+_slice!$H$8&lt;=2+0.000000001,TRUE())),_slice!G92,"外")</f>
        <v>43.7855142045455</v>
      </c>
      <c r="H34" s="50" t="n">
        <f aca="false">IF(AND(_slice!$H$5=1,H$14&gt;=_slice!$H$6-0.000000001,H$14&lt;=_slice!$I$6+0.000000001,$B34&gt;=_slice!$H$7-0.000000001,$B34&lt;=_slice!$I$7+0.000000001,IF(01_因子設定!$B$20="Box-Behnken",H$14^2+$B34^2+_slice!$H$8&lt;=2+0.000000001,TRUE())),_slice!H92,"外")</f>
        <v>44.2126392045455</v>
      </c>
      <c r="I34" s="50" t="n">
        <f aca="false">IF(AND(_slice!$H$5=1,I$14&gt;=_slice!$H$6-0.000000001,I$14&lt;=_slice!$I$6+0.000000001,$B34&gt;=_slice!$H$7-0.000000001,$B34&lt;=_slice!$I$7+0.000000001,IF(01_因子設定!$B$20="Box-Behnken",I$14^2+$B34^2+_slice!$H$8&lt;=2+0.000000001,TRUE())),_slice!I92,"外")</f>
        <v>44.59021875</v>
      </c>
      <c r="J34" s="50" t="n">
        <f aca="false">IF(AND(_slice!$H$5=1,J$14&gt;=_slice!$H$6-0.000000001,J$14&lt;=_slice!$I$6+0.000000001,$B34&gt;=_slice!$H$7-0.000000001,$B34&lt;=_slice!$I$7+0.000000001,IF(01_因子設定!$B$20="Box-Behnken",J$14^2+$B34^2+_slice!$H$8&lt;=2+0.000000001,TRUE())),_slice!J92,"外")</f>
        <v>44.9182528409091</v>
      </c>
      <c r="K34" s="50" t="n">
        <f aca="false">IF(AND(_slice!$H$5=1,K$14&gt;=_slice!$H$6-0.000000001,K$14&lt;=_slice!$I$6+0.000000001,$B34&gt;=_slice!$H$7-0.000000001,$B34&lt;=_slice!$I$7+0.000000001,IF(01_因子設定!$B$20="Box-Behnken",K$14^2+$B34^2+_slice!$H$8&lt;=2+0.000000001,TRUE())),_slice!K92,"外")</f>
        <v>45.1967414772727</v>
      </c>
      <c r="L34" s="50" t="n">
        <f aca="false">IF(AND(_slice!$H$5=1,L$14&gt;=_slice!$H$6-0.000000001,L$14&lt;=_slice!$I$6+0.000000001,$B34&gt;=_slice!$H$7-0.000000001,$B34&lt;=_slice!$I$7+0.000000001,IF(01_因子設定!$B$20="Box-Behnken",L$14^2+$B34^2+_slice!$H$8&lt;=2+0.000000001,TRUE())),_slice!L92,"外")</f>
        <v>45.4256846590909</v>
      </c>
      <c r="M34" s="50" t="n">
        <f aca="false">IF(AND(_slice!$H$5=1,M$14&gt;=_slice!$H$6-0.000000001,M$14&lt;=_slice!$I$6+0.000000001,$B34&gt;=_slice!$H$7-0.000000001,$B34&lt;=_slice!$I$7+0.000000001,IF(01_因子設定!$B$20="Box-Behnken",M$14^2+$B34^2+_slice!$H$8&lt;=2+0.000000001,TRUE())),_slice!M92,"外")</f>
        <v>45.6050823863637</v>
      </c>
      <c r="N34" s="50" t="n">
        <f aca="false">IF(AND(_slice!$H$5=1,N$14&gt;=_slice!$H$6-0.000000001,N$14&lt;=_slice!$I$6+0.000000001,$B34&gt;=_slice!$H$7-0.000000001,$B34&lt;=_slice!$I$7+0.000000001,IF(01_因子設定!$B$20="Box-Behnken",N$14^2+$B34^2+_slice!$H$8&lt;=2+0.000000001,TRUE())),_slice!N92,"外")</f>
        <v>45.7349346590909</v>
      </c>
      <c r="O34" s="50" t="n">
        <f aca="false">IF(AND(_slice!$H$5=1,O$14&gt;=_slice!$H$6-0.000000001,O$14&lt;=_slice!$I$6+0.000000001,$B34&gt;=_slice!$H$7-0.000000001,$B34&lt;=_slice!$I$7+0.000000001,IF(01_因子設定!$B$20="Box-Behnken",O$14^2+$B34^2+_slice!$H$8&lt;=2+0.000000001,TRUE())),_slice!O92,"外")</f>
        <v>45.8152414772728</v>
      </c>
      <c r="P34" s="50" t="n">
        <f aca="false">IF(AND(_slice!$H$5=1,P$14&gt;=_slice!$H$6-0.000000001,P$14&lt;=_slice!$I$6+0.000000001,$B34&gt;=_slice!$H$7-0.000000001,$B34&lt;=_slice!$I$7+0.000000001,IF(01_因子設定!$B$20="Box-Behnken",P$14^2+$B34^2+_slice!$H$8&lt;=2+0.000000001,TRUE())),_slice!P92,"外")</f>
        <v>45.8460028409091</v>
      </c>
      <c r="Q34" s="50" t="n">
        <f aca="false">IF(AND(_slice!$H$5=1,Q$14&gt;=_slice!$H$6-0.000000001,Q$14&lt;=_slice!$I$6+0.000000001,$B34&gt;=_slice!$H$7-0.000000001,$B34&lt;=_slice!$I$7+0.000000001,IF(01_因子設定!$B$20="Box-Behnken",Q$14^2+$B34^2+_slice!$H$8&lt;=2+0.000000001,TRUE())),_slice!Q92,"外")</f>
        <v>45.82721875</v>
      </c>
      <c r="R34" s="50" t="n">
        <f aca="false">IF(AND(_slice!$H$5=1,R$14&gt;=_slice!$H$6-0.000000001,R$14&lt;=_slice!$I$6+0.000000001,$B34&gt;=_slice!$H$7-0.000000001,$B34&lt;=_slice!$I$7+0.000000001,IF(01_因子設定!$B$20="Box-Behnken",R$14^2+$B34^2+_slice!$H$8&lt;=2+0.000000001,TRUE())),_slice!R92,"外")</f>
        <v>45.7588892045455</v>
      </c>
      <c r="S34" s="50" t="n">
        <f aca="false">IF(AND(_slice!$H$5=1,S$14&gt;=_slice!$H$6-0.000000001,S$14&lt;=_slice!$I$6+0.000000001,$B34&gt;=_slice!$H$7-0.000000001,$B34&lt;=_slice!$I$7+0.000000001,IF(01_因子設定!$B$20="Box-Behnken",S$14^2+$B34^2+_slice!$H$8&lt;=2+0.000000001,TRUE())),_slice!S92,"外")</f>
        <v>45.6410142045455</v>
      </c>
      <c r="T34" s="50" t="n">
        <f aca="false">IF(AND(_slice!$H$5=1,T$14&gt;=_slice!$H$6-0.000000001,T$14&lt;=_slice!$I$6+0.000000001,$B34&gt;=_slice!$H$7-0.000000001,$B34&lt;=_slice!$I$7+0.000000001,IF(01_因子設定!$B$20="Box-Behnken",T$14^2+$B34^2+_slice!$H$8&lt;=2+0.000000001,TRUE())),_slice!T92,"外")</f>
        <v>45.47359375</v>
      </c>
      <c r="U34" s="50" t="n">
        <f aca="false">IF(AND(_slice!$H$5=1,U$14&gt;=_slice!$H$6-0.000000001,U$14&lt;=_slice!$I$6+0.000000001,$B34&gt;=_slice!$H$7-0.000000001,$B34&lt;=_slice!$I$7+0.000000001,IF(01_因子設定!$B$20="Box-Behnken",U$14^2+$B34^2+_slice!$H$8&lt;=2+0.000000001,TRUE())),_slice!U92,"外")</f>
        <v>45.2566278409091</v>
      </c>
      <c r="V34" s="50" t="n">
        <f aca="false">IF(AND(_slice!$H$5=1,V$14&gt;=_slice!$H$6-0.000000001,V$14&lt;=_slice!$I$6+0.000000001,$B34&gt;=_slice!$H$7-0.000000001,$B34&lt;=_slice!$I$7+0.000000001,IF(01_因子設定!$B$20="Box-Behnken",V$14^2+$B34^2+_slice!$H$8&lt;=2+0.000000001,TRUE())),_slice!V92,"外")</f>
        <v>44.9901164772727</v>
      </c>
      <c r="W34" s="50" t="n">
        <f aca="false">IF(AND(_slice!$H$5=1,W$14&gt;=_slice!$H$6-0.000000001,W$14&lt;=_slice!$I$6+0.000000001,$B34&gt;=_slice!$H$7-0.000000001,$B34&lt;=_slice!$I$7+0.000000001,IF(01_因子設定!$B$20="Box-Behnken",W$14^2+$B34^2+_slice!$H$8&lt;=2+0.000000001,TRUE())),_slice!W92,"外")</f>
        <v>44.6740596590909</v>
      </c>
    </row>
    <row r="35" customFormat="false" ht="15" hidden="false" customHeight="false" outlineLevel="0" collapsed="false">
      <c r="A35" s="49" t="n">
        <f aca="false">INDEX(01_因子設定!$G$5:$G$7,$C$5)+B35*INDEX(01_因子設定!$H$5:$H$7,$C$5)</f>
        <v>21</v>
      </c>
      <c r="B35" s="49" t="n">
        <v>-0.9</v>
      </c>
      <c r="C35" s="50" t="n">
        <f aca="false">IF(AND(_slice!$H$5=1,C$14&gt;=_slice!$H$6-0.000000001,C$14&lt;=_slice!$I$6+0.000000001,$B35&gt;=_slice!$H$7-0.000000001,$B35&lt;=_slice!$I$7+0.000000001,IF(01_因子設定!$B$20="Box-Behnken",C$14^2+$B35^2+_slice!$H$8&lt;=2+0.000000001,TRUE())),_slice!C93,"外")</f>
        <v>41.1242982954545</v>
      </c>
      <c r="D35" s="50" t="n">
        <f aca="false">IF(AND(_slice!$H$5=1,D$14&gt;=_slice!$H$6-0.000000001,D$14&lt;=_slice!$I$6+0.000000001,$B35&gt;=_slice!$H$7-0.000000001,$B35&lt;=_slice!$I$7+0.000000001,IF(01_因子設定!$B$20="Box-Behnken",D$14^2+$B35^2+_slice!$H$8&lt;=2+0.000000001,TRUE())),_slice!D93,"外")</f>
        <v>41.7373551136364</v>
      </c>
      <c r="E35" s="50" t="n">
        <f aca="false">IF(AND(_slice!$H$5=1,E$14&gt;=_slice!$H$6-0.000000001,E$14&lt;=_slice!$I$6+0.000000001,$B35&gt;=_slice!$H$7-0.000000001,$B35&lt;=_slice!$I$7+0.000000001,IF(01_因子設定!$B$20="Box-Behnken",E$14^2+$B35^2+_slice!$H$8&lt;=2+0.000000001,TRUE())),_slice!E93,"外")</f>
        <v>42.3008664772727</v>
      </c>
      <c r="F35" s="50" t="n">
        <f aca="false">IF(AND(_slice!$H$5=1,F$14&gt;=_slice!$H$6-0.000000001,F$14&lt;=_slice!$I$6+0.000000001,$B35&gt;=_slice!$H$7-0.000000001,$B35&lt;=_slice!$I$7+0.000000001,IF(01_因子設定!$B$20="Box-Behnken",F$14^2+$B35^2+_slice!$H$8&lt;=2+0.000000001,TRUE())),_slice!F93,"外")</f>
        <v>42.8148323863637</v>
      </c>
      <c r="G35" s="50" t="n">
        <f aca="false">IF(AND(_slice!$H$5=1,G$14&gt;=_slice!$H$6-0.000000001,G$14&lt;=_slice!$I$6+0.000000001,$B35&gt;=_slice!$H$7-0.000000001,$B35&lt;=_slice!$I$7+0.000000001,IF(01_因子設定!$B$20="Box-Behnken",G$14^2+$B35^2+_slice!$H$8&lt;=2+0.000000001,TRUE())),_slice!G93,"外")</f>
        <v>43.2792528409091</v>
      </c>
      <c r="H35" s="50" t="n">
        <f aca="false">IF(AND(_slice!$H$5=1,H$14&gt;=_slice!$H$6-0.000000001,H$14&lt;=_slice!$I$6+0.000000001,$B35&gt;=_slice!$H$7-0.000000001,$B35&lt;=_slice!$I$7+0.000000001,IF(01_因子設定!$B$20="Box-Behnken",H$14^2+$B35^2+_slice!$H$8&lt;=2+0.000000001,TRUE())),_slice!H93,"外")</f>
        <v>43.6941278409091</v>
      </c>
      <c r="I35" s="50" t="n">
        <f aca="false">IF(AND(_slice!$H$5=1,I$14&gt;=_slice!$H$6-0.000000001,I$14&lt;=_slice!$I$6+0.000000001,$B35&gt;=_slice!$H$7-0.000000001,$B35&lt;=_slice!$I$7+0.000000001,IF(01_因子設定!$B$20="Box-Behnken",I$14^2+$B35^2+_slice!$H$8&lt;=2+0.000000001,TRUE())),_slice!I93,"外")</f>
        <v>44.0594573863637</v>
      </c>
      <c r="J35" s="50" t="n">
        <f aca="false">IF(AND(_slice!$H$5=1,J$14&gt;=_slice!$H$6-0.000000001,J$14&lt;=_slice!$I$6+0.000000001,$B35&gt;=_slice!$H$7-0.000000001,$B35&lt;=_slice!$I$7+0.000000001,IF(01_因子設定!$B$20="Box-Behnken",J$14^2+$B35^2+_slice!$H$8&lt;=2+0.000000001,TRUE())),_slice!J93,"外")</f>
        <v>44.3752414772728</v>
      </c>
      <c r="K35" s="50" t="n">
        <f aca="false">IF(AND(_slice!$H$5=1,K$14&gt;=_slice!$H$6-0.000000001,K$14&lt;=_slice!$I$6+0.000000001,$B35&gt;=_slice!$H$7-0.000000001,$B35&lt;=_slice!$I$7+0.000000001,IF(01_因子設定!$B$20="Box-Behnken",K$14^2+$B35^2+_slice!$H$8&lt;=2+0.000000001,TRUE())),_slice!K93,"外")</f>
        <v>44.6414801136364</v>
      </c>
      <c r="L35" s="50" t="n">
        <f aca="false">IF(AND(_slice!$H$5=1,L$14&gt;=_slice!$H$6-0.000000001,L$14&lt;=_slice!$I$6+0.000000001,$B35&gt;=_slice!$H$7-0.000000001,$B35&lt;=_slice!$I$7+0.000000001,IF(01_因子設定!$B$20="Box-Behnken",L$14^2+$B35^2+_slice!$H$8&lt;=2+0.000000001,TRUE())),_slice!L93,"外")</f>
        <v>44.8581732954546</v>
      </c>
      <c r="M35" s="50" t="n">
        <f aca="false">IF(AND(_slice!$H$5=1,M$14&gt;=_slice!$H$6-0.000000001,M$14&lt;=_slice!$I$6+0.000000001,$B35&gt;=_slice!$H$7-0.000000001,$B35&lt;=_slice!$I$7+0.000000001,IF(01_因子設定!$B$20="Box-Behnken",M$14^2+$B35^2+_slice!$H$8&lt;=2+0.000000001,TRUE())),_slice!M93,"外")</f>
        <v>45.0253210227273</v>
      </c>
      <c r="N35" s="50" t="n">
        <f aca="false">IF(AND(_slice!$H$5=1,N$14&gt;=_slice!$H$6-0.000000001,N$14&lt;=_slice!$I$6+0.000000001,$B35&gt;=_slice!$H$7-0.000000001,$B35&lt;=_slice!$I$7+0.000000001,IF(01_因子設定!$B$20="Box-Behnken",N$14^2+$B35^2+_slice!$H$8&lt;=2+0.000000001,TRUE())),_slice!N93,"外")</f>
        <v>45.1429232954546</v>
      </c>
      <c r="O35" s="50" t="n">
        <f aca="false">IF(AND(_slice!$H$5=1,O$14&gt;=_slice!$H$6-0.000000001,O$14&lt;=_slice!$I$6+0.000000001,$B35&gt;=_slice!$H$7-0.000000001,$B35&lt;=_slice!$I$7+0.000000001,IF(01_因子設定!$B$20="Box-Behnken",O$14^2+$B35^2+_slice!$H$8&lt;=2+0.000000001,TRUE())),_slice!O93,"外")</f>
        <v>45.2109801136364</v>
      </c>
      <c r="P35" s="50" t="n">
        <f aca="false">IF(AND(_slice!$H$5=1,P$14&gt;=_slice!$H$6-0.000000001,P$14&lt;=_slice!$I$6+0.000000001,$B35&gt;=_slice!$H$7-0.000000001,$B35&lt;=_slice!$I$7+0.000000001,IF(01_因子設定!$B$20="Box-Behnken",P$14^2+$B35^2+_slice!$H$8&lt;=2+0.000000001,TRUE())),_slice!P93,"外")</f>
        <v>45.2294914772727</v>
      </c>
      <c r="Q35" s="50" t="n">
        <f aca="false">IF(AND(_slice!$H$5=1,Q$14&gt;=_slice!$H$6-0.000000001,Q$14&lt;=_slice!$I$6+0.000000001,$B35&gt;=_slice!$H$7-0.000000001,$B35&lt;=_slice!$I$7+0.000000001,IF(01_因子設定!$B$20="Box-Behnken",Q$14^2+$B35^2+_slice!$H$8&lt;=2+0.000000001,TRUE())),_slice!Q93,"外")</f>
        <v>45.1984573863637</v>
      </c>
      <c r="R35" s="50" t="n">
        <f aca="false">IF(AND(_slice!$H$5=1,R$14&gt;=_slice!$H$6-0.000000001,R$14&lt;=_slice!$I$6+0.000000001,$B35&gt;=_slice!$H$7-0.000000001,$B35&lt;=_slice!$I$7+0.000000001,IF(01_因子設定!$B$20="Box-Behnken",R$14^2+$B35^2+_slice!$H$8&lt;=2+0.000000001,TRUE())),_slice!R93,"外")</f>
        <v>45.1178778409091</v>
      </c>
      <c r="S35" s="50" t="n">
        <f aca="false">IF(AND(_slice!$H$5=1,S$14&gt;=_slice!$H$6-0.000000001,S$14&lt;=_slice!$I$6+0.000000001,$B35&gt;=_slice!$H$7-0.000000001,$B35&lt;=_slice!$I$7+0.000000001,IF(01_因子設定!$B$20="Box-Behnken",S$14^2+$B35^2+_slice!$H$8&lt;=2+0.000000001,TRUE())),_slice!S93,"外")</f>
        <v>44.9877528409091</v>
      </c>
      <c r="T35" s="50" t="n">
        <f aca="false">IF(AND(_slice!$H$5=1,T$14&gt;=_slice!$H$6-0.000000001,T$14&lt;=_slice!$I$6+0.000000001,$B35&gt;=_slice!$H$7-0.000000001,$B35&lt;=_slice!$I$7+0.000000001,IF(01_因子設定!$B$20="Box-Behnken",T$14^2+$B35^2+_slice!$H$8&lt;=2+0.000000001,TRUE())),_slice!T93,"外")</f>
        <v>44.8080823863637</v>
      </c>
      <c r="U35" s="50" t="n">
        <f aca="false">IF(AND(_slice!$H$5=1,U$14&gt;=_slice!$H$6-0.000000001,U$14&lt;=_slice!$I$6+0.000000001,$B35&gt;=_slice!$H$7-0.000000001,$B35&lt;=_slice!$I$7+0.000000001,IF(01_因子設定!$B$20="Box-Behnken",U$14^2+$B35^2+_slice!$H$8&lt;=2+0.000000001,TRUE())),_slice!U93,"外")</f>
        <v>44.5788664772727</v>
      </c>
      <c r="V35" s="50" t="n">
        <f aca="false">IF(AND(_slice!$H$5=1,V$14&gt;=_slice!$H$6-0.000000001,V$14&lt;=_slice!$I$6+0.000000001,$B35&gt;=_slice!$H$7-0.000000001,$B35&lt;=_slice!$I$7+0.000000001,IF(01_因子設定!$B$20="Box-Behnken",V$14^2+$B35^2+_slice!$H$8&lt;=2+0.000000001,TRUE())),_slice!V93,"外")</f>
        <v>44.3001051136364</v>
      </c>
      <c r="W35" s="50" t="n">
        <f aca="false">IF(AND(_slice!$H$5=1,W$14&gt;=_slice!$H$6-0.000000001,W$14&lt;=_slice!$I$6+0.000000001,$B35&gt;=_slice!$H$7-0.000000001,$B35&lt;=_slice!$I$7+0.000000001,IF(01_因子設定!$B$20="Box-Behnken",W$14^2+$B35^2+_slice!$H$8&lt;=2+0.000000001,TRUE())),_slice!W93,"外")</f>
        <v>43.9717982954546</v>
      </c>
    </row>
    <row r="36" customFormat="false" ht="15" hidden="false" customHeight="false" outlineLevel="0" collapsed="false">
      <c r="A36" s="49" t="n">
        <f aca="false">INDEX(01_因子設定!$G$5:$G$7,$C$5)+B36*INDEX(01_因子設定!$H$5:$H$7,$C$5)</f>
        <v>20</v>
      </c>
      <c r="B36" s="49" t="n">
        <v>-1</v>
      </c>
      <c r="C36" s="50" t="n">
        <f aca="false">IF(AND(_slice!$H$5=1,C$14&gt;=_slice!$H$6-0.000000001,C$14&lt;=_slice!$I$6+0.000000001,$B36&gt;=_slice!$H$7-0.000000001,$B36&lt;=_slice!$I$7+0.000000001,IF(01_因子設定!$B$20="Box-Behnken",C$14^2+$B36^2+_slice!$H$8&lt;=2+0.000000001,TRUE())),_slice!C94,"外")</f>
        <v>40.6264914772727</v>
      </c>
      <c r="D36" s="50" t="n">
        <f aca="false">IF(AND(_slice!$H$5=1,D$14&gt;=_slice!$H$6-0.000000001,D$14&lt;=_slice!$I$6+0.000000001,$B36&gt;=_slice!$H$7-0.000000001,$B36&lt;=_slice!$I$7+0.000000001,IF(01_因子設定!$B$20="Box-Behnken",D$14^2+$B36^2+_slice!$H$8&lt;=2+0.000000001,TRUE())),_slice!D94,"外")</f>
        <v>41.2272982954545</v>
      </c>
      <c r="E36" s="50" t="n">
        <f aca="false">IF(AND(_slice!$H$5=1,E$14&gt;=_slice!$H$6-0.000000001,E$14&lt;=_slice!$I$6+0.000000001,$B36&gt;=_slice!$H$7-0.000000001,$B36&lt;=_slice!$I$7+0.000000001,IF(01_因子設定!$B$20="Box-Behnken",E$14^2+$B36^2+_slice!$H$8&lt;=2+0.000000001,TRUE())),_slice!E94,"外")</f>
        <v>41.7785596590909</v>
      </c>
      <c r="F36" s="50" t="n">
        <f aca="false">IF(AND(_slice!$H$5=1,F$14&gt;=_slice!$H$6-0.000000001,F$14&lt;=_slice!$I$6+0.000000001,$B36&gt;=_slice!$H$7-0.000000001,$B36&lt;=_slice!$I$7+0.000000001,IF(01_因子設定!$B$20="Box-Behnken",F$14^2+$B36^2+_slice!$H$8&lt;=2+0.000000001,TRUE())),_slice!F94,"外")</f>
        <v>42.2802755681818</v>
      </c>
      <c r="G36" s="50" t="n">
        <f aca="false">IF(AND(_slice!$H$5=1,G$14&gt;=_slice!$H$6-0.000000001,G$14&lt;=_slice!$I$6+0.000000001,$B36&gt;=_slice!$H$7-0.000000001,$B36&lt;=_slice!$I$7+0.000000001,IF(01_因子設定!$B$20="Box-Behnken",G$14^2+$B36^2+_slice!$H$8&lt;=2+0.000000001,TRUE())),_slice!G94,"外")</f>
        <v>42.7324460227273</v>
      </c>
      <c r="H36" s="50" t="n">
        <f aca="false">IF(AND(_slice!$H$5=1,H$14&gt;=_slice!$H$6-0.000000001,H$14&lt;=_slice!$I$6+0.000000001,$B36&gt;=_slice!$H$7-0.000000001,$B36&lt;=_slice!$I$7+0.000000001,IF(01_因子設定!$B$20="Box-Behnken",H$14^2+$B36^2+_slice!$H$8&lt;=2+0.000000001,TRUE())),_slice!H94,"外")</f>
        <v>43.1350710227273</v>
      </c>
      <c r="I36" s="50" t="n">
        <f aca="false">IF(AND(_slice!$H$5=1,I$14&gt;=_slice!$H$6-0.000000001,I$14&lt;=_slice!$I$6+0.000000001,$B36&gt;=_slice!$H$7-0.000000001,$B36&lt;=_slice!$I$7+0.000000001,IF(01_因子設定!$B$20="Box-Behnken",I$14^2+$B36^2+_slice!$H$8&lt;=2+0.000000001,TRUE())),_slice!I94,"外")</f>
        <v>43.4881505681818</v>
      </c>
      <c r="J36" s="50" t="n">
        <f aca="false">IF(AND(_slice!$H$5=1,J$14&gt;=_slice!$H$6-0.000000001,J$14&lt;=_slice!$I$6+0.000000001,$B36&gt;=_slice!$H$7-0.000000001,$B36&lt;=_slice!$I$7+0.000000001,IF(01_因子設定!$B$20="Box-Behnken",J$14^2+$B36^2+_slice!$H$8&lt;=2+0.000000001,TRUE())),_slice!J94,"外")</f>
        <v>43.7916846590909</v>
      </c>
      <c r="K36" s="50" t="n">
        <f aca="false">IF(AND(_slice!$H$5=1,K$14&gt;=_slice!$H$6-0.000000001,K$14&lt;=_slice!$I$6+0.000000001,$B36&gt;=_slice!$H$7-0.000000001,$B36&lt;=_slice!$I$7+0.000000001,IF(01_因子設定!$B$20="Box-Behnken",K$14^2+$B36^2+_slice!$H$8&lt;=2+0.000000001,TRUE())),_slice!K94,"外")</f>
        <v>44.0456732954546</v>
      </c>
      <c r="L36" s="50" t="n">
        <f aca="false">IF(AND(_slice!$H$5=1,L$14&gt;=_slice!$H$6-0.000000001,L$14&lt;=_slice!$I$6+0.000000001,$B36&gt;=_slice!$H$7-0.000000001,$B36&lt;=_slice!$I$7+0.000000001,IF(01_因子設定!$B$20="Box-Behnken",L$14^2+$B36^2+_slice!$H$8&lt;=2+0.000000001,TRUE())),_slice!L94,"外")</f>
        <v>44.2501164772728</v>
      </c>
      <c r="M36" s="50" t="n">
        <f aca="false">IF(AND(_slice!$H$5=1,M$14&gt;=_slice!$H$6-0.000000001,M$14&lt;=_slice!$I$6+0.000000001,$B36&gt;=_slice!$H$7-0.000000001,$B36&lt;=_slice!$I$7+0.000000001,IF(01_因子設定!$B$20="Box-Behnken",M$14^2+$B36^2+_slice!$H$8&lt;=2+0.000000001,TRUE())),_slice!M94,"外")</f>
        <v>44.4050142045455</v>
      </c>
      <c r="N36" s="50" t="n">
        <f aca="false">IF(AND(_slice!$H$5=1,N$14&gt;=_slice!$H$6-0.000000001,N$14&lt;=_slice!$I$6+0.000000001,$B36&gt;=_slice!$H$7-0.000000001,$B36&lt;=_slice!$I$7+0.000000001,IF(01_因子設定!$B$20="Box-Behnken",N$14^2+$B36^2+_slice!$H$8&lt;=2+0.000000001,TRUE())),_slice!N94,"外")</f>
        <v>44.5103664772728</v>
      </c>
      <c r="O36" s="50" t="n">
        <f aca="false">IF(AND(_slice!$H$5=1,O$14&gt;=_slice!$H$6-0.000000001,O$14&lt;=_slice!$I$6+0.000000001,$B36&gt;=_slice!$H$7-0.000000001,$B36&lt;=_slice!$I$7+0.000000001,IF(01_因子設定!$B$20="Box-Behnken",O$14^2+$B36^2+_slice!$H$8&lt;=2+0.000000001,TRUE())),_slice!O94,"外")</f>
        <v>44.5661732954546</v>
      </c>
      <c r="P36" s="50" t="n">
        <f aca="false">IF(AND(_slice!$H$5=1,P$14&gt;=_slice!$H$6-0.000000001,P$14&lt;=_slice!$I$6+0.000000001,$B36&gt;=_slice!$H$7-0.000000001,$B36&lt;=_slice!$I$7+0.000000001,IF(01_因子設定!$B$20="Box-Behnken",P$14^2+$B36^2+_slice!$H$8&lt;=2+0.000000001,TRUE())),_slice!P94,"外")</f>
        <v>44.5724346590909</v>
      </c>
      <c r="Q36" s="50" t="n">
        <f aca="false">IF(AND(_slice!$H$5=1,Q$14&gt;=_slice!$H$6-0.000000001,Q$14&lt;=_slice!$I$6+0.000000001,$B36&gt;=_slice!$H$7-0.000000001,$B36&lt;=_slice!$I$7+0.000000001,IF(01_因子設定!$B$20="Box-Behnken",Q$14^2+$B36^2+_slice!$H$8&lt;=2+0.000000001,TRUE())),_slice!Q94,"外")</f>
        <v>44.5291505681818</v>
      </c>
      <c r="R36" s="50" t="n">
        <f aca="false">IF(AND(_slice!$H$5=1,R$14&gt;=_slice!$H$6-0.000000001,R$14&lt;=_slice!$I$6+0.000000001,$B36&gt;=_slice!$H$7-0.000000001,$B36&lt;=_slice!$I$7+0.000000001,IF(01_因子設定!$B$20="Box-Behnken",R$14^2+$B36^2+_slice!$H$8&lt;=2+0.000000001,TRUE())),_slice!R94,"外")</f>
        <v>44.4363210227273</v>
      </c>
      <c r="S36" s="50" t="n">
        <f aca="false">IF(AND(_slice!$H$5=1,S$14&gt;=_slice!$H$6-0.000000001,S$14&lt;=_slice!$I$6+0.000000001,$B36&gt;=_slice!$H$7-0.000000001,$B36&lt;=_slice!$I$7+0.000000001,IF(01_因子設定!$B$20="Box-Behnken",S$14^2+$B36^2+_slice!$H$8&lt;=2+0.000000001,TRUE())),_slice!S94,"外")</f>
        <v>44.2939460227273</v>
      </c>
      <c r="T36" s="50" t="n">
        <f aca="false">IF(AND(_slice!$H$5=1,T$14&gt;=_slice!$H$6-0.000000001,T$14&lt;=_slice!$I$6+0.000000001,$B36&gt;=_slice!$H$7-0.000000001,$B36&lt;=_slice!$I$7+0.000000001,IF(01_因子設定!$B$20="Box-Behnken",T$14^2+$B36^2+_slice!$H$8&lt;=2+0.000000001,TRUE())),_slice!T94,"外")</f>
        <v>44.1020255681818</v>
      </c>
      <c r="U36" s="50" t="n">
        <f aca="false">IF(AND(_slice!$H$5=1,U$14&gt;=_slice!$H$6-0.000000001,U$14&lt;=_slice!$I$6+0.000000001,$B36&gt;=_slice!$H$7-0.000000001,$B36&lt;=_slice!$I$7+0.000000001,IF(01_因子設定!$B$20="Box-Behnken",U$14^2+$B36^2+_slice!$H$8&lt;=2+0.000000001,TRUE())),_slice!U94,"外")</f>
        <v>43.8605596590909</v>
      </c>
      <c r="V36" s="50" t="n">
        <f aca="false">IF(AND(_slice!$H$5=1,V$14&gt;=_slice!$H$6-0.000000001,V$14&lt;=_slice!$I$6+0.000000001,$B36&gt;=_slice!$H$7-0.000000001,$B36&lt;=_slice!$I$7+0.000000001,IF(01_因子設定!$B$20="Box-Behnken",V$14^2+$B36^2+_slice!$H$8&lt;=2+0.000000001,TRUE())),_slice!V94,"外")</f>
        <v>43.5695482954546</v>
      </c>
      <c r="W36" s="50" t="n">
        <f aca="false">IF(AND(_slice!$H$5=1,W$14&gt;=_slice!$H$6-0.000000001,W$14&lt;=_slice!$I$6+0.000000001,$B36&gt;=_slice!$H$7-0.000000001,$B36&lt;=_slice!$I$7+0.000000001,IF(01_因子設定!$B$20="Box-Behnken",W$14^2+$B36^2+_slice!$H$8&lt;=2+0.000000001,TRUE())),_slice!W94,"外")</f>
        <v>43.2289914772727</v>
      </c>
    </row>
    <row r="39" customFormat="false" ht="15" hidden="false" customHeight="false" outlineLevel="0" collapsed="false">
      <c r="A39" s="17" t="s">
        <v>254</v>
      </c>
    </row>
    <row r="40" customFormat="false" ht="15" hidden="false" customHeight="false" outlineLevel="0" collapsed="false">
      <c r="A40" s="10" t="s">
        <v>252</v>
      </c>
      <c r="B40" s="10" t="s">
        <v>253</v>
      </c>
      <c r="C40" s="46" t="n">
        <v>-1</v>
      </c>
      <c r="D40" s="46" t="n">
        <v>-0.9</v>
      </c>
      <c r="E40" s="46" t="n">
        <v>-0.8</v>
      </c>
      <c r="F40" s="46" t="n">
        <v>-0.7</v>
      </c>
      <c r="G40" s="46" t="n">
        <v>-0.6</v>
      </c>
      <c r="H40" s="46" t="n">
        <v>-0.5</v>
      </c>
      <c r="I40" s="46" t="n">
        <v>-0.4</v>
      </c>
      <c r="J40" s="46" t="n">
        <v>-0.3</v>
      </c>
      <c r="K40" s="46" t="n">
        <v>-0.2</v>
      </c>
      <c r="L40" s="46" t="n">
        <v>-0.1</v>
      </c>
      <c r="M40" s="46" t="n">
        <v>0</v>
      </c>
      <c r="N40" s="46" t="n">
        <v>0.1</v>
      </c>
      <c r="O40" s="46" t="n">
        <v>0.2</v>
      </c>
      <c r="P40" s="46" t="n">
        <v>0.3</v>
      </c>
      <c r="Q40" s="46" t="n">
        <v>0.4</v>
      </c>
      <c r="R40" s="46" t="n">
        <v>0.5</v>
      </c>
      <c r="S40" s="46" t="n">
        <v>0.6</v>
      </c>
      <c r="T40" s="46" t="n">
        <v>0.7</v>
      </c>
      <c r="U40" s="46" t="n">
        <v>0.8</v>
      </c>
      <c r="V40" s="46" t="n">
        <v>0.9</v>
      </c>
      <c r="W40" s="46" t="n">
        <v>1</v>
      </c>
    </row>
    <row r="41" customFormat="false" ht="23.1" hidden="false" customHeight="false" outlineLevel="0" collapsed="false">
      <c r="A41" s="47" t="str">
        <f aca="false">"縦↓ "&amp;$D$5</f>
        <v>縦↓ 乾燥時間[min]</v>
      </c>
      <c r="B41" s="10" t="str">
        <f aca="false">"横→ "&amp;$D$4</f>
        <v>横→ 炉温[℃]</v>
      </c>
      <c r="C41" s="48" t="n">
        <f aca="false">INDEX(01_因子設定!$G$5:$G$7,$C$4)+C40*INDEX(01_因子設定!$H$5:$H$7,$C$4)</f>
        <v>55</v>
      </c>
      <c r="D41" s="48" t="n">
        <f aca="false">INDEX(01_因子設定!$G$5:$G$7,$C$4)+D40*INDEX(01_因子設定!$H$5:$H$7,$C$4)</f>
        <v>56</v>
      </c>
      <c r="E41" s="48" t="n">
        <f aca="false">INDEX(01_因子設定!$G$5:$G$7,$C$4)+E40*INDEX(01_因子設定!$H$5:$H$7,$C$4)</f>
        <v>57</v>
      </c>
      <c r="F41" s="48" t="n">
        <f aca="false">INDEX(01_因子設定!$G$5:$G$7,$C$4)+F40*INDEX(01_因子設定!$H$5:$H$7,$C$4)</f>
        <v>58</v>
      </c>
      <c r="G41" s="48" t="n">
        <f aca="false">INDEX(01_因子設定!$G$5:$G$7,$C$4)+G40*INDEX(01_因子設定!$H$5:$H$7,$C$4)</f>
        <v>59</v>
      </c>
      <c r="H41" s="48" t="n">
        <f aca="false">INDEX(01_因子設定!$G$5:$G$7,$C$4)+H40*INDEX(01_因子設定!$H$5:$H$7,$C$4)</f>
        <v>60</v>
      </c>
      <c r="I41" s="48" t="n">
        <f aca="false">INDEX(01_因子設定!$G$5:$G$7,$C$4)+I40*INDEX(01_因子設定!$H$5:$H$7,$C$4)</f>
        <v>61</v>
      </c>
      <c r="J41" s="48" t="n">
        <f aca="false">INDEX(01_因子設定!$G$5:$G$7,$C$4)+J40*INDEX(01_因子設定!$H$5:$H$7,$C$4)</f>
        <v>62</v>
      </c>
      <c r="K41" s="48" t="n">
        <f aca="false">INDEX(01_因子設定!$G$5:$G$7,$C$4)+K40*INDEX(01_因子設定!$H$5:$H$7,$C$4)</f>
        <v>63</v>
      </c>
      <c r="L41" s="48" t="n">
        <f aca="false">INDEX(01_因子設定!$G$5:$G$7,$C$4)+L40*INDEX(01_因子設定!$H$5:$H$7,$C$4)</f>
        <v>64</v>
      </c>
      <c r="M41" s="48" t="n">
        <f aca="false">INDEX(01_因子設定!$G$5:$G$7,$C$4)+M40*INDEX(01_因子設定!$H$5:$H$7,$C$4)</f>
        <v>65</v>
      </c>
      <c r="N41" s="48" t="n">
        <f aca="false">INDEX(01_因子設定!$G$5:$G$7,$C$4)+N40*INDEX(01_因子設定!$H$5:$H$7,$C$4)</f>
        <v>66</v>
      </c>
      <c r="O41" s="48" t="n">
        <f aca="false">INDEX(01_因子設定!$G$5:$G$7,$C$4)+O40*INDEX(01_因子設定!$H$5:$H$7,$C$4)</f>
        <v>67</v>
      </c>
      <c r="P41" s="48" t="n">
        <f aca="false">INDEX(01_因子設定!$G$5:$G$7,$C$4)+P40*INDEX(01_因子設定!$H$5:$H$7,$C$4)</f>
        <v>68</v>
      </c>
      <c r="Q41" s="48" t="n">
        <f aca="false">INDEX(01_因子設定!$G$5:$G$7,$C$4)+Q40*INDEX(01_因子設定!$H$5:$H$7,$C$4)</f>
        <v>69</v>
      </c>
      <c r="R41" s="48" t="n">
        <f aca="false">INDEX(01_因子設定!$G$5:$G$7,$C$4)+R40*INDEX(01_因子設定!$H$5:$H$7,$C$4)</f>
        <v>70</v>
      </c>
      <c r="S41" s="48" t="n">
        <f aca="false">INDEX(01_因子設定!$G$5:$G$7,$C$4)+S40*INDEX(01_因子設定!$H$5:$H$7,$C$4)</f>
        <v>71</v>
      </c>
      <c r="T41" s="48" t="n">
        <f aca="false">INDEX(01_因子設定!$G$5:$G$7,$C$4)+T40*INDEX(01_因子設定!$H$5:$H$7,$C$4)</f>
        <v>72</v>
      </c>
      <c r="U41" s="48" t="n">
        <f aca="false">INDEX(01_因子設定!$G$5:$G$7,$C$4)+U40*INDEX(01_因子設定!$H$5:$H$7,$C$4)</f>
        <v>73</v>
      </c>
      <c r="V41" s="48" t="n">
        <f aca="false">INDEX(01_因子設定!$G$5:$G$7,$C$4)+V40*INDEX(01_因子設定!$H$5:$H$7,$C$4)</f>
        <v>74</v>
      </c>
      <c r="W41" s="48" t="n">
        <f aca="false">INDEX(01_因子設定!$G$5:$G$7,$C$4)+W40*INDEX(01_因子設定!$H$5:$H$7,$C$4)</f>
        <v>75</v>
      </c>
    </row>
    <row r="42" customFormat="false" ht="15" hidden="false" customHeight="false" outlineLevel="0" collapsed="false">
      <c r="A42" s="49" t="n">
        <f aca="false">INDEX(01_因子設定!$G$5:$G$7,$C$5)+B42*INDEX(01_因子設定!$H$5:$H$7,$C$5)</f>
        <v>40</v>
      </c>
      <c r="B42" s="49" t="n">
        <v>1</v>
      </c>
      <c r="C42" s="50" t="n">
        <f aca="false">IF(AND(_slice!$H$5=1,C$40&gt;=_slice!$H$6-0.000000001,C$40&lt;=_slice!$I$6+0.000000001,$B42&gt;=_slice!$H$7-0.000000001,$B42&lt;=_slice!$I$7+0.000000001,IF(01_因子設定!$B$20="Box-Behnken",C$40^2+$B42^2+_slice!$H$8&lt;=2+0.000000001,TRUE())),IF(01_因子設定!$B$13="最大化",(_slice!C74-04_回帰ANOVA!$K$19*04_回帰ANOVA!$K$14*SQRT(1+_slice!C99))-01_因子設定!$B$14,IF(01_因子設定!$B$13="最小化",01_因子設定!$B$15-(_slice!C74+04_回帰ANOVA!$K$19*04_回帰ANOVA!$K$14*SQRT(1+_slice!C99)),MIN((_slice!C74-04_回帰ANOVA!$K$19*04_回帰ANOVA!$K$14*SQRT(1+_slice!C99))-01_因子設定!$B$14,01_因子設定!$B$15-(_slice!C74+04_回帰ANOVA!$K$19*04_回帰ANOVA!$K$14*SQRT(1+_slice!C99))))),"外")</f>
        <v>-6.81874097865825</v>
      </c>
      <c r="D42" s="50" t="n">
        <f aca="false">IF(AND(_slice!$H$5=1,D$40&gt;=_slice!$H$6-0.000000001,D$40&lt;=_slice!$I$6+0.000000001,$B42&gt;=_slice!$H$7-0.000000001,$B42&lt;=_slice!$I$7+0.000000001,IF(01_因子設定!$B$20="Box-Behnken",D$40^2+$B42^2+_slice!$H$8&lt;=2+0.000000001,TRUE())),IF(01_因子設定!$B$13="最大化",(_slice!D74-04_回帰ANOVA!$K$19*04_回帰ANOVA!$K$14*SQRT(1+_slice!D99))-01_因子設定!$B$14,IF(01_因子設定!$B$13="最小化",01_因子設定!$B$15-(_slice!D74+04_回帰ANOVA!$K$19*04_回帰ANOVA!$K$14*SQRT(1+_slice!D99)),MIN((_slice!D74-04_回帰ANOVA!$K$19*04_回帰ANOVA!$K$14*SQRT(1+_slice!D99))-01_因子設定!$B$14,01_因子設定!$B$15-(_slice!D74+04_回帰ANOVA!$K$19*04_回帰ANOVA!$K$14*SQRT(1+_slice!D99))))),"外")</f>
        <v>-5.94083849710304</v>
      </c>
      <c r="E42" s="50" t="n">
        <f aca="false">IF(AND(_slice!$H$5=1,E$40&gt;=_slice!$H$6-0.000000001,E$40&lt;=_slice!$I$6+0.000000001,$B42&gt;=_slice!$H$7-0.000000001,$B42&lt;=_slice!$I$7+0.000000001,IF(01_因子設定!$B$20="Box-Behnken",E$40^2+$B42^2+_slice!$H$8&lt;=2+0.000000001,TRUE())),IF(01_因子設定!$B$13="最大化",(_slice!E74-04_回帰ANOVA!$K$19*04_回帰ANOVA!$K$14*SQRT(1+_slice!E99))-01_因子設定!$B$14,IF(01_因子設定!$B$13="最小化",01_因子設定!$B$15-(_slice!E74+04_回帰ANOVA!$K$19*04_回帰ANOVA!$K$14*SQRT(1+_slice!E99)),MIN((_slice!E74-04_回帰ANOVA!$K$19*04_回帰ANOVA!$K$14*SQRT(1+_slice!E99))-01_因子設定!$B$14,01_因子設定!$B$15-(_slice!E74+04_回帰ANOVA!$K$19*04_回帰ANOVA!$K$14*SQRT(1+_slice!E99))))),"外")</f>
        <v>-5.12352651021404</v>
      </c>
      <c r="F42" s="50" t="n">
        <f aca="false">IF(AND(_slice!$H$5=1,F$40&gt;=_slice!$H$6-0.000000001,F$40&lt;=_slice!$I$6+0.000000001,$B42&gt;=_slice!$H$7-0.000000001,$B42&lt;=_slice!$I$7+0.000000001,IF(01_因子設定!$B$20="Box-Behnken",F$40^2+$B42^2+_slice!$H$8&lt;=2+0.000000001,TRUE())),IF(01_因子設定!$B$13="最大化",(_slice!F74-04_回帰ANOVA!$K$19*04_回帰ANOVA!$K$14*SQRT(1+_slice!F99))-01_因子設定!$B$14,IF(01_因子設定!$B$13="最小化",01_因子設定!$B$15-(_slice!F74+04_回帰ANOVA!$K$19*04_回帰ANOVA!$K$14*SQRT(1+_slice!F99)),MIN((_slice!F74-04_回帰ANOVA!$K$19*04_回帰ANOVA!$K$14*SQRT(1+_slice!F99))-01_因子設定!$B$14,01_因子設定!$B$15-(_slice!F74+04_回帰ANOVA!$K$19*04_回帰ANOVA!$K$14*SQRT(1+_slice!F99))))),"外")</f>
        <v>-4.36459168084448</v>
      </c>
      <c r="G42" s="50" t="n">
        <f aca="false">IF(AND(_slice!$H$5=1,G$40&gt;=_slice!$H$6-0.000000001,G$40&lt;=_slice!$I$6+0.000000001,$B42&gt;=_slice!$H$7-0.000000001,$B42&lt;=_slice!$I$7+0.000000001,IF(01_因子設定!$B$20="Box-Behnken",G$40^2+$B42^2+_slice!$H$8&lt;=2+0.000000001,TRUE())),IF(01_因子設定!$B$13="最大化",(_slice!G74-04_回帰ANOVA!$K$19*04_回帰ANOVA!$K$14*SQRT(1+_slice!G99))-01_因子設定!$B$14,IF(01_因子設定!$B$13="最小化",01_因子設定!$B$15-(_slice!G74+04_回帰ANOVA!$K$19*04_回帰ANOVA!$K$14*SQRT(1+_slice!G99)),MIN((_slice!G74-04_回帰ANOVA!$K$19*04_回帰ANOVA!$K$14*SQRT(1+_slice!G99))-01_因子設定!$B$14,01_因子設定!$B$15-(_slice!G74+04_回帰ANOVA!$K$19*04_回帰ANOVA!$K$14*SQRT(1+_slice!G99))))),"外")</f>
        <v>-3.66181271949058</v>
      </c>
      <c r="H42" s="50" t="n">
        <f aca="false">IF(AND(_slice!$H$5=1,H$40&gt;=_slice!$H$6-0.000000001,H$40&lt;=_slice!$I$6+0.000000001,$B42&gt;=_slice!$H$7-0.000000001,$B42&lt;=_slice!$I$7+0.000000001,IF(01_因子設定!$B$20="Box-Behnken",H$40^2+$B42^2+_slice!$H$8&lt;=2+0.000000001,TRUE())),IF(01_因子設定!$B$13="最大化",(_slice!H74-04_回帰ANOVA!$K$19*04_回帰ANOVA!$K$14*SQRT(1+_slice!H99))-01_因子設定!$B$14,IF(01_因子設定!$B$13="最小化",01_因子設定!$B$15-(_slice!H74+04_回帰ANOVA!$K$19*04_回帰ANOVA!$K$14*SQRT(1+_slice!H99)),MIN((_slice!H74-04_回帰ANOVA!$K$19*04_回帰ANOVA!$K$14*SQRT(1+_slice!H99))-01_因子設定!$B$14,01_因子設定!$B$15-(_slice!H74+04_回帰ANOVA!$K$19*04_回帰ANOVA!$K$14*SQRT(1+_slice!H99))))),"外")</f>
        <v>-3.01311224265444</v>
      </c>
      <c r="I42" s="50" t="n">
        <f aca="false">IF(AND(_slice!$H$5=1,I$40&gt;=_slice!$H$6-0.000000001,I$40&lt;=_slice!$I$6+0.000000001,$B42&gt;=_slice!$H$7-0.000000001,$B42&lt;=_slice!$I$7+0.000000001,IF(01_因子設定!$B$20="Box-Behnken",I$40^2+$B42^2+_slice!$H$8&lt;=2+0.000000001,TRUE())),IF(01_因子設定!$B$13="最大化",(_slice!I74-04_回帰ANOVA!$K$19*04_回帰ANOVA!$K$14*SQRT(1+_slice!I99))-01_因子設定!$B$14,IF(01_因子設定!$B$13="最小化",01_因子設定!$B$15-(_slice!I74+04_回帰ANOVA!$K$19*04_回帰ANOVA!$K$14*SQRT(1+_slice!I99)),MIN((_slice!I74-04_回帰ANOVA!$K$19*04_回帰ANOVA!$K$14*SQRT(1+_slice!I99))-01_因子設定!$B$14,01_因子設定!$B$15-(_slice!I74+04_回帰ANOVA!$K$19*04_回帰ANOVA!$K$14*SQRT(1+_slice!I99))))),"外")</f>
        <v>-2.41666435772643</v>
      </c>
      <c r="J42" s="50" t="n">
        <f aca="false">IF(AND(_slice!$H$5=1,J$40&gt;=_slice!$H$6-0.000000001,J$40&lt;=_slice!$I$6+0.000000001,$B42&gt;=_slice!$H$7-0.000000001,$B42&lt;=_slice!$I$7+0.000000001,IF(01_因子設定!$B$20="Box-Behnken",J$40^2+$B42^2+_slice!$H$8&lt;=2+0.000000001,TRUE())),IF(01_因子設定!$B$13="最大化",(_slice!J74-04_回帰ANOVA!$K$19*04_回帰ANOVA!$K$14*SQRT(1+_slice!J99))-01_因子設定!$B$14,IF(01_因子設定!$B$13="最小化",01_因子設定!$B$15-(_slice!J74+04_回帰ANOVA!$K$19*04_回帰ANOVA!$K$14*SQRT(1+_slice!J99)),MIN((_slice!J74-04_回帰ANOVA!$K$19*04_回帰ANOVA!$K$14*SQRT(1+_slice!J99))-01_因子設定!$B$14,01_因子設定!$B$15-(_slice!J74+04_回帰ANOVA!$K$19*04_回帰ANOVA!$K$14*SQRT(1+_slice!J99))))),"外")</f>
        <v>-1.87095638013566</v>
      </c>
      <c r="K42" s="50" t="n">
        <f aca="false">IF(AND(_slice!$H$5=1,K$40&gt;=_slice!$H$6-0.000000001,K$40&lt;=_slice!$I$6+0.000000001,$B42&gt;=_slice!$H$7-0.000000001,$B42&lt;=_slice!$I$7+0.000000001,IF(01_因子設定!$B$20="Box-Behnken",K$40^2+$B42^2+_slice!$H$8&lt;=2+0.000000001,TRUE())),IF(01_因子設定!$B$13="最大化",(_slice!K74-04_回帰ANOVA!$K$19*04_回帰ANOVA!$K$14*SQRT(1+_slice!K99))-01_因子設定!$B$14,IF(01_因子設定!$B$13="最小化",01_因子設定!$B$15-(_slice!K74+04_回帰ANOVA!$K$19*04_回帰ANOVA!$K$14*SQRT(1+_slice!K99)),MIN((_slice!K74-04_回帰ANOVA!$K$19*04_回帰ANOVA!$K$14*SQRT(1+_slice!K99))-01_因子設定!$B$14,01_因子設定!$B$15-(_slice!K74+04_回帰ANOVA!$K$19*04_回帰ANOVA!$K$14*SQRT(1+_slice!K99))))),"外")</f>
        <v>-1.3748147148153</v>
      </c>
      <c r="L42" s="50" t="n">
        <f aca="false">IF(AND(_slice!$H$5=1,L$40&gt;=_slice!$H$6-0.000000001,L$40&lt;=_slice!$I$6+0.000000001,$B42&gt;=_slice!$H$7-0.000000001,$B42&lt;=_slice!$I$7+0.000000001,IF(01_因子設定!$B$20="Box-Behnken",L$40^2+$B42^2+_slice!$H$8&lt;=2+0.000000001,TRUE())),IF(01_因子設定!$B$13="最大化",(_slice!L74-04_回帰ANOVA!$K$19*04_回帰ANOVA!$K$14*SQRT(1+_slice!L99))-01_因子設定!$B$14,IF(01_因子設定!$B$13="最小化",01_因子設定!$B$15-(_slice!L74+04_回帰ANOVA!$K$19*04_回帰ANOVA!$K$14*SQRT(1+_slice!L99)),MIN((_slice!L74-04_回帰ANOVA!$K$19*04_回帰ANOVA!$K$14*SQRT(1+_slice!L99))-01_因子設定!$B$14,01_因子設定!$B$15-(_slice!L74+04_回帰ANOVA!$K$19*04_回帰ANOVA!$K$14*SQRT(1+_slice!L99))))),"外")</f>
        <v>-0.927408670797767</v>
      </c>
      <c r="M42" s="50" t="n">
        <f aca="false">IF(AND(_slice!$H$5=1,M$40&gt;=_slice!$H$6-0.000000001,M$40&lt;=_slice!$I$6+0.000000001,$B42&gt;=_slice!$H$7-0.000000001,$B42&lt;=_slice!$I$7+0.000000001,IF(01_因子設定!$B$20="Box-Behnken",M$40^2+$B42^2+_slice!$H$8&lt;=2+0.000000001,TRUE())),IF(01_因子設定!$B$13="最大化",(_slice!M74-04_回帰ANOVA!$K$19*04_回帰ANOVA!$K$14*SQRT(1+_slice!M99))-01_因子設定!$B$14,IF(01_因子設定!$B$13="最小化",01_因子設定!$B$15-(_slice!M74+04_回帰ANOVA!$K$19*04_回帰ANOVA!$K$14*SQRT(1+_slice!M99)),MIN((_slice!M74-04_回帰ANOVA!$K$19*04_回帰ANOVA!$K$14*SQRT(1+_slice!M99))-01_因子設定!$B$14,01_因子設定!$B$15-(_slice!M74+04_回帰ANOVA!$K$19*04_回帰ANOVA!$K$14*SQRT(1+_slice!M99))))),"外")</f>
        <v>-0.528244532217748</v>
      </c>
      <c r="N42" s="50" t="n">
        <f aca="false">IF(AND(_slice!$H$5=1,N$40&gt;=_slice!$H$6-0.000000001,N$40&lt;=_slice!$I$6+0.000000001,$B42&gt;=_slice!$H$7-0.000000001,$B42&lt;=_slice!$I$7+0.000000001,IF(01_因子設定!$B$20="Box-Behnken",N$40^2+$B42^2+_slice!$H$8&lt;=2+0.000000001,TRUE())),IF(01_因子設定!$B$13="最大化",(_slice!N74-04_回帰ANOVA!$K$19*04_回帰ANOVA!$K$14*SQRT(1+_slice!N99))-01_因子設定!$B$14,IF(01_因子設定!$B$13="最小化",01_因子設定!$B$15-(_slice!N74+04_回帰ANOVA!$K$19*04_回帰ANOVA!$K$14*SQRT(1+_slice!N99)),MIN((_slice!N74-04_回帰ANOVA!$K$19*04_回帰ANOVA!$K$14*SQRT(1+_slice!N99))-01_因子設定!$B$14,01_因子設定!$B$15-(_slice!N74+04_回帰ANOVA!$K$19*04_回帰ANOVA!$K$14*SQRT(1+_slice!N99))))),"外")</f>
        <v>-0.177158670797759</v>
      </c>
      <c r="O42" s="50" t="n">
        <f aca="false">IF(AND(_slice!$H$5=1,O$40&gt;=_slice!$H$6-0.000000001,O$40&lt;=_slice!$I$6+0.000000001,$B42&gt;=_slice!$H$7-0.000000001,$B42&lt;=_slice!$I$7+0.000000001,IF(01_因子設定!$B$20="Box-Behnken",O$40^2+$B42^2+_slice!$H$8&lt;=2+0.000000001,TRUE())),IF(01_因子設定!$B$13="最大化",(_slice!O74-04_回帰ANOVA!$K$19*04_回帰ANOVA!$K$14*SQRT(1+_slice!O99))-01_因子設定!$B$14,IF(01_因子設定!$B$13="最小化",01_因子設定!$B$15-(_slice!O74+04_回帰ANOVA!$K$19*04_回帰ANOVA!$K$14*SQRT(1+_slice!O99)),MIN((_slice!O74-04_回帰ANOVA!$K$19*04_回帰ANOVA!$K$14*SQRT(1+_slice!O99))-01_因子設定!$B$14,01_因子設定!$B$15-(_slice!O74+04_回帰ANOVA!$K$19*04_回帰ANOVA!$K$14*SQRT(1+_slice!O99))))),"外")</f>
        <v>0.125685285184701</v>
      </c>
      <c r="P42" s="50" t="n">
        <f aca="false">IF(AND(_slice!$H$5=1,P$40&gt;=_slice!$H$6-0.000000001,P$40&lt;=_slice!$I$6+0.000000001,$B42&gt;=_slice!$H$7-0.000000001,$B42&lt;=_slice!$I$7+0.000000001,IF(01_因子設定!$B$20="Box-Behnken",P$40^2+$B42^2+_slice!$H$8&lt;=2+0.000000001,TRUE())),IF(01_因子設定!$B$13="最大化",(_slice!P74-04_回帰ANOVA!$K$19*04_回帰ANOVA!$K$14*SQRT(1+_slice!P99))-01_因子設定!$B$14,IF(01_因子設定!$B$13="最小化",01_因子設定!$B$15-(_slice!P74+04_回帰ANOVA!$K$19*04_回帰ANOVA!$K$14*SQRT(1+_slice!P99)),MIN((_slice!P74-04_回帰ANOVA!$K$19*04_回帰ANOVA!$K$14*SQRT(1+_slice!P99))-01_因子設定!$B$14,01_因子設定!$B$15-(_slice!P74+04_回帰ANOVA!$K$19*04_回帰ANOVA!$K$14*SQRT(1+_slice!P99))))),"外")</f>
        <v>0.379793619864337</v>
      </c>
      <c r="Q42" s="50" t="n">
        <f aca="false">IF(AND(_slice!$H$5=1,Q$40&gt;=_slice!$H$6-0.000000001,Q$40&lt;=_slice!$I$6+0.000000001,$B42&gt;=_slice!$H$7-0.000000001,$B42&lt;=_slice!$I$7+0.000000001,IF(01_因子設定!$B$20="Box-Behnken",Q$40^2+$B42^2+_slice!$H$8&lt;=2+0.000000001,TRUE())),IF(01_因子設定!$B$13="最大化",(_slice!Q74-04_回帰ANOVA!$K$19*04_回帰ANOVA!$K$14*SQRT(1+_slice!Q99))-01_因子設定!$B$14,IF(01_因子設定!$B$13="最小化",01_因子設定!$B$15-(_slice!Q74+04_回帰ANOVA!$K$19*04_回帰ANOVA!$K$14*SQRT(1+_slice!Q99)),MIN((_slice!Q74-04_回帰ANOVA!$K$19*04_回帰ANOVA!$K$14*SQRT(1+_slice!Q99))-01_因子設定!$B$14,01_因子設定!$B$15-(_slice!Q74+04_回帰ANOVA!$K$19*04_回帰ANOVA!$K$14*SQRT(1+_slice!Q99))))),"外")</f>
        <v>0.584335642273572</v>
      </c>
      <c r="R42" s="50" t="n">
        <f aca="false">IF(AND(_slice!$H$5=1,R$40&gt;=_slice!$H$6-0.000000001,R$40&lt;=_slice!$I$6+0.000000001,$B42&gt;=_slice!$H$7-0.000000001,$B42&lt;=_slice!$I$7+0.000000001,IF(01_因子設定!$B$20="Box-Behnken",R$40^2+$B42^2+_slice!$H$8&lt;=2+0.000000001,TRUE())),IF(01_因子設定!$B$13="最大化",(_slice!R74-04_回帰ANOVA!$K$19*04_回帰ANOVA!$K$14*SQRT(1+_slice!R99))-01_因子設定!$B$14,IF(01_因子設定!$B$13="最小化",01_因子設定!$B$15-(_slice!R74+04_回帰ANOVA!$K$19*04_回帰ANOVA!$K$14*SQRT(1+_slice!R99)),MIN((_slice!R74-04_回帰ANOVA!$K$19*04_回帰ANOVA!$K$14*SQRT(1+_slice!R99))-01_因子設定!$B$14,01_因子設定!$B$15-(_slice!R74+04_回帰ANOVA!$K$19*04_回帰ANOVA!$K$14*SQRT(1+_slice!R99))))),"外")</f>
        <v>0.738137757345562</v>
      </c>
      <c r="S42" s="50" t="n">
        <f aca="false">IF(AND(_slice!$H$5=1,S$40&gt;=_slice!$H$6-0.000000001,S$40&lt;=_slice!$I$6+0.000000001,$B42&gt;=_slice!$H$7-0.000000001,$B42&lt;=_slice!$I$7+0.000000001,IF(01_因子設定!$B$20="Box-Behnken",S$40^2+$B42^2+_slice!$H$8&lt;=2+0.000000001,TRUE())),IF(01_因子設定!$B$13="最大化",(_slice!S74-04_回帰ANOVA!$K$19*04_回帰ANOVA!$K$14*SQRT(1+_slice!S99))-01_因子設定!$B$14,IF(01_因子設定!$B$13="最小化",01_因子設定!$B$15-(_slice!S74+04_回帰ANOVA!$K$19*04_回帰ANOVA!$K$14*SQRT(1+_slice!S99)),MIN((_slice!S74-04_回帰ANOVA!$K$19*04_回帰ANOVA!$K$14*SQRT(1+_slice!S99))-01_因子設定!$B$14,01_因子設定!$B$15-(_slice!S74+04_回帰ANOVA!$K$19*04_回帰ANOVA!$K$14*SQRT(1+_slice!S99))))),"外")</f>
        <v>0.839687280509423</v>
      </c>
      <c r="T42" s="50" t="n">
        <f aca="false">IF(AND(_slice!$H$5=1,T$40&gt;=_slice!$H$6-0.000000001,T$40&lt;=_slice!$I$6+0.000000001,$B42&gt;=_slice!$H$7-0.000000001,$B42&lt;=_slice!$I$7+0.000000001,IF(01_因子設定!$B$20="Box-Behnken",T$40^2+$B42^2+_slice!$H$8&lt;=2+0.000000001,TRUE())),IF(01_因子設定!$B$13="最大化",(_slice!T74-04_回帰ANOVA!$K$19*04_回帰ANOVA!$K$14*SQRT(1+_slice!T99))-01_因子設定!$B$14,IF(01_因子設定!$B$13="最小化",01_因子設定!$B$15-(_slice!T74+04_回帰ANOVA!$K$19*04_回帰ANOVA!$K$14*SQRT(1+_slice!T99)),MIN((_slice!T74-04_回帰ANOVA!$K$19*04_回帰ANOVA!$K$14*SQRT(1+_slice!T99))-01_因子設定!$B$14,01_因子設定!$B$15-(_slice!T74+04_回帰ANOVA!$K$19*04_回帰ANOVA!$K$14*SQRT(1+_slice!T99))))),"外")</f>
        <v>0.887158319155518</v>
      </c>
      <c r="U42" s="50" t="n">
        <f aca="false">IF(AND(_slice!$H$5=1,U$40&gt;=_slice!$H$6-0.000000001,U$40&lt;=_slice!$I$6+0.000000001,$B42&gt;=_slice!$H$7-0.000000001,$B42&lt;=_slice!$I$7+0.000000001,IF(01_因子設定!$B$20="Box-Behnken",U$40^2+$B42^2+_slice!$H$8&lt;=2+0.000000001,TRUE())),IF(01_因子設定!$B$13="最大化",(_slice!U74-04_回帰ANOVA!$K$19*04_回帰ANOVA!$K$14*SQRT(1+_slice!U99))-01_因子設定!$B$14,IF(01_因子設定!$B$13="最小化",01_因子設定!$B$15-(_slice!U74+04_回帰ANOVA!$K$19*04_回帰ANOVA!$K$14*SQRT(1+_slice!U99)),MIN((_slice!U74-04_回帰ANOVA!$K$19*04_回帰ANOVA!$K$14*SQRT(1+_slice!U99))-01_因子設定!$B$14,01_因子設定!$B$15-(_slice!U74+04_回帰ANOVA!$K$19*04_回帰ANOVA!$K$14*SQRT(1+_slice!U99))))),"外")</f>
        <v>0.878473489785961</v>
      </c>
      <c r="V42" s="50" t="n">
        <f aca="false">IF(AND(_slice!$H$5=1,V$40&gt;=_slice!$H$6-0.000000001,V$40&lt;=_slice!$I$6+0.000000001,$B42&gt;=_slice!$H$7-0.000000001,$B42&lt;=_slice!$I$7+0.000000001,IF(01_因子設定!$B$20="Box-Behnken",V$40^2+$B42^2+_slice!$H$8&lt;=2+0.000000001,TRUE())),IF(01_因子設定!$B$13="最大化",(_slice!V74-04_回帰ANOVA!$K$19*04_回帰ANOVA!$K$14*SQRT(1+_slice!V99))-01_因子設定!$B$14,IF(01_因子設定!$B$13="最小化",01_因子設定!$B$15-(_slice!V74+04_回帰ANOVA!$K$19*04_回帰ANOVA!$K$14*SQRT(1+_slice!V99)),MIN((_slice!V74-04_回帰ANOVA!$K$19*04_回帰ANOVA!$K$14*SQRT(1+_slice!V99))-01_因子設定!$B$14,01_因子設定!$B$15-(_slice!V74+04_回帰ANOVA!$K$19*04_回帰ANOVA!$K$14*SQRT(1+_slice!V99))))),"外")</f>
        <v>0.811411502896966</v>
      </c>
      <c r="W42" s="50" t="n">
        <f aca="false">IF(AND(_slice!$H$5=1,W$40&gt;=_slice!$H$6-0.000000001,W$40&lt;=_slice!$I$6+0.000000001,$B42&gt;=_slice!$H$7-0.000000001,$B42&lt;=_slice!$I$7+0.000000001,IF(01_因子設定!$B$20="Box-Behnken",W$40^2+$B42^2+_slice!$H$8&lt;=2+0.000000001,TRUE())),IF(01_因子設定!$B$13="最大化",(_slice!W74-04_回帰ANOVA!$K$19*04_回帰ANOVA!$K$14*SQRT(1+_slice!W99))-01_因子設定!$B$14,IF(01_因子設定!$B$13="最小化",01_因子設定!$B$15-(_slice!W74+04_回帰ANOVA!$K$19*04_回帰ANOVA!$K$14*SQRT(1+_slice!W99)),MIN((_slice!W74-04_回帰ANOVA!$K$19*04_回帰ANOVA!$K$14*SQRT(1+_slice!W99))-01_因子設定!$B$14,01_因子設定!$B$15-(_slice!W74+04_回帰ANOVA!$K$19*04_回帰ANOVA!$K$14*SQRT(1+_slice!W99))))),"外")</f>
        <v>0.683759021341764</v>
      </c>
    </row>
    <row r="43" customFormat="false" ht="15" hidden="false" customHeight="false" outlineLevel="0" collapsed="false">
      <c r="A43" s="49" t="n">
        <f aca="false">INDEX(01_因子設定!$G$5:$G$7,$C$5)+B43*INDEX(01_因子設定!$H$5:$H$7,$C$5)</f>
        <v>39</v>
      </c>
      <c r="B43" s="49" t="n">
        <v>0.9</v>
      </c>
      <c r="C43" s="50" t="n">
        <f aca="false">IF(AND(_slice!$H$5=1,C$40&gt;=_slice!$H$6-0.000000001,C$40&lt;=_slice!$I$6+0.000000001,$B43&gt;=_slice!$H$7-0.000000001,$B43&lt;=_slice!$I$7+0.000000001,IF(01_因子設定!$B$20="Box-Behnken",C$40^2+$B43^2+_slice!$H$8&lt;=2+0.000000001,TRUE())),IF(01_因子設定!$B$13="最大化",(_slice!C75-04_回帰ANOVA!$K$19*04_回帰ANOVA!$K$14*SQRT(1+_slice!C100))-01_因子設定!$B$14,IF(01_因子設定!$B$13="最小化",01_因子設定!$B$15-(_slice!C75+04_回帰ANOVA!$K$19*04_回帰ANOVA!$K$14*SQRT(1+_slice!C100)),MIN((_slice!C75-04_回帰ANOVA!$K$19*04_回帰ANOVA!$K$14*SQRT(1+_slice!C100))-01_因子設定!$B$14,01_因子設定!$B$15-(_slice!C75+04_回帰ANOVA!$K$19*04_回帰ANOVA!$K$14*SQRT(1+_slice!C100))))),"外")</f>
        <v>-6.51408849710305</v>
      </c>
      <c r="D43" s="50" t="n">
        <f aca="false">IF(AND(_slice!$H$5=1,D$40&gt;=_slice!$H$6-0.000000001,D$40&lt;=_slice!$I$6+0.000000001,$B43&gt;=_slice!$H$7-0.000000001,$B43&lt;=_slice!$I$7+0.000000001,IF(01_因子設定!$B$20="Box-Behnken",D$40^2+$B43^2+_slice!$H$8&lt;=2+0.000000001,TRUE())),IF(01_因子設定!$B$13="最大化",(_slice!D75-04_回帰ANOVA!$K$19*04_回帰ANOVA!$K$14*SQRT(1+_slice!D100))-01_因子設定!$B$14,IF(01_因子設定!$B$13="最小化",01_因子設定!$B$15-(_slice!D75+04_回帰ANOVA!$K$19*04_回帰ANOVA!$K$14*SQRT(1+_slice!D100)),MIN((_slice!D75-04_回帰ANOVA!$K$19*04_回帰ANOVA!$K$14*SQRT(1+_slice!D100))-01_因子設定!$B$14,01_因子設定!$B$15-(_slice!D75+04_回帰ANOVA!$K$19*04_回帰ANOVA!$K$14*SQRT(1+_slice!D100))))),"外")</f>
        <v>-5.64548996237842</v>
      </c>
      <c r="E43" s="50" t="n">
        <f aca="false">IF(AND(_slice!$H$5=1,E$40&gt;=_slice!$H$6-0.000000001,E$40&lt;=_slice!$I$6+0.000000001,$B43&gt;=_slice!$H$7-0.000000001,$B43&lt;=_slice!$I$7+0.000000001,IF(01_因子設定!$B$20="Box-Behnken",E$40^2+$B43^2+_slice!$H$8&lt;=2+0.000000001,TRUE())),IF(01_因子設定!$B$13="最大化",(_slice!E75-04_回帰ANOVA!$K$19*04_回帰ANOVA!$K$14*SQRT(1+_slice!E100))-01_因子設定!$B$14,IF(01_因子設定!$B$13="最小化",01_因子設定!$B$15-(_slice!E75+04_回帰ANOVA!$K$19*04_回帰ANOVA!$K$14*SQRT(1+_slice!E100)),MIN((_slice!E75-04_回帰ANOVA!$K$19*04_回帰ANOVA!$K$14*SQRT(1+_slice!E100))-01_因子設定!$B$14,01_因子設定!$B$15-(_slice!E75+04_回帰ANOVA!$K$19*04_回帰ANOVA!$K$14*SQRT(1+_slice!E100))))),"外")</f>
        <v>-4.8379015233461</v>
      </c>
      <c r="F43" s="50" t="n">
        <f aca="false">IF(AND(_slice!$H$5=1,F$40&gt;=_slice!$H$6-0.000000001,F$40&lt;=_slice!$I$6+0.000000001,$B43&gt;=_slice!$H$7-0.000000001,$B43&lt;=_slice!$I$7+0.000000001,IF(01_因子設定!$B$20="Box-Behnken",F$40^2+$B43^2+_slice!$H$8&lt;=2+0.000000001,TRUE())),IF(01_因子設定!$B$13="最大化",(_slice!F75-04_回帰ANOVA!$K$19*04_回帰ANOVA!$K$14*SQRT(1+_slice!F100))-01_因子設定!$B$14,IF(01_因子設定!$B$13="最小化",01_因子設定!$B$15-(_slice!F75+04_回帰ANOVA!$K$19*04_回帰ANOVA!$K$14*SQRT(1+_slice!F100)),MIN((_slice!F75-04_回帰ANOVA!$K$19*04_回帰ANOVA!$K$14*SQRT(1+_slice!F100))-01_因子設定!$B$14,01_因子設定!$B$15-(_slice!F75+04_回帰ANOVA!$K$19*04_回帰ANOVA!$K$14*SQRT(1+_slice!F100))))),"外")</f>
        <v>-4.08913325175811</v>
      </c>
      <c r="G43" s="50" t="n">
        <f aca="false">IF(AND(_slice!$H$5=1,G$40&gt;=_slice!$H$6-0.000000001,G$40&lt;=_slice!$I$6+0.000000001,$B43&gt;=_slice!$H$7-0.000000001,$B43&lt;=_slice!$I$7+0.000000001,IF(01_因子設定!$B$20="Box-Behnken",G$40^2+$B43^2+_slice!$H$8&lt;=2+0.000000001,TRUE())),IF(01_因子設定!$B$13="最大化",(_slice!G75-04_回帰ANOVA!$K$19*04_回帰ANOVA!$K$14*SQRT(1+_slice!G100))-01_因子設定!$B$14,IF(01_因子設定!$B$13="最小化",01_因子設定!$B$15-(_slice!G75+04_回帰ANOVA!$K$19*04_回帰ANOVA!$K$14*SQRT(1+_slice!G100)),MIN((_slice!G75-04_回帰ANOVA!$K$19*04_回帰ANOVA!$K$14*SQRT(1+_slice!G100))-01_因子設定!$B$14,01_因子設定!$B$15-(_slice!G75+04_回帰ANOVA!$K$19*04_回帰ANOVA!$K$14*SQRT(1+_slice!G100))))),"外")</f>
        <v>-3.39694772457273</v>
      </c>
      <c r="H43" s="50" t="n">
        <f aca="false">IF(AND(_slice!$H$5=1,H$40&gt;=_slice!$H$6-0.000000001,H$40&lt;=_slice!$I$6+0.000000001,$B43&gt;=_slice!$H$7-0.000000001,$B43&lt;=_slice!$I$7+0.000000001,IF(01_因子設定!$B$20="Box-Behnken",H$40^2+$B43^2+_slice!$H$8&lt;=2+0.000000001,TRUE())),IF(01_因子設定!$B$13="最大化",(_slice!H75-04_回帰ANOVA!$K$19*04_回帰ANOVA!$K$14*SQRT(1+_slice!H100))-01_因子設定!$B$14,IF(01_因子設定!$B$13="最小化",01_因子設定!$B$15-(_slice!H75+04_回帰ANOVA!$K$19*04_回帰ANOVA!$K$14*SQRT(1+_slice!H100)),MIN((_slice!H75-04_回帰ANOVA!$K$19*04_回帰ANOVA!$K$14*SQRT(1+_slice!H100))-01_因子設定!$B$14,01_因子設定!$B$15-(_slice!H75+04_回帰ANOVA!$K$19*04_回帰ANOVA!$K$14*SQRT(1+_slice!H100))))),"外")</f>
        <v>-2.75922489296543</v>
      </c>
      <c r="I43" s="50" t="n">
        <f aca="false">IF(AND(_slice!$H$5=1,I$40&gt;=_slice!$H$6-0.000000001,I$40&lt;=_slice!$I$6+0.000000001,$B43&gt;=_slice!$H$7-0.000000001,$B43&lt;=_slice!$I$7+0.000000001,IF(01_因子設定!$B$20="Box-Behnken",I$40^2+$B43^2+_slice!$H$8&lt;=2+0.000000001,TRUE())),IF(01_因子設定!$B$13="最大化",(_slice!I75-04_回帰ANOVA!$K$19*04_回帰ANOVA!$K$14*SQRT(1+_slice!I100))-01_因子設定!$B$14,IF(01_因子設定!$B$13="最小化",01_因子設定!$B$15-(_slice!I75+04_回帰ANOVA!$K$19*04_回帰ANOVA!$K$14*SQRT(1+_slice!I100)),MIN((_slice!I75-04_回帰ANOVA!$K$19*04_回帰ANOVA!$K$14*SQRT(1+_slice!I100))-01_因子設定!$B$14,01_因子設定!$B$15-(_slice!I75+04_回帰ANOVA!$K$19*04_回帰ANOVA!$K$14*SQRT(1+_slice!I100))))),"外")</f>
        <v>-2.17408409495584</v>
      </c>
      <c r="J43" s="50" t="n">
        <f aca="false">IF(AND(_slice!$H$5=1,J$40&gt;=_slice!$H$6-0.000000001,J$40&lt;=_slice!$I$6+0.000000001,$B43&gt;=_slice!$H$7-0.000000001,$B43&lt;=_slice!$I$7+0.000000001,IF(01_因子設定!$B$20="Box-Behnken",J$40^2+$B43^2+_slice!$H$8&lt;=2+0.000000001,TRUE())),IF(01_因子設定!$B$13="最大化",(_slice!J75-04_回帰ANOVA!$K$19*04_回帰ANOVA!$K$14*SQRT(1+_slice!J100))-01_因子設定!$B$14,IF(01_因子設定!$B$13="最小化",01_因子設定!$B$15-(_slice!J75+04_回帰ANOVA!$K$19*04_回帰ANOVA!$K$14*SQRT(1+_slice!J100)),MIN((_slice!J75-04_回帰ANOVA!$K$19*04_回帰ANOVA!$K$14*SQRT(1+_slice!J100))-01_因子設定!$B$14,01_因子設定!$B$15-(_slice!J75+04_回帰ANOVA!$K$19*04_回帰ANOVA!$K$14*SQRT(1+_slice!J100))))),"外")</f>
        <v>-1.63995759123918</v>
      </c>
      <c r="K43" s="50" t="n">
        <f aca="false">IF(AND(_slice!$H$5=1,K$40&gt;=_slice!$H$6-0.000000001,K$40&lt;=_slice!$I$6+0.000000001,$B43&gt;=_slice!$H$7-0.000000001,$B43&lt;=_slice!$I$7+0.000000001,IF(01_因子設定!$B$20="Box-Behnken",K$40^2+$B43^2+_slice!$H$8&lt;=2+0.000000001,TRUE())),IF(01_因子設定!$B$13="最大化",(_slice!K75-04_回帰ANOVA!$K$19*04_回帰ANOVA!$K$14*SQRT(1+_slice!K100))-01_因子設定!$B$14,IF(01_因子設定!$B$13="最小化",01_因子設定!$B$15-(_slice!K75+04_回帰ANOVA!$K$19*04_回帰ANOVA!$K$14*SQRT(1+_slice!K100)),MIN((_slice!K75-04_回帰ANOVA!$K$19*04_回帰ANOVA!$K$14*SQRT(1+_slice!K100))-01_因子設定!$B$14,01_因子設定!$B$15-(_slice!K75+04_回帰ANOVA!$K$19*04_回帰ANOVA!$K$14*SQRT(1+_slice!K100))))),"外")</f>
        <v>-1.15562427889355</v>
      </c>
      <c r="L43" s="50" t="n">
        <f aca="false">IF(AND(_slice!$H$5=1,L$40&gt;=_slice!$H$6-0.000000001,L$40&lt;=_slice!$I$6+0.000000001,$B43&gt;=_slice!$H$7-0.000000001,$B43&lt;=_slice!$I$7+0.000000001,IF(01_因子設定!$B$20="Box-Behnken",L$40^2+$B43^2+_slice!$H$8&lt;=2+0.000000001,TRUE())),IF(01_因子設定!$B$13="最大化",(_slice!L75-04_回帰ANOVA!$K$19*04_回帰ANOVA!$K$14*SQRT(1+_slice!L100))-01_因子設定!$B$14,IF(01_因子設定!$B$13="最小化",01_因子設定!$B$15-(_slice!L75+04_回帰ANOVA!$K$19*04_回帰ANOVA!$K$14*SQRT(1+_slice!L100)),MIN((_slice!L75-04_回帰ANOVA!$K$19*04_回帰ANOVA!$K$14*SQRT(1+_slice!L100))-01_因子設定!$B$14,01_因子設定!$B$15-(_slice!L75+04_回帰ANOVA!$K$19*04_回帰ANOVA!$K$14*SQRT(1+_slice!L100))))),"外")</f>
        <v>-0.72021781649201</v>
      </c>
      <c r="M43" s="50" t="n">
        <f aca="false">IF(AND(_slice!$H$5=1,M$40&gt;=_slice!$H$6-0.000000001,M$40&lt;=_slice!$I$6+0.000000001,$B43&gt;=_slice!$H$7-0.000000001,$B43&lt;=_slice!$I$7+0.000000001,IF(01_因子設定!$B$20="Box-Behnken",M$40^2+$B43^2+_slice!$H$8&lt;=2+0.000000001,TRUE())),IF(01_因子設定!$B$13="最大化",(_slice!M75-04_回帰ANOVA!$K$19*04_回帰ANOVA!$K$14*SQRT(1+_slice!M100))-01_因子設定!$B$14,IF(01_因子設定!$B$13="最小化",01_因子設定!$B$15-(_slice!M75+04_回帰ANOVA!$K$19*04_回帰ANOVA!$K$14*SQRT(1+_slice!M100)),MIN((_slice!M75-04_回帰ANOVA!$K$19*04_回帰ANOVA!$K$14*SQRT(1+_slice!M100))-01_因子設定!$B$14,01_因子設定!$B$15-(_slice!M75+04_回帰ANOVA!$K$19*04_回帰ANOVA!$K$14*SQRT(1+_slice!M100))))),"外")</f>
        <v>-0.333222648702296</v>
      </c>
      <c r="N43" s="50" t="n">
        <f aca="false">IF(AND(_slice!$H$5=1,N$40&gt;=_slice!$H$6-0.000000001,N$40&lt;=_slice!$I$6+0.000000001,$B43&gt;=_slice!$H$7-0.000000001,$B43&lt;=_slice!$I$7+0.000000001,IF(01_因子設定!$B$20="Box-Behnken",N$40^2+$B43^2+_slice!$H$8&lt;=2+0.000000001,TRUE())),IF(01_因子設定!$B$13="最大化",(_slice!N75-04_回帰ANOVA!$K$19*04_回帰ANOVA!$K$14*SQRT(1+_slice!N100))-01_因子設定!$B$14,IF(01_因子設定!$B$13="最小化",01_因子設定!$B$15-(_slice!N75+04_回帰ANOVA!$K$19*04_回帰ANOVA!$K$14*SQRT(1+_slice!N100)),MIN((_slice!N75-04_回帰ANOVA!$K$19*04_回帰ANOVA!$K$14*SQRT(1+_slice!N100))-01_因子設定!$B$14,01_因子設定!$B$15-(_slice!N75+04_回帰ANOVA!$K$19*04_回帰ANOVA!$K$14*SQRT(1+_slice!N100))))),"外")</f>
        <v>0.00553218350799511</v>
      </c>
      <c r="O43" s="50" t="n">
        <f aca="false">IF(AND(_slice!$H$5=1,O$40&gt;=_slice!$H$6-0.000000001,O$40&lt;=_slice!$I$6+0.000000001,$B43&gt;=_slice!$H$7-0.000000001,$B43&lt;=_slice!$I$7+0.000000001,IF(01_因子設定!$B$20="Box-Behnken",O$40^2+$B43^2+_slice!$H$8&lt;=2+0.000000001,TRUE())),IF(01_因子設定!$B$13="最大化",(_slice!O75-04_回帰ANOVA!$K$19*04_回帰ANOVA!$K$14*SQRT(1+_slice!O100))-01_因子設定!$B$14,IF(01_因子設定!$B$13="最小化",01_因子設定!$B$15-(_slice!O75+04_回帰ANOVA!$K$19*04_回帰ANOVA!$K$14*SQRT(1+_slice!O100)),MIN((_slice!O75-04_回帰ANOVA!$K$19*04_回帰ANOVA!$K$14*SQRT(1+_slice!O100))-01_因子設定!$B$14,01_因子設定!$B$15-(_slice!O75+04_回帰ANOVA!$K$19*04_回帰ANOVA!$K$14*SQRT(1+_slice!O100))))),"外")</f>
        <v>0.295875721106462</v>
      </c>
      <c r="P43" s="50" t="n">
        <f aca="false">IF(AND(_slice!$H$5=1,P$40&gt;=_slice!$H$6-0.000000001,P$40&lt;=_slice!$I$6+0.000000001,$B43&gt;=_slice!$H$7-0.000000001,$B43&lt;=_slice!$I$7+0.000000001,IF(01_因子設定!$B$20="Box-Behnken",P$40^2+$B43^2+_slice!$H$8&lt;=2+0.000000001,TRUE())),IF(01_因子設定!$B$13="最大化",(_slice!P75-04_回帰ANOVA!$K$19*04_回帰ANOVA!$K$14*SQRT(1+_slice!P100))-01_因子設定!$B$14,IF(01_因子設定!$B$13="最小化",01_因子設定!$B$15-(_slice!P75+04_回帰ANOVA!$K$19*04_回帰ANOVA!$K$14*SQRT(1+_slice!P100)),MIN((_slice!P75-04_回帰ANOVA!$K$19*04_回帰ANOVA!$K$14*SQRT(1+_slice!P100))-01_因子設定!$B$14,01_因子設定!$B$15-(_slice!P75+04_回帰ANOVA!$K$19*04_回帰ANOVA!$K$14*SQRT(1+_slice!P100))))),"外")</f>
        <v>0.53729240876082</v>
      </c>
      <c r="Q43" s="50" t="n">
        <f aca="false">IF(AND(_slice!$H$5=1,Q$40&gt;=_slice!$H$6-0.000000001,Q$40&lt;=_slice!$I$6+0.000000001,$B43&gt;=_slice!$H$7-0.000000001,$B43&lt;=_slice!$I$7+0.000000001,IF(01_因子設定!$B$20="Box-Behnken",Q$40^2+$B43^2+_slice!$H$8&lt;=2+0.000000001,TRUE())),IF(01_因子設定!$B$13="最大化",(_slice!Q75-04_回帰ANOVA!$K$19*04_回帰ANOVA!$K$14*SQRT(1+_slice!Q100))-01_因子設定!$B$14,IF(01_因子設定!$B$13="最小化",01_因子設定!$B$15-(_slice!Q75+04_回帰ANOVA!$K$19*04_回帰ANOVA!$K$14*SQRT(1+_slice!Q100)),MIN((_slice!Q75-04_回帰ANOVA!$K$19*04_回帰ANOVA!$K$14*SQRT(1+_slice!Q100))-01_因子設定!$B$14,01_因子設定!$B$15-(_slice!Q75+04_回帰ANOVA!$K$19*04_回帰ANOVA!$K$14*SQRT(1+_slice!Q100))))),"外")</f>
        <v>0.728915905044168</v>
      </c>
      <c r="R43" s="50" t="n">
        <f aca="false">IF(AND(_slice!$H$5=1,R$40&gt;=_slice!$H$6-0.000000001,R$40&lt;=_slice!$I$6+0.000000001,$B43&gt;=_slice!$H$7-0.000000001,$B43&lt;=_slice!$I$7+0.000000001,IF(01_因子設定!$B$20="Box-Behnken",R$40^2+$B43^2+_slice!$H$8&lt;=2+0.000000001,TRUE())),IF(01_因子設定!$B$13="最大化",(_slice!R75-04_回帰ANOVA!$K$19*04_回帰ANOVA!$K$14*SQRT(1+_slice!R100))-01_因子設定!$B$14,IF(01_因子設定!$B$13="最小化",01_因子設定!$B$15-(_slice!R75+04_回帰ANOVA!$K$19*04_回帰ANOVA!$K$14*SQRT(1+_slice!R100)),MIN((_slice!R75-04_回帰ANOVA!$K$19*04_回帰ANOVA!$K$14*SQRT(1+_slice!R100))-01_因子設定!$B$14,01_因子設定!$B$15-(_slice!R75+04_回帰ANOVA!$K$19*04_回帰ANOVA!$K$14*SQRT(1+_slice!R100))))),"外")</f>
        <v>0.869525107034569</v>
      </c>
      <c r="S43" s="50" t="n">
        <f aca="false">IF(AND(_slice!$H$5=1,S$40&gt;=_slice!$H$6-0.000000001,S$40&lt;=_slice!$I$6+0.000000001,$B43&gt;=_slice!$H$7-0.000000001,$B43&lt;=_slice!$I$7+0.000000001,IF(01_因子設定!$B$20="Box-Behnken",S$40^2+$B43^2+_slice!$H$8&lt;=2+0.000000001,TRUE())),IF(01_因子設定!$B$13="最大化",(_slice!S75-04_回帰ANOVA!$K$19*04_回帰ANOVA!$K$14*SQRT(1+_slice!S100))-01_因子設定!$B$14,IF(01_因子設定!$B$13="最小化",01_因子設定!$B$15-(_slice!S75+04_回帰ANOVA!$K$19*04_回帰ANOVA!$K$14*SQRT(1+_slice!S100)),MIN((_slice!S75-04_回帰ANOVA!$K$19*04_回帰ANOVA!$K$14*SQRT(1+_slice!S100))-01_因子設定!$B$14,01_因子設定!$B$15-(_slice!S75+04_回帰ANOVA!$K$19*04_回帰ANOVA!$K$14*SQRT(1+_slice!S100))))),"外")</f>
        <v>0.957552275427268</v>
      </c>
      <c r="T43" s="50" t="n">
        <f aca="false">IF(AND(_slice!$H$5=1,T$40&gt;=_slice!$H$6-0.000000001,T$40&lt;=_slice!$I$6+0.000000001,$B43&gt;=_slice!$H$7-0.000000001,$B43&lt;=_slice!$I$7+0.000000001,IF(01_因子設定!$B$20="Box-Behnken",T$40^2+$B43^2+_slice!$H$8&lt;=2+0.000000001,TRUE())),IF(01_因子設定!$B$13="最大化",(_slice!T75-04_回帰ANOVA!$K$19*04_回帰ANOVA!$K$14*SQRT(1+_slice!T100))-01_因子設定!$B$14,IF(01_因子設定!$B$13="最小化",01_因子設定!$B$15-(_slice!T75+04_回帰ANOVA!$K$19*04_回帰ANOVA!$K$14*SQRT(1+_slice!T100)),MIN((_slice!T75-04_回帰ANOVA!$K$19*04_回帰ANOVA!$K$14*SQRT(1+_slice!T100))-01_因子設定!$B$14,01_因子設定!$B$15-(_slice!T75+04_回帰ANOVA!$K$19*04_回帰ANOVA!$K$14*SQRT(1+_slice!T100))))),"外")</f>
        <v>0.991116748241886</v>
      </c>
      <c r="U43" s="50" t="n">
        <f aca="false">IF(AND(_slice!$H$5=1,U$40&gt;=_slice!$H$6-0.000000001,U$40&lt;=_slice!$I$6+0.000000001,$B43&gt;=_slice!$H$7-0.000000001,$B43&lt;=_slice!$I$7+0.000000001,IF(01_因子設定!$B$20="Box-Behnken",U$40^2+$B43^2+_slice!$H$8&lt;=2+0.000000001,TRUE())),IF(01_因子設定!$B$13="最大化",(_slice!U75-04_回帰ANOVA!$K$19*04_回帰ANOVA!$K$14*SQRT(1+_slice!U100))-01_因子設定!$B$14,IF(01_因子設定!$B$13="最小化",01_因子設定!$B$15-(_slice!U75+04_回帰ANOVA!$K$19*04_回帰ANOVA!$K$14*SQRT(1+_slice!U100)),MIN((_slice!U75-04_回帰ANOVA!$K$19*04_回帰ANOVA!$K$14*SQRT(1+_slice!U100))-01_因子設定!$B$14,01_因子設定!$B$15-(_slice!U75+04_回帰ANOVA!$K$19*04_回帰ANOVA!$K$14*SQRT(1+_slice!U100))))),"外")</f>
        <v>0.9680984766539</v>
      </c>
      <c r="V43" s="50" t="n">
        <f aca="false">IF(AND(_slice!$H$5=1,V$40&gt;=_slice!$H$6-0.000000001,V$40&lt;=_slice!$I$6+0.000000001,$B43&gt;=_slice!$H$7-0.000000001,$B43&lt;=_slice!$I$7+0.000000001,IF(01_因子設定!$B$20="Box-Behnken",V$40^2+$B43^2+_slice!$H$8&lt;=2+0.000000001,TRUE())),IF(01_因子設定!$B$13="最大化",(_slice!V75-04_回帰ANOVA!$K$19*04_回帰ANOVA!$K$14*SQRT(1+_slice!V100))-01_因子設定!$B$14,IF(01_因子設定!$B$13="最小化",01_因子設定!$B$15-(_slice!V75+04_回帰ANOVA!$K$19*04_回帰ANOVA!$K$14*SQRT(1+_slice!V100)),MIN((_slice!V75-04_回帰ANOVA!$K$19*04_回帰ANOVA!$K$14*SQRT(1+_slice!V100))-01_因子設定!$B$14,01_因子設定!$B$15-(_slice!V75+04_回帰ANOVA!$K$19*04_回帰ANOVA!$K$14*SQRT(1+_slice!V100))))),"外")</f>
        <v>0.886260037621582</v>
      </c>
      <c r="W43" s="50" t="n">
        <f aca="false">IF(AND(_slice!$H$5=1,W$40&gt;=_slice!$H$6-0.000000001,W$40&lt;=_slice!$I$6+0.000000001,$B43&gt;=_slice!$H$7-0.000000001,$B43&lt;=_slice!$I$7+0.000000001,IF(01_因子設定!$B$20="Box-Behnken",W$40^2+$B43^2+_slice!$H$8&lt;=2+0.000000001,TRUE())),IF(01_因子設定!$B$13="最大化",(_slice!W75-04_回帰ANOVA!$K$19*04_回帰ANOVA!$K$14*SQRT(1+_slice!W100))-01_因子設定!$B$14,IF(01_因子設定!$B$13="最小化",01_因子設定!$B$15-(_slice!W75+04_回帰ANOVA!$K$19*04_回帰ANOVA!$K$14*SQRT(1+_slice!W100)),MIN((_slice!W75-04_回帰ANOVA!$K$19*04_回帰ANOVA!$K$14*SQRT(1+_slice!W100))-01_因子設定!$B$14,01_因子設定!$B$15-(_slice!W75+04_回帰ANOVA!$K$19*04_回帰ANOVA!$K$14*SQRT(1+_slice!W100))))),"外")</f>
        <v>0.743411502896962</v>
      </c>
    </row>
    <row r="44" customFormat="false" ht="15" hidden="false" customHeight="false" outlineLevel="0" collapsed="false">
      <c r="A44" s="49" t="n">
        <f aca="false">INDEX(01_因子設定!$G$5:$G$7,$C$5)+B44*INDEX(01_因子設定!$H$5:$H$7,$C$5)</f>
        <v>38</v>
      </c>
      <c r="B44" s="49" t="n">
        <v>0.8</v>
      </c>
      <c r="C44" s="50" t="n">
        <f aca="false">IF(AND(_slice!$H$5=1,C$40&gt;=_slice!$H$6-0.000000001,C$40&lt;=_slice!$I$6+0.000000001,$B44&gt;=_slice!$H$7-0.000000001,$B44&lt;=_slice!$I$7+0.000000001,IF(01_因子設定!$B$20="Box-Behnken",C$40^2+$B44^2+_slice!$H$8&lt;=2+0.000000001,TRUE())),IF(01_因子設定!$B$13="最大化",(_slice!C76-04_回帰ANOVA!$K$19*04_回帰ANOVA!$K$14*SQRT(1+_slice!C101))-01_因子設定!$B$14,IF(01_因子設定!$B$13="最小化",01_因子設定!$B$15-(_slice!C76+04_回帰ANOVA!$K$19*04_回帰ANOVA!$K$14*SQRT(1+_slice!C101)),MIN((_slice!C76-04_回帰ANOVA!$K$19*04_回帰ANOVA!$K$14*SQRT(1+_slice!C101))-01_因子設定!$B$14,01_因子設定!$B$15-(_slice!C76+04_回帰ANOVA!$K$19*04_回帰ANOVA!$K$14*SQRT(1+_slice!C101))))),"外")</f>
        <v>-6.26102651021405</v>
      </c>
      <c r="D44" s="50" t="n">
        <f aca="false">IF(AND(_slice!$H$5=1,D$40&gt;=_slice!$H$6-0.000000001,D$40&lt;=_slice!$I$6+0.000000001,$B44&gt;=_slice!$H$7-0.000000001,$B44&lt;=_slice!$I$7+0.000000001,IF(01_因子設定!$B$20="Box-Behnken",D$40^2+$B44^2+_slice!$H$8&lt;=2+0.000000001,TRUE())),IF(01_因子設定!$B$13="最大化",(_slice!D76-04_回帰ANOVA!$K$19*04_回帰ANOVA!$K$14*SQRT(1+_slice!D101))-01_因子設定!$B$14,IF(01_因子設定!$B$13="最小化",01_因子設定!$B$15-(_slice!D76+04_回帰ANOVA!$K$19*04_回帰ANOVA!$K$14*SQRT(1+_slice!D101)),MIN((_slice!D76-04_回帰ANOVA!$K$19*04_回帰ANOVA!$K$14*SQRT(1+_slice!D101))-01_因子設定!$B$14,01_因子設定!$B$15-(_slice!D76+04_回帰ANOVA!$K$19*04_回帰ANOVA!$K$14*SQRT(1+_slice!D101))))),"外")</f>
        <v>-5.4021515233461</v>
      </c>
      <c r="E44" s="50" t="n">
        <f aca="false">IF(AND(_slice!$H$5=1,E$40&gt;=_slice!$H$6-0.000000001,E$40&lt;=_slice!$I$6+0.000000001,$B44&gt;=_slice!$H$7-0.000000001,$B44&lt;=_slice!$I$7+0.000000001,IF(01_因子設定!$B$20="Box-Behnken",E$40^2+$B44^2+_slice!$H$8&lt;=2+0.000000001,TRUE())),IF(01_因子設定!$B$13="最大化",(_slice!E76-04_回帰ANOVA!$K$19*04_回帰ANOVA!$K$14*SQRT(1+_slice!E101))-01_因子設定!$B$14,IF(01_因子設定!$B$13="最小化",01_因子設定!$B$15-(_slice!E76+04_回帰ANOVA!$K$19*04_回帰ANOVA!$K$14*SQRT(1+_slice!E101)),MIN((_slice!E76-04_回帰ANOVA!$K$19*04_回帰ANOVA!$K$14*SQRT(1+_slice!E101))-01_因子設定!$B$14,01_因子設定!$B$15-(_slice!E76+04_回帰ANOVA!$K$19*04_回帰ANOVA!$K$14*SQRT(1+_slice!E101))))),"外")</f>
        <v>-4.60459458094429</v>
      </c>
      <c r="F44" s="50" t="n">
        <f aca="false">IF(AND(_slice!$H$5=1,F$40&gt;=_slice!$H$6-0.000000001,F$40&lt;=_slice!$I$6+0.000000001,$B44&gt;=_slice!$H$7-0.000000001,$B44&lt;=_slice!$I$7+0.000000001,IF(01_因子設定!$B$20="Box-Behnken",F$40^2+$B44^2+_slice!$H$8&lt;=2+0.000000001,TRUE())),IF(01_因子設定!$B$13="最大化",(_slice!F76-04_回帰ANOVA!$K$19*04_回帰ANOVA!$K$14*SQRT(1+_slice!F101))-01_因子設定!$B$14,IF(01_因子設定!$B$13="最小化",01_因子設定!$B$15-(_slice!F76+04_回帰ANOVA!$K$19*04_回帰ANOVA!$K$14*SQRT(1+_slice!F101)),MIN((_slice!F76-04_回帰ANOVA!$K$19*04_回帰ANOVA!$K$14*SQRT(1+_slice!F101))-01_因子設定!$B$14,01_因子設定!$B$15-(_slice!F76+04_回帰ANOVA!$K$19*04_回帰ANOVA!$K$14*SQRT(1+_slice!F101))))),"外")</f>
        <v>-3.86620280518602</v>
      </c>
      <c r="G44" s="50" t="n">
        <f aca="false">IF(AND(_slice!$H$5=1,G$40&gt;=_slice!$H$6-0.000000001,G$40&lt;=_slice!$I$6+0.000000001,$B44&gt;=_slice!$H$7-0.000000001,$B44&lt;=_slice!$I$7+0.000000001,IF(01_因子設定!$B$20="Box-Behnken",G$40^2+$B44^2+_slice!$H$8&lt;=2+0.000000001,TRUE())),IF(01_因子設定!$B$13="最大化",(_slice!G76-04_回帰ANOVA!$K$19*04_回帰ANOVA!$K$14*SQRT(1+_slice!G101))-01_因子設定!$B$14,IF(01_因子設定!$B$13="最小化",01_因子設定!$B$15-(_slice!G76+04_回帰ANOVA!$K$19*04_回帰ANOVA!$K$14*SQRT(1+_slice!G101)),MIN((_slice!G76-04_回帰ANOVA!$K$19*04_回帰ANOVA!$K$14*SQRT(1+_slice!G101))-01_因子設定!$B$14,01_因子設定!$B$15-(_slice!G76+04_回帰ANOVA!$K$19*04_回帰ANOVA!$K$14*SQRT(1+_slice!G101))))),"外")</f>
        <v>-3.18474212758716</v>
      </c>
      <c r="H44" s="50" t="n">
        <f aca="false">IF(AND(_slice!$H$5=1,H$40&gt;=_slice!$H$6-0.000000001,H$40&lt;=_slice!$I$6+0.000000001,$B44&gt;=_slice!$H$7-0.000000001,$B44&lt;=_slice!$I$7+0.000000001,IF(01_因子設定!$B$20="Box-Behnken",H$40^2+$B44^2+_slice!$H$8&lt;=2+0.000000001,TRUE())),IF(01_因子設定!$B$13="最大化",(_slice!H76-04_回帰ANOVA!$K$19*04_回帰ANOVA!$K$14*SQRT(1+_slice!H101))-01_因子設定!$B$14,IF(01_因子設定!$B$13="最小化",01_因子設定!$B$15-(_slice!H76+04_回帰ANOVA!$K$19*04_回帰ANOVA!$K$14*SQRT(1+_slice!H101)),MIN((_slice!H76-04_回帰ANOVA!$K$19*04_回帰ANOVA!$K$14*SQRT(1+_slice!H101))-01_因子設定!$B$14,01_因子設定!$B$15-(_slice!H76+04_回帰ANOVA!$K$19*04_回帰ANOVA!$K$14*SQRT(1+_slice!H101))))),"外")</f>
        <v>-2.55807064835501</v>
      </c>
      <c r="I44" s="50" t="n">
        <f aca="false">IF(AND(_slice!$H$5=1,I$40&gt;=_slice!$H$6-0.000000001,I$40&lt;=_slice!$I$6+0.000000001,$B44&gt;=_slice!$H$7-0.000000001,$B44&lt;=_slice!$I$7+0.000000001,IF(01_因子設定!$B$20="Box-Behnken",I$40^2+$B44^2+_slice!$H$8&lt;=2+0.000000001,TRUE())),IF(01_因子設定!$B$13="最大化",(_slice!I76-04_回帰ANOVA!$K$19*04_回帰ANOVA!$K$14*SQRT(1+_slice!I101))-01_因子設定!$B$14,IF(01_因子設定!$B$13="最小化",01_因子設定!$B$15-(_slice!I76+04_回帰ANOVA!$K$19*04_回帰ANOVA!$K$14*SQRT(1+_slice!I101)),MIN((_slice!I76-04_回帰ANOVA!$K$19*04_回帰ANOVA!$K$14*SQRT(1+_slice!I101))-01_因子設定!$B$14,01_因子設定!$B$15-(_slice!I76+04_回帰ANOVA!$K$19*04_回帰ANOVA!$K$14*SQRT(1+_slice!I101))))),"外")</f>
        <v>-1.98427194045951</v>
      </c>
      <c r="J44" s="50" t="n">
        <f aca="false">IF(AND(_slice!$H$5=1,J$40&gt;=_slice!$H$6-0.000000001,J$40&lt;=_slice!$I$6+0.000000001,$B44&gt;=_slice!$H$7-0.000000001,$B44&lt;=_slice!$I$7+0.000000001,IF(01_因子設定!$B$20="Box-Behnken",J$40^2+$B44^2+_slice!$H$8&lt;=2+0.000000001,TRUE())),IF(01_因子設定!$B$13="最大化",(_slice!J76-04_回帰ANOVA!$K$19*04_回帰ANOVA!$K$14*SQRT(1+_slice!J101))-01_因子設定!$B$14,IF(01_因子設定!$B$13="最小化",01_因子設定!$B$15-(_slice!J76+04_回帰ANOVA!$K$19*04_回帰ANOVA!$K$14*SQRT(1+_slice!J101)),MIN((_slice!J76-04_回帰ANOVA!$K$19*04_回帰ANOVA!$K$14*SQRT(1+_slice!J101))-01_因子設定!$B$14,01_因子設定!$B$15-(_slice!J76+04_回帰ANOVA!$K$19*04_回帰ANOVA!$K$14*SQRT(1+_slice!J101))))),"外")</f>
        <v>-1.46173881808797</v>
      </c>
      <c r="K44" s="50" t="n">
        <f aca="false">IF(AND(_slice!$H$5=1,K$40&gt;=_slice!$H$6-0.000000001,K$40&lt;=_slice!$I$6+0.000000001,$B44&gt;=_slice!$H$7-0.000000001,$B44&lt;=_slice!$I$7+0.000000001,IF(01_因子設定!$B$20="Box-Behnken",K$40^2+$B44^2+_slice!$H$8&lt;=2+0.000000001,TRUE())),IF(01_因子設定!$B$13="最大化",(_slice!K76-04_回帰ANOVA!$K$19*04_回帰ANOVA!$K$14*SQRT(1+_slice!K101))-01_因子設定!$B$14,IF(01_因子設定!$B$13="最小化",01_因子設定!$B$15-(_slice!K76+04_回帰ANOVA!$K$19*04_回帰ANOVA!$K$14*SQRT(1+_slice!K101)),MIN((_slice!K76-04_回帰ANOVA!$K$19*04_回帰ANOVA!$K$14*SQRT(1+_slice!K101))-01_因子設定!$B$14,01_因子設定!$B$15-(_slice!K76+04_回帰ANOVA!$K$19*04_回帰ANOVA!$K$14*SQRT(1+_slice!K101))))),"外")</f>
        <v>-0.989214423291848</v>
      </c>
      <c r="L44" s="50" t="n">
        <f aca="false">IF(AND(_slice!$H$5=1,L$40&gt;=_slice!$H$6-0.000000001,L$40&lt;=_slice!$I$6+0.000000001,$B44&gt;=_slice!$H$7-0.000000001,$B44&lt;=_slice!$I$7+0.000000001,IF(01_因子設定!$B$20="Box-Behnken",L$40^2+$B44^2+_slice!$H$8&lt;=2+0.000000001,TRUE())),IF(01_因子設定!$B$13="最大化",(_slice!L76-04_回帰ANOVA!$K$19*04_回帰ANOVA!$K$14*SQRT(1+_slice!L101))-01_因子設定!$B$14,IF(01_因子設定!$B$13="最小化",01_因子設定!$B$15-(_slice!L76+04_回帰ANOVA!$K$19*04_回帰ANOVA!$K$14*SQRT(1+_slice!L101)),MIN((_slice!L76-04_回帰ANOVA!$K$19*04_回帰ANOVA!$K$14*SQRT(1+_slice!L101))-01_因子設定!$B$14,01_因子設定!$B$15-(_slice!L76+04_回帰ANOVA!$K$19*04_回帰ANOVA!$K$14*SQRT(1+_slice!L101))))),"外")</f>
        <v>-0.565804796919288</v>
      </c>
      <c r="M44" s="50" t="n">
        <f aca="false">IF(AND(_slice!$H$5=1,M$40&gt;=_slice!$H$6-0.000000001,M$40&lt;=_slice!$I$6+0.000000001,$B44&gt;=_slice!$H$7-0.000000001,$B44&lt;=_slice!$I$7+0.000000001,IF(01_因子設定!$B$20="Box-Behnken",M$40^2+$B44^2+_slice!$H$8&lt;=2+0.000000001,TRUE())),IF(01_因子設定!$B$13="最大化",(_slice!M76-04_回帰ANOVA!$K$19*04_回帰ANOVA!$K$14*SQRT(1+_slice!M101))-01_因子設定!$B$14,IF(01_因子設定!$B$13="最小化",01_因子設定!$B$15-(_slice!M76+04_回帰ANOVA!$K$19*04_回帰ANOVA!$K$14*SQRT(1+_slice!M101)),MIN((_slice!M76-04_回帰ANOVA!$K$19*04_回帰ANOVA!$K$14*SQRT(1+_slice!M101))-01_因子設定!$B$14,01_因子設定!$B$15-(_slice!M76+04_回帰ANOVA!$K$19*04_回帰ANOVA!$K$14*SQRT(1+_slice!M101))))),"外")</f>
        <v>-0.190977180825456</v>
      </c>
      <c r="N44" s="50" t="n">
        <f aca="false">IF(AND(_slice!$H$5=1,N$40&gt;=_slice!$H$6-0.000000001,N$40&lt;=_slice!$I$6+0.000000001,$B44&gt;=_slice!$H$7-0.000000001,$B44&lt;=_slice!$I$7+0.000000001,IF(01_因子設定!$B$20="Box-Behnken",N$40^2+$B44^2+_slice!$H$8&lt;=2+0.000000001,TRUE())),IF(01_因子設定!$B$13="最大化",(_slice!N76-04_回帰ANOVA!$K$19*04_回帰ANOVA!$K$14*SQRT(1+_slice!N101))-01_因子設定!$B$14,IF(01_因子設定!$B$13="最小化",01_因子設定!$B$15-(_slice!N76+04_回帰ANOVA!$K$19*04_回帰ANOVA!$K$14*SQRT(1+_slice!N101)),MIN((_slice!N76-04_回帰ANOVA!$K$19*04_回帰ANOVA!$K$14*SQRT(1+_slice!N101))-01_因子設定!$B$14,01_因子設定!$B$15-(_slice!N76+04_回帰ANOVA!$K$19*04_回帰ANOVA!$K$14*SQRT(1+_slice!N101))))),"外")</f>
        <v>0.135445203080714</v>
      </c>
      <c r="O44" s="50" t="n">
        <f aca="false">IF(AND(_slice!$H$5=1,O$40&gt;=_slice!$H$6-0.000000001,O$40&lt;=_slice!$I$6+0.000000001,$B44&gt;=_slice!$H$7-0.000000001,$B44&lt;=_slice!$I$7+0.000000001,IF(01_因子設定!$B$20="Box-Behnken",O$40^2+$B44^2+_slice!$H$8&lt;=2+0.000000001,TRUE())),IF(01_因子設定!$B$13="最大化",(_slice!O76-04_回帰ANOVA!$K$19*04_回帰ANOVA!$K$14*SQRT(1+_slice!O101))-01_因子設定!$B$14,IF(01_因子設定!$B$13="最小化",01_因子設定!$B$15-(_slice!O76+04_回帰ANOVA!$K$19*04_回帰ANOVA!$K$14*SQRT(1+_slice!O101)),MIN((_slice!O76-04_回帰ANOVA!$K$19*04_回帰ANOVA!$K$14*SQRT(1+_slice!O101))-01_因子設定!$B$14,01_因子設定!$B$15-(_slice!O76+04_回帰ANOVA!$K$19*04_回帰ANOVA!$K$14*SQRT(1+_slice!O101))))),"外")</f>
        <v>0.413285576708155</v>
      </c>
      <c r="P44" s="50" t="n">
        <f aca="false">IF(AND(_slice!$H$5=1,P$40&gt;=_slice!$H$6-0.000000001,P$40&lt;=_slice!$I$6+0.000000001,$B44&gt;=_slice!$H$7-0.000000001,$B44&lt;=_slice!$I$7+0.000000001,IF(01_因子設定!$B$20="Box-Behnken",P$40^2+$B44^2+_slice!$H$8&lt;=2+0.000000001,TRUE())),IF(01_因子設定!$B$13="最大化",(_slice!P76-04_回帰ANOVA!$K$19*04_回帰ANOVA!$K$14*SQRT(1+_slice!P101))-01_因子設定!$B$14,IF(01_因子設定!$B$13="最小化",01_因子設定!$B$15-(_slice!P76+04_回帰ANOVA!$K$19*04_回帰ANOVA!$K$14*SQRT(1+_slice!P101)),MIN((_slice!P76-04_回帰ANOVA!$K$19*04_回帰ANOVA!$K$14*SQRT(1+_slice!P101))-01_因子設定!$B$14,01_因子設定!$B$15-(_slice!P76+04_回帰ANOVA!$K$19*04_回帰ANOVA!$K$14*SQRT(1+_slice!P101))))),"外")</f>
        <v>0.642011181912018</v>
      </c>
      <c r="Q44" s="50" t="n">
        <f aca="false">IF(AND(_slice!$H$5=1,Q$40&gt;=_slice!$H$6-0.000000001,Q$40&lt;=_slice!$I$6+0.000000001,$B44&gt;=_slice!$H$7-0.000000001,$B44&lt;=_slice!$I$7+0.000000001,IF(01_因子設定!$B$20="Box-Behnken",Q$40^2+$B44^2+_slice!$H$8&lt;=2+0.000000001,TRUE())),IF(01_因子設定!$B$13="最大化",(_slice!Q76-04_回帰ANOVA!$K$19*04_回帰ANOVA!$K$14*SQRT(1+_slice!Q101))-01_因子設定!$B$14,IF(01_因子設定!$B$13="最小化",01_因子設定!$B$15-(_slice!Q76+04_回帰ANOVA!$K$19*04_回帰ANOVA!$K$14*SQRT(1+_slice!Q101)),MIN((_slice!Q76-04_回帰ANOVA!$K$19*04_回帰ANOVA!$K$14*SQRT(1+_slice!Q101))-01_因子設定!$B$14,01_因子設定!$B$15-(_slice!Q76+04_回帰ANOVA!$K$19*04_回帰ANOVA!$K$14*SQRT(1+_slice!Q101))))),"外")</f>
        <v>0.8207280595405</v>
      </c>
      <c r="R44" s="50" t="n">
        <f aca="false">IF(AND(_slice!$H$5=1,R$40&gt;=_slice!$H$6-0.000000001,R$40&lt;=_slice!$I$6+0.000000001,$B44&gt;=_slice!$H$7-0.000000001,$B44&lt;=_slice!$I$7+0.000000001,IF(01_因子設定!$B$20="Box-Behnken",R$40^2+$B44^2+_slice!$H$8&lt;=2+0.000000001,TRUE())),IF(01_因子設定!$B$13="最大化",(_slice!R76-04_回帰ANOVA!$K$19*04_回帰ANOVA!$K$14*SQRT(1+_slice!R101))-01_因子設定!$B$14,IF(01_因子設定!$B$13="最小化",01_因子設定!$B$15-(_slice!R76+04_回帰ANOVA!$K$19*04_回帰ANOVA!$K$14*SQRT(1+_slice!R101)),MIN((_slice!R76-04_回帰ANOVA!$K$19*04_回帰ANOVA!$K$14*SQRT(1+_slice!R101))-01_因子設定!$B$14,01_因子設定!$B$15-(_slice!R76+04_回帰ANOVA!$K$19*04_回帰ANOVA!$K$14*SQRT(1+_slice!R101))))),"外")</f>
        <v>0.948179351645003</v>
      </c>
      <c r="S44" s="50" t="n">
        <f aca="false">IF(AND(_slice!$H$5=1,S$40&gt;=_slice!$H$6-0.000000001,S$40&lt;=_slice!$I$6+0.000000001,$B44&gt;=_slice!$H$7-0.000000001,$B44&lt;=_slice!$I$7+0.000000001,IF(01_因子設定!$B$20="Box-Behnken",S$40^2+$B44^2+_slice!$H$8&lt;=2+0.000000001,TRUE())),IF(01_因子設定!$B$13="最大化",(_slice!S76-04_回帰ANOVA!$K$19*04_回帰ANOVA!$K$14*SQRT(1+_slice!S101))-01_因子設定!$B$14,IF(01_因子設定!$B$13="最小化",01_因子設定!$B$15-(_slice!S76+04_回帰ANOVA!$K$19*04_回帰ANOVA!$K$14*SQRT(1+_slice!S101)),MIN((_slice!S76-04_回帰ANOVA!$K$19*04_回帰ANOVA!$K$14*SQRT(1+_slice!S101))-01_因子設定!$B$14,01_因子設定!$B$15-(_slice!S76+04_回帰ANOVA!$K$19*04_回帰ANOVA!$K$14*SQRT(1+_slice!S101))))),"外")</f>
        <v>1.02275787241285</v>
      </c>
      <c r="T44" s="50" t="n">
        <f aca="false">IF(AND(_slice!$H$5=1,T$40&gt;=_slice!$H$6-0.000000001,T$40&lt;=_slice!$I$6+0.000000001,$B44&gt;=_slice!$H$7-0.000000001,$B44&lt;=_slice!$I$7+0.000000001,IF(01_因子設定!$B$20="Box-Behnken",T$40^2+$B44^2+_slice!$H$8&lt;=2+0.000000001,TRUE())),IF(01_因子設定!$B$13="最大化",(_slice!T76-04_回帰ANOVA!$K$19*04_回帰ANOVA!$K$14*SQRT(1+_slice!T101))-01_因子設定!$B$14,IF(01_因子設定!$B$13="最小化",01_因子設定!$B$15-(_slice!T76+04_回帰ANOVA!$K$19*04_回帰ANOVA!$K$14*SQRT(1+_slice!T101)),MIN((_slice!T76-04_回帰ANOVA!$K$19*04_回帰ANOVA!$K$14*SQRT(1+_slice!T101))-01_因子設定!$B$14,01_因子設定!$B$15-(_slice!T76+04_回帰ANOVA!$K$19*04_回帰ANOVA!$K$14*SQRT(1+_slice!T101))))),"外")</f>
        <v>1.04254719481398</v>
      </c>
      <c r="U44" s="50" t="n">
        <f aca="false">IF(AND(_slice!$H$5=1,U$40&gt;=_slice!$H$6-0.000000001,U$40&lt;=_slice!$I$6+0.000000001,$B44&gt;=_slice!$H$7-0.000000001,$B44&lt;=_slice!$I$7+0.000000001,IF(01_因子設定!$B$20="Box-Behnken",U$40^2+$B44^2+_slice!$H$8&lt;=2+0.000000001,TRUE())),IF(01_因子設定!$B$13="最大化",(_slice!U76-04_回帰ANOVA!$K$19*04_回帰ANOVA!$K$14*SQRT(1+_slice!U101))-01_因子設定!$B$14,IF(01_因子設定!$B$13="最小化",01_因子設定!$B$15-(_slice!U76+04_回帰ANOVA!$K$19*04_回帰ANOVA!$K$14*SQRT(1+_slice!U101)),MIN((_slice!U76-04_回帰ANOVA!$K$19*04_回帰ANOVA!$K$14*SQRT(1+_slice!U101))-01_因子設定!$B$14,01_因子設定!$B$15-(_slice!U76+04_回帰ANOVA!$K$19*04_回帰ANOVA!$K$14*SQRT(1+_slice!U101))))),"外")</f>
        <v>1.00540541905571</v>
      </c>
      <c r="V44" s="50" t="n">
        <f aca="false">IF(AND(_slice!$H$5=1,V$40&gt;=_slice!$H$6-0.000000001,V$40&lt;=_slice!$I$6+0.000000001,$B44&gt;=_slice!$H$7-0.000000001,$B44&lt;=_slice!$I$7+0.000000001,IF(01_因子設定!$B$20="Box-Behnken",V$40^2+$B44^2+_slice!$H$8&lt;=2+0.000000001,TRUE())),IF(01_因子設定!$B$13="最大化",(_slice!V76-04_回帰ANOVA!$K$19*04_回帰ANOVA!$K$14*SQRT(1+_slice!V101))-01_因子設定!$B$14,IF(01_因子設定!$B$13="最小化",01_因子設定!$B$15-(_slice!V76+04_回帰ANOVA!$K$19*04_回帰ANOVA!$K$14*SQRT(1+_slice!V101)),MIN((_slice!V76-04_回帰ANOVA!$K$19*04_回帰ANOVA!$K$14*SQRT(1+_slice!V101))-01_因子設定!$B$14,01_因子設定!$B$15-(_slice!V76+04_回帰ANOVA!$K$19*04_回帰ANOVA!$K$14*SQRT(1+_slice!V101))))),"外")</f>
        <v>0.909098476653902</v>
      </c>
      <c r="W44" s="50" t="n">
        <f aca="false">IF(AND(_slice!$H$5=1,W$40&gt;=_slice!$H$6-0.000000001,W$40&lt;=_slice!$I$6+0.000000001,$B44&gt;=_slice!$H$7-0.000000001,$B44&lt;=_slice!$I$7+0.000000001,IF(01_因子設定!$B$20="Box-Behnken",W$40^2+$B44^2+_slice!$H$8&lt;=2+0.000000001,TRUE())),IF(01_因子設定!$B$13="最大化",(_slice!W76-04_回帰ANOVA!$K$19*04_回帰ANOVA!$K$14*SQRT(1+_slice!W101))-01_因子設定!$B$14,IF(01_因子設定!$B$13="最小化",01_因子設定!$B$15-(_slice!W76+04_回帰ANOVA!$K$19*04_回帰ANOVA!$K$14*SQRT(1+_slice!W101)),MIN((_slice!W76-04_回帰ANOVA!$K$19*04_回帰ANOVA!$K$14*SQRT(1+_slice!W101))-01_因子設定!$B$14,01_因子設定!$B$15-(_slice!W76+04_回帰ANOVA!$K$19*04_回帰ANOVA!$K$14*SQRT(1+_slice!W101))))),"外")</f>
        <v>0.751473489785951</v>
      </c>
    </row>
    <row r="45" customFormat="false" ht="15" hidden="false" customHeight="false" outlineLevel="0" collapsed="false">
      <c r="A45" s="49" t="n">
        <f aca="false">INDEX(01_因子設定!$G$5:$G$7,$C$5)+B45*INDEX(01_因子設定!$H$5:$H$7,$C$5)</f>
        <v>37</v>
      </c>
      <c r="B45" s="49" t="n">
        <v>0.7</v>
      </c>
      <c r="C45" s="50" t="n">
        <f aca="false">IF(AND(_slice!$H$5=1,C$40&gt;=_slice!$H$6-0.000000001,C$40&lt;=_slice!$I$6+0.000000001,$B45&gt;=_slice!$H$7-0.000000001,$B45&lt;=_slice!$I$7+0.000000001,IF(01_因子設定!$B$20="Box-Behnken",C$40^2+$B45^2+_slice!$H$8&lt;=2+0.000000001,TRUE())),IF(01_因子設定!$B$13="最大化",(_slice!C77-04_回帰ANOVA!$K$19*04_回帰ANOVA!$K$14*SQRT(1+_slice!C102))-01_因子設定!$B$14,IF(01_因子設定!$B$13="最小化",01_因子設定!$B$15-(_slice!C77+04_回帰ANOVA!$K$19*04_回帰ANOVA!$K$14*SQRT(1+_slice!C102)),MIN((_slice!C77-04_回帰ANOVA!$K$19*04_回帰ANOVA!$K$14*SQRT(1+_slice!C102))-01_因子設定!$B$14,01_因子設定!$B$15-(_slice!C77+04_回帰ANOVA!$K$19*04_回帰ANOVA!$K$14*SQRT(1+_slice!C102))))),"外")</f>
        <v>-6.0573416808445</v>
      </c>
      <c r="D45" s="50" t="n">
        <f aca="false">IF(AND(_slice!$H$5=1,D$40&gt;=_slice!$H$6-0.000000001,D$40&lt;=_slice!$I$6+0.000000001,$B45&gt;=_slice!$H$7-0.000000001,$B45&lt;=_slice!$I$7+0.000000001,IF(01_因子設定!$B$20="Box-Behnken",D$40^2+$B45^2+_slice!$H$8&lt;=2+0.000000001,TRUE())),IF(01_因子設定!$B$13="最大化",(_slice!D77-04_回帰ANOVA!$K$19*04_回帰ANOVA!$K$14*SQRT(1+_slice!D102))-01_因子設定!$B$14,IF(01_因子設定!$B$13="最小化",01_因子設定!$B$15-(_slice!D77+04_回帰ANOVA!$K$19*04_回帰ANOVA!$K$14*SQRT(1+_slice!D102)),MIN((_slice!D77-04_回帰ANOVA!$K$19*04_回帰ANOVA!$K$14*SQRT(1+_slice!D102))-01_因子設定!$B$14,01_因子設定!$B$15-(_slice!D77+04_回帰ANOVA!$K$19*04_回帰ANOVA!$K$14*SQRT(1+_slice!D102))))),"外")</f>
        <v>-5.20863325175812</v>
      </c>
      <c r="E45" s="50" t="n">
        <f aca="false">IF(AND(_slice!$H$5=1,E$40&gt;=_slice!$H$6-0.000000001,E$40&lt;=_slice!$I$6+0.000000001,$B45&gt;=_slice!$H$7-0.000000001,$B45&lt;=_slice!$I$7+0.000000001,IF(01_因子設定!$B$20="Box-Behnken",E$40^2+$B45^2+_slice!$H$8&lt;=2+0.000000001,TRUE())),IF(01_因子設定!$B$13="最大化",(_slice!E77-04_回帰ANOVA!$K$19*04_回帰ANOVA!$K$14*SQRT(1+_slice!E102))-01_因子設定!$B$14,IF(01_因子設定!$B$13="最小化",01_因子設定!$B$15-(_slice!E77+04_回帰ANOVA!$K$19*04_回帰ANOVA!$K$14*SQRT(1+_slice!E102)),MIN((_slice!E77-04_回帰ANOVA!$K$19*04_回帰ANOVA!$K$14*SQRT(1+_slice!E102))-01_因子設定!$B$14,01_因子設定!$B$15-(_slice!E77+04_回帰ANOVA!$K$19*04_回帰ANOVA!$K$14*SQRT(1+_slice!E102))))),"外")</f>
        <v>-4.42145280518603</v>
      </c>
      <c r="F45" s="50" t="n">
        <f aca="false">IF(AND(_slice!$H$5=1,F$40&gt;=_slice!$H$6-0.000000001,F$40&lt;=_slice!$I$6+0.000000001,$B45&gt;=_slice!$H$7-0.000000001,$B45&lt;=_slice!$I$7+0.000000001,IF(01_因子設定!$B$20="Box-Behnken",F$40^2+$B45^2+_slice!$H$8&lt;=2+0.000000001,TRUE())),IF(01_因子設定!$B$13="最大化",(_slice!F77-04_回帰ANOVA!$K$19*04_回帰ANOVA!$K$14*SQRT(1+_slice!F102))-01_因子設定!$B$14,IF(01_因子設定!$B$13="最小化",01_因子設定!$B$15-(_slice!F77+04_回帰ANOVA!$K$19*04_回帰ANOVA!$K$14*SQRT(1+_slice!F102)),MIN((_slice!F77-04_回帰ANOVA!$K$19*04_回帰ANOVA!$K$14*SQRT(1+_slice!F102))-01_因子設定!$B$14,01_因子設定!$B$15-(_slice!F77+04_回帰ANOVA!$K$19*04_回帰ANOVA!$K$14*SQRT(1+_slice!F102))))),"外")</f>
        <v>-3.69369061362189</v>
      </c>
      <c r="G45" s="50" t="n">
        <f aca="false">IF(AND(_slice!$H$5=1,G$40&gt;=_slice!$H$6-0.000000001,G$40&lt;=_slice!$I$6+0.000000001,$B45&gt;=_slice!$H$7-0.000000001,$B45&lt;=_slice!$I$7+0.000000001,IF(01_因子設定!$B$20="Box-Behnken",G$40^2+$B45^2+_slice!$H$8&lt;=2+0.000000001,TRUE())),IF(01_因子設定!$B$13="最大化",(_slice!G77-04_回帰ANOVA!$K$19*04_回帰ANOVA!$K$14*SQRT(1+_slice!G102))-01_因子設定!$B$14,IF(01_因子設定!$B$13="最小化",01_因子設定!$B$15-(_slice!G77+04_回帰ANOVA!$K$19*04_回帰ANOVA!$K$14*SQRT(1+_slice!G102)),MIN((_slice!G77-04_回帰ANOVA!$K$19*04_回帰ANOVA!$K$14*SQRT(1+_slice!G102))-01_因子設定!$B$14,01_因子設定!$B$15-(_slice!G77+04_回帰ANOVA!$K$19*04_回帰ANOVA!$K$14*SQRT(1+_slice!G102))))),"外")</f>
        <v>-3.023129446939</v>
      </c>
      <c r="H45" s="50" t="n">
        <f aca="false">IF(AND(_slice!$H$5=1,H$40&gt;=_slice!$H$6-0.000000001,H$40&lt;=_slice!$I$6+0.000000001,$B45&gt;=_slice!$H$7-0.000000001,$B45&lt;=_slice!$I$7+0.000000001,IF(01_因子設定!$B$20="Box-Behnken",H$40^2+$B45^2+_slice!$H$8&lt;=2+0.000000001,TRUE())),IF(01_因子設定!$B$13="最大化",(_slice!H77-04_回帰ANOVA!$K$19*04_回帰ANOVA!$K$14*SQRT(1+_slice!H102))-01_因子設定!$B$14,IF(01_因子設定!$B$13="最小化",01_因子設定!$B$15-(_slice!H77+04_回帰ANOVA!$K$19*04_回帰ANOVA!$K$14*SQRT(1+_slice!H102)),MIN((_slice!H77-04_回帰ANOVA!$K$19*04_回帰ANOVA!$K$14*SQRT(1+_slice!H102))-01_因子設定!$B$14,01_因子設定!$B$15-(_slice!H77+04_回帰ANOVA!$K$19*04_回帰ANOVA!$K$14*SQRT(1+_slice!H102))))),"外")</f>
        <v>-2.40762237814657</v>
      </c>
      <c r="I45" s="50" t="n">
        <f aca="false">IF(AND(_slice!$H$5=1,I$40&gt;=_slice!$H$6-0.000000001,I$40&lt;=_slice!$I$6+0.000000001,$B45&gt;=_slice!$H$7-0.000000001,$B45&lt;=_slice!$I$7+0.000000001,IF(01_因子設定!$B$20="Box-Behnken",I$40^2+$B45^2+_slice!$H$8&lt;=2+0.000000001,TRUE())),IF(01_因子設定!$B$13="最大化",(_slice!I77-04_回帰ANOVA!$K$19*04_回帰ANOVA!$K$14*SQRT(1+_slice!I102))-01_因子設定!$B$14,IF(01_因子設定!$B$13="最小化",01_因子設定!$B$15-(_slice!I77+04_回帰ANOVA!$K$19*04_回帰ANOVA!$K$14*SQRT(1+_slice!I102)),MIN((_slice!I77-04_回帰ANOVA!$K$19*04_回帰ANOVA!$K$14*SQRT(1+_slice!I102))-01_因子設定!$B$14,01_因子設定!$B$15-(_slice!I77+04_回帰ANOVA!$K$19*04_回帰ANOVA!$K$14*SQRT(1+_slice!I102))))),"外")</f>
        <v>-1.84523398918998</v>
      </c>
      <c r="J45" s="50" t="n">
        <f aca="false">IF(AND(_slice!$H$5=1,J$40&gt;=_slice!$H$6-0.000000001,J$40&lt;=_slice!$I$6+0.000000001,$B45&gt;=_slice!$H$7-0.000000001,$B45&lt;=_slice!$I$7+0.000000001,IF(01_因子設定!$B$20="Box-Behnken",J$40^2+$B45^2+_slice!$H$8&lt;=2+0.000000001,TRUE())),IF(01_因子設定!$B$13="最大化",(_slice!J77-04_回帰ANOVA!$K$19*04_回帰ANOVA!$K$14*SQRT(1+_slice!J102))-01_因子設定!$B$14,IF(01_因子設定!$B$13="最小化",01_因子設定!$B$15-(_slice!J77+04_回帰ANOVA!$K$19*04_回帰ANOVA!$K$14*SQRT(1+_slice!J102)),MIN((_slice!J77-04_回帰ANOVA!$K$19*04_回帰ANOVA!$K$14*SQRT(1+_slice!J102))-01_因子設定!$B$14,01_因子設定!$B$15-(_slice!J77+04_回帰ANOVA!$K$19*04_回帰ANOVA!$K$14*SQRT(1+_slice!J102))))),"外")</f>
        <v>-1.33433223920854</v>
      </c>
      <c r="K45" s="50" t="n">
        <f aca="false">IF(AND(_slice!$H$5=1,K$40&gt;=_slice!$H$6-0.000000001,K$40&lt;=_slice!$I$6+0.000000001,$B45&gt;=_slice!$H$7-0.000000001,$B45&lt;=_slice!$I$7+0.000000001,IF(01_因子設定!$B$20="Box-Behnken",K$40^2+$B45^2+_slice!$H$8&lt;=2+0.000000001,TRUE())),IF(01_因子設定!$B$13="最大化",(_slice!K77-04_回帰ANOVA!$K$19*04_回帰ANOVA!$K$14*SQRT(1+_slice!K102))-01_因子設定!$B$14,IF(01_因子設定!$B$13="最小化",01_因子設定!$B$15-(_slice!K77+04_回帰ANOVA!$K$19*04_回帰ANOVA!$K$14*SQRT(1+_slice!K102)),MIN((_slice!K77-04_回帰ANOVA!$K$19*04_回帰ANOVA!$K$14*SQRT(1+_slice!K102))-01_因子設定!$B$14,01_因子設定!$B$15-(_slice!K77+04_回帰ANOVA!$K$19*04_回帰ANOVA!$K$14*SQRT(1+_slice!K102))))),"外")</f>
        <v>-0.873635939428738</v>
      </c>
      <c r="L45" s="50" t="n">
        <f aca="false">IF(AND(_slice!$H$5=1,L$40&gt;=_slice!$H$6-0.000000001,L$40&lt;=_slice!$I$6+0.000000001,$B45&gt;=_slice!$H$7-0.000000001,$B45&lt;=_slice!$I$7+0.000000001,IF(01_因子設定!$B$20="Box-Behnken",L$40^2+$B45^2+_slice!$H$8&lt;=2+0.000000001,TRUE())),IF(01_因子設定!$B$13="最大化",(_slice!L77-04_回帰ANOVA!$K$19*04_回帰ANOVA!$K$14*SQRT(1+_slice!L102))-01_因子設定!$B$14,IF(01_因子設定!$B$13="最小化",01_因子設定!$B$15-(_slice!L77+04_回帰ANOVA!$K$19*04_回帰ANOVA!$K$14*SQRT(1+_slice!L102)),MIN((_slice!L77-04_回帰ANOVA!$K$19*04_回帰ANOVA!$K$14*SQRT(1+_slice!L102))-01_因子設定!$B$14,01_因子設定!$B$15-(_slice!L77+04_回帰ANOVA!$K$19*04_回帰ANOVA!$K$14*SQRT(1+_slice!L102))))),"外")</f>
        <v>-0.462231526711719</v>
      </c>
      <c r="M45" s="50" t="n">
        <f aca="false">IF(AND(_slice!$H$5=1,M$40&gt;=_slice!$H$6-0.000000001,M$40&lt;=_slice!$I$6+0.000000001,$B45&gt;=_slice!$H$7-0.000000001,$B45&lt;=_slice!$I$7+0.000000001,IF(01_因子設定!$B$20="Box-Behnken",M$40^2+$B45^2+_slice!$H$8&lt;=2+0.000000001,TRUE())),IF(01_因子設定!$B$13="最大化",(_slice!M77-04_回帰ANOVA!$K$19*04_回帰ANOVA!$K$14*SQRT(1+_slice!M102))-01_因子設定!$B$14,IF(01_因子設定!$B$13="最小化",01_因子設定!$B$15-(_slice!M77+04_回帰ANOVA!$K$19*04_回帰ANOVA!$K$14*SQRT(1+_slice!M102)),MIN((_slice!M77-04_回帰ANOVA!$K$19*04_回帰ANOVA!$K$14*SQRT(1+_slice!M102))-01_因子設定!$B$14,01_因子設定!$B$15-(_slice!M77+04_回帰ANOVA!$K$19*04_回帰ANOVA!$K$14*SQRT(1+_slice!M102))))),"外")</f>
        <v>-0.0995737401737387</v>
      </c>
      <c r="N45" s="50" t="n">
        <f aca="false">IF(AND(_slice!$H$5=1,N$40&gt;=_slice!$H$6-0.000000001,N$40&lt;=_slice!$I$6+0.000000001,$B45&gt;=_slice!$H$7-0.000000001,$B45&lt;=_slice!$I$7+0.000000001,IF(01_因子設定!$B$20="Box-Behnken",N$40^2+$B45^2+_slice!$H$8&lt;=2+0.000000001,TRUE())),IF(01_因子設定!$B$13="最大化",(_slice!N77-04_回帰ANOVA!$K$19*04_回帰ANOVA!$K$14*SQRT(1+_slice!N102))-01_因子設定!$B$14,IF(01_因子設定!$B$13="最小化",01_因子設定!$B$15-(_slice!N77+04_回帰ANOVA!$K$19*04_回帰ANOVA!$K$14*SQRT(1+_slice!N102)),MIN((_slice!N77-04_回帰ANOVA!$K$19*04_回帰ANOVA!$K$14*SQRT(1+_slice!N102))-01_因子設定!$B$14,01_因子設定!$B$15-(_slice!N77+04_回帰ANOVA!$K$19*04_回帰ANOVA!$K$14*SQRT(1+_slice!N102))))),"外")</f>
        <v>0.21451847328828</v>
      </c>
      <c r="O45" s="50" t="n">
        <f aca="false">IF(AND(_slice!$H$5=1,O$40&gt;=_slice!$H$6-0.000000001,O$40&lt;=_slice!$I$6+0.000000001,$B45&gt;=_slice!$H$7-0.000000001,$B45&lt;=_slice!$I$7+0.000000001,IF(01_因子設定!$B$20="Box-Behnken",O$40^2+$B45^2+_slice!$H$8&lt;=2+0.000000001,TRUE())),IF(01_因子設定!$B$13="最大化",(_slice!O77-04_回帰ANOVA!$K$19*04_回帰ANOVA!$K$14*SQRT(1+_slice!O102))-01_因子設定!$B$14,IF(01_因子設定!$B$13="最小化",01_因子設定!$B$15-(_slice!O77+04_回帰ANOVA!$K$19*04_回帰ANOVA!$K$14*SQRT(1+_slice!O102)),MIN((_slice!O77-04_回帰ANOVA!$K$19*04_回帰ANOVA!$K$14*SQRT(1+_slice!O102))-01_因子設定!$B$14,01_因子設定!$B$15-(_slice!O77+04_回帰ANOVA!$K$19*04_回帰ANOVA!$K$14*SQRT(1+_slice!O102))))),"外")</f>
        <v>0.479864060571273</v>
      </c>
      <c r="P45" s="50" t="n">
        <f aca="false">IF(AND(_slice!$H$5=1,P$40&gt;=_slice!$H$6-0.000000001,P$40&lt;=_slice!$I$6+0.000000001,$B45&gt;=_slice!$H$7-0.000000001,$B45&lt;=_slice!$I$7+0.000000001,IF(01_因子設定!$B$20="Box-Behnken",P$40^2+$B45^2+_slice!$H$8&lt;=2+0.000000001,TRUE())),IF(01_因子設定!$B$13="最大化",(_slice!P77-04_回帰ANOVA!$K$19*04_回帰ANOVA!$K$14*SQRT(1+_slice!P102))-01_因子設定!$B$14,IF(01_因子設定!$B$13="最小化",01_因子設定!$B$15-(_slice!P77+04_回帰ANOVA!$K$19*04_回帰ANOVA!$K$14*SQRT(1+_slice!P102)),MIN((_slice!P77-04_回帰ANOVA!$K$19*04_回帰ANOVA!$K$14*SQRT(1+_slice!P102))-01_因子設定!$B$14,01_因子設定!$B$15-(_slice!P77+04_回帰ANOVA!$K$19*04_回帰ANOVA!$K$14*SQRT(1+_slice!P102))))),"外")</f>
        <v>0.69591776079146</v>
      </c>
      <c r="Q45" s="50" t="n">
        <f aca="false">IF(AND(_slice!$H$5=1,Q$40&gt;=_slice!$H$6-0.000000001,Q$40&lt;=_slice!$I$6+0.000000001,$B45&gt;=_slice!$H$7-0.000000001,$B45&lt;=_slice!$I$7+0.000000001,IF(01_因子設定!$B$20="Box-Behnken",Q$40^2+$B45^2+_slice!$H$8&lt;=2+0.000000001,TRUE())),IF(01_因子設定!$B$13="最大化",(_slice!Q77-04_回帰ANOVA!$K$19*04_回帰ANOVA!$K$14*SQRT(1+_slice!Q102))-01_因子設定!$B$14,IF(01_因子設定!$B$13="最小化",01_因子設定!$B$15-(_slice!Q77+04_回帰ANOVA!$K$19*04_回帰ANOVA!$K$14*SQRT(1+_slice!Q102)),MIN((_slice!Q77-04_回帰ANOVA!$K$19*04_回帰ANOVA!$K$14*SQRT(1+_slice!Q102))-01_因子設定!$B$14,01_因子設定!$B$15-(_slice!Q77+04_回帰ANOVA!$K$19*04_回帰ANOVA!$K$14*SQRT(1+_slice!Q102))))),"外")</f>
        <v>0.861766010810015</v>
      </c>
      <c r="R45" s="50" t="n">
        <f aca="false">IF(AND(_slice!$H$5=1,R$40&gt;=_slice!$H$6-0.000000001,R$40&lt;=_slice!$I$6+0.000000001,$B45&gt;=_slice!$H$7-0.000000001,$B45&lt;=_slice!$I$7+0.000000001,IF(01_因子設定!$B$20="Box-Behnken",R$40^2+$B45^2+_slice!$H$8&lt;=2+0.000000001,TRUE())),IF(01_因子設定!$B$13="最大化",(_slice!R77-04_回帰ANOVA!$K$19*04_回帰ANOVA!$K$14*SQRT(1+_slice!R102))-01_因子設定!$B$14,IF(01_因子設定!$B$13="最小化",01_因子設定!$B$15-(_slice!R77+04_回帰ANOVA!$K$19*04_回帰ANOVA!$K$14*SQRT(1+_slice!R102)),MIN((_slice!R77-04_回帰ANOVA!$K$19*04_回帰ANOVA!$K$14*SQRT(1+_slice!R102))-01_因子設定!$B$14,01_因子設定!$B$15-(_slice!R77+04_回帰ANOVA!$K$19*04_回帰ANOVA!$K$14*SQRT(1+_slice!R102))))),"外")</f>
        <v>0.976127621853436</v>
      </c>
      <c r="S45" s="50" t="n">
        <f aca="false">IF(AND(_slice!$H$5=1,S$40&gt;=_slice!$H$6-0.000000001,S$40&lt;=_slice!$I$6+0.000000001,$B45&gt;=_slice!$H$7-0.000000001,$B45&lt;=_slice!$I$7+0.000000001,IF(01_因子設定!$B$20="Box-Behnken",S$40^2+$B45^2+_slice!$H$8&lt;=2+0.000000001,TRUE())),IF(01_因子設定!$B$13="最大化",(_slice!S77-04_回帰ANOVA!$K$19*04_回帰ANOVA!$K$14*SQRT(1+_slice!S102))-01_因子設定!$B$14,IF(01_因子設定!$B$13="最小化",01_因子設定!$B$15-(_slice!S77+04_回帰ANOVA!$K$19*04_回帰ANOVA!$K$14*SQRT(1+_slice!S102)),MIN((_slice!S77-04_回帰ANOVA!$K$19*04_回帰ANOVA!$K$14*SQRT(1+_slice!S102))-01_因子設定!$B$14,01_因子設定!$B$15-(_slice!S77+04_回帰ANOVA!$K$19*04_回帰ANOVA!$K$14*SQRT(1+_slice!S102))))),"外")</f>
        <v>1.037370553061</v>
      </c>
      <c r="T45" s="50" t="n">
        <f aca="false">IF(AND(_slice!$H$5=1,T$40&gt;=_slice!$H$6-0.000000001,T$40&lt;=_slice!$I$6+0.000000001,$B45&gt;=_slice!$H$7-0.000000001,$B45&lt;=_slice!$I$7+0.000000001,IF(01_因子設定!$B$20="Box-Behnken",T$40^2+$B45^2+_slice!$H$8&lt;=2+0.000000001,TRUE())),IF(01_因子設定!$B$13="最大化",(_slice!T77-04_回帰ANOVA!$K$19*04_回帰ANOVA!$K$14*SQRT(1+_slice!T102))-01_因子設定!$B$14,IF(01_因子設定!$B$13="最小化",01_因子設定!$B$15-(_slice!T77+04_回帰ANOVA!$K$19*04_回帰ANOVA!$K$14*SQRT(1+_slice!T102)),MIN((_slice!T77-04_回帰ANOVA!$K$19*04_回帰ANOVA!$K$14*SQRT(1+_slice!T102))-01_因子設定!$B$14,01_因子設定!$B$15-(_slice!T77+04_回帰ANOVA!$K$19*04_回帰ANOVA!$K$14*SQRT(1+_slice!T102))))),"外")</f>
        <v>1.04355938637811</v>
      </c>
      <c r="U45" s="50" t="n">
        <f aca="false">IF(AND(_slice!$H$5=1,U$40&gt;=_slice!$H$6-0.000000001,U$40&lt;=_slice!$I$6+0.000000001,$B45&gt;=_slice!$H$7-0.000000001,$B45&lt;=_slice!$I$7+0.000000001,IF(01_因子設定!$B$20="Box-Behnken",U$40^2+$B45^2+_slice!$H$8&lt;=2+0.000000001,TRUE())),IF(01_因子設定!$B$13="最大化",(_slice!U77-04_回帰ANOVA!$K$19*04_回帰ANOVA!$K$14*SQRT(1+_slice!U102))-01_因子設定!$B$14,IF(01_因子設定!$B$13="最小化",01_因子設定!$B$15-(_slice!U77+04_回帰ANOVA!$K$19*04_回帰ANOVA!$K$14*SQRT(1+_slice!U102)),MIN((_slice!U77-04_回帰ANOVA!$K$19*04_回帰ANOVA!$K$14*SQRT(1+_slice!U102))-01_因子設定!$B$14,01_因子設定!$B$15-(_slice!U77+04_回帰ANOVA!$K$19*04_回帰ANOVA!$K$14*SQRT(1+_slice!U102))))),"外")</f>
        <v>0.992547194813973</v>
      </c>
      <c r="V45" s="50" t="n">
        <f aca="false">IF(AND(_slice!$H$5=1,V$40&gt;=_slice!$H$6-0.000000001,V$40&lt;=_slice!$I$6+0.000000001,$B45&gt;=_slice!$H$7-0.000000001,$B45&lt;=_slice!$I$7+0.000000001,IF(01_因子設定!$B$20="Box-Behnken",V$40^2+$B45^2+_slice!$H$8&lt;=2+0.000000001,TRUE())),IF(01_因子設定!$B$13="最大化",(_slice!V77-04_回帰ANOVA!$K$19*04_回帰ANOVA!$K$14*SQRT(1+_slice!V102))-01_因子設定!$B$14,IF(01_因子設定!$B$13="最小化",01_因子設定!$B$15-(_slice!V77+04_回帰ANOVA!$K$19*04_回帰ANOVA!$K$14*SQRT(1+_slice!V102)),MIN((_slice!V77-04_回帰ANOVA!$K$19*04_回帰ANOVA!$K$14*SQRT(1+_slice!V102))-01_因子設定!$B$14,01_因子設定!$B$15-(_slice!V77+04_回帰ANOVA!$K$19*04_回帰ANOVA!$K$14*SQRT(1+_slice!V102))))),"外")</f>
        <v>0.882116748241884</v>
      </c>
      <c r="W45" s="50" t="n">
        <f aca="false">IF(AND(_slice!$H$5=1,W$40&gt;=_slice!$H$6-0.000000001,W$40&lt;=_slice!$I$6+0.000000001,$B45&gt;=_slice!$H$7-0.000000001,$B45&lt;=_slice!$I$7+0.000000001,IF(01_因子設定!$B$20="Box-Behnken",W$40^2+$B45^2+_slice!$H$8&lt;=2+0.000000001,TRUE())),IF(01_因子設定!$B$13="最大化",(_slice!W77-04_回帰ANOVA!$K$19*04_回帰ANOVA!$K$14*SQRT(1+_slice!W102))-01_因子設定!$B$14,IF(01_因子設定!$B$13="最小化",01_因子設定!$B$15-(_slice!W77+04_回帰ANOVA!$K$19*04_回帰ANOVA!$K$14*SQRT(1+_slice!W102)),MIN((_slice!W77-04_回帰ANOVA!$K$19*04_回帰ANOVA!$K$14*SQRT(1+_slice!W102))-01_因子設定!$B$14,01_因子設定!$B$15-(_slice!W77+04_回帰ANOVA!$K$19*04_回帰ANOVA!$K$14*SQRT(1+_slice!W102))))),"外")</f>
        <v>0.710158319155511</v>
      </c>
    </row>
    <row r="46" customFormat="false" ht="15" hidden="false" customHeight="false" outlineLevel="0" collapsed="false">
      <c r="A46" s="49" t="n">
        <f aca="false">INDEX(01_因子設定!$G$5:$G$7,$C$5)+B46*INDEX(01_因子設定!$H$5:$H$7,$C$5)</f>
        <v>36</v>
      </c>
      <c r="B46" s="49" t="n">
        <v>0.6</v>
      </c>
      <c r="C46" s="50" t="n">
        <f aca="false">IF(AND(_slice!$H$5=1,C$40&gt;=_slice!$H$6-0.000000001,C$40&lt;=_slice!$I$6+0.000000001,$B46&gt;=_slice!$H$7-0.000000001,$B46&lt;=_slice!$I$7+0.000000001,IF(01_因子設定!$B$20="Box-Behnken",C$40^2+$B46^2+_slice!$H$8&lt;=2+0.000000001,TRUE())),IF(01_因子設定!$B$13="最大化",(_slice!C78-04_回帰ANOVA!$K$19*04_回帰ANOVA!$K$14*SQRT(1+_slice!C103))-01_因子設定!$B$14,IF(01_因子設定!$B$13="最小化",01_因子設定!$B$15-(_slice!C78+04_回帰ANOVA!$K$19*04_回帰ANOVA!$K$14*SQRT(1+_slice!C103)),MIN((_slice!C78-04_回帰ANOVA!$K$19*04_回帰ANOVA!$K$14*SQRT(1+_slice!C103))-01_因子設定!$B$14,01_因子設定!$B$15-(_slice!C78+04_回帰ANOVA!$K$19*04_回帰ANOVA!$K$14*SQRT(1+_slice!C103))))),"外")</f>
        <v>-5.9008127194906</v>
      </c>
      <c r="D46" s="50" t="n">
        <f aca="false">IF(AND(_slice!$H$5=1,D$40&gt;=_slice!$H$6-0.000000001,D$40&lt;=_slice!$I$6+0.000000001,$B46&gt;=_slice!$H$7-0.000000001,$B46&lt;=_slice!$I$7+0.000000001,IF(01_因子設定!$B$20="Box-Behnken",D$40^2+$B46^2+_slice!$H$8&lt;=2+0.000000001,TRUE())),IF(01_因子設定!$B$13="最大化",(_slice!D78-04_回帰ANOVA!$K$19*04_回帰ANOVA!$K$14*SQRT(1+_slice!D103))-01_因子設定!$B$14,IF(01_因子設定!$B$13="最小化",01_因子設定!$B$15-(_slice!D78+04_回帰ANOVA!$K$19*04_回帰ANOVA!$K$14*SQRT(1+_slice!D103)),MIN((_slice!D78-04_回帰ANOVA!$K$19*04_回帰ANOVA!$K$14*SQRT(1+_slice!D103))-01_因子設定!$B$14,01_因子設定!$B$15-(_slice!D78+04_回帰ANOVA!$K$19*04_回帰ANOVA!$K$14*SQRT(1+_slice!D103))))),"外")</f>
        <v>-5.06269772457274</v>
      </c>
      <c r="E46" s="50" t="n">
        <f aca="false">IF(AND(_slice!$H$5=1,E$40&gt;=_slice!$H$6-0.000000001,E$40&lt;=_slice!$I$6+0.000000001,$B46&gt;=_slice!$H$7-0.000000001,$B46&lt;=_slice!$I$7+0.000000001,IF(01_因子設定!$B$20="Box-Behnken",E$40^2+$B46^2+_slice!$H$8&lt;=2+0.000000001,TRUE())),IF(01_因子設定!$B$13="最大化",(_slice!E78-04_回帰ANOVA!$K$19*04_回帰ANOVA!$K$14*SQRT(1+_slice!E103))-01_因子設定!$B$14,IF(01_因子設定!$B$13="最小化",01_因子設定!$B$15-(_slice!E78+04_回帰ANOVA!$K$19*04_回帰ANOVA!$K$14*SQRT(1+_slice!E103)),MIN((_slice!E78-04_回帰ANOVA!$K$19*04_回帰ANOVA!$K$14*SQRT(1+_slice!E103))-01_因子設定!$B$14,01_因子設定!$B$15-(_slice!E78+04_回帰ANOVA!$K$19*04_回帰ANOVA!$K$14*SQRT(1+_slice!E103))))),"外")</f>
        <v>-4.28624212758717</v>
      </c>
      <c r="F46" s="50" t="n">
        <f aca="false">IF(AND(_slice!$H$5=1,F$40&gt;=_slice!$H$6-0.000000001,F$40&lt;=_slice!$I$6+0.000000001,$B46&gt;=_slice!$H$7-0.000000001,$B46&lt;=_slice!$I$7+0.000000001,IF(01_因子設定!$B$20="Box-Behnken",F$40^2+$B46^2+_slice!$H$8&lt;=2+0.000000001,TRUE())),IF(01_因子設定!$B$13="最大化",(_slice!F78-04_回帰ANOVA!$K$19*04_回帰ANOVA!$K$14*SQRT(1+_slice!F103))-01_因子設定!$B$14,IF(01_因子設定!$B$13="最小化",01_因子設定!$B$15-(_slice!F78+04_回帰ANOVA!$K$19*04_回帰ANOVA!$K$14*SQRT(1+_slice!F103)),MIN((_slice!F78-04_回帰ANOVA!$K$19*04_回帰ANOVA!$K$14*SQRT(1+_slice!F103))-01_因子設定!$B$14,01_因子設定!$B$15-(_slice!F78+04_回帰ANOVA!$K$19*04_回帰ANOVA!$K$14*SQRT(1+_slice!F103))))),"外")</f>
        <v>-3.569379446939</v>
      </c>
      <c r="G46" s="50" t="n">
        <f aca="false">IF(AND(_slice!$H$5=1,G$40&gt;=_slice!$H$6-0.000000001,G$40&lt;=_slice!$I$6+0.000000001,$B46&gt;=_slice!$H$7-0.000000001,$B46&lt;=_slice!$I$7+0.000000001,IF(01_因子設定!$B$20="Box-Behnken",G$40^2+$B46^2+_slice!$H$8&lt;=2+0.000000001,TRUE())),IF(01_因子設定!$B$13="最大化",(_slice!G78-04_回帰ANOVA!$K$19*04_回帰ANOVA!$K$14*SQRT(1+_slice!G103))-01_因子設定!$B$14,IF(01_因子設定!$B$13="最小化",01_因子設定!$B$15-(_slice!G78+04_回帰ANOVA!$K$19*04_回帰ANOVA!$K$14*SQRT(1+_slice!G103)),MIN((_slice!G78-04_回帰ANOVA!$K$19*04_回帰ANOVA!$K$14*SQRT(1+_slice!G103))-01_因子設定!$B$14,01_因子設定!$B$15-(_slice!G78+04_回帰ANOVA!$K$19*04_回帰ANOVA!$K$14*SQRT(1+_slice!G103))))),"外")</f>
        <v>-2.90991676565272</v>
      </c>
      <c r="H46" s="50" t="n">
        <f aca="false">IF(AND(_slice!$H$5=1,H$40&gt;=_slice!$H$6-0.000000001,H$40&lt;=_slice!$I$6+0.000000001,$B46&gt;=_slice!$H$7-0.000000001,$B46&lt;=_slice!$I$7+0.000000001,IF(01_因子設定!$B$20="Box-Behnken",H$40^2+$B46^2+_slice!$H$8&lt;=2+0.000000001,TRUE())),IF(01_因子設定!$B$13="最大化",(_slice!H78-04_回帰ANOVA!$K$19*04_回帰ANOVA!$K$14*SQRT(1+_slice!H103))-01_因子設定!$B$14,IF(01_因子設定!$B$13="最小化",01_因子設定!$B$15-(_slice!H78+04_回帰ANOVA!$K$19*04_回帰ANOVA!$K$14*SQRT(1+_slice!H103)),MIN((_slice!H78-04_回帰ANOVA!$K$19*04_回帰ANOVA!$K$14*SQRT(1+_slice!H103))-01_因子設定!$B$14,01_因子設定!$B$15-(_slice!H78+04_回帰ANOVA!$K$19*04_回帰ANOVA!$K$14*SQRT(1+_slice!H103))))),"外")</f>
        <v>-2.30571391838557</v>
      </c>
      <c r="I46" s="50" t="n">
        <f aca="false">IF(AND(_slice!$H$5=1,I$40&gt;=_slice!$H$6-0.000000001,I$40&lt;=_slice!$I$6+0.000000001,$B46&gt;=_slice!$H$7-0.000000001,$B46&lt;=_slice!$I$7+0.000000001,IF(01_因子設定!$B$20="Box-Behnken",I$40^2+$B46^2+_slice!$H$8&lt;=2+0.000000001,TRUE())),IF(01_因子設定!$B$13="最大化",(_slice!I78-04_回帰ANOVA!$K$19*04_回帰ANOVA!$K$14*SQRT(1+_slice!I103))-01_因子設定!$B$14,IF(01_因子設定!$B$13="最小化",01_因子設定!$B$15-(_slice!I78+04_回帰ANOVA!$K$19*04_回帰ANOVA!$K$14*SQRT(1+_slice!I103)),MIN((_slice!I78-04_回帰ANOVA!$K$19*04_回帰ANOVA!$K$14*SQRT(1+_slice!I103))-01_因子設定!$B$14,01_因子設定!$B$15-(_slice!I78+04_回帰ANOVA!$K$19*04_回帰ANOVA!$K$14*SQRT(1+_slice!I103))))),"外")</f>
        <v>-1.75482955114307</v>
      </c>
      <c r="J46" s="50" t="n">
        <f aca="false">IF(AND(_slice!$H$5=1,J$40&gt;=_slice!$H$6-0.000000001,J$40&lt;=_slice!$I$6+0.000000001,$B46&gt;=_slice!$H$7-0.000000001,$B46&lt;=_slice!$I$7+0.000000001,IF(01_因子設定!$B$20="Box-Behnken",J$40^2+$B46^2+_slice!$H$8&lt;=2+0.000000001,TRUE())),IF(01_因子設定!$B$13="最大化",(_slice!J78-04_回帰ANOVA!$K$19*04_回帰ANOVA!$K$14*SQRT(1+_slice!J103))-01_因子設定!$B$14,IF(01_因子設定!$B$13="最小化",01_因子設定!$B$15-(_slice!J78+04_回帰ANOVA!$K$19*04_回帰ANOVA!$K$14*SQRT(1+_slice!J103)),MIN((_slice!J78-04_回帰ANOVA!$K$19*04_回帰ANOVA!$K$14*SQRT(1+_slice!J103))-01_因子設定!$B$14,01_因子設定!$B$15-(_slice!J78+04_回帰ANOVA!$K$19*04_回帰ANOVA!$K$14*SQRT(1+_slice!J103))))),"外")</f>
        <v>-1.25561885925047</v>
      </c>
      <c r="K46" s="50" t="n">
        <f aca="false">IF(AND(_slice!$H$5=1,K$40&gt;=_slice!$H$6-0.000000001,K$40&lt;=_slice!$I$6+0.000000001,$B46&gt;=_slice!$H$7-0.000000001,$B46&lt;=_slice!$I$7+0.000000001,IF(01_因子設定!$B$20="Box-Behnken",K$40^2+$B46^2+_slice!$H$8&lt;=2+0.000000001,TRUE())),IF(01_因子設定!$B$13="最大化",(_slice!K78-04_回帰ANOVA!$K$19*04_回帰ANOVA!$K$14*SQRT(1+_slice!K103))-01_因子設定!$B$14,IF(01_因子設定!$B$13="最小化",01_因子設定!$B$15-(_slice!K78+04_回帰ANOVA!$K$19*04_回帰ANOVA!$K$14*SQRT(1+_slice!K103)),MIN((_slice!K78-04_回帰ANOVA!$K$19*04_回帰ANOVA!$K$14*SQRT(1+_slice!K103))-01_因子設定!$B$14,01_因子設定!$B$15-(_slice!K78+04_回帰ANOVA!$K$19*04_回帰ANOVA!$K$14*SQRT(1+_slice!K103))))),"外")</f>
        <v>-0.806786188151591</v>
      </c>
      <c r="L46" s="50" t="n">
        <f aca="false">IF(AND(_slice!$H$5=1,L$40&gt;=_slice!$H$6-0.000000001,L$40&lt;=_slice!$I$6+0.000000001,$B46&gt;=_slice!$H$7-0.000000001,$B46&lt;=_slice!$I$7+0.000000001,IF(01_因子設定!$B$20="Box-Behnken",L$40^2+$B46^2+_slice!$H$8&lt;=2+0.000000001,TRUE())),IF(01_因子設定!$B$13="最大化",(_slice!L78-04_回帰ANOVA!$K$19*04_回帰ANOVA!$K$14*SQRT(1+_slice!L103))-01_因子設定!$B$14,IF(01_因子設定!$B$13="最小化",01_因子設定!$B$15-(_slice!L78+04_回帰ANOVA!$K$19*04_回帰ANOVA!$K$14*SQRT(1+_slice!L103)),MIN((_slice!L78-04_回帰ANOVA!$K$19*04_回帰ANOVA!$K$14*SQRT(1+_slice!L103))-01_因子設定!$B$14,01_因子設定!$B$15-(_slice!L78+04_回帰ANOVA!$K$19*04_回帰ANOVA!$K$14*SQRT(1+_slice!L103))))),"外")</f>
        <v>-0.407405482763764</v>
      </c>
      <c r="M46" s="50" t="n">
        <f aca="false">IF(AND(_slice!$H$5=1,M$40&gt;=_slice!$H$6-0.000000001,M$40&lt;=_slice!$I$6+0.000000001,$B46&gt;=_slice!$H$7-0.000000001,$B46&lt;=_slice!$I$7+0.000000001,IF(01_因子設定!$B$20="Box-Behnken",M$40^2+$B46^2+_slice!$H$8&lt;=2+0.000000001,TRUE())),IF(01_因子設定!$B$13="最大化",(_slice!M78-04_回帰ANOVA!$K$19*04_回帰ANOVA!$K$14*SQRT(1+_slice!M103))-01_因子設定!$B$14,IF(01_因子設定!$B$13="最小化",01_因子設定!$B$15-(_slice!M78+04_回帰ANOVA!$K$19*04_回帰ANOVA!$K$14*SQRT(1+_slice!M103)),MIN((_slice!M78-04_回帰ANOVA!$K$19*04_回帰ANOVA!$K$14*SQRT(1+_slice!M103))-01_因子設定!$B$14,01_因子設定!$B$15-(_slice!M78+04_回帰ANOVA!$K$19*04_回帰ANOVA!$K$14*SQRT(1+_slice!M103))))),"外")</f>
        <v>-0.0569232219662368</v>
      </c>
      <c r="N46" s="50" t="n">
        <f aca="false">IF(AND(_slice!$H$5=1,N$40&gt;=_slice!$H$6-0.000000001,N$40&lt;=_slice!$I$6+0.000000001,$B46&gt;=_slice!$H$7-0.000000001,$B46&lt;=_slice!$I$7+0.000000001,IF(01_因子設定!$B$20="Box-Behnken",N$40^2+$B46^2+_slice!$H$8&lt;=2+0.000000001,TRUE())),IF(01_因子設定!$B$13="最大化",(_slice!N78-04_回帰ANOVA!$K$19*04_回帰ANOVA!$K$14*SQRT(1+_slice!N103))-01_因子設定!$B$14,IF(01_因子設定!$B$13="最小化",01_因子設定!$B$15-(_slice!N78+04_回帰ANOVA!$K$19*04_回帰ANOVA!$K$14*SQRT(1+_slice!N103)),MIN((_slice!N78-04_回帰ANOVA!$K$19*04_回帰ANOVA!$K$14*SQRT(1+_slice!N103))-01_因子設定!$B$14,01_因子設定!$B$15-(_slice!N78+04_回帰ANOVA!$K$19*04_回帰ANOVA!$K$14*SQRT(1+_slice!N103))))),"外")</f>
        <v>0.244844517236245</v>
      </c>
      <c r="O46" s="50" t="n">
        <f aca="false">IF(AND(_slice!$H$5=1,O$40&gt;=_slice!$H$6-0.000000001,O$40&lt;=_slice!$I$6+0.000000001,$B46&gt;=_slice!$H$7-0.000000001,$B46&lt;=_slice!$I$7+0.000000001,IF(01_因子設定!$B$20="Box-Behnken",O$40^2+$B46^2+_slice!$H$8&lt;=2+0.000000001,TRUE())),IF(01_因子設定!$B$13="最大化",(_slice!O78-04_回帰ANOVA!$K$19*04_回帰ANOVA!$K$14*SQRT(1+_slice!O103))-01_因子設定!$B$14,IF(01_因子設定!$B$13="最小化",01_因子設定!$B$15-(_slice!O78+04_回帰ANOVA!$K$19*04_回帰ANOVA!$K$14*SQRT(1+_slice!O103)),MIN((_slice!O78-04_回帰ANOVA!$K$19*04_回帰ANOVA!$K$14*SQRT(1+_slice!O103))-01_因子設定!$B$14,01_因子設定!$B$15-(_slice!O78+04_回帰ANOVA!$K$19*04_回帰ANOVA!$K$14*SQRT(1+_slice!O103))))),"外")</f>
        <v>0.497713811848413</v>
      </c>
      <c r="P46" s="50" t="n">
        <f aca="false">IF(AND(_slice!$H$5=1,P$40&gt;=_slice!$H$6-0.000000001,P$40&lt;=_slice!$I$6+0.000000001,$B46&gt;=_slice!$H$7-0.000000001,$B46&lt;=_slice!$I$7+0.000000001,IF(01_因子設定!$B$20="Box-Behnken",P$40^2+$B46^2+_slice!$H$8&lt;=2+0.000000001,TRUE())),IF(01_因子設定!$B$13="最大化",(_slice!P78-04_回帰ANOVA!$K$19*04_回帰ANOVA!$K$14*SQRT(1+_slice!P103))-01_因子設定!$B$14,IF(01_因子設定!$B$13="最小化",01_因子設定!$B$15-(_slice!P78+04_回帰ANOVA!$K$19*04_回帰ANOVA!$K$14*SQRT(1+_slice!P103)),MIN((_slice!P78-04_回帰ANOVA!$K$19*04_回帰ANOVA!$K$14*SQRT(1+_slice!P103))-01_因子設定!$B$14,01_因子設定!$B$15-(_slice!P78+04_回帰ANOVA!$K$19*04_回帰ANOVA!$K$14*SQRT(1+_slice!P103))))),"外")</f>
        <v>0.701131140749531</v>
      </c>
      <c r="Q46" s="50" t="n">
        <f aca="false">IF(AND(_slice!$H$5=1,Q$40&gt;=_slice!$H$6-0.000000001,Q$40&lt;=_slice!$I$6+0.000000001,$B46&gt;=_slice!$H$7-0.000000001,$B46&lt;=_slice!$I$7+0.000000001,IF(01_因子設定!$B$20="Box-Behnken",Q$40^2+$B46^2+_slice!$H$8&lt;=2+0.000000001,TRUE())),IF(01_因子設定!$B$13="最大化",(_slice!Q78-04_回帰ANOVA!$K$19*04_回帰ANOVA!$K$14*SQRT(1+_slice!Q103))-01_因子設定!$B$14,IF(01_因子設定!$B$13="最小化",01_因子設定!$B$15-(_slice!Q78+04_回帰ANOVA!$K$19*04_回帰ANOVA!$K$14*SQRT(1+_slice!Q103)),MIN((_slice!Q78-04_回帰ANOVA!$K$19*04_回帰ANOVA!$K$14*SQRT(1+_slice!Q103))-01_因子設定!$B$14,01_因子設定!$B$15-(_slice!Q78+04_回帰ANOVA!$K$19*04_回帰ANOVA!$K$14*SQRT(1+_slice!Q103))))),"外")</f>
        <v>0.854170448856927</v>
      </c>
      <c r="R46" s="50" t="n">
        <f aca="false">IF(AND(_slice!$H$5=1,R$40&gt;=_slice!$H$6-0.000000001,R$40&lt;=_slice!$I$6+0.000000001,$B46&gt;=_slice!$H$7-0.000000001,$B46&lt;=_slice!$I$7+0.000000001,IF(01_因子設定!$B$20="Box-Behnken",R$40^2+$B46^2+_slice!$H$8&lt;=2+0.000000001,TRUE())),IF(01_因子設定!$B$13="最大化",(_slice!R78-04_回帰ANOVA!$K$19*04_回帰ANOVA!$K$14*SQRT(1+_slice!R103))-01_因子設定!$B$14,IF(01_因子設定!$B$13="最小化",01_因子設定!$B$15-(_slice!R78+04_回帰ANOVA!$K$19*04_回帰ANOVA!$K$14*SQRT(1+_slice!R103)),MIN((_slice!R78-04_回帰ANOVA!$K$19*04_回帰ANOVA!$K$14*SQRT(1+_slice!R103))-01_因子設定!$B$14,01_因子設定!$B$15-(_slice!R78+04_回帰ANOVA!$K$19*04_回帰ANOVA!$K$14*SQRT(1+_slice!R103))))),"外")</f>
        <v>0.955536081614433</v>
      </c>
      <c r="S46" s="50" t="n">
        <f aca="false">IF(AND(_slice!$H$5=1,S$40&gt;=_slice!$H$6-0.000000001,S$40&lt;=_slice!$I$6+0.000000001,$B46&gt;=_slice!$H$7-0.000000001,$B46&lt;=_slice!$I$7+0.000000001,IF(01_因子設定!$B$20="Box-Behnken",S$40^2+$B46^2+_slice!$H$8&lt;=2+0.000000001,TRUE())),IF(01_因子設定!$B$13="最大化",(_slice!S78-04_回帰ANOVA!$K$19*04_回帰ANOVA!$K$14*SQRT(1+_slice!S103))-01_因子設定!$B$14,IF(01_因子設定!$B$13="最小化",01_因子設定!$B$15-(_slice!S78+04_回帰ANOVA!$K$19*04_回帰ANOVA!$K$14*SQRT(1+_slice!S103)),MIN((_slice!S78-04_回帰ANOVA!$K$19*04_回帰ANOVA!$K$14*SQRT(1+_slice!S103))-01_因子設定!$B$14,01_因子設定!$B$15-(_slice!S78+04_回帰ANOVA!$K$19*04_回帰ANOVA!$K$14*SQRT(1+_slice!S103))))),"外")</f>
        <v>1.00358323434729</v>
      </c>
      <c r="T46" s="50" t="n">
        <f aca="false">IF(AND(_slice!$H$5=1,T$40&gt;=_slice!$H$6-0.000000001,T$40&lt;=_slice!$I$6+0.000000001,$B46&gt;=_slice!$H$7-0.000000001,$B46&lt;=_slice!$I$7+0.000000001,IF(01_因子設定!$B$20="Box-Behnken",T$40^2+$B46^2+_slice!$H$8&lt;=2+0.000000001,TRUE())),IF(01_因子設定!$B$13="最大化",(_slice!T78-04_回帰ANOVA!$K$19*04_回帰ANOVA!$K$14*SQRT(1+_slice!T103))-01_因子設定!$B$14,IF(01_因子設定!$B$13="最小化",01_因子設定!$B$15-(_slice!T78+04_回帰ANOVA!$K$19*04_回帰ANOVA!$K$14*SQRT(1+_slice!T103)),MIN((_slice!T78-04_回帰ANOVA!$K$19*04_回帰ANOVA!$K$14*SQRT(1+_slice!T103))-01_因子設定!$B$14,01_因子設定!$B$15-(_slice!T78+04_回帰ANOVA!$K$19*04_回帰ANOVA!$K$14*SQRT(1+_slice!T103))))),"外")</f>
        <v>0.996370553060991</v>
      </c>
      <c r="U46" s="50" t="n">
        <f aca="false">IF(AND(_slice!$H$5=1,U$40&gt;=_slice!$H$6-0.000000001,U$40&lt;=_slice!$I$6+0.000000001,$B46&gt;=_slice!$H$7-0.000000001,$B46&lt;=_slice!$I$7+0.000000001,IF(01_因子設定!$B$20="Box-Behnken",U$40^2+$B46^2+_slice!$H$8&lt;=2+0.000000001,TRUE())),IF(01_因子設定!$B$13="最大化",(_slice!U78-04_回帰ANOVA!$K$19*04_回帰ANOVA!$K$14*SQRT(1+_slice!U103))-01_因子設定!$B$14,IF(01_因子設定!$B$13="最小化",01_因子設定!$B$15-(_slice!U78+04_回帰ANOVA!$K$19*04_回帰ANOVA!$K$14*SQRT(1+_slice!U103)),MIN((_slice!U78-04_回帰ANOVA!$K$19*04_回帰ANOVA!$K$14*SQRT(1+_slice!U103))-01_因子設定!$B$14,01_因子設定!$B$15-(_slice!U78+04_回帰ANOVA!$K$19*04_回帰ANOVA!$K$14*SQRT(1+_slice!U103))))),"外")</f>
        <v>0.931757872412838</v>
      </c>
      <c r="V46" s="50" t="n">
        <f aca="false">IF(AND(_slice!$H$5=1,V$40&gt;=_slice!$H$6-0.000000001,V$40&lt;=_slice!$I$6+0.000000001,$B46&gt;=_slice!$H$7-0.000000001,$B46&lt;=_slice!$I$7+0.000000001,IF(01_因子設定!$B$20="Box-Behnken",V$40^2+$B46^2+_slice!$H$8&lt;=2+0.000000001,TRUE())),IF(01_因子設定!$B$13="最大化",(_slice!V78-04_回帰ANOVA!$K$19*04_回帰ANOVA!$K$14*SQRT(1+_slice!V103))-01_因子設定!$B$14,IF(01_因子設定!$B$13="最小化",01_因子設定!$B$15-(_slice!V78+04_回帰ANOVA!$K$19*04_回帰ANOVA!$K$14*SQRT(1+_slice!V103)),MIN((_slice!V78-04_回帰ANOVA!$K$19*04_回帰ANOVA!$K$14*SQRT(1+_slice!V103))-01_因子設定!$B$14,01_因子設定!$B$15-(_slice!V78+04_回帰ANOVA!$K$19*04_回帰ANOVA!$K$14*SQRT(1+_slice!V103))))),"外")</f>
        <v>0.807552275427256</v>
      </c>
      <c r="W46" s="50" t="n">
        <f aca="false">IF(AND(_slice!$H$5=1,W$40&gt;=_slice!$H$6-0.000000001,W$40&lt;=_slice!$I$6+0.000000001,$B46&gt;=_slice!$H$7-0.000000001,$B46&lt;=_slice!$I$7+0.000000001,IF(01_因子設定!$B$20="Box-Behnken",W$40^2+$B46^2+_slice!$H$8&lt;=2+0.000000001,TRUE())),IF(01_因子設定!$B$13="最大化",(_slice!W78-04_回帰ANOVA!$K$19*04_回帰ANOVA!$K$14*SQRT(1+_slice!W103))-01_因子設定!$B$14,IF(01_因子設定!$B$13="最小化",01_因子設定!$B$15-(_slice!W78+04_回帰ANOVA!$K$19*04_回帰ANOVA!$K$14*SQRT(1+_slice!W103)),MIN((_slice!W78-04_回帰ANOVA!$K$19*04_回帰ANOVA!$K$14*SQRT(1+_slice!W103))-01_因子設定!$B$14,01_因子設定!$B$15-(_slice!W78+04_回帰ANOVA!$K$19*04_回帰ANOVA!$K$14*SQRT(1+_slice!W103))))),"外")</f>
        <v>0.621687280509406</v>
      </c>
    </row>
    <row r="47" customFormat="false" ht="15" hidden="false" customHeight="false" outlineLevel="0" collapsed="false">
      <c r="A47" s="49" t="n">
        <f aca="false">INDEX(01_因子設定!$G$5:$G$7,$C$5)+B47*INDEX(01_因子設定!$H$5:$H$7,$C$5)</f>
        <v>35</v>
      </c>
      <c r="B47" s="49" t="n">
        <v>0.5</v>
      </c>
      <c r="C47" s="50" t="n">
        <f aca="false">IF(AND(_slice!$H$5=1,C$40&gt;=_slice!$H$6-0.000000001,C$40&lt;=_slice!$I$6+0.000000001,$B47&gt;=_slice!$H$7-0.000000001,$B47&lt;=_slice!$I$7+0.000000001,IF(01_因子設定!$B$20="Box-Behnken",C$40^2+$B47^2+_slice!$H$8&lt;=2+0.000000001,TRUE())),IF(01_因子設定!$B$13="最大化",(_slice!C79-04_回帰ANOVA!$K$19*04_回帰ANOVA!$K$14*SQRT(1+_slice!C104))-01_因子設定!$B$14,IF(01_因子設定!$B$13="最小化",01_因子設定!$B$15-(_slice!C79+04_回帰ANOVA!$K$19*04_回帰ANOVA!$K$14*SQRT(1+_slice!C104)),MIN((_slice!C79-04_回帰ANOVA!$K$19*04_回帰ANOVA!$K$14*SQRT(1+_slice!C104))-01_因子設定!$B$14,01_因子設定!$B$15-(_slice!C79+04_回帰ANOVA!$K$19*04_回帰ANOVA!$K$14*SQRT(1+_slice!C104))))),"外")</f>
        <v>-5.78936224265446</v>
      </c>
      <c r="D47" s="50" t="n">
        <f aca="false">IF(AND(_slice!$H$5=1,D$40&gt;=_slice!$H$6-0.000000001,D$40&lt;=_slice!$I$6+0.000000001,$B47&gt;=_slice!$H$7-0.000000001,$B47&lt;=_slice!$I$7+0.000000001,IF(01_因子設定!$B$20="Box-Behnken",D$40^2+$B47^2+_slice!$H$8&lt;=2+0.000000001,TRUE())),IF(01_因子設定!$B$13="最大化",(_slice!D79-04_回帰ANOVA!$K$19*04_回帰ANOVA!$K$14*SQRT(1+_slice!D104))-01_因子設定!$B$14,IF(01_因子設定!$B$13="最小化",01_因子設定!$B$15-(_slice!D79+04_回帰ANOVA!$K$19*04_回帰ANOVA!$K$14*SQRT(1+_slice!D104)),MIN((_slice!D79-04_回帰ANOVA!$K$19*04_回帰ANOVA!$K$14*SQRT(1+_slice!D104))-01_因子設定!$B$14,01_因子設定!$B$15-(_slice!D79+04_回帰ANOVA!$K$19*04_回帰ANOVA!$K$14*SQRT(1+_slice!D104))))),"外")</f>
        <v>-4.96222489296545</v>
      </c>
      <c r="E47" s="50" t="n">
        <f aca="false">IF(AND(_slice!$H$5=1,E$40&gt;=_slice!$H$6-0.000000001,E$40&lt;=_slice!$I$6+0.000000001,$B47&gt;=_slice!$H$7-0.000000001,$B47&lt;=_slice!$I$7+0.000000001,IF(01_因子設定!$B$20="Box-Behnken",E$40^2+$B47^2+_slice!$H$8&lt;=2+0.000000001,TRUE())),IF(01_因子設定!$B$13="最大化",(_slice!E79-04_回帰ANOVA!$K$19*04_回帰ANOVA!$K$14*SQRT(1+_slice!E104))-01_因子設定!$B$14,IF(01_因子設定!$B$13="最小化",01_因子設定!$B$15-(_slice!E79+04_回帰ANOVA!$K$19*04_回帰ANOVA!$K$14*SQRT(1+_slice!E104)),MIN((_slice!E79-04_回帰ANOVA!$K$19*04_回帰ANOVA!$K$14*SQRT(1+_slice!E104))-01_因子設定!$B$14,01_因子設定!$B$15-(_slice!E79+04_回帰ANOVA!$K$19*04_回帰ANOVA!$K$14*SQRT(1+_slice!E104))))),"外")</f>
        <v>-4.19682064835502</v>
      </c>
      <c r="F47" s="50" t="n">
        <f aca="false">IF(AND(_slice!$H$5=1,F$40&gt;=_slice!$H$6-0.000000001,F$40&lt;=_slice!$I$6+0.000000001,$B47&gt;=_slice!$H$7-0.000000001,$B47&lt;=_slice!$I$7+0.000000001,IF(01_因子設定!$B$20="Box-Behnken",F$40^2+$B47^2+_slice!$H$8&lt;=2+0.000000001,TRUE())),IF(01_因子設定!$B$13="最大化",(_slice!F79-04_回帰ANOVA!$K$19*04_回帰ANOVA!$K$14*SQRT(1+_slice!F104))-01_因子設定!$B$14,IF(01_因子設定!$B$13="最小化",01_因子設定!$B$15-(_slice!F79+04_回帰ANOVA!$K$19*04_回帰ANOVA!$K$14*SQRT(1+_slice!F104)),MIN((_slice!F79-04_回帰ANOVA!$K$19*04_回帰ANOVA!$K$14*SQRT(1+_slice!F104))-01_因子設定!$B$14,01_因子設定!$B$15-(_slice!F79+04_回帰ANOVA!$K$19*04_回帰ANOVA!$K$14*SQRT(1+_slice!F104))))),"外")</f>
        <v>-3.49112237814658</v>
      </c>
      <c r="G47" s="50" t="n">
        <f aca="false">IF(AND(_slice!$H$5=1,G$40&gt;=_slice!$H$6-0.000000001,G$40&lt;=_slice!$I$6+0.000000001,$B47&gt;=_slice!$H$7-0.000000001,$B47&lt;=_slice!$I$7+0.000000001,IF(01_因子設定!$B$20="Box-Behnken",G$40^2+$B47^2+_slice!$H$8&lt;=2+0.000000001,TRUE())),IF(01_因子設定!$B$13="最大化",(_slice!G79-04_回帰ANOVA!$K$19*04_回帰ANOVA!$K$14*SQRT(1+_slice!G104))-01_因子設定!$B$14,IF(01_因子設定!$B$13="最小化",01_因子設定!$B$15-(_slice!G79+04_回帰ANOVA!$K$19*04_回帰ANOVA!$K$14*SQRT(1+_slice!G104)),MIN((_slice!G79-04_回帰ANOVA!$K$19*04_回帰ANOVA!$K$14*SQRT(1+_slice!G104))-01_因子設定!$B$14,01_因子設定!$B$15-(_slice!G79+04_回帰ANOVA!$K$19*04_回帰ANOVA!$K$14*SQRT(1+_slice!G104))))),"外")</f>
        <v>-2.84296391838558</v>
      </c>
      <c r="H47" s="50" t="n">
        <f aca="false">IF(AND(_slice!$H$5=1,H$40&gt;=_slice!$H$6-0.000000001,H$40&lt;=_slice!$I$6+0.000000001,$B47&gt;=_slice!$H$7-0.000000001,$B47&lt;=_slice!$I$7+0.000000001,IF(01_因子設定!$B$20="Box-Behnken",H$40^2+$B47^2+_slice!$H$8&lt;=2+0.000000001,TRUE())),IF(01_因子設定!$B$13="最大化",(_slice!H79-04_回帰ANOVA!$K$19*04_回帰ANOVA!$K$14*SQRT(1+_slice!H104))-01_因子設定!$B$14,IF(01_因子設定!$B$13="最小化",01_因子設定!$B$15-(_slice!H79+04_回帰ANOVA!$K$19*04_回帰ANOVA!$K$14*SQRT(1+_slice!H104)),MIN((_slice!H79-04_回帰ANOVA!$K$19*04_回帰ANOVA!$K$14*SQRT(1+_slice!H104))-01_因子設定!$B$14,01_因子設定!$B$15-(_slice!H79+04_回帰ANOVA!$K$19*04_回帰ANOVA!$K$14*SQRT(1+_slice!H104))))),"外")</f>
        <v>-2.25021867222237</v>
      </c>
      <c r="I47" s="50" t="n">
        <f aca="false">IF(AND(_slice!$H$5=1,I$40&gt;=_slice!$H$6-0.000000001,I$40&lt;=_slice!$I$6+0.000000001,$B47&gt;=_slice!$H$7-0.000000001,$B47&lt;=_slice!$I$7+0.000000001,IF(01_因子設定!$B$20="Box-Behnken",I$40^2+$B47^2+_slice!$H$8&lt;=2+0.000000001,TRUE())),IF(01_因子設定!$B$13="最大化",(_slice!I79-04_回帰ANOVA!$K$19*04_回帰ANOVA!$K$14*SQRT(1+_slice!I104))-01_因子設定!$B$14,IF(01_因子設定!$B$13="最小化",01_因子設定!$B$15-(_slice!I79+04_回帰ANOVA!$K$19*04_回帰ANOVA!$K$14*SQRT(1+_slice!I104)),MIN((_slice!I79-04_回帰ANOVA!$K$19*04_回帰ANOVA!$K$14*SQRT(1+_slice!I104))-01_因子設定!$B$14,01_因子設定!$B$15-(_slice!I79+04_回帰ANOVA!$K$19*04_回帰ANOVA!$K$14*SQRT(1+_slice!I104))))),"外")</f>
        <v>-1.71094816074483</v>
      </c>
      <c r="J47" s="50" t="n">
        <f aca="false">IF(AND(_slice!$H$5=1,J$40&gt;=_slice!$H$6-0.000000001,J$40&lt;=_slice!$I$6+0.000000001,$B47&gt;=_slice!$H$7-0.000000001,$B47&lt;=_slice!$I$7+0.000000001,IF(01_因子設定!$B$20="Box-Behnken",J$40^2+$B47^2+_slice!$H$8&lt;=2+0.000000001,TRUE())),IF(01_因子設定!$B$13="最大化",(_slice!J79-04_回帰ANOVA!$K$19*04_回帰ANOVA!$K$14*SQRT(1+_slice!J104))-01_因子設定!$B$14,IF(01_因子設定!$B$13="最小化",01_因子設定!$B$15-(_slice!J79+04_回帰ANOVA!$K$19*04_回帰ANOVA!$K$14*SQRT(1+_slice!J104)),MIN((_slice!J79-04_回帰ANOVA!$K$19*04_回帰ANOVA!$K$14*SQRT(1+_slice!J104))-01_因子設定!$B$14,01_因子設定!$B$15-(_slice!J79+04_回帰ANOVA!$K$19*04_回帰ANOVA!$K$14*SQRT(1+_slice!J104))))),"外")</f>
        <v>-1.22350365483981</v>
      </c>
      <c r="K47" s="50" t="n">
        <f aca="false">IF(AND(_slice!$H$5=1,K$40&gt;=_slice!$H$6-0.000000001,K$40&lt;=_slice!$I$6+0.000000001,$B47&gt;=_slice!$H$7-0.000000001,$B47&lt;=_slice!$I$7+0.000000001,IF(01_因子設定!$B$20="Box-Behnken",K$40^2+$B47^2+_slice!$H$8&lt;=2+0.000000001,TRUE())),IF(01_因子設定!$B$13="最大化",(_slice!K79-04_回帰ANOVA!$K$19*04_回帰ANOVA!$K$14*SQRT(1+_slice!K104))-01_因子設定!$B$14,IF(01_因子設定!$B$13="最小化",01_因子設定!$B$15-(_slice!K79+04_回帰ANOVA!$K$19*04_回帰ANOVA!$K$14*SQRT(1+_slice!K104)),MIN((_slice!K79-04_回帰ANOVA!$K$19*04_回帰ANOVA!$K$14*SQRT(1+_slice!K104))-01_因子設定!$B$14,01_因子設定!$B$15-(_slice!K79+04_回帰ANOVA!$K$19*04_回帰ANOVA!$K$14*SQRT(1+_slice!K104))))),"外")</f>
        <v>-0.786582611318437</v>
      </c>
      <c r="L47" s="50" t="n">
        <f aca="false">IF(AND(_slice!$H$5=1,L$40&gt;=_slice!$H$6-0.000000001,L$40&lt;=_slice!$I$6+0.000000001,$B47&gt;=_slice!$H$7-0.000000001,$B47&lt;=_slice!$I$7+0.000000001,IF(01_因子設定!$B$20="Box-Behnken",L$40^2+$B47^2+_slice!$H$8&lt;=2+0.000000001,TRUE())),IF(01_因子設定!$B$13="最大化",(_slice!L79-04_回帰ANOVA!$K$19*04_回帰ANOVA!$K$14*SQRT(1+_slice!L104))-01_因子設定!$B$14,IF(01_因子設定!$B$13="最小化",01_因子設定!$B$15-(_slice!L79+04_回帰ANOVA!$K$19*04_回帰ANOVA!$K$14*SQRT(1+_slice!L104)),MIN((_slice!L79-04_回帰ANOVA!$K$19*04_回帰ANOVA!$K$14*SQRT(1+_slice!L104))-01_因子設定!$B$14,01_因子設定!$B$15-(_slice!L79+04_回帰ANOVA!$K$19*04_回帰ANOVA!$K$14*SQRT(1+_slice!L104))))),"外")</f>
        <v>-0.399252123890363</v>
      </c>
      <c r="M47" s="50" t="n">
        <f aca="false">IF(AND(_slice!$H$5=1,M$40&gt;=_slice!$H$6-0.000000001,M$40&lt;=_slice!$I$6+0.000000001,$B47&gt;=_slice!$H$7-0.000000001,$B47&lt;=_slice!$I$7+0.000000001,IF(01_因子設定!$B$20="Box-Behnken",M$40^2+$B47^2+_slice!$H$8&lt;=2+0.000000001,TRUE())),IF(01_因子設定!$B$13="最大化",(_slice!M79-04_回帰ANOVA!$K$19*04_回帰ANOVA!$K$14*SQRT(1+_slice!M104))-01_因子設定!$B$14,IF(01_因子設定!$B$13="最小化",01_因子設定!$B$15-(_slice!M79+04_回帰ANOVA!$K$19*04_回帰ANOVA!$K$14*SQRT(1+_slice!M104)),MIN((_slice!M79-04_回帰ANOVA!$K$19*04_回帰ANOVA!$K$14*SQRT(1+_slice!M104))-01_因子設定!$B$14,01_因子設定!$B$15-(_slice!M79+04_回帰ANOVA!$K$19*04_回帰ANOVA!$K$14*SQRT(1+_slice!M104))))),"外")</f>
        <v>-0.0609538431977583</v>
      </c>
      <c r="N47" s="50" t="n">
        <f aca="false">IF(AND(_slice!$H$5=1,N$40&gt;=_slice!$H$6-0.000000001,N$40&lt;=_slice!$I$6+0.000000001,$B47&gt;=_slice!$H$7-0.000000001,$B47&lt;=_slice!$I$7+0.000000001,IF(01_因子設定!$B$20="Box-Behnken",N$40^2+$B47^2+_slice!$H$8&lt;=2+0.000000001,TRUE())),IF(01_因子設定!$B$13="最大化",(_slice!N79-04_回帰ANOVA!$K$19*04_回帰ANOVA!$K$14*SQRT(1+_slice!N104))-01_因子設定!$B$14,IF(01_因子設定!$B$13="最小化",01_因子設定!$B$15-(_slice!N79+04_回帰ANOVA!$K$19*04_回帰ANOVA!$K$14*SQRT(1+_slice!N104)),MIN((_slice!N79-04_回帰ANOVA!$K$19*04_回帰ANOVA!$K$14*SQRT(1+_slice!N104))-01_因子設定!$B$14,01_因子設定!$B$15-(_slice!N79+04_回帰ANOVA!$K$19*04_回帰ANOVA!$K$14*SQRT(1+_slice!N104))))),"外")</f>
        <v>0.228497876109643</v>
      </c>
      <c r="O47" s="50" t="n">
        <f aca="false">IF(AND(_slice!$H$5=1,O$40&gt;=_slice!$H$6-0.000000001,O$40&lt;=_slice!$I$6+0.000000001,$B47&gt;=_slice!$H$7-0.000000001,$B47&lt;=_slice!$I$7+0.000000001,IF(01_因子設定!$B$20="Box-Behnken",O$40^2+$B47^2+_slice!$H$8&lt;=2+0.000000001,TRUE())),IF(01_因子設定!$B$13="最大化",(_slice!O79-04_回帰ANOVA!$K$19*04_回帰ANOVA!$K$14*SQRT(1+_slice!O104))-01_因子設定!$B$14,IF(01_因子設定!$B$13="最小化",01_因子設定!$B$15-(_slice!O79+04_回帰ANOVA!$K$19*04_回帰ANOVA!$K$14*SQRT(1+_slice!O104)),MIN((_slice!O79-04_回帰ANOVA!$K$19*04_回帰ANOVA!$K$14*SQRT(1+_slice!O104))-01_因子設定!$B$14,01_因子設定!$B$15-(_slice!O79+04_回帰ANOVA!$K$19*04_回帰ANOVA!$K$14*SQRT(1+_slice!O104))))),"外")</f>
        <v>0.468917388681575</v>
      </c>
      <c r="P47" s="50" t="n">
        <f aca="false">IF(AND(_slice!$H$5=1,P$40&gt;=_slice!$H$6-0.000000001,P$40&lt;=_slice!$I$6+0.000000001,$B47&gt;=_slice!$H$7-0.000000001,$B47&lt;=_slice!$I$7+0.000000001,IF(01_因子設定!$B$20="Box-Behnken",P$40^2+$B47^2+_slice!$H$8&lt;=2+0.000000001,TRUE())),IF(01_因子設定!$B$13="最大化",(_slice!P79-04_回帰ANOVA!$K$19*04_回帰ANOVA!$K$14*SQRT(1+_slice!P104))-01_因子設定!$B$14,IF(01_因子設定!$B$13="最小化",01_因子設定!$B$15-(_slice!P79+04_回帰ANOVA!$K$19*04_回帰ANOVA!$K$14*SQRT(1+_slice!P104)),MIN((_slice!P79-04_回帰ANOVA!$K$19*04_回帰ANOVA!$K$14*SQRT(1+_slice!P104))-01_因子設定!$B$14,01_因子設定!$B$15-(_slice!P79+04_回帰ANOVA!$K$19*04_回帰ANOVA!$K$14*SQRT(1+_slice!P104))))),"外")</f>
        <v>0.65974634516018</v>
      </c>
      <c r="Q47" s="50" t="n">
        <f aca="false">IF(AND(_slice!$H$5=1,Q$40&gt;=_slice!$H$6-0.000000001,Q$40&lt;=_slice!$I$6+0.000000001,$B47&gt;=_slice!$H$7-0.000000001,$B47&lt;=_slice!$I$7+0.000000001,IF(01_因子設定!$B$20="Box-Behnken",Q$40^2+$B47^2+_slice!$H$8&lt;=2+0.000000001,TRUE())),IF(01_因子設定!$B$13="最大化",(_slice!Q79-04_回帰ANOVA!$K$19*04_回帰ANOVA!$K$14*SQRT(1+_slice!Q104))-01_因子設定!$B$14,IF(01_因子設定!$B$13="最小化",01_因子設定!$B$15-(_slice!Q79+04_回帰ANOVA!$K$19*04_回帰ANOVA!$K$14*SQRT(1+_slice!Q104)),MIN((_slice!Q79-04_回帰ANOVA!$K$19*04_回帰ANOVA!$K$14*SQRT(1+_slice!Q104))-01_因子設定!$B$14,01_因子設定!$B$15-(_slice!Q79+04_回帰ANOVA!$K$19*04_回帰ANOVA!$K$14*SQRT(1+_slice!Q104))))),"外")</f>
        <v>0.800051839255161</v>
      </c>
      <c r="R47" s="50" t="n">
        <f aca="false">IF(AND(_slice!$H$5=1,R$40&gt;=_slice!$H$6-0.000000001,R$40&lt;=_slice!$I$6+0.000000001,$B47&gt;=_slice!$H$7-0.000000001,$B47&lt;=_slice!$I$7+0.000000001,IF(01_因子設定!$B$20="Box-Behnken",R$40^2+$B47^2+_slice!$H$8&lt;=2+0.000000001,TRUE())),IF(01_因子設定!$B$13="最大化",(_slice!R79-04_回帰ANOVA!$K$19*04_回帰ANOVA!$K$14*SQRT(1+_slice!R104))-01_因子設定!$B$14,IF(01_因子設定!$B$13="最小化",01_因子設定!$B$15-(_slice!R79+04_回帰ANOVA!$K$19*04_回帰ANOVA!$K$14*SQRT(1+_slice!R104)),MIN((_slice!R79-04_回帰ANOVA!$K$19*04_回帰ANOVA!$K$14*SQRT(1+_slice!R104))-01_因子設定!$B$14,01_因子設定!$B$15-(_slice!R79+04_回帰ANOVA!$K$19*04_回帰ANOVA!$K$14*SQRT(1+_slice!R104))))),"外")</f>
        <v>0.888531327777628</v>
      </c>
      <c r="S47" s="50" t="n">
        <f aca="false">IF(AND(_slice!$H$5=1,S$40&gt;=_slice!$H$6-0.000000001,S$40&lt;=_slice!$I$6+0.000000001,$B47&gt;=_slice!$H$7-0.000000001,$B47&lt;=_slice!$I$7+0.000000001,IF(01_因子設定!$B$20="Box-Behnken",S$40^2+$B47^2+_slice!$H$8&lt;=2+0.000000001,TRUE())),IF(01_因子設定!$B$13="最大化",(_slice!S79-04_回帰ANOVA!$K$19*04_回帰ANOVA!$K$14*SQRT(1+_slice!S104))-01_因子設定!$B$14,IF(01_因子設定!$B$13="最小化",01_因子設定!$B$15-(_slice!S79+04_回帰ANOVA!$K$19*04_回帰ANOVA!$K$14*SQRT(1+_slice!S104)),MIN((_slice!S79-04_回帰ANOVA!$K$19*04_回帰ANOVA!$K$14*SQRT(1+_slice!S104))-01_因子設定!$B$14,01_因子設定!$B$15-(_slice!S79+04_回帰ANOVA!$K$19*04_回帰ANOVA!$K$14*SQRT(1+_slice!S104))))),"外")</f>
        <v>0.923536081614429</v>
      </c>
      <c r="T47" s="50" t="n">
        <f aca="false">IF(AND(_slice!$H$5=1,T$40&gt;=_slice!$H$6-0.000000001,T$40&lt;=_slice!$I$6+0.000000001,$B47&gt;=_slice!$H$7-0.000000001,$B47&lt;=_slice!$I$7+0.000000001,IF(01_因子設定!$B$20="Box-Behnken",T$40^2+$B47^2+_slice!$H$8&lt;=2+0.000000001,TRUE())),IF(01_因子設定!$B$13="最大化",(_slice!T79-04_回帰ANOVA!$K$19*04_回帰ANOVA!$K$14*SQRT(1+_slice!T104))-01_因子設定!$B$14,IF(01_因子設定!$B$13="最小化",01_因子設定!$B$15-(_slice!T79+04_回帰ANOVA!$K$19*04_回帰ANOVA!$K$14*SQRT(1+_slice!T104)),MIN((_slice!T79-04_回帰ANOVA!$K$19*04_回帰ANOVA!$K$14*SQRT(1+_slice!T104))-01_因子設定!$B$14,01_因子設定!$B$15-(_slice!T79+04_回帰ANOVA!$K$19*04_回帰ANOVA!$K$14*SQRT(1+_slice!T104))))),"外")</f>
        <v>0.903127621853422</v>
      </c>
      <c r="U47" s="50" t="n">
        <f aca="false">IF(AND(_slice!$H$5=1,U$40&gt;=_slice!$H$6-0.000000001,U$40&lt;=_slice!$I$6+0.000000001,$B47&gt;=_slice!$H$7-0.000000001,$B47&lt;=_slice!$I$7+0.000000001,IF(01_因子設定!$B$20="Box-Behnken",U$40^2+$B47^2+_slice!$H$8&lt;=2+0.000000001,TRUE())),IF(01_因子設定!$B$13="最大化",(_slice!U79-04_回帰ANOVA!$K$19*04_回帰ANOVA!$K$14*SQRT(1+_slice!U104))-01_因子設定!$B$14,IF(01_因子設定!$B$13="最小化",01_因子設定!$B$15-(_slice!U79+04_回帰ANOVA!$K$19*04_回帰ANOVA!$K$14*SQRT(1+_slice!U104)),MIN((_slice!U79-04_回帰ANOVA!$K$19*04_回帰ANOVA!$K$14*SQRT(1+_slice!U104))-01_因子設定!$B$14,01_因子設定!$B$15-(_slice!U79+04_回帰ANOVA!$K$19*04_回帰ANOVA!$K$14*SQRT(1+_slice!U104))))),"外")</f>
        <v>0.825179351644984</v>
      </c>
      <c r="V47" s="50" t="n">
        <f aca="false">IF(AND(_slice!$H$5=1,V$40&gt;=_slice!$H$6-0.000000001,V$40&lt;=_slice!$I$6+0.000000001,$B47&gt;=_slice!$H$7-0.000000001,$B47&lt;=_slice!$I$7+0.000000001,IF(01_因子設定!$B$20="Box-Behnken",V$40^2+$B47^2+_slice!$H$8&lt;=2+0.000000001,TRUE())),IF(01_因子設定!$B$13="最大化",(_slice!V79-04_回帰ANOVA!$K$19*04_回帰ANOVA!$K$14*SQRT(1+_slice!V104))-01_因子設定!$B$14,IF(01_因子設定!$B$13="最小化",01_因子設定!$B$15-(_slice!V79+04_回帰ANOVA!$K$19*04_回帰ANOVA!$K$14*SQRT(1+_slice!V104)),MIN((_slice!V79-04_回帰ANOVA!$K$19*04_回帰ANOVA!$K$14*SQRT(1+_slice!V104))-01_因子設定!$B$14,01_因子設定!$B$15-(_slice!V79+04_回帰ANOVA!$K$19*04_回帰ANOVA!$K$14*SQRT(1+_slice!V104))))),"外")</f>
        <v>0.687525107034553</v>
      </c>
      <c r="W47" s="50" t="n">
        <f aca="false">IF(AND(_slice!$H$5=1,W$40&gt;=_slice!$H$6-0.000000001,W$40&lt;=_slice!$I$6+0.000000001,$B47&gt;=_slice!$H$7-0.000000001,$B47&lt;=_slice!$I$7+0.000000001,IF(01_因子設定!$B$20="Box-Behnken",W$40^2+$B47^2+_slice!$H$8&lt;=2+0.000000001,TRUE())),IF(01_因子設定!$B$13="最大化",(_slice!W79-04_回帰ANOVA!$K$19*04_回帰ANOVA!$K$14*SQRT(1+_slice!W104))-01_因子設定!$B$14,IF(01_因子設定!$B$13="最小化",01_因子設定!$B$15-(_slice!W79+04_回帰ANOVA!$K$19*04_回帰ANOVA!$K$14*SQRT(1+_slice!W104)),MIN((_slice!W79-04_回帰ANOVA!$K$19*04_回帰ANOVA!$K$14*SQRT(1+_slice!W104))-01_因子設定!$B$14,01_因子設定!$B$15-(_slice!W79+04_回帰ANOVA!$K$19*04_回帰ANOVA!$K$14*SQRT(1+_slice!W104))))),"外")</f>
        <v>0.488137757345541</v>
      </c>
    </row>
    <row r="48" customFormat="false" ht="15" hidden="false" customHeight="false" outlineLevel="0" collapsed="false">
      <c r="A48" s="49" t="n">
        <f aca="false">INDEX(01_因子設定!$G$5:$G$7,$C$5)+B48*INDEX(01_因子設定!$H$5:$H$7,$C$5)</f>
        <v>34</v>
      </c>
      <c r="B48" s="49" t="n">
        <v>0.4</v>
      </c>
      <c r="C48" s="50" t="n">
        <f aca="false">IF(AND(_slice!$H$5=1,C$40&gt;=_slice!$H$6-0.000000001,C$40&lt;=_slice!$I$6+0.000000001,$B48&gt;=_slice!$H$7-0.000000001,$B48&lt;=_slice!$I$7+0.000000001,IF(01_因子設定!$B$20="Box-Behnken",C$40^2+$B48^2+_slice!$H$8&lt;=2+0.000000001,TRUE())),IF(01_因子設定!$B$13="最大化",(_slice!C80-04_回帰ANOVA!$K$19*04_回帰ANOVA!$K$14*SQRT(1+_slice!C105))-01_因子設定!$B$14,IF(01_因子設定!$B$13="最小化",01_因子設定!$B$15-(_slice!C80+04_回帰ANOVA!$K$19*04_回帰ANOVA!$K$14*SQRT(1+_slice!C105)),MIN((_slice!C80-04_回帰ANOVA!$K$19*04_回帰ANOVA!$K$14*SQRT(1+_slice!C105))-01_因子設定!$B$14,01_因子設定!$B$15-(_slice!C80+04_回帰ANOVA!$K$19*04_回帰ANOVA!$K$14*SQRT(1+_slice!C105))))),"外")</f>
        <v>-5.72116435772646</v>
      </c>
      <c r="D48" s="50" t="n">
        <f aca="false">IF(AND(_slice!$H$5=1,D$40&gt;=_slice!$H$6-0.000000001,D$40&lt;=_slice!$I$6+0.000000001,$B48&gt;=_slice!$H$7-0.000000001,$B48&lt;=_slice!$I$7+0.000000001,IF(01_因子設定!$B$20="Box-Behnken",D$40^2+$B48^2+_slice!$H$8&lt;=2+0.000000001,TRUE())),IF(01_因子設定!$B$13="最大化",(_slice!D80-04_回帰ANOVA!$K$19*04_回帰ANOVA!$K$14*SQRT(1+_slice!D105))-01_因子設定!$B$14,IF(01_因子設定!$B$13="最小化",01_因子設定!$B$15-(_slice!D80+04_回帰ANOVA!$K$19*04_回帰ANOVA!$K$14*SQRT(1+_slice!D105)),MIN((_slice!D80-04_回帰ANOVA!$K$19*04_回帰ANOVA!$K$14*SQRT(1+_slice!D105))-01_因子設定!$B$14,01_因子設定!$B$15-(_slice!D80+04_回帰ANOVA!$K$19*04_回帰ANOVA!$K$14*SQRT(1+_slice!D105))))),"外")</f>
        <v>-4.90533409495586</v>
      </c>
      <c r="E48" s="50" t="n">
        <f aca="false">IF(AND(_slice!$H$5=1,E$40&gt;=_slice!$H$6-0.000000001,E$40&lt;=_slice!$I$6+0.000000001,$B48&gt;=_slice!$H$7-0.000000001,$B48&lt;=_slice!$I$7+0.000000001,IF(01_因子設定!$B$20="Box-Behnken",E$40^2+$B48^2+_slice!$H$8&lt;=2+0.000000001,TRUE())),IF(01_因子設定!$B$13="最大化",(_slice!E80-04_回帰ANOVA!$K$19*04_回帰ANOVA!$K$14*SQRT(1+_slice!E105))-01_因子設定!$B$14,IF(01_因子設定!$B$13="最小化",01_因子設定!$B$15-(_slice!E80+04_回帰ANOVA!$K$19*04_回帰ANOVA!$K$14*SQRT(1+_slice!E105)),MIN((_slice!E80-04_回帰ANOVA!$K$19*04_回帰ANOVA!$K$14*SQRT(1+_slice!E105))-01_因子設定!$B$14,01_因子設定!$B$15-(_slice!E80+04_回帰ANOVA!$K$19*04_回帰ANOVA!$K$14*SQRT(1+_slice!E105))))),"外")</f>
        <v>-4.15127194045952</v>
      </c>
      <c r="F48" s="50" t="n">
        <f aca="false">IF(AND(_slice!$H$5=1,F$40&gt;=_slice!$H$6-0.000000001,F$40&lt;=_slice!$I$6+0.000000001,$B48&gt;=_slice!$H$7-0.000000001,$B48&lt;=_slice!$I$7+0.000000001,IF(01_因子設定!$B$20="Box-Behnken",F$40^2+$B48^2+_slice!$H$8&lt;=2+0.000000001,TRUE())),IF(01_因子設定!$B$13="最大化",(_slice!F80-04_回帰ANOVA!$K$19*04_回帰ANOVA!$K$14*SQRT(1+_slice!F105))-01_因子設定!$B$14,IF(01_因子設定!$B$13="最小化",01_因子設定!$B$15-(_slice!F80+04_回帰ANOVA!$K$19*04_回帰ANOVA!$K$14*SQRT(1+_slice!F105)),MIN((_slice!F80-04_回帰ANOVA!$K$19*04_回帰ANOVA!$K$14*SQRT(1+_slice!F105))-01_因子設定!$B$14,01_因子設定!$B$15-(_slice!F80+04_回帰ANOVA!$K$19*04_回帰ANOVA!$K$14*SQRT(1+_slice!F105))))),"外")</f>
        <v>-3.45698398918999</v>
      </c>
      <c r="G48" s="50" t="n">
        <f aca="false">IF(AND(_slice!$H$5=1,G$40&gt;=_slice!$H$6-0.000000001,G$40&lt;=_slice!$I$6+0.000000001,$B48&gt;=_slice!$H$7-0.000000001,$B48&lt;=_slice!$I$7+0.000000001,IF(01_因子設定!$B$20="Box-Behnken",G$40^2+$B48^2+_slice!$H$8&lt;=2+0.000000001,TRUE())),IF(01_因子設定!$B$13="最大化",(_slice!G80-04_回帰ANOVA!$K$19*04_回帰ANOVA!$K$14*SQRT(1+_slice!G105))-01_因子設定!$B$14,IF(01_因子設定!$B$13="最小化",01_因子設定!$B$15-(_slice!G80+04_回帰ANOVA!$K$19*04_回帰ANOVA!$K$14*SQRT(1+_slice!G105)),MIN((_slice!G80-04_回帰ANOVA!$K$19*04_回帰ANOVA!$K$14*SQRT(1+_slice!G105))-01_因子設定!$B$14,01_因子設定!$B$15-(_slice!G80+04_回帰ANOVA!$K$19*04_回帰ANOVA!$K$14*SQRT(1+_slice!G105))))),"外")</f>
        <v>-2.82032955114308</v>
      </c>
      <c r="H48" s="50" t="n">
        <f aca="false">IF(AND(_slice!$H$5=1,H$40&gt;=_slice!$H$6-0.000000001,H$40&lt;=_slice!$I$6+0.000000001,$B48&gt;=_slice!$H$7-0.000000001,$B48&lt;=_slice!$I$7+0.000000001,IF(01_因子設定!$B$20="Box-Behnken",H$40^2+$B48^2+_slice!$H$8&lt;=2+0.000000001,TRUE())),IF(01_因子設定!$B$13="最大化",(_slice!H80-04_回帰ANOVA!$K$19*04_回帰ANOVA!$K$14*SQRT(1+_slice!H105))-01_因子設定!$B$14,IF(01_因子設定!$B$13="最小化",01_因子設定!$B$15-(_slice!H80+04_回帰ANOVA!$K$19*04_回帰ANOVA!$K$14*SQRT(1+_slice!H105)),MIN((_slice!H80-04_回帰ANOVA!$K$19*04_回帰ANOVA!$K$14*SQRT(1+_slice!H105))-01_因子設定!$B$14,01_因子設定!$B$15-(_slice!H80+04_回帰ANOVA!$K$19*04_回帰ANOVA!$K$14*SQRT(1+_slice!H105))))),"外")</f>
        <v>-2.23919816074483</v>
      </c>
      <c r="I48" s="50" t="n">
        <f aca="false">IF(AND(_slice!$H$5=1,I$40&gt;=_slice!$H$6-0.000000001,I$40&lt;=_slice!$I$6+0.000000001,$B48&gt;=_slice!$H$7-0.000000001,$B48&lt;=_slice!$I$7+0.000000001,IF(01_因子設定!$B$20="Box-Behnken",I$40^2+$B48^2+_slice!$H$8&lt;=2+0.000000001,TRUE())),IF(01_因子設定!$B$13="最大化",(_slice!I80-04_回帰ANOVA!$K$19*04_回帰ANOVA!$K$14*SQRT(1+_slice!I105))-01_因子設定!$B$14,IF(01_因子設定!$B$13="最小化",01_因子設定!$B$15-(_slice!I80+04_回帰ANOVA!$K$19*04_回帰ANOVA!$K$14*SQRT(1+_slice!I105)),MIN((_slice!I80-04_回帰ANOVA!$K$19*04_回帰ANOVA!$K$14*SQRT(1+_slice!I105))-01_因子設定!$B$14,01_因子設定!$B$15-(_slice!I80+04_回帰ANOVA!$K$19*04_回帰ANOVA!$K$14*SQRT(1+_slice!I105))))),"外")</f>
        <v>-1.71165902883226</v>
      </c>
      <c r="J48" s="50" t="n">
        <f aca="false">IF(AND(_slice!$H$5=1,J$40&gt;=_slice!$H$6-0.000000001,J$40&lt;=_slice!$I$6+0.000000001,$B48&gt;=_slice!$H$7-0.000000001,$B48&lt;=_slice!$I$7+0.000000001,IF(01_因子設定!$B$20="Box-Behnken",J$40^2+$B48^2+_slice!$H$8&lt;=2+0.000000001,TRUE())),IF(01_因子設定!$B$13="最大化",(_slice!J80-04_回帰ANOVA!$K$19*04_回帰ANOVA!$K$14*SQRT(1+_slice!J105))-01_因子設定!$B$14,IF(01_因子設定!$B$13="最小化",01_因子設定!$B$15-(_slice!J80+04_回帰ANOVA!$K$19*04_回帰ANOVA!$K$14*SQRT(1+_slice!J105)),MIN((_slice!J80-04_回帰ANOVA!$K$19*04_回帰ANOVA!$K$14*SQRT(1+_slice!J105))-01_因子設定!$B$14,01_因子設定!$B$15-(_slice!J80+04_回帰ANOVA!$K$19*04_回帰ANOVA!$K$14*SQRT(1+_slice!J105))))),"外")</f>
        <v>-1.23606502963739</v>
      </c>
      <c r="K48" s="50" t="n">
        <f aca="false">IF(AND(_slice!$H$5=1,K$40&gt;=_slice!$H$6-0.000000001,K$40&lt;=_slice!$I$6+0.000000001,$B48&gt;=_slice!$H$7-0.000000001,$B48&lt;=_slice!$I$7+0.000000001,IF(01_因子設定!$B$20="Box-Behnken",K$40^2+$B48^2+_slice!$H$8&lt;=2+0.000000001,TRUE())),IF(01_因子設定!$B$13="最大化",(_slice!K80-04_回帰ANOVA!$K$19*04_回帰ANOVA!$K$14*SQRT(1+_slice!K105))-01_因子設定!$B$14,IF(01_因子設定!$B$13="最小化",01_因子設定!$B$15-(_slice!K80+04_回帰ANOVA!$K$19*04_回帰ANOVA!$K$14*SQRT(1+_slice!K105)),MIN((_slice!K80-04_回帰ANOVA!$K$19*04_回帰ANOVA!$K$14*SQRT(1+_slice!K105))-01_因子設定!$B$14,01_因子設定!$B$15-(_slice!K80+04_回帰ANOVA!$K$19*04_回帰ANOVA!$K$14*SQRT(1+_slice!K105))))),"外")</f>
        <v>-0.811111827865744</v>
      </c>
      <c r="L48" s="50" t="n">
        <f aca="false">IF(AND(_slice!$H$5=1,L$40&gt;=_slice!$H$6-0.000000001,L$40&lt;=_slice!$I$6+0.000000001,$B48&gt;=_slice!$H$7-0.000000001,$B48&lt;=_slice!$I$7+0.000000001,IF(01_因子設定!$B$20="Box-Behnken",L$40^2+$B48^2+_slice!$H$8&lt;=2+0.000000001,TRUE())),IF(01_因子設定!$B$13="最大化",(_slice!L80-04_回帰ANOVA!$K$19*04_回帰ANOVA!$K$14*SQRT(1+_slice!L105))-01_因子設定!$B$14,IF(01_因子設定!$B$13="最小化",01_因子設定!$B$15-(_slice!L80+04_回帰ANOVA!$K$19*04_回帰ANOVA!$K$14*SQRT(1+_slice!L105)),MIN((_slice!L80-04_回帰ANOVA!$K$19*04_回帰ANOVA!$K$14*SQRT(1+_slice!L105))-01_因子設定!$B$14,01_因子設定!$B$15-(_slice!L80+04_回帰ANOVA!$K$19*04_回帰ANOVA!$K$14*SQRT(1+_slice!L105))))),"外")</f>
        <v>-0.435863632282029</v>
      </c>
      <c r="M48" s="50" t="n">
        <f aca="false">IF(AND(_slice!$H$5=1,M$40&gt;=_slice!$H$6-0.000000001,M$40&lt;=_slice!$I$6+0.000000001,$B48&gt;=_slice!$H$7-0.000000001,$B48&lt;=_slice!$I$7+0.000000001,IF(01_因子設定!$B$20="Box-Behnken",M$40^2+$B48^2+_slice!$H$8&lt;=2+0.000000001,TRUE())),IF(01_因子設定!$B$13="最大化",(_slice!M80-04_回帰ANOVA!$K$19*04_回帰ANOVA!$K$14*SQRT(1+_slice!M105))-01_因子設定!$B$14,IF(01_因子設定!$B$13="最小化",01_因子設定!$B$15-(_slice!M80+04_回帰ANOVA!$K$19*04_回帰ANOVA!$K$14*SQRT(1+_slice!M105)),MIN((_slice!M80-04_回帰ANOVA!$K$19*04_回帰ANOVA!$K$14*SQRT(1+_slice!M105))-01_因子設定!$B$14,01_因子設定!$B$15-(_slice!M80+04_回帰ANOVA!$K$19*04_回帰ANOVA!$K$14*SQRT(1+_slice!M105))))),"外")</f>
        <v>-0.109759743309603</v>
      </c>
      <c r="N48" s="50" t="n">
        <f aca="false">IF(AND(_slice!$H$5=1,N$40&gt;=_slice!$H$6-0.000000001,N$40&lt;=_slice!$I$6+0.000000001,$B48&gt;=_slice!$H$7-0.000000001,$B48&lt;=_slice!$I$7+0.000000001,IF(01_因子設定!$B$20="Box-Behnken",N$40^2+$B48^2+_slice!$H$8&lt;=2+0.000000001,TRUE())),IF(01_因子設定!$B$13="最大化",(_slice!N80-04_回帰ANOVA!$K$19*04_回帰ANOVA!$K$14*SQRT(1+_slice!N105))-01_因子設定!$B$14,IF(01_因子設定!$B$13="最小化",01_因子設定!$B$15-(_slice!N80+04_回帰ANOVA!$K$19*04_回帰ANOVA!$K$14*SQRT(1+_slice!N105)),MIN((_slice!N80-04_回帰ANOVA!$K$19*04_回帰ANOVA!$K$14*SQRT(1+_slice!N105))-01_因子設定!$B$14,01_因子設定!$B$15-(_slice!N80+04_回帰ANOVA!$K$19*04_回帰ANOVA!$K$14*SQRT(1+_slice!N105))))),"外")</f>
        <v>0.167386367717974</v>
      </c>
      <c r="O48" s="50" t="n">
        <f aca="false">IF(AND(_slice!$H$5=1,O$40&gt;=_slice!$H$6-0.000000001,O$40&lt;=_slice!$I$6+0.000000001,$B48&gt;=_slice!$H$7-0.000000001,$B48&lt;=_slice!$I$7+0.000000001,IF(01_因子設定!$B$20="Box-Behnken",O$40^2+$B48^2+_slice!$H$8&lt;=2+0.000000001,TRUE())),IF(01_因子設定!$B$13="最大化",(_slice!O80-04_回帰ANOVA!$K$19*04_回帰ANOVA!$K$14*SQRT(1+_slice!O105))-01_因子設定!$B$14,IF(01_因子設定!$B$13="最小化",01_因子設定!$B$15-(_slice!O80+04_回帰ANOVA!$K$19*04_回帰ANOVA!$K$14*SQRT(1+_slice!O105)),MIN((_slice!O80-04_回帰ANOVA!$K$19*04_回帰ANOVA!$K$14*SQRT(1+_slice!O105))-01_因子設定!$B$14,01_因子設定!$B$15-(_slice!O80+04_回帰ANOVA!$K$19*04_回帰ANOVA!$K$14*SQRT(1+_slice!O105))))),"外")</f>
        <v>0.395388172134261</v>
      </c>
      <c r="P48" s="50" t="n">
        <f aca="false">IF(AND(_slice!$H$5=1,P$40&gt;=_slice!$H$6-0.000000001,P$40&lt;=_slice!$I$6+0.000000001,$B48&gt;=_slice!$H$7-0.000000001,$B48&lt;=_slice!$I$7+0.000000001,IF(01_因子設定!$B$20="Box-Behnken",P$40^2+$B48^2+_slice!$H$8&lt;=2+0.000000001,TRUE())),IF(01_因子設定!$B$13="最大化",(_slice!P80-04_回帰ANOVA!$K$19*04_回帰ANOVA!$K$14*SQRT(1+_slice!P105))-01_因子設定!$B$14,IF(01_因子設定!$B$13="最小化",01_因子設定!$B$15-(_slice!P80+04_回帰ANOVA!$K$19*04_回帰ANOVA!$K$14*SQRT(1+_slice!P105)),MIN((_slice!P80-04_回帰ANOVA!$K$19*04_回帰ANOVA!$K$14*SQRT(1+_slice!P105))-01_因子設定!$B$14,01_因子設定!$B$15-(_slice!P80+04_回帰ANOVA!$K$19*04_回帰ANOVA!$K$14*SQRT(1+_slice!P105))))),"外")</f>
        <v>0.573684970362606</v>
      </c>
      <c r="Q48" s="50" t="n">
        <f aca="false">IF(AND(_slice!$H$5=1,Q$40&gt;=_slice!$H$6-0.000000001,Q$40&lt;=_slice!$I$6+0.000000001,$B48&gt;=_slice!$H$7-0.000000001,$B48&lt;=_slice!$I$7+0.000000001,IF(01_因子設定!$B$20="Box-Behnken",Q$40^2+$B48^2+_slice!$H$8&lt;=2+0.000000001,TRUE())),IF(01_因子設定!$B$13="最大化",(_slice!Q80-04_回帰ANOVA!$K$19*04_回帰ANOVA!$K$14*SQRT(1+_slice!Q105))-01_因子設定!$B$14,IF(01_因子設定!$B$13="最小化",01_因子設定!$B$15-(_slice!Q80+04_回帰ANOVA!$K$19*04_回帰ANOVA!$K$14*SQRT(1+_slice!Q105)),MIN((_slice!Q80-04_回帰ANOVA!$K$19*04_回帰ANOVA!$K$14*SQRT(1+_slice!Q105))-01_因子設定!$B$14,01_因子設定!$B$15-(_slice!Q80+04_回帰ANOVA!$K$19*04_回帰ANOVA!$K$14*SQRT(1+_slice!Q105))))),"外")</f>
        <v>0.701340971167738</v>
      </c>
      <c r="R48" s="50" t="n">
        <f aca="false">IF(AND(_slice!$H$5=1,R$40&gt;=_slice!$H$6-0.000000001,R$40&lt;=_slice!$I$6+0.000000001,$B48&gt;=_slice!$H$7-0.000000001,$B48&lt;=_slice!$I$7+0.000000001,IF(01_因子設定!$B$20="Box-Behnken",R$40^2+$B48^2+_slice!$H$8&lt;=2+0.000000001,TRUE())),IF(01_因子設定!$B$13="最大化",(_slice!R80-04_回帰ANOVA!$K$19*04_回帰ANOVA!$K$14*SQRT(1+_slice!R105))-01_因子設定!$B$14,IF(01_因子設定!$B$13="最小化",01_因子設定!$B$15-(_slice!R80+04_回帰ANOVA!$K$19*04_回帰ANOVA!$K$14*SQRT(1+_slice!R105)),MIN((_slice!R80-04_回帰ANOVA!$K$19*04_回帰ANOVA!$K$14*SQRT(1+_slice!R105))-01_因子設定!$B$14,01_因子設定!$B$15-(_slice!R80+04_回帰ANOVA!$K$19*04_回帰ANOVA!$K$14*SQRT(1+_slice!R105))))),"外")</f>
        <v>0.777051839255165</v>
      </c>
      <c r="S48" s="50" t="n">
        <f aca="false">IF(AND(_slice!$H$5=1,S$40&gt;=_slice!$H$6-0.000000001,S$40&lt;=_slice!$I$6+0.000000001,$B48&gt;=_slice!$H$7-0.000000001,$B48&lt;=_slice!$I$7+0.000000001,IF(01_因子設定!$B$20="Box-Behnken",S$40^2+$B48^2+_slice!$H$8&lt;=2+0.000000001,TRUE())),IF(01_因子設定!$B$13="最大化",(_slice!S80-04_回帰ANOVA!$K$19*04_回帰ANOVA!$K$14*SQRT(1+_slice!S105))-01_因子設定!$B$14,IF(01_因子設定!$B$13="最小化",01_因子設定!$B$15-(_slice!S80+04_回帰ANOVA!$K$19*04_回帰ANOVA!$K$14*SQRT(1+_slice!S105)),MIN((_slice!S80-04_回帰ANOVA!$K$19*04_回帰ANOVA!$K$14*SQRT(1+_slice!S105))-01_因子設定!$B$14,01_因子設定!$B$15-(_slice!S80+04_回帰ANOVA!$K$19*04_回帰ANOVA!$K$14*SQRT(1+_slice!S105))))),"外")</f>
        <v>0.799170448856927</v>
      </c>
      <c r="T48" s="50" t="n">
        <f aca="false">IF(AND(_slice!$H$5=1,T$40&gt;=_slice!$H$6-0.000000001,T$40&lt;=_slice!$I$6+0.000000001,$B48&gt;=_slice!$H$7-0.000000001,$B48&lt;=_slice!$I$7+0.000000001,IF(01_因子設定!$B$20="Box-Behnken",T$40^2+$B48^2+_slice!$H$8&lt;=2+0.000000001,TRUE())),IF(01_因子設定!$B$13="最大化",(_slice!T80-04_回帰ANOVA!$K$19*04_回帰ANOVA!$K$14*SQRT(1+_slice!T105))-01_因子設定!$B$14,IF(01_因子設定!$B$13="最小化",01_因子設定!$B$15-(_slice!T80+04_回帰ANOVA!$K$19*04_回帰ANOVA!$K$14*SQRT(1+_slice!T105)),MIN((_slice!T80-04_回帰ANOVA!$K$19*04_回帰ANOVA!$K$14*SQRT(1+_slice!T105))-01_因子設定!$B$14,01_因子設定!$B$15-(_slice!T80+04_回帰ANOVA!$K$19*04_回帰ANOVA!$K$14*SQRT(1+_slice!T105))))),"外")</f>
        <v>0.765766010810005</v>
      </c>
      <c r="U48" s="50" t="n">
        <f aca="false">IF(AND(_slice!$H$5=1,U$40&gt;=_slice!$H$6-0.000000001,U$40&lt;=_slice!$I$6+0.000000001,$B48&gt;=_slice!$H$7-0.000000001,$B48&lt;=_slice!$I$7+0.000000001,IF(01_因子設定!$B$20="Box-Behnken",U$40^2+$B48^2+_slice!$H$8&lt;=2+0.000000001,TRUE())),IF(01_因子設定!$B$13="最大化",(_slice!U80-04_回帰ANOVA!$K$19*04_回帰ANOVA!$K$14*SQRT(1+_slice!U105))-01_因子設定!$B$14,IF(01_因子設定!$B$13="最小化",01_因子設定!$B$15-(_slice!U80+04_回帰ANOVA!$K$19*04_回帰ANOVA!$K$14*SQRT(1+_slice!U105)),MIN((_slice!U80-04_回帰ANOVA!$K$19*04_回帰ANOVA!$K$14*SQRT(1+_slice!U105))-01_因子設定!$B$14,01_因子設定!$B$15-(_slice!U80+04_回帰ANOVA!$K$19*04_回帰ANOVA!$K$14*SQRT(1+_slice!U105))))),"外")</f>
        <v>0.674728059540485</v>
      </c>
      <c r="V48" s="50" t="n">
        <f aca="false">IF(AND(_slice!$H$5=1,V$40&gt;=_slice!$H$6-0.000000001,V$40&lt;=_slice!$I$6+0.000000001,$B48&gt;=_slice!$H$7-0.000000001,$B48&lt;=_slice!$I$7+0.000000001,IF(01_因子設定!$B$20="Box-Behnken",V$40^2+$B48^2+_slice!$H$8&lt;=2+0.000000001,TRUE())),IF(01_因子設定!$B$13="最大化",(_slice!V80-04_回帰ANOVA!$K$19*04_回帰ANOVA!$K$14*SQRT(1+_slice!V105))-01_因子設定!$B$14,IF(01_因子設定!$B$13="最小化",01_因子設定!$B$15-(_slice!V80+04_回帰ANOVA!$K$19*04_回帰ANOVA!$K$14*SQRT(1+_slice!V105)),MIN((_slice!V80-04_回帰ANOVA!$K$19*04_回帰ANOVA!$K$14*SQRT(1+_slice!V105))-01_因子設定!$B$14,01_因子設定!$B$15-(_slice!V80+04_回帰ANOVA!$K$19*04_回帰ANOVA!$K$14*SQRT(1+_slice!V105))))),"外")</f>
        <v>0.523915905044156</v>
      </c>
      <c r="W48" s="50" t="n">
        <f aca="false">IF(AND(_slice!$H$5=1,W$40&gt;=_slice!$H$6-0.000000001,W$40&lt;=_slice!$I$6+0.000000001,$B48&gt;=_slice!$H$7-0.000000001,$B48&lt;=_slice!$I$7+0.000000001,IF(01_因子設定!$B$20="Box-Behnken",W$40^2+$B48^2+_slice!$H$8&lt;=2+0.000000001,TRUE())),IF(01_因子設定!$B$13="最大化",(_slice!W80-04_回帰ANOVA!$K$19*04_回帰ANOVA!$K$14*SQRT(1+_slice!W105))-01_因子設定!$B$14,IF(01_因子設定!$B$13="最小化",01_因子設定!$B$15-(_slice!W80+04_回帰ANOVA!$K$19*04_回帰ANOVA!$K$14*SQRT(1+_slice!W105)),MIN((_slice!W80-04_回帰ANOVA!$K$19*04_回帰ANOVA!$K$14*SQRT(1+_slice!W105))-01_因子設定!$B$14,01_因子設定!$B$15-(_slice!W80+04_回帰ANOVA!$K$19*04_回帰ANOVA!$K$14*SQRT(1+_slice!W105))))),"外")</f>
        <v>0.311335642273555</v>
      </c>
    </row>
    <row r="49" customFormat="false" ht="15" hidden="false" customHeight="false" outlineLevel="0" collapsed="false">
      <c r="A49" s="49" t="n">
        <f aca="false">INDEX(01_因子設定!$G$5:$G$7,$C$5)+B49*INDEX(01_因子設定!$H$5:$H$7,$C$5)</f>
        <v>33</v>
      </c>
      <c r="B49" s="49" t="n">
        <v>0.3</v>
      </c>
      <c r="C49" s="50" t="n">
        <f aca="false">IF(AND(_slice!$H$5=1,C$40&gt;=_slice!$H$6-0.000000001,C$40&lt;=_slice!$I$6+0.000000001,$B49&gt;=_slice!$H$7-0.000000001,$B49&lt;=_slice!$I$7+0.000000001,IF(01_因子設定!$B$20="Box-Behnken",C$40^2+$B49^2+_slice!$H$8&lt;=2+0.000000001,TRUE())),IF(01_因子設定!$B$13="最大化",(_slice!C81-04_回帰ANOVA!$K$19*04_回帰ANOVA!$K$14*SQRT(1+_slice!C106))-01_因子設定!$B$14,IF(01_因子設定!$B$13="最小化",01_因子設定!$B$15-(_slice!C81+04_回帰ANOVA!$K$19*04_回帰ANOVA!$K$14*SQRT(1+_slice!C106)),MIN((_slice!C81-04_回帰ANOVA!$K$19*04_回帰ANOVA!$K$14*SQRT(1+_slice!C106))-01_因子設定!$B$14,01_因子設定!$B$15-(_slice!C81+04_回帰ANOVA!$K$19*04_回帰ANOVA!$K$14*SQRT(1+_slice!C106))))),"外")</f>
        <v>-5.69470638013569</v>
      </c>
      <c r="D49" s="50" t="n">
        <f aca="false">IF(AND(_slice!$H$5=1,D$40&gt;=_slice!$H$6-0.000000001,D$40&lt;=_slice!$I$6+0.000000001,$B49&gt;=_slice!$H$7-0.000000001,$B49&lt;=_slice!$I$7+0.000000001,IF(01_因子設定!$B$20="Box-Behnken",D$40^2+$B49^2+_slice!$H$8&lt;=2+0.000000001,TRUE())),IF(01_因子設定!$B$13="最大化",(_slice!D81-04_回帰ANOVA!$K$19*04_回帰ANOVA!$K$14*SQRT(1+_slice!D106))-01_因子設定!$B$14,IF(01_因子設定!$B$13="最小化",01_因子設定!$B$15-(_slice!D81+04_回帰ANOVA!$K$19*04_回帰ANOVA!$K$14*SQRT(1+_slice!D106)),MIN((_slice!D81-04_回帰ANOVA!$K$19*04_回帰ANOVA!$K$14*SQRT(1+_slice!D106))-01_因子設定!$B$14,01_因子設定!$B$15-(_slice!D81+04_回帰ANOVA!$K$19*04_回帰ANOVA!$K$14*SQRT(1+_slice!D106))))),"外")</f>
        <v>-4.89045759123921</v>
      </c>
      <c r="E49" s="50" t="n">
        <f aca="false">IF(AND(_slice!$H$5=1,E$40&gt;=_slice!$H$6-0.000000001,E$40&lt;=_slice!$I$6+0.000000001,$B49&gt;=_slice!$H$7-0.000000001,$B49&lt;=_slice!$I$7+0.000000001,IF(01_因子設定!$B$20="Box-Behnken",E$40^2+$B49^2+_slice!$H$8&lt;=2+0.000000001,TRUE())),IF(01_因子設定!$B$13="最大化",(_slice!E81-04_回帰ANOVA!$K$19*04_回帰ANOVA!$K$14*SQRT(1+_slice!E106))-01_因子設定!$B$14,IF(01_因子設定!$B$13="最小化",01_因子設定!$B$15-(_slice!E81+04_回帰ANOVA!$K$19*04_回帰ANOVA!$K$14*SQRT(1+_slice!E106)),MIN((_slice!E81-04_回帰ANOVA!$K$19*04_回帰ANOVA!$K$14*SQRT(1+_slice!E106))-01_因子設定!$B$14,01_因子設定!$B$15-(_slice!E81+04_回帰ANOVA!$K$19*04_回帰ANOVA!$K$14*SQRT(1+_slice!E106))))),"外")</f>
        <v>-4.147988818088</v>
      </c>
      <c r="F49" s="50" t="n">
        <f aca="false">IF(AND(_slice!$H$5=1,F$40&gt;=_slice!$H$6-0.000000001,F$40&lt;=_slice!$I$6+0.000000001,$B49&gt;=_slice!$H$7-0.000000001,$B49&lt;=_slice!$I$7+0.000000001,IF(01_因子設定!$B$20="Box-Behnken",F$40^2+$B49^2+_slice!$H$8&lt;=2+0.000000001,TRUE())),IF(01_因子設定!$B$13="最大化",(_slice!F81-04_回帰ANOVA!$K$19*04_回帰ANOVA!$K$14*SQRT(1+_slice!F106))-01_因子設定!$B$14,IF(01_因子設定!$B$13="最小化",01_因子設定!$B$15-(_slice!F81+04_回帰ANOVA!$K$19*04_回帰ANOVA!$K$14*SQRT(1+_slice!F106)),MIN((_slice!F81-04_回帰ANOVA!$K$19*04_回帰ANOVA!$K$14*SQRT(1+_slice!F106))-01_因子設定!$B$14,01_因子設定!$B$15-(_slice!F81+04_回帰ANOVA!$K$19*04_回帰ANOVA!$K$14*SQRT(1+_slice!F106))))),"外")</f>
        <v>-3.46533223920855</v>
      </c>
      <c r="G49" s="50" t="n">
        <f aca="false">IF(AND(_slice!$H$5=1,G$40&gt;=_slice!$H$6-0.000000001,G$40&lt;=_slice!$I$6+0.000000001,$B49&gt;=_slice!$H$7-0.000000001,$B49&lt;=_slice!$I$7+0.000000001,IF(01_因子設定!$B$20="Box-Behnken",G$40^2+$B49^2+_slice!$H$8&lt;=2+0.000000001,TRUE())),IF(01_因子設定!$B$13="最大化",(_slice!G81-04_回帰ANOVA!$K$19*04_回帰ANOVA!$K$14*SQRT(1+_slice!G106))-01_因子設定!$B$14,IF(01_因子設定!$B$13="最小化",01_因子設定!$B$15-(_slice!G81+04_回帰ANOVA!$K$19*04_回帰ANOVA!$K$14*SQRT(1+_slice!G106)),MIN((_slice!G81-04_回帰ANOVA!$K$19*04_回帰ANOVA!$K$14*SQRT(1+_slice!G106))-01_因子設定!$B$14,01_因子設定!$B$15-(_slice!G81+04_回帰ANOVA!$K$19*04_回帰ANOVA!$K$14*SQRT(1+_slice!G106))))),"外")</f>
        <v>-2.84036885925048</v>
      </c>
      <c r="H49" s="50" t="n">
        <f aca="false">IF(AND(_slice!$H$5=1,H$40&gt;=_slice!$H$6-0.000000001,H$40&lt;=_slice!$I$6+0.000000001,$B49&gt;=_slice!$H$7-0.000000001,$B49&lt;=_slice!$I$7+0.000000001,IF(01_因子設定!$B$20="Box-Behnken",H$40^2+$B49^2+_slice!$H$8&lt;=2+0.000000001,TRUE())),IF(01_因子設定!$B$13="最大化",(_slice!H81-04_回帰ANOVA!$K$19*04_回帰ANOVA!$K$14*SQRT(1+_slice!H106))-01_因子設定!$B$14,IF(01_因子設定!$B$13="最小化",01_因子設定!$B$15-(_slice!H81+04_回帰ANOVA!$K$19*04_回帰ANOVA!$K$14*SQRT(1+_slice!H106)),MIN((_slice!H81-04_回帰ANOVA!$K$19*04_回帰ANOVA!$K$14*SQRT(1+_slice!H106))-01_因子設定!$B$14,01_因子設定!$B$15-(_slice!H81+04_回帰ANOVA!$K$19*04_回帰ANOVA!$K$14*SQRT(1+_slice!H106))))),"外")</f>
        <v>-2.27100365483982</v>
      </c>
      <c r="I49" s="50" t="n">
        <f aca="false">IF(AND(_slice!$H$5=1,I$40&gt;=_slice!$H$6-0.000000001,I$40&lt;=_slice!$I$6+0.000000001,$B49&gt;=_slice!$H$7-0.000000001,$B49&lt;=_slice!$I$7+0.000000001,IF(01_因子設定!$B$20="Box-Behnken",I$40^2+$B49^2+_slice!$H$8&lt;=2+0.000000001,TRUE())),IF(01_因子設定!$B$13="最大化",(_slice!I81-04_回帰ANOVA!$K$19*04_回帰ANOVA!$K$14*SQRT(1+_slice!I106))-01_因子設定!$B$14,IF(01_因子設定!$B$13="最小化",01_因子設定!$B$15-(_slice!I81+04_回帰ANOVA!$K$19*04_回帰ANOVA!$K$14*SQRT(1+_slice!I106)),MIN((_slice!I81-04_回帰ANOVA!$K$19*04_回帰ANOVA!$K$14*SQRT(1+_slice!I106))-01_因子設定!$B$14,01_因子設定!$B$15-(_slice!I81+04_回帰ANOVA!$K$19*04_回帰ANOVA!$K$14*SQRT(1+_slice!I106))))),"外")</f>
        <v>-1.75531502963739</v>
      </c>
      <c r="J49" s="50" t="n">
        <f aca="false">IF(AND(_slice!$H$5=1,J$40&gt;=_slice!$H$6-0.000000001,J$40&lt;=_slice!$I$6+0.000000001,$B49&gt;=_slice!$H$7-0.000000001,$B49&lt;=_slice!$I$7+0.000000001,IF(01_因子設定!$B$20="Box-Behnken",J$40^2+$B49^2+_slice!$H$8&lt;=2+0.000000001,TRUE())),IF(01_因子設定!$B$13="最大化",(_slice!J81-04_回帰ANOVA!$K$19*04_回帰ANOVA!$K$14*SQRT(1+_slice!J106))-01_因子設定!$B$14,IF(01_因子設定!$B$13="最小化",01_因子設定!$B$15-(_slice!J81+04_回帰ANOVA!$K$19*04_回帰ANOVA!$K$14*SQRT(1+_slice!J106)),MIN((_slice!J81-04_回帰ANOVA!$K$19*04_回帰ANOVA!$K$14*SQRT(1+_slice!J106))-01_因子設定!$B$14,01_因子設定!$B$15-(_slice!J81+04_回帰ANOVA!$K$19*04_回帰ANOVA!$K$14*SQRT(1+_slice!J106))))),"外")</f>
        <v>-1.29166008648845</v>
      </c>
      <c r="K49" s="50" t="n">
        <f aca="false">IF(AND(_slice!$H$5=1,K$40&gt;=_slice!$H$6-0.000000001,K$40&lt;=_slice!$I$6+0.000000001,$B49&gt;=_slice!$H$7-0.000000001,$B49&lt;=_slice!$I$7+0.000000001,IF(01_因子設定!$B$20="Box-Behnken",K$40^2+$B49^2+_slice!$H$8&lt;=2+0.000000001,TRUE())),IF(01_因子設定!$B$13="最大化",(_slice!K81-04_回帰ANOVA!$K$19*04_回帰ANOVA!$K$14*SQRT(1+_slice!K106))-01_因子設定!$B$14,IF(01_因子設定!$B$13="最小化",01_因子設定!$B$15-(_slice!K81+04_回帰ANOVA!$K$19*04_回帰ANOVA!$K$14*SQRT(1+_slice!K106)),MIN((_slice!K81-04_回帰ANOVA!$K$19*04_回帰ANOVA!$K$14*SQRT(1+_slice!K106))-01_因子設定!$B$14,01_因子設定!$B$15-(_slice!K81+04_回帰ANOVA!$K$19*04_回帰ANOVA!$K$14*SQRT(1+_slice!K106))))),"外")</f>
        <v>-0.878735526356437</v>
      </c>
      <c r="L49" s="50" t="n">
        <f aca="false">IF(AND(_slice!$H$5=1,L$40&gt;=_slice!$H$6-0.000000001,L$40&lt;=_slice!$I$6+0.000000001,$B49&gt;=_slice!$H$7-0.000000001,$B49&lt;=_slice!$I$7+0.000000001,IF(01_因子設定!$B$20="Box-Behnken",L$40^2+$B49^2+_slice!$H$8&lt;=2+0.000000001,TRUE())),IF(01_因子設定!$B$13="最大化",(_slice!L81-04_回帰ANOVA!$K$19*04_回帰ANOVA!$K$14*SQRT(1+_slice!L106))-01_因子設定!$B$14,IF(01_因子設定!$B$13="最小化",01_因子設定!$B$15-(_slice!L81+04_回帰ANOVA!$K$19*04_回帰ANOVA!$K$14*SQRT(1+_slice!L106)),MIN((_slice!L81-04_回帰ANOVA!$K$19*04_回帰ANOVA!$K$14*SQRT(1+_slice!L106))-01_因子設定!$B$14,01_因子設定!$B$15-(_slice!L81+04_回帰ANOVA!$K$19*04_回帰ANOVA!$K$14*SQRT(1+_slice!L106))))),"外")</f>
        <v>-0.515605059538274</v>
      </c>
      <c r="M49" s="50" t="n">
        <f aca="false">IF(AND(_slice!$H$5=1,M$40&gt;=_slice!$H$6-0.000000001,M$40&lt;=_slice!$I$6+0.000000001,$B49&gt;=_slice!$H$7-0.000000001,$B49&lt;=_slice!$I$7+0.000000001,IF(01_因子設定!$B$20="Box-Behnken",M$40^2+$B49^2+_slice!$H$8&lt;=2+0.000000001,TRUE())),IF(01_因子設定!$B$13="最大化",(_slice!M81-04_回帰ANOVA!$K$19*04_回帰ANOVA!$K$14*SQRT(1+_slice!M106))-01_因子設定!$B$14,IF(01_因子設定!$B$13="最小化",01_因子設定!$B$15-(_slice!M81+04_回帰ANOVA!$K$19*04_回帰ANOVA!$K$14*SQRT(1+_slice!M106)),MIN((_slice!M81-04_回帰ANOVA!$K$19*04_回帰ANOVA!$K$14*SQRT(1+_slice!M106))-01_因子設定!$B$14,01_因子設定!$B$15-(_slice!M81+04_回帰ANOVA!$K$19*04_回帰ANOVA!$K$14*SQRT(1+_slice!M106))))),"外")</f>
        <v>-0.201707195059626</v>
      </c>
      <c r="N49" s="50" t="n">
        <f aca="false">IF(AND(_slice!$H$5=1,N$40&gt;=_slice!$H$6-0.000000001,N$40&lt;=_slice!$I$6+0.000000001,$B49&gt;=_slice!$H$7-0.000000001,$B49&lt;=_slice!$I$7+0.000000001,IF(01_因子設定!$B$20="Box-Behnken",N$40^2+$B49^2+_slice!$H$8&lt;=2+0.000000001,TRUE())),IF(01_因子設定!$B$13="最大化",(_slice!N81-04_回帰ANOVA!$K$19*04_回帰ANOVA!$K$14*SQRT(1+_slice!N106))-01_因子設定!$B$14,IF(01_因子設定!$B$13="最小化",01_因子設定!$B$15-(_slice!N81+04_回帰ANOVA!$K$19*04_回帰ANOVA!$K$14*SQRT(1+_slice!N106)),MIN((_slice!N81-04_回帰ANOVA!$K$19*04_回帰ANOVA!$K$14*SQRT(1+_slice!N106))-01_因子設定!$B$14,01_因子設定!$B$15-(_slice!N81+04_回帰ANOVA!$K$19*04_回帰ANOVA!$K$14*SQRT(1+_slice!N106))))),"外")</f>
        <v>0.0631449404617257</v>
      </c>
      <c r="O49" s="50" t="n">
        <f aca="false">IF(AND(_slice!$H$5=1,O$40&gt;=_slice!$H$6-0.000000001,O$40&lt;=_slice!$I$6+0.000000001,$B49&gt;=_slice!$H$7-0.000000001,$B49&lt;=_slice!$I$7+0.000000001,IF(01_因子設定!$B$20="Box-Behnken",O$40^2+$B49^2+_slice!$H$8&lt;=2+0.000000001,TRUE())),IF(01_因子設定!$B$13="最大化",(_slice!O81-04_回帰ANOVA!$K$19*04_回帰ANOVA!$K$14*SQRT(1+_slice!O106))-01_因子設定!$B$14,IF(01_因子設定!$B$13="最小化",01_因子設定!$B$15-(_slice!O81+04_回帰ANOVA!$K$19*04_回帰ANOVA!$K$14*SQRT(1+_slice!O106)),MIN((_slice!O81-04_回帰ANOVA!$K$19*04_回帰ANOVA!$K$14*SQRT(1+_slice!O106))-01_因子設定!$B$14,01_因子設定!$B$15-(_slice!O81+04_回帰ANOVA!$K$19*04_回帰ANOVA!$K$14*SQRT(1+_slice!O106))))),"外")</f>
        <v>0.278764473643577</v>
      </c>
      <c r="P49" s="50" t="n">
        <f aca="false">IF(AND(_slice!$H$5=1,P$40&gt;=_slice!$H$6-0.000000001,P$40&lt;=_slice!$I$6+0.000000001,$B49&gt;=_slice!$H$7-0.000000001,$B49&lt;=_slice!$I$7+0.000000001,IF(01_因子設定!$B$20="Box-Behnken",P$40^2+$B49^2+_slice!$H$8&lt;=2+0.000000001,TRUE())),IF(01_因子設定!$B$13="最大化",(_slice!P81-04_回帰ANOVA!$K$19*04_回帰ANOVA!$K$14*SQRT(1+_slice!P106))-01_因子設定!$B$14,IF(01_因子設定!$B$13="最小化",01_因子設定!$B$15-(_slice!P81+04_回帰ANOVA!$K$19*04_回帰ANOVA!$K$14*SQRT(1+_slice!P106)),MIN((_slice!P81-04_回帰ANOVA!$K$19*04_回帰ANOVA!$K$14*SQRT(1+_slice!P106))-01_因子設定!$B$14,01_因子設定!$B$15-(_slice!P81+04_回帰ANOVA!$K$19*04_回帰ANOVA!$K$14*SQRT(1+_slice!P106))))),"外")</f>
        <v>0.44458991351155</v>
      </c>
      <c r="Q49" s="50" t="n">
        <f aca="false">IF(AND(_slice!$H$5=1,Q$40&gt;=_slice!$H$6-0.000000001,Q$40&lt;=_slice!$I$6+0.000000001,$B49&gt;=_slice!$H$7-0.000000001,$B49&lt;=_slice!$I$7+0.000000001,IF(01_因子設定!$B$20="Box-Behnken",Q$40^2+$B49^2+_slice!$H$8&lt;=2+0.000000001,TRUE())),IF(01_因子設定!$B$13="最大化",(_slice!Q81-04_回帰ANOVA!$K$19*04_回帰ANOVA!$K$14*SQRT(1+_slice!Q106))-01_因子設定!$B$14,IF(01_因子設定!$B$13="最小化",01_因子設定!$B$15-(_slice!Q81+04_回帰ANOVA!$K$19*04_回帰ANOVA!$K$14*SQRT(1+_slice!Q106)),MIN((_slice!Q81-04_回帰ANOVA!$K$19*04_回帰ANOVA!$K$14*SQRT(1+_slice!Q106))-01_因子設定!$B$14,01_因子設定!$B$15-(_slice!Q81+04_回帰ANOVA!$K$19*04_回帰ANOVA!$K$14*SQRT(1+_slice!Q106))))),"外")</f>
        <v>0.559684970362604</v>
      </c>
      <c r="R49" s="50" t="n">
        <f aca="false">IF(AND(_slice!$H$5=1,R$40&gt;=_slice!$H$6-0.000000001,R$40&lt;=_slice!$I$6+0.000000001,$B49&gt;=_slice!$H$7-0.000000001,$B49&lt;=_slice!$I$7+0.000000001,IF(01_因子設定!$B$20="Box-Behnken",R$40^2+$B49^2+_slice!$H$8&lt;=2+0.000000001,TRUE())),IF(01_因子設定!$B$13="最大化",(_slice!R81-04_回帰ANOVA!$K$19*04_回帰ANOVA!$K$14*SQRT(1+_slice!R106))-01_因子設定!$B$14,IF(01_因子設定!$B$13="最小化",01_因子設定!$B$15-(_slice!R81+04_回帰ANOVA!$K$19*04_回帰ANOVA!$K$14*SQRT(1+_slice!R106)),MIN((_slice!R81-04_回帰ANOVA!$K$19*04_回帰ANOVA!$K$14*SQRT(1+_slice!R106))-01_因子設定!$B$14,01_因子設定!$B$15-(_slice!R81+04_回帰ANOVA!$K$19*04_回帰ANOVA!$K$14*SQRT(1+_slice!R106))))),"外")</f>
        <v>0.622746345160181</v>
      </c>
      <c r="S49" s="50" t="n">
        <f aca="false">IF(AND(_slice!$H$5=1,S$40&gt;=_slice!$H$6-0.000000001,S$40&lt;=_slice!$I$6+0.000000001,$B49&gt;=_slice!$H$7-0.000000001,$B49&lt;=_slice!$I$7+0.000000001,IF(01_因子設定!$B$20="Box-Behnken",S$40^2+$B49^2+_slice!$H$8&lt;=2+0.000000001,TRUE())),IF(01_因子設定!$B$13="最大化",(_slice!S81-04_回帰ANOVA!$K$19*04_回帰ANOVA!$K$14*SQRT(1+_slice!S106))-01_因子設定!$B$14,IF(01_因子設定!$B$13="最小化",01_因子設定!$B$15-(_slice!S81+04_回帰ANOVA!$K$19*04_回帰ANOVA!$K$14*SQRT(1+_slice!S106)),MIN((_slice!S81-04_回帰ANOVA!$K$19*04_回帰ANOVA!$K$14*SQRT(1+_slice!S106))-01_因子設定!$B$14,01_因子設定!$B$15-(_slice!S81+04_回帰ANOVA!$K$19*04_回帰ANOVA!$K$14*SQRT(1+_slice!S106))))),"外")</f>
        <v>0.632131140749529</v>
      </c>
      <c r="T49" s="50" t="n">
        <f aca="false">IF(AND(_slice!$H$5=1,T$40&gt;=_slice!$H$6-0.000000001,T$40&lt;=_slice!$I$6+0.000000001,$B49&gt;=_slice!$H$7-0.000000001,$B49&lt;=_slice!$I$7+0.000000001,IF(01_因子設定!$B$20="Box-Behnken",T$40^2+$B49^2+_slice!$H$8&lt;=2+0.000000001,TRUE())),IF(01_因子設定!$B$13="最大化",(_slice!T81-04_回帰ANOVA!$K$19*04_回帰ANOVA!$K$14*SQRT(1+_slice!T106))-01_因子設定!$B$14,IF(01_因子設定!$B$13="最小化",01_因子設定!$B$15-(_slice!T81+04_回帰ANOVA!$K$19*04_回帰ANOVA!$K$14*SQRT(1+_slice!T106)),MIN((_slice!T81-04_回帰ANOVA!$K$19*04_回帰ANOVA!$K$14*SQRT(1+_slice!T106))-01_因子設定!$B$14,01_因子設定!$B$15-(_slice!T81+04_回帰ANOVA!$K$19*04_回帰ANOVA!$K$14*SQRT(1+_slice!T106))))),"外")</f>
        <v>0.585917760791446</v>
      </c>
      <c r="U49" s="50" t="n">
        <f aca="false">IF(AND(_slice!$H$5=1,U$40&gt;=_slice!$H$6-0.000000001,U$40&lt;=_slice!$I$6+0.000000001,$B49&gt;=_slice!$H$7-0.000000001,$B49&lt;=_slice!$I$7+0.000000001,IF(01_因子設定!$B$20="Box-Behnken",U$40^2+$B49^2+_slice!$H$8&lt;=2+0.000000001,TRUE())),IF(01_因子設定!$B$13="最大化",(_slice!U81-04_回帰ANOVA!$K$19*04_回帰ANOVA!$K$14*SQRT(1+_slice!U106))-01_因子設定!$B$14,IF(01_因子設定!$B$13="最小化",01_因子設定!$B$15-(_slice!U81+04_回帰ANOVA!$K$19*04_回帰ANOVA!$K$14*SQRT(1+_slice!U106)),MIN((_slice!U81-04_回帰ANOVA!$K$19*04_回帰ANOVA!$K$14*SQRT(1+_slice!U106))-01_因子設定!$B$14,01_因子設定!$B$15-(_slice!U81+04_回帰ANOVA!$K$19*04_回帰ANOVA!$K$14*SQRT(1+_slice!U106))))),"外")</f>
        <v>0.482011181912</v>
      </c>
      <c r="V49" s="50" t="n">
        <f aca="false">IF(AND(_slice!$H$5=1,V$40&gt;=_slice!$H$6-0.000000001,V$40&lt;=_slice!$I$6+0.000000001,$B49&gt;=_slice!$H$7-0.000000001,$B49&lt;=_slice!$I$7+0.000000001,IF(01_因子設定!$B$20="Box-Behnken",V$40^2+$B49^2+_slice!$H$8&lt;=2+0.000000001,TRUE())),IF(01_因子設定!$B$13="最大化",(_slice!V81-04_回帰ANOVA!$K$19*04_回帰ANOVA!$K$14*SQRT(1+_slice!V106))-01_因子設定!$B$14,IF(01_因子設定!$B$13="最小化",01_因子設定!$B$15-(_slice!V81+04_回帰ANOVA!$K$19*04_回帰ANOVA!$K$14*SQRT(1+_slice!V106)),MIN((_slice!V81-04_回帰ANOVA!$K$19*04_回帰ANOVA!$K$14*SQRT(1+_slice!V106))-01_因子設定!$B$14,01_因子設定!$B$15-(_slice!V81+04_回帰ANOVA!$K$19*04_回帰ANOVA!$K$14*SQRT(1+_slice!V106))))),"外")</f>
        <v>0.318292408760804</v>
      </c>
      <c r="W49" s="50" t="n">
        <f aca="false">IF(AND(_slice!$H$5=1,W$40&gt;=_slice!$H$6-0.000000001,W$40&lt;=_slice!$I$6+0.000000001,$B49&gt;=_slice!$H$7-0.000000001,$B49&lt;=_slice!$I$7+0.000000001,IF(01_因子設定!$B$20="Box-Behnken",W$40^2+$B49^2+_slice!$H$8&lt;=2+0.000000001,TRUE())),IF(01_因子設定!$B$13="最大化",(_slice!W81-04_回帰ANOVA!$K$19*04_回帰ANOVA!$K$14*SQRT(1+_slice!W106))-01_因子設定!$B$14,IF(01_因子設定!$B$13="最小化",01_因子設定!$B$15-(_slice!W81+04_回帰ANOVA!$K$19*04_回帰ANOVA!$K$14*SQRT(1+_slice!W106)),MIN((_slice!W81-04_回帰ANOVA!$K$19*04_回帰ANOVA!$K$14*SQRT(1+_slice!W106))-01_因子設定!$B$14,01_因子設定!$B$15-(_slice!W81+04_回帰ANOVA!$K$19*04_回帰ANOVA!$K$14*SQRT(1+_slice!W106))))),"外")</f>
        <v>0.0927936198643167</v>
      </c>
    </row>
    <row r="50" customFormat="false" ht="15" hidden="false" customHeight="false" outlineLevel="0" collapsed="false">
      <c r="A50" s="49" t="n">
        <f aca="false">INDEX(01_因子設定!$G$5:$G$7,$C$5)+B50*INDEX(01_因子設定!$H$5:$H$7,$C$5)</f>
        <v>32</v>
      </c>
      <c r="B50" s="49" t="n">
        <v>0.2</v>
      </c>
      <c r="C50" s="50" t="n">
        <f aca="false">IF(AND(_slice!$H$5=1,C$40&gt;=_slice!$H$6-0.000000001,C$40&lt;=_slice!$I$6+0.000000001,$B50&gt;=_slice!$H$7-0.000000001,$B50&lt;=_slice!$I$7+0.000000001,IF(01_因子設定!$B$20="Box-Behnken",C$40^2+$B50^2+_slice!$H$8&lt;=2+0.000000001,TRUE())),IF(01_因子設定!$B$13="最大化",(_slice!C82-04_回帰ANOVA!$K$19*04_回帰ANOVA!$K$14*SQRT(1+_slice!C107))-01_因子設定!$B$14,IF(01_因子設定!$B$13="最小化",01_因子設定!$B$15-(_slice!C82+04_回帰ANOVA!$K$19*04_回帰ANOVA!$K$14*SQRT(1+_slice!C107)),MIN((_slice!C82-04_回帰ANOVA!$K$19*04_回帰ANOVA!$K$14*SQRT(1+_slice!C107))-01_因子設定!$B$14,01_因子設定!$B$15-(_slice!C82+04_回帰ANOVA!$K$19*04_回帰ANOVA!$K$14*SQRT(1+_slice!C107))))),"外")</f>
        <v>-5.70881471481533</v>
      </c>
      <c r="D50" s="50" t="n">
        <f aca="false">IF(AND(_slice!$H$5=1,D$40&gt;=_slice!$H$6-0.000000001,D$40&lt;=_slice!$I$6+0.000000001,$B50&gt;=_slice!$H$7-0.000000001,$B50&lt;=_slice!$I$7+0.000000001,IF(01_因子設定!$B$20="Box-Behnken",D$40^2+$B50^2+_slice!$H$8&lt;=2+0.000000001,TRUE())),IF(01_因子設定!$B$13="最大化",(_slice!D82-04_回帰ANOVA!$K$19*04_回帰ANOVA!$K$14*SQRT(1+_slice!D107))-01_因子設定!$B$14,IF(01_因子設定!$B$13="最小化",01_因子設定!$B$15-(_slice!D82+04_回帰ANOVA!$K$19*04_回帰ANOVA!$K$14*SQRT(1+_slice!D107)),MIN((_slice!D82-04_回帰ANOVA!$K$19*04_回帰ANOVA!$K$14*SQRT(1+_slice!D107))-01_因子設定!$B$14,01_因子設定!$B$15-(_slice!D82+04_回帰ANOVA!$K$19*04_回帰ANOVA!$K$14*SQRT(1+_slice!D107))))),"外")</f>
        <v>-4.91637427889356</v>
      </c>
      <c r="E50" s="50" t="n">
        <f aca="false">IF(AND(_slice!$H$5=1,E$40&gt;=_slice!$H$6-0.000000001,E$40&lt;=_slice!$I$6+0.000000001,$B50&gt;=_slice!$H$7-0.000000001,$B50&lt;=_slice!$I$7+0.000000001,IF(01_因子設定!$B$20="Box-Behnken",E$40^2+$B50^2+_slice!$H$8&lt;=2+0.000000001,TRUE())),IF(01_因子設定!$B$13="最大化",(_slice!E82-04_回帰ANOVA!$K$19*04_回帰ANOVA!$K$14*SQRT(1+_slice!E107))-01_因子設定!$B$14,IF(01_因子設定!$B$13="最小化",01_因子設定!$B$15-(_slice!E82+04_回帰ANOVA!$K$19*04_回帰ANOVA!$K$14*SQRT(1+_slice!E107)),MIN((_slice!E82-04_回帰ANOVA!$K$19*04_回帰ANOVA!$K$14*SQRT(1+_slice!E107))-01_因子設定!$B$14,01_因子設定!$B$15-(_slice!E82+04_回帰ANOVA!$K$19*04_回帰ANOVA!$K$14*SQRT(1+_slice!E107))))),"外")</f>
        <v>-4.18571442329186</v>
      </c>
      <c r="F50" s="50" t="n">
        <f aca="false">IF(AND(_slice!$H$5=1,F$40&gt;=_slice!$H$6-0.000000001,F$40&lt;=_slice!$I$6+0.000000001,$B50&gt;=_slice!$H$7-0.000000001,$B50&lt;=_slice!$I$7+0.000000001,IF(01_因子設定!$B$20="Box-Behnken",F$40^2+$B50^2+_slice!$H$8&lt;=2+0.000000001,TRUE())),IF(01_因子設定!$B$13="最大化",(_slice!F82-04_回帰ANOVA!$K$19*04_回帰ANOVA!$K$14*SQRT(1+_slice!F107))-01_因子設定!$B$14,IF(01_因子設定!$B$13="最小化",01_因子設定!$B$15-(_slice!F82+04_回帰ANOVA!$K$19*04_回帰ANOVA!$K$14*SQRT(1+_slice!F107)),MIN((_slice!F82-04_回帰ANOVA!$K$19*04_回帰ANOVA!$K$14*SQRT(1+_slice!F107))-01_因子設定!$B$14,01_因子設定!$B$15-(_slice!F82+04_回帰ANOVA!$K$19*04_回帰ANOVA!$K$14*SQRT(1+_slice!F107))))),"外")</f>
        <v>-3.51488593942874</v>
      </c>
      <c r="G50" s="50" t="n">
        <f aca="false">IF(AND(_slice!$H$5=1,G$40&gt;=_slice!$H$6-0.000000001,G$40&lt;=_slice!$I$6+0.000000001,$B50&gt;=_slice!$H$7-0.000000001,$B50&lt;=_slice!$I$7+0.000000001,IF(01_因子設定!$B$20="Box-Behnken",G$40^2+$B50^2+_slice!$H$8&lt;=2+0.000000001,TRUE())),IF(01_因子設定!$B$13="最大化",(_slice!G82-04_回帰ANOVA!$K$19*04_回帰ANOVA!$K$14*SQRT(1+_slice!G107))-01_因子設定!$B$14,IF(01_因子設定!$B$13="最小化",01_因子設定!$B$15-(_slice!G82+04_回帰ANOVA!$K$19*04_回帰ANOVA!$K$14*SQRT(1+_slice!G107)),MIN((_slice!G82-04_回帰ANOVA!$K$19*04_回帰ANOVA!$K$14*SQRT(1+_slice!G107))-01_因子設定!$B$14,01_因子設定!$B$15-(_slice!G82+04_回帰ANOVA!$K$19*04_回帰ANOVA!$K$14*SQRT(1+_slice!G107))))),"外")</f>
        <v>-2.9017861881516</v>
      </c>
      <c r="H50" s="50" t="n">
        <f aca="false">IF(AND(_slice!$H$5=1,H$40&gt;=_slice!$H$6-0.000000001,H$40&lt;=_slice!$I$6+0.000000001,$B50&gt;=_slice!$H$7-0.000000001,$B50&lt;=_slice!$I$7+0.000000001,IF(01_因子設定!$B$20="Box-Behnken",H$40^2+$B50^2+_slice!$H$8&lt;=2+0.000000001,TRUE())),IF(01_因子設定!$B$13="最大化",(_slice!H82-04_回帰ANOVA!$K$19*04_回帰ANOVA!$K$14*SQRT(1+_slice!H107))-01_因子設定!$B$14,IF(01_因子設定!$B$13="最小化",01_因子設定!$B$15-(_slice!H82+04_回帰ANOVA!$K$19*04_回帰ANOVA!$K$14*SQRT(1+_slice!H107)),MIN((_slice!H82-04_回帰ANOVA!$K$19*04_回帰ANOVA!$K$14*SQRT(1+_slice!H107))-01_因子設定!$B$14,01_因子設定!$B$15-(_slice!H82+04_回帰ANOVA!$K$19*04_回帰ANOVA!$K$14*SQRT(1+_slice!H107))))),"外")</f>
        <v>-2.34433261131844</v>
      </c>
      <c r="I50" s="50" t="n">
        <f aca="false">IF(AND(_slice!$H$5=1,I$40&gt;=_slice!$H$6-0.000000001,I$40&lt;=_slice!$I$6+0.000000001,$B50&gt;=_slice!$H$7-0.000000001,$B50&lt;=_slice!$I$7+0.000000001,IF(01_因子設定!$B$20="Box-Behnken",I$40^2+$B50^2+_slice!$H$8&lt;=2+0.000000001,TRUE())),IF(01_因子設定!$B$13="最大化",(_slice!I82-04_回帰ANOVA!$K$19*04_回帰ANOVA!$K$14*SQRT(1+_slice!I107))-01_因子設定!$B$14,IF(01_因子設定!$B$13="最小化",01_因子設定!$B$15-(_slice!I82+04_回帰ANOVA!$K$19*04_回帰ANOVA!$K$14*SQRT(1+_slice!I107)),MIN((_slice!I82-04_回帰ANOVA!$K$19*04_回帰ANOVA!$K$14*SQRT(1+_slice!I107))-01_因子設定!$B$14,01_因子設定!$B$15-(_slice!I82+04_回帰ANOVA!$K$19*04_回帰ANOVA!$K$14*SQRT(1+_slice!I107))))),"外")</f>
        <v>-1.84061182786574</v>
      </c>
      <c r="J50" s="50" t="n">
        <f aca="false">IF(AND(_slice!$H$5=1,J$40&gt;=_slice!$H$6-0.000000001,J$40&lt;=_slice!$I$6+0.000000001,$B50&gt;=_slice!$H$7-0.000000001,$B50&lt;=_slice!$I$7+0.000000001,IF(01_因子設定!$B$20="Box-Behnken",J$40^2+$B50^2+_slice!$H$8&lt;=2+0.000000001,TRUE())),IF(01_因子設定!$B$13="最大化",(_slice!J82-04_回帰ANOVA!$K$19*04_回帰ANOVA!$K$14*SQRT(1+_slice!J107))-01_因子設定!$B$14,IF(01_因子設定!$B$13="最小化",01_因子設定!$B$15-(_slice!J82+04_回帰ANOVA!$K$19*04_回帰ANOVA!$K$14*SQRT(1+_slice!J107)),MIN((_slice!J82-04_回帰ANOVA!$K$19*04_回帰ANOVA!$K$14*SQRT(1+_slice!J107))-01_因子設定!$B$14,01_因子設定!$B$15-(_slice!J82+04_回帰ANOVA!$K$19*04_回帰ANOVA!$K$14*SQRT(1+_slice!J107))))),"外")</f>
        <v>-1.38898552635643</v>
      </c>
      <c r="K50" s="50" t="n">
        <f aca="false">IF(AND(_slice!$H$5=1,K$40&gt;=_slice!$H$6-0.000000001,K$40&lt;=_slice!$I$6+0.000000001,$B50&gt;=_slice!$H$7-0.000000001,$B50&lt;=_slice!$I$7+0.000000001,IF(01_因子設定!$B$20="Box-Behnken",K$40^2+$B50^2+_slice!$H$8&lt;=2+0.000000001,TRUE())),IF(01_因子設定!$B$13="最大化",(_slice!K82-04_回帰ANOVA!$K$19*04_回帰ANOVA!$K$14*SQRT(1+_slice!K107))-01_因子設定!$B$14,IF(01_因子設定!$B$13="最小化",01_因子設定!$B$15-(_slice!K82+04_回帰ANOVA!$K$19*04_回帰ANOVA!$K$14*SQRT(1+_slice!K107)),MIN((_slice!K82-04_回帰ANOVA!$K$19*04_回帰ANOVA!$K$14*SQRT(1+_slice!K107))-01_因子設定!$B$14,01_因子設定!$B$15-(_slice!K82+04_回帰ANOVA!$K$19*04_回帰ANOVA!$K$14*SQRT(1+_slice!K107))))),"外")</f>
        <v>-0.988152444136013</v>
      </c>
      <c r="L50" s="50" t="n">
        <f aca="false">IF(AND(_slice!$H$5=1,L$40&gt;=_slice!$H$6-0.000000001,L$40&lt;=_slice!$I$6+0.000000001,$B50&gt;=_slice!$H$7-0.000000001,$B50&lt;=_slice!$I$7+0.000000001,IF(01_因子設定!$B$20="Box-Behnken",L$40^2+$B50^2+_slice!$H$8&lt;=2+0.000000001,TRUE())),IF(01_因子設定!$B$13="最大化",(_slice!L82-04_回帰ANOVA!$K$19*04_回帰ANOVA!$K$14*SQRT(1+_slice!L107))-01_因子設定!$B$14,IF(01_因子設定!$B$13="最小化",01_因子設定!$B$15-(_slice!L82+04_回帰ANOVA!$K$19*04_回帰ANOVA!$K$14*SQRT(1+_slice!L107)),MIN((_slice!L82-04_回帰ANOVA!$K$19*04_回帰ANOVA!$K$14*SQRT(1+_slice!L107))-01_因子設定!$B$14,01_因子設定!$B$15-(_slice!L82+04_回帰ANOVA!$K$19*04_回帰ANOVA!$K$14*SQRT(1+_slice!L107))))),"外")</f>
        <v>-0.637176877074374</v>
      </c>
      <c r="M50" s="50" t="n">
        <f aca="false">IF(AND(_slice!$H$5=1,M$40&gt;=_slice!$H$6-0.000000001,M$40&lt;=_slice!$I$6+0.000000001,$B50&gt;=_slice!$H$7-0.000000001,$B50&lt;=_slice!$I$7+0.000000001,IF(01_因子設定!$B$20="Box-Behnken",M$40^2+$B50^2+_slice!$H$8&lt;=2+0.000000001,TRUE())),IF(01_因子設定!$B$13="最大化",(_slice!M82-04_回帰ANOVA!$K$19*04_回帰ANOVA!$K$14*SQRT(1+_slice!M107))-01_因子設定!$B$14,IF(01_因子設定!$B$13="最小化",01_因子設定!$B$15-(_slice!M82+04_回帰ANOVA!$K$19*04_回帰ANOVA!$K$14*SQRT(1+_slice!M107)),MIN((_slice!M82-04_回帰ANOVA!$K$19*04_回帰ANOVA!$K$14*SQRT(1+_slice!M107))-01_因子設定!$B$14,01_因子設定!$B$15-(_slice!M82+04_回帰ANOVA!$K$19*04_回帰ANOVA!$K$14*SQRT(1+_slice!M107))))),"外")</f>
        <v>-0.3354973323354</v>
      </c>
      <c r="N50" s="50" t="n">
        <f aca="false">IF(AND(_slice!$H$5=1,N$40&gt;=_slice!$H$6-0.000000001,N$40&lt;=_slice!$I$6+0.000000001,$B50&gt;=_slice!$H$7-0.000000001,$B50&lt;=_slice!$I$7+0.000000001,IF(01_因子設定!$B$20="Box-Behnken",N$40^2+$B50^2+_slice!$H$8&lt;=2+0.000000001,TRUE())),IF(01_因子設定!$B$13="最大化",(_slice!N82-04_回帰ANOVA!$K$19*04_回帰ANOVA!$K$14*SQRT(1+_slice!N107))-01_因子設定!$B$14,IF(01_因子設定!$B$13="最小化",01_因子設定!$B$15-(_slice!N82+04_回帰ANOVA!$K$19*04_回帰ANOVA!$K$14*SQRT(1+_slice!N107)),MIN((_slice!N82-04_回帰ANOVA!$K$19*04_回帰ANOVA!$K$14*SQRT(1+_slice!N107))-01_因子設定!$B$14,01_因子設定!$B$15-(_slice!N82+04_回帰ANOVA!$K$19*04_回帰ANOVA!$K$14*SQRT(1+_slice!N107))))),"外")</f>
        <v>-0.0829268770743639</v>
      </c>
      <c r="O50" s="50" t="n">
        <f aca="false">IF(AND(_slice!$H$5=1,O$40&gt;=_slice!$H$6-0.000000001,O$40&lt;=_slice!$I$6+0.000000001,$B50&gt;=_slice!$H$7-0.000000001,$B50&lt;=_slice!$I$7+0.000000001,IF(01_因子設定!$B$20="Box-Behnken",O$40^2+$B50^2+_slice!$H$8&lt;=2+0.000000001,TRUE())),IF(01_因子設定!$B$13="最大化",(_slice!O82-04_回帰ANOVA!$K$19*04_回帰ANOVA!$K$14*SQRT(1+_slice!O107))-01_因子設定!$B$14,IF(01_因子設定!$B$13="最小化",01_因子設定!$B$15-(_slice!O82+04_回帰ANOVA!$K$19*04_回帰ANOVA!$K$14*SQRT(1+_slice!O107)),MIN((_slice!O82-04_回帰ANOVA!$K$19*04_回帰ANOVA!$K$14*SQRT(1+_slice!O107))-01_因子設定!$B$14,01_因子設定!$B$15-(_slice!O82+04_回帰ANOVA!$K$19*04_回帰ANOVA!$K$14*SQRT(1+_slice!O107))))),"外")</f>
        <v>0.120347555863994</v>
      </c>
      <c r="P50" s="50" t="n">
        <f aca="false">IF(AND(_slice!$H$5=1,P$40&gt;=_slice!$H$6-0.000000001,P$40&lt;=_slice!$I$6+0.000000001,$B50&gt;=_slice!$H$7-0.000000001,$B50&lt;=_slice!$I$7+0.000000001,IF(01_因子設定!$B$20="Box-Behnken",P$40^2+$B50^2+_slice!$H$8&lt;=2+0.000000001,TRUE())),IF(01_因子設定!$B$13="最大化",(_slice!P82-04_回帰ANOVA!$K$19*04_回帰ANOVA!$K$14*SQRT(1+_slice!P107))-01_因子設定!$B$14,IF(01_因子設定!$B$13="最小化",01_因子設定!$B$15-(_slice!P82+04_回帰ANOVA!$K$19*04_回帰ANOVA!$K$14*SQRT(1+_slice!P107)),MIN((_slice!P82-04_回帰ANOVA!$K$19*04_回帰ANOVA!$K$14*SQRT(1+_slice!P107))-01_因子設定!$B$14,01_因子設定!$B$15-(_slice!P82+04_回帰ANOVA!$K$19*04_回帰ANOVA!$K$14*SQRT(1+_slice!P107))))),"外")</f>
        <v>0.273764473643574</v>
      </c>
      <c r="Q50" s="50" t="n">
        <f aca="false">IF(AND(_slice!$H$5=1,Q$40&gt;=_slice!$H$6-0.000000001,Q$40&lt;=_slice!$I$6+0.000000001,$B50&gt;=_slice!$H$7-0.000000001,$B50&lt;=_slice!$I$7+0.000000001,IF(01_因子設定!$B$20="Box-Behnken",Q$40^2+$B50^2+_slice!$H$8&lt;=2+0.000000001,TRUE())),IF(01_因子設定!$B$13="最大化",(_slice!Q82-04_回帰ANOVA!$K$19*04_回帰ANOVA!$K$14*SQRT(1+_slice!Q107))-01_因子設定!$B$14,IF(01_因子設定!$B$13="最小化",01_因子設定!$B$15-(_slice!Q82+04_回帰ANOVA!$K$19*04_回帰ANOVA!$K$14*SQRT(1+_slice!Q107)),MIN((_slice!Q82-04_回帰ANOVA!$K$19*04_回帰ANOVA!$K$14*SQRT(1+_slice!Q107))-01_因子設定!$B$14,01_因子設定!$B$15-(_slice!Q82+04_回帰ANOVA!$K$19*04_回帰ANOVA!$K$14*SQRT(1+_slice!Q107))))),"外")</f>
        <v>0.376388172134256</v>
      </c>
      <c r="R50" s="50" t="n">
        <f aca="false">IF(AND(_slice!$H$5=1,R$40&gt;=_slice!$H$6-0.000000001,R$40&lt;=_slice!$I$6+0.000000001,$B50&gt;=_slice!$H$7-0.000000001,$B50&lt;=_slice!$I$7+0.000000001,IF(01_因子設定!$B$20="Box-Behnken",R$40^2+$B50^2+_slice!$H$8&lt;=2+0.000000001,TRUE())),IF(01_因子設定!$B$13="最大化",(_slice!R82-04_回帰ANOVA!$K$19*04_回帰ANOVA!$K$14*SQRT(1+_slice!R107))-01_因子設定!$B$14,IF(01_因子設定!$B$13="最小化",01_因子設定!$B$15-(_slice!R82+04_回帰ANOVA!$K$19*04_回帰ANOVA!$K$14*SQRT(1+_slice!R107)),MIN((_slice!R82-04_回帰ANOVA!$K$19*04_回帰ANOVA!$K$14*SQRT(1+_slice!R107))-01_因子設定!$B$14,01_因子設定!$B$15-(_slice!R82+04_回帰ANOVA!$K$19*04_回帰ANOVA!$K$14*SQRT(1+_slice!R107))))),"外")</f>
        <v>0.426917388681574</v>
      </c>
      <c r="S50" s="50" t="n">
        <f aca="false">IF(AND(_slice!$H$5=1,S$40&gt;=_slice!$H$6-0.000000001,S$40&lt;=_slice!$I$6+0.000000001,$B50&gt;=_slice!$H$7-0.000000001,$B50&lt;=_slice!$I$7+0.000000001,IF(01_因子設定!$B$20="Box-Behnken",S$40^2+$B50^2+_slice!$H$8&lt;=2+0.000000001,TRUE())),IF(01_因子設定!$B$13="最大化",(_slice!S82-04_回帰ANOVA!$K$19*04_回帰ANOVA!$K$14*SQRT(1+_slice!S107))-01_因子設定!$B$14,IF(01_因子設定!$B$13="最小化",01_因子設定!$B$15-(_slice!S82+04_回帰ANOVA!$K$19*04_回帰ANOVA!$K$14*SQRT(1+_slice!S107)),MIN((_slice!S82-04_回帰ANOVA!$K$19*04_回帰ANOVA!$K$14*SQRT(1+_slice!S107))-01_因子設定!$B$14,01_因子設定!$B$15-(_slice!S82+04_回帰ANOVA!$K$19*04_回帰ANOVA!$K$14*SQRT(1+_slice!S107))))),"外")</f>
        <v>0.423713811848408</v>
      </c>
      <c r="T50" s="50" t="n">
        <f aca="false">IF(AND(_slice!$H$5=1,T$40&gt;=_slice!$H$6-0.000000001,T$40&lt;=_slice!$I$6+0.000000001,$B50&gt;=_slice!$H$7-0.000000001,$B50&lt;=_slice!$I$7+0.000000001,IF(01_因子設定!$B$20="Box-Behnken",T$40^2+$B50^2+_slice!$H$8&lt;=2+0.000000001,TRUE())),IF(01_因子設定!$B$13="最大化",(_slice!T82-04_回帰ANOVA!$K$19*04_回帰ANOVA!$K$14*SQRT(1+_slice!T107))-01_因子設定!$B$14,IF(01_因子設定!$B$13="最小化",01_因子設定!$B$15-(_slice!T82+04_回帰ANOVA!$K$19*04_回帰ANOVA!$K$14*SQRT(1+_slice!T107)),MIN((_slice!T82-04_回帰ANOVA!$K$19*04_回帰ANOVA!$K$14*SQRT(1+_slice!T107))-01_因子設定!$B$14,01_因子設定!$B$15-(_slice!T82+04_回帰ANOVA!$K$19*04_回帰ANOVA!$K$14*SQRT(1+_slice!T107))))),"外")</f>
        <v>0.364864060571257</v>
      </c>
      <c r="U50" s="50" t="n">
        <f aca="false">IF(AND(_slice!$H$5=1,U$40&gt;=_slice!$H$6-0.000000001,U$40&lt;=_slice!$I$6+0.000000001,$B50&gt;=_slice!$H$7-0.000000001,$B50&lt;=_slice!$I$7+0.000000001,IF(01_因子設定!$B$20="Box-Behnken",U$40^2+$B50^2+_slice!$H$8&lt;=2+0.000000001,TRUE())),IF(01_因子設定!$B$13="最大化",(_slice!U82-04_回帰ANOVA!$K$19*04_回帰ANOVA!$K$14*SQRT(1+_slice!U107))-01_因子設定!$B$14,IF(01_因子設定!$B$13="最小化",01_因子設定!$B$15-(_slice!U82+04_回帰ANOVA!$K$19*04_回帰ANOVA!$K$14*SQRT(1+_slice!U107)),MIN((_slice!U82-04_回帰ANOVA!$K$19*04_回帰ANOVA!$K$14*SQRT(1+_slice!U107))-01_因子設定!$B$14,01_因子設定!$B$15-(_slice!U82+04_回帰ANOVA!$K$19*04_回帰ANOVA!$K$14*SQRT(1+_slice!U107))))),"外")</f>
        <v>0.248285576708135</v>
      </c>
      <c r="V50" s="50" t="n">
        <f aca="false">IF(AND(_slice!$H$5=1,V$40&gt;=_slice!$H$6-0.000000001,V$40&lt;=_slice!$I$6+0.000000001,$B50&gt;=_slice!$H$7-0.000000001,$B50&lt;=_slice!$I$7+0.000000001,IF(01_因子設定!$B$20="Box-Behnken",V$40^2+$B50^2+_slice!$H$8&lt;=2+0.000000001,TRUE())),IF(01_因子設定!$B$13="最大化",(_slice!V82-04_回帰ANOVA!$K$19*04_回帰ANOVA!$K$14*SQRT(1+_slice!V107))-01_因子設定!$B$14,IF(01_因子設定!$B$13="最小化",01_因子設定!$B$15-(_slice!V82+04_回帰ANOVA!$K$19*04_回帰ANOVA!$K$14*SQRT(1+_slice!V107)),MIN((_slice!V82-04_回帰ANOVA!$K$19*04_回帰ANOVA!$K$14*SQRT(1+_slice!V107))-01_因子設定!$B$14,01_因子設定!$B$15-(_slice!V82+04_回帰ANOVA!$K$19*04_回帰ANOVA!$K$14*SQRT(1+_slice!V107))))),"外")</f>
        <v>0.0718757211064443</v>
      </c>
      <c r="W50" s="50" t="n">
        <f aca="false">IF(AND(_slice!$H$5=1,W$40&gt;=_slice!$H$6-0.000000001,W$40&lt;=_slice!$I$6+0.000000001,$B50&gt;=_slice!$H$7-0.000000001,$B50&lt;=_slice!$I$7+0.000000001,IF(01_因子設定!$B$20="Box-Behnken",W$40^2+$B50^2+_slice!$H$8&lt;=2+0.000000001,TRUE())),IF(01_因子設定!$B$13="最大化",(_slice!W82-04_回帰ANOVA!$K$19*04_回帰ANOVA!$K$14*SQRT(1+_slice!W107))-01_因子設定!$B$14,IF(01_因子設定!$B$13="最小化",01_因子設定!$B$15-(_slice!W82+04_回帰ANOVA!$K$19*04_回帰ANOVA!$K$14*SQRT(1+_slice!W107)),MIN((_slice!W82-04_回帰ANOVA!$K$19*04_回帰ANOVA!$K$14*SQRT(1+_slice!W107))-01_因子設定!$B$14,01_因子設定!$B$15-(_slice!W82+04_回帰ANOVA!$K$19*04_回帰ANOVA!$K$14*SQRT(1+_slice!W107))))),"外")</f>
        <v>-0.166314714815321</v>
      </c>
    </row>
    <row r="51" customFormat="false" ht="15" hidden="false" customHeight="false" outlineLevel="0" collapsed="false">
      <c r="A51" s="49" t="n">
        <f aca="false">INDEX(01_因子設定!$G$5:$G$7,$C$5)+B51*INDEX(01_因子設定!$H$5:$H$7,$C$5)</f>
        <v>31</v>
      </c>
      <c r="B51" s="49" t="n">
        <v>0.1</v>
      </c>
      <c r="C51" s="50" t="n">
        <f aca="false">IF(AND(_slice!$H$5=1,C$40&gt;=_slice!$H$6-0.000000001,C$40&lt;=_slice!$I$6+0.000000001,$B51&gt;=_slice!$H$7-0.000000001,$B51&lt;=_slice!$I$7+0.000000001,IF(01_因子設定!$B$20="Box-Behnken",C$40^2+$B51^2+_slice!$H$8&lt;=2+0.000000001,TRUE())),IF(01_因子設定!$B$13="最大化",(_slice!C83-04_回帰ANOVA!$K$19*04_回帰ANOVA!$K$14*SQRT(1+_slice!C108))-01_因子設定!$B$14,IF(01_因子設定!$B$13="最小化",01_因子設定!$B$15-(_slice!C83+04_回帰ANOVA!$K$19*04_回帰ANOVA!$K$14*SQRT(1+_slice!C108)),MIN((_slice!C83-04_回帰ANOVA!$K$19*04_回帰ANOVA!$K$14*SQRT(1+_slice!C108))-01_因子設定!$B$14,01_因子設定!$B$15-(_slice!C83+04_回帰ANOVA!$K$19*04_回帰ANOVA!$K$14*SQRT(1+_slice!C108))))),"外")</f>
        <v>-5.7626586707978</v>
      </c>
      <c r="D51" s="50" t="n">
        <f aca="false">IF(AND(_slice!$H$5=1,D$40&gt;=_slice!$H$6-0.000000001,D$40&lt;=_slice!$I$6+0.000000001,$B51&gt;=_slice!$H$7-0.000000001,$B51&lt;=_slice!$I$7+0.000000001,IF(01_因子設定!$B$20="Box-Behnken",D$40^2+$B51^2+_slice!$H$8&lt;=2+0.000000001,TRUE())),IF(01_因子設定!$B$13="最大化",(_slice!D83-04_回帰ANOVA!$K$19*04_回帰ANOVA!$K$14*SQRT(1+_slice!D108))-01_因子設定!$B$14,IF(01_因子設定!$B$13="最小化",01_因子設定!$B$15-(_slice!D83+04_回帰ANOVA!$K$19*04_回帰ANOVA!$K$14*SQRT(1+_slice!D108)),MIN((_slice!D83-04_回帰ANOVA!$K$19*04_回帰ANOVA!$K$14*SQRT(1+_slice!D108))-01_因子設定!$B$14,01_因子設定!$B$15-(_slice!D83+04_回帰ANOVA!$K$19*04_回帰ANOVA!$K$14*SQRT(1+_slice!D108))))),"外")</f>
        <v>-4.98221781649203</v>
      </c>
      <c r="E51" s="50" t="n">
        <f aca="false">IF(AND(_slice!$H$5=1,E$40&gt;=_slice!$H$6-0.000000001,E$40&lt;=_slice!$I$6+0.000000001,$B51&gt;=_slice!$H$7-0.000000001,$B51&lt;=_slice!$I$7+0.000000001,IF(01_因子設定!$B$20="Box-Behnken",E$40^2+$B51^2+_slice!$H$8&lt;=2+0.000000001,TRUE())),IF(01_因子設定!$B$13="最大化",(_slice!E83-04_回帰ANOVA!$K$19*04_回帰ANOVA!$K$14*SQRT(1+_slice!E108))-01_因子設定!$B$14,IF(01_因子設定!$B$13="最小化",01_因子設定!$B$15-(_slice!E83+04_回帰ANOVA!$K$19*04_回帰ANOVA!$K$14*SQRT(1+_slice!E108)),MIN((_slice!E83-04_回帰ANOVA!$K$19*04_回帰ANOVA!$K$14*SQRT(1+_slice!E108))-01_因子設定!$B$14,01_因子設定!$B$15-(_slice!E83+04_回帰ANOVA!$K$19*04_回帰ANOVA!$K$14*SQRT(1+_slice!E108))))),"外")</f>
        <v>-4.26355479691931</v>
      </c>
      <c r="F51" s="50" t="n">
        <f aca="false">IF(AND(_slice!$H$5=1,F$40&gt;=_slice!$H$6-0.000000001,F$40&lt;=_slice!$I$6+0.000000001,$B51&gt;=_slice!$H$7-0.000000001,$B51&lt;=_slice!$I$7+0.000000001,IF(01_因子設定!$B$20="Box-Behnken",F$40^2+$B51^2+_slice!$H$8&lt;=2+0.000000001,TRUE())),IF(01_因子設定!$B$13="最大化",(_slice!F83-04_回帰ANOVA!$K$19*04_回帰ANOVA!$K$14*SQRT(1+_slice!F108))-01_因子設定!$B$14,IF(01_因子設定!$B$13="最小化",01_因子設定!$B$15-(_slice!F83+04_回帰ANOVA!$K$19*04_回帰ANOVA!$K$14*SQRT(1+_slice!F108)),MIN((_slice!F83-04_回帰ANOVA!$K$19*04_回帰ANOVA!$K$14*SQRT(1+_slice!F108))-01_因子設定!$B$14,01_因子設定!$B$15-(_slice!F83+04_回帰ANOVA!$K$19*04_回帰ANOVA!$K$14*SQRT(1+_slice!F108))))),"外")</f>
        <v>-3.60473152671173</v>
      </c>
      <c r="G51" s="50" t="n">
        <f aca="false">IF(AND(_slice!$H$5=1,G$40&gt;=_slice!$H$6-0.000000001,G$40&lt;=_slice!$I$6+0.000000001,$B51&gt;=_slice!$H$7-0.000000001,$B51&lt;=_slice!$I$7+0.000000001,IF(01_因子設定!$B$20="Box-Behnken",G$40^2+$B51^2+_slice!$H$8&lt;=2+0.000000001,TRUE())),IF(01_因子設定!$B$13="最大化",(_slice!G83-04_回帰ANOVA!$K$19*04_回帰ANOVA!$K$14*SQRT(1+_slice!G108))-01_因子設定!$B$14,IF(01_因子設定!$B$13="最小化",01_因子設定!$B$15-(_slice!G83+04_回帰ANOVA!$K$19*04_回帰ANOVA!$K$14*SQRT(1+_slice!G108)),MIN((_slice!G83-04_回帰ANOVA!$K$19*04_回帰ANOVA!$K$14*SQRT(1+_slice!G108))-01_因子設定!$B$14,01_因子設定!$B$15-(_slice!G83+04_回帰ANOVA!$K$19*04_回帰ANOVA!$K$14*SQRT(1+_slice!G108))))),"外")</f>
        <v>-3.00365548276378</v>
      </c>
      <c r="H51" s="50" t="n">
        <f aca="false">IF(AND(_slice!$H$5=1,H$40&gt;=_slice!$H$6-0.000000001,H$40&lt;=_slice!$I$6+0.000000001,$B51&gt;=_slice!$H$7-0.000000001,$B51&lt;=_slice!$I$7+0.000000001,IF(01_因子設定!$B$20="Box-Behnken",H$40^2+$B51^2+_slice!$H$8&lt;=2+0.000000001,TRUE())),IF(01_因子設定!$B$13="最大化",(_slice!H83-04_回帰ANOVA!$K$19*04_回帰ANOVA!$K$14*SQRT(1+_slice!H108))-01_因子設定!$B$14,IF(01_因子設定!$B$13="最小化",01_因子設定!$B$15-(_slice!H83+04_回帰ANOVA!$K$19*04_回帰ANOVA!$K$14*SQRT(1+_slice!H108)),MIN((_slice!H83-04_回帰ANOVA!$K$19*04_回帰ANOVA!$K$14*SQRT(1+_slice!H108))-01_因子設定!$B$14,01_因子設定!$B$15-(_slice!H83+04_回帰ANOVA!$K$19*04_回帰ANOVA!$K$14*SQRT(1+_slice!H108))))),"外")</f>
        <v>-2.45825212389037</v>
      </c>
      <c r="I51" s="50" t="n">
        <f aca="false">IF(AND(_slice!$H$5=1,I$40&gt;=_slice!$H$6-0.000000001,I$40&lt;=_slice!$I$6+0.000000001,$B51&gt;=_slice!$H$7-0.000000001,$B51&lt;=_slice!$I$7+0.000000001,IF(01_因子設定!$B$20="Box-Behnken",I$40^2+$B51^2+_slice!$H$8&lt;=2+0.000000001,TRUE())),IF(01_因子設定!$B$13="最大化",(_slice!I83-04_回帰ANOVA!$K$19*04_回帰ANOVA!$K$14*SQRT(1+_slice!I108))-01_因子設定!$B$14,IF(01_因子設定!$B$13="最小化",01_因子設定!$B$15-(_slice!I83+04_回帰ANOVA!$K$19*04_回帰ANOVA!$K$14*SQRT(1+_slice!I108)),MIN((_slice!I83-04_回帰ANOVA!$K$19*04_回帰ANOVA!$K$14*SQRT(1+_slice!I108))-01_因子設定!$B$14,01_因子設定!$B$15-(_slice!I83+04_回帰ANOVA!$K$19*04_回帰ANOVA!$K$14*SQRT(1+_slice!I108))))),"外")</f>
        <v>-1.96661363228203</v>
      </c>
      <c r="J51" s="50" t="n">
        <f aca="false">IF(AND(_slice!$H$5=1,J$40&gt;=_slice!$H$6-0.000000001,J$40&lt;=_slice!$I$6+0.000000001,$B51&gt;=_slice!$H$7-0.000000001,$B51&lt;=_slice!$I$7+0.000000001,IF(01_因子設定!$B$20="Box-Behnken",J$40^2+$B51^2+_slice!$H$8&lt;=2+0.000000001,TRUE())),IF(01_因子設定!$B$13="最大化",(_slice!J83-04_回帰ANOVA!$K$19*04_回帰ANOVA!$K$14*SQRT(1+_slice!J108))-01_因子設定!$B$14,IF(01_因子設定!$B$13="最小化",01_因子設定!$B$15-(_slice!J83+04_回帰ANOVA!$K$19*04_回帰ANOVA!$K$14*SQRT(1+_slice!J108)),MIN((_slice!J83-04_回帰ANOVA!$K$19*04_回帰ANOVA!$K$14*SQRT(1+_slice!J108))-01_因子設定!$B$14,01_因子設定!$B$15-(_slice!J83+04_回帰ANOVA!$K$19*04_回帰ANOVA!$K$14*SQRT(1+_slice!J108))))),"外")</f>
        <v>-1.52710505953827</v>
      </c>
      <c r="K51" s="50" t="n">
        <f aca="false">IF(AND(_slice!$H$5=1,K$40&gt;=_slice!$H$6-0.000000001,K$40&lt;=_slice!$I$6+0.000000001,$B51&gt;=_slice!$H$7-0.000000001,$B51&lt;=_slice!$I$7+0.000000001,IF(01_因子設定!$B$20="Box-Behnken",K$40^2+$B51^2+_slice!$H$8&lt;=2+0.000000001,TRUE())),IF(01_因子設定!$B$13="最大化",(_slice!K83-04_回帰ANOVA!$K$19*04_回帰ANOVA!$K$14*SQRT(1+_slice!K108))-01_因子設定!$B$14,IF(01_因子設定!$B$13="最小化",01_因子設定!$B$15-(_slice!K83+04_回帰ANOVA!$K$19*04_回帰ANOVA!$K$14*SQRT(1+_slice!K108)),MIN((_slice!K83-04_回帰ANOVA!$K$19*04_回帰ANOVA!$K$14*SQRT(1+_slice!K108))-01_因子設定!$B$14,01_因子設定!$B$15-(_slice!K83+04_回帰ANOVA!$K$19*04_回帰ANOVA!$K$14*SQRT(1+_slice!K108))))),"外")</f>
        <v>-1.13842687707438</v>
      </c>
      <c r="L51" s="50" t="n">
        <f aca="false">IF(AND(_slice!$H$5=1,L$40&gt;=_slice!$H$6-0.000000001,L$40&lt;=_slice!$I$6+0.000000001,$B51&gt;=_slice!$H$7-0.000000001,$B51&lt;=_slice!$I$7+0.000000001,IF(01_因子設定!$B$20="Box-Behnken",L$40^2+$B51^2+_slice!$H$8&lt;=2+0.000000001,TRUE())),IF(01_因子設定!$B$13="最大化",(_slice!L83-04_回帰ANOVA!$K$19*04_回帰ANOVA!$K$14*SQRT(1+_slice!L108))-01_因子設定!$B$14,IF(01_因子設定!$B$13="最小化",01_因子設定!$B$15-(_slice!L83+04_回帰ANOVA!$K$19*04_回帰ANOVA!$K$14*SQRT(1+_slice!L108)),MIN((_slice!L83-04_回帰ANOVA!$K$19*04_回帰ANOVA!$K$14*SQRT(1+_slice!L108))-01_因子設定!$B$14,01_因子設定!$B$15-(_slice!L83+04_回帰ANOVA!$K$19*04_回帰ANOVA!$K$14*SQRT(1+_slice!L108))))),"外")</f>
        <v>-0.799644107259532</v>
      </c>
      <c r="M51" s="50" t="n">
        <f aca="false">IF(AND(_slice!$H$5=1,M$40&gt;=_slice!$H$6-0.000000001,M$40&lt;=_slice!$I$6+0.000000001,$B51&gt;=_slice!$H$7-0.000000001,$B51&lt;=_slice!$I$7+0.000000001,IF(01_因子設定!$B$20="Box-Behnken",M$40^2+$B51^2+_slice!$H$8&lt;=2+0.000000001,TRUE())),IF(01_因子設定!$B$13="最大化",(_slice!M83-04_回帰ANOVA!$K$19*04_回帰ANOVA!$K$14*SQRT(1+_slice!M108))-01_因子設定!$B$14,IF(01_因子設定!$B$13="最小化",01_因子設定!$B$15-(_slice!M83+04_回帰ANOVA!$K$19*04_回帰ANOVA!$K$14*SQRT(1+_slice!M108)),MIN((_slice!M83-04_回帰ANOVA!$K$19*04_回帰ANOVA!$K$14*SQRT(1+_slice!M108))-01_因子設定!$B$14,01_因子設定!$B$15-(_slice!M83+04_回帰ANOVA!$K$19*04_回帰ANOVA!$K$14*SQRT(1+_slice!M108))))),"外")</f>
        <v>-0.510195481824916</v>
      </c>
      <c r="N51" s="50" t="n">
        <f aca="false">IF(AND(_slice!$H$5=1,N$40&gt;=_slice!$H$6-0.000000001,N$40&lt;=_slice!$I$6+0.000000001,$B51&gt;=_slice!$H$7-0.000000001,$B51&lt;=_slice!$I$7+0.000000001,IF(01_因子設定!$B$20="Box-Behnken",N$40^2+$B51^2+_slice!$H$8&lt;=2+0.000000001,TRUE())),IF(01_因子設定!$B$13="最大化",(_slice!N83-04_回帰ANOVA!$K$19*04_回帰ANOVA!$K$14*SQRT(1+_slice!N108))-01_因子設定!$B$14,IF(01_因子設定!$B$13="最小化",01_因子設定!$B$15-(_slice!N83+04_回帰ANOVA!$K$19*04_回帰ANOVA!$K$14*SQRT(1+_slice!N108)),MIN((_slice!N83-04_回帰ANOVA!$K$19*04_回帰ANOVA!$K$14*SQRT(1+_slice!N108))-01_因子設定!$B$14,01_因子設定!$B$15-(_slice!N83+04_回帰ANOVA!$K$19*04_回帰ANOVA!$K$14*SQRT(1+_slice!N108))))),"外")</f>
        <v>-0.269894107259525</v>
      </c>
      <c r="O51" s="50" t="n">
        <f aca="false">IF(AND(_slice!$H$5=1,O$40&gt;=_slice!$H$6-0.000000001,O$40&lt;=_slice!$I$6+0.000000001,$B51&gt;=_slice!$H$7-0.000000001,$B51&lt;=_slice!$I$7+0.000000001,IF(01_因子設定!$B$20="Box-Behnken",O$40^2+$B51^2+_slice!$H$8&lt;=2+0.000000001,TRUE())),IF(01_因子設定!$B$13="最大化",(_slice!O83-04_回帰ANOVA!$K$19*04_回帰ANOVA!$K$14*SQRT(1+_slice!O108))-01_因子設定!$B$14,IF(01_因子設定!$B$13="最小化",01_因子設定!$B$15-(_slice!O83+04_回帰ANOVA!$K$19*04_回帰ANOVA!$K$14*SQRT(1+_slice!O108)),MIN((_slice!O83-04_回帰ANOVA!$K$19*04_回帰ANOVA!$K$14*SQRT(1+_slice!O108))-01_因子設定!$B$14,01_因子設定!$B$15-(_slice!O83+04_回帰ANOVA!$K$19*04_回帰ANOVA!$K$14*SQRT(1+_slice!O108))))),"外")</f>
        <v>-0.0789268770743661</v>
      </c>
      <c r="P51" s="50" t="n">
        <f aca="false">IF(AND(_slice!$H$5=1,P$40&gt;=_slice!$H$6-0.000000001,P$40&lt;=_slice!$I$6+0.000000001,$B51&gt;=_slice!$H$7-0.000000001,$B51&lt;=_slice!$I$7+0.000000001,IF(01_因子設定!$B$20="Box-Behnken",P$40^2+$B51^2+_slice!$H$8&lt;=2+0.000000001,TRUE())),IF(01_因子設定!$B$13="最大化",(_slice!P83-04_回帰ANOVA!$K$19*04_回帰ANOVA!$K$14*SQRT(1+_slice!P108))-01_因子設定!$B$14,IF(01_因子設定!$B$13="最小化",01_因子設定!$B$15-(_slice!P83+04_回帰ANOVA!$K$19*04_回帰ANOVA!$K$14*SQRT(1+_slice!P108)),MIN((_slice!P83-04_回帰ANOVA!$K$19*04_回帰ANOVA!$K$14*SQRT(1+_slice!P108))-01_因子設定!$B$14,01_因子設定!$B$15-(_slice!P83+04_回帰ANOVA!$K$19*04_回帰ANOVA!$K$14*SQRT(1+_slice!P108))))),"外")</f>
        <v>0.0621449404617209</v>
      </c>
      <c r="Q51" s="50" t="n">
        <f aca="false">IF(AND(_slice!$H$5=1,Q$40&gt;=_slice!$H$6-0.000000001,Q$40&lt;=_slice!$I$6+0.000000001,$B51&gt;=_slice!$H$7-0.000000001,$B51&lt;=_slice!$I$7+0.000000001,IF(01_因子設定!$B$20="Box-Behnken",Q$40^2+$B51^2+_slice!$H$8&lt;=2+0.000000001,TRUE())),IF(01_因子設定!$B$13="最大化",(_slice!Q83-04_回帰ANOVA!$K$19*04_回帰ANOVA!$K$14*SQRT(1+_slice!Q108))-01_因子設定!$B$14,IF(01_因子設定!$B$13="最小化",01_因子設定!$B$15-(_slice!Q83+04_回帰ANOVA!$K$19*04_回帰ANOVA!$K$14*SQRT(1+_slice!Q108)),MIN((_slice!Q83-04_回帰ANOVA!$K$19*04_回帰ANOVA!$K$14*SQRT(1+_slice!Q108))-01_因子設定!$B$14,01_因子設定!$B$15-(_slice!Q83+04_回帰ANOVA!$K$19*04_回帰ANOVA!$K$14*SQRT(1+_slice!Q108))))),"外")</f>
        <v>0.152386367717966</v>
      </c>
      <c r="R51" s="50" t="n">
        <f aca="false">IF(AND(_slice!$H$5=1,R$40&gt;=_slice!$H$6-0.000000001,R$40&lt;=_slice!$I$6+0.000000001,$B51&gt;=_slice!$H$7-0.000000001,$B51&lt;=_slice!$I$7+0.000000001,IF(01_因子設定!$B$20="Box-Behnken",R$40^2+$B51^2+_slice!$H$8&lt;=2+0.000000001,TRUE())),IF(01_因子設定!$B$13="最大化",(_slice!R83-04_回帰ANOVA!$K$19*04_回帰ANOVA!$K$14*SQRT(1+_slice!R108))-01_因子設定!$B$14,IF(01_因子設定!$B$13="最小化",01_因子設定!$B$15-(_slice!R83+04_回帰ANOVA!$K$19*04_回帰ANOVA!$K$14*SQRT(1+_slice!R108)),MIN((_slice!R83-04_回帰ANOVA!$K$19*04_回帰ANOVA!$K$14*SQRT(1+_slice!R108))-01_因子設定!$B$14,01_因子設定!$B$15-(_slice!R83+04_回帰ANOVA!$K$19*04_回帰ANOVA!$K$14*SQRT(1+_slice!R108))))),"外")</f>
        <v>0.190497876109639</v>
      </c>
      <c r="S51" s="50" t="n">
        <f aca="false">IF(AND(_slice!$H$5=1,S$40&gt;=_slice!$H$6-0.000000001,S$40&lt;=_slice!$I$6+0.000000001,$B51&gt;=_slice!$H$7-0.000000001,$B51&lt;=_slice!$I$7+0.000000001,IF(01_因子設定!$B$20="Box-Behnken",S$40^2+$B51^2+_slice!$H$8&lt;=2+0.000000001,TRUE())),IF(01_因子設定!$B$13="最大化",(_slice!S83-04_回帰ANOVA!$K$19*04_回帰ANOVA!$K$14*SQRT(1+_slice!S108))-01_因子設定!$B$14,IF(01_因子設定!$B$13="最小化",01_因子設定!$B$15-(_slice!S83+04_回帰ANOVA!$K$19*04_回帰ANOVA!$K$14*SQRT(1+_slice!S108)),MIN((_slice!S83-04_回帰ANOVA!$K$19*04_回帰ANOVA!$K$14*SQRT(1+_slice!S108))-01_因子設定!$B$14,01_因子設定!$B$15-(_slice!S83+04_回帰ANOVA!$K$19*04_回帰ANOVA!$K$14*SQRT(1+_slice!S108))))),"外")</f>
        <v>0.174844517236238</v>
      </c>
      <c r="T51" s="50" t="n">
        <f aca="false">IF(AND(_slice!$H$5=1,T$40&gt;=_slice!$H$6-0.000000001,T$40&lt;=_slice!$I$6+0.000000001,$B51&gt;=_slice!$H$7-0.000000001,$B51&lt;=_slice!$I$7+0.000000001,IF(01_因子設定!$B$20="Box-Behnken",T$40^2+$B51^2+_slice!$H$8&lt;=2+0.000000001,TRUE())),IF(01_因子設定!$B$13="最大化",(_slice!T83-04_回帰ANOVA!$K$19*04_回帰ANOVA!$K$14*SQRT(1+_slice!T108))-01_因子設定!$B$14,IF(01_因子設定!$B$13="最小化",01_因子設定!$B$15-(_slice!T83+04_回帰ANOVA!$K$19*04_回帰ANOVA!$K$14*SQRT(1+_slice!T108)),MIN((_slice!T83-04_回帰ANOVA!$K$19*04_回帰ANOVA!$K$14*SQRT(1+_slice!T108))-01_因子設定!$B$14,01_因子設定!$B$15-(_slice!T83+04_回帰ANOVA!$K$19*04_回帰ANOVA!$K$14*SQRT(1+_slice!T108))))),"外")</f>
        <v>0.103518473288261</v>
      </c>
      <c r="U51" s="50" t="n">
        <f aca="false">IF(AND(_slice!$H$5=1,U$40&gt;=_slice!$H$6-0.000000001,U$40&lt;=_slice!$I$6+0.000000001,$B51&gt;=_slice!$H$7-0.000000001,$B51&lt;=_slice!$I$7+0.000000001,IF(01_因子設定!$B$20="Box-Behnken",U$40^2+$B51^2+_slice!$H$8&lt;=2+0.000000001,TRUE())),IF(01_因子設定!$B$13="最大化",(_slice!U83-04_回帰ANOVA!$K$19*04_回帰ANOVA!$K$14*SQRT(1+_slice!U108))-01_因子設定!$B$14,IF(01_因子設定!$B$13="最小化",01_因子設定!$B$15-(_slice!U83+04_回帰ANOVA!$K$19*04_回帰ANOVA!$K$14*SQRT(1+_slice!U108)),MIN((_slice!U83-04_回帰ANOVA!$K$19*04_回帰ANOVA!$K$14*SQRT(1+_slice!U108))-01_因子設定!$B$14,01_因子設定!$B$15-(_slice!U83+04_回帰ANOVA!$K$19*04_回帰ANOVA!$K$14*SQRT(1+_slice!U108))))),"外")</f>
        <v>-0.0255547969193088</v>
      </c>
      <c r="V51" s="50" t="n">
        <f aca="false">IF(AND(_slice!$H$5=1,V$40&gt;=_slice!$H$6-0.000000001,V$40&lt;=_slice!$I$6+0.000000001,$B51&gt;=_slice!$H$7-0.000000001,$B51&lt;=_slice!$I$7+0.000000001,IF(01_因子設定!$B$20="Box-Behnken",V$40^2+$B51^2+_slice!$H$8&lt;=2+0.000000001,TRUE())),IF(01_因子設定!$B$13="最大化",(_slice!V83-04_回帰ANOVA!$K$19*04_回帰ANOVA!$K$14*SQRT(1+_slice!V108))-01_因子設定!$B$14,IF(01_因子設定!$B$13="最小化",01_因子設定!$B$15-(_slice!V83+04_回帰ANOVA!$K$19*04_回帰ANOVA!$K$14*SQRT(1+_slice!V108)),MIN((_slice!V83-04_回帰ANOVA!$K$19*04_回帰ANOVA!$K$14*SQRT(1+_slice!V108))-01_因子設定!$B$14,01_因子設定!$B$15-(_slice!V83+04_回帰ANOVA!$K$19*04_回帰ANOVA!$K$14*SQRT(1+_slice!V108))))),"外")</f>
        <v>-0.214467816492025</v>
      </c>
      <c r="W51" s="50" t="n">
        <f aca="false">IF(AND(_slice!$H$5=1,W$40&gt;=_slice!$H$6-0.000000001,W$40&lt;=_slice!$I$6+0.000000001,$B51&gt;=_slice!$H$7-0.000000001,$B51&lt;=_slice!$I$7+0.000000001,IF(01_因子設定!$B$20="Box-Behnken",W$40^2+$B51^2+_slice!$H$8&lt;=2+0.000000001,TRUE())),IF(01_因子設定!$B$13="最大化",(_slice!W83-04_回帰ANOVA!$K$19*04_回帰ANOVA!$K$14*SQRT(1+_slice!W108))-01_因子設定!$B$14,IF(01_因子設定!$B$13="最小化",01_因子設定!$B$15-(_slice!W83+04_回帰ANOVA!$K$19*04_回帰ANOVA!$K$14*SQRT(1+_slice!W108)),MIN((_slice!W83-04_回帰ANOVA!$K$19*04_回帰ANOVA!$K$14*SQRT(1+_slice!W108))-01_因子設定!$B$14,01_因子設定!$B$15-(_slice!W83+04_回帰ANOVA!$K$19*04_回帰ANOVA!$K$14*SQRT(1+_slice!W108))))),"外")</f>
        <v>-0.465158670797784</v>
      </c>
    </row>
    <row r="52" customFormat="false" ht="15" hidden="false" customHeight="false" outlineLevel="0" collapsed="false">
      <c r="A52" s="49" t="n">
        <f aca="false">INDEX(01_因子設定!$G$5:$G$7,$C$5)+B52*INDEX(01_因子設定!$H$5:$H$7,$C$5)</f>
        <v>30</v>
      </c>
      <c r="B52" s="49" t="n">
        <v>0</v>
      </c>
      <c r="C52" s="50" t="n">
        <f aca="false">IF(AND(_slice!$H$5=1,C$40&gt;=_slice!$H$6-0.000000001,C$40&lt;=_slice!$I$6+0.000000001,$B52&gt;=_slice!$H$7-0.000000001,$B52&lt;=_slice!$I$7+0.000000001,IF(01_因子設定!$B$20="Box-Behnken",C$40^2+$B52^2+_slice!$H$8&lt;=2+0.000000001,TRUE())),IF(01_因子設定!$B$13="最大化",(_slice!C84-04_回帰ANOVA!$K$19*04_回帰ANOVA!$K$14*SQRT(1+_slice!C109))-01_因子設定!$B$14,IF(01_因子設定!$B$13="最小化",01_因子設定!$B$15-(_slice!C84+04_回帰ANOVA!$K$19*04_回帰ANOVA!$K$14*SQRT(1+_slice!C109)),MIN((_slice!C84-04_回帰ANOVA!$K$19*04_回帰ANOVA!$K$14*SQRT(1+_slice!C109))-01_因子設定!$B$14,01_因子設定!$B$15-(_slice!C84+04_回帰ANOVA!$K$19*04_回帰ANOVA!$K$14*SQRT(1+_slice!C109))))),"外")</f>
        <v>-5.85574453221778</v>
      </c>
      <c r="D52" s="50" t="n">
        <f aca="false">IF(AND(_slice!$H$5=1,D$40&gt;=_slice!$H$6-0.000000001,D$40&lt;=_slice!$I$6+0.000000001,$B52&gt;=_slice!$H$7-0.000000001,$B52&lt;=_slice!$I$7+0.000000001,IF(01_因子設定!$B$20="Box-Behnken",D$40^2+$B52^2+_slice!$H$8&lt;=2+0.000000001,TRUE())),IF(01_因子設定!$B$13="最大化",(_slice!D84-04_回帰ANOVA!$K$19*04_回帰ANOVA!$K$14*SQRT(1+_slice!D109))-01_因子設定!$B$14,IF(01_因子設定!$B$13="最小化",01_因子設定!$B$15-(_slice!D84+04_回帰ANOVA!$K$19*04_回帰ANOVA!$K$14*SQRT(1+_slice!D109)),MIN((_slice!D84-04_回帰ANOVA!$K$19*04_回帰ANOVA!$K$14*SQRT(1+_slice!D109))-01_因子設定!$B$14,01_因子設定!$B$15-(_slice!D84+04_回帰ANOVA!$K$19*04_回帰ANOVA!$K$14*SQRT(1+_slice!D109))))),"外")</f>
        <v>-5.08747264870232</v>
      </c>
      <c r="E52" s="50" t="n">
        <f aca="false">IF(AND(_slice!$H$5=1,E$40&gt;=_slice!$H$6-0.000000001,E$40&lt;=_slice!$I$6+0.000000001,$B52&gt;=_slice!$H$7-0.000000001,$B52&lt;=_slice!$I$7+0.000000001,IF(01_因子設定!$B$20="Box-Behnken",E$40^2+$B52^2+_slice!$H$8&lt;=2+0.000000001,TRUE())),IF(01_因子設定!$B$13="最大化",(_slice!E84-04_回帰ANOVA!$K$19*04_回帰ANOVA!$K$14*SQRT(1+_slice!E109))-01_因子設定!$B$14,IF(01_因子設定!$B$13="最小化",01_因子設定!$B$15-(_slice!E84+04_回帰ANOVA!$K$19*04_回帰ANOVA!$K$14*SQRT(1+_slice!E109)),MIN((_slice!E84-04_回帰ANOVA!$K$19*04_回帰ANOVA!$K$14*SQRT(1+_slice!E109))-01_因子設定!$B$14,01_因子設定!$B$15-(_slice!E84+04_回帰ANOVA!$K$19*04_回帰ANOVA!$K$14*SQRT(1+_slice!E109))))),"外")</f>
        <v>-4.38097718082548</v>
      </c>
      <c r="F52" s="50" t="n">
        <f aca="false">IF(AND(_slice!$H$5=1,F$40&gt;=_slice!$H$6-0.000000001,F$40&lt;=_slice!$I$6+0.000000001,$B52&gt;=_slice!$H$7-0.000000001,$B52&lt;=_slice!$I$7+0.000000001,IF(01_因子設定!$B$20="Box-Behnken",F$40^2+$B52^2+_slice!$H$8&lt;=2+0.000000001,TRUE())),IF(01_因子設定!$B$13="最大化",(_slice!F84-04_回帰ANOVA!$K$19*04_回帰ANOVA!$K$14*SQRT(1+_slice!F109))-01_因子設定!$B$14,IF(01_因子設定!$B$13="最小化",01_因子設定!$B$15-(_slice!F84+04_回帰ANOVA!$K$19*04_回帰ANOVA!$K$14*SQRT(1+_slice!F109)),MIN((_slice!F84-04_回帰ANOVA!$K$19*04_回帰ANOVA!$K$14*SQRT(1+_slice!F109))-01_因子設定!$B$14,01_因子設定!$B$15-(_slice!F84+04_回帰ANOVA!$K$19*04_回帰ANOVA!$K$14*SQRT(1+_slice!F109))))),"外")</f>
        <v>-3.73432374017375</v>
      </c>
      <c r="G52" s="50" t="n">
        <f aca="false">IF(AND(_slice!$H$5=1,G$40&gt;=_slice!$H$6-0.000000001,G$40&lt;=_slice!$I$6+0.000000001,$B52&gt;=_slice!$H$7-0.000000001,$B52&lt;=_slice!$I$7+0.000000001,IF(01_因子設定!$B$20="Box-Behnken",G$40^2+$B52^2+_slice!$H$8&lt;=2+0.000000001,TRUE())),IF(01_因子設定!$B$13="最大化",(_slice!G84-04_回帰ANOVA!$K$19*04_回帰ANOVA!$K$14*SQRT(1+_slice!G109))-01_因子設定!$B$14,IF(01_因子設定!$B$13="最小化",01_因子設定!$B$15-(_slice!G84+04_回帰ANOVA!$K$19*04_回帰ANOVA!$K$14*SQRT(1+_slice!G109)),MIN((_slice!G84-04_回帰ANOVA!$K$19*04_回帰ANOVA!$K$14*SQRT(1+_slice!G109))-01_因子設定!$B$14,01_因子設定!$B$15-(_slice!G84+04_回帰ANOVA!$K$19*04_回帰ANOVA!$K$14*SQRT(1+_slice!G109))))),"外")</f>
        <v>-3.14542322196625</v>
      </c>
      <c r="H52" s="50" t="n">
        <f aca="false">IF(AND(_slice!$H$5=1,H$40&gt;=_slice!$H$6-0.000000001,H$40&lt;=_slice!$I$6+0.000000001,$B52&gt;=_slice!$H$7-0.000000001,$B52&lt;=_slice!$I$7+0.000000001,IF(01_因子設定!$B$20="Box-Behnken",H$40^2+$B52^2+_slice!$H$8&lt;=2+0.000000001,TRUE())),IF(01_因子設定!$B$13="最大化",(_slice!H84-04_回帰ANOVA!$K$19*04_回帰ANOVA!$K$14*SQRT(1+_slice!H109))-01_因子設定!$B$14,IF(01_因子設定!$B$13="最小化",01_因子設定!$B$15-(_slice!H84+04_回帰ANOVA!$K$19*04_回帰ANOVA!$K$14*SQRT(1+_slice!H109)),MIN((_slice!H84-04_回帰ANOVA!$K$19*04_回帰ANOVA!$K$14*SQRT(1+_slice!H109))-01_因子設定!$B$14,01_因子設定!$B$15-(_slice!H84+04_回帰ANOVA!$K$19*04_回帰ANOVA!$K$14*SQRT(1+_slice!H109))))),"外")</f>
        <v>-2.61220384319776</v>
      </c>
      <c r="I52" s="50" t="n">
        <f aca="false">IF(AND(_slice!$H$5=1,I$40&gt;=_slice!$H$6-0.000000001,I$40&lt;=_slice!$I$6+0.000000001,$B52&gt;=_slice!$H$7-0.000000001,$B52&lt;=_slice!$I$7+0.000000001,IF(01_因子設定!$B$20="Box-Behnken",I$40^2+$B52^2+_slice!$H$8&lt;=2+0.000000001,TRUE())),IF(01_因子設定!$B$13="最大化",(_slice!I84-04_回帰ANOVA!$K$19*04_回帰ANOVA!$K$14*SQRT(1+_slice!I109))-01_因子設定!$B$14,IF(01_因子設定!$B$13="最小化",01_因子設定!$B$15-(_slice!I84+04_回帰ANOVA!$K$19*04_回帰ANOVA!$K$14*SQRT(1+_slice!I109)),MIN((_slice!I84-04_回帰ANOVA!$K$19*04_回帰ANOVA!$K$14*SQRT(1+_slice!I109))-01_因子設定!$B$14,01_因子設定!$B$15-(_slice!I84+04_回帰ANOVA!$K$19*04_回帰ANOVA!$K$14*SQRT(1+_slice!I109))))),"外")</f>
        <v>-2.13275974330961</v>
      </c>
      <c r="J52" s="50" t="n">
        <f aca="false">IF(AND(_slice!$H$5=1,J$40&gt;=_slice!$H$6-0.000000001,J$40&lt;=_slice!$I$6+0.000000001,$B52&gt;=_slice!$H$7-0.000000001,$B52&lt;=_slice!$I$7+0.000000001,IF(01_因子設定!$B$20="Box-Behnken",J$40^2+$B52^2+_slice!$H$8&lt;=2+0.000000001,TRUE())),IF(01_因子設定!$B$13="最大化",(_slice!J84-04_回帰ANOVA!$K$19*04_回帰ANOVA!$K$14*SQRT(1+_slice!J109))-01_因子設定!$B$14,IF(01_因子設定!$B$13="最小化",01_因子設定!$B$15-(_slice!J84+04_回帰ANOVA!$K$19*04_回帰ANOVA!$K$14*SQRT(1+_slice!J109)),MIN((_slice!J84-04_回帰ANOVA!$K$19*04_回帰ANOVA!$K$14*SQRT(1+_slice!J109))-01_因子設定!$B$14,01_因子設定!$B$15-(_slice!J84+04_回帰ANOVA!$K$19*04_回帰ANOVA!$K$14*SQRT(1+_slice!J109))))),"外")</f>
        <v>-1.70545719505962</v>
      </c>
      <c r="K52" s="50" t="n">
        <f aca="false">IF(AND(_slice!$H$5=1,K$40&gt;=_slice!$H$6-0.000000001,K$40&lt;=_slice!$I$6+0.000000001,$B52&gt;=_slice!$H$7-0.000000001,$B52&lt;=_slice!$I$7+0.000000001,IF(01_因子設定!$B$20="Box-Behnken",K$40^2+$B52^2+_slice!$H$8&lt;=2+0.000000001,TRUE())),IF(01_因子設定!$B$13="最大化",(_slice!K84-04_回帰ANOVA!$K$19*04_回帰ANOVA!$K$14*SQRT(1+_slice!K109))-01_因子設定!$B$14,IF(01_因子設定!$B$13="最小化",01_因子設定!$B$15-(_slice!K84+04_回帰ANOVA!$K$19*04_回帰ANOVA!$K$14*SQRT(1+_slice!K109)),MIN((_slice!K84-04_回帰ANOVA!$K$19*04_回帰ANOVA!$K$14*SQRT(1+_slice!K109))-01_因子設定!$B$14,01_因子設定!$B$15-(_slice!K84+04_回帰ANOVA!$K$19*04_回帰ANOVA!$K$14*SQRT(1+_slice!K109))))),"外")</f>
        <v>-1.3289973323354</v>
      </c>
      <c r="L52" s="50" t="n">
        <f aca="false">IF(AND(_slice!$H$5=1,L$40&gt;=_slice!$H$6-0.000000001,L$40&lt;=_slice!$I$6+0.000000001,$B52&gt;=_slice!$H$7-0.000000001,$B52&lt;=_slice!$I$7+0.000000001,IF(01_因子設定!$B$20="Box-Behnken",L$40^2+$B52^2+_slice!$H$8&lt;=2+0.000000001,TRUE())),IF(01_因子設定!$B$13="最大化",(_slice!L84-04_回帰ANOVA!$K$19*04_回帰ANOVA!$K$14*SQRT(1+_slice!L109))-01_因子設定!$B$14,IF(01_因子設定!$B$13="最小化",01_因子設定!$B$15-(_slice!L84+04_回帰ANOVA!$K$19*04_回帰ANOVA!$K$14*SQRT(1+_slice!L109)),MIN((_slice!L84-04_回帰ANOVA!$K$19*04_回帰ANOVA!$K$14*SQRT(1+_slice!L109))-01_因子設定!$B$14,01_因子設定!$B$15-(_slice!L84+04_回帰ANOVA!$K$19*04_回帰ANOVA!$K$14*SQRT(1+_slice!L109))))),"外")</f>
        <v>-1.00244548182491</v>
      </c>
      <c r="M52" s="50" t="n">
        <f aca="false">IF(AND(_slice!$H$5=1,M$40&gt;=_slice!$H$6-0.000000001,M$40&lt;=_slice!$I$6+0.000000001,$B52&gt;=_slice!$H$7-0.000000001,$B52&lt;=_slice!$I$7+0.000000001,IF(01_因子設定!$B$20="Box-Behnken",M$40^2+$B52^2+_slice!$H$8&lt;=2+0.000000001,TRUE())),IF(01_因子設定!$B$13="最大化",(_slice!M84-04_回帰ANOVA!$K$19*04_回帰ANOVA!$K$14*SQRT(1+_slice!M109))-01_因子設定!$B$14,IF(01_因子設定!$B$13="最小化",01_因子設定!$B$15-(_slice!M84+04_回帰ANOVA!$K$19*04_回帰ANOVA!$K$14*SQRT(1+_slice!M109)),MIN((_slice!M84-04_回帰ANOVA!$K$19*04_回帰ANOVA!$K$14*SQRT(1+_slice!M109))-01_因子設定!$B$14,01_因子設定!$B$15-(_slice!M84+04_回帰ANOVA!$K$19*04_回帰ANOVA!$K$14*SQRT(1+_slice!M109))))),"外")</f>
        <v>-0.725240487625435</v>
      </c>
      <c r="N52" s="50" t="n">
        <f aca="false">IF(AND(_slice!$H$5=1,N$40&gt;=_slice!$H$6-0.000000001,N$40&lt;=_slice!$I$6+0.000000001,$B52&gt;=_slice!$H$7-0.000000001,$B52&lt;=_slice!$I$7+0.000000001,IF(01_因子設定!$B$20="Box-Behnken",N$40^2+$B52^2+_slice!$H$8&lt;=2+0.000000001,TRUE())),IF(01_因子設定!$B$13="最大化",(_slice!N84-04_回帰ANOVA!$K$19*04_回帰ANOVA!$K$14*SQRT(1+_slice!N109))-01_因子設定!$B$14,IF(01_因子設定!$B$13="最小化",01_因子設定!$B$15-(_slice!N84+04_回帰ANOVA!$K$19*04_回帰ANOVA!$K$14*SQRT(1+_slice!N109)),MIN((_slice!N84-04_回帰ANOVA!$K$19*04_回帰ANOVA!$K$14*SQRT(1+_slice!N109))-01_因子設定!$B$14,01_因子設定!$B$15-(_slice!N84+04_回帰ANOVA!$K$19*04_回帰ANOVA!$K$14*SQRT(1+_slice!N109))))),"外")</f>
        <v>-0.49719548182491</v>
      </c>
      <c r="O52" s="50" t="n">
        <f aca="false">IF(AND(_slice!$H$5=1,O$40&gt;=_slice!$H$6-0.000000001,O$40&lt;=_slice!$I$6+0.000000001,$B52&gt;=_slice!$H$7-0.000000001,$B52&lt;=_slice!$I$7+0.000000001,IF(01_因子設定!$B$20="Box-Behnken",O$40^2+$B52^2+_slice!$H$8&lt;=2+0.000000001,TRUE())),IF(01_因子設定!$B$13="最大化",(_slice!O84-04_回帰ANOVA!$K$19*04_回帰ANOVA!$K$14*SQRT(1+_slice!O109))-01_因子設定!$B$14,IF(01_因子設定!$B$13="最小化",01_因子設定!$B$15-(_slice!O84+04_回帰ANOVA!$K$19*04_回帰ANOVA!$K$14*SQRT(1+_slice!O109)),MIN((_slice!O84-04_回帰ANOVA!$K$19*04_回帰ANOVA!$K$14*SQRT(1+_slice!O109))-01_因子設定!$B$14,01_因子設定!$B$15-(_slice!O84+04_回帰ANOVA!$K$19*04_回帰ANOVA!$K$14*SQRT(1+_slice!O109))))),"外")</f>
        <v>-0.318497332335397</v>
      </c>
      <c r="P52" s="50" t="n">
        <f aca="false">IF(AND(_slice!$H$5=1,P$40&gt;=_slice!$H$6-0.000000001,P$40&lt;=_slice!$I$6+0.000000001,$B52&gt;=_slice!$H$7-0.000000001,$B52&lt;=_slice!$I$7+0.000000001,IF(01_因子設定!$B$20="Box-Behnken",P$40^2+$B52^2+_slice!$H$8&lt;=2+0.000000001,TRUE())),IF(01_因子設定!$B$13="最大化",(_slice!P84-04_回帰ANOVA!$K$19*04_回帰ANOVA!$K$14*SQRT(1+_slice!P109))-01_因子設定!$B$14,IF(01_因子設定!$B$13="最小化",01_因子設定!$B$15-(_slice!P84+04_回帰ANOVA!$K$19*04_回帰ANOVA!$K$14*SQRT(1+_slice!P109)),MIN((_slice!P84-04_回帰ANOVA!$K$19*04_回帰ANOVA!$K$14*SQRT(1+_slice!P109))-01_因子設定!$B$14,01_因子設定!$B$15-(_slice!P84+04_回帰ANOVA!$K$19*04_回帰ANOVA!$K$14*SQRT(1+_slice!P109))))),"外")</f>
        <v>-0.189707195059626</v>
      </c>
      <c r="Q52" s="50" t="n">
        <f aca="false">IF(AND(_slice!$H$5=1,Q$40&gt;=_slice!$H$6-0.000000001,Q$40&lt;=_slice!$I$6+0.000000001,$B52&gt;=_slice!$H$7-0.000000001,$B52&lt;=_slice!$I$7+0.000000001,IF(01_因子設定!$B$20="Box-Behnken",Q$40^2+$B52^2+_slice!$H$8&lt;=2+0.000000001,TRUE())),IF(01_因子設定!$B$13="最大化",(_slice!Q84-04_回帰ANOVA!$K$19*04_回帰ANOVA!$K$14*SQRT(1+_slice!Q109))-01_因子設定!$B$14,IF(01_因子設定!$B$13="最小化",01_因子設定!$B$15-(_slice!Q84+04_回帰ANOVA!$K$19*04_回帰ANOVA!$K$14*SQRT(1+_slice!Q109)),MIN((_slice!Q84-04_回帰ANOVA!$K$19*04_回帰ANOVA!$K$14*SQRT(1+_slice!Q109))-01_因子設定!$B$14,01_因子設定!$B$15-(_slice!Q84+04_回帰ANOVA!$K$19*04_回帰ANOVA!$K$14*SQRT(1+_slice!Q109))))),"外")</f>
        <v>-0.111759743309605</v>
      </c>
      <c r="R52" s="50" t="n">
        <f aca="false">IF(AND(_slice!$H$5=1,R$40&gt;=_slice!$H$6-0.000000001,R$40&lt;=_slice!$I$6+0.000000001,$B52&gt;=_slice!$H$7-0.000000001,$B52&lt;=_slice!$I$7+0.000000001,IF(01_因子設定!$B$20="Box-Behnken",R$40^2+$B52^2+_slice!$H$8&lt;=2+0.000000001,TRUE())),IF(01_因子設定!$B$13="最大化",(_slice!R84-04_回帰ANOVA!$K$19*04_回帰ANOVA!$K$14*SQRT(1+_slice!R109))-01_因子設定!$B$14,IF(01_因子設定!$B$13="最小化",01_因子設定!$B$15-(_slice!R84+04_回帰ANOVA!$K$19*04_回帰ANOVA!$K$14*SQRT(1+_slice!R109)),MIN((_slice!R84-04_回帰ANOVA!$K$19*04_回帰ANOVA!$K$14*SQRT(1+_slice!R109))-01_因子設定!$B$14,01_因子設定!$B$15-(_slice!R84+04_回帰ANOVA!$K$19*04_回帰ANOVA!$K$14*SQRT(1+_slice!R109))))),"外")</f>
        <v>-0.0859538431977569</v>
      </c>
      <c r="S52" s="50" t="n">
        <f aca="false">IF(AND(_slice!$H$5=1,S$40&gt;=_slice!$H$6-0.000000001,S$40&lt;=_slice!$I$6+0.000000001,$B52&gt;=_slice!$H$7-0.000000001,$B52&lt;=_slice!$I$7+0.000000001,IF(01_因子設定!$B$20="Box-Behnken",S$40^2+$B52^2+_slice!$H$8&lt;=2+0.000000001,TRUE())),IF(01_因子設定!$B$13="最大化",(_slice!S84-04_回帰ANOVA!$K$19*04_回帰ANOVA!$K$14*SQRT(1+_slice!S109))-01_因子設定!$B$14,IF(01_因子設定!$B$13="最小化",01_因子設定!$B$15-(_slice!S84+04_回帰ANOVA!$K$19*04_回帰ANOVA!$K$14*SQRT(1+_slice!S109)),MIN((_slice!S84-04_回帰ANOVA!$K$19*04_回帰ANOVA!$K$14*SQRT(1+_slice!S109))-01_因子設定!$B$14,01_因子設定!$B$15-(_slice!S84+04_回帰ANOVA!$K$19*04_回帰ANOVA!$K$14*SQRT(1+_slice!S109))))),"外")</f>
        <v>-0.113923221966239</v>
      </c>
      <c r="T52" s="50" t="n">
        <f aca="false">IF(AND(_slice!$H$5=1,T$40&gt;=_slice!$H$6-0.000000001,T$40&lt;=_slice!$I$6+0.000000001,$B52&gt;=_slice!$H$7-0.000000001,$B52&lt;=_slice!$I$7+0.000000001,IF(01_因子設定!$B$20="Box-Behnken",T$40^2+$B52^2+_slice!$H$8&lt;=2+0.000000001,TRUE())),IF(01_因子設定!$B$13="最大化",(_slice!T84-04_回帰ANOVA!$K$19*04_回帰ANOVA!$K$14*SQRT(1+_slice!T109))-01_因子設定!$B$14,IF(01_因子設定!$B$13="最小化",01_因子設定!$B$15-(_slice!T84+04_回帰ANOVA!$K$19*04_回帰ANOVA!$K$14*SQRT(1+_slice!T109)),MIN((_slice!T84-04_回帰ANOVA!$K$19*04_回帰ANOVA!$K$14*SQRT(1+_slice!T109))-01_因子設定!$B$14,01_因子設定!$B$15-(_slice!T84+04_回帰ANOVA!$K$19*04_回帰ANOVA!$K$14*SQRT(1+_slice!T109))))),"外")</f>
        <v>-0.197573740173752</v>
      </c>
      <c r="U52" s="50" t="n">
        <f aca="false">IF(AND(_slice!$H$5=1,U$40&gt;=_slice!$H$6-0.000000001,U$40&lt;=_slice!$I$6+0.000000001,$B52&gt;=_slice!$H$7-0.000000001,$B52&lt;=_slice!$I$7+0.000000001,IF(01_因子設定!$B$20="Box-Behnken",U$40^2+$B52^2+_slice!$H$8&lt;=2+0.000000001,TRUE())),IF(01_因子設定!$B$13="最大化",(_slice!U84-04_回帰ANOVA!$K$19*04_回帰ANOVA!$K$14*SQRT(1+_slice!U109))-01_因子設定!$B$14,IF(01_因子設定!$B$13="最小化",01_因子設定!$B$15-(_slice!U84+04_回帰ANOVA!$K$19*04_回帰ANOVA!$K$14*SQRT(1+_slice!U109)),MIN((_slice!U84-04_回帰ANOVA!$K$19*04_回帰ANOVA!$K$14*SQRT(1+_slice!U109))-01_因子設定!$B$14,01_因子設定!$B$15-(_slice!U84+04_回帰ANOVA!$K$19*04_回帰ANOVA!$K$14*SQRT(1+_slice!U109))))),"外")</f>
        <v>-0.338977180825474</v>
      </c>
      <c r="V52" s="50" t="n">
        <f aca="false">IF(AND(_slice!$H$5=1,V$40&gt;=_slice!$H$6-0.000000001,V$40&lt;=_slice!$I$6+0.000000001,$B52&gt;=_slice!$H$7-0.000000001,$B52&lt;=_slice!$I$7+0.000000001,IF(01_因子設定!$B$20="Box-Behnken",V$40^2+$B52^2+_slice!$H$8&lt;=2+0.000000001,TRUE())),IF(01_因子設定!$B$13="最大化",(_slice!V84-04_回帰ANOVA!$K$19*04_回帰ANOVA!$K$14*SQRT(1+_slice!V109))-01_因子設定!$B$14,IF(01_因子設定!$B$13="最小化",01_因子設定!$B$15-(_slice!V84+04_回帰ANOVA!$K$19*04_回帰ANOVA!$K$14*SQRT(1+_slice!V109)),MIN((_slice!V84-04_回帰ANOVA!$K$19*04_回帰ANOVA!$K$14*SQRT(1+_slice!V109))-01_因子設定!$B$14,01_因子設定!$B$15-(_slice!V84+04_回帰ANOVA!$K$19*04_回帰ANOVA!$K$14*SQRT(1+_slice!V109))))),"外")</f>
        <v>-0.540222648702311</v>
      </c>
      <c r="W52" s="50" t="n">
        <f aca="false">IF(AND(_slice!$H$5=1,W$40&gt;=_slice!$H$6-0.000000001,W$40&lt;=_slice!$I$6+0.000000001,$B52&gt;=_slice!$H$7-0.000000001,$B52&lt;=_slice!$I$7+0.000000001,IF(01_因子設定!$B$20="Box-Behnken",W$40^2+$B52^2+_slice!$H$8&lt;=2+0.000000001,TRUE())),IF(01_因子設定!$B$13="最大化",(_slice!W84-04_回帰ANOVA!$K$19*04_回帰ANOVA!$K$14*SQRT(1+_slice!W109))-01_因子設定!$B$14,IF(01_因子設定!$B$13="最小化",01_因子設定!$B$15-(_slice!W84+04_回帰ANOVA!$K$19*04_回帰ANOVA!$K$14*SQRT(1+_slice!W109)),MIN((_slice!W84-04_回帰ANOVA!$K$19*04_回帰ANOVA!$K$14*SQRT(1+_slice!W109))-01_因子設定!$B$14,01_因子設定!$B$15-(_slice!W84+04_回帰ANOVA!$K$19*04_回帰ANOVA!$K$14*SQRT(1+_slice!W109))))),"外")</f>
        <v>-0.803244532217768</v>
      </c>
    </row>
    <row r="53" customFormat="false" ht="15" hidden="false" customHeight="false" outlineLevel="0" collapsed="false">
      <c r="A53" s="49" t="n">
        <f aca="false">INDEX(01_因子設定!$G$5:$G$7,$C$5)+B53*INDEX(01_因子設定!$H$5:$H$7,$C$5)</f>
        <v>29</v>
      </c>
      <c r="B53" s="49" t="n">
        <v>-0.1</v>
      </c>
      <c r="C53" s="50" t="n">
        <f aca="false">IF(AND(_slice!$H$5=1,C$40&gt;=_slice!$H$6-0.000000001,C$40&lt;=_slice!$I$6+0.000000001,$B53&gt;=_slice!$H$7-0.000000001,$B53&lt;=_slice!$I$7+0.000000001,IF(01_因子設定!$B$20="Box-Behnken",C$40^2+$B53^2+_slice!$H$8&lt;=2+0.000000001,TRUE())),IF(01_因子設定!$B$13="最大化",(_slice!C85-04_回帰ANOVA!$K$19*04_回帰ANOVA!$K$14*SQRT(1+_slice!C110))-01_因子設定!$B$14,IF(01_因子設定!$B$13="最小化",01_因子設定!$B$15-(_slice!C85+04_回帰ANOVA!$K$19*04_回帰ANOVA!$K$14*SQRT(1+_slice!C110)),MIN((_slice!C85-04_回帰ANOVA!$K$19*04_回帰ANOVA!$K$14*SQRT(1+_slice!C110))-01_因子設定!$B$14,01_因子設定!$B$15-(_slice!C85+04_回帰ANOVA!$K$19*04_回帰ANOVA!$K$14*SQRT(1+_slice!C110))))),"外")</f>
        <v>-5.98790867079779</v>
      </c>
      <c r="D53" s="50" t="n">
        <f aca="false">IF(AND(_slice!$H$5=1,D$40&gt;=_slice!$H$6-0.000000001,D$40&lt;=_slice!$I$6+0.000000001,$B53&gt;=_slice!$H$7-0.000000001,$B53&lt;=_slice!$I$7+0.000000001,IF(01_因子設定!$B$20="Box-Behnken",D$40^2+$B53^2+_slice!$H$8&lt;=2+0.000000001,TRUE())),IF(01_因子設定!$B$13="最大化",(_slice!D85-04_回帰ANOVA!$K$19*04_回帰ANOVA!$K$14*SQRT(1+_slice!D110))-01_因子設定!$B$14,IF(01_因子設定!$B$13="最小化",01_因子設定!$B$15-(_slice!D85+04_回帰ANOVA!$K$19*04_回帰ANOVA!$K$14*SQRT(1+_slice!D110)),MIN((_slice!D85-04_回帰ANOVA!$K$19*04_回帰ANOVA!$K$14*SQRT(1+_slice!D110))-01_因子設定!$B$14,01_因子設定!$B$15-(_slice!D85+04_回帰ANOVA!$K$19*04_回帰ANOVA!$K$14*SQRT(1+_slice!D110))))),"外")</f>
        <v>-5.23196781649202</v>
      </c>
      <c r="E53" s="50" t="n">
        <f aca="false">IF(AND(_slice!$H$5=1,E$40&gt;=_slice!$H$6-0.000000001,E$40&lt;=_slice!$I$6+0.000000001,$B53&gt;=_slice!$H$7-0.000000001,$B53&lt;=_slice!$I$7+0.000000001,IF(01_因子設定!$B$20="Box-Behnken",E$40^2+$B53^2+_slice!$H$8&lt;=2+0.000000001,TRUE())),IF(01_因子設定!$B$13="最大化",(_slice!E85-04_回帰ANOVA!$K$19*04_回帰ANOVA!$K$14*SQRT(1+_slice!E110))-01_因子設定!$B$14,IF(01_因子設定!$B$13="最小化",01_因子設定!$B$15-(_slice!E85+04_回帰ANOVA!$K$19*04_回帰ANOVA!$K$14*SQRT(1+_slice!E110)),MIN((_slice!E85-04_回帰ANOVA!$K$19*04_回帰ANOVA!$K$14*SQRT(1+_slice!E110))-01_因子設定!$B$14,01_因子設定!$B$15-(_slice!E85+04_回帰ANOVA!$K$19*04_回帰ANOVA!$K$14*SQRT(1+_slice!E110))))),"外")</f>
        <v>-4.5378047969193</v>
      </c>
      <c r="F53" s="50" t="n">
        <f aca="false">IF(AND(_slice!$H$5=1,F$40&gt;=_slice!$H$6-0.000000001,F$40&lt;=_slice!$I$6+0.000000001,$B53&gt;=_slice!$H$7-0.000000001,$B53&lt;=_slice!$I$7+0.000000001,IF(01_因子設定!$B$20="Box-Behnken",F$40^2+$B53^2+_slice!$H$8&lt;=2+0.000000001,TRUE())),IF(01_因子設定!$B$13="最大化",(_slice!F85-04_回帰ANOVA!$K$19*04_回帰ANOVA!$K$14*SQRT(1+_slice!F110))-01_因子設定!$B$14,IF(01_因子設定!$B$13="最小化",01_因子設定!$B$15-(_slice!F85+04_回帰ANOVA!$K$19*04_回帰ANOVA!$K$14*SQRT(1+_slice!F110)),MIN((_slice!F85-04_回帰ANOVA!$K$19*04_回帰ANOVA!$K$14*SQRT(1+_slice!F110))-01_因子設定!$B$14,01_因子設定!$B$15-(_slice!F85+04_回帰ANOVA!$K$19*04_回帰ANOVA!$K$14*SQRT(1+_slice!F110))))),"外")</f>
        <v>-3.90348152671173</v>
      </c>
      <c r="G53" s="50" t="n">
        <f aca="false">IF(AND(_slice!$H$5=1,G$40&gt;=_slice!$H$6-0.000000001,G$40&lt;=_slice!$I$6+0.000000001,$B53&gt;=_slice!$H$7-0.000000001,$B53&lt;=_slice!$I$7+0.000000001,IF(01_因子設定!$B$20="Box-Behnken",G$40^2+$B53^2+_slice!$H$8&lt;=2+0.000000001,TRUE())),IF(01_因子設定!$B$13="最大化",(_slice!G85-04_回帰ANOVA!$K$19*04_回帰ANOVA!$K$14*SQRT(1+_slice!G110))-01_因子設定!$B$14,IF(01_因子設定!$B$13="最小化",01_因子設定!$B$15-(_slice!G85+04_回帰ANOVA!$K$19*04_回帰ANOVA!$K$14*SQRT(1+_slice!G110)),MIN((_slice!G85-04_回帰ANOVA!$K$19*04_回帰ANOVA!$K$14*SQRT(1+_slice!G110))-01_因子設定!$B$14,01_因子設定!$B$15-(_slice!G85+04_回帰ANOVA!$K$19*04_回帰ANOVA!$K$14*SQRT(1+_slice!G110))))),"外")</f>
        <v>-3.32690548276376</v>
      </c>
      <c r="H53" s="50" t="n">
        <f aca="false">IF(AND(_slice!$H$5=1,H$40&gt;=_slice!$H$6-0.000000001,H$40&lt;=_slice!$I$6+0.000000001,$B53&gt;=_slice!$H$7-0.000000001,$B53&lt;=_slice!$I$7+0.000000001,IF(01_因子設定!$B$20="Box-Behnken",H$40^2+$B53^2+_slice!$H$8&lt;=2+0.000000001,TRUE())),IF(01_因子設定!$B$13="最大化",(_slice!H85-04_回帰ANOVA!$K$19*04_回帰ANOVA!$K$14*SQRT(1+_slice!H110))-01_因子設定!$B$14,IF(01_因子設定!$B$13="最小化",01_因子設定!$B$15-(_slice!H85+04_回帰ANOVA!$K$19*04_回帰ANOVA!$K$14*SQRT(1+_slice!H110)),MIN((_slice!H85-04_回帰ANOVA!$K$19*04_回帰ANOVA!$K$14*SQRT(1+_slice!H110))-01_因子設定!$B$14,01_因子設定!$B$15-(_slice!H85+04_回帰ANOVA!$K$19*04_回帰ANOVA!$K$14*SQRT(1+_slice!H110))))),"外")</f>
        <v>-2.80600212389036</v>
      </c>
      <c r="I53" s="50" t="n">
        <f aca="false">IF(AND(_slice!$H$5=1,I$40&gt;=_slice!$H$6-0.000000001,I$40&lt;=_slice!$I$6+0.000000001,$B53&gt;=_slice!$H$7-0.000000001,$B53&lt;=_slice!$I$7+0.000000001,IF(01_因子設定!$B$20="Box-Behnken",I$40^2+$B53^2+_slice!$H$8&lt;=2+0.000000001,TRUE())),IF(01_因子設定!$B$13="最大化",(_slice!I85-04_回帰ANOVA!$K$19*04_回帰ANOVA!$K$14*SQRT(1+_slice!I110))-01_因子設定!$B$14,IF(01_因子設定!$B$13="最小化",01_因子設定!$B$15-(_slice!I85+04_回帰ANOVA!$K$19*04_回帰ANOVA!$K$14*SQRT(1+_slice!I110)),MIN((_slice!I85-04_回帰ANOVA!$K$19*04_回帰ANOVA!$K$14*SQRT(1+_slice!I110))-01_因子設定!$B$14,01_因子設定!$B$15-(_slice!I85+04_回帰ANOVA!$K$19*04_回帰ANOVA!$K$14*SQRT(1+_slice!I110))))),"外")</f>
        <v>-2.33886363228203</v>
      </c>
      <c r="J53" s="50" t="n">
        <f aca="false">IF(AND(_slice!$H$5=1,J$40&gt;=_slice!$H$6-0.000000001,J$40&lt;=_slice!$I$6+0.000000001,$B53&gt;=_slice!$H$7-0.000000001,$B53&lt;=_slice!$I$7+0.000000001,IF(01_因子設定!$B$20="Box-Behnken",J$40^2+$B53^2+_slice!$H$8&lt;=2+0.000000001,TRUE())),IF(01_因子設定!$B$13="最大化",(_slice!J85-04_回帰ANOVA!$K$19*04_回帰ANOVA!$K$14*SQRT(1+_slice!J110))-01_因子設定!$B$14,IF(01_因子設定!$B$13="最小化",01_因子設定!$B$15-(_slice!J85+04_回帰ANOVA!$K$19*04_回帰ANOVA!$K$14*SQRT(1+_slice!J110)),MIN((_slice!J85-04_回帰ANOVA!$K$19*04_回帰ANOVA!$K$14*SQRT(1+_slice!J110))-01_因子設定!$B$14,01_因子設定!$B$15-(_slice!J85+04_回帰ANOVA!$K$19*04_回帰ANOVA!$K$14*SQRT(1+_slice!J110))))),"外")</f>
        <v>-1.92385505953827</v>
      </c>
      <c r="K53" s="50" t="n">
        <f aca="false">IF(AND(_slice!$H$5=1,K$40&gt;=_slice!$H$6-0.000000001,K$40&lt;=_slice!$I$6+0.000000001,$B53&gt;=_slice!$H$7-0.000000001,$B53&lt;=_slice!$I$7+0.000000001,IF(01_因子設定!$B$20="Box-Behnken",K$40^2+$B53^2+_slice!$H$8&lt;=2+0.000000001,TRUE())),IF(01_因子設定!$B$13="最大化",(_slice!K85-04_回帰ANOVA!$K$19*04_回帰ANOVA!$K$14*SQRT(1+_slice!K110))-01_因子設定!$B$14,IF(01_因子設定!$B$13="最小化",01_因子設定!$B$15-(_slice!K85+04_回帰ANOVA!$K$19*04_回帰ANOVA!$K$14*SQRT(1+_slice!K110)),MIN((_slice!K85-04_回帰ANOVA!$K$19*04_回帰ANOVA!$K$14*SQRT(1+_slice!K110))-01_因子設定!$B$14,01_因子設定!$B$15-(_slice!K85+04_回帰ANOVA!$K$19*04_回帰ANOVA!$K$14*SQRT(1+_slice!K110))))),"外")</f>
        <v>-1.55967687707437</v>
      </c>
      <c r="L53" s="50" t="n">
        <f aca="false">IF(AND(_slice!$H$5=1,L$40&gt;=_slice!$H$6-0.000000001,L$40&lt;=_slice!$I$6+0.000000001,$B53&gt;=_slice!$H$7-0.000000001,$B53&lt;=_slice!$I$7+0.000000001,IF(01_因子設定!$B$20="Box-Behnken",L$40^2+$B53^2+_slice!$H$8&lt;=2+0.000000001,TRUE())),IF(01_因子設定!$B$13="最大化",(_slice!L85-04_回帰ANOVA!$K$19*04_回帰ANOVA!$K$14*SQRT(1+_slice!L110))-01_因子設定!$B$14,IF(01_因子設定!$B$13="最小化",01_因子設定!$B$15-(_slice!L85+04_回帰ANOVA!$K$19*04_回帰ANOVA!$K$14*SQRT(1+_slice!L110)),MIN((_slice!L85-04_回帰ANOVA!$K$19*04_回帰ANOVA!$K$14*SQRT(1+_slice!L110))-01_因子設定!$B$14,01_因子設定!$B$15-(_slice!L85+04_回帰ANOVA!$K$19*04_回帰ANOVA!$K$14*SQRT(1+_slice!L110))))),"外")</f>
        <v>-1.24539410725952</v>
      </c>
      <c r="M53" s="50" t="n">
        <f aca="false">IF(AND(_slice!$H$5=1,M$40&gt;=_slice!$H$6-0.000000001,M$40&lt;=_slice!$I$6+0.000000001,$B53&gt;=_slice!$H$7-0.000000001,$B53&lt;=_slice!$I$7+0.000000001,IF(01_因子設定!$B$20="Box-Behnken",M$40^2+$B53^2+_slice!$H$8&lt;=2+0.000000001,TRUE())),IF(01_因子設定!$B$13="最大化",(_slice!M85-04_回帰ANOVA!$K$19*04_回帰ANOVA!$K$14*SQRT(1+_slice!M110))-01_因子設定!$B$14,IF(01_因子設定!$B$13="最小化",01_因子設定!$B$15-(_slice!M85+04_回帰ANOVA!$K$19*04_回帰ANOVA!$K$14*SQRT(1+_slice!M110)),MIN((_slice!M85-04_回帰ANOVA!$K$19*04_回帰ANOVA!$K$14*SQRT(1+_slice!M110))-01_因子設定!$B$14,01_因子設定!$B$15-(_slice!M85+04_回帰ANOVA!$K$19*04_回帰ANOVA!$K$14*SQRT(1+_slice!M110))))),"外")</f>
        <v>-0.980445481824908</v>
      </c>
      <c r="N53" s="50" t="n">
        <f aca="false">IF(AND(_slice!$H$5=1,N$40&gt;=_slice!$H$6-0.000000001,N$40&lt;=_slice!$I$6+0.000000001,$B53&gt;=_slice!$H$7-0.000000001,$B53&lt;=_slice!$I$7+0.000000001,IF(01_因子設定!$B$20="Box-Behnken",N$40^2+$B53^2+_slice!$H$8&lt;=2+0.000000001,TRUE())),IF(01_因子設定!$B$13="最大化",(_slice!N85-04_回帰ANOVA!$K$19*04_回帰ANOVA!$K$14*SQRT(1+_slice!N110))-01_因子設定!$B$14,IF(01_因子設定!$B$13="最小化",01_因子設定!$B$15-(_slice!N85+04_回帰ANOVA!$K$19*04_回帰ANOVA!$K$14*SQRT(1+_slice!N110)),MIN((_slice!N85-04_回帰ANOVA!$K$19*04_回帰ANOVA!$K$14*SQRT(1+_slice!N110))-01_因子設定!$B$14,01_因子設定!$B$15-(_slice!N85+04_回帰ANOVA!$K$19*04_回帰ANOVA!$K$14*SQRT(1+_slice!N110))))),"外")</f>
        <v>-0.764644107259521</v>
      </c>
      <c r="O53" s="50" t="n">
        <f aca="false">IF(AND(_slice!$H$5=1,O$40&gt;=_slice!$H$6-0.000000001,O$40&lt;=_slice!$I$6+0.000000001,$B53&gt;=_slice!$H$7-0.000000001,$B53&lt;=_slice!$I$7+0.000000001,IF(01_因子設定!$B$20="Box-Behnken",O$40^2+$B53^2+_slice!$H$8&lt;=2+0.000000001,TRUE())),IF(01_因子設定!$B$13="最大化",(_slice!O85-04_回帰ANOVA!$K$19*04_回帰ANOVA!$K$14*SQRT(1+_slice!O110))-01_因子設定!$B$14,IF(01_因子設定!$B$13="最小化",01_因子設定!$B$15-(_slice!O85+04_回帰ANOVA!$K$19*04_回帰ANOVA!$K$14*SQRT(1+_slice!O110)),MIN((_slice!O85-04_回帰ANOVA!$K$19*04_回帰ANOVA!$K$14*SQRT(1+_slice!O110))-01_因子設定!$B$14,01_因子設定!$B$15-(_slice!O85+04_回帰ANOVA!$K$19*04_回帰ANOVA!$K$14*SQRT(1+_slice!O110))))),"外")</f>
        <v>-0.598176877074366</v>
      </c>
      <c r="P53" s="50" t="n">
        <f aca="false">IF(AND(_slice!$H$5=1,P$40&gt;=_slice!$H$6-0.000000001,P$40&lt;=_slice!$I$6+0.000000001,$B53&gt;=_slice!$H$7-0.000000001,$B53&lt;=_slice!$I$7+0.000000001,IF(01_因子設定!$B$20="Box-Behnken",P$40^2+$B53^2+_slice!$H$8&lt;=2+0.000000001,TRUE())),IF(01_因子設定!$B$13="最大化",(_slice!P85-04_回帰ANOVA!$K$19*04_回帰ANOVA!$K$14*SQRT(1+_slice!P110))-01_因子設定!$B$14,IF(01_因子設定!$B$13="最小化",01_因子設定!$B$15-(_slice!P85+04_回帰ANOVA!$K$19*04_回帰ANOVA!$K$14*SQRT(1+_slice!P110)),MIN((_slice!P85-04_回帰ANOVA!$K$19*04_回帰ANOVA!$K$14*SQRT(1+_slice!P110))-01_因子設定!$B$14,01_因子設定!$B$15-(_slice!P85+04_回帰ANOVA!$K$19*04_回帰ANOVA!$K$14*SQRT(1+_slice!P110))))),"外")</f>
        <v>-0.481605059538268</v>
      </c>
      <c r="Q53" s="50" t="n">
        <f aca="false">IF(AND(_slice!$H$5=1,Q$40&gt;=_slice!$H$6-0.000000001,Q$40&lt;=_slice!$I$6+0.000000001,$B53&gt;=_slice!$H$7-0.000000001,$B53&lt;=_slice!$I$7+0.000000001,IF(01_因子設定!$B$20="Box-Behnken",Q$40^2+$B53^2+_slice!$H$8&lt;=2+0.000000001,TRUE())),IF(01_因子設定!$B$13="最大化",(_slice!Q85-04_回帰ANOVA!$K$19*04_回帰ANOVA!$K$14*SQRT(1+_slice!Q110))-01_因子設定!$B$14,IF(01_因子設定!$B$13="最小化",01_因子設定!$B$15-(_slice!Q85+04_回帰ANOVA!$K$19*04_回帰ANOVA!$K$14*SQRT(1+_slice!Q110)),MIN((_slice!Q85-04_回帰ANOVA!$K$19*04_回帰ANOVA!$K$14*SQRT(1+_slice!Q110))-01_因子設定!$B$14,01_因子設定!$B$15-(_slice!Q85+04_回帰ANOVA!$K$19*04_回帰ANOVA!$K$14*SQRT(1+_slice!Q110))))),"外")</f>
        <v>-0.415863632282026</v>
      </c>
      <c r="R53" s="50" t="n">
        <f aca="false">IF(AND(_slice!$H$5=1,R$40&gt;=_slice!$H$6-0.000000001,R$40&lt;=_slice!$I$6+0.000000001,$B53&gt;=_slice!$H$7-0.000000001,$B53&lt;=_slice!$I$7+0.000000001,IF(01_因子設定!$B$20="Box-Behnken",R$40^2+$B53^2+_slice!$H$8&lt;=2+0.000000001,TRUE())),IF(01_因子設定!$B$13="最大化",(_slice!R85-04_回帰ANOVA!$K$19*04_回帰ANOVA!$K$14*SQRT(1+_slice!R110))-01_因子設定!$B$14,IF(01_因子設定!$B$13="最小化",01_因子設定!$B$15-(_slice!R85+04_回帰ANOVA!$K$19*04_回帰ANOVA!$K$14*SQRT(1+_slice!R110)),MIN((_slice!R85-04_回帰ANOVA!$K$19*04_回帰ANOVA!$K$14*SQRT(1+_slice!R110))-01_因子設定!$B$14,01_因子設定!$B$15-(_slice!R85+04_回帰ANOVA!$K$19*04_回帰ANOVA!$K$14*SQRT(1+_slice!R110))))),"外")</f>
        <v>-0.402252123890356</v>
      </c>
      <c r="S53" s="50" t="n">
        <f aca="false">IF(AND(_slice!$H$5=1,S$40&gt;=_slice!$H$6-0.000000001,S$40&lt;=_slice!$I$6+0.000000001,$B53&gt;=_slice!$H$7-0.000000001,$B53&lt;=_slice!$I$7+0.000000001,IF(01_因子設定!$B$20="Box-Behnken",S$40^2+$B53^2+_slice!$H$8&lt;=2+0.000000001,TRUE())),IF(01_因子設定!$B$13="最大化",(_slice!S85-04_回帰ANOVA!$K$19*04_回帰ANOVA!$K$14*SQRT(1+_slice!S110))-01_因子設定!$B$14,IF(01_因子設定!$B$13="最小化",01_因子設定!$B$15-(_slice!S85+04_回帰ANOVA!$K$19*04_回帰ANOVA!$K$14*SQRT(1+_slice!S110)),MIN((_slice!S85-04_回帰ANOVA!$K$19*04_回帰ANOVA!$K$14*SQRT(1+_slice!S110))-01_因子設定!$B$14,01_因子設定!$B$15-(_slice!S85+04_回帰ANOVA!$K$19*04_回帰ANOVA!$K$14*SQRT(1+_slice!S110))))),"外")</f>
        <v>-0.44240548276376</v>
      </c>
      <c r="T53" s="50" t="n">
        <f aca="false">IF(AND(_slice!$H$5=1,T$40&gt;=_slice!$H$6-0.000000001,T$40&lt;=_slice!$I$6+0.000000001,$B53&gt;=_slice!$H$7-0.000000001,$B53&lt;=_slice!$I$7+0.000000001,IF(01_因子設定!$B$20="Box-Behnken",T$40^2+$B53^2+_slice!$H$8&lt;=2+0.000000001,TRUE())),IF(01_因子設定!$B$13="最大化",(_slice!T85-04_回帰ANOVA!$K$19*04_回帰ANOVA!$K$14*SQRT(1+_slice!T110))-01_因子設定!$B$14,IF(01_因子設定!$B$13="最小化",01_因子設定!$B$15-(_slice!T85+04_回帰ANOVA!$K$19*04_回帰ANOVA!$K$14*SQRT(1+_slice!T110)),MIN((_slice!T85-04_回帰ANOVA!$K$19*04_回帰ANOVA!$K$14*SQRT(1+_slice!T110))-01_因子設定!$B$14,01_因子設定!$B$15-(_slice!T85+04_回帰ANOVA!$K$19*04_回帰ANOVA!$K$14*SQRT(1+_slice!T110))))),"外")</f>
        <v>-0.538231526711726</v>
      </c>
      <c r="U53" s="50" t="n">
        <f aca="false">IF(AND(_slice!$H$5=1,U$40&gt;=_slice!$H$6-0.000000001,U$40&lt;=_slice!$I$6+0.000000001,$B53&gt;=_slice!$H$7-0.000000001,$B53&lt;=_slice!$I$7+0.000000001,IF(01_因子設定!$B$20="Box-Behnken",U$40^2+$B53^2+_slice!$H$8&lt;=2+0.000000001,TRUE())),IF(01_因子設定!$B$13="最大化",(_slice!U85-04_回帰ANOVA!$K$19*04_回帰ANOVA!$K$14*SQRT(1+_slice!U110))-01_因子設定!$B$14,IF(01_因子設定!$B$13="最小化",01_因子設定!$B$15-(_slice!U85+04_回帰ANOVA!$K$19*04_回帰ANOVA!$K$14*SQRT(1+_slice!U110)),MIN((_slice!U85-04_回帰ANOVA!$K$19*04_回帰ANOVA!$K$14*SQRT(1+_slice!U110))-01_因子設定!$B$14,01_因子設定!$B$15-(_slice!U85+04_回帰ANOVA!$K$19*04_回帰ANOVA!$K$14*SQRT(1+_slice!U110))))),"外")</f>
        <v>-0.6918047969193</v>
      </c>
      <c r="V53" s="50" t="n">
        <f aca="false">IF(AND(_slice!$H$5=1,V$40&gt;=_slice!$H$6-0.000000001,V$40&lt;=_slice!$I$6+0.000000001,$B53&gt;=_slice!$H$7-0.000000001,$B53&lt;=_slice!$I$7+0.000000001,IF(01_因子設定!$B$20="Box-Behnken",V$40^2+$B53^2+_slice!$H$8&lt;=2+0.000000001,TRUE())),IF(01_因子設定!$B$13="最大化",(_slice!V85-04_回帰ANOVA!$K$19*04_回帰ANOVA!$K$14*SQRT(1+_slice!V110))-01_因子設定!$B$14,IF(01_因子設定!$B$13="最小化",01_因子設定!$B$15-(_slice!V85+04_回帰ANOVA!$K$19*04_回帰ANOVA!$K$14*SQRT(1+_slice!V110)),MIN((_slice!V85-04_回帰ANOVA!$K$19*04_回帰ANOVA!$K$14*SQRT(1+_slice!V110))-01_因子設定!$B$14,01_因子設定!$B$15-(_slice!V85+04_回帰ANOVA!$K$19*04_回帰ANOVA!$K$14*SQRT(1+_slice!V110))))),"外")</f>
        <v>-0.905217816492019</v>
      </c>
      <c r="W53" s="50" t="n">
        <f aca="false">IF(AND(_slice!$H$5=1,W$40&gt;=_slice!$H$6-0.000000001,W$40&lt;=_slice!$I$6+0.000000001,$B53&gt;=_slice!$H$7-0.000000001,$B53&lt;=_slice!$I$7+0.000000001,IF(01_因子設定!$B$20="Box-Behnken",W$40^2+$B53^2+_slice!$H$8&lt;=2+0.000000001,TRUE())),IF(01_因子設定!$B$13="最大化",(_slice!W85-04_回帰ANOVA!$K$19*04_回帰ANOVA!$K$14*SQRT(1+_slice!W110))-01_因子設定!$B$14,IF(01_因子設定!$B$13="最小化",01_因子設定!$B$15-(_slice!W85+04_回帰ANOVA!$K$19*04_回帰ANOVA!$K$14*SQRT(1+_slice!W110)),MIN((_slice!W85-04_回帰ANOVA!$K$19*04_回帰ANOVA!$K$14*SQRT(1+_slice!W110))-01_因子設定!$B$14,01_因子設定!$B$15-(_slice!W85+04_回帰ANOVA!$K$19*04_回帰ANOVA!$K$14*SQRT(1+_slice!W110))))),"外")</f>
        <v>-1.18040867079778</v>
      </c>
    </row>
    <row r="54" customFormat="false" ht="15" hidden="false" customHeight="false" outlineLevel="0" collapsed="false">
      <c r="A54" s="49" t="n">
        <f aca="false">INDEX(01_因子設定!$G$5:$G$7,$C$5)+B54*INDEX(01_因子設定!$H$5:$H$7,$C$5)</f>
        <v>28</v>
      </c>
      <c r="B54" s="49" t="n">
        <v>-0.2</v>
      </c>
      <c r="C54" s="50" t="n">
        <f aca="false">IF(AND(_slice!$H$5=1,C$40&gt;=_slice!$H$6-0.000000001,C$40&lt;=_slice!$I$6+0.000000001,$B54&gt;=_slice!$H$7-0.000000001,$B54&lt;=_slice!$I$7+0.000000001,IF(01_因子設定!$B$20="Box-Behnken",C$40^2+$B54^2+_slice!$H$8&lt;=2+0.000000001,TRUE())),IF(01_因子設定!$B$13="最大化",(_slice!C86-04_回帰ANOVA!$K$19*04_回帰ANOVA!$K$14*SQRT(1+_slice!C111))-01_因子設定!$B$14,IF(01_因子設定!$B$13="最小化",01_因子設定!$B$15-(_slice!C86+04_回帰ANOVA!$K$19*04_回帰ANOVA!$K$14*SQRT(1+_slice!C111)),MIN((_slice!C86-04_回帰ANOVA!$K$19*04_回帰ANOVA!$K$14*SQRT(1+_slice!C111))-01_因子設定!$B$14,01_因子設定!$B$15-(_slice!C86+04_回帰ANOVA!$K$19*04_回帰ANOVA!$K$14*SQRT(1+_slice!C111))))),"外")</f>
        <v>-6.15931471481533</v>
      </c>
      <c r="D54" s="50" t="n">
        <f aca="false">IF(AND(_slice!$H$5=1,D$40&gt;=_slice!$H$6-0.000000001,D$40&lt;=_slice!$I$6+0.000000001,$B54&gt;=_slice!$H$7-0.000000001,$B54&lt;=_slice!$I$7+0.000000001,IF(01_因子設定!$B$20="Box-Behnken",D$40^2+$B54^2+_slice!$H$8&lt;=2+0.000000001,TRUE())),IF(01_因子設定!$B$13="最大化",(_slice!D86-04_回帰ANOVA!$K$19*04_回帰ANOVA!$K$14*SQRT(1+_slice!D111))-01_因子設定!$B$14,IF(01_因子設定!$B$13="最小化",01_因子設定!$B$15-(_slice!D86+04_回帰ANOVA!$K$19*04_回帰ANOVA!$K$14*SQRT(1+_slice!D111)),MIN((_slice!D86-04_回帰ANOVA!$K$19*04_回帰ANOVA!$K$14*SQRT(1+_slice!D111))-01_因子設定!$B$14,01_因子設定!$B$15-(_slice!D86+04_回帰ANOVA!$K$19*04_回帰ANOVA!$K$14*SQRT(1+_slice!D111))))),"外")</f>
        <v>-5.41587427889356</v>
      </c>
      <c r="E54" s="50" t="n">
        <f aca="false">IF(AND(_slice!$H$5=1,E$40&gt;=_slice!$H$6-0.000000001,E$40&lt;=_slice!$I$6+0.000000001,$B54&gt;=_slice!$H$7-0.000000001,$B54&lt;=_slice!$I$7+0.000000001,IF(01_因子設定!$B$20="Box-Behnken",E$40^2+$B54^2+_slice!$H$8&lt;=2+0.000000001,TRUE())),IF(01_因子設定!$B$13="最大化",(_slice!E86-04_回帰ANOVA!$K$19*04_回帰ANOVA!$K$14*SQRT(1+_slice!E111))-01_因子設定!$B$14,IF(01_因子設定!$B$13="最小化",01_因子設定!$B$15-(_slice!E86+04_回帰ANOVA!$K$19*04_回帰ANOVA!$K$14*SQRT(1+_slice!E111)),MIN((_slice!E86-04_回帰ANOVA!$K$19*04_回帰ANOVA!$K$14*SQRT(1+_slice!E111))-01_因子設定!$B$14,01_因子設定!$B$15-(_slice!E86+04_回帰ANOVA!$K$19*04_回帰ANOVA!$K$14*SQRT(1+_slice!E111))))),"外")</f>
        <v>-4.73421442329187</v>
      </c>
      <c r="F54" s="50" t="n">
        <f aca="false">IF(AND(_slice!$H$5=1,F$40&gt;=_slice!$H$6-0.000000001,F$40&lt;=_slice!$I$6+0.000000001,$B54&gt;=_slice!$H$7-0.000000001,$B54&lt;=_slice!$I$7+0.000000001,IF(01_因子設定!$B$20="Box-Behnken",F$40^2+$B54^2+_slice!$H$8&lt;=2+0.000000001,TRUE())),IF(01_因子設定!$B$13="最大化",(_slice!F86-04_回帰ANOVA!$K$19*04_回帰ANOVA!$K$14*SQRT(1+_slice!F111))-01_因子設定!$B$14,IF(01_因子設定!$B$13="最小化",01_因子設定!$B$15-(_slice!F86+04_回帰ANOVA!$K$19*04_回帰ANOVA!$K$14*SQRT(1+_slice!F111)),MIN((_slice!F86-04_回帰ANOVA!$K$19*04_回帰ANOVA!$K$14*SQRT(1+_slice!F111))-01_因子設定!$B$14,01_因子設定!$B$15-(_slice!F86+04_回帰ANOVA!$K$19*04_回帰ANOVA!$K$14*SQRT(1+_slice!F111))))),"外")</f>
        <v>-4.11238593942874</v>
      </c>
      <c r="G54" s="50" t="n">
        <f aca="false">IF(AND(_slice!$H$5=1,G$40&gt;=_slice!$H$6-0.000000001,G$40&lt;=_slice!$I$6+0.000000001,$B54&gt;=_slice!$H$7-0.000000001,$B54&lt;=_slice!$I$7+0.000000001,IF(01_因子設定!$B$20="Box-Behnken",G$40^2+$B54^2+_slice!$H$8&lt;=2+0.000000001,TRUE())),IF(01_因子設定!$B$13="最大化",(_slice!G86-04_回帰ANOVA!$K$19*04_回帰ANOVA!$K$14*SQRT(1+_slice!G111))-01_因子設定!$B$14,IF(01_因子設定!$B$13="最小化",01_因子設定!$B$15-(_slice!G86+04_回帰ANOVA!$K$19*04_回帰ANOVA!$K$14*SQRT(1+_slice!G111)),MIN((_slice!G86-04_回帰ANOVA!$K$19*04_回帰ANOVA!$K$14*SQRT(1+_slice!G111))-01_因子設定!$B$14,01_因子設定!$B$15-(_slice!G86+04_回帰ANOVA!$K$19*04_回帰ANOVA!$K$14*SQRT(1+_slice!G111))))),"外")</f>
        <v>-3.5482861881516</v>
      </c>
      <c r="H54" s="50" t="n">
        <f aca="false">IF(AND(_slice!$H$5=1,H$40&gt;=_slice!$H$6-0.000000001,H$40&lt;=_slice!$I$6+0.000000001,$B54&gt;=_slice!$H$7-0.000000001,$B54&lt;=_slice!$I$7+0.000000001,IF(01_因子設定!$B$20="Box-Behnken",H$40^2+$B54^2+_slice!$H$8&lt;=2+0.000000001,TRUE())),IF(01_因子設定!$B$13="最大化",(_slice!H86-04_回帰ANOVA!$K$19*04_回帰ANOVA!$K$14*SQRT(1+_slice!H111))-01_因子設定!$B$14,IF(01_因子設定!$B$13="最小化",01_因子設定!$B$15-(_slice!H86+04_回帰ANOVA!$K$19*04_回帰ANOVA!$K$14*SQRT(1+_slice!H111)),MIN((_slice!H86-04_回帰ANOVA!$K$19*04_回帰ANOVA!$K$14*SQRT(1+_slice!H111))-01_因子設定!$B$14,01_因子設定!$B$15-(_slice!H86+04_回帰ANOVA!$K$19*04_回帰ANOVA!$K$14*SQRT(1+_slice!H111))))),"外")</f>
        <v>-3.03983261131843</v>
      </c>
      <c r="I54" s="50" t="n">
        <f aca="false">IF(AND(_slice!$H$5=1,I$40&gt;=_slice!$H$6-0.000000001,I$40&lt;=_slice!$I$6+0.000000001,$B54&gt;=_slice!$H$7-0.000000001,$B54&lt;=_slice!$I$7+0.000000001,IF(01_因子設定!$B$20="Box-Behnken",I$40^2+$B54^2+_slice!$H$8&lt;=2+0.000000001,TRUE())),IF(01_因子設定!$B$13="最大化",(_slice!I86-04_回帰ANOVA!$K$19*04_回帰ANOVA!$K$14*SQRT(1+_slice!I111))-01_因子設定!$B$14,IF(01_因子設定!$B$13="最小化",01_因子設定!$B$15-(_slice!I86+04_回帰ANOVA!$K$19*04_回帰ANOVA!$K$14*SQRT(1+_slice!I111)),MIN((_slice!I86-04_回帰ANOVA!$K$19*04_回帰ANOVA!$K$14*SQRT(1+_slice!I111))-01_因子設定!$B$14,01_因子設定!$B$15-(_slice!I86+04_回帰ANOVA!$K$19*04_回帰ANOVA!$K$14*SQRT(1+_slice!I111))))),"外")</f>
        <v>-2.58511182786575</v>
      </c>
      <c r="J54" s="50" t="n">
        <f aca="false">IF(AND(_slice!$H$5=1,J$40&gt;=_slice!$H$6-0.000000001,J$40&lt;=_slice!$I$6+0.000000001,$B54&gt;=_slice!$H$7-0.000000001,$B54&lt;=_slice!$I$7+0.000000001,IF(01_因子設定!$B$20="Box-Behnken",J$40^2+$B54^2+_slice!$H$8&lt;=2+0.000000001,TRUE())),IF(01_因子設定!$B$13="最大化",(_slice!J86-04_回帰ANOVA!$K$19*04_回帰ANOVA!$K$14*SQRT(1+_slice!J111))-01_因子設定!$B$14,IF(01_因子設定!$B$13="最小化",01_因子設定!$B$15-(_slice!J86+04_回帰ANOVA!$K$19*04_回帰ANOVA!$K$14*SQRT(1+_slice!J111)),MIN((_slice!J86-04_回帰ANOVA!$K$19*04_回帰ANOVA!$K$14*SQRT(1+_slice!J111))-01_因子設定!$B$14,01_因子設定!$B$15-(_slice!J86+04_回帰ANOVA!$K$19*04_回帰ANOVA!$K$14*SQRT(1+_slice!J111))))),"外")</f>
        <v>-2.18248552635642</v>
      </c>
      <c r="K54" s="50" t="n">
        <f aca="false">IF(AND(_slice!$H$5=1,K$40&gt;=_slice!$H$6-0.000000001,K$40&lt;=_slice!$I$6+0.000000001,$B54&gt;=_slice!$H$7-0.000000001,$B54&lt;=_slice!$I$7+0.000000001,IF(01_因子設定!$B$20="Box-Behnken",K$40^2+$B54^2+_slice!$H$8&lt;=2+0.000000001,TRUE())),IF(01_因子設定!$B$13="最大化",(_slice!K86-04_回帰ANOVA!$K$19*04_回帰ANOVA!$K$14*SQRT(1+_slice!K111))-01_因子設定!$B$14,IF(01_因子設定!$B$13="最小化",01_因子設定!$B$15-(_slice!K86+04_回帰ANOVA!$K$19*04_回帰ANOVA!$K$14*SQRT(1+_slice!K111)),MIN((_slice!K86-04_回帰ANOVA!$K$19*04_回帰ANOVA!$K$14*SQRT(1+_slice!K111))-01_因子設定!$B$14,01_因子設定!$B$15-(_slice!K86+04_回帰ANOVA!$K$19*04_回帰ANOVA!$K$14*SQRT(1+_slice!K111))))),"外")</f>
        <v>-1.83065244413601</v>
      </c>
      <c r="L54" s="50" t="n">
        <f aca="false">IF(AND(_slice!$H$5=1,L$40&gt;=_slice!$H$6-0.000000001,L$40&lt;=_slice!$I$6+0.000000001,$B54&gt;=_slice!$H$7-0.000000001,$B54&lt;=_slice!$I$7+0.000000001,IF(01_因子設定!$B$20="Box-Behnken",L$40^2+$B54^2+_slice!$H$8&lt;=2+0.000000001,TRUE())),IF(01_因子設定!$B$13="最大化",(_slice!L86-04_回帰ANOVA!$K$19*04_回帰ANOVA!$K$14*SQRT(1+_slice!L111))-01_因子設定!$B$14,IF(01_因子設定!$B$13="最小化",01_因子設定!$B$15-(_slice!L86+04_回帰ANOVA!$K$19*04_回帰ANOVA!$K$14*SQRT(1+_slice!L111)),MIN((_slice!L86-04_回帰ANOVA!$K$19*04_回帰ANOVA!$K$14*SQRT(1+_slice!L111))-01_因子設定!$B$14,01_因子設定!$B$15-(_slice!L86+04_回帰ANOVA!$K$19*04_回帰ANOVA!$K$14*SQRT(1+_slice!L111))))),"外")</f>
        <v>-1.52867687707437</v>
      </c>
      <c r="M54" s="50" t="n">
        <f aca="false">IF(AND(_slice!$H$5=1,M$40&gt;=_slice!$H$6-0.000000001,M$40&lt;=_slice!$I$6+0.000000001,$B54&gt;=_slice!$H$7-0.000000001,$B54&lt;=_slice!$I$7+0.000000001,IF(01_因子設定!$B$20="Box-Behnken",M$40^2+$B54^2+_slice!$H$8&lt;=2+0.000000001,TRUE())),IF(01_因子設定!$B$13="最大化",(_slice!M86-04_回帰ANOVA!$K$19*04_回帰ANOVA!$K$14*SQRT(1+_slice!M111))-01_因子設定!$B$14,IF(01_因子設定!$B$13="最小化",01_因子設定!$B$15-(_slice!M86+04_回帰ANOVA!$K$19*04_回帰ANOVA!$K$14*SQRT(1+_slice!M111)),MIN((_slice!M86-04_回帰ANOVA!$K$19*04_回帰ANOVA!$K$14*SQRT(1+_slice!M111))-01_因子設定!$B$14,01_因子設定!$B$15-(_slice!M86+04_回帰ANOVA!$K$19*04_回帰ANOVA!$K$14*SQRT(1+_slice!M111))))),"外")</f>
        <v>-1.2759973323354</v>
      </c>
      <c r="N54" s="50" t="n">
        <f aca="false">IF(AND(_slice!$H$5=1,N$40&gt;=_slice!$H$6-0.000000001,N$40&lt;=_slice!$I$6+0.000000001,$B54&gt;=_slice!$H$7-0.000000001,$B54&lt;=_slice!$I$7+0.000000001,IF(01_因子設定!$B$20="Box-Behnken",N$40^2+$B54^2+_slice!$H$8&lt;=2+0.000000001,TRUE())),IF(01_因子設定!$B$13="最大化",(_slice!N86-04_回帰ANOVA!$K$19*04_回帰ANOVA!$K$14*SQRT(1+_slice!N111))-01_因子設定!$B$14,IF(01_因子設定!$B$13="最小化",01_因子設定!$B$15-(_slice!N86+04_回帰ANOVA!$K$19*04_回帰ANOVA!$K$14*SQRT(1+_slice!N111)),MIN((_slice!N86-04_回帰ANOVA!$K$19*04_回帰ANOVA!$K$14*SQRT(1+_slice!N111))-01_因子設定!$B$14,01_因子設定!$B$15-(_slice!N86+04_回帰ANOVA!$K$19*04_回帰ANOVA!$K$14*SQRT(1+_slice!N111))))),"外")</f>
        <v>-1.07242687707437</v>
      </c>
      <c r="O54" s="50" t="n">
        <f aca="false">IF(AND(_slice!$H$5=1,O$40&gt;=_slice!$H$6-0.000000001,O$40&lt;=_slice!$I$6+0.000000001,$B54&gt;=_slice!$H$7-0.000000001,$B54&lt;=_slice!$I$7+0.000000001,IF(01_因子設定!$B$20="Box-Behnken",O$40^2+$B54^2+_slice!$H$8&lt;=2+0.000000001,TRUE())),IF(01_因子設定!$B$13="最大化",(_slice!O86-04_回帰ANOVA!$K$19*04_回帰ANOVA!$K$14*SQRT(1+_slice!O111))-01_因子設定!$B$14,IF(01_因子設定!$B$13="最小化",01_因子設定!$B$15-(_slice!O86+04_回帰ANOVA!$K$19*04_回帰ANOVA!$K$14*SQRT(1+_slice!O111)),MIN((_slice!O86-04_回帰ANOVA!$K$19*04_回帰ANOVA!$K$14*SQRT(1+_slice!O111))-01_因子設定!$B$14,01_因子設定!$B$15-(_slice!O86+04_回帰ANOVA!$K$19*04_回帰ANOVA!$K$14*SQRT(1+_slice!O111))))),"外")</f>
        <v>-0.918152444136005</v>
      </c>
      <c r="P54" s="50" t="n">
        <f aca="false">IF(AND(_slice!$H$5=1,P$40&gt;=_slice!$H$6-0.000000001,P$40&lt;=_slice!$I$6+0.000000001,$B54&gt;=_slice!$H$7-0.000000001,$B54&lt;=_slice!$I$7+0.000000001,IF(01_因子設定!$B$20="Box-Behnken",P$40^2+$B54^2+_slice!$H$8&lt;=2+0.000000001,TRUE())),IF(01_因子設定!$B$13="最大化",(_slice!P86-04_回帰ANOVA!$K$19*04_回帰ANOVA!$K$14*SQRT(1+_slice!P111))-01_因子設定!$B$14,IF(01_因子設定!$B$13="最小化",01_因子設定!$B$15-(_slice!P86+04_回帰ANOVA!$K$19*04_回帰ANOVA!$K$14*SQRT(1+_slice!P111)),MIN((_slice!P86-04_回帰ANOVA!$K$19*04_回帰ANOVA!$K$14*SQRT(1+_slice!P111))-01_因子設定!$B$14,01_因子設定!$B$15-(_slice!P86+04_回帰ANOVA!$K$19*04_回帰ANOVA!$K$14*SQRT(1+_slice!P111))))),"外")</f>
        <v>-0.813735526356432</v>
      </c>
      <c r="Q54" s="50" t="n">
        <f aca="false">IF(AND(_slice!$H$5=1,Q$40&gt;=_slice!$H$6-0.000000001,Q$40&lt;=_slice!$I$6+0.000000001,$B54&gt;=_slice!$H$7-0.000000001,$B54&lt;=_slice!$I$7+0.000000001,IF(01_因子設定!$B$20="Box-Behnken",Q$40^2+$B54^2+_slice!$H$8&lt;=2+0.000000001,TRUE())),IF(01_因子設定!$B$13="最大化",(_slice!Q86-04_回帰ANOVA!$K$19*04_回帰ANOVA!$K$14*SQRT(1+_slice!Q111))-01_因子設定!$B$14,IF(01_因子設定!$B$13="最小化",01_因子設定!$B$15-(_slice!Q86+04_回帰ANOVA!$K$19*04_回帰ANOVA!$K$14*SQRT(1+_slice!Q111)),MIN((_slice!Q86-04_回帰ANOVA!$K$19*04_回帰ANOVA!$K$14*SQRT(1+_slice!Q111))-01_因子設定!$B$14,01_因子設定!$B$15-(_slice!Q86+04_回帰ANOVA!$K$19*04_回帰ANOVA!$K$14*SQRT(1+_slice!Q111))))),"外")</f>
        <v>-0.760111827865742</v>
      </c>
      <c r="R54" s="50" t="n">
        <f aca="false">IF(AND(_slice!$H$5=1,R$40&gt;=_slice!$H$6-0.000000001,R$40&lt;=_slice!$I$6+0.000000001,$B54&gt;=_slice!$H$7-0.000000001,$B54&lt;=_slice!$I$7+0.000000001,IF(01_因子設定!$B$20="Box-Behnken",R$40^2+$B54^2+_slice!$H$8&lt;=2+0.000000001,TRUE())),IF(01_因子設定!$B$13="最大化",(_slice!R86-04_回帰ANOVA!$K$19*04_回帰ANOVA!$K$14*SQRT(1+_slice!R111))-01_因子設定!$B$14,IF(01_因子設定!$B$13="最小化",01_因子設定!$B$15-(_slice!R86+04_回帰ANOVA!$K$19*04_回帰ANOVA!$K$14*SQRT(1+_slice!R111)),MIN((_slice!R86-04_回帰ANOVA!$K$19*04_回帰ANOVA!$K$14*SQRT(1+_slice!R111))-01_因子設定!$B$14,01_因子設定!$B$15-(_slice!R86+04_回帰ANOVA!$K$19*04_回帰ANOVA!$K$14*SQRT(1+_slice!R111))))),"外")</f>
        <v>-0.758582611318431</v>
      </c>
      <c r="S54" s="50" t="n">
        <f aca="false">IF(AND(_slice!$H$5=1,S$40&gt;=_slice!$H$6-0.000000001,S$40&lt;=_slice!$I$6+0.000000001,$B54&gt;=_slice!$H$7-0.000000001,$B54&lt;=_slice!$I$7+0.000000001,IF(01_因子設定!$B$20="Box-Behnken",S$40^2+$B54^2+_slice!$H$8&lt;=2+0.000000001,TRUE())),IF(01_因子設定!$B$13="最大化",(_slice!S86-04_回帰ANOVA!$K$19*04_回帰ANOVA!$K$14*SQRT(1+_slice!S111))-01_因子設定!$B$14,IF(01_因子設定!$B$13="最小化",01_因子設定!$B$15-(_slice!S86+04_回帰ANOVA!$K$19*04_回帰ANOVA!$K$14*SQRT(1+_slice!S111)),MIN((_slice!S86-04_回帰ANOVA!$K$19*04_回帰ANOVA!$K$14*SQRT(1+_slice!S111))-01_因子設定!$B$14,01_因子設定!$B$15-(_slice!S86+04_回帰ANOVA!$K$19*04_回帰ANOVA!$K$14*SQRT(1+_slice!S111))))),"外")</f>
        <v>-0.810786188151589</v>
      </c>
      <c r="T54" s="50" t="n">
        <f aca="false">IF(AND(_slice!$H$5=1,T$40&gt;=_slice!$H$6-0.000000001,T$40&lt;=_slice!$I$6+0.000000001,$B54&gt;=_slice!$H$7-0.000000001,$B54&lt;=_slice!$I$7+0.000000001,IF(01_因子設定!$B$20="Box-Behnken",T$40^2+$B54^2+_slice!$H$8&lt;=2+0.000000001,TRUE())),IF(01_因子設定!$B$13="最大化",(_slice!T86-04_回帰ANOVA!$K$19*04_回帰ANOVA!$K$14*SQRT(1+_slice!T111))-01_因子設定!$B$14,IF(01_因子設定!$B$13="最小化",01_因子設定!$B$15-(_slice!T86+04_回帰ANOVA!$K$19*04_回帰ANOVA!$K$14*SQRT(1+_slice!T111)),MIN((_slice!T86-04_回帰ANOVA!$K$19*04_回帰ANOVA!$K$14*SQRT(1+_slice!T111))-01_因子設定!$B$14,01_因子設定!$B$15-(_slice!T86+04_回帰ANOVA!$K$19*04_回帰ANOVA!$K$14*SQRT(1+_slice!T111))))),"外")</f>
        <v>-0.918635939428746</v>
      </c>
      <c r="U54" s="50" t="n">
        <f aca="false">IF(AND(_slice!$H$5=1,U$40&gt;=_slice!$H$6-0.000000001,U$40&lt;=_slice!$I$6+0.000000001,$B54&gt;=_slice!$H$7-0.000000001,$B54&lt;=_slice!$I$7+0.000000001,IF(01_因子設定!$B$20="Box-Behnken",U$40^2+$B54^2+_slice!$H$8&lt;=2+0.000000001,TRUE())),IF(01_因子設定!$B$13="最大化",(_slice!U86-04_回帰ANOVA!$K$19*04_回帰ANOVA!$K$14*SQRT(1+_slice!U111))-01_因子設定!$B$14,IF(01_因子設定!$B$13="最小化",01_因子設定!$B$15-(_slice!U86+04_回帰ANOVA!$K$19*04_回帰ANOVA!$K$14*SQRT(1+_slice!U111)),MIN((_slice!U86-04_回帰ANOVA!$K$19*04_回帰ANOVA!$K$14*SQRT(1+_slice!U111))-01_因子設定!$B$14,01_因子設定!$B$15-(_slice!U86+04_回帰ANOVA!$K$19*04_回帰ANOVA!$K$14*SQRT(1+_slice!U111))))),"外")</f>
        <v>-1.08421442329186</v>
      </c>
      <c r="V54" s="50" t="n">
        <f aca="false">IF(AND(_slice!$H$5=1,V$40&gt;=_slice!$H$6-0.000000001,V$40&lt;=_slice!$I$6+0.000000001,$B54&gt;=_slice!$H$7-0.000000001,$B54&lt;=_slice!$I$7+0.000000001,IF(01_因子設定!$B$20="Box-Behnken",V$40^2+$B54^2+_slice!$H$8&lt;=2+0.000000001,TRUE())),IF(01_因子設定!$B$13="最大化",(_slice!V86-04_回帰ANOVA!$K$19*04_回帰ANOVA!$K$14*SQRT(1+_slice!V111))-01_因子設定!$B$14,IF(01_因子設定!$B$13="最小化",01_因子設定!$B$15-(_slice!V86+04_回帰ANOVA!$K$19*04_回帰ANOVA!$K$14*SQRT(1+_slice!V111)),MIN((_slice!V86-04_回帰ANOVA!$K$19*04_回帰ANOVA!$K$14*SQRT(1+_slice!V111))-01_因子設定!$B$14,01_因子設定!$B$15-(_slice!V86+04_回帰ANOVA!$K$19*04_回帰ANOVA!$K$14*SQRT(1+_slice!V111))))),"外")</f>
        <v>-1.30962427889356</v>
      </c>
      <c r="W54" s="50" t="n">
        <f aca="false">IF(AND(_slice!$H$5=1,W$40&gt;=_slice!$H$6-0.000000001,W$40&lt;=_slice!$I$6+0.000000001,$B54&gt;=_slice!$H$7-0.000000001,$B54&lt;=_slice!$I$7+0.000000001,IF(01_因子設定!$B$20="Box-Behnken",W$40^2+$B54^2+_slice!$H$8&lt;=2+0.000000001,TRUE())),IF(01_因子設定!$B$13="最大化",(_slice!W86-04_回帰ANOVA!$K$19*04_回帰ANOVA!$K$14*SQRT(1+_slice!W111))-01_因子設定!$B$14,IF(01_因子設定!$B$13="最小化",01_因子設定!$B$15-(_slice!W86+04_回帰ANOVA!$K$19*04_回帰ANOVA!$K$14*SQRT(1+_slice!W111)),MIN((_slice!W86-04_回帰ANOVA!$K$19*04_回帰ANOVA!$K$14*SQRT(1+_slice!W111))-01_因子設定!$B$14,01_因子設定!$B$15-(_slice!W86+04_回帰ANOVA!$K$19*04_回帰ANOVA!$K$14*SQRT(1+_slice!W111))))),"外")</f>
        <v>-1.59681471481532</v>
      </c>
    </row>
    <row r="55" customFormat="false" ht="15" hidden="false" customHeight="false" outlineLevel="0" collapsed="false">
      <c r="A55" s="49" t="n">
        <f aca="false">INDEX(01_因子設定!$G$5:$G$7,$C$5)+B55*INDEX(01_因子設定!$H$5:$H$7,$C$5)</f>
        <v>27</v>
      </c>
      <c r="B55" s="49" t="n">
        <v>-0.3</v>
      </c>
      <c r="C55" s="50" t="n">
        <f aca="false">IF(AND(_slice!$H$5=1,C$40&gt;=_slice!$H$6-0.000000001,C$40&lt;=_slice!$I$6+0.000000001,$B55&gt;=_slice!$H$7-0.000000001,$B55&lt;=_slice!$I$7+0.000000001,IF(01_因子設定!$B$20="Box-Behnken",C$40^2+$B55^2+_slice!$H$8&lt;=2+0.000000001,TRUE())),IF(01_因子設定!$B$13="最大化",(_slice!C87-04_回帰ANOVA!$K$19*04_回帰ANOVA!$K$14*SQRT(1+_slice!C112))-01_因子設定!$B$14,IF(01_因子設定!$B$13="最小化",01_因子設定!$B$15-(_slice!C87+04_回帰ANOVA!$K$19*04_回帰ANOVA!$K$14*SQRT(1+_slice!C112)),MIN((_slice!C87-04_回帰ANOVA!$K$19*04_回帰ANOVA!$K$14*SQRT(1+_slice!C112))-01_因子設定!$B$14,01_因子設定!$B$15-(_slice!C87+04_回帰ANOVA!$K$19*04_回帰ANOVA!$K$14*SQRT(1+_slice!C112))))),"外")</f>
        <v>-6.37045638013569</v>
      </c>
      <c r="D55" s="50" t="n">
        <f aca="false">IF(AND(_slice!$H$5=1,D$40&gt;=_slice!$H$6-0.000000001,D$40&lt;=_slice!$I$6+0.000000001,$B55&gt;=_slice!$H$7-0.000000001,$B55&lt;=_slice!$I$7+0.000000001,IF(01_因子設定!$B$20="Box-Behnken",D$40^2+$B55^2+_slice!$H$8&lt;=2+0.000000001,TRUE())),IF(01_因子設定!$B$13="最大化",(_slice!D87-04_回帰ANOVA!$K$19*04_回帰ANOVA!$K$14*SQRT(1+_slice!D112))-01_因子設定!$B$14,IF(01_因子設定!$B$13="最小化",01_因子設定!$B$15-(_slice!D87+04_回帰ANOVA!$K$19*04_回帰ANOVA!$K$14*SQRT(1+_slice!D112)),MIN((_slice!D87-04_回帰ANOVA!$K$19*04_回帰ANOVA!$K$14*SQRT(1+_slice!D112))-01_因子設定!$B$14,01_因子設定!$B$15-(_slice!D87+04_回帰ANOVA!$K$19*04_回帰ANOVA!$K$14*SQRT(1+_slice!D112))))),"外")</f>
        <v>-5.63970759123919</v>
      </c>
      <c r="E55" s="50" t="n">
        <f aca="false">IF(AND(_slice!$H$5=1,E$40&gt;=_slice!$H$6-0.000000001,E$40&lt;=_slice!$I$6+0.000000001,$B55&gt;=_slice!$H$7-0.000000001,$B55&lt;=_slice!$I$7+0.000000001,IF(01_因子設定!$B$20="Box-Behnken",E$40^2+$B55^2+_slice!$H$8&lt;=2+0.000000001,TRUE())),IF(01_因子設定!$B$13="最大化",(_slice!E87-04_回帰ANOVA!$K$19*04_回帰ANOVA!$K$14*SQRT(1+_slice!E112))-01_因子設定!$B$14,IF(01_因子設定!$B$13="最小化",01_因子設定!$B$15-(_slice!E87+04_回帰ANOVA!$K$19*04_回帰ANOVA!$K$14*SQRT(1+_slice!E112)),MIN((_slice!E87-04_回帰ANOVA!$K$19*04_回帰ANOVA!$K$14*SQRT(1+_slice!E112))-01_因子設定!$B$14,01_因子設定!$B$15-(_slice!E87+04_回帰ANOVA!$K$19*04_回帰ANOVA!$K$14*SQRT(1+_slice!E112))))),"外")</f>
        <v>-4.970738818088</v>
      </c>
      <c r="F55" s="50" t="n">
        <f aca="false">IF(AND(_slice!$H$5=1,F$40&gt;=_slice!$H$6-0.000000001,F$40&lt;=_slice!$I$6+0.000000001,$B55&gt;=_slice!$H$7-0.000000001,$B55&lt;=_slice!$I$7+0.000000001,IF(01_因子設定!$B$20="Box-Behnken",F$40^2+$B55^2+_slice!$H$8&lt;=2+0.000000001,TRUE())),IF(01_因子設定!$B$13="最大化",(_slice!F87-04_回帰ANOVA!$K$19*04_回帰ANOVA!$K$14*SQRT(1+_slice!F112))-01_因子設定!$B$14,IF(01_因子設定!$B$13="最小化",01_因子設定!$B$15-(_slice!F87+04_回帰ANOVA!$K$19*04_回帰ANOVA!$K$14*SQRT(1+_slice!F112)),MIN((_slice!F87-04_回帰ANOVA!$K$19*04_回帰ANOVA!$K$14*SQRT(1+_slice!F112))-01_因子設定!$B$14,01_因子設定!$B$15-(_slice!F87+04_回帰ANOVA!$K$19*04_回帰ANOVA!$K$14*SQRT(1+_slice!F112))))),"外")</f>
        <v>-4.36158223920855</v>
      </c>
      <c r="G55" s="50" t="n">
        <f aca="false">IF(AND(_slice!$H$5=1,G$40&gt;=_slice!$H$6-0.000000001,G$40&lt;=_slice!$I$6+0.000000001,$B55&gt;=_slice!$H$7-0.000000001,$B55&lt;=_slice!$I$7+0.000000001,IF(01_因子設定!$B$20="Box-Behnken",G$40^2+$B55^2+_slice!$H$8&lt;=2+0.000000001,TRUE())),IF(01_因子設定!$B$13="最大化",(_slice!G87-04_回帰ANOVA!$K$19*04_回帰ANOVA!$K$14*SQRT(1+_slice!G112))-01_因子設定!$B$14,IF(01_因子設定!$B$13="最小化",01_因子設定!$B$15-(_slice!G87+04_回帰ANOVA!$K$19*04_回帰ANOVA!$K$14*SQRT(1+_slice!G112)),MIN((_slice!G87-04_回帰ANOVA!$K$19*04_回帰ANOVA!$K$14*SQRT(1+_slice!G112))-01_因子設定!$B$14,01_因子設定!$B$15-(_slice!G87+04_回帰ANOVA!$K$19*04_回帰ANOVA!$K$14*SQRT(1+_slice!G112))))),"外")</f>
        <v>-3.81011885925047</v>
      </c>
      <c r="H55" s="50" t="n">
        <f aca="false">IF(AND(_slice!$H$5=1,H$40&gt;=_slice!$H$6-0.000000001,H$40&lt;=_slice!$I$6+0.000000001,$B55&gt;=_slice!$H$7-0.000000001,$B55&lt;=_slice!$I$7+0.000000001,IF(01_因子設定!$B$20="Box-Behnken",H$40^2+$B55^2+_slice!$H$8&lt;=2+0.000000001,TRUE())),IF(01_因子設定!$B$13="最大化",(_slice!H87-04_回帰ANOVA!$K$19*04_回帰ANOVA!$K$14*SQRT(1+_slice!H112))-01_因子設定!$B$14,IF(01_因子設定!$B$13="最小化",01_因子設定!$B$15-(_slice!H87+04_回帰ANOVA!$K$19*04_回帰ANOVA!$K$14*SQRT(1+_slice!H112)),MIN((_slice!H87-04_回帰ANOVA!$K$19*04_回帰ANOVA!$K$14*SQRT(1+_slice!H112))-01_因子設定!$B$14,01_因子設定!$B$15-(_slice!H87+04_回帰ANOVA!$K$19*04_回帰ANOVA!$K$14*SQRT(1+_slice!H112))))),"外")</f>
        <v>-3.31425365483982</v>
      </c>
      <c r="I55" s="50" t="n">
        <f aca="false">IF(AND(_slice!$H$5=1,I$40&gt;=_slice!$H$6-0.000000001,I$40&lt;=_slice!$I$6+0.000000001,$B55&gt;=_slice!$H$7-0.000000001,$B55&lt;=_slice!$I$7+0.000000001,IF(01_因子設定!$B$20="Box-Behnken",I$40^2+$B55^2+_slice!$H$8&lt;=2+0.000000001,TRUE())),IF(01_因子設定!$B$13="最大化",(_slice!I87-04_回帰ANOVA!$K$19*04_回帰ANOVA!$K$14*SQRT(1+_slice!I112))-01_因子設定!$B$14,IF(01_因子設定!$B$13="最小化",01_因子設定!$B$15-(_slice!I87+04_回帰ANOVA!$K$19*04_回帰ANOVA!$K$14*SQRT(1+_slice!I112)),MIN((_slice!I87-04_回帰ANOVA!$K$19*04_回帰ANOVA!$K$14*SQRT(1+_slice!I112))-01_因子設定!$B$14,01_因子設定!$B$15-(_slice!I87+04_回帰ANOVA!$K$19*04_回帰ANOVA!$K$14*SQRT(1+_slice!I112))))),"外")</f>
        <v>-2.87206502963739</v>
      </c>
      <c r="J55" s="50" t="n">
        <f aca="false">IF(AND(_slice!$H$5=1,J$40&gt;=_slice!$H$6-0.000000001,J$40&lt;=_slice!$I$6+0.000000001,$B55&gt;=_slice!$H$7-0.000000001,$B55&lt;=_slice!$I$7+0.000000001,IF(01_因子設定!$B$20="Box-Behnken",J$40^2+$B55^2+_slice!$H$8&lt;=2+0.000000001,TRUE())),IF(01_因子設定!$B$13="最大化",(_slice!J87-04_回帰ANOVA!$K$19*04_回帰ANOVA!$K$14*SQRT(1+_slice!J112))-01_因子設定!$B$14,IF(01_因子設定!$B$13="最小化",01_因子設定!$B$15-(_slice!J87+04_回帰ANOVA!$K$19*04_回帰ANOVA!$K$14*SQRT(1+_slice!J112)),MIN((_slice!J87-04_回帰ANOVA!$K$19*04_回帰ANOVA!$K$14*SQRT(1+_slice!J112))-01_因子設定!$B$14,01_因子設定!$B$15-(_slice!J87+04_回帰ANOVA!$K$19*04_回帰ANOVA!$K$14*SQRT(1+_slice!J112))))),"外")</f>
        <v>-2.48191008648844</v>
      </c>
      <c r="K55" s="50" t="n">
        <f aca="false">IF(AND(_slice!$H$5=1,K$40&gt;=_slice!$H$6-0.000000001,K$40&lt;=_slice!$I$6+0.000000001,$B55&gt;=_slice!$H$7-0.000000001,$B55&lt;=_slice!$I$7+0.000000001,IF(01_因子設定!$B$20="Box-Behnken",K$40^2+$B55^2+_slice!$H$8&lt;=2+0.000000001,TRUE())),IF(01_因子設定!$B$13="最大化",(_slice!K87-04_回帰ANOVA!$K$19*04_回帰ANOVA!$K$14*SQRT(1+_slice!K112))-01_因子設定!$B$14,IF(01_因子設定!$B$13="最小化",01_因子設定!$B$15-(_slice!K87+04_回帰ANOVA!$K$19*04_回帰ANOVA!$K$14*SQRT(1+_slice!K112)),MIN((_slice!K87-04_回帰ANOVA!$K$19*04_回帰ANOVA!$K$14*SQRT(1+_slice!K112))-01_因子設定!$B$14,01_因子設定!$B$15-(_slice!K87+04_回帰ANOVA!$K$19*04_回帰ANOVA!$K$14*SQRT(1+_slice!K112))))),"外")</f>
        <v>-2.14248552635642</v>
      </c>
      <c r="L55" s="50" t="n">
        <f aca="false">IF(AND(_slice!$H$5=1,L$40&gt;=_slice!$H$6-0.000000001,L$40&lt;=_slice!$I$6+0.000000001,$B55&gt;=_slice!$H$7-0.000000001,$B55&lt;=_slice!$I$7+0.000000001,IF(01_因子設定!$B$20="Box-Behnken",L$40^2+$B55^2+_slice!$H$8&lt;=2+0.000000001,TRUE())),IF(01_因子設定!$B$13="最大化",(_slice!L87-04_回帰ANOVA!$K$19*04_回帰ANOVA!$K$14*SQRT(1+_slice!L112))-01_因子設定!$B$14,IF(01_因子設定!$B$13="最小化",01_因子設定!$B$15-(_slice!L87+04_回帰ANOVA!$K$19*04_回帰ANOVA!$K$14*SQRT(1+_slice!L112)),MIN((_slice!L87-04_回帰ANOVA!$K$19*04_回帰ANOVA!$K$14*SQRT(1+_slice!L112))-01_因子設定!$B$14,01_因子設定!$B$15-(_slice!L87+04_回帰ANOVA!$K$19*04_回帰ANOVA!$K$14*SQRT(1+_slice!L112))))),"外")</f>
        <v>-1.85285505953827</v>
      </c>
      <c r="M55" s="50" t="n">
        <f aca="false">IF(AND(_slice!$H$5=1,M$40&gt;=_slice!$H$6-0.000000001,M$40&lt;=_slice!$I$6+0.000000001,$B55&gt;=_slice!$H$7-0.000000001,$B55&lt;=_slice!$I$7+0.000000001,IF(01_因子設定!$B$20="Box-Behnken",M$40^2+$B55^2+_slice!$H$8&lt;=2+0.000000001,TRUE())),IF(01_因子設定!$B$13="最大化",(_slice!M87-04_回帰ANOVA!$K$19*04_回帰ANOVA!$K$14*SQRT(1+_slice!M112))-01_因子設定!$B$14,IF(01_因子設定!$B$13="最小化",01_因子設定!$B$15-(_slice!M87+04_回帰ANOVA!$K$19*04_回帰ANOVA!$K$14*SQRT(1+_slice!M112)),MIN((_slice!M87-04_回帰ANOVA!$K$19*04_回帰ANOVA!$K$14*SQRT(1+_slice!M112))-01_因子設定!$B$14,01_因子設定!$B$15-(_slice!M87+04_回帰ANOVA!$K$19*04_回帰ANOVA!$K$14*SQRT(1+_slice!M112))))),"外")</f>
        <v>-1.61245719505962</v>
      </c>
      <c r="N55" s="50" t="n">
        <f aca="false">IF(AND(_slice!$H$5=1,N$40&gt;=_slice!$H$6-0.000000001,N$40&lt;=_slice!$I$6+0.000000001,$B55&gt;=_slice!$H$7-0.000000001,$B55&lt;=_slice!$I$7+0.000000001,IF(01_因子設定!$B$20="Box-Behnken",N$40^2+$B55^2+_slice!$H$8&lt;=2+0.000000001,TRUE())),IF(01_因子設定!$B$13="最大化",(_slice!N87-04_回帰ANOVA!$K$19*04_回帰ANOVA!$K$14*SQRT(1+_slice!N112))-01_因子設定!$B$14,IF(01_因子設定!$B$13="最小化",01_因子設定!$B$15-(_slice!N87+04_回帰ANOVA!$K$19*04_回帰ANOVA!$K$14*SQRT(1+_slice!N112)),MIN((_slice!N87-04_回帰ANOVA!$K$19*04_回帰ANOVA!$K$14*SQRT(1+_slice!N112))-01_因子設定!$B$14,01_因子設定!$B$15-(_slice!N87+04_回帰ANOVA!$K$19*04_回帰ANOVA!$K$14*SQRT(1+_slice!N112))))),"外")</f>
        <v>-1.42110505953826</v>
      </c>
      <c r="O55" s="50" t="n">
        <f aca="false">IF(AND(_slice!$H$5=1,O$40&gt;=_slice!$H$6-0.000000001,O$40&lt;=_slice!$I$6+0.000000001,$B55&gt;=_slice!$H$7-0.000000001,$B55&lt;=_slice!$I$7+0.000000001,IF(01_因子設定!$B$20="Box-Behnken",O$40^2+$B55^2+_slice!$H$8&lt;=2+0.000000001,TRUE())),IF(01_因子設定!$B$13="最大化",(_slice!O87-04_回帰ANOVA!$K$19*04_回帰ANOVA!$K$14*SQRT(1+_slice!O112))-01_因子設定!$B$14,IF(01_因子設定!$B$13="最小化",01_因子設定!$B$15-(_slice!O87+04_回帰ANOVA!$K$19*04_回帰ANOVA!$K$14*SQRT(1+_slice!O112)),MIN((_slice!O87-04_回帰ANOVA!$K$19*04_回帰ANOVA!$K$14*SQRT(1+_slice!O112))-01_因子設定!$B$14,01_因子設定!$B$15-(_slice!O87+04_回帰ANOVA!$K$19*04_回帰ANOVA!$K$14*SQRT(1+_slice!O112))))),"外")</f>
        <v>-1.27898552635642</v>
      </c>
      <c r="P55" s="50" t="n">
        <f aca="false">IF(AND(_slice!$H$5=1,P$40&gt;=_slice!$H$6-0.000000001,P$40&lt;=_slice!$I$6+0.000000001,$B55&gt;=_slice!$H$7-0.000000001,$B55&lt;=_slice!$I$7+0.000000001,IF(01_因子設定!$B$20="Box-Behnken",P$40^2+$B55^2+_slice!$H$8&lt;=2+0.000000001,TRUE())),IF(01_因子設定!$B$13="最大化",(_slice!P87-04_回帰ANOVA!$K$19*04_回帰ANOVA!$K$14*SQRT(1+_slice!P112))-01_因子設定!$B$14,IF(01_因子設定!$B$13="最小化",01_因子設定!$B$15-(_slice!P87+04_回帰ANOVA!$K$19*04_回帰ANOVA!$K$14*SQRT(1+_slice!P112)),MIN((_slice!P87-04_回帰ANOVA!$K$19*04_回帰ANOVA!$K$14*SQRT(1+_slice!P112))-01_因子設定!$B$14,01_因子設定!$B$15-(_slice!P87+04_回帰ANOVA!$K$19*04_回帰ANOVA!$K$14*SQRT(1+_slice!P112))))),"外")</f>
        <v>-1.18666008648844</v>
      </c>
      <c r="Q55" s="50" t="n">
        <f aca="false">IF(AND(_slice!$H$5=1,Q$40&gt;=_slice!$H$6-0.000000001,Q$40&lt;=_slice!$I$6+0.000000001,$B55&gt;=_slice!$H$7-0.000000001,$B55&lt;=_slice!$I$7+0.000000001,IF(01_因子設定!$B$20="Box-Behnken",Q$40^2+$B55^2+_slice!$H$8&lt;=2+0.000000001,TRUE())),IF(01_因子設定!$B$13="最大化",(_slice!Q87-04_回帰ANOVA!$K$19*04_回帰ANOVA!$K$14*SQRT(1+_slice!Q112))-01_因子設定!$B$14,IF(01_因子設定!$B$13="最小化",01_因子設定!$B$15-(_slice!Q87+04_回帰ANOVA!$K$19*04_回帰ANOVA!$K$14*SQRT(1+_slice!Q112)),MIN((_slice!Q87-04_回帰ANOVA!$K$19*04_回帰ANOVA!$K$14*SQRT(1+_slice!Q112))-01_因子設定!$B$14,01_因子設定!$B$15-(_slice!Q87+04_回帰ANOVA!$K$19*04_回帰ANOVA!$K$14*SQRT(1+_slice!Q112))))),"外")</f>
        <v>-1.14506502963739</v>
      </c>
      <c r="R55" s="50" t="n">
        <f aca="false">IF(AND(_slice!$H$5=1,R$40&gt;=_slice!$H$6-0.000000001,R$40&lt;=_slice!$I$6+0.000000001,$B55&gt;=_slice!$H$7-0.000000001,$B55&lt;=_slice!$I$7+0.000000001,IF(01_因子設定!$B$20="Box-Behnken",R$40^2+$B55^2+_slice!$H$8&lt;=2+0.000000001,TRUE())),IF(01_因子設定!$B$13="最大化",(_slice!R87-04_回帰ANOVA!$K$19*04_回帰ANOVA!$K$14*SQRT(1+_slice!R112))-01_因子設定!$B$14,IF(01_因子設定!$B$13="最小化",01_因子設定!$B$15-(_slice!R87+04_回帰ANOVA!$K$19*04_回帰ANOVA!$K$14*SQRT(1+_slice!R112)),MIN((_slice!R87-04_回帰ANOVA!$K$19*04_回帰ANOVA!$K$14*SQRT(1+_slice!R112))-01_因子設定!$B$14,01_因子設定!$B$15-(_slice!R87+04_回帰ANOVA!$K$19*04_回帰ANOVA!$K$14*SQRT(1+_slice!R112))))),"外")</f>
        <v>-1.15550365483981</v>
      </c>
      <c r="S55" s="50" t="n">
        <f aca="false">IF(AND(_slice!$H$5=1,S$40&gt;=_slice!$H$6-0.000000001,S$40&lt;=_slice!$I$6+0.000000001,$B55&gt;=_slice!$H$7-0.000000001,$B55&lt;=_slice!$I$7+0.000000001,IF(01_因子設定!$B$20="Box-Behnken",S$40^2+$B55^2+_slice!$H$8&lt;=2+0.000000001,TRUE())),IF(01_因子設定!$B$13="最大化",(_slice!S87-04_回帰ANOVA!$K$19*04_回帰ANOVA!$K$14*SQRT(1+_slice!S112))-01_因子設定!$B$14,IF(01_因子設定!$B$13="最小化",01_因子設定!$B$15-(_slice!S87+04_回帰ANOVA!$K$19*04_回帰ANOVA!$K$14*SQRT(1+_slice!S112)),MIN((_slice!S87-04_回帰ANOVA!$K$19*04_回帰ANOVA!$K$14*SQRT(1+_slice!S112))-01_因子設定!$B$14,01_因子設定!$B$15-(_slice!S87+04_回帰ANOVA!$K$19*04_回帰ANOVA!$K$14*SQRT(1+_slice!S112))))),"外")</f>
        <v>-1.21961885925047</v>
      </c>
      <c r="T55" s="50" t="n">
        <f aca="false">IF(AND(_slice!$H$5=1,T$40&gt;=_slice!$H$6-0.000000001,T$40&lt;=_slice!$I$6+0.000000001,$B55&gt;=_slice!$H$7-0.000000001,$B55&lt;=_slice!$I$7+0.000000001,IF(01_因子設定!$B$20="Box-Behnken",T$40^2+$B55^2+_slice!$H$8&lt;=2+0.000000001,TRUE())),IF(01_因子設定!$B$13="最大化",(_slice!T87-04_回帰ANOVA!$K$19*04_回帰ANOVA!$K$14*SQRT(1+_slice!T112))-01_因子設定!$B$14,IF(01_因子設定!$B$13="最小化",01_因子設定!$B$15-(_slice!T87+04_回帰ANOVA!$K$19*04_回帰ANOVA!$K$14*SQRT(1+_slice!T112)),MIN((_slice!T87-04_回帰ANOVA!$K$19*04_回帰ANOVA!$K$14*SQRT(1+_slice!T112))-01_因子設定!$B$14,01_因子設定!$B$15-(_slice!T87+04_回帰ANOVA!$K$19*04_回帰ANOVA!$K$14*SQRT(1+_slice!T112))))),"外")</f>
        <v>-1.33933223920855</v>
      </c>
      <c r="U55" s="50" t="n">
        <f aca="false">IF(AND(_slice!$H$5=1,U$40&gt;=_slice!$H$6-0.000000001,U$40&lt;=_slice!$I$6+0.000000001,$B55&gt;=_slice!$H$7-0.000000001,$B55&lt;=_slice!$I$7+0.000000001,IF(01_因子設定!$B$20="Box-Behnken",U$40^2+$B55^2+_slice!$H$8&lt;=2+0.000000001,TRUE())),IF(01_因子設定!$B$13="最大化",(_slice!U87-04_回帰ANOVA!$K$19*04_回帰ANOVA!$K$14*SQRT(1+_slice!U112))-01_因子設定!$B$14,IF(01_因子設定!$B$13="最小化",01_因子設定!$B$15-(_slice!U87+04_回帰ANOVA!$K$19*04_回帰ANOVA!$K$14*SQRT(1+_slice!U112)),MIN((_slice!U87-04_回帰ANOVA!$K$19*04_回帰ANOVA!$K$14*SQRT(1+_slice!U112))-01_因子設定!$B$14,01_因子設定!$B$15-(_slice!U87+04_回帰ANOVA!$K$19*04_回帰ANOVA!$K$14*SQRT(1+_slice!U112))))),"外")</f>
        <v>-1.51673881808799</v>
      </c>
      <c r="V55" s="50" t="n">
        <f aca="false">IF(AND(_slice!$H$5=1,V$40&gt;=_slice!$H$6-0.000000001,V$40&lt;=_slice!$I$6+0.000000001,$B55&gt;=_slice!$H$7-0.000000001,$B55&lt;=_slice!$I$7+0.000000001,IF(01_因子設定!$B$20="Box-Behnken",V$40^2+$B55^2+_slice!$H$8&lt;=2+0.000000001,TRUE())),IF(01_因子設定!$B$13="最大化",(_slice!V87-04_回帰ANOVA!$K$19*04_回帰ANOVA!$K$14*SQRT(1+_slice!V112))-01_因子設定!$B$14,IF(01_因子設定!$B$13="最小化",01_因子設定!$B$15-(_slice!V87+04_回帰ANOVA!$K$19*04_回帰ANOVA!$K$14*SQRT(1+_slice!V112)),MIN((_slice!V87-04_回帰ANOVA!$K$19*04_回帰ANOVA!$K$14*SQRT(1+_slice!V112))-01_因子設定!$B$14,01_因子設定!$B$15-(_slice!V87+04_回帰ANOVA!$K$19*04_回帰ANOVA!$K$14*SQRT(1+_slice!V112))))),"外")</f>
        <v>-1.75395759123919</v>
      </c>
      <c r="W55" s="50" t="n">
        <f aca="false">IF(AND(_slice!$H$5=1,W$40&gt;=_slice!$H$6-0.000000001,W$40&lt;=_slice!$I$6+0.000000001,$B55&gt;=_slice!$H$7-0.000000001,$B55&lt;=_slice!$I$7+0.000000001,IF(01_因子設定!$B$20="Box-Behnken",W$40^2+$B55^2+_slice!$H$8&lt;=2+0.000000001,TRUE())),IF(01_因子設定!$B$13="最大化",(_slice!W87-04_回帰ANOVA!$K$19*04_回帰ANOVA!$K$14*SQRT(1+_slice!W112))-01_因子設定!$B$14,IF(01_因子設定!$B$13="最小化",01_因子設定!$B$15-(_slice!W87+04_回帰ANOVA!$K$19*04_回帰ANOVA!$K$14*SQRT(1+_slice!W112)),MIN((_slice!W87-04_回帰ANOVA!$K$19*04_回帰ANOVA!$K$14*SQRT(1+_slice!W112))-01_因子設定!$B$14,01_因子設定!$B$15-(_slice!W87+04_回帰ANOVA!$K$19*04_回帰ANOVA!$K$14*SQRT(1+_slice!W112))))),"外")</f>
        <v>-2.05295638013568</v>
      </c>
    </row>
    <row r="56" customFormat="false" ht="15" hidden="false" customHeight="false" outlineLevel="0" collapsed="false">
      <c r="A56" s="49" t="n">
        <f aca="false">INDEX(01_因子設定!$G$5:$G$7,$C$5)+B56*INDEX(01_因子設定!$H$5:$H$7,$C$5)</f>
        <v>26</v>
      </c>
      <c r="B56" s="49" t="n">
        <v>-0.4</v>
      </c>
      <c r="C56" s="50" t="n">
        <f aca="false">IF(AND(_slice!$H$5=1,C$40&gt;=_slice!$H$6-0.000000001,C$40&lt;=_slice!$I$6+0.000000001,$B56&gt;=_slice!$H$7-0.000000001,$B56&lt;=_slice!$I$7+0.000000001,IF(01_因子設定!$B$20="Box-Behnken",C$40^2+$B56^2+_slice!$H$8&lt;=2+0.000000001,TRUE())),IF(01_因子設定!$B$13="最大化",(_slice!C88-04_回帰ANOVA!$K$19*04_回帰ANOVA!$K$14*SQRT(1+_slice!C113))-01_因子設定!$B$14,IF(01_因子設定!$B$13="最小化",01_因子設定!$B$15-(_slice!C88+04_回帰ANOVA!$K$19*04_回帰ANOVA!$K$14*SQRT(1+_slice!C113)),MIN((_slice!C88-04_回帰ANOVA!$K$19*04_回帰ANOVA!$K$14*SQRT(1+_slice!C113))-01_因子設定!$B$14,01_因子設定!$B$15-(_slice!C88+04_回帰ANOVA!$K$19*04_回帰ANOVA!$K$14*SQRT(1+_slice!C113))))),"外")</f>
        <v>-6.62216435772645</v>
      </c>
      <c r="D56" s="50" t="n">
        <f aca="false">IF(AND(_slice!$H$5=1,D$40&gt;=_slice!$H$6-0.000000001,D$40&lt;=_slice!$I$6+0.000000001,$B56&gt;=_slice!$H$7-0.000000001,$B56&lt;=_slice!$I$7+0.000000001,IF(01_因子設定!$B$20="Box-Behnken",D$40^2+$B56^2+_slice!$H$8&lt;=2+0.000000001,TRUE())),IF(01_因子設定!$B$13="最大化",(_slice!D88-04_回帰ANOVA!$K$19*04_回帰ANOVA!$K$14*SQRT(1+_slice!D113))-01_因子設定!$B$14,IF(01_因子設定!$B$13="最小化",01_因子設定!$B$15-(_slice!D88+04_回帰ANOVA!$K$19*04_回帰ANOVA!$K$14*SQRT(1+_slice!D113)),MIN((_slice!D88-04_回帰ANOVA!$K$19*04_回帰ANOVA!$K$14*SQRT(1+_slice!D113))-01_因子設定!$B$14,01_因子設定!$B$15-(_slice!D88+04_回帰ANOVA!$K$19*04_回帰ANOVA!$K$14*SQRT(1+_slice!D113))))),"外")</f>
        <v>-5.90433409495585</v>
      </c>
      <c r="E56" s="50" t="n">
        <f aca="false">IF(AND(_slice!$H$5=1,E$40&gt;=_slice!$H$6-0.000000001,E$40&lt;=_slice!$I$6+0.000000001,$B56&gt;=_slice!$H$7-0.000000001,$B56&lt;=_slice!$I$7+0.000000001,IF(01_因子設定!$B$20="Box-Behnken",E$40^2+$B56^2+_slice!$H$8&lt;=2+0.000000001,TRUE())),IF(01_因子設定!$B$13="最大化",(_slice!E88-04_回帰ANOVA!$K$19*04_回帰ANOVA!$K$14*SQRT(1+_slice!E113))-01_因子設定!$B$14,IF(01_因子設定!$B$13="最小化",01_因子設定!$B$15-(_slice!E88+04_回帰ANOVA!$K$19*04_回帰ANOVA!$K$14*SQRT(1+_slice!E113)),MIN((_slice!E88-04_回帰ANOVA!$K$19*04_回帰ANOVA!$K$14*SQRT(1+_slice!E113))-01_因子設定!$B$14,01_因子設定!$B$15-(_slice!E88+04_回帰ANOVA!$K$19*04_回帰ANOVA!$K$14*SQRT(1+_slice!E113))))),"外")</f>
        <v>-5.24827194045952</v>
      </c>
      <c r="F56" s="50" t="n">
        <f aca="false">IF(AND(_slice!$H$5=1,F$40&gt;=_slice!$H$6-0.000000001,F$40&lt;=_slice!$I$6+0.000000001,$B56&gt;=_slice!$H$7-0.000000001,$B56&lt;=_slice!$I$7+0.000000001,IF(01_因子設定!$B$20="Box-Behnken",F$40^2+$B56^2+_slice!$H$8&lt;=2+0.000000001,TRUE())),IF(01_因子設定!$B$13="最大化",(_slice!F88-04_回帰ANOVA!$K$19*04_回帰ANOVA!$K$14*SQRT(1+_slice!F113))-01_因子設定!$B$14,IF(01_因子設定!$B$13="最小化",01_因子設定!$B$15-(_slice!F88+04_回帰ANOVA!$K$19*04_回帰ANOVA!$K$14*SQRT(1+_slice!F113)),MIN((_slice!F88-04_回帰ANOVA!$K$19*04_回帰ANOVA!$K$14*SQRT(1+_slice!F113))-01_因子設定!$B$14,01_因子設定!$B$15-(_slice!F88+04_回帰ANOVA!$K$19*04_回帰ANOVA!$K$14*SQRT(1+_slice!F113))))),"外")</f>
        <v>-4.65198398918999</v>
      </c>
      <c r="G56" s="50" t="n">
        <f aca="false">IF(AND(_slice!$H$5=1,G$40&gt;=_slice!$H$6-0.000000001,G$40&lt;=_slice!$I$6+0.000000001,$B56&gt;=_slice!$H$7-0.000000001,$B56&lt;=_slice!$I$7+0.000000001,IF(01_因子設定!$B$20="Box-Behnken",G$40^2+$B56^2+_slice!$H$8&lt;=2+0.000000001,TRUE())),IF(01_因子設定!$B$13="最大化",(_slice!G88-04_回帰ANOVA!$K$19*04_回帰ANOVA!$K$14*SQRT(1+_slice!G113))-01_因子設定!$B$14,IF(01_因子設定!$B$13="最小化",01_因子設定!$B$15-(_slice!G88+04_回帰ANOVA!$K$19*04_回帰ANOVA!$K$14*SQRT(1+_slice!G113)),MIN((_slice!G88-04_回帰ANOVA!$K$19*04_回帰ANOVA!$K$14*SQRT(1+_slice!G113))-01_因子設定!$B$14,01_因子設定!$B$15-(_slice!G88+04_回帰ANOVA!$K$19*04_回帰ANOVA!$K$14*SQRT(1+_slice!G113))))),"外")</f>
        <v>-4.11332955114308</v>
      </c>
      <c r="H56" s="50" t="n">
        <f aca="false">IF(AND(_slice!$H$5=1,H$40&gt;=_slice!$H$6-0.000000001,H$40&lt;=_slice!$I$6+0.000000001,$B56&gt;=_slice!$H$7-0.000000001,$B56&lt;=_slice!$I$7+0.000000001,IF(01_因子設定!$B$20="Box-Behnken",H$40^2+$B56^2+_slice!$H$8&lt;=2+0.000000001,TRUE())),IF(01_因子設定!$B$13="最大化",(_slice!H88-04_回帰ANOVA!$K$19*04_回帰ANOVA!$K$14*SQRT(1+_slice!H113))-01_因子設定!$B$14,IF(01_因子設定!$B$13="最小化",01_因子設定!$B$15-(_slice!H88+04_回帰ANOVA!$K$19*04_回帰ANOVA!$K$14*SQRT(1+_slice!H113)),MIN((_slice!H88-04_回帰ANOVA!$K$19*04_回帰ANOVA!$K$14*SQRT(1+_slice!H113))-01_因子設定!$B$14,01_因子設定!$B$15-(_slice!H88+04_回帰ANOVA!$K$19*04_回帰ANOVA!$K$14*SQRT(1+_slice!H113))))),"外")</f>
        <v>-3.63019816074484</v>
      </c>
      <c r="I56" s="50" t="n">
        <f aca="false">IF(AND(_slice!$H$5=1,I$40&gt;=_slice!$H$6-0.000000001,I$40&lt;=_slice!$I$6+0.000000001,$B56&gt;=_slice!$H$7-0.000000001,$B56&lt;=_slice!$I$7+0.000000001,IF(01_因子設定!$B$20="Box-Behnken",I$40^2+$B56^2+_slice!$H$8&lt;=2+0.000000001,TRUE())),IF(01_因子設定!$B$13="最大化",(_slice!I88-04_回帰ANOVA!$K$19*04_回帰ANOVA!$K$14*SQRT(1+_slice!I113))-01_因子設定!$B$14,IF(01_因子設定!$B$13="最小化",01_因子設定!$B$15-(_slice!I88+04_回帰ANOVA!$K$19*04_回帰ANOVA!$K$14*SQRT(1+_slice!I113)),MIN((_slice!I88-04_回帰ANOVA!$K$19*04_回帰ANOVA!$K$14*SQRT(1+_slice!I113))-01_因子設定!$B$14,01_因子設定!$B$15-(_slice!I88+04_回帰ANOVA!$K$19*04_回帰ANOVA!$K$14*SQRT(1+_slice!I113))))),"外")</f>
        <v>-3.20065902883226</v>
      </c>
      <c r="J56" s="50" t="n">
        <f aca="false">IF(AND(_slice!$H$5=1,J$40&gt;=_slice!$H$6-0.000000001,J$40&lt;=_slice!$I$6+0.000000001,$B56&gt;=_slice!$H$7-0.000000001,$B56&lt;=_slice!$I$7+0.000000001,IF(01_因子設定!$B$20="Box-Behnken",J$40^2+$B56^2+_slice!$H$8&lt;=2+0.000000001,TRUE())),IF(01_因子設定!$B$13="最大化",(_slice!J88-04_回帰ANOVA!$K$19*04_回帰ANOVA!$K$14*SQRT(1+_slice!J113))-01_因子設定!$B$14,IF(01_因子設定!$B$13="最小化",01_因子設定!$B$15-(_slice!J88+04_回帰ANOVA!$K$19*04_回帰ANOVA!$K$14*SQRT(1+_slice!J113)),MIN((_slice!J88-04_回帰ANOVA!$K$19*04_回帰ANOVA!$K$14*SQRT(1+_slice!J113))-01_因子設定!$B$14,01_因子設定!$B$15-(_slice!J88+04_回帰ANOVA!$K$19*04_回帰ANOVA!$K$14*SQRT(1+_slice!J113))))),"外")</f>
        <v>-2.82306502963739</v>
      </c>
      <c r="K56" s="50" t="n">
        <f aca="false">IF(AND(_slice!$H$5=1,K$40&gt;=_slice!$H$6-0.000000001,K$40&lt;=_slice!$I$6+0.000000001,$B56&gt;=_slice!$H$7-0.000000001,$B56&lt;=_slice!$I$7+0.000000001,IF(01_因子設定!$B$20="Box-Behnken",K$40^2+$B56^2+_slice!$H$8&lt;=2+0.000000001,TRUE())),IF(01_因子設定!$B$13="最大化",(_slice!K88-04_回帰ANOVA!$K$19*04_回帰ANOVA!$K$14*SQRT(1+_slice!K113))-01_因子設定!$B$14,IF(01_因子設定!$B$13="最小化",01_因子設定!$B$15-(_slice!K88+04_回帰ANOVA!$K$19*04_回帰ANOVA!$K$14*SQRT(1+_slice!K113)),MIN((_slice!K88-04_回帰ANOVA!$K$19*04_回帰ANOVA!$K$14*SQRT(1+_slice!K113))-01_因子設定!$B$14,01_因子設定!$B$15-(_slice!K88+04_回帰ANOVA!$K$19*04_回帰ANOVA!$K$14*SQRT(1+_slice!K113))))),"外")</f>
        <v>-2.49611182786575</v>
      </c>
      <c r="L56" s="50" t="n">
        <f aca="false">IF(AND(_slice!$H$5=1,L$40&gt;=_slice!$H$6-0.000000001,L$40&lt;=_slice!$I$6+0.000000001,$B56&gt;=_slice!$H$7-0.000000001,$B56&lt;=_slice!$I$7+0.000000001,IF(01_因子設定!$B$20="Box-Behnken",L$40^2+$B56^2+_slice!$H$8&lt;=2+0.000000001,TRUE())),IF(01_因子設定!$B$13="最大化",(_slice!L88-04_回帰ANOVA!$K$19*04_回帰ANOVA!$K$14*SQRT(1+_slice!L113))-01_因子設定!$B$14,IF(01_因子設定!$B$13="最小化",01_因子設定!$B$15-(_slice!L88+04_回帰ANOVA!$K$19*04_回帰ANOVA!$K$14*SQRT(1+_slice!L113)),MIN((_slice!L88-04_回帰ANOVA!$K$19*04_回帰ANOVA!$K$14*SQRT(1+_slice!L113))-01_因子設定!$B$14,01_因子設定!$B$15-(_slice!L88+04_回帰ANOVA!$K$19*04_回帰ANOVA!$K$14*SQRT(1+_slice!L113))))),"外")</f>
        <v>-2.21886363228203</v>
      </c>
      <c r="M56" s="50" t="n">
        <f aca="false">IF(AND(_slice!$H$5=1,M$40&gt;=_slice!$H$6-0.000000001,M$40&lt;=_slice!$I$6+0.000000001,$B56&gt;=_slice!$H$7-0.000000001,$B56&lt;=_slice!$I$7+0.000000001,IF(01_因子設定!$B$20="Box-Behnken",M$40^2+$B56^2+_slice!$H$8&lt;=2+0.000000001,TRUE())),IF(01_因子設定!$B$13="最大化",(_slice!M88-04_回帰ANOVA!$K$19*04_回帰ANOVA!$K$14*SQRT(1+_slice!M113))-01_因子設定!$B$14,IF(01_因子設定!$B$13="最小化",01_因子設定!$B$15-(_slice!M88+04_回帰ANOVA!$K$19*04_回帰ANOVA!$K$14*SQRT(1+_slice!M113)),MIN((_slice!M88-04_回帰ANOVA!$K$19*04_回帰ANOVA!$K$14*SQRT(1+_slice!M113))-01_因子設定!$B$14,01_因子設定!$B$15-(_slice!M88+04_回帰ANOVA!$K$19*04_回帰ANOVA!$K$14*SQRT(1+_slice!M113))))),"外")</f>
        <v>-1.9907597433096</v>
      </c>
      <c r="N56" s="50" t="n">
        <f aca="false">IF(AND(_slice!$H$5=1,N$40&gt;=_slice!$H$6-0.000000001,N$40&lt;=_slice!$I$6+0.000000001,$B56&gt;=_slice!$H$7-0.000000001,$B56&lt;=_slice!$I$7+0.000000001,IF(01_因子設定!$B$20="Box-Behnken",N$40^2+$B56^2+_slice!$H$8&lt;=2+0.000000001,TRUE())),IF(01_因子設定!$B$13="最大化",(_slice!N88-04_回帰ANOVA!$K$19*04_回帰ANOVA!$K$14*SQRT(1+_slice!N113))-01_因子設定!$B$14,IF(01_因子設定!$B$13="最小化",01_因子設定!$B$15-(_slice!N88+04_回帰ANOVA!$K$19*04_回帰ANOVA!$K$14*SQRT(1+_slice!N113)),MIN((_slice!N88-04_回帰ANOVA!$K$19*04_回帰ANOVA!$K$14*SQRT(1+_slice!N113))-01_因子設定!$B$14,01_因子設定!$B$15-(_slice!N88+04_回帰ANOVA!$K$19*04_回帰ANOVA!$K$14*SQRT(1+_slice!N113))))),"外")</f>
        <v>-1.81161363228203</v>
      </c>
      <c r="O56" s="50" t="n">
        <f aca="false">IF(AND(_slice!$H$5=1,O$40&gt;=_slice!$H$6-0.000000001,O$40&lt;=_slice!$I$6+0.000000001,$B56&gt;=_slice!$H$7-0.000000001,$B56&lt;=_slice!$I$7+0.000000001,IF(01_因子設定!$B$20="Box-Behnken",O$40^2+$B56^2+_slice!$H$8&lt;=2+0.000000001,TRUE())),IF(01_因子設定!$B$13="最大化",(_slice!O88-04_回帰ANOVA!$K$19*04_回帰ANOVA!$K$14*SQRT(1+_slice!O113))-01_因子設定!$B$14,IF(01_因子設定!$B$13="最小化",01_因子設定!$B$15-(_slice!O88+04_回帰ANOVA!$K$19*04_回帰ANOVA!$K$14*SQRT(1+_slice!O113)),MIN((_slice!O88-04_回帰ANOVA!$K$19*04_回帰ANOVA!$K$14*SQRT(1+_slice!O113))-01_因子設定!$B$14,01_因子設定!$B$15-(_slice!O88+04_回帰ANOVA!$K$19*04_回帰ANOVA!$K$14*SQRT(1+_slice!O113))))),"外")</f>
        <v>-1.68161182786574</v>
      </c>
      <c r="P56" s="50" t="n">
        <f aca="false">IF(AND(_slice!$H$5=1,P$40&gt;=_slice!$H$6-0.000000001,P$40&lt;=_slice!$I$6+0.000000001,$B56&gt;=_slice!$H$7-0.000000001,$B56&lt;=_slice!$I$7+0.000000001,IF(01_因子設定!$B$20="Box-Behnken",P$40^2+$B56^2+_slice!$H$8&lt;=2+0.000000001,TRUE())),IF(01_因子設定!$B$13="最大化",(_slice!P88-04_回帰ANOVA!$K$19*04_回帰ANOVA!$K$14*SQRT(1+_slice!P113))-01_因子設定!$B$14,IF(01_因子設定!$B$13="最小化",01_因子設定!$B$15-(_slice!P88+04_回帰ANOVA!$K$19*04_回帰ANOVA!$K$14*SQRT(1+_slice!P113)),MIN((_slice!P88-04_回帰ANOVA!$K$19*04_回帰ANOVA!$K$14*SQRT(1+_slice!P113))-01_因子設定!$B$14,01_因子設定!$B$15-(_slice!P88+04_回帰ANOVA!$K$19*04_回帰ANOVA!$K$14*SQRT(1+_slice!P113))))),"外")</f>
        <v>-1.60131502963739</v>
      </c>
      <c r="Q56" s="50" t="n">
        <f aca="false">IF(AND(_slice!$H$5=1,Q$40&gt;=_slice!$H$6-0.000000001,Q$40&lt;=_slice!$I$6+0.000000001,$B56&gt;=_slice!$H$7-0.000000001,$B56&lt;=_slice!$I$7+0.000000001,IF(01_因子設定!$B$20="Box-Behnken",Q$40^2+$B56^2+_slice!$H$8&lt;=2+0.000000001,TRUE())),IF(01_因子設定!$B$13="最大化",(_slice!Q88-04_回帰ANOVA!$K$19*04_回帰ANOVA!$K$14*SQRT(1+_slice!Q113))-01_因子設定!$B$14,IF(01_因子設定!$B$13="最小化",01_因子設定!$B$15-(_slice!Q88+04_回帰ANOVA!$K$19*04_回帰ANOVA!$K$14*SQRT(1+_slice!Q113)),MIN((_slice!Q88-04_回帰ANOVA!$K$19*04_回帰ANOVA!$K$14*SQRT(1+_slice!Q113))-01_因子設定!$B$14,01_因子設定!$B$15-(_slice!Q88+04_回帰ANOVA!$K$19*04_回帰ANOVA!$K$14*SQRT(1+_slice!Q113))))),"外")</f>
        <v>-1.57165902883226</v>
      </c>
      <c r="R56" s="50" t="n">
        <f aca="false">IF(AND(_slice!$H$5=1,R$40&gt;=_slice!$H$6-0.000000001,R$40&lt;=_slice!$I$6+0.000000001,$B56&gt;=_slice!$H$7-0.000000001,$B56&lt;=_slice!$I$7+0.000000001,IF(01_因子設定!$B$20="Box-Behnken",R$40^2+$B56^2+_slice!$H$8&lt;=2+0.000000001,TRUE())),IF(01_因子設定!$B$13="最大化",(_slice!R88-04_回帰ANOVA!$K$19*04_回帰ANOVA!$K$14*SQRT(1+_slice!R113))-01_因子設定!$B$14,IF(01_因子設定!$B$13="最小化",01_因子設定!$B$15-(_slice!R88+04_回帰ANOVA!$K$19*04_回帰ANOVA!$K$14*SQRT(1+_slice!R113)),MIN((_slice!R88-04_回帰ANOVA!$K$19*04_回帰ANOVA!$K$14*SQRT(1+_slice!R113))-01_因子設定!$B$14,01_因子設定!$B$15-(_slice!R88+04_回帰ANOVA!$K$19*04_回帰ANOVA!$K$14*SQRT(1+_slice!R113))))),"外")</f>
        <v>-1.59394816074483</v>
      </c>
      <c r="S56" s="50" t="n">
        <f aca="false">IF(AND(_slice!$H$5=1,S$40&gt;=_slice!$H$6-0.000000001,S$40&lt;=_slice!$I$6+0.000000001,$B56&gt;=_slice!$H$7-0.000000001,$B56&lt;=_slice!$I$7+0.000000001,IF(01_因子設定!$B$20="Box-Behnken",S$40^2+$B56^2+_slice!$H$8&lt;=2+0.000000001,TRUE())),IF(01_因子設定!$B$13="最大化",(_slice!S88-04_回帰ANOVA!$K$19*04_回帰ANOVA!$K$14*SQRT(1+_slice!S113))-01_因子設定!$B$14,IF(01_因子設定!$B$13="最小化",01_因子設定!$B$15-(_slice!S88+04_回帰ANOVA!$K$19*04_回帰ANOVA!$K$14*SQRT(1+_slice!S113)),MIN((_slice!S88-04_回帰ANOVA!$K$19*04_回帰ANOVA!$K$14*SQRT(1+_slice!S113))-01_因子設定!$B$14,01_因子設定!$B$15-(_slice!S88+04_回帰ANOVA!$K$19*04_回帰ANOVA!$K$14*SQRT(1+_slice!S113))))),"外")</f>
        <v>-1.66982955114307</v>
      </c>
      <c r="T56" s="50" t="n">
        <f aca="false">IF(AND(_slice!$H$5=1,T$40&gt;=_slice!$H$6-0.000000001,T$40&lt;=_slice!$I$6+0.000000001,$B56&gt;=_slice!$H$7-0.000000001,$B56&lt;=_slice!$I$7+0.000000001,IF(01_因子設定!$B$20="Box-Behnken",T$40^2+$B56^2+_slice!$H$8&lt;=2+0.000000001,TRUE())),IF(01_因子設定!$B$13="最大化",(_slice!T88-04_回帰ANOVA!$K$19*04_回帰ANOVA!$K$14*SQRT(1+_slice!T113))-01_因子設定!$B$14,IF(01_因子設定!$B$13="最小化",01_因子設定!$B$15-(_slice!T88+04_回帰ANOVA!$K$19*04_回帰ANOVA!$K$14*SQRT(1+_slice!T113)),MIN((_slice!T88-04_回帰ANOVA!$K$19*04_回帰ANOVA!$K$14*SQRT(1+_slice!T113))-01_因子設定!$B$14,01_因子設定!$B$15-(_slice!T88+04_回帰ANOVA!$K$19*04_回帰ANOVA!$K$14*SQRT(1+_slice!T113))))),"外")</f>
        <v>-1.80123398918999</v>
      </c>
      <c r="U56" s="50" t="n">
        <f aca="false">IF(AND(_slice!$H$5=1,U$40&gt;=_slice!$H$6-0.000000001,U$40&lt;=_slice!$I$6+0.000000001,$B56&gt;=_slice!$H$7-0.000000001,$B56&lt;=_slice!$I$7+0.000000001,IF(01_因子設定!$B$20="Box-Behnken",U$40^2+$B56^2+_slice!$H$8&lt;=2+0.000000001,TRUE())),IF(01_因子設定!$B$13="最大化",(_slice!U88-04_回帰ANOVA!$K$19*04_回帰ANOVA!$K$14*SQRT(1+_slice!U113))-01_因子設定!$B$14,IF(01_因子設定!$B$13="最小化",01_因子設定!$B$15-(_slice!U88+04_回帰ANOVA!$K$19*04_回帰ANOVA!$K$14*SQRT(1+_slice!U113)),MIN((_slice!U88-04_回帰ANOVA!$K$19*04_回帰ANOVA!$K$14*SQRT(1+_slice!U113))-01_因子設定!$B$14,01_因子設定!$B$15-(_slice!U88+04_回帰ANOVA!$K$19*04_回帰ANOVA!$K$14*SQRT(1+_slice!U113))))),"外")</f>
        <v>-1.99027194045952</v>
      </c>
      <c r="V56" s="50" t="n">
        <f aca="false">IF(AND(_slice!$H$5=1,V$40&gt;=_slice!$H$6-0.000000001,V$40&lt;=_slice!$I$6+0.000000001,$B56&gt;=_slice!$H$7-0.000000001,$B56&lt;=_slice!$I$7+0.000000001,IF(01_因子設定!$B$20="Box-Behnken",V$40^2+$B56^2+_slice!$H$8&lt;=2+0.000000001,TRUE())),IF(01_因子設定!$B$13="最大化",(_slice!V88-04_回帰ANOVA!$K$19*04_回帰ANOVA!$K$14*SQRT(1+_slice!V113))-01_因子設定!$B$14,IF(01_因子設定!$B$13="最小化",01_因子設定!$B$15-(_slice!V88+04_回帰ANOVA!$K$19*04_回帰ANOVA!$K$14*SQRT(1+_slice!V113)),MIN((_slice!V88-04_回帰ANOVA!$K$19*04_回帰ANOVA!$K$14*SQRT(1+_slice!V113))-01_因子設定!$B$14,01_因子設定!$B$15-(_slice!V88+04_回帰ANOVA!$K$19*04_回帰ANOVA!$K$14*SQRT(1+_slice!V113))))),"外")</f>
        <v>-2.23908409495585</v>
      </c>
      <c r="W56" s="50" t="n">
        <f aca="false">IF(AND(_slice!$H$5=1,W$40&gt;=_slice!$H$6-0.000000001,W$40&lt;=_slice!$I$6+0.000000001,$B56&gt;=_slice!$H$7-0.000000001,$B56&lt;=_slice!$I$7+0.000000001,IF(01_因子設定!$B$20="Box-Behnken",W$40^2+$B56^2+_slice!$H$8&lt;=2+0.000000001,TRUE())),IF(01_因子設定!$B$13="最大化",(_slice!W88-04_回帰ANOVA!$K$19*04_回帰ANOVA!$K$14*SQRT(1+_slice!W113))-01_因子設定!$B$14,IF(01_因子設定!$B$13="最小化",01_因子設定!$B$15-(_slice!W88+04_回帰ANOVA!$K$19*04_回帰ANOVA!$K$14*SQRT(1+_slice!W113)),MIN((_slice!W88-04_回帰ANOVA!$K$19*04_回帰ANOVA!$K$14*SQRT(1+_slice!W113))-01_因子設定!$B$14,01_因子設定!$B$15-(_slice!W88+04_回帰ANOVA!$K$19*04_回帰ANOVA!$K$14*SQRT(1+_slice!W113))))),"外")</f>
        <v>-2.54966435772645</v>
      </c>
    </row>
    <row r="57" customFormat="false" ht="15" hidden="false" customHeight="false" outlineLevel="0" collapsed="false">
      <c r="A57" s="49" t="n">
        <f aca="false">INDEX(01_因子設定!$G$5:$G$7,$C$5)+B57*INDEX(01_因子設定!$H$5:$H$7,$C$5)</f>
        <v>25</v>
      </c>
      <c r="B57" s="49" t="n">
        <v>-0.5</v>
      </c>
      <c r="C57" s="50" t="n">
        <f aca="false">IF(AND(_slice!$H$5=1,C$40&gt;=_slice!$H$6-0.000000001,C$40&lt;=_slice!$I$6+0.000000001,$B57&gt;=_slice!$H$7-0.000000001,$B57&lt;=_slice!$I$7+0.000000001,IF(01_因子設定!$B$20="Box-Behnken",C$40^2+$B57^2+_slice!$H$8&lt;=2+0.000000001,TRUE())),IF(01_因子設定!$B$13="最大化",(_slice!C89-04_回帰ANOVA!$K$19*04_回帰ANOVA!$K$14*SQRT(1+_slice!C114))-01_因子設定!$B$14,IF(01_因子設定!$B$13="最小化",01_因子設定!$B$15-(_slice!C89+04_回帰ANOVA!$K$19*04_回帰ANOVA!$K$14*SQRT(1+_slice!C114)),MIN((_slice!C89-04_回帰ANOVA!$K$19*04_回帰ANOVA!$K$14*SQRT(1+_slice!C114))-01_因子設定!$B$14,01_因子設定!$B$15-(_slice!C89+04_回帰ANOVA!$K$19*04_回帰ANOVA!$K$14*SQRT(1+_slice!C114))))),"外")</f>
        <v>-6.91561224265446</v>
      </c>
      <c r="D57" s="50" t="n">
        <f aca="false">IF(AND(_slice!$H$5=1,D$40&gt;=_slice!$H$6-0.000000001,D$40&lt;=_slice!$I$6+0.000000001,$B57&gt;=_slice!$H$7-0.000000001,$B57&lt;=_slice!$I$7+0.000000001,IF(01_因子設定!$B$20="Box-Behnken",D$40^2+$B57^2+_slice!$H$8&lt;=2+0.000000001,TRUE())),IF(01_因子設定!$B$13="最大化",(_slice!D89-04_回帰ANOVA!$K$19*04_回帰ANOVA!$K$14*SQRT(1+_slice!D114))-01_因子設定!$B$14,IF(01_因子設定!$B$13="最小化",01_因子設定!$B$15-(_slice!D89+04_回帰ANOVA!$K$19*04_回帰ANOVA!$K$14*SQRT(1+_slice!D114)),MIN((_slice!D89-04_回帰ANOVA!$K$19*04_回帰ANOVA!$K$14*SQRT(1+_slice!D114))-01_因子設定!$B$14,01_因子設定!$B$15-(_slice!D89+04_回帰ANOVA!$K$19*04_回帰ANOVA!$K$14*SQRT(1+_slice!D114))))),"外")</f>
        <v>-6.21097489296545</v>
      </c>
      <c r="E57" s="50" t="n">
        <f aca="false">IF(AND(_slice!$H$5=1,E$40&gt;=_slice!$H$6-0.000000001,E$40&lt;=_slice!$I$6+0.000000001,$B57&gt;=_slice!$H$7-0.000000001,$B57&lt;=_slice!$I$7+0.000000001,IF(01_因子設定!$B$20="Box-Behnken",E$40^2+$B57^2+_slice!$H$8&lt;=2+0.000000001,TRUE())),IF(01_因子設定!$B$13="最大化",(_slice!E89-04_回帰ANOVA!$K$19*04_回帰ANOVA!$K$14*SQRT(1+_slice!E114))-01_因子設定!$B$14,IF(01_因子設定!$B$13="最小化",01_因子設定!$B$15-(_slice!E89+04_回帰ANOVA!$K$19*04_回帰ANOVA!$K$14*SQRT(1+_slice!E114)),MIN((_slice!E89-04_回帰ANOVA!$K$19*04_回帰ANOVA!$K$14*SQRT(1+_slice!E114))-01_因子設定!$B$14,01_因子設定!$B$15-(_slice!E89+04_回帰ANOVA!$K$19*04_回帰ANOVA!$K$14*SQRT(1+_slice!E114))))),"外")</f>
        <v>-5.56807064835501</v>
      </c>
      <c r="F57" s="50" t="n">
        <f aca="false">IF(AND(_slice!$H$5=1,F$40&gt;=_slice!$H$6-0.000000001,F$40&lt;=_slice!$I$6+0.000000001,$B57&gt;=_slice!$H$7-0.000000001,$B57&lt;=_slice!$I$7+0.000000001,IF(01_因子設定!$B$20="Box-Behnken",F$40^2+$B57^2+_slice!$H$8&lt;=2+0.000000001,TRUE())),IF(01_因子設定!$B$13="最大化",(_slice!F89-04_回帰ANOVA!$K$19*04_回帰ANOVA!$K$14*SQRT(1+_slice!F114))-01_因子設定!$B$14,IF(01_因子設定!$B$13="最小化",01_因子設定!$B$15-(_slice!F89+04_回帰ANOVA!$K$19*04_回帰ANOVA!$K$14*SQRT(1+_slice!F114)),MIN((_slice!F89-04_回帰ANOVA!$K$19*04_回帰ANOVA!$K$14*SQRT(1+_slice!F114))-01_因子設定!$B$14,01_因子設定!$B$15-(_slice!F89+04_回帰ANOVA!$K$19*04_回帰ANOVA!$K$14*SQRT(1+_slice!F114))))),"外")</f>
        <v>-4.98487237814657</v>
      </c>
      <c r="G57" s="50" t="n">
        <f aca="false">IF(AND(_slice!$H$5=1,G$40&gt;=_slice!$H$6-0.000000001,G$40&lt;=_slice!$I$6+0.000000001,$B57&gt;=_slice!$H$7-0.000000001,$B57&lt;=_slice!$I$7+0.000000001,IF(01_因子設定!$B$20="Box-Behnken",G$40^2+$B57^2+_slice!$H$8&lt;=2+0.000000001,TRUE())),IF(01_因子設定!$B$13="最大化",(_slice!G89-04_回帰ANOVA!$K$19*04_回帰ANOVA!$K$14*SQRT(1+_slice!G114))-01_因子設定!$B$14,IF(01_因子設定!$B$13="最小化",01_因子設定!$B$15-(_slice!G89+04_回帰ANOVA!$K$19*04_回帰ANOVA!$K$14*SQRT(1+_slice!G114)),MIN((_slice!G89-04_回帰ANOVA!$K$19*04_回帰ANOVA!$K$14*SQRT(1+_slice!G114))-01_因子設定!$B$14,01_因子設定!$B$15-(_slice!G89+04_回帰ANOVA!$K$19*04_回帰ANOVA!$K$14*SQRT(1+_slice!G114))))),"外")</f>
        <v>-4.45921391838557</v>
      </c>
      <c r="H57" s="50" t="n">
        <f aca="false">IF(AND(_slice!$H$5=1,H$40&gt;=_slice!$H$6-0.000000001,H$40&lt;=_slice!$I$6+0.000000001,$B57&gt;=_slice!$H$7-0.000000001,$B57&lt;=_slice!$I$7+0.000000001,IF(01_因子設定!$B$20="Box-Behnken",H$40^2+$B57^2+_slice!$H$8&lt;=2+0.000000001,TRUE())),IF(01_因子設定!$B$13="最大化",(_slice!H89-04_回帰ANOVA!$K$19*04_回帰ANOVA!$K$14*SQRT(1+_slice!H114))-01_因子設定!$B$14,IF(01_因子設定!$B$13="最小化",01_因子設定!$B$15-(_slice!H89+04_回帰ANOVA!$K$19*04_回帰ANOVA!$K$14*SQRT(1+_slice!H114)),MIN((_slice!H89-04_回帰ANOVA!$K$19*04_回帰ANOVA!$K$14*SQRT(1+_slice!H114))-01_因子設定!$B$14,01_因子設定!$B$15-(_slice!H89+04_回帰ANOVA!$K$19*04_回帰ANOVA!$K$14*SQRT(1+_slice!H114))))),"外")</f>
        <v>-3.98896867222237</v>
      </c>
      <c r="I57" s="50" t="n">
        <f aca="false">IF(AND(_slice!$H$5=1,I$40&gt;=_slice!$H$6-0.000000001,I$40&lt;=_slice!$I$6+0.000000001,$B57&gt;=_slice!$H$7-0.000000001,$B57&lt;=_slice!$I$7+0.000000001,IF(01_因子設定!$B$20="Box-Behnken",I$40^2+$B57^2+_slice!$H$8&lt;=2+0.000000001,TRUE())),IF(01_因子設定!$B$13="最大化",(_slice!I89-04_回帰ANOVA!$K$19*04_回帰ANOVA!$K$14*SQRT(1+_slice!I114))-01_因子設定!$B$14,IF(01_因子設定!$B$13="最小化",01_因子設定!$B$15-(_slice!I89+04_回帰ANOVA!$K$19*04_回帰ANOVA!$K$14*SQRT(1+_slice!I114)),MIN((_slice!I89-04_回帰ANOVA!$K$19*04_回帰ANOVA!$K$14*SQRT(1+_slice!I114))-01_因子設定!$B$14,01_因子設定!$B$15-(_slice!I89+04_回帰ANOVA!$K$19*04_回帰ANOVA!$K$14*SQRT(1+_slice!I114))))),"外")</f>
        <v>-3.57219816074483</v>
      </c>
      <c r="J57" s="50" t="n">
        <f aca="false">IF(AND(_slice!$H$5=1,J$40&gt;=_slice!$H$6-0.000000001,J$40&lt;=_slice!$I$6+0.000000001,$B57&gt;=_slice!$H$7-0.000000001,$B57&lt;=_slice!$I$7+0.000000001,IF(01_因子設定!$B$20="Box-Behnken",J$40^2+$B57^2+_slice!$H$8&lt;=2+0.000000001,TRUE())),IF(01_因子設定!$B$13="最大化",(_slice!J89-04_回帰ANOVA!$K$19*04_回帰ANOVA!$K$14*SQRT(1+_slice!J114))-01_因子設定!$B$14,IF(01_因子設定!$B$13="最小化",01_因子設定!$B$15-(_slice!J89+04_回帰ANOVA!$K$19*04_回帰ANOVA!$K$14*SQRT(1+_slice!J114)),MIN((_slice!J89-04_回帰ANOVA!$K$19*04_回帰ANOVA!$K$14*SQRT(1+_slice!J114))-01_因子設定!$B$14,01_因子設定!$B$15-(_slice!J89+04_回帰ANOVA!$K$19*04_回帰ANOVA!$K$14*SQRT(1+_slice!J114))))),"外")</f>
        <v>-3.20725365483981</v>
      </c>
      <c r="K57" s="50" t="n">
        <f aca="false">IF(AND(_slice!$H$5=1,K$40&gt;=_slice!$H$6-0.000000001,K$40&lt;=_slice!$I$6+0.000000001,$B57&gt;=_slice!$H$7-0.000000001,$B57&lt;=_slice!$I$7+0.000000001,IF(01_因子設定!$B$20="Box-Behnken",K$40^2+$B57^2+_slice!$H$8&lt;=2+0.000000001,TRUE())),IF(01_因子設定!$B$13="最大化",(_slice!K89-04_回帰ANOVA!$K$19*04_回帰ANOVA!$K$14*SQRT(1+_slice!K114))-01_因子設定!$B$14,IF(01_因子設定!$B$13="最小化",01_因子設定!$B$15-(_slice!K89+04_回帰ANOVA!$K$19*04_回帰ANOVA!$K$14*SQRT(1+_slice!K114)),MIN((_slice!K89-04_回帰ANOVA!$K$19*04_回帰ANOVA!$K$14*SQRT(1+_slice!K114))-01_因子設定!$B$14,01_因子設定!$B$15-(_slice!K89+04_回帰ANOVA!$K$19*04_回帰ANOVA!$K$14*SQRT(1+_slice!K114))))),"外")</f>
        <v>-2.89283261131843</v>
      </c>
      <c r="L57" s="50" t="n">
        <f aca="false">IF(AND(_slice!$H$5=1,L$40&gt;=_slice!$H$6-0.000000001,L$40&lt;=_slice!$I$6+0.000000001,$B57&gt;=_slice!$H$7-0.000000001,$B57&lt;=_slice!$I$7+0.000000001,IF(01_因子設定!$B$20="Box-Behnken",L$40^2+$B57^2+_slice!$H$8&lt;=2+0.000000001,TRUE())),IF(01_因子設定!$B$13="最大化",(_slice!L89-04_回帰ANOVA!$K$19*04_回帰ANOVA!$K$14*SQRT(1+_slice!L114))-01_因子設定!$B$14,IF(01_因子設定!$B$13="最小化",01_因子設定!$B$15-(_slice!L89+04_回帰ANOVA!$K$19*04_回帰ANOVA!$K$14*SQRT(1+_slice!L114)),MIN((_slice!L89-04_回帰ANOVA!$K$19*04_回帰ANOVA!$K$14*SQRT(1+_slice!L114))-01_因子設定!$B$14,01_因子設定!$B$15-(_slice!L89+04_回帰ANOVA!$K$19*04_回帰ANOVA!$K$14*SQRT(1+_slice!L114))))),"外")</f>
        <v>-2.62800212389035</v>
      </c>
      <c r="M57" s="50" t="n">
        <f aca="false">IF(AND(_slice!$H$5=1,M$40&gt;=_slice!$H$6-0.000000001,M$40&lt;=_slice!$I$6+0.000000001,$B57&gt;=_slice!$H$7-0.000000001,$B57&lt;=_slice!$I$7+0.000000001,IF(01_因子設定!$B$20="Box-Behnken",M$40^2+$B57^2+_slice!$H$8&lt;=2+0.000000001,TRUE())),IF(01_因子設定!$B$13="最大化",(_slice!M89-04_回帰ANOVA!$K$19*04_回帰ANOVA!$K$14*SQRT(1+_slice!M114))-01_因子設定!$B$14,IF(01_因子設定!$B$13="最小化",01_因子設定!$B$15-(_slice!M89+04_回帰ANOVA!$K$19*04_回帰ANOVA!$K$14*SQRT(1+_slice!M114)),MIN((_slice!M89-04_回帰ANOVA!$K$19*04_回帰ANOVA!$K$14*SQRT(1+_slice!M114))-01_因子設定!$B$14,01_因子設定!$B$15-(_slice!M89+04_回帰ANOVA!$K$19*04_回帰ANOVA!$K$14*SQRT(1+_slice!M114))))),"外")</f>
        <v>-2.41220384319775</v>
      </c>
      <c r="N57" s="50" t="n">
        <f aca="false">IF(AND(_slice!$H$5=1,N$40&gt;=_slice!$H$6-0.000000001,N$40&lt;=_slice!$I$6+0.000000001,$B57&gt;=_slice!$H$7-0.000000001,$B57&lt;=_slice!$I$7+0.000000001,IF(01_因子設定!$B$20="Box-Behnken",N$40^2+$B57^2+_slice!$H$8&lt;=2+0.000000001,TRUE())),IF(01_因子設定!$B$13="最大化",(_slice!N89-04_回帰ANOVA!$K$19*04_回帰ANOVA!$K$14*SQRT(1+_slice!N114))-01_因子設定!$B$14,IF(01_因子設定!$B$13="最小化",01_因子設定!$B$15-(_slice!N89+04_回帰ANOVA!$K$19*04_回帰ANOVA!$K$14*SQRT(1+_slice!N114)),MIN((_slice!N89-04_回帰ANOVA!$K$19*04_回帰ANOVA!$K$14*SQRT(1+_slice!N114))-01_因子設定!$B$14,01_因子設定!$B$15-(_slice!N89+04_回帰ANOVA!$K$19*04_回帰ANOVA!$K$14*SQRT(1+_slice!N114))))),"外")</f>
        <v>-2.24525212389035</v>
      </c>
      <c r="O57" s="50" t="n">
        <f aca="false">IF(AND(_slice!$H$5=1,O$40&gt;=_slice!$H$6-0.000000001,O$40&lt;=_slice!$I$6+0.000000001,$B57&gt;=_slice!$H$7-0.000000001,$B57&lt;=_slice!$I$7+0.000000001,IF(01_因子設定!$B$20="Box-Behnken",O$40^2+$B57^2+_slice!$H$8&lt;=2+0.000000001,TRUE())),IF(01_因子設定!$B$13="最大化",(_slice!O89-04_回帰ANOVA!$K$19*04_回帰ANOVA!$K$14*SQRT(1+_slice!O114))-01_因子設定!$B$14,IF(01_因子設定!$B$13="最小化",01_因子設定!$B$15-(_slice!O89+04_回帰ANOVA!$K$19*04_回帰ANOVA!$K$14*SQRT(1+_slice!O114)),MIN((_slice!O89-04_回帰ANOVA!$K$19*04_回帰ANOVA!$K$14*SQRT(1+_slice!O114))-01_因子設定!$B$14,01_因子設定!$B$15-(_slice!O89+04_回帰ANOVA!$K$19*04_回帰ANOVA!$K$14*SQRT(1+_slice!O114))))),"外")</f>
        <v>-2.12733261131842</v>
      </c>
      <c r="P57" s="50" t="n">
        <f aca="false">IF(AND(_slice!$H$5=1,P$40&gt;=_slice!$H$6-0.000000001,P$40&lt;=_slice!$I$6+0.000000001,$B57&gt;=_slice!$H$7-0.000000001,$B57&lt;=_slice!$I$7+0.000000001,IF(01_因子設定!$B$20="Box-Behnken",P$40^2+$B57^2+_slice!$H$8&lt;=2+0.000000001,TRUE())),IF(01_因子設定!$B$13="最大化",(_slice!P89-04_回帰ANOVA!$K$19*04_回帰ANOVA!$K$14*SQRT(1+_slice!P114))-01_因子設定!$B$14,IF(01_因子設定!$B$13="最小化",01_因子設定!$B$15-(_slice!P89+04_回帰ANOVA!$K$19*04_回帰ANOVA!$K$14*SQRT(1+_slice!P114)),MIN((_slice!P89-04_回帰ANOVA!$K$19*04_回帰ANOVA!$K$14*SQRT(1+_slice!P114))-01_因子設定!$B$14,01_因子設定!$B$15-(_slice!P89+04_回帰ANOVA!$K$19*04_回帰ANOVA!$K$14*SQRT(1+_slice!P114))))),"外")</f>
        <v>-2.05900365483981</v>
      </c>
      <c r="Q57" s="50" t="n">
        <f aca="false">IF(AND(_slice!$H$5=1,Q$40&gt;=_slice!$H$6-0.000000001,Q$40&lt;=_slice!$I$6+0.000000001,$B57&gt;=_slice!$H$7-0.000000001,$B57&lt;=_slice!$I$7+0.000000001,IF(01_因子設定!$B$20="Box-Behnken",Q$40^2+$B57^2+_slice!$H$8&lt;=2+0.000000001,TRUE())),IF(01_因子設定!$B$13="最大化",(_slice!Q89-04_回帰ANOVA!$K$19*04_回帰ANOVA!$K$14*SQRT(1+_slice!Q114))-01_因子設定!$B$14,IF(01_因子設定!$B$13="最小化",01_因子設定!$B$15-(_slice!Q89+04_回帰ANOVA!$K$19*04_回帰ANOVA!$K$14*SQRT(1+_slice!Q114)),MIN((_slice!Q89-04_回帰ANOVA!$K$19*04_回帰ANOVA!$K$14*SQRT(1+_slice!Q114))-01_因子設定!$B$14,01_因子設定!$B$15-(_slice!Q89+04_回帰ANOVA!$K$19*04_回帰ANOVA!$K$14*SQRT(1+_slice!Q114))))),"外")</f>
        <v>-2.04119816074483</v>
      </c>
      <c r="R57" s="50" t="n">
        <f aca="false">IF(AND(_slice!$H$5=1,R$40&gt;=_slice!$H$6-0.000000001,R$40&lt;=_slice!$I$6+0.000000001,$B57&gt;=_slice!$H$7-0.000000001,$B57&lt;=_slice!$I$7+0.000000001,IF(01_因子設定!$B$20="Box-Behnken",R$40^2+$B57^2+_slice!$H$8&lt;=2+0.000000001,TRUE())),IF(01_因子設定!$B$13="最大化",(_slice!R89-04_回帰ANOVA!$K$19*04_回帰ANOVA!$K$14*SQRT(1+_slice!R114))-01_因子設定!$B$14,IF(01_因子設定!$B$13="最小化",01_因子設定!$B$15-(_slice!R89+04_回帰ANOVA!$K$19*04_回帰ANOVA!$K$14*SQRT(1+_slice!R114)),MIN((_slice!R89-04_回帰ANOVA!$K$19*04_回帰ANOVA!$K$14*SQRT(1+_slice!R114))-01_因子設定!$B$14,01_因子設定!$B$15-(_slice!R89+04_回帰ANOVA!$K$19*04_回帰ANOVA!$K$14*SQRT(1+_slice!R114))))),"外")</f>
        <v>-2.07521867222236</v>
      </c>
      <c r="S57" s="50" t="n">
        <f aca="false">IF(AND(_slice!$H$5=1,S$40&gt;=_slice!$H$6-0.000000001,S$40&lt;=_slice!$I$6+0.000000001,$B57&gt;=_slice!$H$7-0.000000001,$B57&lt;=_slice!$I$7+0.000000001,IF(01_因子設定!$B$20="Box-Behnken",S$40^2+$B57^2+_slice!$H$8&lt;=2+0.000000001,TRUE())),IF(01_因子設定!$B$13="最大化",(_slice!S89-04_回帰ANOVA!$K$19*04_回帰ANOVA!$K$14*SQRT(1+_slice!S114))-01_因子設定!$B$14,IF(01_因子設定!$B$13="最小化",01_因子設定!$B$15-(_slice!S89+04_回帰ANOVA!$K$19*04_回帰ANOVA!$K$14*SQRT(1+_slice!S114)),MIN((_slice!S89-04_回帰ANOVA!$K$19*04_回帰ANOVA!$K$14*SQRT(1+_slice!S114))-01_因子設定!$B$14,01_因子設定!$B$15-(_slice!S89+04_回帰ANOVA!$K$19*04_回帰ANOVA!$K$14*SQRT(1+_slice!S114))))),"外")</f>
        <v>-2.16271391838556</v>
      </c>
      <c r="T57" s="50" t="n">
        <f aca="false">IF(AND(_slice!$H$5=1,T$40&gt;=_slice!$H$6-0.000000001,T$40&lt;=_slice!$I$6+0.000000001,$B57&gt;=_slice!$H$7-0.000000001,$B57&lt;=_slice!$I$7+0.000000001,IF(01_因子設定!$B$20="Box-Behnken",T$40^2+$B57^2+_slice!$H$8&lt;=2+0.000000001,TRUE())),IF(01_因子設定!$B$13="最大化",(_slice!T89-04_回帰ANOVA!$K$19*04_回帰ANOVA!$K$14*SQRT(1+_slice!T114))-01_因子設定!$B$14,IF(01_因子設定!$B$13="最小化",01_因子設定!$B$15-(_slice!T89+04_回帰ANOVA!$K$19*04_回帰ANOVA!$K$14*SQRT(1+_slice!T114)),MIN((_slice!T89-04_回帰ANOVA!$K$19*04_回帰ANOVA!$K$14*SQRT(1+_slice!T114))-01_因子設定!$B$14,01_因子設定!$B$15-(_slice!T89+04_回帰ANOVA!$K$19*04_回帰ANOVA!$K$14*SQRT(1+_slice!T114))))),"外")</f>
        <v>-2.30562237814657</v>
      </c>
      <c r="U57" s="50" t="n">
        <f aca="false">IF(AND(_slice!$H$5=1,U$40&gt;=_slice!$H$6-0.000000001,U$40&lt;=_slice!$I$6+0.000000001,$B57&gt;=_slice!$H$7-0.000000001,$B57&lt;=_slice!$I$7+0.000000001,IF(01_因子設定!$B$20="Box-Behnken",U$40^2+$B57^2+_slice!$H$8&lt;=2+0.000000001,TRUE())),IF(01_因子設定!$B$13="最大化",(_slice!U89-04_回帰ANOVA!$K$19*04_回帰ANOVA!$K$14*SQRT(1+_slice!U114))-01_因子設定!$B$14,IF(01_因子設定!$B$13="最小化",01_因子設定!$B$15-(_slice!U89+04_回帰ANOVA!$K$19*04_回帰ANOVA!$K$14*SQRT(1+_slice!U114)),MIN((_slice!U89-04_回帰ANOVA!$K$19*04_回帰ANOVA!$K$14*SQRT(1+_slice!U114))-01_因子設定!$B$14,01_因子設定!$B$15-(_slice!U89+04_回帰ANOVA!$K$19*04_回帰ANOVA!$K$14*SQRT(1+_slice!U114))))),"外")</f>
        <v>-2.50607064835501</v>
      </c>
      <c r="V57" s="50" t="n">
        <f aca="false">IF(AND(_slice!$H$5=1,V$40&gt;=_slice!$H$6-0.000000001,V$40&lt;=_slice!$I$6+0.000000001,$B57&gt;=_slice!$H$7-0.000000001,$B57&lt;=_slice!$I$7+0.000000001,IF(01_因子設定!$B$20="Box-Behnken",V$40^2+$B57^2+_slice!$H$8&lt;=2+0.000000001,TRUE())),IF(01_因子設定!$B$13="最大化",(_slice!V89-04_回帰ANOVA!$K$19*04_回帰ANOVA!$K$14*SQRT(1+_slice!V114))-01_因子設定!$B$14,IF(01_因子設定!$B$13="最小化",01_因子設定!$B$15-(_slice!V89+04_回帰ANOVA!$K$19*04_回帰ANOVA!$K$14*SQRT(1+_slice!V114)),MIN((_slice!V89-04_回帰ANOVA!$K$19*04_回帰ANOVA!$K$14*SQRT(1+_slice!V114))-01_因子設定!$B$14,01_因子設定!$B$15-(_slice!V89+04_回帰ANOVA!$K$19*04_回帰ANOVA!$K$14*SQRT(1+_slice!V114))))),"外")</f>
        <v>-2.76622489296543</v>
      </c>
      <c r="W57" s="50" t="n">
        <f aca="false">IF(AND(_slice!$H$5=1,W$40&gt;=_slice!$H$6-0.000000001,W$40&lt;=_slice!$I$6+0.000000001,$B57&gt;=_slice!$H$7-0.000000001,$B57&lt;=_slice!$I$7+0.000000001,IF(01_因子設定!$B$20="Box-Behnken",W$40^2+$B57^2+_slice!$H$8&lt;=2+0.000000001,TRUE())),IF(01_因子設定!$B$13="最大化",(_slice!W89-04_回帰ANOVA!$K$19*04_回帰ANOVA!$K$14*SQRT(1+_slice!W114))-01_因子設定!$B$14,IF(01_因子設定!$B$13="最小化",01_因子設定!$B$15-(_slice!W89+04_回帰ANOVA!$K$19*04_回帰ANOVA!$K$14*SQRT(1+_slice!W114)),MIN((_slice!W89-04_回帰ANOVA!$K$19*04_回帰ANOVA!$K$14*SQRT(1+_slice!W114))-01_因子設定!$B$14,01_因子設定!$B$15-(_slice!W89+04_回帰ANOVA!$K$19*04_回帰ANOVA!$K$14*SQRT(1+_slice!W114))))),"外")</f>
        <v>-3.08811224265445</v>
      </c>
    </row>
    <row r="58" customFormat="false" ht="15" hidden="false" customHeight="false" outlineLevel="0" collapsed="false">
      <c r="A58" s="49" t="n">
        <f aca="false">INDEX(01_因子設定!$G$5:$G$7,$C$5)+B58*INDEX(01_因子設定!$H$5:$H$7,$C$5)</f>
        <v>24</v>
      </c>
      <c r="B58" s="49" t="n">
        <v>-0.6</v>
      </c>
      <c r="C58" s="50" t="n">
        <f aca="false">IF(AND(_slice!$H$5=1,C$40&gt;=_slice!$H$6-0.000000001,C$40&lt;=_slice!$I$6+0.000000001,$B58&gt;=_slice!$H$7-0.000000001,$B58&lt;=_slice!$I$7+0.000000001,IF(01_因子設定!$B$20="Box-Behnken",C$40^2+$B58^2+_slice!$H$8&lt;=2+0.000000001,TRUE())),IF(01_因子設定!$B$13="最大化",(_slice!C90-04_回帰ANOVA!$K$19*04_回帰ANOVA!$K$14*SQRT(1+_slice!C115))-01_因子設定!$B$14,IF(01_因子設定!$B$13="最小化",01_因子設定!$B$15-(_slice!C90+04_回帰ANOVA!$K$19*04_回帰ANOVA!$K$14*SQRT(1+_slice!C115)),MIN((_slice!C90-04_回帰ANOVA!$K$19*04_回帰ANOVA!$K$14*SQRT(1+_slice!C115))-01_因子設定!$B$14,01_因子設定!$B$15-(_slice!C90+04_回帰ANOVA!$K$19*04_回帰ANOVA!$K$14*SQRT(1+_slice!C115))))),"外")</f>
        <v>-7.2523127194906</v>
      </c>
      <c r="D58" s="50" t="n">
        <f aca="false">IF(AND(_slice!$H$5=1,D$40&gt;=_slice!$H$6-0.000000001,D$40&lt;=_slice!$I$6+0.000000001,$B58&gt;=_slice!$H$7-0.000000001,$B58&lt;=_slice!$I$7+0.000000001,IF(01_因子設定!$B$20="Box-Behnken",D$40^2+$B58^2+_slice!$H$8&lt;=2+0.000000001,TRUE())),IF(01_因子設定!$B$13="最大化",(_slice!D90-04_回帰ANOVA!$K$19*04_回帰ANOVA!$K$14*SQRT(1+_slice!D115))-01_因子設定!$B$14,IF(01_因子設定!$B$13="最小化",01_因子設定!$B$15-(_slice!D90+04_回帰ANOVA!$K$19*04_回帰ANOVA!$K$14*SQRT(1+_slice!D115)),MIN((_slice!D90-04_回帰ANOVA!$K$19*04_回帰ANOVA!$K$14*SQRT(1+_slice!D115))-01_因子設定!$B$14,01_因子設定!$B$15-(_slice!D90+04_回帰ANOVA!$K$19*04_回帰ANOVA!$K$14*SQRT(1+_slice!D115))))),"外")</f>
        <v>-6.56119772457275</v>
      </c>
      <c r="E58" s="50" t="n">
        <f aca="false">IF(AND(_slice!$H$5=1,E$40&gt;=_slice!$H$6-0.000000001,E$40&lt;=_slice!$I$6+0.000000001,$B58&gt;=_slice!$H$7-0.000000001,$B58&lt;=_slice!$I$7+0.000000001,IF(01_因子設定!$B$20="Box-Behnken",E$40^2+$B58^2+_slice!$H$8&lt;=2+0.000000001,TRUE())),IF(01_因子設定!$B$13="最大化",(_slice!E90-04_回帰ANOVA!$K$19*04_回帰ANOVA!$K$14*SQRT(1+_slice!E115))-01_因子設定!$B$14,IF(01_因子設定!$B$13="最小化",01_因子設定!$B$15-(_slice!E90+04_回帰ANOVA!$K$19*04_回帰ANOVA!$K$14*SQRT(1+_slice!E115)),MIN((_slice!E90-04_回帰ANOVA!$K$19*04_回帰ANOVA!$K$14*SQRT(1+_slice!E115))-01_因子設定!$B$14,01_因子設定!$B$15-(_slice!E90+04_回帰ANOVA!$K$19*04_回帰ANOVA!$K$14*SQRT(1+_slice!E115))))),"外")</f>
        <v>-5.93174212758716</v>
      </c>
      <c r="F58" s="50" t="n">
        <f aca="false">IF(AND(_slice!$H$5=1,F$40&gt;=_slice!$H$6-0.000000001,F$40&lt;=_slice!$I$6+0.000000001,$B58&gt;=_slice!$H$7-0.000000001,$B58&lt;=_slice!$I$7+0.000000001,IF(01_因子設定!$B$20="Box-Behnken",F$40^2+$B58^2+_slice!$H$8&lt;=2+0.000000001,TRUE())),IF(01_因子設定!$B$13="最大化",(_slice!F90-04_回帰ANOVA!$K$19*04_回帰ANOVA!$K$14*SQRT(1+_slice!F115))-01_因子設定!$B$14,IF(01_因子設定!$B$13="最小化",01_因子設定!$B$15-(_slice!F90+04_回帰ANOVA!$K$19*04_回帰ANOVA!$K$14*SQRT(1+_slice!F115)),MIN((_slice!F90-04_回帰ANOVA!$K$19*04_回帰ANOVA!$K$14*SQRT(1+_slice!F115))-01_因子設定!$B$14,01_因子設定!$B$15-(_slice!F90+04_回帰ANOVA!$K$19*04_回帰ANOVA!$K$14*SQRT(1+_slice!F115))))),"外")</f>
        <v>-5.36187944693901</v>
      </c>
      <c r="G58" s="50" t="n">
        <f aca="false">IF(AND(_slice!$H$5=1,G$40&gt;=_slice!$H$6-0.000000001,G$40&lt;=_slice!$I$6+0.000000001,$B58&gt;=_slice!$H$7-0.000000001,$B58&lt;=_slice!$I$7+0.000000001,IF(01_因子設定!$B$20="Box-Behnken",G$40^2+$B58^2+_slice!$H$8&lt;=2+0.000000001,TRUE())),IF(01_因子設定!$B$13="最大化",(_slice!G90-04_回帰ANOVA!$K$19*04_回帰ANOVA!$K$14*SQRT(1+_slice!G115))-01_因子設定!$B$14,IF(01_因子設定!$B$13="最小化",01_因子設定!$B$15-(_slice!G90+04_回帰ANOVA!$K$19*04_回帰ANOVA!$K$14*SQRT(1+_slice!G115)),MIN((_slice!G90-04_回帰ANOVA!$K$19*04_回帰ANOVA!$K$14*SQRT(1+_slice!G115))-01_因子設定!$B$14,01_因子設定!$B$15-(_slice!G90+04_回帰ANOVA!$K$19*04_回帰ANOVA!$K$14*SQRT(1+_slice!G115))))),"外")</f>
        <v>-4.84941676565272</v>
      </c>
      <c r="H58" s="50" t="n">
        <f aca="false">IF(AND(_slice!$H$5=1,H$40&gt;=_slice!$H$6-0.000000001,H$40&lt;=_slice!$I$6+0.000000001,$B58&gt;=_slice!$H$7-0.000000001,$B58&lt;=_slice!$I$7+0.000000001,IF(01_因子設定!$B$20="Box-Behnken",H$40^2+$B58^2+_slice!$H$8&lt;=2+0.000000001,TRUE())),IF(01_因子設定!$B$13="最大化",(_slice!H90-04_回帰ANOVA!$K$19*04_回帰ANOVA!$K$14*SQRT(1+_slice!H115))-01_因子設定!$B$14,IF(01_因子設定!$B$13="最小化",01_因子設定!$B$15-(_slice!H90+04_回帰ANOVA!$K$19*04_回帰ANOVA!$K$14*SQRT(1+_slice!H115)),MIN((_slice!H90-04_回帰ANOVA!$K$19*04_回帰ANOVA!$K$14*SQRT(1+_slice!H115))-01_因子設定!$B$14,01_因子設定!$B$15-(_slice!H90+04_回帰ANOVA!$K$19*04_回帰ANOVA!$K$14*SQRT(1+_slice!H115))))),"外")</f>
        <v>-4.39221391838557</v>
      </c>
      <c r="I58" s="50" t="n">
        <f aca="false">IF(AND(_slice!$H$5=1,I$40&gt;=_slice!$H$6-0.000000001,I$40&lt;=_slice!$I$6+0.000000001,$B58&gt;=_slice!$H$7-0.000000001,$B58&lt;=_slice!$I$7+0.000000001,IF(01_因子設定!$B$20="Box-Behnken",I$40^2+$B58^2+_slice!$H$8&lt;=2+0.000000001,TRUE())),IF(01_因子設定!$B$13="最大化",(_slice!I90-04_回帰ANOVA!$K$19*04_回帰ANOVA!$K$14*SQRT(1+_slice!I115))-01_因子設定!$B$14,IF(01_因子設定!$B$13="最小化",01_因子設定!$B$15-(_slice!I90+04_回帰ANOVA!$K$19*04_回帰ANOVA!$K$14*SQRT(1+_slice!I115)),MIN((_slice!I90-04_回帰ANOVA!$K$19*04_回帰ANOVA!$K$14*SQRT(1+_slice!I115))-01_因子設定!$B$14,01_因子設定!$B$15-(_slice!I90+04_回帰ANOVA!$K$19*04_回帰ANOVA!$K$14*SQRT(1+_slice!I115))))),"外")</f>
        <v>-3.98832955114307</v>
      </c>
      <c r="J58" s="50" t="n">
        <f aca="false">IF(AND(_slice!$H$5=1,J$40&gt;=_slice!$H$6-0.000000001,J$40&lt;=_slice!$I$6+0.000000001,$B58&gt;=_slice!$H$7-0.000000001,$B58&lt;=_slice!$I$7+0.000000001,IF(01_因子設定!$B$20="Box-Behnken",J$40^2+$B58^2+_slice!$H$8&lt;=2+0.000000001,TRUE())),IF(01_因子設定!$B$13="最大化",(_slice!J90-04_回帰ANOVA!$K$19*04_回帰ANOVA!$K$14*SQRT(1+_slice!J115))-01_因子設定!$B$14,IF(01_因子設定!$B$13="最小化",01_因子設定!$B$15-(_slice!J90+04_回帰ANOVA!$K$19*04_回帰ANOVA!$K$14*SQRT(1+_slice!J115)),MIN((_slice!J90-04_回帰ANOVA!$K$19*04_回帰ANOVA!$K$14*SQRT(1+_slice!J115))-01_因子設定!$B$14,01_因子設定!$B$15-(_slice!J90+04_回帰ANOVA!$K$19*04_回帰ANOVA!$K$14*SQRT(1+_slice!J115))))),"外")</f>
        <v>-3.63611885925047</v>
      </c>
      <c r="K58" s="50" t="n">
        <f aca="false">IF(AND(_slice!$H$5=1,K$40&gt;=_slice!$H$6-0.000000001,K$40&lt;=_slice!$I$6+0.000000001,$B58&gt;=_slice!$H$7-0.000000001,$B58&lt;=_slice!$I$7+0.000000001,IF(01_因子設定!$B$20="Box-Behnken",K$40^2+$B58^2+_slice!$H$8&lt;=2+0.000000001,TRUE())),IF(01_因子設定!$B$13="最大化",(_slice!K90-04_回帰ANOVA!$K$19*04_回帰ANOVA!$K$14*SQRT(1+_slice!K115))-01_因子設定!$B$14,IF(01_因子設定!$B$13="最小化",01_因子設定!$B$15-(_slice!K90+04_回帰ANOVA!$K$19*04_回帰ANOVA!$K$14*SQRT(1+_slice!K115)),MIN((_slice!K90-04_回帰ANOVA!$K$19*04_回帰ANOVA!$K$14*SQRT(1+_slice!K115))-01_因子設定!$B$14,01_因子設定!$B$15-(_slice!K90+04_回帰ANOVA!$K$19*04_回帰ANOVA!$K$14*SQRT(1+_slice!K115))))),"外")</f>
        <v>-3.33428618815159</v>
      </c>
      <c r="L58" s="50" t="n">
        <f aca="false">IF(AND(_slice!$H$5=1,L$40&gt;=_slice!$H$6-0.000000001,L$40&lt;=_slice!$I$6+0.000000001,$B58&gt;=_slice!$H$7-0.000000001,$B58&lt;=_slice!$I$7+0.000000001,IF(01_因子設定!$B$20="Box-Behnken",L$40^2+$B58^2+_slice!$H$8&lt;=2+0.000000001,TRUE())),IF(01_因子設定!$B$13="最大化",(_slice!L90-04_回帰ANOVA!$K$19*04_回帰ANOVA!$K$14*SQRT(1+_slice!L115))-01_因子設定!$B$14,IF(01_因子設定!$B$13="最小化",01_因子設定!$B$15-(_slice!L90+04_回帰ANOVA!$K$19*04_回帰ANOVA!$K$14*SQRT(1+_slice!L115)),MIN((_slice!L90-04_回帰ANOVA!$K$19*04_回帰ANOVA!$K$14*SQRT(1+_slice!L115))-01_因子設定!$B$14,01_因子設定!$B$15-(_slice!L90+04_回帰ANOVA!$K$19*04_回帰ANOVA!$K$14*SQRT(1+_slice!L115))))),"外")</f>
        <v>-3.08190548276376</v>
      </c>
      <c r="M58" s="50" t="n">
        <f aca="false">IF(AND(_slice!$H$5=1,M$40&gt;=_slice!$H$6-0.000000001,M$40&lt;=_slice!$I$6+0.000000001,$B58&gt;=_slice!$H$7-0.000000001,$B58&lt;=_slice!$I$7+0.000000001,IF(01_因子設定!$B$20="Box-Behnken",M$40^2+$B58^2+_slice!$H$8&lt;=2+0.000000001,TRUE())),IF(01_因子設定!$B$13="最大化",(_slice!M90-04_回帰ANOVA!$K$19*04_回帰ANOVA!$K$14*SQRT(1+_slice!M115))-01_因子設定!$B$14,IF(01_因子設定!$B$13="最小化",01_因子設定!$B$15-(_slice!M90+04_回帰ANOVA!$K$19*04_回帰ANOVA!$K$14*SQRT(1+_slice!M115)),MIN((_slice!M90-04_回帰ANOVA!$K$19*04_回帰ANOVA!$K$14*SQRT(1+_slice!M115))-01_因子設定!$B$14,01_因子設定!$B$15-(_slice!M90+04_回帰ANOVA!$K$19*04_回帰ANOVA!$K$14*SQRT(1+_slice!M115))))),"外")</f>
        <v>-2.87842322196624</v>
      </c>
      <c r="N58" s="50" t="n">
        <f aca="false">IF(AND(_slice!$H$5=1,N$40&gt;=_slice!$H$6-0.000000001,N$40&lt;=_slice!$I$6+0.000000001,$B58&gt;=_slice!$H$7-0.000000001,$B58&lt;=_slice!$I$7+0.000000001,IF(01_因子設定!$B$20="Box-Behnken",N$40^2+$B58^2+_slice!$H$8&lt;=2+0.000000001,TRUE())),IF(01_因子設定!$B$13="最大化",(_slice!N90-04_回帰ANOVA!$K$19*04_回帰ANOVA!$K$14*SQRT(1+_slice!N115))-01_因子設定!$B$14,IF(01_因子設定!$B$13="最小化",01_因子設定!$B$15-(_slice!N90+04_回帰ANOVA!$K$19*04_回帰ANOVA!$K$14*SQRT(1+_slice!N115)),MIN((_slice!N90-04_回帰ANOVA!$K$19*04_回帰ANOVA!$K$14*SQRT(1+_slice!N115))-01_因子設定!$B$14,01_因子設定!$B$15-(_slice!N90+04_回帰ANOVA!$K$19*04_回帰ANOVA!$K$14*SQRT(1+_slice!N115))))),"外")</f>
        <v>-2.72365548276376</v>
      </c>
      <c r="O58" s="50" t="n">
        <f aca="false">IF(AND(_slice!$H$5=1,O$40&gt;=_slice!$H$6-0.000000001,O$40&lt;=_slice!$I$6+0.000000001,$B58&gt;=_slice!$H$7-0.000000001,$B58&lt;=_slice!$I$7+0.000000001,IF(01_因子設定!$B$20="Box-Behnken",O$40^2+$B58^2+_slice!$H$8&lt;=2+0.000000001,TRUE())),IF(01_因子設定!$B$13="最大化",(_slice!O90-04_回帰ANOVA!$K$19*04_回帰ANOVA!$K$14*SQRT(1+_slice!O115))-01_因子設定!$B$14,IF(01_因子設定!$B$13="最小化",01_因子設定!$B$15-(_slice!O90+04_回帰ANOVA!$K$19*04_回帰ANOVA!$K$14*SQRT(1+_slice!O115)),MIN((_slice!O90-04_回帰ANOVA!$K$19*04_回帰ANOVA!$K$14*SQRT(1+_slice!O115))-01_因子設定!$B$14,01_因子設定!$B$15-(_slice!O90+04_回帰ANOVA!$K$19*04_回帰ANOVA!$K$14*SQRT(1+_slice!O115))))),"外")</f>
        <v>-2.61778618815158</v>
      </c>
      <c r="P58" s="50" t="n">
        <f aca="false">IF(AND(_slice!$H$5=1,P$40&gt;=_slice!$H$6-0.000000001,P$40&lt;=_slice!$I$6+0.000000001,$B58&gt;=_slice!$H$7-0.000000001,$B58&lt;=_slice!$I$7+0.000000001,IF(01_因子設定!$B$20="Box-Behnken",P$40^2+$B58^2+_slice!$H$8&lt;=2+0.000000001,TRUE())),IF(01_因子設定!$B$13="最大化",(_slice!P90-04_回帰ANOVA!$K$19*04_回帰ANOVA!$K$14*SQRT(1+_slice!P115))-01_因子設定!$B$14,IF(01_因子設定!$B$13="最小化",01_因子設定!$B$15-(_slice!P90+04_回帰ANOVA!$K$19*04_回帰ANOVA!$K$14*SQRT(1+_slice!P115)),MIN((_slice!P90-04_回帰ANOVA!$K$19*04_回帰ANOVA!$K$14*SQRT(1+_slice!P115))-01_因子設定!$B$14,01_因子設定!$B$15-(_slice!P90+04_回帰ANOVA!$K$19*04_回帰ANOVA!$K$14*SQRT(1+_slice!P115))))),"外")</f>
        <v>-2.56136885925047</v>
      </c>
      <c r="Q58" s="50" t="n">
        <f aca="false">IF(AND(_slice!$H$5=1,Q$40&gt;=_slice!$H$6-0.000000001,Q$40&lt;=_slice!$I$6+0.000000001,$B58&gt;=_slice!$H$7-0.000000001,$B58&lt;=_slice!$I$7+0.000000001,IF(01_因子設定!$B$20="Box-Behnken",Q$40^2+$B58^2+_slice!$H$8&lt;=2+0.000000001,TRUE())),IF(01_因子設定!$B$13="最大化",(_slice!Q90-04_回帰ANOVA!$K$19*04_回帰ANOVA!$K$14*SQRT(1+_slice!Q115))-01_因子設定!$B$14,IF(01_因子設定!$B$13="最小化",01_因子設定!$B$15-(_slice!Q90+04_回帰ANOVA!$K$19*04_回帰ANOVA!$K$14*SQRT(1+_slice!Q115)),MIN((_slice!Q90-04_回帰ANOVA!$K$19*04_回帰ANOVA!$K$14*SQRT(1+_slice!Q115))-01_因子設定!$B$14,01_因子設定!$B$15-(_slice!Q90+04_回帰ANOVA!$K$19*04_回帰ANOVA!$K$14*SQRT(1+_slice!Q115))))),"外")</f>
        <v>-2.55532955114307</v>
      </c>
      <c r="R58" s="50" t="n">
        <f aca="false">IF(AND(_slice!$H$5=1,R$40&gt;=_slice!$H$6-0.000000001,R$40&lt;=_slice!$I$6+0.000000001,$B58&gt;=_slice!$H$7-0.000000001,$B58&lt;=_slice!$I$7+0.000000001,IF(01_因子設定!$B$20="Box-Behnken",R$40^2+$B58^2+_slice!$H$8&lt;=2+0.000000001,TRUE())),IF(01_因子設定!$B$13="最大化",(_slice!R90-04_回帰ANOVA!$K$19*04_回帰ANOVA!$K$14*SQRT(1+_slice!R115))-01_因子設定!$B$14,IF(01_因子設定!$B$13="最小化",01_因子設定!$B$15-(_slice!R90+04_回帰ANOVA!$K$19*04_回帰ANOVA!$K$14*SQRT(1+_slice!R115)),MIN((_slice!R90-04_回帰ANOVA!$K$19*04_回帰ANOVA!$K$14*SQRT(1+_slice!R115))-01_因子設定!$B$14,01_因子設定!$B$15-(_slice!R90+04_回帰ANOVA!$K$19*04_回帰ANOVA!$K$14*SQRT(1+_slice!R115))))),"外")</f>
        <v>-2.60096391838557</v>
      </c>
      <c r="S58" s="50" t="n">
        <f aca="false">IF(AND(_slice!$H$5=1,S$40&gt;=_slice!$H$6-0.000000001,S$40&lt;=_slice!$I$6+0.000000001,$B58&gt;=_slice!$H$7-0.000000001,$B58&lt;=_slice!$I$7+0.000000001,IF(01_因子設定!$B$20="Box-Behnken",S$40^2+$B58^2+_slice!$H$8&lt;=2+0.000000001,TRUE())),IF(01_因子設定!$B$13="最大化",(_slice!S90-04_回帰ANOVA!$K$19*04_回帰ANOVA!$K$14*SQRT(1+_slice!S115))-01_因子設定!$B$14,IF(01_因子設定!$B$13="最小化",01_因子設定!$B$15-(_slice!S90+04_回帰ANOVA!$K$19*04_回帰ANOVA!$K$14*SQRT(1+_slice!S115)),MIN((_slice!S90-04_回帰ANOVA!$K$19*04_回帰ANOVA!$K$14*SQRT(1+_slice!S115))-01_因子設定!$B$14,01_因子設定!$B$15-(_slice!S90+04_回帰ANOVA!$K$19*04_回帰ANOVA!$K$14*SQRT(1+_slice!S115))))),"外")</f>
        <v>-2.69991676565272</v>
      </c>
      <c r="T58" s="50" t="n">
        <f aca="false">IF(AND(_slice!$H$5=1,T$40&gt;=_slice!$H$6-0.000000001,T$40&lt;=_slice!$I$6+0.000000001,$B58&gt;=_slice!$H$7-0.000000001,$B58&lt;=_slice!$I$7+0.000000001,IF(01_因子設定!$B$20="Box-Behnken",T$40^2+$B58^2+_slice!$H$8&lt;=2+0.000000001,TRUE())),IF(01_因子設定!$B$13="最大化",(_slice!T90-04_回帰ANOVA!$K$19*04_回帰ANOVA!$K$14*SQRT(1+_slice!T115))-01_因子設定!$B$14,IF(01_因子設定!$B$13="最小化",01_因子設定!$B$15-(_slice!T90+04_回帰ANOVA!$K$19*04_回帰ANOVA!$K$14*SQRT(1+_slice!T115)),MIN((_slice!T90-04_回帰ANOVA!$K$19*04_回帰ANOVA!$K$14*SQRT(1+_slice!T115))-01_因子設定!$B$14,01_因子設定!$B$15-(_slice!T90+04_回帰ANOVA!$K$19*04_回帰ANOVA!$K$14*SQRT(1+_slice!T115))))),"外")</f>
        <v>-2.85412944693901</v>
      </c>
      <c r="U58" s="50" t="n">
        <f aca="false">IF(AND(_slice!$H$5=1,U$40&gt;=_slice!$H$6-0.000000001,U$40&lt;=_slice!$I$6+0.000000001,$B58&gt;=_slice!$H$7-0.000000001,$B58&lt;=_slice!$I$7+0.000000001,IF(01_因子設定!$B$20="Box-Behnken",U$40^2+$B58^2+_slice!$H$8&lt;=2+0.000000001,TRUE())),IF(01_因子設定!$B$13="最大化",(_slice!U90-04_回帰ANOVA!$K$19*04_回帰ANOVA!$K$14*SQRT(1+_slice!U115))-01_因子設定!$B$14,IF(01_因子設定!$B$13="最小化",01_因子設定!$B$15-(_slice!U90+04_回帰ANOVA!$K$19*04_回帰ANOVA!$K$14*SQRT(1+_slice!U115)),MIN((_slice!U90-04_回帰ANOVA!$K$19*04_回帰ANOVA!$K$14*SQRT(1+_slice!U115))-01_因子設定!$B$14,01_因子設定!$B$15-(_slice!U90+04_回帰ANOVA!$K$19*04_回帰ANOVA!$K$14*SQRT(1+_slice!U115))))),"外")</f>
        <v>-3.06574212758716</v>
      </c>
      <c r="V58" s="50" t="n">
        <f aca="false">IF(AND(_slice!$H$5=1,V$40&gt;=_slice!$H$6-0.000000001,V$40&lt;=_slice!$I$6+0.000000001,$B58&gt;=_slice!$H$7-0.000000001,$B58&lt;=_slice!$I$7+0.000000001,IF(01_因子設定!$B$20="Box-Behnken",V$40^2+$B58^2+_slice!$H$8&lt;=2+0.000000001,TRUE())),IF(01_因子設定!$B$13="最大化",(_slice!V90-04_回帰ANOVA!$K$19*04_回帰ANOVA!$K$14*SQRT(1+_slice!V115))-01_因子設定!$B$14,IF(01_因子設定!$B$13="最小化",01_因子設定!$B$15-(_slice!V90+04_回帰ANOVA!$K$19*04_回帰ANOVA!$K$14*SQRT(1+_slice!V115)),MIN((_slice!V90-04_回帰ANOVA!$K$19*04_回帰ANOVA!$K$14*SQRT(1+_slice!V115))-01_因子設定!$B$14,01_因子設定!$B$15-(_slice!V90+04_回帰ANOVA!$K$19*04_回帰ANOVA!$K$14*SQRT(1+_slice!V115))))),"外")</f>
        <v>-3.33694772457274</v>
      </c>
      <c r="W58" s="50" t="n">
        <f aca="false">IF(AND(_slice!$H$5=1,W$40&gt;=_slice!$H$6-0.000000001,W$40&lt;=_slice!$I$6+0.000000001,$B58&gt;=_slice!$H$7-0.000000001,$B58&lt;=_slice!$I$7+0.000000001,IF(01_因子設定!$B$20="Box-Behnken",W$40^2+$B58^2+_slice!$H$8&lt;=2+0.000000001,TRUE())),IF(01_因子設定!$B$13="最大化",(_slice!W90-04_回帰ANOVA!$K$19*04_回帰ANOVA!$K$14*SQRT(1+_slice!W115))-01_因子設定!$B$14,IF(01_因子設定!$B$13="最小化",01_因子設定!$B$15-(_slice!W90+04_回帰ANOVA!$K$19*04_回帰ANOVA!$K$14*SQRT(1+_slice!W115)),MIN((_slice!W90-04_回帰ANOVA!$K$19*04_回帰ANOVA!$K$14*SQRT(1+_slice!W115))-01_因子設定!$B$14,01_因子設定!$B$15-(_slice!W90+04_回帰ANOVA!$K$19*04_回帰ANOVA!$K$14*SQRT(1+_slice!W115))))),"外")</f>
        <v>-3.66981271949059</v>
      </c>
    </row>
    <row r="59" customFormat="false" ht="15" hidden="false" customHeight="false" outlineLevel="0" collapsed="false">
      <c r="A59" s="49" t="n">
        <f aca="false">INDEX(01_因子設定!$G$5:$G$7,$C$5)+B59*INDEX(01_因子設定!$H$5:$H$7,$C$5)</f>
        <v>23</v>
      </c>
      <c r="B59" s="49" t="n">
        <v>-0.7</v>
      </c>
      <c r="C59" s="50" t="n">
        <f aca="false">IF(AND(_slice!$H$5=1,C$40&gt;=_slice!$H$6-0.000000001,C$40&lt;=_slice!$I$6+0.000000001,$B59&gt;=_slice!$H$7-0.000000001,$B59&lt;=_slice!$I$7+0.000000001,IF(01_因子設定!$B$20="Box-Behnken",C$40^2+$B59^2+_slice!$H$8&lt;=2+0.000000001,TRUE())),IF(01_因子設定!$B$13="最大化",(_slice!C91-04_回帰ANOVA!$K$19*04_回帰ANOVA!$K$14*SQRT(1+_slice!C116))-01_因子設定!$B$14,IF(01_因子設定!$B$13="最小化",01_因子設定!$B$15-(_slice!C91+04_回帰ANOVA!$K$19*04_回帰ANOVA!$K$14*SQRT(1+_slice!C116)),MIN((_slice!C91-04_回帰ANOVA!$K$19*04_回帰ANOVA!$K$14*SQRT(1+_slice!C116))-01_因子設定!$B$14,01_因子設定!$B$15-(_slice!C91+04_回帰ANOVA!$K$19*04_回帰ANOVA!$K$14*SQRT(1+_slice!C116))))),"外")</f>
        <v>-7.63409168084449</v>
      </c>
      <c r="D59" s="50" t="n">
        <f aca="false">IF(AND(_slice!$H$5=1,D$40&gt;=_slice!$H$6-0.000000001,D$40&lt;=_slice!$I$6+0.000000001,$B59&gt;=_slice!$H$7-0.000000001,$B59&lt;=_slice!$I$7+0.000000001,IF(01_因子設定!$B$20="Box-Behnken",D$40^2+$B59^2+_slice!$H$8&lt;=2+0.000000001,TRUE())),IF(01_因子設定!$B$13="最大化",(_slice!D91-04_回帰ANOVA!$K$19*04_回帰ANOVA!$K$14*SQRT(1+_slice!D116))-01_因子設定!$B$14,IF(01_因子設定!$B$13="最小化",01_因子設定!$B$15-(_slice!D91+04_回帰ANOVA!$K$19*04_回帰ANOVA!$K$14*SQRT(1+_slice!D116)),MIN((_slice!D91-04_回帰ANOVA!$K$19*04_回帰ANOVA!$K$14*SQRT(1+_slice!D116))-01_因子設定!$B$14,01_因子設定!$B$15-(_slice!D91+04_回帰ANOVA!$K$19*04_回帰ANOVA!$K$14*SQRT(1+_slice!D116))))),"外")</f>
        <v>-6.95688325175811</v>
      </c>
      <c r="E59" s="50" t="n">
        <f aca="false">IF(AND(_slice!$H$5=1,E$40&gt;=_slice!$H$6-0.000000001,E$40&lt;=_slice!$I$6+0.000000001,$B59&gt;=_slice!$H$7-0.000000001,$B59&lt;=_slice!$I$7+0.000000001,IF(01_因子設定!$B$20="Box-Behnken",E$40^2+$B59^2+_slice!$H$8&lt;=2+0.000000001,TRUE())),IF(01_因子設定!$B$13="最大化",(_slice!E91-04_回帰ANOVA!$K$19*04_回帰ANOVA!$K$14*SQRT(1+_slice!E116))-01_因子設定!$B$14,IF(01_因子設定!$B$13="最小化",01_因子設定!$B$15-(_slice!E91+04_回帰ANOVA!$K$19*04_回帰ANOVA!$K$14*SQRT(1+_slice!E116)),MIN((_slice!E91-04_回帰ANOVA!$K$19*04_回帰ANOVA!$K$14*SQRT(1+_slice!E116))-01_因子設定!$B$14,01_因子設定!$B$15-(_slice!E91+04_回帰ANOVA!$K$19*04_回帰ANOVA!$K$14*SQRT(1+_slice!E116))))),"外")</f>
        <v>-6.34120280518602</v>
      </c>
      <c r="F59" s="50" t="n">
        <f aca="false">IF(AND(_slice!$H$5=1,F$40&gt;=_slice!$H$6-0.000000001,F$40&lt;=_slice!$I$6+0.000000001,$B59&gt;=_slice!$H$7-0.000000001,$B59&lt;=_slice!$I$7+0.000000001,IF(01_因子設定!$B$20="Box-Behnken",F$40^2+$B59^2+_slice!$H$8&lt;=2+0.000000001,TRUE())),IF(01_因子設定!$B$13="最大化",(_slice!F91-04_回帰ANOVA!$K$19*04_回帰ANOVA!$K$14*SQRT(1+_slice!F116))-01_因子設定!$B$14,IF(01_因子設定!$B$13="最小化",01_因子設定!$B$15-(_slice!F91+04_回帰ANOVA!$K$19*04_回帰ANOVA!$K$14*SQRT(1+_slice!F116)),MIN((_slice!F91-04_回帰ANOVA!$K$19*04_回帰ANOVA!$K$14*SQRT(1+_slice!F116))-01_因子設定!$B$14,01_因子設定!$B$15-(_slice!F91+04_回帰ANOVA!$K$19*04_回帰ANOVA!$K$14*SQRT(1+_slice!F116))))),"外")</f>
        <v>-5.78494061362188</v>
      </c>
      <c r="G59" s="50" t="n">
        <f aca="false">IF(AND(_slice!$H$5=1,G$40&gt;=_slice!$H$6-0.000000001,G$40&lt;=_slice!$I$6+0.000000001,$B59&gt;=_slice!$H$7-0.000000001,$B59&lt;=_slice!$I$7+0.000000001,IF(01_因子設定!$B$20="Box-Behnken",G$40^2+$B59^2+_slice!$H$8&lt;=2+0.000000001,TRUE())),IF(01_因子設定!$B$13="最大化",(_slice!G91-04_回帰ANOVA!$K$19*04_回帰ANOVA!$K$14*SQRT(1+_slice!G116))-01_因子設定!$B$14,IF(01_因子設定!$B$13="最小化",01_因子設定!$B$15-(_slice!G91+04_回帰ANOVA!$K$19*04_回帰ANOVA!$K$14*SQRT(1+_slice!G116)),MIN((_slice!G91-04_回帰ANOVA!$K$19*04_回帰ANOVA!$K$14*SQRT(1+_slice!G116))-01_因子設定!$B$14,01_因子設定!$B$15-(_slice!G91+04_回帰ANOVA!$K$19*04_回帰ANOVA!$K$14*SQRT(1+_slice!G116))))),"外")</f>
        <v>-5.285879446939</v>
      </c>
      <c r="H59" s="50" t="n">
        <f aca="false">IF(AND(_slice!$H$5=1,H$40&gt;=_slice!$H$6-0.000000001,H$40&lt;=_slice!$I$6+0.000000001,$B59&gt;=_slice!$H$7-0.000000001,$B59&lt;=_slice!$I$7+0.000000001,IF(01_因子設定!$B$20="Box-Behnken",H$40^2+$B59^2+_slice!$H$8&lt;=2+0.000000001,TRUE())),IF(01_因子設定!$B$13="最大化",(_slice!H91-04_回帰ANOVA!$K$19*04_回帰ANOVA!$K$14*SQRT(1+_slice!H116))-01_因子設定!$B$14,IF(01_因子設定!$B$13="最小化",01_因子設定!$B$15-(_slice!H91+04_回帰ANOVA!$K$19*04_回帰ANOVA!$K$14*SQRT(1+_slice!H116)),MIN((_slice!H91-04_回帰ANOVA!$K$19*04_回帰ANOVA!$K$14*SQRT(1+_slice!H116))-01_因子設定!$B$14,01_因子設定!$B$15-(_slice!H91+04_回帰ANOVA!$K$19*04_回帰ANOVA!$K$14*SQRT(1+_slice!H116))))),"外")</f>
        <v>-4.84187237814656</v>
      </c>
      <c r="I59" s="50" t="n">
        <f aca="false">IF(AND(_slice!$H$5=1,I$40&gt;=_slice!$H$6-0.000000001,I$40&lt;=_slice!$I$6+0.000000001,$B59&gt;=_slice!$H$7-0.000000001,$B59&lt;=_slice!$I$7+0.000000001,IF(01_因子設定!$B$20="Box-Behnken",I$40^2+$B59^2+_slice!$H$8&lt;=2+0.000000001,TRUE())),IF(01_因子設定!$B$13="最大化",(_slice!I91-04_回帰ANOVA!$K$19*04_回帰ANOVA!$K$14*SQRT(1+_slice!I116))-01_因子設定!$B$14,IF(01_因子設定!$B$13="最小化",01_因子設定!$B$15-(_slice!I91+04_回帰ANOVA!$K$19*04_回帰ANOVA!$K$14*SQRT(1+_slice!I116)),MIN((_slice!I91-04_回帰ANOVA!$K$19*04_回帰ANOVA!$K$14*SQRT(1+_slice!I116))-01_因子設定!$B$14,01_因子設定!$B$15-(_slice!I91+04_回帰ANOVA!$K$19*04_回帰ANOVA!$K$14*SQRT(1+_slice!I116))))),"外")</f>
        <v>-4.45098398918998</v>
      </c>
      <c r="J59" s="50" t="n">
        <f aca="false">IF(AND(_slice!$H$5=1,J$40&gt;=_slice!$H$6-0.000000001,J$40&lt;=_slice!$I$6+0.000000001,$B59&gt;=_slice!$H$7-0.000000001,$B59&lt;=_slice!$I$7+0.000000001,IF(01_因子設定!$B$20="Box-Behnken",J$40^2+$B59^2+_slice!$H$8&lt;=2+0.000000001,TRUE())),IF(01_因子設定!$B$13="最大化",(_slice!J91-04_回帰ANOVA!$K$19*04_回帰ANOVA!$K$14*SQRT(1+_slice!J116))-01_因子設定!$B$14,IF(01_因子設定!$B$13="最小化",01_因子設定!$B$15-(_slice!J91+04_回帰ANOVA!$K$19*04_回帰ANOVA!$K$14*SQRT(1+_slice!J116)),MIN((_slice!J91-04_回帰ANOVA!$K$19*04_回帰ANOVA!$K$14*SQRT(1+_slice!J116))-01_因子設定!$B$14,01_因子設定!$B$15-(_slice!J91+04_回帰ANOVA!$K$19*04_回帰ANOVA!$K$14*SQRT(1+_slice!J116))))),"外")</f>
        <v>-4.11158223920853</v>
      </c>
      <c r="K59" s="50" t="n">
        <f aca="false">IF(AND(_slice!$H$5=1,K$40&gt;=_slice!$H$6-0.000000001,K$40&lt;=_slice!$I$6+0.000000001,$B59&gt;=_slice!$H$7-0.000000001,$B59&lt;=_slice!$I$7+0.000000001,IF(01_因子設定!$B$20="Box-Behnken",K$40^2+$B59^2+_slice!$H$8&lt;=2+0.000000001,TRUE())),IF(01_因子設定!$B$13="最大化",(_slice!K91-04_回帰ANOVA!$K$19*04_回帰ANOVA!$K$14*SQRT(1+_slice!K116))-01_因子設定!$B$14,IF(01_因子設定!$B$13="最小化",01_因子設定!$B$15-(_slice!K91+04_回帰ANOVA!$K$19*04_回帰ANOVA!$K$14*SQRT(1+_slice!K116)),MIN((_slice!K91-04_回帰ANOVA!$K$19*04_回帰ANOVA!$K$14*SQRT(1+_slice!K116))-01_因子設定!$B$14,01_因子設定!$B$15-(_slice!K91+04_回帰ANOVA!$K$19*04_回帰ANOVA!$K$14*SQRT(1+_slice!K116))))),"外")</f>
        <v>-3.82238593942873</v>
      </c>
      <c r="L59" s="50" t="n">
        <f aca="false">IF(AND(_slice!$H$5=1,L$40&gt;=_slice!$H$6-0.000000001,L$40&lt;=_slice!$I$6+0.000000001,$B59&gt;=_slice!$H$7-0.000000001,$B59&lt;=_slice!$I$7+0.000000001,IF(01_因子設定!$B$20="Box-Behnken",L$40^2+$B59^2+_slice!$H$8&lt;=2+0.000000001,TRUE())),IF(01_因子設定!$B$13="最大化",(_slice!L91-04_回帰ANOVA!$K$19*04_回帰ANOVA!$K$14*SQRT(1+_slice!L116))-01_因子設定!$B$14,IF(01_因子設定!$B$13="最小化",01_因子設定!$B$15-(_slice!L91+04_回帰ANOVA!$K$19*04_回帰ANOVA!$K$14*SQRT(1+_slice!L116)),MIN((_slice!L91-04_回帰ANOVA!$K$19*04_回帰ANOVA!$K$14*SQRT(1+_slice!L116))-01_因子設定!$B$14,01_因子設定!$B$15-(_slice!L91+04_回帰ANOVA!$K$19*04_回帰ANOVA!$K$14*SQRT(1+_slice!L116))))),"外")</f>
        <v>-3.58248152671172</v>
      </c>
      <c r="M59" s="50" t="n">
        <f aca="false">IF(AND(_slice!$H$5=1,M$40&gt;=_slice!$H$6-0.000000001,M$40&lt;=_slice!$I$6+0.000000001,$B59&gt;=_slice!$H$7-0.000000001,$B59&lt;=_slice!$I$7+0.000000001,IF(01_因子設定!$B$20="Box-Behnken",M$40^2+$B59^2+_slice!$H$8&lt;=2+0.000000001,TRUE())),IF(01_因子設定!$B$13="最大化",(_slice!M91-04_回帰ANOVA!$K$19*04_回帰ANOVA!$K$14*SQRT(1+_slice!M116))-01_因子設定!$B$14,IF(01_因子設定!$B$13="最小化",01_因子設定!$B$15-(_slice!M91+04_回帰ANOVA!$K$19*04_回帰ANOVA!$K$14*SQRT(1+_slice!M116)),MIN((_slice!M91-04_回帰ANOVA!$K$19*04_回帰ANOVA!$K$14*SQRT(1+_slice!M116))-01_因子設定!$B$14,01_因子設定!$B$15-(_slice!M91+04_回帰ANOVA!$K$19*04_回帰ANOVA!$K$14*SQRT(1+_slice!M116))))),"外")</f>
        <v>-3.39132374017373</v>
      </c>
      <c r="N59" s="50" t="n">
        <f aca="false">IF(AND(_slice!$H$5=1,N$40&gt;=_slice!$H$6-0.000000001,N$40&lt;=_slice!$I$6+0.000000001,$B59&gt;=_slice!$H$7-0.000000001,$B59&lt;=_slice!$I$7+0.000000001,IF(01_因子設定!$B$20="Box-Behnken",N$40^2+$B59^2+_slice!$H$8&lt;=2+0.000000001,TRUE())),IF(01_因子設定!$B$13="最大化",(_slice!N91-04_回帰ANOVA!$K$19*04_回帰ANOVA!$K$14*SQRT(1+_slice!N116))-01_因子設定!$B$14,IF(01_因子設定!$B$13="最小化",01_因子設定!$B$15-(_slice!N91+04_回帰ANOVA!$K$19*04_回帰ANOVA!$K$14*SQRT(1+_slice!N116)),MIN((_slice!N91-04_回帰ANOVA!$K$19*04_回帰ANOVA!$K$14*SQRT(1+_slice!N116))-01_因子設定!$B$14,01_因子設定!$B$15-(_slice!N91+04_回帰ANOVA!$K$19*04_回帰ANOVA!$K$14*SQRT(1+_slice!N116))))),"外")</f>
        <v>-3.24873152671171</v>
      </c>
      <c r="O59" s="50" t="n">
        <f aca="false">IF(AND(_slice!$H$5=1,O$40&gt;=_slice!$H$6-0.000000001,O$40&lt;=_slice!$I$6+0.000000001,$B59&gt;=_slice!$H$7-0.000000001,$B59&lt;=_slice!$I$7+0.000000001,IF(01_因子設定!$B$20="Box-Behnken",O$40^2+$B59^2+_slice!$H$8&lt;=2+0.000000001,TRUE())),IF(01_因子設定!$B$13="最大化",(_slice!O91-04_回帰ANOVA!$K$19*04_回帰ANOVA!$K$14*SQRT(1+_slice!O116))-01_因子設定!$B$14,IF(01_因子設定!$B$13="最小化",01_因子設定!$B$15-(_slice!O91+04_回帰ANOVA!$K$19*04_回帰ANOVA!$K$14*SQRT(1+_slice!O116)),MIN((_slice!O91-04_回帰ANOVA!$K$19*04_回帰ANOVA!$K$14*SQRT(1+_slice!O116))-01_因子設定!$B$14,01_因子設定!$B$15-(_slice!O91+04_回帰ANOVA!$K$19*04_回帰ANOVA!$K$14*SQRT(1+_slice!O116))))),"外")</f>
        <v>-3.15488593942872</v>
      </c>
      <c r="P59" s="50" t="n">
        <f aca="false">IF(AND(_slice!$H$5=1,P$40&gt;=_slice!$H$6-0.000000001,P$40&lt;=_slice!$I$6+0.000000001,$B59&gt;=_slice!$H$7-0.000000001,$B59&lt;=_slice!$I$7+0.000000001,IF(01_因子設定!$B$20="Box-Behnken",P$40^2+$B59^2+_slice!$H$8&lt;=2+0.000000001,TRUE())),IF(01_因子設定!$B$13="最大化",(_slice!P91-04_回帰ANOVA!$K$19*04_回帰ANOVA!$K$14*SQRT(1+_slice!P116))-01_因子設定!$B$14,IF(01_因子設定!$B$13="最小化",01_因子設定!$B$15-(_slice!P91+04_回帰ANOVA!$K$19*04_回帰ANOVA!$K$14*SQRT(1+_slice!P116)),MIN((_slice!P91-04_回帰ANOVA!$K$19*04_回帰ANOVA!$K$14*SQRT(1+_slice!P116))-01_因子設定!$B$14,01_因子設定!$B$15-(_slice!P91+04_回帰ANOVA!$K$19*04_回帰ANOVA!$K$14*SQRT(1+_slice!P116))))),"外")</f>
        <v>-3.11033223920853</v>
      </c>
      <c r="Q59" s="50" t="n">
        <f aca="false">IF(AND(_slice!$H$5=1,Q$40&gt;=_slice!$H$6-0.000000001,Q$40&lt;=_slice!$I$6+0.000000001,$B59&gt;=_slice!$H$7-0.000000001,$B59&lt;=_slice!$I$7+0.000000001,IF(01_因子設定!$B$20="Box-Behnken",Q$40^2+$B59^2+_slice!$H$8&lt;=2+0.000000001,TRUE())),IF(01_因子設定!$B$13="最大化",(_slice!Q91-04_回帰ANOVA!$K$19*04_回帰ANOVA!$K$14*SQRT(1+_slice!Q116))-01_因子設定!$B$14,IF(01_因子設定!$B$13="最小化",01_因子設定!$B$15-(_slice!Q91+04_回帰ANOVA!$K$19*04_回帰ANOVA!$K$14*SQRT(1+_slice!Q116)),MIN((_slice!Q91-04_回帰ANOVA!$K$19*04_回帰ANOVA!$K$14*SQRT(1+_slice!Q116))-01_因子設定!$B$14,01_因子設定!$B$15-(_slice!Q91+04_回帰ANOVA!$K$19*04_回帰ANOVA!$K$14*SQRT(1+_slice!Q116))))),"外")</f>
        <v>-3.11598398918997</v>
      </c>
      <c r="R59" s="50" t="n">
        <f aca="false">IF(AND(_slice!$H$5=1,R$40&gt;=_slice!$H$6-0.000000001,R$40&lt;=_slice!$I$6+0.000000001,$B59&gt;=_slice!$H$7-0.000000001,$B59&lt;=_slice!$I$7+0.000000001,IF(01_因子設定!$B$20="Box-Behnken",R$40^2+$B59^2+_slice!$H$8&lt;=2+0.000000001,TRUE())),IF(01_因子設定!$B$13="最大化",(_slice!R91-04_回帰ANOVA!$K$19*04_回帰ANOVA!$K$14*SQRT(1+_slice!R116))-01_因子設定!$B$14,IF(01_因子設定!$B$13="最小化",01_因子設定!$B$15-(_slice!R91+04_回帰ANOVA!$K$19*04_回帰ANOVA!$K$14*SQRT(1+_slice!R116)),MIN((_slice!R91-04_回帰ANOVA!$K$19*04_回帰ANOVA!$K$14*SQRT(1+_slice!R116))-01_因子設定!$B$14,01_因子設定!$B$15-(_slice!R91+04_回帰ANOVA!$K$19*04_回帰ANOVA!$K$14*SQRT(1+_slice!R116))))),"外")</f>
        <v>-3.17312237814656</v>
      </c>
      <c r="S59" s="50" t="n">
        <f aca="false">IF(AND(_slice!$H$5=1,S$40&gt;=_slice!$H$6-0.000000001,S$40&lt;=_slice!$I$6+0.000000001,$B59&gt;=_slice!$H$7-0.000000001,$B59&lt;=_slice!$I$7+0.000000001,IF(01_因子設定!$B$20="Box-Behnken",S$40^2+$B59^2+_slice!$H$8&lt;=2+0.000000001,TRUE())),IF(01_因子設定!$B$13="最大化",(_slice!S91-04_回帰ANOVA!$K$19*04_回帰ANOVA!$K$14*SQRT(1+_slice!S116))-01_因子設定!$B$14,IF(01_因子設定!$B$13="最小化",01_因子設定!$B$15-(_slice!S91+04_回帰ANOVA!$K$19*04_回帰ANOVA!$K$14*SQRT(1+_slice!S116)),MIN((_slice!S91-04_回帰ANOVA!$K$19*04_回帰ANOVA!$K$14*SQRT(1+_slice!S116))-01_因子設定!$B$14,01_因子設定!$B$15-(_slice!S91+04_回帰ANOVA!$K$19*04_回帰ANOVA!$K$14*SQRT(1+_slice!S116))))),"外")</f>
        <v>-3.28337944693899</v>
      </c>
      <c r="T59" s="50" t="n">
        <f aca="false">IF(AND(_slice!$H$5=1,T$40&gt;=_slice!$H$6-0.000000001,T$40&lt;=_slice!$I$6+0.000000001,$B59&gt;=_slice!$H$7-0.000000001,$B59&lt;=_slice!$I$7+0.000000001,IF(01_因子設定!$B$20="Box-Behnken",T$40^2+$B59^2+_slice!$H$8&lt;=2+0.000000001,TRUE())),IF(01_因子設定!$B$13="最大化",(_slice!T91-04_回帰ANOVA!$K$19*04_回帰ANOVA!$K$14*SQRT(1+_slice!T116))-01_因子設定!$B$14,IF(01_因子設定!$B$13="最小化",01_因子設定!$B$15-(_slice!T91+04_回帰ANOVA!$K$19*04_回帰ANOVA!$K$14*SQRT(1+_slice!T116)),MIN((_slice!T91-04_回帰ANOVA!$K$19*04_回帰ANOVA!$K$14*SQRT(1+_slice!T116))-01_因子設定!$B$14,01_因子設定!$B$15-(_slice!T91+04_回帰ANOVA!$K$19*04_回帰ANOVA!$K$14*SQRT(1+_slice!T116))))),"外")</f>
        <v>-3.44869061362189</v>
      </c>
      <c r="U59" s="50" t="n">
        <f aca="false">IF(AND(_slice!$H$5=1,U$40&gt;=_slice!$H$6-0.000000001,U$40&lt;=_slice!$I$6+0.000000001,$B59&gt;=_slice!$H$7-0.000000001,$B59&lt;=_slice!$I$7+0.000000001,IF(01_因子設定!$B$20="Box-Behnken",U$40^2+$B59^2+_slice!$H$8&lt;=2+0.000000001,TRUE())),IF(01_因子設定!$B$13="最大化",(_slice!U91-04_回帰ANOVA!$K$19*04_回帰ANOVA!$K$14*SQRT(1+_slice!U116))-01_因子設定!$B$14,IF(01_因子設定!$B$13="最小化",01_因子設定!$B$15-(_slice!U91+04_回帰ANOVA!$K$19*04_回帰ANOVA!$K$14*SQRT(1+_slice!U116)),MIN((_slice!U91-04_回帰ANOVA!$K$19*04_回帰ANOVA!$K$14*SQRT(1+_slice!U116))-01_因子設定!$B$14,01_因子設定!$B$15-(_slice!U91+04_回帰ANOVA!$K$19*04_回帰ANOVA!$K$14*SQRT(1+_slice!U116))))),"外")</f>
        <v>-3.67120280518602</v>
      </c>
      <c r="V59" s="50" t="n">
        <f aca="false">IF(AND(_slice!$H$5=1,V$40&gt;=_slice!$H$6-0.000000001,V$40&lt;=_slice!$I$6+0.000000001,$B59&gt;=_slice!$H$7-0.000000001,$B59&lt;=_slice!$I$7+0.000000001,IF(01_因子設定!$B$20="Box-Behnken",V$40^2+$B59^2+_slice!$H$8&lt;=2+0.000000001,TRUE())),IF(01_因子設定!$B$13="最大化",(_slice!V91-04_回帰ANOVA!$K$19*04_回帰ANOVA!$K$14*SQRT(1+_slice!V116))-01_因子設定!$B$14,IF(01_因子設定!$B$13="最小化",01_因子設定!$B$15-(_slice!V91+04_回帰ANOVA!$K$19*04_回帰ANOVA!$K$14*SQRT(1+_slice!V116)),MIN((_slice!V91-04_回帰ANOVA!$K$19*04_回帰ANOVA!$K$14*SQRT(1+_slice!V116))-01_因子設定!$B$14,01_因子設定!$B$15-(_slice!V91+04_回帰ANOVA!$K$19*04_回帰ANOVA!$K$14*SQRT(1+_slice!V116))))),"外")</f>
        <v>-3.9531332517581</v>
      </c>
      <c r="W59" s="50" t="n">
        <f aca="false">IF(AND(_slice!$H$5=1,W$40&gt;=_slice!$H$6-0.000000001,W$40&lt;=_slice!$I$6+0.000000001,$B59&gt;=_slice!$H$7-0.000000001,$B59&lt;=_slice!$I$7+0.000000001,IF(01_因子設定!$B$20="Box-Behnken",W$40^2+$B59^2+_slice!$H$8&lt;=2+0.000000001,TRUE())),IF(01_因子設定!$B$13="最大化",(_slice!W91-04_回帰ANOVA!$K$19*04_回帰ANOVA!$K$14*SQRT(1+_slice!W116))-01_因子設定!$B$14,IF(01_因子設定!$B$13="最小化",01_因子設定!$B$15-(_slice!W91+04_回帰ANOVA!$K$19*04_回帰ANOVA!$K$14*SQRT(1+_slice!W116)),MIN((_slice!W91-04_回帰ANOVA!$K$19*04_回帰ANOVA!$K$14*SQRT(1+_slice!W116))-01_因子設定!$B$14,01_因子設定!$B$15-(_slice!W91+04_回帰ANOVA!$K$19*04_回帰ANOVA!$K$14*SQRT(1+_slice!W116))))),"外")</f>
        <v>-4.29659168084449</v>
      </c>
    </row>
    <row r="60" customFormat="false" ht="15" hidden="false" customHeight="false" outlineLevel="0" collapsed="false">
      <c r="A60" s="49" t="n">
        <f aca="false">INDEX(01_因子設定!$G$5:$G$7,$C$5)+B60*INDEX(01_因子設定!$H$5:$H$7,$C$5)</f>
        <v>22</v>
      </c>
      <c r="B60" s="49" t="n">
        <v>-0.8</v>
      </c>
      <c r="C60" s="50" t="n">
        <f aca="false">IF(AND(_slice!$H$5=1,C$40&gt;=_slice!$H$6-0.000000001,C$40&lt;=_slice!$I$6+0.000000001,$B60&gt;=_slice!$H$7-0.000000001,$B60&lt;=_slice!$I$7+0.000000001,IF(01_因子設定!$B$20="Box-Behnken",C$40^2+$B60^2+_slice!$H$8&lt;=2+0.000000001,TRUE())),IF(01_因子設定!$B$13="最大化",(_slice!C92-04_回帰ANOVA!$K$19*04_回帰ANOVA!$K$14*SQRT(1+_slice!C117))-01_因子設定!$B$14,IF(01_因子設定!$B$13="最小化",01_因子設定!$B$15-(_slice!C92+04_回帰ANOVA!$K$19*04_回帰ANOVA!$K$14*SQRT(1+_slice!C117)),MIN((_slice!C92-04_回帰ANOVA!$K$19*04_回帰ANOVA!$K$14*SQRT(1+_slice!C117))-01_因子設定!$B$14,01_因子設定!$B$15-(_slice!C92+04_回帰ANOVA!$K$19*04_回帰ANOVA!$K$14*SQRT(1+_slice!C117))))),"外")</f>
        <v>-8.06302651021406</v>
      </c>
      <c r="D60" s="50" t="n">
        <f aca="false">IF(AND(_slice!$H$5=1,D$40&gt;=_slice!$H$6-0.000000001,D$40&lt;=_slice!$I$6+0.000000001,$B60&gt;=_slice!$H$7-0.000000001,$B60&lt;=_slice!$I$7+0.000000001,IF(01_因子設定!$B$20="Box-Behnken",D$40^2+$B60^2+_slice!$H$8&lt;=2+0.000000001,TRUE())),IF(01_因子設定!$B$13="最大化",(_slice!D92-04_回帰ANOVA!$K$19*04_回帰ANOVA!$K$14*SQRT(1+_slice!D117))-01_因子設定!$B$14,IF(01_因子設定!$B$13="最小化",01_因子設定!$B$15-(_slice!D92+04_回帰ANOVA!$K$19*04_回帰ANOVA!$K$14*SQRT(1+_slice!D117)),MIN((_slice!D92-04_回帰ANOVA!$K$19*04_回帰ANOVA!$K$14*SQRT(1+_slice!D117))-01_因子設定!$B$14,01_因子設定!$B$15-(_slice!D92+04_回帰ANOVA!$K$19*04_回帰ANOVA!$K$14*SQRT(1+_slice!D117))))),"外")</f>
        <v>-7.4001515233461</v>
      </c>
      <c r="E60" s="50" t="n">
        <f aca="false">IF(AND(_slice!$H$5=1,E$40&gt;=_slice!$H$6-0.000000001,E$40&lt;=_slice!$I$6+0.000000001,$B60&gt;=_slice!$H$7-0.000000001,$B60&lt;=_slice!$I$7+0.000000001,IF(01_因子設定!$B$20="Box-Behnken",E$40^2+$B60^2+_slice!$H$8&lt;=2+0.000000001,TRUE())),IF(01_因子設定!$B$13="最大化",(_slice!E92-04_回帰ANOVA!$K$19*04_回帰ANOVA!$K$14*SQRT(1+_slice!E117))-01_因子設定!$B$14,IF(01_因子設定!$B$13="最小化",01_因子設定!$B$15-(_slice!E92+04_回帰ANOVA!$K$19*04_回帰ANOVA!$K$14*SQRT(1+_slice!E117)),MIN((_slice!E92-04_回帰ANOVA!$K$19*04_回帰ANOVA!$K$14*SQRT(1+_slice!E117))-01_因子設定!$B$14,01_因子設定!$B$15-(_slice!E92+04_回帰ANOVA!$K$19*04_回帰ANOVA!$K$14*SQRT(1+_slice!E117))))),"外")</f>
        <v>-6.7985945809443</v>
      </c>
      <c r="F60" s="50" t="n">
        <f aca="false">IF(AND(_slice!$H$5=1,F$40&gt;=_slice!$H$6-0.000000001,F$40&lt;=_slice!$I$6+0.000000001,$B60&gt;=_slice!$H$7-0.000000001,$B60&lt;=_slice!$I$7+0.000000001,IF(01_因子設定!$B$20="Box-Behnken",F$40^2+$B60^2+_slice!$H$8&lt;=2+0.000000001,TRUE())),IF(01_因子設定!$B$13="最大化",(_slice!F92-04_回帰ANOVA!$K$19*04_回帰ANOVA!$K$14*SQRT(1+_slice!F117))-01_因子設定!$B$14,IF(01_因子設定!$B$13="最小化",01_因子設定!$B$15-(_slice!F92+04_回帰ANOVA!$K$19*04_回帰ANOVA!$K$14*SQRT(1+_slice!F117)),MIN((_slice!F92-04_回帰ANOVA!$K$19*04_回帰ANOVA!$K$14*SQRT(1+_slice!F117))-01_因子設定!$B$14,01_因子設定!$B$15-(_slice!F92+04_回帰ANOVA!$K$19*04_回帰ANOVA!$K$14*SQRT(1+_slice!F117))))),"外")</f>
        <v>-6.25620280518602</v>
      </c>
      <c r="G60" s="50" t="n">
        <f aca="false">IF(AND(_slice!$H$5=1,G$40&gt;=_slice!$H$6-0.000000001,G$40&lt;=_slice!$I$6+0.000000001,$B60&gt;=_slice!$H$7-0.000000001,$B60&lt;=_slice!$I$7+0.000000001,IF(01_因子設定!$B$20="Box-Behnken",G$40^2+$B60^2+_slice!$H$8&lt;=2+0.000000001,TRUE())),IF(01_因子設定!$B$13="最大化",(_slice!G92-04_回帰ANOVA!$K$19*04_回帰ANOVA!$K$14*SQRT(1+_slice!G117))-01_因子設定!$B$14,IF(01_因子設定!$B$13="最小化",01_因子設定!$B$15-(_slice!G92+04_回帰ANOVA!$K$19*04_回帰ANOVA!$K$14*SQRT(1+_slice!G117)),MIN((_slice!G92-04_回帰ANOVA!$K$19*04_回帰ANOVA!$K$14*SQRT(1+_slice!G117))-01_因子設定!$B$14,01_因子設定!$B$15-(_slice!G92+04_回帰ANOVA!$K$19*04_回帰ANOVA!$K$14*SQRT(1+_slice!G117))))),"外")</f>
        <v>-5.77074212758716</v>
      </c>
      <c r="H60" s="50" t="n">
        <f aca="false">IF(AND(_slice!$H$5=1,H$40&gt;=_slice!$H$6-0.000000001,H$40&lt;=_slice!$I$6+0.000000001,$B60&gt;=_slice!$H$7-0.000000001,$B60&lt;=_slice!$I$7+0.000000001,IF(01_因子設定!$B$20="Box-Behnken",H$40^2+$B60^2+_slice!$H$8&lt;=2+0.000000001,TRUE())),IF(01_因子設定!$B$13="最大化",(_slice!H92-04_回帰ANOVA!$K$19*04_回帰ANOVA!$K$14*SQRT(1+_slice!H117))-01_因子設定!$B$14,IF(01_因子設定!$B$13="最小化",01_因子設定!$B$15-(_slice!H92+04_回帰ANOVA!$K$19*04_回帰ANOVA!$K$14*SQRT(1+_slice!H117)),MIN((_slice!H92-04_回帰ANOVA!$K$19*04_回帰ANOVA!$K$14*SQRT(1+_slice!H117))-01_因子設定!$B$14,01_因子設定!$B$15-(_slice!H92+04_回帰ANOVA!$K$19*04_回帰ANOVA!$K$14*SQRT(1+_slice!H117))))),"外")</f>
        <v>-5.340070648355</v>
      </c>
      <c r="I60" s="50" t="n">
        <f aca="false">IF(AND(_slice!$H$5=1,I$40&gt;=_slice!$H$6-0.000000001,I$40&lt;=_slice!$I$6+0.000000001,$B60&gt;=_slice!$H$7-0.000000001,$B60&lt;=_slice!$I$7+0.000000001,IF(01_因子設定!$B$20="Box-Behnken",I$40^2+$B60^2+_slice!$H$8&lt;=2+0.000000001,TRUE())),IF(01_因子設定!$B$13="最大化",(_slice!I92-04_回帰ANOVA!$K$19*04_回帰ANOVA!$K$14*SQRT(1+_slice!I117))-01_因子設定!$B$14,IF(01_因子設定!$B$13="最小化",01_因子設定!$B$15-(_slice!I92+04_回帰ANOVA!$K$19*04_回帰ANOVA!$K$14*SQRT(1+_slice!I117)),MIN((_slice!I92-04_回帰ANOVA!$K$19*04_回帰ANOVA!$K$14*SQRT(1+_slice!I117))-01_因子設定!$B$14,01_因子設定!$B$15-(_slice!I92+04_回帰ANOVA!$K$19*04_回帰ANOVA!$K$14*SQRT(1+_slice!I117))))),"外")</f>
        <v>-4.9622719404595</v>
      </c>
      <c r="J60" s="50" t="n">
        <f aca="false">IF(AND(_slice!$H$5=1,J$40&gt;=_slice!$H$6-0.000000001,J$40&lt;=_slice!$I$6+0.000000001,$B60&gt;=_slice!$H$7-0.000000001,$B60&lt;=_slice!$I$7+0.000000001,IF(01_因子設定!$B$20="Box-Behnken",J$40^2+$B60^2+_slice!$H$8&lt;=2+0.000000001,TRUE())),IF(01_因子設定!$B$13="最大化",(_slice!J92-04_回帰ANOVA!$K$19*04_回帰ANOVA!$K$14*SQRT(1+_slice!J117))-01_因子設定!$B$14,IF(01_因子設定!$B$13="最小化",01_因子設定!$B$15-(_slice!J92+04_回帰ANOVA!$K$19*04_回帰ANOVA!$K$14*SQRT(1+_slice!J117)),MIN((_slice!J92-04_回帰ANOVA!$K$19*04_回帰ANOVA!$K$14*SQRT(1+_slice!J117))-01_因子設定!$B$14,01_因子設定!$B$15-(_slice!J92+04_回帰ANOVA!$K$19*04_回帰ANOVA!$K$14*SQRT(1+_slice!J117))))),"外")</f>
        <v>-4.63573881808798</v>
      </c>
      <c r="K60" s="50" t="n">
        <f aca="false">IF(AND(_slice!$H$5=1,K$40&gt;=_slice!$H$6-0.000000001,K$40&lt;=_slice!$I$6+0.000000001,$B60&gt;=_slice!$H$7-0.000000001,$B60&lt;=_slice!$I$7+0.000000001,IF(01_因子設定!$B$20="Box-Behnken",K$40^2+$B60^2+_slice!$H$8&lt;=2+0.000000001,TRUE())),IF(01_因子設定!$B$13="最大化",(_slice!K92-04_回帰ANOVA!$K$19*04_回帰ANOVA!$K$14*SQRT(1+_slice!K117))-01_因子設定!$B$14,IF(01_因子設定!$B$13="最小化",01_因子設定!$B$15-(_slice!K92+04_回帰ANOVA!$K$19*04_回帰ANOVA!$K$14*SQRT(1+_slice!K117)),MIN((_slice!K92-04_回帰ANOVA!$K$19*04_回帰ANOVA!$K$14*SQRT(1+_slice!K117))-01_因子設定!$B$14,01_因子設定!$B$15-(_slice!K92+04_回帰ANOVA!$K$19*04_回帰ANOVA!$K$14*SQRT(1+_slice!K117))))),"外")</f>
        <v>-4.35921442329185</v>
      </c>
      <c r="L60" s="50" t="n">
        <f aca="false">IF(AND(_slice!$H$5=1,L$40&gt;=_slice!$H$6-0.000000001,L$40&lt;=_slice!$I$6+0.000000001,$B60&gt;=_slice!$H$7-0.000000001,$B60&lt;=_slice!$I$7+0.000000001,IF(01_因子設定!$B$20="Box-Behnken",L$40^2+$B60^2+_slice!$H$8&lt;=2+0.000000001,TRUE())),IF(01_因子設定!$B$13="最大化",(_slice!L92-04_回帰ANOVA!$K$19*04_回帰ANOVA!$K$14*SQRT(1+_slice!L117))-01_因子設定!$B$14,IF(01_因子設定!$B$13="最小化",01_因子設定!$B$15-(_slice!L92+04_回帰ANOVA!$K$19*04_回帰ANOVA!$K$14*SQRT(1+_slice!L117)),MIN((_slice!L92-04_回帰ANOVA!$K$19*04_回帰ANOVA!$K$14*SQRT(1+_slice!L117))-01_因子設定!$B$14,01_因子設定!$B$15-(_slice!L92+04_回帰ANOVA!$K$19*04_回帰ANOVA!$K$14*SQRT(1+_slice!L117))))),"外")</f>
        <v>-4.13180479691929</v>
      </c>
      <c r="M60" s="50" t="n">
        <f aca="false">IF(AND(_slice!$H$5=1,M$40&gt;=_slice!$H$6-0.000000001,M$40&lt;=_slice!$I$6+0.000000001,$B60&gt;=_slice!$H$7-0.000000001,$B60&lt;=_slice!$I$7+0.000000001,IF(01_因子設定!$B$20="Box-Behnken",M$40^2+$B60^2+_slice!$H$8&lt;=2+0.000000001,TRUE())),IF(01_因子設定!$B$13="最大化",(_slice!M92-04_回帰ANOVA!$K$19*04_回帰ANOVA!$K$14*SQRT(1+_slice!M117))-01_因子設定!$B$14,IF(01_因子設定!$B$13="最小化",01_因子設定!$B$15-(_slice!M92+04_回帰ANOVA!$K$19*04_回帰ANOVA!$K$14*SQRT(1+_slice!M117)),MIN((_slice!M92-04_回帰ANOVA!$K$19*04_回帰ANOVA!$K$14*SQRT(1+_slice!M117))-01_因子設定!$B$14,01_因子設定!$B$15-(_slice!M92+04_回帰ANOVA!$K$19*04_回帰ANOVA!$K$14*SQRT(1+_slice!M117))))),"外")</f>
        <v>-3.95297718082546</v>
      </c>
      <c r="N60" s="50" t="n">
        <f aca="false">IF(AND(_slice!$H$5=1,N$40&gt;=_slice!$H$6-0.000000001,N$40&lt;=_slice!$I$6+0.000000001,$B60&gt;=_slice!$H$7-0.000000001,$B60&lt;=_slice!$I$7+0.000000001,IF(01_因子設定!$B$20="Box-Behnken",N$40^2+$B60^2+_slice!$H$8&lt;=2+0.000000001,TRUE())),IF(01_因子設定!$B$13="最大化",(_slice!N92-04_回帰ANOVA!$K$19*04_回帰ANOVA!$K$14*SQRT(1+_slice!N117))-01_因子設定!$B$14,IF(01_因子設定!$B$13="最小化",01_因子設定!$B$15-(_slice!N92+04_回帰ANOVA!$K$19*04_回帰ANOVA!$K$14*SQRT(1+_slice!N117)),MIN((_slice!N92-04_回帰ANOVA!$K$19*04_回帰ANOVA!$K$14*SQRT(1+_slice!N117))-01_因子設定!$B$14,01_因子設定!$B$15-(_slice!N92+04_回帰ANOVA!$K$19*04_回帰ANOVA!$K$14*SQRT(1+_slice!N117))))),"外")</f>
        <v>-3.82255479691928</v>
      </c>
      <c r="O60" s="50" t="n">
        <f aca="false">IF(AND(_slice!$H$5=1,O$40&gt;=_slice!$H$6-0.000000001,O$40&lt;=_slice!$I$6+0.000000001,$B60&gt;=_slice!$H$7-0.000000001,$B60&lt;=_slice!$I$7+0.000000001,IF(01_因子設定!$B$20="Box-Behnken",O$40^2+$B60^2+_slice!$H$8&lt;=2+0.000000001,TRUE())),IF(01_因子設定!$B$13="最大化",(_slice!O92-04_回帰ANOVA!$K$19*04_回帰ANOVA!$K$14*SQRT(1+_slice!O117))-01_因子設定!$B$14,IF(01_因子設定!$B$13="最小化",01_因子設定!$B$15-(_slice!O92+04_回帰ANOVA!$K$19*04_回帰ANOVA!$K$14*SQRT(1+_slice!O117)),MIN((_slice!O92-04_回帰ANOVA!$K$19*04_回帰ANOVA!$K$14*SQRT(1+_slice!O117))-01_因子設定!$B$14,01_因子設定!$B$15-(_slice!O92+04_回帰ANOVA!$K$19*04_回帰ANOVA!$K$14*SQRT(1+_slice!O117))))),"外")</f>
        <v>-3.74071442329184</v>
      </c>
      <c r="P60" s="50" t="n">
        <f aca="false">IF(AND(_slice!$H$5=1,P$40&gt;=_slice!$H$6-0.000000001,P$40&lt;=_slice!$I$6+0.000000001,$B60&gt;=_slice!$H$7-0.000000001,$B60&lt;=_slice!$I$7+0.000000001,IF(01_因子設定!$B$20="Box-Behnken",P$40^2+$B60^2+_slice!$H$8&lt;=2+0.000000001,TRUE())),IF(01_因子設定!$B$13="最大化",(_slice!P92-04_回帰ANOVA!$K$19*04_回帰ANOVA!$K$14*SQRT(1+_slice!P117))-01_因子設定!$B$14,IF(01_因子設定!$B$13="最小化",01_因子設定!$B$15-(_slice!P92+04_回帰ANOVA!$K$19*04_回帰ANOVA!$K$14*SQRT(1+_slice!P117)),MIN((_slice!P92-04_回帰ANOVA!$K$19*04_回帰ANOVA!$K$14*SQRT(1+_slice!P117))-01_因子設定!$B$14,01_因子設定!$B$15-(_slice!P92+04_回帰ANOVA!$K$19*04_回帰ANOVA!$K$14*SQRT(1+_slice!P117))))),"外")</f>
        <v>-3.70798881808798</v>
      </c>
      <c r="Q60" s="50" t="n">
        <f aca="false">IF(AND(_slice!$H$5=1,Q$40&gt;=_slice!$H$6-0.000000001,Q$40&lt;=_slice!$I$6+0.000000001,$B60&gt;=_slice!$H$7-0.000000001,$B60&lt;=_slice!$I$7+0.000000001,IF(01_因子設定!$B$20="Box-Behnken",Q$40^2+$B60^2+_slice!$H$8&lt;=2+0.000000001,TRUE())),IF(01_因子設定!$B$13="最大化",(_slice!Q92-04_回帰ANOVA!$K$19*04_回帰ANOVA!$K$14*SQRT(1+_slice!Q117))-01_因子設定!$B$14,IF(01_因子設定!$B$13="最小化",01_因子設定!$B$15-(_slice!Q92+04_回帰ANOVA!$K$19*04_回帰ANOVA!$K$14*SQRT(1+_slice!Q117)),MIN((_slice!Q92-04_回帰ANOVA!$K$19*04_回帰ANOVA!$K$14*SQRT(1+_slice!Q117))-01_因子設定!$B$14,01_因子設定!$B$15-(_slice!Q92+04_回帰ANOVA!$K$19*04_回帰ANOVA!$K$14*SQRT(1+_slice!Q117))))),"外")</f>
        <v>-3.72527194045951</v>
      </c>
      <c r="R60" s="50" t="n">
        <f aca="false">IF(AND(_slice!$H$5=1,R$40&gt;=_slice!$H$6-0.000000001,R$40&lt;=_slice!$I$6+0.000000001,$B60&gt;=_slice!$H$7-0.000000001,$B60&lt;=_slice!$I$7+0.000000001,IF(01_因子設定!$B$20="Box-Behnken",R$40^2+$B60^2+_slice!$H$8&lt;=2+0.000000001,TRUE())),IF(01_因子設定!$B$13="最大化",(_slice!R92-04_回帰ANOVA!$K$19*04_回帰ANOVA!$K$14*SQRT(1+_slice!R117))-01_因子設定!$B$14,IF(01_因子設定!$B$13="最小化",01_因子設定!$B$15-(_slice!R92+04_回帰ANOVA!$K$19*04_回帰ANOVA!$K$14*SQRT(1+_slice!R117)),MIN((_slice!R92-04_回帰ANOVA!$K$19*04_回帰ANOVA!$K$14*SQRT(1+_slice!R117))-01_因子設定!$B$14,01_因子設定!$B$15-(_slice!R92+04_回帰ANOVA!$K$19*04_回帰ANOVA!$K$14*SQRT(1+_slice!R117))))),"外")</f>
        <v>-3.793820648355</v>
      </c>
      <c r="S60" s="50" t="n">
        <f aca="false">IF(AND(_slice!$H$5=1,S$40&gt;=_slice!$H$6-0.000000001,S$40&lt;=_slice!$I$6+0.000000001,$B60&gt;=_slice!$H$7-0.000000001,$B60&lt;=_slice!$I$7+0.000000001,IF(01_因子設定!$B$20="Box-Behnken",S$40^2+$B60^2+_slice!$H$8&lt;=2+0.000000001,TRUE())),IF(01_因子設定!$B$13="最大化",(_slice!S92-04_回帰ANOVA!$K$19*04_回帰ANOVA!$K$14*SQRT(1+_slice!S117))-01_因子設定!$B$14,IF(01_因子設定!$B$13="最小化",01_因子設定!$B$15-(_slice!S92+04_回帰ANOVA!$K$19*04_回帰ANOVA!$K$14*SQRT(1+_slice!S117)),MIN((_slice!S92-04_回帰ANOVA!$K$19*04_回帰ANOVA!$K$14*SQRT(1+_slice!S117))-01_因子設定!$B$14,01_因子設定!$B$15-(_slice!S92+04_回帰ANOVA!$K$19*04_回帰ANOVA!$K$14*SQRT(1+_slice!S117))))),"外")</f>
        <v>-3.91524212758715</v>
      </c>
      <c r="T60" s="50" t="n">
        <f aca="false">IF(AND(_slice!$H$5=1,T$40&gt;=_slice!$H$6-0.000000001,T$40&lt;=_slice!$I$6+0.000000001,$B60&gt;=_slice!$H$7-0.000000001,$B60&lt;=_slice!$I$7+0.000000001,IF(01_因子設定!$B$20="Box-Behnken",T$40^2+$B60^2+_slice!$H$8&lt;=2+0.000000001,TRUE())),IF(01_因子設定!$B$13="最大化",(_slice!T92-04_回帰ANOVA!$K$19*04_回帰ANOVA!$K$14*SQRT(1+_slice!T117))-01_因子設定!$B$14,IF(01_因子設定!$B$13="最小化",01_因子設定!$B$15-(_slice!T92+04_回帰ANOVA!$K$19*04_回帰ANOVA!$K$14*SQRT(1+_slice!T117)),MIN((_slice!T92-04_回帰ANOVA!$K$19*04_回帰ANOVA!$K$14*SQRT(1+_slice!T117))-01_因子設定!$B$14,01_因子設定!$B$15-(_slice!T92+04_回帰ANOVA!$K$19*04_回帰ANOVA!$K$14*SQRT(1+_slice!T117))))),"外")</f>
        <v>-4.09145280518602</v>
      </c>
      <c r="U60" s="50" t="n">
        <f aca="false">IF(AND(_slice!$H$5=1,U$40&gt;=_slice!$H$6-0.000000001,U$40&lt;=_slice!$I$6+0.000000001,$B60&gt;=_slice!$H$7-0.000000001,$B60&lt;=_slice!$I$7+0.000000001,IF(01_因子設定!$B$20="Box-Behnken",U$40^2+$B60^2+_slice!$H$8&lt;=2+0.000000001,TRUE())),IF(01_因子設定!$B$13="最大化",(_slice!U92-04_回帰ANOVA!$K$19*04_回帰ANOVA!$K$14*SQRT(1+_slice!U117))-01_因子設定!$B$14,IF(01_因子設定!$B$13="最小化",01_因子設定!$B$15-(_slice!U92+04_回帰ANOVA!$K$19*04_回帰ANOVA!$K$14*SQRT(1+_slice!U117)),MIN((_slice!U92-04_回帰ANOVA!$K$19*04_回帰ANOVA!$K$14*SQRT(1+_slice!U117))-01_因子設定!$B$14,01_因子設定!$B$15-(_slice!U92+04_回帰ANOVA!$K$19*04_回帰ANOVA!$K$14*SQRT(1+_slice!U117))))),"外")</f>
        <v>-4.32459458094429</v>
      </c>
      <c r="V60" s="50" t="n">
        <f aca="false">IF(AND(_slice!$H$5=1,V$40&gt;=_slice!$H$6-0.000000001,V$40&lt;=_slice!$I$6+0.000000001,$B60&gt;=_slice!$H$7-0.000000001,$B60&lt;=_slice!$I$7+0.000000001,IF(01_因子設定!$B$20="Box-Behnken",V$40^2+$B60^2+_slice!$H$8&lt;=2+0.000000001,TRUE())),IF(01_因子設定!$B$13="最大化",(_slice!V92-04_回帰ANOVA!$K$19*04_回帰ANOVA!$K$14*SQRT(1+_slice!V117))-01_因子設定!$B$14,IF(01_因子設定!$B$13="最小化",01_因子設定!$B$15-(_slice!V92+04_回帰ANOVA!$K$19*04_回帰ANOVA!$K$14*SQRT(1+_slice!V117)),MIN((_slice!V92-04_回帰ANOVA!$K$19*04_回帰ANOVA!$K$14*SQRT(1+_slice!V117))-01_因子設定!$B$14,01_因子設定!$B$15-(_slice!V92+04_回帰ANOVA!$K$19*04_回帰ANOVA!$K$14*SQRT(1+_slice!V117))))),"外")</f>
        <v>-4.61690152334609</v>
      </c>
      <c r="W60" s="50" t="n">
        <f aca="false">IF(AND(_slice!$H$5=1,W$40&gt;=_slice!$H$6-0.000000001,W$40&lt;=_slice!$I$6+0.000000001,$B60&gt;=_slice!$H$7-0.000000001,$B60&lt;=_slice!$I$7+0.000000001,IF(01_因子設定!$B$20="Box-Behnken",W$40^2+$B60^2+_slice!$H$8&lt;=2+0.000000001,TRUE())),IF(01_因子設定!$B$13="最大化",(_slice!W92-04_回帰ANOVA!$K$19*04_回帰ANOVA!$K$14*SQRT(1+_slice!W117))-01_因子設定!$B$14,IF(01_因子設定!$B$13="最小化",01_因子設定!$B$15-(_slice!W92+04_回帰ANOVA!$K$19*04_回帰ANOVA!$K$14*SQRT(1+_slice!W117)),MIN((_slice!W92-04_回帰ANOVA!$K$19*04_回帰ANOVA!$K$14*SQRT(1+_slice!W117))-01_因子設定!$B$14,01_因子設定!$B$15-(_slice!W92+04_回帰ANOVA!$K$19*04_回帰ANOVA!$K$14*SQRT(1+_slice!W117))))),"外")</f>
        <v>-4.97052651021404</v>
      </c>
    </row>
    <row r="61" customFormat="false" ht="15" hidden="false" customHeight="false" outlineLevel="0" collapsed="false">
      <c r="A61" s="49" t="n">
        <f aca="false">INDEX(01_因子設定!$G$5:$G$7,$C$5)+B61*INDEX(01_因子設定!$H$5:$H$7,$C$5)</f>
        <v>21</v>
      </c>
      <c r="B61" s="49" t="n">
        <v>-0.9</v>
      </c>
      <c r="C61" s="50" t="n">
        <f aca="false">IF(AND(_slice!$H$5=1,C$40&gt;=_slice!$H$6-0.000000001,C$40&lt;=_slice!$I$6+0.000000001,$B61&gt;=_slice!$H$7-0.000000001,$B61&lt;=_slice!$I$7+0.000000001,IF(01_因子設定!$B$20="Box-Behnken",C$40^2+$B61^2+_slice!$H$8&lt;=2+0.000000001,TRUE())),IF(01_因子設定!$B$13="最大化",(_slice!C93-04_回帰ANOVA!$K$19*04_回帰ANOVA!$K$14*SQRT(1+_slice!C118))-01_因子設定!$B$14,IF(01_因子設定!$B$13="最小化",01_因子設定!$B$15-(_slice!C93+04_回帰ANOVA!$K$19*04_回帰ANOVA!$K$14*SQRT(1+_slice!C118)),MIN((_slice!C93-04_回帰ANOVA!$K$19*04_回帰ANOVA!$K$14*SQRT(1+_slice!C118))-01_因子設定!$B$14,01_因子設定!$B$15-(_slice!C93+04_回帰ANOVA!$K$19*04_回帰ANOVA!$K$14*SQRT(1+_slice!C118))))),"外")</f>
        <v>-8.54133849710304</v>
      </c>
      <c r="D61" s="50" t="n">
        <f aca="false">IF(AND(_slice!$H$5=1,D$40&gt;=_slice!$H$6-0.000000001,D$40&lt;=_slice!$I$6+0.000000001,$B61&gt;=_slice!$H$7-0.000000001,$B61&lt;=_slice!$I$7+0.000000001,IF(01_因子設定!$B$20="Box-Behnken",D$40^2+$B61^2+_slice!$H$8&lt;=2+0.000000001,TRUE())),IF(01_因子設定!$B$13="最大化",(_slice!D93-04_回帰ANOVA!$K$19*04_回帰ANOVA!$K$14*SQRT(1+_slice!D118))-01_因子設定!$B$14,IF(01_因子設定!$B$13="最小化",01_因子設定!$B$15-(_slice!D93+04_回帰ANOVA!$K$19*04_回帰ANOVA!$K$14*SQRT(1+_slice!D118)),MIN((_slice!D93-04_回帰ANOVA!$K$19*04_回帰ANOVA!$K$14*SQRT(1+_slice!D118))-01_因子設定!$B$14,01_因子設定!$B$15-(_slice!D93+04_回帰ANOVA!$K$19*04_回帰ANOVA!$K$14*SQRT(1+_slice!D118))))),"外")</f>
        <v>-7.89323996237842</v>
      </c>
      <c r="E61" s="50" t="n">
        <f aca="false">IF(AND(_slice!$H$5=1,E$40&gt;=_slice!$H$6-0.000000001,E$40&lt;=_slice!$I$6+0.000000001,$B61&gt;=_slice!$H$7-0.000000001,$B61&lt;=_slice!$I$7+0.000000001,IF(01_因子設定!$B$20="Box-Behnken",E$40^2+$B61^2+_slice!$H$8&lt;=2+0.000000001,TRUE())),IF(01_因子設定!$B$13="最大化",(_slice!E93-04_回帰ANOVA!$K$19*04_回帰ANOVA!$K$14*SQRT(1+_slice!E118))-01_因子設定!$B$14,IF(01_因子設定!$B$13="最小化",01_因子設定!$B$15-(_slice!E93+04_回帰ANOVA!$K$19*04_回帰ANOVA!$K$14*SQRT(1+_slice!E118)),MIN((_slice!E93-04_回帰ANOVA!$K$19*04_回帰ANOVA!$K$14*SQRT(1+_slice!E118))-01_因子設定!$B$14,01_因子設定!$B$15-(_slice!E93+04_回帰ANOVA!$K$19*04_回帰ANOVA!$K$14*SQRT(1+_slice!E118))))),"外")</f>
        <v>-7.3061515233461</v>
      </c>
      <c r="F61" s="50" t="n">
        <f aca="false">IF(AND(_slice!$H$5=1,F$40&gt;=_slice!$H$6-0.000000001,F$40&lt;=_slice!$I$6+0.000000001,$B61&gt;=_slice!$H$7-0.000000001,$B61&lt;=_slice!$I$7+0.000000001,IF(01_因子設定!$B$20="Box-Behnken",F$40^2+$B61^2+_slice!$H$8&lt;=2+0.000000001,TRUE())),IF(01_因子設定!$B$13="最大化",(_slice!F93-04_回帰ANOVA!$K$19*04_回帰ANOVA!$K$14*SQRT(1+_slice!F118))-01_因子設定!$B$14,IF(01_因子設定!$B$13="最小化",01_因子設定!$B$15-(_slice!F93+04_回帰ANOVA!$K$19*04_回帰ANOVA!$K$14*SQRT(1+_slice!F118)),MIN((_slice!F93-04_回帰ANOVA!$K$19*04_回帰ANOVA!$K$14*SQRT(1+_slice!F118))-01_因子設定!$B$14,01_因子設定!$B$15-(_slice!F93+04_回帰ANOVA!$K$19*04_回帰ANOVA!$K$14*SQRT(1+_slice!F118))))),"外")</f>
        <v>-6.77788325175811</v>
      </c>
      <c r="G61" s="50" t="n">
        <f aca="false">IF(AND(_slice!$H$5=1,G$40&gt;=_slice!$H$6-0.000000001,G$40&lt;=_slice!$I$6+0.000000001,$B61&gt;=_slice!$H$7-0.000000001,$B61&lt;=_slice!$I$7+0.000000001,IF(01_因子設定!$B$20="Box-Behnken",G$40^2+$B61^2+_slice!$H$8&lt;=2+0.000000001,TRUE())),IF(01_因子設定!$B$13="最大化",(_slice!G93-04_回帰ANOVA!$K$19*04_回帰ANOVA!$K$14*SQRT(1+_slice!G118))-01_因子設定!$B$14,IF(01_因子設定!$B$13="最小化",01_因子設定!$B$15-(_slice!G93+04_回帰ANOVA!$K$19*04_回帰ANOVA!$K$14*SQRT(1+_slice!G118)),MIN((_slice!G93-04_回帰ANOVA!$K$19*04_回帰ANOVA!$K$14*SQRT(1+_slice!G118))-01_因子設定!$B$14,01_因子設定!$B$15-(_slice!G93+04_回帰ANOVA!$K$19*04_回帰ANOVA!$K$14*SQRT(1+_slice!G118))))),"外")</f>
        <v>-6.30619772457273</v>
      </c>
      <c r="H61" s="50" t="n">
        <f aca="false">IF(AND(_slice!$H$5=1,H$40&gt;=_slice!$H$6-0.000000001,H$40&lt;=_slice!$I$6+0.000000001,$B61&gt;=_slice!$H$7-0.000000001,$B61&lt;=_slice!$I$7+0.000000001,IF(01_因子設定!$B$20="Box-Behnken",H$40^2+$B61^2+_slice!$H$8&lt;=2+0.000000001,TRUE())),IF(01_因子設定!$B$13="最大化",(_slice!H93-04_回帰ANOVA!$K$19*04_回帰ANOVA!$K$14*SQRT(1+_slice!H118))-01_因子設定!$B$14,IF(01_因子設定!$B$13="最小化",01_因子設定!$B$15-(_slice!H93+04_回帰ANOVA!$K$19*04_回帰ANOVA!$K$14*SQRT(1+_slice!H118)),MIN((_slice!H93-04_回帰ANOVA!$K$19*04_回帰ANOVA!$K$14*SQRT(1+_slice!H118))-01_因子設定!$B$14,01_因子設定!$B$15-(_slice!H93+04_回帰ANOVA!$K$19*04_回帰ANOVA!$K$14*SQRT(1+_slice!H118))))),"外")</f>
        <v>-5.88897489296543</v>
      </c>
      <c r="I61" s="50" t="n">
        <f aca="false">IF(AND(_slice!$H$5=1,I$40&gt;=_slice!$H$6-0.000000001,I$40&lt;=_slice!$I$6+0.000000001,$B61&gt;=_slice!$H$7-0.000000001,$B61&lt;=_slice!$I$7+0.000000001,IF(01_因子設定!$B$20="Box-Behnken",I$40^2+$B61^2+_slice!$H$8&lt;=2+0.000000001,TRUE())),IF(01_因子設定!$B$13="最大化",(_slice!I93-04_回帰ANOVA!$K$19*04_回帰ANOVA!$K$14*SQRT(1+_slice!I118))-01_因子設定!$B$14,IF(01_因子設定!$B$13="最小化",01_因子設定!$B$15-(_slice!I93+04_回帰ANOVA!$K$19*04_回帰ANOVA!$K$14*SQRT(1+_slice!I118)),MIN((_slice!I93-04_回帰ANOVA!$K$19*04_回帰ANOVA!$K$14*SQRT(1+_slice!I118))-01_因子設定!$B$14,01_因子設定!$B$15-(_slice!I93+04_回帰ANOVA!$K$19*04_回帰ANOVA!$K$14*SQRT(1+_slice!I118))))),"外")</f>
        <v>-5.52433409495583</v>
      </c>
      <c r="J61" s="50" t="n">
        <f aca="false">IF(AND(_slice!$H$5=1,J$40&gt;=_slice!$H$6-0.000000001,J$40&lt;=_slice!$I$6+0.000000001,$B61&gt;=_slice!$H$7-0.000000001,$B61&lt;=_slice!$I$7+0.000000001,IF(01_因子設定!$B$20="Box-Behnken",J$40^2+$B61^2+_slice!$H$8&lt;=2+0.000000001,TRUE())),IF(01_因子設定!$B$13="最大化",(_slice!J93-04_回帰ANOVA!$K$19*04_回帰ANOVA!$K$14*SQRT(1+_slice!J118))-01_因子設定!$B$14,IF(01_因子設定!$B$13="最小化",01_因子設定!$B$15-(_slice!J93+04_回帰ANOVA!$K$19*04_回帰ANOVA!$K$14*SQRT(1+_slice!J118)),MIN((_slice!J93-04_回帰ANOVA!$K$19*04_回帰ANOVA!$K$14*SQRT(1+_slice!J118))-01_因子設定!$B$14,01_因子設定!$B$15-(_slice!J93+04_回帰ANOVA!$K$19*04_回帰ANOVA!$K$14*SQRT(1+_slice!J118))))),"外")</f>
        <v>-5.21070759123917</v>
      </c>
      <c r="K61" s="50" t="n">
        <f aca="false">IF(AND(_slice!$H$5=1,K$40&gt;=_slice!$H$6-0.000000001,K$40&lt;=_slice!$I$6+0.000000001,$B61&gt;=_slice!$H$7-0.000000001,$B61&lt;=_slice!$I$7+0.000000001,IF(01_因子設定!$B$20="Box-Behnken",K$40^2+$B61^2+_slice!$H$8&lt;=2+0.000000001,TRUE())),IF(01_因子設定!$B$13="最大化",(_slice!K93-04_回帰ANOVA!$K$19*04_回帰ANOVA!$K$14*SQRT(1+_slice!K118))-01_因子設定!$B$14,IF(01_因子設定!$B$13="最小化",01_因子設定!$B$15-(_slice!K93+04_回帰ANOVA!$K$19*04_回帰ANOVA!$K$14*SQRT(1+_slice!K118)),MIN((_slice!K93-04_回帰ANOVA!$K$19*04_回帰ANOVA!$K$14*SQRT(1+_slice!K118))-01_因子設定!$B$14,01_因子設定!$B$15-(_slice!K93+04_回帰ANOVA!$K$19*04_回帰ANOVA!$K$14*SQRT(1+_slice!K118))))),"外")</f>
        <v>-4.94687427889354</v>
      </c>
      <c r="L61" s="50" t="n">
        <f aca="false">IF(AND(_slice!$H$5=1,L$40&gt;=_slice!$H$6-0.000000001,L$40&lt;=_slice!$I$6+0.000000001,$B61&gt;=_slice!$H$7-0.000000001,$B61&lt;=_slice!$I$7+0.000000001,IF(01_因子設定!$B$20="Box-Behnken",L$40^2+$B61^2+_slice!$H$8&lt;=2+0.000000001,TRUE())),IF(01_因子設定!$B$13="最大化",(_slice!L93-04_回帰ANOVA!$K$19*04_回帰ANOVA!$K$14*SQRT(1+_slice!L118))-01_因子設定!$B$14,IF(01_因子設定!$B$13="最小化",01_因子設定!$B$15-(_slice!L93+04_回帰ANOVA!$K$19*04_回帰ANOVA!$K$14*SQRT(1+_slice!L118)),MIN((_slice!L93-04_回帰ANOVA!$K$19*04_回帰ANOVA!$K$14*SQRT(1+_slice!L118))-01_因子設定!$B$14,01_因子設定!$B$15-(_slice!L93+04_回帰ANOVA!$K$19*04_回帰ANOVA!$K$14*SQRT(1+_slice!L118))))),"外")</f>
        <v>-4.731967816492</v>
      </c>
      <c r="M61" s="50" t="n">
        <f aca="false">IF(AND(_slice!$H$5=1,M$40&gt;=_slice!$H$6-0.000000001,M$40&lt;=_slice!$I$6+0.000000001,$B61&gt;=_slice!$H$7-0.000000001,$B61&lt;=_slice!$I$7+0.000000001,IF(01_因子設定!$B$20="Box-Behnken",M$40^2+$B61^2+_slice!$H$8&lt;=2+0.000000001,TRUE())),IF(01_因子設定!$B$13="最大化",(_slice!M93-04_回帰ANOVA!$K$19*04_回帰ANOVA!$K$14*SQRT(1+_slice!M118))-01_因子設定!$B$14,IF(01_因子設定!$B$13="最小化",01_因子設定!$B$15-(_slice!M93+04_回帰ANOVA!$K$19*04_回帰ANOVA!$K$14*SQRT(1+_slice!M118)),MIN((_slice!M93-04_回帰ANOVA!$K$19*04_回帰ANOVA!$K$14*SQRT(1+_slice!M118))-01_因子設定!$B$14,01_因子設定!$B$15-(_slice!M93+04_回帰ANOVA!$K$19*04_回帰ANOVA!$K$14*SQRT(1+_slice!M118))))),"外")</f>
        <v>-4.56547264870229</v>
      </c>
      <c r="N61" s="50" t="n">
        <f aca="false">IF(AND(_slice!$H$5=1,N$40&gt;=_slice!$H$6-0.000000001,N$40&lt;=_slice!$I$6+0.000000001,$B61&gt;=_slice!$H$7-0.000000001,$B61&lt;=_slice!$I$7+0.000000001,IF(01_因子設定!$B$20="Box-Behnken",N$40^2+$B61^2+_slice!$H$8&lt;=2+0.000000001,TRUE())),IF(01_因子設定!$B$13="最大化",(_slice!N93-04_回帰ANOVA!$K$19*04_回帰ANOVA!$K$14*SQRT(1+_slice!N118))-01_因子設定!$B$14,IF(01_因子設定!$B$13="最小化",01_因子設定!$B$15-(_slice!N93+04_回帰ANOVA!$K$19*04_回帰ANOVA!$K$14*SQRT(1+_slice!N118)),MIN((_slice!N93-04_回帰ANOVA!$K$19*04_回帰ANOVA!$K$14*SQRT(1+_slice!N118))-01_因子設定!$B$14,01_因子設定!$B$15-(_slice!N93+04_回帰ANOVA!$K$19*04_回帰ANOVA!$K$14*SQRT(1+_slice!N118))))),"外")</f>
        <v>-4.447217816492</v>
      </c>
      <c r="O61" s="50" t="n">
        <f aca="false">IF(AND(_slice!$H$5=1,O$40&gt;=_slice!$H$6-0.000000001,O$40&lt;=_slice!$I$6+0.000000001,$B61&gt;=_slice!$H$7-0.000000001,$B61&lt;=_slice!$I$7+0.000000001,IF(01_因子設定!$B$20="Box-Behnken",O$40^2+$B61^2+_slice!$H$8&lt;=2+0.000000001,TRUE())),IF(01_因子設定!$B$13="最大化",(_slice!O93-04_回帰ANOVA!$K$19*04_回帰ANOVA!$K$14*SQRT(1+_slice!O118))-01_因子設定!$B$14,IF(01_因子設定!$B$13="最小化",01_因子設定!$B$15-(_slice!O93+04_回帰ANOVA!$K$19*04_回帰ANOVA!$K$14*SQRT(1+_slice!O118)),MIN((_slice!O93-04_回帰ANOVA!$K$19*04_回帰ANOVA!$K$14*SQRT(1+_slice!O118))-01_因子設定!$B$14,01_因子設定!$B$15-(_slice!O93+04_回帰ANOVA!$K$19*04_回帰ANOVA!$K$14*SQRT(1+_slice!O118))))),"外")</f>
        <v>-4.37737427889353</v>
      </c>
      <c r="P61" s="50" t="n">
        <f aca="false">IF(AND(_slice!$H$5=1,P$40&gt;=_slice!$H$6-0.000000001,P$40&lt;=_slice!$I$6+0.000000001,$B61&gt;=_slice!$H$7-0.000000001,$B61&lt;=_slice!$I$7+0.000000001,IF(01_因子設定!$B$20="Box-Behnken",P$40^2+$B61^2+_slice!$H$8&lt;=2+0.000000001,TRUE())),IF(01_因子設定!$B$13="最大化",(_slice!P93-04_回帰ANOVA!$K$19*04_回帰ANOVA!$K$14*SQRT(1+_slice!P118))-01_因子設定!$B$14,IF(01_因子設定!$B$13="最小化",01_因子設定!$B$15-(_slice!P93+04_回帰ANOVA!$K$19*04_回帰ANOVA!$K$14*SQRT(1+_slice!P118)),MIN((_slice!P93-04_回帰ANOVA!$K$19*04_回帰ANOVA!$K$14*SQRT(1+_slice!P118))-01_因子設定!$B$14,01_因子設定!$B$15-(_slice!P93+04_回帰ANOVA!$K$19*04_回帰ANOVA!$K$14*SQRT(1+_slice!P118))))),"外")</f>
        <v>-4.35645759123918</v>
      </c>
      <c r="Q61" s="50" t="n">
        <f aca="false">IF(AND(_slice!$H$5=1,Q$40&gt;=_slice!$H$6-0.000000001,Q$40&lt;=_slice!$I$6+0.000000001,$B61&gt;=_slice!$H$7-0.000000001,$B61&lt;=_slice!$I$7+0.000000001,IF(01_因子設定!$B$20="Box-Behnken",Q$40^2+$B61^2+_slice!$H$8&lt;=2+0.000000001,TRUE())),IF(01_因子設定!$B$13="最大化",(_slice!Q93-04_回帰ANOVA!$K$19*04_回帰ANOVA!$K$14*SQRT(1+_slice!Q118))-01_因子設定!$B$14,IF(01_因子設定!$B$13="最小化",01_因子設定!$B$15-(_slice!Q93+04_回帰ANOVA!$K$19*04_回帰ANOVA!$K$14*SQRT(1+_slice!Q118)),MIN((_slice!Q93-04_回帰ANOVA!$K$19*04_回帰ANOVA!$K$14*SQRT(1+_slice!Q118))-01_因子設定!$B$14,01_因子設定!$B$15-(_slice!Q93+04_回帰ANOVA!$K$19*04_回帰ANOVA!$K$14*SQRT(1+_slice!Q118))))),"外")</f>
        <v>-4.38533409495583</v>
      </c>
      <c r="R61" s="50" t="n">
        <f aca="false">IF(AND(_slice!$H$5=1,R$40&gt;=_slice!$H$6-0.000000001,R$40&lt;=_slice!$I$6+0.000000001,$B61&gt;=_slice!$H$7-0.000000001,$B61&lt;=_slice!$I$7+0.000000001,IF(01_因子設定!$B$20="Box-Behnken",R$40^2+$B61^2+_slice!$H$8&lt;=2+0.000000001,TRUE())),IF(01_因子設定!$B$13="最大化",(_slice!R93-04_回帰ANOVA!$K$19*04_回帰ANOVA!$K$14*SQRT(1+_slice!R118))-01_因子設定!$B$14,IF(01_因子設定!$B$13="最小化",01_因子設定!$B$15-(_slice!R93+04_回帰ANOVA!$K$19*04_回帰ANOVA!$K$14*SQRT(1+_slice!R118)),MIN((_slice!R93-04_回帰ANOVA!$K$19*04_回帰ANOVA!$K$14*SQRT(1+_slice!R118))-01_因子設定!$B$14,01_因子設定!$B$15-(_slice!R93+04_回帰ANOVA!$K$19*04_回帰ANOVA!$K$14*SQRT(1+_slice!R118))))),"外")</f>
        <v>-4.46522489296542</v>
      </c>
      <c r="S61" s="50" t="n">
        <f aca="false">IF(AND(_slice!$H$5=1,S$40&gt;=_slice!$H$6-0.000000001,S$40&lt;=_slice!$I$6+0.000000001,$B61&gt;=_slice!$H$7-0.000000001,$B61&lt;=_slice!$I$7+0.000000001,IF(01_因子設定!$B$20="Box-Behnken",S$40^2+$B61^2+_slice!$H$8&lt;=2+0.000000001,TRUE())),IF(01_因子設定!$B$13="最大化",(_slice!S93-04_回帰ANOVA!$K$19*04_回帰ANOVA!$K$14*SQRT(1+_slice!S118))-01_因子設定!$B$14,IF(01_因子設定!$B$13="最小化",01_因子設定!$B$15-(_slice!S93+04_回帰ANOVA!$K$19*04_回帰ANOVA!$K$14*SQRT(1+_slice!S118)),MIN((_slice!S93-04_回帰ANOVA!$K$19*04_回帰ANOVA!$K$14*SQRT(1+_slice!S118))-01_因子設定!$B$14,01_因子設定!$B$15-(_slice!S93+04_回帰ANOVA!$K$19*04_回帰ANOVA!$K$14*SQRT(1+_slice!S118))))),"外")</f>
        <v>-4.59769772457272</v>
      </c>
      <c r="T61" s="50" t="n">
        <f aca="false">IF(AND(_slice!$H$5=1,T$40&gt;=_slice!$H$6-0.000000001,T$40&lt;=_slice!$I$6+0.000000001,$B61&gt;=_slice!$H$7-0.000000001,$B61&lt;=_slice!$I$7+0.000000001,IF(01_因子設定!$B$20="Box-Behnken",T$40^2+$B61^2+_slice!$H$8&lt;=2+0.000000001,TRUE())),IF(01_因子設定!$B$13="最大化",(_slice!T93-04_回帰ANOVA!$K$19*04_回帰ANOVA!$K$14*SQRT(1+_slice!T118))-01_因子設定!$B$14,IF(01_因子設定!$B$13="最小化",01_因子設定!$B$15-(_slice!T93+04_回帰ANOVA!$K$19*04_回帰ANOVA!$K$14*SQRT(1+_slice!T118)),MIN((_slice!T93-04_回帰ANOVA!$K$19*04_回帰ANOVA!$K$14*SQRT(1+_slice!T118))-01_因子設定!$B$14,01_因子設定!$B$15-(_slice!T93+04_回帰ANOVA!$K$19*04_回帰ANOVA!$K$14*SQRT(1+_slice!T118))))),"外")</f>
        <v>-4.7846332517581</v>
      </c>
      <c r="U61" s="50" t="n">
        <f aca="false">IF(AND(_slice!$H$5=1,U$40&gt;=_slice!$H$6-0.000000001,U$40&lt;=_slice!$I$6+0.000000001,$B61&gt;=_slice!$H$7-0.000000001,$B61&lt;=_slice!$I$7+0.000000001,IF(01_因子設定!$B$20="Box-Behnken",U$40^2+$B61^2+_slice!$H$8&lt;=2+0.000000001,TRUE())),IF(01_因子設定!$B$13="最大化",(_slice!U93-04_回帰ANOVA!$K$19*04_回帰ANOVA!$K$14*SQRT(1+_slice!U118))-01_因子設定!$B$14,IF(01_因子設定!$B$13="最小化",01_因子設定!$B$15-(_slice!U93+04_回帰ANOVA!$K$19*04_回帰ANOVA!$K$14*SQRT(1+_slice!U118)),MIN((_slice!U93-04_回帰ANOVA!$K$19*04_回帰ANOVA!$K$14*SQRT(1+_slice!U118))-01_因子設定!$B$14,01_因子設定!$B$15-(_slice!U93+04_回帰ANOVA!$K$19*04_回帰ANOVA!$K$14*SQRT(1+_slice!U118))))),"外")</f>
        <v>-5.02815152334609</v>
      </c>
      <c r="V61" s="50" t="n">
        <f aca="false">IF(AND(_slice!$H$5=1,V$40&gt;=_slice!$H$6-0.000000001,V$40&lt;=_slice!$I$6+0.000000001,$B61&gt;=_slice!$H$7-0.000000001,$B61&lt;=_slice!$I$7+0.000000001,IF(01_因子設定!$B$20="Box-Behnken",V$40^2+$B61^2+_slice!$H$8&lt;=2+0.000000001,TRUE())),IF(01_因子設定!$B$13="最大化",(_slice!V93-04_回帰ANOVA!$K$19*04_回帰ANOVA!$K$14*SQRT(1+_slice!V118))-01_因子設定!$B$14,IF(01_因子設定!$B$13="最小化",01_因子設定!$B$15-(_slice!V93+04_回帰ANOVA!$K$19*04_回帰ANOVA!$K$14*SQRT(1+_slice!V118)),MIN((_slice!V93-04_回帰ANOVA!$K$19*04_回帰ANOVA!$K$14*SQRT(1+_slice!V118))-01_因子設定!$B$14,01_因子設定!$B$15-(_slice!V93+04_回帰ANOVA!$K$19*04_回帰ANOVA!$K$14*SQRT(1+_slice!V118))))),"外")</f>
        <v>-5.33048996237841</v>
      </c>
      <c r="W61" s="50" t="n">
        <f aca="false">IF(AND(_slice!$H$5=1,W$40&gt;=_slice!$H$6-0.000000001,W$40&lt;=_slice!$I$6+0.000000001,$B61&gt;=_slice!$H$7-0.000000001,$B61&lt;=_slice!$I$7+0.000000001,IF(01_因子設定!$B$20="Box-Behnken",W$40^2+$B61^2+_slice!$H$8&lt;=2+0.000000001,TRUE())),IF(01_因子設定!$B$13="最大化",(_slice!W93-04_回帰ANOVA!$K$19*04_回帰ANOVA!$K$14*SQRT(1+_slice!W118))-01_因子設定!$B$14,IF(01_因子設定!$B$13="最小化",01_因子設定!$B$15-(_slice!W93+04_回帰ANOVA!$K$19*04_回帰ANOVA!$K$14*SQRT(1+_slice!W118)),MIN((_slice!W93-04_回帰ANOVA!$K$19*04_回帰ANOVA!$K$14*SQRT(1+_slice!W118))-01_因子設定!$B$14,01_因子設定!$B$15-(_slice!W93+04_回帰ANOVA!$K$19*04_回帰ANOVA!$K$14*SQRT(1+_slice!W118))))),"外")</f>
        <v>-5.69383849710303</v>
      </c>
    </row>
    <row r="62" customFormat="false" ht="15" hidden="false" customHeight="false" outlineLevel="0" collapsed="false">
      <c r="A62" s="49" t="n">
        <f aca="false">INDEX(01_因子設定!$G$5:$G$7,$C$5)+B62*INDEX(01_因子設定!$H$5:$H$7,$C$5)</f>
        <v>20</v>
      </c>
      <c r="B62" s="49" t="n">
        <v>-1</v>
      </c>
      <c r="C62" s="50" t="n">
        <f aca="false">IF(AND(_slice!$H$5=1,C$40&gt;=_slice!$H$6-0.000000001,C$40&lt;=_slice!$I$6+0.000000001,$B62&gt;=_slice!$H$7-0.000000001,$B62&lt;=_slice!$I$7+0.000000001,IF(01_因子設定!$B$20="Box-Behnken",C$40^2+$B62^2+_slice!$H$8&lt;=2+0.000000001,TRUE())),IF(01_因子設定!$B$13="最大化",(_slice!C94-04_回帰ANOVA!$K$19*04_回帰ANOVA!$K$14*SQRT(1+_slice!C119))-01_因子設定!$B$14,IF(01_因子設定!$B$13="最小化",01_因子設定!$B$15-(_slice!C94+04_回帰ANOVA!$K$19*04_回帰ANOVA!$K$14*SQRT(1+_slice!C119)),MIN((_slice!C94-04_回帰ANOVA!$K$19*04_回帰ANOVA!$K$14*SQRT(1+_slice!C119))-01_因子設定!$B$14,01_因子設定!$B$15-(_slice!C94+04_回帰ANOVA!$K$19*04_回帰ANOVA!$K$14*SQRT(1+_slice!C119))))),"外")</f>
        <v>-9.07124097865825</v>
      </c>
      <c r="D62" s="50" t="n">
        <f aca="false">IF(AND(_slice!$H$5=1,D$40&gt;=_slice!$H$6-0.000000001,D$40&lt;=_slice!$I$6+0.000000001,$B62&gt;=_slice!$H$7-0.000000001,$B62&lt;=_slice!$I$7+0.000000001,IF(01_因子設定!$B$20="Box-Behnken",D$40^2+$B62^2+_slice!$H$8&lt;=2+0.000000001,TRUE())),IF(01_因子設定!$B$13="最大化",(_slice!D94-04_回帰ANOVA!$K$19*04_回帰ANOVA!$K$14*SQRT(1+_slice!D119))-01_因子設定!$B$14,IF(01_因子設定!$B$13="最小化",01_因子設定!$B$15-(_slice!D94+04_回帰ANOVA!$K$19*04_回帰ANOVA!$K$14*SQRT(1+_slice!D119)),MIN((_slice!D94-04_回帰ANOVA!$K$19*04_回帰ANOVA!$K$14*SQRT(1+_slice!D119))-01_因子設定!$B$14,01_因子設定!$B$15-(_slice!D94+04_回帰ANOVA!$K$19*04_回帰ANOVA!$K$14*SQRT(1+_slice!D119))))),"外")</f>
        <v>-8.43833849710304</v>
      </c>
      <c r="E62" s="50" t="n">
        <f aca="false">IF(AND(_slice!$H$5=1,E$40&gt;=_slice!$H$6-0.000000001,E$40&lt;=_slice!$I$6+0.000000001,$B62&gt;=_slice!$H$7-0.000000001,$B62&lt;=_slice!$I$7+0.000000001,IF(01_因子設定!$B$20="Box-Behnken",E$40^2+$B62^2+_slice!$H$8&lt;=2+0.000000001,TRUE())),IF(01_因子設定!$B$13="最大化",(_slice!E94-04_回帰ANOVA!$K$19*04_回帰ANOVA!$K$14*SQRT(1+_slice!E119))-01_因子設定!$B$14,IF(01_因子設定!$B$13="最小化",01_因子設定!$B$15-(_slice!E94+04_回帰ANOVA!$K$19*04_回帰ANOVA!$K$14*SQRT(1+_slice!E119)),MIN((_slice!E94-04_回帰ANOVA!$K$19*04_回帰ANOVA!$K$14*SQRT(1+_slice!E119))-01_因子設定!$B$14,01_因子設定!$B$15-(_slice!E94+04_回帰ANOVA!$K$19*04_回帰ANOVA!$K$14*SQRT(1+_slice!E119))))),"外")</f>
        <v>-7.86602651021404</v>
      </c>
      <c r="F62" s="50" t="n">
        <f aca="false">IF(AND(_slice!$H$5=1,F$40&gt;=_slice!$H$6-0.000000001,F$40&lt;=_slice!$I$6+0.000000001,$B62&gt;=_slice!$H$7-0.000000001,$B62&lt;=_slice!$I$7+0.000000001,IF(01_因子設定!$B$20="Box-Behnken",F$40^2+$B62^2+_slice!$H$8&lt;=2+0.000000001,TRUE())),IF(01_因子設定!$B$13="最大化",(_slice!F94-04_回帰ANOVA!$K$19*04_回帰ANOVA!$K$14*SQRT(1+_slice!F119))-01_因子設定!$B$14,IF(01_因子設定!$B$13="最小化",01_因子設定!$B$15-(_slice!F94+04_回帰ANOVA!$K$19*04_回帰ANOVA!$K$14*SQRT(1+_slice!F119)),MIN((_slice!F94-04_回帰ANOVA!$K$19*04_回帰ANOVA!$K$14*SQRT(1+_slice!F119))-01_因子設定!$B$14,01_因子設定!$B$15-(_slice!F94+04_回帰ANOVA!$K$19*04_回帰ANOVA!$K$14*SQRT(1+_slice!F119))))),"外")</f>
        <v>-7.35209168084448</v>
      </c>
      <c r="G62" s="50" t="n">
        <f aca="false">IF(AND(_slice!$H$5=1,G$40&gt;=_slice!$H$6-0.000000001,G$40&lt;=_slice!$I$6+0.000000001,$B62&gt;=_slice!$H$7-0.000000001,$B62&lt;=_slice!$I$7+0.000000001,IF(01_因子設定!$B$20="Box-Behnken",G$40^2+$B62^2+_slice!$H$8&lt;=2+0.000000001,TRUE())),IF(01_因子設定!$B$13="最大化",(_slice!G94-04_回帰ANOVA!$K$19*04_回帰ANOVA!$K$14*SQRT(1+_slice!G119))-01_因子設定!$B$14,IF(01_因子設定!$B$13="最小化",01_因子設定!$B$15-(_slice!G94+04_回帰ANOVA!$K$19*04_回帰ANOVA!$K$14*SQRT(1+_slice!G119)),MIN((_slice!G94-04_回帰ANOVA!$K$19*04_回帰ANOVA!$K$14*SQRT(1+_slice!G119))-01_因子設定!$B$14,01_因子設定!$B$15-(_slice!G94+04_回帰ANOVA!$K$19*04_回帰ANOVA!$K$14*SQRT(1+_slice!G119))))),"外")</f>
        <v>-6.89431271949059</v>
      </c>
      <c r="H62" s="50" t="n">
        <f aca="false">IF(AND(_slice!$H$5=1,H$40&gt;=_slice!$H$6-0.000000001,H$40&lt;=_slice!$I$6+0.000000001,$B62&gt;=_slice!$H$7-0.000000001,$B62&lt;=_slice!$I$7+0.000000001,IF(01_因子設定!$B$20="Box-Behnken",H$40^2+$B62^2+_slice!$H$8&lt;=2+0.000000001,TRUE())),IF(01_因子設定!$B$13="最大化",(_slice!H94-04_回帰ANOVA!$K$19*04_回帰ANOVA!$K$14*SQRT(1+_slice!H119))-01_因子設定!$B$14,IF(01_因子設定!$B$13="最小化",01_因子設定!$B$15-(_slice!H94+04_回帰ANOVA!$K$19*04_回帰ANOVA!$K$14*SQRT(1+_slice!H119)),MIN((_slice!H94-04_回帰ANOVA!$K$19*04_回帰ANOVA!$K$14*SQRT(1+_slice!H119))-01_因子設定!$B$14,01_因子設定!$B$15-(_slice!H94+04_回帰ANOVA!$K$19*04_回帰ANOVA!$K$14*SQRT(1+_slice!H119))))),"外")</f>
        <v>-6.49061224265444</v>
      </c>
      <c r="I62" s="50" t="n">
        <f aca="false">IF(AND(_slice!$H$5=1,I$40&gt;=_slice!$H$6-0.000000001,I$40&lt;=_slice!$I$6+0.000000001,$B62&gt;=_slice!$H$7-0.000000001,$B62&lt;=_slice!$I$7+0.000000001,IF(01_因子設定!$B$20="Box-Behnken",I$40^2+$B62^2+_slice!$H$8&lt;=2+0.000000001,TRUE())),IF(01_因子設定!$B$13="最大化",(_slice!I94-04_回帰ANOVA!$K$19*04_回帰ANOVA!$K$14*SQRT(1+_slice!I119))-01_因子設定!$B$14,IF(01_因子設定!$B$13="最小化",01_因子設定!$B$15-(_slice!I94+04_回帰ANOVA!$K$19*04_回帰ANOVA!$K$14*SQRT(1+_slice!I119)),MIN((_slice!I94-04_回帰ANOVA!$K$19*04_回帰ANOVA!$K$14*SQRT(1+_slice!I119))-01_因子設定!$B$14,01_因子設定!$B$15-(_slice!I94+04_回帰ANOVA!$K$19*04_回帰ANOVA!$K$14*SQRT(1+_slice!I119))))),"外")</f>
        <v>-6.13916435772643</v>
      </c>
      <c r="J62" s="50" t="n">
        <f aca="false">IF(AND(_slice!$H$5=1,J$40&gt;=_slice!$H$6-0.000000001,J$40&lt;=_slice!$I$6+0.000000001,$B62&gt;=_slice!$H$7-0.000000001,$B62&lt;=_slice!$I$7+0.000000001,IF(01_因子設定!$B$20="Box-Behnken",J$40^2+$B62^2+_slice!$H$8&lt;=2+0.000000001,TRUE())),IF(01_因子設定!$B$13="最大化",(_slice!J94-04_回帰ANOVA!$K$19*04_回帰ANOVA!$K$14*SQRT(1+_slice!J119))-01_因子設定!$B$14,IF(01_因子設定!$B$13="最小化",01_因子設定!$B$15-(_slice!J94+04_回帰ANOVA!$K$19*04_回帰ANOVA!$K$14*SQRT(1+_slice!J119)),MIN((_slice!J94-04_回帰ANOVA!$K$19*04_回帰ANOVA!$K$14*SQRT(1+_slice!J119))-01_因子設定!$B$14,01_因子設定!$B$15-(_slice!J94+04_回帰ANOVA!$K$19*04_回帰ANOVA!$K$14*SQRT(1+_slice!J119))))),"外")</f>
        <v>-5.83845638013566</v>
      </c>
      <c r="K62" s="50" t="n">
        <f aca="false">IF(AND(_slice!$H$5=1,K$40&gt;=_slice!$H$6-0.000000001,K$40&lt;=_slice!$I$6+0.000000001,$B62&gt;=_slice!$H$7-0.000000001,$B62&lt;=_slice!$I$7+0.000000001,IF(01_因子設定!$B$20="Box-Behnken",K$40^2+$B62^2+_slice!$H$8&lt;=2+0.000000001,TRUE())),IF(01_因子設定!$B$13="最大化",(_slice!K94-04_回帰ANOVA!$K$19*04_回帰ANOVA!$K$14*SQRT(1+_slice!K119))-01_因子設定!$B$14,IF(01_因子設定!$B$13="最小化",01_因子設定!$B$15-(_slice!K94+04_回帰ANOVA!$K$19*04_回帰ANOVA!$K$14*SQRT(1+_slice!K119)),MIN((_slice!K94-04_回帰ANOVA!$K$19*04_回帰ANOVA!$K$14*SQRT(1+_slice!K119))-01_因子設定!$B$14,01_因子設定!$B$15-(_slice!K94+04_回帰ANOVA!$K$19*04_回帰ANOVA!$K$14*SQRT(1+_slice!K119))))),"外")</f>
        <v>-5.58731471481531</v>
      </c>
      <c r="L62" s="50" t="n">
        <f aca="false">IF(AND(_slice!$H$5=1,L$40&gt;=_slice!$H$6-0.000000001,L$40&lt;=_slice!$I$6+0.000000001,$B62&gt;=_slice!$H$7-0.000000001,$B62&lt;=_slice!$I$7+0.000000001,IF(01_因子設定!$B$20="Box-Behnken",L$40^2+$B62^2+_slice!$H$8&lt;=2+0.000000001,TRUE())),IF(01_因子設定!$B$13="最大化",(_slice!L94-04_回帰ANOVA!$K$19*04_回帰ANOVA!$K$14*SQRT(1+_slice!L119))-01_因子設定!$B$14,IF(01_因子設定!$B$13="最小化",01_因子設定!$B$15-(_slice!L94+04_回帰ANOVA!$K$19*04_回帰ANOVA!$K$14*SQRT(1+_slice!L119)),MIN((_slice!L94-04_回帰ANOVA!$K$19*04_回帰ANOVA!$K$14*SQRT(1+_slice!L119))-01_因子設定!$B$14,01_因子設定!$B$15-(_slice!L94+04_回帰ANOVA!$K$19*04_回帰ANOVA!$K$14*SQRT(1+_slice!L119))))),"外")</f>
        <v>-5.38490867079776</v>
      </c>
      <c r="M62" s="50" t="n">
        <f aca="false">IF(AND(_slice!$H$5=1,M$40&gt;=_slice!$H$6-0.000000001,M$40&lt;=_slice!$I$6+0.000000001,$B62&gt;=_slice!$H$7-0.000000001,$B62&lt;=_slice!$I$7+0.000000001,IF(01_因子設定!$B$20="Box-Behnken",M$40^2+$B62^2+_slice!$H$8&lt;=2+0.000000001,TRUE())),IF(01_因子設定!$B$13="最大化",(_slice!M94-04_回帰ANOVA!$K$19*04_回帰ANOVA!$K$14*SQRT(1+_slice!M119))-01_因子設定!$B$14,IF(01_因子設定!$B$13="最小化",01_因子設定!$B$15-(_slice!M94+04_回帰ANOVA!$K$19*04_回帰ANOVA!$K$14*SQRT(1+_slice!M119)),MIN((_slice!M94-04_回帰ANOVA!$K$19*04_回帰ANOVA!$K$14*SQRT(1+_slice!M119))-01_因子設定!$B$14,01_因子設定!$B$15-(_slice!M94+04_回帰ANOVA!$K$19*04_回帰ANOVA!$K$14*SQRT(1+_slice!M119))))),"外")</f>
        <v>-5.23074453221775</v>
      </c>
      <c r="N62" s="50" t="n">
        <f aca="false">IF(AND(_slice!$H$5=1,N$40&gt;=_slice!$H$6-0.000000001,N$40&lt;=_slice!$I$6+0.000000001,$B62&gt;=_slice!$H$7-0.000000001,$B62&lt;=_slice!$I$7+0.000000001,IF(01_因子設定!$B$20="Box-Behnken",N$40^2+$B62^2+_slice!$H$8&lt;=2+0.000000001,TRUE())),IF(01_因子設定!$B$13="最大化",(_slice!N94-04_回帰ANOVA!$K$19*04_回帰ANOVA!$K$14*SQRT(1+_slice!N119))-01_因子設定!$B$14,IF(01_因子設定!$B$13="最小化",01_因子設定!$B$15-(_slice!N94+04_回帰ANOVA!$K$19*04_回帰ANOVA!$K$14*SQRT(1+_slice!N119)),MIN((_slice!N94-04_回帰ANOVA!$K$19*04_回帰ANOVA!$K$14*SQRT(1+_slice!N119))-01_因子設定!$B$14,01_因子設定!$B$15-(_slice!N94+04_回帰ANOVA!$K$19*04_回帰ANOVA!$K$14*SQRT(1+_slice!N119))))),"外")</f>
        <v>-5.12465867079776</v>
      </c>
      <c r="O62" s="50" t="n">
        <f aca="false">IF(AND(_slice!$H$5=1,O$40&gt;=_slice!$H$6-0.000000001,O$40&lt;=_slice!$I$6+0.000000001,$B62&gt;=_slice!$H$7-0.000000001,$B62&lt;=_slice!$I$7+0.000000001,IF(01_因子設定!$B$20="Box-Behnken",O$40^2+$B62^2+_slice!$H$8&lt;=2+0.000000001,TRUE())),IF(01_因子設定!$B$13="最大化",(_slice!O94-04_回帰ANOVA!$K$19*04_回帰ANOVA!$K$14*SQRT(1+_slice!O119))-01_因子設定!$B$14,IF(01_因子設定!$B$13="最小化",01_因子設定!$B$15-(_slice!O94+04_回帰ANOVA!$K$19*04_回帰ANOVA!$K$14*SQRT(1+_slice!O119)),MIN((_slice!O94-04_回帰ANOVA!$K$19*04_回帰ANOVA!$K$14*SQRT(1+_slice!O119))-01_因子設定!$B$14,01_因子設定!$B$15-(_slice!O94+04_回帰ANOVA!$K$19*04_回帰ANOVA!$K$14*SQRT(1+_slice!O119))))),"外")</f>
        <v>-5.06681471481529</v>
      </c>
      <c r="P62" s="50" t="n">
        <f aca="false">IF(AND(_slice!$H$5=1,P$40&gt;=_slice!$H$6-0.000000001,P$40&lt;=_slice!$I$6+0.000000001,$B62&gt;=_slice!$H$7-0.000000001,$B62&lt;=_slice!$I$7+0.000000001,IF(01_因子設定!$B$20="Box-Behnken",P$40^2+$B62^2+_slice!$H$8&lt;=2+0.000000001,TRUE())),IF(01_因子設定!$B$13="最大化",(_slice!P94-04_回帰ANOVA!$K$19*04_回帰ANOVA!$K$14*SQRT(1+_slice!P119))-01_因子設定!$B$14,IF(01_因子設定!$B$13="最小化",01_因子設定!$B$15-(_slice!P94+04_回帰ANOVA!$K$19*04_回帰ANOVA!$K$14*SQRT(1+_slice!P119)),MIN((_slice!P94-04_回帰ANOVA!$K$19*04_回帰ANOVA!$K$14*SQRT(1+_slice!P119))-01_因子設定!$B$14,01_因子設定!$B$15-(_slice!P94+04_回帰ANOVA!$K$19*04_回帰ANOVA!$K$14*SQRT(1+_slice!P119))))),"外")</f>
        <v>-5.05770638013566</v>
      </c>
      <c r="Q62" s="50" t="n">
        <f aca="false">IF(AND(_slice!$H$5=1,Q$40&gt;=_slice!$H$6-0.000000001,Q$40&lt;=_slice!$I$6+0.000000001,$B62&gt;=_slice!$H$7-0.000000001,$B62&lt;=_slice!$I$7+0.000000001,IF(01_因子設定!$B$20="Box-Behnken",Q$40^2+$B62^2+_slice!$H$8&lt;=2+0.000000001,TRUE())),IF(01_因子設定!$B$13="最大化",(_slice!Q94-04_回帰ANOVA!$K$19*04_回帰ANOVA!$K$14*SQRT(1+_slice!Q119))-01_因子設定!$B$14,IF(01_因子設定!$B$13="最小化",01_因子設定!$B$15-(_slice!Q94+04_回帰ANOVA!$K$19*04_回帰ANOVA!$K$14*SQRT(1+_slice!Q119)),MIN((_slice!Q94-04_回帰ANOVA!$K$19*04_回帰ANOVA!$K$14*SQRT(1+_slice!Q119))-01_因子設定!$B$14,01_因子設定!$B$15-(_slice!Q94+04_回帰ANOVA!$K$19*04_回帰ANOVA!$K$14*SQRT(1+_slice!Q119))))),"外")</f>
        <v>-5.09816435772643</v>
      </c>
      <c r="R62" s="50" t="n">
        <f aca="false">IF(AND(_slice!$H$5=1,R$40&gt;=_slice!$H$6-0.000000001,R$40&lt;=_slice!$I$6+0.000000001,$B62&gt;=_slice!$H$7-0.000000001,$B62&lt;=_slice!$I$7+0.000000001,IF(01_因子設定!$B$20="Box-Behnken",R$40^2+$B62^2+_slice!$H$8&lt;=2+0.000000001,TRUE())),IF(01_因子設定!$B$13="最大化",(_slice!R94-04_回帰ANOVA!$K$19*04_回帰ANOVA!$K$14*SQRT(1+_slice!R119))-01_因子設定!$B$14,IF(01_因子設定!$B$13="最小化",01_因子設定!$B$15-(_slice!R94+04_回帰ANOVA!$K$19*04_回帰ANOVA!$K$14*SQRT(1+_slice!R119)),MIN((_slice!R94-04_回帰ANOVA!$K$19*04_回帰ANOVA!$K$14*SQRT(1+_slice!R119))-01_因子設定!$B$14,01_因子設定!$B$15-(_slice!R94+04_回帰ANOVA!$K$19*04_回帰ANOVA!$K$14*SQRT(1+_slice!R119))))),"外")</f>
        <v>-5.18936224265443</v>
      </c>
      <c r="S62" s="50" t="n">
        <f aca="false">IF(AND(_slice!$H$5=1,S$40&gt;=_slice!$H$6-0.000000001,S$40&lt;=_slice!$I$6+0.000000001,$B62&gt;=_slice!$H$7-0.000000001,$B62&lt;=_slice!$I$7+0.000000001,IF(01_因子設定!$B$20="Box-Behnken",S$40^2+$B62^2+_slice!$H$8&lt;=2+0.000000001,TRUE())),IF(01_因子設定!$B$13="最大化",(_slice!S94-04_回帰ANOVA!$K$19*04_回帰ANOVA!$K$14*SQRT(1+_slice!S119))-01_因子設定!$B$14,IF(01_因子設定!$B$13="最小化",01_因子設定!$B$15-(_slice!S94+04_回帰ANOVA!$K$19*04_回帰ANOVA!$K$14*SQRT(1+_slice!S119)),MIN((_slice!S94-04_回帰ANOVA!$K$19*04_回帰ANOVA!$K$14*SQRT(1+_slice!S119))-01_因子設定!$B$14,01_因子設定!$B$15-(_slice!S94+04_回帰ANOVA!$K$19*04_回帰ANOVA!$K$14*SQRT(1+_slice!S119))))),"外")</f>
        <v>-5.33281271949058</v>
      </c>
      <c r="T62" s="50" t="n">
        <f aca="false">IF(AND(_slice!$H$5=1,T$40&gt;=_slice!$H$6-0.000000001,T$40&lt;=_slice!$I$6+0.000000001,$B62&gt;=_slice!$H$7-0.000000001,$B62&lt;=_slice!$I$7+0.000000001,IF(01_因子設定!$B$20="Box-Behnken",T$40^2+$B62^2+_slice!$H$8&lt;=2+0.000000001,TRUE())),IF(01_因子設定!$B$13="最大化",(_slice!T94-04_回帰ANOVA!$K$19*04_回帰ANOVA!$K$14*SQRT(1+_slice!T119))-01_因子設定!$B$14,IF(01_因子設定!$B$13="最小化",01_因子設定!$B$15-(_slice!T94+04_回帰ANOVA!$K$19*04_回帰ANOVA!$K$14*SQRT(1+_slice!T119)),MIN((_slice!T94-04_回帰ANOVA!$K$19*04_回帰ANOVA!$K$14*SQRT(1+_slice!T119))-01_因子設定!$B$14,01_因子設定!$B$15-(_slice!T94+04_回帰ANOVA!$K$19*04_回帰ANOVA!$K$14*SQRT(1+_slice!T119))))),"外")</f>
        <v>-5.53034168084449</v>
      </c>
      <c r="U62" s="50" t="n">
        <f aca="false">IF(AND(_slice!$H$5=1,U$40&gt;=_slice!$H$6-0.000000001,U$40&lt;=_slice!$I$6+0.000000001,$B62&gt;=_slice!$H$7-0.000000001,$B62&lt;=_slice!$I$7+0.000000001,IF(01_因子設定!$B$20="Box-Behnken",U$40^2+$B62^2+_slice!$H$8&lt;=2+0.000000001,TRUE())),IF(01_因子設定!$B$13="最大化",(_slice!U94-04_回帰ANOVA!$K$19*04_回帰ANOVA!$K$14*SQRT(1+_slice!U119))-01_因子設定!$B$14,IF(01_因子設定!$B$13="最小化",01_因子設定!$B$15-(_slice!U94+04_回帰ANOVA!$K$19*04_回帰ANOVA!$K$14*SQRT(1+_slice!U119)),MIN((_slice!U94-04_回帰ANOVA!$K$19*04_回帰ANOVA!$K$14*SQRT(1+_slice!U119))-01_因子設定!$B$14,01_因子設定!$B$15-(_slice!U94+04_回帰ANOVA!$K$19*04_回帰ANOVA!$K$14*SQRT(1+_slice!U119))))),"外")</f>
        <v>-5.78402651021403</v>
      </c>
      <c r="V62" s="50" t="n">
        <f aca="false">IF(AND(_slice!$H$5=1,V$40&gt;=_slice!$H$6-0.000000001,V$40&lt;=_slice!$I$6+0.000000001,$B62&gt;=_slice!$H$7-0.000000001,$B62&lt;=_slice!$I$7+0.000000001,IF(01_因子設定!$B$20="Box-Behnken",V$40^2+$B62^2+_slice!$H$8&lt;=2+0.000000001,TRUE())),IF(01_因子設定!$B$13="最大化",(_slice!V94-04_回帰ANOVA!$K$19*04_回帰ANOVA!$K$14*SQRT(1+_slice!V119))-01_因子設定!$B$14,IF(01_因子設定!$B$13="最小化",01_因子設定!$B$15-(_slice!V94+04_回帰ANOVA!$K$19*04_回帰ANOVA!$K$14*SQRT(1+_slice!V119)),MIN((_slice!V94-04_回帰ANOVA!$K$19*04_回帰ANOVA!$K$14*SQRT(1+_slice!V119))-01_因子設定!$B$14,01_因子設定!$B$15-(_slice!V94+04_回帰ANOVA!$K$19*04_回帰ANOVA!$K$14*SQRT(1+_slice!V119))))),"外")</f>
        <v>-6.09608849710303</v>
      </c>
      <c r="W62" s="50" t="n">
        <f aca="false">IF(AND(_slice!$H$5=1,W$40&gt;=_slice!$H$6-0.000000001,W$40&lt;=_slice!$I$6+0.000000001,$B62&gt;=_slice!$H$7-0.000000001,$B62&lt;=_slice!$I$7+0.000000001,IF(01_因子設定!$B$20="Box-Behnken",W$40^2+$B62^2+_slice!$H$8&lt;=2+0.000000001,TRUE())),IF(01_因子設定!$B$13="最大化",(_slice!W94-04_回帰ANOVA!$K$19*04_回帰ANOVA!$K$14*SQRT(1+_slice!W119))-01_因子設定!$B$14,IF(01_因子設定!$B$13="最小化",01_因子設定!$B$15-(_slice!W94+04_回帰ANOVA!$K$19*04_回帰ANOVA!$K$14*SQRT(1+_slice!W119)),MIN((_slice!W94-04_回帰ANOVA!$K$19*04_回帰ANOVA!$K$14*SQRT(1+_slice!W119))-01_因子設定!$B$14,01_因子設定!$B$15-(_slice!W94+04_回帰ANOVA!$K$19*04_回帰ANOVA!$K$14*SQRT(1+_slice!W119))))),"外")</f>
        <v>-6.46874097865824</v>
      </c>
    </row>
    <row r="64" customFormat="false" ht="15" hidden="false" customHeight="false" outlineLevel="0" collapsed="false">
      <c r="A64" s="38" t="s">
        <v>255</v>
      </c>
    </row>
    <row r="65" customFormat="false" ht="44" hidden="false" customHeight="false" outlineLevel="0" collapsed="false">
      <c r="A65" s="10" t="s">
        <v>101</v>
      </c>
      <c r="B65" s="10" t="s">
        <v>256</v>
      </c>
      <c r="C65" s="10" t="s">
        <v>257</v>
      </c>
      <c r="D65" s="10" t="s">
        <v>258</v>
      </c>
      <c r="E65" s="10" t="s">
        <v>259</v>
      </c>
      <c r="F65" s="10" t="s">
        <v>260</v>
      </c>
      <c r="G65" s="10" t="s">
        <v>52</v>
      </c>
    </row>
    <row r="66" customFormat="false" ht="15" hidden="false" customHeight="false" outlineLevel="0" collapsed="false">
      <c r="A66" s="26" t="str">
        <f aca="false">01_因子設定!B5</f>
        <v>炉温</v>
      </c>
      <c r="B66" s="15" t="n">
        <f aca="false">07_最適化!$B$6</f>
        <v>0.625</v>
      </c>
      <c r="C66" s="15" t="n">
        <f aca="false">IF(SUMIFS(_win!$V$5:$V$247,_win!$A$5:$A$247,1,_win!$B$5:$B$247,"&gt;"&amp;(B66-0.0001),_win!$B$5:$B$247,"&lt;"&amp;(B66+0.0001))=0,"該当なし",IF(COUNTIFS(_win!$A$5:$A$247,1,_win!$B$5:$B$247,"&lt;="&amp;(B66+0.0001),_win!$V$5:$V$247,0)=0,-1,ROUND(_xlfn.MAXIFS(_win!$B$5:$B$247,_win!$A$5:$A$247,1,_win!$B$5:$B$247,"&lt;="&amp;(B66+0.0001),_win!$V$5:$V$247,0)+0.025,4)))</f>
        <v>0.05</v>
      </c>
      <c r="D66" s="15" t="n">
        <f aca="false">IF(SUMIFS(_win!$V$5:$V$247,_win!$A$5:$A$247,1,_win!$B$5:$B$247,"&gt;"&amp;(B66-0.0001),_win!$B$5:$B$247,"&lt;"&amp;(B66+0.0001))=0,"該当なし",IF(COUNTIFS(_win!$A$5:$A$247,1,_win!$B$5:$B$247,"&gt;="&amp;(B66-0.0001),_win!$V$5:$V$247,0)=0,1,ROUND(_xlfn.MINIFS(_win!$B$5:$B$247,_win!$A$5:$A$247,1,_win!$B$5:$B$247,"&gt;="&amp;(B66-0.0001),_win!$V$5:$V$247,0)-0.025,4)))</f>
        <v>1</v>
      </c>
      <c r="E66" s="41" t="n">
        <f aca="false">IF(ISNUMBER(C66),01_因子設定!G5+C66*01_因子設定!H5,"")</f>
        <v>65.5</v>
      </c>
      <c r="F66" s="41" t="n">
        <f aca="false">IF(ISNUMBER(D66),01_因子設定!G5+D66*01_因子設定!H5,"")</f>
        <v>75</v>
      </c>
      <c r="G66" s="24" t="str">
        <f aca="false">01_因子設定!D5</f>
        <v>℃</v>
      </c>
    </row>
    <row r="67" customFormat="false" ht="15" hidden="false" customHeight="false" outlineLevel="0" collapsed="false">
      <c r="A67" s="26" t="str">
        <f aca="false">01_因子設定!B6</f>
        <v>乾燥時間</v>
      </c>
      <c r="B67" s="15" t="n">
        <f aca="false">07_最適化!$B$7</f>
        <v>0.75</v>
      </c>
      <c r="C67" s="15" t="n">
        <f aca="false">IF(SUMIFS(_win!$V$5:$V$247,_win!$A$5:$A$247,2,_win!$B$5:$B$247,"&gt;"&amp;(B67-0.0001),_win!$B$5:$B$247,"&lt;"&amp;(B67+0.0001))=0,"該当なし",IF(COUNTIFS(_win!$A$5:$A$247,2,_win!$B$5:$B$247,"&lt;="&amp;(B67+0.0001),_win!$V$5:$V$247,0)=0,-1,ROUND(_xlfn.MAXIFS(_win!$B$5:$B$247,_win!$A$5:$A$247,2,_win!$B$5:$B$247,"&lt;="&amp;(B67+0.0001),_win!$V$5:$V$247,0)+0.025,4)))</f>
        <v>0.05</v>
      </c>
      <c r="D67" s="15" t="n">
        <f aca="false">IF(SUMIFS(_win!$V$5:$V$247,_win!$A$5:$A$247,2,_win!$B$5:$B$247,"&gt;"&amp;(B67-0.0001),_win!$B$5:$B$247,"&lt;"&amp;(B67+0.0001))=0,"該当なし",IF(COUNTIFS(_win!$A$5:$A$247,2,_win!$B$5:$B$247,"&gt;="&amp;(B67-0.0001),_win!$V$5:$V$247,0)=0,1,ROUND(_xlfn.MINIFS(_win!$B$5:$B$247,_win!$A$5:$A$247,2,_win!$B$5:$B$247,"&gt;="&amp;(B67-0.0001),_win!$V$5:$V$247,0)-0.025,4)))</f>
        <v>1</v>
      </c>
      <c r="E67" s="41" t="n">
        <f aca="false">IF(ISNUMBER(C67),01_因子設定!G6+C67*01_因子設定!H6,"")</f>
        <v>30.5</v>
      </c>
      <c r="F67" s="41" t="n">
        <f aca="false">IF(ISNUMBER(D67),01_因子設定!G6+D67*01_因子設定!H6,"")</f>
        <v>40</v>
      </c>
      <c r="G67" s="24" t="str">
        <f aca="false">01_因子設定!D6</f>
        <v>min</v>
      </c>
    </row>
    <row r="68" customFormat="false" ht="15" hidden="false" customHeight="false" outlineLevel="0" collapsed="false">
      <c r="A68" s="26" t="str">
        <f aca="false">01_因子設定!B7</f>
        <v>循環風速</v>
      </c>
      <c r="B68" s="15" t="n">
        <f aca="false">07_最適化!$B$8</f>
        <v>0.625</v>
      </c>
      <c r="C68" s="15" t="n">
        <f aca="false">IF(SUMIFS(_win!$V$5:$V$247,_win!$A$5:$A$247,3,_win!$B$5:$B$247,"&gt;"&amp;(B68-0.0001),_win!$B$5:$B$247,"&lt;"&amp;(B68+0.0001))=0,"該当なし",IF(COUNTIFS(_win!$A$5:$A$247,3,_win!$B$5:$B$247,"&lt;="&amp;(B68+0.0001),_win!$V$5:$V$247,0)=0,-1,ROUND(_xlfn.MAXIFS(_win!$B$5:$B$247,_win!$A$5:$A$247,3,_win!$B$5:$B$247,"&lt;="&amp;(B68+0.0001),_win!$V$5:$V$247,0)+0.025,4)))</f>
        <v>-0.25</v>
      </c>
      <c r="D68" s="15" t="n">
        <f aca="false">IF(SUMIFS(_win!$V$5:$V$247,_win!$A$5:$A$247,3,_win!$B$5:$B$247,"&gt;"&amp;(B68-0.0001),_win!$B$5:$B$247,"&lt;"&amp;(B68+0.0001))=0,"該当なし",IF(COUNTIFS(_win!$A$5:$A$247,3,_win!$B$5:$B$247,"&gt;="&amp;(B68-0.0001),_win!$V$5:$V$247,0)=0,1,ROUND(_xlfn.MINIFS(_win!$B$5:$B$247,_win!$A$5:$A$247,3,_win!$B$5:$B$247,"&gt;="&amp;(B68-0.0001),_win!$V$5:$V$247,0)-0.025,4)))</f>
        <v>1</v>
      </c>
      <c r="E68" s="41" t="n">
        <f aca="false">IF(ISNUMBER(C68),01_因子設定!G7+C68*01_因子設定!H7,"")</f>
        <v>1.75</v>
      </c>
      <c r="F68" s="41" t="n">
        <f aca="false">IF(ISNUMBER(D68),01_因子設定!G7+D68*01_因子設定!H7,"")</f>
        <v>3</v>
      </c>
      <c r="G68" s="24" t="str">
        <f aca="false">01_因子設定!D7</f>
        <v>m/s</v>
      </c>
    </row>
    <row r="69" customFormat="false" ht="15" hidden="false" customHeight="false" outlineLevel="0" collapsed="false">
      <c r="A69" s="51" t="s">
        <v>261</v>
      </c>
    </row>
    <row r="72" customFormat="false" ht="15" hidden="false" customHeight="false" outlineLevel="0" collapsed="false">
      <c r="A72" s="17" t="s">
        <v>262</v>
      </c>
    </row>
    <row r="73" customFormat="false" ht="44" hidden="false" customHeight="false" outlineLevel="0" collapsed="false">
      <c r="A73" s="10" t="s">
        <v>101</v>
      </c>
      <c r="B73" s="10"/>
      <c r="C73" s="10" t="s">
        <v>259</v>
      </c>
      <c r="D73" s="10" t="s">
        <v>260</v>
      </c>
      <c r="E73" s="10" t="s">
        <v>52</v>
      </c>
    </row>
    <row r="74" customFormat="false" ht="15" hidden="false" customHeight="false" outlineLevel="0" collapsed="false">
      <c r="A74" s="26" t="str">
        <f aca="false">01_因子設定!B5</f>
        <v>炉温</v>
      </c>
      <c r="C74" s="45" t="n">
        <f aca="false">IF(ISNUMBER(E66),E66,01_因子設定!G5)</f>
        <v>65.5</v>
      </c>
      <c r="D74" s="45" t="n">
        <f aca="false">IF(ISNUMBER(F66),F66,01_因子設定!G5)</f>
        <v>75</v>
      </c>
      <c r="E74" s="24" t="str">
        <f aca="false">01_因子設定!D5</f>
        <v>℃</v>
      </c>
      <c r="F74" s="19" t="s">
        <v>263</v>
      </c>
    </row>
    <row r="75" customFormat="false" ht="15" hidden="false" customHeight="false" outlineLevel="0" collapsed="false">
      <c r="A75" s="26" t="str">
        <f aca="false">01_因子設定!B6</f>
        <v>乾燥時間</v>
      </c>
      <c r="C75" s="45" t="n">
        <f aca="false">IF(ISNUMBER(E67),E67,01_因子設定!G6)</f>
        <v>30.5</v>
      </c>
      <c r="D75" s="45" t="n">
        <f aca="false">IF(ISNUMBER(F67),F67,01_因子設定!G6)</f>
        <v>40</v>
      </c>
      <c r="E75" s="24" t="str">
        <f aca="false">01_因子設定!D6</f>
        <v>min</v>
      </c>
    </row>
    <row r="76" customFormat="false" ht="15" hidden="false" customHeight="false" outlineLevel="0" collapsed="false">
      <c r="A76" s="26" t="str">
        <f aca="false">01_因子設定!B7</f>
        <v>循環風速</v>
      </c>
      <c r="C76" s="45" t="n">
        <f aca="false">IF(ISNUMBER(E68),E68,01_因子設定!G7)</f>
        <v>1.75</v>
      </c>
      <c r="D76" s="45" t="n">
        <f aca="false">IF(ISNUMBER(F68),F68,01_因子設定!G7)</f>
        <v>3</v>
      </c>
      <c r="E76" s="24" t="str">
        <f aca="false">01_因子設定!D7</f>
        <v>m/s</v>
      </c>
    </row>
    <row r="78" customFormat="false" ht="15" hidden="false" customHeight="false" outlineLevel="0" collapsed="false">
      <c r="A78" s="18" t="s">
        <v>264</v>
      </c>
      <c r="C78" s="24" t="n">
        <f aca="false">COUNT(_win!Y252:Y278)</f>
        <v>27</v>
      </c>
    </row>
    <row r="79" customFormat="false" ht="15" hidden="false" customHeight="false" outlineLevel="0" collapsed="false">
      <c r="A79" s="18" t="s">
        <v>265</v>
      </c>
      <c r="C79" s="24" t="n">
        <f aca="false">COUNTIF(_win!X252:X278,FALSE())</f>
        <v>0</v>
      </c>
    </row>
    <row r="80" customFormat="false" ht="15" hidden="false" customHeight="false" outlineLevel="0" collapsed="false">
      <c r="A80" s="18" t="s">
        <v>266</v>
      </c>
      <c r="C80" s="24" t="n">
        <f aca="false">COUNTIF(_win!Y252:Y278,"&lt;0")</f>
        <v>17</v>
      </c>
    </row>
    <row r="81" customFormat="false" ht="15" hidden="false" customHeight="false" outlineLevel="0" collapsed="false">
      <c r="A81" s="18" t="s">
        <v>267</v>
      </c>
      <c r="C81" s="15" t="n">
        <f aca="false">MIN(_win!Y252:Y278)</f>
        <v>-1.55186153387078</v>
      </c>
    </row>
    <row r="82" customFormat="false" ht="15" hidden="false" customHeight="false" outlineLevel="0" collapsed="false">
      <c r="A82" s="18" t="s">
        <v>268</v>
      </c>
      <c r="C82" s="15" t="n">
        <f aca="false">INDEX(_win!D252:D278,MATCH(MIN(_win!Y252:Y278),_win!Y252:Y278,0))</f>
        <v>65.5</v>
      </c>
      <c r="D82" s="15" t="n">
        <f aca="false">INDEX(_win!E252:E278,MATCH(MIN(_win!Y252:Y278),_win!Y252:Y278,0))</f>
        <v>40</v>
      </c>
      <c r="E82" s="15" t="n">
        <f aca="false">INDEX(_win!F252:F278,MATCH(MIN(_win!Y252:Y278),_win!Y252:Y278,0))</f>
        <v>1.75</v>
      </c>
    </row>
    <row r="83" customFormat="false" ht="25.35" hidden="false" customHeight="false" outlineLevel="0" collapsed="false">
      <c r="C83" s="52" t="str">
        <f aca="false">01_因子設定!B5</f>
        <v>炉温</v>
      </c>
      <c r="D83" s="52" t="str">
        <f aca="false">01_因子設定!B6</f>
        <v>乾燥時間</v>
      </c>
      <c r="E83" s="52" t="str">
        <f aca="false">01_因子設定!B7</f>
        <v>循環風速</v>
      </c>
    </row>
    <row r="84" customFormat="false" ht="15" hidden="false" customHeight="false" outlineLevel="0" collapsed="false">
      <c r="A84" s="18" t="s">
        <v>104</v>
      </c>
      <c r="C84" s="25" t="str">
        <f aca="false">IF(C79&gt;0,"× 安全限界・領域外の条件を含む → 窓を狭める",IF(C80=0,"○ 提案窓の全組合せで、予測限界でも規格を満たす","× "&amp;C80&amp;"点で規格外のおそれ → 最悪の組合せの方向を狭める"))</f>
        <v>× 17点で規格外のおそれ → 最悪の組合せの方向を狭める</v>
      </c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</row>
  </sheetData>
  <mergeCells count="1">
    <mergeCell ref="C84:P84"/>
  </mergeCells>
  <conditionalFormatting sqref="C16:W36">
    <cfRule type="colorScale" priority="2">
      <colorScale>
        <cfvo type="min" val="0"/>
        <cfvo type="percentile" val="50"/>
        <cfvo type="max" val="0"/>
        <color rgb="FF5B9BD5"/>
        <color rgb="FFFFFFFF"/>
        <color rgb="FFF4B183"/>
      </colorScale>
    </cfRule>
  </conditionalFormatting>
  <conditionalFormatting sqref="C42:W62">
    <cfRule type="expression" priority="3" aboveAverage="0" equalAverage="0" bottom="0" percent="0" rank="0" text="" dxfId="4">
      <formula>ISTEXT(C42)</formula>
    </cfRule>
    <cfRule type="cellIs" priority="4" operator="greaterThanOrEqual" aboveAverage="0" equalAverage="0" bottom="0" percent="0" rank="0" text="" dxfId="5">
      <formula>0</formula>
    </cfRule>
    <cfRule type="cellIs" priority="5" operator="lessThan" aboveAverage="0" equalAverage="0" bottom="0" percent="0" rank="0" text="" dxfId="0">
      <formula>0</formula>
    </cfRule>
  </conditionalFormatting>
  <dataValidations count="2">
    <dataValidation allowBlank="false" errorStyle="stop" operator="between" showDropDown="false" showErrorMessage="false" showInputMessage="false" sqref="B4:B5" type="list">
      <formula1>"X1,X2,X3"</formula1>
      <formula2>0</formula2>
    </dataValidation>
    <dataValidation allowBlank="false" errorStyle="stop" operator="between" showDropDown="false" showErrorMessage="false" showInputMessage="false" sqref="B6" type="list">
      <formula1>"ロバスト最適点,点予測最適点,手入力"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AA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4" min="2" style="0" width="12"/>
    <col collapsed="false" customWidth="true" hidden="false" outlineLevel="0" max="6" min="5" style="0" width="10"/>
    <col collapsed="false" customWidth="true" hidden="false" outlineLevel="0" max="8" min="7" style="0" width="14"/>
    <col collapsed="false" customWidth="true" hidden="false" outlineLevel="0" max="9" min="9" style="0" width="30"/>
    <col collapsed="false" customWidth="true" hidden="false" outlineLevel="0" max="10" min="10" style="0" width="10"/>
  </cols>
  <sheetData>
    <row r="1" customFormat="false" ht="21.6" hidden="false" customHeight="false" outlineLevel="0" collapsed="false">
      <c r="A1" s="8" t="s">
        <v>269</v>
      </c>
    </row>
    <row r="2" customFormat="false" ht="15" hidden="false" customHeight="false" outlineLevel="0" collapsed="false">
      <c r="A2" s="2" t="s">
        <v>270</v>
      </c>
    </row>
    <row r="4" customFormat="false" ht="29.85" hidden="false" customHeight="false" outlineLevel="0" collapsed="false">
      <c r="A4" s="9" t="s">
        <v>49</v>
      </c>
      <c r="B4" s="10" t="str">
        <f aca="false">01_因子設定!B5&amp;"["&amp;01_因子設定!D5&amp;"]"</f>
        <v>炉温[℃]</v>
      </c>
      <c r="C4" s="10" t="str">
        <f aca="false">01_因子設定!B6&amp;"["&amp;01_因子設定!D6&amp;"]"</f>
        <v>乾燥時間[min]</v>
      </c>
      <c r="D4" s="10" t="str">
        <f aca="false">01_因子設定!B7&amp;"["&amp;01_因子設定!D7&amp;"]"</f>
        <v>循環風速[m/s]</v>
      </c>
      <c r="E4" s="9" t="s">
        <v>192</v>
      </c>
      <c r="F4" s="10" t="s">
        <v>233</v>
      </c>
      <c r="G4" s="10" t="s">
        <v>271</v>
      </c>
      <c r="H4" s="10" t="s">
        <v>272</v>
      </c>
      <c r="I4" s="10" t="s">
        <v>273</v>
      </c>
      <c r="J4" s="10" t="s">
        <v>274</v>
      </c>
      <c r="M4" s="9" t="s">
        <v>275</v>
      </c>
      <c r="N4" s="9" t="s">
        <v>276</v>
      </c>
      <c r="O4" s="9" t="s">
        <v>277</v>
      </c>
      <c r="P4" s="10"/>
      <c r="Q4" s="10" t="s">
        <v>145</v>
      </c>
      <c r="R4" s="9" t="s">
        <v>64</v>
      </c>
      <c r="S4" s="9" t="s">
        <v>69</v>
      </c>
      <c r="T4" s="9" t="s">
        <v>72</v>
      </c>
      <c r="U4" s="9" t="s">
        <v>150</v>
      </c>
      <c r="V4" s="9" t="s">
        <v>152</v>
      </c>
      <c r="W4" s="9" t="s">
        <v>154</v>
      </c>
      <c r="X4" s="9" t="s">
        <v>156</v>
      </c>
      <c r="Y4" s="9" t="s">
        <v>158</v>
      </c>
      <c r="Z4" s="9" t="s">
        <v>160</v>
      </c>
      <c r="AA4" s="9" t="s">
        <v>238</v>
      </c>
    </row>
    <row r="5" customFormat="false" ht="15" hidden="false" customHeight="false" outlineLevel="0" collapsed="false">
      <c r="A5" s="11" t="n">
        <v>1</v>
      </c>
      <c r="B5" s="45" t="n">
        <f aca="false">07_最適化!$B$9</f>
        <v>71.25</v>
      </c>
      <c r="C5" s="45" t="n">
        <f aca="false">07_最適化!$B$10</f>
        <v>37.5</v>
      </c>
      <c r="D5" s="45" t="n">
        <f aca="false">07_最適化!$B$11</f>
        <v>2.625</v>
      </c>
      <c r="E5" s="20"/>
      <c r="F5" s="15" t="n">
        <f aca="false">IF(B5="","",SUMPRODUCT(Q5:Z5,_XtX!$B$71:$K$71))</f>
        <v>50.5920738636364</v>
      </c>
      <c r="G5" s="15" t="n">
        <f aca="false">IF(B5="","",F5-04_回帰ANOVA!$K$23*04_回帰ANOVA!$K$14*SQRT(1+AA5))</f>
        <v>49.3045201858048</v>
      </c>
      <c r="H5" s="15" t="n">
        <f aca="false">IF(B5="","",F5+04_回帰ANOVA!$K$23*04_回帰ANOVA!$K$14*SQRT(1+AA5))</f>
        <v>51.879627541468</v>
      </c>
      <c r="I5" s="26" t="str">
        <f aca="false">IF(OR(B5="",E5=""),"",IF(AND(E5&gt;=G5,E5&lt;=H5),"○ 予測区間内","× 区間外 → 原因調査・モデル再検討"))</f>
        <v/>
      </c>
      <c r="J5" s="26" t="str">
        <f aca="false">IF(E5="","",IF(OR(AND(01_因子設定!$B$14&lt;&gt;"",E5&lt;01_因子設定!$B$14),AND(01_因子設定!$B$15&lt;&gt;"",E5&gt;01_因子設定!$B$15)),"規格外","規格内"))</f>
        <v/>
      </c>
      <c r="M5" s="16" t="n">
        <f aca="false">IF(B5="","",(B5-01_因子設定!$G$5)/01_因子設定!$H$5)</f>
        <v>0.625</v>
      </c>
      <c r="N5" s="16" t="n">
        <f aca="false">IF(C5="","",(C5-01_因子設定!$G$6)/01_因子設定!$H$6)</f>
        <v>0.75</v>
      </c>
      <c r="O5" s="16" t="n">
        <f aca="false">IF(D5="","",(D5-01_因子設定!$G$7)/01_因子設定!$H$7)</f>
        <v>0.625</v>
      </c>
      <c r="Q5" s="16" t="n">
        <f aca="false">IF($B5="",0,1)</f>
        <v>1</v>
      </c>
      <c r="R5" s="16" t="n">
        <f aca="false">IF($B5="",0,M5)</f>
        <v>0.625</v>
      </c>
      <c r="S5" s="16" t="n">
        <f aca="false">IF($B5="",0,N5)</f>
        <v>0.75</v>
      </c>
      <c r="T5" s="16" t="n">
        <f aca="false">IF($B5="",0,O5)</f>
        <v>0.625</v>
      </c>
      <c r="U5" s="16" t="n">
        <f aca="false">IF($B5="",0,M5*N5)</f>
        <v>0.46875</v>
      </c>
      <c r="V5" s="16" t="n">
        <f aca="false">IF($B5="",0,M5*O5)</f>
        <v>0.390625</v>
      </c>
      <c r="W5" s="16" t="n">
        <f aca="false">IF($B5="",0,N5*O5)</f>
        <v>0.46875</v>
      </c>
      <c r="X5" s="16" t="n">
        <f aca="false">IF($B5="",0,M5*M5)</f>
        <v>0.390625</v>
      </c>
      <c r="Y5" s="16" t="n">
        <f aca="false">IF($B5="",0,N5*N5)</f>
        <v>0.5625</v>
      </c>
      <c r="Z5" s="16" t="n">
        <f aca="false">IF($B5="",0,O5*O5)</f>
        <v>0.390625</v>
      </c>
      <c r="AA5" s="30" t="n">
        <f aca="false">SUMPRODUCT(MMULT(Q5:Z5,_XtX!$B$58:$K$67),Q5:Z5)</f>
        <v>0.268966952237216</v>
      </c>
    </row>
    <row r="6" customFormat="false" ht="15" hidden="false" customHeight="false" outlineLevel="0" collapsed="false">
      <c r="A6" s="11" t="n">
        <v>2</v>
      </c>
      <c r="B6" s="45"/>
      <c r="C6" s="45"/>
      <c r="D6" s="45"/>
      <c r="E6" s="20"/>
      <c r="F6" s="15" t="str">
        <f aca="false">IF(B6="","",SUMPRODUCT(Q6:Z6,_XtX!$B$71:$K$71))</f>
        <v/>
      </c>
      <c r="G6" s="15" t="str">
        <f aca="false">IF(B6="","",F6-04_回帰ANOVA!$K$23*04_回帰ANOVA!$K$14*SQRT(1+AA6))</f>
        <v/>
      </c>
      <c r="H6" s="15" t="str">
        <f aca="false">IF(B6="","",F6+04_回帰ANOVA!$K$23*04_回帰ANOVA!$K$14*SQRT(1+AA6))</f>
        <v/>
      </c>
      <c r="I6" s="26" t="str">
        <f aca="false">IF(OR(B6="",E6=""),"",IF(AND(E6&gt;=G6,E6&lt;=H6),"○ 予測区間内","× 区間外 → 原因調査・モデル再検討"))</f>
        <v/>
      </c>
      <c r="J6" s="26" t="str">
        <f aca="false">IF(E6="","",IF(OR(AND(01_因子設定!$B$14&lt;&gt;"",E6&lt;01_因子設定!$B$14),AND(01_因子設定!$B$15&lt;&gt;"",E6&gt;01_因子設定!$B$15)),"規格外","規格内"))</f>
        <v/>
      </c>
      <c r="M6" s="16" t="str">
        <f aca="false">IF(B6="","",(B6-01_因子設定!$G$5)/01_因子設定!$H$5)</f>
        <v/>
      </c>
      <c r="N6" s="16" t="str">
        <f aca="false">IF(C6="","",(C6-01_因子設定!$G$6)/01_因子設定!$H$6)</f>
        <v/>
      </c>
      <c r="O6" s="16" t="str">
        <f aca="false">IF(D6="","",(D6-01_因子設定!$G$7)/01_因子設定!$H$7)</f>
        <v/>
      </c>
      <c r="Q6" s="16" t="n">
        <f aca="false">IF($B6="",0,1)</f>
        <v>0</v>
      </c>
      <c r="R6" s="16" t="n">
        <f aca="false">IF($B6="",0,M6)</f>
        <v>0</v>
      </c>
      <c r="S6" s="16" t="n">
        <f aca="false">IF($B6="",0,N6)</f>
        <v>0</v>
      </c>
      <c r="T6" s="16" t="n">
        <f aca="false">IF($B6="",0,O6)</f>
        <v>0</v>
      </c>
      <c r="U6" s="16" t="n">
        <f aca="false">IF($B6="",0,M6*N6)</f>
        <v>0</v>
      </c>
      <c r="V6" s="16" t="n">
        <f aca="false">IF($B6="",0,M6*O6)</f>
        <v>0</v>
      </c>
      <c r="W6" s="16" t="n">
        <f aca="false">IF($B6="",0,N6*O6)</f>
        <v>0</v>
      </c>
      <c r="X6" s="16" t="n">
        <f aca="false">IF($B6="",0,M6*M6)</f>
        <v>0</v>
      </c>
      <c r="Y6" s="16" t="n">
        <f aca="false">IF($B6="",0,N6*N6)</f>
        <v>0</v>
      </c>
      <c r="Z6" s="16" t="n">
        <f aca="false">IF($B6="",0,O6*O6)</f>
        <v>0</v>
      </c>
      <c r="AA6" s="30" t="n">
        <f aca="false">SUMPRODUCT(MMULT(Q6:Z6,_XtX!$B$58:$K$67),Q6:Z6)</f>
        <v>0</v>
      </c>
    </row>
    <row r="7" customFormat="false" ht="15" hidden="false" customHeight="false" outlineLevel="0" collapsed="false">
      <c r="A7" s="11" t="n">
        <v>3</v>
      </c>
      <c r="B7" s="45"/>
      <c r="C7" s="45"/>
      <c r="D7" s="45"/>
      <c r="E7" s="20"/>
      <c r="F7" s="15" t="str">
        <f aca="false">IF(B7="","",SUMPRODUCT(Q7:Z7,_XtX!$B$71:$K$71))</f>
        <v/>
      </c>
      <c r="G7" s="15" t="str">
        <f aca="false">IF(B7="","",F7-04_回帰ANOVA!$K$23*04_回帰ANOVA!$K$14*SQRT(1+AA7))</f>
        <v/>
      </c>
      <c r="H7" s="15" t="str">
        <f aca="false">IF(B7="","",F7+04_回帰ANOVA!$K$23*04_回帰ANOVA!$K$14*SQRT(1+AA7))</f>
        <v/>
      </c>
      <c r="I7" s="26" t="str">
        <f aca="false">IF(OR(B7="",E7=""),"",IF(AND(E7&gt;=G7,E7&lt;=H7),"○ 予測区間内","× 区間外 → 原因調査・モデル再検討"))</f>
        <v/>
      </c>
      <c r="J7" s="26" t="str">
        <f aca="false">IF(E7="","",IF(OR(AND(01_因子設定!$B$14&lt;&gt;"",E7&lt;01_因子設定!$B$14),AND(01_因子設定!$B$15&lt;&gt;"",E7&gt;01_因子設定!$B$15)),"規格外","規格内"))</f>
        <v/>
      </c>
      <c r="M7" s="16" t="str">
        <f aca="false">IF(B7="","",(B7-01_因子設定!$G$5)/01_因子設定!$H$5)</f>
        <v/>
      </c>
      <c r="N7" s="16" t="str">
        <f aca="false">IF(C7="","",(C7-01_因子設定!$G$6)/01_因子設定!$H$6)</f>
        <v/>
      </c>
      <c r="O7" s="16" t="str">
        <f aca="false">IF(D7="","",(D7-01_因子設定!$G$7)/01_因子設定!$H$7)</f>
        <v/>
      </c>
      <c r="Q7" s="16" t="n">
        <f aca="false">IF($B7="",0,1)</f>
        <v>0</v>
      </c>
      <c r="R7" s="16" t="n">
        <f aca="false">IF($B7="",0,M7)</f>
        <v>0</v>
      </c>
      <c r="S7" s="16" t="n">
        <f aca="false">IF($B7="",0,N7)</f>
        <v>0</v>
      </c>
      <c r="T7" s="16" t="n">
        <f aca="false">IF($B7="",0,O7)</f>
        <v>0</v>
      </c>
      <c r="U7" s="16" t="n">
        <f aca="false">IF($B7="",0,M7*N7)</f>
        <v>0</v>
      </c>
      <c r="V7" s="16" t="n">
        <f aca="false">IF($B7="",0,M7*O7)</f>
        <v>0</v>
      </c>
      <c r="W7" s="16" t="n">
        <f aca="false">IF($B7="",0,N7*O7)</f>
        <v>0</v>
      </c>
      <c r="X7" s="16" t="n">
        <f aca="false">IF($B7="",0,M7*M7)</f>
        <v>0</v>
      </c>
      <c r="Y7" s="16" t="n">
        <f aca="false">IF($B7="",0,N7*N7)</f>
        <v>0</v>
      </c>
      <c r="Z7" s="16" t="n">
        <f aca="false">IF($B7="",0,O7*O7)</f>
        <v>0</v>
      </c>
      <c r="AA7" s="30" t="n">
        <f aca="false">SUMPRODUCT(MMULT(Q7:Z7,_XtX!$B$58:$K$67),Q7:Z7)</f>
        <v>0</v>
      </c>
    </row>
    <row r="8" customFormat="false" ht="15" hidden="false" customHeight="false" outlineLevel="0" collapsed="false">
      <c r="A8" s="11" t="n">
        <v>4</v>
      </c>
      <c r="B8" s="45"/>
      <c r="C8" s="45"/>
      <c r="D8" s="45"/>
      <c r="E8" s="20"/>
      <c r="F8" s="15" t="str">
        <f aca="false">IF(B8="","",SUMPRODUCT(Q8:Z8,_XtX!$B$71:$K$71))</f>
        <v/>
      </c>
      <c r="G8" s="15" t="str">
        <f aca="false">IF(B8="","",F8-04_回帰ANOVA!$K$23*04_回帰ANOVA!$K$14*SQRT(1+AA8))</f>
        <v/>
      </c>
      <c r="H8" s="15" t="str">
        <f aca="false">IF(B8="","",F8+04_回帰ANOVA!$K$23*04_回帰ANOVA!$K$14*SQRT(1+AA8))</f>
        <v/>
      </c>
      <c r="I8" s="26" t="str">
        <f aca="false">IF(OR(B8="",E8=""),"",IF(AND(E8&gt;=G8,E8&lt;=H8),"○ 予測区間内","× 区間外 → 原因調査・モデル再検討"))</f>
        <v/>
      </c>
      <c r="J8" s="26" t="str">
        <f aca="false">IF(E8="","",IF(OR(AND(01_因子設定!$B$14&lt;&gt;"",E8&lt;01_因子設定!$B$14),AND(01_因子設定!$B$15&lt;&gt;"",E8&gt;01_因子設定!$B$15)),"規格外","規格内"))</f>
        <v/>
      </c>
      <c r="M8" s="16" t="str">
        <f aca="false">IF(B8="","",(B8-01_因子設定!$G$5)/01_因子設定!$H$5)</f>
        <v/>
      </c>
      <c r="N8" s="16" t="str">
        <f aca="false">IF(C8="","",(C8-01_因子設定!$G$6)/01_因子設定!$H$6)</f>
        <v/>
      </c>
      <c r="O8" s="16" t="str">
        <f aca="false">IF(D8="","",(D8-01_因子設定!$G$7)/01_因子設定!$H$7)</f>
        <v/>
      </c>
      <c r="Q8" s="16" t="n">
        <f aca="false">IF($B8="",0,1)</f>
        <v>0</v>
      </c>
      <c r="R8" s="16" t="n">
        <f aca="false">IF($B8="",0,M8)</f>
        <v>0</v>
      </c>
      <c r="S8" s="16" t="n">
        <f aca="false">IF($B8="",0,N8)</f>
        <v>0</v>
      </c>
      <c r="T8" s="16" t="n">
        <f aca="false">IF($B8="",0,O8)</f>
        <v>0</v>
      </c>
      <c r="U8" s="16" t="n">
        <f aca="false">IF($B8="",0,M8*N8)</f>
        <v>0</v>
      </c>
      <c r="V8" s="16" t="n">
        <f aca="false">IF($B8="",0,M8*O8)</f>
        <v>0</v>
      </c>
      <c r="W8" s="16" t="n">
        <f aca="false">IF($B8="",0,N8*O8)</f>
        <v>0</v>
      </c>
      <c r="X8" s="16" t="n">
        <f aca="false">IF($B8="",0,M8*M8)</f>
        <v>0</v>
      </c>
      <c r="Y8" s="16" t="n">
        <f aca="false">IF($B8="",0,N8*N8)</f>
        <v>0</v>
      </c>
      <c r="Z8" s="16" t="n">
        <f aca="false">IF($B8="",0,O8*O8)</f>
        <v>0</v>
      </c>
      <c r="AA8" s="30" t="n">
        <f aca="false">SUMPRODUCT(MMULT(Q8:Z8,_XtX!$B$58:$K$67),Q8:Z8)</f>
        <v>0</v>
      </c>
    </row>
    <row r="9" customFormat="false" ht="15" hidden="false" customHeight="false" outlineLevel="0" collapsed="false">
      <c r="A9" s="11" t="n">
        <v>5</v>
      </c>
      <c r="B9" s="45"/>
      <c r="C9" s="45"/>
      <c r="D9" s="45"/>
      <c r="E9" s="20"/>
      <c r="F9" s="15" t="str">
        <f aca="false">IF(B9="","",SUMPRODUCT(Q9:Z9,_XtX!$B$71:$K$71))</f>
        <v/>
      </c>
      <c r="G9" s="15" t="str">
        <f aca="false">IF(B9="","",F9-04_回帰ANOVA!$K$23*04_回帰ANOVA!$K$14*SQRT(1+AA9))</f>
        <v/>
      </c>
      <c r="H9" s="15" t="str">
        <f aca="false">IF(B9="","",F9+04_回帰ANOVA!$K$23*04_回帰ANOVA!$K$14*SQRT(1+AA9))</f>
        <v/>
      </c>
      <c r="I9" s="26" t="str">
        <f aca="false">IF(OR(B9="",E9=""),"",IF(AND(E9&gt;=G9,E9&lt;=H9),"○ 予測区間内","× 区間外 → 原因調査・モデル再検討"))</f>
        <v/>
      </c>
      <c r="J9" s="26" t="str">
        <f aca="false">IF(E9="","",IF(OR(AND(01_因子設定!$B$14&lt;&gt;"",E9&lt;01_因子設定!$B$14),AND(01_因子設定!$B$15&lt;&gt;"",E9&gt;01_因子設定!$B$15)),"規格外","規格内"))</f>
        <v/>
      </c>
      <c r="M9" s="16" t="str">
        <f aca="false">IF(B9="","",(B9-01_因子設定!$G$5)/01_因子設定!$H$5)</f>
        <v/>
      </c>
      <c r="N9" s="16" t="str">
        <f aca="false">IF(C9="","",(C9-01_因子設定!$G$6)/01_因子設定!$H$6)</f>
        <v/>
      </c>
      <c r="O9" s="16" t="str">
        <f aca="false">IF(D9="","",(D9-01_因子設定!$G$7)/01_因子設定!$H$7)</f>
        <v/>
      </c>
      <c r="Q9" s="16" t="n">
        <f aca="false">IF($B9="",0,1)</f>
        <v>0</v>
      </c>
      <c r="R9" s="16" t="n">
        <f aca="false">IF($B9="",0,M9)</f>
        <v>0</v>
      </c>
      <c r="S9" s="16" t="n">
        <f aca="false">IF($B9="",0,N9)</f>
        <v>0</v>
      </c>
      <c r="T9" s="16" t="n">
        <f aca="false">IF($B9="",0,O9)</f>
        <v>0</v>
      </c>
      <c r="U9" s="16" t="n">
        <f aca="false">IF($B9="",0,M9*N9)</f>
        <v>0</v>
      </c>
      <c r="V9" s="16" t="n">
        <f aca="false">IF($B9="",0,M9*O9)</f>
        <v>0</v>
      </c>
      <c r="W9" s="16" t="n">
        <f aca="false">IF($B9="",0,N9*O9)</f>
        <v>0</v>
      </c>
      <c r="X9" s="16" t="n">
        <f aca="false">IF($B9="",0,M9*M9)</f>
        <v>0</v>
      </c>
      <c r="Y9" s="16" t="n">
        <f aca="false">IF($B9="",0,N9*N9)</f>
        <v>0</v>
      </c>
      <c r="Z9" s="16" t="n">
        <f aca="false">IF($B9="",0,O9*O9)</f>
        <v>0</v>
      </c>
      <c r="AA9" s="30" t="n">
        <f aca="false">SUMPRODUCT(MMULT(Q9:Z9,_XtX!$B$58:$K$67),Q9:Z9)</f>
        <v>0</v>
      </c>
    </row>
    <row r="11" customFormat="false" ht="15" hidden="false" customHeight="false" outlineLevel="0" collapsed="false">
      <c r="A11" s="19" t="s">
        <v>278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P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35" hidden="false" customHeight="false" outlineLevel="0" collapsed="false">
      <c r="A1" s="1" t="s">
        <v>279</v>
      </c>
    </row>
    <row r="3" customFormat="false" ht="15" hidden="false" customHeight="false" outlineLevel="0" collapsed="false">
      <c r="A3" s="17" t="s">
        <v>280</v>
      </c>
      <c r="B3" s="24" t="n">
        <f aca="false">INDEX(04_回帰ANOVA!$B$6:$B$15,1)</f>
        <v>1</v>
      </c>
      <c r="C3" s="24" t="n">
        <f aca="false">INDEX(04_回帰ANOVA!$B$6:$B$15,2)</f>
        <v>1</v>
      </c>
      <c r="D3" s="24" t="n">
        <f aca="false">INDEX(04_回帰ANOVA!$B$6:$B$15,3)</f>
        <v>1</v>
      </c>
      <c r="E3" s="24" t="n">
        <f aca="false">INDEX(04_回帰ANOVA!$B$6:$B$15,4)</f>
        <v>1</v>
      </c>
      <c r="F3" s="24" t="n">
        <f aca="false">INDEX(04_回帰ANOVA!$B$6:$B$15,5)</f>
        <v>1</v>
      </c>
      <c r="G3" s="24" t="n">
        <f aca="false">INDEX(04_回帰ANOVA!$B$6:$B$15,6)</f>
        <v>1</v>
      </c>
      <c r="H3" s="24" t="n">
        <f aca="false">INDEX(04_回帰ANOVA!$B$6:$B$15,7)</f>
        <v>1</v>
      </c>
      <c r="I3" s="24" t="n">
        <f aca="false">INDEX(04_回帰ANOVA!$B$6:$B$15,8)</f>
        <v>1</v>
      </c>
      <c r="J3" s="24" t="n">
        <f aca="false">INDEX(04_回帰ANOVA!$B$6:$B$15,9)</f>
        <v>1</v>
      </c>
      <c r="K3" s="24" t="n">
        <f aca="false">INDEX(04_回帰ANOVA!$B$6:$B$15,10)</f>
        <v>1</v>
      </c>
    </row>
    <row r="4" customFormat="false" ht="15" hidden="false" customHeight="false" outlineLevel="0" collapsed="false">
      <c r="A4" s="10" t="s">
        <v>110</v>
      </c>
      <c r="B4" s="10" t="s">
        <v>145</v>
      </c>
      <c r="C4" s="9" t="s">
        <v>64</v>
      </c>
      <c r="D4" s="9" t="s">
        <v>69</v>
      </c>
      <c r="E4" s="9" t="s">
        <v>72</v>
      </c>
      <c r="F4" s="9" t="s">
        <v>150</v>
      </c>
      <c r="G4" s="9" t="s">
        <v>152</v>
      </c>
      <c r="H4" s="9" t="s">
        <v>154</v>
      </c>
      <c r="I4" s="9" t="s">
        <v>156</v>
      </c>
      <c r="J4" s="9" t="s">
        <v>158</v>
      </c>
      <c r="K4" s="9" t="s">
        <v>160</v>
      </c>
      <c r="L4" s="9" t="s">
        <v>281</v>
      </c>
      <c r="M4" s="10"/>
      <c r="N4" s="10" t="s">
        <v>195</v>
      </c>
      <c r="O4" s="10" t="s">
        <v>193</v>
      </c>
      <c r="P4" s="10" t="s">
        <v>177</v>
      </c>
    </row>
    <row r="5" customFormat="false" ht="15" hidden="false" customHeight="false" outlineLevel="0" collapsed="false">
      <c r="A5" s="24" t="n">
        <f aca="false">02_実験計画!C5</f>
        <v>1</v>
      </c>
      <c r="B5" s="16" t="n">
        <f aca="false">$A5</f>
        <v>1</v>
      </c>
      <c r="C5" s="16" t="n">
        <f aca="false">02_実験計画!D5</f>
        <v>-1</v>
      </c>
      <c r="D5" s="16" t="n">
        <f aca="false">02_実験計画!E5</f>
        <v>-1</v>
      </c>
      <c r="E5" s="16" t="n">
        <f aca="false">02_実験計画!F5</f>
        <v>-1</v>
      </c>
      <c r="F5" s="16" t="n">
        <f aca="false">02_実験計画!D5*02_実験計画!E5</f>
        <v>1</v>
      </c>
      <c r="G5" s="16" t="n">
        <f aca="false">02_実験計画!D5*02_実験計画!F5</f>
        <v>1</v>
      </c>
      <c r="H5" s="16" t="n">
        <f aca="false">02_実験計画!E5*02_実験計画!F5</f>
        <v>1</v>
      </c>
      <c r="I5" s="16" t="n">
        <f aca="false">02_実験計画!D5*02_実験計画!D5</f>
        <v>1</v>
      </c>
      <c r="J5" s="16" t="n">
        <f aca="false">02_実験計画!E5*02_実験計画!E5</f>
        <v>1</v>
      </c>
      <c r="K5" s="16" t="n">
        <f aca="false">02_実験計画!F5*02_実験計画!F5</f>
        <v>1</v>
      </c>
      <c r="L5" s="15" t="n">
        <f aca="false">02_実験計画!N5*A5</f>
        <v>38.4</v>
      </c>
      <c r="N5" s="30" t="n">
        <f aca="false">IF(A5=1,SUMPRODUCT(MMULT(B5:K5,$B$58:$K$67),B5:K5),0)</f>
        <v>0.793181818181818</v>
      </c>
      <c r="O5" s="16" t="n">
        <f aca="false">IF(A5=1,SUMPRODUCT(B5:K5,$B$71:$K$71),0)</f>
        <v>38.1540909090909</v>
      </c>
      <c r="P5" s="16" t="n">
        <f aca="false">IF(A5=1,L5-O5,0)</f>
        <v>0.24590909090908</v>
      </c>
    </row>
    <row r="6" customFormat="false" ht="15" hidden="false" customHeight="false" outlineLevel="0" collapsed="false">
      <c r="A6" s="24" t="n">
        <f aca="false">02_実験計画!C6</f>
        <v>1</v>
      </c>
      <c r="B6" s="16" t="n">
        <f aca="false">$A6</f>
        <v>1</v>
      </c>
      <c r="C6" s="16" t="n">
        <f aca="false">02_実験計画!D6</f>
        <v>1</v>
      </c>
      <c r="D6" s="16" t="n">
        <f aca="false">02_実験計画!E6</f>
        <v>-1</v>
      </c>
      <c r="E6" s="16" t="n">
        <f aca="false">02_実験計画!F6</f>
        <v>-1</v>
      </c>
      <c r="F6" s="16" t="n">
        <f aca="false">02_実験計画!D6*02_実験計画!E6</f>
        <v>-1</v>
      </c>
      <c r="G6" s="16" t="n">
        <f aca="false">02_実験計画!D6*02_実験計画!F6</f>
        <v>-1</v>
      </c>
      <c r="H6" s="16" t="n">
        <f aca="false">02_実験計画!E6*02_実験計画!F6</f>
        <v>1</v>
      </c>
      <c r="I6" s="16" t="n">
        <f aca="false">02_実験計画!D6*02_実験計画!D6</f>
        <v>1</v>
      </c>
      <c r="J6" s="16" t="n">
        <f aca="false">02_実験計画!E6*02_実験計画!E6</f>
        <v>1</v>
      </c>
      <c r="K6" s="16" t="n">
        <f aca="false">02_実験計画!F6*02_実験計画!F6</f>
        <v>1</v>
      </c>
      <c r="L6" s="15" t="n">
        <f aca="false">02_実験計画!N6*A6</f>
        <v>41.2</v>
      </c>
      <c r="N6" s="30" t="n">
        <f aca="false">IF(A6=1,SUMPRODUCT(MMULT(B6:K6,$B$58:$K$67),B6:K6),0)</f>
        <v>0.793181818181818</v>
      </c>
      <c r="O6" s="16" t="n">
        <f aca="false">IF(A6=1,SUMPRODUCT(B6:K6,$B$71:$K$71),0)</f>
        <v>41.2440909090909</v>
      </c>
      <c r="P6" s="16" t="n">
        <f aca="false">IF(A6=1,L6-O6,0)</f>
        <v>-0.0440909090909187</v>
      </c>
    </row>
    <row r="7" customFormat="false" ht="15" hidden="false" customHeight="false" outlineLevel="0" collapsed="false">
      <c r="A7" s="24" t="n">
        <f aca="false">02_実験計画!C7</f>
        <v>1</v>
      </c>
      <c r="B7" s="16" t="n">
        <f aca="false">$A7</f>
        <v>1</v>
      </c>
      <c r="C7" s="16" t="n">
        <f aca="false">02_実験計画!D7</f>
        <v>-1</v>
      </c>
      <c r="D7" s="16" t="n">
        <f aca="false">02_実験計画!E7</f>
        <v>1</v>
      </c>
      <c r="E7" s="16" t="n">
        <f aca="false">02_実験計画!F7</f>
        <v>-1</v>
      </c>
      <c r="F7" s="16" t="n">
        <f aca="false">02_実験計画!D7*02_実験計画!E7</f>
        <v>-1</v>
      </c>
      <c r="G7" s="16" t="n">
        <f aca="false">02_実験計画!D7*02_実験計画!F7</f>
        <v>1</v>
      </c>
      <c r="H7" s="16" t="n">
        <f aca="false">02_実験計画!E7*02_実験計画!F7</f>
        <v>-1</v>
      </c>
      <c r="I7" s="16" t="n">
        <f aca="false">02_実験計画!D7*02_実験計画!D7</f>
        <v>1</v>
      </c>
      <c r="J7" s="16" t="n">
        <f aca="false">02_実験計画!E7*02_実験計画!E7</f>
        <v>1</v>
      </c>
      <c r="K7" s="16" t="n">
        <f aca="false">02_実験計画!F7*02_実験計画!F7</f>
        <v>1</v>
      </c>
      <c r="L7" s="15" t="n">
        <f aca="false">02_実験計画!N7*A7</f>
        <v>38.6</v>
      </c>
      <c r="N7" s="30" t="n">
        <f aca="false">IF(A7=1,SUMPRODUCT(MMULT(B7:K7,$B$58:$K$67),B7:K7),0)</f>
        <v>0.793181818181818</v>
      </c>
      <c r="O7" s="16" t="n">
        <f aca="false">IF(A7=1,SUMPRODUCT(B7:K7,$B$71:$K$71),0)</f>
        <v>38.9440909090909</v>
      </c>
      <c r="P7" s="16" t="n">
        <f aca="false">IF(A7=1,L7-O7,0)</f>
        <v>-0.344090909090916</v>
      </c>
    </row>
    <row r="8" customFormat="false" ht="15" hidden="false" customHeight="false" outlineLevel="0" collapsed="false">
      <c r="A8" s="24" t="n">
        <f aca="false">02_実験計画!C8</f>
        <v>1</v>
      </c>
      <c r="B8" s="16" t="n">
        <f aca="false">$A8</f>
        <v>1</v>
      </c>
      <c r="C8" s="16" t="n">
        <f aca="false">02_実験計画!D8</f>
        <v>1</v>
      </c>
      <c r="D8" s="16" t="n">
        <f aca="false">02_実験計画!E8</f>
        <v>1</v>
      </c>
      <c r="E8" s="16" t="n">
        <f aca="false">02_実験計画!F8</f>
        <v>-1</v>
      </c>
      <c r="F8" s="16" t="n">
        <f aca="false">02_実験計画!D8*02_実験計画!E8</f>
        <v>1</v>
      </c>
      <c r="G8" s="16" t="n">
        <f aca="false">02_実験計画!D8*02_実験計画!F8</f>
        <v>-1</v>
      </c>
      <c r="H8" s="16" t="n">
        <f aca="false">02_実験計画!E8*02_実験計画!F8</f>
        <v>-1</v>
      </c>
      <c r="I8" s="16" t="n">
        <f aca="false">02_実験計画!D8*02_実験計画!D8</f>
        <v>1</v>
      </c>
      <c r="J8" s="16" t="n">
        <f aca="false">02_実験計画!E8*02_実験計画!E8</f>
        <v>1</v>
      </c>
      <c r="K8" s="16" t="n">
        <f aca="false">02_実験計画!F8*02_実験計画!F8</f>
        <v>1</v>
      </c>
      <c r="L8" s="15" t="n">
        <f aca="false">02_実験計画!N8*A8</f>
        <v>47</v>
      </c>
      <c r="N8" s="30" t="n">
        <f aca="false">IF(A8=1,SUMPRODUCT(MMULT(B8:K8,$B$58:$K$67),B8:K8),0)</f>
        <v>0.793181818181818</v>
      </c>
      <c r="O8" s="16" t="n">
        <f aca="false">IF(A8=1,SUMPRODUCT(B8:K8,$B$71:$K$71),0)</f>
        <v>46.9340909090909</v>
      </c>
      <c r="P8" s="16" t="n">
        <f aca="false">IF(A8=1,L8-O8,0)</f>
        <v>0.0659090909090807</v>
      </c>
    </row>
    <row r="9" customFormat="false" ht="15" hidden="false" customHeight="false" outlineLevel="0" collapsed="false">
      <c r="A9" s="24" t="n">
        <f aca="false">02_実験計画!C9</f>
        <v>1</v>
      </c>
      <c r="B9" s="16" t="n">
        <f aca="false">$A9</f>
        <v>1</v>
      </c>
      <c r="C9" s="16" t="n">
        <f aca="false">02_実験計画!D9</f>
        <v>-1</v>
      </c>
      <c r="D9" s="16" t="n">
        <f aca="false">02_実験計画!E9</f>
        <v>-1</v>
      </c>
      <c r="E9" s="16" t="n">
        <f aca="false">02_実験計画!F9</f>
        <v>1</v>
      </c>
      <c r="F9" s="16" t="n">
        <f aca="false">02_実験計画!D9*02_実験計画!E9</f>
        <v>1</v>
      </c>
      <c r="G9" s="16" t="n">
        <f aca="false">02_実験計画!D9*02_実験計画!F9</f>
        <v>-1</v>
      </c>
      <c r="H9" s="16" t="n">
        <f aca="false">02_実験計画!E9*02_実験計画!F9</f>
        <v>-1</v>
      </c>
      <c r="I9" s="16" t="n">
        <f aca="false">02_実験計画!D9*02_実験計画!D9</f>
        <v>1</v>
      </c>
      <c r="J9" s="16" t="n">
        <f aca="false">02_実験計画!E9*02_実験計画!E9</f>
        <v>1</v>
      </c>
      <c r="K9" s="16" t="n">
        <f aca="false">02_実験計画!F9*02_実験計画!F9</f>
        <v>1</v>
      </c>
      <c r="L9" s="15" t="n">
        <f aca="false">02_実験計画!N9*A9</f>
        <v>40.3</v>
      </c>
      <c r="N9" s="30" t="n">
        <f aca="false">IF(A9=1,SUMPRODUCT(MMULT(B9:K9,$B$58:$K$67),B9:K9),0)</f>
        <v>0.793181818181818</v>
      </c>
      <c r="O9" s="16" t="n">
        <f aca="false">IF(A9=1,SUMPRODUCT(B9:K9,$B$71:$K$71),0)</f>
        <v>40.3140909090909</v>
      </c>
      <c r="P9" s="16" t="n">
        <f aca="false">IF(A9=1,L9-O9,0)</f>
        <v>-0.0140909090909176</v>
      </c>
    </row>
    <row r="10" customFormat="false" ht="15" hidden="false" customHeight="false" outlineLevel="0" collapsed="false">
      <c r="A10" s="24" t="n">
        <f aca="false">02_実験計画!C10</f>
        <v>1</v>
      </c>
      <c r="B10" s="16" t="n">
        <f aca="false">$A10</f>
        <v>1</v>
      </c>
      <c r="C10" s="16" t="n">
        <f aca="false">02_実験計画!D10</f>
        <v>1</v>
      </c>
      <c r="D10" s="16" t="n">
        <f aca="false">02_実験計画!E10</f>
        <v>-1</v>
      </c>
      <c r="E10" s="16" t="n">
        <f aca="false">02_実験計画!F10</f>
        <v>1</v>
      </c>
      <c r="F10" s="16" t="n">
        <f aca="false">02_実験計画!D10*02_実験計画!E10</f>
        <v>-1</v>
      </c>
      <c r="G10" s="16" t="n">
        <f aca="false">02_実験計画!D10*02_実験計画!F10</f>
        <v>1</v>
      </c>
      <c r="H10" s="16" t="n">
        <f aca="false">02_実験計画!E10*02_実験計画!F10</f>
        <v>-1</v>
      </c>
      <c r="I10" s="16" t="n">
        <f aca="false">02_実験計画!D10*02_実験計画!D10</f>
        <v>1</v>
      </c>
      <c r="J10" s="16" t="n">
        <f aca="false">02_実験計画!E10*02_実験計画!E10</f>
        <v>1</v>
      </c>
      <c r="K10" s="16" t="n">
        <f aca="false">02_実験計画!F10*02_実験計画!F10</f>
        <v>1</v>
      </c>
      <c r="L10" s="15" t="n">
        <f aca="false">02_実験計画!N10*A10</f>
        <v>43.2</v>
      </c>
      <c r="N10" s="30" t="n">
        <f aca="false">IF(A10=1,SUMPRODUCT(MMULT(B10:K10,$B$58:$K$67),B10:K10),0)</f>
        <v>0.793181818181818</v>
      </c>
      <c r="O10" s="16" t="n">
        <f aca="false">IF(A10=1,SUMPRODUCT(B10:K10,$B$71:$K$71),0)</f>
        <v>42.8040909090909</v>
      </c>
      <c r="P10" s="16" t="n">
        <f aca="false">IF(A10=1,L10-O10,0)</f>
        <v>0.395909090909079</v>
      </c>
    </row>
    <row r="11" customFormat="false" ht="15" hidden="false" customHeight="false" outlineLevel="0" collapsed="false">
      <c r="A11" s="24" t="n">
        <f aca="false">02_実験計画!C11</f>
        <v>1</v>
      </c>
      <c r="B11" s="16" t="n">
        <f aca="false">$A11</f>
        <v>1</v>
      </c>
      <c r="C11" s="16" t="n">
        <f aca="false">02_実験計画!D11</f>
        <v>-1</v>
      </c>
      <c r="D11" s="16" t="n">
        <f aca="false">02_実験計画!E11</f>
        <v>1</v>
      </c>
      <c r="E11" s="16" t="n">
        <f aca="false">02_実験計画!F11</f>
        <v>1</v>
      </c>
      <c r="F11" s="16" t="n">
        <f aca="false">02_実験計画!D11*02_実験計画!E11</f>
        <v>-1</v>
      </c>
      <c r="G11" s="16" t="n">
        <f aca="false">02_実験計画!D11*02_実験計画!F11</f>
        <v>-1</v>
      </c>
      <c r="H11" s="16" t="n">
        <f aca="false">02_実験計画!E11*02_実験計画!F11</f>
        <v>1</v>
      </c>
      <c r="I11" s="16" t="n">
        <f aca="false">02_実験計画!D11*02_実験計画!D11</f>
        <v>1</v>
      </c>
      <c r="J11" s="16" t="n">
        <f aca="false">02_実験計画!E11*02_実験計画!E11</f>
        <v>1</v>
      </c>
      <c r="K11" s="16" t="n">
        <f aca="false">02_実験計画!F11*02_実験計画!F11</f>
        <v>1</v>
      </c>
      <c r="L11" s="15" t="n">
        <f aca="false">02_実験計画!N11*A11</f>
        <v>43</v>
      </c>
      <c r="N11" s="30" t="n">
        <f aca="false">IF(A11=1,SUMPRODUCT(MMULT(B11:K11,$B$58:$K$67),B11:K11),0)</f>
        <v>0.793181818181818</v>
      </c>
      <c r="O11" s="16" t="n">
        <f aca="false">IF(A11=1,SUMPRODUCT(B11:K11,$B$71:$K$71),0)</f>
        <v>42.9040909090909</v>
      </c>
      <c r="P11" s="16" t="n">
        <f aca="false">IF(A11=1,L11-O11,0)</f>
        <v>0.0959090909090818</v>
      </c>
    </row>
    <row r="12" customFormat="false" ht="15" hidden="false" customHeight="false" outlineLevel="0" collapsed="false">
      <c r="A12" s="24" t="n">
        <f aca="false">02_実験計画!C12</f>
        <v>1</v>
      </c>
      <c r="B12" s="16" t="n">
        <f aca="false">$A12</f>
        <v>1</v>
      </c>
      <c r="C12" s="16" t="n">
        <f aca="false">02_実験計画!D12</f>
        <v>1</v>
      </c>
      <c r="D12" s="16" t="n">
        <f aca="false">02_実験計画!E12</f>
        <v>1</v>
      </c>
      <c r="E12" s="16" t="n">
        <f aca="false">02_実験計画!F12</f>
        <v>1</v>
      </c>
      <c r="F12" s="16" t="n">
        <f aca="false">02_実験計画!D12*02_実験計画!E12</f>
        <v>1</v>
      </c>
      <c r="G12" s="16" t="n">
        <f aca="false">02_実験計画!D12*02_実験計画!F12</f>
        <v>1</v>
      </c>
      <c r="H12" s="16" t="n">
        <f aca="false">02_実験計画!E12*02_実験計画!F12</f>
        <v>1</v>
      </c>
      <c r="I12" s="16" t="n">
        <f aca="false">02_実験計画!D12*02_実験計画!D12</f>
        <v>1</v>
      </c>
      <c r="J12" s="16" t="n">
        <f aca="false">02_実験計画!E12*02_実験計画!E12</f>
        <v>1</v>
      </c>
      <c r="K12" s="16" t="n">
        <f aca="false">02_実験計画!F12*02_実験計画!F12</f>
        <v>1</v>
      </c>
      <c r="L12" s="15" t="n">
        <f aca="false">02_実験計画!N12*A12</f>
        <v>50.1</v>
      </c>
      <c r="N12" s="30" t="n">
        <f aca="false">IF(A12=1,SUMPRODUCT(MMULT(B12:K12,$B$58:$K$67),B12:K12),0)</f>
        <v>0.793181818181818</v>
      </c>
      <c r="O12" s="16" t="n">
        <f aca="false">IF(A12=1,SUMPRODUCT(B12:K12,$B$71:$K$71),0)</f>
        <v>50.2940909090909</v>
      </c>
      <c r="P12" s="16" t="n">
        <f aca="false">IF(A12=1,L12-O12,0)</f>
        <v>-0.194090909090917</v>
      </c>
    </row>
    <row r="13" customFormat="false" ht="15" hidden="false" customHeight="false" outlineLevel="0" collapsed="false">
      <c r="A13" s="24" t="n">
        <f aca="false">02_実験計画!C13</f>
        <v>1</v>
      </c>
      <c r="B13" s="16" t="n">
        <f aca="false">$A13</f>
        <v>1</v>
      </c>
      <c r="C13" s="16" t="n">
        <f aca="false">02_実験計画!D13</f>
        <v>-1</v>
      </c>
      <c r="D13" s="16" t="n">
        <f aca="false">02_実験計画!E13</f>
        <v>0</v>
      </c>
      <c r="E13" s="16" t="n">
        <f aca="false">02_実験計画!F13</f>
        <v>0</v>
      </c>
      <c r="F13" s="16" t="n">
        <f aca="false">02_実験計画!D13*02_実験計画!E13</f>
        <v>-0</v>
      </c>
      <c r="G13" s="16" t="n">
        <f aca="false">02_実験計画!D13*02_実験計画!F13</f>
        <v>-0</v>
      </c>
      <c r="H13" s="16" t="n">
        <f aca="false">02_実験計画!E13*02_実験計画!F13</f>
        <v>0</v>
      </c>
      <c r="I13" s="16" t="n">
        <f aca="false">02_実験計画!D13*02_実験計画!D13</f>
        <v>1</v>
      </c>
      <c r="J13" s="16" t="n">
        <f aca="false">02_実験計画!E13*02_実験計画!E13</f>
        <v>0</v>
      </c>
      <c r="K13" s="16" t="n">
        <f aca="false">02_実験計画!F13*02_実験計画!F13</f>
        <v>0</v>
      </c>
      <c r="L13" s="15" t="n">
        <f aca="false">02_実験計画!N13*A13</f>
        <v>43.3</v>
      </c>
      <c r="N13" s="30" t="n">
        <f aca="false">IF(A13=1,SUMPRODUCT(MMULT(B13:K13,$B$58:$K$67),B13:K13),0)</f>
        <v>0.490909090909091</v>
      </c>
      <c r="O13" s="16" t="n">
        <f aca="false">IF(A13=1,SUMPRODUCT(B13:K13,$B$71:$K$71),0)</f>
        <v>43.2836363636364</v>
      </c>
      <c r="P13" s="16" t="n">
        <f aca="false">IF(A13=1,L13-O13,0)</f>
        <v>0.0163636363636499</v>
      </c>
    </row>
    <row r="14" customFormat="false" ht="15" hidden="false" customHeight="false" outlineLevel="0" collapsed="false">
      <c r="A14" s="24" t="n">
        <f aca="false">02_実験計画!C14</f>
        <v>1</v>
      </c>
      <c r="B14" s="16" t="n">
        <f aca="false">$A14</f>
        <v>1</v>
      </c>
      <c r="C14" s="16" t="n">
        <f aca="false">02_実験計画!D14</f>
        <v>1</v>
      </c>
      <c r="D14" s="16" t="n">
        <f aca="false">02_実験計画!E14</f>
        <v>0</v>
      </c>
      <c r="E14" s="16" t="n">
        <f aca="false">02_実験計画!F14</f>
        <v>0</v>
      </c>
      <c r="F14" s="16" t="n">
        <f aca="false">02_実験計画!D14*02_実験計画!E14</f>
        <v>0</v>
      </c>
      <c r="G14" s="16" t="n">
        <f aca="false">02_実験計画!D14*02_実験計画!F14</f>
        <v>0</v>
      </c>
      <c r="H14" s="16" t="n">
        <f aca="false">02_実験計画!E14*02_実験計画!F14</f>
        <v>0</v>
      </c>
      <c r="I14" s="16" t="n">
        <f aca="false">02_実験計画!D14*02_実験計画!D14</f>
        <v>1</v>
      </c>
      <c r="J14" s="16" t="n">
        <f aca="false">02_実験計画!E14*02_実験計画!E14</f>
        <v>0</v>
      </c>
      <c r="K14" s="16" t="n">
        <f aca="false">02_実験計画!F14*02_実験計画!F14</f>
        <v>0</v>
      </c>
      <c r="L14" s="15" t="n">
        <f aca="false">02_実験計画!N14*A14</f>
        <v>48.3</v>
      </c>
      <c r="N14" s="30" t="n">
        <f aca="false">IF(A14=1,SUMPRODUCT(MMULT(B14:K14,$B$58:$K$67),B14:K14),0)</f>
        <v>0.490909090909091</v>
      </c>
      <c r="O14" s="16" t="n">
        <f aca="false">IF(A14=1,SUMPRODUCT(B14:K14,$B$71:$K$71),0)</f>
        <v>48.5236363636364</v>
      </c>
      <c r="P14" s="16" t="n">
        <f aca="false">IF(A14=1,L14-O14,0)</f>
        <v>-0.223636363636359</v>
      </c>
    </row>
    <row r="15" customFormat="false" ht="15" hidden="false" customHeight="false" outlineLevel="0" collapsed="false">
      <c r="A15" s="24" t="n">
        <f aca="false">02_実験計画!C15</f>
        <v>1</v>
      </c>
      <c r="B15" s="16" t="n">
        <f aca="false">$A15</f>
        <v>1</v>
      </c>
      <c r="C15" s="16" t="n">
        <f aca="false">02_実験計画!D15</f>
        <v>0</v>
      </c>
      <c r="D15" s="16" t="n">
        <f aca="false">02_実験計画!E15</f>
        <v>-1</v>
      </c>
      <c r="E15" s="16" t="n">
        <f aca="false">02_実験計画!F15</f>
        <v>0</v>
      </c>
      <c r="F15" s="16" t="n">
        <f aca="false">02_実験計画!D15*02_実験計画!E15</f>
        <v>-0</v>
      </c>
      <c r="G15" s="16" t="n">
        <f aca="false">02_実験計画!D15*02_実験計画!F15</f>
        <v>0</v>
      </c>
      <c r="H15" s="16" t="n">
        <f aca="false">02_実験計画!E15*02_実験計画!F15</f>
        <v>-0</v>
      </c>
      <c r="I15" s="16" t="n">
        <f aca="false">02_実験計画!D15*02_実験計画!D15</f>
        <v>0</v>
      </c>
      <c r="J15" s="16" t="n">
        <f aca="false">02_実験計画!E15*02_実験計画!E15</f>
        <v>1</v>
      </c>
      <c r="K15" s="16" t="n">
        <f aca="false">02_実験計画!F15*02_実験計画!F15</f>
        <v>0</v>
      </c>
      <c r="L15" s="15" t="n">
        <f aca="false">02_実験計画!N15*A15</f>
        <v>43.7</v>
      </c>
      <c r="N15" s="30" t="n">
        <f aca="false">IF(A15=1,SUMPRODUCT(MMULT(B15:K15,$B$58:$K$67),B15:K15),0)</f>
        <v>0.490909090909091</v>
      </c>
      <c r="O15" s="16" t="n">
        <f aca="false">IF(A15=1,SUMPRODUCT(B15:K15,$B$71:$K$71),0)</f>
        <v>44.2836363636364</v>
      </c>
      <c r="P15" s="16" t="n">
        <f aca="false">IF(A15=1,L15-O15,0)</f>
        <v>-0.583636363636373</v>
      </c>
    </row>
    <row r="16" customFormat="false" ht="15" hidden="false" customHeight="false" outlineLevel="0" collapsed="false">
      <c r="A16" s="24" t="n">
        <f aca="false">02_実験計画!C16</f>
        <v>1</v>
      </c>
      <c r="B16" s="16" t="n">
        <f aca="false">$A16</f>
        <v>1</v>
      </c>
      <c r="C16" s="16" t="n">
        <f aca="false">02_実験計画!D16</f>
        <v>0</v>
      </c>
      <c r="D16" s="16" t="n">
        <f aca="false">02_実験計画!E16</f>
        <v>1</v>
      </c>
      <c r="E16" s="16" t="n">
        <f aca="false">02_実験計画!F16</f>
        <v>0</v>
      </c>
      <c r="F16" s="16" t="n">
        <f aca="false">02_実験計画!D16*02_実験計画!E16</f>
        <v>0</v>
      </c>
      <c r="G16" s="16" t="n">
        <f aca="false">02_実験計画!D16*02_実験計画!F16</f>
        <v>0</v>
      </c>
      <c r="H16" s="16" t="n">
        <f aca="false">02_実験計画!E16*02_実験計画!F16</f>
        <v>0</v>
      </c>
      <c r="I16" s="16" t="n">
        <f aca="false">02_実験計画!D16*02_実験計画!D16</f>
        <v>0</v>
      </c>
      <c r="J16" s="16" t="n">
        <f aca="false">02_実験計画!E16*02_実験計画!E16</f>
        <v>1</v>
      </c>
      <c r="K16" s="16" t="n">
        <f aca="false">02_実験計画!F16*02_実験計画!F16</f>
        <v>0</v>
      </c>
      <c r="L16" s="15" t="n">
        <f aca="false">02_実験計画!N16*A16</f>
        <v>48.8</v>
      </c>
      <c r="N16" s="30" t="n">
        <f aca="false">IF(A16=1,SUMPRODUCT(MMULT(B16:K16,$B$58:$K$67),B16:K16),0)</f>
        <v>0.490909090909091</v>
      </c>
      <c r="O16" s="16" t="n">
        <f aca="false">IF(A16=1,SUMPRODUCT(B16:K16,$B$71:$K$71),0)</f>
        <v>48.4236363636364</v>
      </c>
      <c r="P16" s="16" t="n">
        <f aca="false">IF(A16=1,L16-O16,0)</f>
        <v>0.376363636363621</v>
      </c>
    </row>
    <row r="17" customFormat="false" ht="15" hidden="false" customHeight="false" outlineLevel="0" collapsed="false">
      <c r="A17" s="24" t="n">
        <f aca="false">02_実験計画!C17</f>
        <v>1</v>
      </c>
      <c r="B17" s="16" t="n">
        <f aca="false">$A17</f>
        <v>1</v>
      </c>
      <c r="C17" s="16" t="n">
        <f aca="false">02_実験計画!D17</f>
        <v>0</v>
      </c>
      <c r="D17" s="16" t="n">
        <f aca="false">02_実験計画!E17</f>
        <v>0</v>
      </c>
      <c r="E17" s="16" t="n">
        <f aca="false">02_実験計画!F17</f>
        <v>-1</v>
      </c>
      <c r="F17" s="16" t="n">
        <f aca="false">02_実験計画!D17*02_実験計画!E17</f>
        <v>0</v>
      </c>
      <c r="G17" s="16" t="n">
        <f aca="false">02_実験計画!D17*02_実験計画!F17</f>
        <v>-0</v>
      </c>
      <c r="H17" s="16" t="n">
        <f aca="false">02_実験計画!E17*02_実験計画!F17</f>
        <v>-0</v>
      </c>
      <c r="I17" s="16" t="n">
        <f aca="false">02_実験計画!D17*02_実験計画!D17</f>
        <v>0</v>
      </c>
      <c r="J17" s="16" t="n">
        <f aca="false">02_実験計画!E17*02_実験計画!E17</f>
        <v>0</v>
      </c>
      <c r="K17" s="16" t="n">
        <f aca="false">02_実験計画!F17*02_実験計画!F17</f>
        <v>1</v>
      </c>
      <c r="L17" s="15" t="n">
        <f aca="false">02_実験計画!N17*A17</f>
        <v>45.9</v>
      </c>
      <c r="N17" s="30" t="n">
        <f aca="false">IF(A17=1,SUMPRODUCT(MMULT(B17:K17,$B$58:$K$67),B17:K17),0)</f>
        <v>0.490909090909091</v>
      </c>
      <c r="O17" s="16" t="n">
        <f aca="false">IF(A17=1,SUMPRODUCT(B17:K17,$B$71:$K$71),0)</f>
        <v>45.8236363636364</v>
      </c>
      <c r="P17" s="16" t="n">
        <f aca="false">IF(A17=1,L17-O17,0)</f>
        <v>0.0763636363636095</v>
      </c>
    </row>
    <row r="18" customFormat="false" ht="15" hidden="false" customHeight="false" outlineLevel="0" collapsed="false">
      <c r="A18" s="24" t="n">
        <f aca="false">02_実験計画!C18</f>
        <v>1</v>
      </c>
      <c r="B18" s="16" t="n">
        <f aca="false">$A18</f>
        <v>1</v>
      </c>
      <c r="C18" s="16" t="n">
        <f aca="false">02_実験計画!D18</f>
        <v>0</v>
      </c>
      <c r="D18" s="16" t="n">
        <f aca="false">02_実験計画!E18</f>
        <v>0</v>
      </c>
      <c r="E18" s="16" t="n">
        <f aca="false">02_実験計画!F18</f>
        <v>1</v>
      </c>
      <c r="F18" s="16" t="n">
        <f aca="false">02_実験計画!D18*02_実験計画!E18</f>
        <v>0</v>
      </c>
      <c r="G18" s="16" t="n">
        <f aca="false">02_実験計画!D18*02_実験計画!F18</f>
        <v>0</v>
      </c>
      <c r="H18" s="16" t="n">
        <f aca="false">02_実験計画!E18*02_実験計画!F18</f>
        <v>0</v>
      </c>
      <c r="I18" s="16" t="n">
        <f aca="false">02_実験計画!D18*02_実験計画!D18</f>
        <v>0</v>
      </c>
      <c r="J18" s="16" t="n">
        <f aca="false">02_実験計画!E18*02_実験計画!E18</f>
        <v>0</v>
      </c>
      <c r="K18" s="16" t="n">
        <f aca="false">02_実験計画!F18*02_実験計画!F18</f>
        <v>1</v>
      </c>
      <c r="L18" s="15" t="n">
        <f aca="false">02_実験計画!N18*A18</f>
        <v>48.3</v>
      </c>
      <c r="N18" s="30" t="n">
        <f aca="false">IF(A18=1,SUMPRODUCT(MMULT(B18:K18,$B$58:$K$67),B18:K18),0)</f>
        <v>0.490909090909091</v>
      </c>
      <c r="O18" s="16" t="n">
        <f aca="false">IF(A18=1,SUMPRODUCT(B18:K18,$B$71:$K$71),0)</f>
        <v>48.5836363636364</v>
      </c>
      <c r="P18" s="16" t="n">
        <f aca="false">IF(A18=1,L18-O18,0)</f>
        <v>-0.283636363636397</v>
      </c>
    </row>
    <row r="19" customFormat="false" ht="15" hidden="false" customHeight="false" outlineLevel="0" collapsed="false">
      <c r="A19" s="24" t="n">
        <f aca="false">02_実験計画!C19</f>
        <v>1</v>
      </c>
      <c r="B19" s="16" t="n">
        <f aca="false">$A19</f>
        <v>1</v>
      </c>
      <c r="C19" s="16" t="n">
        <f aca="false">02_実験計画!D19</f>
        <v>0</v>
      </c>
      <c r="D19" s="16" t="n">
        <f aca="false">02_実験計画!E19</f>
        <v>0</v>
      </c>
      <c r="E19" s="16" t="n">
        <f aca="false">02_実験計画!F19</f>
        <v>0</v>
      </c>
      <c r="F19" s="16" t="n">
        <f aca="false">02_実験計画!D19*02_実験計画!E19</f>
        <v>0</v>
      </c>
      <c r="G19" s="16" t="n">
        <f aca="false">02_実験計画!D19*02_実験計画!F19</f>
        <v>0</v>
      </c>
      <c r="H19" s="16" t="n">
        <f aca="false">02_実験計画!E19*02_実験計画!F19</f>
        <v>0</v>
      </c>
      <c r="I19" s="16" t="n">
        <f aca="false">02_実験計画!D19*02_実験計画!D19</f>
        <v>0</v>
      </c>
      <c r="J19" s="16" t="n">
        <f aca="false">02_実験計画!E19*02_実験計画!E19</f>
        <v>0</v>
      </c>
      <c r="K19" s="16" t="n">
        <f aca="false">02_実験計画!F19*02_実験計画!F19</f>
        <v>0</v>
      </c>
      <c r="L19" s="15" t="n">
        <f aca="false">02_実験計画!N19*A19</f>
        <v>48.5</v>
      </c>
      <c r="N19" s="30" t="n">
        <f aca="false">IF(A19=1,SUMPRODUCT(MMULT(B19:K19,$B$58:$K$67),B19:K19),0)</f>
        <v>0.118181818181818</v>
      </c>
      <c r="O19" s="16" t="n">
        <f aca="false">IF(A19=1,SUMPRODUCT(B19:K19,$B$71:$K$71),0)</f>
        <v>48.3809090909091</v>
      </c>
      <c r="P19" s="16" t="n">
        <f aca="false">IF(A19=1,L19-O19,0)</f>
        <v>0.1190909090909</v>
      </c>
    </row>
    <row r="20" customFormat="false" ht="15" hidden="false" customHeight="false" outlineLevel="0" collapsed="false">
      <c r="A20" s="24" t="n">
        <f aca="false">02_実験計画!C20</f>
        <v>1</v>
      </c>
      <c r="B20" s="16" t="n">
        <f aca="false">$A20</f>
        <v>1</v>
      </c>
      <c r="C20" s="16" t="n">
        <f aca="false">02_実験計画!D20</f>
        <v>0</v>
      </c>
      <c r="D20" s="16" t="n">
        <f aca="false">02_実験計画!E20</f>
        <v>0</v>
      </c>
      <c r="E20" s="16" t="n">
        <f aca="false">02_実験計画!F20</f>
        <v>0</v>
      </c>
      <c r="F20" s="16" t="n">
        <f aca="false">02_実験計画!D20*02_実験計画!E20</f>
        <v>0</v>
      </c>
      <c r="G20" s="16" t="n">
        <f aca="false">02_実験計画!D20*02_実験計画!F20</f>
        <v>0</v>
      </c>
      <c r="H20" s="16" t="n">
        <f aca="false">02_実験計画!E20*02_実験計画!F20</f>
        <v>0</v>
      </c>
      <c r="I20" s="16" t="n">
        <f aca="false">02_実験計画!D20*02_実験計画!D20</f>
        <v>0</v>
      </c>
      <c r="J20" s="16" t="n">
        <f aca="false">02_実験計画!E20*02_実験計画!E20</f>
        <v>0</v>
      </c>
      <c r="K20" s="16" t="n">
        <f aca="false">02_実験計画!F20*02_実験計画!F20</f>
        <v>0</v>
      </c>
      <c r="L20" s="15" t="n">
        <f aca="false">02_実験計画!N20*A20</f>
        <v>48.2</v>
      </c>
      <c r="N20" s="30" t="n">
        <f aca="false">IF(A20=1,SUMPRODUCT(MMULT(B20:K20,$B$58:$K$67),B20:K20),0)</f>
        <v>0.118181818181818</v>
      </c>
      <c r="O20" s="16" t="n">
        <f aca="false">IF(A20=1,SUMPRODUCT(B20:K20,$B$71:$K$71),0)</f>
        <v>48.3809090909091</v>
      </c>
      <c r="P20" s="16" t="n">
        <f aca="false">IF(A20=1,L20-O20,0)</f>
        <v>-0.180909090909097</v>
      </c>
    </row>
    <row r="21" customFormat="false" ht="15" hidden="false" customHeight="false" outlineLevel="0" collapsed="false">
      <c r="A21" s="24" t="n">
        <f aca="false">02_実験計画!C21</f>
        <v>1</v>
      </c>
      <c r="B21" s="16" t="n">
        <f aca="false">$A21</f>
        <v>1</v>
      </c>
      <c r="C21" s="16" t="n">
        <f aca="false">02_実験計画!D21</f>
        <v>0</v>
      </c>
      <c r="D21" s="16" t="n">
        <f aca="false">02_実験計画!E21</f>
        <v>0</v>
      </c>
      <c r="E21" s="16" t="n">
        <f aca="false">02_実験計画!F21</f>
        <v>0</v>
      </c>
      <c r="F21" s="16" t="n">
        <f aca="false">02_実験計画!D21*02_実験計画!E21</f>
        <v>0</v>
      </c>
      <c r="G21" s="16" t="n">
        <f aca="false">02_実験計画!D21*02_実験計画!F21</f>
        <v>0</v>
      </c>
      <c r="H21" s="16" t="n">
        <f aca="false">02_実験計画!E21*02_実験計画!F21</f>
        <v>0</v>
      </c>
      <c r="I21" s="16" t="n">
        <f aca="false">02_実験計画!D21*02_実験計画!D21</f>
        <v>0</v>
      </c>
      <c r="J21" s="16" t="n">
        <f aca="false">02_実験計画!E21*02_実験計画!E21</f>
        <v>0</v>
      </c>
      <c r="K21" s="16" t="n">
        <f aca="false">02_実験計画!F21*02_実験計画!F21</f>
        <v>0</v>
      </c>
      <c r="L21" s="15" t="n">
        <f aca="false">02_実験計画!N21*A21</f>
        <v>48.9</v>
      </c>
      <c r="N21" s="30" t="n">
        <f aca="false">IF(A21=1,SUMPRODUCT(MMULT(B21:K21,$B$58:$K$67),B21:K21),0)</f>
        <v>0.118181818181818</v>
      </c>
      <c r="O21" s="16" t="n">
        <f aca="false">IF(A21=1,SUMPRODUCT(B21:K21,$B$71:$K$71),0)</f>
        <v>48.3809090909091</v>
      </c>
      <c r="P21" s="16" t="n">
        <f aca="false">IF(A21=1,L21-O21,0)</f>
        <v>0.519090909090899</v>
      </c>
    </row>
    <row r="22" customFormat="false" ht="15" hidden="false" customHeight="false" outlineLevel="0" collapsed="false">
      <c r="A22" s="24" t="n">
        <f aca="false">02_実験計画!C22</f>
        <v>1</v>
      </c>
      <c r="B22" s="16" t="n">
        <f aca="false">$A22</f>
        <v>1</v>
      </c>
      <c r="C22" s="16" t="n">
        <f aca="false">02_実験計画!D22</f>
        <v>0</v>
      </c>
      <c r="D22" s="16" t="n">
        <f aca="false">02_実験計画!E22</f>
        <v>0</v>
      </c>
      <c r="E22" s="16" t="n">
        <f aca="false">02_実験計画!F22</f>
        <v>0</v>
      </c>
      <c r="F22" s="16" t="n">
        <f aca="false">02_実験計画!D22*02_実験計画!E22</f>
        <v>0</v>
      </c>
      <c r="G22" s="16" t="n">
        <f aca="false">02_実験計画!D22*02_実験計画!F22</f>
        <v>0</v>
      </c>
      <c r="H22" s="16" t="n">
        <f aca="false">02_実験計画!E22*02_実験計画!F22</f>
        <v>0</v>
      </c>
      <c r="I22" s="16" t="n">
        <f aca="false">02_実験計画!D22*02_実験計画!D22</f>
        <v>0</v>
      </c>
      <c r="J22" s="16" t="n">
        <f aca="false">02_実験計画!E22*02_実験計画!E22</f>
        <v>0</v>
      </c>
      <c r="K22" s="16" t="n">
        <f aca="false">02_実験計画!F22*02_実験計画!F22</f>
        <v>0</v>
      </c>
      <c r="L22" s="15" t="n">
        <f aca="false">02_実験計画!N22*A22</f>
        <v>49.3</v>
      </c>
      <c r="N22" s="30" t="n">
        <f aca="false">IF(A22=1,SUMPRODUCT(MMULT(B22:K22,$B$58:$K$67),B22:K22),0)</f>
        <v>0.118181818181818</v>
      </c>
      <c r="O22" s="16" t="n">
        <f aca="false">IF(A22=1,SUMPRODUCT(B22:K22,$B$71:$K$71),0)</f>
        <v>48.3809090909091</v>
      </c>
      <c r="P22" s="16" t="n">
        <f aca="false">IF(A22=1,L22-O22,0)</f>
        <v>0.919090909090897</v>
      </c>
    </row>
    <row r="23" customFormat="false" ht="15" hidden="false" customHeight="false" outlineLevel="0" collapsed="false">
      <c r="A23" s="24" t="n">
        <f aca="false">02_実験計画!C23</f>
        <v>1</v>
      </c>
      <c r="B23" s="16" t="n">
        <f aca="false">$A23</f>
        <v>1</v>
      </c>
      <c r="C23" s="16" t="n">
        <f aca="false">02_実験計画!D23</f>
        <v>0</v>
      </c>
      <c r="D23" s="16" t="n">
        <f aca="false">02_実験計画!E23</f>
        <v>0</v>
      </c>
      <c r="E23" s="16" t="n">
        <f aca="false">02_実験計画!F23</f>
        <v>0</v>
      </c>
      <c r="F23" s="16" t="n">
        <f aca="false">02_実験計画!D23*02_実験計画!E23</f>
        <v>0</v>
      </c>
      <c r="G23" s="16" t="n">
        <f aca="false">02_実験計画!D23*02_実験計画!F23</f>
        <v>0</v>
      </c>
      <c r="H23" s="16" t="n">
        <f aca="false">02_実験計画!E23*02_実験計画!F23</f>
        <v>0</v>
      </c>
      <c r="I23" s="16" t="n">
        <f aca="false">02_実験計画!D23*02_実験計画!D23</f>
        <v>0</v>
      </c>
      <c r="J23" s="16" t="n">
        <f aca="false">02_実験計画!E23*02_実験計画!E23</f>
        <v>0</v>
      </c>
      <c r="K23" s="16" t="n">
        <f aca="false">02_実験計画!F23*02_実験計画!F23</f>
        <v>0</v>
      </c>
      <c r="L23" s="15" t="n">
        <f aca="false">02_実験計画!N23*A23</f>
        <v>47.9</v>
      </c>
      <c r="N23" s="30" t="n">
        <f aca="false">IF(A23=1,SUMPRODUCT(MMULT(B23:K23,$B$58:$K$67),B23:K23),0)</f>
        <v>0.118181818181818</v>
      </c>
      <c r="O23" s="16" t="n">
        <f aca="false">IF(A23=1,SUMPRODUCT(B23:K23,$B$71:$K$71),0)</f>
        <v>48.3809090909091</v>
      </c>
      <c r="P23" s="16" t="n">
        <f aca="false">IF(A23=1,L23-O23,0)</f>
        <v>-0.480909090909101</v>
      </c>
    </row>
    <row r="24" customFormat="false" ht="15" hidden="false" customHeight="false" outlineLevel="0" collapsed="false">
      <c r="A24" s="24" t="n">
        <f aca="false">02_実験計画!C24</f>
        <v>1</v>
      </c>
      <c r="B24" s="16" t="n">
        <f aca="false">$A24</f>
        <v>1</v>
      </c>
      <c r="C24" s="16" t="n">
        <f aca="false">02_実験計画!D24</f>
        <v>0</v>
      </c>
      <c r="D24" s="16" t="n">
        <f aca="false">02_実験計画!E24</f>
        <v>0</v>
      </c>
      <c r="E24" s="16" t="n">
        <f aca="false">02_実験計画!F24</f>
        <v>0</v>
      </c>
      <c r="F24" s="16" t="n">
        <f aca="false">02_実験計画!D24*02_実験計画!E24</f>
        <v>0</v>
      </c>
      <c r="G24" s="16" t="n">
        <f aca="false">02_実験計画!D24*02_実験計画!F24</f>
        <v>0</v>
      </c>
      <c r="H24" s="16" t="n">
        <f aca="false">02_実験計画!E24*02_実験計画!F24</f>
        <v>0</v>
      </c>
      <c r="I24" s="16" t="n">
        <f aca="false">02_実験計画!D24*02_実験計画!D24</f>
        <v>0</v>
      </c>
      <c r="J24" s="16" t="n">
        <f aca="false">02_実験計画!E24*02_実験計画!E24</f>
        <v>0</v>
      </c>
      <c r="K24" s="16" t="n">
        <f aca="false">02_実験計画!F24*02_実験計画!F24</f>
        <v>0</v>
      </c>
      <c r="L24" s="15" t="n">
        <f aca="false">02_実験計画!N24*A24</f>
        <v>47.9</v>
      </c>
      <c r="N24" s="30" t="n">
        <f aca="false">IF(A24=1,SUMPRODUCT(MMULT(B24:K24,$B$58:$K$67),B24:K24),0)</f>
        <v>0.118181818181818</v>
      </c>
      <c r="O24" s="16" t="n">
        <f aca="false">IF(A24=1,SUMPRODUCT(B24:K24,$B$71:$K$71),0)</f>
        <v>48.3809090909091</v>
      </c>
      <c r="P24" s="16" t="n">
        <f aca="false">IF(A24=1,L24-O24,0)</f>
        <v>-0.480909090909101</v>
      </c>
    </row>
    <row r="25" customFormat="false" ht="15" hidden="false" customHeight="false" outlineLevel="0" collapsed="false">
      <c r="A25" s="24" t="n">
        <f aca="false">02_実験計画!C25</f>
        <v>0</v>
      </c>
      <c r="B25" s="16" t="n">
        <f aca="false">$A25</f>
        <v>0</v>
      </c>
      <c r="C25" s="16" t="n">
        <f aca="false">02_実験計画!D25</f>
        <v>0</v>
      </c>
      <c r="D25" s="16" t="n">
        <f aca="false">02_実験計画!E25</f>
        <v>0</v>
      </c>
      <c r="E25" s="16" t="n">
        <f aca="false">02_実験計画!F25</f>
        <v>0</v>
      </c>
      <c r="F25" s="16" t="n">
        <f aca="false">02_実験計画!D25*02_実験計画!E25</f>
        <v>0</v>
      </c>
      <c r="G25" s="16" t="n">
        <f aca="false">02_実験計画!D25*02_実験計画!F25</f>
        <v>0</v>
      </c>
      <c r="H25" s="16" t="n">
        <f aca="false">02_実験計画!E25*02_実験計画!F25</f>
        <v>0</v>
      </c>
      <c r="I25" s="16" t="n">
        <f aca="false">02_実験計画!D25*02_実験計画!D25</f>
        <v>0</v>
      </c>
      <c r="J25" s="16" t="n">
        <f aca="false">02_実験計画!E25*02_実験計画!E25</f>
        <v>0</v>
      </c>
      <c r="K25" s="16" t="n">
        <f aca="false">02_実験計画!F25*02_実験計画!F25</f>
        <v>0</v>
      </c>
      <c r="L25" s="15" t="n">
        <f aca="false">02_実験計画!N25*A25</f>
        <v>0</v>
      </c>
      <c r="N25" s="30" t="n">
        <f aca="false">IF(A25=1,SUMPRODUCT(MMULT(B25:K25,$B$58:$K$67),B25:K25),0)</f>
        <v>0</v>
      </c>
      <c r="O25" s="16" t="n">
        <f aca="false">IF(A25=1,SUMPRODUCT(B25:K25,$B$71:$K$71),0)</f>
        <v>0</v>
      </c>
      <c r="P25" s="16" t="n">
        <f aca="false">IF(A25=1,L25-O25,0)</f>
        <v>0</v>
      </c>
    </row>
    <row r="26" customFormat="false" ht="15" hidden="false" customHeight="false" outlineLevel="0" collapsed="false">
      <c r="A26" s="24" t="n">
        <f aca="false">02_実験計画!C26</f>
        <v>0</v>
      </c>
      <c r="B26" s="16" t="n">
        <f aca="false">$A26</f>
        <v>0</v>
      </c>
      <c r="C26" s="16" t="n">
        <f aca="false">02_実験計画!D26</f>
        <v>0</v>
      </c>
      <c r="D26" s="16" t="n">
        <f aca="false">02_実験計画!E26</f>
        <v>0</v>
      </c>
      <c r="E26" s="16" t="n">
        <f aca="false">02_実験計画!F26</f>
        <v>0</v>
      </c>
      <c r="F26" s="16" t="n">
        <f aca="false">02_実験計画!D26*02_実験計画!E26</f>
        <v>0</v>
      </c>
      <c r="G26" s="16" t="n">
        <f aca="false">02_実験計画!D26*02_実験計画!F26</f>
        <v>0</v>
      </c>
      <c r="H26" s="16" t="n">
        <f aca="false">02_実験計画!E26*02_実験計画!F26</f>
        <v>0</v>
      </c>
      <c r="I26" s="16" t="n">
        <f aca="false">02_実験計画!D26*02_実験計画!D26</f>
        <v>0</v>
      </c>
      <c r="J26" s="16" t="n">
        <f aca="false">02_実験計画!E26*02_実験計画!E26</f>
        <v>0</v>
      </c>
      <c r="K26" s="16" t="n">
        <f aca="false">02_実験計画!F26*02_実験計画!F26</f>
        <v>0</v>
      </c>
      <c r="L26" s="15" t="n">
        <f aca="false">02_実験計画!N26*A26</f>
        <v>0</v>
      </c>
      <c r="N26" s="30" t="n">
        <f aca="false">IF(A26=1,SUMPRODUCT(MMULT(B26:K26,$B$58:$K$67),B26:K26),0)</f>
        <v>0</v>
      </c>
      <c r="O26" s="16" t="n">
        <f aca="false">IF(A26=1,SUMPRODUCT(B26:K26,$B$71:$K$71),0)</f>
        <v>0</v>
      </c>
      <c r="P26" s="16" t="n">
        <f aca="false">IF(A26=1,L26-O26,0)</f>
        <v>0</v>
      </c>
    </row>
    <row r="27" customFormat="false" ht="15" hidden="false" customHeight="false" outlineLevel="0" collapsed="false">
      <c r="A27" s="24" t="n">
        <f aca="false">02_実験計画!C27</f>
        <v>0</v>
      </c>
      <c r="B27" s="16" t="n">
        <f aca="false">$A27</f>
        <v>0</v>
      </c>
      <c r="C27" s="16" t="n">
        <f aca="false">02_実験計画!D27</f>
        <v>0</v>
      </c>
      <c r="D27" s="16" t="n">
        <f aca="false">02_実験計画!E27</f>
        <v>0</v>
      </c>
      <c r="E27" s="16" t="n">
        <f aca="false">02_実験計画!F27</f>
        <v>0</v>
      </c>
      <c r="F27" s="16" t="n">
        <f aca="false">02_実験計画!D27*02_実験計画!E27</f>
        <v>0</v>
      </c>
      <c r="G27" s="16" t="n">
        <f aca="false">02_実験計画!D27*02_実験計画!F27</f>
        <v>0</v>
      </c>
      <c r="H27" s="16" t="n">
        <f aca="false">02_実験計画!E27*02_実験計画!F27</f>
        <v>0</v>
      </c>
      <c r="I27" s="16" t="n">
        <f aca="false">02_実験計画!D27*02_実験計画!D27</f>
        <v>0</v>
      </c>
      <c r="J27" s="16" t="n">
        <f aca="false">02_実験計画!E27*02_実験計画!E27</f>
        <v>0</v>
      </c>
      <c r="K27" s="16" t="n">
        <f aca="false">02_実験計画!F27*02_実験計画!F27</f>
        <v>0</v>
      </c>
      <c r="L27" s="15" t="n">
        <f aca="false">02_実験計画!N27*A27</f>
        <v>0</v>
      </c>
      <c r="N27" s="30" t="n">
        <f aca="false">IF(A27=1,SUMPRODUCT(MMULT(B27:K27,$B$58:$K$67),B27:K27),0)</f>
        <v>0</v>
      </c>
      <c r="O27" s="16" t="n">
        <f aca="false">IF(A27=1,SUMPRODUCT(B27:K27,$B$71:$K$71),0)</f>
        <v>0</v>
      </c>
      <c r="P27" s="16" t="n">
        <f aca="false">IF(A27=1,L27-O27,0)</f>
        <v>0</v>
      </c>
    </row>
    <row r="28" customFormat="false" ht="15" hidden="false" customHeight="false" outlineLevel="0" collapsed="false">
      <c r="A28" s="24" t="n">
        <f aca="false">02_実験計画!C28</f>
        <v>0</v>
      </c>
      <c r="B28" s="16" t="n">
        <f aca="false">$A28</f>
        <v>0</v>
      </c>
      <c r="C28" s="16" t="n">
        <f aca="false">02_実験計画!D28</f>
        <v>0</v>
      </c>
      <c r="D28" s="16" t="n">
        <f aca="false">02_実験計画!E28</f>
        <v>0</v>
      </c>
      <c r="E28" s="16" t="n">
        <f aca="false">02_実験計画!F28</f>
        <v>0</v>
      </c>
      <c r="F28" s="16" t="n">
        <f aca="false">02_実験計画!D28*02_実験計画!E28</f>
        <v>0</v>
      </c>
      <c r="G28" s="16" t="n">
        <f aca="false">02_実験計画!D28*02_実験計画!F28</f>
        <v>0</v>
      </c>
      <c r="H28" s="16" t="n">
        <f aca="false">02_実験計画!E28*02_実験計画!F28</f>
        <v>0</v>
      </c>
      <c r="I28" s="16" t="n">
        <f aca="false">02_実験計画!D28*02_実験計画!D28</f>
        <v>0</v>
      </c>
      <c r="J28" s="16" t="n">
        <f aca="false">02_実験計画!E28*02_実験計画!E28</f>
        <v>0</v>
      </c>
      <c r="K28" s="16" t="n">
        <f aca="false">02_実験計画!F28*02_実験計画!F28</f>
        <v>0</v>
      </c>
      <c r="L28" s="15" t="n">
        <f aca="false">02_実験計画!N28*A28</f>
        <v>0</v>
      </c>
      <c r="N28" s="30" t="n">
        <f aca="false">IF(A28=1,SUMPRODUCT(MMULT(B28:K28,$B$58:$K$67),B28:K28),0)</f>
        <v>0</v>
      </c>
      <c r="O28" s="16" t="n">
        <f aca="false">IF(A28=1,SUMPRODUCT(B28:K28,$B$71:$K$71),0)</f>
        <v>0</v>
      </c>
      <c r="P28" s="16" t="n">
        <f aca="false">IF(A28=1,L28-O28,0)</f>
        <v>0</v>
      </c>
    </row>
    <row r="31" customFormat="false" ht="15" hidden="false" customHeight="false" outlineLevel="0" collapsed="false">
      <c r="A31" s="38" t="s">
        <v>282</v>
      </c>
      <c r="M31" s="38" t="s">
        <v>283</v>
      </c>
    </row>
    <row r="32" customFormat="false" ht="15" hidden="false" customHeight="false" outlineLevel="0" collapsed="false">
      <c r="B32" s="15" t="n">
        <f aca="false">IF(AND(B$3=1,B$3=1),SUMPRODUCT(B$5:B$28,B$5:B$28),1)</f>
        <v>20</v>
      </c>
      <c r="C32" s="15" t="n">
        <f aca="false">IF(AND(B$3=1,C$3=1),SUMPRODUCT(B$5:B$28,C$5:C$28),0)</f>
        <v>0</v>
      </c>
      <c r="D32" s="15" t="n">
        <f aca="false">IF(AND(B$3=1,D$3=1),SUMPRODUCT(B$5:B$28,D$5:D$28),0)</f>
        <v>0</v>
      </c>
      <c r="E32" s="15" t="n">
        <f aca="false">IF(AND(B$3=1,E$3=1),SUMPRODUCT(B$5:B$28,E$5:E$28),0)</f>
        <v>0</v>
      </c>
      <c r="F32" s="15" t="n">
        <f aca="false">IF(AND(B$3=1,F$3=1),SUMPRODUCT(B$5:B$28,F$5:F$28),0)</f>
        <v>0</v>
      </c>
      <c r="G32" s="15" t="n">
        <f aca="false">IF(AND(B$3=1,G$3=1),SUMPRODUCT(B$5:B$28,G$5:G$28),0)</f>
        <v>0</v>
      </c>
      <c r="H32" s="15" t="n">
        <f aca="false">IF(AND(B$3=1,H$3=1),SUMPRODUCT(B$5:B$28,H$5:H$28),0)</f>
        <v>0</v>
      </c>
      <c r="I32" s="15" t="n">
        <f aca="false">IF(AND(B$3=1,I$3=1),SUMPRODUCT(B$5:B$28,I$5:I$28),0)</f>
        <v>10</v>
      </c>
      <c r="J32" s="15" t="n">
        <f aca="false">IF(AND(B$3=1,J$3=1),SUMPRODUCT(B$5:B$28,J$5:J$28),0)</f>
        <v>10</v>
      </c>
      <c r="K32" s="15" t="n">
        <f aca="false">IF(AND(B$3=1,K$3=1),SUMPRODUCT(B$5:B$28,K$5:K$28),0)</f>
        <v>10</v>
      </c>
      <c r="M32" s="16" t="n">
        <f aca="false">IF(B$3=1,SUMPRODUCT(B$5:B$28,$L$5:$L$28),0)</f>
        <v>910.8</v>
      </c>
    </row>
    <row r="33" customFormat="false" ht="15" hidden="false" customHeight="false" outlineLevel="0" collapsed="false">
      <c r="B33" s="15" t="n">
        <f aca="false">IF(AND(C$3=1,B$3=1),SUMPRODUCT(C$5:C$28,B$5:B$28),0)</f>
        <v>0</v>
      </c>
      <c r="C33" s="15" t="n">
        <f aca="false">IF(AND(C$3=1,C$3=1),SUMPRODUCT(C$5:C$28,C$5:C$28),1)</f>
        <v>10</v>
      </c>
      <c r="D33" s="15" t="n">
        <f aca="false">IF(AND(C$3=1,D$3=1),SUMPRODUCT(C$5:C$28,D$5:D$28),0)</f>
        <v>0</v>
      </c>
      <c r="E33" s="15" t="n">
        <f aca="false">IF(AND(C$3=1,E$3=1),SUMPRODUCT(C$5:C$28,E$5:E$28),0)</f>
        <v>0</v>
      </c>
      <c r="F33" s="15" t="n">
        <f aca="false">IF(AND(C$3=1,F$3=1),SUMPRODUCT(C$5:C$28,F$5:F$28),0)</f>
        <v>0</v>
      </c>
      <c r="G33" s="15" t="n">
        <f aca="false">IF(AND(C$3=1,G$3=1),SUMPRODUCT(C$5:C$28,G$5:G$28),0)</f>
        <v>0</v>
      </c>
      <c r="H33" s="15" t="n">
        <f aca="false">IF(AND(C$3=1,H$3=1),SUMPRODUCT(C$5:C$28,H$5:H$28),0)</f>
        <v>0</v>
      </c>
      <c r="I33" s="15" t="n">
        <f aca="false">IF(AND(C$3=1,I$3=1),SUMPRODUCT(C$5:C$28,I$5:I$28),0)</f>
        <v>0</v>
      </c>
      <c r="J33" s="15" t="n">
        <f aca="false">IF(AND(C$3=1,J$3=1),SUMPRODUCT(C$5:C$28,J$5:J$28),0)</f>
        <v>0</v>
      </c>
      <c r="K33" s="15" t="n">
        <f aca="false">IF(AND(C$3=1,K$3=1),SUMPRODUCT(C$5:C$28,K$5:K$28),0)</f>
        <v>0</v>
      </c>
      <c r="M33" s="16" t="n">
        <f aca="false">IF(C$3=1,SUMPRODUCT(C$5:C$28,$L$5:$L$28),0)</f>
        <v>26.2</v>
      </c>
    </row>
    <row r="34" customFormat="false" ht="15" hidden="false" customHeight="false" outlineLevel="0" collapsed="false">
      <c r="B34" s="15" t="n">
        <f aca="false">IF(AND(D$3=1,B$3=1),SUMPRODUCT(D$5:D$28,B$5:B$28),0)</f>
        <v>0</v>
      </c>
      <c r="C34" s="15" t="n">
        <f aca="false">IF(AND(D$3=1,C$3=1),SUMPRODUCT(D$5:D$28,C$5:C$28),0)</f>
        <v>0</v>
      </c>
      <c r="D34" s="15" t="n">
        <f aca="false">IF(AND(D$3=1,D$3=1),SUMPRODUCT(D$5:D$28,D$5:D$28),1)</f>
        <v>10</v>
      </c>
      <c r="E34" s="15" t="n">
        <f aca="false">IF(AND(D$3=1,E$3=1),SUMPRODUCT(D$5:D$28,E$5:E$28),0)</f>
        <v>0</v>
      </c>
      <c r="F34" s="15" t="n">
        <f aca="false">IF(AND(D$3=1,F$3=1),SUMPRODUCT(D$5:D$28,F$5:F$28),0)</f>
        <v>0</v>
      </c>
      <c r="G34" s="15" t="n">
        <f aca="false">IF(AND(D$3=1,G$3=1),SUMPRODUCT(D$5:D$28,G$5:G$28),0)</f>
        <v>0</v>
      </c>
      <c r="H34" s="15" t="n">
        <f aca="false">IF(AND(D$3=1,H$3=1),SUMPRODUCT(D$5:D$28,H$5:H$28),0)</f>
        <v>0</v>
      </c>
      <c r="I34" s="15" t="n">
        <f aca="false">IF(AND(D$3=1,I$3=1),SUMPRODUCT(D$5:D$28,I$5:I$28),0)</f>
        <v>0</v>
      </c>
      <c r="J34" s="15" t="n">
        <f aca="false">IF(AND(D$3=1,J$3=1),SUMPRODUCT(D$5:D$28,J$5:J$28),0)</f>
        <v>0</v>
      </c>
      <c r="K34" s="15" t="n">
        <f aca="false">IF(AND(D$3=1,K$3=1),SUMPRODUCT(D$5:D$28,K$5:K$28),0)</f>
        <v>0</v>
      </c>
      <c r="M34" s="16" t="n">
        <f aca="false">IF(D$3=1,SUMPRODUCT(D$5:D$28,$L$5:$L$28),0)</f>
        <v>20.7</v>
      </c>
    </row>
    <row r="35" customFormat="false" ht="15" hidden="false" customHeight="false" outlineLevel="0" collapsed="false">
      <c r="B35" s="15" t="n">
        <f aca="false">IF(AND(E$3=1,B$3=1),SUMPRODUCT(E$5:E$28,B$5:B$28),0)</f>
        <v>0</v>
      </c>
      <c r="C35" s="15" t="n">
        <f aca="false">IF(AND(E$3=1,C$3=1),SUMPRODUCT(E$5:E$28,C$5:C$28),0)</f>
        <v>0</v>
      </c>
      <c r="D35" s="15" t="n">
        <f aca="false">IF(AND(E$3=1,D$3=1),SUMPRODUCT(E$5:E$28,D$5:D$28),0)</f>
        <v>0</v>
      </c>
      <c r="E35" s="15" t="n">
        <f aca="false">IF(AND(E$3=1,E$3=1),SUMPRODUCT(E$5:E$28,E$5:E$28),1)</f>
        <v>10</v>
      </c>
      <c r="F35" s="15" t="n">
        <f aca="false">IF(AND(E$3=1,F$3=1),SUMPRODUCT(E$5:E$28,F$5:F$28),0)</f>
        <v>0</v>
      </c>
      <c r="G35" s="15" t="n">
        <f aca="false">IF(AND(E$3=1,G$3=1),SUMPRODUCT(E$5:E$28,G$5:G$28),0)</f>
        <v>0</v>
      </c>
      <c r="H35" s="15" t="n">
        <f aca="false">IF(AND(E$3=1,H$3=1),SUMPRODUCT(E$5:E$28,H$5:H$28),0)</f>
        <v>0</v>
      </c>
      <c r="I35" s="15" t="n">
        <f aca="false">IF(AND(E$3=1,I$3=1),SUMPRODUCT(E$5:E$28,I$5:I$28),0)</f>
        <v>0</v>
      </c>
      <c r="J35" s="15" t="n">
        <f aca="false">IF(AND(E$3=1,J$3=1),SUMPRODUCT(E$5:E$28,J$5:J$28),0)</f>
        <v>0</v>
      </c>
      <c r="K35" s="15" t="n">
        <f aca="false">IF(AND(E$3=1,K$3=1),SUMPRODUCT(E$5:E$28,K$5:K$28),0)</f>
        <v>0</v>
      </c>
      <c r="M35" s="16" t="n">
        <f aca="false">IF(E$3=1,SUMPRODUCT(E$5:E$28,$L$5:$L$28),0)</f>
        <v>13.8</v>
      </c>
    </row>
    <row r="36" customFormat="false" ht="15" hidden="false" customHeight="false" outlineLevel="0" collapsed="false">
      <c r="B36" s="15" t="n">
        <f aca="false">IF(AND(F$3=1,B$3=1),SUMPRODUCT(F$5:F$28,B$5:B$28),0)</f>
        <v>0</v>
      </c>
      <c r="C36" s="15" t="n">
        <f aca="false">IF(AND(F$3=1,C$3=1),SUMPRODUCT(F$5:F$28,C$5:C$28),0)</f>
        <v>0</v>
      </c>
      <c r="D36" s="15" t="n">
        <f aca="false">IF(AND(F$3=1,D$3=1),SUMPRODUCT(F$5:F$28,D$5:D$28),0)</f>
        <v>0</v>
      </c>
      <c r="E36" s="15" t="n">
        <f aca="false">IF(AND(F$3=1,E$3=1),SUMPRODUCT(F$5:F$28,E$5:E$28),0)</f>
        <v>0</v>
      </c>
      <c r="F36" s="15" t="n">
        <f aca="false">IF(AND(F$3=1,F$3=1),SUMPRODUCT(F$5:F$28,F$5:F$28),1)</f>
        <v>8</v>
      </c>
      <c r="G36" s="15" t="n">
        <f aca="false">IF(AND(F$3=1,G$3=1),SUMPRODUCT(F$5:F$28,G$5:G$28),0)</f>
        <v>0</v>
      </c>
      <c r="H36" s="15" t="n">
        <f aca="false">IF(AND(F$3=1,H$3=1),SUMPRODUCT(F$5:F$28,H$5:H$28),0)</f>
        <v>0</v>
      </c>
      <c r="I36" s="15" t="n">
        <f aca="false">IF(AND(F$3=1,I$3=1),SUMPRODUCT(F$5:F$28,I$5:I$28),0)</f>
        <v>0</v>
      </c>
      <c r="J36" s="15" t="n">
        <f aca="false">IF(AND(F$3=1,J$3=1),SUMPRODUCT(F$5:F$28,J$5:J$28),0)</f>
        <v>0</v>
      </c>
      <c r="K36" s="15" t="n">
        <f aca="false">IF(AND(F$3=1,K$3=1),SUMPRODUCT(F$5:F$28,K$5:K$28),0)</f>
        <v>0</v>
      </c>
      <c r="M36" s="16" t="n">
        <f aca="false">IF(F$3=1,SUMPRODUCT(F$5:F$28,$L$5:$L$28),0)</f>
        <v>9.79999999999999</v>
      </c>
    </row>
    <row r="37" customFormat="false" ht="15" hidden="false" customHeight="false" outlineLevel="0" collapsed="false">
      <c r="B37" s="15" t="n">
        <f aca="false">IF(AND(G$3=1,B$3=1),SUMPRODUCT(G$5:G$28,B$5:B$28),0)</f>
        <v>0</v>
      </c>
      <c r="C37" s="15" t="n">
        <f aca="false">IF(AND(G$3=1,C$3=1),SUMPRODUCT(G$5:G$28,C$5:C$28),0)</f>
        <v>0</v>
      </c>
      <c r="D37" s="15" t="n">
        <f aca="false">IF(AND(G$3=1,D$3=1),SUMPRODUCT(G$5:G$28,D$5:D$28),0)</f>
        <v>0</v>
      </c>
      <c r="E37" s="15" t="n">
        <f aca="false">IF(AND(G$3=1,E$3=1),SUMPRODUCT(G$5:G$28,E$5:E$28),0)</f>
        <v>0</v>
      </c>
      <c r="F37" s="15" t="n">
        <f aca="false">IF(AND(G$3=1,F$3=1),SUMPRODUCT(G$5:G$28,F$5:F$28),0)</f>
        <v>0</v>
      </c>
      <c r="G37" s="15" t="n">
        <f aca="false">IF(AND(G$3=1,G$3=1),SUMPRODUCT(G$5:G$28,G$5:G$28),1)</f>
        <v>8</v>
      </c>
      <c r="H37" s="15" t="n">
        <f aca="false">IF(AND(G$3=1,H$3=1),SUMPRODUCT(G$5:G$28,H$5:H$28),0)</f>
        <v>0</v>
      </c>
      <c r="I37" s="15" t="n">
        <f aca="false">IF(AND(G$3=1,I$3=1),SUMPRODUCT(G$5:G$28,I$5:I$28),0)</f>
        <v>0</v>
      </c>
      <c r="J37" s="15" t="n">
        <f aca="false">IF(AND(G$3=1,J$3=1),SUMPRODUCT(G$5:G$28,J$5:J$28),0)</f>
        <v>0</v>
      </c>
      <c r="K37" s="15" t="n">
        <f aca="false">IF(AND(G$3=1,K$3=1),SUMPRODUCT(G$5:G$28,K$5:K$28),0)</f>
        <v>0</v>
      </c>
      <c r="M37" s="16" t="n">
        <f aca="false">IF(G$3=1,SUMPRODUCT(G$5:G$28,$L$5:$L$28),0)</f>
        <v>-1.2</v>
      </c>
    </row>
    <row r="38" customFormat="false" ht="15" hidden="false" customHeight="false" outlineLevel="0" collapsed="false">
      <c r="B38" s="15" t="n">
        <f aca="false">IF(AND(H$3=1,B$3=1),SUMPRODUCT(H$5:H$28,B$5:B$28),0)</f>
        <v>0</v>
      </c>
      <c r="C38" s="15" t="n">
        <f aca="false">IF(AND(H$3=1,C$3=1),SUMPRODUCT(H$5:H$28,C$5:C$28),0)</f>
        <v>0</v>
      </c>
      <c r="D38" s="15" t="n">
        <f aca="false">IF(AND(H$3=1,D$3=1),SUMPRODUCT(H$5:H$28,D$5:D$28),0)</f>
        <v>0</v>
      </c>
      <c r="E38" s="15" t="n">
        <f aca="false">IF(AND(H$3=1,E$3=1),SUMPRODUCT(H$5:H$28,E$5:E$28),0)</f>
        <v>0</v>
      </c>
      <c r="F38" s="15" t="n">
        <f aca="false">IF(AND(H$3=1,F$3=1),SUMPRODUCT(H$5:H$28,F$5:F$28),0)</f>
        <v>0</v>
      </c>
      <c r="G38" s="15" t="n">
        <f aca="false">IF(AND(H$3=1,G$3=1),SUMPRODUCT(H$5:H$28,G$5:G$28),0)</f>
        <v>0</v>
      </c>
      <c r="H38" s="15" t="n">
        <f aca="false">IF(AND(H$3=1,H$3=1),SUMPRODUCT(H$5:H$28,H$5:H$28),1)</f>
        <v>8</v>
      </c>
      <c r="I38" s="15" t="n">
        <f aca="false">IF(AND(H$3=1,I$3=1),SUMPRODUCT(H$5:H$28,I$5:I$28),0)</f>
        <v>0</v>
      </c>
      <c r="J38" s="15" t="n">
        <f aca="false">IF(AND(H$3=1,J$3=1),SUMPRODUCT(H$5:H$28,J$5:J$28),0)</f>
        <v>0</v>
      </c>
      <c r="K38" s="15" t="n">
        <f aca="false">IF(AND(H$3=1,K$3=1),SUMPRODUCT(H$5:H$28,K$5:K$28),0)</f>
        <v>0</v>
      </c>
      <c r="M38" s="16" t="n">
        <f aca="false">IF(H$3=1,SUMPRODUCT(H$5:H$28,$L$5:$L$28),0)</f>
        <v>3.6</v>
      </c>
    </row>
    <row r="39" customFormat="false" ht="15" hidden="false" customHeight="false" outlineLevel="0" collapsed="false">
      <c r="B39" s="15" t="n">
        <f aca="false">IF(AND(I$3=1,B$3=1),SUMPRODUCT(I$5:I$28,B$5:B$28),0)</f>
        <v>10</v>
      </c>
      <c r="C39" s="15" t="n">
        <f aca="false">IF(AND(I$3=1,C$3=1),SUMPRODUCT(I$5:I$28,C$5:C$28),0)</f>
        <v>0</v>
      </c>
      <c r="D39" s="15" t="n">
        <f aca="false">IF(AND(I$3=1,D$3=1),SUMPRODUCT(I$5:I$28,D$5:D$28),0)</f>
        <v>0</v>
      </c>
      <c r="E39" s="15" t="n">
        <f aca="false">IF(AND(I$3=1,E$3=1),SUMPRODUCT(I$5:I$28,E$5:E$28),0)</f>
        <v>0</v>
      </c>
      <c r="F39" s="15" t="n">
        <f aca="false">IF(AND(I$3=1,F$3=1),SUMPRODUCT(I$5:I$28,F$5:F$28),0)</f>
        <v>0</v>
      </c>
      <c r="G39" s="15" t="n">
        <f aca="false">IF(AND(I$3=1,G$3=1),SUMPRODUCT(I$5:I$28,G$5:G$28),0)</f>
        <v>0</v>
      </c>
      <c r="H39" s="15" t="n">
        <f aca="false">IF(AND(I$3=1,H$3=1),SUMPRODUCT(I$5:I$28,H$5:H$28),0)</f>
        <v>0</v>
      </c>
      <c r="I39" s="15" t="n">
        <f aca="false">IF(AND(I$3=1,I$3=1),SUMPRODUCT(I$5:I$28,I$5:I$28),1)</f>
        <v>10</v>
      </c>
      <c r="J39" s="15" t="n">
        <f aca="false">IF(AND(I$3=1,J$3=1),SUMPRODUCT(I$5:I$28,J$5:J$28),0)</f>
        <v>8</v>
      </c>
      <c r="K39" s="15" t="n">
        <f aca="false">IF(AND(I$3=1,K$3=1),SUMPRODUCT(I$5:I$28,K$5:K$28),0)</f>
        <v>8</v>
      </c>
      <c r="M39" s="16" t="n">
        <f aca="false">IF(I$3=1,SUMPRODUCT(I$5:I$28,$L$5:$L$28),0)</f>
        <v>433.4</v>
      </c>
    </row>
    <row r="40" customFormat="false" ht="15" hidden="false" customHeight="false" outlineLevel="0" collapsed="false">
      <c r="B40" s="15" t="n">
        <f aca="false">IF(AND(J$3=1,B$3=1),SUMPRODUCT(J$5:J$28,B$5:B$28),0)</f>
        <v>10</v>
      </c>
      <c r="C40" s="15" t="n">
        <f aca="false">IF(AND(J$3=1,C$3=1),SUMPRODUCT(J$5:J$28,C$5:C$28),0)</f>
        <v>0</v>
      </c>
      <c r="D40" s="15" t="n">
        <f aca="false">IF(AND(J$3=1,D$3=1),SUMPRODUCT(J$5:J$28,D$5:D$28),0)</f>
        <v>0</v>
      </c>
      <c r="E40" s="15" t="n">
        <f aca="false">IF(AND(J$3=1,E$3=1),SUMPRODUCT(J$5:J$28,E$5:E$28),0)</f>
        <v>0</v>
      </c>
      <c r="F40" s="15" t="n">
        <f aca="false">IF(AND(J$3=1,F$3=1),SUMPRODUCT(J$5:J$28,F$5:F$28),0)</f>
        <v>0</v>
      </c>
      <c r="G40" s="15" t="n">
        <f aca="false">IF(AND(J$3=1,G$3=1),SUMPRODUCT(J$5:J$28,G$5:G$28),0)</f>
        <v>0</v>
      </c>
      <c r="H40" s="15" t="n">
        <f aca="false">IF(AND(J$3=1,H$3=1),SUMPRODUCT(J$5:J$28,H$5:H$28),0)</f>
        <v>0</v>
      </c>
      <c r="I40" s="15" t="n">
        <f aca="false">IF(AND(J$3=1,I$3=1),SUMPRODUCT(J$5:J$28,I$5:I$28),0)</f>
        <v>8</v>
      </c>
      <c r="J40" s="15" t="n">
        <f aca="false">IF(AND(J$3=1,J$3=1),SUMPRODUCT(J$5:J$28,J$5:J$28),1)</f>
        <v>10</v>
      </c>
      <c r="K40" s="15" t="n">
        <f aca="false">IF(AND(J$3=1,K$3=1),SUMPRODUCT(J$5:J$28,K$5:K$28),0)</f>
        <v>8</v>
      </c>
      <c r="M40" s="16" t="n">
        <f aca="false">IF(J$3=1,SUMPRODUCT(J$5:J$28,$L$5:$L$28),0)</f>
        <v>434.3</v>
      </c>
    </row>
    <row r="41" customFormat="false" ht="15" hidden="false" customHeight="false" outlineLevel="0" collapsed="false">
      <c r="B41" s="15" t="n">
        <f aca="false">IF(AND(K$3=1,B$3=1),SUMPRODUCT(K$5:K$28,B$5:B$28),0)</f>
        <v>10</v>
      </c>
      <c r="C41" s="15" t="n">
        <f aca="false">IF(AND(K$3=1,C$3=1),SUMPRODUCT(K$5:K$28,C$5:C$28),0)</f>
        <v>0</v>
      </c>
      <c r="D41" s="15" t="n">
        <f aca="false">IF(AND(K$3=1,D$3=1),SUMPRODUCT(K$5:K$28,D$5:D$28),0)</f>
        <v>0</v>
      </c>
      <c r="E41" s="15" t="n">
        <f aca="false">IF(AND(K$3=1,E$3=1),SUMPRODUCT(K$5:K$28,E$5:E$28),0)</f>
        <v>0</v>
      </c>
      <c r="F41" s="15" t="n">
        <f aca="false">IF(AND(K$3=1,F$3=1),SUMPRODUCT(K$5:K$28,F$5:F$28),0)</f>
        <v>0</v>
      </c>
      <c r="G41" s="15" t="n">
        <f aca="false">IF(AND(K$3=1,G$3=1),SUMPRODUCT(K$5:K$28,G$5:G$28),0)</f>
        <v>0</v>
      </c>
      <c r="H41" s="15" t="n">
        <f aca="false">IF(AND(K$3=1,H$3=1),SUMPRODUCT(K$5:K$28,H$5:H$28),0)</f>
        <v>0</v>
      </c>
      <c r="I41" s="15" t="n">
        <f aca="false">IF(AND(K$3=1,I$3=1),SUMPRODUCT(K$5:K$28,I$5:I$28),0)</f>
        <v>8</v>
      </c>
      <c r="J41" s="15" t="n">
        <f aca="false">IF(AND(K$3=1,J$3=1),SUMPRODUCT(K$5:K$28,J$5:J$28),0)</f>
        <v>8</v>
      </c>
      <c r="K41" s="15" t="n">
        <f aca="false">IF(AND(K$3=1,K$3=1),SUMPRODUCT(K$5:K$28,K$5:K$28),1)</f>
        <v>10</v>
      </c>
      <c r="M41" s="16" t="n">
        <f aca="false">IF(K$3=1,SUMPRODUCT(K$5:K$28,$L$5:$L$28),0)</f>
        <v>436</v>
      </c>
    </row>
    <row r="44" customFormat="false" ht="15" hidden="false" customHeight="false" outlineLevel="0" collapsed="false">
      <c r="A44" s="38" t="s">
        <v>284</v>
      </c>
      <c r="M44" s="17" t="s">
        <v>285</v>
      </c>
    </row>
    <row r="45" customFormat="false" ht="15" hidden="false" customHeight="false" outlineLevel="0" collapsed="false">
      <c r="B45" s="53" t="n">
        <f aca="false">INDEX(MINVERSE($B$32:$K$41),1,1)</f>
        <v>0.118181818181818</v>
      </c>
      <c r="C45" s="53" t="n">
        <f aca="false">INDEX(MINVERSE($B$32:$K$41),1,2)</f>
        <v>0</v>
      </c>
      <c r="D45" s="53" t="n">
        <f aca="false">INDEX(MINVERSE($B$32:$K$41),1,3)</f>
        <v>0</v>
      </c>
      <c r="E45" s="53" t="n">
        <f aca="false">INDEX(MINVERSE($B$32:$K$41),1,4)</f>
        <v>0</v>
      </c>
      <c r="F45" s="53" t="n">
        <f aca="false">INDEX(MINVERSE($B$32:$K$41),1,5)</f>
        <v>0</v>
      </c>
      <c r="G45" s="53" t="n">
        <f aca="false">INDEX(MINVERSE($B$32:$K$41),1,6)</f>
        <v>0</v>
      </c>
      <c r="H45" s="53" t="n">
        <f aca="false">INDEX(MINVERSE($B$32:$K$41),1,7)</f>
        <v>0</v>
      </c>
      <c r="I45" s="53" t="n">
        <f aca="false">INDEX(MINVERSE($B$32:$K$41),1,8)</f>
        <v>-0.0454545454545455</v>
      </c>
      <c r="J45" s="53" t="n">
        <f aca="false">INDEX(MINVERSE($B$32:$K$41),1,9)</f>
        <v>-0.0454545454545454</v>
      </c>
      <c r="K45" s="53" t="n">
        <f aca="false">INDEX(MINVERSE($B$32:$K$41),1,10)</f>
        <v>-0.0454545454545454</v>
      </c>
      <c r="M45" s="53" t="n">
        <f aca="false">INDEX(MMULT($B$45:$K$54,$M$32:$M$41),1,1)</f>
        <v>48.3809090909091</v>
      </c>
    </row>
    <row r="46" customFormat="false" ht="15" hidden="false" customHeight="false" outlineLevel="0" collapsed="false">
      <c r="B46" s="53" t="n">
        <f aca="false">INDEX(MINVERSE($B$32:$K$41),2,1)</f>
        <v>0</v>
      </c>
      <c r="C46" s="53" t="n">
        <f aca="false">INDEX(MINVERSE($B$32:$K$41),2,2)</f>
        <v>0.1</v>
      </c>
      <c r="D46" s="53" t="n">
        <f aca="false">INDEX(MINVERSE($B$32:$K$41),2,3)</f>
        <v>0</v>
      </c>
      <c r="E46" s="53" t="n">
        <f aca="false">INDEX(MINVERSE($B$32:$K$41),2,4)</f>
        <v>0</v>
      </c>
      <c r="F46" s="53" t="n">
        <f aca="false">INDEX(MINVERSE($B$32:$K$41),2,5)</f>
        <v>0</v>
      </c>
      <c r="G46" s="53" t="n">
        <f aca="false">INDEX(MINVERSE($B$32:$K$41),2,6)</f>
        <v>0</v>
      </c>
      <c r="H46" s="53" t="n">
        <f aca="false">INDEX(MINVERSE($B$32:$K$41),2,7)</f>
        <v>0</v>
      </c>
      <c r="I46" s="53" t="n">
        <f aca="false">INDEX(MINVERSE($B$32:$K$41),2,8)</f>
        <v>0</v>
      </c>
      <c r="J46" s="53" t="n">
        <f aca="false">INDEX(MINVERSE($B$32:$K$41),2,9)</f>
        <v>0</v>
      </c>
      <c r="K46" s="53" t="n">
        <f aca="false">INDEX(MINVERSE($B$32:$K$41),2,10)</f>
        <v>0</v>
      </c>
      <c r="M46" s="53" t="n">
        <f aca="false">INDEX(MMULT($B$45:$K$54,$M$32:$M$41),2,1)</f>
        <v>2.62</v>
      </c>
    </row>
    <row r="47" customFormat="false" ht="15" hidden="false" customHeight="false" outlineLevel="0" collapsed="false">
      <c r="B47" s="53" t="n">
        <f aca="false">INDEX(MINVERSE($B$32:$K$41),3,1)</f>
        <v>0</v>
      </c>
      <c r="C47" s="53" t="n">
        <f aca="false">INDEX(MINVERSE($B$32:$K$41),3,2)</f>
        <v>0</v>
      </c>
      <c r="D47" s="53" t="n">
        <f aca="false">INDEX(MINVERSE($B$32:$K$41),3,3)</f>
        <v>0.1</v>
      </c>
      <c r="E47" s="53" t="n">
        <f aca="false">INDEX(MINVERSE($B$32:$K$41),3,4)</f>
        <v>0</v>
      </c>
      <c r="F47" s="53" t="n">
        <f aca="false">INDEX(MINVERSE($B$32:$K$41),3,5)</f>
        <v>0</v>
      </c>
      <c r="G47" s="53" t="n">
        <f aca="false">INDEX(MINVERSE($B$32:$K$41),3,6)</f>
        <v>0</v>
      </c>
      <c r="H47" s="53" t="n">
        <f aca="false">INDEX(MINVERSE($B$32:$K$41),3,7)</f>
        <v>0</v>
      </c>
      <c r="I47" s="53" t="n">
        <f aca="false">INDEX(MINVERSE($B$32:$K$41),3,8)</f>
        <v>0</v>
      </c>
      <c r="J47" s="53" t="n">
        <f aca="false">INDEX(MINVERSE($B$32:$K$41),3,9)</f>
        <v>0</v>
      </c>
      <c r="K47" s="53" t="n">
        <f aca="false">INDEX(MINVERSE($B$32:$K$41),3,10)</f>
        <v>0</v>
      </c>
      <c r="M47" s="53" t="n">
        <f aca="false">INDEX(MMULT($B$45:$K$54,$M$32:$M$41),3,1)</f>
        <v>2.07</v>
      </c>
    </row>
    <row r="48" customFormat="false" ht="15" hidden="false" customHeight="false" outlineLevel="0" collapsed="false">
      <c r="B48" s="53" t="n">
        <f aca="false">INDEX(MINVERSE($B$32:$K$41),4,1)</f>
        <v>0</v>
      </c>
      <c r="C48" s="53" t="n">
        <f aca="false">INDEX(MINVERSE($B$32:$K$41),4,2)</f>
        <v>0</v>
      </c>
      <c r="D48" s="53" t="n">
        <f aca="false">INDEX(MINVERSE($B$32:$K$41),4,3)</f>
        <v>0</v>
      </c>
      <c r="E48" s="53" t="n">
        <f aca="false">INDEX(MINVERSE($B$32:$K$41),4,4)</f>
        <v>0.1</v>
      </c>
      <c r="F48" s="53" t="n">
        <f aca="false">INDEX(MINVERSE($B$32:$K$41),4,5)</f>
        <v>0</v>
      </c>
      <c r="G48" s="53" t="n">
        <f aca="false">INDEX(MINVERSE($B$32:$K$41),4,6)</f>
        <v>0</v>
      </c>
      <c r="H48" s="53" t="n">
        <f aca="false">INDEX(MINVERSE($B$32:$K$41),4,7)</f>
        <v>0</v>
      </c>
      <c r="I48" s="53" t="n">
        <f aca="false">INDEX(MINVERSE($B$32:$K$41),4,8)</f>
        <v>0</v>
      </c>
      <c r="J48" s="53" t="n">
        <f aca="false">INDEX(MINVERSE($B$32:$K$41),4,9)</f>
        <v>0</v>
      </c>
      <c r="K48" s="53" t="n">
        <f aca="false">INDEX(MINVERSE($B$32:$K$41),4,10)</f>
        <v>0</v>
      </c>
      <c r="M48" s="53" t="n">
        <f aca="false">INDEX(MMULT($B$45:$K$54,$M$32:$M$41),4,1)</f>
        <v>1.38</v>
      </c>
    </row>
    <row r="49" customFormat="false" ht="15" hidden="false" customHeight="false" outlineLevel="0" collapsed="false">
      <c r="B49" s="53" t="n">
        <f aca="false">INDEX(MINVERSE($B$32:$K$41),5,1)</f>
        <v>0</v>
      </c>
      <c r="C49" s="53" t="n">
        <f aca="false">INDEX(MINVERSE($B$32:$K$41),5,2)</f>
        <v>0</v>
      </c>
      <c r="D49" s="53" t="n">
        <f aca="false">INDEX(MINVERSE($B$32:$K$41),5,3)</f>
        <v>0</v>
      </c>
      <c r="E49" s="53" t="n">
        <f aca="false">INDEX(MINVERSE($B$32:$K$41),5,4)</f>
        <v>0</v>
      </c>
      <c r="F49" s="53" t="n">
        <f aca="false">INDEX(MINVERSE($B$32:$K$41),5,5)</f>
        <v>0.125</v>
      </c>
      <c r="G49" s="53" t="n">
        <f aca="false">INDEX(MINVERSE($B$32:$K$41),5,6)</f>
        <v>0</v>
      </c>
      <c r="H49" s="53" t="n">
        <f aca="false">INDEX(MINVERSE($B$32:$K$41),5,7)</f>
        <v>0</v>
      </c>
      <c r="I49" s="53" t="n">
        <f aca="false">INDEX(MINVERSE($B$32:$K$41),5,8)</f>
        <v>0</v>
      </c>
      <c r="J49" s="53" t="n">
        <f aca="false">INDEX(MINVERSE($B$32:$K$41),5,9)</f>
        <v>0</v>
      </c>
      <c r="K49" s="53" t="n">
        <f aca="false">INDEX(MINVERSE($B$32:$K$41),5,10)</f>
        <v>0</v>
      </c>
      <c r="M49" s="53" t="n">
        <f aca="false">INDEX(MMULT($B$45:$K$54,$M$32:$M$41),5,1)</f>
        <v>1.225</v>
      </c>
    </row>
    <row r="50" customFormat="false" ht="15" hidden="false" customHeight="false" outlineLevel="0" collapsed="false">
      <c r="B50" s="53" t="n">
        <f aca="false">INDEX(MINVERSE($B$32:$K$41),6,1)</f>
        <v>0</v>
      </c>
      <c r="C50" s="53" t="n">
        <f aca="false">INDEX(MINVERSE($B$32:$K$41),6,2)</f>
        <v>0</v>
      </c>
      <c r="D50" s="53" t="n">
        <f aca="false">INDEX(MINVERSE($B$32:$K$41),6,3)</f>
        <v>0</v>
      </c>
      <c r="E50" s="53" t="n">
        <f aca="false">INDEX(MINVERSE($B$32:$K$41),6,4)</f>
        <v>0</v>
      </c>
      <c r="F50" s="53" t="n">
        <f aca="false">INDEX(MINVERSE($B$32:$K$41),6,5)</f>
        <v>0</v>
      </c>
      <c r="G50" s="53" t="n">
        <f aca="false">INDEX(MINVERSE($B$32:$K$41),6,6)</f>
        <v>0.125</v>
      </c>
      <c r="H50" s="53" t="n">
        <f aca="false">INDEX(MINVERSE($B$32:$K$41),6,7)</f>
        <v>0</v>
      </c>
      <c r="I50" s="53" t="n">
        <f aca="false">INDEX(MINVERSE($B$32:$K$41),6,8)</f>
        <v>0</v>
      </c>
      <c r="J50" s="53" t="n">
        <f aca="false">INDEX(MINVERSE($B$32:$K$41),6,9)</f>
        <v>0</v>
      </c>
      <c r="K50" s="53" t="n">
        <f aca="false">INDEX(MINVERSE($B$32:$K$41),6,10)</f>
        <v>0</v>
      </c>
      <c r="M50" s="53" t="n">
        <f aca="false">INDEX(MMULT($B$45:$K$54,$M$32:$M$41),6,1)</f>
        <v>-0.149999999999999</v>
      </c>
    </row>
    <row r="51" customFormat="false" ht="15" hidden="false" customHeight="false" outlineLevel="0" collapsed="false">
      <c r="B51" s="53" t="n">
        <f aca="false">INDEX(MINVERSE($B$32:$K$41),7,1)</f>
        <v>0</v>
      </c>
      <c r="C51" s="53" t="n">
        <f aca="false">INDEX(MINVERSE($B$32:$K$41),7,2)</f>
        <v>0</v>
      </c>
      <c r="D51" s="53" t="n">
        <f aca="false">INDEX(MINVERSE($B$32:$K$41),7,3)</f>
        <v>0</v>
      </c>
      <c r="E51" s="53" t="n">
        <f aca="false">INDEX(MINVERSE($B$32:$K$41),7,4)</f>
        <v>0</v>
      </c>
      <c r="F51" s="53" t="n">
        <f aca="false">INDEX(MINVERSE($B$32:$K$41),7,5)</f>
        <v>0</v>
      </c>
      <c r="G51" s="53" t="n">
        <f aca="false">INDEX(MINVERSE($B$32:$K$41),7,6)</f>
        <v>0</v>
      </c>
      <c r="H51" s="53" t="n">
        <f aca="false">INDEX(MINVERSE($B$32:$K$41),7,7)</f>
        <v>0.125</v>
      </c>
      <c r="I51" s="53" t="n">
        <f aca="false">INDEX(MINVERSE($B$32:$K$41),7,8)</f>
        <v>0</v>
      </c>
      <c r="J51" s="53" t="n">
        <f aca="false">INDEX(MINVERSE($B$32:$K$41),7,9)</f>
        <v>0</v>
      </c>
      <c r="K51" s="53" t="n">
        <f aca="false">INDEX(MINVERSE($B$32:$K$41),7,10)</f>
        <v>0</v>
      </c>
      <c r="M51" s="53" t="n">
        <f aca="false">INDEX(MMULT($B$45:$K$54,$M$32:$M$41),7,1)</f>
        <v>0.45</v>
      </c>
    </row>
    <row r="52" customFormat="false" ht="15" hidden="false" customHeight="false" outlineLevel="0" collapsed="false">
      <c r="B52" s="53" t="n">
        <f aca="false">INDEX(MINVERSE($B$32:$K$41),8,1)</f>
        <v>-0.0454545454545455</v>
      </c>
      <c r="C52" s="53" t="n">
        <f aca="false">INDEX(MINVERSE($B$32:$K$41),8,2)</f>
        <v>0</v>
      </c>
      <c r="D52" s="53" t="n">
        <f aca="false">INDEX(MINVERSE($B$32:$K$41),8,3)</f>
        <v>0</v>
      </c>
      <c r="E52" s="53" t="n">
        <f aca="false">INDEX(MINVERSE($B$32:$K$41),8,4)</f>
        <v>0</v>
      </c>
      <c r="F52" s="53" t="n">
        <f aca="false">INDEX(MINVERSE($B$32:$K$41),8,5)</f>
        <v>0</v>
      </c>
      <c r="G52" s="53" t="n">
        <f aca="false">INDEX(MINVERSE($B$32:$K$41),8,6)</f>
        <v>0</v>
      </c>
      <c r="H52" s="53" t="n">
        <f aca="false">INDEX(MINVERSE($B$32:$K$41),8,7)</f>
        <v>0</v>
      </c>
      <c r="I52" s="53" t="n">
        <f aca="false">INDEX(MINVERSE($B$32:$K$41),8,8)</f>
        <v>0.363636363636364</v>
      </c>
      <c r="J52" s="53" t="n">
        <f aca="false">INDEX(MINVERSE($B$32:$K$41),8,9)</f>
        <v>-0.136363636363636</v>
      </c>
      <c r="K52" s="53" t="n">
        <f aca="false">INDEX(MINVERSE($B$32:$K$41),8,10)</f>
        <v>-0.136363636363636</v>
      </c>
      <c r="M52" s="53" t="n">
        <f aca="false">INDEX(MMULT($B$45:$K$54,$M$32:$M$41),8,1)</f>
        <v>-2.47727272727275</v>
      </c>
    </row>
    <row r="53" customFormat="false" ht="15" hidden="false" customHeight="false" outlineLevel="0" collapsed="false">
      <c r="B53" s="53" t="n">
        <f aca="false">INDEX(MINVERSE($B$32:$K$41),9,1)</f>
        <v>-0.0454545454545455</v>
      </c>
      <c r="C53" s="53" t="n">
        <f aca="false">INDEX(MINVERSE($B$32:$K$41),9,2)</f>
        <v>0</v>
      </c>
      <c r="D53" s="53" t="n">
        <f aca="false">INDEX(MINVERSE($B$32:$K$41),9,3)</f>
        <v>0</v>
      </c>
      <c r="E53" s="53" t="n">
        <f aca="false">INDEX(MINVERSE($B$32:$K$41),9,4)</f>
        <v>0</v>
      </c>
      <c r="F53" s="53" t="n">
        <f aca="false">INDEX(MINVERSE($B$32:$K$41),9,5)</f>
        <v>0</v>
      </c>
      <c r="G53" s="53" t="n">
        <f aca="false">INDEX(MINVERSE($B$32:$K$41),9,6)</f>
        <v>0</v>
      </c>
      <c r="H53" s="53" t="n">
        <f aca="false">INDEX(MINVERSE($B$32:$K$41),9,7)</f>
        <v>0</v>
      </c>
      <c r="I53" s="53" t="n">
        <f aca="false">INDEX(MINVERSE($B$32:$K$41),9,8)</f>
        <v>-0.136363636363636</v>
      </c>
      <c r="J53" s="53" t="n">
        <f aca="false">INDEX(MINVERSE($B$32:$K$41),9,9)</f>
        <v>0.363636363636364</v>
      </c>
      <c r="K53" s="53" t="n">
        <f aca="false">INDEX(MINVERSE($B$32:$K$41),9,10)</f>
        <v>-0.136363636363636</v>
      </c>
      <c r="M53" s="53" t="n">
        <f aca="false">INDEX(MMULT($B$45:$K$54,$M$32:$M$41),9,1)</f>
        <v>-2.02727272727272</v>
      </c>
    </row>
    <row r="54" customFormat="false" ht="15" hidden="false" customHeight="false" outlineLevel="0" collapsed="false">
      <c r="B54" s="53" t="n">
        <f aca="false">INDEX(MINVERSE($B$32:$K$41),10,1)</f>
        <v>-0.0454545454545455</v>
      </c>
      <c r="C54" s="53" t="n">
        <f aca="false">INDEX(MINVERSE($B$32:$K$41),10,2)</f>
        <v>0</v>
      </c>
      <c r="D54" s="53" t="n">
        <f aca="false">INDEX(MINVERSE($B$32:$K$41),10,3)</f>
        <v>0</v>
      </c>
      <c r="E54" s="53" t="n">
        <f aca="false">INDEX(MINVERSE($B$32:$K$41),10,4)</f>
        <v>0</v>
      </c>
      <c r="F54" s="53" t="n">
        <f aca="false">INDEX(MINVERSE($B$32:$K$41),10,5)</f>
        <v>0</v>
      </c>
      <c r="G54" s="53" t="n">
        <f aca="false">INDEX(MINVERSE($B$32:$K$41),10,6)</f>
        <v>0</v>
      </c>
      <c r="H54" s="53" t="n">
        <f aca="false">INDEX(MINVERSE($B$32:$K$41),10,7)</f>
        <v>0</v>
      </c>
      <c r="I54" s="53" t="n">
        <f aca="false">INDEX(MINVERSE($B$32:$K$41),10,8)</f>
        <v>-0.136363636363636</v>
      </c>
      <c r="J54" s="53" t="n">
        <f aca="false">INDEX(MINVERSE($B$32:$K$41),10,9)</f>
        <v>-0.136363636363636</v>
      </c>
      <c r="K54" s="53" t="n">
        <f aca="false">INDEX(MINVERSE($B$32:$K$41),10,10)</f>
        <v>0.363636363636364</v>
      </c>
      <c r="M54" s="53" t="n">
        <f aca="false">INDEX(MMULT($B$45:$K$54,$M$32:$M$41),10,1)</f>
        <v>-1.17727272727271</v>
      </c>
    </row>
    <row r="57" customFormat="false" ht="15" hidden="false" customHeight="false" outlineLevel="0" collapsed="false">
      <c r="A57" s="38" t="s">
        <v>286</v>
      </c>
    </row>
    <row r="58" customFormat="false" ht="15" hidden="false" customHeight="false" outlineLevel="0" collapsed="false">
      <c r="B58" s="53" t="n">
        <f aca="false">IF(AND(B$3=1,B$3=1),B45,0)</f>
        <v>0.118181818181818</v>
      </c>
      <c r="C58" s="53" t="n">
        <f aca="false">IF(AND(B$3=1,C$3=1),C45,0)</f>
        <v>0</v>
      </c>
      <c r="D58" s="53" t="n">
        <f aca="false">IF(AND(B$3=1,D$3=1),D45,0)</f>
        <v>0</v>
      </c>
      <c r="E58" s="53" t="n">
        <f aca="false">IF(AND(B$3=1,E$3=1),E45,0)</f>
        <v>0</v>
      </c>
      <c r="F58" s="53" t="n">
        <f aca="false">IF(AND(B$3=1,F$3=1),F45,0)</f>
        <v>0</v>
      </c>
      <c r="G58" s="53" t="n">
        <f aca="false">IF(AND(B$3=1,G$3=1),G45,0)</f>
        <v>0</v>
      </c>
      <c r="H58" s="53" t="n">
        <f aca="false">IF(AND(B$3=1,H$3=1),H45,0)</f>
        <v>0</v>
      </c>
      <c r="I58" s="53" t="n">
        <f aca="false">IF(AND(B$3=1,I$3=1),I45,0)</f>
        <v>-0.0454545454545455</v>
      </c>
      <c r="J58" s="53" t="n">
        <f aca="false">IF(AND(B$3=1,J$3=1),J45,0)</f>
        <v>-0.0454545454545454</v>
      </c>
      <c r="K58" s="53" t="n">
        <f aca="false">IF(AND(B$3=1,K$3=1),K45,0)</f>
        <v>-0.0454545454545454</v>
      </c>
    </row>
    <row r="59" customFormat="false" ht="15" hidden="false" customHeight="false" outlineLevel="0" collapsed="false">
      <c r="B59" s="53" t="n">
        <f aca="false">IF(AND(C$3=1,B$3=1),B46,0)</f>
        <v>0</v>
      </c>
      <c r="C59" s="53" t="n">
        <f aca="false">IF(AND(C$3=1,C$3=1),C46,0)</f>
        <v>0.1</v>
      </c>
      <c r="D59" s="53" t="n">
        <f aca="false">IF(AND(C$3=1,D$3=1),D46,0)</f>
        <v>0</v>
      </c>
      <c r="E59" s="53" t="n">
        <f aca="false">IF(AND(C$3=1,E$3=1),E46,0)</f>
        <v>0</v>
      </c>
      <c r="F59" s="53" t="n">
        <f aca="false">IF(AND(C$3=1,F$3=1),F46,0)</f>
        <v>0</v>
      </c>
      <c r="G59" s="53" t="n">
        <f aca="false">IF(AND(C$3=1,G$3=1),G46,0)</f>
        <v>0</v>
      </c>
      <c r="H59" s="53" t="n">
        <f aca="false">IF(AND(C$3=1,H$3=1),H46,0)</f>
        <v>0</v>
      </c>
      <c r="I59" s="53" t="n">
        <f aca="false">IF(AND(C$3=1,I$3=1),I46,0)</f>
        <v>0</v>
      </c>
      <c r="J59" s="53" t="n">
        <f aca="false">IF(AND(C$3=1,J$3=1),J46,0)</f>
        <v>0</v>
      </c>
      <c r="K59" s="53" t="n">
        <f aca="false">IF(AND(C$3=1,K$3=1),K46,0)</f>
        <v>0</v>
      </c>
    </row>
    <row r="60" customFormat="false" ht="15" hidden="false" customHeight="false" outlineLevel="0" collapsed="false">
      <c r="B60" s="53" t="n">
        <f aca="false">IF(AND(D$3=1,B$3=1),B47,0)</f>
        <v>0</v>
      </c>
      <c r="C60" s="53" t="n">
        <f aca="false">IF(AND(D$3=1,C$3=1),C47,0)</f>
        <v>0</v>
      </c>
      <c r="D60" s="53" t="n">
        <f aca="false">IF(AND(D$3=1,D$3=1),D47,0)</f>
        <v>0.1</v>
      </c>
      <c r="E60" s="53" t="n">
        <f aca="false">IF(AND(D$3=1,E$3=1),E47,0)</f>
        <v>0</v>
      </c>
      <c r="F60" s="53" t="n">
        <f aca="false">IF(AND(D$3=1,F$3=1),F47,0)</f>
        <v>0</v>
      </c>
      <c r="G60" s="53" t="n">
        <f aca="false">IF(AND(D$3=1,G$3=1),G47,0)</f>
        <v>0</v>
      </c>
      <c r="H60" s="53" t="n">
        <f aca="false">IF(AND(D$3=1,H$3=1),H47,0)</f>
        <v>0</v>
      </c>
      <c r="I60" s="53" t="n">
        <f aca="false">IF(AND(D$3=1,I$3=1),I47,0)</f>
        <v>0</v>
      </c>
      <c r="J60" s="53" t="n">
        <f aca="false">IF(AND(D$3=1,J$3=1),J47,0)</f>
        <v>0</v>
      </c>
      <c r="K60" s="53" t="n">
        <f aca="false">IF(AND(D$3=1,K$3=1),K47,0)</f>
        <v>0</v>
      </c>
    </row>
    <row r="61" customFormat="false" ht="15" hidden="false" customHeight="false" outlineLevel="0" collapsed="false">
      <c r="B61" s="53" t="n">
        <f aca="false">IF(AND(E$3=1,B$3=1),B48,0)</f>
        <v>0</v>
      </c>
      <c r="C61" s="53" t="n">
        <f aca="false">IF(AND(E$3=1,C$3=1),C48,0)</f>
        <v>0</v>
      </c>
      <c r="D61" s="53" t="n">
        <f aca="false">IF(AND(E$3=1,D$3=1),D48,0)</f>
        <v>0</v>
      </c>
      <c r="E61" s="53" t="n">
        <f aca="false">IF(AND(E$3=1,E$3=1),E48,0)</f>
        <v>0.1</v>
      </c>
      <c r="F61" s="53" t="n">
        <f aca="false">IF(AND(E$3=1,F$3=1),F48,0)</f>
        <v>0</v>
      </c>
      <c r="G61" s="53" t="n">
        <f aca="false">IF(AND(E$3=1,G$3=1),G48,0)</f>
        <v>0</v>
      </c>
      <c r="H61" s="53" t="n">
        <f aca="false">IF(AND(E$3=1,H$3=1),H48,0)</f>
        <v>0</v>
      </c>
      <c r="I61" s="53" t="n">
        <f aca="false">IF(AND(E$3=1,I$3=1),I48,0)</f>
        <v>0</v>
      </c>
      <c r="J61" s="53" t="n">
        <f aca="false">IF(AND(E$3=1,J$3=1),J48,0)</f>
        <v>0</v>
      </c>
      <c r="K61" s="53" t="n">
        <f aca="false">IF(AND(E$3=1,K$3=1),K48,0)</f>
        <v>0</v>
      </c>
    </row>
    <row r="62" customFormat="false" ht="15" hidden="false" customHeight="false" outlineLevel="0" collapsed="false">
      <c r="B62" s="53" t="n">
        <f aca="false">IF(AND(F$3=1,B$3=1),B49,0)</f>
        <v>0</v>
      </c>
      <c r="C62" s="53" t="n">
        <f aca="false">IF(AND(F$3=1,C$3=1),C49,0)</f>
        <v>0</v>
      </c>
      <c r="D62" s="53" t="n">
        <f aca="false">IF(AND(F$3=1,D$3=1),D49,0)</f>
        <v>0</v>
      </c>
      <c r="E62" s="53" t="n">
        <f aca="false">IF(AND(F$3=1,E$3=1),E49,0)</f>
        <v>0</v>
      </c>
      <c r="F62" s="53" t="n">
        <f aca="false">IF(AND(F$3=1,F$3=1),F49,0)</f>
        <v>0.125</v>
      </c>
      <c r="G62" s="53" t="n">
        <f aca="false">IF(AND(F$3=1,G$3=1),G49,0)</f>
        <v>0</v>
      </c>
      <c r="H62" s="53" t="n">
        <f aca="false">IF(AND(F$3=1,H$3=1),H49,0)</f>
        <v>0</v>
      </c>
      <c r="I62" s="53" t="n">
        <f aca="false">IF(AND(F$3=1,I$3=1),I49,0)</f>
        <v>0</v>
      </c>
      <c r="J62" s="53" t="n">
        <f aca="false">IF(AND(F$3=1,J$3=1),J49,0)</f>
        <v>0</v>
      </c>
      <c r="K62" s="53" t="n">
        <f aca="false">IF(AND(F$3=1,K$3=1),K49,0)</f>
        <v>0</v>
      </c>
    </row>
    <row r="63" customFormat="false" ht="15" hidden="false" customHeight="false" outlineLevel="0" collapsed="false">
      <c r="B63" s="53" t="n">
        <f aca="false">IF(AND(G$3=1,B$3=1),B50,0)</f>
        <v>0</v>
      </c>
      <c r="C63" s="53" t="n">
        <f aca="false">IF(AND(G$3=1,C$3=1),C50,0)</f>
        <v>0</v>
      </c>
      <c r="D63" s="53" t="n">
        <f aca="false">IF(AND(G$3=1,D$3=1),D50,0)</f>
        <v>0</v>
      </c>
      <c r="E63" s="53" t="n">
        <f aca="false">IF(AND(G$3=1,E$3=1),E50,0)</f>
        <v>0</v>
      </c>
      <c r="F63" s="53" t="n">
        <f aca="false">IF(AND(G$3=1,F$3=1),F50,0)</f>
        <v>0</v>
      </c>
      <c r="G63" s="53" t="n">
        <f aca="false">IF(AND(G$3=1,G$3=1),G50,0)</f>
        <v>0.125</v>
      </c>
      <c r="H63" s="53" t="n">
        <f aca="false">IF(AND(G$3=1,H$3=1),H50,0)</f>
        <v>0</v>
      </c>
      <c r="I63" s="53" t="n">
        <f aca="false">IF(AND(G$3=1,I$3=1),I50,0)</f>
        <v>0</v>
      </c>
      <c r="J63" s="53" t="n">
        <f aca="false">IF(AND(G$3=1,J$3=1),J50,0)</f>
        <v>0</v>
      </c>
      <c r="K63" s="53" t="n">
        <f aca="false">IF(AND(G$3=1,K$3=1),K50,0)</f>
        <v>0</v>
      </c>
    </row>
    <row r="64" customFormat="false" ht="15" hidden="false" customHeight="false" outlineLevel="0" collapsed="false">
      <c r="B64" s="53" t="n">
        <f aca="false">IF(AND(H$3=1,B$3=1),B51,0)</f>
        <v>0</v>
      </c>
      <c r="C64" s="53" t="n">
        <f aca="false">IF(AND(H$3=1,C$3=1),C51,0)</f>
        <v>0</v>
      </c>
      <c r="D64" s="53" t="n">
        <f aca="false">IF(AND(H$3=1,D$3=1),D51,0)</f>
        <v>0</v>
      </c>
      <c r="E64" s="53" t="n">
        <f aca="false">IF(AND(H$3=1,E$3=1),E51,0)</f>
        <v>0</v>
      </c>
      <c r="F64" s="53" t="n">
        <f aca="false">IF(AND(H$3=1,F$3=1),F51,0)</f>
        <v>0</v>
      </c>
      <c r="G64" s="53" t="n">
        <f aca="false">IF(AND(H$3=1,G$3=1),G51,0)</f>
        <v>0</v>
      </c>
      <c r="H64" s="53" t="n">
        <f aca="false">IF(AND(H$3=1,H$3=1),H51,0)</f>
        <v>0.125</v>
      </c>
      <c r="I64" s="53" t="n">
        <f aca="false">IF(AND(H$3=1,I$3=1),I51,0)</f>
        <v>0</v>
      </c>
      <c r="J64" s="53" t="n">
        <f aca="false">IF(AND(H$3=1,J$3=1),J51,0)</f>
        <v>0</v>
      </c>
      <c r="K64" s="53" t="n">
        <f aca="false">IF(AND(H$3=1,K$3=1),K51,0)</f>
        <v>0</v>
      </c>
    </row>
    <row r="65" customFormat="false" ht="15" hidden="false" customHeight="false" outlineLevel="0" collapsed="false">
      <c r="B65" s="53" t="n">
        <f aca="false">IF(AND(I$3=1,B$3=1),B52,0)</f>
        <v>-0.0454545454545455</v>
      </c>
      <c r="C65" s="53" t="n">
        <f aca="false">IF(AND(I$3=1,C$3=1),C52,0)</f>
        <v>0</v>
      </c>
      <c r="D65" s="53" t="n">
        <f aca="false">IF(AND(I$3=1,D$3=1),D52,0)</f>
        <v>0</v>
      </c>
      <c r="E65" s="53" t="n">
        <f aca="false">IF(AND(I$3=1,E$3=1),E52,0)</f>
        <v>0</v>
      </c>
      <c r="F65" s="53" t="n">
        <f aca="false">IF(AND(I$3=1,F$3=1),F52,0)</f>
        <v>0</v>
      </c>
      <c r="G65" s="53" t="n">
        <f aca="false">IF(AND(I$3=1,G$3=1),G52,0)</f>
        <v>0</v>
      </c>
      <c r="H65" s="53" t="n">
        <f aca="false">IF(AND(I$3=1,H$3=1),H52,0)</f>
        <v>0</v>
      </c>
      <c r="I65" s="53" t="n">
        <f aca="false">IF(AND(I$3=1,I$3=1),I52,0)</f>
        <v>0.363636363636364</v>
      </c>
      <c r="J65" s="53" t="n">
        <f aca="false">IF(AND(I$3=1,J$3=1),J52,0)</f>
        <v>-0.136363636363636</v>
      </c>
      <c r="K65" s="53" t="n">
        <f aca="false">IF(AND(I$3=1,K$3=1),K52,0)</f>
        <v>-0.136363636363636</v>
      </c>
    </row>
    <row r="66" customFormat="false" ht="15" hidden="false" customHeight="false" outlineLevel="0" collapsed="false">
      <c r="B66" s="53" t="n">
        <f aca="false">IF(AND(J$3=1,B$3=1),B53,0)</f>
        <v>-0.0454545454545455</v>
      </c>
      <c r="C66" s="53" t="n">
        <f aca="false">IF(AND(J$3=1,C$3=1),C53,0)</f>
        <v>0</v>
      </c>
      <c r="D66" s="53" t="n">
        <f aca="false">IF(AND(J$3=1,D$3=1),D53,0)</f>
        <v>0</v>
      </c>
      <c r="E66" s="53" t="n">
        <f aca="false">IF(AND(J$3=1,E$3=1),E53,0)</f>
        <v>0</v>
      </c>
      <c r="F66" s="53" t="n">
        <f aca="false">IF(AND(J$3=1,F$3=1),F53,0)</f>
        <v>0</v>
      </c>
      <c r="G66" s="53" t="n">
        <f aca="false">IF(AND(J$3=1,G$3=1),G53,0)</f>
        <v>0</v>
      </c>
      <c r="H66" s="53" t="n">
        <f aca="false">IF(AND(J$3=1,H$3=1),H53,0)</f>
        <v>0</v>
      </c>
      <c r="I66" s="53" t="n">
        <f aca="false">IF(AND(J$3=1,I$3=1),I53,0)</f>
        <v>-0.136363636363636</v>
      </c>
      <c r="J66" s="53" t="n">
        <f aca="false">IF(AND(J$3=1,J$3=1),J53,0)</f>
        <v>0.363636363636364</v>
      </c>
      <c r="K66" s="53" t="n">
        <f aca="false">IF(AND(J$3=1,K$3=1),K53,0)</f>
        <v>-0.136363636363636</v>
      </c>
    </row>
    <row r="67" customFormat="false" ht="15" hidden="false" customHeight="false" outlineLevel="0" collapsed="false">
      <c r="B67" s="53" t="n">
        <f aca="false">IF(AND(K$3=1,B$3=1),B54,0)</f>
        <v>-0.0454545454545455</v>
      </c>
      <c r="C67" s="53" t="n">
        <f aca="false">IF(AND(K$3=1,C$3=1),C54,0)</f>
        <v>0</v>
      </c>
      <c r="D67" s="53" t="n">
        <f aca="false">IF(AND(K$3=1,D$3=1),D54,0)</f>
        <v>0</v>
      </c>
      <c r="E67" s="53" t="n">
        <f aca="false">IF(AND(K$3=1,E$3=1),E54,0)</f>
        <v>0</v>
      </c>
      <c r="F67" s="53" t="n">
        <f aca="false">IF(AND(K$3=1,F$3=1),F54,0)</f>
        <v>0</v>
      </c>
      <c r="G67" s="53" t="n">
        <f aca="false">IF(AND(K$3=1,G$3=1),G54,0)</f>
        <v>0</v>
      </c>
      <c r="H67" s="53" t="n">
        <f aca="false">IF(AND(K$3=1,H$3=1),H54,0)</f>
        <v>0</v>
      </c>
      <c r="I67" s="53" t="n">
        <f aca="false">IF(AND(K$3=1,I$3=1),I54,0)</f>
        <v>-0.136363636363636</v>
      </c>
      <c r="J67" s="53" t="n">
        <f aca="false">IF(AND(K$3=1,J$3=1),J54,0)</f>
        <v>-0.136363636363636</v>
      </c>
      <c r="K67" s="53" t="n">
        <f aca="false">IF(AND(K$3=1,K$3=1),K54,0)</f>
        <v>0.363636363636364</v>
      </c>
    </row>
    <row r="70" customFormat="false" ht="15" hidden="false" customHeight="false" outlineLevel="0" collapsed="false">
      <c r="A70" s="17" t="s">
        <v>287</v>
      </c>
    </row>
    <row r="71" customFormat="false" ht="15" hidden="false" customHeight="false" outlineLevel="0" collapsed="false">
      <c r="B71" s="53" t="n">
        <f aca="false">INDEX($M$45:$M$54,1)</f>
        <v>48.3809090909091</v>
      </c>
      <c r="C71" s="53" t="n">
        <f aca="false">INDEX($M$45:$M$54,2)</f>
        <v>2.62</v>
      </c>
      <c r="D71" s="53" t="n">
        <f aca="false">INDEX($M$45:$M$54,3)</f>
        <v>2.07</v>
      </c>
      <c r="E71" s="53" t="n">
        <f aca="false">INDEX($M$45:$M$54,4)</f>
        <v>1.38</v>
      </c>
      <c r="F71" s="53" t="n">
        <f aca="false">INDEX($M$45:$M$54,5)</f>
        <v>1.225</v>
      </c>
      <c r="G71" s="53" t="n">
        <f aca="false">INDEX($M$45:$M$54,6)</f>
        <v>-0.149999999999999</v>
      </c>
      <c r="H71" s="53" t="n">
        <f aca="false">INDEX($M$45:$M$54,7)</f>
        <v>0.45</v>
      </c>
      <c r="I71" s="53" t="n">
        <f aca="false">INDEX($M$45:$M$54,8)</f>
        <v>-2.47727272727275</v>
      </c>
      <c r="J71" s="53" t="n">
        <f aca="false">INDEX($M$45:$M$54,9)</f>
        <v>-2.02727272727272</v>
      </c>
      <c r="K71" s="53" t="n">
        <f aca="false">INDEX($M$45:$M$54,10)</f>
        <v>-1.17727272727271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Z49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21.6" hidden="false" customHeight="false" outlineLevel="0" collapsed="false">
      <c r="A1" s="1" t="s">
        <v>288</v>
      </c>
    </row>
    <row r="4" customFormat="false" ht="29.85" hidden="false" customHeight="false" outlineLevel="0" collapsed="false">
      <c r="A4" s="9" t="s">
        <v>289</v>
      </c>
      <c r="B4" s="9" t="s">
        <v>290</v>
      </c>
      <c r="C4" s="9" t="s">
        <v>291</v>
      </c>
      <c r="D4" s="9" t="s">
        <v>64</v>
      </c>
      <c r="E4" s="9" t="s">
        <v>69</v>
      </c>
      <c r="F4" s="9" t="s">
        <v>72</v>
      </c>
      <c r="G4" s="10" t="s">
        <v>145</v>
      </c>
      <c r="H4" s="9" t="s">
        <v>64</v>
      </c>
      <c r="I4" s="9" t="s">
        <v>69</v>
      </c>
      <c r="J4" s="9" t="s">
        <v>72</v>
      </c>
      <c r="K4" s="9" t="s">
        <v>150</v>
      </c>
      <c r="L4" s="9" t="s">
        <v>152</v>
      </c>
      <c r="M4" s="9" t="s">
        <v>154</v>
      </c>
      <c r="N4" s="9" t="s">
        <v>156</v>
      </c>
      <c r="O4" s="9" t="s">
        <v>158</v>
      </c>
      <c r="P4" s="9" t="s">
        <v>160</v>
      </c>
      <c r="Q4" s="10" t="s">
        <v>233</v>
      </c>
      <c r="R4" s="9" t="s">
        <v>238</v>
      </c>
      <c r="S4" s="10" t="s">
        <v>56</v>
      </c>
      <c r="T4" s="10" t="s">
        <v>228</v>
      </c>
      <c r="U4" s="10" t="s">
        <v>229</v>
      </c>
      <c r="V4" s="10" t="s">
        <v>292</v>
      </c>
      <c r="W4" s="10" t="s">
        <v>234</v>
      </c>
      <c r="X4" s="10" t="s">
        <v>293</v>
      </c>
      <c r="Y4" s="10" t="s">
        <v>294</v>
      </c>
      <c r="Z4" s="10" t="s">
        <v>295</v>
      </c>
    </row>
    <row r="5" customFormat="false" ht="15" hidden="false" customHeight="false" outlineLevel="0" collapsed="false">
      <c r="A5" s="0" t="n">
        <v>0</v>
      </c>
      <c r="B5" s="0" t="n">
        <v>0</v>
      </c>
      <c r="C5" s="0" t="n">
        <v>0</v>
      </c>
      <c r="D5" s="0" t="n">
        <f aca="false">-1+A5*0.125</f>
        <v>-1</v>
      </c>
      <c r="E5" s="0" t="n">
        <f aca="false">-1+B5*0.125</f>
        <v>-1</v>
      </c>
      <c r="F5" s="0" t="n">
        <f aca="false">-1+C5*0.125</f>
        <v>-1</v>
      </c>
      <c r="G5" s="0" t="n">
        <f aca="false">1</f>
        <v>1</v>
      </c>
      <c r="H5" s="0" t="n">
        <f aca="false">D5</f>
        <v>-1</v>
      </c>
      <c r="I5" s="0" t="n">
        <f aca="false">E5</f>
        <v>-1</v>
      </c>
      <c r="J5" s="0" t="n">
        <f aca="false">F5</f>
        <v>-1</v>
      </c>
      <c r="K5" s="0" t="n">
        <f aca="false">D5*E5</f>
        <v>1</v>
      </c>
      <c r="L5" s="0" t="n">
        <f aca="false">D5*F5</f>
        <v>1</v>
      </c>
      <c r="M5" s="0" t="n">
        <f aca="false">E5*F5</f>
        <v>1</v>
      </c>
      <c r="N5" s="0" t="n">
        <f aca="false">D5*D5</f>
        <v>1</v>
      </c>
      <c r="O5" s="0" t="n">
        <f aca="false">E5*E5</f>
        <v>1</v>
      </c>
      <c r="P5" s="0" t="n">
        <f aca="false">F5*F5</f>
        <v>1</v>
      </c>
      <c r="Q5" s="0" t="n">
        <f aca="false">SUMPRODUCT(G5:P5,_XtX!$B$71:$K$71)</f>
        <v>38.1540909090909</v>
      </c>
      <c r="R5" s="0" t="n">
        <f aca="false">SUMPRODUCT(MMULT(G5:P5,_XtX!$B$58:$K$67),G5:P5)</f>
        <v>0.793181818181818</v>
      </c>
      <c r="S5" s="0" t="n">
        <f aca="false">04_回帰ANOVA!$K$19*04_回帰ANOVA!$K$14*SQRT(1+R5)</f>
        <v>1.24502708501444</v>
      </c>
      <c r="T5" s="0" t="n">
        <f aca="false">Q5-S5</f>
        <v>36.9090638240765</v>
      </c>
      <c r="U5" s="0" t="n">
        <f aca="false">Q5+S5</f>
        <v>39.3991179941054</v>
      </c>
      <c r="V5" s="54" t="b">
        <f aca="false">AND(D5&gt;=01_因子設定!$L$5-0.000000001,D5&lt;=01_因子設定!$M$5+0.000000001,E5&gt;=01_因子設定!$L$6-0.000000001,E5&lt;=01_因子設定!$M$6+0.000000001,F5&gt;=01_因子設定!$L$7-0.000000001,F5&lt;=01_因子設定!$M$7+0.000000001,IF(01_因子設定!$B$20="Box-Behnken",D5^2+E5^2+F5^2&lt;=2+0.000000001,TRUE()))</f>
        <v>1</v>
      </c>
      <c r="W5" s="55" t="n">
        <f aca="false">IF(V5,IF(01_因子設定!$B$13="最大化",T5-01_因子設定!$B$14,IF(01_因子設定!$B$13="最小化",01_因子設定!$B$15-U5,MIN(T5-01_因子設定!$B$14,01_因子設定!$B$15-U5))),-1E+030)</f>
        <v>-11.5909361759235</v>
      </c>
      <c r="X5" s="55" t="n">
        <f aca="false">IF(V5,IF(01_因子設定!$B$13="最大化",Q5,IF(01_因子設定!$B$13="最小化",-Q5,-ABS(Q5-01_因子設定!$B$16))),-1E+030)</f>
        <v>38.1540909090909</v>
      </c>
      <c r="Y5" s="55" t="n">
        <f aca="false">W5+ROW()*0.000000001</f>
        <v>-11.5909361709235</v>
      </c>
      <c r="Z5" s="55" t="n">
        <f aca="false">X5+ROW()*0.000000001</f>
        <v>38.1540909140909</v>
      </c>
    </row>
    <row r="6" customFormat="false" ht="15" hidden="false" customHeight="false" outlineLevel="0" collapsed="false">
      <c r="A6" s="0" t="n">
        <v>0</v>
      </c>
      <c r="B6" s="0" t="n">
        <v>0</v>
      </c>
      <c r="C6" s="0" t="n">
        <v>1</v>
      </c>
      <c r="D6" s="0" t="n">
        <f aca="false">-1+A6*0.125</f>
        <v>-1</v>
      </c>
      <c r="E6" s="0" t="n">
        <f aca="false">-1+B6*0.125</f>
        <v>-1</v>
      </c>
      <c r="F6" s="0" t="n">
        <f aca="false">-1+C6*0.125</f>
        <v>-0.875</v>
      </c>
      <c r="G6" s="0" t="n">
        <f aca="false">1</f>
        <v>1</v>
      </c>
      <c r="H6" s="0" t="n">
        <f aca="false">D6</f>
        <v>-1</v>
      </c>
      <c r="I6" s="0" t="n">
        <f aca="false">E6</f>
        <v>-1</v>
      </c>
      <c r="J6" s="0" t="n">
        <f aca="false">F6</f>
        <v>-0.875</v>
      </c>
      <c r="K6" s="0" t="n">
        <f aca="false">D6*E6</f>
        <v>1</v>
      </c>
      <c r="L6" s="0" t="n">
        <f aca="false">D6*F6</f>
        <v>0.875</v>
      </c>
      <c r="M6" s="0" t="n">
        <f aca="false">E6*F6</f>
        <v>0.875</v>
      </c>
      <c r="N6" s="0" t="n">
        <f aca="false">D6*D6</f>
        <v>1</v>
      </c>
      <c r="O6" s="0" t="n">
        <f aca="false">E6*E6</f>
        <v>1</v>
      </c>
      <c r="P6" s="0" t="n">
        <f aca="false">F6*F6</f>
        <v>0.765625</v>
      </c>
      <c r="Q6" s="0" t="n">
        <f aca="false">SUMPRODUCT(G6:P6,_XtX!$B$71:$K$71)</f>
        <v>38.5650142045455</v>
      </c>
      <c r="R6" s="0" t="n">
        <f aca="false">SUMPRODUCT(MMULT(G6:P6,_XtX!$B$58:$K$67),G6:P6)</f>
        <v>0.709818892045455</v>
      </c>
      <c r="S6" s="0" t="n">
        <f aca="false">04_回帰ANOVA!$K$19*04_回帰ANOVA!$K$14*SQRT(1+R6)</f>
        <v>1.21574275944458</v>
      </c>
      <c r="T6" s="0" t="n">
        <f aca="false">Q6-S6</f>
        <v>37.3492714451009</v>
      </c>
      <c r="U6" s="0" t="n">
        <f aca="false">Q6+S6</f>
        <v>39.78075696399</v>
      </c>
      <c r="V6" s="54" t="b">
        <f aca="false">AND(D6&gt;=01_因子設定!$L$5-0.000000001,D6&lt;=01_因子設定!$M$5+0.000000001,E6&gt;=01_因子設定!$L$6-0.000000001,E6&lt;=01_因子設定!$M$6+0.000000001,F6&gt;=01_因子設定!$L$7-0.000000001,F6&lt;=01_因子設定!$M$7+0.000000001,IF(01_因子設定!$B$20="Box-Behnken",D6^2+E6^2+F6^2&lt;=2+0.000000001,TRUE()))</f>
        <v>1</v>
      </c>
      <c r="W6" s="55" t="n">
        <f aca="false">IF(V6,IF(01_因子設定!$B$13="最大化",T6-01_因子設定!$B$14,IF(01_因子設定!$B$13="最小化",01_因子設定!$B$15-U6,MIN(T6-01_因子設定!$B$14,01_因子設定!$B$15-U6))),-1E+030)</f>
        <v>-11.1507285548991</v>
      </c>
      <c r="X6" s="55" t="n">
        <f aca="false">IF(V6,IF(01_因子設定!$B$13="最大化",Q6,IF(01_因子設定!$B$13="最小化",-Q6,-ABS(Q6-01_因子設定!$B$16))),-1E+030)</f>
        <v>38.5650142045455</v>
      </c>
      <c r="Y6" s="55" t="n">
        <f aca="false">W6+ROW()*0.000000001</f>
        <v>-11.1507285488991</v>
      </c>
      <c r="Z6" s="55" t="n">
        <f aca="false">X6+ROW()*0.000000001</f>
        <v>38.5650142105455</v>
      </c>
    </row>
    <row r="7" customFormat="false" ht="15" hidden="false" customHeight="false" outlineLevel="0" collapsed="false">
      <c r="A7" s="0" t="n">
        <v>0</v>
      </c>
      <c r="B7" s="0" t="n">
        <v>0</v>
      </c>
      <c r="C7" s="0" t="n">
        <v>2</v>
      </c>
      <c r="D7" s="0" t="n">
        <f aca="false">-1+A7*0.125</f>
        <v>-1</v>
      </c>
      <c r="E7" s="0" t="n">
        <f aca="false">-1+B7*0.125</f>
        <v>-1</v>
      </c>
      <c r="F7" s="0" t="n">
        <f aca="false">-1+C7*0.125</f>
        <v>-0.75</v>
      </c>
      <c r="G7" s="0" t="n">
        <f aca="false">1</f>
        <v>1</v>
      </c>
      <c r="H7" s="0" t="n">
        <f aca="false">D7</f>
        <v>-1</v>
      </c>
      <c r="I7" s="0" t="n">
        <f aca="false">E7</f>
        <v>-1</v>
      </c>
      <c r="J7" s="0" t="n">
        <f aca="false">F7</f>
        <v>-0.75</v>
      </c>
      <c r="K7" s="0" t="n">
        <f aca="false">D7*E7</f>
        <v>1</v>
      </c>
      <c r="L7" s="0" t="n">
        <f aca="false">D7*F7</f>
        <v>0.75</v>
      </c>
      <c r="M7" s="0" t="n">
        <f aca="false">E7*F7</f>
        <v>0.75</v>
      </c>
      <c r="N7" s="0" t="n">
        <f aca="false">D7*D7</f>
        <v>1</v>
      </c>
      <c r="O7" s="0" t="n">
        <f aca="false">E7*E7</f>
        <v>1</v>
      </c>
      <c r="P7" s="0" t="n">
        <f aca="false">F7*F7</f>
        <v>0.5625</v>
      </c>
      <c r="Q7" s="0" t="n">
        <f aca="false">SUMPRODUCT(G7:P7,_XtX!$B$71:$K$71)</f>
        <v>38.9391477272727</v>
      </c>
      <c r="R7" s="0" t="n">
        <f aca="false">SUMPRODUCT(MMULT(G7:P7,_XtX!$B$58:$K$67),G7:P7)</f>
        <v>0.669886363636364</v>
      </c>
      <c r="S7" s="0" t="n">
        <f aca="false">04_回帰ANOVA!$K$19*04_回帰ANOVA!$K$14*SQRT(1+R7)</f>
        <v>1.20146215423986</v>
      </c>
      <c r="T7" s="0" t="n">
        <f aca="false">Q7-S7</f>
        <v>37.7376855730329</v>
      </c>
      <c r="U7" s="0" t="n">
        <f aca="false">Q7+S7</f>
        <v>40.1406098815126</v>
      </c>
      <c r="V7" s="54" t="b">
        <f aca="false">AND(D7&gt;=01_因子設定!$L$5-0.000000001,D7&lt;=01_因子設定!$M$5+0.000000001,E7&gt;=01_因子設定!$L$6-0.000000001,E7&lt;=01_因子設定!$M$6+0.000000001,F7&gt;=01_因子設定!$L$7-0.000000001,F7&lt;=01_因子設定!$M$7+0.000000001,IF(01_因子設定!$B$20="Box-Behnken",D7^2+E7^2+F7^2&lt;=2+0.000000001,TRUE()))</f>
        <v>1</v>
      </c>
      <c r="W7" s="55" t="n">
        <f aca="false">IF(V7,IF(01_因子設定!$B$13="最大化",T7-01_因子設定!$B$14,IF(01_因子設定!$B$13="最小化",01_因子設定!$B$15-U7,MIN(T7-01_因子設定!$B$14,01_因子設定!$B$15-U7))),-1E+030)</f>
        <v>-10.7623144269671</v>
      </c>
      <c r="X7" s="55" t="n">
        <f aca="false">IF(V7,IF(01_因子設定!$B$13="最大化",Q7,IF(01_因子設定!$B$13="最小化",-Q7,-ABS(Q7-01_因子設定!$B$16))),-1E+030)</f>
        <v>38.9391477272727</v>
      </c>
      <c r="Y7" s="55" t="n">
        <f aca="false">W7+ROW()*0.000000001</f>
        <v>-10.7623144199671</v>
      </c>
      <c r="Z7" s="55" t="n">
        <f aca="false">X7+ROW()*0.000000001</f>
        <v>38.9391477342727</v>
      </c>
    </row>
    <row r="8" customFormat="false" ht="15" hidden="false" customHeight="false" outlineLevel="0" collapsed="false">
      <c r="A8" s="0" t="n">
        <v>0</v>
      </c>
      <c r="B8" s="0" t="n">
        <v>0</v>
      </c>
      <c r="C8" s="0" t="n">
        <v>3</v>
      </c>
      <c r="D8" s="0" t="n">
        <f aca="false">-1+A8*0.125</f>
        <v>-1</v>
      </c>
      <c r="E8" s="0" t="n">
        <f aca="false">-1+B8*0.125</f>
        <v>-1</v>
      </c>
      <c r="F8" s="0" t="n">
        <f aca="false">-1+C8*0.125</f>
        <v>-0.625</v>
      </c>
      <c r="G8" s="0" t="n">
        <f aca="false">1</f>
        <v>1</v>
      </c>
      <c r="H8" s="0" t="n">
        <f aca="false">D8</f>
        <v>-1</v>
      </c>
      <c r="I8" s="0" t="n">
        <f aca="false">E8</f>
        <v>-1</v>
      </c>
      <c r="J8" s="0" t="n">
        <f aca="false">F8</f>
        <v>-0.625</v>
      </c>
      <c r="K8" s="0" t="n">
        <f aca="false">D8*E8</f>
        <v>1</v>
      </c>
      <c r="L8" s="0" t="n">
        <f aca="false">D8*F8</f>
        <v>0.625</v>
      </c>
      <c r="M8" s="0" t="n">
        <f aca="false">E8*F8</f>
        <v>0.625</v>
      </c>
      <c r="N8" s="0" t="n">
        <f aca="false">D8*D8</f>
        <v>1</v>
      </c>
      <c r="O8" s="0" t="n">
        <f aca="false">E8*E8</f>
        <v>1</v>
      </c>
      <c r="P8" s="0" t="n">
        <f aca="false">F8*F8</f>
        <v>0.390625</v>
      </c>
      <c r="Q8" s="0" t="n">
        <f aca="false">SUMPRODUCT(G8:P8,_XtX!$B$71:$K$71)</f>
        <v>39.2764914772727</v>
      </c>
      <c r="R8" s="0" t="n">
        <f aca="false">SUMPRODUCT(MMULT(G8:P8,_XtX!$B$58:$K$67),G8:P8)</f>
        <v>0.659534801136364</v>
      </c>
      <c r="S8" s="0" t="n">
        <f aca="false">04_回帰ANOVA!$K$19*04_回帰ANOVA!$K$14*SQRT(1+R8)</f>
        <v>1.19773245593097</v>
      </c>
      <c r="T8" s="0" t="n">
        <f aca="false">Q8-S8</f>
        <v>38.0787590213418</v>
      </c>
      <c r="U8" s="0" t="n">
        <f aca="false">Q8+S8</f>
        <v>40.4742239332037</v>
      </c>
      <c r="V8" s="54" t="b">
        <f aca="false">AND(D8&gt;=01_因子設定!$L$5-0.000000001,D8&lt;=01_因子設定!$M$5+0.000000001,E8&gt;=01_因子設定!$L$6-0.000000001,E8&lt;=01_因子設定!$M$6+0.000000001,F8&gt;=01_因子設定!$L$7-0.000000001,F8&lt;=01_因子設定!$M$7+0.000000001,IF(01_因子設定!$B$20="Box-Behnken",D8^2+E8^2+F8^2&lt;=2+0.000000001,TRUE()))</f>
        <v>1</v>
      </c>
      <c r="W8" s="55" t="n">
        <f aca="false">IF(V8,IF(01_因子設定!$B$13="最大化",T8-01_因子設定!$B$14,IF(01_因子設定!$B$13="最小化",01_因子設定!$B$15-U8,MIN(T8-01_因子設定!$B$14,01_因子設定!$B$15-U8))),-1E+030)</f>
        <v>-10.4212409786582</v>
      </c>
      <c r="X8" s="55" t="n">
        <f aca="false">IF(V8,IF(01_因子設定!$B$13="最大化",Q8,IF(01_因子設定!$B$13="最小化",-Q8,-ABS(Q8-01_因子設定!$B$16))),-1E+030)</f>
        <v>39.2764914772727</v>
      </c>
      <c r="Y8" s="55" t="n">
        <f aca="false">W8+ROW()*0.000000001</f>
        <v>-10.4212409706582</v>
      </c>
      <c r="Z8" s="55" t="n">
        <f aca="false">X8+ROW()*0.000000001</f>
        <v>39.2764914852727</v>
      </c>
    </row>
    <row r="9" customFormat="false" ht="15" hidden="false" customHeight="false" outlineLevel="0" collapsed="false">
      <c r="A9" s="0" t="n">
        <v>0</v>
      </c>
      <c r="B9" s="0" t="n">
        <v>0</v>
      </c>
      <c r="C9" s="0" t="n">
        <v>4</v>
      </c>
      <c r="D9" s="0" t="n">
        <f aca="false">-1+A9*0.125</f>
        <v>-1</v>
      </c>
      <c r="E9" s="0" t="n">
        <f aca="false">-1+B9*0.125</f>
        <v>-1</v>
      </c>
      <c r="F9" s="0" t="n">
        <f aca="false">-1+C9*0.125</f>
        <v>-0.5</v>
      </c>
      <c r="G9" s="0" t="n">
        <f aca="false">1</f>
        <v>1</v>
      </c>
      <c r="H9" s="0" t="n">
        <f aca="false">D9</f>
        <v>-1</v>
      </c>
      <c r="I9" s="0" t="n">
        <f aca="false">E9</f>
        <v>-1</v>
      </c>
      <c r="J9" s="0" t="n">
        <f aca="false">F9</f>
        <v>-0.5</v>
      </c>
      <c r="K9" s="0" t="n">
        <f aca="false">D9*E9</f>
        <v>1</v>
      </c>
      <c r="L9" s="0" t="n">
        <f aca="false">D9*F9</f>
        <v>0.5</v>
      </c>
      <c r="M9" s="0" t="n">
        <f aca="false">E9*F9</f>
        <v>0.5</v>
      </c>
      <c r="N9" s="0" t="n">
        <f aca="false">D9*D9</f>
        <v>1</v>
      </c>
      <c r="O9" s="0" t="n">
        <f aca="false">E9*E9</f>
        <v>1</v>
      </c>
      <c r="P9" s="0" t="n">
        <f aca="false">F9*F9</f>
        <v>0.25</v>
      </c>
      <c r="Q9" s="0" t="n">
        <f aca="false">SUMPRODUCT(G9:P9,_XtX!$B$71:$K$71)</f>
        <v>39.5770454545455</v>
      </c>
      <c r="R9" s="0" t="n">
        <f aca="false">SUMPRODUCT(MMULT(G9:P9,_XtX!$B$58:$K$67),G9:P9)</f>
        <v>0.667045454545455</v>
      </c>
      <c r="S9" s="0" t="n">
        <f aca="false">04_回帰ANOVA!$K$19*04_回帰ANOVA!$K$14*SQRT(1+R9)</f>
        <v>1.200439720088</v>
      </c>
      <c r="T9" s="0" t="n">
        <f aca="false">Q9-S9</f>
        <v>38.3766057344575</v>
      </c>
      <c r="U9" s="0" t="n">
        <f aca="false">Q9+S9</f>
        <v>40.7774851746335</v>
      </c>
      <c r="V9" s="54" t="b">
        <f aca="false">AND(D9&gt;=01_因子設定!$L$5-0.000000001,D9&lt;=01_因子設定!$M$5+0.000000001,E9&gt;=01_因子設定!$L$6-0.000000001,E9&lt;=01_因子設定!$M$6+0.000000001,F9&gt;=01_因子設定!$L$7-0.000000001,F9&lt;=01_因子設定!$M$7+0.000000001,IF(01_因子設定!$B$20="Box-Behnken",D9^2+E9^2+F9^2&lt;=2+0.000000001,TRUE()))</f>
        <v>1</v>
      </c>
      <c r="W9" s="55" t="n">
        <f aca="false">IF(V9,IF(01_因子設定!$B$13="最大化",T9-01_因子設定!$B$14,IF(01_因子設定!$B$13="最小化",01_因子設定!$B$15-U9,MIN(T9-01_因子設定!$B$14,01_因子設定!$B$15-U9))),-1E+030)</f>
        <v>-10.1233942655426</v>
      </c>
      <c r="X9" s="55" t="n">
        <f aca="false">IF(V9,IF(01_因子設定!$B$13="最大化",Q9,IF(01_因子設定!$B$13="最小化",-Q9,-ABS(Q9-01_因子設定!$B$16))),-1E+030)</f>
        <v>39.5770454545455</v>
      </c>
      <c r="Y9" s="55" t="n">
        <f aca="false">W9+ROW()*0.000000001</f>
        <v>-10.1233942565426</v>
      </c>
      <c r="Z9" s="55" t="n">
        <f aca="false">X9+ROW()*0.000000001</f>
        <v>39.5770454635454</v>
      </c>
    </row>
    <row r="10" customFormat="false" ht="15" hidden="false" customHeight="false" outlineLevel="0" collapsed="false">
      <c r="A10" s="0" t="n">
        <v>0</v>
      </c>
      <c r="B10" s="0" t="n">
        <v>0</v>
      </c>
      <c r="C10" s="0" t="n">
        <v>5</v>
      </c>
      <c r="D10" s="0" t="n">
        <f aca="false">-1+A10*0.125</f>
        <v>-1</v>
      </c>
      <c r="E10" s="0" t="n">
        <f aca="false">-1+B10*0.125</f>
        <v>-1</v>
      </c>
      <c r="F10" s="0" t="n">
        <f aca="false">-1+C10*0.125</f>
        <v>-0.375</v>
      </c>
      <c r="G10" s="0" t="n">
        <f aca="false">1</f>
        <v>1</v>
      </c>
      <c r="H10" s="0" t="n">
        <f aca="false">D10</f>
        <v>-1</v>
      </c>
      <c r="I10" s="0" t="n">
        <f aca="false">E10</f>
        <v>-1</v>
      </c>
      <c r="J10" s="0" t="n">
        <f aca="false">F10</f>
        <v>-0.375</v>
      </c>
      <c r="K10" s="0" t="n">
        <f aca="false">D10*E10</f>
        <v>1</v>
      </c>
      <c r="L10" s="0" t="n">
        <f aca="false">D10*F10</f>
        <v>0.375</v>
      </c>
      <c r="M10" s="0" t="n">
        <f aca="false">E10*F10</f>
        <v>0.375</v>
      </c>
      <c r="N10" s="0" t="n">
        <f aca="false">D10*D10</f>
        <v>1</v>
      </c>
      <c r="O10" s="0" t="n">
        <f aca="false">E10*E10</f>
        <v>1</v>
      </c>
      <c r="P10" s="0" t="n">
        <f aca="false">F10*F10</f>
        <v>0.140625</v>
      </c>
      <c r="Q10" s="0" t="n">
        <f aca="false">SUMPRODUCT(G10:P10,_XtX!$B$71:$K$71)</f>
        <v>39.8408096590909</v>
      </c>
      <c r="R10" s="0" t="n">
        <f aca="false">SUMPRODUCT(MMULT(G10:P10,_XtX!$B$58:$K$67),G10:P10)</f>
        <v>0.682830255681818</v>
      </c>
      <c r="S10" s="0" t="n">
        <f aca="false">04_回帰ANOVA!$K$19*04_回帰ANOVA!$K$14*SQRT(1+R10)</f>
        <v>1.20610964896955</v>
      </c>
      <c r="T10" s="0" t="n">
        <f aca="false">Q10-S10</f>
        <v>38.6347000101214</v>
      </c>
      <c r="U10" s="0" t="n">
        <f aca="false">Q10+S10</f>
        <v>41.0469193080604</v>
      </c>
      <c r="V10" s="54" t="b">
        <f aca="false">AND(D10&gt;=01_因子設定!$L$5-0.000000001,D10&lt;=01_因子設定!$M$5+0.000000001,E10&gt;=01_因子設定!$L$6-0.000000001,E10&lt;=01_因子設定!$M$6+0.000000001,F10&gt;=01_因子設定!$L$7-0.000000001,F10&lt;=01_因子設定!$M$7+0.000000001,IF(01_因子設定!$B$20="Box-Behnken",D10^2+E10^2+F10^2&lt;=2+0.000000001,TRUE()))</f>
        <v>1</v>
      </c>
      <c r="W10" s="55" t="n">
        <f aca="false">IF(V10,IF(01_因子設定!$B$13="最大化",T10-01_因子設定!$B$14,IF(01_因子設定!$B$13="最小化",01_因子設定!$B$15-U10,MIN(T10-01_因子設定!$B$14,01_因子設定!$B$15-U10))),-1E+030)</f>
        <v>-9.86529998987864</v>
      </c>
      <c r="X10" s="55" t="n">
        <f aca="false">IF(V10,IF(01_因子設定!$B$13="最大化",Q10,IF(01_因子設定!$B$13="最小化",-Q10,-ABS(Q10-01_因子設定!$B$16))),-1E+030)</f>
        <v>39.8408096590909</v>
      </c>
      <c r="Y10" s="55" t="n">
        <f aca="false">W10+ROW()*0.000000001</f>
        <v>-9.86529997987864</v>
      </c>
      <c r="Z10" s="55" t="n">
        <f aca="false">X10+ROW()*0.000000001</f>
        <v>39.8408096690909</v>
      </c>
    </row>
    <row r="11" customFormat="false" ht="15" hidden="false" customHeight="false" outlineLevel="0" collapsed="false">
      <c r="A11" s="0" t="n">
        <v>0</v>
      </c>
      <c r="B11" s="0" t="n">
        <v>0</v>
      </c>
      <c r="C11" s="0" t="n">
        <v>6</v>
      </c>
      <c r="D11" s="0" t="n">
        <f aca="false">-1+A11*0.125</f>
        <v>-1</v>
      </c>
      <c r="E11" s="0" t="n">
        <f aca="false">-1+B11*0.125</f>
        <v>-1</v>
      </c>
      <c r="F11" s="0" t="n">
        <f aca="false">-1+C11*0.125</f>
        <v>-0.25</v>
      </c>
      <c r="G11" s="0" t="n">
        <f aca="false">1</f>
        <v>1</v>
      </c>
      <c r="H11" s="0" t="n">
        <f aca="false">D11</f>
        <v>-1</v>
      </c>
      <c r="I11" s="0" t="n">
        <f aca="false">E11</f>
        <v>-1</v>
      </c>
      <c r="J11" s="0" t="n">
        <f aca="false">F11</f>
        <v>-0.25</v>
      </c>
      <c r="K11" s="0" t="n">
        <f aca="false">D11*E11</f>
        <v>1</v>
      </c>
      <c r="L11" s="0" t="n">
        <f aca="false">D11*F11</f>
        <v>0.25</v>
      </c>
      <c r="M11" s="0" t="n">
        <f aca="false">E11*F11</f>
        <v>0.25</v>
      </c>
      <c r="N11" s="0" t="n">
        <f aca="false">D11*D11</f>
        <v>1</v>
      </c>
      <c r="O11" s="0" t="n">
        <f aca="false">E11*E11</f>
        <v>1</v>
      </c>
      <c r="P11" s="0" t="n">
        <f aca="false">F11*F11</f>
        <v>0.0625</v>
      </c>
      <c r="Q11" s="0" t="n">
        <f aca="false">SUMPRODUCT(G11:P11,_XtX!$B$71:$K$71)</f>
        <v>40.0677840909091</v>
      </c>
      <c r="R11" s="0" t="n">
        <f aca="false">SUMPRODUCT(MMULT(G11:P11,_XtX!$B$58:$K$67),G11:P11)</f>
        <v>0.699431818181818</v>
      </c>
      <c r="S11" s="0" t="n">
        <f aca="false">04_回帰ANOVA!$K$19*04_回帰ANOVA!$K$14*SQRT(1+R11)</f>
        <v>1.21204434231192</v>
      </c>
      <c r="T11" s="0" t="n">
        <f aca="false">Q11-S11</f>
        <v>38.8557397485972</v>
      </c>
      <c r="U11" s="0" t="n">
        <f aca="false">Q11+S11</f>
        <v>41.279828433221</v>
      </c>
      <c r="V11" s="54" t="b">
        <f aca="false">AND(D11&gt;=01_因子設定!$L$5-0.000000001,D11&lt;=01_因子設定!$M$5+0.000000001,E11&gt;=01_因子設定!$L$6-0.000000001,E11&lt;=01_因子設定!$M$6+0.000000001,F11&gt;=01_因子設定!$L$7-0.000000001,F11&lt;=01_因子設定!$M$7+0.000000001,IF(01_因子設定!$B$20="Box-Behnken",D11^2+E11^2+F11^2&lt;=2+0.000000001,TRUE()))</f>
        <v>1</v>
      </c>
      <c r="W11" s="55" t="n">
        <f aca="false">IF(V11,IF(01_因子設定!$B$13="最大化",T11-01_因子設定!$B$14,IF(01_因子設定!$B$13="最小化",01_因子設定!$B$15-U11,MIN(T11-01_因子設定!$B$14,01_因子設定!$B$15-U11))),-1E+030)</f>
        <v>-9.64426025140284</v>
      </c>
      <c r="X11" s="55" t="n">
        <f aca="false">IF(V11,IF(01_因子設定!$B$13="最大化",Q11,IF(01_因子設定!$B$13="最小化",-Q11,-ABS(Q11-01_因子設定!$B$16))),-1E+030)</f>
        <v>40.0677840909091</v>
      </c>
      <c r="Y11" s="55" t="n">
        <f aca="false">W11+ROW()*0.000000001</f>
        <v>-9.64426024040284</v>
      </c>
      <c r="Z11" s="55" t="n">
        <f aca="false">X11+ROW()*0.000000001</f>
        <v>40.0677841019091</v>
      </c>
    </row>
    <row r="12" customFormat="false" ht="15" hidden="false" customHeight="false" outlineLevel="0" collapsed="false">
      <c r="A12" s="0" t="n">
        <v>0</v>
      </c>
      <c r="B12" s="0" t="n">
        <v>0</v>
      </c>
      <c r="C12" s="0" t="n">
        <v>7</v>
      </c>
      <c r="D12" s="0" t="n">
        <f aca="false">-1+A12*0.125</f>
        <v>-1</v>
      </c>
      <c r="E12" s="0" t="n">
        <f aca="false">-1+B12*0.125</f>
        <v>-1</v>
      </c>
      <c r="F12" s="0" t="n">
        <f aca="false">-1+C12*0.125</f>
        <v>-0.125</v>
      </c>
      <c r="G12" s="0" t="n">
        <f aca="false">1</f>
        <v>1</v>
      </c>
      <c r="H12" s="0" t="n">
        <f aca="false">D12</f>
        <v>-1</v>
      </c>
      <c r="I12" s="0" t="n">
        <f aca="false">E12</f>
        <v>-1</v>
      </c>
      <c r="J12" s="0" t="n">
        <f aca="false">F12</f>
        <v>-0.125</v>
      </c>
      <c r="K12" s="0" t="n">
        <f aca="false">D12*E12</f>
        <v>1</v>
      </c>
      <c r="L12" s="0" t="n">
        <f aca="false">D12*F12</f>
        <v>0.125</v>
      </c>
      <c r="M12" s="0" t="n">
        <f aca="false">E12*F12</f>
        <v>0.125</v>
      </c>
      <c r="N12" s="0" t="n">
        <f aca="false">D12*D12</f>
        <v>1</v>
      </c>
      <c r="O12" s="0" t="n">
        <f aca="false">E12*E12</f>
        <v>1</v>
      </c>
      <c r="P12" s="0" t="n">
        <f aca="false">F12*F12</f>
        <v>0.015625</v>
      </c>
      <c r="Q12" s="0" t="n">
        <f aca="false">SUMPRODUCT(G12:P12,_XtX!$B$71:$K$71)</f>
        <v>40.25796875</v>
      </c>
      <c r="R12" s="0" t="n">
        <f aca="false">SUMPRODUCT(MMULT(G12:P12,_XtX!$B$58:$K$67),G12:P12)</f>
        <v>0.7115234375</v>
      </c>
      <c r="S12" s="0" t="n">
        <f aca="false">04_回帰ANOVA!$K$19*04_回帰ANOVA!$K$14*SQRT(1+R12)</f>
        <v>1.21634860506574</v>
      </c>
      <c r="T12" s="0" t="n">
        <f aca="false">Q12-S12</f>
        <v>39.0416201449343</v>
      </c>
      <c r="U12" s="0" t="n">
        <f aca="false">Q12+S12</f>
        <v>41.4743173550657</v>
      </c>
      <c r="V12" s="54" t="b">
        <f aca="false">AND(D12&gt;=01_因子設定!$L$5-0.000000001,D12&lt;=01_因子設定!$M$5+0.000000001,E12&gt;=01_因子設定!$L$6-0.000000001,E12&lt;=01_因子設定!$M$6+0.000000001,F12&gt;=01_因子設定!$L$7-0.000000001,F12&lt;=01_因子設定!$M$7+0.000000001,IF(01_因子設定!$B$20="Box-Behnken",D12^2+E12^2+F12^2&lt;=2+0.000000001,TRUE()))</f>
        <v>1</v>
      </c>
      <c r="W12" s="55" t="n">
        <f aca="false">IF(V12,IF(01_因子設定!$B$13="最大化",T12-01_因子設定!$B$14,IF(01_因子設定!$B$13="最小化",01_因子設定!$B$15-U12,MIN(T12-01_因子設定!$B$14,01_因子設定!$B$15-U12))),-1E+030)</f>
        <v>-9.45837985506574</v>
      </c>
      <c r="X12" s="55" t="n">
        <f aca="false">IF(V12,IF(01_因子設定!$B$13="最大化",Q12,IF(01_因子設定!$B$13="最小化",-Q12,-ABS(Q12-01_因子設定!$B$16))),-1E+030)</f>
        <v>40.25796875</v>
      </c>
      <c r="Y12" s="55" t="n">
        <f aca="false">W12+ROW()*0.000000001</f>
        <v>-9.45837984306574</v>
      </c>
      <c r="Z12" s="55" t="n">
        <f aca="false">X12+ROW()*0.000000001</f>
        <v>40.257968762</v>
      </c>
    </row>
    <row r="13" customFormat="false" ht="15" hidden="false" customHeight="false" outlineLevel="0" collapsed="false">
      <c r="A13" s="0" t="n">
        <v>0</v>
      </c>
      <c r="B13" s="0" t="n">
        <v>0</v>
      </c>
      <c r="C13" s="0" t="n">
        <v>8</v>
      </c>
      <c r="D13" s="0" t="n">
        <f aca="false">-1+A13*0.125</f>
        <v>-1</v>
      </c>
      <c r="E13" s="0" t="n">
        <f aca="false">-1+B13*0.125</f>
        <v>-1</v>
      </c>
      <c r="F13" s="0" t="n">
        <f aca="false">-1+C13*0.125</f>
        <v>0</v>
      </c>
      <c r="G13" s="0" t="n">
        <f aca="false">1</f>
        <v>1</v>
      </c>
      <c r="H13" s="0" t="n">
        <f aca="false">D13</f>
        <v>-1</v>
      </c>
      <c r="I13" s="0" t="n">
        <f aca="false">E13</f>
        <v>-1</v>
      </c>
      <c r="J13" s="0" t="n">
        <f aca="false">F13</f>
        <v>0</v>
      </c>
      <c r="K13" s="0" t="n">
        <f aca="false">D13*E13</f>
        <v>1</v>
      </c>
      <c r="L13" s="0" t="n">
        <f aca="false">D13*F13</f>
        <v>-0</v>
      </c>
      <c r="M13" s="0" t="n">
        <f aca="false">E13*F13</f>
        <v>-0</v>
      </c>
      <c r="N13" s="0" t="n">
        <f aca="false">D13*D13</f>
        <v>1</v>
      </c>
      <c r="O13" s="0" t="n">
        <f aca="false">E13*E13</f>
        <v>1</v>
      </c>
      <c r="P13" s="0" t="n">
        <f aca="false">F13*F13</f>
        <v>0</v>
      </c>
      <c r="Q13" s="0" t="n">
        <f aca="false">SUMPRODUCT(G13:P13,_XtX!$B$71:$K$71)</f>
        <v>40.4113636363636</v>
      </c>
      <c r="R13" s="0" t="n">
        <f aca="false">SUMPRODUCT(MMULT(G13:P13,_XtX!$B$58:$K$67),G13:P13)</f>
        <v>0.715909090909091</v>
      </c>
      <c r="S13" s="0" t="n">
        <f aca="false">04_回帰ANOVA!$K$19*04_回帰ANOVA!$K$14*SQRT(1+R13)</f>
        <v>1.21790601011063</v>
      </c>
      <c r="T13" s="0" t="n">
        <f aca="false">Q13-S13</f>
        <v>39.193457626253</v>
      </c>
      <c r="U13" s="0" t="n">
        <f aca="false">Q13+S13</f>
        <v>41.6292696464743</v>
      </c>
      <c r="V13" s="54" t="b">
        <f aca="false">AND(D13&gt;=01_因子設定!$L$5-0.000000001,D13&lt;=01_因子設定!$M$5+0.000000001,E13&gt;=01_因子設定!$L$6-0.000000001,E13&lt;=01_因子設定!$M$6+0.000000001,F13&gt;=01_因子設定!$L$7-0.000000001,F13&lt;=01_因子設定!$M$7+0.000000001,IF(01_因子設定!$B$20="Box-Behnken",D13^2+E13^2+F13^2&lt;=2+0.000000001,TRUE()))</f>
        <v>1</v>
      </c>
      <c r="W13" s="55" t="n">
        <f aca="false">IF(V13,IF(01_因子設定!$B$13="最大化",T13-01_因子設定!$B$14,IF(01_因子設定!$B$13="最小化",01_因子設定!$B$15-U13,MIN(T13-01_因子設定!$B$14,01_因子設定!$B$15-U13))),-1E+030)</f>
        <v>-9.306542373747</v>
      </c>
      <c r="X13" s="55" t="n">
        <f aca="false">IF(V13,IF(01_因子設定!$B$13="最大化",Q13,IF(01_因子設定!$B$13="最小化",-Q13,-ABS(Q13-01_因子設定!$B$16))),-1E+030)</f>
        <v>40.4113636363636</v>
      </c>
      <c r="Y13" s="55" t="n">
        <f aca="false">W13+ROW()*0.000000001</f>
        <v>-9.306542360747</v>
      </c>
      <c r="Z13" s="55" t="n">
        <f aca="false">X13+ROW()*0.000000001</f>
        <v>40.4113636493636</v>
      </c>
    </row>
    <row r="14" customFormat="false" ht="15" hidden="false" customHeight="false" outlineLevel="0" collapsed="false">
      <c r="A14" s="0" t="n">
        <v>0</v>
      </c>
      <c r="B14" s="0" t="n">
        <v>0</v>
      </c>
      <c r="C14" s="0" t="n">
        <v>9</v>
      </c>
      <c r="D14" s="0" t="n">
        <f aca="false">-1+A14*0.125</f>
        <v>-1</v>
      </c>
      <c r="E14" s="0" t="n">
        <f aca="false">-1+B14*0.125</f>
        <v>-1</v>
      </c>
      <c r="F14" s="0" t="n">
        <f aca="false">-1+C14*0.125</f>
        <v>0.125</v>
      </c>
      <c r="G14" s="0" t="n">
        <f aca="false">1</f>
        <v>1</v>
      </c>
      <c r="H14" s="0" t="n">
        <f aca="false">D14</f>
        <v>-1</v>
      </c>
      <c r="I14" s="0" t="n">
        <f aca="false">E14</f>
        <v>-1</v>
      </c>
      <c r="J14" s="0" t="n">
        <f aca="false">F14</f>
        <v>0.125</v>
      </c>
      <c r="K14" s="0" t="n">
        <f aca="false">D14*E14</f>
        <v>1</v>
      </c>
      <c r="L14" s="0" t="n">
        <f aca="false">D14*F14</f>
        <v>-0.125</v>
      </c>
      <c r="M14" s="0" t="n">
        <f aca="false">E14*F14</f>
        <v>-0.125</v>
      </c>
      <c r="N14" s="0" t="n">
        <f aca="false">D14*D14</f>
        <v>1</v>
      </c>
      <c r="O14" s="0" t="n">
        <f aca="false">E14*E14</f>
        <v>1</v>
      </c>
      <c r="P14" s="0" t="n">
        <f aca="false">F14*F14</f>
        <v>0.015625</v>
      </c>
      <c r="Q14" s="0" t="n">
        <f aca="false">SUMPRODUCT(G14:P14,_XtX!$B$71:$K$71)</f>
        <v>40.52796875</v>
      </c>
      <c r="R14" s="0" t="n">
        <f aca="false">SUMPRODUCT(MMULT(G14:P14,_XtX!$B$58:$K$67),G14:P14)</f>
        <v>0.7115234375</v>
      </c>
      <c r="S14" s="0" t="n">
        <f aca="false">04_回帰ANOVA!$K$19*04_回帰ANOVA!$K$14*SQRT(1+R14)</f>
        <v>1.21634860506574</v>
      </c>
      <c r="T14" s="0" t="n">
        <f aca="false">Q14-S14</f>
        <v>39.3116201449343</v>
      </c>
      <c r="U14" s="0" t="n">
        <f aca="false">Q14+S14</f>
        <v>41.7443173550657</v>
      </c>
      <c r="V14" s="54" t="b">
        <f aca="false">AND(D14&gt;=01_因子設定!$L$5-0.000000001,D14&lt;=01_因子設定!$M$5+0.000000001,E14&gt;=01_因子設定!$L$6-0.000000001,E14&lt;=01_因子設定!$M$6+0.000000001,F14&gt;=01_因子設定!$L$7-0.000000001,F14&lt;=01_因子設定!$M$7+0.000000001,IF(01_因子設定!$B$20="Box-Behnken",D14^2+E14^2+F14^2&lt;=2+0.000000001,TRUE()))</f>
        <v>1</v>
      </c>
      <c r="W14" s="55" t="n">
        <f aca="false">IF(V14,IF(01_因子設定!$B$13="最大化",T14-01_因子設定!$B$14,IF(01_因子設定!$B$13="最小化",01_因子設定!$B$15-U14,MIN(T14-01_因子設定!$B$14,01_因子設定!$B$15-U14))),-1E+030)</f>
        <v>-9.18837985506574</v>
      </c>
      <c r="X14" s="55" t="n">
        <f aca="false">IF(V14,IF(01_因子設定!$B$13="最大化",Q14,IF(01_因子設定!$B$13="最小化",-Q14,-ABS(Q14-01_因子設定!$B$16))),-1E+030)</f>
        <v>40.52796875</v>
      </c>
      <c r="Y14" s="55" t="n">
        <f aca="false">W14+ROW()*0.000000001</f>
        <v>-9.18837984106574</v>
      </c>
      <c r="Z14" s="55" t="n">
        <f aca="false">X14+ROW()*0.000000001</f>
        <v>40.527968764</v>
      </c>
    </row>
    <row r="15" customFormat="false" ht="15" hidden="false" customHeight="false" outlineLevel="0" collapsed="false">
      <c r="A15" s="0" t="n">
        <v>0</v>
      </c>
      <c r="B15" s="0" t="n">
        <v>0</v>
      </c>
      <c r="C15" s="0" t="n">
        <v>10</v>
      </c>
      <c r="D15" s="0" t="n">
        <f aca="false">-1+A15*0.125</f>
        <v>-1</v>
      </c>
      <c r="E15" s="0" t="n">
        <f aca="false">-1+B15*0.125</f>
        <v>-1</v>
      </c>
      <c r="F15" s="0" t="n">
        <f aca="false">-1+C15*0.125</f>
        <v>0.25</v>
      </c>
      <c r="G15" s="0" t="n">
        <f aca="false">1</f>
        <v>1</v>
      </c>
      <c r="H15" s="0" t="n">
        <f aca="false">D15</f>
        <v>-1</v>
      </c>
      <c r="I15" s="0" t="n">
        <f aca="false">E15</f>
        <v>-1</v>
      </c>
      <c r="J15" s="0" t="n">
        <f aca="false">F15</f>
        <v>0.25</v>
      </c>
      <c r="K15" s="0" t="n">
        <f aca="false">D15*E15</f>
        <v>1</v>
      </c>
      <c r="L15" s="0" t="n">
        <f aca="false">D15*F15</f>
        <v>-0.25</v>
      </c>
      <c r="M15" s="0" t="n">
        <f aca="false">E15*F15</f>
        <v>-0.25</v>
      </c>
      <c r="N15" s="0" t="n">
        <f aca="false">D15*D15</f>
        <v>1</v>
      </c>
      <c r="O15" s="0" t="n">
        <f aca="false">E15*E15</f>
        <v>1</v>
      </c>
      <c r="P15" s="0" t="n">
        <f aca="false">F15*F15</f>
        <v>0.0625</v>
      </c>
      <c r="Q15" s="0" t="n">
        <f aca="false">SUMPRODUCT(G15:P15,_XtX!$B$71:$K$71)</f>
        <v>40.6077840909091</v>
      </c>
      <c r="R15" s="0" t="n">
        <f aca="false">SUMPRODUCT(MMULT(G15:P15,_XtX!$B$58:$K$67),G15:P15)</f>
        <v>0.699431818181818</v>
      </c>
      <c r="S15" s="0" t="n">
        <f aca="false">04_回帰ANOVA!$K$19*04_回帰ANOVA!$K$14*SQRT(1+R15)</f>
        <v>1.21204434231192</v>
      </c>
      <c r="T15" s="0" t="n">
        <f aca="false">Q15-S15</f>
        <v>39.3957397485972</v>
      </c>
      <c r="U15" s="0" t="n">
        <f aca="false">Q15+S15</f>
        <v>41.819828433221</v>
      </c>
      <c r="V15" s="54" t="b">
        <f aca="false">AND(D15&gt;=01_因子設定!$L$5-0.000000001,D15&lt;=01_因子設定!$M$5+0.000000001,E15&gt;=01_因子設定!$L$6-0.000000001,E15&lt;=01_因子設定!$M$6+0.000000001,F15&gt;=01_因子設定!$L$7-0.000000001,F15&lt;=01_因子設定!$M$7+0.000000001,IF(01_因子設定!$B$20="Box-Behnken",D15^2+E15^2+F15^2&lt;=2+0.000000001,TRUE()))</f>
        <v>1</v>
      </c>
      <c r="W15" s="55" t="n">
        <f aca="false">IF(V15,IF(01_因子設定!$B$13="最大化",T15-01_因子設定!$B$14,IF(01_因子設定!$B$13="最小化",01_因子設定!$B$15-U15,MIN(T15-01_因子設定!$B$14,01_因子設定!$B$15-U15))),-1E+030)</f>
        <v>-9.10426025140284</v>
      </c>
      <c r="X15" s="55" t="n">
        <f aca="false">IF(V15,IF(01_因子設定!$B$13="最大化",Q15,IF(01_因子設定!$B$13="最小化",-Q15,-ABS(Q15-01_因子設定!$B$16))),-1E+030)</f>
        <v>40.6077840909091</v>
      </c>
      <c r="Y15" s="55" t="n">
        <f aca="false">W15+ROW()*0.000000001</f>
        <v>-9.10426023640284</v>
      </c>
      <c r="Z15" s="55" t="n">
        <f aca="false">X15+ROW()*0.000000001</f>
        <v>40.6077841059091</v>
      </c>
    </row>
    <row r="16" customFormat="false" ht="15" hidden="false" customHeight="false" outlineLevel="0" collapsed="false">
      <c r="A16" s="0" t="n">
        <v>0</v>
      </c>
      <c r="B16" s="0" t="n">
        <v>0</v>
      </c>
      <c r="C16" s="0" t="n">
        <v>11</v>
      </c>
      <c r="D16" s="0" t="n">
        <f aca="false">-1+A16*0.125</f>
        <v>-1</v>
      </c>
      <c r="E16" s="0" t="n">
        <f aca="false">-1+B16*0.125</f>
        <v>-1</v>
      </c>
      <c r="F16" s="0" t="n">
        <f aca="false">-1+C16*0.125</f>
        <v>0.375</v>
      </c>
      <c r="G16" s="0" t="n">
        <f aca="false">1</f>
        <v>1</v>
      </c>
      <c r="H16" s="0" t="n">
        <f aca="false">D16</f>
        <v>-1</v>
      </c>
      <c r="I16" s="0" t="n">
        <f aca="false">E16</f>
        <v>-1</v>
      </c>
      <c r="J16" s="0" t="n">
        <f aca="false">F16</f>
        <v>0.375</v>
      </c>
      <c r="K16" s="0" t="n">
        <f aca="false">D16*E16</f>
        <v>1</v>
      </c>
      <c r="L16" s="0" t="n">
        <f aca="false">D16*F16</f>
        <v>-0.375</v>
      </c>
      <c r="M16" s="0" t="n">
        <f aca="false">E16*F16</f>
        <v>-0.375</v>
      </c>
      <c r="N16" s="0" t="n">
        <f aca="false">D16*D16</f>
        <v>1</v>
      </c>
      <c r="O16" s="0" t="n">
        <f aca="false">E16*E16</f>
        <v>1</v>
      </c>
      <c r="P16" s="0" t="n">
        <f aca="false">F16*F16</f>
        <v>0.140625</v>
      </c>
      <c r="Q16" s="0" t="n">
        <f aca="false">SUMPRODUCT(G16:P16,_XtX!$B$71:$K$71)</f>
        <v>40.6508096590909</v>
      </c>
      <c r="R16" s="0" t="n">
        <f aca="false">SUMPRODUCT(MMULT(G16:P16,_XtX!$B$58:$K$67),G16:P16)</f>
        <v>0.682830255681818</v>
      </c>
      <c r="S16" s="0" t="n">
        <f aca="false">04_回帰ANOVA!$K$19*04_回帰ANOVA!$K$14*SQRT(1+R16)</f>
        <v>1.20610964896955</v>
      </c>
      <c r="T16" s="0" t="n">
        <f aca="false">Q16-S16</f>
        <v>39.4447000101214</v>
      </c>
      <c r="U16" s="0" t="n">
        <f aca="false">Q16+S16</f>
        <v>41.8569193080605</v>
      </c>
      <c r="V16" s="54" t="b">
        <f aca="false">AND(D16&gt;=01_因子設定!$L$5-0.000000001,D16&lt;=01_因子設定!$M$5+0.000000001,E16&gt;=01_因子設定!$L$6-0.000000001,E16&lt;=01_因子設定!$M$6+0.000000001,F16&gt;=01_因子設定!$L$7-0.000000001,F16&lt;=01_因子設定!$M$7+0.000000001,IF(01_因子設定!$B$20="Box-Behnken",D16^2+E16^2+F16^2&lt;=2+0.000000001,TRUE()))</f>
        <v>1</v>
      </c>
      <c r="W16" s="55" t="n">
        <f aca="false">IF(V16,IF(01_因子設定!$B$13="最大化",T16-01_因子設定!$B$14,IF(01_因子設定!$B$13="最小化",01_因子設定!$B$15-U16,MIN(T16-01_因子設定!$B$14,01_因子設定!$B$15-U16))),-1E+030)</f>
        <v>-9.05529998987864</v>
      </c>
      <c r="X16" s="55" t="n">
        <f aca="false">IF(V16,IF(01_因子設定!$B$13="最大化",Q16,IF(01_因子設定!$B$13="最小化",-Q16,-ABS(Q16-01_因子設定!$B$16))),-1E+030)</f>
        <v>40.6508096590909</v>
      </c>
      <c r="Y16" s="55" t="n">
        <f aca="false">W16+ROW()*0.000000001</f>
        <v>-9.05529997387864</v>
      </c>
      <c r="Z16" s="55" t="n">
        <f aca="false">X16+ROW()*0.000000001</f>
        <v>40.6508096750909</v>
      </c>
    </row>
    <row r="17" customFormat="false" ht="15" hidden="false" customHeight="false" outlineLevel="0" collapsed="false">
      <c r="A17" s="0" t="n">
        <v>0</v>
      </c>
      <c r="B17" s="0" t="n">
        <v>0</v>
      </c>
      <c r="C17" s="0" t="n">
        <v>12</v>
      </c>
      <c r="D17" s="0" t="n">
        <f aca="false">-1+A17*0.125</f>
        <v>-1</v>
      </c>
      <c r="E17" s="0" t="n">
        <f aca="false">-1+B17*0.125</f>
        <v>-1</v>
      </c>
      <c r="F17" s="0" t="n">
        <f aca="false">-1+C17*0.125</f>
        <v>0.5</v>
      </c>
      <c r="G17" s="0" t="n">
        <f aca="false">1</f>
        <v>1</v>
      </c>
      <c r="H17" s="0" t="n">
        <f aca="false">D17</f>
        <v>-1</v>
      </c>
      <c r="I17" s="0" t="n">
        <f aca="false">E17</f>
        <v>-1</v>
      </c>
      <c r="J17" s="0" t="n">
        <f aca="false">F17</f>
        <v>0.5</v>
      </c>
      <c r="K17" s="0" t="n">
        <f aca="false">D17*E17</f>
        <v>1</v>
      </c>
      <c r="L17" s="0" t="n">
        <f aca="false">D17*F17</f>
        <v>-0.5</v>
      </c>
      <c r="M17" s="0" t="n">
        <f aca="false">E17*F17</f>
        <v>-0.5</v>
      </c>
      <c r="N17" s="0" t="n">
        <f aca="false">D17*D17</f>
        <v>1</v>
      </c>
      <c r="O17" s="0" t="n">
        <f aca="false">E17*E17</f>
        <v>1</v>
      </c>
      <c r="P17" s="0" t="n">
        <f aca="false">F17*F17</f>
        <v>0.25</v>
      </c>
      <c r="Q17" s="0" t="n">
        <f aca="false">SUMPRODUCT(G17:P17,_XtX!$B$71:$K$71)</f>
        <v>40.6570454545455</v>
      </c>
      <c r="R17" s="0" t="n">
        <f aca="false">SUMPRODUCT(MMULT(G17:P17,_XtX!$B$58:$K$67),G17:P17)</f>
        <v>0.667045454545455</v>
      </c>
      <c r="S17" s="0" t="n">
        <f aca="false">04_回帰ANOVA!$K$19*04_回帰ANOVA!$K$14*SQRT(1+R17)</f>
        <v>1.200439720088</v>
      </c>
      <c r="T17" s="0" t="n">
        <f aca="false">Q17-S17</f>
        <v>39.4566057344575</v>
      </c>
      <c r="U17" s="0" t="n">
        <f aca="false">Q17+S17</f>
        <v>41.8574851746334</v>
      </c>
      <c r="V17" s="54" t="b">
        <f aca="false">AND(D17&gt;=01_因子設定!$L$5-0.000000001,D17&lt;=01_因子設定!$M$5+0.000000001,E17&gt;=01_因子設定!$L$6-0.000000001,E17&lt;=01_因子設定!$M$6+0.000000001,F17&gt;=01_因子設定!$L$7-0.000000001,F17&lt;=01_因子設定!$M$7+0.000000001,IF(01_因子設定!$B$20="Box-Behnken",D17^2+E17^2+F17^2&lt;=2+0.000000001,TRUE()))</f>
        <v>1</v>
      </c>
      <c r="W17" s="55" t="n">
        <f aca="false">IF(V17,IF(01_因子設定!$B$13="最大化",T17-01_因子設定!$B$14,IF(01_因子設定!$B$13="最小化",01_因子設定!$B$15-U17,MIN(T17-01_因子設定!$B$14,01_因子設定!$B$15-U17))),-1E+030)</f>
        <v>-9.04339426554255</v>
      </c>
      <c r="X17" s="55" t="n">
        <f aca="false">IF(V17,IF(01_因子設定!$B$13="最大化",Q17,IF(01_因子設定!$B$13="最小化",-Q17,-ABS(Q17-01_因子設定!$B$16))),-1E+030)</f>
        <v>40.6570454545455</v>
      </c>
      <c r="Y17" s="55" t="n">
        <f aca="false">W17+ROW()*0.000000001</f>
        <v>-9.04339424854255</v>
      </c>
      <c r="Z17" s="55" t="n">
        <f aca="false">X17+ROW()*0.000000001</f>
        <v>40.6570454715454</v>
      </c>
    </row>
    <row r="18" customFormat="false" ht="15" hidden="false" customHeight="false" outlineLevel="0" collapsed="false">
      <c r="A18" s="0" t="n">
        <v>0</v>
      </c>
      <c r="B18" s="0" t="n">
        <v>0</v>
      </c>
      <c r="C18" s="0" t="n">
        <v>13</v>
      </c>
      <c r="D18" s="0" t="n">
        <f aca="false">-1+A18*0.125</f>
        <v>-1</v>
      </c>
      <c r="E18" s="0" t="n">
        <f aca="false">-1+B18*0.125</f>
        <v>-1</v>
      </c>
      <c r="F18" s="0" t="n">
        <f aca="false">-1+C18*0.125</f>
        <v>0.625</v>
      </c>
      <c r="G18" s="0" t="n">
        <f aca="false">1</f>
        <v>1</v>
      </c>
      <c r="H18" s="0" t="n">
        <f aca="false">D18</f>
        <v>-1</v>
      </c>
      <c r="I18" s="0" t="n">
        <f aca="false">E18</f>
        <v>-1</v>
      </c>
      <c r="J18" s="0" t="n">
        <f aca="false">F18</f>
        <v>0.625</v>
      </c>
      <c r="K18" s="0" t="n">
        <f aca="false">D18*E18</f>
        <v>1</v>
      </c>
      <c r="L18" s="0" t="n">
        <f aca="false">D18*F18</f>
        <v>-0.625</v>
      </c>
      <c r="M18" s="0" t="n">
        <f aca="false">E18*F18</f>
        <v>-0.625</v>
      </c>
      <c r="N18" s="0" t="n">
        <f aca="false">D18*D18</f>
        <v>1</v>
      </c>
      <c r="O18" s="0" t="n">
        <f aca="false">E18*E18</f>
        <v>1</v>
      </c>
      <c r="P18" s="0" t="n">
        <f aca="false">F18*F18</f>
        <v>0.390625</v>
      </c>
      <c r="Q18" s="0" t="n">
        <f aca="false">SUMPRODUCT(G18:P18,_XtX!$B$71:$K$71)</f>
        <v>40.6264914772727</v>
      </c>
      <c r="R18" s="0" t="n">
        <f aca="false">SUMPRODUCT(MMULT(G18:P18,_XtX!$B$58:$K$67),G18:P18)</f>
        <v>0.659534801136364</v>
      </c>
      <c r="S18" s="0" t="n">
        <f aca="false">04_回帰ANOVA!$K$19*04_回帰ANOVA!$K$14*SQRT(1+R18)</f>
        <v>1.19773245593097</v>
      </c>
      <c r="T18" s="0" t="n">
        <f aca="false">Q18-S18</f>
        <v>39.4287590213418</v>
      </c>
      <c r="U18" s="0" t="n">
        <f aca="false">Q18+S18</f>
        <v>41.8242239332037</v>
      </c>
      <c r="V18" s="54" t="b">
        <f aca="false">AND(D18&gt;=01_因子設定!$L$5-0.000000001,D18&lt;=01_因子設定!$M$5+0.000000001,E18&gt;=01_因子設定!$L$6-0.000000001,E18&lt;=01_因子設定!$M$6+0.000000001,F18&gt;=01_因子設定!$L$7-0.000000001,F18&lt;=01_因子設定!$M$7+0.000000001,IF(01_因子設定!$B$20="Box-Behnken",D18^2+E18^2+F18^2&lt;=2+0.000000001,TRUE()))</f>
        <v>1</v>
      </c>
      <c r="W18" s="55" t="n">
        <f aca="false">IF(V18,IF(01_因子設定!$B$13="最大化",T18-01_因子設定!$B$14,IF(01_因子設定!$B$13="最小化",01_因子設定!$B$15-U18,MIN(T18-01_因子設定!$B$14,01_因子設定!$B$15-U18))),-1E+030)</f>
        <v>-9.07124097865825</v>
      </c>
      <c r="X18" s="55" t="n">
        <f aca="false">IF(V18,IF(01_因子設定!$B$13="最大化",Q18,IF(01_因子設定!$B$13="最小化",-Q18,-ABS(Q18-01_因子設定!$B$16))),-1E+030)</f>
        <v>40.6264914772727</v>
      </c>
      <c r="Y18" s="55" t="n">
        <f aca="false">W18+ROW()*0.000000001</f>
        <v>-9.07124096065825</v>
      </c>
      <c r="Z18" s="55" t="n">
        <f aca="false">X18+ROW()*0.000000001</f>
        <v>40.6264914952727</v>
      </c>
    </row>
    <row r="19" customFormat="false" ht="15" hidden="false" customHeight="false" outlineLevel="0" collapsed="false">
      <c r="A19" s="0" t="n">
        <v>0</v>
      </c>
      <c r="B19" s="0" t="n">
        <v>0</v>
      </c>
      <c r="C19" s="0" t="n">
        <v>14</v>
      </c>
      <c r="D19" s="0" t="n">
        <f aca="false">-1+A19*0.125</f>
        <v>-1</v>
      </c>
      <c r="E19" s="0" t="n">
        <f aca="false">-1+B19*0.125</f>
        <v>-1</v>
      </c>
      <c r="F19" s="0" t="n">
        <f aca="false">-1+C19*0.125</f>
        <v>0.75</v>
      </c>
      <c r="G19" s="0" t="n">
        <f aca="false">1</f>
        <v>1</v>
      </c>
      <c r="H19" s="0" t="n">
        <f aca="false">D19</f>
        <v>-1</v>
      </c>
      <c r="I19" s="0" t="n">
        <f aca="false">E19</f>
        <v>-1</v>
      </c>
      <c r="J19" s="0" t="n">
        <f aca="false">F19</f>
        <v>0.75</v>
      </c>
      <c r="K19" s="0" t="n">
        <f aca="false">D19*E19</f>
        <v>1</v>
      </c>
      <c r="L19" s="0" t="n">
        <f aca="false">D19*F19</f>
        <v>-0.75</v>
      </c>
      <c r="M19" s="0" t="n">
        <f aca="false">E19*F19</f>
        <v>-0.75</v>
      </c>
      <c r="N19" s="0" t="n">
        <f aca="false">D19*D19</f>
        <v>1</v>
      </c>
      <c r="O19" s="0" t="n">
        <f aca="false">E19*E19</f>
        <v>1</v>
      </c>
      <c r="P19" s="0" t="n">
        <f aca="false">F19*F19</f>
        <v>0.5625</v>
      </c>
      <c r="Q19" s="0" t="n">
        <f aca="false">SUMPRODUCT(G19:P19,_XtX!$B$71:$K$71)</f>
        <v>40.5591477272727</v>
      </c>
      <c r="R19" s="0" t="n">
        <f aca="false">SUMPRODUCT(MMULT(G19:P19,_XtX!$B$58:$K$67),G19:P19)</f>
        <v>0.669886363636364</v>
      </c>
      <c r="S19" s="0" t="n">
        <f aca="false">04_回帰ANOVA!$K$19*04_回帰ANOVA!$K$14*SQRT(1+R19)</f>
        <v>1.20146215423986</v>
      </c>
      <c r="T19" s="0" t="n">
        <f aca="false">Q19-S19</f>
        <v>39.3576855730329</v>
      </c>
      <c r="U19" s="0" t="n">
        <f aca="false">Q19+S19</f>
        <v>41.7606098815126</v>
      </c>
      <c r="V19" s="54" t="b">
        <f aca="false">AND(D19&gt;=01_因子設定!$L$5-0.000000001,D19&lt;=01_因子設定!$M$5+0.000000001,E19&gt;=01_因子設定!$L$6-0.000000001,E19&lt;=01_因子設定!$M$6+0.000000001,F19&gt;=01_因子設定!$L$7-0.000000001,F19&lt;=01_因子設定!$M$7+0.000000001,IF(01_因子設定!$B$20="Box-Behnken",D19^2+E19^2+F19^2&lt;=2+0.000000001,TRUE()))</f>
        <v>1</v>
      </c>
      <c r="W19" s="55" t="n">
        <f aca="false">IF(V19,IF(01_因子設定!$B$13="最大化",T19-01_因子設定!$B$14,IF(01_因子設定!$B$13="最小化",01_因子設定!$B$15-U19,MIN(T19-01_因子設定!$B$14,01_因子設定!$B$15-U19))),-1E+030)</f>
        <v>-9.14231442696713</v>
      </c>
      <c r="X19" s="55" t="n">
        <f aca="false">IF(V19,IF(01_因子設定!$B$13="最大化",Q19,IF(01_因子設定!$B$13="最小化",-Q19,-ABS(Q19-01_因子設定!$B$16))),-1E+030)</f>
        <v>40.5591477272727</v>
      </c>
      <c r="Y19" s="55" t="n">
        <f aca="false">W19+ROW()*0.000000001</f>
        <v>-9.14231440796713</v>
      </c>
      <c r="Z19" s="55" t="n">
        <f aca="false">X19+ROW()*0.000000001</f>
        <v>40.5591477462727</v>
      </c>
    </row>
    <row r="20" customFormat="false" ht="15" hidden="false" customHeight="false" outlineLevel="0" collapsed="false">
      <c r="A20" s="0" t="n">
        <v>0</v>
      </c>
      <c r="B20" s="0" t="n">
        <v>0</v>
      </c>
      <c r="C20" s="0" t="n">
        <v>15</v>
      </c>
      <c r="D20" s="0" t="n">
        <f aca="false">-1+A20*0.125</f>
        <v>-1</v>
      </c>
      <c r="E20" s="0" t="n">
        <f aca="false">-1+B20*0.125</f>
        <v>-1</v>
      </c>
      <c r="F20" s="0" t="n">
        <f aca="false">-1+C20*0.125</f>
        <v>0.875</v>
      </c>
      <c r="G20" s="0" t="n">
        <f aca="false">1</f>
        <v>1</v>
      </c>
      <c r="H20" s="0" t="n">
        <f aca="false">D20</f>
        <v>-1</v>
      </c>
      <c r="I20" s="0" t="n">
        <f aca="false">E20</f>
        <v>-1</v>
      </c>
      <c r="J20" s="0" t="n">
        <f aca="false">F20</f>
        <v>0.875</v>
      </c>
      <c r="K20" s="0" t="n">
        <f aca="false">D20*E20</f>
        <v>1</v>
      </c>
      <c r="L20" s="0" t="n">
        <f aca="false">D20*F20</f>
        <v>-0.875</v>
      </c>
      <c r="M20" s="0" t="n">
        <f aca="false">E20*F20</f>
        <v>-0.875</v>
      </c>
      <c r="N20" s="0" t="n">
        <f aca="false">D20*D20</f>
        <v>1</v>
      </c>
      <c r="O20" s="0" t="n">
        <f aca="false">E20*E20</f>
        <v>1</v>
      </c>
      <c r="P20" s="0" t="n">
        <f aca="false">F20*F20</f>
        <v>0.765625</v>
      </c>
      <c r="Q20" s="0" t="n">
        <f aca="false">SUMPRODUCT(G20:P20,_XtX!$B$71:$K$71)</f>
        <v>40.4550142045455</v>
      </c>
      <c r="R20" s="0" t="n">
        <f aca="false">SUMPRODUCT(MMULT(G20:P20,_XtX!$B$58:$K$67),G20:P20)</f>
        <v>0.709818892045455</v>
      </c>
      <c r="S20" s="0" t="n">
        <f aca="false">04_回帰ANOVA!$K$19*04_回帰ANOVA!$K$14*SQRT(1+R20)</f>
        <v>1.21574275944458</v>
      </c>
      <c r="T20" s="0" t="n">
        <f aca="false">Q20-S20</f>
        <v>39.2392714451009</v>
      </c>
      <c r="U20" s="0" t="n">
        <f aca="false">Q20+S20</f>
        <v>41.67075696399</v>
      </c>
      <c r="V20" s="54" t="b">
        <f aca="false">AND(D20&gt;=01_因子設定!$L$5-0.000000001,D20&lt;=01_因子設定!$M$5+0.000000001,E20&gt;=01_因子設定!$L$6-0.000000001,E20&lt;=01_因子設定!$M$6+0.000000001,F20&gt;=01_因子設定!$L$7-0.000000001,F20&lt;=01_因子設定!$M$7+0.000000001,IF(01_因子設定!$B$20="Box-Behnken",D20^2+E20^2+F20^2&lt;=2+0.000000001,TRUE()))</f>
        <v>1</v>
      </c>
      <c r="W20" s="55" t="n">
        <f aca="false">IF(V20,IF(01_因子設定!$B$13="最大化",T20-01_因子設定!$B$14,IF(01_因子設定!$B$13="最小化",01_因子設定!$B$15-U20,MIN(T20-01_因子設定!$B$14,01_因子設定!$B$15-U20))),-1E+030)</f>
        <v>-9.26072855489912</v>
      </c>
      <c r="X20" s="55" t="n">
        <f aca="false">IF(V20,IF(01_因子設定!$B$13="最大化",Q20,IF(01_因子設定!$B$13="最小化",-Q20,-ABS(Q20-01_因子設定!$B$16))),-1E+030)</f>
        <v>40.4550142045455</v>
      </c>
      <c r="Y20" s="55" t="n">
        <f aca="false">W20+ROW()*0.000000001</f>
        <v>-9.26072853489912</v>
      </c>
      <c r="Z20" s="55" t="n">
        <f aca="false">X20+ROW()*0.000000001</f>
        <v>40.4550142245455</v>
      </c>
    </row>
    <row r="21" customFormat="false" ht="15" hidden="false" customHeight="false" outlineLevel="0" collapsed="false">
      <c r="A21" s="0" t="n">
        <v>0</v>
      </c>
      <c r="B21" s="0" t="n">
        <v>0</v>
      </c>
      <c r="C21" s="0" t="n">
        <v>16</v>
      </c>
      <c r="D21" s="0" t="n">
        <f aca="false">-1+A21*0.125</f>
        <v>-1</v>
      </c>
      <c r="E21" s="0" t="n">
        <f aca="false">-1+B21*0.125</f>
        <v>-1</v>
      </c>
      <c r="F21" s="0" t="n">
        <f aca="false">-1+C21*0.125</f>
        <v>1</v>
      </c>
      <c r="G21" s="0" t="n">
        <f aca="false">1</f>
        <v>1</v>
      </c>
      <c r="H21" s="0" t="n">
        <f aca="false">D21</f>
        <v>-1</v>
      </c>
      <c r="I21" s="0" t="n">
        <f aca="false">E21</f>
        <v>-1</v>
      </c>
      <c r="J21" s="0" t="n">
        <f aca="false">F21</f>
        <v>1</v>
      </c>
      <c r="K21" s="0" t="n">
        <f aca="false">D21*E21</f>
        <v>1</v>
      </c>
      <c r="L21" s="0" t="n">
        <f aca="false">D21*F21</f>
        <v>-1</v>
      </c>
      <c r="M21" s="0" t="n">
        <f aca="false">E21*F21</f>
        <v>-1</v>
      </c>
      <c r="N21" s="0" t="n">
        <f aca="false">D21*D21</f>
        <v>1</v>
      </c>
      <c r="O21" s="0" t="n">
        <f aca="false">E21*E21</f>
        <v>1</v>
      </c>
      <c r="P21" s="0" t="n">
        <f aca="false">F21*F21</f>
        <v>1</v>
      </c>
      <c r="Q21" s="0" t="n">
        <f aca="false">SUMPRODUCT(G21:P21,_XtX!$B$71:$K$71)</f>
        <v>40.3140909090909</v>
      </c>
      <c r="R21" s="0" t="n">
        <f aca="false">SUMPRODUCT(MMULT(G21:P21,_XtX!$B$58:$K$67),G21:P21)</f>
        <v>0.793181818181818</v>
      </c>
      <c r="S21" s="0" t="n">
        <f aca="false">04_回帰ANOVA!$K$19*04_回帰ANOVA!$K$14*SQRT(1+R21)</f>
        <v>1.24502708501444</v>
      </c>
      <c r="T21" s="0" t="n">
        <f aca="false">Q21-S21</f>
        <v>39.0690638240765</v>
      </c>
      <c r="U21" s="0" t="n">
        <f aca="false">Q21+S21</f>
        <v>41.5591179941054</v>
      </c>
      <c r="V21" s="54" t="b">
        <f aca="false">AND(D21&gt;=01_因子設定!$L$5-0.000000001,D21&lt;=01_因子設定!$M$5+0.000000001,E21&gt;=01_因子設定!$L$6-0.000000001,E21&lt;=01_因子設定!$M$6+0.000000001,F21&gt;=01_因子設定!$L$7-0.000000001,F21&lt;=01_因子設定!$M$7+0.000000001,IF(01_因子設定!$B$20="Box-Behnken",D21^2+E21^2+F21^2&lt;=2+0.000000001,TRUE()))</f>
        <v>1</v>
      </c>
      <c r="W21" s="55" t="n">
        <f aca="false">IF(V21,IF(01_因子設定!$B$13="最大化",T21-01_因子設定!$B$14,IF(01_因子設定!$B$13="最小化",01_因子設定!$B$15-U21,MIN(T21-01_因子設定!$B$14,01_因子設定!$B$15-U21))),-1E+030)</f>
        <v>-9.43093617592353</v>
      </c>
      <c r="X21" s="55" t="n">
        <f aca="false">IF(V21,IF(01_因子設定!$B$13="最大化",Q21,IF(01_因子設定!$B$13="最小化",-Q21,-ABS(Q21-01_因子設定!$B$16))),-1E+030)</f>
        <v>40.3140909090909</v>
      </c>
      <c r="Y21" s="55" t="n">
        <f aca="false">W21+ROW()*0.000000001</f>
        <v>-9.43093615492353</v>
      </c>
      <c r="Z21" s="55" t="n">
        <f aca="false">X21+ROW()*0.000000001</f>
        <v>40.3140909300909</v>
      </c>
    </row>
    <row r="22" customFormat="false" ht="15" hidden="false" customHeight="false" outlineLevel="0" collapsed="false">
      <c r="A22" s="0" t="n">
        <v>0</v>
      </c>
      <c r="B22" s="0" t="n">
        <v>1</v>
      </c>
      <c r="C22" s="0" t="n">
        <v>0</v>
      </c>
      <c r="D22" s="0" t="n">
        <f aca="false">-1+A22*0.125</f>
        <v>-1</v>
      </c>
      <c r="E22" s="0" t="n">
        <f aca="false">-1+B22*0.125</f>
        <v>-0.875</v>
      </c>
      <c r="F22" s="0" t="n">
        <f aca="false">-1+C22*0.125</f>
        <v>-1</v>
      </c>
      <c r="G22" s="0" t="n">
        <f aca="false">1</f>
        <v>1</v>
      </c>
      <c r="H22" s="0" t="n">
        <f aca="false">D22</f>
        <v>-1</v>
      </c>
      <c r="I22" s="0" t="n">
        <f aca="false">E22</f>
        <v>-0.875</v>
      </c>
      <c r="J22" s="0" t="n">
        <f aca="false">F22</f>
        <v>-1</v>
      </c>
      <c r="K22" s="0" t="n">
        <f aca="false">D22*E22</f>
        <v>0.875</v>
      </c>
      <c r="L22" s="0" t="n">
        <f aca="false">D22*F22</f>
        <v>1</v>
      </c>
      <c r="M22" s="0" t="n">
        <f aca="false">E22*F22</f>
        <v>0.875</v>
      </c>
      <c r="N22" s="0" t="n">
        <f aca="false">D22*D22</f>
        <v>1</v>
      </c>
      <c r="O22" s="0" t="n">
        <f aca="false">E22*E22</f>
        <v>0.765625</v>
      </c>
      <c r="P22" s="0" t="n">
        <f aca="false">F22*F22</f>
        <v>1</v>
      </c>
      <c r="Q22" s="0" t="n">
        <f aca="false">SUMPRODUCT(G22:P22,_XtX!$B$71:$K$71)</f>
        <v>38.6786079545455</v>
      </c>
      <c r="R22" s="0" t="n">
        <f aca="false">SUMPRODUCT(MMULT(G22:P22,_XtX!$B$58:$K$67),G22:P22)</f>
        <v>0.709818892045455</v>
      </c>
      <c r="S22" s="0" t="n">
        <f aca="false">04_回帰ANOVA!$K$19*04_回帰ANOVA!$K$14*SQRT(1+R22)</f>
        <v>1.21574275944458</v>
      </c>
      <c r="T22" s="0" t="n">
        <f aca="false">Q22-S22</f>
        <v>37.4628651951009</v>
      </c>
      <c r="U22" s="0" t="n">
        <f aca="false">Q22+S22</f>
        <v>39.89435071399</v>
      </c>
      <c r="V22" s="54" t="b">
        <f aca="false">AND(D22&gt;=01_因子設定!$L$5-0.000000001,D22&lt;=01_因子設定!$M$5+0.000000001,E22&gt;=01_因子設定!$L$6-0.000000001,E22&lt;=01_因子設定!$M$6+0.000000001,F22&gt;=01_因子設定!$L$7-0.000000001,F22&lt;=01_因子設定!$M$7+0.000000001,IF(01_因子設定!$B$20="Box-Behnken",D22^2+E22^2+F22^2&lt;=2+0.000000001,TRUE()))</f>
        <v>1</v>
      </c>
      <c r="W22" s="55" t="n">
        <f aca="false">IF(V22,IF(01_因子設定!$B$13="最大化",T22-01_因子設定!$B$14,IF(01_因子設定!$B$13="最小化",01_因子設定!$B$15-U22,MIN(T22-01_因子設定!$B$14,01_因子設定!$B$15-U22))),-1E+030)</f>
        <v>-11.0371348048991</v>
      </c>
      <c r="X22" s="55" t="n">
        <f aca="false">IF(V22,IF(01_因子設定!$B$13="最大化",Q22,IF(01_因子設定!$B$13="最小化",-Q22,-ABS(Q22-01_因子設定!$B$16))),-1E+030)</f>
        <v>38.6786079545455</v>
      </c>
      <c r="Y22" s="55" t="n">
        <f aca="false">W22+ROW()*0.000000001</f>
        <v>-11.0371347828991</v>
      </c>
      <c r="Z22" s="55" t="n">
        <f aca="false">X22+ROW()*0.000000001</f>
        <v>38.6786079765455</v>
      </c>
    </row>
    <row r="23" customFormat="false" ht="15" hidden="false" customHeight="false" outlineLevel="0" collapsed="false">
      <c r="A23" s="0" t="n">
        <v>0</v>
      </c>
      <c r="B23" s="0" t="n">
        <v>1</v>
      </c>
      <c r="C23" s="0" t="n">
        <v>1</v>
      </c>
      <c r="D23" s="0" t="n">
        <f aca="false">-1+A23*0.125</f>
        <v>-1</v>
      </c>
      <c r="E23" s="0" t="n">
        <f aca="false">-1+B23*0.125</f>
        <v>-0.875</v>
      </c>
      <c r="F23" s="0" t="n">
        <f aca="false">-1+C23*0.125</f>
        <v>-0.875</v>
      </c>
      <c r="G23" s="0" t="n">
        <f aca="false">1</f>
        <v>1</v>
      </c>
      <c r="H23" s="0" t="n">
        <f aca="false">D23</f>
        <v>-1</v>
      </c>
      <c r="I23" s="0" t="n">
        <f aca="false">E23</f>
        <v>-0.875</v>
      </c>
      <c r="J23" s="0" t="n">
        <f aca="false">F23</f>
        <v>-0.875</v>
      </c>
      <c r="K23" s="0" t="n">
        <f aca="false">D23*E23</f>
        <v>0.875</v>
      </c>
      <c r="L23" s="0" t="n">
        <f aca="false">D23*F23</f>
        <v>0.875</v>
      </c>
      <c r="M23" s="0" t="n">
        <f aca="false">E23*F23</f>
        <v>0.765625</v>
      </c>
      <c r="N23" s="0" t="n">
        <f aca="false">D23*D23</f>
        <v>1</v>
      </c>
      <c r="O23" s="0" t="n">
        <f aca="false">E23*E23</f>
        <v>0.765625</v>
      </c>
      <c r="P23" s="0" t="n">
        <f aca="false">F23*F23</f>
        <v>0.765625</v>
      </c>
      <c r="Q23" s="0" t="n">
        <f aca="false">SUMPRODUCT(G23:P23,_XtX!$B$71:$K$71)</f>
        <v>39.0965625</v>
      </c>
      <c r="R23" s="0" t="n">
        <f aca="false">SUMPRODUCT(MMULT(G23:P23,_XtX!$B$58:$K$67),G23:P23)</f>
        <v>0.618341064453125</v>
      </c>
      <c r="S23" s="0" t="n">
        <f aca="false">04_回帰ANOVA!$K$19*04_回帰ANOVA!$K$14*SQRT(1+R23)</f>
        <v>1.18277371124466</v>
      </c>
      <c r="T23" s="0" t="n">
        <f aca="false">Q23-S23</f>
        <v>37.9137887887553</v>
      </c>
      <c r="U23" s="0" t="n">
        <f aca="false">Q23+S23</f>
        <v>40.2793362112447</v>
      </c>
      <c r="V23" s="54" t="b">
        <f aca="false">AND(D23&gt;=01_因子設定!$L$5-0.000000001,D23&lt;=01_因子設定!$M$5+0.000000001,E23&gt;=01_因子設定!$L$6-0.000000001,E23&lt;=01_因子設定!$M$6+0.000000001,F23&gt;=01_因子設定!$L$7-0.000000001,F23&lt;=01_因子設定!$M$7+0.000000001,IF(01_因子設定!$B$20="Box-Behnken",D23^2+E23^2+F23^2&lt;=2+0.000000001,TRUE()))</f>
        <v>1</v>
      </c>
      <c r="W23" s="55" t="n">
        <f aca="false">IF(V23,IF(01_因子設定!$B$13="最大化",T23-01_因子設定!$B$14,IF(01_因子設定!$B$13="最小化",01_因子設定!$B$15-U23,MIN(T23-01_因子設定!$B$14,01_因子設定!$B$15-U23))),-1E+030)</f>
        <v>-10.5862112112447</v>
      </c>
      <c r="X23" s="55" t="n">
        <f aca="false">IF(V23,IF(01_因子設定!$B$13="最大化",Q23,IF(01_因子設定!$B$13="最小化",-Q23,-ABS(Q23-01_因子設定!$B$16))),-1E+030)</f>
        <v>39.0965625</v>
      </c>
      <c r="Y23" s="55" t="n">
        <f aca="false">W23+ROW()*0.000000001</f>
        <v>-10.5862111882447</v>
      </c>
      <c r="Z23" s="55" t="n">
        <f aca="false">X23+ROW()*0.000000001</f>
        <v>39.096562523</v>
      </c>
    </row>
    <row r="24" customFormat="false" ht="15" hidden="false" customHeight="false" outlineLevel="0" collapsed="false">
      <c r="A24" s="0" t="n">
        <v>0</v>
      </c>
      <c r="B24" s="0" t="n">
        <v>1</v>
      </c>
      <c r="C24" s="0" t="n">
        <v>2</v>
      </c>
      <c r="D24" s="0" t="n">
        <f aca="false">-1+A24*0.125</f>
        <v>-1</v>
      </c>
      <c r="E24" s="0" t="n">
        <f aca="false">-1+B24*0.125</f>
        <v>-0.875</v>
      </c>
      <c r="F24" s="0" t="n">
        <f aca="false">-1+C24*0.125</f>
        <v>-0.75</v>
      </c>
      <c r="G24" s="0" t="n">
        <f aca="false">1</f>
        <v>1</v>
      </c>
      <c r="H24" s="0" t="n">
        <f aca="false">D24</f>
        <v>-1</v>
      </c>
      <c r="I24" s="0" t="n">
        <f aca="false">E24</f>
        <v>-0.875</v>
      </c>
      <c r="J24" s="0" t="n">
        <f aca="false">F24</f>
        <v>-0.75</v>
      </c>
      <c r="K24" s="0" t="n">
        <f aca="false">D24*E24</f>
        <v>0.875</v>
      </c>
      <c r="L24" s="0" t="n">
        <f aca="false">D24*F24</f>
        <v>0.75</v>
      </c>
      <c r="M24" s="0" t="n">
        <f aca="false">E24*F24</f>
        <v>0.65625</v>
      </c>
      <c r="N24" s="0" t="n">
        <f aca="false">D24*D24</f>
        <v>1</v>
      </c>
      <c r="O24" s="0" t="n">
        <f aca="false">E24*E24</f>
        <v>0.765625</v>
      </c>
      <c r="P24" s="0" t="n">
        <f aca="false">F24*F24</f>
        <v>0.5625</v>
      </c>
      <c r="Q24" s="0" t="n">
        <f aca="false">SUMPRODUCT(G24:P24,_XtX!$B$71:$K$71)</f>
        <v>39.4777272727273</v>
      </c>
      <c r="R24" s="0" t="n">
        <f aca="false">SUMPRODUCT(MMULT(G24:P24,_XtX!$B$58:$K$67),G24:P24)</f>
        <v>0.571375621448864</v>
      </c>
      <c r="S24" s="0" t="n">
        <f aca="false">04_回帰ANOVA!$K$19*04_回帰ANOVA!$K$14*SQRT(1+R24)</f>
        <v>1.16548487437682</v>
      </c>
      <c r="T24" s="0" t="n">
        <f aca="false">Q24-S24</f>
        <v>38.3122423983505</v>
      </c>
      <c r="U24" s="0" t="n">
        <f aca="false">Q24+S24</f>
        <v>40.6432121471041</v>
      </c>
      <c r="V24" s="54" t="b">
        <f aca="false">AND(D24&gt;=01_因子設定!$L$5-0.000000001,D24&lt;=01_因子設定!$M$5+0.000000001,E24&gt;=01_因子設定!$L$6-0.000000001,E24&lt;=01_因子設定!$M$6+0.000000001,F24&gt;=01_因子設定!$L$7-0.000000001,F24&lt;=01_因子設定!$M$7+0.000000001,IF(01_因子設定!$B$20="Box-Behnken",D24^2+E24^2+F24^2&lt;=2+0.000000001,TRUE()))</f>
        <v>1</v>
      </c>
      <c r="W24" s="55" t="n">
        <f aca="false">IF(V24,IF(01_因子設定!$B$13="最大化",T24-01_因子設定!$B$14,IF(01_因子設定!$B$13="最小化",01_因子設定!$B$15-U24,MIN(T24-01_因子設定!$B$14,01_因子設定!$B$15-U24))),-1E+030)</f>
        <v>-10.1877576016495</v>
      </c>
      <c r="X24" s="55" t="n">
        <f aca="false">IF(V24,IF(01_因子設定!$B$13="最大化",Q24,IF(01_因子設定!$B$13="最小化",-Q24,-ABS(Q24-01_因子設定!$B$16))),-1E+030)</f>
        <v>39.4777272727273</v>
      </c>
      <c r="Y24" s="55" t="n">
        <f aca="false">W24+ROW()*0.000000001</f>
        <v>-10.1877575776495</v>
      </c>
      <c r="Z24" s="55" t="n">
        <f aca="false">X24+ROW()*0.000000001</f>
        <v>39.4777272967273</v>
      </c>
    </row>
    <row r="25" customFormat="false" ht="15" hidden="false" customHeight="false" outlineLevel="0" collapsed="false">
      <c r="A25" s="0" t="n">
        <v>0</v>
      </c>
      <c r="B25" s="0" t="n">
        <v>1</v>
      </c>
      <c r="C25" s="0" t="n">
        <v>3</v>
      </c>
      <c r="D25" s="0" t="n">
        <f aca="false">-1+A25*0.125</f>
        <v>-1</v>
      </c>
      <c r="E25" s="0" t="n">
        <f aca="false">-1+B25*0.125</f>
        <v>-0.875</v>
      </c>
      <c r="F25" s="0" t="n">
        <f aca="false">-1+C25*0.125</f>
        <v>-0.625</v>
      </c>
      <c r="G25" s="0" t="n">
        <f aca="false">1</f>
        <v>1</v>
      </c>
      <c r="H25" s="0" t="n">
        <f aca="false">D25</f>
        <v>-1</v>
      </c>
      <c r="I25" s="0" t="n">
        <f aca="false">E25</f>
        <v>-0.875</v>
      </c>
      <c r="J25" s="0" t="n">
        <f aca="false">F25</f>
        <v>-0.625</v>
      </c>
      <c r="K25" s="0" t="n">
        <f aca="false">D25*E25</f>
        <v>0.875</v>
      </c>
      <c r="L25" s="0" t="n">
        <f aca="false">D25*F25</f>
        <v>0.625</v>
      </c>
      <c r="M25" s="0" t="n">
        <f aca="false">E25*F25</f>
        <v>0.546875</v>
      </c>
      <c r="N25" s="0" t="n">
        <f aca="false">D25*D25</f>
        <v>1</v>
      </c>
      <c r="O25" s="0" t="n">
        <f aca="false">E25*E25</f>
        <v>0.765625</v>
      </c>
      <c r="P25" s="0" t="n">
        <f aca="false">F25*F25</f>
        <v>0.390625</v>
      </c>
      <c r="Q25" s="0" t="n">
        <f aca="false">SUMPRODUCT(G25:P25,_XtX!$B$71:$K$71)</f>
        <v>39.8221022727273</v>
      </c>
      <c r="R25" s="0" t="n">
        <f aca="false">SUMPRODUCT(MMULT(G25:P25,_XtX!$B$58:$K$67),G25:P25)</f>
        <v>0.555073131214489</v>
      </c>
      <c r="S25" s="0" t="n">
        <f aca="false">04_回帰ANOVA!$K$19*04_回帰ANOVA!$K$14*SQRT(1+R25)</f>
        <v>1.15942335628341</v>
      </c>
      <c r="T25" s="0" t="n">
        <f aca="false">Q25-S25</f>
        <v>38.6626789164439</v>
      </c>
      <c r="U25" s="0" t="n">
        <f aca="false">Q25+S25</f>
        <v>40.9815256290107</v>
      </c>
      <c r="V25" s="54" t="b">
        <f aca="false">AND(D25&gt;=01_因子設定!$L$5-0.000000001,D25&lt;=01_因子設定!$M$5+0.000000001,E25&gt;=01_因子設定!$L$6-0.000000001,E25&lt;=01_因子設定!$M$6+0.000000001,F25&gt;=01_因子設定!$L$7-0.000000001,F25&lt;=01_因子設定!$M$7+0.000000001,IF(01_因子設定!$B$20="Box-Behnken",D25^2+E25^2+F25^2&lt;=2+0.000000001,TRUE()))</f>
        <v>1</v>
      </c>
      <c r="W25" s="55" t="n">
        <f aca="false">IF(V25,IF(01_因子設定!$B$13="最大化",T25-01_因子設定!$B$14,IF(01_因子設定!$B$13="最小化",01_因子設定!$B$15-U25,MIN(T25-01_因子設定!$B$14,01_因子設定!$B$15-U25))),-1E+030)</f>
        <v>-9.83732108355613</v>
      </c>
      <c r="X25" s="55" t="n">
        <f aca="false">IF(V25,IF(01_因子設定!$B$13="最大化",Q25,IF(01_因子設定!$B$13="最小化",-Q25,-ABS(Q25-01_因子設定!$B$16))),-1E+030)</f>
        <v>39.8221022727273</v>
      </c>
      <c r="Y25" s="55" t="n">
        <f aca="false">W25+ROW()*0.000000001</f>
        <v>-9.83732105855613</v>
      </c>
      <c r="Z25" s="55" t="n">
        <f aca="false">X25+ROW()*0.000000001</f>
        <v>39.8221022977273</v>
      </c>
    </row>
    <row r="26" customFormat="false" ht="15" hidden="false" customHeight="false" outlineLevel="0" collapsed="false">
      <c r="A26" s="0" t="n">
        <v>0</v>
      </c>
      <c r="B26" s="0" t="n">
        <v>1</v>
      </c>
      <c r="C26" s="0" t="n">
        <v>4</v>
      </c>
      <c r="D26" s="0" t="n">
        <f aca="false">-1+A26*0.125</f>
        <v>-1</v>
      </c>
      <c r="E26" s="0" t="n">
        <f aca="false">-1+B26*0.125</f>
        <v>-0.875</v>
      </c>
      <c r="F26" s="0" t="n">
        <f aca="false">-1+C26*0.125</f>
        <v>-0.5</v>
      </c>
      <c r="G26" s="0" t="n">
        <f aca="false">1</f>
        <v>1</v>
      </c>
      <c r="H26" s="0" t="n">
        <f aca="false">D26</f>
        <v>-1</v>
      </c>
      <c r="I26" s="0" t="n">
        <f aca="false">E26</f>
        <v>-0.875</v>
      </c>
      <c r="J26" s="0" t="n">
        <f aca="false">F26</f>
        <v>-0.5</v>
      </c>
      <c r="K26" s="0" t="n">
        <f aca="false">D26*E26</f>
        <v>0.875</v>
      </c>
      <c r="L26" s="0" t="n">
        <f aca="false">D26*F26</f>
        <v>0.5</v>
      </c>
      <c r="M26" s="0" t="n">
        <f aca="false">E26*F26</f>
        <v>0.4375</v>
      </c>
      <c r="N26" s="0" t="n">
        <f aca="false">D26*D26</f>
        <v>1</v>
      </c>
      <c r="O26" s="0" t="n">
        <f aca="false">E26*E26</f>
        <v>0.765625</v>
      </c>
      <c r="P26" s="0" t="n">
        <f aca="false">F26*F26</f>
        <v>0.25</v>
      </c>
      <c r="Q26" s="0" t="n">
        <f aca="false">SUMPRODUCT(G26:P26,_XtX!$B$71:$K$71)</f>
        <v>40.1296875</v>
      </c>
      <c r="R26" s="0" t="n">
        <f aca="false">SUMPRODUCT(MMULT(G26:P26,_XtX!$B$58:$K$67),G26:P26)</f>
        <v>0.55771484375</v>
      </c>
      <c r="S26" s="0" t="n">
        <f aca="false">04_回帰ANOVA!$K$19*04_回帰ANOVA!$K$14*SQRT(1+R26)</f>
        <v>1.16040773556467</v>
      </c>
      <c r="T26" s="0" t="n">
        <f aca="false">Q26-S26</f>
        <v>38.9692797644353</v>
      </c>
      <c r="U26" s="0" t="n">
        <f aca="false">Q26+S26</f>
        <v>41.2900952355647</v>
      </c>
      <c r="V26" s="54" t="b">
        <f aca="false">AND(D26&gt;=01_因子設定!$L$5-0.000000001,D26&lt;=01_因子設定!$M$5+0.000000001,E26&gt;=01_因子設定!$L$6-0.000000001,E26&lt;=01_因子設定!$M$6+0.000000001,F26&gt;=01_因子設定!$L$7-0.000000001,F26&lt;=01_因子設定!$M$7+0.000000001,IF(01_因子設定!$B$20="Box-Behnken",D26^2+E26^2+F26^2&lt;=2+0.000000001,TRUE()))</f>
        <v>1</v>
      </c>
      <c r="W26" s="55" t="n">
        <f aca="false">IF(V26,IF(01_因子設定!$B$13="最大化",T26-01_因子設定!$B$14,IF(01_因子設定!$B$13="最小化",01_因子設定!$B$15-U26,MIN(T26-01_因子設定!$B$14,01_因子設定!$B$15-U26))),-1E+030)</f>
        <v>-9.53072023556468</v>
      </c>
      <c r="X26" s="55" t="n">
        <f aca="false">IF(V26,IF(01_因子設定!$B$13="最大化",Q26,IF(01_因子設定!$B$13="最小化",-Q26,-ABS(Q26-01_因子設定!$B$16))),-1E+030)</f>
        <v>40.1296875</v>
      </c>
      <c r="Y26" s="55" t="n">
        <f aca="false">W26+ROW()*0.000000001</f>
        <v>-9.53072020956468</v>
      </c>
      <c r="Z26" s="55" t="n">
        <f aca="false">X26+ROW()*0.000000001</f>
        <v>40.129687526</v>
      </c>
    </row>
    <row r="27" customFormat="false" ht="15" hidden="false" customHeight="false" outlineLevel="0" collapsed="false">
      <c r="A27" s="0" t="n">
        <v>0</v>
      </c>
      <c r="B27" s="0" t="n">
        <v>1</v>
      </c>
      <c r="C27" s="0" t="n">
        <v>5</v>
      </c>
      <c r="D27" s="0" t="n">
        <f aca="false">-1+A27*0.125</f>
        <v>-1</v>
      </c>
      <c r="E27" s="0" t="n">
        <f aca="false">-1+B27*0.125</f>
        <v>-0.875</v>
      </c>
      <c r="F27" s="0" t="n">
        <f aca="false">-1+C27*0.125</f>
        <v>-0.375</v>
      </c>
      <c r="G27" s="0" t="n">
        <f aca="false">1</f>
        <v>1</v>
      </c>
      <c r="H27" s="0" t="n">
        <f aca="false">D27</f>
        <v>-1</v>
      </c>
      <c r="I27" s="0" t="n">
        <f aca="false">E27</f>
        <v>-0.875</v>
      </c>
      <c r="J27" s="0" t="n">
        <f aca="false">F27</f>
        <v>-0.375</v>
      </c>
      <c r="K27" s="0" t="n">
        <f aca="false">D27*E27</f>
        <v>0.875</v>
      </c>
      <c r="L27" s="0" t="n">
        <f aca="false">D27*F27</f>
        <v>0.375</v>
      </c>
      <c r="M27" s="0" t="n">
        <f aca="false">E27*F27</f>
        <v>0.328125</v>
      </c>
      <c r="N27" s="0" t="n">
        <f aca="false">D27*D27</f>
        <v>1</v>
      </c>
      <c r="O27" s="0" t="n">
        <f aca="false">E27*E27</f>
        <v>0.765625</v>
      </c>
      <c r="P27" s="0" t="n">
        <f aca="false">F27*F27</f>
        <v>0.140625</v>
      </c>
      <c r="Q27" s="0" t="n">
        <f aca="false">SUMPRODUCT(G27:P27,_XtX!$B$71:$K$71)</f>
        <v>40.4004829545454</v>
      </c>
      <c r="R27" s="0" t="n">
        <f aca="false">SUMPRODUCT(MMULT(G27:P27,_XtX!$B$58:$K$67),G27:P27)</f>
        <v>0.56971269087358</v>
      </c>
      <c r="S27" s="0" t="n">
        <f aca="false">04_回帰ANOVA!$K$19*04_回帰ANOVA!$K$14*SQRT(1+R27)</f>
        <v>1.16486801567081</v>
      </c>
      <c r="T27" s="0" t="n">
        <f aca="false">Q27-S27</f>
        <v>39.2356149388746</v>
      </c>
      <c r="U27" s="0" t="n">
        <f aca="false">Q27+S27</f>
        <v>41.5653509702163</v>
      </c>
      <c r="V27" s="54" t="b">
        <f aca="false">AND(D27&gt;=01_因子設定!$L$5-0.000000001,D27&lt;=01_因子設定!$M$5+0.000000001,E27&gt;=01_因子設定!$L$6-0.000000001,E27&lt;=01_因子設定!$M$6+0.000000001,F27&gt;=01_因子設定!$L$7-0.000000001,F27&lt;=01_因子設定!$M$7+0.000000001,IF(01_因子設定!$B$20="Box-Behnken",D27^2+E27^2+F27^2&lt;=2+0.000000001,TRUE()))</f>
        <v>1</v>
      </c>
      <c r="W27" s="55" t="n">
        <f aca="false">IF(V27,IF(01_因子設定!$B$13="最大化",T27-01_因子設定!$B$14,IF(01_因子設定!$B$13="最小化",01_因子設定!$B$15-U27,MIN(T27-01_因子設定!$B$14,01_因子設定!$B$15-U27))),-1E+030)</f>
        <v>-9.26438506112536</v>
      </c>
      <c r="X27" s="55" t="n">
        <f aca="false">IF(V27,IF(01_因子設定!$B$13="最大化",Q27,IF(01_因子設定!$B$13="最小化",-Q27,-ABS(Q27-01_因子設定!$B$16))),-1E+030)</f>
        <v>40.4004829545454</v>
      </c>
      <c r="Y27" s="55" t="n">
        <f aca="false">W27+ROW()*0.000000001</f>
        <v>-9.26438503412536</v>
      </c>
      <c r="Z27" s="55" t="n">
        <f aca="false">X27+ROW()*0.000000001</f>
        <v>40.4004829815454</v>
      </c>
    </row>
    <row r="28" customFormat="false" ht="15" hidden="false" customHeight="false" outlineLevel="0" collapsed="false">
      <c r="A28" s="0" t="n">
        <v>0</v>
      </c>
      <c r="B28" s="0" t="n">
        <v>1</v>
      </c>
      <c r="C28" s="0" t="n">
        <v>6</v>
      </c>
      <c r="D28" s="0" t="n">
        <f aca="false">-1+A28*0.125</f>
        <v>-1</v>
      </c>
      <c r="E28" s="0" t="n">
        <f aca="false">-1+B28*0.125</f>
        <v>-0.875</v>
      </c>
      <c r="F28" s="0" t="n">
        <f aca="false">-1+C28*0.125</f>
        <v>-0.25</v>
      </c>
      <c r="G28" s="0" t="n">
        <f aca="false">1</f>
        <v>1</v>
      </c>
      <c r="H28" s="0" t="n">
        <f aca="false">D28</f>
        <v>-1</v>
      </c>
      <c r="I28" s="0" t="n">
        <f aca="false">E28</f>
        <v>-0.875</v>
      </c>
      <c r="J28" s="0" t="n">
        <f aca="false">F28</f>
        <v>-0.25</v>
      </c>
      <c r="K28" s="0" t="n">
        <f aca="false">D28*E28</f>
        <v>0.875</v>
      </c>
      <c r="L28" s="0" t="n">
        <f aca="false">D28*F28</f>
        <v>0.25</v>
      </c>
      <c r="M28" s="0" t="n">
        <f aca="false">E28*F28</f>
        <v>0.21875</v>
      </c>
      <c r="N28" s="0" t="n">
        <f aca="false">D28*D28</f>
        <v>1</v>
      </c>
      <c r="O28" s="0" t="n">
        <f aca="false">E28*E28</f>
        <v>0.765625</v>
      </c>
      <c r="P28" s="0" t="n">
        <f aca="false">F28*F28</f>
        <v>0.0625</v>
      </c>
      <c r="Q28" s="0" t="n">
        <f aca="false">SUMPRODUCT(G28:P28,_XtX!$B$71:$K$71)</f>
        <v>40.6344886363636</v>
      </c>
      <c r="R28" s="0" t="n">
        <f aca="false">SUMPRODUCT(MMULT(G28:P28,_XtX!$B$58:$K$67),G28:P28)</f>
        <v>0.583609286221591</v>
      </c>
      <c r="S28" s="0" t="n">
        <f aca="false">04_回帰ANOVA!$K$19*04_回帰ANOVA!$K$14*SQRT(1+R28)</f>
        <v>1.1700129157584</v>
      </c>
      <c r="T28" s="0" t="n">
        <f aca="false">Q28-S28</f>
        <v>39.4644757206052</v>
      </c>
      <c r="U28" s="0" t="n">
        <f aca="false">Q28+S28</f>
        <v>41.804501552122</v>
      </c>
      <c r="V28" s="54" t="b">
        <f aca="false">AND(D28&gt;=01_因子設定!$L$5-0.000000001,D28&lt;=01_因子設定!$M$5+0.000000001,E28&gt;=01_因子設定!$L$6-0.000000001,E28&lt;=01_因子設定!$M$6+0.000000001,F28&gt;=01_因子設定!$L$7-0.000000001,F28&lt;=01_因子設定!$M$7+0.000000001,IF(01_因子設定!$B$20="Box-Behnken",D28^2+E28^2+F28^2&lt;=2+0.000000001,TRUE()))</f>
        <v>1</v>
      </c>
      <c r="W28" s="55" t="n">
        <f aca="false">IF(V28,IF(01_因子設定!$B$13="最大化",T28-01_因子設定!$B$14,IF(01_因子設定!$B$13="最小化",01_因子設定!$B$15-U28,MIN(T28-01_因子設定!$B$14,01_因子設定!$B$15-U28))),-1E+030)</f>
        <v>-9.03552427939476</v>
      </c>
      <c r="X28" s="55" t="n">
        <f aca="false">IF(V28,IF(01_因子設定!$B$13="最大化",Q28,IF(01_因子設定!$B$13="最小化",-Q28,-ABS(Q28-01_因子設定!$B$16))),-1E+030)</f>
        <v>40.6344886363636</v>
      </c>
      <c r="Y28" s="55" t="n">
        <f aca="false">W28+ROW()*0.000000001</f>
        <v>-9.03552425139476</v>
      </c>
      <c r="Z28" s="55" t="n">
        <f aca="false">X28+ROW()*0.000000001</f>
        <v>40.6344886643636</v>
      </c>
    </row>
    <row r="29" customFormat="false" ht="15" hidden="false" customHeight="false" outlineLevel="0" collapsed="false">
      <c r="A29" s="0" t="n">
        <v>0</v>
      </c>
      <c r="B29" s="0" t="n">
        <v>1</v>
      </c>
      <c r="C29" s="0" t="n">
        <v>7</v>
      </c>
      <c r="D29" s="0" t="n">
        <f aca="false">-1+A29*0.125</f>
        <v>-1</v>
      </c>
      <c r="E29" s="0" t="n">
        <f aca="false">-1+B29*0.125</f>
        <v>-0.875</v>
      </c>
      <c r="F29" s="0" t="n">
        <f aca="false">-1+C29*0.125</f>
        <v>-0.125</v>
      </c>
      <c r="G29" s="0" t="n">
        <f aca="false">1</f>
        <v>1</v>
      </c>
      <c r="H29" s="0" t="n">
        <f aca="false">D29</f>
        <v>-1</v>
      </c>
      <c r="I29" s="0" t="n">
        <f aca="false">E29</f>
        <v>-0.875</v>
      </c>
      <c r="J29" s="0" t="n">
        <f aca="false">F29</f>
        <v>-0.125</v>
      </c>
      <c r="K29" s="0" t="n">
        <f aca="false">D29*E29</f>
        <v>0.875</v>
      </c>
      <c r="L29" s="0" t="n">
        <f aca="false">D29*F29</f>
        <v>0.125</v>
      </c>
      <c r="M29" s="0" t="n">
        <f aca="false">E29*F29</f>
        <v>0.109375</v>
      </c>
      <c r="N29" s="0" t="n">
        <f aca="false">D29*D29</f>
        <v>1</v>
      </c>
      <c r="O29" s="0" t="n">
        <f aca="false">E29*E29</f>
        <v>0.765625</v>
      </c>
      <c r="P29" s="0" t="n">
        <f aca="false">F29*F29</f>
        <v>0.015625</v>
      </c>
      <c r="Q29" s="0" t="n">
        <f aca="false">SUMPRODUCT(G29:P29,_XtX!$B$71:$K$71)</f>
        <v>40.8317045454545</v>
      </c>
      <c r="R29" s="0" t="n">
        <f aca="false">SUMPRODUCT(MMULT(G29:P29,_XtX!$B$58:$K$67),G29:P29)</f>
        <v>0.59407792524858</v>
      </c>
      <c r="S29" s="0" t="n">
        <f aca="false">04_回帰ANOVA!$K$19*04_回帰ANOVA!$K$14*SQRT(1+R29)</f>
        <v>1.17387380087722</v>
      </c>
      <c r="T29" s="0" t="n">
        <f aca="false">Q29-S29</f>
        <v>39.6578307445773</v>
      </c>
      <c r="U29" s="0" t="n">
        <f aca="false">Q29+S29</f>
        <v>42.0055783463318</v>
      </c>
      <c r="V29" s="54" t="b">
        <f aca="false">AND(D29&gt;=01_因子設定!$L$5-0.000000001,D29&lt;=01_因子設定!$M$5+0.000000001,E29&gt;=01_因子設定!$L$6-0.000000001,E29&lt;=01_因子設定!$M$6+0.000000001,F29&gt;=01_因子設定!$L$7-0.000000001,F29&lt;=01_因子設定!$M$7+0.000000001,IF(01_因子設定!$B$20="Box-Behnken",D29^2+E29^2+F29^2&lt;=2+0.000000001,TRUE()))</f>
        <v>1</v>
      </c>
      <c r="W29" s="55" t="n">
        <f aca="false">IF(V29,IF(01_因子設定!$B$13="最大化",T29-01_因子設定!$B$14,IF(01_因子設定!$B$13="最小化",01_因子設定!$B$15-U29,MIN(T29-01_因子設定!$B$14,01_因子設定!$B$15-U29))),-1E+030)</f>
        <v>-8.84216925542268</v>
      </c>
      <c r="X29" s="55" t="n">
        <f aca="false">IF(V29,IF(01_因子設定!$B$13="最大化",Q29,IF(01_因子設定!$B$13="最小化",-Q29,-ABS(Q29-01_因子設定!$B$16))),-1E+030)</f>
        <v>40.8317045454545</v>
      </c>
      <c r="Y29" s="55" t="n">
        <f aca="false">W29+ROW()*0.000000001</f>
        <v>-8.84216922642268</v>
      </c>
      <c r="Z29" s="55" t="n">
        <f aca="false">X29+ROW()*0.000000001</f>
        <v>40.8317045744545</v>
      </c>
    </row>
    <row r="30" customFormat="false" ht="15" hidden="false" customHeight="false" outlineLevel="0" collapsed="false">
      <c r="A30" s="0" t="n">
        <v>0</v>
      </c>
      <c r="B30" s="0" t="n">
        <v>1</v>
      </c>
      <c r="C30" s="0" t="n">
        <v>8</v>
      </c>
      <c r="D30" s="0" t="n">
        <f aca="false">-1+A30*0.125</f>
        <v>-1</v>
      </c>
      <c r="E30" s="0" t="n">
        <f aca="false">-1+B30*0.125</f>
        <v>-0.875</v>
      </c>
      <c r="F30" s="0" t="n">
        <f aca="false">-1+C30*0.125</f>
        <v>0</v>
      </c>
      <c r="G30" s="0" t="n">
        <f aca="false">1</f>
        <v>1</v>
      </c>
      <c r="H30" s="0" t="n">
        <f aca="false">D30</f>
        <v>-1</v>
      </c>
      <c r="I30" s="0" t="n">
        <f aca="false">E30</f>
        <v>-0.875</v>
      </c>
      <c r="J30" s="0" t="n">
        <f aca="false">F30</f>
        <v>0</v>
      </c>
      <c r="K30" s="0" t="n">
        <f aca="false">D30*E30</f>
        <v>0.875</v>
      </c>
      <c r="L30" s="0" t="n">
        <f aca="false">D30*F30</f>
        <v>-0</v>
      </c>
      <c r="M30" s="0" t="n">
        <f aca="false">E30*F30</f>
        <v>-0</v>
      </c>
      <c r="N30" s="0" t="n">
        <f aca="false">D30*D30</f>
        <v>1</v>
      </c>
      <c r="O30" s="0" t="n">
        <f aca="false">E30*E30</f>
        <v>0.765625</v>
      </c>
      <c r="P30" s="0" t="n">
        <f aca="false">F30*F30</f>
        <v>0</v>
      </c>
      <c r="Q30" s="0" t="n">
        <f aca="false">SUMPRODUCT(G30:P30,_XtX!$B$71:$K$71)</f>
        <v>40.9921306818182</v>
      </c>
      <c r="R30" s="0" t="n">
        <f aca="false">SUMPRODUCT(MMULT(G30:P30,_XtX!$B$58:$K$67),G30:P30)</f>
        <v>0.597922585227273</v>
      </c>
      <c r="S30" s="0" t="n">
        <f aca="false">04_回帰ANOVA!$K$19*04_回帰ANOVA!$K$14*SQRT(1+R30)</f>
        <v>1.17528854591003</v>
      </c>
      <c r="T30" s="0" t="n">
        <f aca="false">Q30-S30</f>
        <v>39.8168421359081</v>
      </c>
      <c r="U30" s="0" t="n">
        <f aca="false">Q30+S30</f>
        <v>42.1674192277282</v>
      </c>
      <c r="V30" s="54" t="b">
        <f aca="false">AND(D30&gt;=01_因子設定!$L$5-0.000000001,D30&lt;=01_因子設定!$M$5+0.000000001,E30&gt;=01_因子設定!$L$6-0.000000001,E30&lt;=01_因子設定!$M$6+0.000000001,F30&gt;=01_因子設定!$L$7-0.000000001,F30&lt;=01_因子設定!$M$7+0.000000001,IF(01_因子設定!$B$20="Box-Behnken",D30^2+E30^2+F30^2&lt;=2+0.000000001,TRUE()))</f>
        <v>1</v>
      </c>
      <c r="W30" s="55" t="n">
        <f aca="false">IF(V30,IF(01_因子設定!$B$13="最大化",T30-01_因子設定!$B$14,IF(01_因子設定!$B$13="最小化",01_因子設定!$B$15-U30,MIN(T30-01_因子設定!$B$14,01_因子設定!$B$15-U30))),-1E+030)</f>
        <v>-8.68315786409186</v>
      </c>
      <c r="X30" s="55" t="n">
        <f aca="false">IF(V30,IF(01_因子設定!$B$13="最大化",Q30,IF(01_因子設定!$B$13="最小化",-Q30,-ABS(Q30-01_因子設定!$B$16))),-1E+030)</f>
        <v>40.9921306818182</v>
      </c>
      <c r="Y30" s="55" t="n">
        <f aca="false">W30+ROW()*0.000000001</f>
        <v>-8.68315783409186</v>
      </c>
      <c r="Z30" s="55" t="n">
        <f aca="false">X30+ROW()*0.000000001</f>
        <v>40.9921307118182</v>
      </c>
    </row>
    <row r="31" customFormat="false" ht="15" hidden="false" customHeight="false" outlineLevel="0" collapsed="false">
      <c r="A31" s="0" t="n">
        <v>0</v>
      </c>
      <c r="B31" s="0" t="n">
        <v>1</v>
      </c>
      <c r="C31" s="0" t="n">
        <v>9</v>
      </c>
      <c r="D31" s="0" t="n">
        <f aca="false">-1+A31*0.125</f>
        <v>-1</v>
      </c>
      <c r="E31" s="0" t="n">
        <f aca="false">-1+B31*0.125</f>
        <v>-0.875</v>
      </c>
      <c r="F31" s="0" t="n">
        <f aca="false">-1+C31*0.125</f>
        <v>0.125</v>
      </c>
      <c r="G31" s="0" t="n">
        <f aca="false">1</f>
        <v>1</v>
      </c>
      <c r="H31" s="0" t="n">
        <f aca="false">D31</f>
        <v>-1</v>
      </c>
      <c r="I31" s="0" t="n">
        <f aca="false">E31</f>
        <v>-0.875</v>
      </c>
      <c r="J31" s="0" t="n">
        <f aca="false">F31</f>
        <v>0.125</v>
      </c>
      <c r="K31" s="0" t="n">
        <f aca="false">D31*E31</f>
        <v>0.875</v>
      </c>
      <c r="L31" s="0" t="n">
        <f aca="false">D31*F31</f>
        <v>-0.125</v>
      </c>
      <c r="M31" s="0" t="n">
        <f aca="false">E31*F31</f>
        <v>-0.109375</v>
      </c>
      <c r="N31" s="0" t="n">
        <f aca="false">D31*D31</f>
        <v>1</v>
      </c>
      <c r="O31" s="0" t="n">
        <f aca="false">E31*E31</f>
        <v>0.765625</v>
      </c>
      <c r="P31" s="0" t="n">
        <f aca="false">F31*F31</f>
        <v>0.015625</v>
      </c>
      <c r="Q31" s="0" t="n">
        <f aca="false">SUMPRODUCT(G31:P31,_XtX!$B$71:$K$71)</f>
        <v>41.1157670454545</v>
      </c>
      <c r="R31" s="0" t="n">
        <f aca="false">SUMPRODUCT(MMULT(G31:P31,_XtX!$B$58:$K$67),G31:P31)</f>
        <v>0.59407792524858</v>
      </c>
      <c r="S31" s="0" t="n">
        <f aca="false">04_回帰ANOVA!$K$19*04_回帰ANOVA!$K$14*SQRT(1+R31)</f>
        <v>1.17387380087722</v>
      </c>
      <c r="T31" s="0" t="n">
        <f aca="false">Q31-S31</f>
        <v>39.9418932445773</v>
      </c>
      <c r="U31" s="0" t="n">
        <f aca="false">Q31+S31</f>
        <v>42.2896408463318</v>
      </c>
      <c r="V31" s="54" t="b">
        <f aca="false">AND(D31&gt;=01_因子設定!$L$5-0.000000001,D31&lt;=01_因子設定!$M$5+0.000000001,E31&gt;=01_因子設定!$L$6-0.000000001,E31&lt;=01_因子設定!$M$6+0.000000001,F31&gt;=01_因子設定!$L$7-0.000000001,F31&lt;=01_因子設定!$M$7+0.000000001,IF(01_因子設定!$B$20="Box-Behnken",D31^2+E31^2+F31^2&lt;=2+0.000000001,TRUE()))</f>
        <v>1</v>
      </c>
      <c r="W31" s="55" t="n">
        <f aca="false">IF(V31,IF(01_因子設定!$B$13="最大化",T31-01_因子設定!$B$14,IF(01_因子設定!$B$13="最小化",01_因子設定!$B$15-U31,MIN(T31-01_因子設定!$B$14,01_因子設定!$B$15-U31))),-1E+030)</f>
        <v>-8.55810675542269</v>
      </c>
      <c r="X31" s="55" t="n">
        <f aca="false">IF(V31,IF(01_因子設定!$B$13="最大化",Q31,IF(01_因子設定!$B$13="最小化",-Q31,-ABS(Q31-01_因子設定!$B$16))),-1E+030)</f>
        <v>41.1157670454545</v>
      </c>
      <c r="Y31" s="55" t="n">
        <f aca="false">W31+ROW()*0.000000001</f>
        <v>-8.55810672442268</v>
      </c>
      <c r="Z31" s="55" t="n">
        <f aca="false">X31+ROW()*0.000000001</f>
        <v>41.1157670764545</v>
      </c>
    </row>
    <row r="32" customFormat="false" ht="15" hidden="false" customHeight="false" outlineLevel="0" collapsed="false">
      <c r="A32" s="0" t="n">
        <v>0</v>
      </c>
      <c r="B32" s="0" t="n">
        <v>1</v>
      </c>
      <c r="C32" s="0" t="n">
        <v>10</v>
      </c>
      <c r="D32" s="0" t="n">
        <f aca="false">-1+A32*0.125</f>
        <v>-1</v>
      </c>
      <c r="E32" s="0" t="n">
        <f aca="false">-1+B32*0.125</f>
        <v>-0.875</v>
      </c>
      <c r="F32" s="0" t="n">
        <f aca="false">-1+C32*0.125</f>
        <v>0.25</v>
      </c>
      <c r="G32" s="0" t="n">
        <f aca="false">1</f>
        <v>1</v>
      </c>
      <c r="H32" s="0" t="n">
        <f aca="false">D32</f>
        <v>-1</v>
      </c>
      <c r="I32" s="0" t="n">
        <f aca="false">E32</f>
        <v>-0.875</v>
      </c>
      <c r="J32" s="0" t="n">
        <f aca="false">F32</f>
        <v>0.25</v>
      </c>
      <c r="K32" s="0" t="n">
        <f aca="false">D32*E32</f>
        <v>0.875</v>
      </c>
      <c r="L32" s="0" t="n">
        <f aca="false">D32*F32</f>
        <v>-0.25</v>
      </c>
      <c r="M32" s="0" t="n">
        <f aca="false">E32*F32</f>
        <v>-0.21875</v>
      </c>
      <c r="N32" s="0" t="n">
        <f aca="false">D32*D32</f>
        <v>1</v>
      </c>
      <c r="O32" s="0" t="n">
        <f aca="false">E32*E32</f>
        <v>0.765625</v>
      </c>
      <c r="P32" s="0" t="n">
        <f aca="false">F32*F32</f>
        <v>0.0625</v>
      </c>
      <c r="Q32" s="0" t="n">
        <f aca="false">SUMPRODUCT(G32:P32,_XtX!$B$71:$K$71)</f>
        <v>41.2026136363636</v>
      </c>
      <c r="R32" s="0" t="n">
        <f aca="false">SUMPRODUCT(MMULT(G32:P32,_XtX!$B$58:$K$67),G32:P32)</f>
        <v>0.583609286221591</v>
      </c>
      <c r="S32" s="0" t="n">
        <f aca="false">04_回帰ANOVA!$K$19*04_回帰ANOVA!$K$14*SQRT(1+R32)</f>
        <v>1.1700129157584</v>
      </c>
      <c r="T32" s="0" t="n">
        <f aca="false">Q32-S32</f>
        <v>40.0326007206052</v>
      </c>
      <c r="U32" s="0" t="n">
        <f aca="false">Q32+S32</f>
        <v>42.372626552122</v>
      </c>
      <c r="V32" s="54" t="b">
        <f aca="false">AND(D32&gt;=01_因子設定!$L$5-0.000000001,D32&lt;=01_因子設定!$M$5+0.000000001,E32&gt;=01_因子設定!$L$6-0.000000001,E32&lt;=01_因子設定!$M$6+0.000000001,F32&gt;=01_因子設定!$L$7-0.000000001,F32&lt;=01_因子設定!$M$7+0.000000001,IF(01_因子設定!$B$20="Box-Behnken",D32^2+E32^2+F32^2&lt;=2+0.000000001,TRUE()))</f>
        <v>1</v>
      </c>
      <c r="W32" s="55" t="n">
        <f aca="false">IF(V32,IF(01_因子設定!$B$13="最大化",T32-01_因子設定!$B$14,IF(01_因子設定!$B$13="最小化",01_因子設定!$B$15-U32,MIN(T32-01_因子設定!$B$14,01_因子設定!$B$15-U32))),-1E+030)</f>
        <v>-8.46739927939476</v>
      </c>
      <c r="X32" s="55" t="n">
        <f aca="false">IF(V32,IF(01_因子設定!$B$13="最大化",Q32,IF(01_因子設定!$B$13="最小化",-Q32,-ABS(Q32-01_因子設定!$B$16))),-1E+030)</f>
        <v>41.2026136363636</v>
      </c>
      <c r="Y32" s="55" t="n">
        <f aca="false">W32+ROW()*0.000000001</f>
        <v>-8.46739924739476</v>
      </c>
      <c r="Z32" s="55" t="n">
        <f aca="false">X32+ROW()*0.000000001</f>
        <v>41.2026136683636</v>
      </c>
    </row>
    <row r="33" customFormat="false" ht="15" hidden="false" customHeight="false" outlineLevel="0" collapsed="false">
      <c r="A33" s="0" t="n">
        <v>0</v>
      </c>
      <c r="B33" s="0" t="n">
        <v>1</v>
      </c>
      <c r="C33" s="0" t="n">
        <v>11</v>
      </c>
      <c r="D33" s="0" t="n">
        <f aca="false">-1+A33*0.125</f>
        <v>-1</v>
      </c>
      <c r="E33" s="0" t="n">
        <f aca="false">-1+B33*0.125</f>
        <v>-0.875</v>
      </c>
      <c r="F33" s="0" t="n">
        <f aca="false">-1+C33*0.125</f>
        <v>0.375</v>
      </c>
      <c r="G33" s="0" t="n">
        <f aca="false">1</f>
        <v>1</v>
      </c>
      <c r="H33" s="0" t="n">
        <f aca="false">D33</f>
        <v>-1</v>
      </c>
      <c r="I33" s="0" t="n">
        <f aca="false">E33</f>
        <v>-0.875</v>
      </c>
      <c r="J33" s="0" t="n">
        <f aca="false">F33</f>
        <v>0.375</v>
      </c>
      <c r="K33" s="0" t="n">
        <f aca="false">D33*E33</f>
        <v>0.875</v>
      </c>
      <c r="L33" s="0" t="n">
        <f aca="false">D33*F33</f>
        <v>-0.375</v>
      </c>
      <c r="M33" s="0" t="n">
        <f aca="false">E33*F33</f>
        <v>-0.328125</v>
      </c>
      <c r="N33" s="0" t="n">
        <f aca="false">D33*D33</f>
        <v>1</v>
      </c>
      <c r="O33" s="0" t="n">
        <f aca="false">E33*E33</f>
        <v>0.765625</v>
      </c>
      <c r="P33" s="0" t="n">
        <f aca="false">F33*F33</f>
        <v>0.140625</v>
      </c>
      <c r="Q33" s="0" t="n">
        <f aca="false">SUMPRODUCT(G33:P33,_XtX!$B$71:$K$71)</f>
        <v>41.2526704545454</v>
      </c>
      <c r="R33" s="0" t="n">
        <f aca="false">SUMPRODUCT(MMULT(G33:P33,_XtX!$B$58:$K$67),G33:P33)</f>
        <v>0.56971269087358</v>
      </c>
      <c r="S33" s="0" t="n">
        <f aca="false">04_回帰ANOVA!$K$19*04_回帰ANOVA!$K$14*SQRT(1+R33)</f>
        <v>1.16486801567081</v>
      </c>
      <c r="T33" s="0" t="n">
        <f aca="false">Q33-S33</f>
        <v>40.0878024388746</v>
      </c>
      <c r="U33" s="0" t="n">
        <f aca="false">Q33+S33</f>
        <v>42.4175384702163</v>
      </c>
      <c r="V33" s="54" t="b">
        <f aca="false">AND(D33&gt;=01_因子設定!$L$5-0.000000001,D33&lt;=01_因子設定!$M$5+0.000000001,E33&gt;=01_因子設定!$L$6-0.000000001,E33&lt;=01_因子設定!$M$6+0.000000001,F33&gt;=01_因子設定!$L$7-0.000000001,F33&lt;=01_因子設定!$M$7+0.000000001,IF(01_因子設定!$B$20="Box-Behnken",D33^2+E33^2+F33^2&lt;=2+0.000000001,TRUE()))</f>
        <v>1</v>
      </c>
      <c r="W33" s="55" t="n">
        <f aca="false">IF(V33,IF(01_因子設定!$B$13="最大化",T33-01_因子設定!$B$14,IF(01_因子設定!$B$13="最小化",01_因子設定!$B$15-U33,MIN(T33-01_因子設定!$B$14,01_因子設定!$B$15-U33))),-1E+030)</f>
        <v>-8.41219756112536</v>
      </c>
      <c r="X33" s="55" t="n">
        <f aca="false">IF(V33,IF(01_因子設定!$B$13="最大化",Q33,IF(01_因子設定!$B$13="最小化",-Q33,-ABS(Q33-01_因子設定!$B$16))),-1E+030)</f>
        <v>41.2526704545454</v>
      </c>
      <c r="Y33" s="55" t="n">
        <f aca="false">W33+ROW()*0.000000001</f>
        <v>-8.41219752812536</v>
      </c>
      <c r="Z33" s="55" t="n">
        <f aca="false">X33+ROW()*0.000000001</f>
        <v>41.2526704875454</v>
      </c>
    </row>
    <row r="34" customFormat="false" ht="15" hidden="false" customHeight="false" outlineLevel="0" collapsed="false">
      <c r="A34" s="0" t="n">
        <v>0</v>
      </c>
      <c r="B34" s="0" t="n">
        <v>1</v>
      </c>
      <c r="C34" s="0" t="n">
        <v>12</v>
      </c>
      <c r="D34" s="0" t="n">
        <f aca="false">-1+A34*0.125</f>
        <v>-1</v>
      </c>
      <c r="E34" s="0" t="n">
        <f aca="false">-1+B34*0.125</f>
        <v>-0.875</v>
      </c>
      <c r="F34" s="0" t="n">
        <f aca="false">-1+C34*0.125</f>
        <v>0.5</v>
      </c>
      <c r="G34" s="0" t="n">
        <f aca="false">1</f>
        <v>1</v>
      </c>
      <c r="H34" s="0" t="n">
        <f aca="false">D34</f>
        <v>-1</v>
      </c>
      <c r="I34" s="0" t="n">
        <f aca="false">E34</f>
        <v>-0.875</v>
      </c>
      <c r="J34" s="0" t="n">
        <f aca="false">F34</f>
        <v>0.5</v>
      </c>
      <c r="K34" s="0" t="n">
        <f aca="false">D34*E34</f>
        <v>0.875</v>
      </c>
      <c r="L34" s="0" t="n">
        <f aca="false">D34*F34</f>
        <v>-0.5</v>
      </c>
      <c r="M34" s="0" t="n">
        <f aca="false">E34*F34</f>
        <v>-0.4375</v>
      </c>
      <c r="N34" s="0" t="n">
        <f aca="false">D34*D34</f>
        <v>1</v>
      </c>
      <c r="O34" s="0" t="n">
        <f aca="false">E34*E34</f>
        <v>0.765625</v>
      </c>
      <c r="P34" s="0" t="n">
        <f aca="false">F34*F34</f>
        <v>0.25</v>
      </c>
      <c r="Q34" s="0" t="n">
        <f aca="false">SUMPRODUCT(G34:P34,_XtX!$B$71:$K$71)</f>
        <v>41.2659375</v>
      </c>
      <c r="R34" s="0" t="n">
        <f aca="false">SUMPRODUCT(MMULT(G34:P34,_XtX!$B$58:$K$67),G34:P34)</f>
        <v>0.55771484375</v>
      </c>
      <c r="S34" s="0" t="n">
        <f aca="false">04_回帰ANOVA!$K$19*04_回帰ANOVA!$K$14*SQRT(1+R34)</f>
        <v>1.16040773556467</v>
      </c>
      <c r="T34" s="0" t="n">
        <f aca="false">Q34-S34</f>
        <v>40.1055297644353</v>
      </c>
      <c r="U34" s="0" t="n">
        <f aca="false">Q34+S34</f>
        <v>42.4263452355647</v>
      </c>
      <c r="V34" s="54" t="b">
        <f aca="false">AND(D34&gt;=01_因子設定!$L$5-0.000000001,D34&lt;=01_因子設定!$M$5+0.000000001,E34&gt;=01_因子設定!$L$6-0.000000001,E34&lt;=01_因子設定!$M$6+0.000000001,F34&gt;=01_因子設定!$L$7-0.000000001,F34&lt;=01_因子設定!$M$7+0.000000001,IF(01_因子設定!$B$20="Box-Behnken",D34^2+E34^2+F34^2&lt;=2+0.000000001,TRUE()))</f>
        <v>1</v>
      </c>
      <c r="W34" s="55" t="n">
        <f aca="false">IF(V34,IF(01_因子設定!$B$13="最大化",T34-01_因子設定!$B$14,IF(01_因子設定!$B$13="最小化",01_因子設定!$B$15-U34,MIN(T34-01_因子設定!$B$14,01_因子設定!$B$15-U34))),-1E+030)</f>
        <v>-8.39447023556468</v>
      </c>
      <c r="X34" s="55" t="n">
        <f aca="false">IF(V34,IF(01_因子設定!$B$13="最大化",Q34,IF(01_因子設定!$B$13="最小化",-Q34,-ABS(Q34-01_因子設定!$B$16))),-1E+030)</f>
        <v>41.2659375</v>
      </c>
      <c r="Y34" s="55" t="n">
        <f aca="false">W34+ROW()*0.000000001</f>
        <v>-8.39447020156468</v>
      </c>
      <c r="Z34" s="55" t="n">
        <f aca="false">X34+ROW()*0.000000001</f>
        <v>41.265937534</v>
      </c>
    </row>
    <row r="35" customFormat="false" ht="15" hidden="false" customHeight="false" outlineLevel="0" collapsed="false">
      <c r="A35" s="0" t="n">
        <v>0</v>
      </c>
      <c r="B35" s="0" t="n">
        <v>1</v>
      </c>
      <c r="C35" s="0" t="n">
        <v>13</v>
      </c>
      <c r="D35" s="0" t="n">
        <f aca="false">-1+A35*0.125</f>
        <v>-1</v>
      </c>
      <c r="E35" s="0" t="n">
        <f aca="false">-1+B35*0.125</f>
        <v>-0.875</v>
      </c>
      <c r="F35" s="0" t="n">
        <f aca="false">-1+C35*0.125</f>
        <v>0.625</v>
      </c>
      <c r="G35" s="0" t="n">
        <f aca="false">1</f>
        <v>1</v>
      </c>
      <c r="H35" s="0" t="n">
        <f aca="false">D35</f>
        <v>-1</v>
      </c>
      <c r="I35" s="0" t="n">
        <f aca="false">E35</f>
        <v>-0.875</v>
      </c>
      <c r="J35" s="0" t="n">
        <f aca="false">F35</f>
        <v>0.625</v>
      </c>
      <c r="K35" s="0" t="n">
        <f aca="false">D35*E35</f>
        <v>0.875</v>
      </c>
      <c r="L35" s="0" t="n">
        <f aca="false">D35*F35</f>
        <v>-0.625</v>
      </c>
      <c r="M35" s="0" t="n">
        <f aca="false">E35*F35</f>
        <v>-0.546875</v>
      </c>
      <c r="N35" s="0" t="n">
        <f aca="false">D35*D35</f>
        <v>1</v>
      </c>
      <c r="O35" s="0" t="n">
        <f aca="false">E35*E35</f>
        <v>0.765625</v>
      </c>
      <c r="P35" s="0" t="n">
        <f aca="false">F35*F35</f>
        <v>0.390625</v>
      </c>
      <c r="Q35" s="0" t="n">
        <f aca="false">SUMPRODUCT(G35:P35,_XtX!$B$71:$K$71)</f>
        <v>41.2424147727273</v>
      </c>
      <c r="R35" s="0" t="n">
        <f aca="false">SUMPRODUCT(MMULT(G35:P35,_XtX!$B$58:$K$67),G35:P35)</f>
        <v>0.555073131214489</v>
      </c>
      <c r="S35" s="0" t="n">
        <f aca="false">04_回帰ANOVA!$K$19*04_回帰ANOVA!$K$14*SQRT(1+R35)</f>
        <v>1.15942335628341</v>
      </c>
      <c r="T35" s="0" t="n">
        <f aca="false">Q35-S35</f>
        <v>40.0829914164439</v>
      </c>
      <c r="U35" s="0" t="n">
        <f aca="false">Q35+S35</f>
        <v>42.4018381290107</v>
      </c>
      <c r="V35" s="54" t="b">
        <f aca="false">AND(D35&gt;=01_因子設定!$L$5-0.000000001,D35&lt;=01_因子設定!$M$5+0.000000001,E35&gt;=01_因子設定!$L$6-0.000000001,E35&lt;=01_因子設定!$M$6+0.000000001,F35&gt;=01_因子設定!$L$7-0.000000001,F35&lt;=01_因子設定!$M$7+0.000000001,IF(01_因子設定!$B$20="Box-Behnken",D35^2+E35^2+F35^2&lt;=2+0.000000001,TRUE()))</f>
        <v>1</v>
      </c>
      <c r="W35" s="55" t="n">
        <f aca="false">IF(V35,IF(01_因子設定!$B$13="最大化",T35-01_因子設定!$B$14,IF(01_因子設定!$B$13="最小化",01_因子設定!$B$15-U35,MIN(T35-01_因子設定!$B$14,01_因子設定!$B$15-U35))),-1E+030)</f>
        <v>-8.41700858355614</v>
      </c>
      <c r="X35" s="55" t="n">
        <f aca="false">IF(V35,IF(01_因子設定!$B$13="最大化",Q35,IF(01_因子設定!$B$13="最小化",-Q35,-ABS(Q35-01_因子設定!$B$16))),-1E+030)</f>
        <v>41.2424147727273</v>
      </c>
      <c r="Y35" s="55" t="n">
        <f aca="false">W35+ROW()*0.000000001</f>
        <v>-8.41700854855614</v>
      </c>
      <c r="Z35" s="55" t="n">
        <f aca="false">X35+ROW()*0.000000001</f>
        <v>41.2424148077273</v>
      </c>
    </row>
    <row r="36" customFormat="false" ht="15" hidden="false" customHeight="false" outlineLevel="0" collapsed="false">
      <c r="A36" s="0" t="n">
        <v>0</v>
      </c>
      <c r="B36" s="0" t="n">
        <v>1</v>
      </c>
      <c r="C36" s="0" t="n">
        <v>14</v>
      </c>
      <c r="D36" s="0" t="n">
        <f aca="false">-1+A36*0.125</f>
        <v>-1</v>
      </c>
      <c r="E36" s="0" t="n">
        <f aca="false">-1+B36*0.125</f>
        <v>-0.875</v>
      </c>
      <c r="F36" s="0" t="n">
        <f aca="false">-1+C36*0.125</f>
        <v>0.75</v>
      </c>
      <c r="G36" s="0" t="n">
        <f aca="false">1</f>
        <v>1</v>
      </c>
      <c r="H36" s="0" t="n">
        <f aca="false">D36</f>
        <v>-1</v>
      </c>
      <c r="I36" s="0" t="n">
        <f aca="false">E36</f>
        <v>-0.875</v>
      </c>
      <c r="J36" s="0" t="n">
        <f aca="false">F36</f>
        <v>0.75</v>
      </c>
      <c r="K36" s="0" t="n">
        <f aca="false">D36*E36</f>
        <v>0.875</v>
      </c>
      <c r="L36" s="0" t="n">
        <f aca="false">D36*F36</f>
        <v>-0.75</v>
      </c>
      <c r="M36" s="0" t="n">
        <f aca="false">E36*F36</f>
        <v>-0.65625</v>
      </c>
      <c r="N36" s="0" t="n">
        <f aca="false">D36*D36</f>
        <v>1</v>
      </c>
      <c r="O36" s="0" t="n">
        <f aca="false">E36*E36</f>
        <v>0.765625</v>
      </c>
      <c r="P36" s="0" t="n">
        <f aca="false">F36*F36</f>
        <v>0.5625</v>
      </c>
      <c r="Q36" s="0" t="n">
        <f aca="false">SUMPRODUCT(G36:P36,_XtX!$B$71:$K$71)</f>
        <v>41.1821022727273</v>
      </c>
      <c r="R36" s="0" t="n">
        <f aca="false">SUMPRODUCT(MMULT(G36:P36,_XtX!$B$58:$K$67),G36:P36)</f>
        <v>0.571375621448864</v>
      </c>
      <c r="S36" s="0" t="n">
        <f aca="false">04_回帰ANOVA!$K$19*04_回帰ANOVA!$K$14*SQRT(1+R36)</f>
        <v>1.16548487437682</v>
      </c>
      <c r="T36" s="0" t="n">
        <f aca="false">Q36-S36</f>
        <v>40.0166173983505</v>
      </c>
      <c r="U36" s="0" t="n">
        <f aca="false">Q36+S36</f>
        <v>42.3475871471041</v>
      </c>
      <c r="V36" s="54" t="b">
        <f aca="false">AND(D36&gt;=01_因子設定!$L$5-0.000000001,D36&lt;=01_因子設定!$M$5+0.000000001,E36&gt;=01_因子設定!$L$6-0.000000001,E36&lt;=01_因子設定!$M$6+0.000000001,F36&gt;=01_因子設定!$L$7-0.000000001,F36&lt;=01_因子設定!$M$7+0.000000001,IF(01_因子設定!$B$20="Box-Behnken",D36^2+E36^2+F36^2&lt;=2+0.000000001,TRUE()))</f>
        <v>1</v>
      </c>
      <c r="W36" s="55" t="n">
        <f aca="false">IF(V36,IF(01_因子設定!$B$13="最大化",T36-01_因子設定!$B$14,IF(01_因子設定!$B$13="最小化",01_因子設定!$B$15-U36,MIN(T36-01_因子設定!$B$14,01_因子設定!$B$15-U36))),-1E+030)</f>
        <v>-8.48338260164955</v>
      </c>
      <c r="X36" s="55" t="n">
        <f aca="false">IF(V36,IF(01_因子設定!$B$13="最大化",Q36,IF(01_因子設定!$B$13="最小化",-Q36,-ABS(Q36-01_因子設定!$B$16))),-1E+030)</f>
        <v>41.1821022727273</v>
      </c>
      <c r="Y36" s="55" t="n">
        <f aca="false">W36+ROW()*0.000000001</f>
        <v>-8.48338256564955</v>
      </c>
      <c r="Z36" s="55" t="n">
        <f aca="false">X36+ROW()*0.000000001</f>
        <v>41.1821023087273</v>
      </c>
    </row>
    <row r="37" customFormat="false" ht="15" hidden="false" customHeight="false" outlineLevel="0" collapsed="false">
      <c r="A37" s="0" t="n">
        <v>0</v>
      </c>
      <c r="B37" s="0" t="n">
        <v>1</v>
      </c>
      <c r="C37" s="0" t="n">
        <v>15</v>
      </c>
      <c r="D37" s="0" t="n">
        <f aca="false">-1+A37*0.125</f>
        <v>-1</v>
      </c>
      <c r="E37" s="0" t="n">
        <f aca="false">-1+B37*0.125</f>
        <v>-0.875</v>
      </c>
      <c r="F37" s="0" t="n">
        <f aca="false">-1+C37*0.125</f>
        <v>0.875</v>
      </c>
      <c r="G37" s="0" t="n">
        <f aca="false">1</f>
        <v>1</v>
      </c>
      <c r="H37" s="0" t="n">
        <f aca="false">D37</f>
        <v>-1</v>
      </c>
      <c r="I37" s="0" t="n">
        <f aca="false">E37</f>
        <v>-0.875</v>
      </c>
      <c r="J37" s="0" t="n">
        <f aca="false">F37</f>
        <v>0.875</v>
      </c>
      <c r="K37" s="0" t="n">
        <f aca="false">D37*E37</f>
        <v>0.875</v>
      </c>
      <c r="L37" s="0" t="n">
        <f aca="false">D37*F37</f>
        <v>-0.875</v>
      </c>
      <c r="M37" s="0" t="n">
        <f aca="false">E37*F37</f>
        <v>-0.765625</v>
      </c>
      <c r="N37" s="0" t="n">
        <f aca="false">D37*D37</f>
        <v>1</v>
      </c>
      <c r="O37" s="0" t="n">
        <f aca="false">E37*E37</f>
        <v>0.765625</v>
      </c>
      <c r="P37" s="0" t="n">
        <f aca="false">F37*F37</f>
        <v>0.765625</v>
      </c>
      <c r="Q37" s="0" t="n">
        <f aca="false">SUMPRODUCT(G37:P37,_XtX!$B$71:$K$71)</f>
        <v>41.085</v>
      </c>
      <c r="R37" s="0" t="n">
        <f aca="false">SUMPRODUCT(MMULT(G37:P37,_XtX!$B$58:$K$67),G37:P37)</f>
        <v>0.618341064453125</v>
      </c>
      <c r="S37" s="0" t="n">
        <f aca="false">04_回帰ANOVA!$K$19*04_回帰ANOVA!$K$14*SQRT(1+R37)</f>
        <v>1.18277371124466</v>
      </c>
      <c r="T37" s="0" t="n">
        <f aca="false">Q37-S37</f>
        <v>39.9022262887553</v>
      </c>
      <c r="U37" s="0" t="n">
        <f aca="false">Q37+S37</f>
        <v>42.2677737112447</v>
      </c>
      <c r="V37" s="54" t="b">
        <f aca="false">AND(D37&gt;=01_因子設定!$L$5-0.000000001,D37&lt;=01_因子設定!$M$5+0.000000001,E37&gt;=01_因子設定!$L$6-0.000000001,E37&lt;=01_因子設定!$M$6+0.000000001,F37&gt;=01_因子設定!$L$7-0.000000001,F37&lt;=01_因子設定!$M$7+0.000000001,IF(01_因子設定!$B$20="Box-Behnken",D37^2+E37^2+F37^2&lt;=2+0.000000001,TRUE()))</f>
        <v>1</v>
      </c>
      <c r="W37" s="55" t="n">
        <f aca="false">IF(V37,IF(01_因子設定!$B$13="最大化",T37-01_因子設定!$B$14,IF(01_因子設定!$B$13="最小化",01_因子設定!$B$15-U37,MIN(T37-01_因子設定!$B$14,01_因子設定!$B$15-U37))),-1E+030)</f>
        <v>-8.59777371124466</v>
      </c>
      <c r="X37" s="55" t="n">
        <f aca="false">IF(V37,IF(01_因子設定!$B$13="最大化",Q37,IF(01_因子設定!$B$13="最小化",-Q37,-ABS(Q37-01_因子設定!$B$16))),-1E+030)</f>
        <v>41.085</v>
      </c>
      <c r="Y37" s="55" t="n">
        <f aca="false">W37+ROW()*0.000000001</f>
        <v>-8.59777367424466</v>
      </c>
      <c r="Z37" s="55" t="n">
        <f aca="false">X37+ROW()*0.000000001</f>
        <v>41.085000037</v>
      </c>
    </row>
    <row r="38" customFormat="false" ht="15" hidden="false" customHeight="false" outlineLevel="0" collapsed="false">
      <c r="A38" s="0" t="n">
        <v>0</v>
      </c>
      <c r="B38" s="0" t="n">
        <v>1</v>
      </c>
      <c r="C38" s="0" t="n">
        <v>16</v>
      </c>
      <c r="D38" s="0" t="n">
        <f aca="false">-1+A38*0.125</f>
        <v>-1</v>
      </c>
      <c r="E38" s="0" t="n">
        <f aca="false">-1+B38*0.125</f>
        <v>-0.875</v>
      </c>
      <c r="F38" s="0" t="n">
        <f aca="false">-1+C38*0.125</f>
        <v>1</v>
      </c>
      <c r="G38" s="0" t="n">
        <f aca="false">1</f>
        <v>1</v>
      </c>
      <c r="H38" s="0" t="n">
        <f aca="false">D38</f>
        <v>-1</v>
      </c>
      <c r="I38" s="0" t="n">
        <f aca="false">E38</f>
        <v>-0.875</v>
      </c>
      <c r="J38" s="0" t="n">
        <f aca="false">F38</f>
        <v>1</v>
      </c>
      <c r="K38" s="0" t="n">
        <f aca="false">D38*E38</f>
        <v>0.875</v>
      </c>
      <c r="L38" s="0" t="n">
        <f aca="false">D38*F38</f>
        <v>-1</v>
      </c>
      <c r="M38" s="0" t="n">
        <f aca="false">E38*F38</f>
        <v>-0.875</v>
      </c>
      <c r="N38" s="0" t="n">
        <f aca="false">D38*D38</f>
        <v>1</v>
      </c>
      <c r="O38" s="0" t="n">
        <f aca="false">E38*E38</f>
        <v>0.765625</v>
      </c>
      <c r="P38" s="0" t="n">
        <f aca="false">F38*F38</f>
        <v>1</v>
      </c>
      <c r="Q38" s="0" t="n">
        <f aca="false">SUMPRODUCT(G38:P38,_XtX!$B$71:$K$71)</f>
        <v>40.9511079545455</v>
      </c>
      <c r="R38" s="0" t="n">
        <f aca="false">SUMPRODUCT(MMULT(G38:P38,_XtX!$B$58:$K$67),G38:P38)</f>
        <v>0.709818892045455</v>
      </c>
      <c r="S38" s="0" t="n">
        <f aca="false">04_回帰ANOVA!$K$19*04_回帰ANOVA!$K$14*SQRT(1+R38)</f>
        <v>1.21574275944458</v>
      </c>
      <c r="T38" s="0" t="n">
        <f aca="false">Q38-S38</f>
        <v>39.7353651951009</v>
      </c>
      <c r="U38" s="0" t="n">
        <f aca="false">Q38+S38</f>
        <v>42.16685071399</v>
      </c>
      <c r="V38" s="54" t="b">
        <f aca="false">AND(D38&gt;=01_因子設定!$L$5-0.000000001,D38&lt;=01_因子設定!$M$5+0.000000001,E38&gt;=01_因子設定!$L$6-0.000000001,E38&lt;=01_因子設定!$M$6+0.000000001,F38&gt;=01_因子設定!$L$7-0.000000001,F38&lt;=01_因子設定!$M$7+0.000000001,IF(01_因子設定!$B$20="Box-Behnken",D38^2+E38^2+F38^2&lt;=2+0.000000001,TRUE()))</f>
        <v>1</v>
      </c>
      <c r="W38" s="55" t="n">
        <f aca="false">IF(V38,IF(01_因子設定!$B$13="最大化",T38-01_因子設定!$B$14,IF(01_因子設定!$B$13="最小化",01_因子設定!$B$15-U38,MIN(T38-01_因子設定!$B$14,01_因子設定!$B$15-U38))),-1E+030)</f>
        <v>-8.76463480489912</v>
      </c>
      <c r="X38" s="55" t="n">
        <f aca="false">IF(V38,IF(01_因子設定!$B$13="最大化",Q38,IF(01_因子設定!$B$13="最小化",-Q38,-ABS(Q38-01_因子設定!$B$16))),-1E+030)</f>
        <v>40.9511079545455</v>
      </c>
      <c r="Y38" s="55" t="n">
        <f aca="false">W38+ROW()*0.000000001</f>
        <v>-8.76463476689912</v>
      </c>
      <c r="Z38" s="55" t="n">
        <f aca="false">X38+ROW()*0.000000001</f>
        <v>40.9511079925455</v>
      </c>
    </row>
    <row r="39" customFormat="false" ht="15" hidden="false" customHeight="false" outlineLevel="0" collapsed="false">
      <c r="A39" s="0" t="n">
        <v>0</v>
      </c>
      <c r="B39" s="0" t="n">
        <v>2</v>
      </c>
      <c r="C39" s="0" t="n">
        <v>0</v>
      </c>
      <c r="D39" s="0" t="n">
        <f aca="false">-1+A39*0.125</f>
        <v>-1</v>
      </c>
      <c r="E39" s="0" t="n">
        <f aca="false">-1+B39*0.125</f>
        <v>-0.75</v>
      </c>
      <c r="F39" s="0" t="n">
        <f aca="false">-1+C39*0.125</f>
        <v>-1</v>
      </c>
      <c r="G39" s="0" t="n">
        <f aca="false">1</f>
        <v>1</v>
      </c>
      <c r="H39" s="0" t="n">
        <f aca="false">D39</f>
        <v>-1</v>
      </c>
      <c r="I39" s="0" t="n">
        <f aca="false">E39</f>
        <v>-0.75</v>
      </c>
      <c r="J39" s="0" t="n">
        <f aca="false">F39</f>
        <v>-1</v>
      </c>
      <c r="K39" s="0" t="n">
        <f aca="false">D39*E39</f>
        <v>0.75</v>
      </c>
      <c r="L39" s="0" t="n">
        <f aca="false">D39*F39</f>
        <v>1</v>
      </c>
      <c r="M39" s="0" t="n">
        <f aca="false">E39*F39</f>
        <v>0.75</v>
      </c>
      <c r="N39" s="0" t="n">
        <f aca="false">D39*D39</f>
        <v>1</v>
      </c>
      <c r="O39" s="0" t="n">
        <f aca="false">E39*E39</f>
        <v>0.5625</v>
      </c>
      <c r="P39" s="0" t="n">
        <f aca="false">F39*F39</f>
        <v>1</v>
      </c>
      <c r="Q39" s="0" t="n">
        <f aca="false">SUMPRODUCT(G39:P39,_XtX!$B$71:$K$71)</f>
        <v>39.1397727272727</v>
      </c>
      <c r="R39" s="0" t="n">
        <f aca="false">SUMPRODUCT(MMULT(G39:P39,_XtX!$B$58:$K$67),G39:P39)</f>
        <v>0.669886363636364</v>
      </c>
      <c r="S39" s="0" t="n">
        <f aca="false">04_回帰ANOVA!$K$19*04_回帰ANOVA!$K$14*SQRT(1+R39)</f>
        <v>1.20146215423986</v>
      </c>
      <c r="T39" s="0" t="n">
        <f aca="false">Q39-S39</f>
        <v>37.9383105730329</v>
      </c>
      <c r="U39" s="0" t="n">
        <f aca="false">Q39+S39</f>
        <v>40.3412348815126</v>
      </c>
      <c r="V39" s="54" t="b">
        <f aca="false">AND(D39&gt;=01_因子設定!$L$5-0.000000001,D39&lt;=01_因子設定!$M$5+0.000000001,E39&gt;=01_因子設定!$L$6-0.000000001,E39&lt;=01_因子設定!$M$6+0.000000001,F39&gt;=01_因子設定!$L$7-0.000000001,F39&lt;=01_因子設定!$M$7+0.000000001,IF(01_因子設定!$B$20="Box-Behnken",D39^2+E39^2+F39^2&lt;=2+0.000000001,TRUE()))</f>
        <v>1</v>
      </c>
      <c r="W39" s="55" t="n">
        <f aca="false">IF(V39,IF(01_因子設定!$B$13="最大化",T39-01_因子設定!$B$14,IF(01_因子設定!$B$13="最小化",01_因子設定!$B$15-U39,MIN(T39-01_因子設定!$B$14,01_因子設定!$B$15-U39))),-1E+030)</f>
        <v>-10.5616894269671</v>
      </c>
      <c r="X39" s="55" t="n">
        <f aca="false">IF(V39,IF(01_因子設定!$B$13="最大化",Q39,IF(01_因子設定!$B$13="最小化",-Q39,-ABS(Q39-01_因子設定!$B$16))),-1E+030)</f>
        <v>39.1397727272727</v>
      </c>
      <c r="Y39" s="55" t="n">
        <f aca="false">W39+ROW()*0.000000001</f>
        <v>-10.5616893879671</v>
      </c>
      <c r="Z39" s="55" t="n">
        <f aca="false">X39+ROW()*0.000000001</f>
        <v>39.1397727662727</v>
      </c>
    </row>
    <row r="40" customFormat="false" ht="15" hidden="false" customHeight="false" outlineLevel="0" collapsed="false">
      <c r="A40" s="0" t="n">
        <v>0</v>
      </c>
      <c r="B40" s="0" t="n">
        <v>2</v>
      </c>
      <c r="C40" s="0" t="n">
        <v>1</v>
      </c>
      <c r="D40" s="0" t="n">
        <f aca="false">-1+A40*0.125</f>
        <v>-1</v>
      </c>
      <c r="E40" s="0" t="n">
        <f aca="false">-1+B40*0.125</f>
        <v>-0.75</v>
      </c>
      <c r="F40" s="0" t="n">
        <f aca="false">-1+C40*0.125</f>
        <v>-0.875</v>
      </c>
      <c r="G40" s="0" t="n">
        <f aca="false">1</f>
        <v>1</v>
      </c>
      <c r="H40" s="0" t="n">
        <f aca="false">D40</f>
        <v>-1</v>
      </c>
      <c r="I40" s="0" t="n">
        <f aca="false">E40</f>
        <v>-0.75</v>
      </c>
      <c r="J40" s="0" t="n">
        <f aca="false">F40</f>
        <v>-0.875</v>
      </c>
      <c r="K40" s="0" t="n">
        <f aca="false">D40*E40</f>
        <v>0.75</v>
      </c>
      <c r="L40" s="0" t="n">
        <f aca="false">D40*F40</f>
        <v>0.875</v>
      </c>
      <c r="M40" s="0" t="n">
        <f aca="false">E40*F40</f>
        <v>0.65625</v>
      </c>
      <c r="N40" s="0" t="n">
        <f aca="false">D40*D40</f>
        <v>1</v>
      </c>
      <c r="O40" s="0" t="n">
        <f aca="false">E40*E40</f>
        <v>0.5625</v>
      </c>
      <c r="P40" s="0" t="n">
        <f aca="false">F40*F40</f>
        <v>0.765625</v>
      </c>
      <c r="Q40" s="0" t="n">
        <f aca="false">SUMPRODUCT(G40:P40,_XtX!$B$71:$K$71)</f>
        <v>39.5647585227273</v>
      </c>
      <c r="R40" s="0" t="n">
        <f aca="false">SUMPRODUCT(MMULT(G40:P40,_XtX!$B$58:$K$67),G40:P40)</f>
        <v>0.571375621448864</v>
      </c>
      <c r="S40" s="0" t="n">
        <f aca="false">04_回帰ANOVA!$K$19*04_回帰ANOVA!$K$14*SQRT(1+R40)</f>
        <v>1.16548487437682</v>
      </c>
      <c r="T40" s="0" t="n">
        <f aca="false">Q40-S40</f>
        <v>38.3992736483505</v>
      </c>
      <c r="U40" s="0" t="n">
        <f aca="false">Q40+S40</f>
        <v>40.7302433971041</v>
      </c>
      <c r="V40" s="54" t="b">
        <f aca="false">AND(D40&gt;=01_因子設定!$L$5-0.000000001,D40&lt;=01_因子設定!$M$5+0.000000001,E40&gt;=01_因子設定!$L$6-0.000000001,E40&lt;=01_因子設定!$M$6+0.000000001,F40&gt;=01_因子設定!$L$7-0.000000001,F40&lt;=01_因子設定!$M$7+0.000000001,IF(01_因子設定!$B$20="Box-Behnken",D40^2+E40^2+F40^2&lt;=2+0.000000001,TRUE()))</f>
        <v>1</v>
      </c>
      <c r="W40" s="55" t="n">
        <f aca="false">IF(V40,IF(01_因子設定!$B$13="最大化",T40-01_因子設定!$B$14,IF(01_因子設定!$B$13="最小化",01_因子設定!$B$15-U40,MIN(T40-01_因子設定!$B$14,01_因子設定!$B$15-U40))),-1E+030)</f>
        <v>-10.1007263516495</v>
      </c>
      <c r="X40" s="55" t="n">
        <f aca="false">IF(V40,IF(01_因子設定!$B$13="最大化",Q40,IF(01_因子設定!$B$13="最小化",-Q40,-ABS(Q40-01_因子設定!$B$16))),-1E+030)</f>
        <v>39.5647585227273</v>
      </c>
      <c r="Y40" s="55" t="n">
        <f aca="false">W40+ROW()*0.000000001</f>
        <v>-10.1007263116495</v>
      </c>
      <c r="Z40" s="55" t="n">
        <f aca="false">X40+ROW()*0.000000001</f>
        <v>39.5647585627273</v>
      </c>
    </row>
    <row r="41" customFormat="false" ht="15" hidden="false" customHeight="false" outlineLevel="0" collapsed="false">
      <c r="A41" s="0" t="n">
        <v>0</v>
      </c>
      <c r="B41" s="0" t="n">
        <v>2</v>
      </c>
      <c r="C41" s="0" t="n">
        <v>2</v>
      </c>
      <c r="D41" s="0" t="n">
        <f aca="false">-1+A41*0.125</f>
        <v>-1</v>
      </c>
      <c r="E41" s="0" t="n">
        <f aca="false">-1+B41*0.125</f>
        <v>-0.75</v>
      </c>
      <c r="F41" s="0" t="n">
        <f aca="false">-1+C41*0.125</f>
        <v>-0.75</v>
      </c>
      <c r="G41" s="0" t="n">
        <f aca="false">1</f>
        <v>1</v>
      </c>
      <c r="H41" s="0" t="n">
        <f aca="false">D41</f>
        <v>-1</v>
      </c>
      <c r="I41" s="0" t="n">
        <f aca="false">E41</f>
        <v>-0.75</v>
      </c>
      <c r="J41" s="0" t="n">
        <f aca="false">F41</f>
        <v>-0.75</v>
      </c>
      <c r="K41" s="0" t="n">
        <f aca="false">D41*E41</f>
        <v>0.75</v>
      </c>
      <c r="L41" s="0" t="n">
        <f aca="false">D41*F41</f>
        <v>0.75</v>
      </c>
      <c r="M41" s="0" t="n">
        <f aca="false">E41*F41</f>
        <v>0.5625</v>
      </c>
      <c r="N41" s="0" t="n">
        <f aca="false">D41*D41</f>
        <v>1</v>
      </c>
      <c r="O41" s="0" t="n">
        <f aca="false">E41*E41</f>
        <v>0.5625</v>
      </c>
      <c r="P41" s="0" t="n">
        <f aca="false">F41*F41</f>
        <v>0.5625</v>
      </c>
      <c r="Q41" s="0" t="n">
        <f aca="false">SUMPRODUCT(G41:P41,_XtX!$B$71:$K$71)</f>
        <v>39.9529545454545</v>
      </c>
      <c r="R41" s="0" t="n">
        <f aca="false">SUMPRODUCT(MMULT(G41:P41,_XtX!$B$58:$K$67),G41:P41)</f>
        <v>0.518314985795455</v>
      </c>
      <c r="S41" s="0" t="n">
        <f aca="false">04_回帰ANOVA!$K$19*04_回帰ANOVA!$K$14*SQRT(1+R41)</f>
        <v>1.14563843495971</v>
      </c>
      <c r="T41" s="0" t="n">
        <f aca="false">Q41-S41</f>
        <v>38.8073161104948</v>
      </c>
      <c r="U41" s="0" t="n">
        <f aca="false">Q41+S41</f>
        <v>41.0985929804143</v>
      </c>
      <c r="V41" s="54" t="b">
        <f aca="false">AND(D41&gt;=01_因子設定!$L$5-0.000000001,D41&lt;=01_因子設定!$M$5+0.000000001,E41&gt;=01_因子設定!$L$6-0.000000001,E41&lt;=01_因子設定!$M$6+0.000000001,F41&gt;=01_因子設定!$L$7-0.000000001,F41&lt;=01_因子設定!$M$7+0.000000001,IF(01_因子設定!$B$20="Box-Behnken",D41^2+E41^2+F41^2&lt;=2+0.000000001,TRUE()))</f>
        <v>1</v>
      </c>
      <c r="W41" s="55" t="n">
        <f aca="false">IF(V41,IF(01_因子設定!$B$13="最大化",T41-01_因子設定!$B$14,IF(01_因子設定!$B$13="最小化",01_因子設定!$B$15-U41,MIN(T41-01_因子設定!$B$14,01_因子設定!$B$15-U41))),-1E+030)</f>
        <v>-9.69268388950516</v>
      </c>
      <c r="X41" s="55" t="n">
        <f aca="false">IF(V41,IF(01_因子設定!$B$13="最大化",Q41,IF(01_因子設定!$B$13="最小化",-Q41,-ABS(Q41-01_因子設定!$B$16))),-1E+030)</f>
        <v>39.9529545454545</v>
      </c>
      <c r="Y41" s="55" t="n">
        <f aca="false">W41+ROW()*0.000000001</f>
        <v>-9.69268384850516</v>
      </c>
      <c r="Z41" s="55" t="n">
        <f aca="false">X41+ROW()*0.000000001</f>
        <v>39.9529545864545</v>
      </c>
    </row>
    <row r="42" customFormat="false" ht="15" hidden="false" customHeight="false" outlineLevel="0" collapsed="false">
      <c r="A42" s="0" t="n">
        <v>0</v>
      </c>
      <c r="B42" s="0" t="n">
        <v>2</v>
      </c>
      <c r="C42" s="0" t="n">
        <v>3</v>
      </c>
      <c r="D42" s="0" t="n">
        <f aca="false">-1+A42*0.125</f>
        <v>-1</v>
      </c>
      <c r="E42" s="0" t="n">
        <f aca="false">-1+B42*0.125</f>
        <v>-0.75</v>
      </c>
      <c r="F42" s="0" t="n">
        <f aca="false">-1+C42*0.125</f>
        <v>-0.625</v>
      </c>
      <c r="G42" s="0" t="n">
        <f aca="false">1</f>
        <v>1</v>
      </c>
      <c r="H42" s="0" t="n">
        <f aca="false">D42</f>
        <v>-1</v>
      </c>
      <c r="I42" s="0" t="n">
        <f aca="false">E42</f>
        <v>-0.75</v>
      </c>
      <c r="J42" s="0" t="n">
        <f aca="false">F42</f>
        <v>-0.625</v>
      </c>
      <c r="K42" s="0" t="n">
        <f aca="false">D42*E42</f>
        <v>0.75</v>
      </c>
      <c r="L42" s="0" t="n">
        <f aca="false">D42*F42</f>
        <v>0.625</v>
      </c>
      <c r="M42" s="0" t="n">
        <f aca="false">E42*F42</f>
        <v>0.46875</v>
      </c>
      <c r="N42" s="0" t="n">
        <f aca="false">D42*D42</f>
        <v>1</v>
      </c>
      <c r="O42" s="0" t="n">
        <f aca="false">E42*E42</f>
        <v>0.5625</v>
      </c>
      <c r="P42" s="0" t="n">
        <f aca="false">F42*F42</f>
        <v>0.390625</v>
      </c>
      <c r="Q42" s="0" t="n">
        <f aca="false">SUMPRODUCT(G42:P42,_XtX!$B$71:$K$71)</f>
        <v>40.3043607954545</v>
      </c>
      <c r="R42" s="0" t="n">
        <f aca="false">SUMPRODUCT(MMULT(G42:P42,_XtX!$B$58:$K$67),G42:P42)</f>
        <v>0.496855024857955</v>
      </c>
      <c r="S42" s="0" t="n">
        <f aca="false">04_回帰ANOVA!$K$19*04_回帰ANOVA!$K$14*SQRT(1+R42)</f>
        <v>1.1375133593161</v>
      </c>
      <c r="T42" s="0" t="n">
        <f aca="false">Q42-S42</f>
        <v>39.1668474361384</v>
      </c>
      <c r="U42" s="0" t="n">
        <f aca="false">Q42+S42</f>
        <v>41.4418741547706</v>
      </c>
      <c r="V42" s="54" t="b">
        <f aca="false">AND(D42&gt;=01_因子設定!$L$5-0.000000001,D42&lt;=01_因子設定!$M$5+0.000000001,E42&gt;=01_因子設定!$L$6-0.000000001,E42&lt;=01_因子設定!$M$6+0.000000001,F42&gt;=01_因子設定!$L$7-0.000000001,F42&lt;=01_因子設定!$M$7+0.000000001,IF(01_因子設定!$B$20="Box-Behnken",D42^2+E42^2+F42^2&lt;=2+0.000000001,TRUE()))</f>
        <v>1</v>
      </c>
      <c r="W42" s="55" t="n">
        <f aca="false">IF(V42,IF(01_因子設定!$B$13="最大化",T42-01_因子設定!$B$14,IF(01_因子設定!$B$13="最小化",01_因子設定!$B$15-U42,MIN(T42-01_因子設定!$B$14,01_因子設定!$B$15-U42))),-1E+030)</f>
        <v>-9.33315256386156</v>
      </c>
      <c r="X42" s="55" t="n">
        <f aca="false">IF(V42,IF(01_因子設定!$B$13="最大化",Q42,IF(01_因子設定!$B$13="最小化",-Q42,-ABS(Q42-01_因子設定!$B$16))),-1E+030)</f>
        <v>40.3043607954545</v>
      </c>
      <c r="Y42" s="55" t="n">
        <f aca="false">W42+ROW()*0.000000001</f>
        <v>-9.33315252186156</v>
      </c>
      <c r="Z42" s="55" t="n">
        <f aca="false">X42+ROW()*0.000000001</f>
        <v>40.3043608374545</v>
      </c>
    </row>
    <row r="43" customFormat="false" ht="15" hidden="false" customHeight="false" outlineLevel="0" collapsed="false">
      <c r="A43" s="0" t="n">
        <v>0</v>
      </c>
      <c r="B43" s="0" t="n">
        <v>2</v>
      </c>
      <c r="C43" s="0" t="n">
        <v>4</v>
      </c>
      <c r="D43" s="0" t="n">
        <f aca="false">-1+A43*0.125</f>
        <v>-1</v>
      </c>
      <c r="E43" s="0" t="n">
        <f aca="false">-1+B43*0.125</f>
        <v>-0.75</v>
      </c>
      <c r="F43" s="0" t="n">
        <f aca="false">-1+C43*0.125</f>
        <v>-0.5</v>
      </c>
      <c r="G43" s="0" t="n">
        <f aca="false">1</f>
        <v>1</v>
      </c>
      <c r="H43" s="0" t="n">
        <f aca="false">D43</f>
        <v>-1</v>
      </c>
      <c r="I43" s="0" t="n">
        <f aca="false">E43</f>
        <v>-0.75</v>
      </c>
      <c r="J43" s="0" t="n">
        <f aca="false">F43</f>
        <v>-0.5</v>
      </c>
      <c r="K43" s="0" t="n">
        <f aca="false">D43*E43</f>
        <v>0.75</v>
      </c>
      <c r="L43" s="0" t="n">
        <f aca="false">D43*F43</f>
        <v>0.5</v>
      </c>
      <c r="M43" s="0" t="n">
        <f aca="false">E43*F43</f>
        <v>0.375</v>
      </c>
      <c r="N43" s="0" t="n">
        <f aca="false">D43*D43</f>
        <v>1</v>
      </c>
      <c r="O43" s="0" t="n">
        <f aca="false">E43*E43</f>
        <v>0.5625</v>
      </c>
      <c r="P43" s="0" t="n">
        <f aca="false">F43*F43</f>
        <v>0.25</v>
      </c>
      <c r="Q43" s="0" t="n">
        <f aca="false">SUMPRODUCT(G43:P43,_XtX!$B$71:$K$71)</f>
        <v>40.6189772727273</v>
      </c>
      <c r="R43" s="0" t="n">
        <f aca="false">SUMPRODUCT(MMULT(G43:P43,_XtX!$B$58:$K$67),G43:P43)</f>
        <v>0.495276988636364</v>
      </c>
      <c r="S43" s="0" t="n">
        <f aca="false">04_回帰ANOVA!$K$19*04_回帰ANOVA!$K$14*SQRT(1+R43)</f>
        <v>1.13691359828352</v>
      </c>
      <c r="T43" s="0" t="n">
        <f aca="false">Q43-S43</f>
        <v>39.4820636744437</v>
      </c>
      <c r="U43" s="0" t="n">
        <f aca="false">Q43+S43</f>
        <v>41.7558908710108</v>
      </c>
      <c r="V43" s="54" t="b">
        <f aca="false">AND(D43&gt;=01_因子設定!$L$5-0.000000001,D43&lt;=01_因子設定!$M$5+0.000000001,E43&gt;=01_因子設定!$L$6-0.000000001,E43&lt;=01_因子設定!$M$6+0.000000001,F43&gt;=01_因子設定!$L$7-0.000000001,F43&lt;=01_因子設定!$M$7+0.000000001,IF(01_因子設定!$B$20="Box-Behnken",D43^2+E43^2+F43^2&lt;=2+0.000000001,TRUE()))</f>
        <v>1</v>
      </c>
      <c r="W43" s="55" t="n">
        <f aca="false">IF(V43,IF(01_因子設定!$B$13="最大化",T43-01_因子設定!$B$14,IF(01_因子設定!$B$13="最小化",01_因子設定!$B$15-U43,MIN(T43-01_因子設定!$B$14,01_因子設定!$B$15-U43))),-1E+030)</f>
        <v>-9.01793632555626</v>
      </c>
      <c r="X43" s="55" t="n">
        <f aca="false">IF(V43,IF(01_因子設定!$B$13="最大化",Q43,IF(01_因子設定!$B$13="最小化",-Q43,-ABS(Q43-01_因子設定!$B$16))),-1E+030)</f>
        <v>40.6189772727273</v>
      </c>
      <c r="Y43" s="55" t="n">
        <f aca="false">W43+ROW()*0.000000001</f>
        <v>-9.01793628255626</v>
      </c>
      <c r="Z43" s="55" t="n">
        <f aca="false">X43+ROW()*0.000000001</f>
        <v>40.6189773157273</v>
      </c>
    </row>
    <row r="44" customFormat="false" ht="15" hidden="false" customHeight="false" outlineLevel="0" collapsed="false">
      <c r="A44" s="0" t="n">
        <v>0</v>
      </c>
      <c r="B44" s="0" t="n">
        <v>2</v>
      </c>
      <c r="C44" s="0" t="n">
        <v>5</v>
      </c>
      <c r="D44" s="0" t="n">
        <f aca="false">-1+A44*0.125</f>
        <v>-1</v>
      </c>
      <c r="E44" s="0" t="n">
        <f aca="false">-1+B44*0.125</f>
        <v>-0.75</v>
      </c>
      <c r="F44" s="0" t="n">
        <f aca="false">-1+C44*0.125</f>
        <v>-0.375</v>
      </c>
      <c r="G44" s="0" t="n">
        <f aca="false">1</f>
        <v>1</v>
      </c>
      <c r="H44" s="0" t="n">
        <f aca="false">D44</f>
        <v>-1</v>
      </c>
      <c r="I44" s="0" t="n">
        <f aca="false">E44</f>
        <v>-0.75</v>
      </c>
      <c r="J44" s="0" t="n">
        <f aca="false">F44</f>
        <v>-0.375</v>
      </c>
      <c r="K44" s="0" t="n">
        <f aca="false">D44*E44</f>
        <v>0.75</v>
      </c>
      <c r="L44" s="0" t="n">
        <f aca="false">D44*F44</f>
        <v>0.375</v>
      </c>
      <c r="M44" s="0" t="n">
        <f aca="false">E44*F44</f>
        <v>0.28125</v>
      </c>
      <c r="N44" s="0" t="n">
        <f aca="false">D44*D44</f>
        <v>1</v>
      </c>
      <c r="O44" s="0" t="n">
        <f aca="false">E44*E44</f>
        <v>0.5625</v>
      </c>
      <c r="P44" s="0" t="n">
        <f aca="false">F44*F44</f>
        <v>0.140625</v>
      </c>
      <c r="Q44" s="0" t="n">
        <f aca="false">SUMPRODUCT(G44:P44,_XtX!$B$71:$K$71)</f>
        <v>40.8968039772727</v>
      </c>
      <c r="R44" s="0" t="n">
        <f aca="false">SUMPRODUCT(MMULT(G44:P44,_XtX!$B$58:$K$67),G44:P44)</f>
        <v>0.503992808948864</v>
      </c>
      <c r="S44" s="0" t="n">
        <f aca="false">04_回帰ANOVA!$K$19*04_回帰ANOVA!$K$14*SQRT(1+R44)</f>
        <v>1.14022226176226</v>
      </c>
      <c r="T44" s="0" t="n">
        <f aca="false">Q44-S44</f>
        <v>39.7565817155105</v>
      </c>
      <c r="U44" s="0" t="n">
        <f aca="false">Q44+S44</f>
        <v>42.037026239035</v>
      </c>
      <c r="V44" s="54" t="b">
        <f aca="false">AND(D44&gt;=01_因子設定!$L$5-0.000000001,D44&lt;=01_因子設定!$M$5+0.000000001,E44&gt;=01_因子設定!$L$6-0.000000001,E44&lt;=01_因子設定!$M$6+0.000000001,F44&gt;=01_因子設定!$L$7-0.000000001,F44&lt;=01_因子設定!$M$7+0.000000001,IF(01_因子設定!$B$20="Box-Behnken",D44^2+E44^2+F44^2&lt;=2+0.000000001,TRUE()))</f>
        <v>1</v>
      </c>
      <c r="W44" s="55" t="n">
        <f aca="false">IF(V44,IF(01_因子設定!$B$13="最大化",T44-01_因子設定!$B$14,IF(01_因子設定!$B$13="最小化",01_因子設定!$B$15-U44,MIN(T44-01_因子設定!$B$14,01_因子設定!$B$15-U44))),-1E+030)</f>
        <v>-8.74341828448954</v>
      </c>
      <c r="X44" s="55" t="n">
        <f aca="false">IF(V44,IF(01_因子設定!$B$13="最大化",Q44,IF(01_因子設定!$B$13="最小化",-Q44,-ABS(Q44-01_因子設定!$B$16))),-1E+030)</f>
        <v>40.8968039772727</v>
      </c>
      <c r="Y44" s="55" t="n">
        <f aca="false">W44+ROW()*0.000000001</f>
        <v>-8.74341824048954</v>
      </c>
      <c r="Z44" s="55" t="n">
        <f aca="false">X44+ROW()*0.000000001</f>
        <v>40.8968040212727</v>
      </c>
    </row>
    <row r="45" customFormat="false" ht="15" hidden="false" customHeight="false" outlineLevel="0" collapsed="false">
      <c r="A45" s="0" t="n">
        <v>0</v>
      </c>
      <c r="B45" s="0" t="n">
        <v>2</v>
      </c>
      <c r="C45" s="0" t="n">
        <v>6</v>
      </c>
      <c r="D45" s="0" t="n">
        <f aca="false">-1+A45*0.125</f>
        <v>-1</v>
      </c>
      <c r="E45" s="0" t="n">
        <f aca="false">-1+B45*0.125</f>
        <v>-0.75</v>
      </c>
      <c r="F45" s="0" t="n">
        <f aca="false">-1+C45*0.125</f>
        <v>-0.25</v>
      </c>
      <c r="G45" s="0" t="n">
        <f aca="false">1</f>
        <v>1</v>
      </c>
      <c r="H45" s="0" t="n">
        <f aca="false">D45</f>
        <v>-1</v>
      </c>
      <c r="I45" s="0" t="n">
        <f aca="false">E45</f>
        <v>-0.75</v>
      </c>
      <c r="J45" s="0" t="n">
        <f aca="false">F45</f>
        <v>-0.25</v>
      </c>
      <c r="K45" s="0" t="n">
        <f aca="false">D45*E45</f>
        <v>0.75</v>
      </c>
      <c r="L45" s="0" t="n">
        <f aca="false">D45*F45</f>
        <v>0.25</v>
      </c>
      <c r="M45" s="0" t="n">
        <f aca="false">E45*F45</f>
        <v>0.1875</v>
      </c>
      <c r="N45" s="0" t="n">
        <f aca="false">D45*D45</f>
        <v>1</v>
      </c>
      <c r="O45" s="0" t="n">
        <f aca="false">E45*E45</f>
        <v>0.5625</v>
      </c>
      <c r="P45" s="0" t="n">
        <f aca="false">F45*F45</f>
        <v>0.0625</v>
      </c>
      <c r="Q45" s="0" t="n">
        <f aca="false">SUMPRODUCT(G45:P45,_XtX!$B$71:$K$71)</f>
        <v>41.1378409090909</v>
      </c>
      <c r="R45" s="0" t="n">
        <f aca="false">SUMPRODUCT(MMULT(G45:P45,_XtX!$B$58:$K$67),G45:P45)</f>
        <v>0.515545099431818</v>
      </c>
      <c r="S45" s="0" t="n">
        <f aca="false">04_回帰ANOVA!$K$19*04_回帰ANOVA!$K$14*SQRT(1+R45)</f>
        <v>1.14459295464101</v>
      </c>
      <c r="T45" s="0" t="n">
        <f aca="false">Q45-S45</f>
        <v>39.9932479544499</v>
      </c>
      <c r="U45" s="0" t="n">
        <f aca="false">Q45+S45</f>
        <v>42.2824338637319</v>
      </c>
      <c r="V45" s="54" t="b">
        <f aca="false">AND(D45&gt;=01_因子設定!$L$5-0.000000001,D45&lt;=01_因子設定!$M$5+0.000000001,E45&gt;=01_因子設定!$L$6-0.000000001,E45&lt;=01_因子設定!$M$6+0.000000001,F45&gt;=01_因子設定!$L$7-0.000000001,F45&lt;=01_因子設定!$M$7+0.000000001,IF(01_因子設定!$B$20="Box-Behnken",D45^2+E45^2+F45^2&lt;=2+0.000000001,TRUE()))</f>
        <v>1</v>
      </c>
      <c r="W45" s="55" t="n">
        <f aca="false">IF(V45,IF(01_因子設定!$B$13="最大化",T45-01_因子設定!$B$14,IF(01_因子設定!$B$13="最小化",01_因子設定!$B$15-U45,MIN(T45-01_因子設定!$B$14,01_因子設定!$B$15-U45))),-1E+030)</f>
        <v>-8.50675204555012</v>
      </c>
      <c r="X45" s="55" t="n">
        <f aca="false">IF(V45,IF(01_因子設定!$B$13="最大化",Q45,IF(01_因子設定!$B$13="最小化",-Q45,-ABS(Q45-01_因子設定!$B$16))),-1E+030)</f>
        <v>41.1378409090909</v>
      </c>
      <c r="Y45" s="55" t="n">
        <f aca="false">W45+ROW()*0.000000001</f>
        <v>-8.50675200055012</v>
      </c>
      <c r="Z45" s="55" t="n">
        <f aca="false">X45+ROW()*0.000000001</f>
        <v>41.1378409540909</v>
      </c>
    </row>
    <row r="46" customFormat="false" ht="15" hidden="false" customHeight="false" outlineLevel="0" collapsed="false">
      <c r="A46" s="0" t="n">
        <v>0</v>
      </c>
      <c r="B46" s="0" t="n">
        <v>2</v>
      </c>
      <c r="C46" s="0" t="n">
        <v>7</v>
      </c>
      <c r="D46" s="0" t="n">
        <f aca="false">-1+A46*0.125</f>
        <v>-1</v>
      </c>
      <c r="E46" s="0" t="n">
        <f aca="false">-1+B46*0.125</f>
        <v>-0.75</v>
      </c>
      <c r="F46" s="0" t="n">
        <f aca="false">-1+C46*0.125</f>
        <v>-0.125</v>
      </c>
      <c r="G46" s="0" t="n">
        <f aca="false">1</f>
        <v>1</v>
      </c>
      <c r="H46" s="0" t="n">
        <f aca="false">D46</f>
        <v>-1</v>
      </c>
      <c r="I46" s="0" t="n">
        <f aca="false">E46</f>
        <v>-0.75</v>
      </c>
      <c r="J46" s="0" t="n">
        <f aca="false">F46</f>
        <v>-0.125</v>
      </c>
      <c r="K46" s="0" t="n">
        <f aca="false">D46*E46</f>
        <v>0.75</v>
      </c>
      <c r="L46" s="0" t="n">
        <f aca="false">D46*F46</f>
        <v>0.125</v>
      </c>
      <c r="M46" s="0" t="n">
        <f aca="false">E46*F46</f>
        <v>0.09375</v>
      </c>
      <c r="N46" s="0" t="n">
        <f aca="false">D46*D46</f>
        <v>1</v>
      </c>
      <c r="O46" s="0" t="n">
        <f aca="false">E46*E46</f>
        <v>0.5625</v>
      </c>
      <c r="P46" s="0" t="n">
        <f aca="false">F46*F46</f>
        <v>0.015625</v>
      </c>
      <c r="Q46" s="0" t="n">
        <f aca="false">SUMPRODUCT(G46:P46,_XtX!$B$71:$K$71)</f>
        <v>41.3420880681818</v>
      </c>
      <c r="R46" s="0" t="n">
        <f aca="false">SUMPRODUCT(MMULT(G46:P46,_XtX!$B$58:$K$67),G46:P46)</f>
        <v>0.524607155539773</v>
      </c>
      <c r="S46" s="0" t="n">
        <f aca="false">04_回帰ANOVA!$K$19*04_回帰ANOVA!$K$14*SQRT(1+R46)</f>
        <v>1.14800984623412</v>
      </c>
      <c r="T46" s="0" t="n">
        <f aca="false">Q46-S46</f>
        <v>40.1940782219477</v>
      </c>
      <c r="U46" s="0" t="n">
        <f aca="false">Q46+S46</f>
        <v>42.4900979144159</v>
      </c>
      <c r="V46" s="54" t="b">
        <f aca="false">AND(D46&gt;=01_因子設定!$L$5-0.000000001,D46&lt;=01_因子設定!$M$5+0.000000001,E46&gt;=01_因子設定!$L$6-0.000000001,E46&lt;=01_因子設定!$M$6+0.000000001,F46&gt;=01_因子設定!$L$7-0.000000001,F46&lt;=01_因子設定!$M$7+0.000000001,IF(01_因子設定!$B$20="Box-Behnken",D46^2+E46^2+F46^2&lt;=2+0.000000001,TRUE()))</f>
        <v>1</v>
      </c>
      <c r="W46" s="55" t="n">
        <f aca="false">IF(V46,IF(01_因子設定!$B$13="最大化",T46-01_因子設定!$B$14,IF(01_因子設定!$B$13="最小化",01_因子設定!$B$15-U46,MIN(T46-01_因子設定!$B$14,01_因子設定!$B$15-U46))),-1E+030)</f>
        <v>-8.30592177805231</v>
      </c>
      <c r="X46" s="55" t="n">
        <f aca="false">IF(V46,IF(01_因子設定!$B$13="最大化",Q46,IF(01_因子設定!$B$13="最小化",-Q46,-ABS(Q46-01_因子設定!$B$16))),-1E+030)</f>
        <v>41.3420880681818</v>
      </c>
      <c r="Y46" s="55" t="n">
        <f aca="false">W46+ROW()*0.000000001</f>
        <v>-8.30592173205231</v>
      </c>
      <c r="Z46" s="55" t="n">
        <f aca="false">X46+ROW()*0.000000001</f>
        <v>41.3420881141818</v>
      </c>
    </row>
    <row r="47" customFormat="false" ht="15" hidden="false" customHeight="false" outlineLevel="0" collapsed="false">
      <c r="A47" s="0" t="n">
        <v>0</v>
      </c>
      <c r="B47" s="0" t="n">
        <v>2</v>
      </c>
      <c r="C47" s="0" t="n">
        <v>8</v>
      </c>
      <c r="D47" s="0" t="n">
        <f aca="false">-1+A47*0.125</f>
        <v>-1</v>
      </c>
      <c r="E47" s="0" t="n">
        <f aca="false">-1+B47*0.125</f>
        <v>-0.75</v>
      </c>
      <c r="F47" s="0" t="n">
        <f aca="false">-1+C47*0.125</f>
        <v>0</v>
      </c>
      <c r="G47" s="0" t="n">
        <f aca="false">1</f>
        <v>1</v>
      </c>
      <c r="H47" s="0" t="n">
        <f aca="false">D47</f>
        <v>-1</v>
      </c>
      <c r="I47" s="0" t="n">
        <f aca="false">E47</f>
        <v>-0.75</v>
      </c>
      <c r="J47" s="0" t="n">
        <f aca="false">F47</f>
        <v>0</v>
      </c>
      <c r="K47" s="0" t="n">
        <f aca="false">D47*E47</f>
        <v>0.75</v>
      </c>
      <c r="L47" s="0" t="n">
        <f aca="false">D47*F47</f>
        <v>-0</v>
      </c>
      <c r="M47" s="0" t="n">
        <f aca="false">E47*F47</f>
        <v>-0</v>
      </c>
      <c r="N47" s="0" t="n">
        <f aca="false">D47*D47</f>
        <v>1</v>
      </c>
      <c r="O47" s="0" t="n">
        <f aca="false">E47*E47</f>
        <v>0.5625</v>
      </c>
      <c r="P47" s="0" t="n">
        <f aca="false">F47*F47</f>
        <v>0</v>
      </c>
      <c r="Q47" s="0" t="n">
        <f aca="false">SUMPRODUCT(G47:P47,_XtX!$B$71:$K$71)</f>
        <v>41.5095454545454</v>
      </c>
      <c r="R47" s="0" t="n">
        <f aca="false">SUMPRODUCT(MMULT(G47:P47,_XtX!$B$58:$K$67),G47:P47)</f>
        <v>0.527982954545455</v>
      </c>
      <c r="S47" s="0" t="n">
        <f aca="false">04_回帰ANOVA!$K$19*04_回帰ANOVA!$K$14*SQRT(1+R47)</f>
        <v>1.14928011037747</v>
      </c>
      <c r="T47" s="0" t="n">
        <f aca="false">Q47-S47</f>
        <v>40.360265344168</v>
      </c>
      <c r="U47" s="0" t="n">
        <f aca="false">Q47+S47</f>
        <v>42.6588255649229</v>
      </c>
      <c r="V47" s="54" t="b">
        <f aca="false">AND(D47&gt;=01_因子設定!$L$5-0.000000001,D47&lt;=01_因子設定!$M$5+0.000000001,E47&gt;=01_因子設定!$L$6-0.000000001,E47&lt;=01_因子設定!$M$6+0.000000001,F47&gt;=01_因子設定!$L$7-0.000000001,F47&lt;=01_因子設定!$M$7+0.000000001,IF(01_因子設定!$B$20="Box-Behnken",D47^2+E47^2+F47^2&lt;=2+0.000000001,TRUE()))</f>
        <v>1</v>
      </c>
      <c r="W47" s="55" t="n">
        <f aca="false">IF(V47,IF(01_因子設定!$B$13="最大化",T47-01_因子設定!$B$14,IF(01_因子設定!$B$13="最小化",01_因子設定!$B$15-U47,MIN(T47-01_因子設定!$B$14,01_因子設定!$B$15-U47))),-1E+030)</f>
        <v>-8.13973465583203</v>
      </c>
      <c r="X47" s="55" t="n">
        <f aca="false">IF(V47,IF(01_因子設定!$B$13="最大化",Q47,IF(01_因子設定!$B$13="最小化",-Q47,-ABS(Q47-01_因子設定!$B$16))),-1E+030)</f>
        <v>41.5095454545454</v>
      </c>
      <c r="Y47" s="55" t="n">
        <f aca="false">W47+ROW()*0.000000001</f>
        <v>-8.13973460883203</v>
      </c>
      <c r="Z47" s="55" t="n">
        <f aca="false">X47+ROW()*0.000000001</f>
        <v>41.5095455015454</v>
      </c>
    </row>
    <row r="48" customFormat="false" ht="15" hidden="false" customHeight="false" outlineLevel="0" collapsed="false">
      <c r="A48" s="0" t="n">
        <v>0</v>
      </c>
      <c r="B48" s="0" t="n">
        <v>2</v>
      </c>
      <c r="C48" s="0" t="n">
        <v>9</v>
      </c>
      <c r="D48" s="0" t="n">
        <f aca="false">-1+A48*0.125</f>
        <v>-1</v>
      </c>
      <c r="E48" s="0" t="n">
        <f aca="false">-1+B48*0.125</f>
        <v>-0.75</v>
      </c>
      <c r="F48" s="0" t="n">
        <f aca="false">-1+C48*0.125</f>
        <v>0.125</v>
      </c>
      <c r="G48" s="0" t="n">
        <f aca="false">1</f>
        <v>1</v>
      </c>
      <c r="H48" s="0" t="n">
        <f aca="false">D48</f>
        <v>-1</v>
      </c>
      <c r="I48" s="0" t="n">
        <f aca="false">E48</f>
        <v>-0.75</v>
      </c>
      <c r="J48" s="0" t="n">
        <f aca="false">F48</f>
        <v>0.125</v>
      </c>
      <c r="K48" s="0" t="n">
        <f aca="false">D48*E48</f>
        <v>0.75</v>
      </c>
      <c r="L48" s="0" t="n">
        <f aca="false">D48*F48</f>
        <v>-0.125</v>
      </c>
      <c r="M48" s="0" t="n">
        <f aca="false">E48*F48</f>
        <v>-0.09375</v>
      </c>
      <c r="N48" s="0" t="n">
        <f aca="false">D48*D48</f>
        <v>1</v>
      </c>
      <c r="O48" s="0" t="n">
        <f aca="false">E48*E48</f>
        <v>0.5625</v>
      </c>
      <c r="P48" s="0" t="n">
        <f aca="false">F48*F48</f>
        <v>0.015625</v>
      </c>
      <c r="Q48" s="0" t="n">
        <f aca="false">SUMPRODUCT(G48:P48,_XtX!$B$71:$K$71)</f>
        <v>41.6402130681818</v>
      </c>
      <c r="R48" s="0" t="n">
        <f aca="false">SUMPRODUCT(MMULT(G48:P48,_XtX!$B$58:$K$67),G48:P48)</f>
        <v>0.524607155539773</v>
      </c>
      <c r="S48" s="0" t="n">
        <f aca="false">04_回帰ANOVA!$K$19*04_回帰ANOVA!$K$14*SQRT(1+R48)</f>
        <v>1.14800984623412</v>
      </c>
      <c r="T48" s="0" t="n">
        <f aca="false">Q48-S48</f>
        <v>40.4922032219477</v>
      </c>
      <c r="U48" s="0" t="n">
        <f aca="false">Q48+S48</f>
        <v>42.7882229144159</v>
      </c>
      <c r="V48" s="54" t="b">
        <f aca="false">AND(D48&gt;=01_因子設定!$L$5-0.000000001,D48&lt;=01_因子設定!$M$5+0.000000001,E48&gt;=01_因子設定!$L$6-0.000000001,E48&lt;=01_因子設定!$M$6+0.000000001,F48&gt;=01_因子設定!$L$7-0.000000001,F48&lt;=01_因子設定!$M$7+0.000000001,IF(01_因子設定!$B$20="Box-Behnken",D48^2+E48^2+F48^2&lt;=2+0.000000001,TRUE()))</f>
        <v>1</v>
      </c>
      <c r="W48" s="55" t="n">
        <f aca="false">IF(V48,IF(01_因子設定!$B$13="最大化",T48-01_因子設定!$B$14,IF(01_因子設定!$B$13="最小化",01_因子設定!$B$15-U48,MIN(T48-01_因子設定!$B$14,01_因子設定!$B$15-U48))),-1E+030)</f>
        <v>-8.00779677805231</v>
      </c>
      <c r="X48" s="55" t="n">
        <f aca="false">IF(V48,IF(01_因子設定!$B$13="最大化",Q48,IF(01_因子設定!$B$13="最小化",-Q48,-ABS(Q48-01_因子設定!$B$16))),-1E+030)</f>
        <v>41.6402130681818</v>
      </c>
      <c r="Y48" s="55" t="n">
        <f aca="false">W48+ROW()*0.000000001</f>
        <v>-8.00779673005231</v>
      </c>
      <c r="Z48" s="55" t="n">
        <f aca="false">X48+ROW()*0.000000001</f>
        <v>41.6402131161818</v>
      </c>
    </row>
    <row r="49" customFormat="false" ht="15" hidden="false" customHeight="false" outlineLevel="0" collapsed="false">
      <c r="A49" s="0" t="n">
        <v>0</v>
      </c>
      <c r="B49" s="0" t="n">
        <v>2</v>
      </c>
      <c r="C49" s="0" t="n">
        <v>10</v>
      </c>
      <c r="D49" s="0" t="n">
        <f aca="false">-1+A49*0.125</f>
        <v>-1</v>
      </c>
      <c r="E49" s="0" t="n">
        <f aca="false">-1+B49*0.125</f>
        <v>-0.75</v>
      </c>
      <c r="F49" s="0" t="n">
        <f aca="false">-1+C49*0.125</f>
        <v>0.25</v>
      </c>
      <c r="G49" s="0" t="n">
        <f aca="false">1</f>
        <v>1</v>
      </c>
      <c r="H49" s="0" t="n">
        <f aca="false">D49</f>
        <v>-1</v>
      </c>
      <c r="I49" s="0" t="n">
        <f aca="false">E49</f>
        <v>-0.75</v>
      </c>
      <c r="J49" s="0" t="n">
        <f aca="false">F49</f>
        <v>0.25</v>
      </c>
      <c r="K49" s="0" t="n">
        <f aca="false">D49*E49</f>
        <v>0.75</v>
      </c>
      <c r="L49" s="0" t="n">
        <f aca="false">D49*F49</f>
        <v>-0.25</v>
      </c>
      <c r="M49" s="0" t="n">
        <f aca="false">E49*F49</f>
        <v>-0.1875</v>
      </c>
      <c r="N49" s="0" t="n">
        <f aca="false">D49*D49</f>
        <v>1</v>
      </c>
      <c r="O49" s="0" t="n">
        <f aca="false">E49*E49</f>
        <v>0.5625</v>
      </c>
      <c r="P49" s="0" t="n">
        <f aca="false">F49*F49</f>
        <v>0.0625</v>
      </c>
      <c r="Q49" s="0" t="n">
        <f aca="false">SUMPRODUCT(G49:P49,_XtX!$B$71:$K$71)</f>
        <v>41.7340909090909</v>
      </c>
      <c r="R49" s="0" t="n">
        <f aca="false">SUMPRODUCT(MMULT(G49:P49,_XtX!$B$58:$K$67),G49:P49)</f>
        <v>0.515545099431818</v>
      </c>
      <c r="S49" s="0" t="n">
        <f aca="false">04_回帰ANOVA!$K$19*04_回帰ANOVA!$K$14*SQRT(1+R49)</f>
        <v>1.14459295464101</v>
      </c>
      <c r="T49" s="0" t="n">
        <f aca="false">Q49-S49</f>
        <v>40.5894979544499</v>
      </c>
      <c r="U49" s="0" t="n">
        <f aca="false">Q49+S49</f>
        <v>42.8786838637319</v>
      </c>
      <c r="V49" s="54" t="b">
        <f aca="false">AND(D49&gt;=01_因子設定!$L$5-0.000000001,D49&lt;=01_因子設定!$M$5+0.000000001,E49&gt;=01_因子設定!$L$6-0.000000001,E49&lt;=01_因子設定!$M$6+0.000000001,F49&gt;=01_因子設定!$L$7-0.000000001,F49&lt;=01_因子設定!$M$7+0.000000001,IF(01_因子設定!$B$20="Box-Behnken",D49^2+E49^2+F49^2&lt;=2+0.000000001,TRUE()))</f>
        <v>1</v>
      </c>
      <c r="W49" s="55" t="n">
        <f aca="false">IF(V49,IF(01_因子設定!$B$13="最大化",T49-01_因子設定!$B$14,IF(01_因子設定!$B$13="最小化",01_因子設定!$B$15-U49,MIN(T49-01_因子設定!$B$14,01_因子設定!$B$15-U49))),-1E+030)</f>
        <v>-7.91050204555012</v>
      </c>
      <c r="X49" s="55" t="n">
        <f aca="false">IF(V49,IF(01_因子設定!$B$13="最大化",Q49,IF(01_因子設定!$B$13="最小化",-Q49,-ABS(Q49-01_因子設定!$B$16))),-1E+030)</f>
        <v>41.7340909090909</v>
      </c>
      <c r="Y49" s="55" t="n">
        <f aca="false">W49+ROW()*0.000000001</f>
        <v>-7.91050199655012</v>
      </c>
      <c r="Z49" s="55" t="n">
        <f aca="false">X49+ROW()*0.000000001</f>
        <v>41.7340909580909</v>
      </c>
    </row>
    <row r="50" customFormat="false" ht="15" hidden="false" customHeight="false" outlineLevel="0" collapsed="false">
      <c r="A50" s="0" t="n">
        <v>0</v>
      </c>
      <c r="B50" s="0" t="n">
        <v>2</v>
      </c>
      <c r="C50" s="0" t="n">
        <v>11</v>
      </c>
      <c r="D50" s="0" t="n">
        <f aca="false">-1+A50*0.125</f>
        <v>-1</v>
      </c>
      <c r="E50" s="0" t="n">
        <f aca="false">-1+B50*0.125</f>
        <v>-0.75</v>
      </c>
      <c r="F50" s="0" t="n">
        <f aca="false">-1+C50*0.125</f>
        <v>0.375</v>
      </c>
      <c r="G50" s="0" t="n">
        <f aca="false">1</f>
        <v>1</v>
      </c>
      <c r="H50" s="0" t="n">
        <f aca="false">D50</f>
        <v>-1</v>
      </c>
      <c r="I50" s="0" t="n">
        <f aca="false">E50</f>
        <v>-0.75</v>
      </c>
      <c r="J50" s="0" t="n">
        <f aca="false">F50</f>
        <v>0.375</v>
      </c>
      <c r="K50" s="0" t="n">
        <f aca="false">D50*E50</f>
        <v>0.75</v>
      </c>
      <c r="L50" s="0" t="n">
        <f aca="false">D50*F50</f>
        <v>-0.375</v>
      </c>
      <c r="M50" s="0" t="n">
        <f aca="false">E50*F50</f>
        <v>-0.28125</v>
      </c>
      <c r="N50" s="0" t="n">
        <f aca="false">D50*D50</f>
        <v>1</v>
      </c>
      <c r="O50" s="0" t="n">
        <f aca="false">E50*E50</f>
        <v>0.5625</v>
      </c>
      <c r="P50" s="0" t="n">
        <f aca="false">F50*F50</f>
        <v>0.140625</v>
      </c>
      <c r="Q50" s="0" t="n">
        <f aca="false">SUMPRODUCT(G50:P50,_XtX!$B$71:$K$71)</f>
        <v>41.7911789772727</v>
      </c>
      <c r="R50" s="0" t="n">
        <f aca="false">SUMPRODUCT(MMULT(G50:P50,_XtX!$B$58:$K$67),G50:P50)</f>
        <v>0.503992808948864</v>
      </c>
      <c r="S50" s="0" t="n">
        <f aca="false">04_回帰ANOVA!$K$19*04_回帰ANOVA!$K$14*SQRT(1+R50)</f>
        <v>1.14022226176226</v>
      </c>
      <c r="T50" s="0" t="n">
        <f aca="false">Q50-S50</f>
        <v>40.6509567155105</v>
      </c>
      <c r="U50" s="0" t="n">
        <f aca="false">Q50+S50</f>
        <v>42.931401239035</v>
      </c>
      <c r="V50" s="54" t="b">
        <f aca="false">AND(D50&gt;=01_因子設定!$L$5-0.000000001,D50&lt;=01_因子設定!$M$5+0.000000001,E50&gt;=01_因子設定!$L$6-0.000000001,E50&lt;=01_因子設定!$M$6+0.000000001,F50&gt;=01_因子設定!$L$7-0.000000001,F50&lt;=01_因子設定!$M$7+0.000000001,IF(01_因子設定!$B$20="Box-Behnken",D50^2+E50^2+F50^2&lt;=2+0.000000001,TRUE()))</f>
        <v>1</v>
      </c>
      <c r="W50" s="55" t="n">
        <f aca="false">IF(V50,IF(01_因子設定!$B$13="最大化",T50-01_因子設定!$B$14,IF(01_因子設定!$B$13="最小化",01_因子設定!$B$15-U50,MIN(T50-01_因子設定!$B$14,01_因子設定!$B$15-U50))),-1E+030)</f>
        <v>-7.84904328448955</v>
      </c>
      <c r="X50" s="55" t="n">
        <f aca="false">IF(V50,IF(01_因子設定!$B$13="最大化",Q50,IF(01_因子設定!$B$13="最小化",-Q50,-ABS(Q50-01_因子設定!$B$16))),-1E+030)</f>
        <v>41.7911789772727</v>
      </c>
      <c r="Y50" s="55" t="n">
        <f aca="false">W50+ROW()*0.000000001</f>
        <v>-7.84904323448955</v>
      </c>
      <c r="Z50" s="55" t="n">
        <f aca="false">X50+ROW()*0.000000001</f>
        <v>41.7911790272727</v>
      </c>
    </row>
    <row r="51" customFormat="false" ht="15" hidden="false" customHeight="false" outlineLevel="0" collapsed="false">
      <c r="A51" s="0" t="n">
        <v>0</v>
      </c>
      <c r="B51" s="0" t="n">
        <v>2</v>
      </c>
      <c r="C51" s="0" t="n">
        <v>12</v>
      </c>
      <c r="D51" s="0" t="n">
        <f aca="false">-1+A51*0.125</f>
        <v>-1</v>
      </c>
      <c r="E51" s="0" t="n">
        <f aca="false">-1+B51*0.125</f>
        <v>-0.75</v>
      </c>
      <c r="F51" s="0" t="n">
        <f aca="false">-1+C51*0.125</f>
        <v>0.5</v>
      </c>
      <c r="G51" s="0" t="n">
        <f aca="false">1</f>
        <v>1</v>
      </c>
      <c r="H51" s="0" t="n">
        <f aca="false">D51</f>
        <v>-1</v>
      </c>
      <c r="I51" s="0" t="n">
        <f aca="false">E51</f>
        <v>-0.75</v>
      </c>
      <c r="J51" s="0" t="n">
        <f aca="false">F51</f>
        <v>0.5</v>
      </c>
      <c r="K51" s="0" t="n">
        <f aca="false">D51*E51</f>
        <v>0.75</v>
      </c>
      <c r="L51" s="0" t="n">
        <f aca="false">D51*F51</f>
        <v>-0.5</v>
      </c>
      <c r="M51" s="0" t="n">
        <f aca="false">E51*F51</f>
        <v>-0.375</v>
      </c>
      <c r="N51" s="0" t="n">
        <f aca="false">D51*D51</f>
        <v>1</v>
      </c>
      <c r="O51" s="0" t="n">
        <f aca="false">E51*E51</f>
        <v>0.5625</v>
      </c>
      <c r="P51" s="0" t="n">
        <f aca="false">F51*F51</f>
        <v>0.25</v>
      </c>
      <c r="Q51" s="0" t="n">
        <f aca="false">SUMPRODUCT(G51:P51,_XtX!$B$71:$K$71)</f>
        <v>41.8114772727273</v>
      </c>
      <c r="R51" s="0" t="n">
        <f aca="false">SUMPRODUCT(MMULT(G51:P51,_XtX!$B$58:$K$67),G51:P51)</f>
        <v>0.495276988636364</v>
      </c>
      <c r="S51" s="0" t="n">
        <f aca="false">04_回帰ANOVA!$K$19*04_回帰ANOVA!$K$14*SQRT(1+R51)</f>
        <v>1.13691359828352</v>
      </c>
      <c r="T51" s="0" t="n">
        <f aca="false">Q51-S51</f>
        <v>40.6745636744437</v>
      </c>
      <c r="U51" s="0" t="n">
        <f aca="false">Q51+S51</f>
        <v>42.9483908710108</v>
      </c>
      <c r="V51" s="54" t="b">
        <f aca="false">AND(D51&gt;=01_因子設定!$L$5-0.000000001,D51&lt;=01_因子設定!$M$5+0.000000001,E51&gt;=01_因子設定!$L$6-0.000000001,E51&lt;=01_因子設定!$M$6+0.000000001,F51&gt;=01_因子設定!$L$7-0.000000001,F51&lt;=01_因子設定!$M$7+0.000000001,IF(01_因子設定!$B$20="Box-Behnken",D51^2+E51^2+F51^2&lt;=2+0.000000001,TRUE()))</f>
        <v>1</v>
      </c>
      <c r="W51" s="55" t="n">
        <f aca="false">IF(V51,IF(01_因子設定!$B$13="最大化",T51-01_因子設定!$B$14,IF(01_因子設定!$B$13="最小化",01_因子設定!$B$15-U51,MIN(T51-01_因子設定!$B$14,01_因子設定!$B$15-U51))),-1E+030)</f>
        <v>-7.82543632555625</v>
      </c>
      <c r="X51" s="55" t="n">
        <f aca="false">IF(V51,IF(01_因子設定!$B$13="最大化",Q51,IF(01_因子設定!$B$13="最小化",-Q51,-ABS(Q51-01_因子設定!$B$16))),-1E+030)</f>
        <v>41.8114772727273</v>
      </c>
      <c r="Y51" s="55" t="n">
        <f aca="false">W51+ROW()*0.000000001</f>
        <v>-7.82543627455625</v>
      </c>
      <c r="Z51" s="55" t="n">
        <f aca="false">X51+ROW()*0.000000001</f>
        <v>41.8114773237273</v>
      </c>
    </row>
    <row r="52" customFormat="false" ht="15" hidden="false" customHeight="false" outlineLevel="0" collapsed="false">
      <c r="A52" s="0" t="n">
        <v>0</v>
      </c>
      <c r="B52" s="0" t="n">
        <v>2</v>
      </c>
      <c r="C52" s="0" t="n">
        <v>13</v>
      </c>
      <c r="D52" s="0" t="n">
        <f aca="false">-1+A52*0.125</f>
        <v>-1</v>
      </c>
      <c r="E52" s="0" t="n">
        <f aca="false">-1+B52*0.125</f>
        <v>-0.75</v>
      </c>
      <c r="F52" s="0" t="n">
        <f aca="false">-1+C52*0.125</f>
        <v>0.625</v>
      </c>
      <c r="G52" s="0" t="n">
        <f aca="false">1</f>
        <v>1</v>
      </c>
      <c r="H52" s="0" t="n">
        <f aca="false">D52</f>
        <v>-1</v>
      </c>
      <c r="I52" s="0" t="n">
        <f aca="false">E52</f>
        <v>-0.75</v>
      </c>
      <c r="J52" s="0" t="n">
        <f aca="false">F52</f>
        <v>0.625</v>
      </c>
      <c r="K52" s="0" t="n">
        <f aca="false">D52*E52</f>
        <v>0.75</v>
      </c>
      <c r="L52" s="0" t="n">
        <f aca="false">D52*F52</f>
        <v>-0.625</v>
      </c>
      <c r="M52" s="0" t="n">
        <f aca="false">E52*F52</f>
        <v>-0.46875</v>
      </c>
      <c r="N52" s="0" t="n">
        <f aca="false">D52*D52</f>
        <v>1</v>
      </c>
      <c r="O52" s="0" t="n">
        <f aca="false">E52*E52</f>
        <v>0.5625</v>
      </c>
      <c r="P52" s="0" t="n">
        <f aca="false">F52*F52</f>
        <v>0.390625</v>
      </c>
      <c r="Q52" s="0" t="n">
        <f aca="false">SUMPRODUCT(G52:P52,_XtX!$B$71:$K$71)</f>
        <v>41.7949857954545</v>
      </c>
      <c r="R52" s="0" t="n">
        <f aca="false">SUMPRODUCT(MMULT(G52:P52,_XtX!$B$58:$K$67),G52:P52)</f>
        <v>0.496855024857955</v>
      </c>
      <c r="S52" s="0" t="n">
        <f aca="false">04_回帰ANOVA!$K$19*04_回帰ANOVA!$K$14*SQRT(1+R52)</f>
        <v>1.1375133593161</v>
      </c>
      <c r="T52" s="0" t="n">
        <f aca="false">Q52-S52</f>
        <v>40.6574724361385</v>
      </c>
      <c r="U52" s="0" t="n">
        <f aca="false">Q52+S52</f>
        <v>42.9324991547706</v>
      </c>
      <c r="V52" s="54" t="b">
        <f aca="false">AND(D52&gt;=01_因子設定!$L$5-0.000000001,D52&lt;=01_因子設定!$M$5+0.000000001,E52&gt;=01_因子設定!$L$6-0.000000001,E52&lt;=01_因子設定!$M$6+0.000000001,F52&gt;=01_因子設定!$L$7-0.000000001,F52&lt;=01_因子設定!$M$7+0.000000001,IF(01_因子設定!$B$20="Box-Behnken",D52^2+E52^2+F52^2&lt;=2+0.000000001,TRUE()))</f>
        <v>1</v>
      </c>
      <c r="W52" s="55" t="n">
        <f aca="false">IF(V52,IF(01_因子設定!$B$13="最大化",T52-01_因子設定!$B$14,IF(01_因子設定!$B$13="最小化",01_因子設定!$B$15-U52,MIN(T52-01_因子設定!$B$14,01_因子設定!$B$15-U52))),-1E+030)</f>
        <v>-7.84252756386155</v>
      </c>
      <c r="X52" s="55" t="n">
        <f aca="false">IF(V52,IF(01_因子設定!$B$13="最大化",Q52,IF(01_因子設定!$B$13="最小化",-Q52,-ABS(Q52-01_因子設定!$B$16))),-1E+030)</f>
        <v>41.7949857954545</v>
      </c>
      <c r="Y52" s="55" t="n">
        <f aca="false">W52+ROW()*0.000000001</f>
        <v>-7.84252751186155</v>
      </c>
      <c r="Z52" s="55" t="n">
        <f aca="false">X52+ROW()*0.000000001</f>
        <v>41.7949858474545</v>
      </c>
    </row>
    <row r="53" customFormat="false" ht="15" hidden="false" customHeight="false" outlineLevel="0" collapsed="false">
      <c r="A53" s="0" t="n">
        <v>0</v>
      </c>
      <c r="B53" s="0" t="n">
        <v>2</v>
      </c>
      <c r="C53" s="0" t="n">
        <v>14</v>
      </c>
      <c r="D53" s="0" t="n">
        <f aca="false">-1+A53*0.125</f>
        <v>-1</v>
      </c>
      <c r="E53" s="0" t="n">
        <f aca="false">-1+B53*0.125</f>
        <v>-0.75</v>
      </c>
      <c r="F53" s="0" t="n">
        <f aca="false">-1+C53*0.125</f>
        <v>0.75</v>
      </c>
      <c r="G53" s="0" t="n">
        <f aca="false">1</f>
        <v>1</v>
      </c>
      <c r="H53" s="0" t="n">
        <f aca="false">D53</f>
        <v>-1</v>
      </c>
      <c r="I53" s="0" t="n">
        <f aca="false">E53</f>
        <v>-0.75</v>
      </c>
      <c r="J53" s="0" t="n">
        <f aca="false">F53</f>
        <v>0.75</v>
      </c>
      <c r="K53" s="0" t="n">
        <f aca="false">D53*E53</f>
        <v>0.75</v>
      </c>
      <c r="L53" s="0" t="n">
        <f aca="false">D53*F53</f>
        <v>-0.75</v>
      </c>
      <c r="M53" s="0" t="n">
        <f aca="false">E53*F53</f>
        <v>-0.5625</v>
      </c>
      <c r="N53" s="0" t="n">
        <f aca="false">D53*D53</f>
        <v>1</v>
      </c>
      <c r="O53" s="0" t="n">
        <f aca="false">E53*E53</f>
        <v>0.5625</v>
      </c>
      <c r="P53" s="0" t="n">
        <f aca="false">F53*F53</f>
        <v>0.5625</v>
      </c>
      <c r="Q53" s="0" t="n">
        <f aca="false">SUMPRODUCT(G53:P53,_XtX!$B$71:$K$71)</f>
        <v>41.7417045454545</v>
      </c>
      <c r="R53" s="0" t="n">
        <f aca="false">SUMPRODUCT(MMULT(G53:P53,_XtX!$B$58:$K$67),G53:P53)</f>
        <v>0.518314985795455</v>
      </c>
      <c r="S53" s="0" t="n">
        <f aca="false">04_回帰ANOVA!$K$19*04_回帰ANOVA!$K$14*SQRT(1+R53)</f>
        <v>1.14563843495971</v>
      </c>
      <c r="T53" s="0" t="n">
        <f aca="false">Q53-S53</f>
        <v>40.5960661104948</v>
      </c>
      <c r="U53" s="0" t="n">
        <f aca="false">Q53+S53</f>
        <v>42.8873429804143</v>
      </c>
      <c r="V53" s="54" t="b">
        <f aca="false">AND(D53&gt;=01_因子設定!$L$5-0.000000001,D53&lt;=01_因子設定!$M$5+0.000000001,E53&gt;=01_因子設定!$L$6-0.000000001,E53&lt;=01_因子設定!$M$6+0.000000001,F53&gt;=01_因子設定!$L$7-0.000000001,F53&lt;=01_因子設定!$M$7+0.000000001,IF(01_因子設定!$B$20="Box-Behnken",D53^2+E53^2+F53^2&lt;=2+0.000000001,TRUE()))</f>
        <v>1</v>
      </c>
      <c r="W53" s="55" t="n">
        <f aca="false">IF(V53,IF(01_因子設定!$B$13="最大化",T53-01_因子設定!$B$14,IF(01_因子設定!$B$13="最小化",01_因子設定!$B$15-U53,MIN(T53-01_因子設定!$B$14,01_因子設定!$B$15-U53))),-1E+030)</f>
        <v>-7.90393388950516</v>
      </c>
      <c r="X53" s="55" t="n">
        <f aca="false">IF(V53,IF(01_因子設定!$B$13="最大化",Q53,IF(01_因子設定!$B$13="最小化",-Q53,-ABS(Q53-01_因子設定!$B$16))),-1E+030)</f>
        <v>41.7417045454545</v>
      </c>
      <c r="Y53" s="55" t="n">
        <f aca="false">W53+ROW()*0.000000001</f>
        <v>-7.90393383650516</v>
      </c>
      <c r="Z53" s="55" t="n">
        <f aca="false">X53+ROW()*0.000000001</f>
        <v>41.7417045984546</v>
      </c>
    </row>
    <row r="54" customFormat="false" ht="15" hidden="false" customHeight="false" outlineLevel="0" collapsed="false">
      <c r="A54" s="0" t="n">
        <v>0</v>
      </c>
      <c r="B54" s="0" t="n">
        <v>2</v>
      </c>
      <c r="C54" s="0" t="n">
        <v>15</v>
      </c>
      <c r="D54" s="0" t="n">
        <f aca="false">-1+A54*0.125</f>
        <v>-1</v>
      </c>
      <c r="E54" s="0" t="n">
        <f aca="false">-1+B54*0.125</f>
        <v>-0.75</v>
      </c>
      <c r="F54" s="0" t="n">
        <f aca="false">-1+C54*0.125</f>
        <v>0.875</v>
      </c>
      <c r="G54" s="0" t="n">
        <f aca="false">1</f>
        <v>1</v>
      </c>
      <c r="H54" s="0" t="n">
        <f aca="false">D54</f>
        <v>-1</v>
      </c>
      <c r="I54" s="0" t="n">
        <f aca="false">E54</f>
        <v>-0.75</v>
      </c>
      <c r="J54" s="0" t="n">
        <f aca="false">F54</f>
        <v>0.875</v>
      </c>
      <c r="K54" s="0" t="n">
        <f aca="false">D54*E54</f>
        <v>0.75</v>
      </c>
      <c r="L54" s="0" t="n">
        <f aca="false">D54*F54</f>
        <v>-0.875</v>
      </c>
      <c r="M54" s="0" t="n">
        <f aca="false">E54*F54</f>
        <v>-0.65625</v>
      </c>
      <c r="N54" s="0" t="n">
        <f aca="false">D54*D54</f>
        <v>1</v>
      </c>
      <c r="O54" s="0" t="n">
        <f aca="false">E54*E54</f>
        <v>0.5625</v>
      </c>
      <c r="P54" s="0" t="n">
        <f aca="false">F54*F54</f>
        <v>0.765625</v>
      </c>
      <c r="Q54" s="0" t="n">
        <f aca="false">SUMPRODUCT(G54:P54,_XtX!$B$71:$K$71)</f>
        <v>41.6516335227273</v>
      </c>
      <c r="R54" s="0" t="n">
        <f aca="false">SUMPRODUCT(MMULT(G54:P54,_XtX!$B$58:$K$67),G54:P54)</f>
        <v>0.571375621448864</v>
      </c>
      <c r="S54" s="0" t="n">
        <f aca="false">04_回帰ANOVA!$K$19*04_回帰ANOVA!$K$14*SQRT(1+R54)</f>
        <v>1.16548487437682</v>
      </c>
      <c r="T54" s="0" t="n">
        <f aca="false">Q54-S54</f>
        <v>40.4861486483505</v>
      </c>
      <c r="U54" s="0" t="n">
        <f aca="false">Q54+S54</f>
        <v>42.8171183971041</v>
      </c>
      <c r="V54" s="54" t="b">
        <f aca="false">AND(D54&gt;=01_因子設定!$L$5-0.000000001,D54&lt;=01_因子設定!$M$5+0.000000001,E54&gt;=01_因子設定!$L$6-0.000000001,E54&lt;=01_因子設定!$M$6+0.000000001,F54&gt;=01_因子設定!$L$7-0.000000001,F54&lt;=01_因子設定!$M$7+0.000000001,IF(01_因子設定!$B$20="Box-Behnken",D54^2+E54^2+F54^2&lt;=2+0.000000001,TRUE()))</f>
        <v>1</v>
      </c>
      <c r="W54" s="55" t="n">
        <f aca="false">IF(V54,IF(01_因子設定!$B$13="最大化",T54-01_因子設定!$B$14,IF(01_因子設定!$B$13="最小化",01_因子設定!$B$15-U54,MIN(T54-01_因子設定!$B$14,01_因子設定!$B$15-U54))),-1E+030)</f>
        <v>-8.01385135164954</v>
      </c>
      <c r="X54" s="55" t="n">
        <f aca="false">IF(V54,IF(01_因子設定!$B$13="最大化",Q54,IF(01_因子設定!$B$13="最小化",-Q54,-ABS(Q54-01_因子設定!$B$16))),-1E+030)</f>
        <v>41.6516335227273</v>
      </c>
      <c r="Y54" s="55" t="n">
        <f aca="false">W54+ROW()*0.000000001</f>
        <v>-8.01385129764954</v>
      </c>
      <c r="Z54" s="55" t="n">
        <f aca="false">X54+ROW()*0.000000001</f>
        <v>41.6516335767273</v>
      </c>
    </row>
    <row r="55" customFormat="false" ht="15" hidden="false" customHeight="false" outlineLevel="0" collapsed="false">
      <c r="A55" s="0" t="n">
        <v>0</v>
      </c>
      <c r="B55" s="0" t="n">
        <v>2</v>
      </c>
      <c r="C55" s="0" t="n">
        <v>16</v>
      </c>
      <c r="D55" s="0" t="n">
        <f aca="false">-1+A55*0.125</f>
        <v>-1</v>
      </c>
      <c r="E55" s="0" t="n">
        <f aca="false">-1+B55*0.125</f>
        <v>-0.75</v>
      </c>
      <c r="F55" s="0" t="n">
        <f aca="false">-1+C55*0.125</f>
        <v>1</v>
      </c>
      <c r="G55" s="0" t="n">
        <f aca="false">1</f>
        <v>1</v>
      </c>
      <c r="H55" s="0" t="n">
        <f aca="false">D55</f>
        <v>-1</v>
      </c>
      <c r="I55" s="0" t="n">
        <f aca="false">E55</f>
        <v>-0.75</v>
      </c>
      <c r="J55" s="0" t="n">
        <f aca="false">F55</f>
        <v>1</v>
      </c>
      <c r="K55" s="0" t="n">
        <f aca="false">D55*E55</f>
        <v>0.75</v>
      </c>
      <c r="L55" s="0" t="n">
        <f aca="false">D55*F55</f>
        <v>-1</v>
      </c>
      <c r="M55" s="0" t="n">
        <f aca="false">E55*F55</f>
        <v>-0.75</v>
      </c>
      <c r="N55" s="0" t="n">
        <f aca="false">D55*D55</f>
        <v>1</v>
      </c>
      <c r="O55" s="0" t="n">
        <f aca="false">E55*E55</f>
        <v>0.5625</v>
      </c>
      <c r="P55" s="0" t="n">
        <f aca="false">F55*F55</f>
        <v>1</v>
      </c>
      <c r="Q55" s="0" t="n">
        <f aca="false">SUMPRODUCT(G55:P55,_XtX!$B$71:$K$71)</f>
        <v>41.5247727272727</v>
      </c>
      <c r="R55" s="0" t="n">
        <f aca="false">SUMPRODUCT(MMULT(G55:P55,_XtX!$B$58:$K$67),G55:P55)</f>
        <v>0.669886363636364</v>
      </c>
      <c r="S55" s="0" t="n">
        <f aca="false">04_回帰ANOVA!$K$19*04_回帰ANOVA!$K$14*SQRT(1+R55)</f>
        <v>1.20146215423986</v>
      </c>
      <c r="T55" s="0" t="n">
        <f aca="false">Q55-S55</f>
        <v>40.3233105730329</v>
      </c>
      <c r="U55" s="0" t="n">
        <f aca="false">Q55+S55</f>
        <v>42.7262348815126</v>
      </c>
      <c r="V55" s="54" t="b">
        <f aca="false">AND(D55&gt;=01_因子設定!$L$5-0.000000001,D55&lt;=01_因子設定!$M$5+0.000000001,E55&gt;=01_因子設定!$L$6-0.000000001,E55&lt;=01_因子設定!$M$6+0.000000001,F55&gt;=01_因子設定!$L$7-0.000000001,F55&lt;=01_因子設定!$M$7+0.000000001,IF(01_因子設定!$B$20="Box-Behnken",D55^2+E55^2+F55^2&lt;=2+0.000000001,TRUE()))</f>
        <v>1</v>
      </c>
      <c r="W55" s="55" t="n">
        <f aca="false">IF(V55,IF(01_因子設定!$B$13="最大化",T55-01_因子設定!$B$14,IF(01_因子設定!$B$13="最小化",01_因子設定!$B$15-U55,MIN(T55-01_因子設定!$B$14,01_因子設定!$B$15-U55))),-1E+030)</f>
        <v>-8.17668942696713</v>
      </c>
      <c r="X55" s="55" t="n">
        <f aca="false">IF(V55,IF(01_因子設定!$B$13="最大化",Q55,IF(01_因子設定!$B$13="最小化",-Q55,-ABS(Q55-01_因子設定!$B$16))),-1E+030)</f>
        <v>41.5247727272727</v>
      </c>
      <c r="Y55" s="55" t="n">
        <f aca="false">W55+ROW()*0.000000001</f>
        <v>-8.17668937196713</v>
      </c>
      <c r="Z55" s="55" t="n">
        <f aca="false">X55+ROW()*0.000000001</f>
        <v>41.5247727822727</v>
      </c>
    </row>
    <row r="56" customFormat="false" ht="15" hidden="false" customHeight="false" outlineLevel="0" collapsed="false">
      <c r="A56" s="0" t="n">
        <v>0</v>
      </c>
      <c r="B56" s="0" t="n">
        <v>3</v>
      </c>
      <c r="C56" s="0" t="n">
        <v>0</v>
      </c>
      <c r="D56" s="0" t="n">
        <f aca="false">-1+A56*0.125</f>
        <v>-1</v>
      </c>
      <c r="E56" s="0" t="n">
        <f aca="false">-1+B56*0.125</f>
        <v>-0.625</v>
      </c>
      <c r="F56" s="0" t="n">
        <f aca="false">-1+C56*0.125</f>
        <v>-1</v>
      </c>
      <c r="G56" s="0" t="n">
        <f aca="false">1</f>
        <v>1</v>
      </c>
      <c r="H56" s="0" t="n">
        <f aca="false">D56</f>
        <v>-1</v>
      </c>
      <c r="I56" s="0" t="n">
        <f aca="false">E56</f>
        <v>-0.625</v>
      </c>
      <c r="J56" s="0" t="n">
        <f aca="false">F56</f>
        <v>-1</v>
      </c>
      <c r="K56" s="0" t="n">
        <f aca="false">D56*E56</f>
        <v>0.625</v>
      </c>
      <c r="L56" s="0" t="n">
        <f aca="false">D56*F56</f>
        <v>1</v>
      </c>
      <c r="M56" s="0" t="n">
        <f aca="false">E56*F56</f>
        <v>0.625</v>
      </c>
      <c r="N56" s="0" t="n">
        <f aca="false">D56*D56</f>
        <v>1</v>
      </c>
      <c r="O56" s="0" t="n">
        <f aca="false">E56*E56</f>
        <v>0.390625</v>
      </c>
      <c r="P56" s="0" t="n">
        <f aca="false">F56*F56</f>
        <v>1</v>
      </c>
      <c r="Q56" s="0" t="n">
        <f aca="false">SUMPRODUCT(G56:P56,_XtX!$B$71:$K$71)</f>
        <v>39.5375852272727</v>
      </c>
      <c r="R56" s="0" t="n">
        <f aca="false">SUMPRODUCT(MMULT(G56:P56,_XtX!$B$58:$K$67),G56:P56)</f>
        <v>0.659534801136364</v>
      </c>
      <c r="S56" s="0" t="n">
        <f aca="false">04_回帰ANOVA!$K$19*04_回帰ANOVA!$K$14*SQRT(1+R56)</f>
        <v>1.19773245593097</v>
      </c>
      <c r="T56" s="0" t="n">
        <f aca="false">Q56-S56</f>
        <v>38.3398527713418</v>
      </c>
      <c r="U56" s="0" t="n">
        <f aca="false">Q56+S56</f>
        <v>40.7353176832037</v>
      </c>
      <c r="V56" s="54" t="b">
        <f aca="false">AND(D56&gt;=01_因子設定!$L$5-0.000000001,D56&lt;=01_因子設定!$M$5+0.000000001,E56&gt;=01_因子設定!$L$6-0.000000001,E56&lt;=01_因子設定!$M$6+0.000000001,F56&gt;=01_因子設定!$L$7-0.000000001,F56&lt;=01_因子設定!$M$7+0.000000001,IF(01_因子設定!$B$20="Box-Behnken",D56^2+E56^2+F56^2&lt;=2+0.000000001,TRUE()))</f>
        <v>1</v>
      </c>
      <c r="W56" s="55" t="n">
        <f aca="false">IF(V56,IF(01_因子設定!$B$13="最大化",T56-01_因子設定!$B$14,IF(01_因子設定!$B$13="最小化",01_因子設定!$B$15-U56,MIN(T56-01_因子設定!$B$14,01_因子設定!$B$15-U56))),-1E+030)</f>
        <v>-10.1601472286582</v>
      </c>
      <c r="X56" s="55" t="n">
        <f aca="false">IF(V56,IF(01_因子設定!$B$13="最大化",Q56,IF(01_因子設定!$B$13="最小化",-Q56,-ABS(Q56-01_因子設定!$B$16))),-1E+030)</f>
        <v>39.5375852272727</v>
      </c>
      <c r="Y56" s="55" t="n">
        <f aca="false">W56+ROW()*0.000000001</f>
        <v>-10.1601471726582</v>
      </c>
      <c r="Z56" s="55" t="n">
        <f aca="false">X56+ROW()*0.000000001</f>
        <v>39.5375852832727</v>
      </c>
    </row>
    <row r="57" customFormat="false" ht="15" hidden="false" customHeight="false" outlineLevel="0" collapsed="false">
      <c r="A57" s="0" t="n">
        <v>0</v>
      </c>
      <c r="B57" s="0" t="n">
        <v>3</v>
      </c>
      <c r="C57" s="0" t="n">
        <v>1</v>
      </c>
      <c r="D57" s="0" t="n">
        <f aca="false">-1+A57*0.125</f>
        <v>-1</v>
      </c>
      <c r="E57" s="0" t="n">
        <f aca="false">-1+B57*0.125</f>
        <v>-0.625</v>
      </c>
      <c r="F57" s="0" t="n">
        <f aca="false">-1+C57*0.125</f>
        <v>-0.875</v>
      </c>
      <c r="G57" s="0" t="n">
        <f aca="false">1</f>
        <v>1</v>
      </c>
      <c r="H57" s="0" t="n">
        <f aca="false">D57</f>
        <v>-1</v>
      </c>
      <c r="I57" s="0" t="n">
        <f aca="false">E57</f>
        <v>-0.625</v>
      </c>
      <c r="J57" s="0" t="n">
        <f aca="false">F57</f>
        <v>-0.875</v>
      </c>
      <c r="K57" s="0" t="n">
        <f aca="false">D57*E57</f>
        <v>0.625</v>
      </c>
      <c r="L57" s="0" t="n">
        <f aca="false">D57*F57</f>
        <v>0.875</v>
      </c>
      <c r="M57" s="0" t="n">
        <f aca="false">E57*F57</f>
        <v>0.546875</v>
      </c>
      <c r="N57" s="0" t="n">
        <f aca="false">D57*D57</f>
        <v>1</v>
      </c>
      <c r="O57" s="0" t="n">
        <f aca="false">E57*E57</f>
        <v>0.390625</v>
      </c>
      <c r="P57" s="0" t="n">
        <f aca="false">F57*F57</f>
        <v>0.765625</v>
      </c>
      <c r="Q57" s="0" t="n">
        <f aca="false">SUMPRODUCT(G57:P57,_XtX!$B$71:$K$71)</f>
        <v>39.9696022727273</v>
      </c>
      <c r="R57" s="0" t="n">
        <f aca="false">SUMPRODUCT(MMULT(G57:P57,_XtX!$B$58:$K$67),G57:P57)</f>
        <v>0.555073131214489</v>
      </c>
      <c r="S57" s="0" t="n">
        <f aca="false">04_回帰ANOVA!$K$19*04_回帰ANOVA!$K$14*SQRT(1+R57)</f>
        <v>1.15942335628341</v>
      </c>
      <c r="T57" s="0" t="n">
        <f aca="false">Q57-S57</f>
        <v>38.8101789164439</v>
      </c>
      <c r="U57" s="0" t="n">
        <f aca="false">Q57+S57</f>
        <v>41.1290256290107</v>
      </c>
      <c r="V57" s="54" t="b">
        <f aca="false">AND(D57&gt;=01_因子設定!$L$5-0.000000001,D57&lt;=01_因子設定!$M$5+0.000000001,E57&gt;=01_因子設定!$L$6-0.000000001,E57&lt;=01_因子設定!$M$6+0.000000001,F57&gt;=01_因子設定!$L$7-0.000000001,F57&lt;=01_因子設定!$M$7+0.000000001,IF(01_因子設定!$B$20="Box-Behnken",D57^2+E57^2+F57^2&lt;=2+0.000000001,TRUE()))</f>
        <v>1</v>
      </c>
      <c r="W57" s="55" t="n">
        <f aca="false">IF(V57,IF(01_因子設定!$B$13="最大化",T57-01_因子設定!$B$14,IF(01_因子設定!$B$13="最小化",01_因子設定!$B$15-U57,MIN(T57-01_因子設定!$B$14,01_因子設定!$B$15-U57))),-1E+030)</f>
        <v>-9.68982108355613</v>
      </c>
      <c r="X57" s="55" t="n">
        <f aca="false">IF(V57,IF(01_因子設定!$B$13="最大化",Q57,IF(01_因子設定!$B$13="最小化",-Q57,-ABS(Q57-01_因子設定!$B$16))),-1E+030)</f>
        <v>39.9696022727273</v>
      </c>
      <c r="Y57" s="55" t="n">
        <f aca="false">W57+ROW()*0.000000001</f>
        <v>-9.68982102655613</v>
      </c>
      <c r="Z57" s="55" t="n">
        <f aca="false">X57+ROW()*0.000000001</f>
        <v>39.9696023297273</v>
      </c>
    </row>
    <row r="58" customFormat="false" ht="15" hidden="false" customHeight="false" outlineLevel="0" collapsed="false">
      <c r="A58" s="0" t="n">
        <v>0</v>
      </c>
      <c r="B58" s="0" t="n">
        <v>3</v>
      </c>
      <c r="C58" s="0" t="n">
        <v>2</v>
      </c>
      <c r="D58" s="0" t="n">
        <f aca="false">-1+A58*0.125</f>
        <v>-1</v>
      </c>
      <c r="E58" s="0" t="n">
        <f aca="false">-1+B58*0.125</f>
        <v>-0.625</v>
      </c>
      <c r="F58" s="0" t="n">
        <f aca="false">-1+C58*0.125</f>
        <v>-0.75</v>
      </c>
      <c r="G58" s="0" t="n">
        <f aca="false">1</f>
        <v>1</v>
      </c>
      <c r="H58" s="0" t="n">
        <f aca="false">D58</f>
        <v>-1</v>
      </c>
      <c r="I58" s="0" t="n">
        <f aca="false">E58</f>
        <v>-0.625</v>
      </c>
      <c r="J58" s="0" t="n">
        <f aca="false">F58</f>
        <v>-0.75</v>
      </c>
      <c r="K58" s="0" t="n">
        <f aca="false">D58*E58</f>
        <v>0.625</v>
      </c>
      <c r="L58" s="0" t="n">
        <f aca="false">D58*F58</f>
        <v>0.75</v>
      </c>
      <c r="M58" s="0" t="n">
        <f aca="false">E58*F58</f>
        <v>0.46875</v>
      </c>
      <c r="N58" s="0" t="n">
        <f aca="false">D58*D58</f>
        <v>1</v>
      </c>
      <c r="O58" s="0" t="n">
        <f aca="false">E58*E58</f>
        <v>0.390625</v>
      </c>
      <c r="P58" s="0" t="n">
        <f aca="false">F58*F58</f>
        <v>0.5625</v>
      </c>
      <c r="Q58" s="0" t="n">
        <f aca="false">SUMPRODUCT(G58:P58,_XtX!$B$71:$K$71)</f>
        <v>40.3648295454546</v>
      </c>
      <c r="R58" s="0" t="n">
        <f aca="false">SUMPRODUCT(MMULT(G58:P58,_XtX!$B$58:$K$67),G58:P58)</f>
        <v>0.496855024857955</v>
      </c>
      <c r="S58" s="0" t="n">
        <f aca="false">04_回帰ANOVA!$K$19*04_回帰ANOVA!$K$14*SQRT(1+R58)</f>
        <v>1.1375133593161</v>
      </c>
      <c r="T58" s="0" t="n">
        <f aca="false">Q58-S58</f>
        <v>39.2273161861385</v>
      </c>
      <c r="U58" s="0" t="n">
        <f aca="false">Q58+S58</f>
        <v>41.5023429047706</v>
      </c>
      <c r="V58" s="54" t="b">
        <f aca="false">AND(D58&gt;=01_因子設定!$L$5-0.000000001,D58&lt;=01_因子設定!$M$5+0.000000001,E58&gt;=01_因子設定!$L$6-0.000000001,E58&lt;=01_因子設定!$M$6+0.000000001,F58&gt;=01_因子設定!$L$7-0.000000001,F58&lt;=01_因子設定!$M$7+0.000000001,IF(01_因子設定!$B$20="Box-Behnken",D58^2+E58^2+F58^2&lt;=2+0.000000001,TRUE()))</f>
        <v>1</v>
      </c>
      <c r="W58" s="55" t="n">
        <f aca="false">IF(V58,IF(01_因子設定!$B$13="最大化",T58-01_因子設定!$B$14,IF(01_因子設定!$B$13="最小化",01_因子設定!$B$15-U58,MIN(T58-01_因子設定!$B$14,01_因子設定!$B$15-U58))),-1E+030)</f>
        <v>-9.27268381386155</v>
      </c>
      <c r="X58" s="55" t="n">
        <f aca="false">IF(V58,IF(01_因子設定!$B$13="最大化",Q58,IF(01_因子設定!$B$13="最小化",-Q58,-ABS(Q58-01_因子設定!$B$16))),-1E+030)</f>
        <v>40.3648295454546</v>
      </c>
      <c r="Y58" s="55" t="n">
        <f aca="false">W58+ROW()*0.000000001</f>
        <v>-9.27268375586155</v>
      </c>
      <c r="Z58" s="55" t="n">
        <f aca="false">X58+ROW()*0.000000001</f>
        <v>40.3648296034545</v>
      </c>
    </row>
    <row r="59" customFormat="false" ht="15" hidden="false" customHeight="false" outlineLevel="0" collapsed="false">
      <c r="A59" s="0" t="n">
        <v>0</v>
      </c>
      <c r="B59" s="0" t="n">
        <v>3</v>
      </c>
      <c r="C59" s="0" t="n">
        <v>3</v>
      </c>
      <c r="D59" s="0" t="n">
        <f aca="false">-1+A59*0.125</f>
        <v>-1</v>
      </c>
      <c r="E59" s="0" t="n">
        <f aca="false">-1+B59*0.125</f>
        <v>-0.625</v>
      </c>
      <c r="F59" s="0" t="n">
        <f aca="false">-1+C59*0.125</f>
        <v>-0.625</v>
      </c>
      <c r="G59" s="0" t="n">
        <f aca="false">1</f>
        <v>1</v>
      </c>
      <c r="H59" s="0" t="n">
        <f aca="false">D59</f>
        <v>-1</v>
      </c>
      <c r="I59" s="0" t="n">
        <f aca="false">E59</f>
        <v>-0.625</v>
      </c>
      <c r="J59" s="0" t="n">
        <f aca="false">F59</f>
        <v>-0.625</v>
      </c>
      <c r="K59" s="0" t="n">
        <f aca="false">D59*E59</f>
        <v>0.625</v>
      </c>
      <c r="L59" s="0" t="n">
        <f aca="false">D59*F59</f>
        <v>0.625</v>
      </c>
      <c r="M59" s="0" t="n">
        <f aca="false">E59*F59</f>
        <v>0.390625</v>
      </c>
      <c r="N59" s="0" t="n">
        <f aca="false">D59*D59</f>
        <v>1</v>
      </c>
      <c r="O59" s="0" t="n">
        <f aca="false">E59*E59</f>
        <v>0.390625</v>
      </c>
      <c r="P59" s="0" t="n">
        <f aca="false">F59*F59</f>
        <v>0.390625</v>
      </c>
      <c r="Q59" s="0" t="n">
        <f aca="false">SUMPRODUCT(G59:P59,_XtX!$B$71:$K$71)</f>
        <v>40.7232670454545</v>
      </c>
      <c r="R59" s="0" t="n">
        <f aca="false">SUMPRODUCT(MMULT(G59:P59,_XtX!$B$58:$K$67),G59:P59)</f>
        <v>0.47103105024858</v>
      </c>
      <c r="S59" s="0" t="n">
        <f aca="false">04_回帰ANOVA!$K$19*04_回帰ANOVA!$K$14*SQRT(1+R59)</f>
        <v>1.1276583912499</v>
      </c>
      <c r="T59" s="0" t="n">
        <f aca="false">Q59-S59</f>
        <v>39.5956086542046</v>
      </c>
      <c r="U59" s="0" t="n">
        <f aca="false">Q59+S59</f>
        <v>41.8509254367044</v>
      </c>
      <c r="V59" s="54" t="b">
        <f aca="false">AND(D59&gt;=01_因子設定!$L$5-0.000000001,D59&lt;=01_因子設定!$M$5+0.000000001,E59&gt;=01_因子設定!$L$6-0.000000001,E59&lt;=01_因子設定!$M$6+0.000000001,F59&gt;=01_因子設定!$L$7-0.000000001,F59&lt;=01_因子設定!$M$7+0.000000001,IF(01_因子設定!$B$20="Box-Behnken",D59^2+E59^2+F59^2&lt;=2+0.000000001,TRUE()))</f>
        <v>1</v>
      </c>
      <c r="W59" s="55" t="n">
        <f aca="false">IF(V59,IF(01_因子設定!$B$13="最大化",T59-01_因子設定!$B$14,IF(01_因子設定!$B$13="最小化",01_因子設定!$B$15-U59,MIN(T59-01_因子設定!$B$14,01_因子設定!$B$15-U59))),-1E+030)</f>
        <v>-8.90439134579536</v>
      </c>
      <c r="X59" s="55" t="n">
        <f aca="false">IF(V59,IF(01_因子設定!$B$13="最大化",Q59,IF(01_因子設定!$B$13="最小化",-Q59,-ABS(Q59-01_因子設定!$B$16))),-1E+030)</f>
        <v>40.7232670454545</v>
      </c>
      <c r="Y59" s="55" t="n">
        <f aca="false">W59+ROW()*0.000000001</f>
        <v>-8.90439128679536</v>
      </c>
      <c r="Z59" s="55" t="n">
        <f aca="false">X59+ROW()*0.000000001</f>
        <v>40.7232671044545</v>
      </c>
    </row>
    <row r="60" customFormat="false" ht="15" hidden="false" customHeight="false" outlineLevel="0" collapsed="false">
      <c r="A60" s="0" t="n">
        <v>0</v>
      </c>
      <c r="B60" s="0" t="n">
        <v>3</v>
      </c>
      <c r="C60" s="0" t="n">
        <v>4</v>
      </c>
      <c r="D60" s="0" t="n">
        <f aca="false">-1+A60*0.125</f>
        <v>-1</v>
      </c>
      <c r="E60" s="0" t="n">
        <f aca="false">-1+B60*0.125</f>
        <v>-0.625</v>
      </c>
      <c r="F60" s="0" t="n">
        <f aca="false">-1+C60*0.125</f>
        <v>-0.5</v>
      </c>
      <c r="G60" s="0" t="n">
        <f aca="false">1</f>
        <v>1</v>
      </c>
      <c r="H60" s="0" t="n">
        <f aca="false">D60</f>
        <v>-1</v>
      </c>
      <c r="I60" s="0" t="n">
        <f aca="false">E60</f>
        <v>-0.625</v>
      </c>
      <c r="J60" s="0" t="n">
        <f aca="false">F60</f>
        <v>-0.5</v>
      </c>
      <c r="K60" s="0" t="n">
        <f aca="false">D60*E60</f>
        <v>0.625</v>
      </c>
      <c r="L60" s="0" t="n">
        <f aca="false">D60*F60</f>
        <v>0.5</v>
      </c>
      <c r="M60" s="0" t="n">
        <f aca="false">E60*F60</f>
        <v>0.3125</v>
      </c>
      <c r="N60" s="0" t="n">
        <f aca="false">D60*D60</f>
        <v>1</v>
      </c>
      <c r="O60" s="0" t="n">
        <f aca="false">E60*E60</f>
        <v>0.390625</v>
      </c>
      <c r="P60" s="0" t="n">
        <f aca="false">F60*F60</f>
        <v>0.25</v>
      </c>
      <c r="Q60" s="0" t="n">
        <f aca="false">SUMPRODUCT(G60:P60,_XtX!$B$71:$K$71)</f>
        <v>41.0449147727273</v>
      </c>
      <c r="R60" s="0" t="n">
        <f aca="false">SUMPRODUCT(MMULT(G60:P60,_XtX!$B$58:$K$67),G60:P60)</f>
        <v>0.465882457386364</v>
      </c>
      <c r="S60" s="0" t="n">
        <f aca="false">04_回帰ANOVA!$K$19*04_回帰ANOVA!$K$14*SQRT(1+R60)</f>
        <v>1.12568326538173</v>
      </c>
      <c r="T60" s="0" t="n">
        <f aca="false">Q60-S60</f>
        <v>39.9192315073455</v>
      </c>
      <c r="U60" s="0" t="n">
        <f aca="false">Q60+S60</f>
        <v>42.170598038109</v>
      </c>
      <c r="V60" s="54" t="b">
        <f aca="false">AND(D60&gt;=01_因子設定!$L$5-0.000000001,D60&lt;=01_因子設定!$M$5+0.000000001,E60&gt;=01_因子設定!$L$6-0.000000001,E60&lt;=01_因子設定!$M$6+0.000000001,F60&gt;=01_因子設定!$L$7-0.000000001,F60&lt;=01_因子設定!$M$7+0.000000001,IF(01_因子設定!$B$20="Box-Behnken",D60^2+E60^2+F60^2&lt;=2+0.000000001,TRUE()))</f>
        <v>1</v>
      </c>
      <c r="W60" s="55" t="n">
        <f aca="false">IF(V60,IF(01_因子設定!$B$13="最大化",T60-01_因子設定!$B$14,IF(01_因子設定!$B$13="最小化",01_因子設定!$B$15-U60,MIN(T60-01_因子設定!$B$14,01_因子設定!$B$15-U60))),-1E+030)</f>
        <v>-8.58076849265446</v>
      </c>
      <c r="X60" s="55" t="n">
        <f aca="false">IF(V60,IF(01_因子設定!$B$13="最大化",Q60,IF(01_因子設定!$B$13="最小化",-Q60,-ABS(Q60-01_因子設定!$B$16))),-1E+030)</f>
        <v>41.0449147727273</v>
      </c>
      <c r="Y60" s="55" t="n">
        <f aca="false">W60+ROW()*0.000000001</f>
        <v>-8.58076843265446</v>
      </c>
      <c r="Z60" s="55" t="n">
        <f aca="false">X60+ROW()*0.000000001</f>
        <v>41.0449148327273</v>
      </c>
    </row>
    <row r="61" customFormat="false" ht="15" hidden="false" customHeight="false" outlineLevel="0" collapsed="false">
      <c r="A61" s="0" t="n">
        <v>0</v>
      </c>
      <c r="B61" s="0" t="n">
        <v>3</v>
      </c>
      <c r="C61" s="0" t="n">
        <v>5</v>
      </c>
      <c r="D61" s="0" t="n">
        <f aca="false">-1+A61*0.125</f>
        <v>-1</v>
      </c>
      <c r="E61" s="0" t="n">
        <f aca="false">-1+B61*0.125</f>
        <v>-0.625</v>
      </c>
      <c r="F61" s="0" t="n">
        <f aca="false">-1+C61*0.125</f>
        <v>-0.375</v>
      </c>
      <c r="G61" s="0" t="n">
        <f aca="false">1</f>
        <v>1</v>
      </c>
      <c r="H61" s="0" t="n">
        <f aca="false">D61</f>
        <v>-1</v>
      </c>
      <c r="I61" s="0" t="n">
        <f aca="false">E61</f>
        <v>-0.625</v>
      </c>
      <c r="J61" s="0" t="n">
        <f aca="false">F61</f>
        <v>-0.375</v>
      </c>
      <c r="K61" s="0" t="n">
        <f aca="false">D61*E61</f>
        <v>0.625</v>
      </c>
      <c r="L61" s="0" t="n">
        <f aca="false">D61*F61</f>
        <v>0.375</v>
      </c>
      <c r="M61" s="0" t="n">
        <f aca="false">E61*F61</f>
        <v>0.234375</v>
      </c>
      <c r="N61" s="0" t="n">
        <f aca="false">D61*D61</f>
        <v>1</v>
      </c>
      <c r="O61" s="0" t="n">
        <f aca="false">E61*E61</f>
        <v>0.390625</v>
      </c>
      <c r="P61" s="0" t="n">
        <f aca="false">F61*F61</f>
        <v>0.140625</v>
      </c>
      <c r="Q61" s="0" t="n">
        <f aca="false">SUMPRODUCT(G61:P61,_XtX!$B$71:$K$71)</f>
        <v>41.3297727272727</v>
      </c>
      <c r="R61" s="0" t="n">
        <f aca="false">SUMPRODUCT(MMULT(G61:P61,_XtX!$B$58:$K$67),G61:P61)</f>
        <v>0.471821178089489</v>
      </c>
      <c r="S61" s="0" t="n">
        <f aca="false">04_回帰ANOVA!$K$19*04_回帰ANOVA!$K$14*SQRT(1+R61)</f>
        <v>1.12796119746125</v>
      </c>
      <c r="T61" s="0" t="n">
        <f aca="false">Q61-S61</f>
        <v>40.2018115298115</v>
      </c>
      <c r="U61" s="0" t="n">
        <f aca="false">Q61+S61</f>
        <v>42.457733924734</v>
      </c>
      <c r="V61" s="54" t="b">
        <f aca="false">AND(D61&gt;=01_因子設定!$L$5-0.000000001,D61&lt;=01_因子設定!$M$5+0.000000001,E61&gt;=01_因子設定!$L$6-0.000000001,E61&lt;=01_因子設定!$M$6+0.000000001,F61&gt;=01_因子設定!$L$7-0.000000001,F61&lt;=01_因子設定!$M$7+0.000000001,IF(01_因子設定!$B$20="Box-Behnken",D61^2+E61^2+F61^2&lt;=2+0.000000001,TRUE()))</f>
        <v>1</v>
      </c>
      <c r="W61" s="55" t="n">
        <f aca="false">IF(V61,IF(01_因子設定!$B$13="最大化",T61-01_因子設定!$B$14,IF(01_因子設定!$B$13="最小化",01_因子設定!$B$15-U61,MIN(T61-01_因子設定!$B$14,01_因子設定!$B$15-U61))),-1E+030)</f>
        <v>-8.29818847018854</v>
      </c>
      <c r="X61" s="55" t="n">
        <f aca="false">IF(V61,IF(01_因子設定!$B$13="最大化",Q61,IF(01_因子設定!$B$13="最小化",-Q61,-ABS(Q61-01_因子設定!$B$16))),-1E+030)</f>
        <v>41.3297727272727</v>
      </c>
      <c r="Y61" s="55" t="n">
        <f aca="false">W61+ROW()*0.000000001</f>
        <v>-8.29818840918854</v>
      </c>
      <c r="Z61" s="55" t="n">
        <f aca="false">X61+ROW()*0.000000001</f>
        <v>41.3297727882727</v>
      </c>
    </row>
    <row r="62" customFormat="false" ht="15" hidden="false" customHeight="false" outlineLevel="0" collapsed="false">
      <c r="A62" s="0" t="n">
        <v>0</v>
      </c>
      <c r="B62" s="0" t="n">
        <v>3</v>
      </c>
      <c r="C62" s="0" t="n">
        <v>6</v>
      </c>
      <c r="D62" s="0" t="n">
        <f aca="false">-1+A62*0.125</f>
        <v>-1</v>
      </c>
      <c r="E62" s="0" t="n">
        <f aca="false">-1+B62*0.125</f>
        <v>-0.625</v>
      </c>
      <c r="F62" s="0" t="n">
        <f aca="false">-1+C62*0.125</f>
        <v>-0.25</v>
      </c>
      <c r="G62" s="0" t="n">
        <f aca="false">1</f>
        <v>1</v>
      </c>
      <c r="H62" s="0" t="n">
        <f aca="false">D62</f>
        <v>-1</v>
      </c>
      <c r="I62" s="0" t="n">
        <f aca="false">E62</f>
        <v>-0.625</v>
      </c>
      <c r="J62" s="0" t="n">
        <f aca="false">F62</f>
        <v>-0.25</v>
      </c>
      <c r="K62" s="0" t="n">
        <f aca="false">D62*E62</f>
        <v>0.625</v>
      </c>
      <c r="L62" s="0" t="n">
        <f aca="false">D62*F62</f>
        <v>0.25</v>
      </c>
      <c r="M62" s="0" t="n">
        <f aca="false">E62*F62</f>
        <v>0.15625</v>
      </c>
      <c r="N62" s="0" t="n">
        <f aca="false">D62*D62</f>
        <v>1</v>
      </c>
      <c r="O62" s="0" t="n">
        <f aca="false">E62*E62</f>
        <v>0.390625</v>
      </c>
      <c r="P62" s="0" t="n">
        <f aca="false">F62*F62</f>
        <v>0.0625</v>
      </c>
      <c r="Q62" s="0" t="n">
        <f aca="false">SUMPRODUCT(G62:P62,_XtX!$B$71:$K$71)</f>
        <v>41.5778409090909</v>
      </c>
      <c r="R62" s="0" t="n">
        <f aca="false">SUMPRODUCT(MMULT(G62:P62,_XtX!$B$58:$K$67),G62:P62)</f>
        <v>0.481389825994318</v>
      </c>
      <c r="S62" s="0" t="n">
        <f aca="false">04_回帰ANOVA!$K$19*04_回帰ANOVA!$K$14*SQRT(1+R62)</f>
        <v>1.13162182500693</v>
      </c>
      <c r="T62" s="0" t="n">
        <f aca="false">Q62-S62</f>
        <v>40.446219084084</v>
      </c>
      <c r="U62" s="0" t="n">
        <f aca="false">Q62+S62</f>
        <v>42.7094627340978</v>
      </c>
      <c r="V62" s="54" t="b">
        <f aca="false">AND(D62&gt;=01_因子設定!$L$5-0.000000001,D62&lt;=01_因子設定!$M$5+0.000000001,E62&gt;=01_因子設定!$L$6-0.000000001,E62&lt;=01_因子設定!$M$6+0.000000001,F62&gt;=01_因子設定!$L$7-0.000000001,F62&lt;=01_因子設定!$M$7+0.000000001,IF(01_因子設定!$B$20="Box-Behnken",D62^2+E62^2+F62^2&lt;=2+0.000000001,TRUE()))</f>
        <v>1</v>
      </c>
      <c r="W62" s="55" t="n">
        <f aca="false">IF(V62,IF(01_因子設定!$B$13="最大化",T62-01_因子設定!$B$14,IF(01_因子設定!$B$13="最小化",01_因子設定!$B$15-U62,MIN(T62-01_因子設定!$B$14,01_因子設定!$B$15-U62))),-1E+030)</f>
        <v>-8.05378091591603</v>
      </c>
      <c r="X62" s="55" t="n">
        <f aca="false">IF(V62,IF(01_因子設定!$B$13="最大化",Q62,IF(01_因子設定!$B$13="最小化",-Q62,-ABS(Q62-01_因子設定!$B$16))),-1E+030)</f>
        <v>41.5778409090909</v>
      </c>
      <c r="Y62" s="55" t="n">
        <f aca="false">W62+ROW()*0.000000001</f>
        <v>-8.05378085391603</v>
      </c>
      <c r="Z62" s="55" t="n">
        <f aca="false">X62+ROW()*0.000000001</f>
        <v>41.5778409710909</v>
      </c>
    </row>
    <row r="63" customFormat="false" ht="15" hidden="false" customHeight="false" outlineLevel="0" collapsed="false">
      <c r="A63" s="0" t="n">
        <v>0</v>
      </c>
      <c r="B63" s="0" t="n">
        <v>3</v>
      </c>
      <c r="C63" s="0" t="n">
        <v>7</v>
      </c>
      <c r="D63" s="0" t="n">
        <f aca="false">-1+A63*0.125</f>
        <v>-1</v>
      </c>
      <c r="E63" s="0" t="n">
        <f aca="false">-1+B63*0.125</f>
        <v>-0.625</v>
      </c>
      <c r="F63" s="0" t="n">
        <f aca="false">-1+C63*0.125</f>
        <v>-0.125</v>
      </c>
      <c r="G63" s="0" t="n">
        <f aca="false">1</f>
        <v>1</v>
      </c>
      <c r="H63" s="0" t="n">
        <f aca="false">D63</f>
        <v>-1</v>
      </c>
      <c r="I63" s="0" t="n">
        <f aca="false">E63</f>
        <v>-0.625</v>
      </c>
      <c r="J63" s="0" t="n">
        <f aca="false">F63</f>
        <v>-0.125</v>
      </c>
      <c r="K63" s="0" t="n">
        <f aca="false">D63*E63</f>
        <v>0.625</v>
      </c>
      <c r="L63" s="0" t="n">
        <f aca="false">D63*F63</f>
        <v>0.125</v>
      </c>
      <c r="M63" s="0" t="n">
        <f aca="false">E63*F63</f>
        <v>0.078125</v>
      </c>
      <c r="N63" s="0" t="n">
        <f aca="false">D63*D63</f>
        <v>1</v>
      </c>
      <c r="O63" s="0" t="n">
        <f aca="false">E63*E63</f>
        <v>0.390625</v>
      </c>
      <c r="P63" s="0" t="n">
        <f aca="false">F63*F63</f>
        <v>0.015625</v>
      </c>
      <c r="Q63" s="0" t="n">
        <f aca="false">SUMPRODUCT(G63:P63,_XtX!$B$71:$K$71)</f>
        <v>41.7891193181818</v>
      </c>
      <c r="R63" s="0" t="n">
        <f aca="false">SUMPRODUCT(MMULT(G63:P63,_XtX!$B$58:$K$67),G63:P63)</f>
        <v>0.489261696555398</v>
      </c>
      <c r="S63" s="0" t="n">
        <f aca="false">04_回帰ANOVA!$K$19*04_回帰ANOVA!$K$14*SQRT(1+R63)</f>
        <v>1.13462447083763</v>
      </c>
      <c r="T63" s="0" t="n">
        <f aca="false">Q63-S63</f>
        <v>40.6544948473442</v>
      </c>
      <c r="U63" s="0" t="n">
        <f aca="false">Q63+S63</f>
        <v>42.9237437890194</v>
      </c>
      <c r="V63" s="54" t="b">
        <f aca="false">AND(D63&gt;=01_因子設定!$L$5-0.000000001,D63&lt;=01_因子設定!$M$5+0.000000001,E63&gt;=01_因子設定!$L$6-0.000000001,E63&lt;=01_因子設定!$M$6+0.000000001,F63&gt;=01_因子設定!$L$7-0.000000001,F63&lt;=01_因子設定!$M$7+0.000000001,IF(01_因子設定!$B$20="Box-Behnken",D63^2+E63^2+F63^2&lt;=2+0.000000001,TRUE()))</f>
        <v>1</v>
      </c>
      <c r="W63" s="55" t="n">
        <f aca="false">IF(V63,IF(01_因子設定!$B$13="最大化",T63-01_因子設定!$B$14,IF(01_因子設定!$B$13="最小化",01_因子設定!$B$15-U63,MIN(T63-01_因子設定!$B$14,01_因子設定!$B$15-U63))),-1E+030)</f>
        <v>-7.84550515265583</v>
      </c>
      <c r="X63" s="55" t="n">
        <f aca="false">IF(V63,IF(01_因子設定!$B$13="最大化",Q63,IF(01_因子設定!$B$13="最小化",-Q63,-ABS(Q63-01_因子設定!$B$16))),-1E+030)</f>
        <v>41.7891193181818</v>
      </c>
      <c r="Y63" s="55" t="n">
        <f aca="false">W63+ROW()*0.000000001</f>
        <v>-7.84550508965583</v>
      </c>
      <c r="Z63" s="55" t="n">
        <f aca="false">X63+ROW()*0.000000001</f>
        <v>41.7891193811818</v>
      </c>
    </row>
    <row r="64" customFormat="false" ht="15" hidden="false" customHeight="false" outlineLevel="0" collapsed="false">
      <c r="A64" s="0" t="n">
        <v>0</v>
      </c>
      <c r="B64" s="0" t="n">
        <v>3</v>
      </c>
      <c r="C64" s="0" t="n">
        <v>8</v>
      </c>
      <c r="D64" s="0" t="n">
        <f aca="false">-1+A64*0.125</f>
        <v>-1</v>
      </c>
      <c r="E64" s="0" t="n">
        <f aca="false">-1+B64*0.125</f>
        <v>-0.625</v>
      </c>
      <c r="F64" s="0" t="n">
        <f aca="false">-1+C64*0.125</f>
        <v>0</v>
      </c>
      <c r="G64" s="0" t="n">
        <f aca="false">1</f>
        <v>1</v>
      </c>
      <c r="H64" s="0" t="n">
        <f aca="false">D64</f>
        <v>-1</v>
      </c>
      <c r="I64" s="0" t="n">
        <f aca="false">E64</f>
        <v>-0.625</v>
      </c>
      <c r="J64" s="0" t="n">
        <f aca="false">F64</f>
        <v>0</v>
      </c>
      <c r="K64" s="0" t="n">
        <f aca="false">D64*E64</f>
        <v>0.625</v>
      </c>
      <c r="L64" s="0" t="n">
        <f aca="false">D64*F64</f>
        <v>-0</v>
      </c>
      <c r="M64" s="0" t="n">
        <f aca="false">E64*F64</f>
        <v>-0</v>
      </c>
      <c r="N64" s="0" t="n">
        <f aca="false">D64*D64</f>
        <v>1</v>
      </c>
      <c r="O64" s="0" t="n">
        <f aca="false">E64*E64</f>
        <v>0.390625</v>
      </c>
      <c r="P64" s="0" t="n">
        <f aca="false">F64*F64</f>
        <v>0</v>
      </c>
      <c r="Q64" s="0" t="n">
        <f aca="false">SUMPRODUCT(G64:P64,_XtX!$B$71:$K$71)</f>
        <v>41.9636079545454</v>
      </c>
      <c r="R64" s="0" t="n">
        <f aca="false">SUMPRODUCT(MMULT(G64:P64,_XtX!$B$58:$K$67),G64:P64)</f>
        <v>0.492240767045455</v>
      </c>
      <c r="S64" s="0" t="n">
        <f aca="false">04_回帰ANOVA!$K$19*04_回帰ANOVA!$K$14*SQRT(1+R64)</f>
        <v>1.13575873676322</v>
      </c>
      <c r="T64" s="0" t="n">
        <f aca="false">Q64-S64</f>
        <v>40.8278492177822</v>
      </c>
      <c r="U64" s="0" t="n">
        <f aca="false">Q64+S64</f>
        <v>43.0993666913087</v>
      </c>
      <c r="V64" s="54" t="b">
        <f aca="false">AND(D64&gt;=01_因子設定!$L$5-0.000000001,D64&lt;=01_因子設定!$M$5+0.000000001,E64&gt;=01_因子設定!$L$6-0.000000001,E64&lt;=01_因子設定!$M$6+0.000000001,F64&gt;=01_因子設定!$L$7-0.000000001,F64&lt;=01_因子設定!$M$7+0.000000001,IF(01_因子設定!$B$20="Box-Behnken",D64^2+E64^2+F64^2&lt;=2+0.000000001,TRUE()))</f>
        <v>1</v>
      </c>
      <c r="W64" s="55" t="n">
        <f aca="false">IF(V64,IF(01_因子設定!$B$13="最大化",T64-01_因子設定!$B$14,IF(01_因子設定!$B$13="最小化",01_因子設定!$B$15-U64,MIN(T64-01_因子設定!$B$14,01_因子設定!$B$15-U64))),-1E+030)</f>
        <v>-7.67215078221778</v>
      </c>
      <c r="X64" s="55" t="n">
        <f aca="false">IF(V64,IF(01_因子設定!$B$13="最大化",Q64,IF(01_因子設定!$B$13="最小化",-Q64,-ABS(Q64-01_因子設定!$B$16))),-1E+030)</f>
        <v>41.9636079545454</v>
      </c>
      <c r="Y64" s="55" t="n">
        <f aca="false">W64+ROW()*0.000000001</f>
        <v>-7.67215071821778</v>
      </c>
      <c r="Z64" s="55" t="n">
        <f aca="false">X64+ROW()*0.000000001</f>
        <v>41.9636080185454</v>
      </c>
    </row>
    <row r="65" customFormat="false" ht="15" hidden="false" customHeight="false" outlineLevel="0" collapsed="false">
      <c r="A65" s="0" t="n">
        <v>0</v>
      </c>
      <c r="B65" s="0" t="n">
        <v>3</v>
      </c>
      <c r="C65" s="0" t="n">
        <v>9</v>
      </c>
      <c r="D65" s="0" t="n">
        <f aca="false">-1+A65*0.125</f>
        <v>-1</v>
      </c>
      <c r="E65" s="0" t="n">
        <f aca="false">-1+B65*0.125</f>
        <v>-0.625</v>
      </c>
      <c r="F65" s="0" t="n">
        <f aca="false">-1+C65*0.125</f>
        <v>0.125</v>
      </c>
      <c r="G65" s="0" t="n">
        <f aca="false">1</f>
        <v>1</v>
      </c>
      <c r="H65" s="0" t="n">
        <f aca="false">D65</f>
        <v>-1</v>
      </c>
      <c r="I65" s="0" t="n">
        <f aca="false">E65</f>
        <v>-0.625</v>
      </c>
      <c r="J65" s="0" t="n">
        <f aca="false">F65</f>
        <v>0.125</v>
      </c>
      <c r="K65" s="0" t="n">
        <f aca="false">D65*E65</f>
        <v>0.625</v>
      </c>
      <c r="L65" s="0" t="n">
        <f aca="false">D65*F65</f>
        <v>-0.125</v>
      </c>
      <c r="M65" s="0" t="n">
        <f aca="false">E65*F65</f>
        <v>-0.078125</v>
      </c>
      <c r="N65" s="0" t="n">
        <f aca="false">D65*D65</f>
        <v>1</v>
      </c>
      <c r="O65" s="0" t="n">
        <f aca="false">E65*E65</f>
        <v>0.390625</v>
      </c>
      <c r="P65" s="0" t="n">
        <f aca="false">F65*F65</f>
        <v>0.015625</v>
      </c>
      <c r="Q65" s="0" t="n">
        <f aca="false">SUMPRODUCT(G65:P65,_XtX!$B$71:$K$71)</f>
        <v>42.1013068181818</v>
      </c>
      <c r="R65" s="0" t="n">
        <f aca="false">SUMPRODUCT(MMULT(G65:P65,_XtX!$B$58:$K$67),G65:P65)</f>
        <v>0.489261696555398</v>
      </c>
      <c r="S65" s="0" t="n">
        <f aca="false">04_回帰ANOVA!$K$19*04_回帰ANOVA!$K$14*SQRT(1+R65)</f>
        <v>1.13462447083763</v>
      </c>
      <c r="T65" s="0" t="n">
        <f aca="false">Q65-S65</f>
        <v>40.9666823473442</v>
      </c>
      <c r="U65" s="0" t="n">
        <f aca="false">Q65+S65</f>
        <v>43.2359312890194</v>
      </c>
      <c r="V65" s="54" t="b">
        <f aca="false">AND(D65&gt;=01_因子設定!$L$5-0.000000001,D65&lt;=01_因子設定!$M$5+0.000000001,E65&gt;=01_因子設定!$L$6-0.000000001,E65&lt;=01_因子設定!$M$6+0.000000001,F65&gt;=01_因子設定!$L$7-0.000000001,F65&lt;=01_因子設定!$M$7+0.000000001,IF(01_因子設定!$B$20="Box-Behnken",D65^2+E65^2+F65^2&lt;=2+0.000000001,TRUE()))</f>
        <v>1</v>
      </c>
      <c r="W65" s="55" t="n">
        <f aca="false">IF(V65,IF(01_因子設定!$B$13="最大化",T65-01_因子設定!$B$14,IF(01_因子設定!$B$13="最小化",01_因子設定!$B$15-U65,MIN(T65-01_因子設定!$B$14,01_因子設定!$B$15-U65))),-1E+030)</f>
        <v>-7.53331765265583</v>
      </c>
      <c r="X65" s="55" t="n">
        <f aca="false">IF(V65,IF(01_因子設定!$B$13="最大化",Q65,IF(01_因子設定!$B$13="最小化",-Q65,-ABS(Q65-01_因子設定!$B$16))),-1E+030)</f>
        <v>42.1013068181818</v>
      </c>
      <c r="Y65" s="55" t="n">
        <f aca="false">W65+ROW()*0.000000001</f>
        <v>-7.53331758765583</v>
      </c>
      <c r="Z65" s="55" t="n">
        <f aca="false">X65+ROW()*0.000000001</f>
        <v>42.1013068831818</v>
      </c>
    </row>
    <row r="66" customFormat="false" ht="15" hidden="false" customHeight="false" outlineLevel="0" collapsed="false">
      <c r="A66" s="0" t="n">
        <v>0</v>
      </c>
      <c r="B66" s="0" t="n">
        <v>3</v>
      </c>
      <c r="C66" s="0" t="n">
        <v>10</v>
      </c>
      <c r="D66" s="0" t="n">
        <f aca="false">-1+A66*0.125</f>
        <v>-1</v>
      </c>
      <c r="E66" s="0" t="n">
        <f aca="false">-1+B66*0.125</f>
        <v>-0.625</v>
      </c>
      <c r="F66" s="0" t="n">
        <f aca="false">-1+C66*0.125</f>
        <v>0.25</v>
      </c>
      <c r="G66" s="0" t="n">
        <f aca="false">1</f>
        <v>1</v>
      </c>
      <c r="H66" s="0" t="n">
        <f aca="false">D66</f>
        <v>-1</v>
      </c>
      <c r="I66" s="0" t="n">
        <f aca="false">E66</f>
        <v>-0.625</v>
      </c>
      <c r="J66" s="0" t="n">
        <f aca="false">F66</f>
        <v>0.25</v>
      </c>
      <c r="K66" s="0" t="n">
        <f aca="false">D66*E66</f>
        <v>0.625</v>
      </c>
      <c r="L66" s="0" t="n">
        <f aca="false">D66*F66</f>
        <v>-0.25</v>
      </c>
      <c r="M66" s="0" t="n">
        <f aca="false">E66*F66</f>
        <v>-0.15625</v>
      </c>
      <c r="N66" s="0" t="n">
        <f aca="false">D66*D66</f>
        <v>1</v>
      </c>
      <c r="O66" s="0" t="n">
        <f aca="false">E66*E66</f>
        <v>0.390625</v>
      </c>
      <c r="P66" s="0" t="n">
        <f aca="false">F66*F66</f>
        <v>0.0625</v>
      </c>
      <c r="Q66" s="0" t="n">
        <f aca="false">SUMPRODUCT(G66:P66,_XtX!$B$71:$K$71)</f>
        <v>42.2022159090909</v>
      </c>
      <c r="R66" s="0" t="n">
        <f aca="false">SUMPRODUCT(MMULT(G66:P66,_XtX!$B$58:$K$67),G66:P66)</f>
        <v>0.481389825994318</v>
      </c>
      <c r="S66" s="0" t="n">
        <f aca="false">04_回帰ANOVA!$K$19*04_回帰ANOVA!$K$14*SQRT(1+R66)</f>
        <v>1.13162182500693</v>
      </c>
      <c r="T66" s="0" t="n">
        <f aca="false">Q66-S66</f>
        <v>41.070594084084</v>
      </c>
      <c r="U66" s="0" t="n">
        <f aca="false">Q66+S66</f>
        <v>43.3338377340978</v>
      </c>
      <c r="V66" s="54" t="b">
        <f aca="false">AND(D66&gt;=01_因子設定!$L$5-0.000000001,D66&lt;=01_因子設定!$M$5+0.000000001,E66&gt;=01_因子設定!$L$6-0.000000001,E66&lt;=01_因子設定!$M$6+0.000000001,F66&gt;=01_因子設定!$L$7-0.000000001,F66&lt;=01_因子設定!$M$7+0.000000001,IF(01_因子設定!$B$20="Box-Behnken",D66^2+E66^2+F66^2&lt;=2+0.000000001,TRUE()))</f>
        <v>1</v>
      </c>
      <c r="W66" s="55" t="n">
        <f aca="false">IF(V66,IF(01_因子設定!$B$13="最大化",T66-01_因子設定!$B$14,IF(01_因子設定!$B$13="最小化",01_因子設定!$B$15-U66,MIN(T66-01_因子設定!$B$14,01_因子設定!$B$15-U66))),-1E+030)</f>
        <v>-7.42940591591603</v>
      </c>
      <c r="X66" s="55" t="n">
        <f aca="false">IF(V66,IF(01_因子設定!$B$13="最大化",Q66,IF(01_因子設定!$B$13="最小化",-Q66,-ABS(Q66-01_因子設定!$B$16))),-1E+030)</f>
        <v>42.2022159090909</v>
      </c>
      <c r="Y66" s="55" t="n">
        <f aca="false">W66+ROW()*0.000000001</f>
        <v>-7.42940584991603</v>
      </c>
      <c r="Z66" s="55" t="n">
        <f aca="false">X66+ROW()*0.000000001</f>
        <v>42.2022159750909</v>
      </c>
    </row>
    <row r="67" customFormat="false" ht="15" hidden="false" customHeight="false" outlineLevel="0" collapsed="false">
      <c r="A67" s="0" t="n">
        <v>0</v>
      </c>
      <c r="B67" s="0" t="n">
        <v>3</v>
      </c>
      <c r="C67" s="0" t="n">
        <v>11</v>
      </c>
      <c r="D67" s="0" t="n">
        <f aca="false">-1+A67*0.125</f>
        <v>-1</v>
      </c>
      <c r="E67" s="0" t="n">
        <f aca="false">-1+B67*0.125</f>
        <v>-0.625</v>
      </c>
      <c r="F67" s="0" t="n">
        <f aca="false">-1+C67*0.125</f>
        <v>0.375</v>
      </c>
      <c r="G67" s="0" t="n">
        <f aca="false">1</f>
        <v>1</v>
      </c>
      <c r="H67" s="0" t="n">
        <f aca="false">D67</f>
        <v>-1</v>
      </c>
      <c r="I67" s="0" t="n">
        <f aca="false">E67</f>
        <v>-0.625</v>
      </c>
      <c r="J67" s="0" t="n">
        <f aca="false">F67</f>
        <v>0.375</v>
      </c>
      <c r="K67" s="0" t="n">
        <f aca="false">D67*E67</f>
        <v>0.625</v>
      </c>
      <c r="L67" s="0" t="n">
        <f aca="false">D67*F67</f>
        <v>-0.375</v>
      </c>
      <c r="M67" s="0" t="n">
        <f aca="false">E67*F67</f>
        <v>-0.234375</v>
      </c>
      <c r="N67" s="0" t="n">
        <f aca="false">D67*D67</f>
        <v>1</v>
      </c>
      <c r="O67" s="0" t="n">
        <f aca="false">E67*E67</f>
        <v>0.390625</v>
      </c>
      <c r="P67" s="0" t="n">
        <f aca="false">F67*F67</f>
        <v>0.140625</v>
      </c>
      <c r="Q67" s="0" t="n">
        <f aca="false">SUMPRODUCT(G67:P67,_XtX!$B$71:$K$71)</f>
        <v>42.2663352272727</v>
      </c>
      <c r="R67" s="0" t="n">
        <f aca="false">SUMPRODUCT(MMULT(G67:P67,_XtX!$B$58:$K$67),G67:P67)</f>
        <v>0.471821178089489</v>
      </c>
      <c r="S67" s="0" t="n">
        <f aca="false">04_回帰ANOVA!$K$19*04_回帰ANOVA!$K$14*SQRT(1+R67)</f>
        <v>1.12796119746125</v>
      </c>
      <c r="T67" s="0" t="n">
        <f aca="false">Q67-S67</f>
        <v>41.1383740298115</v>
      </c>
      <c r="U67" s="0" t="n">
        <f aca="false">Q67+S67</f>
        <v>43.394296424734</v>
      </c>
      <c r="V67" s="54" t="b">
        <f aca="false">AND(D67&gt;=01_因子設定!$L$5-0.000000001,D67&lt;=01_因子設定!$M$5+0.000000001,E67&gt;=01_因子設定!$L$6-0.000000001,E67&lt;=01_因子設定!$M$6+0.000000001,F67&gt;=01_因子設定!$L$7-0.000000001,F67&lt;=01_因子設定!$M$7+0.000000001,IF(01_因子設定!$B$20="Box-Behnken",D67^2+E67^2+F67^2&lt;=2+0.000000001,TRUE()))</f>
        <v>1</v>
      </c>
      <c r="W67" s="55" t="n">
        <f aca="false">IF(V67,IF(01_因子設定!$B$13="最大化",T67-01_因子設定!$B$14,IF(01_因子設定!$B$13="最小化",01_因子設定!$B$15-U67,MIN(T67-01_因子設定!$B$14,01_因子設定!$B$15-U67))),-1E+030)</f>
        <v>-7.36162597018853</v>
      </c>
      <c r="X67" s="55" t="n">
        <f aca="false">IF(V67,IF(01_因子設定!$B$13="最大化",Q67,IF(01_因子設定!$B$13="最小化",-Q67,-ABS(Q67-01_因子設定!$B$16))),-1E+030)</f>
        <v>42.2663352272727</v>
      </c>
      <c r="Y67" s="55" t="n">
        <f aca="false">W67+ROW()*0.000000001</f>
        <v>-7.36162590318853</v>
      </c>
      <c r="Z67" s="55" t="n">
        <f aca="false">X67+ROW()*0.000000001</f>
        <v>42.2663352942727</v>
      </c>
    </row>
    <row r="68" customFormat="false" ht="15" hidden="false" customHeight="false" outlineLevel="0" collapsed="false">
      <c r="A68" s="0" t="n">
        <v>0</v>
      </c>
      <c r="B68" s="0" t="n">
        <v>3</v>
      </c>
      <c r="C68" s="0" t="n">
        <v>12</v>
      </c>
      <c r="D68" s="0" t="n">
        <f aca="false">-1+A68*0.125</f>
        <v>-1</v>
      </c>
      <c r="E68" s="0" t="n">
        <f aca="false">-1+B68*0.125</f>
        <v>-0.625</v>
      </c>
      <c r="F68" s="0" t="n">
        <f aca="false">-1+C68*0.125</f>
        <v>0.5</v>
      </c>
      <c r="G68" s="0" t="n">
        <f aca="false">1</f>
        <v>1</v>
      </c>
      <c r="H68" s="0" t="n">
        <f aca="false">D68</f>
        <v>-1</v>
      </c>
      <c r="I68" s="0" t="n">
        <f aca="false">E68</f>
        <v>-0.625</v>
      </c>
      <c r="J68" s="0" t="n">
        <f aca="false">F68</f>
        <v>0.5</v>
      </c>
      <c r="K68" s="0" t="n">
        <f aca="false">D68*E68</f>
        <v>0.625</v>
      </c>
      <c r="L68" s="0" t="n">
        <f aca="false">D68*F68</f>
        <v>-0.5</v>
      </c>
      <c r="M68" s="0" t="n">
        <f aca="false">E68*F68</f>
        <v>-0.3125</v>
      </c>
      <c r="N68" s="0" t="n">
        <f aca="false">D68*D68</f>
        <v>1</v>
      </c>
      <c r="O68" s="0" t="n">
        <f aca="false">E68*E68</f>
        <v>0.390625</v>
      </c>
      <c r="P68" s="0" t="n">
        <f aca="false">F68*F68</f>
        <v>0.25</v>
      </c>
      <c r="Q68" s="0" t="n">
        <f aca="false">SUMPRODUCT(G68:P68,_XtX!$B$71:$K$71)</f>
        <v>42.2936647727273</v>
      </c>
      <c r="R68" s="0" t="n">
        <f aca="false">SUMPRODUCT(MMULT(G68:P68,_XtX!$B$58:$K$67),G68:P68)</f>
        <v>0.465882457386364</v>
      </c>
      <c r="S68" s="0" t="n">
        <f aca="false">04_回帰ANOVA!$K$19*04_回帰ANOVA!$K$14*SQRT(1+R68)</f>
        <v>1.12568326538173</v>
      </c>
      <c r="T68" s="0" t="n">
        <f aca="false">Q68-S68</f>
        <v>41.1679815073455</v>
      </c>
      <c r="U68" s="0" t="n">
        <f aca="false">Q68+S68</f>
        <v>43.419348038109</v>
      </c>
      <c r="V68" s="54" t="b">
        <f aca="false">AND(D68&gt;=01_因子設定!$L$5-0.000000001,D68&lt;=01_因子設定!$M$5+0.000000001,E68&gt;=01_因子設定!$L$6-0.000000001,E68&lt;=01_因子設定!$M$6+0.000000001,F68&gt;=01_因子設定!$L$7-0.000000001,F68&lt;=01_因子設定!$M$7+0.000000001,IF(01_因子設定!$B$20="Box-Behnken",D68^2+E68^2+F68^2&lt;=2+0.000000001,TRUE()))</f>
        <v>1</v>
      </c>
      <c r="W68" s="55" t="n">
        <f aca="false">IF(V68,IF(01_因子設定!$B$13="最大化",T68-01_因子設定!$B$14,IF(01_因子設定!$B$13="最小化",01_因子設定!$B$15-U68,MIN(T68-01_因子設定!$B$14,01_因子設定!$B$15-U68))),-1E+030)</f>
        <v>-7.33201849265446</v>
      </c>
      <c r="X68" s="55" t="n">
        <f aca="false">IF(V68,IF(01_因子設定!$B$13="最大化",Q68,IF(01_因子設定!$B$13="最小化",-Q68,-ABS(Q68-01_因子設定!$B$16))),-1E+030)</f>
        <v>42.2936647727273</v>
      </c>
      <c r="Y68" s="55" t="n">
        <f aca="false">W68+ROW()*0.000000001</f>
        <v>-7.33201842465446</v>
      </c>
      <c r="Z68" s="55" t="n">
        <f aca="false">X68+ROW()*0.000000001</f>
        <v>42.2936648407273</v>
      </c>
    </row>
    <row r="69" customFormat="false" ht="15" hidden="false" customHeight="false" outlineLevel="0" collapsed="false">
      <c r="A69" s="0" t="n">
        <v>0</v>
      </c>
      <c r="B69" s="0" t="n">
        <v>3</v>
      </c>
      <c r="C69" s="0" t="n">
        <v>13</v>
      </c>
      <c r="D69" s="0" t="n">
        <f aca="false">-1+A69*0.125</f>
        <v>-1</v>
      </c>
      <c r="E69" s="0" t="n">
        <f aca="false">-1+B69*0.125</f>
        <v>-0.625</v>
      </c>
      <c r="F69" s="0" t="n">
        <f aca="false">-1+C69*0.125</f>
        <v>0.625</v>
      </c>
      <c r="G69" s="0" t="n">
        <f aca="false">1</f>
        <v>1</v>
      </c>
      <c r="H69" s="0" t="n">
        <f aca="false">D69</f>
        <v>-1</v>
      </c>
      <c r="I69" s="0" t="n">
        <f aca="false">E69</f>
        <v>-0.625</v>
      </c>
      <c r="J69" s="0" t="n">
        <f aca="false">F69</f>
        <v>0.625</v>
      </c>
      <c r="K69" s="0" t="n">
        <f aca="false">D69*E69</f>
        <v>0.625</v>
      </c>
      <c r="L69" s="0" t="n">
        <f aca="false">D69*F69</f>
        <v>-0.625</v>
      </c>
      <c r="M69" s="0" t="n">
        <f aca="false">E69*F69</f>
        <v>-0.390625</v>
      </c>
      <c r="N69" s="0" t="n">
        <f aca="false">D69*D69</f>
        <v>1</v>
      </c>
      <c r="O69" s="0" t="n">
        <f aca="false">E69*E69</f>
        <v>0.390625</v>
      </c>
      <c r="P69" s="0" t="n">
        <f aca="false">F69*F69</f>
        <v>0.390625</v>
      </c>
      <c r="Q69" s="0" t="n">
        <f aca="false">SUMPRODUCT(G69:P69,_XtX!$B$71:$K$71)</f>
        <v>42.2842045454545</v>
      </c>
      <c r="R69" s="0" t="n">
        <f aca="false">SUMPRODUCT(MMULT(G69:P69,_XtX!$B$58:$K$67),G69:P69)</f>
        <v>0.47103105024858</v>
      </c>
      <c r="S69" s="0" t="n">
        <f aca="false">04_回帰ANOVA!$K$19*04_回帰ANOVA!$K$14*SQRT(1+R69)</f>
        <v>1.1276583912499</v>
      </c>
      <c r="T69" s="0" t="n">
        <f aca="false">Q69-S69</f>
        <v>41.1565461542046</v>
      </c>
      <c r="U69" s="0" t="n">
        <f aca="false">Q69+S69</f>
        <v>43.4118629367044</v>
      </c>
      <c r="V69" s="54" t="b">
        <f aca="false">AND(D69&gt;=01_因子設定!$L$5-0.000000001,D69&lt;=01_因子設定!$M$5+0.000000001,E69&gt;=01_因子設定!$L$6-0.000000001,E69&lt;=01_因子設定!$M$6+0.000000001,F69&gt;=01_因子設定!$L$7-0.000000001,F69&lt;=01_因子設定!$M$7+0.000000001,IF(01_因子設定!$B$20="Box-Behnken",D69^2+E69^2+F69^2&lt;=2+0.000000001,TRUE()))</f>
        <v>1</v>
      </c>
      <c r="W69" s="55" t="n">
        <f aca="false">IF(V69,IF(01_因子設定!$B$13="最大化",T69-01_因子設定!$B$14,IF(01_因子設定!$B$13="最小化",01_因子設定!$B$15-U69,MIN(T69-01_因子設定!$B$14,01_因子設定!$B$15-U69))),-1E+030)</f>
        <v>-7.34345384579536</v>
      </c>
      <c r="X69" s="55" t="n">
        <f aca="false">IF(V69,IF(01_因子設定!$B$13="最大化",Q69,IF(01_因子設定!$B$13="最小化",-Q69,-ABS(Q69-01_因子設定!$B$16))),-1E+030)</f>
        <v>42.2842045454545</v>
      </c>
      <c r="Y69" s="55" t="n">
        <f aca="false">W69+ROW()*0.000000001</f>
        <v>-7.34345377679536</v>
      </c>
      <c r="Z69" s="55" t="n">
        <f aca="false">X69+ROW()*0.000000001</f>
        <v>42.2842046144545</v>
      </c>
    </row>
    <row r="70" customFormat="false" ht="15" hidden="false" customHeight="false" outlineLevel="0" collapsed="false">
      <c r="A70" s="0" t="n">
        <v>0</v>
      </c>
      <c r="B70" s="0" t="n">
        <v>3</v>
      </c>
      <c r="C70" s="0" t="n">
        <v>14</v>
      </c>
      <c r="D70" s="0" t="n">
        <f aca="false">-1+A70*0.125</f>
        <v>-1</v>
      </c>
      <c r="E70" s="0" t="n">
        <f aca="false">-1+B70*0.125</f>
        <v>-0.625</v>
      </c>
      <c r="F70" s="0" t="n">
        <f aca="false">-1+C70*0.125</f>
        <v>0.75</v>
      </c>
      <c r="G70" s="0" t="n">
        <f aca="false">1</f>
        <v>1</v>
      </c>
      <c r="H70" s="0" t="n">
        <f aca="false">D70</f>
        <v>-1</v>
      </c>
      <c r="I70" s="0" t="n">
        <f aca="false">E70</f>
        <v>-0.625</v>
      </c>
      <c r="J70" s="0" t="n">
        <f aca="false">F70</f>
        <v>0.75</v>
      </c>
      <c r="K70" s="0" t="n">
        <f aca="false">D70*E70</f>
        <v>0.625</v>
      </c>
      <c r="L70" s="0" t="n">
        <f aca="false">D70*F70</f>
        <v>-0.75</v>
      </c>
      <c r="M70" s="0" t="n">
        <f aca="false">E70*F70</f>
        <v>-0.46875</v>
      </c>
      <c r="N70" s="0" t="n">
        <f aca="false">D70*D70</f>
        <v>1</v>
      </c>
      <c r="O70" s="0" t="n">
        <f aca="false">E70*E70</f>
        <v>0.390625</v>
      </c>
      <c r="P70" s="0" t="n">
        <f aca="false">F70*F70</f>
        <v>0.5625</v>
      </c>
      <c r="Q70" s="0" t="n">
        <f aca="false">SUMPRODUCT(G70:P70,_XtX!$B$71:$K$71)</f>
        <v>42.2379545454545</v>
      </c>
      <c r="R70" s="0" t="n">
        <f aca="false">SUMPRODUCT(MMULT(G70:P70,_XtX!$B$58:$K$67),G70:P70)</f>
        <v>0.496855024857955</v>
      </c>
      <c r="S70" s="0" t="n">
        <f aca="false">04_回帰ANOVA!$K$19*04_回帰ANOVA!$K$14*SQRT(1+R70)</f>
        <v>1.1375133593161</v>
      </c>
      <c r="T70" s="0" t="n">
        <f aca="false">Q70-S70</f>
        <v>41.1004411861384</v>
      </c>
      <c r="U70" s="0" t="n">
        <f aca="false">Q70+S70</f>
        <v>43.3754679047706</v>
      </c>
      <c r="V70" s="54" t="b">
        <f aca="false">AND(D70&gt;=01_因子設定!$L$5-0.000000001,D70&lt;=01_因子設定!$M$5+0.000000001,E70&gt;=01_因子設定!$L$6-0.000000001,E70&lt;=01_因子設定!$M$6+0.000000001,F70&gt;=01_因子設定!$L$7-0.000000001,F70&lt;=01_因子設定!$M$7+0.000000001,IF(01_因子設定!$B$20="Box-Behnken",D70^2+E70^2+F70^2&lt;=2+0.000000001,TRUE()))</f>
        <v>1</v>
      </c>
      <c r="W70" s="55" t="n">
        <f aca="false">IF(V70,IF(01_因子設定!$B$13="最大化",T70-01_因子設定!$B$14,IF(01_因子設定!$B$13="最小化",01_因子設定!$B$15-U70,MIN(T70-01_因子設定!$B$14,01_因子設定!$B$15-U70))),-1E+030)</f>
        <v>-7.39955881386156</v>
      </c>
      <c r="X70" s="55" t="n">
        <f aca="false">IF(V70,IF(01_因子設定!$B$13="最大化",Q70,IF(01_因子設定!$B$13="最小化",-Q70,-ABS(Q70-01_因子設定!$B$16))),-1E+030)</f>
        <v>42.2379545454545</v>
      </c>
      <c r="Y70" s="55" t="n">
        <f aca="false">W70+ROW()*0.000000001</f>
        <v>-7.39955874386156</v>
      </c>
      <c r="Z70" s="55" t="n">
        <f aca="false">X70+ROW()*0.000000001</f>
        <v>42.2379546154545</v>
      </c>
    </row>
    <row r="71" customFormat="false" ht="15" hidden="false" customHeight="false" outlineLevel="0" collapsed="false">
      <c r="A71" s="0" t="n">
        <v>0</v>
      </c>
      <c r="B71" s="0" t="n">
        <v>3</v>
      </c>
      <c r="C71" s="0" t="n">
        <v>15</v>
      </c>
      <c r="D71" s="0" t="n">
        <f aca="false">-1+A71*0.125</f>
        <v>-1</v>
      </c>
      <c r="E71" s="0" t="n">
        <f aca="false">-1+B71*0.125</f>
        <v>-0.625</v>
      </c>
      <c r="F71" s="0" t="n">
        <f aca="false">-1+C71*0.125</f>
        <v>0.875</v>
      </c>
      <c r="G71" s="0" t="n">
        <f aca="false">1</f>
        <v>1</v>
      </c>
      <c r="H71" s="0" t="n">
        <f aca="false">D71</f>
        <v>-1</v>
      </c>
      <c r="I71" s="0" t="n">
        <f aca="false">E71</f>
        <v>-0.625</v>
      </c>
      <c r="J71" s="0" t="n">
        <f aca="false">F71</f>
        <v>0.875</v>
      </c>
      <c r="K71" s="0" t="n">
        <f aca="false">D71*E71</f>
        <v>0.625</v>
      </c>
      <c r="L71" s="0" t="n">
        <f aca="false">D71*F71</f>
        <v>-0.875</v>
      </c>
      <c r="M71" s="0" t="n">
        <f aca="false">E71*F71</f>
        <v>-0.546875</v>
      </c>
      <c r="N71" s="0" t="n">
        <f aca="false">D71*D71</f>
        <v>1</v>
      </c>
      <c r="O71" s="0" t="n">
        <f aca="false">E71*E71</f>
        <v>0.390625</v>
      </c>
      <c r="P71" s="0" t="n">
        <f aca="false">F71*F71</f>
        <v>0.765625</v>
      </c>
      <c r="Q71" s="0" t="n">
        <f aca="false">SUMPRODUCT(G71:P71,_XtX!$B$71:$K$71)</f>
        <v>42.1549147727273</v>
      </c>
      <c r="R71" s="0" t="n">
        <f aca="false">SUMPRODUCT(MMULT(G71:P71,_XtX!$B$58:$K$67),G71:P71)</f>
        <v>0.555073131214489</v>
      </c>
      <c r="S71" s="0" t="n">
        <f aca="false">04_回帰ANOVA!$K$19*04_回帰ANOVA!$K$14*SQRT(1+R71)</f>
        <v>1.15942335628341</v>
      </c>
      <c r="T71" s="0" t="n">
        <f aca="false">Q71-S71</f>
        <v>40.9954914164439</v>
      </c>
      <c r="U71" s="0" t="n">
        <f aca="false">Q71+S71</f>
        <v>43.3143381290107</v>
      </c>
      <c r="V71" s="54" t="b">
        <f aca="false">AND(D71&gt;=01_因子設定!$L$5-0.000000001,D71&lt;=01_因子設定!$M$5+0.000000001,E71&gt;=01_因子設定!$L$6-0.000000001,E71&lt;=01_因子設定!$M$6+0.000000001,F71&gt;=01_因子設定!$L$7-0.000000001,F71&lt;=01_因子設定!$M$7+0.000000001,IF(01_因子設定!$B$20="Box-Behnken",D71^2+E71^2+F71^2&lt;=2+0.000000001,TRUE()))</f>
        <v>1</v>
      </c>
      <c r="W71" s="55" t="n">
        <f aca="false">IF(V71,IF(01_因子設定!$B$13="最大化",T71-01_因子設定!$B$14,IF(01_因子設定!$B$13="最小化",01_因子設定!$B$15-U71,MIN(T71-01_因子設定!$B$14,01_因子設定!$B$15-U71))),-1E+030)</f>
        <v>-7.50450858355613</v>
      </c>
      <c r="X71" s="55" t="n">
        <f aca="false">IF(V71,IF(01_因子設定!$B$13="最大化",Q71,IF(01_因子設定!$B$13="最小化",-Q71,-ABS(Q71-01_因子設定!$B$16))),-1E+030)</f>
        <v>42.1549147727273</v>
      </c>
      <c r="Y71" s="55" t="n">
        <f aca="false">W71+ROW()*0.000000001</f>
        <v>-7.50450851255613</v>
      </c>
      <c r="Z71" s="55" t="n">
        <f aca="false">X71+ROW()*0.000000001</f>
        <v>42.1549148437273</v>
      </c>
    </row>
    <row r="72" customFormat="false" ht="15" hidden="false" customHeight="false" outlineLevel="0" collapsed="false">
      <c r="A72" s="0" t="n">
        <v>0</v>
      </c>
      <c r="B72" s="0" t="n">
        <v>3</v>
      </c>
      <c r="C72" s="0" t="n">
        <v>16</v>
      </c>
      <c r="D72" s="0" t="n">
        <f aca="false">-1+A72*0.125</f>
        <v>-1</v>
      </c>
      <c r="E72" s="0" t="n">
        <f aca="false">-1+B72*0.125</f>
        <v>-0.625</v>
      </c>
      <c r="F72" s="0" t="n">
        <f aca="false">-1+C72*0.125</f>
        <v>1</v>
      </c>
      <c r="G72" s="0" t="n">
        <f aca="false">1</f>
        <v>1</v>
      </c>
      <c r="H72" s="0" t="n">
        <f aca="false">D72</f>
        <v>-1</v>
      </c>
      <c r="I72" s="0" t="n">
        <f aca="false">E72</f>
        <v>-0.625</v>
      </c>
      <c r="J72" s="0" t="n">
        <f aca="false">F72</f>
        <v>1</v>
      </c>
      <c r="K72" s="0" t="n">
        <f aca="false">D72*E72</f>
        <v>0.625</v>
      </c>
      <c r="L72" s="0" t="n">
        <f aca="false">D72*F72</f>
        <v>-1</v>
      </c>
      <c r="M72" s="0" t="n">
        <f aca="false">E72*F72</f>
        <v>-0.625</v>
      </c>
      <c r="N72" s="0" t="n">
        <f aca="false">D72*D72</f>
        <v>1</v>
      </c>
      <c r="O72" s="0" t="n">
        <f aca="false">E72*E72</f>
        <v>0.390625</v>
      </c>
      <c r="P72" s="0" t="n">
        <f aca="false">F72*F72</f>
        <v>1</v>
      </c>
      <c r="Q72" s="0" t="n">
        <f aca="false">SUMPRODUCT(G72:P72,_XtX!$B$71:$K$71)</f>
        <v>42.0350852272727</v>
      </c>
      <c r="R72" s="0" t="n">
        <f aca="false">SUMPRODUCT(MMULT(G72:P72,_XtX!$B$58:$K$67),G72:P72)</f>
        <v>0.659534801136364</v>
      </c>
      <c r="S72" s="0" t="n">
        <f aca="false">04_回帰ANOVA!$K$19*04_回帰ANOVA!$K$14*SQRT(1+R72)</f>
        <v>1.19773245593097</v>
      </c>
      <c r="T72" s="0" t="n">
        <f aca="false">Q72-S72</f>
        <v>40.8373527713418</v>
      </c>
      <c r="U72" s="0" t="n">
        <f aca="false">Q72+S72</f>
        <v>43.2328176832037</v>
      </c>
      <c r="V72" s="54" t="b">
        <f aca="false">AND(D72&gt;=01_因子設定!$L$5-0.000000001,D72&lt;=01_因子設定!$M$5+0.000000001,E72&gt;=01_因子設定!$L$6-0.000000001,E72&lt;=01_因子設定!$M$6+0.000000001,F72&gt;=01_因子設定!$L$7-0.000000001,F72&lt;=01_因子設定!$M$7+0.000000001,IF(01_因子設定!$B$20="Box-Behnken",D72^2+E72^2+F72^2&lt;=2+0.000000001,TRUE()))</f>
        <v>1</v>
      </c>
      <c r="W72" s="55" t="n">
        <f aca="false">IF(V72,IF(01_因子設定!$B$13="最大化",T72-01_因子設定!$B$14,IF(01_因子設定!$B$13="最小化",01_因子設定!$B$15-U72,MIN(T72-01_因子設定!$B$14,01_因子設定!$B$15-U72))),-1E+030)</f>
        <v>-7.66264722865824</v>
      </c>
      <c r="X72" s="55" t="n">
        <f aca="false">IF(V72,IF(01_因子設定!$B$13="最大化",Q72,IF(01_因子設定!$B$13="最小化",-Q72,-ABS(Q72-01_因子設定!$B$16))),-1E+030)</f>
        <v>42.0350852272727</v>
      </c>
      <c r="Y72" s="55" t="n">
        <f aca="false">W72+ROW()*0.000000001</f>
        <v>-7.66264715665824</v>
      </c>
      <c r="Z72" s="55" t="n">
        <f aca="false">X72+ROW()*0.000000001</f>
        <v>42.0350852992727</v>
      </c>
    </row>
    <row r="73" customFormat="false" ht="15" hidden="false" customHeight="false" outlineLevel="0" collapsed="false">
      <c r="A73" s="0" t="n">
        <v>0</v>
      </c>
      <c r="B73" s="0" t="n">
        <v>4</v>
      </c>
      <c r="C73" s="0" t="n">
        <v>0</v>
      </c>
      <c r="D73" s="0" t="n">
        <f aca="false">-1+A73*0.125</f>
        <v>-1</v>
      </c>
      <c r="E73" s="0" t="n">
        <f aca="false">-1+B73*0.125</f>
        <v>-0.5</v>
      </c>
      <c r="F73" s="0" t="n">
        <f aca="false">-1+C73*0.125</f>
        <v>-1</v>
      </c>
      <c r="G73" s="0" t="n">
        <f aca="false">1</f>
        <v>1</v>
      </c>
      <c r="H73" s="0" t="n">
        <f aca="false">D73</f>
        <v>-1</v>
      </c>
      <c r="I73" s="0" t="n">
        <f aca="false">E73</f>
        <v>-0.5</v>
      </c>
      <c r="J73" s="0" t="n">
        <f aca="false">F73</f>
        <v>-1</v>
      </c>
      <c r="K73" s="0" t="n">
        <f aca="false">D73*E73</f>
        <v>0.5</v>
      </c>
      <c r="L73" s="0" t="n">
        <f aca="false">D73*F73</f>
        <v>1</v>
      </c>
      <c r="M73" s="0" t="n">
        <f aca="false">E73*F73</f>
        <v>0.5</v>
      </c>
      <c r="N73" s="0" t="n">
        <f aca="false">D73*D73</f>
        <v>1</v>
      </c>
      <c r="O73" s="0" t="n">
        <f aca="false">E73*E73</f>
        <v>0.25</v>
      </c>
      <c r="P73" s="0" t="n">
        <f aca="false">F73*F73</f>
        <v>1</v>
      </c>
      <c r="Q73" s="0" t="n">
        <f aca="false">SUMPRODUCT(G73:P73,_XtX!$B$71:$K$71)</f>
        <v>39.8720454545455</v>
      </c>
      <c r="R73" s="0" t="n">
        <f aca="false">SUMPRODUCT(MMULT(G73:P73,_XtX!$B$58:$K$67),G73:P73)</f>
        <v>0.667045454545455</v>
      </c>
      <c r="S73" s="0" t="n">
        <f aca="false">04_回帰ANOVA!$K$19*04_回帰ANOVA!$K$14*SQRT(1+R73)</f>
        <v>1.200439720088</v>
      </c>
      <c r="T73" s="0" t="n">
        <f aca="false">Q73-S73</f>
        <v>38.6716057344575</v>
      </c>
      <c r="U73" s="0" t="n">
        <f aca="false">Q73+S73</f>
        <v>41.0724851746335</v>
      </c>
      <c r="V73" s="54" t="b">
        <f aca="false">AND(D73&gt;=01_因子設定!$L$5-0.000000001,D73&lt;=01_因子設定!$M$5+0.000000001,E73&gt;=01_因子設定!$L$6-0.000000001,E73&lt;=01_因子設定!$M$6+0.000000001,F73&gt;=01_因子設定!$L$7-0.000000001,F73&lt;=01_因子設定!$M$7+0.000000001,IF(01_因子設定!$B$20="Box-Behnken",D73^2+E73^2+F73^2&lt;=2+0.000000001,TRUE()))</f>
        <v>1</v>
      </c>
      <c r="W73" s="55" t="n">
        <f aca="false">IF(V73,IF(01_因子設定!$B$13="最大化",T73-01_因子設定!$B$14,IF(01_因子設定!$B$13="最小化",01_因子設定!$B$15-U73,MIN(T73-01_因子設定!$B$14,01_因子設定!$B$15-U73))),-1E+030)</f>
        <v>-9.82839426554254</v>
      </c>
      <c r="X73" s="55" t="n">
        <f aca="false">IF(V73,IF(01_因子設定!$B$13="最大化",Q73,IF(01_因子設定!$B$13="最小化",-Q73,-ABS(Q73-01_因子設定!$B$16))),-1E+030)</f>
        <v>39.8720454545455</v>
      </c>
      <c r="Y73" s="55" t="n">
        <f aca="false">W73+ROW()*0.000000001</f>
        <v>-9.82839419254253</v>
      </c>
      <c r="Z73" s="55" t="n">
        <f aca="false">X73+ROW()*0.000000001</f>
        <v>39.8720455275455</v>
      </c>
    </row>
    <row r="74" customFormat="false" ht="15" hidden="false" customHeight="false" outlineLevel="0" collapsed="false">
      <c r="A74" s="0" t="n">
        <v>0</v>
      </c>
      <c r="B74" s="0" t="n">
        <v>4</v>
      </c>
      <c r="C74" s="0" t="n">
        <v>1</v>
      </c>
      <c r="D74" s="0" t="n">
        <f aca="false">-1+A74*0.125</f>
        <v>-1</v>
      </c>
      <c r="E74" s="0" t="n">
        <f aca="false">-1+B74*0.125</f>
        <v>-0.5</v>
      </c>
      <c r="F74" s="0" t="n">
        <f aca="false">-1+C74*0.125</f>
        <v>-0.875</v>
      </c>
      <c r="G74" s="0" t="n">
        <f aca="false">1</f>
        <v>1</v>
      </c>
      <c r="H74" s="0" t="n">
        <f aca="false">D74</f>
        <v>-1</v>
      </c>
      <c r="I74" s="0" t="n">
        <f aca="false">E74</f>
        <v>-0.5</v>
      </c>
      <c r="J74" s="0" t="n">
        <f aca="false">F74</f>
        <v>-0.875</v>
      </c>
      <c r="K74" s="0" t="n">
        <f aca="false">D74*E74</f>
        <v>0.5</v>
      </c>
      <c r="L74" s="0" t="n">
        <f aca="false">D74*F74</f>
        <v>0.875</v>
      </c>
      <c r="M74" s="0" t="n">
        <f aca="false">E74*F74</f>
        <v>0.4375</v>
      </c>
      <c r="N74" s="0" t="n">
        <f aca="false">D74*D74</f>
        <v>1</v>
      </c>
      <c r="O74" s="0" t="n">
        <f aca="false">E74*E74</f>
        <v>0.25</v>
      </c>
      <c r="P74" s="0" t="n">
        <f aca="false">F74*F74</f>
        <v>0.765625</v>
      </c>
      <c r="Q74" s="0" t="n">
        <f aca="false">SUMPRODUCT(G74:P74,_XtX!$B$71:$K$71)</f>
        <v>40.31109375</v>
      </c>
      <c r="R74" s="0" t="n">
        <f aca="false">SUMPRODUCT(MMULT(G74:P74,_XtX!$B$58:$K$67),G74:P74)</f>
        <v>0.55771484375</v>
      </c>
      <c r="S74" s="0" t="n">
        <f aca="false">04_回帰ANOVA!$K$19*04_回帰ANOVA!$K$14*SQRT(1+R74)</f>
        <v>1.16040773556467</v>
      </c>
      <c r="T74" s="0" t="n">
        <f aca="false">Q74-S74</f>
        <v>39.1506860144353</v>
      </c>
      <c r="U74" s="0" t="n">
        <f aca="false">Q74+S74</f>
        <v>41.4715014855647</v>
      </c>
      <c r="V74" s="54" t="b">
        <f aca="false">AND(D74&gt;=01_因子設定!$L$5-0.000000001,D74&lt;=01_因子設定!$M$5+0.000000001,E74&gt;=01_因子設定!$L$6-0.000000001,E74&lt;=01_因子設定!$M$6+0.000000001,F74&gt;=01_因子設定!$L$7-0.000000001,F74&lt;=01_因子設定!$M$7+0.000000001,IF(01_因子設定!$B$20="Box-Behnken",D74^2+E74^2+F74^2&lt;=2+0.000000001,TRUE()))</f>
        <v>1</v>
      </c>
      <c r="W74" s="55" t="n">
        <f aca="false">IF(V74,IF(01_因子設定!$B$13="最大化",T74-01_因子設定!$B$14,IF(01_因子設定!$B$13="最小化",01_因子設定!$B$15-U74,MIN(T74-01_因子設定!$B$14,01_因子設定!$B$15-U74))),-1E+030)</f>
        <v>-9.34931398556467</v>
      </c>
      <c r="X74" s="55" t="n">
        <f aca="false">IF(V74,IF(01_因子設定!$B$13="最大化",Q74,IF(01_因子設定!$B$13="最小化",-Q74,-ABS(Q74-01_因子設定!$B$16))),-1E+030)</f>
        <v>40.31109375</v>
      </c>
      <c r="Y74" s="55" t="n">
        <f aca="false">W74+ROW()*0.000000001</f>
        <v>-9.34931391156467</v>
      </c>
      <c r="Z74" s="55" t="n">
        <f aca="false">X74+ROW()*0.000000001</f>
        <v>40.311093824</v>
      </c>
    </row>
    <row r="75" customFormat="false" ht="15" hidden="false" customHeight="false" outlineLevel="0" collapsed="false">
      <c r="A75" s="0" t="n">
        <v>0</v>
      </c>
      <c r="B75" s="0" t="n">
        <v>4</v>
      </c>
      <c r="C75" s="0" t="n">
        <v>2</v>
      </c>
      <c r="D75" s="0" t="n">
        <f aca="false">-1+A75*0.125</f>
        <v>-1</v>
      </c>
      <c r="E75" s="0" t="n">
        <f aca="false">-1+B75*0.125</f>
        <v>-0.5</v>
      </c>
      <c r="F75" s="0" t="n">
        <f aca="false">-1+C75*0.125</f>
        <v>-0.75</v>
      </c>
      <c r="G75" s="0" t="n">
        <f aca="false">1</f>
        <v>1</v>
      </c>
      <c r="H75" s="0" t="n">
        <f aca="false">D75</f>
        <v>-1</v>
      </c>
      <c r="I75" s="0" t="n">
        <f aca="false">E75</f>
        <v>-0.5</v>
      </c>
      <c r="J75" s="0" t="n">
        <f aca="false">F75</f>
        <v>-0.75</v>
      </c>
      <c r="K75" s="0" t="n">
        <f aca="false">D75*E75</f>
        <v>0.5</v>
      </c>
      <c r="L75" s="0" t="n">
        <f aca="false">D75*F75</f>
        <v>0.75</v>
      </c>
      <c r="M75" s="0" t="n">
        <f aca="false">E75*F75</f>
        <v>0.375</v>
      </c>
      <c r="N75" s="0" t="n">
        <f aca="false">D75*D75</f>
        <v>1</v>
      </c>
      <c r="O75" s="0" t="n">
        <f aca="false">E75*E75</f>
        <v>0.25</v>
      </c>
      <c r="P75" s="0" t="n">
        <f aca="false">F75*F75</f>
        <v>0.5625</v>
      </c>
      <c r="Q75" s="0" t="n">
        <f aca="false">SUMPRODUCT(G75:P75,_XtX!$B$71:$K$71)</f>
        <v>40.7133522727273</v>
      </c>
      <c r="R75" s="0" t="n">
        <f aca="false">SUMPRODUCT(MMULT(G75:P75,_XtX!$B$58:$K$67),G75:P75)</f>
        <v>0.495276988636364</v>
      </c>
      <c r="S75" s="0" t="n">
        <f aca="false">04_回帰ANOVA!$K$19*04_回帰ANOVA!$K$14*SQRT(1+R75)</f>
        <v>1.13691359828352</v>
      </c>
      <c r="T75" s="0" t="n">
        <f aca="false">Q75-S75</f>
        <v>39.5764386744438</v>
      </c>
      <c r="U75" s="0" t="n">
        <f aca="false">Q75+S75</f>
        <v>41.8502658710108</v>
      </c>
      <c r="V75" s="54" t="b">
        <f aca="false">AND(D75&gt;=01_因子設定!$L$5-0.000000001,D75&lt;=01_因子設定!$M$5+0.000000001,E75&gt;=01_因子設定!$L$6-0.000000001,E75&lt;=01_因子設定!$M$6+0.000000001,F75&gt;=01_因子設定!$L$7-0.000000001,F75&lt;=01_因子設定!$M$7+0.000000001,IF(01_因子設定!$B$20="Box-Behnken",D75^2+E75^2+F75^2&lt;=2+0.000000001,TRUE()))</f>
        <v>1</v>
      </c>
      <c r="W75" s="55" t="n">
        <f aca="false">IF(V75,IF(01_因子設定!$B$13="最大化",T75-01_因子設定!$B$14,IF(01_因子設定!$B$13="最小化",01_因子設定!$B$15-U75,MIN(T75-01_因子設定!$B$14,01_因子設定!$B$15-U75))),-1E+030)</f>
        <v>-8.92356132555625</v>
      </c>
      <c r="X75" s="55" t="n">
        <f aca="false">IF(V75,IF(01_因子設定!$B$13="最大化",Q75,IF(01_因子設定!$B$13="最小化",-Q75,-ABS(Q75-01_因子設定!$B$16))),-1E+030)</f>
        <v>40.7133522727273</v>
      </c>
      <c r="Y75" s="55" t="n">
        <f aca="false">W75+ROW()*0.000000001</f>
        <v>-8.92356125055625</v>
      </c>
      <c r="Z75" s="55" t="n">
        <f aca="false">X75+ROW()*0.000000001</f>
        <v>40.7133523477273</v>
      </c>
    </row>
    <row r="76" customFormat="false" ht="15" hidden="false" customHeight="false" outlineLevel="0" collapsed="false">
      <c r="A76" s="0" t="n">
        <v>0</v>
      </c>
      <c r="B76" s="0" t="n">
        <v>4</v>
      </c>
      <c r="C76" s="0" t="n">
        <v>3</v>
      </c>
      <c r="D76" s="0" t="n">
        <f aca="false">-1+A76*0.125</f>
        <v>-1</v>
      </c>
      <c r="E76" s="0" t="n">
        <f aca="false">-1+B76*0.125</f>
        <v>-0.5</v>
      </c>
      <c r="F76" s="0" t="n">
        <f aca="false">-1+C76*0.125</f>
        <v>-0.625</v>
      </c>
      <c r="G76" s="0" t="n">
        <f aca="false">1</f>
        <v>1</v>
      </c>
      <c r="H76" s="0" t="n">
        <f aca="false">D76</f>
        <v>-1</v>
      </c>
      <c r="I76" s="0" t="n">
        <f aca="false">E76</f>
        <v>-0.5</v>
      </c>
      <c r="J76" s="0" t="n">
        <f aca="false">F76</f>
        <v>-0.625</v>
      </c>
      <c r="K76" s="0" t="n">
        <f aca="false">D76*E76</f>
        <v>0.5</v>
      </c>
      <c r="L76" s="0" t="n">
        <f aca="false">D76*F76</f>
        <v>0.625</v>
      </c>
      <c r="M76" s="0" t="n">
        <f aca="false">E76*F76</f>
        <v>0.3125</v>
      </c>
      <c r="N76" s="0" t="n">
        <f aca="false">D76*D76</f>
        <v>1</v>
      </c>
      <c r="O76" s="0" t="n">
        <f aca="false">E76*E76</f>
        <v>0.25</v>
      </c>
      <c r="P76" s="0" t="n">
        <f aca="false">F76*F76</f>
        <v>0.390625</v>
      </c>
      <c r="Q76" s="0" t="n">
        <f aca="false">SUMPRODUCT(G76:P76,_XtX!$B$71:$K$71)</f>
        <v>41.0788210227273</v>
      </c>
      <c r="R76" s="0" t="n">
        <f aca="false">SUMPRODUCT(MMULT(G76:P76,_XtX!$B$58:$K$67),G76:P76)</f>
        <v>0.465882457386364</v>
      </c>
      <c r="S76" s="0" t="n">
        <f aca="false">04_回帰ANOVA!$K$19*04_回帰ANOVA!$K$14*SQRT(1+R76)</f>
        <v>1.12568326538173</v>
      </c>
      <c r="T76" s="0" t="n">
        <f aca="false">Q76-S76</f>
        <v>39.9531377573455</v>
      </c>
      <c r="U76" s="0" t="n">
        <f aca="false">Q76+S76</f>
        <v>42.204504288109</v>
      </c>
      <c r="V76" s="54" t="b">
        <f aca="false">AND(D76&gt;=01_因子設定!$L$5-0.000000001,D76&lt;=01_因子設定!$M$5+0.000000001,E76&gt;=01_因子設定!$L$6-0.000000001,E76&lt;=01_因子設定!$M$6+0.000000001,F76&gt;=01_因子設定!$L$7-0.000000001,F76&lt;=01_因子設定!$M$7+0.000000001,IF(01_因子設定!$B$20="Box-Behnken",D76^2+E76^2+F76^2&lt;=2+0.000000001,TRUE()))</f>
        <v>1</v>
      </c>
      <c r="W76" s="55" t="n">
        <f aca="false">IF(V76,IF(01_因子設定!$B$13="最大化",T76-01_因子設定!$B$14,IF(01_因子設定!$B$13="最小化",01_因子設定!$B$15-U76,MIN(T76-01_因子設定!$B$14,01_因子設定!$B$15-U76))),-1E+030)</f>
        <v>-8.54686224265446</v>
      </c>
      <c r="X76" s="55" t="n">
        <f aca="false">IF(V76,IF(01_因子設定!$B$13="最大化",Q76,IF(01_因子設定!$B$13="最小化",-Q76,-ABS(Q76-01_因子設定!$B$16))),-1E+030)</f>
        <v>41.0788210227273</v>
      </c>
      <c r="Y76" s="55" t="n">
        <f aca="false">W76+ROW()*0.000000001</f>
        <v>-8.54686216665446</v>
      </c>
      <c r="Z76" s="55" t="n">
        <f aca="false">X76+ROW()*0.000000001</f>
        <v>41.0788210987273</v>
      </c>
    </row>
    <row r="77" customFormat="false" ht="15" hidden="false" customHeight="false" outlineLevel="0" collapsed="false">
      <c r="A77" s="0" t="n">
        <v>0</v>
      </c>
      <c r="B77" s="0" t="n">
        <v>4</v>
      </c>
      <c r="C77" s="0" t="n">
        <v>4</v>
      </c>
      <c r="D77" s="0" t="n">
        <f aca="false">-1+A77*0.125</f>
        <v>-1</v>
      </c>
      <c r="E77" s="0" t="n">
        <f aca="false">-1+B77*0.125</f>
        <v>-0.5</v>
      </c>
      <c r="F77" s="0" t="n">
        <f aca="false">-1+C77*0.125</f>
        <v>-0.5</v>
      </c>
      <c r="G77" s="0" t="n">
        <f aca="false">1</f>
        <v>1</v>
      </c>
      <c r="H77" s="0" t="n">
        <f aca="false">D77</f>
        <v>-1</v>
      </c>
      <c r="I77" s="0" t="n">
        <f aca="false">E77</f>
        <v>-0.5</v>
      </c>
      <c r="J77" s="0" t="n">
        <f aca="false">F77</f>
        <v>-0.5</v>
      </c>
      <c r="K77" s="0" t="n">
        <f aca="false">D77*E77</f>
        <v>0.5</v>
      </c>
      <c r="L77" s="0" t="n">
        <f aca="false">D77*F77</f>
        <v>0.5</v>
      </c>
      <c r="M77" s="0" t="n">
        <f aca="false">E77*F77</f>
        <v>0.25</v>
      </c>
      <c r="N77" s="0" t="n">
        <f aca="false">D77*D77</f>
        <v>1</v>
      </c>
      <c r="O77" s="0" t="n">
        <f aca="false">E77*E77</f>
        <v>0.25</v>
      </c>
      <c r="P77" s="0" t="n">
        <f aca="false">F77*F77</f>
        <v>0.25</v>
      </c>
      <c r="Q77" s="0" t="n">
        <f aca="false">SUMPRODUCT(G77:P77,_XtX!$B$71:$K$71)</f>
        <v>41.4075</v>
      </c>
      <c r="R77" s="0" t="n">
        <f aca="false">SUMPRODUCT(MMULT(G77:P77,_XtX!$B$58:$K$67),G77:P77)</f>
        <v>0.4578125</v>
      </c>
      <c r="S77" s="0" t="n">
        <f aca="false">04_回帰ANOVA!$K$19*04_回帰ANOVA!$K$14*SQRT(1+R77)</f>
        <v>1.12258044051089</v>
      </c>
      <c r="T77" s="0" t="n">
        <f aca="false">Q77-S77</f>
        <v>40.2849195594891</v>
      </c>
      <c r="U77" s="0" t="n">
        <f aca="false">Q77+S77</f>
        <v>42.5300804405109</v>
      </c>
      <c r="V77" s="54" t="b">
        <f aca="false">AND(D77&gt;=01_因子設定!$L$5-0.000000001,D77&lt;=01_因子設定!$M$5+0.000000001,E77&gt;=01_因子設定!$L$6-0.000000001,E77&lt;=01_因子設定!$M$6+0.000000001,F77&gt;=01_因子設定!$L$7-0.000000001,F77&lt;=01_因子設定!$M$7+0.000000001,IF(01_因子設定!$B$20="Box-Behnken",D77^2+E77^2+F77^2&lt;=2+0.000000001,TRUE()))</f>
        <v>1</v>
      </c>
      <c r="W77" s="55" t="n">
        <f aca="false">IF(V77,IF(01_因子設定!$B$13="最大化",T77-01_因子設定!$B$14,IF(01_因子設定!$B$13="最小化",01_因子設定!$B$15-U77,MIN(T77-01_因子設定!$B$14,01_因子設定!$B$15-U77))),-1E+030)</f>
        <v>-8.2150804405109</v>
      </c>
      <c r="X77" s="55" t="n">
        <f aca="false">IF(V77,IF(01_因子設定!$B$13="最大化",Q77,IF(01_因子設定!$B$13="最小化",-Q77,-ABS(Q77-01_因子設定!$B$16))),-1E+030)</f>
        <v>41.4075</v>
      </c>
      <c r="Y77" s="55" t="n">
        <f aca="false">W77+ROW()*0.000000001</f>
        <v>-8.2150803635109</v>
      </c>
      <c r="Z77" s="55" t="n">
        <f aca="false">X77+ROW()*0.000000001</f>
        <v>41.407500077</v>
      </c>
    </row>
    <row r="78" customFormat="false" ht="15" hidden="false" customHeight="false" outlineLevel="0" collapsed="false">
      <c r="A78" s="0" t="n">
        <v>0</v>
      </c>
      <c r="B78" s="0" t="n">
        <v>4</v>
      </c>
      <c r="C78" s="0" t="n">
        <v>5</v>
      </c>
      <c r="D78" s="0" t="n">
        <f aca="false">-1+A78*0.125</f>
        <v>-1</v>
      </c>
      <c r="E78" s="0" t="n">
        <f aca="false">-1+B78*0.125</f>
        <v>-0.5</v>
      </c>
      <c r="F78" s="0" t="n">
        <f aca="false">-1+C78*0.125</f>
        <v>-0.375</v>
      </c>
      <c r="G78" s="0" t="n">
        <f aca="false">1</f>
        <v>1</v>
      </c>
      <c r="H78" s="0" t="n">
        <f aca="false">D78</f>
        <v>-1</v>
      </c>
      <c r="I78" s="0" t="n">
        <f aca="false">E78</f>
        <v>-0.5</v>
      </c>
      <c r="J78" s="0" t="n">
        <f aca="false">F78</f>
        <v>-0.375</v>
      </c>
      <c r="K78" s="0" t="n">
        <f aca="false">D78*E78</f>
        <v>0.5</v>
      </c>
      <c r="L78" s="0" t="n">
        <f aca="false">D78*F78</f>
        <v>0.375</v>
      </c>
      <c r="M78" s="0" t="n">
        <f aca="false">E78*F78</f>
        <v>0.1875</v>
      </c>
      <c r="N78" s="0" t="n">
        <f aca="false">D78*D78</f>
        <v>1</v>
      </c>
      <c r="O78" s="0" t="n">
        <f aca="false">E78*E78</f>
        <v>0.25</v>
      </c>
      <c r="P78" s="0" t="n">
        <f aca="false">F78*F78</f>
        <v>0.140625</v>
      </c>
      <c r="Q78" s="0" t="n">
        <f aca="false">SUMPRODUCT(G78:P78,_XtX!$B$71:$K$71)</f>
        <v>41.6993892045455</v>
      </c>
      <c r="R78" s="0" t="n">
        <f aca="false">SUMPRODUCT(MMULT(G78:P78,_XtX!$B$58:$K$67),G78:P78)</f>
        <v>0.461479048295455</v>
      </c>
      <c r="S78" s="0" t="n">
        <f aca="false">04_回帰ANOVA!$K$19*04_回帰ANOVA!$K$14*SQRT(1+R78)</f>
        <v>1.12399125658369</v>
      </c>
      <c r="T78" s="0" t="n">
        <f aca="false">Q78-S78</f>
        <v>40.5753979479618</v>
      </c>
      <c r="U78" s="0" t="n">
        <f aca="false">Q78+S78</f>
        <v>42.8233804611291</v>
      </c>
      <c r="V78" s="54" t="b">
        <f aca="false">AND(D78&gt;=01_因子設定!$L$5-0.000000001,D78&lt;=01_因子設定!$M$5+0.000000001,E78&gt;=01_因子設定!$L$6-0.000000001,E78&lt;=01_因子設定!$M$6+0.000000001,F78&gt;=01_因子設定!$L$7-0.000000001,F78&lt;=01_因子設定!$M$7+0.000000001,IF(01_因子設定!$B$20="Box-Behnken",D78^2+E78^2+F78^2&lt;=2+0.000000001,TRUE()))</f>
        <v>1</v>
      </c>
      <c r="W78" s="55" t="n">
        <f aca="false">IF(V78,IF(01_因子設定!$B$13="最大化",T78-01_因子設定!$B$14,IF(01_因子設定!$B$13="最小化",01_因子設定!$B$15-U78,MIN(T78-01_因子設定!$B$14,01_因子設定!$B$15-U78))),-1E+030)</f>
        <v>-7.92460205203824</v>
      </c>
      <c r="X78" s="55" t="n">
        <f aca="false">IF(V78,IF(01_因子設定!$B$13="最大化",Q78,IF(01_因子設定!$B$13="最小化",-Q78,-ABS(Q78-01_因子設定!$B$16))),-1E+030)</f>
        <v>41.6993892045455</v>
      </c>
      <c r="Y78" s="55" t="n">
        <f aca="false">W78+ROW()*0.000000001</f>
        <v>-7.92460197403824</v>
      </c>
      <c r="Z78" s="55" t="n">
        <f aca="false">X78+ROW()*0.000000001</f>
        <v>41.6993892825455</v>
      </c>
    </row>
    <row r="79" customFormat="false" ht="15" hidden="false" customHeight="false" outlineLevel="0" collapsed="false">
      <c r="A79" s="0" t="n">
        <v>0</v>
      </c>
      <c r="B79" s="0" t="n">
        <v>4</v>
      </c>
      <c r="C79" s="0" t="n">
        <v>6</v>
      </c>
      <c r="D79" s="0" t="n">
        <f aca="false">-1+A79*0.125</f>
        <v>-1</v>
      </c>
      <c r="E79" s="0" t="n">
        <f aca="false">-1+B79*0.125</f>
        <v>-0.5</v>
      </c>
      <c r="F79" s="0" t="n">
        <f aca="false">-1+C79*0.125</f>
        <v>-0.25</v>
      </c>
      <c r="G79" s="0" t="n">
        <f aca="false">1</f>
        <v>1</v>
      </c>
      <c r="H79" s="0" t="n">
        <f aca="false">D79</f>
        <v>-1</v>
      </c>
      <c r="I79" s="0" t="n">
        <f aca="false">E79</f>
        <v>-0.5</v>
      </c>
      <c r="J79" s="0" t="n">
        <f aca="false">F79</f>
        <v>-0.25</v>
      </c>
      <c r="K79" s="0" t="n">
        <f aca="false">D79*E79</f>
        <v>0.5</v>
      </c>
      <c r="L79" s="0" t="n">
        <f aca="false">D79*F79</f>
        <v>0.25</v>
      </c>
      <c r="M79" s="0" t="n">
        <f aca="false">E79*F79</f>
        <v>0.125</v>
      </c>
      <c r="N79" s="0" t="n">
        <f aca="false">D79*D79</f>
        <v>1</v>
      </c>
      <c r="O79" s="0" t="n">
        <f aca="false">E79*E79</f>
        <v>0.25</v>
      </c>
      <c r="P79" s="0" t="n">
        <f aca="false">F79*F79</f>
        <v>0.0625</v>
      </c>
      <c r="Q79" s="0" t="n">
        <f aca="false">SUMPRODUCT(G79:P79,_XtX!$B$71:$K$71)</f>
        <v>41.9544886363636</v>
      </c>
      <c r="R79" s="0" t="n">
        <f aca="false">SUMPRODUCT(MMULT(G79:P79,_XtX!$B$58:$K$67),G79:P79)</f>
        <v>0.469424715909091</v>
      </c>
      <c r="S79" s="0" t="n">
        <f aca="false">04_回帰ANOVA!$K$19*04_回帰ANOVA!$K$14*SQRT(1+R79)</f>
        <v>1.12704253369596</v>
      </c>
      <c r="T79" s="0" t="n">
        <f aca="false">Q79-S79</f>
        <v>40.8274461026677</v>
      </c>
      <c r="U79" s="0" t="n">
        <f aca="false">Q79+S79</f>
        <v>43.0815311700596</v>
      </c>
      <c r="V79" s="54" t="b">
        <f aca="false">AND(D79&gt;=01_因子設定!$L$5-0.000000001,D79&lt;=01_因子設定!$M$5+0.000000001,E79&gt;=01_因子設定!$L$6-0.000000001,E79&lt;=01_因子設定!$M$6+0.000000001,F79&gt;=01_因子設定!$L$7-0.000000001,F79&lt;=01_因子設定!$M$7+0.000000001,IF(01_因子設定!$B$20="Box-Behnken",D79^2+E79^2+F79^2&lt;=2+0.000000001,TRUE()))</f>
        <v>1</v>
      </c>
      <c r="W79" s="55" t="n">
        <f aca="false">IF(V79,IF(01_因子設定!$B$13="最大化",T79-01_因子設定!$B$14,IF(01_因子設定!$B$13="最小化",01_因子設定!$B$15-U79,MIN(T79-01_因子設定!$B$14,01_因子設定!$B$15-U79))),-1E+030)</f>
        <v>-7.67255389733233</v>
      </c>
      <c r="X79" s="55" t="n">
        <f aca="false">IF(V79,IF(01_因子設定!$B$13="最大化",Q79,IF(01_因子設定!$B$13="最小化",-Q79,-ABS(Q79-01_因子設定!$B$16))),-1E+030)</f>
        <v>41.9544886363636</v>
      </c>
      <c r="Y79" s="55" t="n">
        <f aca="false">W79+ROW()*0.000000001</f>
        <v>-7.67255381833233</v>
      </c>
      <c r="Z79" s="55" t="n">
        <f aca="false">X79+ROW()*0.000000001</f>
        <v>41.9544887153636</v>
      </c>
    </row>
    <row r="80" customFormat="false" ht="15" hidden="false" customHeight="false" outlineLevel="0" collapsed="false">
      <c r="A80" s="0" t="n">
        <v>0</v>
      </c>
      <c r="B80" s="0" t="n">
        <v>4</v>
      </c>
      <c r="C80" s="0" t="n">
        <v>7</v>
      </c>
      <c r="D80" s="0" t="n">
        <f aca="false">-1+A80*0.125</f>
        <v>-1</v>
      </c>
      <c r="E80" s="0" t="n">
        <f aca="false">-1+B80*0.125</f>
        <v>-0.5</v>
      </c>
      <c r="F80" s="0" t="n">
        <f aca="false">-1+C80*0.125</f>
        <v>-0.125</v>
      </c>
      <c r="G80" s="0" t="n">
        <f aca="false">1</f>
        <v>1</v>
      </c>
      <c r="H80" s="0" t="n">
        <f aca="false">D80</f>
        <v>-1</v>
      </c>
      <c r="I80" s="0" t="n">
        <f aca="false">E80</f>
        <v>-0.5</v>
      </c>
      <c r="J80" s="0" t="n">
        <f aca="false">F80</f>
        <v>-0.125</v>
      </c>
      <c r="K80" s="0" t="n">
        <f aca="false">D80*E80</f>
        <v>0.5</v>
      </c>
      <c r="L80" s="0" t="n">
        <f aca="false">D80*F80</f>
        <v>0.125</v>
      </c>
      <c r="M80" s="0" t="n">
        <f aca="false">E80*F80</f>
        <v>0.0625</v>
      </c>
      <c r="N80" s="0" t="n">
        <f aca="false">D80*D80</f>
        <v>1</v>
      </c>
      <c r="O80" s="0" t="n">
        <f aca="false">E80*E80</f>
        <v>0.25</v>
      </c>
      <c r="P80" s="0" t="n">
        <f aca="false">F80*F80</f>
        <v>0.015625</v>
      </c>
      <c r="Q80" s="0" t="n">
        <f aca="false">SUMPRODUCT(G80:P80,_XtX!$B$71:$K$71)</f>
        <v>42.1727982954545</v>
      </c>
      <c r="R80" s="0" t="n">
        <f aca="false">SUMPRODUCT(MMULT(G80:P80,_XtX!$B$58:$K$67),G80:P80)</f>
        <v>0.476322798295455</v>
      </c>
      <c r="S80" s="0" t="n">
        <f aca="false">04_回帰ANOVA!$K$19*04_回帰ANOVA!$K$14*SQRT(1+R80)</f>
        <v>1.12968483630128</v>
      </c>
      <c r="T80" s="0" t="n">
        <f aca="false">Q80-S80</f>
        <v>41.0431134591533</v>
      </c>
      <c r="U80" s="0" t="n">
        <f aca="false">Q80+S80</f>
        <v>43.3024831317558</v>
      </c>
      <c r="V80" s="54" t="b">
        <f aca="false">AND(D80&gt;=01_因子設定!$L$5-0.000000001,D80&lt;=01_因子設定!$M$5+0.000000001,E80&gt;=01_因子設定!$L$6-0.000000001,E80&lt;=01_因子設定!$M$6+0.000000001,F80&gt;=01_因子設定!$L$7-0.000000001,F80&lt;=01_因子設定!$M$7+0.000000001,IF(01_因子設定!$B$20="Box-Behnken",D80^2+E80^2+F80^2&lt;=2+0.000000001,TRUE()))</f>
        <v>1</v>
      </c>
      <c r="W80" s="55" t="n">
        <f aca="false">IF(V80,IF(01_因子設定!$B$13="最大化",T80-01_因子設定!$B$14,IF(01_因子設定!$B$13="最小化",01_因子設定!$B$15-U80,MIN(T80-01_因子設定!$B$14,01_因子設定!$B$15-U80))),-1E+030)</f>
        <v>-7.45688654084675</v>
      </c>
      <c r="X80" s="55" t="n">
        <f aca="false">IF(V80,IF(01_因子設定!$B$13="最大化",Q80,IF(01_因子設定!$B$13="最小化",-Q80,-ABS(Q80-01_因子設定!$B$16))),-1E+030)</f>
        <v>42.1727982954545</v>
      </c>
      <c r="Y80" s="55" t="n">
        <f aca="false">W80+ROW()*0.000000001</f>
        <v>-7.45688646084675</v>
      </c>
      <c r="Z80" s="55" t="n">
        <f aca="false">X80+ROW()*0.000000001</f>
        <v>42.1727983754545</v>
      </c>
    </row>
    <row r="81" customFormat="false" ht="15" hidden="false" customHeight="false" outlineLevel="0" collapsed="false">
      <c r="A81" s="0" t="n">
        <v>0</v>
      </c>
      <c r="B81" s="0" t="n">
        <v>4</v>
      </c>
      <c r="C81" s="0" t="n">
        <v>8</v>
      </c>
      <c r="D81" s="0" t="n">
        <f aca="false">-1+A81*0.125</f>
        <v>-1</v>
      </c>
      <c r="E81" s="0" t="n">
        <f aca="false">-1+B81*0.125</f>
        <v>-0.5</v>
      </c>
      <c r="F81" s="0" t="n">
        <f aca="false">-1+C81*0.125</f>
        <v>0</v>
      </c>
      <c r="G81" s="0" t="n">
        <f aca="false">1</f>
        <v>1</v>
      </c>
      <c r="H81" s="0" t="n">
        <f aca="false">D81</f>
        <v>-1</v>
      </c>
      <c r="I81" s="0" t="n">
        <f aca="false">E81</f>
        <v>-0.5</v>
      </c>
      <c r="J81" s="0" t="n">
        <f aca="false">F81</f>
        <v>0</v>
      </c>
      <c r="K81" s="0" t="n">
        <f aca="false">D81*E81</f>
        <v>0.5</v>
      </c>
      <c r="L81" s="0" t="n">
        <f aca="false">D81*F81</f>
        <v>-0</v>
      </c>
      <c r="M81" s="0" t="n">
        <f aca="false">E81*F81</f>
        <v>-0</v>
      </c>
      <c r="N81" s="0" t="n">
        <f aca="false">D81*D81</f>
        <v>1</v>
      </c>
      <c r="O81" s="0" t="n">
        <f aca="false">E81*E81</f>
        <v>0.25</v>
      </c>
      <c r="P81" s="0" t="n">
        <f aca="false">F81*F81</f>
        <v>0</v>
      </c>
      <c r="Q81" s="0" t="n">
        <f aca="false">SUMPRODUCT(G81:P81,_XtX!$B$71:$K$71)</f>
        <v>42.3543181818182</v>
      </c>
      <c r="R81" s="0" t="n">
        <f aca="false">SUMPRODUCT(MMULT(G81:P81,_XtX!$B$58:$K$67),G81:P81)</f>
        <v>0.478977272727273</v>
      </c>
      <c r="S81" s="0" t="n">
        <f aca="false">04_回帰ANOVA!$K$19*04_回帰ANOVA!$K$14*SQRT(1+R81)</f>
        <v>1.13069998447216</v>
      </c>
      <c r="T81" s="0" t="n">
        <f aca="false">Q81-S81</f>
        <v>41.223618197346</v>
      </c>
      <c r="U81" s="0" t="n">
        <f aca="false">Q81+S81</f>
        <v>43.4850181662903</v>
      </c>
      <c r="V81" s="54" t="b">
        <f aca="false">AND(D81&gt;=01_因子設定!$L$5-0.000000001,D81&lt;=01_因子設定!$M$5+0.000000001,E81&gt;=01_因子設定!$L$6-0.000000001,E81&lt;=01_因子設定!$M$6+0.000000001,F81&gt;=01_因子設定!$L$7-0.000000001,F81&lt;=01_因子設定!$M$7+0.000000001,IF(01_因子設定!$B$20="Box-Behnken",D81^2+E81^2+F81^2&lt;=2+0.000000001,TRUE()))</f>
        <v>1</v>
      </c>
      <c r="W81" s="55" t="n">
        <f aca="false">IF(V81,IF(01_因子設定!$B$13="最大化",T81-01_因子設定!$B$14,IF(01_因子設定!$B$13="最小化",01_因子設定!$B$15-U81,MIN(T81-01_因子設定!$B$14,01_因子設定!$B$15-U81))),-1E+030)</f>
        <v>-7.27638180265399</v>
      </c>
      <c r="X81" s="55" t="n">
        <f aca="false">IF(V81,IF(01_因子設定!$B$13="最大化",Q81,IF(01_因子設定!$B$13="最小化",-Q81,-ABS(Q81-01_因子設定!$B$16))),-1E+030)</f>
        <v>42.3543181818182</v>
      </c>
      <c r="Y81" s="55" t="n">
        <f aca="false">W81+ROW()*0.000000001</f>
        <v>-7.27638172165399</v>
      </c>
      <c r="Z81" s="55" t="n">
        <f aca="false">X81+ROW()*0.000000001</f>
        <v>42.3543182628182</v>
      </c>
    </row>
    <row r="82" customFormat="false" ht="15" hidden="false" customHeight="false" outlineLevel="0" collapsed="false">
      <c r="A82" s="0" t="n">
        <v>0</v>
      </c>
      <c r="B82" s="0" t="n">
        <v>4</v>
      </c>
      <c r="C82" s="0" t="n">
        <v>9</v>
      </c>
      <c r="D82" s="0" t="n">
        <f aca="false">-1+A82*0.125</f>
        <v>-1</v>
      </c>
      <c r="E82" s="0" t="n">
        <f aca="false">-1+B82*0.125</f>
        <v>-0.5</v>
      </c>
      <c r="F82" s="0" t="n">
        <f aca="false">-1+C82*0.125</f>
        <v>0.125</v>
      </c>
      <c r="G82" s="0" t="n">
        <f aca="false">1</f>
        <v>1</v>
      </c>
      <c r="H82" s="0" t="n">
        <f aca="false">D82</f>
        <v>-1</v>
      </c>
      <c r="I82" s="0" t="n">
        <f aca="false">E82</f>
        <v>-0.5</v>
      </c>
      <c r="J82" s="0" t="n">
        <f aca="false">F82</f>
        <v>0.125</v>
      </c>
      <c r="K82" s="0" t="n">
        <f aca="false">D82*E82</f>
        <v>0.5</v>
      </c>
      <c r="L82" s="0" t="n">
        <f aca="false">D82*F82</f>
        <v>-0.125</v>
      </c>
      <c r="M82" s="0" t="n">
        <f aca="false">E82*F82</f>
        <v>-0.0625</v>
      </c>
      <c r="N82" s="0" t="n">
        <f aca="false">D82*D82</f>
        <v>1</v>
      </c>
      <c r="O82" s="0" t="n">
        <f aca="false">E82*E82</f>
        <v>0.25</v>
      </c>
      <c r="P82" s="0" t="n">
        <f aca="false">F82*F82</f>
        <v>0.015625</v>
      </c>
      <c r="Q82" s="0" t="n">
        <f aca="false">SUMPRODUCT(G82:P82,_XtX!$B$71:$K$71)</f>
        <v>42.4990482954545</v>
      </c>
      <c r="R82" s="0" t="n">
        <f aca="false">SUMPRODUCT(MMULT(G82:P82,_XtX!$B$58:$K$67),G82:P82)</f>
        <v>0.476322798295455</v>
      </c>
      <c r="S82" s="0" t="n">
        <f aca="false">04_回帰ANOVA!$K$19*04_回帰ANOVA!$K$14*SQRT(1+R82)</f>
        <v>1.12968483630128</v>
      </c>
      <c r="T82" s="0" t="n">
        <f aca="false">Q82-S82</f>
        <v>41.3693634591533</v>
      </c>
      <c r="U82" s="0" t="n">
        <f aca="false">Q82+S82</f>
        <v>43.6287331317558</v>
      </c>
      <c r="V82" s="54" t="b">
        <f aca="false">AND(D82&gt;=01_因子設定!$L$5-0.000000001,D82&lt;=01_因子設定!$M$5+0.000000001,E82&gt;=01_因子設定!$L$6-0.000000001,E82&lt;=01_因子設定!$M$6+0.000000001,F82&gt;=01_因子設定!$L$7-0.000000001,F82&lt;=01_因子設定!$M$7+0.000000001,IF(01_因子設定!$B$20="Box-Behnken",D82^2+E82^2+F82^2&lt;=2+0.000000001,TRUE()))</f>
        <v>1</v>
      </c>
      <c r="W82" s="55" t="n">
        <f aca="false">IF(V82,IF(01_因子設定!$B$13="最大化",T82-01_因子設定!$B$14,IF(01_因子設定!$B$13="最小化",01_因子設定!$B$15-U82,MIN(T82-01_因子設定!$B$14,01_因子設定!$B$15-U82))),-1E+030)</f>
        <v>-7.13063654084674</v>
      </c>
      <c r="X82" s="55" t="n">
        <f aca="false">IF(V82,IF(01_因子設定!$B$13="最大化",Q82,IF(01_因子設定!$B$13="最小化",-Q82,-ABS(Q82-01_因子設定!$B$16))),-1E+030)</f>
        <v>42.4990482954545</v>
      </c>
      <c r="Y82" s="55" t="n">
        <f aca="false">W82+ROW()*0.000000001</f>
        <v>-7.13063645884675</v>
      </c>
      <c r="Z82" s="55" t="n">
        <f aca="false">X82+ROW()*0.000000001</f>
        <v>42.4990483774545</v>
      </c>
    </row>
    <row r="83" customFormat="false" ht="15" hidden="false" customHeight="false" outlineLevel="0" collapsed="false">
      <c r="A83" s="0" t="n">
        <v>0</v>
      </c>
      <c r="B83" s="0" t="n">
        <v>4</v>
      </c>
      <c r="C83" s="0" t="n">
        <v>10</v>
      </c>
      <c r="D83" s="0" t="n">
        <f aca="false">-1+A83*0.125</f>
        <v>-1</v>
      </c>
      <c r="E83" s="0" t="n">
        <f aca="false">-1+B83*0.125</f>
        <v>-0.5</v>
      </c>
      <c r="F83" s="0" t="n">
        <f aca="false">-1+C83*0.125</f>
        <v>0.25</v>
      </c>
      <c r="G83" s="0" t="n">
        <f aca="false">1</f>
        <v>1</v>
      </c>
      <c r="H83" s="0" t="n">
        <f aca="false">D83</f>
        <v>-1</v>
      </c>
      <c r="I83" s="0" t="n">
        <f aca="false">E83</f>
        <v>-0.5</v>
      </c>
      <c r="J83" s="0" t="n">
        <f aca="false">F83</f>
        <v>0.25</v>
      </c>
      <c r="K83" s="0" t="n">
        <f aca="false">D83*E83</f>
        <v>0.5</v>
      </c>
      <c r="L83" s="0" t="n">
        <f aca="false">D83*F83</f>
        <v>-0.25</v>
      </c>
      <c r="M83" s="0" t="n">
        <f aca="false">E83*F83</f>
        <v>-0.125</v>
      </c>
      <c r="N83" s="0" t="n">
        <f aca="false">D83*D83</f>
        <v>1</v>
      </c>
      <c r="O83" s="0" t="n">
        <f aca="false">E83*E83</f>
        <v>0.25</v>
      </c>
      <c r="P83" s="0" t="n">
        <f aca="false">F83*F83</f>
        <v>0.0625</v>
      </c>
      <c r="Q83" s="0" t="n">
        <f aca="false">SUMPRODUCT(G83:P83,_XtX!$B$71:$K$71)</f>
        <v>42.6069886363636</v>
      </c>
      <c r="R83" s="0" t="n">
        <f aca="false">SUMPRODUCT(MMULT(G83:P83,_XtX!$B$58:$K$67),G83:P83)</f>
        <v>0.469424715909091</v>
      </c>
      <c r="S83" s="0" t="n">
        <f aca="false">04_回帰ANOVA!$K$19*04_回帰ANOVA!$K$14*SQRT(1+R83)</f>
        <v>1.12704253369596</v>
      </c>
      <c r="T83" s="0" t="n">
        <f aca="false">Q83-S83</f>
        <v>41.4799461026677</v>
      </c>
      <c r="U83" s="0" t="n">
        <f aca="false">Q83+S83</f>
        <v>43.7340311700596</v>
      </c>
      <c r="V83" s="54" t="b">
        <f aca="false">AND(D83&gt;=01_因子設定!$L$5-0.000000001,D83&lt;=01_因子設定!$M$5+0.000000001,E83&gt;=01_因子設定!$L$6-0.000000001,E83&lt;=01_因子設定!$M$6+0.000000001,F83&gt;=01_因子設定!$L$7-0.000000001,F83&lt;=01_因子設定!$M$7+0.000000001,IF(01_因子設定!$B$20="Box-Behnken",D83^2+E83^2+F83^2&lt;=2+0.000000001,TRUE()))</f>
        <v>1</v>
      </c>
      <c r="W83" s="55" t="n">
        <f aca="false">IF(V83,IF(01_因子設定!$B$13="最大化",T83-01_因子設定!$B$14,IF(01_因子設定!$B$13="最小化",01_因子設定!$B$15-U83,MIN(T83-01_因子設定!$B$14,01_因子設定!$B$15-U83))),-1E+030)</f>
        <v>-7.02005389733233</v>
      </c>
      <c r="X83" s="55" t="n">
        <f aca="false">IF(V83,IF(01_因子設定!$B$13="最大化",Q83,IF(01_因子設定!$B$13="最小化",-Q83,-ABS(Q83-01_因子設定!$B$16))),-1E+030)</f>
        <v>42.6069886363636</v>
      </c>
      <c r="Y83" s="55" t="n">
        <f aca="false">W83+ROW()*0.000000001</f>
        <v>-7.02005381433233</v>
      </c>
      <c r="Z83" s="55" t="n">
        <f aca="false">X83+ROW()*0.000000001</f>
        <v>42.6069887193636</v>
      </c>
    </row>
    <row r="84" customFormat="false" ht="15" hidden="false" customHeight="false" outlineLevel="0" collapsed="false">
      <c r="A84" s="0" t="n">
        <v>0</v>
      </c>
      <c r="B84" s="0" t="n">
        <v>4</v>
      </c>
      <c r="C84" s="0" t="n">
        <v>11</v>
      </c>
      <c r="D84" s="0" t="n">
        <f aca="false">-1+A84*0.125</f>
        <v>-1</v>
      </c>
      <c r="E84" s="0" t="n">
        <f aca="false">-1+B84*0.125</f>
        <v>-0.5</v>
      </c>
      <c r="F84" s="0" t="n">
        <f aca="false">-1+C84*0.125</f>
        <v>0.375</v>
      </c>
      <c r="G84" s="0" t="n">
        <f aca="false">1</f>
        <v>1</v>
      </c>
      <c r="H84" s="0" t="n">
        <f aca="false">D84</f>
        <v>-1</v>
      </c>
      <c r="I84" s="0" t="n">
        <f aca="false">E84</f>
        <v>-0.5</v>
      </c>
      <c r="J84" s="0" t="n">
        <f aca="false">F84</f>
        <v>0.375</v>
      </c>
      <c r="K84" s="0" t="n">
        <f aca="false">D84*E84</f>
        <v>0.5</v>
      </c>
      <c r="L84" s="0" t="n">
        <f aca="false">D84*F84</f>
        <v>-0.375</v>
      </c>
      <c r="M84" s="0" t="n">
        <f aca="false">E84*F84</f>
        <v>-0.1875</v>
      </c>
      <c r="N84" s="0" t="n">
        <f aca="false">D84*D84</f>
        <v>1</v>
      </c>
      <c r="O84" s="0" t="n">
        <f aca="false">E84*E84</f>
        <v>0.25</v>
      </c>
      <c r="P84" s="0" t="n">
        <f aca="false">F84*F84</f>
        <v>0.140625</v>
      </c>
      <c r="Q84" s="0" t="n">
        <f aca="false">SUMPRODUCT(G84:P84,_XtX!$B$71:$K$71)</f>
        <v>42.6781392045454</v>
      </c>
      <c r="R84" s="0" t="n">
        <f aca="false">SUMPRODUCT(MMULT(G84:P84,_XtX!$B$58:$K$67),G84:P84)</f>
        <v>0.461479048295455</v>
      </c>
      <c r="S84" s="0" t="n">
        <f aca="false">04_回帰ANOVA!$K$19*04_回帰ANOVA!$K$14*SQRT(1+R84)</f>
        <v>1.12399125658369</v>
      </c>
      <c r="T84" s="0" t="n">
        <f aca="false">Q84-S84</f>
        <v>41.5541479479618</v>
      </c>
      <c r="U84" s="0" t="n">
        <f aca="false">Q84+S84</f>
        <v>43.8021304611291</v>
      </c>
      <c r="V84" s="54" t="b">
        <f aca="false">AND(D84&gt;=01_因子設定!$L$5-0.000000001,D84&lt;=01_因子設定!$M$5+0.000000001,E84&gt;=01_因子設定!$L$6-0.000000001,E84&lt;=01_因子設定!$M$6+0.000000001,F84&gt;=01_因子設定!$L$7-0.000000001,F84&lt;=01_因子設定!$M$7+0.000000001,IF(01_因子設定!$B$20="Box-Behnken",D84^2+E84^2+F84^2&lt;=2+0.000000001,TRUE()))</f>
        <v>1</v>
      </c>
      <c r="W84" s="55" t="n">
        <f aca="false">IF(V84,IF(01_因子設定!$B$13="最大化",T84-01_因子設定!$B$14,IF(01_因子設定!$B$13="最小化",01_因子設定!$B$15-U84,MIN(T84-01_因子設定!$B$14,01_因子設定!$B$15-U84))),-1E+030)</f>
        <v>-6.94585205203824</v>
      </c>
      <c r="X84" s="55" t="n">
        <f aca="false">IF(V84,IF(01_因子設定!$B$13="最大化",Q84,IF(01_因子設定!$B$13="最小化",-Q84,-ABS(Q84-01_因子設定!$B$16))),-1E+030)</f>
        <v>42.6781392045454</v>
      </c>
      <c r="Y84" s="55" t="n">
        <f aca="false">W84+ROW()*0.000000001</f>
        <v>-6.94585196803824</v>
      </c>
      <c r="Z84" s="55" t="n">
        <f aca="false">X84+ROW()*0.000000001</f>
        <v>42.6781392885454</v>
      </c>
    </row>
    <row r="85" customFormat="false" ht="15" hidden="false" customHeight="false" outlineLevel="0" collapsed="false">
      <c r="A85" s="0" t="n">
        <v>0</v>
      </c>
      <c r="B85" s="0" t="n">
        <v>4</v>
      </c>
      <c r="C85" s="0" t="n">
        <v>12</v>
      </c>
      <c r="D85" s="0" t="n">
        <f aca="false">-1+A85*0.125</f>
        <v>-1</v>
      </c>
      <c r="E85" s="0" t="n">
        <f aca="false">-1+B85*0.125</f>
        <v>-0.5</v>
      </c>
      <c r="F85" s="0" t="n">
        <f aca="false">-1+C85*0.125</f>
        <v>0.5</v>
      </c>
      <c r="G85" s="0" t="n">
        <f aca="false">1</f>
        <v>1</v>
      </c>
      <c r="H85" s="0" t="n">
        <f aca="false">D85</f>
        <v>-1</v>
      </c>
      <c r="I85" s="0" t="n">
        <f aca="false">E85</f>
        <v>-0.5</v>
      </c>
      <c r="J85" s="0" t="n">
        <f aca="false">F85</f>
        <v>0.5</v>
      </c>
      <c r="K85" s="0" t="n">
        <f aca="false">D85*E85</f>
        <v>0.5</v>
      </c>
      <c r="L85" s="0" t="n">
        <f aca="false">D85*F85</f>
        <v>-0.5</v>
      </c>
      <c r="M85" s="0" t="n">
        <f aca="false">E85*F85</f>
        <v>-0.25</v>
      </c>
      <c r="N85" s="0" t="n">
        <f aca="false">D85*D85</f>
        <v>1</v>
      </c>
      <c r="O85" s="0" t="n">
        <f aca="false">E85*E85</f>
        <v>0.25</v>
      </c>
      <c r="P85" s="0" t="n">
        <f aca="false">F85*F85</f>
        <v>0.25</v>
      </c>
      <c r="Q85" s="0" t="n">
        <f aca="false">SUMPRODUCT(G85:P85,_XtX!$B$71:$K$71)</f>
        <v>42.7125</v>
      </c>
      <c r="R85" s="0" t="n">
        <f aca="false">SUMPRODUCT(MMULT(G85:P85,_XtX!$B$58:$K$67),G85:P85)</f>
        <v>0.4578125</v>
      </c>
      <c r="S85" s="0" t="n">
        <f aca="false">04_回帰ANOVA!$K$19*04_回帰ANOVA!$K$14*SQRT(1+R85)</f>
        <v>1.12258044051089</v>
      </c>
      <c r="T85" s="0" t="n">
        <f aca="false">Q85-S85</f>
        <v>41.5899195594891</v>
      </c>
      <c r="U85" s="0" t="n">
        <f aca="false">Q85+S85</f>
        <v>43.8350804405109</v>
      </c>
      <c r="V85" s="54" t="b">
        <f aca="false">AND(D85&gt;=01_因子設定!$L$5-0.000000001,D85&lt;=01_因子設定!$M$5+0.000000001,E85&gt;=01_因子設定!$L$6-0.000000001,E85&lt;=01_因子設定!$M$6+0.000000001,F85&gt;=01_因子設定!$L$7-0.000000001,F85&lt;=01_因子設定!$M$7+0.000000001,IF(01_因子設定!$B$20="Box-Behnken",D85^2+E85^2+F85^2&lt;=2+0.000000001,TRUE()))</f>
        <v>1</v>
      </c>
      <c r="W85" s="55" t="n">
        <f aca="false">IF(V85,IF(01_因子設定!$B$13="最大化",T85-01_因子設定!$B$14,IF(01_因子設定!$B$13="最小化",01_因子設定!$B$15-U85,MIN(T85-01_因子設定!$B$14,01_因子設定!$B$15-U85))),-1E+030)</f>
        <v>-6.9100804405109</v>
      </c>
      <c r="X85" s="55" t="n">
        <f aca="false">IF(V85,IF(01_因子設定!$B$13="最大化",Q85,IF(01_因子設定!$B$13="最小化",-Q85,-ABS(Q85-01_因子設定!$B$16))),-1E+030)</f>
        <v>42.7125</v>
      </c>
      <c r="Y85" s="55" t="n">
        <f aca="false">W85+ROW()*0.000000001</f>
        <v>-6.9100803555109</v>
      </c>
      <c r="Z85" s="55" t="n">
        <f aca="false">X85+ROW()*0.000000001</f>
        <v>42.712500085</v>
      </c>
    </row>
    <row r="86" customFormat="false" ht="15" hidden="false" customHeight="false" outlineLevel="0" collapsed="false">
      <c r="A86" s="0" t="n">
        <v>0</v>
      </c>
      <c r="B86" s="0" t="n">
        <v>4</v>
      </c>
      <c r="C86" s="0" t="n">
        <v>13</v>
      </c>
      <c r="D86" s="0" t="n">
        <f aca="false">-1+A86*0.125</f>
        <v>-1</v>
      </c>
      <c r="E86" s="0" t="n">
        <f aca="false">-1+B86*0.125</f>
        <v>-0.5</v>
      </c>
      <c r="F86" s="0" t="n">
        <f aca="false">-1+C86*0.125</f>
        <v>0.625</v>
      </c>
      <c r="G86" s="0" t="n">
        <f aca="false">1</f>
        <v>1</v>
      </c>
      <c r="H86" s="0" t="n">
        <f aca="false">D86</f>
        <v>-1</v>
      </c>
      <c r="I86" s="0" t="n">
        <f aca="false">E86</f>
        <v>-0.5</v>
      </c>
      <c r="J86" s="0" t="n">
        <f aca="false">F86</f>
        <v>0.625</v>
      </c>
      <c r="K86" s="0" t="n">
        <f aca="false">D86*E86</f>
        <v>0.5</v>
      </c>
      <c r="L86" s="0" t="n">
        <f aca="false">D86*F86</f>
        <v>-0.625</v>
      </c>
      <c r="M86" s="0" t="n">
        <f aca="false">E86*F86</f>
        <v>-0.3125</v>
      </c>
      <c r="N86" s="0" t="n">
        <f aca="false">D86*D86</f>
        <v>1</v>
      </c>
      <c r="O86" s="0" t="n">
        <f aca="false">E86*E86</f>
        <v>0.25</v>
      </c>
      <c r="P86" s="0" t="n">
        <f aca="false">F86*F86</f>
        <v>0.390625</v>
      </c>
      <c r="Q86" s="0" t="n">
        <f aca="false">SUMPRODUCT(G86:P86,_XtX!$B$71:$K$71)</f>
        <v>42.7100710227273</v>
      </c>
      <c r="R86" s="0" t="n">
        <f aca="false">SUMPRODUCT(MMULT(G86:P86,_XtX!$B$58:$K$67),G86:P86)</f>
        <v>0.465882457386364</v>
      </c>
      <c r="S86" s="0" t="n">
        <f aca="false">04_回帰ANOVA!$K$19*04_回帰ANOVA!$K$14*SQRT(1+R86)</f>
        <v>1.12568326538173</v>
      </c>
      <c r="T86" s="0" t="n">
        <f aca="false">Q86-S86</f>
        <v>41.5843877573455</v>
      </c>
      <c r="U86" s="0" t="n">
        <f aca="false">Q86+S86</f>
        <v>43.835754288109</v>
      </c>
      <c r="V86" s="54" t="b">
        <f aca="false">AND(D86&gt;=01_因子設定!$L$5-0.000000001,D86&lt;=01_因子設定!$M$5+0.000000001,E86&gt;=01_因子設定!$L$6-0.000000001,E86&lt;=01_因子設定!$M$6+0.000000001,F86&gt;=01_因子設定!$L$7-0.000000001,F86&lt;=01_因子設定!$M$7+0.000000001,IF(01_因子設定!$B$20="Box-Behnken",D86^2+E86^2+F86^2&lt;=2+0.000000001,TRUE()))</f>
        <v>1</v>
      </c>
      <c r="W86" s="55" t="n">
        <f aca="false">IF(V86,IF(01_因子設定!$B$13="最大化",T86-01_因子設定!$B$14,IF(01_因子設定!$B$13="最小化",01_因子設定!$B$15-U86,MIN(T86-01_因子設定!$B$14,01_因子設定!$B$15-U86))),-1E+030)</f>
        <v>-6.91561224265445</v>
      </c>
      <c r="X86" s="55" t="n">
        <f aca="false">IF(V86,IF(01_因子設定!$B$13="最大化",Q86,IF(01_因子設定!$B$13="最小化",-Q86,-ABS(Q86-01_因子設定!$B$16))),-1E+030)</f>
        <v>42.7100710227273</v>
      </c>
      <c r="Y86" s="55" t="n">
        <f aca="false">W86+ROW()*0.000000001</f>
        <v>-6.91561215665445</v>
      </c>
      <c r="Z86" s="55" t="n">
        <f aca="false">X86+ROW()*0.000000001</f>
        <v>42.7100711087273</v>
      </c>
    </row>
    <row r="87" customFormat="false" ht="15" hidden="false" customHeight="false" outlineLevel="0" collapsed="false">
      <c r="A87" s="0" t="n">
        <v>0</v>
      </c>
      <c r="B87" s="0" t="n">
        <v>4</v>
      </c>
      <c r="C87" s="0" t="n">
        <v>14</v>
      </c>
      <c r="D87" s="0" t="n">
        <f aca="false">-1+A87*0.125</f>
        <v>-1</v>
      </c>
      <c r="E87" s="0" t="n">
        <f aca="false">-1+B87*0.125</f>
        <v>-0.5</v>
      </c>
      <c r="F87" s="0" t="n">
        <f aca="false">-1+C87*0.125</f>
        <v>0.75</v>
      </c>
      <c r="G87" s="0" t="n">
        <f aca="false">1</f>
        <v>1</v>
      </c>
      <c r="H87" s="0" t="n">
        <f aca="false">D87</f>
        <v>-1</v>
      </c>
      <c r="I87" s="0" t="n">
        <f aca="false">E87</f>
        <v>-0.5</v>
      </c>
      <c r="J87" s="0" t="n">
        <f aca="false">F87</f>
        <v>0.75</v>
      </c>
      <c r="K87" s="0" t="n">
        <f aca="false">D87*E87</f>
        <v>0.5</v>
      </c>
      <c r="L87" s="0" t="n">
        <f aca="false">D87*F87</f>
        <v>-0.75</v>
      </c>
      <c r="M87" s="0" t="n">
        <f aca="false">E87*F87</f>
        <v>-0.375</v>
      </c>
      <c r="N87" s="0" t="n">
        <f aca="false">D87*D87</f>
        <v>1</v>
      </c>
      <c r="O87" s="0" t="n">
        <f aca="false">E87*E87</f>
        <v>0.25</v>
      </c>
      <c r="P87" s="0" t="n">
        <f aca="false">F87*F87</f>
        <v>0.5625</v>
      </c>
      <c r="Q87" s="0" t="n">
        <f aca="false">SUMPRODUCT(G87:P87,_XtX!$B$71:$K$71)</f>
        <v>42.6708522727273</v>
      </c>
      <c r="R87" s="0" t="n">
        <f aca="false">SUMPRODUCT(MMULT(G87:P87,_XtX!$B$58:$K$67),G87:P87)</f>
        <v>0.495276988636364</v>
      </c>
      <c r="S87" s="0" t="n">
        <f aca="false">04_回帰ANOVA!$K$19*04_回帰ANOVA!$K$14*SQRT(1+R87)</f>
        <v>1.13691359828352</v>
      </c>
      <c r="T87" s="0" t="n">
        <f aca="false">Q87-S87</f>
        <v>41.5339386744438</v>
      </c>
      <c r="U87" s="0" t="n">
        <f aca="false">Q87+S87</f>
        <v>43.8077658710108</v>
      </c>
      <c r="V87" s="54" t="b">
        <f aca="false">AND(D87&gt;=01_因子設定!$L$5-0.000000001,D87&lt;=01_因子設定!$M$5+0.000000001,E87&gt;=01_因子設定!$L$6-0.000000001,E87&lt;=01_因子設定!$M$6+0.000000001,F87&gt;=01_因子設定!$L$7-0.000000001,F87&lt;=01_因子設定!$M$7+0.000000001,IF(01_因子設定!$B$20="Box-Behnken",D87^2+E87^2+F87^2&lt;=2+0.000000001,TRUE()))</f>
        <v>1</v>
      </c>
      <c r="W87" s="55" t="n">
        <f aca="false">IF(V87,IF(01_因子設定!$B$13="最大化",T87-01_因子設定!$B$14,IF(01_因子設定!$B$13="最小化",01_因子設定!$B$15-U87,MIN(T87-01_因子設定!$B$14,01_因子設定!$B$15-U87))),-1E+030)</f>
        <v>-6.96606132555625</v>
      </c>
      <c r="X87" s="55" t="n">
        <f aca="false">IF(V87,IF(01_因子設定!$B$13="最大化",Q87,IF(01_因子設定!$B$13="最小化",-Q87,-ABS(Q87-01_因子設定!$B$16))),-1E+030)</f>
        <v>42.6708522727273</v>
      </c>
      <c r="Y87" s="55" t="n">
        <f aca="false">W87+ROW()*0.000000001</f>
        <v>-6.96606123855625</v>
      </c>
      <c r="Z87" s="55" t="n">
        <f aca="false">X87+ROW()*0.000000001</f>
        <v>42.6708523597273</v>
      </c>
    </row>
    <row r="88" customFormat="false" ht="15" hidden="false" customHeight="false" outlineLevel="0" collapsed="false">
      <c r="A88" s="0" t="n">
        <v>0</v>
      </c>
      <c r="B88" s="0" t="n">
        <v>4</v>
      </c>
      <c r="C88" s="0" t="n">
        <v>15</v>
      </c>
      <c r="D88" s="0" t="n">
        <f aca="false">-1+A88*0.125</f>
        <v>-1</v>
      </c>
      <c r="E88" s="0" t="n">
        <f aca="false">-1+B88*0.125</f>
        <v>-0.5</v>
      </c>
      <c r="F88" s="0" t="n">
        <f aca="false">-1+C88*0.125</f>
        <v>0.875</v>
      </c>
      <c r="G88" s="0" t="n">
        <f aca="false">1</f>
        <v>1</v>
      </c>
      <c r="H88" s="0" t="n">
        <f aca="false">D88</f>
        <v>-1</v>
      </c>
      <c r="I88" s="0" t="n">
        <f aca="false">E88</f>
        <v>-0.5</v>
      </c>
      <c r="J88" s="0" t="n">
        <f aca="false">F88</f>
        <v>0.875</v>
      </c>
      <c r="K88" s="0" t="n">
        <f aca="false">D88*E88</f>
        <v>0.5</v>
      </c>
      <c r="L88" s="0" t="n">
        <f aca="false">D88*F88</f>
        <v>-0.875</v>
      </c>
      <c r="M88" s="0" t="n">
        <f aca="false">E88*F88</f>
        <v>-0.4375</v>
      </c>
      <c r="N88" s="0" t="n">
        <f aca="false">D88*D88</f>
        <v>1</v>
      </c>
      <c r="O88" s="0" t="n">
        <f aca="false">E88*E88</f>
        <v>0.25</v>
      </c>
      <c r="P88" s="0" t="n">
        <f aca="false">F88*F88</f>
        <v>0.765625</v>
      </c>
      <c r="Q88" s="0" t="n">
        <f aca="false">SUMPRODUCT(G88:P88,_XtX!$B$71:$K$71)</f>
        <v>42.59484375</v>
      </c>
      <c r="R88" s="0" t="n">
        <f aca="false">SUMPRODUCT(MMULT(G88:P88,_XtX!$B$58:$K$67),G88:P88)</f>
        <v>0.55771484375</v>
      </c>
      <c r="S88" s="0" t="n">
        <f aca="false">04_回帰ANOVA!$K$19*04_回帰ANOVA!$K$14*SQRT(1+R88)</f>
        <v>1.16040773556467</v>
      </c>
      <c r="T88" s="0" t="n">
        <f aca="false">Q88-S88</f>
        <v>41.4344360144353</v>
      </c>
      <c r="U88" s="0" t="n">
        <f aca="false">Q88+S88</f>
        <v>43.7552514855647</v>
      </c>
      <c r="V88" s="54" t="b">
        <f aca="false">AND(D88&gt;=01_因子設定!$L$5-0.000000001,D88&lt;=01_因子設定!$M$5+0.000000001,E88&gt;=01_因子設定!$L$6-0.000000001,E88&lt;=01_因子設定!$M$6+0.000000001,F88&gt;=01_因子設定!$L$7-0.000000001,F88&lt;=01_因子設定!$M$7+0.000000001,IF(01_因子設定!$B$20="Box-Behnken",D88^2+E88^2+F88^2&lt;=2+0.000000001,TRUE()))</f>
        <v>1</v>
      </c>
      <c r="W88" s="55" t="n">
        <f aca="false">IF(V88,IF(01_因子設定!$B$13="最大化",T88-01_因子設定!$B$14,IF(01_因子設定!$B$13="最小化",01_因子設定!$B$15-U88,MIN(T88-01_因子設定!$B$14,01_因子設定!$B$15-U88))),-1E+030)</f>
        <v>-7.06556398556467</v>
      </c>
      <c r="X88" s="55" t="n">
        <f aca="false">IF(V88,IF(01_因子設定!$B$13="最大化",Q88,IF(01_因子設定!$B$13="最小化",-Q88,-ABS(Q88-01_因子設定!$B$16))),-1E+030)</f>
        <v>42.59484375</v>
      </c>
      <c r="Y88" s="55" t="n">
        <f aca="false">W88+ROW()*0.000000001</f>
        <v>-7.06556389756467</v>
      </c>
      <c r="Z88" s="55" t="n">
        <f aca="false">X88+ROW()*0.000000001</f>
        <v>42.594843838</v>
      </c>
    </row>
    <row r="89" customFormat="false" ht="15" hidden="false" customHeight="false" outlineLevel="0" collapsed="false">
      <c r="A89" s="0" t="n">
        <v>0</v>
      </c>
      <c r="B89" s="0" t="n">
        <v>4</v>
      </c>
      <c r="C89" s="0" t="n">
        <v>16</v>
      </c>
      <c r="D89" s="0" t="n">
        <f aca="false">-1+A89*0.125</f>
        <v>-1</v>
      </c>
      <c r="E89" s="0" t="n">
        <f aca="false">-1+B89*0.125</f>
        <v>-0.5</v>
      </c>
      <c r="F89" s="0" t="n">
        <f aca="false">-1+C89*0.125</f>
        <v>1</v>
      </c>
      <c r="G89" s="0" t="n">
        <f aca="false">1</f>
        <v>1</v>
      </c>
      <c r="H89" s="0" t="n">
        <f aca="false">D89</f>
        <v>-1</v>
      </c>
      <c r="I89" s="0" t="n">
        <f aca="false">E89</f>
        <v>-0.5</v>
      </c>
      <c r="J89" s="0" t="n">
        <f aca="false">F89</f>
        <v>1</v>
      </c>
      <c r="K89" s="0" t="n">
        <f aca="false">D89*E89</f>
        <v>0.5</v>
      </c>
      <c r="L89" s="0" t="n">
        <f aca="false">D89*F89</f>
        <v>-1</v>
      </c>
      <c r="M89" s="0" t="n">
        <f aca="false">E89*F89</f>
        <v>-0.5</v>
      </c>
      <c r="N89" s="0" t="n">
        <f aca="false">D89*D89</f>
        <v>1</v>
      </c>
      <c r="O89" s="0" t="n">
        <f aca="false">E89*E89</f>
        <v>0.25</v>
      </c>
      <c r="P89" s="0" t="n">
        <f aca="false">F89*F89</f>
        <v>1</v>
      </c>
      <c r="Q89" s="0" t="n">
        <f aca="false">SUMPRODUCT(G89:P89,_XtX!$B$71:$K$71)</f>
        <v>42.4820454545455</v>
      </c>
      <c r="R89" s="0" t="n">
        <f aca="false">SUMPRODUCT(MMULT(G89:P89,_XtX!$B$58:$K$67),G89:P89)</f>
        <v>0.667045454545455</v>
      </c>
      <c r="S89" s="0" t="n">
        <f aca="false">04_回帰ANOVA!$K$19*04_回帰ANOVA!$K$14*SQRT(1+R89)</f>
        <v>1.200439720088</v>
      </c>
      <c r="T89" s="0" t="n">
        <f aca="false">Q89-S89</f>
        <v>41.2816057344575</v>
      </c>
      <c r="U89" s="0" t="n">
        <f aca="false">Q89+S89</f>
        <v>43.6824851746335</v>
      </c>
      <c r="V89" s="54" t="b">
        <f aca="false">AND(D89&gt;=01_因子設定!$L$5-0.000000001,D89&lt;=01_因子設定!$M$5+0.000000001,E89&gt;=01_因子設定!$L$6-0.000000001,E89&lt;=01_因子設定!$M$6+0.000000001,F89&gt;=01_因子設定!$L$7-0.000000001,F89&lt;=01_因子設定!$M$7+0.000000001,IF(01_因子設定!$B$20="Box-Behnken",D89^2+E89^2+F89^2&lt;=2+0.000000001,TRUE()))</f>
        <v>1</v>
      </c>
      <c r="W89" s="55" t="n">
        <f aca="false">IF(V89,IF(01_因子設定!$B$13="最大化",T89-01_因子設定!$B$14,IF(01_因子設定!$B$13="最小化",01_因子設定!$B$15-U89,MIN(T89-01_因子設定!$B$14,01_因子設定!$B$15-U89))),-1E+030)</f>
        <v>-7.21839426554254</v>
      </c>
      <c r="X89" s="55" t="n">
        <f aca="false">IF(V89,IF(01_因子設定!$B$13="最大化",Q89,IF(01_因子設定!$B$13="最小化",-Q89,-ABS(Q89-01_因子設定!$B$16))),-1E+030)</f>
        <v>42.4820454545455</v>
      </c>
      <c r="Y89" s="55" t="n">
        <f aca="false">W89+ROW()*0.000000001</f>
        <v>-7.21839417654254</v>
      </c>
      <c r="Z89" s="55" t="n">
        <f aca="false">X89+ROW()*0.000000001</f>
        <v>42.4820455435455</v>
      </c>
    </row>
    <row r="90" customFormat="false" ht="15" hidden="false" customHeight="false" outlineLevel="0" collapsed="false">
      <c r="A90" s="0" t="n">
        <v>0</v>
      </c>
      <c r="B90" s="0" t="n">
        <v>5</v>
      </c>
      <c r="C90" s="0" t="n">
        <v>0</v>
      </c>
      <c r="D90" s="0" t="n">
        <f aca="false">-1+A90*0.125</f>
        <v>-1</v>
      </c>
      <c r="E90" s="0" t="n">
        <f aca="false">-1+B90*0.125</f>
        <v>-0.375</v>
      </c>
      <c r="F90" s="0" t="n">
        <f aca="false">-1+C90*0.125</f>
        <v>-1</v>
      </c>
      <c r="G90" s="0" t="n">
        <f aca="false">1</f>
        <v>1</v>
      </c>
      <c r="H90" s="0" t="n">
        <f aca="false">D90</f>
        <v>-1</v>
      </c>
      <c r="I90" s="0" t="n">
        <f aca="false">E90</f>
        <v>-0.375</v>
      </c>
      <c r="J90" s="0" t="n">
        <f aca="false">F90</f>
        <v>-1</v>
      </c>
      <c r="K90" s="0" t="n">
        <f aca="false">D90*E90</f>
        <v>0.375</v>
      </c>
      <c r="L90" s="0" t="n">
        <f aca="false">D90*F90</f>
        <v>1</v>
      </c>
      <c r="M90" s="0" t="n">
        <f aca="false">E90*F90</f>
        <v>0.375</v>
      </c>
      <c r="N90" s="0" t="n">
        <f aca="false">D90*D90</f>
        <v>1</v>
      </c>
      <c r="O90" s="0" t="n">
        <f aca="false">E90*E90</f>
        <v>0.140625</v>
      </c>
      <c r="P90" s="0" t="n">
        <f aca="false">F90*F90</f>
        <v>1</v>
      </c>
      <c r="Q90" s="0" t="n">
        <f aca="false">SUMPRODUCT(G90:P90,_XtX!$B$71:$K$71)</f>
        <v>40.1431534090909</v>
      </c>
      <c r="R90" s="0" t="n">
        <f aca="false">SUMPRODUCT(MMULT(G90:P90,_XtX!$B$58:$K$67),G90:P90)</f>
        <v>0.682830255681818</v>
      </c>
      <c r="S90" s="0" t="n">
        <f aca="false">04_回帰ANOVA!$K$19*04_回帰ANOVA!$K$14*SQRT(1+R90)</f>
        <v>1.20610964896955</v>
      </c>
      <c r="T90" s="0" t="n">
        <f aca="false">Q90-S90</f>
        <v>38.9370437601214</v>
      </c>
      <c r="U90" s="0" t="n">
        <f aca="false">Q90+S90</f>
        <v>41.3492630580605</v>
      </c>
      <c r="V90" s="54" t="b">
        <f aca="false">AND(D90&gt;=01_因子設定!$L$5-0.000000001,D90&lt;=01_因子設定!$M$5+0.000000001,E90&gt;=01_因子設定!$L$6-0.000000001,E90&lt;=01_因子設定!$M$6+0.000000001,F90&gt;=01_因子設定!$L$7-0.000000001,F90&lt;=01_因子設定!$M$7+0.000000001,IF(01_因子設定!$B$20="Box-Behnken",D90^2+E90^2+F90^2&lt;=2+0.000000001,TRUE()))</f>
        <v>1</v>
      </c>
      <c r="W90" s="55" t="n">
        <f aca="false">IF(V90,IF(01_因子設定!$B$13="最大化",T90-01_因子設定!$B$14,IF(01_因子設定!$B$13="最小化",01_因子設定!$B$15-U90,MIN(T90-01_因子設定!$B$14,01_因子設定!$B$15-U90))),-1E+030)</f>
        <v>-9.56295623987863</v>
      </c>
      <c r="X90" s="55" t="n">
        <f aca="false">IF(V90,IF(01_因子設定!$B$13="最大化",Q90,IF(01_因子設定!$B$13="最小化",-Q90,-ABS(Q90-01_因子設定!$B$16))),-1E+030)</f>
        <v>40.1431534090909</v>
      </c>
      <c r="Y90" s="55" t="n">
        <f aca="false">W90+ROW()*0.000000001</f>
        <v>-9.56295614987863</v>
      </c>
      <c r="Z90" s="55" t="n">
        <f aca="false">X90+ROW()*0.000000001</f>
        <v>40.1431534990909</v>
      </c>
    </row>
    <row r="91" customFormat="false" ht="15" hidden="false" customHeight="false" outlineLevel="0" collapsed="false">
      <c r="A91" s="0" t="n">
        <v>0</v>
      </c>
      <c r="B91" s="0" t="n">
        <v>5</v>
      </c>
      <c r="C91" s="0" t="n">
        <v>1</v>
      </c>
      <c r="D91" s="0" t="n">
        <f aca="false">-1+A91*0.125</f>
        <v>-1</v>
      </c>
      <c r="E91" s="0" t="n">
        <f aca="false">-1+B91*0.125</f>
        <v>-0.375</v>
      </c>
      <c r="F91" s="0" t="n">
        <f aca="false">-1+C91*0.125</f>
        <v>-0.875</v>
      </c>
      <c r="G91" s="0" t="n">
        <f aca="false">1</f>
        <v>1</v>
      </c>
      <c r="H91" s="0" t="n">
        <f aca="false">D91</f>
        <v>-1</v>
      </c>
      <c r="I91" s="0" t="n">
        <f aca="false">E91</f>
        <v>-0.375</v>
      </c>
      <c r="J91" s="0" t="n">
        <f aca="false">F91</f>
        <v>-0.875</v>
      </c>
      <c r="K91" s="0" t="n">
        <f aca="false">D91*E91</f>
        <v>0.375</v>
      </c>
      <c r="L91" s="0" t="n">
        <f aca="false">D91*F91</f>
        <v>0.875</v>
      </c>
      <c r="M91" s="0" t="n">
        <f aca="false">E91*F91</f>
        <v>0.328125</v>
      </c>
      <c r="N91" s="0" t="n">
        <f aca="false">D91*D91</f>
        <v>1</v>
      </c>
      <c r="O91" s="0" t="n">
        <f aca="false">E91*E91</f>
        <v>0.140625</v>
      </c>
      <c r="P91" s="0" t="n">
        <f aca="false">F91*F91</f>
        <v>0.765625</v>
      </c>
      <c r="Q91" s="0" t="n">
        <f aca="false">SUMPRODUCT(G91:P91,_XtX!$B$71:$K$71)</f>
        <v>40.5892329545455</v>
      </c>
      <c r="R91" s="0" t="n">
        <f aca="false">SUMPRODUCT(MMULT(G91:P91,_XtX!$B$58:$K$67),G91:P91)</f>
        <v>0.56971269087358</v>
      </c>
      <c r="S91" s="0" t="n">
        <f aca="false">04_回帰ANOVA!$K$19*04_回帰ANOVA!$K$14*SQRT(1+R91)</f>
        <v>1.16486801567081</v>
      </c>
      <c r="T91" s="0" t="n">
        <f aca="false">Q91-S91</f>
        <v>39.4243649388747</v>
      </c>
      <c r="U91" s="0" t="n">
        <f aca="false">Q91+S91</f>
        <v>41.7541009702163</v>
      </c>
      <c r="V91" s="54" t="b">
        <f aca="false">AND(D91&gt;=01_因子設定!$L$5-0.000000001,D91&lt;=01_因子設定!$M$5+0.000000001,E91&gt;=01_因子設定!$L$6-0.000000001,E91&lt;=01_因子設定!$M$6+0.000000001,F91&gt;=01_因子設定!$L$7-0.000000001,F91&lt;=01_因子設定!$M$7+0.000000001,IF(01_因子設定!$B$20="Box-Behnken",D91^2+E91^2+F91^2&lt;=2+0.000000001,TRUE()))</f>
        <v>1</v>
      </c>
      <c r="W91" s="55" t="n">
        <f aca="false">IF(V91,IF(01_因子設定!$B$13="最大化",T91-01_因子設定!$B$14,IF(01_因子設定!$B$13="最小化",01_因子設定!$B$15-U91,MIN(T91-01_因子設定!$B$14,01_因子設定!$B$15-U91))),-1E+030)</f>
        <v>-9.07563506112535</v>
      </c>
      <c r="X91" s="55" t="n">
        <f aca="false">IF(V91,IF(01_因子設定!$B$13="最大化",Q91,IF(01_因子設定!$B$13="最小化",-Q91,-ABS(Q91-01_因子設定!$B$16))),-1E+030)</f>
        <v>40.5892329545455</v>
      </c>
      <c r="Y91" s="55" t="n">
        <f aca="false">W91+ROW()*0.000000001</f>
        <v>-9.07563497012535</v>
      </c>
      <c r="Z91" s="55" t="n">
        <f aca="false">X91+ROW()*0.000000001</f>
        <v>40.5892330455455</v>
      </c>
    </row>
    <row r="92" customFormat="false" ht="15" hidden="false" customHeight="false" outlineLevel="0" collapsed="false">
      <c r="A92" s="0" t="n">
        <v>0</v>
      </c>
      <c r="B92" s="0" t="n">
        <v>5</v>
      </c>
      <c r="C92" s="0" t="n">
        <v>2</v>
      </c>
      <c r="D92" s="0" t="n">
        <f aca="false">-1+A92*0.125</f>
        <v>-1</v>
      </c>
      <c r="E92" s="0" t="n">
        <f aca="false">-1+B92*0.125</f>
        <v>-0.375</v>
      </c>
      <c r="F92" s="0" t="n">
        <f aca="false">-1+C92*0.125</f>
        <v>-0.75</v>
      </c>
      <c r="G92" s="0" t="n">
        <f aca="false">1</f>
        <v>1</v>
      </c>
      <c r="H92" s="0" t="n">
        <f aca="false">D92</f>
        <v>-1</v>
      </c>
      <c r="I92" s="0" t="n">
        <f aca="false">E92</f>
        <v>-0.375</v>
      </c>
      <c r="J92" s="0" t="n">
        <f aca="false">F92</f>
        <v>-0.75</v>
      </c>
      <c r="K92" s="0" t="n">
        <f aca="false">D92*E92</f>
        <v>0.375</v>
      </c>
      <c r="L92" s="0" t="n">
        <f aca="false">D92*F92</f>
        <v>0.75</v>
      </c>
      <c r="M92" s="0" t="n">
        <f aca="false">E92*F92</f>
        <v>0.28125</v>
      </c>
      <c r="N92" s="0" t="n">
        <f aca="false">D92*D92</f>
        <v>1</v>
      </c>
      <c r="O92" s="0" t="n">
        <f aca="false">E92*E92</f>
        <v>0.140625</v>
      </c>
      <c r="P92" s="0" t="n">
        <f aca="false">F92*F92</f>
        <v>0.5625</v>
      </c>
      <c r="Q92" s="0" t="n">
        <f aca="false">SUMPRODUCT(G92:P92,_XtX!$B$71:$K$71)</f>
        <v>40.9985227272727</v>
      </c>
      <c r="R92" s="0" t="n">
        <f aca="false">SUMPRODUCT(MMULT(G92:P92,_XtX!$B$58:$K$67),G92:P92)</f>
        <v>0.503992808948864</v>
      </c>
      <c r="S92" s="0" t="n">
        <f aca="false">04_回帰ANOVA!$K$19*04_回帰ANOVA!$K$14*SQRT(1+R92)</f>
        <v>1.14022226176226</v>
      </c>
      <c r="T92" s="0" t="n">
        <f aca="false">Q92-S92</f>
        <v>39.8583004655105</v>
      </c>
      <c r="U92" s="0" t="n">
        <f aca="false">Q92+S92</f>
        <v>42.138744989035</v>
      </c>
      <c r="V92" s="54" t="b">
        <f aca="false">AND(D92&gt;=01_因子設定!$L$5-0.000000001,D92&lt;=01_因子設定!$M$5+0.000000001,E92&gt;=01_因子設定!$L$6-0.000000001,E92&lt;=01_因子設定!$M$6+0.000000001,F92&gt;=01_因子設定!$L$7-0.000000001,F92&lt;=01_因子設定!$M$7+0.000000001,IF(01_因子設定!$B$20="Box-Behnken",D92^2+E92^2+F92^2&lt;=2+0.000000001,TRUE()))</f>
        <v>1</v>
      </c>
      <c r="W92" s="55" t="n">
        <f aca="false">IF(V92,IF(01_因子設定!$B$13="最大化",T92-01_因子設定!$B$14,IF(01_因子設定!$B$13="最小化",01_因子設定!$B$15-U92,MIN(T92-01_因子設定!$B$14,01_因子設定!$B$15-U92))),-1E+030)</f>
        <v>-8.64169953448953</v>
      </c>
      <c r="X92" s="55" t="n">
        <f aca="false">IF(V92,IF(01_因子設定!$B$13="最大化",Q92,IF(01_因子設定!$B$13="最小化",-Q92,-ABS(Q92-01_因子設定!$B$16))),-1E+030)</f>
        <v>40.9985227272727</v>
      </c>
      <c r="Y92" s="55" t="n">
        <f aca="false">W92+ROW()*0.000000001</f>
        <v>-8.64169944248953</v>
      </c>
      <c r="Z92" s="55" t="n">
        <f aca="false">X92+ROW()*0.000000001</f>
        <v>40.9985228192727</v>
      </c>
    </row>
    <row r="93" customFormat="false" ht="15" hidden="false" customHeight="false" outlineLevel="0" collapsed="false">
      <c r="A93" s="0" t="n">
        <v>0</v>
      </c>
      <c r="B93" s="0" t="n">
        <v>5</v>
      </c>
      <c r="C93" s="0" t="n">
        <v>3</v>
      </c>
      <c r="D93" s="0" t="n">
        <f aca="false">-1+A93*0.125</f>
        <v>-1</v>
      </c>
      <c r="E93" s="0" t="n">
        <f aca="false">-1+B93*0.125</f>
        <v>-0.375</v>
      </c>
      <c r="F93" s="0" t="n">
        <f aca="false">-1+C93*0.125</f>
        <v>-0.625</v>
      </c>
      <c r="G93" s="0" t="n">
        <f aca="false">1</f>
        <v>1</v>
      </c>
      <c r="H93" s="0" t="n">
        <f aca="false">D93</f>
        <v>-1</v>
      </c>
      <c r="I93" s="0" t="n">
        <f aca="false">E93</f>
        <v>-0.375</v>
      </c>
      <c r="J93" s="0" t="n">
        <f aca="false">F93</f>
        <v>-0.625</v>
      </c>
      <c r="K93" s="0" t="n">
        <f aca="false">D93*E93</f>
        <v>0.375</v>
      </c>
      <c r="L93" s="0" t="n">
        <f aca="false">D93*F93</f>
        <v>0.625</v>
      </c>
      <c r="M93" s="0" t="n">
        <f aca="false">E93*F93</f>
        <v>0.234375</v>
      </c>
      <c r="N93" s="0" t="n">
        <f aca="false">D93*D93</f>
        <v>1</v>
      </c>
      <c r="O93" s="0" t="n">
        <f aca="false">E93*E93</f>
        <v>0.140625</v>
      </c>
      <c r="P93" s="0" t="n">
        <f aca="false">F93*F93</f>
        <v>0.390625</v>
      </c>
      <c r="Q93" s="0" t="n">
        <f aca="false">SUMPRODUCT(G93:P93,_XtX!$B$71:$K$71)</f>
        <v>41.3710227272727</v>
      </c>
      <c r="R93" s="0" t="n">
        <f aca="false">SUMPRODUCT(MMULT(G93:P93,_XtX!$B$58:$K$67),G93:P93)</f>
        <v>0.471821178089489</v>
      </c>
      <c r="S93" s="0" t="n">
        <f aca="false">04_回帰ANOVA!$K$19*04_回帰ANOVA!$K$14*SQRT(1+R93)</f>
        <v>1.12796119746125</v>
      </c>
      <c r="T93" s="0" t="n">
        <f aca="false">Q93-S93</f>
        <v>40.2430615298115</v>
      </c>
      <c r="U93" s="0" t="n">
        <f aca="false">Q93+S93</f>
        <v>42.498983924734</v>
      </c>
      <c r="V93" s="54" t="b">
        <f aca="false">AND(D93&gt;=01_因子設定!$L$5-0.000000001,D93&lt;=01_因子設定!$M$5+0.000000001,E93&gt;=01_因子設定!$L$6-0.000000001,E93&lt;=01_因子設定!$M$6+0.000000001,F93&gt;=01_因子設定!$L$7-0.000000001,F93&lt;=01_因子設定!$M$7+0.000000001,IF(01_因子設定!$B$20="Box-Behnken",D93^2+E93^2+F93^2&lt;=2+0.000000001,TRUE()))</f>
        <v>1</v>
      </c>
      <c r="W93" s="55" t="n">
        <f aca="false">IF(V93,IF(01_因子設定!$B$13="最大化",T93-01_因子設定!$B$14,IF(01_因子設定!$B$13="最小化",01_因子設定!$B$15-U93,MIN(T93-01_因子設定!$B$14,01_因子設定!$B$15-U93))),-1E+030)</f>
        <v>-8.25693847018853</v>
      </c>
      <c r="X93" s="55" t="n">
        <f aca="false">IF(V93,IF(01_因子設定!$B$13="最大化",Q93,IF(01_因子設定!$B$13="最小化",-Q93,-ABS(Q93-01_因子設定!$B$16))),-1E+030)</f>
        <v>41.3710227272727</v>
      </c>
      <c r="Y93" s="55" t="n">
        <f aca="false">W93+ROW()*0.000000001</f>
        <v>-8.25693837718853</v>
      </c>
      <c r="Z93" s="55" t="n">
        <f aca="false">X93+ROW()*0.000000001</f>
        <v>41.3710228202727</v>
      </c>
    </row>
    <row r="94" customFormat="false" ht="15" hidden="false" customHeight="false" outlineLevel="0" collapsed="false">
      <c r="A94" s="0" t="n">
        <v>0</v>
      </c>
      <c r="B94" s="0" t="n">
        <v>5</v>
      </c>
      <c r="C94" s="0" t="n">
        <v>4</v>
      </c>
      <c r="D94" s="0" t="n">
        <f aca="false">-1+A94*0.125</f>
        <v>-1</v>
      </c>
      <c r="E94" s="0" t="n">
        <f aca="false">-1+B94*0.125</f>
        <v>-0.375</v>
      </c>
      <c r="F94" s="0" t="n">
        <f aca="false">-1+C94*0.125</f>
        <v>-0.5</v>
      </c>
      <c r="G94" s="0" t="n">
        <f aca="false">1</f>
        <v>1</v>
      </c>
      <c r="H94" s="0" t="n">
        <f aca="false">D94</f>
        <v>-1</v>
      </c>
      <c r="I94" s="0" t="n">
        <f aca="false">E94</f>
        <v>-0.375</v>
      </c>
      <c r="J94" s="0" t="n">
        <f aca="false">F94</f>
        <v>-0.5</v>
      </c>
      <c r="K94" s="0" t="n">
        <f aca="false">D94*E94</f>
        <v>0.375</v>
      </c>
      <c r="L94" s="0" t="n">
        <f aca="false">D94*F94</f>
        <v>0.5</v>
      </c>
      <c r="M94" s="0" t="n">
        <f aca="false">E94*F94</f>
        <v>0.1875</v>
      </c>
      <c r="N94" s="0" t="n">
        <f aca="false">D94*D94</f>
        <v>1</v>
      </c>
      <c r="O94" s="0" t="n">
        <f aca="false">E94*E94</f>
        <v>0.140625</v>
      </c>
      <c r="P94" s="0" t="n">
        <f aca="false">F94*F94</f>
        <v>0.25</v>
      </c>
      <c r="Q94" s="0" t="n">
        <f aca="false">SUMPRODUCT(G94:P94,_XtX!$B$71:$K$71)</f>
        <v>41.7067329545454</v>
      </c>
      <c r="R94" s="0" t="n">
        <f aca="false">SUMPRODUCT(MMULT(G94:P94,_XtX!$B$58:$K$67),G94:P94)</f>
        <v>0.461479048295455</v>
      </c>
      <c r="S94" s="0" t="n">
        <f aca="false">04_回帰ANOVA!$K$19*04_回帰ANOVA!$K$14*SQRT(1+R94)</f>
        <v>1.12399125658369</v>
      </c>
      <c r="T94" s="0" t="n">
        <f aca="false">Q94-S94</f>
        <v>40.5827416979618</v>
      </c>
      <c r="U94" s="0" t="n">
        <f aca="false">Q94+S94</f>
        <v>42.8307242111291</v>
      </c>
      <c r="V94" s="54" t="b">
        <f aca="false">AND(D94&gt;=01_因子設定!$L$5-0.000000001,D94&lt;=01_因子設定!$M$5+0.000000001,E94&gt;=01_因子設定!$L$6-0.000000001,E94&lt;=01_因子設定!$M$6+0.000000001,F94&gt;=01_因子設定!$L$7-0.000000001,F94&lt;=01_因子設定!$M$7+0.000000001,IF(01_因子設定!$B$20="Box-Behnken",D94^2+E94^2+F94^2&lt;=2+0.000000001,TRUE()))</f>
        <v>1</v>
      </c>
      <c r="W94" s="55" t="n">
        <f aca="false">IF(V94,IF(01_因子設定!$B$13="最大化",T94-01_因子設定!$B$14,IF(01_因子設定!$B$13="最小化",01_因子設定!$B$15-U94,MIN(T94-01_因子設定!$B$14,01_因子設定!$B$15-U94))),-1E+030)</f>
        <v>-7.91725830203824</v>
      </c>
      <c r="X94" s="55" t="n">
        <f aca="false">IF(V94,IF(01_因子設定!$B$13="最大化",Q94,IF(01_因子設定!$B$13="最小化",-Q94,-ABS(Q94-01_因子設定!$B$16))),-1E+030)</f>
        <v>41.7067329545454</v>
      </c>
      <c r="Y94" s="55" t="n">
        <f aca="false">W94+ROW()*0.000000001</f>
        <v>-7.91725820803824</v>
      </c>
      <c r="Z94" s="55" t="n">
        <f aca="false">X94+ROW()*0.000000001</f>
        <v>41.7067330485454</v>
      </c>
    </row>
    <row r="95" customFormat="false" ht="15" hidden="false" customHeight="false" outlineLevel="0" collapsed="false">
      <c r="A95" s="0" t="n">
        <v>0</v>
      </c>
      <c r="B95" s="0" t="n">
        <v>5</v>
      </c>
      <c r="C95" s="0" t="n">
        <v>5</v>
      </c>
      <c r="D95" s="0" t="n">
        <f aca="false">-1+A95*0.125</f>
        <v>-1</v>
      </c>
      <c r="E95" s="0" t="n">
        <f aca="false">-1+B95*0.125</f>
        <v>-0.375</v>
      </c>
      <c r="F95" s="0" t="n">
        <f aca="false">-1+C95*0.125</f>
        <v>-0.375</v>
      </c>
      <c r="G95" s="0" t="n">
        <f aca="false">1</f>
        <v>1</v>
      </c>
      <c r="H95" s="0" t="n">
        <f aca="false">D95</f>
        <v>-1</v>
      </c>
      <c r="I95" s="0" t="n">
        <f aca="false">E95</f>
        <v>-0.375</v>
      </c>
      <c r="J95" s="0" t="n">
        <f aca="false">F95</f>
        <v>-0.375</v>
      </c>
      <c r="K95" s="0" t="n">
        <f aca="false">D95*E95</f>
        <v>0.375</v>
      </c>
      <c r="L95" s="0" t="n">
        <f aca="false">D95*F95</f>
        <v>0.375</v>
      </c>
      <c r="M95" s="0" t="n">
        <f aca="false">E95*F95</f>
        <v>0.140625</v>
      </c>
      <c r="N95" s="0" t="n">
        <f aca="false">D95*D95</f>
        <v>1</v>
      </c>
      <c r="O95" s="0" t="n">
        <f aca="false">E95*E95</f>
        <v>0.140625</v>
      </c>
      <c r="P95" s="0" t="n">
        <f aca="false">F95*F95</f>
        <v>0.140625</v>
      </c>
      <c r="Q95" s="0" t="n">
        <f aca="false">SUMPRODUCT(G95:P95,_XtX!$B$71:$K$71)</f>
        <v>42.0056534090909</v>
      </c>
      <c r="R95" s="0" t="n">
        <f aca="false">SUMPRODUCT(MMULT(G95:P95,_XtX!$B$58:$K$67),G95:P95)</f>
        <v>0.463378351384943</v>
      </c>
      <c r="S95" s="0" t="n">
        <f aca="false">04_回帰ANOVA!$K$19*04_回帰ANOVA!$K$14*SQRT(1+R95)</f>
        <v>1.12472137547772</v>
      </c>
      <c r="T95" s="0" t="n">
        <f aca="false">Q95-S95</f>
        <v>40.8809320336132</v>
      </c>
      <c r="U95" s="0" t="n">
        <f aca="false">Q95+S95</f>
        <v>43.1303747845686</v>
      </c>
      <c r="V95" s="54" t="b">
        <f aca="false">AND(D95&gt;=01_因子設定!$L$5-0.000000001,D95&lt;=01_因子設定!$M$5+0.000000001,E95&gt;=01_因子設定!$L$6-0.000000001,E95&lt;=01_因子設定!$M$6+0.000000001,F95&gt;=01_因子設定!$L$7-0.000000001,F95&lt;=01_因子設定!$M$7+0.000000001,IF(01_因子設定!$B$20="Box-Behnken",D95^2+E95^2+F95^2&lt;=2+0.000000001,TRUE()))</f>
        <v>1</v>
      </c>
      <c r="W95" s="55" t="n">
        <f aca="false">IF(V95,IF(01_因子設定!$B$13="最大化",T95-01_因子設定!$B$14,IF(01_因子設定!$B$13="最小化",01_因子設定!$B$15-U95,MIN(T95-01_因子設定!$B$14,01_因子設定!$B$15-U95))),-1E+030)</f>
        <v>-7.61906796638682</v>
      </c>
      <c r="X95" s="55" t="n">
        <f aca="false">IF(V95,IF(01_因子設定!$B$13="最大化",Q95,IF(01_因子設定!$B$13="最小化",-Q95,-ABS(Q95-01_因子設定!$B$16))),-1E+030)</f>
        <v>42.0056534090909</v>
      </c>
      <c r="Y95" s="55" t="n">
        <f aca="false">W95+ROW()*0.000000001</f>
        <v>-7.61906787138682</v>
      </c>
      <c r="Z95" s="55" t="n">
        <f aca="false">X95+ROW()*0.000000001</f>
        <v>42.0056535040909</v>
      </c>
    </row>
    <row r="96" customFormat="false" ht="15" hidden="false" customHeight="false" outlineLevel="0" collapsed="false">
      <c r="A96" s="0" t="n">
        <v>0</v>
      </c>
      <c r="B96" s="0" t="n">
        <v>5</v>
      </c>
      <c r="C96" s="0" t="n">
        <v>6</v>
      </c>
      <c r="D96" s="0" t="n">
        <f aca="false">-1+A96*0.125</f>
        <v>-1</v>
      </c>
      <c r="E96" s="0" t="n">
        <f aca="false">-1+B96*0.125</f>
        <v>-0.375</v>
      </c>
      <c r="F96" s="0" t="n">
        <f aca="false">-1+C96*0.125</f>
        <v>-0.25</v>
      </c>
      <c r="G96" s="0" t="n">
        <f aca="false">1</f>
        <v>1</v>
      </c>
      <c r="H96" s="0" t="n">
        <f aca="false">D96</f>
        <v>-1</v>
      </c>
      <c r="I96" s="0" t="n">
        <f aca="false">E96</f>
        <v>-0.375</v>
      </c>
      <c r="J96" s="0" t="n">
        <f aca="false">F96</f>
        <v>-0.25</v>
      </c>
      <c r="K96" s="0" t="n">
        <f aca="false">D96*E96</f>
        <v>0.375</v>
      </c>
      <c r="L96" s="0" t="n">
        <f aca="false">D96*F96</f>
        <v>0.25</v>
      </c>
      <c r="M96" s="0" t="n">
        <f aca="false">E96*F96</f>
        <v>0.09375</v>
      </c>
      <c r="N96" s="0" t="n">
        <f aca="false">D96*D96</f>
        <v>1</v>
      </c>
      <c r="O96" s="0" t="n">
        <f aca="false">E96*E96</f>
        <v>0.140625</v>
      </c>
      <c r="P96" s="0" t="n">
        <f aca="false">F96*F96</f>
        <v>0.0625</v>
      </c>
      <c r="Q96" s="0" t="n">
        <f aca="false">SUMPRODUCT(G96:P96,_XtX!$B$71:$K$71)</f>
        <v>42.2677840909091</v>
      </c>
      <c r="R96" s="0" t="n">
        <f aca="false">SUMPRODUCT(MMULT(G96:P96,_XtX!$B$58:$K$67),G96:P96)</f>
        <v>0.470061700994318</v>
      </c>
      <c r="S96" s="0" t="n">
        <f aca="false">04_回帰ANOVA!$K$19*04_回帰ANOVA!$K$14*SQRT(1+R96)</f>
        <v>1.12728678965931</v>
      </c>
      <c r="T96" s="0" t="n">
        <f aca="false">Q96-S96</f>
        <v>41.1404973012498</v>
      </c>
      <c r="U96" s="0" t="n">
        <f aca="false">Q96+S96</f>
        <v>43.3950708805684</v>
      </c>
      <c r="V96" s="54" t="b">
        <f aca="false">AND(D96&gt;=01_因子設定!$L$5-0.000000001,D96&lt;=01_因子設定!$M$5+0.000000001,E96&gt;=01_因子設定!$L$6-0.000000001,E96&lt;=01_因子設定!$M$6+0.000000001,F96&gt;=01_因子設定!$L$7-0.000000001,F96&lt;=01_因子設定!$M$7+0.000000001,IF(01_因子設定!$B$20="Box-Behnken",D96^2+E96^2+F96^2&lt;=2+0.000000001,TRUE()))</f>
        <v>1</v>
      </c>
      <c r="W96" s="55" t="n">
        <f aca="false">IF(V96,IF(01_因子設定!$B$13="最大化",T96-01_因子設定!$B$14,IF(01_因子設定!$B$13="最小化",01_因子設定!$B$15-U96,MIN(T96-01_因子設定!$B$14,01_因子設定!$B$15-U96))),-1E+030)</f>
        <v>-7.35950269875023</v>
      </c>
      <c r="X96" s="55" t="n">
        <f aca="false">IF(V96,IF(01_因子設定!$B$13="最大化",Q96,IF(01_因子設定!$B$13="最小化",-Q96,-ABS(Q96-01_因子設定!$B$16))),-1E+030)</f>
        <v>42.2677840909091</v>
      </c>
      <c r="Y96" s="55" t="n">
        <f aca="false">W96+ROW()*0.000000001</f>
        <v>-7.35950260275023</v>
      </c>
      <c r="Z96" s="55" t="n">
        <f aca="false">X96+ROW()*0.000000001</f>
        <v>42.2677841869091</v>
      </c>
    </row>
    <row r="97" customFormat="false" ht="15" hidden="false" customHeight="false" outlineLevel="0" collapsed="false">
      <c r="A97" s="0" t="n">
        <v>0</v>
      </c>
      <c r="B97" s="0" t="n">
        <v>5</v>
      </c>
      <c r="C97" s="0" t="n">
        <v>7</v>
      </c>
      <c r="D97" s="0" t="n">
        <f aca="false">-1+A97*0.125</f>
        <v>-1</v>
      </c>
      <c r="E97" s="0" t="n">
        <f aca="false">-1+B97*0.125</f>
        <v>-0.375</v>
      </c>
      <c r="F97" s="0" t="n">
        <f aca="false">-1+C97*0.125</f>
        <v>-0.125</v>
      </c>
      <c r="G97" s="0" t="n">
        <f aca="false">1</f>
        <v>1</v>
      </c>
      <c r="H97" s="0" t="n">
        <f aca="false">D97</f>
        <v>-1</v>
      </c>
      <c r="I97" s="0" t="n">
        <f aca="false">E97</f>
        <v>-0.375</v>
      </c>
      <c r="J97" s="0" t="n">
        <f aca="false">F97</f>
        <v>-0.125</v>
      </c>
      <c r="K97" s="0" t="n">
        <f aca="false">D97*E97</f>
        <v>0.375</v>
      </c>
      <c r="L97" s="0" t="n">
        <f aca="false">D97*F97</f>
        <v>0.125</v>
      </c>
      <c r="M97" s="0" t="n">
        <f aca="false">E97*F97</f>
        <v>0.046875</v>
      </c>
      <c r="N97" s="0" t="n">
        <f aca="false">D97*D97</f>
        <v>1</v>
      </c>
      <c r="O97" s="0" t="n">
        <f aca="false">E97*E97</f>
        <v>0.140625</v>
      </c>
      <c r="P97" s="0" t="n">
        <f aca="false">F97*F97</f>
        <v>0.015625</v>
      </c>
      <c r="Q97" s="0" t="n">
        <f aca="false">SUMPRODUCT(G97:P97,_XtX!$B$71:$K$71)</f>
        <v>42.493125</v>
      </c>
      <c r="R97" s="0" t="n">
        <f aca="false">SUMPRODUCT(MMULT(G97:P97,_XtX!$B$58:$K$67),G97:P97)</f>
        <v>0.476202392578125</v>
      </c>
      <c r="S97" s="0" t="n">
        <f aca="false">04_回帰ANOVA!$K$19*04_回帰ANOVA!$K$14*SQRT(1+R97)</f>
        <v>1.12963876802721</v>
      </c>
      <c r="T97" s="0" t="n">
        <f aca="false">Q97-S97</f>
        <v>41.3634862319728</v>
      </c>
      <c r="U97" s="0" t="n">
        <f aca="false">Q97+S97</f>
        <v>43.6227637680272</v>
      </c>
      <c r="V97" s="54" t="b">
        <f aca="false">AND(D97&gt;=01_因子設定!$L$5-0.000000001,D97&lt;=01_因子設定!$M$5+0.000000001,E97&gt;=01_因子設定!$L$6-0.000000001,E97&lt;=01_因子設定!$M$6+0.000000001,F97&gt;=01_因子設定!$L$7-0.000000001,F97&lt;=01_因子設定!$M$7+0.000000001,IF(01_因子設定!$B$20="Box-Behnken",D97^2+E97^2+F97^2&lt;=2+0.000000001,TRUE()))</f>
        <v>1</v>
      </c>
      <c r="W97" s="55" t="n">
        <f aca="false">IF(V97,IF(01_因子設定!$B$13="最大化",T97-01_因子設定!$B$14,IF(01_因子設定!$B$13="最小化",01_因子設定!$B$15-U97,MIN(T97-01_因子設定!$B$14,01_因子設定!$B$15-U97))),-1E+030)</f>
        <v>-7.13651376802722</v>
      </c>
      <c r="X97" s="55" t="n">
        <f aca="false">IF(V97,IF(01_因子設定!$B$13="最大化",Q97,IF(01_因子設定!$B$13="最小化",-Q97,-ABS(Q97-01_因子設定!$B$16))),-1E+030)</f>
        <v>42.493125</v>
      </c>
      <c r="Y97" s="55" t="n">
        <f aca="false">W97+ROW()*0.000000001</f>
        <v>-7.13651367102722</v>
      </c>
      <c r="Z97" s="55" t="n">
        <f aca="false">X97+ROW()*0.000000001</f>
        <v>42.493125097</v>
      </c>
    </row>
    <row r="98" customFormat="false" ht="15" hidden="false" customHeight="false" outlineLevel="0" collapsed="false">
      <c r="A98" s="0" t="n">
        <v>0</v>
      </c>
      <c r="B98" s="0" t="n">
        <v>5</v>
      </c>
      <c r="C98" s="0" t="n">
        <v>8</v>
      </c>
      <c r="D98" s="0" t="n">
        <f aca="false">-1+A98*0.125</f>
        <v>-1</v>
      </c>
      <c r="E98" s="0" t="n">
        <f aca="false">-1+B98*0.125</f>
        <v>-0.375</v>
      </c>
      <c r="F98" s="0" t="n">
        <f aca="false">-1+C98*0.125</f>
        <v>0</v>
      </c>
      <c r="G98" s="0" t="n">
        <f aca="false">1</f>
        <v>1</v>
      </c>
      <c r="H98" s="0" t="n">
        <f aca="false">D98</f>
        <v>-1</v>
      </c>
      <c r="I98" s="0" t="n">
        <f aca="false">E98</f>
        <v>-0.375</v>
      </c>
      <c r="J98" s="0" t="n">
        <f aca="false">F98</f>
        <v>0</v>
      </c>
      <c r="K98" s="0" t="n">
        <f aca="false">D98*E98</f>
        <v>0.375</v>
      </c>
      <c r="L98" s="0" t="n">
        <f aca="false">D98*F98</f>
        <v>-0</v>
      </c>
      <c r="M98" s="0" t="n">
        <f aca="false">E98*F98</f>
        <v>-0</v>
      </c>
      <c r="N98" s="0" t="n">
        <f aca="false">D98*D98</f>
        <v>1</v>
      </c>
      <c r="O98" s="0" t="n">
        <f aca="false">E98*E98</f>
        <v>0.140625</v>
      </c>
      <c r="P98" s="0" t="n">
        <f aca="false">F98*F98</f>
        <v>0</v>
      </c>
      <c r="Q98" s="0" t="n">
        <f aca="false">SUMPRODUCT(G98:P98,_XtX!$B$71:$K$71)</f>
        <v>42.6816761363636</v>
      </c>
      <c r="R98" s="0" t="n">
        <f aca="false">SUMPRODUCT(MMULT(G98:P98,_XtX!$B$58:$K$67),G98:P98)</f>
        <v>0.478604403409091</v>
      </c>
      <c r="S98" s="0" t="n">
        <f aca="false">04_回帰ANOVA!$K$19*04_回帰ANOVA!$K$14*SQRT(1+R98)</f>
        <v>1.13055744343508</v>
      </c>
      <c r="T98" s="0" t="n">
        <f aca="false">Q98-S98</f>
        <v>41.5511186929285</v>
      </c>
      <c r="U98" s="0" t="n">
        <f aca="false">Q98+S98</f>
        <v>43.8122335797987</v>
      </c>
      <c r="V98" s="54" t="b">
        <f aca="false">AND(D98&gt;=01_因子設定!$L$5-0.000000001,D98&lt;=01_因子設定!$M$5+0.000000001,E98&gt;=01_因子設定!$L$6-0.000000001,E98&lt;=01_因子設定!$M$6+0.000000001,F98&gt;=01_因子設定!$L$7-0.000000001,F98&lt;=01_因子設定!$M$7+0.000000001,IF(01_因子設定!$B$20="Box-Behnken",D98^2+E98^2+F98^2&lt;=2+0.000000001,TRUE()))</f>
        <v>1</v>
      </c>
      <c r="W98" s="55" t="n">
        <f aca="false">IF(V98,IF(01_因子設定!$B$13="最大化",T98-01_因子設定!$B$14,IF(01_因子設定!$B$13="最小化",01_因子設定!$B$15-U98,MIN(T98-01_因子設定!$B$14,01_因子設定!$B$15-U98))),-1E+030)</f>
        <v>-6.94888130707146</v>
      </c>
      <c r="X98" s="55" t="n">
        <f aca="false">IF(V98,IF(01_因子設定!$B$13="最大化",Q98,IF(01_因子設定!$B$13="最小化",-Q98,-ABS(Q98-01_因子設定!$B$16))),-1E+030)</f>
        <v>42.6816761363636</v>
      </c>
      <c r="Y98" s="55" t="n">
        <f aca="false">W98+ROW()*0.000000001</f>
        <v>-6.94888120907146</v>
      </c>
      <c r="Z98" s="55" t="n">
        <f aca="false">X98+ROW()*0.000000001</f>
        <v>42.6816762343636</v>
      </c>
    </row>
    <row r="99" customFormat="false" ht="15" hidden="false" customHeight="false" outlineLevel="0" collapsed="false">
      <c r="A99" s="0" t="n">
        <v>0</v>
      </c>
      <c r="B99" s="0" t="n">
        <v>5</v>
      </c>
      <c r="C99" s="0" t="n">
        <v>9</v>
      </c>
      <c r="D99" s="0" t="n">
        <f aca="false">-1+A99*0.125</f>
        <v>-1</v>
      </c>
      <c r="E99" s="0" t="n">
        <f aca="false">-1+B99*0.125</f>
        <v>-0.375</v>
      </c>
      <c r="F99" s="0" t="n">
        <f aca="false">-1+C99*0.125</f>
        <v>0.125</v>
      </c>
      <c r="G99" s="0" t="n">
        <f aca="false">1</f>
        <v>1</v>
      </c>
      <c r="H99" s="0" t="n">
        <f aca="false">D99</f>
        <v>-1</v>
      </c>
      <c r="I99" s="0" t="n">
        <f aca="false">E99</f>
        <v>-0.375</v>
      </c>
      <c r="J99" s="0" t="n">
        <f aca="false">F99</f>
        <v>0.125</v>
      </c>
      <c r="K99" s="0" t="n">
        <f aca="false">D99*E99</f>
        <v>0.375</v>
      </c>
      <c r="L99" s="0" t="n">
        <f aca="false">D99*F99</f>
        <v>-0.125</v>
      </c>
      <c r="M99" s="0" t="n">
        <f aca="false">E99*F99</f>
        <v>-0.046875</v>
      </c>
      <c r="N99" s="0" t="n">
        <f aca="false">D99*D99</f>
        <v>1</v>
      </c>
      <c r="O99" s="0" t="n">
        <f aca="false">E99*E99</f>
        <v>0.140625</v>
      </c>
      <c r="P99" s="0" t="n">
        <f aca="false">F99*F99</f>
        <v>0.015625</v>
      </c>
      <c r="Q99" s="0" t="n">
        <f aca="false">SUMPRODUCT(G99:P99,_XtX!$B$71:$K$71)</f>
        <v>42.8334375</v>
      </c>
      <c r="R99" s="0" t="n">
        <f aca="false">SUMPRODUCT(MMULT(G99:P99,_XtX!$B$58:$K$67),G99:P99)</f>
        <v>0.476202392578125</v>
      </c>
      <c r="S99" s="0" t="n">
        <f aca="false">04_回帰ANOVA!$K$19*04_回帰ANOVA!$K$14*SQRT(1+R99)</f>
        <v>1.12963876802721</v>
      </c>
      <c r="T99" s="0" t="n">
        <f aca="false">Q99-S99</f>
        <v>41.7037987319728</v>
      </c>
      <c r="U99" s="0" t="n">
        <f aca="false">Q99+S99</f>
        <v>43.9630762680272</v>
      </c>
      <c r="V99" s="54" t="b">
        <f aca="false">AND(D99&gt;=01_因子設定!$L$5-0.000000001,D99&lt;=01_因子設定!$M$5+0.000000001,E99&gt;=01_因子設定!$L$6-0.000000001,E99&lt;=01_因子設定!$M$6+0.000000001,F99&gt;=01_因子設定!$L$7-0.000000001,F99&lt;=01_因子設定!$M$7+0.000000001,IF(01_因子設定!$B$20="Box-Behnken",D99^2+E99^2+F99^2&lt;=2+0.000000001,TRUE()))</f>
        <v>1</v>
      </c>
      <c r="W99" s="55" t="n">
        <f aca="false">IF(V99,IF(01_因子設定!$B$13="最大化",T99-01_因子設定!$B$14,IF(01_因子設定!$B$13="最小化",01_因子設定!$B$15-U99,MIN(T99-01_因子設定!$B$14,01_因子設定!$B$15-U99))),-1E+030)</f>
        <v>-6.79620126802722</v>
      </c>
      <c r="X99" s="55" t="n">
        <f aca="false">IF(V99,IF(01_因子設定!$B$13="最大化",Q99,IF(01_因子設定!$B$13="最小化",-Q99,-ABS(Q99-01_因子設定!$B$16))),-1E+030)</f>
        <v>42.8334375</v>
      </c>
      <c r="Y99" s="55" t="n">
        <f aca="false">W99+ROW()*0.000000001</f>
        <v>-6.79620116902722</v>
      </c>
      <c r="Z99" s="55" t="n">
        <f aca="false">X99+ROW()*0.000000001</f>
        <v>42.833437599</v>
      </c>
    </row>
    <row r="100" customFormat="false" ht="15" hidden="false" customHeight="false" outlineLevel="0" collapsed="false">
      <c r="A100" s="0" t="n">
        <v>0</v>
      </c>
      <c r="B100" s="0" t="n">
        <v>5</v>
      </c>
      <c r="C100" s="0" t="n">
        <v>10</v>
      </c>
      <c r="D100" s="0" t="n">
        <f aca="false">-1+A100*0.125</f>
        <v>-1</v>
      </c>
      <c r="E100" s="0" t="n">
        <f aca="false">-1+B100*0.125</f>
        <v>-0.375</v>
      </c>
      <c r="F100" s="0" t="n">
        <f aca="false">-1+C100*0.125</f>
        <v>0.25</v>
      </c>
      <c r="G100" s="0" t="n">
        <f aca="false">1</f>
        <v>1</v>
      </c>
      <c r="H100" s="0" t="n">
        <f aca="false">D100</f>
        <v>-1</v>
      </c>
      <c r="I100" s="0" t="n">
        <f aca="false">E100</f>
        <v>-0.375</v>
      </c>
      <c r="J100" s="0" t="n">
        <f aca="false">F100</f>
        <v>0.25</v>
      </c>
      <c r="K100" s="0" t="n">
        <f aca="false">D100*E100</f>
        <v>0.375</v>
      </c>
      <c r="L100" s="0" t="n">
        <f aca="false">D100*F100</f>
        <v>-0.25</v>
      </c>
      <c r="M100" s="0" t="n">
        <f aca="false">E100*F100</f>
        <v>-0.09375</v>
      </c>
      <c r="N100" s="0" t="n">
        <f aca="false">D100*D100</f>
        <v>1</v>
      </c>
      <c r="O100" s="0" t="n">
        <f aca="false">E100*E100</f>
        <v>0.140625</v>
      </c>
      <c r="P100" s="0" t="n">
        <f aca="false">F100*F100</f>
        <v>0.0625</v>
      </c>
      <c r="Q100" s="0" t="n">
        <f aca="false">SUMPRODUCT(G100:P100,_XtX!$B$71:$K$71)</f>
        <v>42.9484090909091</v>
      </c>
      <c r="R100" s="0" t="n">
        <f aca="false">SUMPRODUCT(MMULT(G100:P100,_XtX!$B$58:$K$67),G100:P100)</f>
        <v>0.470061700994318</v>
      </c>
      <c r="S100" s="0" t="n">
        <f aca="false">04_回帰ANOVA!$K$19*04_回帰ANOVA!$K$14*SQRT(1+R100)</f>
        <v>1.12728678965931</v>
      </c>
      <c r="T100" s="0" t="n">
        <f aca="false">Q100-S100</f>
        <v>41.8211223012498</v>
      </c>
      <c r="U100" s="0" t="n">
        <f aca="false">Q100+S100</f>
        <v>44.0756958805684</v>
      </c>
      <c r="V100" s="54" t="b">
        <f aca="false">AND(D100&gt;=01_因子設定!$L$5-0.000000001,D100&lt;=01_因子設定!$M$5+0.000000001,E100&gt;=01_因子設定!$L$6-0.000000001,E100&lt;=01_因子設定!$M$6+0.000000001,F100&gt;=01_因子設定!$L$7-0.000000001,F100&lt;=01_因子設定!$M$7+0.000000001,IF(01_因子設定!$B$20="Box-Behnken",D100^2+E100^2+F100^2&lt;=2+0.000000001,TRUE()))</f>
        <v>1</v>
      </c>
      <c r="W100" s="55" t="n">
        <f aca="false">IF(V100,IF(01_因子設定!$B$13="最大化",T100-01_因子設定!$B$14,IF(01_因子設定!$B$13="最小化",01_因子設定!$B$15-U100,MIN(T100-01_因子設定!$B$14,01_因子設定!$B$15-U100))),-1E+030)</f>
        <v>-6.67887769875023</v>
      </c>
      <c r="X100" s="55" t="n">
        <f aca="false">IF(V100,IF(01_因子設定!$B$13="最大化",Q100,IF(01_因子設定!$B$13="最小化",-Q100,-ABS(Q100-01_因子設定!$B$16))),-1E+030)</f>
        <v>42.9484090909091</v>
      </c>
      <c r="Y100" s="55" t="n">
        <f aca="false">W100+ROW()*0.000000001</f>
        <v>-6.67887759875023</v>
      </c>
      <c r="Z100" s="55" t="n">
        <f aca="false">X100+ROW()*0.000000001</f>
        <v>42.9484091909091</v>
      </c>
    </row>
    <row r="101" customFormat="false" ht="15" hidden="false" customHeight="false" outlineLevel="0" collapsed="false">
      <c r="A101" s="0" t="n">
        <v>0</v>
      </c>
      <c r="B101" s="0" t="n">
        <v>5</v>
      </c>
      <c r="C101" s="0" t="n">
        <v>11</v>
      </c>
      <c r="D101" s="0" t="n">
        <f aca="false">-1+A101*0.125</f>
        <v>-1</v>
      </c>
      <c r="E101" s="0" t="n">
        <f aca="false">-1+B101*0.125</f>
        <v>-0.375</v>
      </c>
      <c r="F101" s="0" t="n">
        <f aca="false">-1+C101*0.125</f>
        <v>0.375</v>
      </c>
      <c r="G101" s="0" t="n">
        <f aca="false">1</f>
        <v>1</v>
      </c>
      <c r="H101" s="0" t="n">
        <f aca="false">D101</f>
        <v>-1</v>
      </c>
      <c r="I101" s="0" t="n">
        <f aca="false">E101</f>
        <v>-0.375</v>
      </c>
      <c r="J101" s="0" t="n">
        <f aca="false">F101</f>
        <v>0.375</v>
      </c>
      <c r="K101" s="0" t="n">
        <f aca="false">D101*E101</f>
        <v>0.375</v>
      </c>
      <c r="L101" s="0" t="n">
        <f aca="false">D101*F101</f>
        <v>-0.375</v>
      </c>
      <c r="M101" s="0" t="n">
        <f aca="false">E101*F101</f>
        <v>-0.140625</v>
      </c>
      <c r="N101" s="0" t="n">
        <f aca="false">D101*D101</f>
        <v>1</v>
      </c>
      <c r="O101" s="0" t="n">
        <f aca="false">E101*E101</f>
        <v>0.140625</v>
      </c>
      <c r="P101" s="0" t="n">
        <f aca="false">F101*F101</f>
        <v>0.140625</v>
      </c>
      <c r="Q101" s="0" t="n">
        <f aca="false">SUMPRODUCT(G101:P101,_XtX!$B$71:$K$71)</f>
        <v>43.0265909090909</v>
      </c>
      <c r="R101" s="0" t="n">
        <f aca="false">SUMPRODUCT(MMULT(G101:P101,_XtX!$B$58:$K$67),G101:P101)</f>
        <v>0.463378351384943</v>
      </c>
      <c r="S101" s="0" t="n">
        <f aca="false">04_回帰ANOVA!$K$19*04_回帰ANOVA!$K$14*SQRT(1+R101)</f>
        <v>1.12472137547772</v>
      </c>
      <c r="T101" s="0" t="n">
        <f aca="false">Q101-S101</f>
        <v>41.9018695336132</v>
      </c>
      <c r="U101" s="0" t="n">
        <f aca="false">Q101+S101</f>
        <v>44.1513122845686</v>
      </c>
      <c r="V101" s="54" t="b">
        <f aca="false">AND(D101&gt;=01_因子設定!$L$5-0.000000001,D101&lt;=01_因子設定!$M$5+0.000000001,E101&gt;=01_因子設定!$L$6-0.000000001,E101&lt;=01_因子設定!$M$6+0.000000001,F101&gt;=01_因子設定!$L$7-0.000000001,F101&lt;=01_因子設定!$M$7+0.000000001,IF(01_因子設定!$B$20="Box-Behnken",D101^2+E101^2+F101^2&lt;=2+0.000000001,TRUE()))</f>
        <v>1</v>
      </c>
      <c r="W101" s="55" t="n">
        <f aca="false">IF(V101,IF(01_因子設定!$B$13="最大化",T101-01_因子設定!$B$14,IF(01_因子設定!$B$13="最小化",01_因子設定!$B$15-U101,MIN(T101-01_因子設定!$B$14,01_因子設定!$B$15-U101))),-1E+030)</f>
        <v>-6.59813046638682</v>
      </c>
      <c r="X101" s="55" t="n">
        <f aca="false">IF(V101,IF(01_因子設定!$B$13="最大化",Q101,IF(01_因子設定!$B$13="最小化",-Q101,-ABS(Q101-01_因子設定!$B$16))),-1E+030)</f>
        <v>43.0265909090909</v>
      </c>
      <c r="Y101" s="55" t="n">
        <f aca="false">W101+ROW()*0.000000001</f>
        <v>-6.59813036538682</v>
      </c>
      <c r="Z101" s="55" t="n">
        <f aca="false">X101+ROW()*0.000000001</f>
        <v>43.0265910100909</v>
      </c>
    </row>
    <row r="102" customFormat="false" ht="15" hidden="false" customHeight="false" outlineLevel="0" collapsed="false">
      <c r="A102" s="0" t="n">
        <v>0</v>
      </c>
      <c r="B102" s="0" t="n">
        <v>5</v>
      </c>
      <c r="C102" s="0" t="n">
        <v>12</v>
      </c>
      <c r="D102" s="0" t="n">
        <f aca="false">-1+A102*0.125</f>
        <v>-1</v>
      </c>
      <c r="E102" s="0" t="n">
        <f aca="false">-1+B102*0.125</f>
        <v>-0.375</v>
      </c>
      <c r="F102" s="0" t="n">
        <f aca="false">-1+C102*0.125</f>
        <v>0.5</v>
      </c>
      <c r="G102" s="0" t="n">
        <f aca="false">1</f>
        <v>1</v>
      </c>
      <c r="H102" s="0" t="n">
        <f aca="false">D102</f>
        <v>-1</v>
      </c>
      <c r="I102" s="0" t="n">
        <f aca="false">E102</f>
        <v>-0.375</v>
      </c>
      <c r="J102" s="0" t="n">
        <f aca="false">F102</f>
        <v>0.5</v>
      </c>
      <c r="K102" s="0" t="n">
        <f aca="false">D102*E102</f>
        <v>0.375</v>
      </c>
      <c r="L102" s="0" t="n">
        <f aca="false">D102*F102</f>
        <v>-0.5</v>
      </c>
      <c r="M102" s="0" t="n">
        <f aca="false">E102*F102</f>
        <v>-0.1875</v>
      </c>
      <c r="N102" s="0" t="n">
        <f aca="false">D102*D102</f>
        <v>1</v>
      </c>
      <c r="O102" s="0" t="n">
        <f aca="false">E102*E102</f>
        <v>0.140625</v>
      </c>
      <c r="P102" s="0" t="n">
        <f aca="false">F102*F102</f>
        <v>0.25</v>
      </c>
      <c r="Q102" s="0" t="n">
        <f aca="false">SUMPRODUCT(G102:P102,_XtX!$B$71:$K$71)</f>
        <v>43.0679829545455</v>
      </c>
      <c r="R102" s="0" t="n">
        <f aca="false">SUMPRODUCT(MMULT(G102:P102,_XtX!$B$58:$K$67),G102:P102)</f>
        <v>0.461479048295455</v>
      </c>
      <c r="S102" s="0" t="n">
        <f aca="false">04_回帰ANOVA!$K$19*04_回帰ANOVA!$K$14*SQRT(1+R102)</f>
        <v>1.12399125658369</v>
      </c>
      <c r="T102" s="0" t="n">
        <f aca="false">Q102-S102</f>
        <v>41.9439916979618</v>
      </c>
      <c r="U102" s="0" t="n">
        <f aca="false">Q102+S102</f>
        <v>44.1919742111291</v>
      </c>
      <c r="V102" s="54" t="b">
        <f aca="false">AND(D102&gt;=01_因子設定!$L$5-0.000000001,D102&lt;=01_因子設定!$M$5+0.000000001,E102&gt;=01_因子設定!$L$6-0.000000001,E102&lt;=01_因子設定!$M$6+0.000000001,F102&gt;=01_因子設定!$L$7-0.000000001,F102&lt;=01_因子設定!$M$7+0.000000001,IF(01_因子設定!$B$20="Box-Behnken",D102^2+E102^2+F102^2&lt;=2+0.000000001,TRUE()))</f>
        <v>1</v>
      </c>
      <c r="W102" s="55" t="n">
        <f aca="false">IF(V102,IF(01_因子設定!$B$13="最大化",T102-01_因子設定!$B$14,IF(01_因子設定!$B$13="最小化",01_因子設定!$B$15-U102,MIN(T102-01_因子設定!$B$14,01_因子設定!$B$15-U102))),-1E+030)</f>
        <v>-6.55600830203824</v>
      </c>
      <c r="X102" s="55" t="n">
        <f aca="false">IF(V102,IF(01_因子設定!$B$13="最大化",Q102,IF(01_因子設定!$B$13="最小化",-Q102,-ABS(Q102-01_因子設定!$B$16))),-1E+030)</f>
        <v>43.0679829545455</v>
      </c>
      <c r="Y102" s="55" t="n">
        <f aca="false">W102+ROW()*0.000000001</f>
        <v>-6.55600820003824</v>
      </c>
      <c r="Z102" s="55" t="n">
        <f aca="false">X102+ROW()*0.000000001</f>
        <v>43.0679830565455</v>
      </c>
    </row>
    <row r="103" customFormat="false" ht="15" hidden="false" customHeight="false" outlineLevel="0" collapsed="false">
      <c r="A103" s="0" t="n">
        <v>0</v>
      </c>
      <c r="B103" s="0" t="n">
        <v>5</v>
      </c>
      <c r="C103" s="0" t="n">
        <v>13</v>
      </c>
      <c r="D103" s="0" t="n">
        <f aca="false">-1+A103*0.125</f>
        <v>-1</v>
      </c>
      <c r="E103" s="0" t="n">
        <f aca="false">-1+B103*0.125</f>
        <v>-0.375</v>
      </c>
      <c r="F103" s="0" t="n">
        <f aca="false">-1+C103*0.125</f>
        <v>0.625</v>
      </c>
      <c r="G103" s="0" t="n">
        <f aca="false">1</f>
        <v>1</v>
      </c>
      <c r="H103" s="0" t="n">
        <f aca="false">D103</f>
        <v>-1</v>
      </c>
      <c r="I103" s="0" t="n">
        <f aca="false">E103</f>
        <v>-0.375</v>
      </c>
      <c r="J103" s="0" t="n">
        <f aca="false">F103</f>
        <v>0.625</v>
      </c>
      <c r="K103" s="0" t="n">
        <f aca="false">D103*E103</f>
        <v>0.375</v>
      </c>
      <c r="L103" s="0" t="n">
        <f aca="false">D103*F103</f>
        <v>-0.625</v>
      </c>
      <c r="M103" s="0" t="n">
        <f aca="false">E103*F103</f>
        <v>-0.234375</v>
      </c>
      <c r="N103" s="0" t="n">
        <f aca="false">D103*D103</f>
        <v>1</v>
      </c>
      <c r="O103" s="0" t="n">
        <f aca="false">E103*E103</f>
        <v>0.140625</v>
      </c>
      <c r="P103" s="0" t="n">
        <f aca="false">F103*F103</f>
        <v>0.390625</v>
      </c>
      <c r="Q103" s="0" t="n">
        <f aca="false">SUMPRODUCT(G103:P103,_XtX!$B$71:$K$71)</f>
        <v>43.0725852272727</v>
      </c>
      <c r="R103" s="0" t="n">
        <f aca="false">SUMPRODUCT(MMULT(G103:P103,_XtX!$B$58:$K$67),G103:P103)</f>
        <v>0.471821178089489</v>
      </c>
      <c r="S103" s="0" t="n">
        <f aca="false">04_回帰ANOVA!$K$19*04_回帰ANOVA!$K$14*SQRT(1+R103)</f>
        <v>1.12796119746125</v>
      </c>
      <c r="T103" s="0" t="n">
        <f aca="false">Q103-S103</f>
        <v>41.9446240298115</v>
      </c>
      <c r="U103" s="0" t="n">
        <f aca="false">Q103+S103</f>
        <v>44.200546424734</v>
      </c>
      <c r="V103" s="54" t="b">
        <f aca="false">AND(D103&gt;=01_因子設定!$L$5-0.000000001,D103&lt;=01_因子設定!$M$5+0.000000001,E103&gt;=01_因子設定!$L$6-0.000000001,E103&lt;=01_因子設定!$M$6+0.000000001,F103&gt;=01_因子設定!$L$7-0.000000001,F103&lt;=01_因子設定!$M$7+0.000000001,IF(01_因子設定!$B$20="Box-Behnken",D103^2+E103^2+F103^2&lt;=2+0.000000001,TRUE()))</f>
        <v>1</v>
      </c>
      <c r="W103" s="55" t="n">
        <f aca="false">IF(V103,IF(01_因子設定!$B$13="最大化",T103-01_因子設定!$B$14,IF(01_因子設定!$B$13="最小化",01_因子設定!$B$15-U103,MIN(T103-01_因子設定!$B$14,01_因子設定!$B$15-U103))),-1E+030)</f>
        <v>-6.55537597018854</v>
      </c>
      <c r="X103" s="55" t="n">
        <f aca="false">IF(V103,IF(01_因子設定!$B$13="最大化",Q103,IF(01_因子設定!$B$13="最小化",-Q103,-ABS(Q103-01_因子設定!$B$16))),-1E+030)</f>
        <v>43.0725852272727</v>
      </c>
      <c r="Y103" s="55" t="n">
        <f aca="false">W103+ROW()*0.000000001</f>
        <v>-6.55537586718854</v>
      </c>
      <c r="Z103" s="55" t="n">
        <f aca="false">X103+ROW()*0.000000001</f>
        <v>43.0725853302727</v>
      </c>
    </row>
    <row r="104" customFormat="false" ht="15" hidden="false" customHeight="false" outlineLevel="0" collapsed="false">
      <c r="A104" s="0" t="n">
        <v>0</v>
      </c>
      <c r="B104" s="0" t="n">
        <v>5</v>
      </c>
      <c r="C104" s="0" t="n">
        <v>14</v>
      </c>
      <c r="D104" s="0" t="n">
        <f aca="false">-1+A104*0.125</f>
        <v>-1</v>
      </c>
      <c r="E104" s="0" t="n">
        <f aca="false">-1+B104*0.125</f>
        <v>-0.375</v>
      </c>
      <c r="F104" s="0" t="n">
        <f aca="false">-1+C104*0.125</f>
        <v>0.75</v>
      </c>
      <c r="G104" s="0" t="n">
        <f aca="false">1</f>
        <v>1</v>
      </c>
      <c r="H104" s="0" t="n">
        <f aca="false">D104</f>
        <v>-1</v>
      </c>
      <c r="I104" s="0" t="n">
        <f aca="false">E104</f>
        <v>-0.375</v>
      </c>
      <c r="J104" s="0" t="n">
        <f aca="false">F104</f>
        <v>0.75</v>
      </c>
      <c r="K104" s="0" t="n">
        <f aca="false">D104*E104</f>
        <v>0.375</v>
      </c>
      <c r="L104" s="0" t="n">
        <f aca="false">D104*F104</f>
        <v>-0.75</v>
      </c>
      <c r="M104" s="0" t="n">
        <f aca="false">E104*F104</f>
        <v>-0.28125</v>
      </c>
      <c r="N104" s="0" t="n">
        <f aca="false">D104*D104</f>
        <v>1</v>
      </c>
      <c r="O104" s="0" t="n">
        <f aca="false">E104*E104</f>
        <v>0.140625</v>
      </c>
      <c r="P104" s="0" t="n">
        <f aca="false">F104*F104</f>
        <v>0.5625</v>
      </c>
      <c r="Q104" s="0" t="n">
        <f aca="false">SUMPRODUCT(G104:P104,_XtX!$B$71:$K$71)</f>
        <v>43.0403977272727</v>
      </c>
      <c r="R104" s="0" t="n">
        <f aca="false">SUMPRODUCT(MMULT(G104:P104,_XtX!$B$58:$K$67),G104:P104)</f>
        <v>0.503992808948864</v>
      </c>
      <c r="S104" s="0" t="n">
        <f aca="false">04_回帰ANOVA!$K$19*04_回帰ANOVA!$K$14*SQRT(1+R104)</f>
        <v>1.14022226176226</v>
      </c>
      <c r="T104" s="0" t="n">
        <f aca="false">Q104-S104</f>
        <v>41.9001754655105</v>
      </c>
      <c r="U104" s="0" t="n">
        <f aca="false">Q104+S104</f>
        <v>44.180619989035</v>
      </c>
      <c r="V104" s="54" t="b">
        <f aca="false">AND(D104&gt;=01_因子設定!$L$5-0.000000001,D104&lt;=01_因子設定!$M$5+0.000000001,E104&gt;=01_因子設定!$L$6-0.000000001,E104&lt;=01_因子設定!$M$6+0.000000001,F104&gt;=01_因子設定!$L$7-0.000000001,F104&lt;=01_因子設定!$M$7+0.000000001,IF(01_因子設定!$B$20="Box-Behnken",D104^2+E104^2+F104^2&lt;=2+0.000000001,TRUE()))</f>
        <v>1</v>
      </c>
      <c r="W104" s="55" t="n">
        <f aca="false">IF(V104,IF(01_因子設定!$B$13="最大化",T104-01_因子設定!$B$14,IF(01_因子設定!$B$13="最小化",01_因子設定!$B$15-U104,MIN(T104-01_因子設定!$B$14,01_因子設定!$B$15-U104))),-1E+030)</f>
        <v>-6.59982453448954</v>
      </c>
      <c r="X104" s="55" t="n">
        <f aca="false">IF(V104,IF(01_因子設定!$B$13="最大化",Q104,IF(01_因子設定!$B$13="最小化",-Q104,-ABS(Q104-01_因子設定!$B$16))),-1E+030)</f>
        <v>43.0403977272727</v>
      </c>
      <c r="Y104" s="55" t="n">
        <f aca="false">W104+ROW()*0.000000001</f>
        <v>-6.59982443048954</v>
      </c>
      <c r="Z104" s="55" t="n">
        <f aca="false">X104+ROW()*0.000000001</f>
        <v>43.0403978312727</v>
      </c>
    </row>
    <row r="105" customFormat="false" ht="15" hidden="false" customHeight="false" outlineLevel="0" collapsed="false">
      <c r="A105" s="0" t="n">
        <v>0</v>
      </c>
      <c r="B105" s="0" t="n">
        <v>5</v>
      </c>
      <c r="C105" s="0" t="n">
        <v>15</v>
      </c>
      <c r="D105" s="0" t="n">
        <f aca="false">-1+A105*0.125</f>
        <v>-1</v>
      </c>
      <c r="E105" s="0" t="n">
        <f aca="false">-1+B105*0.125</f>
        <v>-0.375</v>
      </c>
      <c r="F105" s="0" t="n">
        <f aca="false">-1+C105*0.125</f>
        <v>0.875</v>
      </c>
      <c r="G105" s="0" t="n">
        <f aca="false">1</f>
        <v>1</v>
      </c>
      <c r="H105" s="0" t="n">
        <f aca="false">D105</f>
        <v>-1</v>
      </c>
      <c r="I105" s="0" t="n">
        <f aca="false">E105</f>
        <v>-0.375</v>
      </c>
      <c r="J105" s="0" t="n">
        <f aca="false">F105</f>
        <v>0.875</v>
      </c>
      <c r="K105" s="0" t="n">
        <f aca="false">D105*E105</f>
        <v>0.375</v>
      </c>
      <c r="L105" s="0" t="n">
        <f aca="false">D105*F105</f>
        <v>-0.875</v>
      </c>
      <c r="M105" s="0" t="n">
        <f aca="false">E105*F105</f>
        <v>-0.328125</v>
      </c>
      <c r="N105" s="0" t="n">
        <f aca="false">D105*D105</f>
        <v>1</v>
      </c>
      <c r="O105" s="0" t="n">
        <f aca="false">E105*E105</f>
        <v>0.140625</v>
      </c>
      <c r="P105" s="0" t="n">
        <f aca="false">F105*F105</f>
        <v>0.765625</v>
      </c>
      <c r="Q105" s="0" t="n">
        <f aca="false">SUMPRODUCT(G105:P105,_XtX!$B$71:$K$71)</f>
        <v>42.9714204545455</v>
      </c>
      <c r="R105" s="0" t="n">
        <f aca="false">SUMPRODUCT(MMULT(G105:P105,_XtX!$B$58:$K$67),G105:P105)</f>
        <v>0.56971269087358</v>
      </c>
      <c r="S105" s="0" t="n">
        <f aca="false">04_回帰ANOVA!$K$19*04_回帰ANOVA!$K$14*SQRT(1+R105)</f>
        <v>1.16486801567081</v>
      </c>
      <c r="T105" s="0" t="n">
        <f aca="false">Q105-S105</f>
        <v>41.8065524388747</v>
      </c>
      <c r="U105" s="0" t="n">
        <f aca="false">Q105+S105</f>
        <v>44.1362884702163</v>
      </c>
      <c r="V105" s="54" t="b">
        <f aca="false">AND(D105&gt;=01_因子設定!$L$5-0.000000001,D105&lt;=01_因子設定!$M$5+0.000000001,E105&gt;=01_因子設定!$L$6-0.000000001,E105&lt;=01_因子設定!$M$6+0.000000001,F105&gt;=01_因子設定!$L$7-0.000000001,F105&lt;=01_因子設定!$M$7+0.000000001,IF(01_因子設定!$B$20="Box-Behnken",D105^2+E105^2+F105^2&lt;=2+0.000000001,TRUE()))</f>
        <v>1</v>
      </c>
      <c r="W105" s="55" t="n">
        <f aca="false">IF(V105,IF(01_因子設定!$B$13="最大化",T105-01_因子設定!$B$14,IF(01_因子設定!$B$13="最小化",01_因子設定!$B$15-U105,MIN(T105-01_因子設定!$B$14,01_因子設定!$B$15-U105))),-1E+030)</f>
        <v>-6.69344756112535</v>
      </c>
      <c r="X105" s="55" t="n">
        <f aca="false">IF(V105,IF(01_因子設定!$B$13="最大化",Q105,IF(01_因子設定!$B$13="最小化",-Q105,-ABS(Q105-01_因子設定!$B$16))),-1E+030)</f>
        <v>42.9714204545455</v>
      </c>
      <c r="Y105" s="55" t="n">
        <f aca="false">W105+ROW()*0.000000001</f>
        <v>-6.69344745612535</v>
      </c>
      <c r="Z105" s="55" t="n">
        <f aca="false">X105+ROW()*0.000000001</f>
        <v>42.9714205595455</v>
      </c>
    </row>
    <row r="106" customFormat="false" ht="15" hidden="false" customHeight="false" outlineLevel="0" collapsed="false">
      <c r="A106" s="0" t="n">
        <v>0</v>
      </c>
      <c r="B106" s="0" t="n">
        <v>5</v>
      </c>
      <c r="C106" s="0" t="n">
        <v>16</v>
      </c>
      <c r="D106" s="0" t="n">
        <f aca="false">-1+A106*0.125</f>
        <v>-1</v>
      </c>
      <c r="E106" s="0" t="n">
        <f aca="false">-1+B106*0.125</f>
        <v>-0.375</v>
      </c>
      <c r="F106" s="0" t="n">
        <f aca="false">-1+C106*0.125</f>
        <v>1</v>
      </c>
      <c r="G106" s="0" t="n">
        <f aca="false">1</f>
        <v>1</v>
      </c>
      <c r="H106" s="0" t="n">
        <f aca="false">D106</f>
        <v>-1</v>
      </c>
      <c r="I106" s="0" t="n">
        <f aca="false">E106</f>
        <v>-0.375</v>
      </c>
      <c r="J106" s="0" t="n">
        <f aca="false">F106</f>
        <v>1</v>
      </c>
      <c r="K106" s="0" t="n">
        <f aca="false">D106*E106</f>
        <v>0.375</v>
      </c>
      <c r="L106" s="0" t="n">
        <f aca="false">D106*F106</f>
        <v>-1</v>
      </c>
      <c r="M106" s="0" t="n">
        <f aca="false">E106*F106</f>
        <v>-0.375</v>
      </c>
      <c r="N106" s="0" t="n">
        <f aca="false">D106*D106</f>
        <v>1</v>
      </c>
      <c r="O106" s="0" t="n">
        <f aca="false">E106*E106</f>
        <v>0.140625</v>
      </c>
      <c r="P106" s="0" t="n">
        <f aca="false">F106*F106</f>
        <v>1</v>
      </c>
      <c r="Q106" s="0" t="n">
        <f aca="false">SUMPRODUCT(G106:P106,_XtX!$B$71:$K$71)</f>
        <v>42.8656534090909</v>
      </c>
      <c r="R106" s="0" t="n">
        <f aca="false">SUMPRODUCT(MMULT(G106:P106,_XtX!$B$58:$K$67),G106:P106)</f>
        <v>0.682830255681818</v>
      </c>
      <c r="S106" s="0" t="n">
        <f aca="false">04_回帰ANOVA!$K$19*04_回帰ANOVA!$K$14*SQRT(1+R106)</f>
        <v>1.20610964896955</v>
      </c>
      <c r="T106" s="0" t="n">
        <f aca="false">Q106-S106</f>
        <v>41.6595437601214</v>
      </c>
      <c r="U106" s="0" t="n">
        <f aca="false">Q106+S106</f>
        <v>44.0717630580605</v>
      </c>
      <c r="V106" s="54" t="b">
        <f aca="false">AND(D106&gt;=01_因子設定!$L$5-0.000000001,D106&lt;=01_因子設定!$M$5+0.000000001,E106&gt;=01_因子設定!$L$6-0.000000001,E106&lt;=01_因子設定!$M$6+0.000000001,F106&gt;=01_因子設定!$L$7-0.000000001,F106&lt;=01_因子設定!$M$7+0.000000001,IF(01_因子設定!$B$20="Box-Behnken",D106^2+E106^2+F106^2&lt;=2+0.000000001,TRUE()))</f>
        <v>1</v>
      </c>
      <c r="W106" s="55" t="n">
        <f aca="false">IF(V106,IF(01_因子設定!$B$13="最大化",T106-01_因子設定!$B$14,IF(01_因子設定!$B$13="最小化",01_因子設定!$B$15-U106,MIN(T106-01_因子設定!$B$14,01_因子設定!$B$15-U106))),-1E+030)</f>
        <v>-6.84045623987863</v>
      </c>
      <c r="X106" s="55" t="n">
        <f aca="false">IF(V106,IF(01_因子設定!$B$13="最大化",Q106,IF(01_因子設定!$B$13="最小化",-Q106,-ABS(Q106-01_因子設定!$B$16))),-1E+030)</f>
        <v>42.8656534090909</v>
      </c>
      <c r="Y106" s="55" t="n">
        <f aca="false">W106+ROW()*0.000000001</f>
        <v>-6.84045613387863</v>
      </c>
      <c r="Z106" s="55" t="n">
        <f aca="false">X106+ROW()*0.000000001</f>
        <v>42.8656535150909</v>
      </c>
    </row>
    <row r="107" customFormat="false" ht="15" hidden="false" customHeight="false" outlineLevel="0" collapsed="false">
      <c r="A107" s="0" t="n">
        <v>0</v>
      </c>
      <c r="B107" s="0" t="n">
        <v>6</v>
      </c>
      <c r="C107" s="0" t="n">
        <v>0</v>
      </c>
      <c r="D107" s="0" t="n">
        <f aca="false">-1+A107*0.125</f>
        <v>-1</v>
      </c>
      <c r="E107" s="0" t="n">
        <f aca="false">-1+B107*0.125</f>
        <v>-0.25</v>
      </c>
      <c r="F107" s="0" t="n">
        <f aca="false">-1+C107*0.125</f>
        <v>-1</v>
      </c>
      <c r="G107" s="0" t="n">
        <f aca="false">1</f>
        <v>1</v>
      </c>
      <c r="H107" s="0" t="n">
        <f aca="false">D107</f>
        <v>-1</v>
      </c>
      <c r="I107" s="0" t="n">
        <f aca="false">E107</f>
        <v>-0.25</v>
      </c>
      <c r="J107" s="0" t="n">
        <f aca="false">F107</f>
        <v>-1</v>
      </c>
      <c r="K107" s="0" t="n">
        <f aca="false">D107*E107</f>
        <v>0.25</v>
      </c>
      <c r="L107" s="0" t="n">
        <f aca="false">D107*F107</f>
        <v>1</v>
      </c>
      <c r="M107" s="0" t="n">
        <f aca="false">E107*F107</f>
        <v>0.25</v>
      </c>
      <c r="N107" s="0" t="n">
        <f aca="false">D107*D107</f>
        <v>1</v>
      </c>
      <c r="O107" s="0" t="n">
        <f aca="false">E107*E107</f>
        <v>0.0625</v>
      </c>
      <c r="P107" s="0" t="n">
        <f aca="false">F107*F107</f>
        <v>1</v>
      </c>
      <c r="Q107" s="0" t="n">
        <f aca="false">SUMPRODUCT(G107:P107,_XtX!$B$71:$K$71)</f>
        <v>40.3509090909091</v>
      </c>
      <c r="R107" s="0" t="n">
        <f aca="false">SUMPRODUCT(MMULT(G107:P107,_XtX!$B$58:$K$67),G107:P107)</f>
        <v>0.699431818181818</v>
      </c>
      <c r="S107" s="0" t="n">
        <f aca="false">04_回帰ANOVA!$K$19*04_回帰ANOVA!$K$14*SQRT(1+R107)</f>
        <v>1.21204434231192</v>
      </c>
      <c r="T107" s="0" t="n">
        <f aca="false">Q107-S107</f>
        <v>39.1388647485972</v>
      </c>
      <c r="U107" s="0" t="n">
        <f aca="false">Q107+S107</f>
        <v>41.562953433221</v>
      </c>
      <c r="V107" s="54" t="b">
        <f aca="false">AND(D107&gt;=01_因子設定!$L$5-0.000000001,D107&lt;=01_因子設定!$M$5+0.000000001,E107&gt;=01_因子設定!$L$6-0.000000001,E107&lt;=01_因子設定!$M$6+0.000000001,F107&gt;=01_因子設定!$L$7-0.000000001,F107&lt;=01_因子設定!$M$7+0.000000001,IF(01_因子設定!$B$20="Box-Behnken",D107^2+E107^2+F107^2&lt;=2+0.000000001,TRUE()))</f>
        <v>1</v>
      </c>
      <c r="W107" s="55" t="n">
        <f aca="false">IF(V107,IF(01_因子設定!$B$13="最大化",T107-01_因子設定!$B$14,IF(01_因子設定!$B$13="最小化",01_因子設定!$B$15-U107,MIN(T107-01_因子設定!$B$14,01_因子設定!$B$15-U107))),-1E+030)</f>
        <v>-9.36113525140282</v>
      </c>
      <c r="X107" s="55" t="n">
        <f aca="false">IF(V107,IF(01_因子設定!$B$13="最大化",Q107,IF(01_因子設定!$B$13="最小化",-Q107,-ABS(Q107-01_因子設定!$B$16))),-1E+030)</f>
        <v>40.3509090909091</v>
      </c>
      <c r="Y107" s="55" t="n">
        <f aca="false">W107+ROW()*0.000000001</f>
        <v>-9.36113514440282</v>
      </c>
      <c r="Z107" s="55" t="n">
        <f aca="false">X107+ROW()*0.000000001</f>
        <v>40.3509091979091</v>
      </c>
    </row>
    <row r="108" customFormat="false" ht="15" hidden="false" customHeight="false" outlineLevel="0" collapsed="false">
      <c r="A108" s="0" t="n">
        <v>0</v>
      </c>
      <c r="B108" s="0" t="n">
        <v>6</v>
      </c>
      <c r="C108" s="0" t="n">
        <v>1</v>
      </c>
      <c r="D108" s="0" t="n">
        <f aca="false">-1+A108*0.125</f>
        <v>-1</v>
      </c>
      <c r="E108" s="0" t="n">
        <f aca="false">-1+B108*0.125</f>
        <v>-0.25</v>
      </c>
      <c r="F108" s="0" t="n">
        <f aca="false">-1+C108*0.125</f>
        <v>-0.875</v>
      </c>
      <c r="G108" s="0" t="n">
        <f aca="false">1</f>
        <v>1</v>
      </c>
      <c r="H108" s="0" t="n">
        <f aca="false">D108</f>
        <v>-1</v>
      </c>
      <c r="I108" s="0" t="n">
        <f aca="false">E108</f>
        <v>-0.25</v>
      </c>
      <c r="J108" s="0" t="n">
        <f aca="false">F108</f>
        <v>-0.875</v>
      </c>
      <c r="K108" s="0" t="n">
        <f aca="false">D108*E108</f>
        <v>0.25</v>
      </c>
      <c r="L108" s="0" t="n">
        <f aca="false">D108*F108</f>
        <v>0.875</v>
      </c>
      <c r="M108" s="0" t="n">
        <f aca="false">E108*F108</f>
        <v>0.21875</v>
      </c>
      <c r="N108" s="0" t="n">
        <f aca="false">D108*D108</f>
        <v>1</v>
      </c>
      <c r="O108" s="0" t="n">
        <f aca="false">E108*E108</f>
        <v>0.0625</v>
      </c>
      <c r="P108" s="0" t="n">
        <f aca="false">F108*F108</f>
        <v>0.765625</v>
      </c>
      <c r="Q108" s="0" t="n">
        <f aca="false">SUMPRODUCT(G108:P108,_XtX!$B$71:$K$71)</f>
        <v>40.8040198863636</v>
      </c>
      <c r="R108" s="0" t="n">
        <f aca="false">SUMPRODUCT(MMULT(G108:P108,_XtX!$B$58:$K$67),G108:P108)</f>
        <v>0.583609286221591</v>
      </c>
      <c r="S108" s="0" t="n">
        <f aca="false">04_回帰ANOVA!$K$19*04_回帰ANOVA!$K$14*SQRT(1+R108)</f>
        <v>1.1700129157584</v>
      </c>
      <c r="T108" s="0" t="n">
        <f aca="false">Q108-S108</f>
        <v>39.6340069706053</v>
      </c>
      <c r="U108" s="0" t="n">
        <f aca="false">Q108+S108</f>
        <v>41.974032802122</v>
      </c>
      <c r="V108" s="54" t="b">
        <f aca="false">AND(D108&gt;=01_因子設定!$L$5-0.000000001,D108&lt;=01_因子設定!$M$5+0.000000001,E108&gt;=01_因子設定!$L$6-0.000000001,E108&lt;=01_因子設定!$M$6+0.000000001,F108&gt;=01_因子設定!$L$7-0.000000001,F108&lt;=01_因子設定!$M$7+0.000000001,IF(01_因子設定!$B$20="Box-Behnken",D108^2+E108^2+F108^2&lt;=2+0.000000001,TRUE()))</f>
        <v>1</v>
      </c>
      <c r="W108" s="55" t="n">
        <f aca="false">IF(V108,IF(01_因子設定!$B$13="最大化",T108-01_因子設定!$B$14,IF(01_因子設定!$B$13="最小化",01_因子設定!$B$15-U108,MIN(T108-01_因子設定!$B$14,01_因子設定!$B$15-U108))),-1E+030)</f>
        <v>-8.86599302939475</v>
      </c>
      <c r="X108" s="55" t="n">
        <f aca="false">IF(V108,IF(01_因子設定!$B$13="最大化",Q108,IF(01_因子設定!$B$13="最小化",-Q108,-ABS(Q108-01_因子設定!$B$16))),-1E+030)</f>
        <v>40.8040198863636</v>
      </c>
      <c r="Y108" s="55" t="n">
        <f aca="false">W108+ROW()*0.000000001</f>
        <v>-8.86599292139475</v>
      </c>
      <c r="Z108" s="55" t="n">
        <f aca="false">X108+ROW()*0.000000001</f>
        <v>40.8040199943636</v>
      </c>
    </row>
    <row r="109" customFormat="false" ht="15" hidden="false" customHeight="false" outlineLevel="0" collapsed="false">
      <c r="A109" s="0" t="n">
        <v>0</v>
      </c>
      <c r="B109" s="0" t="n">
        <v>6</v>
      </c>
      <c r="C109" s="0" t="n">
        <v>2</v>
      </c>
      <c r="D109" s="0" t="n">
        <f aca="false">-1+A109*0.125</f>
        <v>-1</v>
      </c>
      <c r="E109" s="0" t="n">
        <f aca="false">-1+B109*0.125</f>
        <v>-0.25</v>
      </c>
      <c r="F109" s="0" t="n">
        <f aca="false">-1+C109*0.125</f>
        <v>-0.75</v>
      </c>
      <c r="G109" s="0" t="n">
        <f aca="false">1</f>
        <v>1</v>
      </c>
      <c r="H109" s="0" t="n">
        <f aca="false">D109</f>
        <v>-1</v>
      </c>
      <c r="I109" s="0" t="n">
        <f aca="false">E109</f>
        <v>-0.25</v>
      </c>
      <c r="J109" s="0" t="n">
        <f aca="false">F109</f>
        <v>-0.75</v>
      </c>
      <c r="K109" s="0" t="n">
        <f aca="false">D109*E109</f>
        <v>0.25</v>
      </c>
      <c r="L109" s="0" t="n">
        <f aca="false">D109*F109</f>
        <v>0.75</v>
      </c>
      <c r="M109" s="0" t="n">
        <f aca="false">E109*F109</f>
        <v>0.1875</v>
      </c>
      <c r="N109" s="0" t="n">
        <f aca="false">D109*D109</f>
        <v>1</v>
      </c>
      <c r="O109" s="0" t="n">
        <f aca="false">E109*E109</f>
        <v>0.0625</v>
      </c>
      <c r="P109" s="0" t="n">
        <f aca="false">F109*F109</f>
        <v>0.5625</v>
      </c>
      <c r="Q109" s="0" t="n">
        <f aca="false">SUMPRODUCT(G109:P109,_XtX!$B$71:$K$71)</f>
        <v>41.2203409090909</v>
      </c>
      <c r="R109" s="0" t="n">
        <f aca="false">SUMPRODUCT(MMULT(G109:P109,_XtX!$B$58:$K$67),G109:P109)</f>
        <v>0.515545099431818</v>
      </c>
      <c r="S109" s="0" t="n">
        <f aca="false">04_回帰ANOVA!$K$19*04_回帰ANOVA!$K$14*SQRT(1+R109)</f>
        <v>1.14459295464101</v>
      </c>
      <c r="T109" s="0" t="n">
        <f aca="false">Q109-S109</f>
        <v>40.0757479544499</v>
      </c>
      <c r="U109" s="0" t="n">
        <f aca="false">Q109+S109</f>
        <v>42.3649338637319</v>
      </c>
      <c r="V109" s="54" t="b">
        <f aca="false">AND(D109&gt;=01_因子設定!$L$5-0.000000001,D109&lt;=01_因子設定!$M$5+0.000000001,E109&gt;=01_因子設定!$L$6-0.000000001,E109&lt;=01_因子設定!$M$6+0.000000001,F109&gt;=01_因子設定!$L$7-0.000000001,F109&lt;=01_因子設定!$M$7+0.000000001,IF(01_因子設定!$B$20="Box-Behnken",D109^2+E109^2+F109^2&lt;=2+0.000000001,TRUE()))</f>
        <v>1</v>
      </c>
      <c r="W109" s="55" t="n">
        <f aca="false">IF(V109,IF(01_因子設定!$B$13="最大化",T109-01_因子設定!$B$14,IF(01_因子設定!$B$13="最小化",01_因子設定!$B$15-U109,MIN(T109-01_因子設定!$B$14,01_因子設定!$B$15-U109))),-1E+030)</f>
        <v>-8.42425204555011</v>
      </c>
      <c r="X109" s="55" t="n">
        <f aca="false">IF(V109,IF(01_因子設定!$B$13="最大化",Q109,IF(01_因子設定!$B$13="最小化",-Q109,-ABS(Q109-01_因子設定!$B$16))),-1E+030)</f>
        <v>41.2203409090909</v>
      </c>
      <c r="Y109" s="55" t="n">
        <f aca="false">W109+ROW()*0.000000001</f>
        <v>-8.42425193655011</v>
      </c>
      <c r="Z109" s="55" t="n">
        <f aca="false">X109+ROW()*0.000000001</f>
        <v>41.2203410180909</v>
      </c>
    </row>
    <row r="110" customFormat="false" ht="15" hidden="false" customHeight="false" outlineLevel="0" collapsed="false">
      <c r="A110" s="0" t="n">
        <v>0</v>
      </c>
      <c r="B110" s="0" t="n">
        <v>6</v>
      </c>
      <c r="C110" s="0" t="n">
        <v>3</v>
      </c>
      <c r="D110" s="0" t="n">
        <f aca="false">-1+A110*0.125</f>
        <v>-1</v>
      </c>
      <c r="E110" s="0" t="n">
        <f aca="false">-1+B110*0.125</f>
        <v>-0.25</v>
      </c>
      <c r="F110" s="0" t="n">
        <f aca="false">-1+C110*0.125</f>
        <v>-0.625</v>
      </c>
      <c r="G110" s="0" t="n">
        <f aca="false">1</f>
        <v>1</v>
      </c>
      <c r="H110" s="0" t="n">
        <f aca="false">D110</f>
        <v>-1</v>
      </c>
      <c r="I110" s="0" t="n">
        <f aca="false">E110</f>
        <v>-0.25</v>
      </c>
      <c r="J110" s="0" t="n">
        <f aca="false">F110</f>
        <v>-0.625</v>
      </c>
      <c r="K110" s="0" t="n">
        <f aca="false">D110*E110</f>
        <v>0.25</v>
      </c>
      <c r="L110" s="0" t="n">
        <f aca="false">D110*F110</f>
        <v>0.625</v>
      </c>
      <c r="M110" s="0" t="n">
        <f aca="false">E110*F110</f>
        <v>0.15625</v>
      </c>
      <c r="N110" s="0" t="n">
        <f aca="false">D110*D110</f>
        <v>1</v>
      </c>
      <c r="O110" s="0" t="n">
        <f aca="false">E110*E110</f>
        <v>0.0625</v>
      </c>
      <c r="P110" s="0" t="n">
        <f aca="false">F110*F110</f>
        <v>0.390625</v>
      </c>
      <c r="Q110" s="0" t="n">
        <f aca="false">SUMPRODUCT(G110:P110,_XtX!$B$71:$K$71)</f>
        <v>41.5998721590909</v>
      </c>
      <c r="R110" s="0" t="n">
        <f aca="false">SUMPRODUCT(MMULT(G110:P110,_XtX!$B$58:$K$67),G110:P110)</f>
        <v>0.481389825994318</v>
      </c>
      <c r="S110" s="0" t="n">
        <f aca="false">04_回帰ANOVA!$K$19*04_回帰ANOVA!$K$14*SQRT(1+R110)</f>
        <v>1.13162182500693</v>
      </c>
      <c r="T110" s="0" t="n">
        <f aca="false">Q110-S110</f>
        <v>40.468250334084</v>
      </c>
      <c r="U110" s="0" t="n">
        <f aca="false">Q110+S110</f>
        <v>42.7314939840978</v>
      </c>
      <c r="V110" s="54" t="b">
        <f aca="false">AND(D110&gt;=01_因子設定!$L$5-0.000000001,D110&lt;=01_因子設定!$M$5+0.000000001,E110&gt;=01_因子設定!$L$6-0.000000001,E110&lt;=01_因子設定!$M$6+0.000000001,F110&gt;=01_因子設定!$L$7-0.000000001,F110&lt;=01_因子設定!$M$7+0.000000001,IF(01_因子設定!$B$20="Box-Behnken",D110^2+E110^2+F110^2&lt;=2+0.000000001,TRUE()))</f>
        <v>1</v>
      </c>
      <c r="W110" s="55" t="n">
        <f aca="false">IF(V110,IF(01_因子設定!$B$13="最大化",T110-01_因子設定!$B$14,IF(01_因子設定!$B$13="最小化",01_因子設定!$B$15-U110,MIN(T110-01_因子設定!$B$14,01_因子設定!$B$15-U110))),-1E+030)</f>
        <v>-8.03174966591602</v>
      </c>
      <c r="X110" s="55" t="n">
        <f aca="false">IF(V110,IF(01_因子設定!$B$13="最大化",Q110,IF(01_因子設定!$B$13="最小化",-Q110,-ABS(Q110-01_因子設定!$B$16))),-1E+030)</f>
        <v>41.5998721590909</v>
      </c>
      <c r="Y110" s="55" t="n">
        <f aca="false">W110+ROW()*0.000000001</f>
        <v>-8.03174955591602</v>
      </c>
      <c r="Z110" s="55" t="n">
        <f aca="false">X110+ROW()*0.000000001</f>
        <v>41.5998722690909</v>
      </c>
    </row>
    <row r="111" customFormat="false" ht="15" hidden="false" customHeight="false" outlineLevel="0" collapsed="false">
      <c r="A111" s="0" t="n">
        <v>0</v>
      </c>
      <c r="B111" s="0" t="n">
        <v>6</v>
      </c>
      <c r="C111" s="0" t="n">
        <v>4</v>
      </c>
      <c r="D111" s="0" t="n">
        <f aca="false">-1+A111*0.125</f>
        <v>-1</v>
      </c>
      <c r="E111" s="0" t="n">
        <f aca="false">-1+B111*0.125</f>
        <v>-0.25</v>
      </c>
      <c r="F111" s="0" t="n">
        <f aca="false">-1+C111*0.125</f>
        <v>-0.5</v>
      </c>
      <c r="G111" s="0" t="n">
        <f aca="false">1</f>
        <v>1</v>
      </c>
      <c r="H111" s="0" t="n">
        <f aca="false">D111</f>
        <v>-1</v>
      </c>
      <c r="I111" s="0" t="n">
        <f aca="false">E111</f>
        <v>-0.25</v>
      </c>
      <c r="J111" s="0" t="n">
        <f aca="false">F111</f>
        <v>-0.5</v>
      </c>
      <c r="K111" s="0" t="n">
        <f aca="false">D111*E111</f>
        <v>0.25</v>
      </c>
      <c r="L111" s="0" t="n">
        <f aca="false">D111*F111</f>
        <v>0.5</v>
      </c>
      <c r="M111" s="0" t="n">
        <f aca="false">E111*F111</f>
        <v>0.125</v>
      </c>
      <c r="N111" s="0" t="n">
        <f aca="false">D111*D111</f>
        <v>1</v>
      </c>
      <c r="O111" s="0" t="n">
        <f aca="false">E111*E111</f>
        <v>0.0625</v>
      </c>
      <c r="P111" s="0" t="n">
        <f aca="false">F111*F111</f>
        <v>0.25</v>
      </c>
      <c r="Q111" s="0" t="n">
        <f aca="false">SUMPRODUCT(G111:P111,_XtX!$B$71:$K$71)</f>
        <v>41.9426136363636</v>
      </c>
      <c r="R111" s="0" t="n">
        <f aca="false">SUMPRODUCT(MMULT(G111:P111,_XtX!$B$58:$K$67),G111:P111)</f>
        <v>0.469424715909091</v>
      </c>
      <c r="S111" s="0" t="n">
        <f aca="false">04_回帰ANOVA!$K$19*04_回帰ANOVA!$K$14*SQRT(1+R111)</f>
        <v>1.12704253369596</v>
      </c>
      <c r="T111" s="0" t="n">
        <f aca="false">Q111-S111</f>
        <v>40.8155711026677</v>
      </c>
      <c r="U111" s="0" t="n">
        <f aca="false">Q111+S111</f>
        <v>43.0696561700596</v>
      </c>
      <c r="V111" s="54" t="b">
        <f aca="false">AND(D111&gt;=01_因子設定!$L$5-0.000000001,D111&lt;=01_因子設定!$M$5+0.000000001,E111&gt;=01_因子設定!$L$6-0.000000001,E111&lt;=01_因子設定!$M$6+0.000000001,F111&gt;=01_因子設定!$L$7-0.000000001,F111&lt;=01_因子設定!$M$7+0.000000001,IF(01_因子設定!$B$20="Box-Behnken",D111^2+E111^2+F111^2&lt;=2+0.000000001,TRUE()))</f>
        <v>1</v>
      </c>
      <c r="W111" s="55" t="n">
        <f aca="false">IF(V111,IF(01_因子設定!$B$13="最大化",T111-01_因子設定!$B$14,IF(01_因子設定!$B$13="最小化",01_因子設定!$B$15-U111,MIN(T111-01_因子設定!$B$14,01_因子設定!$B$15-U111))),-1E+030)</f>
        <v>-7.68442889733232</v>
      </c>
      <c r="X111" s="55" t="n">
        <f aca="false">IF(V111,IF(01_因子設定!$B$13="最大化",Q111,IF(01_因子設定!$B$13="最小化",-Q111,-ABS(Q111-01_因子設定!$B$16))),-1E+030)</f>
        <v>41.9426136363636</v>
      </c>
      <c r="Y111" s="55" t="n">
        <f aca="false">W111+ROW()*0.000000001</f>
        <v>-7.68442878633232</v>
      </c>
      <c r="Z111" s="55" t="n">
        <f aca="false">X111+ROW()*0.000000001</f>
        <v>41.9426137473636</v>
      </c>
    </row>
    <row r="112" customFormat="false" ht="15" hidden="false" customHeight="false" outlineLevel="0" collapsed="false">
      <c r="A112" s="0" t="n">
        <v>0</v>
      </c>
      <c r="B112" s="0" t="n">
        <v>6</v>
      </c>
      <c r="C112" s="0" t="n">
        <v>5</v>
      </c>
      <c r="D112" s="0" t="n">
        <f aca="false">-1+A112*0.125</f>
        <v>-1</v>
      </c>
      <c r="E112" s="0" t="n">
        <f aca="false">-1+B112*0.125</f>
        <v>-0.25</v>
      </c>
      <c r="F112" s="0" t="n">
        <f aca="false">-1+C112*0.125</f>
        <v>-0.375</v>
      </c>
      <c r="G112" s="0" t="n">
        <f aca="false">1</f>
        <v>1</v>
      </c>
      <c r="H112" s="0" t="n">
        <f aca="false">D112</f>
        <v>-1</v>
      </c>
      <c r="I112" s="0" t="n">
        <f aca="false">E112</f>
        <v>-0.25</v>
      </c>
      <c r="J112" s="0" t="n">
        <f aca="false">F112</f>
        <v>-0.375</v>
      </c>
      <c r="K112" s="0" t="n">
        <f aca="false">D112*E112</f>
        <v>0.25</v>
      </c>
      <c r="L112" s="0" t="n">
        <f aca="false">D112*F112</f>
        <v>0.375</v>
      </c>
      <c r="M112" s="0" t="n">
        <f aca="false">E112*F112</f>
        <v>0.09375</v>
      </c>
      <c r="N112" s="0" t="n">
        <f aca="false">D112*D112</f>
        <v>1</v>
      </c>
      <c r="O112" s="0" t="n">
        <f aca="false">E112*E112</f>
        <v>0.0625</v>
      </c>
      <c r="P112" s="0" t="n">
        <f aca="false">F112*F112</f>
        <v>0.140625</v>
      </c>
      <c r="Q112" s="0" t="n">
        <f aca="false">SUMPRODUCT(G112:P112,_XtX!$B$71:$K$71)</f>
        <v>42.2485653409091</v>
      </c>
      <c r="R112" s="0" t="n">
        <f aca="false">SUMPRODUCT(MMULT(G112:P112,_XtX!$B$58:$K$67),G112:P112)</f>
        <v>0.470061700994318</v>
      </c>
      <c r="S112" s="0" t="n">
        <f aca="false">04_回帰ANOVA!$K$19*04_回帰ANOVA!$K$14*SQRT(1+R112)</f>
        <v>1.12728678965931</v>
      </c>
      <c r="T112" s="0" t="n">
        <f aca="false">Q112-S112</f>
        <v>41.1212785512498</v>
      </c>
      <c r="U112" s="0" t="n">
        <f aca="false">Q112+S112</f>
        <v>43.3758521305684</v>
      </c>
      <c r="V112" s="54" t="b">
        <f aca="false">AND(D112&gt;=01_因子設定!$L$5-0.000000001,D112&lt;=01_因子設定!$M$5+0.000000001,E112&gt;=01_因子設定!$L$6-0.000000001,E112&lt;=01_因子設定!$M$6+0.000000001,F112&gt;=01_因子設定!$L$7-0.000000001,F112&lt;=01_因子設定!$M$7+0.000000001,IF(01_因子設定!$B$20="Box-Behnken",D112^2+E112^2+F112^2&lt;=2+0.000000001,TRUE()))</f>
        <v>1</v>
      </c>
      <c r="W112" s="55" t="n">
        <f aca="false">IF(V112,IF(01_因子設定!$B$13="最大化",T112-01_因子設定!$B$14,IF(01_因子設定!$B$13="最小化",01_因子設定!$B$15-U112,MIN(T112-01_因子設定!$B$14,01_因子設定!$B$15-U112))),-1E+030)</f>
        <v>-7.37872144875023</v>
      </c>
      <c r="X112" s="55" t="n">
        <f aca="false">IF(V112,IF(01_因子設定!$B$13="最大化",Q112,IF(01_因子設定!$B$13="最小化",-Q112,-ABS(Q112-01_因子設定!$B$16))),-1E+030)</f>
        <v>42.2485653409091</v>
      </c>
      <c r="Y112" s="55" t="n">
        <f aca="false">W112+ROW()*0.000000001</f>
        <v>-7.37872133675023</v>
      </c>
      <c r="Z112" s="55" t="n">
        <f aca="false">X112+ROW()*0.000000001</f>
        <v>42.2485654529091</v>
      </c>
    </row>
    <row r="113" customFormat="false" ht="15" hidden="false" customHeight="false" outlineLevel="0" collapsed="false">
      <c r="A113" s="0" t="n">
        <v>0</v>
      </c>
      <c r="B113" s="0" t="n">
        <v>6</v>
      </c>
      <c r="C113" s="0" t="n">
        <v>6</v>
      </c>
      <c r="D113" s="0" t="n">
        <f aca="false">-1+A113*0.125</f>
        <v>-1</v>
      </c>
      <c r="E113" s="0" t="n">
        <f aca="false">-1+B113*0.125</f>
        <v>-0.25</v>
      </c>
      <c r="F113" s="0" t="n">
        <f aca="false">-1+C113*0.125</f>
        <v>-0.25</v>
      </c>
      <c r="G113" s="0" t="n">
        <f aca="false">1</f>
        <v>1</v>
      </c>
      <c r="H113" s="0" t="n">
        <f aca="false">D113</f>
        <v>-1</v>
      </c>
      <c r="I113" s="0" t="n">
        <f aca="false">E113</f>
        <v>-0.25</v>
      </c>
      <c r="J113" s="0" t="n">
        <f aca="false">F113</f>
        <v>-0.25</v>
      </c>
      <c r="K113" s="0" t="n">
        <f aca="false">D113*E113</f>
        <v>0.25</v>
      </c>
      <c r="L113" s="0" t="n">
        <f aca="false">D113*F113</f>
        <v>0.25</v>
      </c>
      <c r="M113" s="0" t="n">
        <f aca="false">E113*F113</f>
        <v>0.0625</v>
      </c>
      <c r="N113" s="0" t="n">
        <f aca="false">D113*D113</f>
        <v>1</v>
      </c>
      <c r="O113" s="0" t="n">
        <f aca="false">E113*E113</f>
        <v>0.0625</v>
      </c>
      <c r="P113" s="0" t="n">
        <f aca="false">F113*F113</f>
        <v>0.0625</v>
      </c>
      <c r="Q113" s="0" t="n">
        <f aca="false">SUMPRODUCT(G113:P113,_XtX!$B$71:$K$71)</f>
        <v>42.5177272727273</v>
      </c>
      <c r="R113" s="0" t="n">
        <f aca="false">SUMPRODUCT(MMULT(G113:P113,_XtX!$B$58:$K$67),G113:P113)</f>
        <v>0.475843394886364</v>
      </c>
      <c r="S113" s="0" t="n">
        <f aca="false">04_回帰ANOVA!$K$19*04_回帰ANOVA!$K$14*SQRT(1+R113)</f>
        <v>1.12950140123694</v>
      </c>
      <c r="T113" s="0" t="n">
        <f aca="false">Q113-S113</f>
        <v>41.3882258714903</v>
      </c>
      <c r="U113" s="0" t="n">
        <f aca="false">Q113+S113</f>
        <v>43.6472286739642</v>
      </c>
      <c r="V113" s="54" t="b">
        <f aca="false">AND(D113&gt;=01_因子設定!$L$5-0.000000001,D113&lt;=01_因子設定!$M$5+0.000000001,E113&gt;=01_因子設定!$L$6-0.000000001,E113&lt;=01_因子設定!$M$6+0.000000001,F113&gt;=01_因子設定!$L$7-0.000000001,F113&lt;=01_因子設定!$M$7+0.000000001,IF(01_因子設定!$B$20="Box-Behnken",D113^2+E113^2+F113^2&lt;=2+0.000000001,TRUE()))</f>
        <v>1</v>
      </c>
      <c r="W113" s="55" t="n">
        <f aca="false">IF(V113,IF(01_因子設定!$B$13="最大化",T113-01_因子設定!$B$14,IF(01_因子設定!$B$13="最小化",01_因子設定!$B$15-U113,MIN(T113-01_因子設定!$B$14,01_因子設定!$B$15-U113))),-1E+030)</f>
        <v>-7.11177412850967</v>
      </c>
      <c r="X113" s="55" t="n">
        <f aca="false">IF(V113,IF(01_因子設定!$B$13="最大化",Q113,IF(01_因子設定!$B$13="最小化",-Q113,-ABS(Q113-01_因子設定!$B$16))),-1E+030)</f>
        <v>42.5177272727273</v>
      </c>
      <c r="Y113" s="55" t="n">
        <f aca="false">W113+ROW()*0.000000001</f>
        <v>-7.11177401550967</v>
      </c>
      <c r="Z113" s="55" t="n">
        <f aca="false">X113+ROW()*0.000000001</f>
        <v>42.5177273857273</v>
      </c>
    </row>
    <row r="114" customFormat="false" ht="15" hidden="false" customHeight="false" outlineLevel="0" collapsed="false">
      <c r="A114" s="0" t="n">
        <v>0</v>
      </c>
      <c r="B114" s="0" t="n">
        <v>6</v>
      </c>
      <c r="C114" s="0" t="n">
        <v>7</v>
      </c>
      <c r="D114" s="0" t="n">
        <f aca="false">-1+A114*0.125</f>
        <v>-1</v>
      </c>
      <c r="E114" s="0" t="n">
        <f aca="false">-1+B114*0.125</f>
        <v>-0.25</v>
      </c>
      <c r="F114" s="0" t="n">
        <f aca="false">-1+C114*0.125</f>
        <v>-0.125</v>
      </c>
      <c r="G114" s="0" t="n">
        <f aca="false">1</f>
        <v>1</v>
      </c>
      <c r="H114" s="0" t="n">
        <f aca="false">D114</f>
        <v>-1</v>
      </c>
      <c r="I114" s="0" t="n">
        <f aca="false">E114</f>
        <v>-0.25</v>
      </c>
      <c r="J114" s="0" t="n">
        <f aca="false">F114</f>
        <v>-0.125</v>
      </c>
      <c r="K114" s="0" t="n">
        <f aca="false">D114*E114</f>
        <v>0.25</v>
      </c>
      <c r="L114" s="0" t="n">
        <f aca="false">D114*F114</f>
        <v>0.125</v>
      </c>
      <c r="M114" s="0" t="n">
        <f aca="false">E114*F114</f>
        <v>0.03125</v>
      </c>
      <c r="N114" s="0" t="n">
        <f aca="false">D114*D114</f>
        <v>1</v>
      </c>
      <c r="O114" s="0" t="n">
        <f aca="false">E114*E114</f>
        <v>0.0625</v>
      </c>
      <c r="P114" s="0" t="n">
        <f aca="false">F114*F114</f>
        <v>0.015625</v>
      </c>
      <c r="Q114" s="0" t="n">
        <f aca="false">SUMPRODUCT(G114:P114,_XtX!$B$71:$K$71)</f>
        <v>42.7500994318182</v>
      </c>
      <c r="R114" s="0" t="n">
        <f aca="false">SUMPRODUCT(MMULT(G114:P114,_XtX!$B$58:$K$67),G114:P114)</f>
        <v>0.481443093039773</v>
      </c>
      <c r="S114" s="0" t="n">
        <f aca="false">04_回帰ANOVA!$K$19*04_回帰ANOVA!$K$14*SQRT(1+R114)</f>
        <v>1.13164216995877</v>
      </c>
      <c r="T114" s="0" t="n">
        <f aca="false">Q114-S114</f>
        <v>41.6184572618594</v>
      </c>
      <c r="U114" s="0" t="n">
        <f aca="false">Q114+S114</f>
        <v>43.8817416017769</v>
      </c>
      <c r="V114" s="54" t="b">
        <f aca="false">AND(D114&gt;=01_因子設定!$L$5-0.000000001,D114&lt;=01_因子設定!$M$5+0.000000001,E114&gt;=01_因子設定!$L$6-0.000000001,E114&lt;=01_因子設定!$M$6+0.000000001,F114&gt;=01_因子設定!$L$7-0.000000001,F114&lt;=01_因子設定!$M$7+0.000000001,IF(01_因子設定!$B$20="Box-Behnken",D114^2+E114^2+F114^2&lt;=2+0.000000001,TRUE()))</f>
        <v>1</v>
      </c>
      <c r="W114" s="55" t="n">
        <f aca="false">IF(V114,IF(01_因子設定!$B$13="最大化",T114-01_因子設定!$B$14,IF(01_因子設定!$B$13="最小化",01_因子設定!$B$15-U114,MIN(T114-01_因子設定!$B$14,01_因子設定!$B$15-U114))),-1E+030)</f>
        <v>-6.8815427381406</v>
      </c>
      <c r="X114" s="55" t="n">
        <f aca="false">IF(V114,IF(01_因子設定!$B$13="最大化",Q114,IF(01_因子設定!$B$13="最小化",-Q114,-ABS(Q114-01_因子設定!$B$16))),-1E+030)</f>
        <v>42.7500994318182</v>
      </c>
      <c r="Y114" s="55" t="n">
        <f aca="false">W114+ROW()*0.000000001</f>
        <v>-6.8815426241406</v>
      </c>
      <c r="Z114" s="55" t="n">
        <f aca="false">X114+ROW()*0.000000001</f>
        <v>42.7500995458182</v>
      </c>
    </row>
    <row r="115" customFormat="false" ht="15" hidden="false" customHeight="false" outlineLevel="0" collapsed="false">
      <c r="A115" s="0" t="n">
        <v>0</v>
      </c>
      <c r="B115" s="0" t="n">
        <v>6</v>
      </c>
      <c r="C115" s="0" t="n">
        <v>8</v>
      </c>
      <c r="D115" s="0" t="n">
        <f aca="false">-1+A115*0.125</f>
        <v>-1</v>
      </c>
      <c r="E115" s="0" t="n">
        <f aca="false">-1+B115*0.125</f>
        <v>-0.25</v>
      </c>
      <c r="F115" s="0" t="n">
        <f aca="false">-1+C115*0.125</f>
        <v>0</v>
      </c>
      <c r="G115" s="0" t="n">
        <f aca="false">1</f>
        <v>1</v>
      </c>
      <c r="H115" s="0" t="n">
        <f aca="false">D115</f>
        <v>-1</v>
      </c>
      <c r="I115" s="0" t="n">
        <f aca="false">E115</f>
        <v>-0.25</v>
      </c>
      <c r="J115" s="0" t="n">
        <f aca="false">F115</f>
        <v>0</v>
      </c>
      <c r="K115" s="0" t="n">
        <f aca="false">D115*E115</f>
        <v>0.25</v>
      </c>
      <c r="L115" s="0" t="n">
        <f aca="false">D115*F115</f>
        <v>-0</v>
      </c>
      <c r="M115" s="0" t="n">
        <f aca="false">E115*F115</f>
        <v>-0</v>
      </c>
      <c r="N115" s="0" t="n">
        <f aca="false">D115*D115</f>
        <v>1</v>
      </c>
      <c r="O115" s="0" t="n">
        <f aca="false">E115*E115</f>
        <v>0.0625</v>
      </c>
      <c r="P115" s="0" t="n">
        <f aca="false">F115*F115</f>
        <v>0</v>
      </c>
      <c r="Q115" s="0" t="n">
        <f aca="false">SUMPRODUCT(G115:P115,_XtX!$B$71:$K$71)</f>
        <v>42.9456818181818</v>
      </c>
      <c r="R115" s="0" t="n">
        <f aca="false">SUMPRODUCT(MMULT(G115:P115,_XtX!$B$58:$K$67),G115:P115)</f>
        <v>0.483664772727273</v>
      </c>
      <c r="S115" s="0" t="n">
        <f aca="false">04_回帰ANOVA!$K$19*04_回帰ANOVA!$K$14*SQRT(1+R115)</f>
        <v>1.13249039846694</v>
      </c>
      <c r="T115" s="0" t="n">
        <f aca="false">Q115-S115</f>
        <v>41.8131914197149</v>
      </c>
      <c r="U115" s="0" t="n">
        <f aca="false">Q115+S115</f>
        <v>44.0781722166487</v>
      </c>
      <c r="V115" s="54" t="b">
        <f aca="false">AND(D115&gt;=01_因子設定!$L$5-0.000000001,D115&lt;=01_因子設定!$M$5+0.000000001,E115&gt;=01_因子設定!$L$6-0.000000001,E115&lt;=01_因子設定!$M$6+0.000000001,F115&gt;=01_因子設定!$L$7-0.000000001,F115&lt;=01_因子設定!$M$7+0.000000001,IF(01_因子設定!$B$20="Box-Behnken",D115^2+E115^2+F115^2&lt;=2+0.000000001,TRUE()))</f>
        <v>1</v>
      </c>
      <c r="W115" s="55" t="n">
        <f aca="false">IF(V115,IF(01_因子設定!$B$13="最大化",T115-01_因子設定!$B$14,IF(01_因子設定!$B$13="最小化",01_因子設定!$B$15-U115,MIN(T115-01_因子設定!$B$14,01_因子設定!$B$15-U115))),-1E+030)</f>
        <v>-6.68680858028513</v>
      </c>
      <c r="X115" s="55" t="n">
        <f aca="false">IF(V115,IF(01_因子設定!$B$13="最大化",Q115,IF(01_因子設定!$B$13="最小化",-Q115,-ABS(Q115-01_因子設定!$B$16))),-1E+030)</f>
        <v>42.9456818181818</v>
      </c>
      <c r="Y115" s="55" t="n">
        <f aca="false">W115+ROW()*0.000000001</f>
        <v>-6.68680846528513</v>
      </c>
      <c r="Z115" s="55" t="n">
        <f aca="false">X115+ROW()*0.000000001</f>
        <v>42.9456819331818</v>
      </c>
    </row>
    <row r="116" customFormat="false" ht="15" hidden="false" customHeight="false" outlineLevel="0" collapsed="false">
      <c r="A116" s="0" t="n">
        <v>0</v>
      </c>
      <c r="B116" s="0" t="n">
        <v>6</v>
      </c>
      <c r="C116" s="0" t="n">
        <v>9</v>
      </c>
      <c r="D116" s="0" t="n">
        <f aca="false">-1+A116*0.125</f>
        <v>-1</v>
      </c>
      <c r="E116" s="0" t="n">
        <f aca="false">-1+B116*0.125</f>
        <v>-0.25</v>
      </c>
      <c r="F116" s="0" t="n">
        <f aca="false">-1+C116*0.125</f>
        <v>0.125</v>
      </c>
      <c r="G116" s="0" t="n">
        <f aca="false">1</f>
        <v>1</v>
      </c>
      <c r="H116" s="0" t="n">
        <f aca="false">D116</f>
        <v>-1</v>
      </c>
      <c r="I116" s="0" t="n">
        <f aca="false">E116</f>
        <v>-0.25</v>
      </c>
      <c r="J116" s="0" t="n">
        <f aca="false">F116</f>
        <v>0.125</v>
      </c>
      <c r="K116" s="0" t="n">
        <f aca="false">D116*E116</f>
        <v>0.25</v>
      </c>
      <c r="L116" s="0" t="n">
        <f aca="false">D116*F116</f>
        <v>-0.125</v>
      </c>
      <c r="M116" s="0" t="n">
        <f aca="false">E116*F116</f>
        <v>-0.03125</v>
      </c>
      <c r="N116" s="0" t="n">
        <f aca="false">D116*D116</f>
        <v>1</v>
      </c>
      <c r="O116" s="0" t="n">
        <f aca="false">E116*E116</f>
        <v>0.0625</v>
      </c>
      <c r="P116" s="0" t="n">
        <f aca="false">F116*F116</f>
        <v>0.015625</v>
      </c>
      <c r="Q116" s="0" t="n">
        <f aca="false">SUMPRODUCT(G116:P116,_XtX!$B$71:$K$71)</f>
        <v>43.1044744318182</v>
      </c>
      <c r="R116" s="0" t="n">
        <f aca="false">SUMPRODUCT(MMULT(G116:P116,_XtX!$B$58:$K$67),G116:P116)</f>
        <v>0.481443093039773</v>
      </c>
      <c r="S116" s="0" t="n">
        <f aca="false">04_回帰ANOVA!$K$19*04_回帰ANOVA!$K$14*SQRT(1+R116)</f>
        <v>1.13164216995877</v>
      </c>
      <c r="T116" s="0" t="n">
        <f aca="false">Q116-S116</f>
        <v>41.9728322618594</v>
      </c>
      <c r="U116" s="0" t="n">
        <f aca="false">Q116+S116</f>
        <v>44.2361166017769</v>
      </c>
      <c r="V116" s="54" t="b">
        <f aca="false">AND(D116&gt;=01_因子設定!$L$5-0.000000001,D116&lt;=01_因子設定!$M$5+0.000000001,E116&gt;=01_因子設定!$L$6-0.000000001,E116&lt;=01_因子設定!$M$6+0.000000001,F116&gt;=01_因子設定!$L$7-0.000000001,F116&lt;=01_因子設定!$M$7+0.000000001,IF(01_因子設定!$B$20="Box-Behnken",D116^2+E116^2+F116^2&lt;=2+0.000000001,TRUE()))</f>
        <v>1</v>
      </c>
      <c r="W116" s="55" t="n">
        <f aca="false">IF(V116,IF(01_因子設定!$B$13="最大化",T116-01_因子設定!$B$14,IF(01_因子設定!$B$13="最小化",01_因子設定!$B$15-U116,MIN(T116-01_因子設定!$B$14,01_因子設定!$B$15-U116))),-1E+030)</f>
        <v>-6.5271677381406</v>
      </c>
      <c r="X116" s="55" t="n">
        <f aca="false">IF(V116,IF(01_因子設定!$B$13="最大化",Q116,IF(01_因子設定!$B$13="最小化",-Q116,-ABS(Q116-01_因子設定!$B$16))),-1E+030)</f>
        <v>43.1044744318182</v>
      </c>
      <c r="Y116" s="55" t="n">
        <f aca="false">W116+ROW()*0.000000001</f>
        <v>-6.5271676221406</v>
      </c>
      <c r="Z116" s="55" t="n">
        <f aca="false">X116+ROW()*0.000000001</f>
        <v>43.1044745478182</v>
      </c>
    </row>
    <row r="117" customFormat="false" ht="15" hidden="false" customHeight="false" outlineLevel="0" collapsed="false">
      <c r="A117" s="0" t="n">
        <v>0</v>
      </c>
      <c r="B117" s="0" t="n">
        <v>6</v>
      </c>
      <c r="C117" s="0" t="n">
        <v>10</v>
      </c>
      <c r="D117" s="0" t="n">
        <f aca="false">-1+A117*0.125</f>
        <v>-1</v>
      </c>
      <c r="E117" s="0" t="n">
        <f aca="false">-1+B117*0.125</f>
        <v>-0.25</v>
      </c>
      <c r="F117" s="0" t="n">
        <f aca="false">-1+C117*0.125</f>
        <v>0.25</v>
      </c>
      <c r="G117" s="0" t="n">
        <f aca="false">1</f>
        <v>1</v>
      </c>
      <c r="H117" s="0" t="n">
        <f aca="false">D117</f>
        <v>-1</v>
      </c>
      <c r="I117" s="0" t="n">
        <f aca="false">E117</f>
        <v>-0.25</v>
      </c>
      <c r="J117" s="0" t="n">
        <f aca="false">F117</f>
        <v>0.25</v>
      </c>
      <c r="K117" s="0" t="n">
        <f aca="false">D117*E117</f>
        <v>0.25</v>
      </c>
      <c r="L117" s="0" t="n">
        <f aca="false">D117*F117</f>
        <v>-0.25</v>
      </c>
      <c r="M117" s="0" t="n">
        <f aca="false">E117*F117</f>
        <v>-0.0625</v>
      </c>
      <c r="N117" s="0" t="n">
        <f aca="false">D117*D117</f>
        <v>1</v>
      </c>
      <c r="O117" s="0" t="n">
        <f aca="false">E117*E117</f>
        <v>0.0625</v>
      </c>
      <c r="P117" s="0" t="n">
        <f aca="false">F117*F117</f>
        <v>0.0625</v>
      </c>
      <c r="Q117" s="0" t="n">
        <f aca="false">SUMPRODUCT(G117:P117,_XtX!$B$71:$K$71)</f>
        <v>43.2264772727273</v>
      </c>
      <c r="R117" s="0" t="n">
        <f aca="false">SUMPRODUCT(MMULT(G117:P117,_XtX!$B$58:$K$67),G117:P117)</f>
        <v>0.475843394886364</v>
      </c>
      <c r="S117" s="0" t="n">
        <f aca="false">04_回帰ANOVA!$K$19*04_回帰ANOVA!$K$14*SQRT(1+R117)</f>
        <v>1.12950140123694</v>
      </c>
      <c r="T117" s="0" t="n">
        <f aca="false">Q117-S117</f>
        <v>42.0969758714903</v>
      </c>
      <c r="U117" s="0" t="n">
        <f aca="false">Q117+S117</f>
        <v>44.3559786739642</v>
      </c>
      <c r="V117" s="54" t="b">
        <f aca="false">AND(D117&gt;=01_因子設定!$L$5-0.000000001,D117&lt;=01_因子設定!$M$5+0.000000001,E117&gt;=01_因子設定!$L$6-0.000000001,E117&lt;=01_因子設定!$M$6+0.000000001,F117&gt;=01_因子設定!$L$7-0.000000001,F117&lt;=01_因子設定!$M$7+0.000000001,IF(01_因子設定!$B$20="Box-Behnken",D117^2+E117^2+F117^2&lt;=2+0.000000001,TRUE()))</f>
        <v>1</v>
      </c>
      <c r="W117" s="55" t="n">
        <f aca="false">IF(V117,IF(01_因子設定!$B$13="最大化",T117-01_因子設定!$B$14,IF(01_因子設定!$B$13="最小化",01_因子設定!$B$15-U117,MIN(T117-01_因子設定!$B$14,01_因子設定!$B$15-U117))),-1E+030)</f>
        <v>-6.40302412850968</v>
      </c>
      <c r="X117" s="55" t="n">
        <f aca="false">IF(V117,IF(01_因子設定!$B$13="最大化",Q117,IF(01_因子設定!$B$13="最小化",-Q117,-ABS(Q117-01_因子設定!$B$16))),-1E+030)</f>
        <v>43.2264772727273</v>
      </c>
      <c r="Y117" s="55" t="n">
        <f aca="false">W117+ROW()*0.000000001</f>
        <v>-6.40302401150968</v>
      </c>
      <c r="Z117" s="55" t="n">
        <f aca="false">X117+ROW()*0.000000001</f>
        <v>43.2264773897273</v>
      </c>
    </row>
    <row r="118" customFormat="false" ht="15" hidden="false" customHeight="false" outlineLevel="0" collapsed="false">
      <c r="A118" s="0" t="n">
        <v>0</v>
      </c>
      <c r="B118" s="0" t="n">
        <v>6</v>
      </c>
      <c r="C118" s="0" t="n">
        <v>11</v>
      </c>
      <c r="D118" s="0" t="n">
        <f aca="false">-1+A118*0.125</f>
        <v>-1</v>
      </c>
      <c r="E118" s="0" t="n">
        <f aca="false">-1+B118*0.125</f>
        <v>-0.25</v>
      </c>
      <c r="F118" s="0" t="n">
        <f aca="false">-1+C118*0.125</f>
        <v>0.375</v>
      </c>
      <c r="G118" s="0" t="n">
        <f aca="false">1</f>
        <v>1</v>
      </c>
      <c r="H118" s="0" t="n">
        <f aca="false">D118</f>
        <v>-1</v>
      </c>
      <c r="I118" s="0" t="n">
        <f aca="false">E118</f>
        <v>-0.25</v>
      </c>
      <c r="J118" s="0" t="n">
        <f aca="false">F118</f>
        <v>0.375</v>
      </c>
      <c r="K118" s="0" t="n">
        <f aca="false">D118*E118</f>
        <v>0.25</v>
      </c>
      <c r="L118" s="0" t="n">
        <f aca="false">D118*F118</f>
        <v>-0.375</v>
      </c>
      <c r="M118" s="0" t="n">
        <f aca="false">E118*F118</f>
        <v>-0.09375</v>
      </c>
      <c r="N118" s="0" t="n">
        <f aca="false">D118*D118</f>
        <v>1</v>
      </c>
      <c r="O118" s="0" t="n">
        <f aca="false">E118*E118</f>
        <v>0.0625</v>
      </c>
      <c r="P118" s="0" t="n">
        <f aca="false">F118*F118</f>
        <v>0.140625</v>
      </c>
      <c r="Q118" s="0" t="n">
        <f aca="false">SUMPRODUCT(G118:P118,_XtX!$B$71:$K$71)</f>
        <v>43.3116903409091</v>
      </c>
      <c r="R118" s="0" t="n">
        <f aca="false">SUMPRODUCT(MMULT(G118:P118,_XtX!$B$58:$K$67),G118:P118)</f>
        <v>0.470061700994318</v>
      </c>
      <c r="S118" s="0" t="n">
        <f aca="false">04_回帰ANOVA!$K$19*04_回帰ANOVA!$K$14*SQRT(1+R118)</f>
        <v>1.12728678965931</v>
      </c>
      <c r="T118" s="0" t="n">
        <f aca="false">Q118-S118</f>
        <v>42.1844035512498</v>
      </c>
      <c r="U118" s="0" t="n">
        <f aca="false">Q118+S118</f>
        <v>44.4389771305684</v>
      </c>
      <c r="V118" s="54" t="b">
        <f aca="false">AND(D118&gt;=01_因子設定!$L$5-0.000000001,D118&lt;=01_因子設定!$M$5+0.000000001,E118&gt;=01_因子設定!$L$6-0.000000001,E118&lt;=01_因子設定!$M$6+0.000000001,F118&gt;=01_因子設定!$L$7-0.000000001,F118&lt;=01_因子設定!$M$7+0.000000001,IF(01_因子設定!$B$20="Box-Behnken",D118^2+E118^2+F118^2&lt;=2+0.000000001,TRUE()))</f>
        <v>1</v>
      </c>
      <c r="W118" s="55" t="n">
        <f aca="false">IF(V118,IF(01_因子設定!$B$13="最大化",T118-01_因子設定!$B$14,IF(01_因子設定!$B$13="最小化",01_因子設定!$B$15-U118,MIN(T118-01_因子設定!$B$14,01_因子設定!$B$15-U118))),-1E+030)</f>
        <v>-6.31559644875023</v>
      </c>
      <c r="X118" s="55" t="n">
        <f aca="false">IF(V118,IF(01_因子設定!$B$13="最大化",Q118,IF(01_因子設定!$B$13="最小化",-Q118,-ABS(Q118-01_因子設定!$B$16))),-1E+030)</f>
        <v>43.3116903409091</v>
      </c>
      <c r="Y118" s="55" t="n">
        <f aca="false">W118+ROW()*0.000000001</f>
        <v>-6.31559633075023</v>
      </c>
      <c r="Z118" s="55" t="n">
        <f aca="false">X118+ROW()*0.000000001</f>
        <v>43.3116904589091</v>
      </c>
    </row>
    <row r="119" customFormat="false" ht="15" hidden="false" customHeight="false" outlineLevel="0" collapsed="false">
      <c r="A119" s="0" t="n">
        <v>0</v>
      </c>
      <c r="B119" s="0" t="n">
        <v>6</v>
      </c>
      <c r="C119" s="0" t="n">
        <v>12</v>
      </c>
      <c r="D119" s="0" t="n">
        <f aca="false">-1+A119*0.125</f>
        <v>-1</v>
      </c>
      <c r="E119" s="0" t="n">
        <f aca="false">-1+B119*0.125</f>
        <v>-0.25</v>
      </c>
      <c r="F119" s="0" t="n">
        <f aca="false">-1+C119*0.125</f>
        <v>0.5</v>
      </c>
      <c r="G119" s="0" t="n">
        <f aca="false">1</f>
        <v>1</v>
      </c>
      <c r="H119" s="0" t="n">
        <f aca="false">D119</f>
        <v>-1</v>
      </c>
      <c r="I119" s="0" t="n">
        <f aca="false">E119</f>
        <v>-0.25</v>
      </c>
      <c r="J119" s="0" t="n">
        <f aca="false">F119</f>
        <v>0.5</v>
      </c>
      <c r="K119" s="0" t="n">
        <f aca="false">D119*E119</f>
        <v>0.25</v>
      </c>
      <c r="L119" s="0" t="n">
        <f aca="false">D119*F119</f>
        <v>-0.5</v>
      </c>
      <c r="M119" s="0" t="n">
        <f aca="false">E119*F119</f>
        <v>-0.125</v>
      </c>
      <c r="N119" s="0" t="n">
        <f aca="false">D119*D119</f>
        <v>1</v>
      </c>
      <c r="O119" s="0" t="n">
        <f aca="false">E119*E119</f>
        <v>0.0625</v>
      </c>
      <c r="P119" s="0" t="n">
        <f aca="false">F119*F119</f>
        <v>0.25</v>
      </c>
      <c r="Q119" s="0" t="n">
        <f aca="false">SUMPRODUCT(G119:P119,_XtX!$B$71:$K$71)</f>
        <v>43.3601136363636</v>
      </c>
      <c r="R119" s="0" t="n">
        <f aca="false">SUMPRODUCT(MMULT(G119:P119,_XtX!$B$58:$K$67),G119:P119)</f>
        <v>0.469424715909091</v>
      </c>
      <c r="S119" s="0" t="n">
        <f aca="false">04_回帰ANOVA!$K$19*04_回帰ANOVA!$K$14*SQRT(1+R119)</f>
        <v>1.12704253369596</v>
      </c>
      <c r="T119" s="0" t="n">
        <f aca="false">Q119-S119</f>
        <v>42.2330711026677</v>
      </c>
      <c r="U119" s="0" t="n">
        <f aca="false">Q119+S119</f>
        <v>44.4871561700596</v>
      </c>
      <c r="V119" s="54" t="b">
        <f aca="false">AND(D119&gt;=01_因子設定!$L$5-0.000000001,D119&lt;=01_因子設定!$M$5+0.000000001,E119&gt;=01_因子設定!$L$6-0.000000001,E119&lt;=01_因子設定!$M$6+0.000000001,F119&gt;=01_因子設定!$L$7-0.000000001,F119&lt;=01_因子設定!$M$7+0.000000001,IF(01_因子設定!$B$20="Box-Behnken",D119^2+E119^2+F119^2&lt;=2+0.000000001,TRUE()))</f>
        <v>1</v>
      </c>
      <c r="W119" s="55" t="n">
        <f aca="false">IF(V119,IF(01_因子設定!$B$13="最大化",T119-01_因子設定!$B$14,IF(01_因子設定!$B$13="最小化",01_因子設定!$B$15-U119,MIN(T119-01_因子設定!$B$14,01_因子設定!$B$15-U119))),-1E+030)</f>
        <v>-6.26692889733233</v>
      </c>
      <c r="X119" s="55" t="n">
        <f aca="false">IF(V119,IF(01_因子設定!$B$13="最大化",Q119,IF(01_因子設定!$B$13="最小化",-Q119,-ABS(Q119-01_因子設定!$B$16))),-1E+030)</f>
        <v>43.3601136363636</v>
      </c>
      <c r="Y119" s="55" t="n">
        <f aca="false">W119+ROW()*0.000000001</f>
        <v>-6.26692877833233</v>
      </c>
      <c r="Z119" s="55" t="n">
        <f aca="false">X119+ROW()*0.000000001</f>
        <v>43.3601137553636</v>
      </c>
    </row>
    <row r="120" customFormat="false" ht="15" hidden="false" customHeight="false" outlineLevel="0" collapsed="false">
      <c r="A120" s="0" t="n">
        <v>0</v>
      </c>
      <c r="B120" s="0" t="n">
        <v>6</v>
      </c>
      <c r="C120" s="0" t="n">
        <v>13</v>
      </c>
      <c r="D120" s="0" t="n">
        <f aca="false">-1+A120*0.125</f>
        <v>-1</v>
      </c>
      <c r="E120" s="0" t="n">
        <f aca="false">-1+B120*0.125</f>
        <v>-0.25</v>
      </c>
      <c r="F120" s="0" t="n">
        <f aca="false">-1+C120*0.125</f>
        <v>0.625</v>
      </c>
      <c r="G120" s="0" t="n">
        <f aca="false">1</f>
        <v>1</v>
      </c>
      <c r="H120" s="0" t="n">
        <f aca="false">D120</f>
        <v>-1</v>
      </c>
      <c r="I120" s="0" t="n">
        <f aca="false">E120</f>
        <v>-0.25</v>
      </c>
      <c r="J120" s="0" t="n">
        <f aca="false">F120</f>
        <v>0.625</v>
      </c>
      <c r="K120" s="0" t="n">
        <f aca="false">D120*E120</f>
        <v>0.25</v>
      </c>
      <c r="L120" s="0" t="n">
        <f aca="false">D120*F120</f>
        <v>-0.625</v>
      </c>
      <c r="M120" s="0" t="n">
        <f aca="false">E120*F120</f>
        <v>-0.15625</v>
      </c>
      <c r="N120" s="0" t="n">
        <f aca="false">D120*D120</f>
        <v>1</v>
      </c>
      <c r="O120" s="0" t="n">
        <f aca="false">E120*E120</f>
        <v>0.0625</v>
      </c>
      <c r="P120" s="0" t="n">
        <f aca="false">F120*F120</f>
        <v>0.390625</v>
      </c>
      <c r="Q120" s="0" t="n">
        <f aca="false">SUMPRODUCT(G120:P120,_XtX!$B$71:$K$71)</f>
        <v>43.3717471590909</v>
      </c>
      <c r="R120" s="0" t="n">
        <f aca="false">SUMPRODUCT(MMULT(G120:P120,_XtX!$B$58:$K$67),G120:P120)</f>
        <v>0.481389825994318</v>
      </c>
      <c r="S120" s="0" t="n">
        <f aca="false">04_回帰ANOVA!$K$19*04_回帰ANOVA!$K$14*SQRT(1+R120)</f>
        <v>1.13162182500693</v>
      </c>
      <c r="T120" s="0" t="n">
        <f aca="false">Q120-S120</f>
        <v>42.240125334084</v>
      </c>
      <c r="U120" s="0" t="n">
        <f aca="false">Q120+S120</f>
        <v>44.5033689840978</v>
      </c>
      <c r="V120" s="54" t="b">
        <f aca="false">AND(D120&gt;=01_因子設定!$L$5-0.000000001,D120&lt;=01_因子設定!$M$5+0.000000001,E120&gt;=01_因子設定!$L$6-0.000000001,E120&lt;=01_因子設定!$M$6+0.000000001,F120&gt;=01_因子設定!$L$7-0.000000001,F120&lt;=01_因子設定!$M$7+0.000000001,IF(01_因子設定!$B$20="Box-Behnken",D120^2+E120^2+F120^2&lt;=2+0.000000001,TRUE()))</f>
        <v>1</v>
      </c>
      <c r="W120" s="55" t="n">
        <f aca="false">IF(V120,IF(01_因子設定!$B$13="最大化",T120-01_因子設定!$B$14,IF(01_因子設定!$B$13="最小化",01_因子設定!$B$15-U120,MIN(T120-01_因子設定!$B$14,01_因子設定!$B$15-U120))),-1E+030)</f>
        <v>-6.25987466591602</v>
      </c>
      <c r="X120" s="55" t="n">
        <f aca="false">IF(V120,IF(01_因子設定!$B$13="最大化",Q120,IF(01_因子設定!$B$13="最小化",-Q120,-ABS(Q120-01_因子設定!$B$16))),-1E+030)</f>
        <v>43.3717471590909</v>
      </c>
      <c r="Y120" s="55" t="n">
        <f aca="false">W120+ROW()*0.000000001</f>
        <v>-6.25987454591602</v>
      </c>
      <c r="Z120" s="55" t="n">
        <f aca="false">X120+ROW()*0.000000001</f>
        <v>43.3717472790909</v>
      </c>
    </row>
    <row r="121" customFormat="false" ht="15" hidden="false" customHeight="false" outlineLevel="0" collapsed="false">
      <c r="A121" s="0" t="n">
        <v>0</v>
      </c>
      <c r="B121" s="0" t="n">
        <v>6</v>
      </c>
      <c r="C121" s="0" t="n">
        <v>14</v>
      </c>
      <c r="D121" s="0" t="n">
        <f aca="false">-1+A121*0.125</f>
        <v>-1</v>
      </c>
      <c r="E121" s="0" t="n">
        <f aca="false">-1+B121*0.125</f>
        <v>-0.25</v>
      </c>
      <c r="F121" s="0" t="n">
        <f aca="false">-1+C121*0.125</f>
        <v>0.75</v>
      </c>
      <c r="G121" s="0" t="n">
        <f aca="false">1</f>
        <v>1</v>
      </c>
      <c r="H121" s="0" t="n">
        <f aca="false">D121</f>
        <v>-1</v>
      </c>
      <c r="I121" s="0" t="n">
        <f aca="false">E121</f>
        <v>-0.25</v>
      </c>
      <c r="J121" s="0" t="n">
        <f aca="false">F121</f>
        <v>0.75</v>
      </c>
      <c r="K121" s="0" t="n">
        <f aca="false">D121*E121</f>
        <v>0.25</v>
      </c>
      <c r="L121" s="0" t="n">
        <f aca="false">D121*F121</f>
        <v>-0.75</v>
      </c>
      <c r="M121" s="0" t="n">
        <f aca="false">E121*F121</f>
        <v>-0.1875</v>
      </c>
      <c r="N121" s="0" t="n">
        <f aca="false">D121*D121</f>
        <v>1</v>
      </c>
      <c r="O121" s="0" t="n">
        <f aca="false">E121*E121</f>
        <v>0.0625</v>
      </c>
      <c r="P121" s="0" t="n">
        <f aca="false">F121*F121</f>
        <v>0.5625</v>
      </c>
      <c r="Q121" s="0" t="n">
        <f aca="false">SUMPRODUCT(G121:P121,_XtX!$B$71:$K$71)</f>
        <v>43.3465909090909</v>
      </c>
      <c r="R121" s="0" t="n">
        <f aca="false">SUMPRODUCT(MMULT(G121:P121,_XtX!$B$58:$K$67),G121:P121)</f>
        <v>0.515545099431818</v>
      </c>
      <c r="S121" s="0" t="n">
        <f aca="false">04_回帰ANOVA!$K$19*04_回帰ANOVA!$K$14*SQRT(1+R121)</f>
        <v>1.14459295464101</v>
      </c>
      <c r="T121" s="0" t="n">
        <f aca="false">Q121-S121</f>
        <v>42.2019979544499</v>
      </c>
      <c r="U121" s="0" t="n">
        <f aca="false">Q121+S121</f>
        <v>44.4911838637319</v>
      </c>
      <c r="V121" s="54" t="b">
        <f aca="false">AND(D121&gt;=01_因子設定!$L$5-0.000000001,D121&lt;=01_因子設定!$M$5+0.000000001,E121&gt;=01_因子設定!$L$6-0.000000001,E121&lt;=01_因子設定!$M$6+0.000000001,F121&gt;=01_因子設定!$L$7-0.000000001,F121&lt;=01_因子設定!$M$7+0.000000001,IF(01_因子設定!$B$20="Box-Behnken",D121^2+E121^2+F121^2&lt;=2+0.000000001,TRUE()))</f>
        <v>1</v>
      </c>
      <c r="W121" s="55" t="n">
        <f aca="false">IF(V121,IF(01_因子設定!$B$13="最大化",T121-01_因子設定!$B$14,IF(01_因子設定!$B$13="最小化",01_因子設定!$B$15-U121,MIN(T121-01_因子設定!$B$14,01_因子設定!$B$15-U121))),-1E+030)</f>
        <v>-6.29800204555011</v>
      </c>
      <c r="X121" s="55" t="n">
        <f aca="false">IF(V121,IF(01_因子設定!$B$13="最大化",Q121,IF(01_因子設定!$B$13="最小化",-Q121,-ABS(Q121-01_因子設定!$B$16))),-1E+030)</f>
        <v>43.3465909090909</v>
      </c>
      <c r="Y121" s="55" t="n">
        <f aca="false">W121+ROW()*0.000000001</f>
        <v>-6.29800192455011</v>
      </c>
      <c r="Z121" s="55" t="n">
        <f aca="false">X121+ROW()*0.000000001</f>
        <v>43.3465910300909</v>
      </c>
    </row>
    <row r="122" customFormat="false" ht="15" hidden="false" customHeight="false" outlineLevel="0" collapsed="false">
      <c r="A122" s="0" t="n">
        <v>0</v>
      </c>
      <c r="B122" s="0" t="n">
        <v>6</v>
      </c>
      <c r="C122" s="0" t="n">
        <v>15</v>
      </c>
      <c r="D122" s="0" t="n">
        <f aca="false">-1+A122*0.125</f>
        <v>-1</v>
      </c>
      <c r="E122" s="0" t="n">
        <f aca="false">-1+B122*0.125</f>
        <v>-0.25</v>
      </c>
      <c r="F122" s="0" t="n">
        <f aca="false">-1+C122*0.125</f>
        <v>0.875</v>
      </c>
      <c r="G122" s="0" t="n">
        <f aca="false">1</f>
        <v>1</v>
      </c>
      <c r="H122" s="0" t="n">
        <f aca="false">D122</f>
        <v>-1</v>
      </c>
      <c r="I122" s="0" t="n">
        <f aca="false">E122</f>
        <v>-0.25</v>
      </c>
      <c r="J122" s="0" t="n">
        <f aca="false">F122</f>
        <v>0.875</v>
      </c>
      <c r="K122" s="0" t="n">
        <f aca="false">D122*E122</f>
        <v>0.25</v>
      </c>
      <c r="L122" s="0" t="n">
        <f aca="false">D122*F122</f>
        <v>-0.875</v>
      </c>
      <c r="M122" s="0" t="n">
        <f aca="false">E122*F122</f>
        <v>-0.21875</v>
      </c>
      <c r="N122" s="0" t="n">
        <f aca="false">D122*D122</f>
        <v>1</v>
      </c>
      <c r="O122" s="0" t="n">
        <f aca="false">E122*E122</f>
        <v>0.0625</v>
      </c>
      <c r="P122" s="0" t="n">
        <f aca="false">F122*F122</f>
        <v>0.765625</v>
      </c>
      <c r="Q122" s="0" t="n">
        <f aca="false">SUMPRODUCT(G122:P122,_XtX!$B$71:$K$71)</f>
        <v>43.2846448863636</v>
      </c>
      <c r="R122" s="0" t="n">
        <f aca="false">SUMPRODUCT(MMULT(G122:P122,_XtX!$B$58:$K$67),G122:P122)</f>
        <v>0.583609286221591</v>
      </c>
      <c r="S122" s="0" t="n">
        <f aca="false">04_回帰ANOVA!$K$19*04_回帰ANOVA!$K$14*SQRT(1+R122)</f>
        <v>1.1700129157584</v>
      </c>
      <c r="T122" s="0" t="n">
        <f aca="false">Q122-S122</f>
        <v>42.1146319706052</v>
      </c>
      <c r="U122" s="0" t="n">
        <f aca="false">Q122+S122</f>
        <v>44.454657802122</v>
      </c>
      <c r="V122" s="54" t="b">
        <f aca="false">AND(D122&gt;=01_因子設定!$L$5-0.000000001,D122&lt;=01_因子設定!$M$5+0.000000001,E122&gt;=01_因子設定!$L$6-0.000000001,E122&lt;=01_因子設定!$M$6+0.000000001,F122&gt;=01_因子設定!$L$7-0.000000001,F122&lt;=01_因子設定!$M$7+0.000000001,IF(01_因子設定!$B$20="Box-Behnken",D122^2+E122^2+F122^2&lt;=2+0.000000001,TRUE()))</f>
        <v>1</v>
      </c>
      <c r="W122" s="55" t="n">
        <f aca="false">IF(V122,IF(01_因子設定!$B$13="最大化",T122-01_因子設定!$B$14,IF(01_因子設定!$B$13="最小化",01_因子設定!$B$15-U122,MIN(T122-01_因子設定!$B$14,01_因子設定!$B$15-U122))),-1E+030)</f>
        <v>-6.38536802939476</v>
      </c>
      <c r="X122" s="55" t="n">
        <f aca="false">IF(V122,IF(01_因子設定!$B$13="最大化",Q122,IF(01_因子設定!$B$13="最小化",-Q122,-ABS(Q122-01_因子設定!$B$16))),-1E+030)</f>
        <v>43.2846448863636</v>
      </c>
      <c r="Y122" s="55" t="n">
        <f aca="false">W122+ROW()*0.000000001</f>
        <v>-6.38536790739475</v>
      </c>
      <c r="Z122" s="55" t="n">
        <f aca="false">X122+ROW()*0.000000001</f>
        <v>43.2846450083636</v>
      </c>
    </row>
    <row r="123" customFormat="false" ht="15" hidden="false" customHeight="false" outlineLevel="0" collapsed="false">
      <c r="A123" s="0" t="n">
        <v>0</v>
      </c>
      <c r="B123" s="0" t="n">
        <v>6</v>
      </c>
      <c r="C123" s="0" t="n">
        <v>16</v>
      </c>
      <c r="D123" s="0" t="n">
        <f aca="false">-1+A123*0.125</f>
        <v>-1</v>
      </c>
      <c r="E123" s="0" t="n">
        <f aca="false">-1+B123*0.125</f>
        <v>-0.25</v>
      </c>
      <c r="F123" s="0" t="n">
        <f aca="false">-1+C123*0.125</f>
        <v>1</v>
      </c>
      <c r="G123" s="0" t="n">
        <f aca="false">1</f>
        <v>1</v>
      </c>
      <c r="H123" s="0" t="n">
        <f aca="false">D123</f>
        <v>-1</v>
      </c>
      <c r="I123" s="0" t="n">
        <f aca="false">E123</f>
        <v>-0.25</v>
      </c>
      <c r="J123" s="0" t="n">
        <f aca="false">F123</f>
        <v>1</v>
      </c>
      <c r="K123" s="0" t="n">
        <f aca="false">D123*E123</f>
        <v>0.25</v>
      </c>
      <c r="L123" s="0" t="n">
        <f aca="false">D123*F123</f>
        <v>-1</v>
      </c>
      <c r="M123" s="0" t="n">
        <f aca="false">E123*F123</f>
        <v>-0.25</v>
      </c>
      <c r="N123" s="0" t="n">
        <f aca="false">D123*D123</f>
        <v>1</v>
      </c>
      <c r="O123" s="0" t="n">
        <f aca="false">E123*E123</f>
        <v>0.0625</v>
      </c>
      <c r="P123" s="0" t="n">
        <f aca="false">F123*F123</f>
        <v>1</v>
      </c>
      <c r="Q123" s="0" t="n">
        <f aca="false">SUMPRODUCT(G123:P123,_XtX!$B$71:$K$71)</f>
        <v>43.1859090909091</v>
      </c>
      <c r="R123" s="0" t="n">
        <f aca="false">SUMPRODUCT(MMULT(G123:P123,_XtX!$B$58:$K$67),G123:P123)</f>
        <v>0.699431818181818</v>
      </c>
      <c r="S123" s="0" t="n">
        <f aca="false">04_回帰ANOVA!$K$19*04_回帰ANOVA!$K$14*SQRT(1+R123)</f>
        <v>1.21204434231192</v>
      </c>
      <c r="T123" s="0" t="n">
        <f aca="false">Q123-S123</f>
        <v>41.9738647485972</v>
      </c>
      <c r="U123" s="0" t="n">
        <f aca="false">Q123+S123</f>
        <v>44.397953433221</v>
      </c>
      <c r="V123" s="54" t="b">
        <f aca="false">AND(D123&gt;=01_因子設定!$L$5-0.000000001,D123&lt;=01_因子設定!$M$5+0.000000001,E123&gt;=01_因子設定!$L$6-0.000000001,E123&lt;=01_因子設定!$M$6+0.000000001,F123&gt;=01_因子設定!$L$7-0.000000001,F123&lt;=01_因子設定!$M$7+0.000000001,IF(01_因子設定!$B$20="Box-Behnken",D123^2+E123^2+F123^2&lt;=2+0.000000001,TRUE()))</f>
        <v>1</v>
      </c>
      <c r="W123" s="55" t="n">
        <f aca="false">IF(V123,IF(01_因子設定!$B$13="最大化",T123-01_因子設定!$B$14,IF(01_因子設定!$B$13="最小化",01_因子設定!$B$15-U123,MIN(T123-01_因子設定!$B$14,01_因子設定!$B$15-U123))),-1E+030)</f>
        <v>-6.52613525140282</v>
      </c>
      <c r="X123" s="55" t="n">
        <f aca="false">IF(V123,IF(01_因子設定!$B$13="最大化",Q123,IF(01_因子設定!$B$13="最小化",-Q123,-ABS(Q123-01_因子設定!$B$16))),-1E+030)</f>
        <v>43.1859090909091</v>
      </c>
      <c r="Y123" s="55" t="n">
        <f aca="false">W123+ROW()*0.000000001</f>
        <v>-6.52613512840282</v>
      </c>
      <c r="Z123" s="55" t="n">
        <f aca="false">X123+ROW()*0.000000001</f>
        <v>43.1859092139091</v>
      </c>
    </row>
    <row r="124" customFormat="false" ht="15" hidden="false" customHeight="false" outlineLevel="0" collapsed="false">
      <c r="A124" s="0" t="n">
        <v>0</v>
      </c>
      <c r="B124" s="0" t="n">
        <v>7</v>
      </c>
      <c r="C124" s="0" t="n">
        <v>0</v>
      </c>
      <c r="D124" s="0" t="n">
        <f aca="false">-1+A124*0.125</f>
        <v>-1</v>
      </c>
      <c r="E124" s="0" t="n">
        <f aca="false">-1+B124*0.125</f>
        <v>-0.125</v>
      </c>
      <c r="F124" s="0" t="n">
        <f aca="false">-1+C124*0.125</f>
        <v>-1</v>
      </c>
      <c r="G124" s="0" t="n">
        <f aca="false">1</f>
        <v>1</v>
      </c>
      <c r="H124" s="0" t="n">
        <f aca="false">D124</f>
        <v>-1</v>
      </c>
      <c r="I124" s="0" t="n">
        <f aca="false">E124</f>
        <v>-0.125</v>
      </c>
      <c r="J124" s="0" t="n">
        <f aca="false">F124</f>
        <v>-1</v>
      </c>
      <c r="K124" s="0" t="n">
        <f aca="false">D124*E124</f>
        <v>0.125</v>
      </c>
      <c r="L124" s="0" t="n">
        <f aca="false">D124*F124</f>
        <v>1</v>
      </c>
      <c r="M124" s="0" t="n">
        <f aca="false">E124*F124</f>
        <v>0.125</v>
      </c>
      <c r="N124" s="0" t="n">
        <f aca="false">D124*D124</f>
        <v>1</v>
      </c>
      <c r="O124" s="0" t="n">
        <f aca="false">E124*E124</f>
        <v>0.015625</v>
      </c>
      <c r="P124" s="0" t="n">
        <f aca="false">F124*F124</f>
        <v>1</v>
      </c>
      <c r="Q124" s="0" t="n">
        <f aca="false">SUMPRODUCT(G124:P124,_XtX!$B$71:$K$71)</f>
        <v>40.4953125</v>
      </c>
      <c r="R124" s="0" t="n">
        <f aca="false">SUMPRODUCT(MMULT(G124:P124,_XtX!$B$58:$K$67),G124:P124)</f>
        <v>0.7115234375</v>
      </c>
      <c r="S124" s="0" t="n">
        <f aca="false">04_回帰ANOVA!$K$19*04_回帰ANOVA!$K$14*SQRT(1+R124)</f>
        <v>1.21634860506574</v>
      </c>
      <c r="T124" s="0" t="n">
        <f aca="false">Q124-S124</f>
        <v>39.2789638949343</v>
      </c>
      <c r="U124" s="0" t="n">
        <f aca="false">Q124+S124</f>
        <v>41.7116611050657</v>
      </c>
      <c r="V124" s="54" t="b">
        <f aca="false">AND(D124&gt;=01_因子設定!$L$5-0.000000001,D124&lt;=01_因子設定!$M$5+0.000000001,E124&gt;=01_因子設定!$L$6-0.000000001,E124&lt;=01_因子設定!$M$6+0.000000001,F124&gt;=01_因子設定!$L$7-0.000000001,F124&lt;=01_因子設定!$M$7+0.000000001,IF(01_因子設定!$B$20="Box-Behnken",D124^2+E124^2+F124^2&lt;=2+0.000000001,TRUE()))</f>
        <v>1</v>
      </c>
      <c r="W124" s="55" t="n">
        <f aca="false">IF(V124,IF(01_因子設定!$B$13="最大化",T124-01_因子設定!$B$14,IF(01_因子設定!$B$13="最小化",01_因子設定!$B$15-U124,MIN(T124-01_因子設定!$B$14,01_因子設定!$B$15-U124))),-1E+030)</f>
        <v>-9.22103610506573</v>
      </c>
      <c r="X124" s="55" t="n">
        <f aca="false">IF(V124,IF(01_因子設定!$B$13="最大化",Q124,IF(01_因子設定!$B$13="最小化",-Q124,-ABS(Q124-01_因子設定!$B$16))),-1E+030)</f>
        <v>40.4953125</v>
      </c>
      <c r="Y124" s="55" t="n">
        <f aca="false">W124+ROW()*0.000000001</f>
        <v>-9.22103598106573</v>
      </c>
      <c r="Z124" s="55" t="n">
        <f aca="false">X124+ROW()*0.000000001</f>
        <v>40.495312624</v>
      </c>
    </row>
    <row r="125" customFormat="false" ht="15" hidden="false" customHeight="false" outlineLevel="0" collapsed="false">
      <c r="A125" s="0" t="n">
        <v>0</v>
      </c>
      <c r="B125" s="0" t="n">
        <v>7</v>
      </c>
      <c r="C125" s="0" t="n">
        <v>1</v>
      </c>
      <c r="D125" s="0" t="n">
        <f aca="false">-1+A125*0.125</f>
        <v>-1</v>
      </c>
      <c r="E125" s="0" t="n">
        <f aca="false">-1+B125*0.125</f>
        <v>-0.125</v>
      </c>
      <c r="F125" s="0" t="n">
        <f aca="false">-1+C125*0.125</f>
        <v>-0.875</v>
      </c>
      <c r="G125" s="0" t="n">
        <f aca="false">1</f>
        <v>1</v>
      </c>
      <c r="H125" s="0" t="n">
        <f aca="false">D125</f>
        <v>-1</v>
      </c>
      <c r="I125" s="0" t="n">
        <f aca="false">E125</f>
        <v>-0.125</v>
      </c>
      <c r="J125" s="0" t="n">
        <f aca="false">F125</f>
        <v>-0.875</v>
      </c>
      <c r="K125" s="0" t="n">
        <f aca="false">D125*E125</f>
        <v>0.125</v>
      </c>
      <c r="L125" s="0" t="n">
        <f aca="false">D125*F125</f>
        <v>0.875</v>
      </c>
      <c r="M125" s="0" t="n">
        <f aca="false">E125*F125</f>
        <v>0.109375</v>
      </c>
      <c r="N125" s="0" t="n">
        <f aca="false">D125*D125</f>
        <v>1</v>
      </c>
      <c r="O125" s="0" t="n">
        <f aca="false">E125*E125</f>
        <v>0.015625</v>
      </c>
      <c r="P125" s="0" t="n">
        <f aca="false">F125*F125</f>
        <v>0.765625</v>
      </c>
      <c r="Q125" s="0" t="n">
        <f aca="false">SUMPRODUCT(G125:P125,_XtX!$B$71:$K$71)</f>
        <v>40.9554545454546</v>
      </c>
      <c r="R125" s="0" t="n">
        <f aca="false">SUMPRODUCT(MMULT(G125:P125,_XtX!$B$58:$K$67),G125:P125)</f>
        <v>0.59407792524858</v>
      </c>
      <c r="S125" s="0" t="n">
        <f aca="false">04_回帰ANOVA!$K$19*04_回帰ANOVA!$K$14*SQRT(1+R125)</f>
        <v>1.17387380087722</v>
      </c>
      <c r="T125" s="0" t="n">
        <f aca="false">Q125-S125</f>
        <v>39.7815807445773</v>
      </c>
      <c r="U125" s="0" t="n">
        <f aca="false">Q125+S125</f>
        <v>42.1293283463318</v>
      </c>
      <c r="V125" s="54" t="b">
        <f aca="false">AND(D125&gt;=01_因子設定!$L$5-0.000000001,D125&lt;=01_因子設定!$M$5+0.000000001,E125&gt;=01_因子設定!$L$6-0.000000001,E125&lt;=01_因子設定!$M$6+0.000000001,F125&gt;=01_因子設定!$L$7-0.000000001,F125&lt;=01_因子設定!$M$7+0.000000001,IF(01_因子設定!$B$20="Box-Behnken",D125^2+E125^2+F125^2&lt;=2+0.000000001,TRUE()))</f>
        <v>1</v>
      </c>
      <c r="W125" s="55" t="n">
        <f aca="false">IF(V125,IF(01_因子設定!$B$13="最大化",T125-01_因子設定!$B$14,IF(01_因子設定!$B$13="最小化",01_因子設定!$B$15-U125,MIN(T125-01_因子設定!$B$14,01_因子設定!$B$15-U125))),-1E+030)</f>
        <v>-8.71841925542267</v>
      </c>
      <c r="X125" s="55" t="n">
        <f aca="false">IF(V125,IF(01_因子設定!$B$13="最大化",Q125,IF(01_因子設定!$B$13="最小化",-Q125,-ABS(Q125-01_因子設定!$B$16))),-1E+030)</f>
        <v>40.9554545454546</v>
      </c>
      <c r="Y125" s="55" t="n">
        <f aca="false">W125+ROW()*0.000000001</f>
        <v>-8.71841913042267</v>
      </c>
      <c r="Z125" s="55" t="n">
        <f aca="false">X125+ROW()*0.000000001</f>
        <v>40.9554546704546</v>
      </c>
    </row>
    <row r="126" customFormat="false" ht="15" hidden="false" customHeight="false" outlineLevel="0" collapsed="false">
      <c r="A126" s="0" t="n">
        <v>0</v>
      </c>
      <c r="B126" s="0" t="n">
        <v>7</v>
      </c>
      <c r="C126" s="0" t="n">
        <v>2</v>
      </c>
      <c r="D126" s="0" t="n">
        <f aca="false">-1+A126*0.125</f>
        <v>-1</v>
      </c>
      <c r="E126" s="0" t="n">
        <f aca="false">-1+B126*0.125</f>
        <v>-0.125</v>
      </c>
      <c r="F126" s="0" t="n">
        <f aca="false">-1+C126*0.125</f>
        <v>-0.75</v>
      </c>
      <c r="G126" s="0" t="n">
        <f aca="false">1</f>
        <v>1</v>
      </c>
      <c r="H126" s="0" t="n">
        <f aca="false">D126</f>
        <v>-1</v>
      </c>
      <c r="I126" s="0" t="n">
        <f aca="false">E126</f>
        <v>-0.125</v>
      </c>
      <c r="J126" s="0" t="n">
        <f aca="false">F126</f>
        <v>-0.75</v>
      </c>
      <c r="K126" s="0" t="n">
        <f aca="false">D126*E126</f>
        <v>0.125</v>
      </c>
      <c r="L126" s="0" t="n">
        <f aca="false">D126*F126</f>
        <v>0.75</v>
      </c>
      <c r="M126" s="0" t="n">
        <f aca="false">E126*F126</f>
        <v>0.09375</v>
      </c>
      <c r="N126" s="0" t="n">
        <f aca="false">D126*D126</f>
        <v>1</v>
      </c>
      <c r="O126" s="0" t="n">
        <f aca="false">E126*E126</f>
        <v>0.015625</v>
      </c>
      <c r="P126" s="0" t="n">
        <f aca="false">F126*F126</f>
        <v>0.5625</v>
      </c>
      <c r="Q126" s="0" t="n">
        <f aca="false">SUMPRODUCT(G126:P126,_XtX!$B$71:$K$71)</f>
        <v>41.3788068181818</v>
      </c>
      <c r="R126" s="0" t="n">
        <f aca="false">SUMPRODUCT(MMULT(G126:P126,_XtX!$B$58:$K$67),G126:P126)</f>
        <v>0.524607155539773</v>
      </c>
      <c r="S126" s="0" t="n">
        <f aca="false">04_回帰ANOVA!$K$19*04_回帰ANOVA!$K$14*SQRT(1+R126)</f>
        <v>1.14800984623412</v>
      </c>
      <c r="T126" s="0" t="n">
        <f aca="false">Q126-S126</f>
        <v>40.2307969719477</v>
      </c>
      <c r="U126" s="0" t="n">
        <f aca="false">Q126+S126</f>
        <v>42.5268166644159</v>
      </c>
      <c r="V126" s="54" t="b">
        <f aca="false">AND(D126&gt;=01_因子設定!$L$5-0.000000001,D126&lt;=01_因子設定!$M$5+0.000000001,E126&gt;=01_因子設定!$L$6-0.000000001,E126&lt;=01_因子設定!$M$6+0.000000001,F126&gt;=01_因子設定!$L$7-0.000000001,F126&lt;=01_因子設定!$M$7+0.000000001,IF(01_因子設定!$B$20="Box-Behnken",D126^2+E126^2+F126^2&lt;=2+0.000000001,TRUE()))</f>
        <v>1</v>
      </c>
      <c r="W126" s="55" t="n">
        <f aca="false">IF(V126,IF(01_因子設定!$B$13="最大化",T126-01_因子設定!$B$14,IF(01_因子設定!$B$13="最小化",01_因子設定!$B$15-U126,MIN(T126-01_因子設定!$B$14,01_因子設定!$B$15-U126))),-1E+030)</f>
        <v>-8.2692030280523</v>
      </c>
      <c r="X126" s="55" t="n">
        <f aca="false">IF(V126,IF(01_因子設定!$B$13="最大化",Q126,IF(01_因子設定!$B$13="最小化",-Q126,-ABS(Q126-01_因子設定!$B$16))),-1E+030)</f>
        <v>41.3788068181818</v>
      </c>
      <c r="Y126" s="55" t="n">
        <f aca="false">W126+ROW()*0.000000001</f>
        <v>-8.2692029020523</v>
      </c>
      <c r="Z126" s="55" t="n">
        <f aca="false">X126+ROW()*0.000000001</f>
        <v>41.3788069441818</v>
      </c>
    </row>
    <row r="127" customFormat="false" ht="15" hidden="false" customHeight="false" outlineLevel="0" collapsed="false">
      <c r="A127" s="0" t="n">
        <v>0</v>
      </c>
      <c r="B127" s="0" t="n">
        <v>7</v>
      </c>
      <c r="C127" s="0" t="n">
        <v>3</v>
      </c>
      <c r="D127" s="0" t="n">
        <f aca="false">-1+A127*0.125</f>
        <v>-1</v>
      </c>
      <c r="E127" s="0" t="n">
        <f aca="false">-1+B127*0.125</f>
        <v>-0.125</v>
      </c>
      <c r="F127" s="0" t="n">
        <f aca="false">-1+C127*0.125</f>
        <v>-0.625</v>
      </c>
      <c r="G127" s="0" t="n">
        <f aca="false">1</f>
        <v>1</v>
      </c>
      <c r="H127" s="0" t="n">
        <f aca="false">D127</f>
        <v>-1</v>
      </c>
      <c r="I127" s="0" t="n">
        <f aca="false">E127</f>
        <v>-0.125</v>
      </c>
      <c r="J127" s="0" t="n">
        <f aca="false">F127</f>
        <v>-0.625</v>
      </c>
      <c r="K127" s="0" t="n">
        <f aca="false">D127*E127</f>
        <v>0.125</v>
      </c>
      <c r="L127" s="0" t="n">
        <f aca="false">D127*F127</f>
        <v>0.625</v>
      </c>
      <c r="M127" s="0" t="n">
        <f aca="false">E127*F127</f>
        <v>0.078125</v>
      </c>
      <c r="N127" s="0" t="n">
        <f aca="false">D127*D127</f>
        <v>1</v>
      </c>
      <c r="O127" s="0" t="n">
        <f aca="false">E127*E127</f>
        <v>0.015625</v>
      </c>
      <c r="P127" s="0" t="n">
        <f aca="false">F127*F127</f>
        <v>0.390625</v>
      </c>
      <c r="Q127" s="0" t="n">
        <f aca="false">SUMPRODUCT(G127:P127,_XtX!$B$71:$K$71)</f>
        <v>41.7653693181818</v>
      </c>
      <c r="R127" s="0" t="n">
        <f aca="false">SUMPRODUCT(MMULT(G127:P127,_XtX!$B$58:$K$67),G127:P127)</f>
        <v>0.489261696555398</v>
      </c>
      <c r="S127" s="0" t="n">
        <f aca="false">04_回帰ANOVA!$K$19*04_回帰ANOVA!$K$14*SQRT(1+R127)</f>
        <v>1.13462447083763</v>
      </c>
      <c r="T127" s="0" t="n">
        <f aca="false">Q127-S127</f>
        <v>40.6307448473442</v>
      </c>
      <c r="U127" s="0" t="n">
        <f aca="false">Q127+S127</f>
        <v>42.8999937890195</v>
      </c>
      <c r="V127" s="54" t="b">
        <f aca="false">AND(D127&gt;=01_因子設定!$L$5-0.000000001,D127&lt;=01_因子設定!$M$5+0.000000001,E127&gt;=01_因子設定!$L$6-0.000000001,E127&lt;=01_因子設定!$M$6+0.000000001,F127&gt;=01_因子設定!$L$7-0.000000001,F127&lt;=01_因子設定!$M$7+0.000000001,IF(01_因子設定!$B$20="Box-Behnken",D127^2+E127^2+F127^2&lt;=2+0.000000001,TRUE()))</f>
        <v>1</v>
      </c>
      <c r="W127" s="55" t="n">
        <f aca="false">IF(V127,IF(01_因子設定!$B$13="最大化",T127-01_因子設定!$B$14,IF(01_因子設定!$B$13="最小化",01_因子設定!$B$15-U127,MIN(T127-01_因子設定!$B$14,01_因子設定!$B$15-U127))),-1E+030)</f>
        <v>-7.86925515265583</v>
      </c>
      <c r="X127" s="55" t="n">
        <f aca="false">IF(V127,IF(01_因子設定!$B$13="最大化",Q127,IF(01_因子設定!$B$13="最小化",-Q127,-ABS(Q127-01_因子設定!$B$16))),-1E+030)</f>
        <v>41.7653693181818</v>
      </c>
      <c r="Y127" s="55" t="n">
        <f aca="false">W127+ROW()*0.000000001</f>
        <v>-7.86925502565583</v>
      </c>
      <c r="Z127" s="55" t="n">
        <f aca="false">X127+ROW()*0.000000001</f>
        <v>41.7653694451818</v>
      </c>
    </row>
    <row r="128" customFormat="false" ht="15" hidden="false" customHeight="false" outlineLevel="0" collapsed="false">
      <c r="A128" s="0" t="n">
        <v>0</v>
      </c>
      <c r="B128" s="0" t="n">
        <v>7</v>
      </c>
      <c r="C128" s="0" t="n">
        <v>4</v>
      </c>
      <c r="D128" s="0" t="n">
        <f aca="false">-1+A128*0.125</f>
        <v>-1</v>
      </c>
      <c r="E128" s="0" t="n">
        <f aca="false">-1+B128*0.125</f>
        <v>-0.125</v>
      </c>
      <c r="F128" s="0" t="n">
        <f aca="false">-1+C128*0.125</f>
        <v>-0.5</v>
      </c>
      <c r="G128" s="0" t="n">
        <f aca="false">1</f>
        <v>1</v>
      </c>
      <c r="H128" s="0" t="n">
        <f aca="false">D128</f>
        <v>-1</v>
      </c>
      <c r="I128" s="0" t="n">
        <f aca="false">E128</f>
        <v>-0.125</v>
      </c>
      <c r="J128" s="0" t="n">
        <f aca="false">F128</f>
        <v>-0.5</v>
      </c>
      <c r="K128" s="0" t="n">
        <f aca="false">D128*E128</f>
        <v>0.125</v>
      </c>
      <c r="L128" s="0" t="n">
        <f aca="false">D128*F128</f>
        <v>0.5</v>
      </c>
      <c r="M128" s="0" t="n">
        <f aca="false">E128*F128</f>
        <v>0.0625</v>
      </c>
      <c r="N128" s="0" t="n">
        <f aca="false">D128*D128</f>
        <v>1</v>
      </c>
      <c r="O128" s="0" t="n">
        <f aca="false">E128*E128</f>
        <v>0.015625</v>
      </c>
      <c r="P128" s="0" t="n">
        <f aca="false">F128*F128</f>
        <v>0.25</v>
      </c>
      <c r="Q128" s="0" t="n">
        <f aca="false">SUMPRODUCT(G128:P128,_XtX!$B$71:$K$71)</f>
        <v>42.1151420454545</v>
      </c>
      <c r="R128" s="0" t="n">
        <f aca="false">SUMPRODUCT(MMULT(G128:P128,_XtX!$B$58:$K$67),G128:P128)</f>
        <v>0.476322798295455</v>
      </c>
      <c r="S128" s="0" t="n">
        <f aca="false">04_回帰ANOVA!$K$19*04_回帰ANOVA!$K$14*SQRT(1+R128)</f>
        <v>1.12968483630128</v>
      </c>
      <c r="T128" s="0" t="n">
        <f aca="false">Q128-S128</f>
        <v>40.9854572091533</v>
      </c>
      <c r="U128" s="0" t="n">
        <f aca="false">Q128+S128</f>
        <v>43.2448268817558</v>
      </c>
      <c r="V128" s="54" t="b">
        <f aca="false">AND(D128&gt;=01_因子設定!$L$5-0.000000001,D128&lt;=01_因子設定!$M$5+0.000000001,E128&gt;=01_因子設定!$L$6-0.000000001,E128&lt;=01_因子設定!$M$6+0.000000001,F128&gt;=01_因子設定!$L$7-0.000000001,F128&lt;=01_因子設定!$M$7+0.000000001,IF(01_因子設定!$B$20="Box-Behnken",D128^2+E128^2+F128^2&lt;=2+0.000000001,TRUE()))</f>
        <v>1</v>
      </c>
      <c r="W128" s="55" t="n">
        <f aca="false">IF(V128,IF(01_因子設定!$B$13="最大化",T128-01_因子設定!$B$14,IF(01_因子設定!$B$13="最小化",01_因子設定!$B$15-U128,MIN(T128-01_因子設定!$B$14,01_因子設定!$B$15-U128))),-1E+030)</f>
        <v>-7.51454279084674</v>
      </c>
      <c r="X128" s="55" t="n">
        <f aca="false">IF(V128,IF(01_因子設定!$B$13="最大化",Q128,IF(01_因子設定!$B$13="最小化",-Q128,-ABS(Q128-01_因子設定!$B$16))),-1E+030)</f>
        <v>42.1151420454545</v>
      </c>
      <c r="Y128" s="55" t="n">
        <f aca="false">W128+ROW()*0.000000001</f>
        <v>-7.51454266284674</v>
      </c>
      <c r="Z128" s="55" t="n">
        <f aca="false">X128+ROW()*0.000000001</f>
        <v>42.1151421734545</v>
      </c>
    </row>
    <row r="129" customFormat="false" ht="15" hidden="false" customHeight="false" outlineLevel="0" collapsed="false">
      <c r="A129" s="0" t="n">
        <v>0</v>
      </c>
      <c r="B129" s="0" t="n">
        <v>7</v>
      </c>
      <c r="C129" s="0" t="n">
        <v>5</v>
      </c>
      <c r="D129" s="0" t="n">
        <f aca="false">-1+A129*0.125</f>
        <v>-1</v>
      </c>
      <c r="E129" s="0" t="n">
        <f aca="false">-1+B129*0.125</f>
        <v>-0.125</v>
      </c>
      <c r="F129" s="0" t="n">
        <f aca="false">-1+C129*0.125</f>
        <v>-0.375</v>
      </c>
      <c r="G129" s="0" t="n">
        <f aca="false">1</f>
        <v>1</v>
      </c>
      <c r="H129" s="0" t="n">
        <f aca="false">D129</f>
        <v>-1</v>
      </c>
      <c r="I129" s="0" t="n">
        <f aca="false">E129</f>
        <v>-0.125</v>
      </c>
      <c r="J129" s="0" t="n">
        <f aca="false">F129</f>
        <v>-0.375</v>
      </c>
      <c r="K129" s="0" t="n">
        <f aca="false">D129*E129</f>
        <v>0.125</v>
      </c>
      <c r="L129" s="0" t="n">
        <f aca="false">D129*F129</f>
        <v>0.375</v>
      </c>
      <c r="M129" s="0" t="n">
        <f aca="false">E129*F129</f>
        <v>0.046875</v>
      </c>
      <c r="N129" s="0" t="n">
        <f aca="false">D129*D129</f>
        <v>1</v>
      </c>
      <c r="O129" s="0" t="n">
        <f aca="false">E129*E129</f>
        <v>0.015625</v>
      </c>
      <c r="P129" s="0" t="n">
        <f aca="false">F129*F129</f>
        <v>0.140625</v>
      </c>
      <c r="Q129" s="0" t="n">
        <f aca="false">SUMPRODUCT(G129:P129,_XtX!$B$71:$K$71)</f>
        <v>42.428125</v>
      </c>
      <c r="R129" s="0" t="n">
        <f aca="false">SUMPRODUCT(MMULT(G129:P129,_XtX!$B$58:$K$67),G129:P129)</f>
        <v>0.476202392578125</v>
      </c>
      <c r="S129" s="0" t="n">
        <f aca="false">04_回帰ANOVA!$K$19*04_回帰ANOVA!$K$14*SQRT(1+R129)</f>
        <v>1.12963876802721</v>
      </c>
      <c r="T129" s="0" t="n">
        <f aca="false">Q129-S129</f>
        <v>41.2984862319728</v>
      </c>
      <c r="U129" s="0" t="n">
        <f aca="false">Q129+S129</f>
        <v>43.5577637680272</v>
      </c>
      <c r="V129" s="54" t="b">
        <f aca="false">AND(D129&gt;=01_因子設定!$L$5-0.000000001,D129&lt;=01_因子設定!$M$5+0.000000001,E129&gt;=01_因子設定!$L$6-0.000000001,E129&lt;=01_因子設定!$M$6+0.000000001,F129&gt;=01_因子設定!$L$7-0.000000001,F129&lt;=01_因子設定!$M$7+0.000000001,IF(01_因子設定!$B$20="Box-Behnken",D129^2+E129^2+F129^2&lt;=2+0.000000001,TRUE()))</f>
        <v>1</v>
      </c>
      <c r="W129" s="55" t="n">
        <f aca="false">IF(V129,IF(01_因子設定!$B$13="最大化",T129-01_因子設定!$B$14,IF(01_因子設定!$B$13="最小化",01_因子設定!$B$15-U129,MIN(T129-01_因子設定!$B$14,01_因子設定!$B$15-U129))),-1E+030)</f>
        <v>-7.20151376802722</v>
      </c>
      <c r="X129" s="55" t="n">
        <f aca="false">IF(V129,IF(01_因子設定!$B$13="最大化",Q129,IF(01_因子設定!$B$13="最小化",-Q129,-ABS(Q129-01_因子設定!$B$16))),-1E+030)</f>
        <v>42.428125</v>
      </c>
      <c r="Y129" s="55" t="n">
        <f aca="false">W129+ROW()*0.000000001</f>
        <v>-7.20151363902722</v>
      </c>
      <c r="Z129" s="55" t="n">
        <f aca="false">X129+ROW()*0.000000001</f>
        <v>42.428125129</v>
      </c>
    </row>
    <row r="130" customFormat="false" ht="15" hidden="false" customHeight="false" outlineLevel="0" collapsed="false">
      <c r="A130" s="0" t="n">
        <v>0</v>
      </c>
      <c r="B130" s="0" t="n">
        <v>7</v>
      </c>
      <c r="C130" s="0" t="n">
        <v>6</v>
      </c>
      <c r="D130" s="0" t="n">
        <f aca="false">-1+A130*0.125</f>
        <v>-1</v>
      </c>
      <c r="E130" s="0" t="n">
        <f aca="false">-1+B130*0.125</f>
        <v>-0.125</v>
      </c>
      <c r="F130" s="0" t="n">
        <f aca="false">-1+C130*0.125</f>
        <v>-0.25</v>
      </c>
      <c r="G130" s="0" t="n">
        <f aca="false">1</f>
        <v>1</v>
      </c>
      <c r="H130" s="0" t="n">
        <f aca="false">D130</f>
        <v>-1</v>
      </c>
      <c r="I130" s="0" t="n">
        <f aca="false">E130</f>
        <v>-0.125</v>
      </c>
      <c r="J130" s="0" t="n">
        <f aca="false">F130</f>
        <v>-0.25</v>
      </c>
      <c r="K130" s="0" t="n">
        <f aca="false">D130*E130</f>
        <v>0.125</v>
      </c>
      <c r="L130" s="0" t="n">
        <f aca="false">D130*F130</f>
        <v>0.25</v>
      </c>
      <c r="M130" s="0" t="n">
        <f aca="false">E130*F130</f>
        <v>0.03125</v>
      </c>
      <c r="N130" s="0" t="n">
        <f aca="false">D130*D130</f>
        <v>1</v>
      </c>
      <c r="O130" s="0" t="n">
        <f aca="false">E130*E130</f>
        <v>0.015625</v>
      </c>
      <c r="P130" s="0" t="n">
        <f aca="false">F130*F130</f>
        <v>0.0625</v>
      </c>
      <c r="Q130" s="0" t="n">
        <f aca="false">SUMPRODUCT(G130:P130,_XtX!$B$71:$K$71)</f>
        <v>42.7043181818182</v>
      </c>
      <c r="R130" s="0" t="n">
        <f aca="false">SUMPRODUCT(MMULT(G130:P130,_XtX!$B$58:$K$67),G130:P130)</f>
        <v>0.481443093039773</v>
      </c>
      <c r="S130" s="0" t="n">
        <f aca="false">04_回帰ANOVA!$K$19*04_回帰ANOVA!$K$14*SQRT(1+R130)</f>
        <v>1.13164216995877</v>
      </c>
      <c r="T130" s="0" t="n">
        <f aca="false">Q130-S130</f>
        <v>41.5726760118594</v>
      </c>
      <c r="U130" s="0" t="n">
        <f aca="false">Q130+S130</f>
        <v>43.8359603517769</v>
      </c>
      <c r="V130" s="54" t="b">
        <f aca="false">AND(D130&gt;=01_因子設定!$L$5-0.000000001,D130&lt;=01_因子設定!$M$5+0.000000001,E130&gt;=01_因子設定!$L$6-0.000000001,E130&lt;=01_因子設定!$M$6+0.000000001,F130&gt;=01_因子設定!$L$7-0.000000001,F130&lt;=01_因子設定!$M$7+0.000000001,IF(01_因子設定!$B$20="Box-Behnken",D130^2+E130^2+F130^2&lt;=2+0.000000001,TRUE()))</f>
        <v>1</v>
      </c>
      <c r="W130" s="55" t="n">
        <f aca="false">IF(V130,IF(01_因子設定!$B$13="最大化",T130-01_因子設定!$B$14,IF(01_因子設定!$B$13="最小化",01_因子設定!$B$15-U130,MIN(T130-01_因子設定!$B$14,01_因子設定!$B$15-U130))),-1E+030)</f>
        <v>-6.92732398814059</v>
      </c>
      <c r="X130" s="55" t="n">
        <f aca="false">IF(V130,IF(01_因子設定!$B$13="最大化",Q130,IF(01_因子設定!$B$13="最小化",-Q130,-ABS(Q130-01_因子設定!$B$16))),-1E+030)</f>
        <v>42.7043181818182</v>
      </c>
      <c r="Y130" s="55" t="n">
        <f aca="false">W130+ROW()*0.000000001</f>
        <v>-6.92732385814059</v>
      </c>
      <c r="Z130" s="55" t="n">
        <f aca="false">X130+ROW()*0.000000001</f>
        <v>42.7043183118182</v>
      </c>
    </row>
    <row r="131" customFormat="false" ht="15" hidden="false" customHeight="false" outlineLevel="0" collapsed="false">
      <c r="A131" s="0" t="n">
        <v>0</v>
      </c>
      <c r="B131" s="0" t="n">
        <v>7</v>
      </c>
      <c r="C131" s="0" t="n">
        <v>7</v>
      </c>
      <c r="D131" s="0" t="n">
        <f aca="false">-1+A131*0.125</f>
        <v>-1</v>
      </c>
      <c r="E131" s="0" t="n">
        <f aca="false">-1+B131*0.125</f>
        <v>-0.125</v>
      </c>
      <c r="F131" s="0" t="n">
        <f aca="false">-1+C131*0.125</f>
        <v>-0.125</v>
      </c>
      <c r="G131" s="0" t="n">
        <f aca="false">1</f>
        <v>1</v>
      </c>
      <c r="H131" s="0" t="n">
        <f aca="false">D131</f>
        <v>-1</v>
      </c>
      <c r="I131" s="0" t="n">
        <f aca="false">E131</f>
        <v>-0.125</v>
      </c>
      <c r="J131" s="0" t="n">
        <f aca="false">F131</f>
        <v>-0.125</v>
      </c>
      <c r="K131" s="0" t="n">
        <f aca="false">D131*E131</f>
        <v>0.125</v>
      </c>
      <c r="L131" s="0" t="n">
        <f aca="false">D131*F131</f>
        <v>0.125</v>
      </c>
      <c r="M131" s="0" t="n">
        <f aca="false">E131*F131</f>
        <v>0.015625</v>
      </c>
      <c r="N131" s="0" t="n">
        <f aca="false">D131*D131</f>
        <v>1</v>
      </c>
      <c r="O131" s="0" t="n">
        <f aca="false">E131*E131</f>
        <v>0.015625</v>
      </c>
      <c r="P131" s="0" t="n">
        <f aca="false">F131*F131</f>
        <v>0.015625</v>
      </c>
      <c r="Q131" s="0" t="n">
        <f aca="false">SUMPRODUCT(G131:P131,_XtX!$B$71:$K$71)</f>
        <v>42.9437215909091</v>
      </c>
      <c r="R131" s="0" t="n">
        <f aca="false">SUMPRODUCT(MMULT(G131:P131,_XtX!$B$58:$K$67),G131:P131)</f>
        <v>0.486718195134943</v>
      </c>
      <c r="S131" s="0" t="n">
        <f aca="false">04_回帰ANOVA!$K$19*04_回帰ANOVA!$K$14*SQRT(1+R131)</f>
        <v>1.13365514750636</v>
      </c>
      <c r="T131" s="0" t="n">
        <f aca="false">Q131-S131</f>
        <v>41.8100664434027</v>
      </c>
      <c r="U131" s="0" t="n">
        <f aca="false">Q131+S131</f>
        <v>44.0773767384154</v>
      </c>
      <c r="V131" s="54" t="b">
        <f aca="false">AND(D131&gt;=01_因子設定!$L$5-0.000000001,D131&lt;=01_因子設定!$M$5+0.000000001,E131&gt;=01_因子設定!$L$6-0.000000001,E131&lt;=01_因子設定!$M$6+0.000000001,F131&gt;=01_因子設定!$L$7-0.000000001,F131&lt;=01_因子設定!$M$7+0.000000001,IF(01_因子設定!$B$20="Box-Behnken",D131^2+E131^2+F131^2&lt;=2+0.000000001,TRUE()))</f>
        <v>1</v>
      </c>
      <c r="W131" s="55" t="n">
        <f aca="false">IF(V131,IF(01_因子設定!$B$13="最大化",T131-01_因子設定!$B$14,IF(01_因子設定!$B$13="最小化",01_因子設定!$B$15-U131,MIN(T131-01_因子設定!$B$14,01_因子設定!$B$15-U131))),-1E+030)</f>
        <v>-6.68993355659728</v>
      </c>
      <c r="X131" s="55" t="n">
        <f aca="false">IF(V131,IF(01_因子設定!$B$13="最大化",Q131,IF(01_因子設定!$B$13="最小化",-Q131,-ABS(Q131-01_因子設定!$B$16))),-1E+030)</f>
        <v>42.9437215909091</v>
      </c>
      <c r="Y131" s="55" t="n">
        <f aca="false">W131+ROW()*0.000000001</f>
        <v>-6.68993342559728</v>
      </c>
      <c r="Z131" s="55" t="n">
        <f aca="false">X131+ROW()*0.000000001</f>
        <v>42.9437217219091</v>
      </c>
    </row>
    <row r="132" customFormat="false" ht="15" hidden="false" customHeight="false" outlineLevel="0" collapsed="false">
      <c r="A132" s="0" t="n">
        <v>0</v>
      </c>
      <c r="B132" s="0" t="n">
        <v>7</v>
      </c>
      <c r="C132" s="0" t="n">
        <v>8</v>
      </c>
      <c r="D132" s="0" t="n">
        <f aca="false">-1+A132*0.125</f>
        <v>-1</v>
      </c>
      <c r="E132" s="0" t="n">
        <f aca="false">-1+B132*0.125</f>
        <v>-0.125</v>
      </c>
      <c r="F132" s="0" t="n">
        <f aca="false">-1+C132*0.125</f>
        <v>0</v>
      </c>
      <c r="G132" s="0" t="n">
        <f aca="false">1</f>
        <v>1</v>
      </c>
      <c r="H132" s="0" t="n">
        <f aca="false">D132</f>
        <v>-1</v>
      </c>
      <c r="I132" s="0" t="n">
        <f aca="false">E132</f>
        <v>-0.125</v>
      </c>
      <c r="J132" s="0" t="n">
        <f aca="false">F132</f>
        <v>0</v>
      </c>
      <c r="K132" s="0" t="n">
        <f aca="false">D132*E132</f>
        <v>0.125</v>
      </c>
      <c r="L132" s="0" t="n">
        <f aca="false">D132*F132</f>
        <v>-0</v>
      </c>
      <c r="M132" s="0" t="n">
        <f aca="false">E132*F132</f>
        <v>-0</v>
      </c>
      <c r="N132" s="0" t="n">
        <f aca="false">D132*D132</f>
        <v>1</v>
      </c>
      <c r="O132" s="0" t="n">
        <f aca="false">E132*E132</f>
        <v>0.015625</v>
      </c>
      <c r="P132" s="0" t="n">
        <f aca="false">F132*F132</f>
        <v>0</v>
      </c>
      <c r="Q132" s="0" t="n">
        <f aca="false">SUMPRODUCT(G132:P132,_XtX!$B$71:$K$71)</f>
        <v>43.1463352272727</v>
      </c>
      <c r="R132" s="0" t="n">
        <f aca="false">SUMPRODUCT(MMULT(G132:P132,_XtX!$B$58:$K$67),G132:P132)</f>
        <v>0.488831676136364</v>
      </c>
      <c r="S132" s="0" t="n">
        <f aca="false">04_回帰ANOVA!$K$19*04_回帰ANOVA!$K$14*SQRT(1+R132)</f>
        <v>1.13446064908709</v>
      </c>
      <c r="T132" s="0" t="n">
        <f aca="false">Q132-S132</f>
        <v>42.0118745781856</v>
      </c>
      <c r="U132" s="0" t="n">
        <f aca="false">Q132+S132</f>
        <v>44.2807958763598</v>
      </c>
      <c r="V132" s="54" t="b">
        <f aca="false">AND(D132&gt;=01_因子設定!$L$5-0.000000001,D132&lt;=01_因子設定!$M$5+0.000000001,E132&gt;=01_因子設定!$L$6-0.000000001,E132&lt;=01_因子設定!$M$6+0.000000001,F132&gt;=01_因子設定!$L$7-0.000000001,F132&lt;=01_因子設定!$M$7+0.000000001,IF(01_因子設定!$B$20="Box-Behnken",D132^2+E132^2+F132^2&lt;=2+0.000000001,TRUE()))</f>
        <v>1</v>
      </c>
      <c r="W132" s="55" t="n">
        <f aca="false">IF(V132,IF(01_因子設定!$B$13="最大化",T132-01_因子設定!$B$14,IF(01_因子設定!$B$13="最小化",01_因子設定!$B$15-U132,MIN(T132-01_因子設定!$B$14,01_因子設定!$B$15-U132))),-1E+030)</f>
        <v>-6.48812542181437</v>
      </c>
      <c r="X132" s="55" t="n">
        <f aca="false">IF(V132,IF(01_因子設定!$B$13="最大化",Q132,IF(01_因子設定!$B$13="最小化",-Q132,-ABS(Q132-01_因子設定!$B$16))),-1E+030)</f>
        <v>43.1463352272727</v>
      </c>
      <c r="Y132" s="55" t="n">
        <f aca="false">W132+ROW()*0.000000001</f>
        <v>-6.48812528981437</v>
      </c>
      <c r="Z132" s="55" t="n">
        <f aca="false">X132+ROW()*0.000000001</f>
        <v>43.1463353592727</v>
      </c>
    </row>
    <row r="133" customFormat="false" ht="15" hidden="false" customHeight="false" outlineLevel="0" collapsed="false">
      <c r="A133" s="0" t="n">
        <v>0</v>
      </c>
      <c r="B133" s="0" t="n">
        <v>7</v>
      </c>
      <c r="C133" s="0" t="n">
        <v>9</v>
      </c>
      <c r="D133" s="0" t="n">
        <f aca="false">-1+A133*0.125</f>
        <v>-1</v>
      </c>
      <c r="E133" s="0" t="n">
        <f aca="false">-1+B133*0.125</f>
        <v>-0.125</v>
      </c>
      <c r="F133" s="0" t="n">
        <f aca="false">-1+C133*0.125</f>
        <v>0.125</v>
      </c>
      <c r="G133" s="0" t="n">
        <f aca="false">1</f>
        <v>1</v>
      </c>
      <c r="H133" s="0" t="n">
        <f aca="false">D133</f>
        <v>-1</v>
      </c>
      <c r="I133" s="0" t="n">
        <f aca="false">E133</f>
        <v>-0.125</v>
      </c>
      <c r="J133" s="0" t="n">
        <f aca="false">F133</f>
        <v>0.125</v>
      </c>
      <c r="K133" s="0" t="n">
        <f aca="false">D133*E133</f>
        <v>0.125</v>
      </c>
      <c r="L133" s="0" t="n">
        <f aca="false">D133*F133</f>
        <v>-0.125</v>
      </c>
      <c r="M133" s="0" t="n">
        <f aca="false">E133*F133</f>
        <v>-0.015625</v>
      </c>
      <c r="N133" s="0" t="n">
        <f aca="false">D133*D133</f>
        <v>1</v>
      </c>
      <c r="O133" s="0" t="n">
        <f aca="false">E133*E133</f>
        <v>0.015625</v>
      </c>
      <c r="P133" s="0" t="n">
        <f aca="false">F133*F133</f>
        <v>0.015625</v>
      </c>
      <c r="Q133" s="0" t="n">
        <f aca="false">SUMPRODUCT(G133:P133,_XtX!$B$71:$K$71)</f>
        <v>43.3121590909091</v>
      </c>
      <c r="R133" s="0" t="n">
        <f aca="false">SUMPRODUCT(MMULT(G133:P133,_XtX!$B$58:$K$67),G133:P133)</f>
        <v>0.486718195134943</v>
      </c>
      <c r="S133" s="0" t="n">
        <f aca="false">04_回帰ANOVA!$K$19*04_回帰ANOVA!$K$14*SQRT(1+R133)</f>
        <v>1.13365514750636</v>
      </c>
      <c r="T133" s="0" t="n">
        <f aca="false">Q133-S133</f>
        <v>42.1785039434027</v>
      </c>
      <c r="U133" s="0" t="n">
        <f aca="false">Q133+S133</f>
        <v>44.4458142384154</v>
      </c>
      <c r="V133" s="54" t="b">
        <f aca="false">AND(D133&gt;=01_因子設定!$L$5-0.000000001,D133&lt;=01_因子設定!$M$5+0.000000001,E133&gt;=01_因子設定!$L$6-0.000000001,E133&lt;=01_因子設定!$M$6+0.000000001,F133&gt;=01_因子設定!$L$7-0.000000001,F133&lt;=01_因子設定!$M$7+0.000000001,IF(01_因子設定!$B$20="Box-Behnken",D133^2+E133^2+F133^2&lt;=2+0.000000001,TRUE()))</f>
        <v>1</v>
      </c>
      <c r="W133" s="55" t="n">
        <f aca="false">IF(V133,IF(01_因子設定!$B$13="最大化",T133-01_因子設定!$B$14,IF(01_因子設定!$B$13="最小化",01_因子設定!$B$15-U133,MIN(T133-01_因子設定!$B$14,01_因子設定!$B$15-U133))),-1E+030)</f>
        <v>-6.32149605659728</v>
      </c>
      <c r="X133" s="55" t="n">
        <f aca="false">IF(V133,IF(01_因子設定!$B$13="最大化",Q133,IF(01_因子設定!$B$13="最小化",-Q133,-ABS(Q133-01_因子設定!$B$16))),-1E+030)</f>
        <v>43.3121590909091</v>
      </c>
      <c r="Y133" s="55" t="n">
        <f aca="false">W133+ROW()*0.000000001</f>
        <v>-6.32149592359728</v>
      </c>
      <c r="Z133" s="55" t="n">
        <f aca="false">X133+ROW()*0.000000001</f>
        <v>43.3121592239091</v>
      </c>
    </row>
    <row r="134" customFormat="false" ht="15" hidden="false" customHeight="false" outlineLevel="0" collapsed="false">
      <c r="A134" s="0" t="n">
        <v>0</v>
      </c>
      <c r="B134" s="0" t="n">
        <v>7</v>
      </c>
      <c r="C134" s="0" t="n">
        <v>10</v>
      </c>
      <c r="D134" s="0" t="n">
        <f aca="false">-1+A134*0.125</f>
        <v>-1</v>
      </c>
      <c r="E134" s="0" t="n">
        <f aca="false">-1+B134*0.125</f>
        <v>-0.125</v>
      </c>
      <c r="F134" s="0" t="n">
        <f aca="false">-1+C134*0.125</f>
        <v>0.25</v>
      </c>
      <c r="G134" s="0" t="n">
        <f aca="false">1</f>
        <v>1</v>
      </c>
      <c r="H134" s="0" t="n">
        <f aca="false">D134</f>
        <v>-1</v>
      </c>
      <c r="I134" s="0" t="n">
        <f aca="false">E134</f>
        <v>-0.125</v>
      </c>
      <c r="J134" s="0" t="n">
        <f aca="false">F134</f>
        <v>0.25</v>
      </c>
      <c r="K134" s="0" t="n">
        <f aca="false">D134*E134</f>
        <v>0.125</v>
      </c>
      <c r="L134" s="0" t="n">
        <f aca="false">D134*F134</f>
        <v>-0.25</v>
      </c>
      <c r="M134" s="0" t="n">
        <f aca="false">E134*F134</f>
        <v>-0.03125</v>
      </c>
      <c r="N134" s="0" t="n">
        <f aca="false">D134*D134</f>
        <v>1</v>
      </c>
      <c r="O134" s="0" t="n">
        <f aca="false">E134*E134</f>
        <v>0.015625</v>
      </c>
      <c r="P134" s="0" t="n">
        <f aca="false">F134*F134</f>
        <v>0.0625</v>
      </c>
      <c r="Q134" s="0" t="n">
        <f aca="false">SUMPRODUCT(G134:P134,_XtX!$B$71:$K$71)</f>
        <v>43.4411931818182</v>
      </c>
      <c r="R134" s="0" t="n">
        <f aca="false">SUMPRODUCT(MMULT(G134:P134,_XtX!$B$58:$K$67),G134:P134)</f>
        <v>0.481443093039773</v>
      </c>
      <c r="S134" s="0" t="n">
        <f aca="false">04_回帰ANOVA!$K$19*04_回帰ANOVA!$K$14*SQRT(1+R134)</f>
        <v>1.13164216995877</v>
      </c>
      <c r="T134" s="0" t="n">
        <f aca="false">Q134-S134</f>
        <v>42.3095510118594</v>
      </c>
      <c r="U134" s="0" t="n">
        <f aca="false">Q134+S134</f>
        <v>44.5728353517769</v>
      </c>
      <c r="V134" s="54" t="b">
        <f aca="false">AND(D134&gt;=01_因子設定!$L$5-0.000000001,D134&lt;=01_因子設定!$M$5+0.000000001,E134&gt;=01_因子設定!$L$6-0.000000001,E134&lt;=01_因子設定!$M$6+0.000000001,F134&gt;=01_因子設定!$L$7-0.000000001,F134&lt;=01_因子設定!$M$7+0.000000001,IF(01_因子設定!$B$20="Box-Behnken",D134^2+E134^2+F134^2&lt;=2+0.000000001,TRUE()))</f>
        <v>1</v>
      </c>
      <c r="W134" s="55" t="n">
        <f aca="false">IF(V134,IF(01_因子設定!$B$13="最大化",T134-01_因子設定!$B$14,IF(01_因子設定!$B$13="最小化",01_因子設定!$B$15-U134,MIN(T134-01_因子設定!$B$14,01_因子設定!$B$15-U134))),-1E+030)</f>
        <v>-6.1904489881406</v>
      </c>
      <c r="X134" s="55" t="n">
        <f aca="false">IF(V134,IF(01_因子設定!$B$13="最大化",Q134,IF(01_因子設定!$B$13="最小化",-Q134,-ABS(Q134-01_因子設定!$B$16))),-1E+030)</f>
        <v>43.4411931818182</v>
      </c>
      <c r="Y134" s="55" t="n">
        <f aca="false">W134+ROW()*0.000000001</f>
        <v>-6.1904488541406</v>
      </c>
      <c r="Z134" s="55" t="n">
        <f aca="false">X134+ROW()*0.000000001</f>
        <v>43.4411933158182</v>
      </c>
    </row>
    <row r="135" customFormat="false" ht="15" hidden="false" customHeight="false" outlineLevel="0" collapsed="false">
      <c r="A135" s="0" t="n">
        <v>0</v>
      </c>
      <c r="B135" s="0" t="n">
        <v>7</v>
      </c>
      <c r="C135" s="0" t="n">
        <v>11</v>
      </c>
      <c r="D135" s="0" t="n">
        <f aca="false">-1+A135*0.125</f>
        <v>-1</v>
      </c>
      <c r="E135" s="0" t="n">
        <f aca="false">-1+B135*0.125</f>
        <v>-0.125</v>
      </c>
      <c r="F135" s="0" t="n">
        <f aca="false">-1+C135*0.125</f>
        <v>0.375</v>
      </c>
      <c r="G135" s="0" t="n">
        <f aca="false">1</f>
        <v>1</v>
      </c>
      <c r="H135" s="0" t="n">
        <f aca="false">D135</f>
        <v>-1</v>
      </c>
      <c r="I135" s="0" t="n">
        <f aca="false">E135</f>
        <v>-0.125</v>
      </c>
      <c r="J135" s="0" t="n">
        <f aca="false">F135</f>
        <v>0.375</v>
      </c>
      <c r="K135" s="0" t="n">
        <f aca="false">D135*E135</f>
        <v>0.125</v>
      </c>
      <c r="L135" s="0" t="n">
        <f aca="false">D135*F135</f>
        <v>-0.375</v>
      </c>
      <c r="M135" s="0" t="n">
        <f aca="false">E135*F135</f>
        <v>-0.046875</v>
      </c>
      <c r="N135" s="0" t="n">
        <f aca="false">D135*D135</f>
        <v>1</v>
      </c>
      <c r="O135" s="0" t="n">
        <f aca="false">E135*E135</f>
        <v>0.015625</v>
      </c>
      <c r="P135" s="0" t="n">
        <f aca="false">F135*F135</f>
        <v>0.140625</v>
      </c>
      <c r="Q135" s="0" t="n">
        <f aca="false">SUMPRODUCT(G135:P135,_XtX!$B$71:$K$71)</f>
        <v>43.5334375</v>
      </c>
      <c r="R135" s="0" t="n">
        <f aca="false">SUMPRODUCT(MMULT(G135:P135,_XtX!$B$58:$K$67),G135:P135)</f>
        <v>0.476202392578125</v>
      </c>
      <c r="S135" s="0" t="n">
        <f aca="false">04_回帰ANOVA!$K$19*04_回帰ANOVA!$K$14*SQRT(1+R135)</f>
        <v>1.12963876802721</v>
      </c>
      <c r="T135" s="0" t="n">
        <f aca="false">Q135-S135</f>
        <v>42.4037987319728</v>
      </c>
      <c r="U135" s="0" t="n">
        <f aca="false">Q135+S135</f>
        <v>44.6630762680272</v>
      </c>
      <c r="V135" s="54" t="b">
        <f aca="false">AND(D135&gt;=01_因子設定!$L$5-0.000000001,D135&lt;=01_因子設定!$M$5+0.000000001,E135&gt;=01_因子設定!$L$6-0.000000001,E135&lt;=01_因子設定!$M$6+0.000000001,F135&gt;=01_因子設定!$L$7-0.000000001,F135&lt;=01_因子設定!$M$7+0.000000001,IF(01_因子設定!$B$20="Box-Behnken",D135^2+E135^2+F135^2&lt;=2+0.000000001,TRUE()))</f>
        <v>1</v>
      </c>
      <c r="W135" s="55" t="n">
        <f aca="false">IF(V135,IF(01_因子設定!$B$13="最大化",T135-01_因子設定!$B$14,IF(01_因子設定!$B$13="最小化",01_因子設定!$B$15-U135,MIN(T135-01_因子設定!$B$14,01_因子設定!$B$15-U135))),-1E+030)</f>
        <v>-6.09620126802722</v>
      </c>
      <c r="X135" s="55" t="n">
        <f aca="false">IF(V135,IF(01_因子設定!$B$13="最大化",Q135,IF(01_因子設定!$B$13="最小化",-Q135,-ABS(Q135-01_因子設定!$B$16))),-1E+030)</f>
        <v>43.5334375</v>
      </c>
      <c r="Y135" s="55" t="n">
        <f aca="false">W135+ROW()*0.000000001</f>
        <v>-6.09620113302722</v>
      </c>
      <c r="Z135" s="55" t="n">
        <f aca="false">X135+ROW()*0.000000001</f>
        <v>43.533437635</v>
      </c>
    </row>
    <row r="136" customFormat="false" ht="15" hidden="false" customHeight="false" outlineLevel="0" collapsed="false">
      <c r="A136" s="0" t="n">
        <v>0</v>
      </c>
      <c r="B136" s="0" t="n">
        <v>7</v>
      </c>
      <c r="C136" s="0" t="n">
        <v>12</v>
      </c>
      <c r="D136" s="0" t="n">
        <f aca="false">-1+A136*0.125</f>
        <v>-1</v>
      </c>
      <c r="E136" s="0" t="n">
        <f aca="false">-1+B136*0.125</f>
        <v>-0.125</v>
      </c>
      <c r="F136" s="0" t="n">
        <f aca="false">-1+C136*0.125</f>
        <v>0.5</v>
      </c>
      <c r="G136" s="0" t="n">
        <f aca="false">1</f>
        <v>1</v>
      </c>
      <c r="H136" s="0" t="n">
        <f aca="false">D136</f>
        <v>-1</v>
      </c>
      <c r="I136" s="0" t="n">
        <f aca="false">E136</f>
        <v>-0.125</v>
      </c>
      <c r="J136" s="0" t="n">
        <f aca="false">F136</f>
        <v>0.5</v>
      </c>
      <c r="K136" s="0" t="n">
        <f aca="false">D136*E136</f>
        <v>0.125</v>
      </c>
      <c r="L136" s="0" t="n">
        <f aca="false">D136*F136</f>
        <v>-0.5</v>
      </c>
      <c r="M136" s="0" t="n">
        <f aca="false">E136*F136</f>
        <v>-0.0625</v>
      </c>
      <c r="N136" s="0" t="n">
        <f aca="false">D136*D136</f>
        <v>1</v>
      </c>
      <c r="O136" s="0" t="n">
        <f aca="false">E136*E136</f>
        <v>0.015625</v>
      </c>
      <c r="P136" s="0" t="n">
        <f aca="false">F136*F136</f>
        <v>0.25</v>
      </c>
      <c r="Q136" s="0" t="n">
        <f aca="false">SUMPRODUCT(G136:P136,_XtX!$B$71:$K$71)</f>
        <v>43.5888920454545</v>
      </c>
      <c r="R136" s="0" t="n">
        <f aca="false">SUMPRODUCT(MMULT(G136:P136,_XtX!$B$58:$K$67),G136:P136)</f>
        <v>0.476322798295455</v>
      </c>
      <c r="S136" s="0" t="n">
        <f aca="false">04_回帰ANOVA!$K$19*04_回帰ANOVA!$K$14*SQRT(1+R136)</f>
        <v>1.12968483630128</v>
      </c>
      <c r="T136" s="0" t="n">
        <f aca="false">Q136-S136</f>
        <v>42.4592072091533</v>
      </c>
      <c r="U136" s="0" t="n">
        <f aca="false">Q136+S136</f>
        <v>44.7185768817558</v>
      </c>
      <c r="V136" s="54" t="b">
        <f aca="false">AND(D136&gt;=01_因子設定!$L$5-0.000000001,D136&lt;=01_因子設定!$M$5+0.000000001,E136&gt;=01_因子設定!$L$6-0.000000001,E136&lt;=01_因子設定!$M$6+0.000000001,F136&gt;=01_因子設定!$L$7-0.000000001,F136&lt;=01_因子設定!$M$7+0.000000001,IF(01_因子設定!$B$20="Box-Behnken",D136^2+E136^2+F136^2&lt;=2+0.000000001,TRUE()))</f>
        <v>1</v>
      </c>
      <c r="W136" s="55" t="n">
        <f aca="false">IF(V136,IF(01_因子設定!$B$13="最大化",T136-01_因子設定!$B$14,IF(01_因子設定!$B$13="最小化",01_因子設定!$B$15-U136,MIN(T136-01_因子設定!$B$14,01_因子設定!$B$15-U136))),-1E+030)</f>
        <v>-6.04079279084674</v>
      </c>
      <c r="X136" s="55" t="n">
        <f aca="false">IF(V136,IF(01_因子設定!$B$13="最大化",Q136,IF(01_因子設定!$B$13="最小化",-Q136,-ABS(Q136-01_因子設定!$B$16))),-1E+030)</f>
        <v>43.5888920454545</v>
      </c>
      <c r="Y136" s="55" t="n">
        <f aca="false">W136+ROW()*0.000000001</f>
        <v>-6.04079265484674</v>
      </c>
      <c r="Z136" s="55" t="n">
        <f aca="false">X136+ROW()*0.000000001</f>
        <v>43.5888921814545</v>
      </c>
    </row>
    <row r="137" customFormat="false" ht="15" hidden="false" customHeight="false" outlineLevel="0" collapsed="false">
      <c r="A137" s="0" t="n">
        <v>0</v>
      </c>
      <c r="B137" s="0" t="n">
        <v>7</v>
      </c>
      <c r="C137" s="0" t="n">
        <v>13</v>
      </c>
      <c r="D137" s="0" t="n">
        <f aca="false">-1+A137*0.125</f>
        <v>-1</v>
      </c>
      <c r="E137" s="0" t="n">
        <f aca="false">-1+B137*0.125</f>
        <v>-0.125</v>
      </c>
      <c r="F137" s="0" t="n">
        <f aca="false">-1+C137*0.125</f>
        <v>0.625</v>
      </c>
      <c r="G137" s="0" t="n">
        <f aca="false">1</f>
        <v>1</v>
      </c>
      <c r="H137" s="0" t="n">
        <f aca="false">D137</f>
        <v>-1</v>
      </c>
      <c r="I137" s="0" t="n">
        <f aca="false">E137</f>
        <v>-0.125</v>
      </c>
      <c r="J137" s="0" t="n">
        <f aca="false">F137</f>
        <v>0.625</v>
      </c>
      <c r="K137" s="0" t="n">
        <f aca="false">D137*E137</f>
        <v>0.125</v>
      </c>
      <c r="L137" s="0" t="n">
        <f aca="false">D137*F137</f>
        <v>-0.625</v>
      </c>
      <c r="M137" s="0" t="n">
        <f aca="false">E137*F137</f>
        <v>-0.078125</v>
      </c>
      <c r="N137" s="0" t="n">
        <f aca="false">D137*D137</f>
        <v>1</v>
      </c>
      <c r="O137" s="0" t="n">
        <f aca="false">E137*E137</f>
        <v>0.015625</v>
      </c>
      <c r="P137" s="0" t="n">
        <f aca="false">F137*F137</f>
        <v>0.390625</v>
      </c>
      <c r="Q137" s="0" t="n">
        <f aca="false">SUMPRODUCT(G137:P137,_XtX!$B$71:$K$71)</f>
        <v>43.6075568181818</v>
      </c>
      <c r="R137" s="0" t="n">
        <f aca="false">SUMPRODUCT(MMULT(G137:P137,_XtX!$B$58:$K$67),G137:P137)</f>
        <v>0.489261696555398</v>
      </c>
      <c r="S137" s="0" t="n">
        <f aca="false">04_回帰ANOVA!$K$19*04_回帰ANOVA!$K$14*SQRT(1+R137)</f>
        <v>1.13462447083763</v>
      </c>
      <c r="T137" s="0" t="n">
        <f aca="false">Q137-S137</f>
        <v>42.4729323473442</v>
      </c>
      <c r="U137" s="0" t="n">
        <f aca="false">Q137+S137</f>
        <v>44.7421812890195</v>
      </c>
      <c r="V137" s="54" t="b">
        <f aca="false">AND(D137&gt;=01_因子設定!$L$5-0.000000001,D137&lt;=01_因子設定!$M$5+0.000000001,E137&gt;=01_因子設定!$L$6-0.000000001,E137&lt;=01_因子設定!$M$6+0.000000001,F137&gt;=01_因子設定!$L$7-0.000000001,F137&lt;=01_因子設定!$M$7+0.000000001,IF(01_因子設定!$B$20="Box-Behnken",D137^2+E137^2+F137^2&lt;=2+0.000000001,TRUE()))</f>
        <v>1</v>
      </c>
      <c r="W137" s="55" t="n">
        <f aca="false">IF(V137,IF(01_因子設定!$B$13="最大化",T137-01_因子設定!$B$14,IF(01_因子設定!$B$13="最小化",01_因子設定!$B$15-U137,MIN(T137-01_因子設定!$B$14,01_因子設定!$B$15-U137))),-1E+030)</f>
        <v>-6.02706765265582</v>
      </c>
      <c r="X137" s="55" t="n">
        <f aca="false">IF(V137,IF(01_因子設定!$B$13="最大化",Q137,IF(01_因子設定!$B$13="最小化",-Q137,-ABS(Q137-01_因子設定!$B$16))),-1E+030)</f>
        <v>43.6075568181818</v>
      </c>
      <c r="Y137" s="55" t="n">
        <f aca="false">W137+ROW()*0.000000001</f>
        <v>-6.02706751565582</v>
      </c>
      <c r="Z137" s="55" t="n">
        <f aca="false">X137+ROW()*0.000000001</f>
        <v>43.6075569551818</v>
      </c>
    </row>
    <row r="138" customFormat="false" ht="15" hidden="false" customHeight="false" outlineLevel="0" collapsed="false">
      <c r="A138" s="0" t="n">
        <v>0</v>
      </c>
      <c r="B138" s="0" t="n">
        <v>7</v>
      </c>
      <c r="C138" s="0" t="n">
        <v>14</v>
      </c>
      <c r="D138" s="0" t="n">
        <f aca="false">-1+A138*0.125</f>
        <v>-1</v>
      </c>
      <c r="E138" s="0" t="n">
        <f aca="false">-1+B138*0.125</f>
        <v>-0.125</v>
      </c>
      <c r="F138" s="0" t="n">
        <f aca="false">-1+C138*0.125</f>
        <v>0.75</v>
      </c>
      <c r="G138" s="0" t="n">
        <f aca="false">1</f>
        <v>1</v>
      </c>
      <c r="H138" s="0" t="n">
        <f aca="false">D138</f>
        <v>-1</v>
      </c>
      <c r="I138" s="0" t="n">
        <f aca="false">E138</f>
        <v>-0.125</v>
      </c>
      <c r="J138" s="0" t="n">
        <f aca="false">F138</f>
        <v>0.75</v>
      </c>
      <c r="K138" s="0" t="n">
        <f aca="false">D138*E138</f>
        <v>0.125</v>
      </c>
      <c r="L138" s="0" t="n">
        <f aca="false">D138*F138</f>
        <v>-0.75</v>
      </c>
      <c r="M138" s="0" t="n">
        <f aca="false">E138*F138</f>
        <v>-0.09375</v>
      </c>
      <c r="N138" s="0" t="n">
        <f aca="false">D138*D138</f>
        <v>1</v>
      </c>
      <c r="O138" s="0" t="n">
        <f aca="false">E138*E138</f>
        <v>0.015625</v>
      </c>
      <c r="P138" s="0" t="n">
        <f aca="false">F138*F138</f>
        <v>0.5625</v>
      </c>
      <c r="Q138" s="0" t="n">
        <f aca="false">SUMPRODUCT(G138:P138,_XtX!$B$71:$K$71)</f>
        <v>43.5894318181818</v>
      </c>
      <c r="R138" s="0" t="n">
        <f aca="false">SUMPRODUCT(MMULT(G138:P138,_XtX!$B$58:$K$67),G138:P138)</f>
        <v>0.524607155539773</v>
      </c>
      <c r="S138" s="0" t="n">
        <f aca="false">04_回帰ANOVA!$K$19*04_回帰ANOVA!$K$14*SQRT(1+R138)</f>
        <v>1.14800984623412</v>
      </c>
      <c r="T138" s="0" t="n">
        <f aca="false">Q138-S138</f>
        <v>42.4414219719477</v>
      </c>
      <c r="U138" s="0" t="n">
        <f aca="false">Q138+S138</f>
        <v>44.7374416644159</v>
      </c>
      <c r="V138" s="54" t="b">
        <f aca="false">AND(D138&gt;=01_因子設定!$L$5-0.000000001,D138&lt;=01_因子設定!$M$5+0.000000001,E138&gt;=01_因子設定!$L$6-0.000000001,E138&lt;=01_因子設定!$M$6+0.000000001,F138&gt;=01_因子設定!$L$7-0.000000001,F138&lt;=01_因子設定!$M$7+0.000000001,IF(01_因子設定!$B$20="Box-Behnken",D138^2+E138^2+F138^2&lt;=2+0.000000001,TRUE()))</f>
        <v>1</v>
      </c>
      <c r="W138" s="55" t="n">
        <f aca="false">IF(V138,IF(01_因子設定!$B$13="最大化",T138-01_因子設定!$B$14,IF(01_因子設定!$B$13="最小化",01_因子設定!$B$15-U138,MIN(T138-01_因子設定!$B$14,01_因子設定!$B$15-U138))),-1E+030)</f>
        <v>-6.0585780280523</v>
      </c>
      <c r="X138" s="55" t="n">
        <f aca="false">IF(V138,IF(01_因子設定!$B$13="最大化",Q138,IF(01_因子設定!$B$13="最小化",-Q138,-ABS(Q138-01_因子設定!$B$16))),-1E+030)</f>
        <v>43.5894318181818</v>
      </c>
      <c r="Y138" s="55" t="n">
        <f aca="false">W138+ROW()*0.000000001</f>
        <v>-6.0585778900523</v>
      </c>
      <c r="Z138" s="55" t="n">
        <f aca="false">X138+ROW()*0.000000001</f>
        <v>43.5894319561818</v>
      </c>
    </row>
    <row r="139" customFormat="false" ht="15" hidden="false" customHeight="false" outlineLevel="0" collapsed="false">
      <c r="A139" s="0" t="n">
        <v>0</v>
      </c>
      <c r="B139" s="0" t="n">
        <v>7</v>
      </c>
      <c r="C139" s="0" t="n">
        <v>15</v>
      </c>
      <c r="D139" s="0" t="n">
        <f aca="false">-1+A139*0.125</f>
        <v>-1</v>
      </c>
      <c r="E139" s="0" t="n">
        <f aca="false">-1+B139*0.125</f>
        <v>-0.125</v>
      </c>
      <c r="F139" s="0" t="n">
        <f aca="false">-1+C139*0.125</f>
        <v>0.875</v>
      </c>
      <c r="G139" s="0" t="n">
        <f aca="false">1</f>
        <v>1</v>
      </c>
      <c r="H139" s="0" t="n">
        <f aca="false">D139</f>
        <v>-1</v>
      </c>
      <c r="I139" s="0" t="n">
        <f aca="false">E139</f>
        <v>-0.125</v>
      </c>
      <c r="J139" s="0" t="n">
        <f aca="false">F139</f>
        <v>0.875</v>
      </c>
      <c r="K139" s="0" t="n">
        <f aca="false">D139*E139</f>
        <v>0.125</v>
      </c>
      <c r="L139" s="0" t="n">
        <f aca="false">D139*F139</f>
        <v>-0.875</v>
      </c>
      <c r="M139" s="0" t="n">
        <f aca="false">E139*F139</f>
        <v>-0.109375</v>
      </c>
      <c r="N139" s="0" t="n">
        <f aca="false">D139*D139</f>
        <v>1</v>
      </c>
      <c r="O139" s="0" t="n">
        <f aca="false">E139*E139</f>
        <v>0.015625</v>
      </c>
      <c r="P139" s="0" t="n">
        <f aca="false">F139*F139</f>
        <v>0.765625</v>
      </c>
      <c r="Q139" s="0" t="n">
        <f aca="false">SUMPRODUCT(G139:P139,_XtX!$B$71:$K$71)</f>
        <v>43.5345170454546</v>
      </c>
      <c r="R139" s="0" t="n">
        <f aca="false">SUMPRODUCT(MMULT(G139:P139,_XtX!$B$58:$K$67),G139:P139)</f>
        <v>0.59407792524858</v>
      </c>
      <c r="S139" s="0" t="n">
        <f aca="false">04_回帰ANOVA!$K$19*04_回帰ANOVA!$K$14*SQRT(1+R139)</f>
        <v>1.17387380087722</v>
      </c>
      <c r="T139" s="0" t="n">
        <f aca="false">Q139-S139</f>
        <v>42.3606432445773</v>
      </c>
      <c r="U139" s="0" t="n">
        <f aca="false">Q139+S139</f>
        <v>44.7083908463318</v>
      </c>
      <c r="V139" s="54" t="b">
        <f aca="false">AND(D139&gt;=01_因子設定!$L$5-0.000000001,D139&lt;=01_因子設定!$M$5+0.000000001,E139&gt;=01_因子設定!$L$6-0.000000001,E139&lt;=01_因子設定!$M$6+0.000000001,F139&gt;=01_因子設定!$L$7-0.000000001,F139&lt;=01_因子設定!$M$7+0.000000001,IF(01_因子設定!$B$20="Box-Behnken",D139^2+E139^2+F139^2&lt;=2+0.000000001,TRUE()))</f>
        <v>1</v>
      </c>
      <c r="W139" s="55" t="n">
        <f aca="false">IF(V139,IF(01_因子設定!$B$13="最大化",T139-01_因子設定!$B$14,IF(01_因子設定!$B$13="最小化",01_因子設定!$B$15-U139,MIN(T139-01_因子設定!$B$14,01_因子設定!$B$15-U139))),-1E+030)</f>
        <v>-6.13935675542267</v>
      </c>
      <c r="X139" s="55" t="n">
        <f aca="false">IF(V139,IF(01_因子設定!$B$13="最大化",Q139,IF(01_因子設定!$B$13="最小化",-Q139,-ABS(Q139-01_因子設定!$B$16))),-1E+030)</f>
        <v>43.5345170454546</v>
      </c>
      <c r="Y139" s="55" t="n">
        <f aca="false">W139+ROW()*0.000000001</f>
        <v>-6.13935661642267</v>
      </c>
      <c r="Z139" s="55" t="n">
        <f aca="false">X139+ROW()*0.000000001</f>
        <v>43.5345171844546</v>
      </c>
    </row>
    <row r="140" customFormat="false" ht="15" hidden="false" customHeight="false" outlineLevel="0" collapsed="false">
      <c r="A140" s="0" t="n">
        <v>0</v>
      </c>
      <c r="B140" s="0" t="n">
        <v>7</v>
      </c>
      <c r="C140" s="0" t="n">
        <v>16</v>
      </c>
      <c r="D140" s="0" t="n">
        <f aca="false">-1+A140*0.125</f>
        <v>-1</v>
      </c>
      <c r="E140" s="0" t="n">
        <f aca="false">-1+B140*0.125</f>
        <v>-0.125</v>
      </c>
      <c r="F140" s="0" t="n">
        <f aca="false">-1+C140*0.125</f>
        <v>1</v>
      </c>
      <c r="G140" s="0" t="n">
        <f aca="false">1</f>
        <v>1</v>
      </c>
      <c r="H140" s="0" t="n">
        <f aca="false">D140</f>
        <v>-1</v>
      </c>
      <c r="I140" s="0" t="n">
        <f aca="false">E140</f>
        <v>-0.125</v>
      </c>
      <c r="J140" s="0" t="n">
        <f aca="false">F140</f>
        <v>1</v>
      </c>
      <c r="K140" s="0" t="n">
        <f aca="false">D140*E140</f>
        <v>0.125</v>
      </c>
      <c r="L140" s="0" t="n">
        <f aca="false">D140*F140</f>
        <v>-1</v>
      </c>
      <c r="M140" s="0" t="n">
        <f aca="false">E140*F140</f>
        <v>-0.125</v>
      </c>
      <c r="N140" s="0" t="n">
        <f aca="false">D140*D140</f>
        <v>1</v>
      </c>
      <c r="O140" s="0" t="n">
        <f aca="false">E140*E140</f>
        <v>0.015625</v>
      </c>
      <c r="P140" s="0" t="n">
        <f aca="false">F140*F140</f>
        <v>1</v>
      </c>
      <c r="Q140" s="0" t="n">
        <f aca="false">SUMPRODUCT(G140:P140,_XtX!$B$71:$K$71)</f>
        <v>43.4428125</v>
      </c>
      <c r="R140" s="0" t="n">
        <f aca="false">SUMPRODUCT(MMULT(G140:P140,_XtX!$B$58:$K$67),G140:P140)</f>
        <v>0.7115234375</v>
      </c>
      <c r="S140" s="0" t="n">
        <f aca="false">04_回帰ANOVA!$K$19*04_回帰ANOVA!$K$14*SQRT(1+R140)</f>
        <v>1.21634860506574</v>
      </c>
      <c r="T140" s="0" t="n">
        <f aca="false">Q140-S140</f>
        <v>42.2264638949343</v>
      </c>
      <c r="U140" s="0" t="n">
        <f aca="false">Q140+S140</f>
        <v>44.6591611050657</v>
      </c>
      <c r="V140" s="54" t="b">
        <f aca="false">AND(D140&gt;=01_因子設定!$L$5-0.000000001,D140&lt;=01_因子設定!$M$5+0.000000001,E140&gt;=01_因子設定!$L$6-0.000000001,E140&lt;=01_因子設定!$M$6+0.000000001,F140&gt;=01_因子設定!$L$7-0.000000001,F140&lt;=01_因子設定!$M$7+0.000000001,IF(01_因子設定!$B$20="Box-Behnken",D140^2+E140^2+F140^2&lt;=2+0.000000001,TRUE()))</f>
        <v>1</v>
      </c>
      <c r="W140" s="55" t="n">
        <f aca="false">IF(V140,IF(01_因子設定!$B$13="最大化",T140-01_因子設定!$B$14,IF(01_因子設定!$B$13="最小化",01_因子設定!$B$15-U140,MIN(T140-01_因子設定!$B$14,01_因子設定!$B$15-U140))),-1E+030)</f>
        <v>-6.27353610506573</v>
      </c>
      <c r="X140" s="55" t="n">
        <f aca="false">IF(V140,IF(01_因子設定!$B$13="最大化",Q140,IF(01_因子設定!$B$13="最小化",-Q140,-ABS(Q140-01_因子設定!$B$16))),-1E+030)</f>
        <v>43.4428125</v>
      </c>
      <c r="Y140" s="55" t="n">
        <f aca="false">W140+ROW()*0.000000001</f>
        <v>-6.27353596506573</v>
      </c>
      <c r="Z140" s="55" t="n">
        <f aca="false">X140+ROW()*0.000000001</f>
        <v>43.44281264</v>
      </c>
    </row>
    <row r="141" customFormat="false" ht="15" hidden="false" customHeight="false" outlineLevel="0" collapsed="false">
      <c r="A141" s="0" t="n">
        <v>0</v>
      </c>
      <c r="B141" s="0" t="n">
        <v>8</v>
      </c>
      <c r="C141" s="0" t="n">
        <v>0</v>
      </c>
      <c r="D141" s="0" t="n">
        <f aca="false">-1+A141*0.125</f>
        <v>-1</v>
      </c>
      <c r="E141" s="0" t="n">
        <f aca="false">-1+B141*0.125</f>
        <v>0</v>
      </c>
      <c r="F141" s="0" t="n">
        <f aca="false">-1+C141*0.125</f>
        <v>-1</v>
      </c>
      <c r="G141" s="0" t="n">
        <f aca="false">1</f>
        <v>1</v>
      </c>
      <c r="H141" s="0" t="n">
        <f aca="false">D141</f>
        <v>-1</v>
      </c>
      <c r="I141" s="0" t="n">
        <f aca="false">E141</f>
        <v>0</v>
      </c>
      <c r="J141" s="0" t="n">
        <f aca="false">F141</f>
        <v>-1</v>
      </c>
      <c r="K141" s="0" t="n">
        <f aca="false">D141*E141</f>
        <v>-0</v>
      </c>
      <c r="L141" s="0" t="n">
        <f aca="false">D141*F141</f>
        <v>1</v>
      </c>
      <c r="M141" s="0" t="n">
        <f aca="false">E141*F141</f>
        <v>-0</v>
      </c>
      <c r="N141" s="0" t="n">
        <f aca="false">D141*D141</f>
        <v>1</v>
      </c>
      <c r="O141" s="0" t="n">
        <f aca="false">E141*E141</f>
        <v>0</v>
      </c>
      <c r="P141" s="0" t="n">
        <f aca="false">F141*F141</f>
        <v>1</v>
      </c>
      <c r="Q141" s="0" t="n">
        <f aca="false">SUMPRODUCT(G141:P141,_XtX!$B$71:$K$71)</f>
        <v>40.5763636363636</v>
      </c>
      <c r="R141" s="0" t="n">
        <f aca="false">SUMPRODUCT(MMULT(G141:P141,_XtX!$B$58:$K$67),G141:P141)</f>
        <v>0.715909090909091</v>
      </c>
      <c r="S141" s="0" t="n">
        <f aca="false">04_回帰ANOVA!$K$19*04_回帰ANOVA!$K$14*SQRT(1+R141)</f>
        <v>1.21790601011063</v>
      </c>
      <c r="T141" s="0" t="n">
        <f aca="false">Q141-S141</f>
        <v>39.358457626253</v>
      </c>
      <c r="U141" s="0" t="n">
        <f aca="false">Q141+S141</f>
        <v>41.7942696464743</v>
      </c>
      <c r="V141" s="54" t="b">
        <f aca="false">AND(D141&gt;=01_因子設定!$L$5-0.000000001,D141&lt;=01_因子設定!$M$5+0.000000001,E141&gt;=01_因子設定!$L$6-0.000000001,E141&lt;=01_因子設定!$M$6+0.000000001,F141&gt;=01_因子設定!$L$7-0.000000001,F141&lt;=01_因子設定!$M$7+0.000000001,IF(01_因子設定!$B$20="Box-Behnken",D141^2+E141^2+F141^2&lt;=2+0.000000001,TRUE()))</f>
        <v>1</v>
      </c>
      <c r="W141" s="55" t="n">
        <f aca="false">IF(V141,IF(01_因子設定!$B$13="最大化",T141-01_因子設定!$B$14,IF(01_因子設定!$B$13="最小化",01_因子設定!$B$15-U141,MIN(T141-01_因子設定!$B$14,01_因子設定!$B$15-U141))),-1E+030)</f>
        <v>-9.14154237374698</v>
      </c>
      <c r="X141" s="55" t="n">
        <f aca="false">IF(V141,IF(01_因子設定!$B$13="最大化",Q141,IF(01_因子設定!$B$13="最小化",-Q141,-ABS(Q141-01_因子設定!$B$16))),-1E+030)</f>
        <v>40.5763636363636</v>
      </c>
      <c r="Y141" s="55" t="n">
        <f aca="false">W141+ROW()*0.000000001</f>
        <v>-9.14154223274698</v>
      </c>
      <c r="Z141" s="55" t="n">
        <f aca="false">X141+ROW()*0.000000001</f>
        <v>40.5763637773636</v>
      </c>
    </row>
    <row r="142" customFormat="false" ht="15" hidden="false" customHeight="false" outlineLevel="0" collapsed="false">
      <c r="A142" s="0" t="n">
        <v>0</v>
      </c>
      <c r="B142" s="0" t="n">
        <v>8</v>
      </c>
      <c r="C142" s="0" t="n">
        <v>1</v>
      </c>
      <c r="D142" s="0" t="n">
        <f aca="false">-1+A142*0.125</f>
        <v>-1</v>
      </c>
      <c r="E142" s="0" t="n">
        <f aca="false">-1+B142*0.125</f>
        <v>0</v>
      </c>
      <c r="F142" s="0" t="n">
        <f aca="false">-1+C142*0.125</f>
        <v>-0.875</v>
      </c>
      <c r="G142" s="0" t="n">
        <f aca="false">1</f>
        <v>1</v>
      </c>
      <c r="H142" s="0" t="n">
        <f aca="false">D142</f>
        <v>-1</v>
      </c>
      <c r="I142" s="0" t="n">
        <f aca="false">E142</f>
        <v>0</v>
      </c>
      <c r="J142" s="0" t="n">
        <f aca="false">F142</f>
        <v>-0.875</v>
      </c>
      <c r="K142" s="0" t="n">
        <f aca="false">D142*E142</f>
        <v>-0</v>
      </c>
      <c r="L142" s="0" t="n">
        <f aca="false">D142*F142</f>
        <v>0.875</v>
      </c>
      <c r="M142" s="0" t="n">
        <f aca="false">E142*F142</f>
        <v>-0</v>
      </c>
      <c r="N142" s="0" t="n">
        <f aca="false">D142*D142</f>
        <v>1</v>
      </c>
      <c r="O142" s="0" t="n">
        <f aca="false">E142*E142</f>
        <v>0</v>
      </c>
      <c r="P142" s="0" t="n">
        <f aca="false">F142*F142</f>
        <v>0.765625</v>
      </c>
      <c r="Q142" s="0" t="n">
        <f aca="false">SUMPRODUCT(G142:P142,_XtX!$B$71:$K$71)</f>
        <v>41.0435369318182</v>
      </c>
      <c r="R142" s="0" t="n">
        <f aca="false">SUMPRODUCT(MMULT(G142:P142,_XtX!$B$58:$K$67),G142:P142)</f>
        <v>0.597922585227273</v>
      </c>
      <c r="S142" s="0" t="n">
        <f aca="false">04_回帰ANOVA!$K$19*04_回帰ANOVA!$K$14*SQRT(1+R142)</f>
        <v>1.17528854591003</v>
      </c>
      <c r="T142" s="0" t="n">
        <f aca="false">Q142-S142</f>
        <v>39.8682483859082</v>
      </c>
      <c r="U142" s="0" t="n">
        <f aca="false">Q142+S142</f>
        <v>42.2188254777282</v>
      </c>
      <c r="V142" s="54" t="b">
        <f aca="false">AND(D142&gt;=01_因子設定!$L$5-0.000000001,D142&lt;=01_因子設定!$M$5+0.000000001,E142&gt;=01_因子設定!$L$6-0.000000001,E142&lt;=01_因子設定!$M$6+0.000000001,F142&gt;=01_因子設定!$L$7-0.000000001,F142&lt;=01_因子設定!$M$7+0.000000001,IF(01_因子設定!$B$20="Box-Behnken",D142^2+E142^2+F142^2&lt;=2+0.000000001,TRUE()))</f>
        <v>1</v>
      </c>
      <c r="W142" s="55" t="n">
        <f aca="false">IF(V142,IF(01_因子設定!$B$13="最大化",T142-01_因子設定!$B$14,IF(01_因子設定!$B$13="最小化",01_因子設定!$B$15-U142,MIN(T142-01_因子設定!$B$14,01_因子設定!$B$15-U142))),-1E+030)</f>
        <v>-8.63175161409185</v>
      </c>
      <c r="X142" s="55" t="n">
        <f aca="false">IF(V142,IF(01_因子設定!$B$13="最大化",Q142,IF(01_因子設定!$B$13="最小化",-Q142,-ABS(Q142-01_因子設定!$B$16))),-1E+030)</f>
        <v>41.0435369318182</v>
      </c>
      <c r="Y142" s="55" t="n">
        <f aca="false">W142+ROW()*0.000000001</f>
        <v>-8.63175147209185</v>
      </c>
      <c r="Z142" s="55" t="n">
        <f aca="false">X142+ROW()*0.000000001</f>
        <v>41.0435370738182</v>
      </c>
    </row>
    <row r="143" customFormat="false" ht="15" hidden="false" customHeight="false" outlineLevel="0" collapsed="false">
      <c r="A143" s="0" t="n">
        <v>0</v>
      </c>
      <c r="B143" s="0" t="n">
        <v>8</v>
      </c>
      <c r="C143" s="0" t="n">
        <v>2</v>
      </c>
      <c r="D143" s="0" t="n">
        <f aca="false">-1+A143*0.125</f>
        <v>-1</v>
      </c>
      <c r="E143" s="0" t="n">
        <f aca="false">-1+B143*0.125</f>
        <v>0</v>
      </c>
      <c r="F143" s="0" t="n">
        <f aca="false">-1+C143*0.125</f>
        <v>-0.75</v>
      </c>
      <c r="G143" s="0" t="n">
        <f aca="false">1</f>
        <v>1</v>
      </c>
      <c r="H143" s="0" t="n">
        <f aca="false">D143</f>
        <v>-1</v>
      </c>
      <c r="I143" s="0" t="n">
        <f aca="false">E143</f>
        <v>0</v>
      </c>
      <c r="J143" s="0" t="n">
        <f aca="false">F143</f>
        <v>-0.75</v>
      </c>
      <c r="K143" s="0" t="n">
        <f aca="false">D143*E143</f>
        <v>-0</v>
      </c>
      <c r="L143" s="0" t="n">
        <f aca="false">D143*F143</f>
        <v>0.75</v>
      </c>
      <c r="M143" s="0" t="n">
        <f aca="false">E143*F143</f>
        <v>-0</v>
      </c>
      <c r="N143" s="0" t="n">
        <f aca="false">D143*D143</f>
        <v>1</v>
      </c>
      <c r="O143" s="0" t="n">
        <f aca="false">E143*E143</f>
        <v>0</v>
      </c>
      <c r="P143" s="0" t="n">
        <f aca="false">F143*F143</f>
        <v>0.5625</v>
      </c>
      <c r="Q143" s="0" t="n">
        <f aca="false">SUMPRODUCT(G143:P143,_XtX!$B$71:$K$71)</f>
        <v>41.4739204545455</v>
      </c>
      <c r="R143" s="0" t="n">
        <f aca="false">SUMPRODUCT(MMULT(G143:P143,_XtX!$B$58:$K$67),G143:P143)</f>
        <v>0.527982954545455</v>
      </c>
      <c r="S143" s="0" t="n">
        <f aca="false">04_回帰ANOVA!$K$19*04_回帰ANOVA!$K$14*SQRT(1+R143)</f>
        <v>1.14928011037747</v>
      </c>
      <c r="T143" s="0" t="n">
        <f aca="false">Q143-S143</f>
        <v>40.324640344168</v>
      </c>
      <c r="U143" s="0" t="n">
        <f aca="false">Q143+S143</f>
        <v>42.6232005649229</v>
      </c>
      <c r="V143" s="54" t="b">
        <f aca="false">AND(D143&gt;=01_因子設定!$L$5-0.000000001,D143&lt;=01_因子設定!$M$5+0.000000001,E143&gt;=01_因子設定!$L$6-0.000000001,E143&lt;=01_因子設定!$M$6+0.000000001,F143&gt;=01_因子設定!$L$7-0.000000001,F143&lt;=01_因子設定!$M$7+0.000000001,IF(01_因子設定!$B$20="Box-Behnken",D143^2+E143^2+F143^2&lt;=2+0.000000001,TRUE()))</f>
        <v>1</v>
      </c>
      <c r="W143" s="55" t="n">
        <f aca="false">IF(V143,IF(01_因子設定!$B$13="最大化",T143-01_因子設定!$B$14,IF(01_因子設定!$B$13="最小化",01_因子設定!$B$15-U143,MIN(T143-01_因子設定!$B$14,01_因子設定!$B$15-U143))),-1E+030)</f>
        <v>-8.17535965583203</v>
      </c>
      <c r="X143" s="55" t="n">
        <f aca="false">IF(V143,IF(01_因子設定!$B$13="最大化",Q143,IF(01_因子設定!$B$13="最小化",-Q143,-ABS(Q143-01_因子設定!$B$16))),-1E+030)</f>
        <v>41.4739204545455</v>
      </c>
      <c r="Y143" s="55" t="n">
        <f aca="false">W143+ROW()*0.000000001</f>
        <v>-8.17535951283203</v>
      </c>
      <c r="Z143" s="55" t="n">
        <f aca="false">X143+ROW()*0.000000001</f>
        <v>41.4739205975455</v>
      </c>
    </row>
    <row r="144" customFormat="false" ht="15" hidden="false" customHeight="false" outlineLevel="0" collapsed="false">
      <c r="A144" s="0" t="n">
        <v>0</v>
      </c>
      <c r="B144" s="0" t="n">
        <v>8</v>
      </c>
      <c r="C144" s="0" t="n">
        <v>3</v>
      </c>
      <c r="D144" s="0" t="n">
        <f aca="false">-1+A144*0.125</f>
        <v>-1</v>
      </c>
      <c r="E144" s="0" t="n">
        <f aca="false">-1+B144*0.125</f>
        <v>0</v>
      </c>
      <c r="F144" s="0" t="n">
        <f aca="false">-1+C144*0.125</f>
        <v>-0.625</v>
      </c>
      <c r="G144" s="0" t="n">
        <f aca="false">1</f>
        <v>1</v>
      </c>
      <c r="H144" s="0" t="n">
        <f aca="false">D144</f>
        <v>-1</v>
      </c>
      <c r="I144" s="0" t="n">
        <f aca="false">E144</f>
        <v>0</v>
      </c>
      <c r="J144" s="0" t="n">
        <f aca="false">F144</f>
        <v>-0.625</v>
      </c>
      <c r="K144" s="0" t="n">
        <f aca="false">D144*E144</f>
        <v>-0</v>
      </c>
      <c r="L144" s="0" t="n">
        <f aca="false">D144*F144</f>
        <v>0.625</v>
      </c>
      <c r="M144" s="0" t="n">
        <f aca="false">E144*F144</f>
        <v>-0</v>
      </c>
      <c r="N144" s="0" t="n">
        <f aca="false">D144*D144</f>
        <v>1</v>
      </c>
      <c r="O144" s="0" t="n">
        <f aca="false">E144*E144</f>
        <v>0</v>
      </c>
      <c r="P144" s="0" t="n">
        <f aca="false">F144*F144</f>
        <v>0.390625</v>
      </c>
      <c r="Q144" s="0" t="n">
        <f aca="false">SUMPRODUCT(G144:P144,_XtX!$B$71:$K$71)</f>
        <v>41.8675142045455</v>
      </c>
      <c r="R144" s="0" t="n">
        <f aca="false">SUMPRODUCT(MMULT(G144:P144,_XtX!$B$58:$K$67),G144:P144)</f>
        <v>0.492240767045455</v>
      </c>
      <c r="S144" s="0" t="n">
        <f aca="false">04_回帰ANOVA!$K$19*04_回帰ANOVA!$K$14*SQRT(1+R144)</f>
        <v>1.13575873676322</v>
      </c>
      <c r="T144" s="0" t="n">
        <f aca="false">Q144-S144</f>
        <v>40.7317554677822</v>
      </c>
      <c r="U144" s="0" t="n">
        <f aca="false">Q144+S144</f>
        <v>43.0032729413087</v>
      </c>
      <c r="V144" s="54" t="b">
        <f aca="false">AND(D144&gt;=01_因子設定!$L$5-0.000000001,D144&lt;=01_因子設定!$M$5+0.000000001,E144&gt;=01_因子設定!$L$6-0.000000001,E144&lt;=01_因子設定!$M$6+0.000000001,F144&gt;=01_因子設定!$L$7-0.000000001,F144&lt;=01_因子設定!$M$7+0.000000001,IF(01_因子設定!$B$20="Box-Behnken",D144^2+E144^2+F144^2&lt;=2+0.000000001,TRUE()))</f>
        <v>1</v>
      </c>
      <c r="W144" s="55" t="n">
        <f aca="false">IF(V144,IF(01_因子設定!$B$13="最大化",T144-01_因子設定!$B$14,IF(01_因子設定!$B$13="最小化",01_因子設定!$B$15-U144,MIN(T144-01_因子設定!$B$14,01_因子設定!$B$15-U144))),-1E+030)</f>
        <v>-7.76824453221777</v>
      </c>
      <c r="X144" s="55" t="n">
        <f aca="false">IF(V144,IF(01_因子設定!$B$13="最大化",Q144,IF(01_因子設定!$B$13="最小化",-Q144,-ABS(Q144-01_因子設定!$B$16))),-1E+030)</f>
        <v>41.8675142045455</v>
      </c>
      <c r="Y144" s="55" t="n">
        <f aca="false">W144+ROW()*0.000000001</f>
        <v>-7.76824438821777</v>
      </c>
      <c r="Z144" s="55" t="n">
        <f aca="false">X144+ROW()*0.000000001</f>
        <v>41.8675143485455</v>
      </c>
    </row>
    <row r="145" customFormat="false" ht="15" hidden="false" customHeight="false" outlineLevel="0" collapsed="false">
      <c r="A145" s="0" t="n">
        <v>0</v>
      </c>
      <c r="B145" s="0" t="n">
        <v>8</v>
      </c>
      <c r="C145" s="0" t="n">
        <v>4</v>
      </c>
      <c r="D145" s="0" t="n">
        <f aca="false">-1+A145*0.125</f>
        <v>-1</v>
      </c>
      <c r="E145" s="0" t="n">
        <f aca="false">-1+B145*0.125</f>
        <v>0</v>
      </c>
      <c r="F145" s="0" t="n">
        <f aca="false">-1+C145*0.125</f>
        <v>-0.5</v>
      </c>
      <c r="G145" s="0" t="n">
        <f aca="false">1</f>
        <v>1</v>
      </c>
      <c r="H145" s="0" t="n">
        <f aca="false">D145</f>
        <v>-1</v>
      </c>
      <c r="I145" s="0" t="n">
        <f aca="false">E145</f>
        <v>0</v>
      </c>
      <c r="J145" s="0" t="n">
        <f aca="false">F145</f>
        <v>-0.5</v>
      </c>
      <c r="K145" s="0" t="n">
        <f aca="false">D145*E145</f>
        <v>-0</v>
      </c>
      <c r="L145" s="0" t="n">
        <f aca="false">D145*F145</f>
        <v>0.5</v>
      </c>
      <c r="M145" s="0" t="n">
        <f aca="false">E145*F145</f>
        <v>-0</v>
      </c>
      <c r="N145" s="0" t="n">
        <f aca="false">D145*D145</f>
        <v>1</v>
      </c>
      <c r="O145" s="0" t="n">
        <f aca="false">E145*E145</f>
        <v>0</v>
      </c>
      <c r="P145" s="0" t="n">
        <f aca="false">F145*F145</f>
        <v>0.25</v>
      </c>
      <c r="Q145" s="0" t="n">
        <f aca="false">SUMPRODUCT(G145:P145,_XtX!$B$71:$K$71)</f>
        <v>42.2243181818182</v>
      </c>
      <c r="R145" s="0" t="n">
        <f aca="false">SUMPRODUCT(MMULT(G145:P145,_XtX!$B$58:$K$67),G145:P145)</f>
        <v>0.478977272727273</v>
      </c>
      <c r="S145" s="0" t="n">
        <f aca="false">04_回帰ANOVA!$K$19*04_回帰ANOVA!$K$14*SQRT(1+R145)</f>
        <v>1.13069998447216</v>
      </c>
      <c r="T145" s="0" t="n">
        <f aca="false">Q145-S145</f>
        <v>41.093618197346</v>
      </c>
      <c r="U145" s="0" t="n">
        <f aca="false">Q145+S145</f>
        <v>43.3550181662903</v>
      </c>
      <c r="V145" s="54" t="b">
        <f aca="false">AND(D145&gt;=01_因子設定!$L$5-0.000000001,D145&lt;=01_因子設定!$M$5+0.000000001,E145&gt;=01_因子設定!$L$6-0.000000001,E145&lt;=01_因子設定!$M$6+0.000000001,F145&gt;=01_因子設定!$L$7-0.000000001,F145&lt;=01_因子設定!$M$7+0.000000001,IF(01_因子設定!$B$20="Box-Behnken",D145^2+E145^2+F145^2&lt;=2+0.000000001,TRUE()))</f>
        <v>1</v>
      </c>
      <c r="W145" s="55" t="n">
        <f aca="false">IF(V145,IF(01_因子設定!$B$13="最大化",T145-01_因子設定!$B$14,IF(01_因子設定!$B$13="最小化",01_因子設定!$B$15-U145,MIN(T145-01_因子設定!$B$14,01_因子設定!$B$15-U145))),-1E+030)</f>
        <v>-7.40638180265398</v>
      </c>
      <c r="X145" s="55" t="n">
        <f aca="false">IF(V145,IF(01_因子設定!$B$13="最大化",Q145,IF(01_因子設定!$B$13="最小化",-Q145,-ABS(Q145-01_因子設定!$B$16))),-1E+030)</f>
        <v>42.2243181818182</v>
      </c>
      <c r="Y145" s="55" t="n">
        <f aca="false">W145+ROW()*0.000000001</f>
        <v>-7.40638165765398</v>
      </c>
      <c r="Z145" s="55" t="n">
        <f aca="false">X145+ROW()*0.000000001</f>
        <v>42.2243183268182</v>
      </c>
    </row>
    <row r="146" customFormat="false" ht="15" hidden="false" customHeight="false" outlineLevel="0" collapsed="false">
      <c r="A146" s="0" t="n">
        <v>0</v>
      </c>
      <c r="B146" s="0" t="n">
        <v>8</v>
      </c>
      <c r="C146" s="0" t="n">
        <v>5</v>
      </c>
      <c r="D146" s="0" t="n">
        <f aca="false">-1+A146*0.125</f>
        <v>-1</v>
      </c>
      <c r="E146" s="0" t="n">
        <f aca="false">-1+B146*0.125</f>
        <v>0</v>
      </c>
      <c r="F146" s="0" t="n">
        <f aca="false">-1+C146*0.125</f>
        <v>-0.375</v>
      </c>
      <c r="G146" s="0" t="n">
        <f aca="false">1</f>
        <v>1</v>
      </c>
      <c r="H146" s="0" t="n">
        <f aca="false">D146</f>
        <v>-1</v>
      </c>
      <c r="I146" s="0" t="n">
        <f aca="false">E146</f>
        <v>0</v>
      </c>
      <c r="J146" s="0" t="n">
        <f aca="false">F146</f>
        <v>-0.375</v>
      </c>
      <c r="K146" s="0" t="n">
        <f aca="false">D146*E146</f>
        <v>-0</v>
      </c>
      <c r="L146" s="0" t="n">
        <f aca="false">D146*F146</f>
        <v>0.375</v>
      </c>
      <c r="M146" s="0" t="n">
        <f aca="false">E146*F146</f>
        <v>-0</v>
      </c>
      <c r="N146" s="0" t="n">
        <f aca="false">D146*D146</f>
        <v>1</v>
      </c>
      <c r="O146" s="0" t="n">
        <f aca="false">E146*E146</f>
        <v>0</v>
      </c>
      <c r="P146" s="0" t="n">
        <f aca="false">F146*F146</f>
        <v>0.140625</v>
      </c>
      <c r="Q146" s="0" t="n">
        <f aca="false">SUMPRODUCT(G146:P146,_XtX!$B$71:$K$71)</f>
        <v>42.5443323863636</v>
      </c>
      <c r="R146" s="0" t="n">
        <f aca="false">SUMPRODUCT(MMULT(G146:P146,_XtX!$B$58:$K$67),G146:P146)</f>
        <v>0.478604403409091</v>
      </c>
      <c r="S146" s="0" t="n">
        <f aca="false">04_回帰ANOVA!$K$19*04_回帰ANOVA!$K$14*SQRT(1+R146)</f>
        <v>1.13055744343508</v>
      </c>
      <c r="T146" s="0" t="n">
        <f aca="false">Q146-S146</f>
        <v>41.4137749429286</v>
      </c>
      <c r="U146" s="0" t="n">
        <f aca="false">Q146+S146</f>
        <v>43.6748898297987</v>
      </c>
      <c r="V146" s="54" t="b">
        <f aca="false">AND(D146&gt;=01_因子設定!$L$5-0.000000001,D146&lt;=01_因子設定!$M$5+0.000000001,E146&gt;=01_因子設定!$L$6-0.000000001,E146&lt;=01_因子設定!$M$6+0.000000001,F146&gt;=01_因子設定!$L$7-0.000000001,F146&lt;=01_因子設定!$M$7+0.000000001,IF(01_因子設定!$B$20="Box-Behnken",D146^2+E146^2+F146^2&lt;=2+0.000000001,TRUE()))</f>
        <v>1</v>
      </c>
      <c r="W146" s="55" t="n">
        <f aca="false">IF(V146,IF(01_因子設定!$B$13="最大化",T146-01_因子設定!$B$14,IF(01_因子設定!$B$13="最小化",01_因子設定!$B$15-U146,MIN(T146-01_因子設定!$B$14,01_因子設定!$B$15-U146))),-1E+030)</f>
        <v>-7.08622505707145</v>
      </c>
      <c r="X146" s="55" t="n">
        <f aca="false">IF(V146,IF(01_因子設定!$B$13="最大化",Q146,IF(01_因子設定!$B$13="最小化",-Q146,-ABS(Q146-01_因子設定!$B$16))),-1E+030)</f>
        <v>42.5443323863636</v>
      </c>
      <c r="Y146" s="55" t="n">
        <f aca="false">W146+ROW()*0.000000001</f>
        <v>-7.08622491107145</v>
      </c>
      <c r="Z146" s="55" t="n">
        <f aca="false">X146+ROW()*0.000000001</f>
        <v>42.5443325323636</v>
      </c>
    </row>
    <row r="147" customFormat="false" ht="15" hidden="false" customHeight="false" outlineLevel="0" collapsed="false">
      <c r="A147" s="0" t="n">
        <v>0</v>
      </c>
      <c r="B147" s="0" t="n">
        <v>8</v>
      </c>
      <c r="C147" s="0" t="n">
        <v>6</v>
      </c>
      <c r="D147" s="0" t="n">
        <f aca="false">-1+A147*0.125</f>
        <v>-1</v>
      </c>
      <c r="E147" s="0" t="n">
        <f aca="false">-1+B147*0.125</f>
        <v>0</v>
      </c>
      <c r="F147" s="0" t="n">
        <f aca="false">-1+C147*0.125</f>
        <v>-0.25</v>
      </c>
      <c r="G147" s="0" t="n">
        <f aca="false">1</f>
        <v>1</v>
      </c>
      <c r="H147" s="0" t="n">
        <f aca="false">D147</f>
        <v>-1</v>
      </c>
      <c r="I147" s="0" t="n">
        <f aca="false">E147</f>
        <v>0</v>
      </c>
      <c r="J147" s="0" t="n">
        <f aca="false">F147</f>
        <v>-0.25</v>
      </c>
      <c r="K147" s="0" t="n">
        <f aca="false">D147*E147</f>
        <v>-0</v>
      </c>
      <c r="L147" s="0" t="n">
        <f aca="false">D147*F147</f>
        <v>0.25</v>
      </c>
      <c r="M147" s="0" t="n">
        <f aca="false">E147*F147</f>
        <v>-0</v>
      </c>
      <c r="N147" s="0" t="n">
        <f aca="false">D147*D147</f>
        <v>1</v>
      </c>
      <c r="O147" s="0" t="n">
        <f aca="false">E147*E147</f>
        <v>0</v>
      </c>
      <c r="P147" s="0" t="n">
        <f aca="false">F147*F147</f>
        <v>0.0625</v>
      </c>
      <c r="Q147" s="0" t="n">
        <f aca="false">SUMPRODUCT(G147:P147,_XtX!$B$71:$K$71)</f>
        <v>42.8275568181818</v>
      </c>
      <c r="R147" s="0" t="n">
        <f aca="false">SUMPRODUCT(MMULT(G147:P147,_XtX!$B$58:$K$67),G147:P147)</f>
        <v>0.483664772727273</v>
      </c>
      <c r="S147" s="0" t="n">
        <f aca="false">04_回帰ANOVA!$K$19*04_回帰ANOVA!$K$14*SQRT(1+R147)</f>
        <v>1.13249039846694</v>
      </c>
      <c r="T147" s="0" t="n">
        <f aca="false">Q147-S147</f>
        <v>41.6950664197149</v>
      </c>
      <c r="U147" s="0" t="n">
        <f aca="false">Q147+S147</f>
        <v>43.9600472166487</v>
      </c>
      <c r="V147" s="54" t="b">
        <f aca="false">AND(D147&gt;=01_因子設定!$L$5-0.000000001,D147&lt;=01_因子設定!$M$5+0.000000001,E147&gt;=01_因子設定!$L$6-0.000000001,E147&lt;=01_因子設定!$M$6+0.000000001,F147&gt;=01_因子設定!$L$7-0.000000001,F147&lt;=01_因子設定!$M$7+0.000000001,IF(01_因子設定!$B$20="Box-Behnken",D147^2+E147^2+F147^2&lt;=2+0.000000001,TRUE()))</f>
        <v>1</v>
      </c>
      <c r="W147" s="55" t="n">
        <f aca="false">IF(V147,IF(01_因子設定!$B$13="最大化",T147-01_因子設定!$B$14,IF(01_因子設定!$B$13="最小化",01_因子設定!$B$15-U147,MIN(T147-01_因子設定!$B$14,01_因子設定!$B$15-U147))),-1E+030)</f>
        <v>-6.80493358028513</v>
      </c>
      <c r="X147" s="55" t="n">
        <f aca="false">IF(V147,IF(01_因子設定!$B$13="最大化",Q147,IF(01_因子設定!$B$13="最小化",-Q147,-ABS(Q147-01_因子設定!$B$16))),-1E+030)</f>
        <v>42.8275568181818</v>
      </c>
      <c r="Y147" s="55" t="n">
        <f aca="false">W147+ROW()*0.000000001</f>
        <v>-6.80493343328513</v>
      </c>
      <c r="Z147" s="55" t="n">
        <f aca="false">X147+ROW()*0.000000001</f>
        <v>42.8275569651818</v>
      </c>
    </row>
    <row r="148" customFormat="false" ht="15" hidden="false" customHeight="false" outlineLevel="0" collapsed="false">
      <c r="A148" s="0" t="n">
        <v>0</v>
      </c>
      <c r="B148" s="0" t="n">
        <v>8</v>
      </c>
      <c r="C148" s="0" t="n">
        <v>7</v>
      </c>
      <c r="D148" s="0" t="n">
        <f aca="false">-1+A148*0.125</f>
        <v>-1</v>
      </c>
      <c r="E148" s="0" t="n">
        <f aca="false">-1+B148*0.125</f>
        <v>0</v>
      </c>
      <c r="F148" s="0" t="n">
        <f aca="false">-1+C148*0.125</f>
        <v>-0.125</v>
      </c>
      <c r="G148" s="0" t="n">
        <f aca="false">1</f>
        <v>1</v>
      </c>
      <c r="H148" s="0" t="n">
        <f aca="false">D148</f>
        <v>-1</v>
      </c>
      <c r="I148" s="0" t="n">
        <f aca="false">E148</f>
        <v>0</v>
      </c>
      <c r="J148" s="0" t="n">
        <f aca="false">F148</f>
        <v>-0.125</v>
      </c>
      <c r="K148" s="0" t="n">
        <f aca="false">D148*E148</f>
        <v>-0</v>
      </c>
      <c r="L148" s="0" t="n">
        <f aca="false">D148*F148</f>
        <v>0.125</v>
      </c>
      <c r="M148" s="0" t="n">
        <f aca="false">E148*F148</f>
        <v>-0</v>
      </c>
      <c r="N148" s="0" t="n">
        <f aca="false">D148*D148</f>
        <v>1</v>
      </c>
      <c r="O148" s="0" t="n">
        <f aca="false">E148*E148</f>
        <v>0</v>
      </c>
      <c r="P148" s="0" t="n">
        <f aca="false">F148*F148</f>
        <v>0.015625</v>
      </c>
      <c r="Q148" s="0" t="n">
        <f aca="false">SUMPRODUCT(G148:P148,_XtX!$B$71:$K$71)</f>
        <v>43.0739914772727</v>
      </c>
      <c r="R148" s="0" t="n">
        <f aca="false">SUMPRODUCT(MMULT(G148:P148,_XtX!$B$58:$K$67),G148:P148)</f>
        <v>0.488831676136364</v>
      </c>
      <c r="S148" s="0" t="n">
        <f aca="false">04_回帰ANOVA!$K$19*04_回帰ANOVA!$K$14*SQRT(1+R148)</f>
        <v>1.13446064908709</v>
      </c>
      <c r="T148" s="0" t="n">
        <f aca="false">Q148-S148</f>
        <v>41.9395308281856</v>
      </c>
      <c r="U148" s="0" t="n">
        <f aca="false">Q148+S148</f>
        <v>44.2084521263598</v>
      </c>
      <c r="V148" s="54" t="b">
        <f aca="false">AND(D148&gt;=01_因子設定!$L$5-0.000000001,D148&lt;=01_因子設定!$M$5+0.000000001,E148&gt;=01_因子設定!$L$6-0.000000001,E148&lt;=01_因子設定!$M$6+0.000000001,F148&gt;=01_因子設定!$L$7-0.000000001,F148&lt;=01_因子設定!$M$7+0.000000001,IF(01_因子設定!$B$20="Box-Behnken",D148^2+E148^2+F148^2&lt;=2+0.000000001,TRUE()))</f>
        <v>1</v>
      </c>
      <c r="W148" s="55" t="n">
        <f aca="false">IF(V148,IF(01_因子設定!$B$13="最大化",T148-01_因子設定!$B$14,IF(01_因子設定!$B$13="最小化",01_因子設定!$B$15-U148,MIN(T148-01_因子設定!$B$14,01_因子設定!$B$15-U148))),-1E+030)</f>
        <v>-6.56046917181438</v>
      </c>
      <c r="X148" s="55" t="n">
        <f aca="false">IF(V148,IF(01_因子設定!$B$13="最大化",Q148,IF(01_因子設定!$B$13="最小化",-Q148,-ABS(Q148-01_因子設定!$B$16))),-1E+030)</f>
        <v>43.0739914772727</v>
      </c>
      <c r="Y148" s="55" t="n">
        <f aca="false">W148+ROW()*0.000000001</f>
        <v>-6.56046902381438</v>
      </c>
      <c r="Z148" s="55" t="n">
        <f aca="false">X148+ROW()*0.000000001</f>
        <v>43.0739916252727</v>
      </c>
    </row>
    <row r="149" customFormat="false" ht="15" hidden="false" customHeight="false" outlineLevel="0" collapsed="false">
      <c r="A149" s="0" t="n">
        <v>0</v>
      </c>
      <c r="B149" s="0" t="n">
        <v>8</v>
      </c>
      <c r="C149" s="0" t="n">
        <v>8</v>
      </c>
      <c r="D149" s="0" t="n">
        <f aca="false">-1+A149*0.125</f>
        <v>-1</v>
      </c>
      <c r="E149" s="0" t="n">
        <f aca="false">-1+B149*0.125</f>
        <v>0</v>
      </c>
      <c r="F149" s="0" t="n">
        <f aca="false">-1+C149*0.125</f>
        <v>0</v>
      </c>
      <c r="G149" s="0" t="n">
        <f aca="false">1</f>
        <v>1</v>
      </c>
      <c r="H149" s="0" t="n">
        <f aca="false">D149</f>
        <v>-1</v>
      </c>
      <c r="I149" s="0" t="n">
        <f aca="false">E149</f>
        <v>0</v>
      </c>
      <c r="J149" s="0" t="n">
        <f aca="false">F149</f>
        <v>0</v>
      </c>
      <c r="K149" s="0" t="n">
        <f aca="false">D149*E149</f>
        <v>-0</v>
      </c>
      <c r="L149" s="0" t="n">
        <f aca="false">D149*F149</f>
        <v>-0</v>
      </c>
      <c r="M149" s="0" t="n">
        <f aca="false">E149*F149</f>
        <v>0</v>
      </c>
      <c r="N149" s="0" t="n">
        <f aca="false">D149*D149</f>
        <v>1</v>
      </c>
      <c r="O149" s="0" t="n">
        <f aca="false">E149*E149</f>
        <v>0</v>
      </c>
      <c r="P149" s="0" t="n">
        <f aca="false">F149*F149</f>
        <v>0</v>
      </c>
      <c r="Q149" s="0" t="n">
        <f aca="false">SUMPRODUCT(G149:P149,_XtX!$B$71:$K$71)</f>
        <v>43.2836363636364</v>
      </c>
      <c r="R149" s="0" t="n">
        <f aca="false">SUMPRODUCT(MMULT(G149:P149,_XtX!$B$58:$K$67),G149:P149)</f>
        <v>0.490909090909091</v>
      </c>
      <c r="S149" s="0" t="n">
        <f aca="false">04_回帰ANOVA!$K$19*04_回帰ANOVA!$K$14*SQRT(1+R149)</f>
        <v>1.13525184792161</v>
      </c>
      <c r="T149" s="0" t="n">
        <f aca="false">Q149-S149</f>
        <v>42.1483845157147</v>
      </c>
      <c r="U149" s="0" t="n">
        <f aca="false">Q149+S149</f>
        <v>44.418888211558</v>
      </c>
      <c r="V149" s="54" t="b">
        <f aca="false">AND(D149&gt;=01_因子設定!$L$5-0.000000001,D149&lt;=01_因子設定!$M$5+0.000000001,E149&gt;=01_因子設定!$L$6-0.000000001,E149&lt;=01_因子設定!$M$6+0.000000001,F149&gt;=01_因子設定!$L$7-0.000000001,F149&lt;=01_因子設定!$M$7+0.000000001,IF(01_因子設定!$B$20="Box-Behnken",D149^2+E149^2+F149^2&lt;=2+0.000000001,TRUE()))</f>
        <v>1</v>
      </c>
      <c r="W149" s="55" t="n">
        <f aca="false">IF(V149,IF(01_因子設定!$B$13="最大化",T149-01_因子設定!$B$14,IF(01_因子設定!$B$13="最小化",01_因子設定!$B$15-U149,MIN(T149-01_因子設定!$B$14,01_因子設定!$B$15-U149))),-1E+030)</f>
        <v>-6.35161548428526</v>
      </c>
      <c r="X149" s="55" t="n">
        <f aca="false">IF(V149,IF(01_因子設定!$B$13="最大化",Q149,IF(01_因子設定!$B$13="最小化",-Q149,-ABS(Q149-01_因子設定!$B$16))),-1E+030)</f>
        <v>43.2836363636364</v>
      </c>
      <c r="Y149" s="55" t="n">
        <f aca="false">W149+ROW()*0.000000001</f>
        <v>-6.35161533528526</v>
      </c>
      <c r="Z149" s="55" t="n">
        <f aca="false">X149+ROW()*0.000000001</f>
        <v>43.2836365126364</v>
      </c>
    </row>
    <row r="150" customFormat="false" ht="15" hidden="false" customHeight="false" outlineLevel="0" collapsed="false">
      <c r="A150" s="0" t="n">
        <v>0</v>
      </c>
      <c r="B150" s="0" t="n">
        <v>8</v>
      </c>
      <c r="C150" s="0" t="n">
        <v>9</v>
      </c>
      <c r="D150" s="0" t="n">
        <f aca="false">-1+A150*0.125</f>
        <v>-1</v>
      </c>
      <c r="E150" s="0" t="n">
        <f aca="false">-1+B150*0.125</f>
        <v>0</v>
      </c>
      <c r="F150" s="0" t="n">
        <f aca="false">-1+C150*0.125</f>
        <v>0.125</v>
      </c>
      <c r="G150" s="0" t="n">
        <f aca="false">1</f>
        <v>1</v>
      </c>
      <c r="H150" s="0" t="n">
        <f aca="false">D150</f>
        <v>-1</v>
      </c>
      <c r="I150" s="0" t="n">
        <f aca="false">E150</f>
        <v>0</v>
      </c>
      <c r="J150" s="0" t="n">
        <f aca="false">F150</f>
        <v>0.125</v>
      </c>
      <c r="K150" s="0" t="n">
        <f aca="false">D150*E150</f>
        <v>-0</v>
      </c>
      <c r="L150" s="0" t="n">
        <f aca="false">D150*F150</f>
        <v>-0.125</v>
      </c>
      <c r="M150" s="0" t="n">
        <f aca="false">E150*F150</f>
        <v>0</v>
      </c>
      <c r="N150" s="0" t="n">
        <f aca="false">D150*D150</f>
        <v>1</v>
      </c>
      <c r="O150" s="0" t="n">
        <f aca="false">E150*E150</f>
        <v>0</v>
      </c>
      <c r="P150" s="0" t="n">
        <f aca="false">F150*F150</f>
        <v>0.015625</v>
      </c>
      <c r="Q150" s="0" t="n">
        <f aca="false">SUMPRODUCT(G150:P150,_XtX!$B$71:$K$71)</f>
        <v>43.4564914772727</v>
      </c>
      <c r="R150" s="0" t="n">
        <f aca="false">SUMPRODUCT(MMULT(G150:P150,_XtX!$B$58:$K$67),G150:P150)</f>
        <v>0.488831676136364</v>
      </c>
      <c r="S150" s="0" t="n">
        <f aca="false">04_回帰ANOVA!$K$19*04_回帰ANOVA!$K$14*SQRT(1+R150)</f>
        <v>1.13446064908709</v>
      </c>
      <c r="T150" s="0" t="n">
        <f aca="false">Q150-S150</f>
        <v>42.3220308281856</v>
      </c>
      <c r="U150" s="0" t="n">
        <f aca="false">Q150+S150</f>
        <v>44.5909521263598</v>
      </c>
      <c r="V150" s="54" t="b">
        <f aca="false">AND(D150&gt;=01_因子設定!$L$5-0.000000001,D150&lt;=01_因子設定!$M$5+0.000000001,E150&gt;=01_因子設定!$L$6-0.000000001,E150&lt;=01_因子設定!$M$6+0.000000001,F150&gt;=01_因子設定!$L$7-0.000000001,F150&lt;=01_因子設定!$M$7+0.000000001,IF(01_因子設定!$B$20="Box-Behnken",D150^2+E150^2+F150^2&lt;=2+0.000000001,TRUE()))</f>
        <v>1</v>
      </c>
      <c r="W150" s="55" t="n">
        <f aca="false">IF(V150,IF(01_因子設定!$B$13="最大化",T150-01_因子設定!$B$14,IF(01_因子設定!$B$13="最小化",01_因子設定!$B$15-U150,MIN(T150-01_因子設定!$B$14,01_因子設定!$B$15-U150))),-1E+030)</f>
        <v>-6.17796917181438</v>
      </c>
      <c r="X150" s="55" t="n">
        <f aca="false">IF(V150,IF(01_因子設定!$B$13="最大化",Q150,IF(01_因子設定!$B$13="最小化",-Q150,-ABS(Q150-01_因子設定!$B$16))),-1E+030)</f>
        <v>43.4564914772727</v>
      </c>
      <c r="Y150" s="55" t="n">
        <f aca="false">W150+ROW()*0.000000001</f>
        <v>-6.17796902181438</v>
      </c>
      <c r="Z150" s="55" t="n">
        <f aca="false">X150+ROW()*0.000000001</f>
        <v>43.4564916272727</v>
      </c>
    </row>
    <row r="151" customFormat="false" ht="15" hidden="false" customHeight="false" outlineLevel="0" collapsed="false">
      <c r="A151" s="0" t="n">
        <v>0</v>
      </c>
      <c r="B151" s="0" t="n">
        <v>8</v>
      </c>
      <c r="C151" s="0" t="n">
        <v>10</v>
      </c>
      <c r="D151" s="0" t="n">
        <f aca="false">-1+A151*0.125</f>
        <v>-1</v>
      </c>
      <c r="E151" s="0" t="n">
        <f aca="false">-1+B151*0.125</f>
        <v>0</v>
      </c>
      <c r="F151" s="0" t="n">
        <f aca="false">-1+C151*0.125</f>
        <v>0.25</v>
      </c>
      <c r="G151" s="0" t="n">
        <f aca="false">1</f>
        <v>1</v>
      </c>
      <c r="H151" s="0" t="n">
        <f aca="false">D151</f>
        <v>-1</v>
      </c>
      <c r="I151" s="0" t="n">
        <f aca="false">E151</f>
        <v>0</v>
      </c>
      <c r="J151" s="0" t="n">
        <f aca="false">F151</f>
        <v>0.25</v>
      </c>
      <c r="K151" s="0" t="n">
        <f aca="false">D151*E151</f>
        <v>-0</v>
      </c>
      <c r="L151" s="0" t="n">
        <f aca="false">D151*F151</f>
        <v>-0.25</v>
      </c>
      <c r="M151" s="0" t="n">
        <f aca="false">E151*F151</f>
        <v>0</v>
      </c>
      <c r="N151" s="0" t="n">
        <f aca="false">D151*D151</f>
        <v>1</v>
      </c>
      <c r="O151" s="0" t="n">
        <f aca="false">E151*E151</f>
        <v>0</v>
      </c>
      <c r="P151" s="0" t="n">
        <f aca="false">F151*F151</f>
        <v>0.0625</v>
      </c>
      <c r="Q151" s="0" t="n">
        <f aca="false">SUMPRODUCT(G151:P151,_XtX!$B$71:$K$71)</f>
        <v>43.5925568181818</v>
      </c>
      <c r="R151" s="0" t="n">
        <f aca="false">SUMPRODUCT(MMULT(G151:P151,_XtX!$B$58:$K$67),G151:P151)</f>
        <v>0.483664772727273</v>
      </c>
      <c r="S151" s="0" t="n">
        <f aca="false">04_回帰ANOVA!$K$19*04_回帰ANOVA!$K$14*SQRT(1+R151)</f>
        <v>1.13249039846694</v>
      </c>
      <c r="T151" s="0" t="n">
        <f aca="false">Q151-S151</f>
        <v>42.4600664197149</v>
      </c>
      <c r="U151" s="0" t="n">
        <f aca="false">Q151+S151</f>
        <v>44.7250472166487</v>
      </c>
      <c r="V151" s="54" t="b">
        <f aca="false">AND(D151&gt;=01_因子設定!$L$5-0.000000001,D151&lt;=01_因子設定!$M$5+0.000000001,E151&gt;=01_因子設定!$L$6-0.000000001,E151&lt;=01_因子設定!$M$6+0.000000001,F151&gt;=01_因子設定!$L$7-0.000000001,F151&lt;=01_因子設定!$M$7+0.000000001,IF(01_因子設定!$B$20="Box-Behnken",D151^2+E151^2+F151^2&lt;=2+0.000000001,TRUE()))</f>
        <v>1</v>
      </c>
      <c r="W151" s="55" t="n">
        <f aca="false">IF(V151,IF(01_因子設定!$B$13="最大化",T151-01_因子設定!$B$14,IF(01_因子設定!$B$13="最小化",01_因子設定!$B$15-U151,MIN(T151-01_因子設定!$B$14,01_因子設定!$B$15-U151))),-1E+030)</f>
        <v>-6.03993358028513</v>
      </c>
      <c r="X151" s="55" t="n">
        <f aca="false">IF(V151,IF(01_因子設定!$B$13="最大化",Q151,IF(01_因子設定!$B$13="最小化",-Q151,-ABS(Q151-01_因子設定!$B$16))),-1E+030)</f>
        <v>43.5925568181818</v>
      </c>
      <c r="Y151" s="55" t="n">
        <f aca="false">W151+ROW()*0.000000001</f>
        <v>-6.03993342928513</v>
      </c>
      <c r="Z151" s="55" t="n">
        <f aca="false">X151+ROW()*0.000000001</f>
        <v>43.5925569691818</v>
      </c>
    </row>
    <row r="152" customFormat="false" ht="15" hidden="false" customHeight="false" outlineLevel="0" collapsed="false">
      <c r="A152" s="0" t="n">
        <v>0</v>
      </c>
      <c r="B152" s="0" t="n">
        <v>8</v>
      </c>
      <c r="C152" s="0" t="n">
        <v>11</v>
      </c>
      <c r="D152" s="0" t="n">
        <f aca="false">-1+A152*0.125</f>
        <v>-1</v>
      </c>
      <c r="E152" s="0" t="n">
        <f aca="false">-1+B152*0.125</f>
        <v>0</v>
      </c>
      <c r="F152" s="0" t="n">
        <f aca="false">-1+C152*0.125</f>
        <v>0.375</v>
      </c>
      <c r="G152" s="0" t="n">
        <f aca="false">1</f>
        <v>1</v>
      </c>
      <c r="H152" s="0" t="n">
        <f aca="false">D152</f>
        <v>-1</v>
      </c>
      <c r="I152" s="0" t="n">
        <f aca="false">E152</f>
        <v>0</v>
      </c>
      <c r="J152" s="0" t="n">
        <f aca="false">F152</f>
        <v>0.375</v>
      </c>
      <c r="K152" s="0" t="n">
        <f aca="false">D152*E152</f>
        <v>-0</v>
      </c>
      <c r="L152" s="0" t="n">
        <f aca="false">D152*F152</f>
        <v>-0.375</v>
      </c>
      <c r="M152" s="0" t="n">
        <f aca="false">E152*F152</f>
        <v>0</v>
      </c>
      <c r="N152" s="0" t="n">
        <f aca="false">D152*D152</f>
        <v>1</v>
      </c>
      <c r="O152" s="0" t="n">
        <f aca="false">E152*E152</f>
        <v>0</v>
      </c>
      <c r="P152" s="0" t="n">
        <f aca="false">F152*F152</f>
        <v>0.140625</v>
      </c>
      <c r="Q152" s="0" t="n">
        <f aca="false">SUMPRODUCT(G152:P152,_XtX!$B$71:$K$71)</f>
        <v>43.6918323863636</v>
      </c>
      <c r="R152" s="0" t="n">
        <f aca="false">SUMPRODUCT(MMULT(G152:P152,_XtX!$B$58:$K$67),G152:P152)</f>
        <v>0.478604403409091</v>
      </c>
      <c r="S152" s="0" t="n">
        <f aca="false">04_回帰ANOVA!$K$19*04_回帰ANOVA!$K$14*SQRT(1+R152)</f>
        <v>1.13055744343508</v>
      </c>
      <c r="T152" s="0" t="n">
        <f aca="false">Q152-S152</f>
        <v>42.5612749429286</v>
      </c>
      <c r="U152" s="0" t="n">
        <f aca="false">Q152+S152</f>
        <v>44.8223898297987</v>
      </c>
      <c r="V152" s="54" t="b">
        <f aca="false">AND(D152&gt;=01_因子設定!$L$5-0.000000001,D152&lt;=01_因子設定!$M$5+0.000000001,E152&gt;=01_因子設定!$L$6-0.000000001,E152&lt;=01_因子設定!$M$6+0.000000001,F152&gt;=01_因子設定!$L$7-0.000000001,F152&lt;=01_因子設定!$M$7+0.000000001,IF(01_因子設定!$B$20="Box-Behnken",D152^2+E152^2+F152^2&lt;=2+0.000000001,TRUE()))</f>
        <v>1</v>
      </c>
      <c r="W152" s="55" t="n">
        <f aca="false">IF(V152,IF(01_因子設定!$B$13="最大化",T152-01_因子設定!$B$14,IF(01_因子設定!$B$13="最小化",01_因子設定!$B$15-U152,MIN(T152-01_因子設定!$B$14,01_因子設定!$B$15-U152))),-1E+030)</f>
        <v>-5.93872505707145</v>
      </c>
      <c r="X152" s="55" t="n">
        <f aca="false">IF(V152,IF(01_因子設定!$B$13="最大化",Q152,IF(01_因子設定!$B$13="最小化",-Q152,-ABS(Q152-01_因子設定!$B$16))),-1E+030)</f>
        <v>43.6918323863636</v>
      </c>
      <c r="Y152" s="55" t="n">
        <f aca="false">W152+ROW()*0.000000001</f>
        <v>-5.93872490507145</v>
      </c>
      <c r="Z152" s="55" t="n">
        <f aca="false">X152+ROW()*0.000000001</f>
        <v>43.6918325383636</v>
      </c>
    </row>
    <row r="153" customFormat="false" ht="15" hidden="false" customHeight="false" outlineLevel="0" collapsed="false">
      <c r="A153" s="0" t="n">
        <v>0</v>
      </c>
      <c r="B153" s="0" t="n">
        <v>8</v>
      </c>
      <c r="C153" s="0" t="n">
        <v>12</v>
      </c>
      <c r="D153" s="0" t="n">
        <f aca="false">-1+A153*0.125</f>
        <v>-1</v>
      </c>
      <c r="E153" s="0" t="n">
        <f aca="false">-1+B153*0.125</f>
        <v>0</v>
      </c>
      <c r="F153" s="0" t="n">
        <f aca="false">-1+C153*0.125</f>
        <v>0.5</v>
      </c>
      <c r="G153" s="0" t="n">
        <f aca="false">1</f>
        <v>1</v>
      </c>
      <c r="H153" s="0" t="n">
        <f aca="false">D153</f>
        <v>-1</v>
      </c>
      <c r="I153" s="0" t="n">
        <f aca="false">E153</f>
        <v>0</v>
      </c>
      <c r="J153" s="0" t="n">
        <f aca="false">F153</f>
        <v>0.5</v>
      </c>
      <c r="K153" s="0" t="n">
        <f aca="false">D153*E153</f>
        <v>-0</v>
      </c>
      <c r="L153" s="0" t="n">
        <f aca="false">D153*F153</f>
        <v>-0.5</v>
      </c>
      <c r="M153" s="0" t="n">
        <f aca="false">E153*F153</f>
        <v>0</v>
      </c>
      <c r="N153" s="0" t="n">
        <f aca="false">D153*D153</f>
        <v>1</v>
      </c>
      <c r="O153" s="0" t="n">
        <f aca="false">E153*E153</f>
        <v>0</v>
      </c>
      <c r="P153" s="0" t="n">
        <f aca="false">F153*F153</f>
        <v>0.25</v>
      </c>
      <c r="Q153" s="0" t="n">
        <f aca="false">SUMPRODUCT(G153:P153,_XtX!$B$71:$K$71)</f>
        <v>43.7543181818182</v>
      </c>
      <c r="R153" s="0" t="n">
        <f aca="false">SUMPRODUCT(MMULT(G153:P153,_XtX!$B$58:$K$67),G153:P153)</f>
        <v>0.478977272727273</v>
      </c>
      <c r="S153" s="0" t="n">
        <f aca="false">04_回帰ANOVA!$K$19*04_回帰ANOVA!$K$14*SQRT(1+R153)</f>
        <v>1.13069998447216</v>
      </c>
      <c r="T153" s="0" t="n">
        <f aca="false">Q153-S153</f>
        <v>42.623618197346</v>
      </c>
      <c r="U153" s="0" t="n">
        <f aca="false">Q153+S153</f>
        <v>44.8850181662903</v>
      </c>
      <c r="V153" s="54" t="b">
        <f aca="false">AND(D153&gt;=01_因子設定!$L$5-0.000000001,D153&lt;=01_因子設定!$M$5+0.000000001,E153&gt;=01_因子設定!$L$6-0.000000001,E153&lt;=01_因子設定!$M$6+0.000000001,F153&gt;=01_因子設定!$L$7-0.000000001,F153&lt;=01_因子設定!$M$7+0.000000001,IF(01_因子設定!$B$20="Box-Behnken",D153^2+E153^2+F153^2&lt;=2+0.000000001,TRUE()))</f>
        <v>1</v>
      </c>
      <c r="W153" s="55" t="n">
        <f aca="false">IF(V153,IF(01_因子設定!$B$13="最大化",T153-01_因子設定!$B$14,IF(01_因子設定!$B$13="最小化",01_因子設定!$B$15-U153,MIN(T153-01_因子設定!$B$14,01_因子設定!$B$15-U153))),-1E+030)</f>
        <v>-5.87638180265399</v>
      </c>
      <c r="X153" s="55" t="n">
        <f aca="false">IF(V153,IF(01_因子設定!$B$13="最大化",Q153,IF(01_因子設定!$B$13="最小化",-Q153,-ABS(Q153-01_因子設定!$B$16))),-1E+030)</f>
        <v>43.7543181818182</v>
      </c>
      <c r="Y153" s="55" t="n">
        <f aca="false">W153+ROW()*0.000000001</f>
        <v>-5.87638164965399</v>
      </c>
      <c r="Z153" s="55" t="n">
        <f aca="false">X153+ROW()*0.000000001</f>
        <v>43.7543183348182</v>
      </c>
    </row>
    <row r="154" customFormat="false" ht="15" hidden="false" customHeight="false" outlineLevel="0" collapsed="false">
      <c r="A154" s="0" t="n">
        <v>0</v>
      </c>
      <c r="B154" s="0" t="n">
        <v>8</v>
      </c>
      <c r="C154" s="0" t="n">
        <v>13</v>
      </c>
      <c r="D154" s="0" t="n">
        <f aca="false">-1+A154*0.125</f>
        <v>-1</v>
      </c>
      <c r="E154" s="0" t="n">
        <f aca="false">-1+B154*0.125</f>
        <v>0</v>
      </c>
      <c r="F154" s="0" t="n">
        <f aca="false">-1+C154*0.125</f>
        <v>0.625</v>
      </c>
      <c r="G154" s="0" t="n">
        <f aca="false">1</f>
        <v>1</v>
      </c>
      <c r="H154" s="0" t="n">
        <f aca="false">D154</f>
        <v>-1</v>
      </c>
      <c r="I154" s="0" t="n">
        <f aca="false">E154</f>
        <v>0</v>
      </c>
      <c r="J154" s="0" t="n">
        <f aca="false">F154</f>
        <v>0.625</v>
      </c>
      <c r="K154" s="0" t="n">
        <f aca="false">D154*E154</f>
        <v>-0</v>
      </c>
      <c r="L154" s="0" t="n">
        <f aca="false">D154*F154</f>
        <v>-0.625</v>
      </c>
      <c r="M154" s="0" t="n">
        <f aca="false">E154*F154</f>
        <v>0</v>
      </c>
      <c r="N154" s="0" t="n">
        <f aca="false">D154*D154</f>
        <v>1</v>
      </c>
      <c r="O154" s="0" t="n">
        <f aca="false">E154*E154</f>
        <v>0</v>
      </c>
      <c r="P154" s="0" t="n">
        <f aca="false">F154*F154</f>
        <v>0.390625</v>
      </c>
      <c r="Q154" s="0" t="n">
        <f aca="false">SUMPRODUCT(G154:P154,_XtX!$B$71:$K$71)</f>
        <v>43.7800142045455</v>
      </c>
      <c r="R154" s="0" t="n">
        <f aca="false">SUMPRODUCT(MMULT(G154:P154,_XtX!$B$58:$K$67),G154:P154)</f>
        <v>0.492240767045455</v>
      </c>
      <c r="S154" s="0" t="n">
        <f aca="false">04_回帰ANOVA!$K$19*04_回帰ANOVA!$K$14*SQRT(1+R154)</f>
        <v>1.13575873676322</v>
      </c>
      <c r="T154" s="0" t="n">
        <f aca="false">Q154-S154</f>
        <v>42.6442554677822</v>
      </c>
      <c r="U154" s="0" t="n">
        <f aca="false">Q154+S154</f>
        <v>44.9157729413087</v>
      </c>
      <c r="V154" s="54" t="b">
        <f aca="false">AND(D154&gt;=01_因子設定!$L$5-0.000000001,D154&lt;=01_因子設定!$M$5+0.000000001,E154&gt;=01_因子設定!$L$6-0.000000001,E154&lt;=01_因子設定!$M$6+0.000000001,F154&gt;=01_因子設定!$L$7-0.000000001,F154&lt;=01_因子設定!$M$7+0.000000001,IF(01_因子設定!$B$20="Box-Behnken",D154^2+E154^2+F154^2&lt;=2+0.000000001,TRUE()))</f>
        <v>1</v>
      </c>
      <c r="W154" s="55" t="n">
        <f aca="false">IF(V154,IF(01_因子設定!$B$13="最大化",T154-01_因子設定!$B$14,IF(01_因子設定!$B$13="最小化",01_因子設定!$B$15-U154,MIN(T154-01_因子設定!$B$14,01_因子設定!$B$15-U154))),-1E+030)</f>
        <v>-5.85574453221777</v>
      </c>
      <c r="X154" s="55" t="n">
        <f aca="false">IF(V154,IF(01_因子設定!$B$13="最大化",Q154,IF(01_因子設定!$B$13="最小化",-Q154,-ABS(Q154-01_因子設定!$B$16))),-1E+030)</f>
        <v>43.7800142045455</v>
      </c>
      <c r="Y154" s="55" t="n">
        <f aca="false">W154+ROW()*0.000000001</f>
        <v>-5.85574437821777</v>
      </c>
      <c r="Z154" s="55" t="n">
        <f aca="false">X154+ROW()*0.000000001</f>
        <v>43.7800143585455</v>
      </c>
    </row>
    <row r="155" customFormat="false" ht="15" hidden="false" customHeight="false" outlineLevel="0" collapsed="false">
      <c r="A155" s="0" t="n">
        <v>0</v>
      </c>
      <c r="B155" s="0" t="n">
        <v>8</v>
      </c>
      <c r="C155" s="0" t="n">
        <v>14</v>
      </c>
      <c r="D155" s="0" t="n">
        <f aca="false">-1+A155*0.125</f>
        <v>-1</v>
      </c>
      <c r="E155" s="0" t="n">
        <f aca="false">-1+B155*0.125</f>
        <v>0</v>
      </c>
      <c r="F155" s="0" t="n">
        <f aca="false">-1+C155*0.125</f>
        <v>0.75</v>
      </c>
      <c r="G155" s="0" t="n">
        <f aca="false">1</f>
        <v>1</v>
      </c>
      <c r="H155" s="0" t="n">
        <f aca="false">D155</f>
        <v>-1</v>
      </c>
      <c r="I155" s="0" t="n">
        <f aca="false">E155</f>
        <v>0</v>
      </c>
      <c r="J155" s="0" t="n">
        <f aca="false">F155</f>
        <v>0.75</v>
      </c>
      <c r="K155" s="0" t="n">
        <f aca="false">D155*E155</f>
        <v>-0</v>
      </c>
      <c r="L155" s="0" t="n">
        <f aca="false">D155*F155</f>
        <v>-0.75</v>
      </c>
      <c r="M155" s="0" t="n">
        <f aca="false">E155*F155</f>
        <v>0</v>
      </c>
      <c r="N155" s="0" t="n">
        <f aca="false">D155*D155</f>
        <v>1</v>
      </c>
      <c r="O155" s="0" t="n">
        <f aca="false">E155*E155</f>
        <v>0</v>
      </c>
      <c r="P155" s="0" t="n">
        <f aca="false">F155*F155</f>
        <v>0.5625</v>
      </c>
      <c r="Q155" s="0" t="n">
        <f aca="false">SUMPRODUCT(G155:P155,_XtX!$B$71:$K$71)</f>
        <v>43.7689204545455</v>
      </c>
      <c r="R155" s="0" t="n">
        <f aca="false">SUMPRODUCT(MMULT(G155:P155,_XtX!$B$58:$K$67),G155:P155)</f>
        <v>0.527982954545455</v>
      </c>
      <c r="S155" s="0" t="n">
        <f aca="false">04_回帰ANOVA!$K$19*04_回帰ANOVA!$K$14*SQRT(1+R155)</f>
        <v>1.14928011037747</v>
      </c>
      <c r="T155" s="0" t="n">
        <f aca="false">Q155-S155</f>
        <v>42.619640344168</v>
      </c>
      <c r="U155" s="0" t="n">
        <f aca="false">Q155+S155</f>
        <v>44.9182005649229</v>
      </c>
      <c r="V155" s="54" t="b">
        <f aca="false">AND(D155&gt;=01_因子設定!$L$5-0.000000001,D155&lt;=01_因子設定!$M$5+0.000000001,E155&gt;=01_因子設定!$L$6-0.000000001,E155&lt;=01_因子設定!$M$6+0.000000001,F155&gt;=01_因子設定!$L$7-0.000000001,F155&lt;=01_因子設定!$M$7+0.000000001,IF(01_因子設定!$B$20="Box-Behnken",D155^2+E155^2+F155^2&lt;=2+0.000000001,TRUE()))</f>
        <v>1</v>
      </c>
      <c r="W155" s="55" t="n">
        <f aca="false">IF(V155,IF(01_因子設定!$B$13="最大化",T155-01_因子設定!$B$14,IF(01_因子設定!$B$13="最小化",01_因子設定!$B$15-U155,MIN(T155-01_因子設定!$B$14,01_因子設定!$B$15-U155))),-1E+030)</f>
        <v>-5.88035965583202</v>
      </c>
      <c r="X155" s="55" t="n">
        <f aca="false">IF(V155,IF(01_因子設定!$B$13="最大化",Q155,IF(01_因子設定!$B$13="最小化",-Q155,-ABS(Q155-01_因子設定!$B$16))),-1E+030)</f>
        <v>43.7689204545455</v>
      </c>
      <c r="Y155" s="55" t="n">
        <f aca="false">W155+ROW()*0.000000001</f>
        <v>-5.88035950083202</v>
      </c>
      <c r="Z155" s="55" t="n">
        <f aca="false">X155+ROW()*0.000000001</f>
        <v>43.7689206095455</v>
      </c>
    </row>
    <row r="156" customFormat="false" ht="15" hidden="false" customHeight="false" outlineLevel="0" collapsed="false">
      <c r="A156" s="0" t="n">
        <v>0</v>
      </c>
      <c r="B156" s="0" t="n">
        <v>8</v>
      </c>
      <c r="C156" s="0" t="n">
        <v>15</v>
      </c>
      <c r="D156" s="0" t="n">
        <f aca="false">-1+A156*0.125</f>
        <v>-1</v>
      </c>
      <c r="E156" s="0" t="n">
        <f aca="false">-1+B156*0.125</f>
        <v>0</v>
      </c>
      <c r="F156" s="0" t="n">
        <f aca="false">-1+C156*0.125</f>
        <v>0.875</v>
      </c>
      <c r="G156" s="0" t="n">
        <f aca="false">1</f>
        <v>1</v>
      </c>
      <c r="H156" s="0" t="n">
        <f aca="false">D156</f>
        <v>-1</v>
      </c>
      <c r="I156" s="0" t="n">
        <f aca="false">E156</f>
        <v>0</v>
      </c>
      <c r="J156" s="0" t="n">
        <f aca="false">F156</f>
        <v>0.875</v>
      </c>
      <c r="K156" s="0" t="n">
        <f aca="false">D156*E156</f>
        <v>-0</v>
      </c>
      <c r="L156" s="0" t="n">
        <f aca="false">D156*F156</f>
        <v>-0.875</v>
      </c>
      <c r="M156" s="0" t="n">
        <f aca="false">E156*F156</f>
        <v>0</v>
      </c>
      <c r="N156" s="0" t="n">
        <f aca="false">D156*D156</f>
        <v>1</v>
      </c>
      <c r="O156" s="0" t="n">
        <f aca="false">E156*E156</f>
        <v>0</v>
      </c>
      <c r="P156" s="0" t="n">
        <f aca="false">F156*F156</f>
        <v>0.765625</v>
      </c>
      <c r="Q156" s="0" t="n">
        <f aca="false">SUMPRODUCT(G156:P156,_XtX!$B$71:$K$71)</f>
        <v>43.7210369318182</v>
      </c>
      <c r="R156" s="0" t="n">
        <f aca="false">SUMPRODUCT(MMULT(G156:P156,_XtX!$B$58:$K$67),G156:P156)</f>
        <v>0.597922585227273</v>
      </c>
      <c r="S156" s="0" t="n">
        <f aca="false">04_回帰ANOVA!$K$19*04_回帰ANOVA!$K$14*SQRT(1+R156)</f>
        <v>1.17528854591003</v>
      </c>
      <c r="T156" s="0" t="n">
        <f aca="false">Q156-S156</f>
        <v>42.5457483859082</v>
      </c>
      <c r="U156" s="0" t="n">
        <f aca="false">Q156+S156</f>
        <v>44.8963254777282</v>
      </c>
      <c r="V156" s="54" t="b">
        <f aca="false">AND(D156&gt;=01_因子設定!$L$5-0.000000001,D156&lt;=01_因子設定!$M$5+0.000000001,E156&gt;=01_因子設定!$L$6-0.000000001,E156&lt;=01_因子設定!$M$6+0.000000001,F156&gt;=01_因子設定!$L$7-0.000000001,F156&lt;=01_因子設定!$M$7+0.000000001,IF(01_因子設定!$B$20="Box-Behnken",D156^2+E156^2+F156^2&lt;=2+0.000000001,TRUE()))</f>
        <v>1</v>
      </c>
      <c r="W156" s="55" t="n">
        <f aca="false">IF(V156,IF(01_因子設定!$B$13="最大化",T156-01_因子設定!$B$14,IF(01_因子設定!$B$13="最小化",01_因子設定!$B$15-U156,MIN(T156-01_因子設定!$B$14,01_因子設定!$B$15-U156))),-1E+030)</f>
        <v>-5.95425161409185</v>
      </c>
      <c r="X156" s="55" t="n">
        <f aca="false">IF(V156,IF(01_因子設定!$B$13="最大化",Q156,IF(01_因子設定!$B$13="最小化",-Q156,-ABS(Q156-01_因子設定!$B$16))),-1E+030)</f>
        <v>43.7210369318182</v>
      </c>
      <c r="Y156" s="55" t="n">
        <f aca="false">W156+ROW()*0.000000001</f>
        <v>-5.95425145809185</v>
      </c>
      <c r="Z156" s="55" t="n">
        <f aca="false">X156+ROW()*0.000000001</f>
        <v>43.7210370878182</v>
      </c>
    </row>
    <row r="157" customFormat="false" ht="15" hidden="false" customHeight="false" outlineLevel="0" collapsed="false">
      <c r="A157" s="0" t="n">
        <v>0</v>
      </c>
      <c r="B157" s="0" t="n">
        <v>8</v>
      </c>
      <c r="C157" s="0" t="n">
        <v>16</v>
      </c>
      <c r="D157" s="0" t="n">
        <f aca="false">-1+A157*0.125</f>
        <v>-1</v>
      </c>
      <c r="E157" s="0" t="n">
        <f aca="false">-1+B157*0.125</f>
        <v>0</v>
      </c>
      <c r="F157" s="0" t="n">
        <f aca="false">-1+C157*0.125</f>
        <v>1</v>
      </c>
      <c r="G157" s="0" t="n">
        <f aca="false">1</f>
        <v>1</v>
      </c>
      <c r="H157" s="0" t="n">
        <f aca="false">D157</f>
        <v>-1</v>
      </c>
      <c r="I157" s="0" t="n">
        <f aca="false">E157</f>
        <v>0</v>
      </c>
      <c r="J157" s="0" t="n">
        <f aca="false">F157</f>
        <v>1</v>
      </c>
      <c r="K157" s="0" t="n">
        <f aca="false">D157*E157</f>
        <v>-0</v>
      </c>
      <c r="L157" s="0" t="n">
        <f aca="false">D157*F157</f>
        <v>-1</v>
      </c>
      <c r="M157" s="0" t="n">
        <f aca="false">E157*F157</f>
        <v>0</v>
      </c>
      <c r="N157" s="0" t="n">
        <f aca="false">D157*D157</f>
        <v>1</v>
      </c>
      <c r="O157" s="0" t="n">
        <f aca="false">E157*E157</f>
        <v>0</v>
      </c>
      <c r="P157" s="0" t="n">
        <f aca="false">F157*F157</f>
        <v>1</v>
      </c>
      <c r="Q157" s="0" t="n">
        <f aca="false">SUMPRODUCT(G157:P157,_XtX!$B$71:$K$71)</f>
        <v>43.6363636363636</v>
      </c>
      <c r="R157" s="0" t="n">
        <f aca="false">SUMPRODUCT(MMULT(G157:P157,_XtX!$B$58:$K$67),G157:P157)</f>
        <v>0.715909090909091</v>
      </c>
      <c r="S157" s="0" t="n">
        <f aca="false">04_回帰ANOVA!$K$19*04_回帰ANOVA!$K$14*SQRT(1+R157)</f>
        <v>1.21790601011063</v>
      </c>
      <c r="T157" s="0" t="n">
        <f aca="false">Q157-S157</f>
        <v>42.418457626253</v>
      </c>
      <c r="U157" s="0" t="n">
        <f aca="false">Q157+S157</f>
        <v>44.8542696464743</v>
      </c>
      <c r="V157" s="54" t="b">
        <f aca="false">AND(D157&gt;=01_因子設定!$L$5-0.000000001,D157&lt;=01_因子設定!$M$5+0.000000001,E157&gt;=01_因子設定!$L$6-0.000000001,E157&lt;=01_因子設定!$M$6+0.000000001,F157&gt;=01_因子設定!$L$7-0.000000001,F157&lt;=01_因子設定!$M$7+0.000000001,IF(01_因子設定!$B$20="Box-Behnken",D157^2+E157^2+F157^2&lt;=2+0.000000001,TRUE()))</f>
        <v>1</v>
      </c>
      <c r="W157" s="55" t="n">
        <f aca="false">IF(V157,IF(01_因子設定!$B$13="最大化",T157-01_因子設定!$B$14,IF(01_因子設定!$B$13="最小化",01_因子設定!$B$15-U157,MIN(T157-01_因子設定!$B$14,01_因子設定!$B$15-U157))),-1E+030)</f>
        <v>-6.08154237374698</v>
      </c>
      <c r="X157" s="55" t="n">
        <f aca="false">IF(V157,IF(01_因子設定!$B$13="最大化",Q157,IF(01_因子設定!$B$13="最小化",-Q157,-ABS(Q157-01_因子設定!$B$16))),-1E+030)</f>
        <v>43.6363636363636</v>
      </c>
      <c r="Y157" s="55" t="n">
        <f aca="false">W157+ROW()*0.000000001</f>
        <v>-6.08154221674699</v>
      </c>
      <c r="Z157" s="55" t="n">
        <f aca="false">X157+ROW()*0.000000001</f>
        <v>43.6363637933636</v>
      </c>
    </row>
    <row r="158" customFormat="false" ht="15" hidden="false" customHeight="false" outlineLevel="0" collapsed="false">
      <c r="A158" s="0" t="n">
        <v>0</v>
      </c>
      <c r="B158" s="0" t="n">
        <v>9</v>
      </c>
      <c r="C158" s="0" t="n">
        <v>0</v>
      </c>
      <c r="D158" s="0" t="n">
        <f aca="false">-1+A158*0.125</f>
        <v>-1</v>
      </c>
      <c r="E158" s="0" t="n">
        <f aca="false">-1+B158*0.125</f>
        <v>0.125</v>
      </c>
      <c r="F158" s="0" t="n">
        <f aca="false">-1+C158*0.125</f>
        <v>-1</v>
      </c>
      <c r="G158" s="0" t="n">
        <f aca="false">1</f>
        <v>1</v>
      </c>
      <c r="H158" s="0" t="n">
        <f aca="false">D158</f>
        <v>-1</v>
      </c>
      <c r="I158" s="0" t="n">
        <f aca="false">E158</f>
        <v>0.125</v>
      </c>
      <c r="J158" s="0" t="n">
        <f aca="false">F158</f>
        <v>-1</v>
      </c>
      <c r="K158" s="0" t="n">
        <f aca="false">D158*E158</f>
        <v>-0.125</v>
      </c>
      <c r="L158" s="0" t="n">
        <f aca="false">D158*F158</f>
        <v>1</v>
      </c>
      <c r="M158" s="0" t="n">
        <f aca="false">E158*F158</f>
        <v>-0.125</v>
      </c>
      <c r="N158" s="0" t="n">
        <f aca="false">D158*D158</f>
        <v>1</v>
      </c>
      <c r="O158" s="0" t="n">
        <f aca="false">E158*E158</f>
        <v>0.015625</v>
      </c>
      <c r="P158" s="0" t="n">
        <f aca="false">F158*F158</f>
        <v>1</v>
      </c>
      <c r="Q158" s="0" t="n">
        <f aca="false">SUMPRODUCT(G158:P158,_XtX!$B$71:$K$71)</f>
        <v>40.5940625</v>
      </c>
      <c r="R158" s="0" t="n">
        <f aca="false">SUMPRODUCT(MMULT(G158:P158,_XtX!$B$58:$K$67),G158:P158)</f>
        <v>0.7115234375</v>
      </c>
      <c r="S158" s="0" t="n">
        <f aca="false">04_回帰ANOVA!$K$19*04_回帰ANOVA!$K$14*SQRT(1+R158)</f>
        <v>1.21634860506574</v>
      </c>
      <c r="T158" s="0" t="n">
        <f aca="false">Q158-S158</f>
        <v>39.3777138949343</v>
      </c>
      <c r="U158" s="0" t="n">
        <f aca="false">Q158+S158</f>
        <v>41.8104111050657</v>
      </c>
      <c r="V158" s="54" t="b">
        <f aca="false">AND(D158&gt;=01_因子設定!$L$5-0.000000001,D158&lt;=01_因子設定!$M$5+0.000000001,E158&gt;=01_因子設定!$L$6-0.000000001,E158&lt;=01_因子設定!$M$6+0.000000001,F158&gt;=01_因子設定!$L$7-0.000000001,F158&lt;=01_因子設定!$M$7+0.000000001,IF(01_因子設定!$B$20="Box-Behnken",D158^2+E158^2+F158^2&lt;=2+0.000000001,TRUE()))</f>
        <v>1</v>
      </c>
      <c r="W158" s="55" t="n">
        <f aca="false">IF(V158,IF(01_因子設定!$B$13="最大化",T158-01_因子設定!$B$14,IF(01_因子設定!$B$13="最小化",01_因子設定!$B$15-U158,MIN(T158-01_因子設定!$B$14,01_因子設定!$B$15-U158))),-1E+030)</f>
        <v>-9.12228610506573</v>
      </c>
      <c r="X158" s="55" t="n">
        <f aca="false">IF(V158,IF(01_因子設定!$B$13="最大化",Q158,IF(01_因子設定!$B$13="最小化",-Q158,-ABS(Q158-01_因子設定!$B$16))),-1E+030)</f>
        <v>40.5940625</v>
      </c>
      <c r="Y158" s="55" t="n">
        <f aca="false">W158+ROW()*0.000000001</f>
        <v>-9.12228594706573</v>
      </c>
      <c r="Z158" s="55" t="n">
        <f aca="false">X158+ROW()*0.000000001</f>
        <v>40.594062658</v>
      </c>
    </row>
    <row r="159" customFormat="false" ht="15" hidden="false" customHeight="false" outlineLevel="0" collapsed="false">
      <c r="A159" s="0" t="n">
        <v>0</v>
      </c>
      <c r="B159" s="0" t="n">
        <v>9</v>
      </c>
      <c r="C159" s="0" t="n">
        <v>1</v>
      </c>
      <c r="D159" s="0" t="n">
        <f aca="false">-1+A159*0.125</f>
        <v>-1</v>
      </c>
      <c r="E159" s="0" t="n">
        <f aca="false">-1+B159*0.125</f>
        <v>0.125</v>
      </c>
      <c r="F159" s="0" t="n">
        <f aca="false">-1+C159*0.125</f>
        <v>-0.875</v>
      </c>
      <c r="G159" s="0" t="n">
        <f aca="false">1</f>
        <v>1</v>
      </c>
      <c r="H159" s="0" t="n">
        <f aca="false">D159</f>
        <v>-1</v>
      </c>
      <c r="I159" s="0" t="n">
        <f aca="false">E159</f>
        <v>0.125</v>
      </c>
      <c r="J159" s="0" t="n">
        <f aca="false">F159</f>
        <v>-0.875</v>
      </c>
      <c r="K159" s="0" t="n">
        <f aca="false">D159*E159</f>
        <v>-0.125</v>
      </c>
      <c r="L159" s="0" t="n">
        <f aca="false">D159*F159</f>
        <v>0.875</v>
      </c>
      <c r="M159" s="0" t="n">
        <f aca="false">E159*F159</f>
        <v>-0.109375</v>
      </c>
      <c r="N159" s="0" t="n">
        <f aca="false">D159*D159</f>
        <v>1</v>
      </c>
      <c r="O159" s="0" t="n">
        <f aca="false">E159*E159</f>
        <v>0.015625</v>
      </c>
      <c r="P159" s="0" t="n">
        <f aca="false">F159*F159</f>
        <v>0.765625</v>
      </c>
      <c r="Q159" s="0" t="n">
        <f aca="false">SUMPRODUCT(G159:P159,_XtX!$B$71:$K$71)</f>
        <v>41.0682670454546</v>
      </c>
      <c r="R159" s="0" t="n">
        <f aca="false">SUMPRODUCT(MMULT(G159:P159,_XtX!$B$58:$K$67),G159:P159)</f>
        <v>0.59407792524858</v>
      </c>
      <c r="S159" s="0" t="n">
        <f aca="false">04_回帰ANOVA!$K$19*04_回帰ANOVA!$K$14*SQRT(1+R159)</f>
        <v>1.17387380087722</v>
      </c>
      <c r="T159" s="0" t="n">
        <f aca="false">Q159-S159</f>
        <v>39.8943932445773</v>
      </c>
      <c r="U159" s="0" t="n">
        <f aca="false">Q159+S159</f>
        <v>42.2421408463318</v>
      </c>
      <c r="V159" s="54" t="b">
        <f aca="false">AND(D159&gt;=01_因子設定!$L$5-0.000000001,D159&lt;=01_因子設定!$M$5+0.000000001,E159&gt;=01_因子設定!$L$6-0.000000001,E159&lt;=01_因子設定!$M$6+0.000000001,F159&gt;=01_因子設定!$L$7-0.000000001,F159&lt;=01_因子設定!$M$7+0.000000001,IF(01_因子設定!$B$20="Box-Behnken",D159^2+E159^2+F159^2&lt;=2+0.000000001,TRUE()))</f>
        <v>1</v>
      </c>
      <c r="W159" s="55" t="n">
        <f aca="false">IF(V159,IF(01_因子設定!$B$13="最大化",T159-01_因子設定!$B$14,IF(01_因子設定!$B$13="最小化",01_因子設定!$B$15-U159,MIN(T159-01_因子設定!$B$14,01_因子設定!$B$15-U159))),-1E+030)</f>
        <v>-8.60560675542267</v>
      </c>
      <c r="X159" s="55" t="n">
        <f aca="false">IF(V159,IF(01_因子設定!$B$13="最大化",Q159,IF(01_因子設定!$B$13="最小化",-Q159,-ABS(Q159-01_因子設定!$B$16))),-1E+030)</f>
        <v>41.0682670454546</v>
      </c>
      <c r="Y159" s="55" t="n">
        <f aca="false">W159+ROW()*0.000000001</f>
        <v>-8.60560659642267</v>
      </c>
      <c r="Z159" s="55" t="n">
        <f aca="false">X159+ROW()*0.000000001</f>
        <v>41.0682672044546</v>
      </c>
    </row>
    <row r="160" customFormat="false" ht="15" hidden="false" customHeight="false" outlineLevel="0" collapsed="false">
      <c r="A160" s="0" t="n">
        <v>0</v>
      </c>
      <c r="B160" s="0" t="n">
        <v>9</v>
      </c>
      <c r="C160" s="0" t="n">
        <v>2</v>
      </c>
      <c r="D160" s="0" t="n">
        <f aca="false">-1+A160*0.125</f>
        <v>-1</v>
      </c>
      <c r="E160" s="0" t="n">
        <f aca="false">-1+B160*0.125</f>
        <v>0.125</v>
      </c>
      <c r="F160" s="0" t="n">
        <f aca="false">-1+C160*0.125</f>
        <v>-0.75</v>
      </c>
      <c r="G160" s="0" t="n">
        <f aca="false">1</f>
        <v>1</v>
      </c>
      <c r="H160" s="0" t="n">
        <f aca="false">D160</f>
        <v>-1</v>
      </c>
      <c r="I160" s="0" t="n">
        <f aca="false">E160</f>
        <v>0.125</v>
      </c>
      <c r="J160" s="0" t="n">
        <f aca="false">F160</f>
        <v>-0.75</v>
      </c>
      <c r="K160" s="0" t="n">
        <f aca="false">D160*E160</f>
        <v>-0.125</v>
      </c>
      <c r="L160" s="0" t="n">
        <f aca="false">D160*F160</f>
        <v>0.75</v>
      </c>
      <c r="M160" s="0" t="n">
        <f aca="false">E160*F160</f>
        <v>-0.09375</v>
      </c>
      <c r="N160" s="0" t="n">
        <f aca="false">D160*D160</f>
        <v>1</v>
      </c>
      <c r="O160" s="0" t="n">
        <f aca="false">E160*E160</f>
        <v>0.015625</v>
      </c>
      <c r="P160" s="0" t="n">
        <f aca="false">F160*F160</f>
        <v>0.5625</v>
      </c>
      <c r="Q160" s="0" t="n">
        <f aca="false">SUMPRODUCT(G160:P160,_XtX!$B$71:$K$71)</f>
        <v>41.5056818181818</v>
      </c>
      <c r="R160" s="0" t="n">
        <f aca="false">SUMPRODUCT(MMULT(G160:P160,_XtX!$B$58:$K$67),G160:P160)</f>
        <v>0.524607155539773</v>
      </c>
      <c r="S160" s="0" t="n">
        <f aca="false">04_回帰ANOVA!$K$19*04_回帰ANOVA!$K$14*SQRT(1+R160)</f>
        <v>1.14800984623412</v>
      </c>
      <c r="T160" s="0" t="n">
        <f aca="false">Q160-S160</f>
        <v>40.3576719719477</v>
      </c>
      <c r="U160" s="0" t="n">
        <f aca="false">Q160+S160</f>
        <v>42.6536916644159</v>
      </c>
      <c r="V160" s="54" t="b">
        <f aca="false">AND(D160&gt;=01_因子設定!$L$5-0.000000001,D160&lt;=01_因子設定!$M$5+0.000000001,E160&gt;=01_因子設定!$L$6-0.000000001,E160&lt;=01_因子設定!$M$6+0.000000001,F160&gt;=01_因子設定!$L$7-0.000000001,F160&lt;=01_因子設定!$M$7+0.000000001,IF(01_因子設定!$B$20="Box-Behnken",D160^2+E160^2+F160^2&lt;=2+0.000000001,TRUE()))</f>
        <v>1</v>
      </c>
      <c r="W160" s="55" t="n">
        <f aca="false">IF(V160,IF(01_因子設定!$B$13="最大化",T160-01_因子設定!$B$14,IF(01_因子設定!$B$13="最小化",01_因子設定!$B$15-U160,MIN(T160-01_因子設定!$B$14,01_因子設定!$B$15-U160))),-1E+030)</f>
        <v>-8.1423280280523</v>
      </c>
      <c r="X160" s="55" t="n">
        <f aca="false">IF(V160,IF(01_因子設定!$B$13="最大化",Q160,IF(01_因子設定!$B$13="最小化",-Q160,-ABS(Q160-01_因子設定!$B$16))),-1E+030)</f>
        <v>41.5056818181818</v>
      </c>
      <c r="Y160" s="55" t="n">
        <f aca="false">W160+ROW()*0.000000001</f>
        <v>-8.1423278680523</v>
      </c>
      <c r="Z160" s="55" t="n">
        <f aca="false">X160+ROW()*0.000000001</f>
        <v>41.5056819781818</v>
      </c>
    </row>
    <row r="161" customFormat="false" ht="15" hidden="false" customHeight="false" outlineLevel="0" collapsed="false">
      <c r="A161" s="0" t="n">
        <v>0</v>
      </c>
      <c r="B161" s="0" t="n">
        <v>9</v>
      </c>
      <c r="C161" s="0" t="n">
        <v>3</v>
      </c>
      <c r="D161" s="0" t="n">
        <f aca="false">-1+A161*0.125</f>
        <v>-1</v>
      </c>
      <c r="E161" s="0" t="n">
        <f aca="false">-1+B161*0.125</f>
        <v>0.125</v>
      </c>
      <c r="F161" s="0" t="n">
        <f aca="false">-1+C161*0.125</f>
        <v>-0.625</v>
      </c>
      <c r="G161" s="0" t="n">
        <f aca="false">1</f>
        <v>1</v>
      </c>
      <c r="H161" s="0" t="n">
        <f aca="false">D161</f>
        <v>-1</v>
      </c>
      <c r="I161" s="0" t="n">
        <f aca="false">E161</f>
        <v>0.125</v>
      </c>
      <c r="J161" s="0" t="n">
        <f aca="false">F161</f>
        <v>-0.625</v>
      </c>
      <c r="K161" s="0" t="n">
        <f aca="false">D161*E161</f>
        <v>-0.125</v>
      </c>
      <c r="L161" s="0" t="n">
        <f aca="false">D161*F161</f>
        <v>0.625</v>
      </c>
      <c r="M161" s="0" t="n">
        <f aca="false">E161*F161</f>
        <v>-0.078125</v>
      </c>
      <c r="N161" s="0" t="n">
        <f aca="false">D161*D161</f>
        <v>1</v>
      </c>
      <c r="O161" s="0" t="n">
        <f aca="false">E161*E161</f>
        <v>0.015625</v>
      </c>
      <c r="P161" s="0" t="n">
        <f aca="false">F161*F161</f>
        <v>0.390625</v>
      </c>
      <c r="Q161" s="0" t="n">
        <f aca="false">SUMPRODUCT(G161:P161,_XtX!$B$71:$K$71)</f>
        <v>41.9063068181818</v>
      </c>
      <c r="R161" s="0" t="n">
        <f aca="false">SUMPRODUCT(MMULT(G161:P161,_XtX!$B$58:$K$67),G161:P161)</f>
        <v>0.489261696555398</v>
      </c>
      <c r="S161" s="0" t="n">
        <f aca="false">04_回帰ANOVA!$K$19*04_回帰ANOVA!$K$14*SQRT(1+R161)</f>
        <v>1.13462447083763</v>
      </c>
      <c r="T161" s="0" t="n">
        <f aca="false">Q161-S161</f>
        <v>40.7716823473442</v>
      </c>
      <c r="U161" s="0" t="n">
        <f aca="false">Q161+S161</f>
        <v>43.0409312890195</v>
      </c>
      <c r="V161" s="54" t="b">
        <f aca="false">AND(D161&gt;=01_因子設定!$L$5-0.000000001,D161&lt;=01_因子設定!$M$5+0.000000001,E161&gt;=01_因子設定!$L$6-0.000000001,E161&lt;=01_因子設定!$M$6+0.000000001,F161&gt;=01_因子設定!$L$7-0.000000001,F161&lt;=01_因子設定!$M$7+0.000000001,IF(01_因子設定!$B$20="Box-Behnken",D161^2+E161^2+F161^2&lt;=2+0.000000001,TRUE()))</f>
        <v>1</v>
      </c>
      <c r="W161" s="55" t="n">
        <f aca="false">IF(V161,IF(01_因子設定!$B$13="最大化",T161-01_因子設定!$B$14,IF(01_因子設定!$B$13="最小化",01_因子設定!$B$15-U161,MIN(T161-01_因子設定!$B$14,01_因子設定!$B$15-U161))),-1E+030)</f>
        <v>-7.72831765265583</v>
      </c>
      <c r="X161" s="55" t="n">
        <f aca="false">IF(V161,IF(01_因子設定!$B$13="最大化",Q161,IF(01_因子設定!$B$13="最小化",-Q161,-ABS(Q161-01_因子設定!$B$16))),-1E+030)</f>
        <v>41.9063068181818</v>
      </c>
      <c r="Y161" s="55" t="n">
        <f aca="false">W161+ROW()*0.000000001</f>
        <v>-7.72831749165583</v>
      </c>
      <c r="Z161" s="55" t="n">
        <f aca="false">X161+ROW()*0.000000001</f>
        <v>41.9063069791818</v>
      </c>
    </row>
    <row r="162" customFormat="false" ht="15" hidden="false" customHeight="false" outlineLevel="0" collapsed="false">
      <c r="A162" s="0" t="n">
        <v>0</v>
      </c>
      <c r="B162" s="0" t="n">
        <v>9</v>
      </c>
      <c r="C162" s="0" t="n">
        <v>4</v>
      </c>
      <c r="D162" s="0" t="n">
        <f aca="false">-1+A162*0.125</f>
        <v>-1</v>
      </c>
      <c r="E162" s="0" t="n">
        <f aca="false">-1+B162*0.125</f>
        <v>0.125</v>
      </c>
      <c r="F162" s="0" t="n">
        <f aca="false">-1+C162*0.125</f>
        <v>-0.5</v>
      </c>
      <c r="G162" s="0" t="n">
        <f aca="false">1</f>
        <v>1</v>
      </c>
      <c r="H162" s="0" t="n">
        <f aca="false">D162</f>
        <v>-1</v>
      </c>
      <c r="I162" s="0" t="n">
        <f aca="false">E162</f>
        <v>0.125</v>
      </c>
      <c r="J162" s="0" t="n">
        <f aca="false">F162</f>
        <v>-0.5</v>
      </c>
      <c r="K162" s="0" t="n">
        <f aca="false">D162*E162</f>
        <v>-0.125</v>
      </c>
      <c r="L162" s="0" t="n">
        <f aca="false">D162*F162</f>
        <v>0.5</v>
      </c>
      <c r="M162" s="0" t="n">
        <f aca="false">E162*F162</f>
        <v>-0.0625</v>
      </c>
      <c r="N162" s="0" t="n">
        <f aca="false">D162*D162</f>
        <v>1</v>
      </c>
      <c r="O162" s="0" t="n">
        <f aca="false">E162*E162</f>
        <v>0.015625</v>
      </c>
      <c r="P162" s="0" t="n">
        <f aca="false">F162*F162</f>
        <v>0.25</v>
      </c>
      <c r="Q162" s="0" t="n">
        <f aca="false">SUMPRODUCT(G162:P162,_XtX!$B$71:$K$71)</f>
        <v>42.2701420454545</v>
      </c>
      <c r="R162" s="0" t="n">
        <f aca="false">SUMPRODUCT(MMULT(G162:P162,_XtX!$B$58:$K$67),G162:P162)</f>
        <v>0.476322798295455</v>
      </c>
      <c r="S162" s="0" t="n">
        <f aca="false">04_回帰ANOVA!$K$19*04_回帰ANOVA!$K$14*SQRT(1+R162)</f>
        <v>1.12968483630128</v>
      </c>
      <c r="T162" s="0" t="n">
        <f aca="false">Q162-S162</f>
        <v>41.1404572091533</v>
      </c>
      <c r="U162" s="0" t="n">
        <f aca="false">Q162+S162</f>
        <v>43.3998268817558</v>
      </c>
      <c r="V162" s="54" t="b">
        <f aca="false">AND(D162&gt;=01_因子設定!$L$5-0.000000001,D162&lt;=01_因子設定!$M$5+0.000000001,E162&gt;=01_因子設定!$L$6-0.000000001,E162&lt;=01_因子設定!$M$6+0.000000001,F162&gt;=01_因子設定!$L$7-0.000000001,F162&lt;=01_因子設定!$M$7+0.000000001,IF(01_因子設定!$B$20="Box-Behnken",D162^2+E162^2+F162^2&lt;=2+0.000000001,TRUE()))</f>
        <v>1</v>
      </c>
      <c r="W162" s="55" t="n">
        <f aca="false">IF(V162,IF(01_因子設定!$B$13="最大化",T162-01_因子設定!$B$14,IF(01_因子設定!$B$13="最小化",01_因子設定!$B$15-U162,MIN(T162-01_因子設定!$B$14,01_因子設定!$B$15-U162))),-1E+030)</f>
        <v>-7.35954279084674</v>
      </c>
      <c r="X162" s="55" t="n">
        <f aca="false">IF(V162,IF(01_因子設定!$B$13="最大化",Q162,IF(01_因子設定!$B$13="最小化",-Q162,-ABS(Q162-01_因子設定!$B$16))),-1E+030)</f>
        <v>42.2701420454545</v>
      </c>
      <c r="Y162" s="55" t="n">
        <f aca="false">W162+ROW()*0.000000001</f>
        <v>-7.35954262884674</v>
      </c>
      <c r="Z162" s="55" t="n">
        <f aca="false">X162+ROW()*0.000000001</f>
        <v>42.2701422074545</v>
      </c>
    </row>
    <row r="163" customFormat="false" ht="15" hidden="false" customHeight="false" outlineLevel="0" collapsed="false">
      <c r="A163" s="0" t="n">
        <v>0</v>
      </c>
      <c r="B163" s="0" t="n">
        <v>9</v>
      </c>
      <c r="C163" s="0" t="n">
        <v>5</v>
      </c>
      <c r="D163" s="0" t="n">
        <f aca="false">-1+A163*0.125</f>
        <v>-1</v>
      </c>
      <c r="E163" s="0" t="n">
        <f aca="false">-1+B163*0.125</f>
        <v>0.125</v>
      </c>
      <c r="F163" s="0" t="n">
        <f aca="false">-1+C163*0.125</f>
        <v>-0.375</v>
      </c>
      <c r="G163" s="0" t="n">
        <f aca="false">1</f>
        <v>1</v>
      </c>
      <c r="H163" s="0" t="n">
        <f aca="false">D163</f>
        <v>-1</v>
      </c>
      <c r="I163" s="0" t="n">
        <f aca="false">E163</f>
        <v>0.125</v>
      </c>
      <c r="J163" s="0" t="n">
        <f aca="false">F163</f>
        <v>-0.375</v>
      </c>
      <c r="K163" s="0" t="n">
        <f aca="false">D163*E163</f>
        <v>-0.125</v>
      </c>
      <c r="L163" s="0" t="n">
        <f aca="false">D163*F163</f>
        <v>0.375</v>
      </c>
      <c r="M163" s="0" t="n">
        <f aca="false">E163*F163</f>
        <v>-0.046875</v>
      </c>
      <c r="N163" s="0" t="n">
        <f aca="false">D163*D163</f>
        <v>1</v>
      </c>
      <c r="O163" s="0" t="n">
        <f aca="false">E163*E163</f>
        <v>0.015625</v>
      </c>
      <c r="P163" s="0" t="n">
        <f aca="false">F163*F163</f>
        <v>0.140625</v>
      </c>
      <c r="Q163" s="0" t="n">
        <f aca="false">SUMPRODUCT(G163:P163,_XtX!$B$71:$K$71)</f>
        <v>42.5971875</v>
      </c>
      <c r="R163" s="0" t="n">
        <f aca="false">SUMPRODUCT(MMULT(G163:P163,_XtX!$B$58:$K$67),G163:P163)</f>
        <v>0.476202392578125</v>
      </c>
      <c r="S163" s="0" t="n">
        <f aca="false">04_回帰ANOVA!$K$19*04_回帰ANOVA!$K$14*SQRT(1+R163)</f>
        <v>1.12963876802721</v>
      </c>
      <c r="T163" s="0" t="n">
        <f aca="false">Q163-S163</f>
        <v>41.4675487319728</v>
      </c>
      <c r="U163" s="0" t="n">
        <f aca="false">Q163+S163</f>
        <v>43.7268262680272</v>
      </c>
      <c r="V163" s="54" t="b">
        <f aca="false">AND(D163&gt;=01_因子設定!$L$5-0.000000001,D163&lt;=01_因子設定!$M$5+0.000000001,E163&gt;=01_因子設定!$L$6-0.000000001,E163&lt;=01_因子設定!$M$6+0.000000001,F163&gt;=01_因子設定!$L$7-0.000000001,F163&lt;=01_因子設定!$M$7+0.000000001,IF(01_因子設定!$B$20="Box-Behnken",D163^2+E163^2+F163^2&lt;=2+0.000000001,TRUE()))</f>
        <v>1</v>
      </c>
      <c r="W163" s="55" t="n">
        <f aca="false">IF(V163,IF(01_因子設定!$B$13="最大化",T163-01_因子設定!$B$14,IF(01_因子設定!$B$13="最小化",01_因子設定!$B$15-U163,MIN(T163-01_因子設定!$B$14,01_因子設定!$B$15-U163))),-1E+030)</f>
        <v>-7.03245126802722</v>
      </c>
      <c r="X163" s="55" t="n">
        <f aca="false">IF(V163,IF(01_因子設定!$B$13="最大化",Q163,IF(01_因子設定!$B$13="最小化",-Q163,-ABS(Q163-01_因子設定!$B$16))),-1E+030)</f>
        <v>42.5971875</v>
      </c>
      <c r="Y163" s="55" t="n">
        <f aca="false">W163+ROW()*0.000000001</f>
        <v>-7.03245110502722</v>
      </c>
      <c r="Z163" s="55" t="n">
        <f aca="false">X163+ROW()*0.000000001</f>
        <v>42.597187663</v>
      </c>
    </row>
    <row r="164" customFormat="false" ht="15" hidden="false" customHeight="false" outlineLevel="0" collapsed="false">
      <c r="A164" s="0" t="n">
        <v>0</v>
      </c>
      <c r="B164" s="0" t="n">
        <v>9</v>
      </c>
      <c r="C164" s="0" t="n">
        <v>6</v>
      </c>
      <c r="D164" s="0" t="n">
        <f aca="false">-1+A164*0.125</f>
        <v>-1</v>
      </c>
      <c r="E164" s="0" t="n">
        <f aca="false">-1+B164*0.125</f>
        <v>0.125</v>
      </c>
      <c r="F164" s="0" t="n">
        <f aca="false">-1+C164*0.125</f>
        <v>-0.25</v>
      </c>
      <c r="G164" s="0" t="n">
        <f aca="false">1</f>
        <v>1</v>
      </c>
      <c r="H164" s="0" t="n">
        <f aca="false">D164</f>
        <v>-1</v>
      </c>
      <c r="I164" s="0" t="n">
        <f aca="false">E164</f>
        <v>0.125</v>
      </c>
      <c r="J164" s="0" t="n">
        <f aca="false">F164</f>
        <v>-0.25</v>
      </c>
      <c r="K164" s="0" t="n">
        <f aca="false">D164*E164</f>
        <v>-0.125</v>
      </c>
      <c r="L164" s="0" t="n">
        <f aca="false">D164*F164</f>
        <v>0.25</v>
      </c>
      <c r="M164" s="0" t="n">
        <f aca="false">E164*F164</f>
        <v>-0.03125</v>
      </c>
      <c r="N164" s="0" t="n">
        <f aca="false">D164*D164</f>
        <v>1</v>
      </c>
      <c r="O164" s="0" t="n">
        <f aca="false">E164*E164</f>
        <v>0.015625</v>
      </c>
      <c r="P164" s="0" t="n">
        <f aca="false">F164*F164</f>
        <v>0.0625</v>
      </c>
      <c r="Q164" s="0" t="n">
        <f aca="false">SUMPRODUCT(G164:P164,_XtX!$B$71:$K$71)</f>
        <v>42.8874431818182</v>
      </c>
      <c r="R164" s="0" t="n">
        <f aca="false">SUMPRODUCT(MMULT(G164:P164,_XtX!$B$58:$K$67),G164:P164)</f>
        <v>0.481443093039773</v>
      </c>
      <c r="S164" s="0" t="n">
        <f aca="false">04_回帰ANOVA!$K$19*04_回帰ANOVA!$K$14*SQRT(1+R164)</f>
        <v>1.13164216995877</v>
      </c>
      <c r="T164" s="0" t="n">
        <f aca="false">Q164-S164</f>
        <v>41.7558010118594</v>
      </c>
      <c r="U164" s="0" t="n">
        <f aca="false">Q164+S164</f>
        <v>44.0190853517769</v>
      </c>
      <c r="V164" s="54" t="b">
        <f aca="false">AND(D164&gt;=01_因子設定!$L$5-0.000000001,D164&lt;=01_因子設定!$M$5+0.000000001,E164&gt;=01_因子設定!$L$6-0.000000001,E164&lt;=01_因子設定!$M$6+0.000000001,F164&gt;=01_因子設定!$L$7-0.000000001,F164&lt;=01_因子設定!$M$7+0.000000001,IF(01_因子設定!$B$20="Box-Behnken",D164^2+E164^2+F164^2&lt;=2+0.000000001,TRUE()))</f>
        <v>1</v>
      </c>
      <c r="W164" s="55" t="n">
        <f aca="false">IF(V164,IF(01_因子設定!$B$13="最大化",T164-01_因子設定!$B$14,IF(01_因子設定!$B$13="最小化",01_因子設定!$B$15-U164,MIN(T164-01_因子設定!$B$14,01_因子設定!$B$15-U164))),-1E+030)</f>
        <v>-6.7441989881406</v>
      </c>
      <c r="X164" s="55" t="n">
        <f aca="false">IF(V164,IF(01_因子設定!$B$13="最大化",Q164,IF(01_因子設定!$B$13="最小化",-Q164,-ABS(Q164-01_因子設定!$B$16))),-1E+030)</f>
        <v>42.8874431818182</v>
      </c>
      <c r="Y164" s="55" t="n">
        <f aca="false">W164+ROW()*0.000000001</f>
        <v>-6.7441988241406</v>
      </c>
      <c r="Z164" s="55" t="n">
        <f aca="false">X164+ROW()*0.000000001</f>
        <v>42.8874433458182</v>
      </c>
    </row>
    <row r="165" customFormat="false" ht="15" hidden="false" customHeight="false" outlineLevel="0" collapsed="false">
      <c r="A165" s="0" t="n">
        <v>0</v>
      </c>
      <c r="B165" s="0" t="n">
        <v>9</v>
      </c>
      <c r="C165" s="0" t="n">
        <v>7</v>
      </c>
      <c r="D165" s="0" t="n">
        <f aca="false">-1+A165*0.125</f>
        <v>-1</v>
      </c>
      <c r="E165" s="0" t="n">
        <f aca="false">-1+B165*0.125</f>
        <v>0.125</v>
      </c>
      <c r="F165" s="0" t="n">
        <f aca="false">-1+C165*0.125</f>
        <v>-0.125</v>
      </c>
      <c r="G165" s="0" t="n">
        <f aca="false">1</f>
        <v>1</v>
      </c>
      <c r="H165" s="0" t="n">
        <f aca="false">D165</f>
        <v>-1</v>
      </c>
      <c r="I165" s="0" t="n">
        <f aca="false">E165</f>
        <v>0.125</v>
      </c>
      <c r="J165" s="0" t="n">
        <f aca="false">F165</f>
        <v>-0.125</v>
      </c>
      <c r="K165" s="0" t="n">
        <f aca="false">D165*E165</f>
        <v>-0.125</v>
      </c>
      <c r="L165" s="0" t="n">
        <f aca="false">D165*F165</f>
        <v>0.125</v>
      </c>
      <c r="M165" s="0" t="n">
        <f aca="false">E165*F165</f>
        <v>-0.015625</v>
      </c>
      <c r="N165" s="0" t="n">
        <f aca="false">D165*D165</f>
        <v>1</v>
      </c>
      <c r="O165" s="0" t="n">
        <f aca="false">E165*E165</f>
        <v>0.015625</v>
      </c>
      <c r="P165" s="0" t="n">
        <f aca="false">F165*F165</f>
        <v>0.015625</v>
      </c>
      <c r="Q165" s="0" t="n">
        <f aca="false">SUMPRODUCT(G165:P165,_XtX!$B$71:$K$71)</f>
        <v>43.1409090909091</v>
      </c>
      <c r="R165" s="0" t="n">
        <f aca="false">SUMPRODUCT(MMULT(G165:P165,_XtX!$B$58:$K$67),G165:P165)</f>
        <v>0.486718195134943</v>
      </c>
      <c r="S165" s="0" t="n">
        <f aca="false">04_回帰ANOVA!$K$19*04_回帰ANOVA!$K$14*SQRT(1+R165)</f>
        <v>1.13365514750636</v>
      </c>
      <c r="T165" s="0" t="n">
        <f aca="false">Q165-S165</f>
        <v>42.0072539434027</v>
      </c>
      <c r="U165" s="0" t="n">
        <f aca="false">Q165+S165</f>
        <v>44.2745642384154</v>
      </c>
      <c r="V165" s="54" t="b">
        <f aca="false">AND(D165&gt;=01_因子設定!$L$5-0.000000001,D165&lt;=01_因子設定!$M$5+0.000000001,E165&gt;=01_因子設定!$L$6-0.000000001,E165&lt;=01_因子設定!$M$6+0.000000001,F165&gt;=01_因子設定!$L$7-0.000000001,F165&lt;=01_因子設定!$M$7+0.000000001,IF(01_因子設定!$B$20="Box-Behnken",D165^2+E165^2+F165^2&lt;=2+0.000000001,TRUE()))</f>
        <v>1</v>
      </c>
      <c r="W165" s="55" t="n">
        <f aca="false">IF(V165,IF(01_因子設定!$B$13="最大化",T165-01_因子設定!$B$14,IF(01_因子設定!$B$13="最小化",01_因子設定!$B$15-U165,MIN(T165-01_因子設定!$B$14,01_因子設定!$B$15-U165))),-1E+030)</f>
        <v>-6.49274605659728</v>
      </c>
      <c r="X165" s="55" t="n">
        <f aca="false">IF(V165,IF(01_因子設定!$B$13="最大化",Q165,IF(01_因子設定!$B$13="最小化",-Q165,-ABS(Q165-01_因子設定!$B$16))),-1E+030)</f>
        <v>43.1409090909091</v>
      </c>
      <c r="Y165" s="55" t="n">
        <f aca="false">W165+ROW()*0.000000001</f>
        <v>-6.49274589159728</v>
      </c>
      <c r="Z165" s="55" t="n">
        <f aca="false">X165+ROW()*0.000000001</f>
        <v>43.1409092559091</v>
      </c>
    </row>
    <row r="166" customFormat="false" ht="15" hidden="false" customHeight="false" outlineLevel="0" collapsed="false">
      <c r="A166" s="0" t="n">
        <v>0</v>
      </c>
      <c r="B166" s="0" t="n">
        <v>9</v>
      </c>
      <c r="C166" s="0" t="n">
        <v>8</v>
      </c>
      <c r="D166" s="0" t="n">
        <f aca="false">-1+A166*0.125</f>
        <v>-1</v>
      </c>
      <c r="E166" s="0" t="n">
        <f aca="false">-1+B166*0.125</f>
        <v>0.125</v>
      </c>
      <c r="F166" s="0" t="n">
        <f aca="false">-1+C166*0.125</f>
        <v>0</v>
      </c>
      <c r="G166" s="0" t="n">
        <f aca="false">1</f>
        <v>1</v>
      </c>
      <c r="H166" s="0" t="n">
        <f aca="false">D166</f>
        <v>-1</v>
      </c>
      <c r="I166" s="0" t="n">
        <f aca="false">E166</f>
        <v>0.125</v>
      </c>
      <c r="J166" s="0" t="n">
        <f aca="false">F166</f>
        <v>0</v>
      </c>
      <c r="K166" s="0" t="n">
        <f aca="false">D166*E166</f>
        <v>-0.125</v>
      </c>
      <c r="L166" s="0" t="n">
        <f aca="false">D166*F166</f>
        <v>-0</v>
      </c>
      <c r="M166" s="0" t="n">
        <f aca="false">E166*F166</f>
        <v>0</v>
      </c>
      <c r="N166" s="0" t="n">
        <f aca="false">D166*D166</f>
        <v>1</v>
      </c>
      <c r="O166" s="0" t="n">
        <f aca="false">E166*E166</f>
        <v>0.015625</v>
      </c>
      <c r="P166" s="0" t="n">
        <f aca="false">F166*F166</f>
        <v>0</v>
      </c>
      <c r="Q166" s="0" t="n">
        <f aca="false">SUMPRODUCT(G166:P166,_XtX!$B$71:$K$71)</f>
        <v>43.3575852272727</v>
      </c>
      <c r="R166" s="0" t="n">
        <f aca="false">SUMPRODUCT(MMULT(G166:P166,_XtX!$B$58:$K$67),G166:P166)</f>
        <v>0.488831676136364</v>
      </c>
      <c r="S166" s="0" t="n">
        <f aca="false">04_回帰ANOVA!$K$19*04_回帰ANOVA!$K$14*SQRT(1+R166)</f>
        <v>1.13446064908709</v>
      </c>
      <c r="T166" s="0" t="n">
        <f aca="false">Q166-S166</f>
        <v>42.2231245781856</v>
      </c>
      <c r="U166" s="0" t="n">
        <f aca="false">Q166+S166</f>
        <v>44.4920458763598</v>
      </c>
      <c r="V166" s="54" t="b">
        <f aca="false">AND(D166&gt;=01_因子設定!$L$5-0.000000001,D166&lt;=01_因子設定!$M$5+0.000000001,E166&gt;=01_因子設定!$L$6-0.000000001,E166&lt;=01_因子設定!$M$6+0.000000001,F166&gt;=01_因子設定!$L$7-0.000000001,F166&lt;=01_因子設定!$M$7+0.000000001,IF(01_因子設定!$B$20="Box-Behnken",D166^2+E166^2+F166^2&lt;=2+0.000000001,TRUE()))</f>
        <v>1</v>
      </c>
      <c r="W166" s="55" t="n">
        <f aca="false">IF(V166,IF(01_因子設定!$B$13="最大化",T166-01_因子設定!$B$14,IF(01_因子設定!$B$13="最小化",01_因子設定!$B$15-U166,MIN(T166-01_因子設定!$B$14,01_因子設定!$B$15-U166))),-1E+030)</f>
        <v>-6.27687542181437</v>
      </c>
      <c r="X166" s="55" t="n">
        <f aca="false">IF(V166,IF(01_因子設定!$B$13="最大化",Q166,IF(01_因子設定!$B$13="最小化",-Q166,-ABS(Q166-01_因子設定!$B$16))),-1E+030)</f>
        <v>43.3575852272727</v>
      </c>
      <c r="Y166" s="55" t="n">
        <f aca="false">W166+ROW()*0.000000001</f>
        <v>-6.27687525581437</v>
      </c>
      <c r="Z166" s="55" t="n">
        <f aca="false">X166+ROW()*0.000000001</f>
        <v>43.3575853932727</v>
      </c>
    </row>
    <row r="167" customFormat="false" ht="15" hidden="false" customHeight="false" outlineLevel="0" collapsed="false">
      <c r="A167" s="0" t="n">
        <v>0</v>
      </c>
      <c r="B167" s="0" t="n">
        <v>9</v>
      </c>
      <c r="C167" s="0" t="n">
        <v>9</v>
      </c>
      <c r="D167" s="0" t="n">
        <f aca="false">-1+A167*0.125</f>
        <v>-1</v>
      </c>
      <c r="E167" s="0" t="n">
        <f aca="false">-1+B167*0.125</f>
        <v>0.125</v>
      </c>
      <c r="F167" s="0" t="n">
        <f aca="false">-1+C167*0.125</f>
        <v>0.125</v>
      </c>
      <c r="G167" s="0" t="n">
        <f aca="false">1</f>
        <v>1</v>
      </c>
      <c r="H167" s="0" t="n">
        <f aca="false">D167</f>
        <v>-1</v>
      </c>
      <c r="I167" s="0" t="n">
        <f aca="false">E167</f>
        <v>0.125</v>
      </c>
      <c r="J167" s="0" t="n">
        <f aca="false">F167</f>
        <v>0.125</v>
      </c>
      <c r="K167" s="0" t="n">
        <f aca="false">D167*E167</f>
        <v>-0.125</v>
      </c>
      <c r="L167" s="0" t="n">
        <f aca="false">D167*F167</f>
        <v>-0.125</v>
      </c>
      <c r="M167" s="0" t="n">
        <f aca="false">E167*F167</f>
        <v>0.015625</v>
      </c>
      <c r="N167" s="0" t="n">
        <f aca="false">D167*D167</f>
        <v>1</v>
      </c>
      <c r="O167" s="0" t="n">
        <f aca="false">E167*E167</f>
        <v>0.015625</v>
      </c>
      <c r="P167" s="0" t="n">
        <f aca="false">F167*F167</f>
        <v>0.015625</v>
      </c>
      <c r="Q167" s="0" t="n">
        <f aca="false">SUMPRODUCT(G167:P167,_XtX!$B$71:$K$71)</f>
        <v>43.5374715909091</v>
      </c>
      <c r="R167" s="0" t="n">
        <f aca="false">SUMPRODUCT(MMULT(G167:P167,_XtX!$B$58:$K$67),G167:P167)</f>
        <v>0.486718195134943</v>
      </c>
      <c r="S167" s="0" t="n">
        <f aca="false">04_回帰ANOVA!$K$19*04_回帰ANOVA!$K$14*SQRT(1+R167)</f>
        <v>1.13365514750636</v>
      </c>
      <c r="T167" s="0" t="n">
        <f aca="false">Q167-S167</f>
        <v>42.4038164434027</v>
      </c>
      <c r="U167" s="0" t="n">
        <f aca="false">Q167+S167</f>
        <v>44.6711267384154</v>
      </c>
      <c r="V167" s="54" t="b">
        <f aca="false">AND(D167&gt;=01_因子設定!$L$5-0.000000001,D167&lt;=01_因子設定!$M$5+0.000000001,E167&gt;=01_因子設定!$L$6-0.000000001,E167&lt;=01_因子設定!$M$6+0.000000001,F167&gt;=01_因子設定!$L$7-0.000000001,F167&lt;=01_因子設定!$M$7+0.000000001,IF(01_因子設定!$B$20="Box-Behnken",D167^2+E167^2+F167^2&lt;=2+0.000000001,TRUE()))</f>
        <v>1</v>
      </c>
      <c r="W167" s="55" t="n">
        <f aca="false">IF(V167,IF(01_因子設定!$B$13="最大化",T167-01_因子設定!$B$14,IF(01_因子設定!$B$13="最小化",01_因子設定!$B$15-U167,MIN(T167-01_因子設定!$B$14,01_因子設定!$B$15-U167))),-1E+030)</f>
        <v>-6.09618355659728</v>
      </c>
      <c r="X167" s="55" t="n">
        <f aca="false">IF(V167,IF(01_因子設定!$B$13="最大化",Q167,IF(01_因子設定!$B$13="最小化",-Q167,-ABS(Q167-01_因子設定!$B$16))),-1E+030)</f>
        <v>43.5374715909091</v>
      </c>
      <c r="Y167" s="55" t="n">
        <f aca="false">W167+ROW()*0.000000001</f>
        <v>-6.09618338959728</v>
      </c>
      <c r="Z167" s="55" t="n">
        <f aca="false">X167+ROW()*0.000000001</f>
        <v>43.5374717579091</v>
      </c>
    </row>
    <row r="168" customFormat="false" ht="15" hidden="false" customHeight="false" outlineLevel="0" collapsed="false">
      <c r="A168" s="0" t="n">
        <v>0</v>
      </c>
      <c r="B168" s="0" t="n">
        <v>9</v>
      </c>
      <c r="C168" s="0" t="n">
        <v>10</v>
      </c>
      <c r="D168" s="0" t="n">
        <f aca="false">-1+A168*0.125</f>
        <v>-1</v>
      </c>
      <c r="E168" s="0" t="n">
        <f aca="false">-1+B168*0.125</f>
        <v>0.125</v>
      </c>
      <c r="F168" s="0" t="n">
        <f aca="false">-1+C168*0.125</f>
        <v>0.25</v>
      </c>
      <c r="G168" s="0" t="n">
        <f aca="false">1</f>
        <v>1</v>
      </c>
      <c r="H168" s="0" t="n">
        <f aca="false">D168</f>
        <v>-1</v>
      </c>
      <c r="I168" s="0" t="n">
        <f aca="false">E168</f>
        <v>0.125</v>
      </c>
      <c r="J168" s="0" t="n">
        <f aca="false">F168</f>
        <v>0.25</v>
      </c>
      <c r="K168" s="0" t="n">
        <f aca="false">D168*E168</f>
        <v>-0.125</v>
      </c>
      <c r="L168" s="0" t="n">
        <f aca="false">D168*F168</f>
        <v>-0.25</v>
      </c>
      <c r="M168" s="0" t="n">
        <f aca="false">E168*F168</f>
        <v>0.03125</v>
      </c>
      <c r="N168" s="0" t="n">
        <f aca="false">D168*D168</f>
        <v>1</v>
      </c>
      <c r="O168" s="0" t="n">
        <f aca="false">E168*E168</f>
        <v>0.015625</v>
      </c>
      <c r="P168" s="0" t="n">
        <f aca="false">F168*F168</f>
        <v>0.0625</v>
      </c>
      <c r="Q168" s="0" t="n">
        <f aca="false">SUMPRODUCT(G168:P168,_XtX!$B$71:$K$71)</f>
        <v>43.6805681818182</v>
      </c>
      <c r="R168" s="0" t="n">
        <f aca="false">SUMPRODUCT(MMULT(G168:P168,_XtX!$B$58:$K$67),G168:P168)</f>
        <v>0.481443093039773</v>
      </c>
      <c r="S168" s="0" t="n">
        <f aca="false">04_回帰ANOVA!$K$19*04_回帰ANOVA!$K$14*SQRT(1+R168)</f>
        <v>1.13164216995877</v>
      </c>
      <c r="T168" s="0" t="n">
        <f aca="false">Q168-S168</f>
        <v>42.5489260118594</v>
      </c>
      <c r="U168" s="0" t="n">
        <f aca="false">Q168+S168</f>
        <v>44.8122103517769</v>
      </c>
      <c r="V168" s="54" t="b">
        <f aca="false">AND(D168&gt;=01_因子設定!$L$5-0.000000001,D168&lt;=01_因子設定!$M$5+0.000000001,E168&gt;=01_因子設定!$L$6-0.000000001,E168&lt;=01_因子設定!$M$6+0.000000001,F168&gt;=01_因子設定!$L$7-0.000000001,F168&lt;=01_因子設定!$M$7+0.000000001,IF(01_因子設定!$B$20="Box-Behnken",D168^2+E168^2+F168^2&lt;=2+0.000000001,TRUE()))</f>
        <v>1</v>
      </c>
      <c r="W168" s="55" t="n">
        <f aca="false">IF(V168,IF(01_因子設定!$B$13="最大化",T168-01_因子設定!$B$14,IF(01_因子設定!$B$13="最小化",01_因子設定!$B$15-U168,MIN(T168-01_因子設定!$B$14,01_因子設定!$B$15-U168))),-1E+030)</f>
        <v>-5.9510739881406</v>
      </c>
      <c r="X168" s="55" t="n">
        <f aca="false">IF(V168,IF(01_因子設定!$B$13="最大化",Q168,IF(01_因子設定!$B$13="最小化",-Q168,-ABS(Q168-01_因子設定!$B$16))),-1E+030)</f>
        <v>43.6805681818182</v>
      </c>
      <c r="Y168" s="55" t="n">
        <f aca="false">W168+ROW()*0.000000001</f>
        <v>-5.9510738201406</v>
      </c>
      <c r="Z168" s="55" t="n">
        <f aca="false">X168+ROW()*0.000000001</f>
        <v>43.6805683498182</v>
      </c>
    </row>
    <row r="169" customFormat="false" ht="15" hidden="false" customHeight="false" outlineLevel="0" collapsed="false">
      <c r="A169" s="0" t="n">
        <v>0</v>
      </c>
      <c r="B169" s="0" t="n">
        <v>9</v>
      </c>
      <c r="C169" s="0" t="n">
        <v>11</v>
      </c>
      <c r="D169" s="0" t="n">
        <f aca="false">-1+A169*0.125</f>
        <v>-1</v>
      </c>
      <c r="E169" s="0" t="n">
        <f aca="false">-1+B169*0.125</f>
        <v>0.125</v>
      </c>
      <c r="F169" s="0" t="n">
        <f aca="false">-1+C169*0.125</f>
        <v>0.375</v>
      </c>
      <c r="G169" s="0" t="n">
        <f aca="false">1</f>
        <v>1</v>
      </c>
      <c r="H169" s="0" t="n">
        <f aca="false">D169</f>
        <v>-1</v>
      </c>
      <c r="I169" s="0" t="n">
        <f aca="false">E169</f>
        <v>0.125</v>
      </c>
      <c r="J169" s="0" t="n">
        <f aca="false">F169</f>
        <v>0.375</v>
      </c>
      <c r="K169" s="0" t="n">
        <f aca="false">D169*E169</f>
        <v>-0.125</v>
      </c>
      <c r="L169" s="0" t="n">
        <f aca="false">D169*F169</f>
        <v>-0.375</v>
      </c>
      <c r="M169" s="0" t="n">
        <f aca="false">E169*F169</f>
        <v>0.046875</v>
      </c>
      <c r="N169" s="0" t="n">
        <f aca="false">D169*D169</f>
        <v>1</v>
      </c>
      <c r="O169" s="0" t="n">
        <f aca="false">E169*E169</f>
        <v>0.015625</v>
      </c>
      <c r="P169" s="0" t="n">
        <f aca="false">F169*F169</f>
        <v>0.140625</v>
      </c>
      <c r="Q169" s="0" t="n">
        <f aca="false">SUMPRODUCT(G169:P169,_XtX!$B$71:$K$71)</f>
        <v>43.786875</v>
      </c>
      <c r="R169" s="0" t="n">
        <f aca="false">SUMPRODUCT(MMULT(G169:P169,_XtX!$B$58:$K$67),G169:P169)</f>
        <v>0.476202392578125</v>
      </c>
      <c r="S169" s="0" t="n">
        <f aca="false">04_回帰ANOVA!$K$19*04_回帰ANOVA!$K$14*SQRT(1+R169)</f>
        <v>1.12963876802721</v>
      </c>
      <c r="T169" s="0" t="n">
        <f aca="false">Q169-S169</f>
        <v>42.6572362319728</v>
      </c>
      <c r="U169" s="0" t="n">
        <f aca="false">Q169+S169</f>
        <v>44.9165137680272</v>
      </c>
      <c r="V169" s="54" t="b">
        <f aca="false">AND(D169&gt;=01_因子設定!$L$5-0.000000001,D169&lt;=01_因子設定!$M$5+0.000000001,E169&gt;=01_因子設定!$L$6-0.000000001,E169&lt;=01_因子設定!$M$6+0.000000001,F169&gt;=01_因子設定!$L$7-0.000000001,F169&lt;=01_因子設定!$M$7+0.000000001,IF(01_因子設定!$B$20="Box-Behnken",D169^2+E169^2+F169^2&lt;=2+0.000000001,TRUE()))</f>
        <v>1</v>
      </c>
      <c r="W169" s="55" t="n">
        <f aca="false">IF(V169,IF(01_因子設定!$B$13="最大化",T169-01_因子設定!$B$14,IF(01_因子設定!$B$13="最小化",01_因子設定!$B$15-U169,MIN(T169-01_因子設定!$B$14,01_因子設定!$B$15-U169))),-1E+030)</f>
        <v>-5.84276376802722</v>
      </c>
      <c r="X169" s="55" t="n">
        <f aca="false">IF(V169,IF(01_因子設定!$B$13="最大化",Q169,IF(01_因子設定!$B$13="最小化",-Q169,-ABS(Q169-01_因子設定!$B$16))),-1E+030)</f>
        <v>43.786875</v>
      </c>
      <c r="Y169" s="55" t="n">
        <f aca="false">W169+ROW()*0.000000001</f>
        <v>-5.84276359902722</v>
      </c>
      <c r="Z169" s="55" t="n">
        <f aca="false">X169+ROW()*0.000000001</f>
        <v>43.786875169</v>
      </c>
    </row>
    <row r="170" customFormat="false" ht="15" hidden="false" customHeight="false" outlineLevel="0" collapsed="false">
      <c r="A170" s="0" t="n">
        <v>0</v>
      </c>
      <c r="B170" s="0" t="n">
        <v>9</v>
      </c>
      <c r="C170" s="0" t="n">
        <v>12</v>
      </c>
      <c r="D170" s="0" t="n">
        <f aca="false">-1+A170*0.125</f>
        <v>-1</v>
      </c>
      <c r="E170" s="0" t="n">
        <f aca="false">-1+B170*0.125</f>
        <v>0.125</v>
      </c>
      <c r="F170" s="0" t="n">
        <f aca="false">-1+C170*0.125</f>
        <v>0.5</v>
      </c>
      <c r="G170" s="0" t="n">
        <f aca="false">1</f>
        <v>1</v>
      </c>
      <c r="H170" s="0" t="n">
        <f aca="false">D170</f>
        <v>-1</v>
      </c>
      <c r="I170" s="0" t="n">
        <f aca="false">E170</f>
        <v>0.125</v>
      </c>
      <c r="J170" s="0" t="n">
        <f aca="false">F170</f>
        <v>0.5</v>
      </c>
      <c r="K170" s="0" t="n">
        <f aca="false">D170*E170</f>
        <v>-0.125</v>
      </c>
      <c r="L170" s="0" t="n">
        <f aca="false">D170*F170</f>
        <v>-0.5</v>
      </c>
      <c r="M170" s="0" t="n">
        <f aca="false">E170*F170</f>
        <v>0.0625</v>
      </c>
      <c r="N170" s="0" t="n">
        <f aca="false">D170*D170</f>
        <v>1</v>
      </c>
      <c r="O170" s="0" t="n">
        <f aca="false">E170*E170</f>
        <v>0.015625</v>
      </c>
      <c r="P170" s="0" t="n">
        <f aca="false">F170*F170</f>
        <v>0.25</v>
      </c>
      <c r="Q170" s="0" t="n">
        <f aca="false">SUMPRODUCT(G170:P170,_XtX!$B$71:$K$71)</f>
        <v>43.8563920454545</v>
      </c>
      <c r="R170" s="0" t="n">
        <f aca="false">SUMPRODUCT(MMULT(G170:P170,_XtX!$B$58:$K$67),G170:P170)</f>
        <v>0.476322798295455</v>
      </c>
      <c r="S170" s="0" t="n">
        <f aca="false">04_回帰ANOVA!$K$19*04_回帰ANOVA!$K$14*SQRT(1+R170)</f>
        <v>1.12968483630128</v>
      </c>
      <c r="T170" s="0" t="n">
        <f aca="false">Q170-S170</f>
        <v>42.7267072091533</v>
      </c>
      <c r="U170" s="0" t="n">
        <f aca="false">Q170+S170</f>
        <v>44.9860768817558</v>
      </c>
      <c r="V170" s="54" t="b">
        <f aca="false">AND(D170&gt;=01_因子設定!$L$5-0.000000001,D170&lt;=01_因子設定!$M$5+0.000000001,E170&gt;=01_因子設定!$L$6-0.000000001,E170&lt;=01_因子設定!$M$6+0.000000001,F170&gt;=01_因子設定!$L$7-0.000000001,F170&lt;=01_因子設定!$M$7+0.000000001,IF(01_因子設定!$B$20="Box-Behnken",D170^2+E170^2+F170^2&lt;=2+0.000000001,TRUE()))</f>
        <v>1</v>
      </c>
      <c r="W170" s="55" t="n">
        <f aca="false">IF(V170,IF(01_因子設定!$B$13="最大化",T170-01_因子設定!$B$14,IF(01_因子設定!$B$13="最小化",01_因子設定!$B$15-U170,MIN(T170-01_因子設定!$B$14,01_因子設定!$B$15-U170))),-1E+030)</f>
        <v>-5.77329279084675</v>
      </c>
      <c r="X170" s="55" t="n">
        <f aca="false">IF(V170,IF(01_因子設定!$B$13="最大化",Q170,IF(01_因子設定!$B$13="最小化",-Q170,-ABS(Q170-01_因子設定!$B$16))),-1E+030)</f>
        <v>43.8563920454545</v>
      </c>
      <c r="Y170" s="55" t="n">
        <f aca="false">W170+ROW()*0.000000001</f>
        <v>-5.77329262084675</v>
      </c>
      <c r="Z170" s="55" t="n">
        <f aca="false">X170+ROW()*0.000000001</f>
        <v>43.8563922154545</v>
      </c>
    </row>
    <row r="171" customFormat="false" ht="15" hidden="false" customHeight="false" outlineLevel="0" collapsed="false">
      <c r="A171" s="0" t="n">
        <v>0</v>
      </c>
      <c r="B171" s="0" t="n">
        <v>9</v>
      </c>
      <c r="C171" s="0" t="n">
        <v>13</v>
      </c>
      <c r="D171" s="0" t="n">
        <f aca="false">-1+A171*0.125</f>
        <v>-1</v>
      </c>
      <c r="E171" s="0" t="n">
        <f aca="false">-1+B171*0.125</f>
        <v>0.125</v>
      </c>
      <c r="F171" s="0" t="n">
        <f aca="false">-1+C171*0.125</f>
        <v>0.625</v>
      </c>
      <c r="G171" s="0" t="n">
        <f aca="false">1</f>
        <v>1</v>
      </c>
      <c r="H171" s="0" t="n">
        <f aca="false">D171</f>
        <v>-1</v>
      </c>
      <c r="I171" s="0" t="n">
        <f aca="false">E171</f>
        <v>0.125</v>
      </c>
      <c r="J171" s="0" t="n">
        <f aca="false">F171</f>
        <v>0.625</v>
      </c>
      <c r="K171" s="0" t="n">
        <f aca="false">D171*E171</f>
        <v>-0.125</v>
      </c>
      <c r="L171" s="0" t="n">
        <f aca="false">D171*F171</f>
        <v>-0.625</v>
      </c>
      <c r="M171" s="0" t="n">
        <f aca="false">E171*F171</f>
        <v>0.078125</v>
      </c>
      <c r="N171" s="0" t="n">
        <f aca="false">D171*D171</f>
        <v>1</v>
      </c>
      <c r="O171" s="0" t="n">
        <f aca="false">E171*E171</f>
        <v>0.015625</v>
      </c>
      <c r="P171" s="0" t="n">
        <f aca="false">F171*F171</f>
        <v>0.390625</v>
      </c>
      <c r="Q171" s="0" t="n">
        <f aca="false">SUMPRODUCT(G171:P171,_XtX!$B$71:$K$71)</f>
        <v>43.8891193181818</v>
      </c>
      <c r="R171" s="0" t="n">
        <f aca="false">SUMPRODUCT(MMULT(G171:P171,_XtX!$B$58:$K$67),G171:P171)</f>
        <v>0.489261696555398</v>
      </c>
      <c r="S171" s="0" t="n">
        <f aca="false">04_回帰ANOVA!$K$19*04_回帰ANOVA!$K$14*SQRT(1+R171)</f>
        <v>1.13462447083763</v>
      </c>
      <c r="T171" s="0" t="n">
        <f aca="false">Q171-S171</f>
        <v>42.7544948473442</v>
      </c>
      <c r="U171" s="0" t="n">
        <f aca="false">Q171+S171</f>
        <v>45.0237437890195</v>
      </c>
      <c r="V171" s="54" t="b">
        <f aca="false">AND(D171&gt;=01_因子設定!$L$5-0.000000001,D171&lt;=01_因子設定!$M$5+0.000000001,E171&gt;=01_因子設定!$L$6-0.000000001,E171&lt;=01_因子設定!$M$6+0.000000001,F171&gt;=01_因子設定!$L$7-0.000000001,F171&lt;=01_因子設定!$M$7+0.000000001,IF(01_因子設定!$B$20="Box-Behnken",D171^2+E171^2+F171^2&lt;=2+0.000000001,TRUE()))</f>
        <v>1</v>
      </c>
      <c r="W171" s="55" t="n">
        <f aca="false">IF(V171,IF(01_因子設定!$B$13="最大化",T171-01_因子設定!$B$14,IF(01_因子設定!$B$13="最小化",01_因子設定!$B$15-U171,MIN(T171-01_因子設定!$B$14,01_因子設定!$B$15-U171))),-1E+030)</f>
        <v>-5.74550515265582</v>
      </c>
      <c r="X171" s="55" t="n">
        <f aca="false">IF(V171,IF(01_因子設定!$B$13="最大化",Q171,IF(01_因子設定!$B$13="最小化",-Q171,-ABS(Q171-01_因子設定!$B$16))),-1E+030)</f>
        <v>43.8891193181818</v>
      </c>
      <c r="Y171" s="55" t="n">
        <f aca="false">W171+ROW()*0.000000001</f>
        <v>-5.74550498165582</v>
      </c>
      <c r="Z171" s="55" t="n">
        <f aca="false">X171+ROW()*0.000000001</f>
        <v>43.8891194891818</v>
      </c>
    </row>
    <row r="172" customFormat="false" ht="15" hidden="false" customHeight="false" outlineLevel="0" collapsed="false">
      <c r="A172" s="0" t="n">
        <v>0</v>
      </c>
      <c r="B172" s="0" t="n">
        <v>9</v>
      </c>
      <c r="C172" s="0" t="n">
        <v>14</v>
      </c>
      <c r="D172" s="0" t="n">
        <f aca="false">-1+A172*0.125</f>
        <v>-1</v>
      </c>
      <c r="E172" s="0" t="n">
        <f aca="false">-1+B172*0.125</f>
        <v>0.125</v>
      </c>
      <c r="F172" s="0" t="n">
        <f aca="false">-1+C172*0.125</f>
        <v>0.75</v>
      </c>
      <c r="G172" s="0" t="n">
        <f aca="false">1</f>
        <v>1</v>
      </c>
      <c r="H172" s="0" t="n">
        <f aca="false">D172</f>
        <v>-1</v>
      </c>
      <c r="I172" s="0" t="n">
        <f aca="false">E172</f>
        <v>0.125</v>
      </c>
      <c r="J172" s="0" t="n">
        <f aca="false">F172</f>
        <v>0.75</v>
      </c>
      <c r="K172" s="0" t="n">
        <f aca="false">D172*E172</f>
        <v>-0.125</v>
      </c>
      <c r="L172" s="0" t="n">
        <f aca="false">D172*F172</f>
        <v>-0.75</v>
      </c>
      <c r="M172" s="0" t="n">
        <f aca="false">E172*F172</f>
        <v>0.09375</v>
      </c>
      <c r="N172" s="0" t="n">
        <f aca="false">D172*D172</f>
        <v>1</v>
      </c>
      <c r="O172" s="0" t="n">
        <f aca="false">E172*E172</f>
        <v>0.015625</v>
      </c>
      <c r="P172" s="0" t="n">
        <f aca="false">F172*F172</f>
        <v>0.5625</v>
      </c>
      <c r="Q172" s="0" t="n">
        <f aca="false">SUMPRODUCT(G172:P172,_XtX!$B$71:$K$71)</f>
        <v>43.8850568181818</v>
      </c>
      <c r="R172" s="0" t="n">
        <f aca="false">SUMPRODUCT(MMULT(G172:P172,_XtX!$B$58:$K$67),G172:P172)</f>
        <v>0.524607155539773</v>
      </c>
      <c r="S172" s="0" t="n">
        <f aca="false">04_回帰ANOVA!$K$19*04_回帰ANOVA!$K$14*SQRT(1+R172)</f>
        <v>1.14800984623412</v>
      </c>
      <c r="T172" s="0" t="n">
        <f aca="false">Q172-S172</f>
        <v>42.7370469719477</v>
      </c>
      <c r="U172" s="0" t="n">
        <f aca="false">Q172+S172</f>
        <v>45.0330666644159</v>
      </c>
      <c r="V172" s="54" t="b">
        <f aca="false">AND(D172&gt;=01_因子設定!$L$5-0.000000001,D172&lt;=01_因子設定!$M$5+0.000000001,E172&gt;=01_因子設定!$L$6-0.000000001,E172&lt;=01_因子設定!$M$6+0.000000001,F172&gt;=01_因子設定!$L$7-0.000000001,F172&lt;=01_因子設定!$M$7+0.000000001,IF(01_因子設定!$B$20="Box-Behnken",D172^2+E172^2+F172^2&lt;=2+0.000000001,TRUE()))</f>
        <v>1</v>
      </c>
      <c r="W172" s="55" t="n">
        <f aca="false">IF(V172,IF(01_因子設定!$B$13="最大化",T172-01_因子設定!$B$14,IF(01_因子設定!$B$13="最小化",01_因子設定!$B$15-U172,MIN(T172-01_因子設定!$B$14,01_因子設定!$B$15-U172))),-1E+030)</f>
        <v>-5.7629530280523</v>
      </c>
      <c r="X172" s="55" t="n">
        <f aca="false">IF(V172,IF(01_因子設定!$B$13="最大化",Q172,IF(01_因子設定!$B$13="最小化",-Q172,-ABS(Q172-01_因子設定!$B$16))),-1E+030)</f>
        <v>43.8850568181818</v>
      </c>
      <c r="Y172" s="55" t="n">
        <f aca="false">W172+ROW()*0.000000001</f>
        <v>-5.7629528560523</v>
      </c>
      <c r="Z172" s="55" t="n">
        <f aca="false">X172+ROW()*0.000000001</f>
        <v>43.8850569901818</v>
      </c>
    </row>
    <row r="173" customFormat="false" ht="15" hidden="false" customHeight="false" outlineLevel="0" collapsed="false">
      <c r="A173" s="0" t="n">
        <v>0</v>
      </c>
      <c r="B173" s="0" t="n">
        <v>9</v>
      </c>
      <c r="C173" s="0" t="n">
        <v>15</v>
      </c>
      <c r="D173" s="0" t="n">
        <f aca="false">-1+A173*0.125</f>
        <v>-1</v>
      </c>
      <c r="E173" s="0" t="n">
        <f aca="false">-1+B173*0.125</f>
        <v>0.125</v>
      </c>
      <c r="F173" s="0" t="n">
        <f aca="false">-1+C173*0.125</f>
        <v>0.875</v>
      </c>
      <c r="G173" s="0" t="n">
        <f aca="false">1</f>
        <v>1</v>
      </c>
      <c r="H173" s="0" t="n">
        <f aca="false">D173</f>
        <v>-1</v>
      </c>
      <c r="I173" s="0" t="n">
        <f aca="false">E173</f>
        <v>0.125</v>
      </c>
      <c r="J173" s="0" t="n">
        <f aca="false">F173</f>
        <v>0.875</v>
      </c>
      <c r="K173" s="0" t="n">
        <f aca="false">D173*E173</f>
        <v>-0.125</v>
      </c>
      <c r="L173" s="0" t="n">
        <f aca="false">D173*F173</f>
        <v>-0.875</v>
      </c>
      <c r="M173" s="0" t="n">
        <f aca="false">E173*F173</f>
        <v>0.109375</v>
      </c>
      <c r="N173" s="0" t="n">
        <f aca="false">D173*D173</f>
        <v>1</v>
      </c>
      <c r="O173" s="0" t="n">
        <f aca="false">E173*E173</f>
        <v>0.015625</v>
      </c>
      <c r="P173" s="0" t="n">
        <f aca="false">F173*F173</f>
        <v>0.765625</v>
      </c>
      <c r="Q173" s="0" t="n">
        <f aca="false">SUMPRODUCT(G173:P173,_XtX!$B$71:$K$71)</f>
        <v>43.8442045454545</v>
      </c>
      <c r="R173" s="0" t="n">
        <f aca="false">SUMPRODUCT(MMULT(G173:P173,_XtX!$B$58:$K$67),G173:P173)</f>
        <v>0.59407792524858</v>
      </c>
      <c r="S173" s="0" t="n">
        <f aca="false">04_回帰ANOVA!$K$19*04_回帰ANOVA!$K$14*SQRT(1+R173)</f>
        <v>1.17387380087722</v>
      </c>
      <c r="T173" s="0" t="n">
        <f aca="false">Q173-S173</f>
        <v>42.6703307445773</v>
      </c>
      <c r="U173" s="0" t="n">
        <f aca="false">Q173+S173</f>
        <v>45.0180783463318</v>
      </c>
      <c r="V173" s="54" t="b">
        <f aca="false">AND(D173&gt;=01_因子設定!$L$5-0.000000001,D173&lt;=01_因子設定!$M$5+0.000000001,E173&gt;=01_因子設定!$L$6-0.000000001,E173&lt;=01_因子設定!$M$6+0.000000001,F173&gt;=01_因子設定!$L$7-0.000000001,F173&lt;=01_因子設定!$M$7+0.000000001,IF(01_因子設定!$B$20="Box-Behnken",D173^2+E173^2+F173^2&lt;=2+0.000000001,TRUE()))</f>
        <v>1</v>
      </c>
      <c r="W173" s="55" t="n">
        <f aca="false">IF(V173,IF(01_因子設定!$B$13="最大化",T173-01_因子設定!$B$14,IF(01_因子設定!$B$13="最小化",01_因子設定!$B$15-U173,MIN(T173-01_因子設定!$B$14,01_因子設定!$B$15-U173))),-1E+030)</f>
        <v>-5.82966925542267</v>
      </c>
      <c r="X173" s="55" t="n">
        <f aca="false">IF(V173,IF(01_因子設定!$B$13="最大化",Q173,IF(01_因子設定!$B$13="最小化",-Q173,-ABS(Q173-01_因子設定!$B$16))),-1E+030)</f>
        <v>43.8442045454545</v>
      </c>
      <c r="Y173" s="55" t="n">
        <f aca="false">W173+ROW()*0.000000001</f>
        <v>-5.82966908242267</v>
      </c>
      <c r="Z173" s="55" t="n">
        <f aca="false">X173+ROW()*0.000000001</f>
        <v>43.8442047184545</v>
      </c>
    </row>
    <row r="174" customFormat="false" ht="15" hidden="false" customHeight="false" outlineLevel="0" collapsed="false">
      <c r="A174" s="0" t="n">
        <v>0</v>
      </c>
      <c r="B174" s="0" t="n">
        <v>9</v>
      </c>
      <c r="C174" s="0" t="n">
        <v>16</v>
      </c>
      <c r="D174" s="0" t="n">
        <f aca="false">-1+A174*0.125</f>
        <v>-1</v>
      </c>
      <c r="E174" s="0" t="n">
        <f aca="false">-1+B174*0.125</f>
        <v>0.125</v>
      </c>
      <c r="F174" s="0" t="n">
        <f aca="false">-1+C174*0.125</f>
        <v>1</v>
      </c>
      <c r="G174" s="0" t="n">
        <f aca="false">1</f>
        <v>1</v>
      </c>
      <c r="H174" s="0" t="n">
        <f aca="false">D174</f>
        <v>-1</v>
      </c>
      <c r="I174" s="0" t="n">
        <f aca="false">E174</f>
        <v>0.125</v>
      </c>
      <c r="J174" s="0" t="n">
        <f aca="false">F174</f>
        <v>1</v>
      </c>
      <c r="K174" s="0" t="n">
        <f aca="false">D174*E174</f>
        <v>-0.125</v>
      </c>
      <c r="L174" s="0" t="n">
        <f aca="false">D174*F174</f>
        <v>-1</v>
      </c>
      <c r="M174" s="0" t="n">
        <f aca="false">E174*F174</f>
        <v>0.125</v>
      </c>
      <c r="N174" s="0" t="n">
        <f aca="false">D174*D174</f>
        <v>1</v>
      </c>
      <c r="O174" s="0" t="n">
        <f aca="false">E174*E174</f>
        <v>0.015625</v>
      </c>
      <c r="P174" s="0" t="n">
        <f aca="false">F174*F174</f>
        <v>1</v>
      </c>
      <c r="Q174" s="0" t="n">
        <f aca="false">SUMPRODUCT(G174:P174,_XtX!$B$71:$K$71)</f>
        <v>43.7665625</v>
      </c>
      <c r="R174" s="0" t="n">
        <f aca="false">SUMPRODUCT(MMULT(G174:P174,_XtX!$B$58:$K$67),G174:P174)</f>
        <v>0.7115234375</v>
      </c>
      <c r="S174" s="0" t="n">
        <f aca="false">04_回帰ANOVA!$K$19*04_回帰ANOVA!$K$14*SQRT(1+R174)</f>
        <v>1.21634860506574</v>
      </c>
      <c r="T174" s="0" t="n">
        <f aca="false">Q174-S174</f>
        <v>42.5502138949343</v>
      </c>
      <c r="U174" s="0" t="n">
        <f aca="false">Q174+S174</f>
        <v>44.9829111050657</v>
      </c>
      <c r="V174" s="54" t="b">
        <f aca="false">AND(D174&gt;=01_因子設定!$L$5-0.000000001,D174&lt;=01_因子設定!$M$5+0.000000001,E174&gt;=01_因子設定!$L$6-0.000000001,E174&lt;=01_因子設定!$M$6+0.000000001,F174&gt;=01_因子設定!$L$7-0.000000001,F174&lt;=01_因子設定!$M$7+0.000000001,IF(01_因子設定!$B$20="Box-Behnken",D174^2+E174^2+F174^2&lt;=2+0.000000001,TRUE()))</f>
        <v>1</v>
      </c>
      <c r="W174" s="55" t="n">
        <f aca="false">IF(V174,IF(01_因子設定!$B$13="最大化",T174-01_因子設定!$B$14,IF(01_因子設定!$B$13="最小化",01_因子設定!$B$15-U174,MIN(T174-01_因子設定!$B$14,01_因子設定!$B$15-U174))),-1E+030)</f>
        <v>-5.94978610506573</v>
      </c>
      <c r="X174" s="55" t="n">
        <f aca="false">IF(V174,IF(01_因子設定!$B$13="最大化",Q174,IF(01_因子設定!$B$13="最小化",-Q174,-ABS(Q174-01_因子設定!$B$16))),-1E+030)</f>
        <v>43.7665625</v>
      </c>
      <c r="Y174" s="55" t="n">
        <f aca="false">W174+ROW()*0.000000001</f>
        <v>-5.94978593106573</v>
      </c>
      <c r="Z174" s="55" t="n">
        <f aca="false">X174+ROW()*0.000000001</f>
        <v>43.766562674</v>
      </c>
    </row>
    <row r="175" customFormat="false" ht="15" hidden="false" customHeight="false" outlineLevel="0" collapsed="false">
      <c r="A175" s="0" t="n">
        <v>0</v>
      </c>
      <c r="B175" s="0" t="n">
        <v>10</v>
      </c>
      <c r="C175" s="0" t="n">
        <v>0</v>
      </c>
      <c r="D175" s="0" t="n">
        <f aca="false">-1+A175*0.125</f>
        <v>-1</v>
      </c>
      <c r="E175" s="0" t="n">
        <f aca="false">-1+B175*0.125</f>
        <v>0.25</v>
      </c>
      <c r="F175" s="0" t="n">
        <f aca="false">-1+C175*0.125</f>
        <v>-1</v>
      </c>
      <c r="G175" s="0" t="n">
        <f aca="false">1</f>
        <v>1</v>
      </c>
      <c r="H175" s="0" t="n">
        <f aca="false">D175</f>
        <v>-1</v>
      </c>
      <c r="I175" s="0" t="n">
        <f aca="false">E175</f>
        <v>0.25</v>
      </c>
      <c r="J175" s="0" t="n">
        <f aca="false">F175</f>
        <v>-1</v>
      </c>
      <c r="K175" s="0" t="n">
        <f aca="false">D175*E175</f>
        <v>-0.25</v>
      </c>
      <c r="L175" s="0" t="n">
        <f aca="false">D175*F175</f>
        <v>1</v>
      </c>
      <c r="M175" s="0" t="n">
        <f aca="false">E175*F175</f>
        <v>-0.25</v>
      </c>
      <c r="N175" s="0" t="n">
        <f aca="false">D175*D175</f>
        <v>1</v>
      </c>
      <c r="O175" s="0" t="n">
        <f aca="false">E175*E175</f>
        <v>0.0625</v>
      </c>
      <c r="P175" s="0" t="n">
        <f aca="false">F175*F175</f>
        <v>1</v>
      </c>
      <c r="Q175" s="0" t="n">
        <f aca="false">SUMPRODUCT(G175:P175,_XtX!$B$71:$K$71)</f>
        <v>40.5484090909091</v>
      </c>
      <c r="R175" s="0" t="n">
        <f aca="false">SUMPRODUCT(MMULT(G175:P175,_XtX!$B$58:$K$67),G175:P175)</f>
        <v>0.699431818181818</v>
      </c>
      <c r="S175" s="0" t="n">
        <f aca="false">04_回帰ANOVA!$K$19*04_回帰ANOVA!$K$14*SQRT(1+R175)</f>
        <v>1.21204434231192</v>
      </c>
      <c r="T175" s="0" t="n">
        <f aca="false">Q175-S175</f>
        <v>39.3363647485972</v>
      </c>
      <c r="U175" s="0" t="n">
        <f aca="false">Q175+S175</f>
        <v>41.760453433221</v>
      </c>
      <c r="V175" s="54" t="b">
        <f aca="false">AND(D175&gt;=01_因子設定!$L$5-0.000000001,D175&lt;=01_因子設定!$M$5+0.000000001,E175&gt;=01_因子設定!$L$6-0.000000001,E175&lt;=01_因子設定!$M$6+0.000000001,F175&gt;=01_因子設定!$L$7-0.000000001,F175&lt;=01_因子設定!$M$7+0.000000001,IF(01_因子設定!$B$20="Box-Behnken",D175^2+E175^2+F175^2&lt;=2+0.000000001,TRUE()))</f>
        <v>1</v>
      </c>
      <c r="W175" s="55" t="n">
        <f aca="false">IF(V175,IF(01_因子設定!$B$13="最大化",T175-01_因子設定!$B$14,IF(01_因子設定!$B$13="最小化",01_因子設定!$B$15-U175,MIN(T175-01_因子設定!$B$14,01_因子設定!$B$15-U175))),-1E+030)</f>
        <v>-9.16363525140282</v>
      </c>
      <c r="X175" s="55" t="n">
        <f aca="false">IF(V175,IF(01_因子設定!$B$13="最大化",Q175,IF(01_因子設定!$B$13="最小化",-Q175,-ABS(Q175-01_因子設定!$B$16))),-1E+030)</f>
        <v>40.5484090909091</v>
      </c>
      <c r="Y175" s="55" t="n">
        <f aca="false">W175+ROW()*0.000000001</f>
        <v>-9.16363507640282</v>
      </c>
      <c r="Z175" s="55" t="n">
        <f aca="false">X175+ROW()*0.000000001</f>
        <v>40.5484092659091</v>
      </c>
    </row>
    <row r="176" customFormat="false" ht="15" hidden="false" customHeight="false" outlineLevel="0" collapsed="false">
      <c r="A176" s="0" t="n">
        <v>0</v>
      </c>
      <c r="B176" s="0" t="n">
        <v>10</v>
      </c>
      <c r="C176" s="0" t="n">
        <v>1</v>
      </c>
      <c r="D176" s="0" t="n">
        <f aca="false">-1+A176*0.125</f>
        <v>-1</v>
      </c>
      <c r="E176" s="0" t="n">
        <f aca="false">-1+B176*0.125</f>
        <v>0.25</v>
      </c>
      <c r="F176" s="0" t="n">
        <f aca="false">-1+C176*0.125</f>
        <v>-0.875</v>
      </c>
      <c r="G176" s="0" t="n">
        <f aca="false">1</f>
        <v>1</v>
      </c>
      <c r="H176" s="0" t="n">
        <f aca="false">D176</f>
        <v>-1</v>
      </c>
      <c r="I176" s="0" t="n">
        <f aca="false">E176</f>
        <v>0.25</v>
      </c>
      <c r="J176" s="0" t="n">
        <f aca="false">F176</f>
        <v>-0.875</v>
      </c>
      <c r="K176" s="0" t="n">
        <f aca="false">D176*E176</f>
        <v>-0.25</v>
      </c>
      <c r="L176" s="0" t="n">
        <f aca="false">D176*F176</f>
        <v>0.875</v>
      </c>
      <c r="M176" s="0" t="n">
        <f aca="false">E176*F176</f>
        <v>-0.21875</v>
      </c>
      <c r="N176" s="0" t="n">
        <f aca="false">D176*D176</f>
        <v>1</v>
      </c>
      <c r="O176" s="0" t="n">
        <f aca="false">E176*E176</f>
        <v>0.0625</v>
      </c>
      <c r="P176" s="0" t="n">
        <f aca="false">F176*F176</f>
        <v>0.765625</v>
      </c>
      <c r="Q176" s="0" t="n">
        <f aca="false">SUMPRODUCT(G176:P176,_XtX!$B$71:$K$71)</f>
        <v>41.0296448863636</v>
      </c>
      <c r="R176" s="0" t="n">
        <f aca="false">SUMPRODUCT(MMULT(G176:P176,_XtX!$B$58:$K$67),G176:P176)</f>
        <v>0.583609286221591</v>
      </c>
      <c r="S176" s="0" t="n">
        <f aca="false">04_回帰ANOVA!$K$19*04_回帰ANOVA!$K$14*SQRT(1+R176)</f>
        <v>1.1700129157584</v>
      </c>
      <c r="T176" s="0" t="n">
        <f aca="false">Q176-S176</f>
        <v>39.8596319706053</v>
      </c>
      <c r="U176" s="0" t="n">
        <f aca="false">Q176+S176</f>
        <v>42.199657802122</v>
      </c>
      <c r="V176" s="54" t="b">
        <f aca="false">AND(D176&gt;=01_因子設定!$L$5-0.000000001,D176&lt;=01_因子設定!$M$5+0.000000001,E176&gt;=01_因子設定!$L$6-0.000000001,E176&lt;=01_因子設定!$M$6+0.000000001,F176&gt;=01_因子設定!$L$7-0.000000001,F176&lt;=01_因子設定!$M$7+0.000000001,IF(01_因子設定!$B$20="Box-Behnken",D176^2+E176^2+F176^2&lt;=2+0.000000001,TRUE()))</f>
        <v>1</v>
      </c>
      <c r="W176" s="55" t="n">
        <f aca="false">IF(V176,IF(01_因子設定!$B$13="最大化",T176-01_因子設定!$B$14,IF(01_因子設定!$B$13="最小化",01_因子設定!$B$15-U176,MIN(T176-01_因子設定!$B$14,01_因子設定!$B$15-U176))),-1E+030)</f>
        <v>-8.64036802939475</v>
      </c>
      <c r="X176" s="55" t="n">
        <f aca="false">IF(V176,IF(01_因子設定!$B$13="最大化",Q176,IF(01_因子設定!$B$13="最小化",-Q176,-ABS(Q176-01_因子設定!$B$16))),-1E+030)</f>
        <v>41.0296448863636</v>
      </c>
      <c r="Y176" s="55" t="n">
        <f aca="false">W176+ROW()*0.000000001</f>
        <v>-8.64036785339475</v>
      </c>
      <c r="Z176" s="55" t="n">
        <f aca="false">X176+ROW()*0.000000001</f>
        <v>41.0296450623636</v>
      </c>
    </row>
    <row r="177" customFormat="false" ht="15" hidden="false" customHeight="false" outlineLevel="0" collapsed="false">
      <c r="A177" s="0" t="n">
        <v>0</v>
      </c>
      <c r="B177" s="0" t="n">
        <v>10</v>
      </c>
      <c r="C177" s="0" t="n">
        <v>2</v>
      </c>
      <c r="D177" s="0" t="n">
        <f aca="false">-1+A177*0.125</f>
        <v>-1</v>
      </c>
      <c r="E177" s="0" t="n">
        <f aca="false">-1+B177*0.125</f>
        <v>0.25</v>
      </c>
      <c r="F177" s="0" t="n">
        <f aca="false">-1+C177*0.125</f>
        <v>-0.75</v>
      </c>
      <c r="G177" s="0" t="n">
        <f aca="false">1</f>
        <v>1</v>
      </c>
      <c r="H177" s="0" t="n">
        <f aca="false">D177</f>
        <v>-1</v>
      </c>
      <c r="I177" s="0" t="n">
        <f aca="false">E177</f>
        <v>0.25</v>
      </c>
      <c r="J177" s="0" t="n">
        <f aca="false">F177</f>
        <v>-0.75</v>
      </c>
      <c r="K177" s="0" t="n">
        <f aca="false">D177*E177</f>
        <v>-0.25</v>
      </c>
      <c r="L177" s="0" t="n">
        <f aca="false">D177*F177</f>
        <v>0.75</v>
      </c>
      <c r="M177" s="0" t="n">
        <f aca="false">E177*F177</f>
        <v>-0.1875</v>
      </c>
      <c r="N177" s="0" t="n">
        <f aca="false">D177*D177</f>
        <v>1</v>
      </c>
      <c r="O177" s="0" t="n">
        <f aca="false">E177*E177</f>
        <v>0.0625</v>
      </c>
      <c r="P177" s="0" t="n">
        <f aca="false">F177*F177</f>
        <v>0.5625</v>
      </c>
      <c r="Q177" s="0" t="n">
        <f aca="false">SUMPRODUCT(G177:P177,_XtX!$B$71:$K$71)</f>
        <v>41.4740909090909</v>
      </c>
      <c r="R177" s="0" t="n">
        <f aca="false">SUMPRODUCT(MMULT(G177:P177,_XtX!$B$58:$K$67),G177:P177)</f>
        <v>0.515545099431818</v>
      </c>
      <c r="S177" s="0" t="n">
        <f aca="false">04_回帰ANOVA!$K$19*04_回帰ANOVA!$K$14*SQRT(1+R177)</f>
        <v>1.14459295464101</v>
      </c>
      <c r="T177" s="0" t="n">
        <f aca="false">Q177-S177</f>
        <v>40.3294979544499</v>
      </c>
      <c r="U177" s="0" t="n">
        <f aca="false">Q177+S177</f>
        <v>42.6186838637319</v>
      </c>
      <c r="V177" s="54" t="b">
        <f aca="false">AND(D177&gt;=01_因子設定!$L$5-0.000000001,D177&lt;=01_因子設定!$M$5+0.000000001,E177&gt;=01_因子設定!$L$6-0.000000001,E177&lt;=01_因子設定!$M$6+0.000000001,F177&gt;=01_因子設定!$L$7-0.000000001,F177&lt;=01_因子設定!$M$7+0.000000001,IF(01_因子設定!$B$20="Box-Behnken",D177^2+E177^2+F177^2&lt;=2+0.000000001,TRUE()))</f>
        <v>1</v>
      </c>
      <c r="W177" s="55" t="n">
        <f aca="false">IF(V177,IF(01_因子設定!$B$13="最大化",T177-01_因子設定!$B$14,IF(01_因子設定!$B$13="最小化",01_因子設定!$B$15-U177,MIN(T177-01_因子設定!$B$14,01_因子設定!$B$15-U177))),-1E+030)</f>
        <v>-8.1705020455501</v>
      </c>
      <c r="X177" s="55" t="n">
        <f aca="false">IF(V177,IF(01_因子設定!$B$13="最大化",Q177,IF(01_因子設定!$B$13="最小化",-Q177,-ABS(Q177-01_因子設定!$B$16))),-1E+030)</f>
        <v>41.4740909090909</v>
      </c>
      <c r="Y177" s="55" t="n">
        <f aca="false">W177+ROW()*0.000000001</f>
        <v>-8.1705018685501</v>
      </c>
      <c r="Z177" s="55" t="n">
        <f aca="false">X177+ROW()*0.000000001</f>
        <v>41.4740910860909</v>
      </c>
    </row>
    <row r="178" customFormat="false" ht="15" hidden="false" customHeight="false" outlineLevel="0" collapsed="false">
      <c r="A178" s="0" t="n">
        <v>0</v>
      </c>
      <c r="B178" s="0" t="n">
        <v>10</v>
      </c>
      <c r="C178" s="0" t="n">
        <v>3</v>
      </c>
      <c r="D178" s="0" t="n">
        <f aca="false">-1+A178*0.125</f>
        <v>-1</v>
      </c>
      <c r="E178" s="0" t="n">
        <f aca="false">-1+B178*0.125</f>
        <v>0.25</v>
      </c>
      <c r="F178" s="0" t="n">
        <f aca="false">-1+C178*0.125</f>
        <v>-0.625</v>
      </c>
      <c r="G178" s="0" t="n">
        <f aca="false">1</f>
        <v>1</v>
      </c>
      <c r="H178" s="0" t="n">
        <f aca="false">D178</f>
        <v>-1</v>
      </c>
      <c r="I178" s="0" t="n">
        <f aca="false">E178</f>
        <v>0.25</v>
      </c>
      <c r="J178" s="0" t="n">
        <f aca="false">F178</f>
        <v>-0.625</v>
      </c>
      <c r="K178" s="0" t="n">
        <f aca="false">D178*E178</f>
        <v>-0.25</v>
      </c>
      <c r="L178" s="0" t="n">
        <f aca="false">D178*F178</f>
        <v>0.625</v>
      </c>
      <c r="M178" s="0" t="n">
        <f aca="false">E178*F178</f>
        <v>-0.15625</v>
      </c>
      <c r="N178" s="0" t="n">
        <f aca="false">D178*D178</f>
        <v>1</v>
      </c>
      <c r="O178" s="0" t="n">
        <f aca="false">E178*E178</f>
        <v>0.0625</v>
      </c>
      <c r="P178" s="0" t="n">
        <f aca="false">F178*F178</f>
        <v>0.390625</v>
      </c>
      <c r="Q178" s="0" t="n">
        <f aca="false">SUMPRODUCT(G178:P178,_XtX!$B$71:$K$71)</f>
        <v>41.8817471590909</v>
      </c>
      <c r="R178" s="0" t="n">
        <f aca="false">SUMPRODUCT(MMULT(G178:P178,_XtX!$B$58:$K$67),G178:P178)</f>
        <v>0.481389825994318</v>
      </c>
      <c r="S178" s="0" t="n">
        <f aca="false">04_回帰ANOVA!$K$19*04_回帰ANOVA!$K$14*SQRT(1+R178)</f>
        <v>1.13162182500693</v>
      </c>
      <c r="T178" s="0" t="n">
        <f aca="false">Q178-S178</f>
        <v>40.750125334084</v>
      </c>
      <c r="U178" s="0" t="n">
        <f aca="false">Q178+S178</f>
        <v>43.0133689840978</v>
      </c>
      <c r="V178" s="54" t="b">
        <f aca="false">AND(D178&gt;=01_因子設定!$L$5-0.000000001,D178&lt;=01_因子設定!$M$5+0.000000001,E178&gt;=01_因子設定!$L$6-0.000000001,E178&lt;=01_因子設定!$M$6+0.000000001,F178&gt;=01_因子設定!$L$7-0.000000001,F178&lt;=01_因子設定!$M$7+0.000000001,IF(01_因子設定!$B$20="Box-Behnken",D178^2+E178^2+F178^2&lt;=2+0.000000001,TRUE()))</f>
        <v>1</v>
      </c>
      <c r="W178" s="55" t="n">
        <f aca="false">IF(V178,IF(01_因子設定!$B$13="最大化",T178-01_因子設定!$B$14,IF(01_因子設定!$B$13="最小化",01_因子設定!$B$15-U178,MIN(T178-01_因子設定!$B$14,01_因子設定!$B$15-U178))),-1E+030)</f>
        <v>-7.74987466591602</v>
      </c>
      <c r="X178" s="55" t="n">
        <f aca="false">IF(V178,IF(01_因子設定!$B$13="最大化",Q178,IF(01_因子設定!$B$13="最小化",-Q178,-ABS(Q178-01_因子設定!$B$16))),-1E+030)</f>
        <v>41.8817471590909</v>
      </c>
      <c r="Y178" s="55" t="n">
        <f aca="false">W178+ROW()*0.000000001</f>
        <v>-7.74987448791602</v>
      </c>
      <c r="Z178" s="55" t="n">
        <f aca="false">X178+ROW()*0.000000001</f>
        <v>41.8817473370909</v>
      </c>
    </row>
    <row r="179" customFormat="false" ht="15" hidden="false" customHeight="false" outlineLevel="0" collapsed="false">
      <c r="A179" s="0" t="n">
        <v>0</v>
      </c>
      <c r="B179" s="0" t="n">
        <v>10</v>
      </c>
      <c r="C179" s="0" t="n">
        <v>4</v>
      </c>
      <c r="D179" s="0" t="n">
        <f aca="false">-1+A179*0.125</f>
        <v>-1</v>
      </c>
      <c r="E179" s="0" t="n">
        <f aca="false">-1+B179*0.125</f>
        <v>0.25</v>
      </c>
      <c r="F179" s="0" t="n">
        <f aca="false">-1+C179*0.125</f>
        <v>-0.5</v>
      </c>
      <c r="G179" s="0" t="n">
        <f aca="false">1</f>
        <v>1</v>
      </c>
      <c r="H179" s="0" t="n">
        <f aca="false">D179</f>
        <v>-1</v>
      </c>
      <c r="I179" s="0" t="n">
        <f aca="false">E179</f>
        <v>0.25</v>
      </c>
      <c r="J179" s="0" t="n">
        <f aca="false">F179</f>
        <v>-0.5</v>
      </c>
      <c r="K179" s="0" t="n">
        <f aca="false">D179*E179</f>
        <v>-0.25</v>
      </c>
      <c r="L179" s="0" t="n">
        <f aca="false">D179*F179</f>
        <v>0.5</v>
      </c>
      <c r="M179" s="0" t="n">
        <f aca="false">E179*F179</f>
        <v>-0.125</v>
      </c>
      <c r="N179" s="0" t="n">
        <f aca="false">D179*D179</f>
        <v>1</v>
      </c>
      <c r="O179" s="0" t="n">
        <f aca="false">E179*E179</f>
        <v>0.0625</v>
      </c>
      <c r="P179" s="0" t="n">
        <f aca="false">F179*F179</f>
        <v>0.25</v>
      </c>
      <c r="Q179" s="0" t="n">
        <f aca="false">SUMPRODUCT(G179:P179,_XtX!$B$71:$K$71)</f>
        <v>42.2526136363636</v>
      </c>
      <c r="R179" s="0" t="n">
        <f aca="false">SUMPRODUCT(MMULT(G179:P179,_XtX!$B$58:$K$67),G179:P179)</f>
        <v>0.469424715909091</v>
      </c>
      <c r="S179" s="0" t="n">
        <f aca="false">04_回帰ANOVA!$K$19*04_回帰ANOVA!$K$14*SQRT(1+R179)</f>
        <v>1.12704253369596</v>
      </c>
      <c r="T179" s="0" t="n">
        <f aca="false">Q179-S179</f>
        <v>41.1255711026677</v>
      </c>
      <c r="U179" s="0" t="n">
        <f aca="false">Q179+S179</f>
        <v>43.3796561700596</v>
      </c>
      <c r="V179" s="54" t="b">
        <f aca="false">AND(D179&gt;=01_因子設定!$L$5-0.000000001,D179&lt;=01_因子設定!$M$5+0.000000001,E179&gt;=01_因子設定!$L$6-0.000000001,E179&lt;=01_因子設定!$M$6+0.000000001,F179&gt;=01_因子設定!$L$7-0.000000001,F179&lt;=01_因子設定!$M$7+0.000000001,IF(01_因子設定!$B$20="Box-Behnken",D179^2+E179^2+F179^2&lt;=2+0.000000001,TRUE()))</f>
        <v>1</v>
      </c>
      <c r="W179" s="55" t="n">
        <f aca="false">IF(V179,IF(01_因子設定!$B$13="最大化",T179-01_因子設定!$B$14,IF(01_因子設定!$B$13="最小化",01_因子設定!$B$15-U179,MIN(T179-01_因子設定!$B$14,01_因子設定!$B$15-U179))),-1E+030)</f>
        <v>-7.37442889733233</v>
      </c>
      <c r="X179" s="55" t="n">
        <f aca="false">IF(V179,IF(01_因子設定!$B$13="最大化",Q179,IF(01_因子設定!$B$13="最小化",-Q179,-ABS(Q179-01_因子設定!$B$16))),-1E+030)</f>
        <v>42.2526136363636</v>
      </c>
      <c r="Y179" s="55" t="n">
        <f aca="false">W179+ROW()*0.000000001</f>
        <v>-7.37442871833233</v>
      </c>
      <c r="Z179" s="55" t="n">
        <f aca="false">X179+ROW()*0.000000001</f>
        <v>42.2526138153636</v>
      </c>
    </row>
    <row r="180" customFormat="false" ht="15" hidden="false" customHeight="false" outlineLevel="0" collapsed="false">
      <c r="A180" s="0" t="n">
        <v>0</v>
      </c>
      <c r="B180" s="0" t="n">
        <v>10</v>
      </c>
      <c r="C180" s="0" t="n">
        <v>5</v>
      </c>
      <c r="D180" s="0" t="n">
        <f aca="false">-1+A180*0.125</f>
        <v>-1</v>
      </c>
      <c r="E180" s="0" t="n">
        <f aca="false">-1+B180*0.125</f>
        <v>0.25</v>
      </c>
      <c r="F180" s="0" t="n">
        <f aca="false">-1+C180*0.125</f>
        <v>-0.375</v>
      </c>
      <c r="G180" s="0" t="n">
        <f aca="false">1</f>
        <v>1</v>
      </c>
      <c r="H180" s="0" t="n">
        <f aca="false">D180</f>
        <v>-1</v>
      </c>
      <c r="I180" s="0" t="n">
        <f aca="false">E180</f>
        <v>0.25</v>
      </c>
      <c r="J180" s="0" t="n">
        <f aca="false">F180</f>
        <v>-0.375</v>
      </c>
      <c r="K180" s="0" t="n">
        <f aca="false">D180*E180</f>
        <v>-0.25</v>
      </c>
      <c r="L180" s="0" t="n">
        <f aca="false">D180*F180</f>
        <v>0.375</v>
      </c>
      <c r="M180" s="0" t="n">
        <f aca="false">E180*F180</f>
        <v>-0.09375</v>
      </c>
      <c r="N180" s="0" t="n">
        <f aca="false">D180*D180</f>
        <v>1</v>
      </c>
      <c r="O180" s="0" t="n">
        <f aca="false">E180*E180</f>
        <v>0.0625</v>
      </c>
      <c r="P180" s="0" t="n">
        <f aca="false">F180*F180</f>
        <v>0.140625</v>
      </c>
      <c r="Q180" s="0" t="n">
        <f aca="false">SUMPRODUCT(G180:P180,_XtX!$B$71:$K$71)</f>
        <v>42.5866903409091</v>
      </c>
      <c r="R180" s="0" t="n">
        <f aca="false">SUMPRODUCT(MMULT(G180:P180,_XtX!$B$58:$K$67),G180:P180)</f>
        <v>0.470061700994318</v>
      </c>
      <c r="S180" s="0" t="n">
        <f aca="false">04_回帰ANOVA!$K$19*04_回帰ANOVA!$K$14*SQRT(1+R180)</f>
        <v>1.12728678965931</v>
      </c>
      <c r="T180" s="0" t="n">
        <f aca="false">Q180-S180</f>
        <v>41.4594035512498</v>
      </c>
      <c r="U180" s="0" t="n">
        <f aca="false">Q180+S180</f>
        <v>43.7139771305684</v>
      </c>
      <c r="V180" s="54" t="b">
        <f aca="false">AND(D180&gt;=01_因子設定!$L$5-0.000000001,D180&lt;=01_因子設定!$M$5+0.000000001,E180&gt;=01_因子設定!$L$6-0.000000001,E180&lt;=01_因子設定!$M$6+0.000000001,F180&gt;=01_因子設定!$L$7-0.000000001,F180&lt;=01_因子設定!$M$7+0.000000001,IF(01_因子設定!$B$20="Box-Behnken",D180^2+E180^2+F180^2&lt;=2+0.000000001,TRUE()))</f>
        <v>1</v>
      </c>
      <c r="W180" s="55" t="n">
        <f aca="false">IF(V180,IF(01_因子設定!$B$13="最大化",T180-01_因子設定!$B$14,IF(01_因子設定!$B$13="最小化",01_因子設定!$B$15-U180,MIN(T180-01_因子設定!$B$14,01_因子設定!$B$15-U180))),-1E+030)</f>
        <v>-7.04059644875023</v>
      </c>
      <c r="X180" s="55" t="n">
        <f aca="false">IF(V180,IF(01_因子設定!$B$13="最大化",Q180,IF(01_因子設定!$B$13="最小化",-Q180,-ABS(Q180-01_因子設定!$B$16))),-1E+030)</f>
        <v>42.5866903409091</v>
      </c>
      <c r="Y180" s="55" t="n">
        <f aca="false">W180+ROW()*0.000000001</f>
        <v>-7.04059626875023</v>
      </c>
      <c r="Z180" s="55" t="n">
        <f aca="false">X180+ROW()*0.000000001</f>
        <v>42.5866905209091</v>
      </c>
    </row>
    <row r="181" customFormat="false" ht="15" hidden="false" customHeight="false" outlineLevel="0" collapsed="false">
      <c r="A181" s="0" t="n">
        <v>0</v>
      </c>
      <c r="B181" s="0" t="n">
        <v>10</v>
      </c>
      <c r="C181" s="0" t="n">
        <v>6</v>
      </c>
      <c r="D181" s="0" t="n">
        <f aca="false">-1+A181*0.125</f>
        <v>-1</v>
      </c>
      <c r="E181" s="0" t="n">
        <f aca="false">-1+B181*0.125</f>
        <v>0.25</v>
      </c>
      <c r="F181" s="0" t="n">
        <f aca="false">-1+C181*0.125</f>
        <v>-0.25</v>
      </c>
      <c r="G181" s="0" t="n">
        <f aca="false">1</f>
        <v>1</v>
      </c>
      <c r="H181" s="0" t="n">
        <f aca="false">D181</f>
        <v>-1</v>
      </c>
      <c r="I181" s="0" t="n">
        <f aca="false">E181</f>
        <v>0.25</v>
      </c>
      <c r="J181" s="0" t="n">
        <f aca="false">F181</f>
        <v>-0.25</v>
      </c>
      <c r="K181" s="0" t="n">
        <f aca="false">D181*E181</f>
        <v>-0.25</v>
      </c>
      <c r="L181" s="0" t="n">
        <f aca="false">D181*F181</f>
        <v>0.25</v>
      </c>
      <c r="M181" s="0" t="n">
        <f aca="false">E181*F181</f>
        <v>-0.0625</v>
      </c>
      <c r="N181" s="0" t="n">
        <f aca="false">D181*D181</f>
        <v>1</v>
      </c>
      <c r="O181" s="0" t="n">
        <f aca="false">E181*E181</f>
        <v>0.0625</v>
      </c>
      <c r="P181" s="0" t="n">
        <f aca="false">F181*F181</f>
        <v>0.0625</v>
      </c>
      <c r="Q181" s="0" t="n">
        <f aca="false">SUMPRODUCT(G181:P181,_XtX!$B$71:$K$71)</f>
        <v>42.8839772727273</v>
      </c>
      <c r="R181" s="0" t="n">
        <f aca="false">SUMPRODUCT(MMULT(G181:P181,_XtX!$B$58:$K$67),G181:P181)</f>
        <v>0.475843394886364</v>
      </c>
      <c r="S181" s="0" t="n">
        <f aca="false">04_回帰ANOVA!$K$19*04_回帰ANOVA!$K$14*SQRT(1+R181)</f>
        <v>1.12950140123694</v>
      </c>
      <c r="T181" s="0" t="n">
        <f aca="false">Q181-S181</f>
        <v>41.7544758714903</v>
      </c>
      <c r="U181" s="0" t="n">
        <f aca="false">Q181+S181</f>
        <v>44.0134786739642</v>
      </c>
      <c r="V181" s="54" t="b">
        <f aca="false">AND(D181&gt;=01_因子設定!$L$5-0.000000001,D181&lt;=01_因子設定!$M$5+0.000000001,E181&gt;=01_因子設定!$L$6-0.000000001,E181&lt;=01_因子設定!$M$6+0.000000001,F181&gt;=01_因子設定!$L$7-0.000000001,F181&lt;=01_因子設定!$M$7+0.000000001,IF(01_因子設定!$B$20="Box-Behnken",D181^2+E181^2+F181^2&lt;=2+0.000000001,TRUE()))</f>
        <v>1</v>
      </c>
      <c r="W181" s="55" t="n">
        <f aca="false">IF(V181,IF(01_因子設定!$B$13="最大化",T181-01_因子設定!$B$14,IF(01_因子設定!$B$13="最小化",01_因子設定!$B$15-U181,MIN(T181-01_因子設定!$B$14,01_因子設定!$B$15-U181))),-1E+030)</f>
        <v>-6.74552412850967</v>
      </c>
      <c r="X181" s="55" t="n">
        <f aca="false">IF(V181,IF(01_因子設定!$B$13="最大化",Q181,IF(01_因子設定!$B$13="最小化",-Q181,-ABS(Q181-01_因子設定!$B$16))),-1E+030)</f>
        <v>42.8839772727273</v>
      </c>
      <c r="Y181" s="55" t="n">
        <f aca="false">W181+ROW()*0.000000001</f>
        <v>-6.74552394750967</v>
      </c>
      <c r="Z181" s="55" t="n">
        <f aca="false">X181+ROW()*0.000000001</f>
        <v>42.8839774537273</v>
      </c>
    </row>
    <row r="182" customFormat="false" ht="15" hidden="false" customHeight="false" outlineLevel="0" collapsed="false">
      <c r="A182" s="0" t="n">
        <v>0</v>
      </c>
      <c r="B182" s="0" t="n">
        <v>10</v>
      </c>
      <c r="C182" s="0" t="n">
        <v>7</v>
      </c>
      <c r="D182" s="0" t="n">
        <f aca="false">-1+A182*0.125</f>
        <v>-1</v>
      </c>
      <c r="E182" s="0" t="n">
        <f aca="false">-1+B182*0.125</f>
        <v>0.25</v>
      </c>
      <c r="F182" s="0" t="n">
        <f aca="false">-1+C182*0.125</f>
        <v>-0.125</v>
      </c>
      <c r="G182" s="0" t="n">
        <f aca="false">1</f>
        <v>1</v>
      </c>
      <c r="H182" s="0" t="n">
        <f aca="false">D182</f>
        <v>-1</v>
      </c>
      <c r="I182" s="0" t="n">
        <f aca="false">E182</f>
        <v>0.25</v>
      </c>
      <c r="J182" s="0" t="n">
        <f aca="false">F182</f>
        <v>-0.125</v>
      </c>
      <c r="K182" s="0" t="n">
        <f aca="false">D182*E182</f>
        <v>-0.25</v>
      </c>
      <c r="L182" s="0" t="n">
        <f aca="false">D182*F182</f>
        <v>0.125</v>
      </c>
      <c r="M182" s="0" t="n">
        <f aca="false">E182*F182</f>
        <v>-0.03125</v>
      </c>
      <c r="N182" s="0" t="n">
        <f aca="false">D182*D182</f>
        <v>1</v>
      </c>
      <c r="O182" s="0" t="n">
        <f aca="false">E182*E182</f>
        <v>0.0625</v>
      </c>
      <c r="P182" s="0" t="n">
        <f aca="false">F182*F182</f>
        <v>0.015625</v>
      </c>
      <c r="Q182" s="0" t="n">
        <f aca="false">SUMPRODUCT(G182:P182,_XtX!$B$71:$K$71)</f>
        <v>43.1444744318182</v>
      </c>
      <c r="R182" s="0" t="n">
        <f aca="false">SUMPRODUCT(MMULT(G182:P182,_XtX!$B$58:$K$67),G182:P182)</f>
        <v>0.481443093039773</v>
      </c>
      <c r="S182" s="0" t="n">
        <f aca="false">04_回帰ANOVA!$K$19*04_回帰ANOVA!$K$14*SQRT(1+R182)</f>
        <v>1.13164216995877</v>
      </c>
      <c r="T182" s="0" t="n">
        <f aca="false">Q182-S182</f>
        <v>42.0128322618594</v>
      </c>
      <c r="U182" s="0" t="n">
        <f aca="false">Q182+S182</f>
        <v>44.2761166017769</v>
      </c>
      <c r="V182" s="54" t="b">
        <f aca="false">AND(D182&gt;=01_因子設定!$L$5-0.000000001,D182&lt;=01_因子設定!$M$5+0.000000001,E182&gt;=01_因子設定!$L$6-0.000000001,E182&lt;=01_因子設定!$M$6+0.000000001,F182&gt;=01_因子設定!$L$7-0.000000001,F182&lt;=01_因子設定!$M$7+0.000000001,IF(01_因子設定!$B$20="Box-Behnken",D182^2+E182^2+F182^2&lt;=2+0.000000001,TRUE()))</f>
        <v>1</v>
      </c>
      <c r="W182" s="55" t="n">
        <f aca="false">IF(V182,IF(01_因子設定!$B$13="最大化",T182-01_因子設定!$B$14,IF(01_因子設定!$B$13="最小化",01_因子設定!$B$15-U182,MIN(T182-01_因子設定!$B$14,01_因子設定!$B$15-U182))),-1E+030)</f>
        <v>-6.4871677381406</v>
      </c>
      <c r="X182" s="55" t="n">
        <f aca="false">IF(V182,IF(01_因子設定!$B$13="最大化",Q182,IF(01_因子設定!$B$13="最小化",-Q182,-ABS(Q182-01_因子設定!$B$16))),-1E+030)</f>
        <v>43.1444744318182</v>
      </c>
      <c r="Y182" s="55" t="n">
        <f aca="false">W182+ROW()*0.000000001</f>
        <v>-6.4871675561406</v>
      </c>
      <c r="Z182" s="55" t="n">
        <f aca="false">X182+ROW()*0.000000001</f>
        <v>43.1444746138182</v>
      </c>
    </row>
    <row r="183" customFormat="false" ht="15" hidden="false" customHeight="false" outlineLevel="0" collapsed="false">
      <c r="A183" s="0" t="n">
        <v>0</v>
      </c>
      <c r="B183" s="0" t="n">
        <v>10</v>
      </c>
      <c r="C183" s="0" t="n">
        <v>8</v>
      </c>
      <c r="D183" s="0" t="n">
        <f aca="false">-1+A183*0.125</f>
        <v>-1</v>
      </c>
      <c r="E183" s="0" t="n">
        <f aca="false">-1+B183*0.125</f>
        <v>0.25</v>
      </c>
      <c r="F183" s="0" t="n">
        <f aca="false">-1+C183*0.125</f>
        <v>0</v>
      </c>
      <c r="G183" s="0" t="n">
        <f aca="false">1</f>
        <v>1</v>
      </c>
      <c r="H183" s="0" t="n">
        <f aca="false">D183</f>
        <v>-1</v>
      </c>
      <c r="I183" s="0" t="n">
        <f aca="false">E183</f>
        <v>0.25</v>
      </c>
      <c r="J183" s="0" t="n">
        <f aca="false">F183</f>
        <v>0</v>
      </c>
      <c r="K183" s="0" t="n">
        <f aca="false">D183*E183</f>
        <v>-0.25</v>
      </c>
      <c r="L183" s="0" t="n">
        <f aca="false">D183*F183</f>
        <v>-0</v>
      </c>
      <c r="M183" s="0" t="n">
        <f aca="false">E183*F183</f>
        <v>0</v>
      </c>
      <c r="N183" s="0" t="n">
        <f aca="false">D183*D183</f>
        <v>1</v>
      </c>
      <c r="O183" s="0" t="n">
        <f aca="false">E183*E183</f>
        <v>0.0625</v>
      </c>
      <c r="P183" s="0" t="n">
        <f aca="false">F183*F183</f>
        <v>0</v>
      </c>
      <c r="Q183" s="0" t="n">
        <f aca="false">SUMPRODUCT(G183:P183,_XtX!$B$71:$K$71)</f>
        <v>43.3681818181818</v>
      </c>
      <c r="R183" s="0" t="n">
        <f aca="false">SUMPRODUCT(MMULT(G183:P183,_XtX!$B$58:$K$67),G183:P183)</f>
        <v>0.483664772727273</v>
      </c>
      <c r="S183" s="0" t="n">
        <f aca="false">04_回帰ANOVA!$K$19*04_回帰ANOVA!$K$14*SQRT(1+R183)</f>
        <v>1.13249039846694</v>
      </c>
      <c r="T183" s="0" t="n">
        <f aca="false">Q183-S183</f>
        <v>42.2356914197149</v>
      </c>
      <c r="U183" s="0" t="n">
        <f aca="false">Q183+S183</f>
        <v>44.5006722166487</v>
      </c>
      <c r="V183" s="54" t="b">
        <f aca="false">AND(D183&gt;=01_因子設定!$L$5-0.000000001,D183&lt;=01_因子設定!$M$5+0.000000001,E183&gt;=01_因子設定!$L$6-0.000000001,E183&lt;=01_因子設定!$M$6+0.000000001,F183&gt;=01_因子設定!$L$7-0.000000001,F183&lt;=01_因子設定!$M$7+0.000000001,IF(01_因子設定!$B$20="Box-Behnken",D183^2+E183^2+F183^2&lt;=2+0.000000001,TRUE()))</f>
        <v>1</v>
      </c>
      <c r="W183" s="55" t="n">
        <f aca="false">IF(V183,IF(01_因子設定!$B$13="最大化",T183-01_因子設定!$B$14,IF(01_因子設定!$B$13="最小化",01_因子設定!$B$15-U183,MIN(T183-01_因子設定!$B$14,01_因子設定!$B$15-U183))),-1E+030)</f>
        <v>-6.26430858028513</v>
      </c>
      <c r="X183" s="55" t="n">
        <f aca="false">IF(V183,IF(01_因子設定!$B$13="最大化",Q183,IF(01_因子設定!$B$13="最小化",-Q183,-ABS(Q183-01_因子設定!$B$16))),-1E+030)</f>
        <v>43.3681818181818</v>
      </c>
      <c r="Y183" s="55" t="n">
        <f aca="false">W183+ROW()*0.000000001</f>
        <v>-6.26430839728513</v>
      </c>
      <c r="Z183" s="55" t="n">
        <f aca="false">X183+ROW()*0.000000001</f>
        <v>43.3681820011818</v>
      </c>
    </row>
    <row r="184" customFormat="false" ht="15" hidden="false" customHeight="false" outlineLevel="0" collapsed="false">
      <c r="A184" s="0" t="n">
        <v>0</v>
      </c>
      <c r="B184" s="0" t="n">
        <v>10</v>
      </c>
      <c r="C184" s="0" t="n">
        <v>9</v>
      </c>
      <c r="D184" s="0" t="n">
        <f aca="false">-1+A184*0.125</f>
        <v>-1</v>
      </c>
      <c r="E184" s="0" t="n">
        <f aca="false">-1+B184*0.125</f>
        <v>0.25</v>
      </c>
      <c r="F184" s="0" t="n">
        <f aca="false">-1+C184*0.125</f>
        <v>0.125</v>
      </c>
      <c r="G184" s="0" t="n">
        <f aca="false">1</f>
        <v>1</v>
      </c>
      <c r="H184" s="0" t="n">
        <f aca="false">D184</f>
        <v>-1</v>
      </c>
      <c r="I184" s="0" t="n">
        <f aca="false">E184</f>
        <v>0.25</v>
      </c>
      <c r="J184" s="0" t="n">
        <f aca="false">F184</f>
        <v>0.125</v>
      </c>
      <c r="K184" s="0" t="n">
        <f aca="false">D184*E184</f>
        <v>-0.25</v>
      </c>
      <c r="L184" s="0" t="n">
        <f aca="false">D184*F184</f>
        <v>-0.125</v>
      </c>
      <c r="M184" s="0" t="n">
        <f aca="false">E184*F184</f>
        <v>0.03125</v>
      </c>
      <c r="N184" s="0" t="n">
        <f aca="false">D184*D184</f>
        <v>1</v>
      </c>
      <c r="O184" s="0" t="n">
        <f aca="false">E184*E184</f>
        <v>0.0625</v>
      </c>
      <c r="P184" s="0" t="n">
        <f aca="false">F184*F184</f>
        <v>0.015625</v>
      </c>
      <c r="Q184" s="0" t="n">
        <f aca="false">SUMPRODUCT(G184:P184,_XtX!$B$71:$K$71)</f>
        <v>43.5550994318182</v>
      </c>
      <c r="R184" s="0" t="n">
        <f aca="false">SUMPRODUCT(MMULT(G184:P184,_XtX!$B$58:$K$67),G184:P184)</f>
        <v>0.481443093039773</v>
      </c>
      <c r="S184" s="0" t="n">
        <f aca="false">04_回帰ANOVA!$K$19*04_回帰ANOVA!$K$14*SQRT(1+R184)</f>
        <v>1.13164216995877</v>
      </c>
      <c r="T184" s="0" t="n">
        <f aca="false">Q184-S184</f>
        <v>42.4234572618594</v>
      </c>
      <c r="U184" s="0" t="n">
        <f aca="false">Q184+S184</f>
        <v>44.6867416017769</v>
      </c>
      <c r="V184" s="54" t="b">
        <f aca="false">AND(D184&gt;=01_因子設定!$L$5-0.000000001,D184&lt;=01_因子設定!$M$5+0.000000001,E184&gt;=01_因子設定!$L$6-0.000000001,E184&lt;=01_因子設定!$M$6+0.000000001,F184&gt;=01_因子設定!$L$7-0.000000001,F184&lt;=01_因子設定!$M$7+0.000000001,IF(01_因子設定!$B$20="Box-Behnken",D184^2+E184^2+F184^2&lt;=2+0.000000001,TRUE()))</f>
        <v>1</v>
      </c>
      <c r="W184" s="55" t="n">
        <f aca="false">IF(V184,IF(01_因子設定!$B$13="最大化",T184-01_因子設定!$B$14,IF(01_因子設定!$B$13="最小化",01_因子設定!$B$15-U184,MIN(T184-01_因子設定!$B$14,01_因子設定!$B$15-U184))),-1E+030)</f>
        <v>-6.0765427381406</v>
      </c>
      <c r="X184" s="55" t="n">
        <f aca="false">IF(V184,IF(01_因子設定!$B$13="最大化",Q184,IF(01_因子設定!$B$13="最小化",-Q184,-ABS(Q184-01_因子設定!$B$16))),-1E+030)</f>
        <v>43.5550994318182</v>
      </c>
      <c r="Y184" s="55" t="n">
        <f aca="false">W184+ROW()*0.000000001</f>
        <v>-6.0765425541406</v>
      </c>
      <c r="Z184" s="55" t="n">
        <f aca="false">X184+ROW()*0.000000001</f>
        <v>43.5550996158182</v>
      </c>
    </row>
    <row r="185" customFormat="false" ht="15" hidden="false" customHeight="false" outlineLevel="0" collapsed="false">
      <c r="A185" s="0" t="n">
        <v>0</v>
      </c>
      <c r="B185" s="0" t="n">
        <v>10</v>
      </c>
      <c r="C185" s="0" t="n">
        <v>10</v>
      </c>
      <c r="D185" s="0" t="n">
        <f aca="false">-1+A185*0.125</f>
        <v>-1</v>
      </c>
      <c r="E185" s="0" t="n">
        <f aca="false">-1+B185*0.125</f>
        <v>0.25</v>
      </c>
      <c r="F185" s="0" t="n">
        <f aca="false">-1+C185*0.125</f>
        <v>0.25</v>
      </c>
      <c r="G185" s="0" t="n">
        <f aca="false">1</f>
        <v>1</v>
      </c>
      <c r="H185" s="0" t="n">
        <f aca="false">D185</f>
        <v>-1</v>
      </c>
      <c r="I185" s="0" t="n">
        <f aca="false">E185</f>
        <v>0.25</v>
      </c>
      <c r="J185" s="0" t="n">
        <f aca="false">F185</f>
        <v>0.25</v>
      </c>
      <c r="K185" s="0" t="n">
        <f aca="false">D185*E185</f>
        <v>-0.25</v>
      </c>
      <c r="L185" s="0" t="n">
        <f aca="false">D185*F185</f>
        <v>-0.25</v>
      </c>
      <c r="M185" s="0" t="n">
        <f aca="false">E185*F185</f>
        <v>0.0625</v>
      </c>
      <c r="N185" s="0" t="n">
        <f aca="false">D185*D185</f>
        <v>1</v>
      </c>
      <c r="O185" s="0" t="n">
        <f aca="false">E185*E185</f>
        <v>0.0625</v>
      </c>
      <c r="P185" s="0" t="n">
        <f aca="false">F185*F185</f>
        <v>0.0625</v>
      </c>
      <c r="Q185" s="0" t="n">
        <f aca="false">SUMPRODUCT(G185:P185,_XtX!$B$71:$K$71)</f>
        <v>43.7052272727273</v>
      </c>
      <c r="R185" s="0" t="n">
        <f aca="false">SUMPRODUCT(MMULT(G185:P185,_XtX!$B$58:$K$67),G185:P185)</f>
        <v>0.475843394886364</v>
      </c>
      <c r="S185" s="0" t="n">
        <f aca="false">04_回帰ANOVA!$K$19*04_回帰ANOVA!$K$14*SQRT(1+R185)</f>
        <v>1.12950140123694</v>
      </c>
      <c r="T185" s="0" t="n">
        <f aca="false">Q185-S185</f>
        <v>42.5757258714903</v>
      </c>
      <c r="U185" s="0" t="n">
        <f aca="false">Q185+S185</f>
        <v>44.8347286739642</v>
      </c>
      <c r="V185" s="54" t="b">
        <f aca="false">AND(D185&gt;=01_因子設定!$L$5-0.000000001,D185&lt;=01_因子設定!$M$5+0.000000001,E185&gt;=01_因子設定!$L$6-0.000000001,E185&lt;=01_因子設定!$M$6+0.000000001,F185&gt;=01_因子設定!$L$7-0.000000001,F185&lt;=01_因子設定!$M$7+0.000000001,IF(01_因子設定!$B$20="Box-Behnken",D185^2+E185^2+F185^2&lt;=2+0.000000001,TRUE()))</f>
        <v>1</v>
      </c>
      <c r="W185" s="55" t="n">
        <f aca="false">IF(V185,IF(01_因子設定!$B$13="最大化",T185-01_因子設定!$B$14,IF(01_因子設定!$B$13="最小化",01_因子設定!$B$15-U185,MIN(T185-01_因子設定!$B$14,01_因子設定!$B$15-U185))),-1E+030)</f>
        <v>-5.92427412850967</v>
      </c>
      <c r="X185" s="55" t="n">
        <f aca="false">IF(V185,IF(01_因子設定!$B$13="最大化",Q185,IF(01_因子設定!$B$13="最小化",-Q185,-ABS(Q185-01_因子設定!$B$16))),-1E+030)</f>
        <v>43.7052272727273</v>
      </c>
      <c r="Y185" s="55" t="n">
        <f aca="false">W185+ROW()*0.000000001</f>
        <v>-5.92427394350967</v>
      </c>
      <c r="Z185" s="55" t="n">
        <f aca="false">X185+ROW()*0.000000001</f>
        <v>43.7052274577273</v>
      </c>
    </row>
    <row r="186" customFormat="false" ht="15" hidden="false" customHeight="false" outlineLevel="0" collapsed="false">
      <c r="A186" s="0" t="n">
        <v>0</v>
      </c>
      <c r="B186" s="0" t="n">
        <v>10</v>
      </c>
      <c r="C186" s="0" t="n">
        <v>11</v>
      </c>
      <c r="D186" s="0" t="n">
        <f aca="false">-1+A186*0.125</f>
        <v>-1</v>
      </c>
      <c r="E186" s="0" t="n">
        <f aca="false">-1+B186*0.125</f>
        <v>0.25</v>
      </c>
      <c r="F186" s="0" t="n">
        <f aca="false">-1+C186*0.125</f>
        <v>0.375</v>
      </c>
      <c r="G186" s="0" t="n">
        <f aca="false">1</f>
        <v>1</v>
      </c>
      <c r="H186" s="0" t="n">
        <f aca="false">D186</f>
        <v>-1</v>
      </c>
      <c r="I186" s="0" t="n">
        <f aca="false">E186</f>
        <v>0.25</v>
      </c>
      <c r="J186" s="0" t="n">
        <f aca="false">F186</f>
        <v>0.375</v>
      </c>
      <c r="K186" s="0" t="n">
        <f aca="false">D186*E186</f>
        <v>-0.25</v>
      </c>
      <c r="L186" s="0" t="n">
        <f aca="false">D186*F186</f>
        <v>-0.375</v>
      </c>
      <c r="M186" s="0" t="n">
        <f aca="false">E186*F186</f>
        <v>0.09375</v>
      </c>
      <c r="N186" s="0" t="n">
        <f aca="false">D186*D186</f>
        <v>1</v>
      </c>
      <c r="O186" s="0" t="n">
        <f aca="false">E186*E186</f>
        <v>0.0625</v>
      </c>
      <c r="P186" s="0" t="n">
        <f aca="false">F186*F186</f>
        <v>0.140625</v>
      </c>
      <c r="Q186" s="0" t="n">
        <f aca="false">SUMPRODUCT(G186:P186,_XtX!$B$71:$K$71)</f>
        <v>43.8185653409091</v>
      </c>
      <c r="R186" s="0" t="n">
        <f aca="false">SUMPRODUCT(MMULT(G186:P186,_XtX!$B$58:$K$67),G186:P186)</f>
        <v>0.470061700994318</v>
      </c>
      <c r="S186" s="0" t="n">
        <f aca="false">04_回帰ANOVA!$K$19*04_回帰ANOVA!$K$14*SQRT(1+R186)</f>
        <v>1.12728678965931</v>
      </c>
      <c r="T186" s="0" t="n">
        <f aca="false">Q186-S186</f>
        <v>42.6912785512498</v>
      </c>
      <c r="U186" s="0" t="n">
        <f aca="false">Q186+S186</f>
        <v>44.9458521305684</v>
      </c>
      <c r="V186" s="54" t="b">
        <f aca="false">AND(D186&gt;=01_因子設定!$L$5-0.000000001,D186&lt;=01_因子設定!$M$5+0.000000001,E186&gt;=01_因子設定!$L$6-0.000000001,E186&lt;=01_因子設定!$M$6+0.000000001,F186&gt;=01_因子設定!$L$7-0.000000001,F186&lt;=01_因子設定!$M$7+0.000000001,IF(01_因子設定!$B$20="Box-Behnken",D186^2+E186^2+F186^2&lt;=2+0.000000001,TRUE()))</f>
        <v>1</v>
      </c>
      <c r="W186" s="55" t="n">
        <f aca="false">IF(V186,IF(01_因子設定!$B$13="最大化",T186-01_因子設定!$B$14,IF(01_因子設定!$B$13="最小化",01_因子設定!$B$15-U186,MIN(T186-01_因子設定!$B$14,01_因子設定!$B$15-U186))),-1E+030)</f>
        <v>-5.80872144875023</v>
      </c>
      <c r="X186" s="55" t="n">
        <f aca="false">IF(V186,IF(01_因子設定!$B$13="最大化",Q186,IF(01_因子設定!$B$13="最小化",-Q186,-ABS(Q186-01_因子設定!$B$16))),-1E+030)</f>
        <v>43.8185653409091</v>
      </c>
      <c r="Y186" s="55" t="n">
        <f aca="false">W186+ROW()*0.000000001</f>
        <v>-5.80872126275023</v>
      </c>
      <c r="Z186" s="55" t="n">
        <f aca="false">X186+ROW()*0.000000001</f>
        <v>43.8185655269091</v>
      </c>
    </row>
    <row r="187" customFormat="false" ht="15" hidden="false" customHeight="false" outlineLevel="0" collapsed="false">
      <c r="A187" s="0" t="n">
        <v>0</v>
      </c>
      <c r="B187" s="0" t="n">
        <v>10</v>
      </c>
      <c r="C187" s="0" t="n">
        <v>12</v>
      </c>
      <c r="D187" s="0" t="n">
        <f aca="false">-1+A187*0.125</f>
        <v>-1</v>
      </c>
      <c r="E187" s="0" t="n">
        <f aca="false">-1+B187*0.125</f>
        <v>0.25</v>
      </c>
      <c r="F187" s="0" t="n">
        <f aca="false">-1+C187*0.125</f>
        <v>0.5</v>
      </c>
      <c r="G187" s="0" t="n">
        <f aca="false">1</f>
        <v>1</v>
      </c>
      <c r="H187" s="0" t="n">
        <f aca="false">D187</f>
        <v>-1</v>
      </c>
      <c r="I187" s="0" t="n">
        <f aca="false">E187</f>
        <v>0.25</v>
      </c>
      <c r="J187" s="0" t="n">
        <f aca="false">F187</f>
        <v>0.5</v>
      </c>
      <c r="K187" s="0" t="n">
        <f aca="false">D187*E187</f>
        <v>-0.25</v>
      </c>
      <c r="L187" s="0" t="n">
        <f aca="false">D187*F187</f>
        <v>-0.5</v>
      </c>
      <c r="M187" s="0" t="n">
        <f aca="false">E187*F187</f>
        <v>0.125</v>
      </c>
      <c r="N187" s="0" t="n">
        <f aca="false">D187*D187</f>
        <v>1</v>
      </c>
      <c r="O187" s="0" t="n">
        <f aca="false">E187*E187</f>
        <v>0.0625</v>
      </c>
      <c r="P187" s="0" t="n">
        <f aca="false">F187*F187</f>
        <v>0.25</v>
      </c>
      <c r="Q187" s="0" t="n">
        <f aca="false">SUMPRODUCT(G187:P187,_XtX!$B$71:$K$71)</f>
        <v>43.8951136363636</v>
      </c>
      <c r="R187" s="0" t="n">
        <f aca="false">SUMPRODUCT(MMULT(G187:P187,_XtX!$B$58:$K$67),G187:P187)</f>
        <v>0.469424715909091</v>
      </c>
      <c r="S187" s="0" t="n">
        <f aca="false">04_回帰ANOVA!$K$19*04_回帰ANOVA!$K$14*SQRT(1+R187)</f>
        <v>1.12704253369596</v>
      </c>
      <c r="T187" s="0" t="n">
        <f aca="false">Q187-S187</f>
        <v>42.7680711026677</v>
      </c>
      <c r="U187" s="0" t="n">
        <f aca="false">Q187+S187</f>
        <v>45.0221561700596</v>
      </c>
      <c r="V187" s="54" t="b">
        <f aca="false">AND(D187&gt;=01_因子設定!$L$5-0.000000001,D187&lt;=01_因子設定!$M$5+0.000000001,E187&gt;=01_因子設定!$L$6-0.000000001,E187&lt;=01_因子設定!$M$6+0.000000001,F187&gt;=01_因子設定!$L$7-0.000000001,F187&lt;=01_因子設定!$M$7+0.000000001,IF(01_因子設定!$B$20="Box-Behnken",D187^2+E187^2+F187^2&lt;=2+0.000000001,TRUE()))</f>
        <v>1</v>
      </c>
      <c r="W187" s="55" t="n">
        <f aca="false">IF(V187,IF(01_因子設定!$B$13="最大化",T187-01_因子設定!$B$14,IF(01_因子設定!$B$13="最小化",01_因子設定!$B$15-U187,MIN(T187-01_因子設定!$B$14,01_因子設定!$B$15-U187))),-1E+030)</f>
        <v>-5.73192889733233</v>
      </c>
      <c r="X187" s="55" t="n">
        <f aca="false">IF(V187,IF(01_因子設定!$B$13="最大化",Q187,IF(01_因子設定!$B$13="最小化",-Q187,-ABS(Q187-01_因子設定!$B$16))),-1E+030)</f>
        <v>43.8951136363636</v>
      </c>
      <c r="Y187" s="55" t="n">
        <f aca="false">W187+ROW()*0.000000001</f>
        <v>-5.73192871033233</v>
      </c>
      <c r="Z187" s="55" t="n">
        <f aca="false">X187+ROW()*0.000000001</f>
        <v>43.8951138233636</v>
      </c>
    </row>
    <row r="188" customFormat="false" ht="15" hidden="false" customHeight="false" outlineLevel="0" collapsed="false">
      <c r="A188" s="0" t="n">
        <v>0</v>
      </c>
      <c r="B188" s="0" t="n">
        <v>10</v>
      </c>
      <c r="C188" s="0" t="n">
        <v>13</v>
      </c>
      <c r="D188" s="0" t="n">
        <f aca="false">-1+A188*0.125</f>
        <v>-1</v>
      </c>
      <c r="E188" s="0" t="n">
        <f aca="false">-1+B188*0.125</f>
        <v>0.25</v>
      </c>
      <c r="F188" s="0" t="n">
        <f aca="false">-1+C188*0.125</f>
        <v>0.625</v>
      </c>
      <c r="G188" s="0" t="n">
        <f aca="false">1</f>
        <v>1</v>
      </c>
      <c r="H188" s="0" t="n">
        <f aca="false">D188</f>
        <v>-1</v>
      </c>
      <c r="I188" s="0" t="n">
        <f aca="false">E188</f>
        <v>0.25</v>
      </c>
      <c r="J188" s="0" t="n">
        <f aca="false">F188</f>
        <v>0.625</v>
      </c>
      <c r="K188" s="0" t="n">
        <f aca="false">D188*E188</f>
        <v>-0.25</v>
      </c>
      <c r="L188" s="0" t="n">
        <f aca="false">D188*F188</f>
        <v>-0.625</v>
      </c>
      <c r="M188" s="0" t="n">
        <f aca="false">E188*F188</f>
        <v>0.15625</v>
      </c>
      <c r="N188" s="0" t="n">
        <f aca="false">D188*D188</f>
        <v>1</v>
      </c>
      <c r="O188" s="0" t="n">
        <f aca="false">E188*E188</f>
        <v>0.0625</v>
      </c>
      <c r="P188" s="0" t="n">
        <f aca="false">F188*F188</f>
        <v>0.390625</v>
      </c>
      <c r="Q188" s="0" t="n">
        <f aca="false">SUMPRODUCT(G188:P188,_XtX!$B$71:$K$71)</f>
        <v>43.9348721590909</v>
      </c>
      <c r="R188" s="0" t="n">
        <f aca="false">SUMPRODUCT(MMULT(G188:P188,_XtX!$B$58:$K$67),G188:P188)</f>
        <v>0.481389825994318</v>
      </c>
      <c r="S188" s="0" t="n">
        <f aca="false">04_回帰ANOVA!$K$19*04_回帰ANOVA!$K$14*SQRT(1+R188)</f>
        <v>1.13162182500693</v>
      </c>
      <c r="T188" s="0" t="n">
        <f aca="false">Q188-S188</f>
        <v>42.803250334084</v>
      </c>
      <c r="U188" s="0" t="n">
        <f aca="false">Q188+S188</f>
        <v>45.0664939840978</v>
      </c>
      <c r="V188" s="54" t="b">
        <f aca="false">AND(D188&gt;=01_因子設定!$L$5-0.000000001,D188&lt;=01_因子設定!$M$5+0.000000001,E188&gt;=01_因子設定!$L$6-0.000000001,E188&lt;=01_因子設定!$M$6+0.000000001,F188&gt;=01_因子設定!$L$7-0.000000001,F188&lt;=01_因子設定!$M$7+0.000000001,IF(01_因子設定!$B$20="Box-Behnken",D188^2+E188^2+F188^2&lt;=2+0.000000001,TRUE()))</f>
        <v>1</v>
      </c>
      <c r="W188" s="55" t="n">
        <f aca="false">IF(V188,IF(01_因子設定!$B$13="最大化",T188-01_因子設定!$B$14,IF(01_因子設定!$B$13="最小化",01_因子設定!$B$15-U188,MIN(T188-01_因子設定!$B$14,01_因子設定!$B$15-U188))),-1E+030)</f>
        <v>-5.69674966591602</v>
      </c>
      <c r="X188" s="55" t="n">
        <f aca="false">IF(V188,IF(01_因子設定!$B$13="最大化",Q188,IF(01_因子設定!$B$13="最小化",-Q188,-ABS(Q188-01_因子設定!$B$16))),-1E+030)</f>
        <v>43.9348721590909</v>
      </c>
      <c r="Y188" s="55" t="n">
        <f aca="false">W188+ROW()*0.000000001</f>
        <v>-5.69674947791602</v>
      </c>
      <c r="Z188" s="55" t="n">
        <f aca="false">X188+ROW()*0.000000001</f>
        <v>43.9348723470909</v>
      </c>
    </row>
    <row r="189" customFormat="false" ht="15" hidden="false" customHeight="false" outlineLevel="0" collapsed="false">
      <c r="A189" s="0" t="n">
        <v>0</v>
      </c>
      <c r="B189" s="0" t="n">
        <v>10</v>
      </c>
      <c r="C189" s="0" t="n">
        <v>14</v>
      </c>
      <c r="D189" s="0" t="n">
        <f aca="false">-1+A189*0.125</f>
        <v>-1</v>
      </c>
      <c r="E189" s="0" t="n">
        <f aca="false">-1+B189*0.125</f>
        <v>0.25</v>
      </c>
      <c r="F189" s="0" t="n">
        <f aca="false">-1+C189*0.125</f>
        <v>0.75</v>
      </c>
      <c r="G189" s="0" t="n">
        <f aca="false">1</f>
        <v>1</v>
      </c>
      <c r="H189" s="0" t="n">
        <f aca="false">D189</f>
        <v>-1</v>
      </c>
      <c r="I189" s="0" t="n">
        <f aca="false">E189</f>
        <v>0.25</v>
      </c>
      <c r="J189" s="0" t="n">
        <f aca="false">F189</f>
        <v>0.75</v>
      </c>
      <c r="K189" s="0" t="n">
        <f aca="false">D189*E189</f>
        <v>-0.25</v>
      </c>
      <c r="L189" s="0" t="n">
        <f aca="false">D189*F189</f>
        <v>-0.75</v>
      </c>
      <c r="M189" s="0" t="n">
        <f aca="false">E189*F189</f>
        <v>0.1875</v>
      </c>
      <c r="N189" s="0" t="n">
        <f aca="false">D189*D189</f>
        <v>1</v>
      </c>
      <c r="O189" s="0" t="n">
        <f aca="false">E189*E189</f>
        <v>0.0625</v>
      </c>
      <c r="P189" s="0" t="n">
        <f aca="false">F189*F189</f>
        <v>0.5625</v>
      </c>
      <c r="Q189" s="0" t="n">
        <f aca="false">SUMPRODUCT(G189:P189,_XtX!$B$71:$K$71)</f>
        <v>43.9378409090909</v>
      </c>
      <c r="R189" s="0" t="n">
        <f aca="false">SUMPRODUCT(MMULT(G189:P189,_XtX!$B$58:$K$67),G189:P189)</f>
        <v>0.515545099431818</v>
      </c>
      <c r="S189" s="0" t="n">
        <f aca="false">04_回帰ANOVA!$K$19*04_回帰ANOVA!$K$14*SQRT(1+R189)</f>
        <v>1.14459295464101</v>
      </c>
      <c r="T189" s="0" t="n">
        <f aca="false">Q189-S189</f>
        <v>42.7932479544499</v>
      </c>
      <c r="U189" s="0" t="n">
        <f aca="false">Q189+S189</f>
        <v>45.0824338637319</v>
      </c>
      <c r="V189" s="54" t="b">
        <f aca="false">AND(D189&gt;=01_因子設定!$L$5-0.000000001,D189&lt;=01_因子設定!$M$5+0.000000001,E189&gt;=01_因子設定!$L$6-0.000000001,E189&lt;=01_因子設定!$M$6+0.000000001,F189&gt;=01_因子設定!$L$7-0.000000001,F189&lt;=01_因子設定!$M$7+0.000000001,IF(01_因子設定!$B$20="Box-Behnken",D189^2+E189^2+F189^2&lt;=2+0.000000001,TRUE()))</f>
        <v>1</v>
      </c>
      <c r="W189" s="55" t="n">
        <f aca="false">IF(V189,IF(01_因子設定!$B$13="最大化",T189-01_因子設定!$B$14,IF(01_因子設定!$B$13="最小化",01_因子設定!$B$15-U189,MIN(T189-01_因子設定!$B$14,01_因子設定!$B$15-U189))),-1E+030)</f>
        <v>-5.7067520455501</v>
      </c>
      <c r="X189" s="55" t="n">
        <f aca="false">IF(V189,IF(01_因子設定!$B$13="最大化",Q189,IF(01_因子設定!$B$13="最小化",-Q189,-ABS(Q189-01_因子設定!$B$16))),-1E+030)</f>
        <v>43.9378409090909</v>
      </c>
      <c r="Y189" s="55" t="n">
        <f aca="false">W189+ROW()*0.000000001</f>
        <v>-5.7067518565501</v>
      </c>
      <c r="Z189" s="55" t="n">
        <f aca="false">X189+ROW()*0.000000001</f>
        <v>43.9378410980909</v>
      </c>
    </row>
    <row r="190" customFormat="false" ht="15" hidden="false" customHeight="false" outlineLevel="0" collapsed="false">
      <c r="A190" s="0" t="n">
        <v>0</v>
      </c>
      <c r="B190" s="0" t="n">
        <v>10</v>
      </c>
      <c r="C190" s="0" t="n">
        <v>15</v>
      </c>
      <c r="D190" s="0" t="n">
        <f aca="false">-1+A190*0.125</f>
        <v>-1</v>
      </c>
      <c r="E190" s="0" t="n">
        <f aca="false">-1+B190*0.125</f>
        <v>0.25</v>
      </c>
      <c r="F190" s="0" t="n">
        <f aca="false">-1+C190*0.125</f>
        <v>0.875</v>
      </c>
      <c r="G190" s="0" t="n">
        <f aca="false">1</f>
        <v>1</v>
      </c>
      <c r="H190" s="0" t="n">
        <f aca="false">D190</f>
        <v>-1</v>
      </c>
      <c r="I190" s="0" t="n">
        <f aca="false">E190</f>
        <v>0.25</v>
      </c>
      <c r="J190" s="0" t="n">
        <f aca="false">F190</f>
        <v>0.875</v>
      </c>
      <c r="K190" s="0" t="n">
        <f aca="false">D190*E190</f>
        <v>-0.25</v>
      </c>
      <c r="L190" s="0" t="n">
        <f aca="false">D190*F190</f>
        <v>-0.875</v>
      </c>
      <c r="M190" s="0" t="n">
        <f aca="false">E190*F190</f>
        <v>0.21875</v>
      </c>
      <c r="N190" s="0" t="n">
        <f aca="false">D190*D190</f>
        <v>1</v>
      </c>
      <c r="O190" s="0" t="n">
        <f aca="false">E190*E190</f>
        <v>0.0625</v>
      </c>
      <c r="P190" s="0" t="n">
        <f aca="false">F190*F190</f>
        <v>0.765625</v>
      </c>
      <c r="Q190" s="0" t="n">
        <f aca="false">SUMPRODUCT(G190:P190,_XtX!$B$71:$K$71)</f>
        <v>43.9040198863636</v>
      </c>
      <c r="R190" s="0" t="n">
        <f aca="false">SUMPRODUCT(MMULT(G190:P190,_XtX!$B$58:$K$67),G190:P190)</f>
        <v>0.583609286221591</v>
      </c>
      <c r="S190" s="0" t="n">
        <f aca="false">04_回帰ANOVA!$K$19*04_回帰ANOVA!$K$14*SQRT(1+R190)</f>
        <v>1.1700129157584</v>
      </c>
      <c r="T190" s="0" t="n">
        <f aca="false">Q190-S190</f>
        <v>42.7340069706052</v>
      </c>
      <c r="U190" s="0" t="n">
        <f aca="false">Q190+S190</f>
        <v>45.074032802122</v>
      </c>
      <c r="V190" s="54" t="b">
        <f aca="false">AND(D190&gt;=01_因子設定!$L$5-0.000000001,D190&lt;=01_因子設定!$M$5+0.000000001,E190&gt;=01_因子設定!$L$6-0.000000001,E190&lt;=01_因子設定!$M$6+0.000000001,F190&gt;=01_因子設定!$L$7-0.000000001,F190&lt;=01_因子設定!$M$7+0.000000001,IF(01_因子設定!$B$20="Box-Behnken",D190^2+E190^2+F190^2&lt;=2+0.000000001,TRUE()))</f>
        <v>1</v>
      </c>
      <c r="W190" s="55" t="n">
        <f aca="false">IF(V190,IF(01_因子設定!$B$13="最大化",T190-01_因子設定!$B$14,IF(01_因子設定!$B$13="最小化",01_因子設定!$B$15-U190,MIN(T190-01_因子設定!$B$14,01_因子設定!$B$15-U190))),-1E+030)</f>
        <v>-5.76599302939476</v>
      </c>
      <c r="X190" s="55" t="n">
        <f aca="false">IF(V190,IF(01_因子設定!$B$13="最大化",Q190,IF(01_因子設定!$B$13="最小化",-Q190,-ABS(Q190-01_因子設定!$B$16))),-1E+030)</f>
        <v>43.9040198863636</v>
      </c>
      <c r="Y190" s="55" t="n">
        <f aca="false">W190+ROW()*0.000000001</f>
        <v>-5.76599283939476</v>
      </c>
      <c r="Z190" s="55" t="n">
        <f aca="false">X190+ROW()*0.000000001</f>
        <v>43.9040200763636</v>
      </c>
    </row>
    <row r="191" customFormat="false" ht="15" hidden="false" customHeight="false" outlineLevel="0" collapsed="false">
      <c r="A191" s="0" t="n">
        <v>0</v>
      </c>
      <c r="B191" s="0" t="n">
        <v>10</v>
      </c>
      <c r="C191" s="0" t="n">
        <v>16</v>
      </c>
      <c r="D191" s="0" t="n">
        <f aca="false">-1+A191*0.125</f>
        <v>-1</v>
      </c>
      <c r="E191" s="0" t="n">
        <f aca="false">-1+B191*0.125</f>
        <v>0.25</v>
      </c>
      <c r="F191" s="0" t="n">
        <f aca="false">-1+C191*0.125</f>
        <v>1</v>
      </c>
      <c r="G191" s="0" t="n">
        <f aca="false">1</f>
        <v>1</v>
      </c>
      <c r="H191" s="0" t="n">
        <f aca="false">D191</f>
        <v>-1</v>
      </c>
      <c r="I191" s="0" t="n">
        <f aca="false">E191</f>
        <v>0.25</v>
      </c>
      <c r="J191" s="0" t="n">
        <f aca="false">F191</f>
        <v>1</v>
      </c>
      <c r="K191" s="0" t="n">
        <f aca="false">D191*E191</f>
        <v>-0.25</v>
      </c>
      <c r="L191" s="0" t="n">
        <f aca="false">D191*F191</f>
        <v>-1</v>
      </c>
      <c r="M191" s="0" t="n">
        <f aca="false">E191*F191</f>
        <v>0.25</v>
      </c>
      <c r="N191" s="0" t="n">
        <f aca="false">D191*D191</f>
        <v>1</v>
      </c>
      <c r="O191" s="0" t="n">
        <f aca="false">E191*E191</f>
        <v>0.0625</v>
      </c>
      <c r="P191" s="0" t="n">
        <f aca="false">F191*F191</f>
        <v>1</v>
      </c>
      <c r="Q191" s="0" t="n">
        <f aca="false">SUMPRODUCT(G191:P191,_XtX!$B$71:$K$71)</f>
        <v>43.8334090909091</v>
      </c>
      <c r="R191" s="0" t="n">
        <f aca="false">SUMPRODUCT(MMULT(G191:P191,_XtX!$B$58:$K$67),G191:P191)</f>
        <v>0.699431818181818</v>
      </c>
      <c r="S191" s="0" t="n">
        <f aca="false">04_回帰ANOVA!$K$19*04_回帰ANOVA!$K$14*SQRT(1+R191)</f>
        <v>1.21204434231192</v>
      </c>
      <c r="T191" s="0" t="n">
        <f aca="false">Q191-S191</f>
        <v>42.6213647485972</v>
      </c>
      <c r="U191" s="0" t="n">
        <f aca="false">Q191+S191</f>
        <v>45.045453433221</v>
      </c>
      <c r="V191" s="54" t="b">
        <f aca="false">AND(D191&gt;=01_因子設定!$L$5-0.000000001,D191&lt;=01_因子設定!$M$5+0.000000001,E191&gt;=01_因子設定!$L$6-0.000000001,E191&lt;=01_因子設定!$M$6+0.000000001,F191&gt;=01_因子設定!$L$7-0.000000001,F191&lt;=01_因子設定!$M$7+0.000000001,IF(01_因子設定!$B$20="Box-Behnken",D191^2+E191^2+F191^2&lt;=2+0.000000001,TRUE()))</f>
        <v>1</v>
      </c>
      <c r="W191" s="55" t="n">
        <f aca="false">IF(V191,IF(01_因子設定!$B$13="最大化",T191-01_因子設定!$B$14,IF(01_因子設定!$B$13="最小化",01_因子設定!$B$15-U191,MIN(T191-01_因子設定!$B$14,01_因子設定!$B$15-U191))),-1E+030)</f>
        <v>-5.87863525140282</v>
      </c>
      <c r="X191" s="55" t="n">
        <f aca="false">IF(V191,IF(01_因子設定!$B$13="最大化",Q191,IF(01_因子設定!$B$13="最小化",-Q191,-ABS(Q191-01_因子設定!$B$16))),-1E+030)</f>
        <v>43.8334090909091</v>
      </c>
      <c r="Y191" s="55" t="n">
        <f aca="false">W191+ROW()*0.000000001</f>
        <v>-5.87863506040282</v>
      </c>
      <c r="Z191" s="55" t="n">
        <f aca="false">X191+ROW()*0.000000001</f>
        <v>43.8334092819091</v>
      </c>
    </row>
    <row r="192" customFormat="false" ht="15" hidden="false" customHeight="false" outlineLevel="0" collapsed="false">
      <c r="A192" s="0" t="n">
        <v>0</v>
      </c>
      <c r="B192" s="0" t="n">
        <v>11</v>
      </c>
      <c r="C192" s="0" t="n">
        <v>0</v>
      </c>
      <c r="D192" s="0" t="n">
        <f aca="false">-1+A192*0.125</f>
        <v>-1</v>
      </c>
      <c r="E192" s="0" t="n">
        <f aca="false">-1+B192*0.125</f>
        <v>0.375</v>
      </c>
      <c r="F192" s="0" t="n">
        <f aca="false">-1+C192*0.125</f>
        <v>-1</v>
      </c>
      <c r="G192" s="0" t="n">
        <f aca="false">1</f>
        <v>1</v>
      </c>
      <c r="H192" s="0" t="n">
        <f aca="false">D192</f>
        <v>-1</v>
      </c>
      <c r="I192" s="0" t="n">
        <f aca="false">E192</f>
        <v>0.375</v>
      </c>
      <c r="J192" s="0" t="n">
        <f aca="false">F192</f>
        <v>-1</v>
      </c>
      <c r="K192" s="0" t="n">
        <f aca="false">D192*E192</f>
        <v>-0.375</v>
      </c>
      <c r="L192" s="0" t="n">
        <f aca="false">D192*F192</f>
        <v>1</v>
      </c>
      <c r="M192" s="0" t="n">
        <f aca="false">E192*F192</f>
        <v>-0.375</v>
      </c>
      <c r="N192" s="0" t="n">
        <f aca="false">D192*D192</f>
        <v>1</v>
      </c>
      <c r="O192" s="0" t="n">
        <f aca="false">E192*E192</f>
        <v>0.140625</v>
      </c>
      <c r="P192" s="0" t="n">
        <f aca="false">F192*F192</f>
        <v>1</v>
      </c>
      <c r="Q192" s="0" t="n">
        <f aca="false">SUMPRODUCT(G192:P192,_XtX!$B$71:$K$71)</f>
        <v>40.4394034090909</v>
      </c>
      <c r="R192" s="0" t="n">
        <f aca="false">SUMPRODUCT(MMULT(G192:P192,_XtX!$B$58:$K$67),G192:P192)</f>
        <v>0.682830255681818</v>
      </c>
      <c r="S192" s="0" t="n">
        <f aca="false">04_回帰ANOVA!$K$19*04_回帰ANOVA!$K$14*SQRT(1+R192)</f>
        <v>1.20610964896955</v>
      </c>
      <c r="T192" s="0" t="n">
        <f aca="false">Q192-S192</f>
        <v>39.2332937601214</v>
      </c>
      <c r="U192" s="0" t="n">
        <f aca="false">Q192+S192</f>
        <v>41.6455130580605</v>
      </c>
      <c r="V192" s="54" t="b">
        <f aca="false">AND(D192&gt;=01_因子設定!$L$5-0.000000001,D192&lt;=01_因子設定!$M$5+0.000000001,E192&gt;=01_因子設定!$L$6-0.000000001,E192&lt;=01_因子設定!$M$6+0.000000001,F192&gt;=01_因子設定!$L$7-0.000000001,F192&lt;=01_因子設定!$M$7+0.000000001,IF(01_因子設定!$B$20="Box-Behnken",D192^2+E192^2+F192^2&lt;=2+0.000000001,TRUE()))</f>
        <v>1</v>
      </c>
      <c r="W192" s="55" t="n">
        <f aca="false">IF(V192,IF(01_因子設定!$B$13="最大化",T192-01_因子設定!$B$14,IF(01_因子設定!$B$13="最小化",01_因子設定!$B$15-U192,MIN(T192-01_因子設定!$B$14,01_因子設定!$B$15-U192))),-1E+030)</f>
        <v>-9.26670623987863</v>
      </c>
      <c r="X192" s="55" t="n">
        <f aca="false">IF(V192,IF(01_因子設定!$B$13="最大化",Q192,IF(01_因子設定!$B$13="最小化",-Q192,-ABS(Q192-01_因子設定!$B$16))),-1E+030)</f>
        <v>40.4394034090909</v>
      </c>
      <c r="Y192" s="55" t="n">
        <f aca="false">W192+ROW()*0.000000001</f>
        <v>-9.26670604787863</v>
      </c>
      <c r="Z192" s="55" t="n">
        <f aca="false">X192+ROW()*0.000000001</f>
        <v>40.4394036010909</v>
      </c>
    </row>
    <row r="193" customFormat="false" ht="15" hidden="false" customHeight="false" outlineLevel="0" collapsed="false">
      <c r="A193" s="0" t="n">
        <v>0</v>
      </c>
      <c r="B193" s="0" t="n">
        <v>11</v>
      </c>
      <c r="C193" s="0" t="n">
        <v>1</v>
      </c>
      <c r="D193" s="0" t="n">
        <f aca="false">-1+A193*0.125</f>
        <v>-1</v>
      </c>
      <c r="E193" s="0" t="n">
        <f aca="false">-1+B193*0.125</f>
        <v>0.375</v>
      </c>
      <c r="F193" s="0" t="n">
        <f aca="false">-1+C193*0.125</f>
        <v>-0.875</v>
      </c>
      <c r="G193" s="0" t="n">
        <f aca="false">1</f>
        <v>1</v>
      </c>
      <c r="H193" s="0" t="n">
        <f aca="false">D193</f>
        <v>-1</v>
      </c>
      <c r="I193" s="0" t="n">
        <f aca="false">E193</f>
        <v>0.375</v>
      </c>
      <c r="J193" s="0" t="n">
        <f aca="false">F193</f>
        <v>-0.875</v>
      </c>
      <c r="K193" s="0" t="n">
        <f aca="false">D193*E193</f>
        <v>-0.375</v>
      </c>
      <c r="L193" s="0" t="n">
        <f aca="false">D193*F193</f>
        <v>0.875</v>
      </c>
      <c r="M193" s="0" t="n">
        <f aca="false">E193*F193</f>
        <v>-0.328125</v>
      </c>
      <c r="N193" s="0" t="n">
        <f aca="false">D193*D193</f>
        <v>1</v>
      </c>
      <c r="O193" s="0" t="n">
        <f aca="false">E193*E193</f>
        <v>0.140625</v>
      </c>
      <c r="P193" s="0" t="n">
        <f aca="false">F193*F193</f>
        <v>0.765625</v>
      </c>
      <c r="Q193" s="0" t="n">
        <f aca="false">SUMPRODUCT(G193:P193,_XtX!$B$71:$K$71)</f>
        <v>40.9276704545455</v>
      </c>
      <c r="R193" s="0" t="n">
        <f aca="false">SUMPRODUCT(MMULT(G193:P193,_XtX!$B$58:$K$67),G193:P193)</f>
        <v>0.56971269087358</v>
      </c>
      <c r="S193" s="0" t="n">
        <f aca="false">04_回帰ANOVA!$K$19*04_回帰ANOVA!$K$14*SQRT(1+R193)</f>
        <v>1.16486801567081</v>
      </c>
      <c r="T193" s="0" t="n">
        <f aca="false">Q193-S193</f>
        <v>39.7628024388747</v>
      </c>
      <c r="U193" s="0" t="n">
        <f aca="false">Q193+S193</f>
        <v>42.0925384702163</v>
      </c>
      <c r="V193" s="54" t="b">
        <f aca="false">AND(D193&gt;=01_因子設定!$L$5-0.000000001,D193&lt;=01_因子設定!$M$5+0.000000001,E193&gt;=01_因子設定!$L$6-0.000000001,E193&lt;=01_因子設定!$M$6+0.000000001,F193&gt;=01_因子設定!$L$7-0.000000001,F193&lt;=01_因子設定!$M$7+0.000000001,IF(01_因子設定!$B$20="Box-Behnken",D193^2+E193^2+F193^2&lt;=2+0.000000001,TRUE()))</f>
        <v>1</v>
      </c>
      <c r="W193" s="55" t="n">
        <f aca="false">IF(V193,IF(01_因子設定!$B$13="最大化",T193-01_因子設定!$B$14,IF(01_因子設定!$B$13="最小化",01_因子設定!$B$15-U193,MIN(T193-01_因子設定!$B$14,01_因子設定!$B$15-U193))),-1E+030)</f>
        <v>-8.73719756112535</v>
      </c>
      <c r="X193" s="55" t="n">
        <f aca="false">IF(V193,IF(01_因子設定!$B$13="最大化",Q193,IF(01_因子設定!$B$13="最小化",-Q193,-ABS(Q193-01_因子設定!$B$16))),-1E+030)</f>
        <v>40.9276704545455</v>
      </c>
      <c r="Y193" s="55" t="n">
        <f aca="false">W193+ROW()*0.000000001</f>
        <v>-8.73719736812535</v>
      </c>
      <c r="Z193" s="55" t="n">
        <f aca="false">X193+ROW()*0.000000001</f>
        <v>40.9276706475455</v>
      </c>
    </row>
    <row r="194" customFormat="false" ht="15" hidden="false" customHeight="false" outlineLevel="0" collapsed="false">
      <c r="A194" s="0" t="n">
        <v>0</v>
      </c>
      <c r="B194" s="0" t="n">
        <v>11</v>
      </c>
      <c r="C194" s="0" t="n">
        <v>2</v>
      </c>
      <c r="D194" s="0" t="n">
        <f aca="false">-1+A194*0.125</f>
        <v>-1</v>
      </c>
      <c r="E194" s="0" t="n">
        <f aca="false">-1+B194*0.125</f>
        <v>0.375</v>
      </c>
      <c r="F194" s="0" t="n">
        <f aca="false">-1+C194*0.125</f>
        <v>-0.75</v>
      </c>
      <c r="G194" s="0" t="n">
        <f aca="false">1</f>
        <v>1</v>
      </c>
      <c r="H194" s="0" t="n">
        <f aca="false">D194</f>
        <v>-1</v>
      </c>
      <c r="I194" s="0" t="n">
        <f aca="false">E194</f>
        <v>0.375</v>
      </c>
      <c r="J194" s="0" t="n">
        <f aca="false">F194</f>
        <v>-0.75</v>
      </c>
      <c r="K194" s="0" t="n">
        <f aca="false">D194*E194</f>
        <v>-0.375</v>
      </c>
      <c r="L194" s="0" t="n">
        <f aca="false">D194*F194</f>
        <v>0.75</v>
      </c>
      <c r="M194" s="0" t="n">
        <f aca="false">E194*F194</f>
        <v>-0.28125</v>
      </c>
      <c r="N194" s="0" t="n">
        <f aca="false">D194*D194</f>
        <v>1</v>
      </c>
      <c r="O194" s="0" t="n">
        <f aca="false">E194*E194</f>
        <v>0.140625</v>
      </c>
      <c r="P194" s="0" t="n">
        <f aca="false">F194*F194</f>
        <v>0.5625</v>
      </c>
      <c r="Q194" s="0" t="n">
        <f aca="false">SUMPRODUCT(G194:P194,_XtX!$B$71:$K$71)</f>
        <v>41.3791477272727</v>
      </c>
      <c r="R194" s="0" t="n">
        <f aca="false">SUMPRODUCT(MMULT(G194:P194,_XtX!$B$58:$K$67),G194:P194)</f>
        <v>0.503992808948864</v>
      </c>
      <c r="S194" s="0" t="n">
        <f aca="false">04_回帰ANOVA!$K$19*04_回帰ANOVA!$K$14*SQRT(1+R194)</f>
        <v>1.14022226176226</v>
      </c>
      <c r="T194" s="0" t="n">
        <f aca="false">Q194-S194</f>
        <v>40.2389254655105</v>
      </c>
      <c r="U194" s="0" t="n">
        <f aca="false">Q194+S194</f>
        <v>42.519369989035</v>
      </c>
      <c r="V194" s="54" t="b">
        <f aca="false">AND(D194&gt;=01_因子設定!$L$5-0.000000001,D194&lt;=01_因子設定!$M$5+0.000000001,E194&gt;=01_因子設定!$L$6-0.000000001,E194&lt;=01_因子設定!$M$6+0.000000001,F194&gt;=01_因子設定!$L$7-0.000000001,F194&lt;=01_因子設定!$M$7+0.000000001,IF(01_因子設定!$B$20="Box-Behnken",D194^2+E194^2+F194^2&lt;=2+0.000000001,TRUE()))</f>
        <v>1</v>
      </c>
      <c r="W194" s="55" t="n">
        <f aca="false">IF(V194,IF(01_因子設定!$B$13="最大化",T194-01_因子設定!$B$14,IF(01_因子設定!$B$13="最小化",01_因子設定!$B$15-U194,MIN(T194-01_因子設定!$B$14,01_因子設定!$B$15-U194))),-1E+030)</f>
        <v>-8.26107453448954</v>
      </c>
      <c r="X194" s="55" t="n">
        <f aca="false">IF(V194,IF(01_因子設定!$B$13="最大化",Q194,IF(01_因子設定!$B$13="最小化",-Q194,-ABS(Q194-01_因子設定!$B$16))),-1E+030)</f>
        <v>41.3791477272727</v>
      </c>
      <c r="Y194" s="55" t="n">
        <f aca="false">W194+ROW()*0.000000001</f>
        <v>-8.26107434048954</v>
      </c>
      <c r="Z194" s="55" t="n">
        <f aca="false">X194+ROW()*0.000000001</f>
        <v>41.3791479212727</v>
      </c>
    </row>
    <row r="195" customFormat="false" ht="15" hidden="false" customHeight="false" outlineLevel="0" collapsed="false">
      <c r="A195" s="0" t="n">
        <v>0</v>
      </c>
      <c r="B195" s="0" t="n">
        <v>11</v>
      </c>
      <c r="C195" s="0" t="n">
        <v>3</v>
      </c>
      <c r="D195" s="0" t="n">
        <f aca="false">-1+A195*0.125</f>
        <v>-1</v>
      </c>
      <c r="E195" s="0" t="n">
        <f aca="false">-1+B195*0.125</f>
        <v>0.375</v>
      </c>
      <c r="F195" s="0" t="n">
        <f aca="false">-1+C195*0.125</f>
        <v>-0.625</v>
      </c>
      <c r="G195" s="0" t="n">
        <f aca="false">1</f>
        <v>1</v>
      </c>
      <c r="H195" s="0" t="n">
        <f aca="false">D195</f>
        <v>-1</v>
      </c>
      <c r="I195" s="0" t="n">
        <f aca="false">E195</f>
        <v>0.375</v>
      </c>
      <c r="J195" s="0" t="n">
        <f aca="false">F195</f>
        <v>-0.625</v>
      </c>
      <c r="K195" s="0" t="n">
        <f aca="false">D195*E195</f>
        <v>-0.375</v>
      </c>
      <c r="L195" s="0" t="n">
        <f aca="false">D195*F195</f>
        <v>0.625</v>
      </c>
      <c r="M195" s="0" t="n">
        <f aca="false">E195*F195</f>
        <v>-0.234375</v>
      </c>
      <c r="N195" s="0" t="n">
        <f aca="false">D195*D195</f>
        <v>1</v>
      </c>
      <c r="O195" s="0" t="n">
        <f aca="false">E195*E195</f>
        <v>0.140625</v>
      </c>
      <c r="P195" s="0" t="n">
        <f aca="false">F195*F195</f>
        <v>0.390625</v>
      </c>
      <c r="Q195" s="0" t="n">
        <f aca="false">SUMPRODUCT(G195:P195,_XtX!$B$71:$K$71)</f>
        <v>41.7938352272727</v>
      </c>
      <c r="R195" s="0" t="n">
        <f aca="false">SUMPRODUCT(MMULT(G195:P195,_XtX!$B$58:$K$67),G195:P195)</f>
        <v>0.471821178089489</v>
      </c>
      <c r="S195" s="0" t="n">
        <f aca="false">04_回帰ANOVA!$K$19*04_回帰ANOVA!$K$14*SQRT(1+R195)</f>
        <v>1.12796119746125</v>
      </c>
      <c r="T195" s="0" t="n">
        <f aca="false">Q195-S195</f>
        <v>40.6658740298115</v>
      </c>
      <c r="U195" s="0" t="n">
        <f aca="false">Q195+S195</f>
        <v>42.921796424734</v>
      </c>
      <c r="V195" s="54" t="b">
        <f aca="false">AND(D195&gt;=01_因子設定!$L$5-0.000000001,D195&lt;=01_因子設定!$M$5+0.000000001,E195&gt;=01_因子設定!$L$6-0.000000001,E195&lt;=01_因子設定!$M$6+0.000000001,F195&gt;=01_因子設定!$L$7-0.000000001,F195&lt;=01_因子設定!$M$7+0.000000001,IF(01_因子設定!$B$20="Box-Behnken",D195^2+E195^2+F195^2&lt;=2+0.000000001,TRUE()))</f>
        <v>1</v>
      </c>
      <c r="W195" s="55" t="n">
        <f aca="false">IF(V195,IF(01_因子設定!$B$13="最大化",T195-01_因子設定!$B$14,IF(01_因子設定!$B$13="最小化",01_因子設定!$B$15-U195,MIN(T195-01_因子設定!$B$14,01_因子設定!$B$15-U195))),-1E+030)</f>
        <v>-7.83412597018853</v>
      </c>
      <c r="X195" s="55" t="n">
        <f aca="false">IF(V195,IF(01_因子設定!$B$13="最大化",Q195,IF(01_因子設定!$B$13="最小化",-Q195,-ABS(Q195-01_因子設定!$B$16))),-1E+030)</f>
        <v>41.7938352272727</v>
      </c>
      <c r="Y195" s="55" t="n">
        <f aca="false">W195+ROW()*0.000000001</f>
        <v>-7.83412577518853</v>
      </c>
      <c r="Z195" s="55" t="n">
        <f aca="false">X195+ROW()*0.000000001</f>
        <v>41.7938354222727</v>
      </c>
    </row>
    <row r="196" customFormat="false" ht="15" hidden="false" customHeight="false" outlineLevel="0" collapsed="false">
      <c r="A196" s="0" t="n">
        <v>0</v>
      </c>
      <c r="B196" s="0" t="n">
        <v>11</v>
      </c>
      <c r="C196" s="0" t="n">
        <v>4</v>
      </c>
      <c r="D196" s="0" t="n">
        <f aca="false">-1+A196*0.125</f>
        <v>-1</v>
      </c>
      <c r="E196" s="0" t="n">
        <f aca="false">-1+B196*0.125</f>
        <v>0.375</v>
      </c>
      <c r="F196" s="0" t="n">
        <f aca="false">-1+C196*0.125</f>
        <v>-0.5</v>
      </c>
      <c r="G196" s="0" t="n">
        <f aca="false">1</f>
        <v>1</v>
      </c>
      <c r="H196" s="0" t="n">
        <f aca="false">D196</f>
        <v>-1</v>
      </c>
      <c r="I196" s="0" t="n">
        <f aca="false">E196</f>
        <v>0.375</v>
      </c>
      <c r="J196" s="0" t="n">
        <f aca="false">F196</f>
        <v>-0.5</v>
      </c>
      <c r="K196" s="0" t="n">
        <f aca="false">D196*E196</f>
        <v>-0.375</v>
      </c>
      <c r="L196" s="0" t="n">
        <f aca="false">D196*F196</f>
        <v>0.5</v>
      </c>
      <c r="M196" s="0" t="n">
        <f aca="false">E196*F196</f>
        <v>-0.1875</v>
      </c>
      <c r="N196" s="0" t="n">
        <f aca="false">D196*D196</f>
        <v>1</v>
      </c>
      <c r="O196" s="0" t="n">
        <f aca="false">E196*E196</f>
        <v>0.140625</v>
      </c>
      <c r="P196" s="0" t="n">
        <f aca="false">F196*F196</f>
        <v>0.25</v>
      </c>
      <c r="Q196" s="0" t="n">
        <f aca="false">SUMPRODUCT(G196:P196,_XtX!$B$71:$K$71)</f>
        <v>42.1717329545455</v>
      </c>
      <c r="R196" s="0" t="n">
        <f aca="false">SUMPRODUCT(MMULT(G196:P196,_XtX!$B$58:$K$67),G196:P196)</f>
        <v>0.461479048295455</v>
      </c>
      <c r="S196" s="0" t="n">
        <f aca="false">04_回帰ANOVA!$K$19*04_回帰ANOVA!$K$14*SQRT(1+R196)</f>
        <v>1.12399125658369</v>
      </c>
      <c r="T196" s="0" t="n">
        <f aca="false">Q196-S196</f>
        <v>41.0477416979618</v>
      </c>
      <c r="U196" s="0" t="n">
        <f aca="false">Q196+S196</f>
        <v>43.2957242111291</v>
      </c>
      <c r="V196" s="54" t="b">
        <f aca="false">AND(D196&gt;=01_因子設定!$L$5-0.000000001,D196&lt;=01_因子設定!$M$5+0.000000001,E196&gt;=01_因子設定!$L$6-0.000000001,E196&lt;=01_因子設定!$M$6+0.000000001,F196&gt;=01_因子設定!$L$7-0.000000001,F196&lt;=01_因子設定!$M$7+0.000000001,IF(01_因子設定!$B$20="Box-Behnken",D196^2+E196^2+F196^2&lt;=2+0.000000001,TRUE()))</f>
        <v>1</v>
      </c>
      <c r="W196" s="55" t="n">
        <f aca="false">IF(V196,IF(01_因子設定!$B$13="最大化",T196-01_因子設定!$B$14,IF(01_因子設定!$B$13="最小化",01_因子設定!$B$15-U196,MIN(T196-01_因子設定!$B$14,01_因子設定!$B$15-U196))),-1E+030)</f>
        <v>-7.45225830203824</v>
      </c>
      <c r="X196" s="55" t="n">
        <f aca="false">IF(V196,IF(01_因子設定!$B$13="最大化",Q196,IF(01_因子設定!$B$13="最小化",-Q196,-ABS(Q196-01_因子設定!$B$16))),-1E+030)</f>
        <v>42.1717329545455</v>
      </c>
      <c r="Y196" s="55" t="n">
        <f aca="false">W196+ROW()*0.000000001</f>
        <v>-7.45225810603824</v>
      </c>
      <c r="Z196" s="55" t="n">
        <f aca="false">X196+ROW()*0.000000001</f>
        <v>42.1717331505455</v>
      </c>
    </row>
    <row r="197" customFormat="false" ht="15" hidden="false" customHeight="false" outlineLevel="0" collapsed="false">
      <c r="A197" s="0" t="n">
        <v>0</v>
      </c>
      <c r="B197" s="0" t="n">
        <v>11</v>
      </c>
      <c r="C197" s="0" t="n">
        <v>5</v>
      </c>
      <c r="D197" s="0" t="n">
        <f aca="false">-1+A197*0.125</f>
        <v>-1</v>
      </c>
      <c r="E197" s="0" t="n">
        <f aca="false">-1+B197*0.125</f>
        <v>0.375</v>
      </c>
      <c r="F197" s="0" t="n">
        <f aca="false">-1+C197*0.125</f>
        <v>-0.375</v>
      </c>
      <c r="G197" s="0" t="n">
        <f aca="false">1</f>
        <v>1</v>
      </c>
      <c r="H197" s="0" t="n">
        <f aca="false">D197</f>
        <v>-1</v>
      </c>
      <c r="I197" s="0" t="n">
        <f aca="false">E197</f>
        <v>0.375</v>
      </c>
      <c r="J197" s="0" t="n">
        <f aca="false">F197</f>
        <v>-0.375</v>
      </c>
      <c r="K197" s="0" t="n">
        <f aca="false">D197*E197</f>
        <v>-0.375</v>
      </c>
      <c r="L197" s="0" t="n">
        <f aca="false">D197*F197</f>
        <v>0.375</v>
      </c>
      <c r="M197" s="0" t="n">
        <f aca="false">E197*F197</f>
        <v>-0.140625</v>
      </c>
      <c r="N197" s="0" t="n">
        <f aca="false">D197*D197</f>
        <v>1</v>
      </c>
      <c r="O197" s="0" t="n">
        <f aca="false">E197*E197</f>
        <v>0.140625</v>
      </c>
      <c r="P197" s="0" t="n">
        <f aca="false">F197*F197</f>
        <v>0.140625</v>
      </c>
      <c r="Q197" s="0" t="n">
        <f aca="false">SUMPRODUCT(G197:P197,_XtX!$B$71:$K$71)</f>
        <v>42.5128409090909</v>
      </c>
      <c r="R197" s="0" t="n">
        <f aca="false">SUMPRODUCT(MMULT(G197:P197,_XtX!$B$58:$K$67),G197:P197)</f>
        <v>0.463378351384943</v>
      </c>
      <c r="S197" s="0" t="n">
        <f aca="false">04_回帰ANOVA!$K$19*04_回帰ANOVA!$K$14*SQRT(1+R197)</f>
        <v>1.12472137547772</v>
      </c>
      <c r="T197" s="0" t="n">
        <f aca="false">Q197-S197</f>
        <v>41.3881195336132</v>
      </c>
      <c r="U197" s="0" t="n">
        <f aca="false">Q197+S197</f>
        <v>43.6375622845686</v>
      </c>
      <c r="V197" s="54" t="b">
        <f aca="false">AND(D197&gt;=01_因子設定!$L$5-0.000000001,D197&lt;=01_因子設定!$M$5+0.000000001,E197&gt;=01_因子設定!$L$6-0.000000001,E197&lt;=01_因子設定!$M$6+0.000000001,F197&gt;=01_因子設定!$L$7-0.000000001,F197&lt;=01_因子設定!$M$7+0.000000001,IF(01_因子設定!$B$20="Box-Behnken",D197^2+E197^2+F197^2&lt;=2+0.000000001,TRUE()))</f>
        <v>1</v>
      </c>
      <c r="W197" s="55" t="n">
        <f aca="false">IF(V197,IF(01_因子設定!$B$13="最大化",T197-01_因子設定!$B$14,IF(01_因子設定!$B$13="最小化",01_因子設定!$B$15-U197,MIN(T197-01_因子設定!$B$14,01_因子設定!$B$15-U197))),-1E+030)</f>
        <v>-7.11188046638682</v>
      </c>
      <c r="X197" s="55" t="n">
        <f aca="false">IF(V197,IF(01_因子設定!$B$13="最大化",Q197,IF(01_因子設定!$B$13="最小化",-Q197,-ABS(Q197-01_因子設定!$B$16))),-1E+030)</f>
        <v>42.5128409090909</v>
      </c>
      <c r="Y197" s="55" t="n">
        <f aca="false">W197+ROW()*0.000000001</f>
        <v>-7.11188026938682</v>
      </c>
      <c r="Z197" s="55" t="n">
        <f aca="false">X197+ROW()*0.000000001</f>
        <v>42.5128411060909</v>
      </c>
    </row>
    <row r="198" customFormat="false" ht="15" hidden="false" customHeight="false" outlineLevel="0" collapsed="false">
      <c r="A198" s="0" t="n">
        <v>0</v>
      </c>
      <c r="B198" s="0" t="n">
        <v>11</v>
      </c>
      <c r="C198" s="0" t="n">
        <v>6</v>
      </c>
      <c r="D198" s="0" t="n">
        <f aca="false">-1+A198*0.125</f>
        <v>-1</v>
      </c>
      <c r="E198" s="0" t="n">
        <f aca="false">-1+B198*0.125</f>
        <v>0.375</v>
      </c>
      <c r="F198" s="0" t="n">
        <f aca="false">-1+C198*0.125</f>
        <v>-0.25</v>
      </c>
      <c r="G198" s="0" t="n">
        <f aca="false">1</f>
        <v>1</v>
      </c>
      <c r="H198" s="0" t="n">
        <f aca="false">D198</f>
        <v>-1</v>
      </c>
      <c r="I198" s="0" t="n">
        <f aca="false">E198</f>
        <v>0.375</v>
      </c>
      <c r="J198" s="0" t="n">
        <f aca="false">F198</f>
        <v>-0.25</v>
      </c>
      <c r="K198" s="0" t="n">
        <f aca="false">D198*E198</f>
        <v>-0.375</v>
      </c>
      <c r="L198" s="0" t="n">
        <f aca="false">D198*F198</f>
        <v>0.25</v>
      </c>
      <c r="M198" s="0" t="n">
        <f aca="false">E198*F198</f>
        <v>-0.09375</v>
      </c>
      <c r="N198" s="0" t="n">
        <f aca="false">D198*D198</f>
        <v>1</v>
      </c>
      <c r="O198" s="0" t="n">
        <f aca="false">E198*E198</f>
        <v>0.140625</v>
      </c>
      <c r="P198" s="0" t="n">
        <f aca="false">F198*F198</f>
        <v>0.0625</v>
      </c>
      <c r="Q198" s="0" t="n">
        <f aca="false">SUMPRODUCT(G198:P198,_XtX!$B$71:$K$71)</f>
        <v>42.8171590909091</v>
      </c>
      <c r="R198" s="0" t="n">
        <f aca="false">SUMPRODUCT(MMULT(G198:P198,_XtX!$B$58:$K$67),G198:P198)</f>
        <v>0.470061700994318</v>
      </c>
      <c r="S198" s="0" t="n">
        <f aca="false">04_回帰ANOVA!$K$19*04_回帰ANOVA!$K$14*SQRT(1+R198)</f>
        <v>1.12728678965931</v>
      </c>
      <c r="T198" s="0" t="n">
        <f aca="false">Q198-S198</f>
        <v>41.6898723012498</v>
      </c>
      <c r="U198" s="0" t="n">
        <f aca="false">Q198+S198</f>
        <v>43.9444458805684</v>
      </c>
      <c r="V198" s="54" t="b">
        <f aca="false">AND(D198&gt;=01_因子設定!$L$5-0.000000001,D198&lt;=01_因子設定!$M$5+0.000000001,E198&gt;=01_因子設定!$L$6-0.000000001,E198&lt;=01_因子設定!$M$6+0.000000001,F198&gt;=01_因子設定!$L$7-0.000000001,F198&lt;=01_因子設定!$M$7+0.000000001,IF(01_因子設定!$B$20="Box-Behnken",D198^2+E198^2+F198^2&lt;=2+0.000000001,TRUE()))</f>
        <v>1</v>
      </c>
      <c r="W198" s="55" t="n">
        <f aca="false">IF(V198,IF(01_因子設定!$B$13="最大化",T198-01_因子設定!$B$14,IF(01_因子設定!$B$13="最小化",01_因子設定!$B$15-U198,MIN(T198-01_因子設定!$B$14,01_因子設定!$B$15-U198))),-1E+030)</f>
        <v>-6.81012769875023</v>
      </c>
      <c r="X198" s="55" t="n">
        <f aca="false">IF(V198,IF(01_因子設定!$B$13="最大化",Q198,IF(01_因子設定!$B$13="最小化",-Q198,-ABS(Q198-01_因子設定!$B$16))),-1E+030)</f>
        <v>42.8171590909091</v>
      </c>
      <c r="Y198" s="55" t="n">
        <f aca="false">W198+ROW()*0.000000001</f>
        <v>-6.81012750075023</v>
      </c>
      <c r="Z198" s="55" t="n">
        <f aca="false">X198+ROW()*0.000000001</f>
        <v>42.8171592889091</v>
      </c>
    </row>
    <row r="199" customFormat="false" ht="15" hidden="false" customHeight="false" outlineLevel="0" collapsed="false">
      <c r="A199" s="0" t="n">
        <v>0</v>
      </c>
      <c r="B199" s="0" t="n">
        <v>11</v>
      </c>
      <c r="C199" s="0" t="n">
        <v>7</v>
      </c>
      <c r="D199" s="0" t="n">
        <f aca="false">-1+A199*0.125</f>
        <v>-1</v>
      </c>
      <c r="E199" s="0" t="n">
        <f aca="false">-1+B199*0.125</f>
        <v>0.375</v>
      </c>
      <c r="F199" s="0" t="n">
        <f aca="false">-1+C199*0.125</f>
        <v>-0.125</v>
      </c>
      <c r="G199" s="0" t="n">
        <f aca="false">1</f>
        <v>1</v>
      </c>
      <c r="H199" s="0" t="n">
        <f aca="false">D199</f>
        <v>-1</v>
      </c>
      <c r="I199" s="0" t="n">
        <f aca="false">E199</f>
        <v>0.375</v>
      </c>
      <c r="J199" s="0" t="n">
        <f aca="false">F199</f>
        <v>-0.125</v>
      </c>
      <c r="K199" s="0" t="n">
        <f aca="false">D199*E199</f>
        <v>-0.375</v>
      </c>
      <c r="L199" s="0" t="n">
        <f aca="false">D199*F199</f>
        <v>0.125</v>
      </c>
      <c r="M199" s="0" t="n">
        <f aca="false">E199*F199</f>
        <v>-0.046875</v>
      </c>
      <c r="N199" s="0" t="n">
        <f aca="false">D199*D199</f>
        <v>1</v>
      </c>
      <c r="O199" s="0" t="n">
        <f aca="false">E199*E199</f>
        <v>0.140625</v>
      </c>
      <c r="P199" s="0" t="n">
        <f aca="false">F199*F199</f>
        <v>0.015625</v>
      </c>
      <c r="Q199" s="0" t="n">
        <f aca="false">SUMPRODUCT(G199:P199,_XtX!$B$71:$K$71)</f>
        <v>43.0846875</v>
      </c>
      <c r="R199" s="0" t="n">
        <f aca="false">SUMPRODUCT(MMULT(G199:P199,_XtX!$B$58:$K$67),G199:P199)</f>
        <v>0.476202392578125</v>
      </c>
      <c r="S199" s="0" t="n">
        <f aca="false">04_回帰ANOVA!$K$19*04_回帰ANOVA!$K$14*SQRT(1+R199)</f>
        <v>1.12963876802721</v>
      </c>
      <c r="T199" s="0" t="n">
        <f aca="false">Q199-S199</f>
        <v>41.9550487319728</v>
      </c>
      <c r="U199" s="0" t="n">
        <f aca="false">Q199+S199</f>
        <v>44.2143262680272</v>
      </c>
      <c r="V199" s="54" t="b">
        <f aca="false">AND(D199&gt;=01_因子設定!$L$5-0.000000001,D199&lt;=01_因子設定!$M$5+0.000000001,E199&gt;=01_因子設定!$L$6-0.000000001,E199&lt;=01_因子設定!$M$6+0.000000001,F199&gt;=01_因子設定!$L$7-0.000000001,F199&lt;=01_因子設定!$M$7+0.000000001,IF(01_因子設定!$B$20="Box-Behnken",D199^2+E199^2+F199^2&lt;=2+0.000000001,TRUE()))</f>
        <v>1</v>
      </c>
      <c r="W199" s="55" t="n">
        <f aca="false">IF(V199,IF(01_因子設定!$B$13="最大化",T199-01_因子設定!$B$14,IF(01_因子設定!$B$13="最小化",01_因子設定!$B$15-U199,MIN(T199-01_因子設定!$B$14,01_因子設定!$B$15-U199))),-1E+030)</f>
        <v>-6.54495126802722</v>
      </c>
      <c r="X199" s="55" t="n">
        <f aca="false">IF(V199,IF(01_因子設定!$B$13="最大化",Q199,IF(01_因子設定!$B$13="最小化",-Q199,-ABS(Q199-01_因子設定!$B$16))),-1E+030)</f>
        <v>43.0846875</v>
      </c>
      <c r="Y199" s="55" t="n">
        <f aca="false">W199+ROW()*0.000000001</f>
        <v>-6.54495106902722</v>
      </c>
      <c r="Z199" s="55" t="n">
        <f aca="false">X199+ROW()*0.000000001</f>
        <v>43.084687699</v>
      </c>
    </row>
    <row r="200" customFormat="false" ht="15" hidden="false" customHeight="false" outlineLevel="0" collapsed="false">
      <c r="A200" s="0" t="n">
        <v>0</v>
      </c>
      <c r="B200" s="0" t="n">
        <v>11</v>
      </c>
      <c r="C200" s="0" t="n">
        <v>8</v>
      </c>
      <c r="D200" s="0" t="n">
        <f aca="false">-1+A200*0.125</f>
        <v>-1</v>
      </c>
      <c r="E200" s="0" t="n">
        <f aca="false">-1+B200*0.125</f>
        <v>0.375</v>
      </c>
      <c r="F200" s="0" t="n">
        <f aca="false">-1+C200*0.125</f>
        <v>0</v>
      </c>
      <c r="G200" s="0" t="n">
        <f aca="false">1</f>
        <v>1</v>
      </c>
      <c r="H200" s="0" t="n">
        <f aca="false">D200</f>
        <v>-1</v>
      </c>
      <c r="I200" s="0" t="n">
        <f aca="false">E200</f>
        <v>0.375</v>
      </c>
      <c r="J200" s="0" t="n">
        <f aca="false">F200</f>
        <v>0</v>
      </c>
      <c r="K200" s="0" t="n">
        <f aca="false">D200*E200</f>
        <v>-0.375</v>
      </c>
      <c r="L200" s="0" t="n">
        <f aca="false">D200*F200</f>
        <v>-0</v>
      </c>
      <c r="M200" s="0" t="n">
        <f aca="false">E200*F200</f>
        <v>0</v>
      </c>
      <c r="N200" s="0" t="n">
        <f aca="false">D200*D200</f>
        <v>1</v>
      </c>
      <c r="O200" s="0" t="n">
        <f aca="false">E200*E200</f>
        <v>0.140625</v>
      </c>
      <c r="P200" s="0" t="n">
        <f aca="false">F200*F200</f>
        <v>0</v>
      </c>
      <c r="Q200" s="0" t="n">
        <f aca="false">SUMPRODUCT(G200:P200,_XtX!$B$71:$K$71)</f>
        <v>43.3154261363636</v>
      </c>
      <c r="R200" s="0" t="n">
        <f aca="false">SUMPRODUCT(MMULT(G200:P200,_XtX!$B$58:$K$67),G200:P200)</f>
        <v>0.478604403409091</v>
      </c>
      <c r="S200" s="0" t="n">
        <f aca="false">04_回帰ANOVA!$K$19*04_回帰ANOVA!$K$14*SQRT(1+R200)</f>
        <v>1.13055744343508</v>
      </c>
      <c r="T200" s="0" t="n">
        <f aca="false">Q200-S200</f>
        <v>42.1848686929285</v>
      </c>
      <c r="U200" s="0" t="n">
        <f aca="false">Q200+S200</f>
        <v>44.4459835797987</v>
      </c>
      <c r="V200" s="54" t="b">
        <f aca="false">AND(D200&gt;=01_因子設定!$L$5-0.000000001,D200&lt;=01_因子設定!$M$5+0.000000001,E200&gt;=01_因子設定!$L$6-0.000000001,E200&lt;=01_因子設定!$M$6+0.000000001,F200&gt;=01_因子設定!$L$7-0.000000001,F200&lt;=01_因子設定!$M$7+0.000000001,IF(01_因子設定!$B$20="Box-Behnken",D200^2+E200^2+F200^2&lt;=2+0.000000001,TRUE()))</f>
        <v>1</v>
      </c>
      <c r="W200" s="55" t="n">
        <f aca="false">IF(V200,IF(01_因子設定!$B$13="最大化",T200-01_因子設定!$B$14,IF(01_因子設定!$B$13="最小化",01_因子設定!$B$15-U200,MIN(T200-01_因子設定!$B$14,01_因子設定!$B$15-U200))),-1E+030)</f>
        <v>-6.31513130707145</v>
      </c>
      <c r="X200" s="55" t="n">
        <f aca="false">IF(V200,IF(01_因子設定!$B$13="最大化",Q200,IF(01_因子設定!$B$13="最小化",-Q200,-ABS(Q200-01_因子設定!$B$16))),-1E+030)</f>
        <v>43.3154261363636</v>
      </c>
      <c r="Y200" s="55" t="n">
        <f aca="false">W200+ROW()*0.000000001</f>
        <v>-6.31513110707145</v>
      </c>
      <c r="Z200" s="55" t="n">
        <f aca="false">X200+ROW()*0.000000001</f>
        <v>43.3154263363636</v>
      </c>
    </row>
    <row r="201" customFormat="false" ht="15" hidden="false" customHeight="false" outlineLevel="0" collapsed="false">
      <c r="A201" s="0" t="n">
        <v>0</v>
      </c>
      <c r="B201" s="0" t="n">
        <v>11</v>
      </c>
      <c r="C201" s="0" t="n">
        <v>9</v>
      </c>
      <c r="D201" s="0" t="n">
        <f aca="false">-1+A201*0.125</f>
        <v>-1</v>
      </c>
      <c r="E201" s="0" t="n">
        <f aca="false">-1+B201*0.125</f>
        <v>0.375</v>
      </c>
      <c r="F201" s="0" t="n">
        <f aca="false">-1+C201*0.125</f>
        <v>0.125</v>
      </c>
      <c r="G201" s="0" t="n">
        <f aca="false">1</f>
        <v>1</v>
      </c>
      <c r="H201" s="0" t="n">
        <f aca="false">D201</f>
        <v>-1</v>
      </c>
      <c r="I201" s="0" t="n">
        <f aca="false">E201</f>
        <v>0.375</v>
      </c>
      <c r="J201" s="0" t="n">
        <f aca="false">F201</f>
        <v>0.125</v>
      </c>
      <c r="K201" s="0" t="n">
        <f aca="false">D201*E201</f>
        <v>-0.375</v>
      </c>
      <c r="L201" s="0" t="n">
        <f aca="false">D201*F201</f>
        <v>-0.125</v>
      </c>
      <c r="M201" s="0" t="n">
        <f aca="false">E201*F201</f>
        <v>0.046875</v>
      </c>
      <c r="N201" s="0" t="n">
        <f aca="false">D201*D201</f>
        <v>1</v>
      </c>
      <c r="O201" s="0" t="n">
        <f aca="false">E201*E201</f>
        <v>0.140625</v>
      </c>
      <c r="P201" s="0" t="n">
        <f aca="false">F201*F201</f>
        <v>0.015625</v>
      </c>
      <c r="Q201" s="0" t="n">
        <f aca="false">SUMPRODUCT(G201:P201,_XtX!$B$71:$K$71)</f>
        <v>43.509375</v>
      </c>
      <c r="R201" s="0" t="n">
        <f aca="false">SUMPRODUCT(MMULT(G201:P201,_XtX!$B$58:$K$67),G201:P201)</f>
        <v>0.476202392578125</v>
      </c>
      <c r="S201" s="0" t="n">
        <f aca="false">04_回帰ANOVA!$K$19*04_回帰ANOVA!$K$14*SQRT(1+R201)</f>
        <v>1.12963876802721</v>
      </c>
      <c r="T201" s="0" t="n">
        <f aca="false">Q201-S201</f>
        <v>42.3797362319728</v>
      </c>
      <c r="U201" s="0" t="n">
        <f aca="false">Q201+S201</f>
        <v>44.6390137680272</v>
      </c>
      <c r="V201" s="54" t="b">
        <f aca="false">AND(D201&gt;=01_因子設定!$L$5-0.000000001,D201&lt;=01_因子設定!$M$5+0.000000001,E201&gt;=01_因子設定!$L$6-0.000000001,E201&lt;=01_因子設定!$M$6+0.000000001,F201&gt;=01_因子設定!$L$7-0.000000001,F201&lt;=01_因子設定!$M$7+0.000000001,IF(01_因子設定!$B$20="Box-Behnken",D201^2+E201^2+F201^2&lt;=2+0.000000001,TRUE()))</f>
        <v>1</v>
      </c>
      <c r="W201" s="55" t="n">
        <f aca="false">IF(V201,IF(01_因子設定!$B$13="最大化",T201-01_因子設定!$B$14,IF(01_因子設定!$B$13="最小化",01_因子設定!$B$15-U201,MIN(T201-01_因子設定!$B$14,01_因子設定!$B$15-U201))),-1E+030)</f>
        <v>-6.12026376802722</v>
      </c>
      <c r="X201" s="55" t="n">
        <f aca="false">IF(V201,IF(01_因子設定!$B$13="最大化",Q201,IF(01_因子設定!$B$13="最小化",-Q201,-ABS(Q201-01_因子設定!$B$16))),-1E+030)</f>
        <v>43.509375</v>
      </c>
      <c r="Y201" s="55" t="n">
        <f aca="false">W201+ROW()*0.000000001</f>
        <v>-6.12026356702722</v>
      </c>
      <c r="Z201" s="55" t="n">
        <f aca="false">X201+ROW()*0.000000001</f>
        <v>43.509375201</v>
      </c>
    </row>
    <row r="202" customFormat="false" ht="15" hidden="false" customHeight="false" outlineLevel="0" collapsed="false">
      <c r="A202" s="0" t="n">
        <v>0</v>
      </c>
      <c r="B202" s="0" t="n">
        <v>11</v>
      </c>
      <c r="C202" s="0" t="n">
        <v>10</v>
      </c>
      <c r="D202" s="0" t="n">
        <f aca="false">-1+A202*0.125</f>
        <v>-1</v>
      </c>
      <c r="E202" s="0" t="n">
        <f aca="false">-1+B202*0.125</f>
        <v>0.375</v>
      </c>
      <c r="F202" s="0" t="n">
        <f aca="false">-1+C202*0.125</f>
        <v>0.25</v>
      </c>
      <c r="G202" s="0" t="n">
        <f aca="false">1</f>
        <v>1</v>
      </c>
      <c r="H202" s="0" t="n">
        <f aca="false">D202</f>
        <v>-1</v>
      </c>
      <c r="I202" s="0" t="n">
        <f aca="false">E202</f>
        <v>0.375</v>
      </c>
      <c r="J202" s="0" t="n">
        <f aca="false">F202</f>
        <v>0.25</v>
      </c>
      <c r="K202" s="0" t="n">
        <f aca="false">D202*E202</f>
        <v>-0.375</v>
      </c>
      <c r="L202" s="0" t="n">
        <f aca="false">D202*F202</f>
        <v>-0.25</v>
      </c>
      <c r="M202" s="0" t="n">
        <f aca="false">E202*F202</f>
        <v>0.09375</v>
      </c>
      <c r="N202" s="0" t="n">
        <f aca="false">D202*D202</f>
        <v>1</v>
      </c>
      <c r="O202" s="0" t="n">
        <f aca="false">E202*E202</f>
        <v>0.140625</v>
      </c>
      <c r="P202" s="0" t="n">
        <f aca="false">F202*F202</f>
        <v>0.0625</v>
      </c>
      <c r="Q202" s="0" t="n">
        <f aca="false">SUMPRODUCT(G202:P202,_XtX!$B$71:$K$71)</f>
        <v>43.6665340909091</v>
      </c>
      <c r="R202" s="0" t="n">
        <f aca="false">SUMPRODUCT(MMULT(G202:P202,_XtX!$B$58:$K$67),G202:P202)</f>
        <v>0.470061700994318</v>
      </c>
      <c r="S202" s="0" t="n">
        <f aca="false">04_回帰ANOVA!$K$19*04_回帰ANOVA!$K$14*SQRT(1+R202)</f>
        <v>1.12728678965931</v>
      </c>
      <c r="T202" s="0" t="n">
        <f aca="false">Q202-S202</f>
        <v>42.5392473012498</v>
      </c>
      <c r="U202" s="0" t="n">
        <f aca="false">Q202+S202</f>
        <v>44.7938208805684</v>
      </c>
      <c r="V202" s="54" t="b">
        <f aca="false">AND(D202&gt;=01_因子設定!$L$5-0.000000001,D202&lt;=01_因子設定!$M$5+0.000000001,E202&gt;=01_因子設定!$L$6-0.000000001,E202&lt;=01_因子設定!$M$6+0.000000001,F202&gt;=01_因子設定!$L$7-0.000000001,F202&lt;=01_因子設定!$M$7+0.000000001,IF(01_因子設定!$B$20="Box-Behnken",D202^2+E202^2+F202^2&lt;=2+0.000000001,TRUE()))</f>
        <v>1</v>
      </c>
      <c r="W202" s="55" t="n">
        <f aca="false">IF(V202,IF(01_因子設定!$B$13="最大化",T202-01_因子設定!$B$14,IF(01_因子設定!$B$13="最小化",01_因子設定!$B$15-U202,MIN(T202-01_因子設定!$B$14,01_因子設定!$B$15-U202))),-1E+030)</f>
        <v>-5.96075269875023</v>
      </c>
      <c r="X202" s="55" t="n">
        <f aca="false">IF(V202,IF(01_因子設定!$B$13="最大化",Q202,IF(01_因子設定!$B$13="最小化",-Q202,-ABS(Q202-01_因子設定!$B$16))),-1E+030)</f>
        <v>43.6665340909091</v>
      </c>
      <c r="Y202" s="55" t="n">
        <f aca="false">W202+ROW()*0.000000001</f>
        <v>-5.96075249675023</v>
      </c>
      <c r="Z202" s="55" t="n">
        <f aca="false">X202+ROW()*0.000000001</f>
        <v>43.6665342929091</v>
      </c>
    </row>
    <row r="203" customFormat="false" ht="15" hidden="false" customHeight="false" outlineLevel="0" collapsed="false">
      <c r="A203" s="0" t="n">
        <v>0</v>
      </c>
      <c r="B203" s="0" t="n">
        <v>11</v>
      </c>
      <c r="C203" s="0" t="n">
        <v>11</v>
      </c>
      <c r="D203" s="0" t="n">
        <f aca="false">-1+A203*0.125</f>
        <v>-1</v>
      </c>
      <c r="E203" s="0" t="n">
        <f aca="false">-1+B203*0.125</f>
        <v>0.375</v>
      </c>
      <c r="F203" s="0" t="n">
        <f aca="false">-1+C203*0.125</f>
        <v>0.375</v>
      </c>
      <c r="G203" s="0" t="n">
        <f aca="false">1</f>
        <v>1</v>
      </c>
      <c r="H203" s="0" t="n">
        <f aca="false">D203</f>
        <v>-1</v>
      </c>
      <c r="I203" s="0" t="n">
        <f aca="false">E203</f>
        <v>0.375</v>
      </c>
      <c r="J203" s="0" t="n">
        <f aca="false">F203</f>
        <v>0.375</v>
      </c>
      <c r="K203" s="0" t="n">
        <f aca="false">D203*E203</f>
        <v>-0.375</v>
      </c>
      <c r="L203" s="0" t="n">
        <f aca="false">D203*F203</f>
        <v>-0.375</v>
      </c>
      <c r="M203" s="0" t="n">
        <f aca="false">E203*F203</f>
        <v>0.140625</v>
      </c>
      <c r="N203" s="0" t="n">
        <f aca="false">D203*D203</f>
        <v>1</v>
      </c>
      <c r="O203" s="0" t="n">
        <f aca="false">E203*E203</f>
        <v>0.140625</v>
      </c>
      <c r="P203" s="0" t="n">
        <f aca="false">F203*F203</f>
        <v>0.140625</v>
      </c>
      <c r="Q203" s="0" t="n">
        <f aca="false">SUMPRODUCT(G203:P203,_XtX!$B$71:$K$71)</f>
        <v>43.7869034090909</v>
      </c>
      <c r="R203" s="0" t="n">
        <f aca="false">SUMPRODUCT(MMULT(G203:P203,_XtX!$B$58:$K$67),G203:P203)</f>
        <v>0.463378351384943</v>
      </c>
      <c r="S203" s="0" t="n">
        <f aca="false">04_回帰ANOVA!$K$19*04_回帰ANOVA!$K$14*SQRT(1+R203)</f>
        <v>1.12472137547772</v>
      </c>
      <c r="T203" s="0" t="n">
        <f aca="false">Q203-S203</f>
        <v>42.6621820336132</v>
      </c>
      <c r="U203" s="0" t="n">
        <f aca="false">Q203+S203</f>
        <v>44.9116247845686</v>
      </c>
      <c r="V203" s="54" t="b">
        <f aca="false">AND(D203&gt;=01_因子設定!$L$5-0.000000001,D203&lt;=01_因子設定!$M$5+0.000000001,E203&gt;=01_因子設定!$L$6-0.000000001,E203&lt;=01_因子設定!$M$6+0.000000001,F203&gt;=01_因子設定!$L$7-0.000000001,F203&lt;=01_因子設定!$M$7+0.000000001,IF(01_因子設定!$B$20="Box-Behnken",D203^2+E203^2+F203^2&lt;=2+0.000000001,TRUE()))</f>
        <v>1</v>
      </c>
      <c r="W203" s="55" t="n">
        <f aca="false">IF(V203,IF(01_因子設定!$B$13="最大化",T203-01_因子設定!$B$14,IF(01_因子設定!$B$13="最小化",01_因子設定!$B$15-U203,MIN(T203-01_因子設定!$B$14,01_因子設定!$B$15-U203))),-1E+030)</f>
        <v>-5.83781796638682</v>
      </c>
      <c r="X203" s="55" t="n">
        <f aca="false">IF(V203,IF(01_因子設定!$B$13="最大化",Q203,IF(01_因子設定!$B$13="最小化",-Q203,-ABS(Q203-01_因子設定!$B$16))),-1E+030)</f>
        <v>43.7869034090909</v>
      </c>
      <c r="Y203" s="55" t="n">
        <f aca="false">W203+ROW()*0.000000001</f>
        <v>-5.83781776338682</v>
      </c>
      <c r="Z203" s="55" t="n">
        <f aca="false">X203+ROW()*0.000000001</f>
        <v>43.7869036120909</v>
      </c>
    </row>
    <row r="204" customFormat="false" ht="15" hidden="false" customHeight="false" outlineLevel="0" collapsed="false">
      <c r="A204" s="0" t="n">
        <v>0</v>
      </c>
      <c r="B204" s="0" t="n">
        <v>11</v>
      </c>
      <c r="C204" s="0" t="n">
        <v>12</v>
      </c>
      <c r="D204" s="0" t="n">
        <f aca="false">-1+A204*0.125</f>
        <v>-1</v>
      </c>
      <c r="E204" s="0" t="n">
        <f aca="false">-1+B204*0.125</f>
        <v>0.375</v>
      </c>
      <c r="F204" s="0" t="n">
        <f aca="false">-1+C204*0.125</f>
        <v>0.5</v>
      </c>
      <c r="G204" s="0" t="n">
        <f aca="false">1</f>
        <v>1</v>
      </c>
      <c r="H204" s="0" t="n">
        <f aca="false">D204</f>
        <v>-1</v>
      </c>
      <c r="I204" s="0" t="n">
        <f aca="false">E204</f>
        <v>0.375</v>
      </c>
      <c r="J204" s="0" t="n">
        <f aca="false">F204</f>
        <v>0.5</v>
      </c>
      <c r="K204" s="0" t="n">
        <f aca="false">D204*E204</f>
        <v>-0.375</v>
      </c>
      <c r="L204" s="0" t="n">
        <f aca="false">D204*F204</f>
        <v>-0.5</v>
      </c>
      <c r="M204" s="0" t="n">
        <f aca="false">E204*F204</f>
        <v>0.1875</v>
      </c>
      <c r="N204" s="0" t="n">
        <f aca="false">D204*D204</f>
        <v>1</v>
      </c>
      <c r="O204" s="0" t="n">
        <f aca="false">E204*E204</f>
        <v>0.140625</v>
      </c>
      <c r="P204" s="0" t="n">
        <f aca="false">F204*F204</f>
        <v>0.25</v>
      </c>
      <c r="Q204" s="0" t="n">
        <f aca="false">SUMPRODUCT(G204:P204,_XtX!$B$71:$K$71)</f>
        <v>43.8704829545454</v>
      </c>
      <c r="R204" s="0" t="n">
        <f aca="false">SUMPRODUCT(MMULT(G204:P204,_XtX!$B$58:$K$67),G204:P204)</f>
        <v>0.461479048295455</v>
      </c>
      <c r="S204" s="0" t="n">
        <f aca="false">04_回帰ANOVA!$K$19*04_回帰ANOVA!$K$14*SQRT(1+R204)</f>
        <v>1.12399125658369</v>
      </c>
      <c r="T204" s="0" t="n">
        <f aca="false">Q204-S204</f>
        <v>42.7464916979618</v>
      </c>
      <c r="U204" s="0" t="n">
        <f aca="false">Q204+S204</f>
        <v>44.9944742111291</v>
      </c>
      <c r="V204" s="54" t="b">
        <f aca="false">AND(D204&gt;=01_因子設定!$L$5-0.000000001,D204&lt;=01_因子設定!$M$5+0.000000001,E204&gt;=01_因子設定!$L$6-0.000000001,E204&lt;=01_因子設定!$M$6+0.000000001,F204&gt;=01_因子設定!$L$7-0.000000001,F204&lt;=01_因子設定!$M$7+0.000000001,IF(01_因子設定!$B$20="Box-Behnken",D204^2+E204^2+F204^2&lt;=2+0.000000001,TRUE()))</f>
        <v>1</v>
      </c>
      <c r="W204" s="55" t="n">
        <f aca="false">IF(V204,IF(01_因子設定!$B$13="最大化",T204-01_因子設定!$B$14,IF(01_因子設定!$B$13="最小化",01_因子設定!$B$15-U204,MIN(T204-01_因子設定!$B$14,01_因子設定!$B$15-U204))),-1E+030)</f>
        <v>-5.75350830203824</v>
      </c>
      <c r="X204" s="55" t="n">
        <f aca="false">IF(V204,IF(01_因子設定!$B$13="最大化",Q204,IF(01_因子設定!$B$13="最小化",-Q204,-ABS(Q204-01_因子設定!$B$16))),-1E+030)</f>
        <v>43.8704829545454</v>
      </c>
      <c r="Y204" s="55" t="n">
        <f aca="false">W204+ROW()*0.000000001</f>
        <v>-5.75350809803824</v>
      </c>
      <c r="Z204" s="55" t="n">
        <f aca="false">X204+ROW()*0.000000001</f>
        <v>43.8704831585455</v>
      </c>
    </row>
    <row r="205" customFormat="false" ht="15" hidden="false" customHeight="false" outlineLevel="0" collapsed="false">
      <c r="A205" s="0" t="n">
        <v>0</v>
      </c>
      <c r="B205" s="0" t="n">
        <v>11</v>
      </c>
      <c r="C205" s="0" t="n">
        <v>13</v>
      </c>
      <c r="D205" s="0" t="n">
        <f aca="false">-1+A205*0.125</f>
        <v>-1</v>
      </c>
      <c r="E205" s="0" t="n">
        <f aca="false">-1+B205*0.125</f>
        <v>0.375</v>
      </c>
      <c r="F205" s="0" t="n">
        <f aca="false">-1+C205*0.125</f>
        <v>0.625</v>
      </c>
      <c r="G205" s="0" t="n">
        <f aca="false">1</f>
        <v>1</v>
      </c>
      <c r="H205" s="0" t="n">
        <f aca="false">D205</f>
        <v>-1</v>
      </c>
      <c r="I205" s="0" t="n">
        <f aca="false">E205</f>
        <v>0.375</v>
      </c>
      <c r="J205" s="0" t="n">
        <f aca="false">F205</f>
        <v>0.625</v>
      </c>
      <c r="K205" s="0" t="n">
        <f aca="false">D205*E205</f>
        <v>-0.375</v>
      </c>
      <c r="L205" s="0" t="n">
        <f aca="false">D205*F205</f>
        <v>-0.625</v>
      </c>
      <c r="M205" s="0" t="n">
        <f aca="false">E205*F205</f>
        <v>0.234375</v>
      </c>
      <c r="N205" s="0" t="n">
        <f aca="false">D205*D205</f>
        <v>1</v>
      </c>
      <c r="O205" s="0" t="n">
        <f aca="false">E205*E205</f>
        <v>0.140625</v>
      </c>
      <c r="P205" s="0" t="n">
        <f aca="false">F205*F205</f>
        <v>0.390625</v>
      </c>
      <c r="Q205" s="0" t="n">
        <f aca="false">SUMPRODUCT(G205:P205,_XtX!$B$71:$K$71)</f>
        <v>43.9172727272727</v>
      </c>
      <c r="R205" s="0" t="n">
        <f aca="false">SUMPRODUCT(MMULT(G205:P205,_XtX!$B$58:$K$67),G205:P205)</f>
        <v>0.471821178089489</v>
      </c>
      <c r="S205" s="0" t="n">
        <f aca="false">04_回帰ANOVA!$K$19*04_回帰ANOVA!$K$14*SQRT(1+R205)</f>
        <v>1.12796119746125</v>
      </c>
      <c r="T205" s="0" t="n">
        <f aca="false">Q205-S205</f>
        <v>42.7893115298115</v>
      </c>
      <c r="U205" s="0" t="n">
        <f aca="false">Q205+S205</f>
        <v>45.045233924734</v>
      </c>
      <c r="V205" s="54" t="b">
        <f aca="false">AND(D205&gt;=01_因子設定!$L$5-0.000000001,D205&lt;=01_因子設定!$M$5+0.000000001,E205&gt;=01_因子設定!$L$6-0.000000001,E205&lt;=01_因子設定!$M$6+0.000000001,F205&gt;=01_因子設定!$L$7-0.000000001,F205&lt;=01_因子設定!$M$7+0.000000001,IF(01_因子設定!$B$20="Box-Behnken",D205^2+E205^2+F205^2&lt;=2+0.000000001,TRUE()))</f>
        <v>1</v>
      </c>
      <c r="W205" s="55" t="n">
        <f aca="false">IF(V205,IF(01_因子設定!$B$13="最大化",T205-01_因子設定!$B$14,IF(01_因子設定!$B$13="最小化",01_因子設定!$B$15-U205,MIN(T205-01_因子設定!$B$14,01_因子設定!$B$15-U205))),-1E+030)</f>
        <v>-5.71068847018853</v>
      </c>
      <c r="X205" s="55" t="n">
        <f aca="false">IF(V205,IF(01_因子設定!$B$13="最大化",Q205,IF(01_因子設定!$B$13="最小化",-Q205,-ABS(Q205-01_因子設定!$B$16))),-1E+030)</f>
        <v>43.9172727272727</v>
      </c>
      <c r="Y205" s="55" t="n">
        <f aca="false">W205+ROW()*0.000000001</f>
        <v>-5.71068826518853</v>
      </c>
      <c r="Z205" s="55" t="n">
        <f aca="false">X205+ROW()*0.000000001</f>
        <v>43.9172729322727</v>
      </c>
    </row>
    <row r="206" customFormat="false" ht="15" hidden="false" customHeight="false" outlineLevel="0" collapsed="false">
      <c r="A206" s="0" t="n">
        <v>0</v>
      </c>
      <c r="B206" s="0" t="n">
        <v>11</v>
      </c>
      <c r="C206" s="0" t="n">
        <v>14</v>
      </c>
      <c r="D206" s="0" t="n">
        <f aca="false">-1+A206*0.125</f>
        <v>-1</v>
      </c>
      <c r="E206" s="0" t="n">
        <f aca="false">-1+B206*0.125</f>
        <v>0.375</v>
      </c>
      <c r="F206" s="0" t="n">
        <f aca="false">-1+C206*0.125</f>
        <v>0.75</v>
      </c>
      <c r="G206" s="0" t="n">
        <f aca="false">1</f>
        <v>1</v>
      </c>
      <c r="H206" s="0" t="n">
        <f aca="false">D206</f>
        <v>-1</v>
      </c>
      <c r="I206" s="0" t="n">
        <f aca="false">E206</f>
        <v>0.375</v>
      </c>
      <c r="J206" s="0" t="n">
        <f aca="false">F206</f>
        <v>0.75</v>
      </c>
      <c r="K206" s="0" t="n">
        <f aca="false">D206*E206</f>
        <v>-0.375</v>
      </c>
      <c r="L206" s="0" t="n">
        <f aca="false">D206*F206</f>
        <v>-0.75</v>
      </c>
      <c r="M206" s="0" t="n">
        <f aca="false">E206*F206</f>
        <v>0.28125</v>
      </c>
      <c r="N206" s="0" t="n">
        <f aca="false">D206*D206</f>
        <v>1</v>
      </c>
      <c r="O206" s="0" t="n">
        <f aca="false">E206*E206</f>
        <v>0.140625</v>
      </c>
      <c r="P206" s="0" t="n">
        <f aca="false">F206*F206</f>
        <v>0.5625</v>
      </c>
      <c r="Q206" s="0" t="n">
        <f aca="false">SUMPRODUCT(G206:P206,_XtX!$B$71:$K$71)</f>
        <v>43.9272727272727</v>
      </c>
      <c r="R206" s="0" t="n">
        <f aca="false">SUMPRODUCT(MMULT(G206:P206,_XtX!$B$58:$K$67),G206:P206)</f>
        <v>0.503992808948864</v>
      </c>
      <c r="S206" s="0" t="n">
        <f aca="false">04_回帰ANOVA!$K$19*04_回帰ANOVA!$K$14*SQRT(1+R206)</f>
        <v>1.14022226176226</v>
      </c>
      <c r="T206" s="0" t="n">
        <f aca="false">Q206-S206</f>
        <v>42.7870504655105</v>
      </c>
      <c r="U206" s="0" t="n">
        <f aca="false">Q206+S206</f>
        <v>45.067494989035</v>
      </c>
      <c r="V206" s="54" t="b">
        <f aca="false">AND(D206&gt;=01_因子設定!$L$5-0.000000001,D206&lt;=01_因子設定!$M$5+0.000000001,E206&gt;=01_因子設定!$L$6-0.000000001,E206&lt;=01_因子設定!$M$6+0.000000001,F206&gt;=01_因子設定!$L$7-0.000000001,F206&lt;=01_因子設定!$M$7+0.000000001,IF(01_因子設定!$B$20="Box-Behnken",D206^2+E206^2+F206^2&lt;=2+0.000000001,TRUE()))</f>
        <v>1</v>
      </c>
      <c r="W206" s="55" t="n">
        <f aca="false">IF(V206,IF(01_因子設定!$B$13="最大化",T206-01_因子設定!$B$14,IF(01_因子設定!$B$13="最小化",01_因子設定!$B$15-U206,MIN(T206-01_因子設定!$B$14,01_因子設定!$B$15-U206))),-1E+030)</f>
        <v>-5.71294953448954</v>
      </c>
      <c r="X206" s="55" t="n">
        <f aca="false">IF(V206,IF(01_因子設定!$B$13="最大化",Q206,IF(01_因子設定!$B$13="最小化",-Q206,-ABS(Q206-01_因子設定!$B$16))),-1E+030)</f>
        <v>43.9272727272727</v>
      </c>
      <c r="Y206" s="55" t="n">
        <f aca="false">W206+ROW()*0.000000001</f>
        <v>-5.71294932848954</v>
      </c>
      <c r="Z206" s="55" t="n">
        <f aca="false">X206+ROW()*0.000000001</f>
        <v>43.9272729332727</v>
      </c>
    </row>
    <row r="207" customFormat="false" ht="15" hidden="false" customHeight="false" outlineLevel="0" collapsed="false">
      <c r="A207" s="0" t="n">
        <v>0</v>
      </c>
      <c r="B207" s="0" t="n">
        <v>11</v>
      </c>
      <c r="C207" s="0" t="n">
        <v>15</v>
      </c>
      <c r="D207" s="0" t="n">
        <f aca="false">-1+A207*0.125</f>
        <v>-1</v>
      </c>
      <c r="E207" s="0" t="n">
        <f aca="false">-1+B207*0.125</f>
        <v>0.375</v>
      </c>
      <c r="F207" s="0" t="n">
        <f aca="false">-1+C207*0.125</f>
        <v>0.875</v>
      </c>
      <c r="G207" s="0" t="n">
        <f aca="false">1</f>
        <v>1</v>
      </c>
      <c r="H207" s="0" t="n">
        <f aca="false">D207</f>
        <v>-1</v>
      </c>
      <c r="I207" s="0" t="n">
        <f aca="false">E207</f>
        <v>0.375</v>
      </c>
      <c r="J207" s="0" t="n">
        <f aca="false">F207</f>
        <v>0.875</v>
      </c>
      <c r="K207" s="0" t="n">
        <f aca="false">D207*E207</f>
        <v>-0.375</v>
      </c>
      <c r="L207" s="0" t="n">
        <f aca="false">D207*F207</f>
        <v>-0.875</v>
      </c>
      <c r="M207" s="0" t="n">
        <f aca="false">E207*F207</f>
        <v>0.328125</v>
      </c>
      <c r="N207" s="0" t="n">
        <f aca="false">D207*D207</f>
        <v>1</v>
      </c>
      <c r="O207" s="0" t="n">
        <f aca="false">E207*E207</f>
        <v>0.140625</v>
      </c>
      <c r="P207" s="0" t="n">
        <f aca="false">F207*F207</f>
        <v>0.765625</v>
      </c>
      <c r="Q207" s="0" t="n">
        <f aca="false">SUMPRODUCT(G207:P207,_XtX!$B$71:$K$71)</f>
        <v>43.9004829545455</v>
      </c>
      <c r="R207" s="0" t="n">
        <f aca="false">SUMPRODUCT(MMULT(G207:P207,_XtX!$B$58:$K$67),G207:P207)</f>
        <v>0.56971269087358</v>
      </c>
      <c r="S207" s="0" t="n">
        <f aca="false">04_回帰ANOVA!$K$19*04_回帰ANOVA!$K$14*SQRT(1+R207)</f>
        <v>1.16486801567081</v>
      </c>
      <c r="T207" s="0" t="n">
        <f aca="false">Q207-S207</f>
        <v>42.7356149388747</v>
      </c>
      <c r="U207" s="0" t="n">
        <f aca="false">Q207+S207</f>
        <v>45.0653509702163</v>
      </c>
      <c r="V207" s="54" t="b">
        <f aca="false">AND(D207&gt;=01_因子設定!$L$5-0.000000001,D207&lt;=01_因子設定!$M$5+0.000000001,E207&gt;=01_因子設定!$L$6-0.000000001,E207&lt;=01_因子設定!$M$6+0.000000001,F207&gt;=01_因子設定!$L$7-0.000000001,F207&lt;=01_因子設定!$M$7+0.000000001,IF(01_因子設定!$B$20="Box-Behnken",D207^2+E207^2+F207^2&lt;=2+0.000000001,TRUE()))</f>
        <v>1</v>
      </c>
      <c r="W207" s="55" t="n">
        <f aca="false">IF(V207,IF(01_因子設定!$B$13="最大化",T207-01_因子設定!$B$14,IF(01_因子設定!$B$13="最小化",01_因子設定!$B$15-U207,MIN(T207-01_因子設定!$B$14,01_因子設定!$B$15-U207))),-1E+030)</f>
        <v>-5.76438506112535</v>
      </c>
      <c r="X207" s="55" t="n">
        <f aca="false">IF(V207,IF(01_因子設定!$B$13="最大化",Q207,IF(01_因子設定!$B$13="最小化",-Q207,-ABS(Q207-01_因子設定!$B$16))),-1E+030)</f>
        <v>43.9004829545455</v>
      </c>
      <c r="Y207" s="55" t="n">
        <f aca="false">W207+ROW()*0.000000001</f>
        <v>-5.76438485412535</v>
      </c>
      <c r="Z207" s="55" t="n">
        <f aca="false">X207+ROW()*0.000000001</f>
        <v>43.9004831615455</v>
      </c>
    </row>
    <row r="208" customFormat="false" ht="15" hidden="false" customHeight="false" outlineLevel="0" collapsed="false">
      <c r="A208" s="0" t="n">
        <v>0</v>
      </c>
      <c r="B208" s="0" t="n">
        <v>11</v>
      </c>
      <c r="C208" s="0" t="n">
        <v>16</v>
      </c>
      <c r="D208" s="0" t="n">
        <f aca="false">-1+A208*0.125</f>
        <v>-1</v>
      </c>
      <c r="E208" s="0" t="n">
        <f aca="false">-1+B208*0.125</f>
        <v>0.375</v>
      </c>
      <c r="F208" s="0" t="n">
        <f aca="false">-1+C208*0.125</f>
        <v>1</v>
      </c>
      <c r="G208" s="0" t="n">
        <f aca="false">1</f>
        <v>1</v>
      </c>
      <c r="H208" s="0" t="n">
        <f aca="false">D208</f>
        <v>-1</v>
      </c>
      <c r="I208" s="0" t="n">
        <f aca="false">E208</f>
        <v>0.375</v>
      </c>
      <c r="J208" s="0" t="n">
        <f aca="false">F208</f>
        <v>1</v>
      </c>
      <c r="K208" s="0" t="n">
        <f aca="false">D208*E208</f>
        <v>-0.375</v>
      </c>
      <c r="L208" s="0" t="n">
        <f aca="false">D208*F208</f>
        <v>-1</v>
      </c>
      <c r="M208" s="0" t="n">
        <f aca="false">E208*F208</f>
        <v>0.375</v>
      </c>
      <c r="N208" s="0" t="n">
        <f aca="false">D208*D208</f>
        <v>1</v>
      </c>
      <c r="O208" s="0" t="n">
        <f aca="false">E208*E208</f>
        <v>0.140625</v>
      </c>
      <c r="P208" s="0" t="n">
        <f aca="false">F208*F208</f>
        <v>1</v>
      </c>
      <c r="Q208" s="0" t="n">
        <f aca="false">SUMPRODUCT(G208:P208,_XtX!$B$71:$K$71)</f>
        <v>43.8369034090909</v>
      </c>
      <c r="R208" s="0" t="n">
        <f aca="false">SUMPRODUCT(MMULT(G208:P208,_XtX!$B$58:$K$67),G208:P208)</f>
        <v>0.682830255681818</v>
      </c>
      <c r="S208" s="0" t="n">
        <f aca="false">04_回帰ANOVA!$K$19*04_回帰ANOVA!$K$14*SQRT(1+R208)</f>
        <v>1.20610964896955</v>
      </c>
      <c r="T208" s="0" t="n">
        <f aca="false">Q208-S208</f>
        <v>42.6307937601214</v>
      </c>
      <c r="U208" s="0" t="n">
        <f aca="false">Q208+S208</f>
        <v>45.0430130580605</v>
      </c>
      <c r="V208" s="54" t="b">
        <f aca="false">AND(D208&gt;=01_因子設定!$L$5-0.000000001,D208&lt;=01_因子設定!$M$5+0.000000001,E208&gt;=01_因子設定!$L$6-0.000000001,E208&lt;=01_因子設定!$M$6+0.000000001,F208&gt;=01_因子設定!$L$7-0.000000001,F208&lt;=01_因子設定!$M$7+0.000000001,IF(01_因子設定!$B$20="Box-Behnken",D208^2+E208^2+F208^2&lt;=2+0.000000001,TRUE()))</f>
        <v>1</v>
      </c>
      <c r="W208" s="55" t="n">
        <f aca="false">IF(V208,IF(01_因子設定!$B$13="最大化",T208-01_因子設定!$B$14,IF(01_因子設定!$B$13="最小化",01_因子設定!$B$15-U208,MIN(T208-01_因子設定!$B$14,01_因子設定!$B$15-U208))),-1E+030)</f>
        <v>-5.86920623987863</v>
      </c>
      <c r="X208" s="55" t="n">
        <f aca="false">IF(V208,IF(01_因子設定!$B$13="最大化",Q208,IF(01_因子設定!$B$13="最小化",-Q208,-ABS(Q208-01_因子設定!$B$16))),-1E+030)</f>
        <v>43.8369034090909</v>
      </c>
      <c r="Y208" s="55" t="n">
        <f aca="false">W208+ROW()*0.000000001</f>
        <v>-5.86920603187863</v>
      </c>
      <c r="Z208" s="55" t="n">
        <f aca="false">X208+ROW()*0.000000001</f>
        <v>43.8369036170909</v>
      </c>
    </row>
    <row r="209" customFormat="false" ht="15" hidden="false" customHeight="false" outlineLevel="0" collapsed="false">
      <c r="A209" s="0" t="n">
        <v>0</v>
      </c>
      <c r="B209" s="0" t="n">
        <v>12</v>
      </c>
      <c r="C209" s="0" t="n">
        <v>0</v>
      </c>
      <c r="D209" s="0" t="n">
        <f aca="false">-1+A209*0.125</f>
        <v>-1</v>
      </c>
      <c r="E209" s="0" t="n">
        <f aca="false">-1+B209*0.125</f>
        <v>0.5</v>
      </c>
      <c r="F209" s="0" t="n">
        <f aca="false">-1+C209*0.125</f>
        <v>-1</v>
      </c>
      <c r="G209" s="0" t="n">
        <f aca="false">1</f>
        <v>1</v>
      </c>
      <c r="H209" s="0" t="n">
        <f aca="false">D209</f>
        <v>-1</v>
      </c>
      <c r="I209" s="0" t="n">
        <f aca="false">E209</f>
        <v>0.5</v>
      </c>
      <c r="J209" s="0" t="n">
        <f aca="false">F209</f>
        <v>-1</v>
      </c>
      <c r="K209" s="0" t="n">
        <f aca="false">D209*E209</f>
        <v>-0.5</v>
      </c>
      <c r="L209" s="0" t="n">
        <f aca="false">D209*F209</f>
        <v>1</v>
      </c>
      <c r="M209" s="0" t="n">
        <f aca="false">E209*F209</f>
        <v>-0.5</v>
      </c>
      <c r="N209" s="0" t="n">
        <f aca="false">D209*D209</f>
        <v>1</v>
      </c>
      <c r="O209" s="0" t="n">
        <f aca="false">E209*E209</f>
        <v>0.25</v>
      </c>
      <c r="P209" s="0" t="n">
        <f aca="false">F209*F209</f>
        <v>1</v>
      </c>
      <c r="Q209" s="0" t="n">
        <f aca="false">SUMPRODUCT(G209:P209,_XtX!$B$71:$K$71)</f>
        <v>40.2670454545455</v>
      </c>
      <c r="R209" s="0" t="n">
        <f aca="false">SUMPRODUCT(MMULT(G209:P209,_XtX!$B$58:$K$67),G209:P209)</f>
        <v>0.667045454545455</v>
      </c>
      <c r="S209" s="0" t="n">
        <f aca="false">04_回帰ANOVA!$K$19*04_回帰ANOVA!$K$14*SQRT(1+R209)</f>
        <v>1.200439720088</v>
      </c>
      <c r="T209" s="0" t="n">
        <f aca="false">Q209-S209</f>
        <v>39.0666057344575</v>
      </c>
      <c r="U209" s="0" t="n">
        <f aca="false">Q209+S209</f>
        <v>41.4674851746335</v>
      </c>
      <c r="V209" s="54" t="b">
        <f aca="false">AND(D209&gt;=01_因子設定!$L$5-0.000000001,D209&lt;=01_因子設定!$M$5+0.000000001,E209&gt;=01_因子設定!$L$6-0.000000001,E209&lt;=01_因子設定!$M$6+0.000000001,F209&gt;=01_因子設定!$L$7-0.000000001,F209&lt;=01_因子設定!$M$7+0.000000001,IF(01_因子設定!$B$20="Box-Behnken",D209^2+E209^2+F209^2&lt;=2+0.000000001,TRUE()))</f>
        <v>1</v>
      </c>
      <c r="W209" s="55" t="n">
        <f aca="false">IF(V209,IF(01_因子設定!$B$13="最大化",T209-01_因子設定!$B$14,IF(01_因子設定!$B$13="最小化",01_因子設定!$B$15-U209,MIN(T209-01_因子設定!$B$14,01_因子設定!$B$15-U209))),-1E+030)</f>
        <v>-9.43339426554254</v>
      </c>
      <c r="X209" s="55" t="n">
        <f aca="false">IF(V209,IF(01_因子設定!$B$13="最大化",Q209,IF(01_因子設定!$B$13="最小化",-Q209,-ABS(Q209-01_因子設定!$B$16))),-1E+030)</f>
        <v>40.2670454545455</v>
      </c>
      <c r="Y209" s="55" t="n">
        <f aca="false">W209+ROW()*0.000000001</f>
        <v>-9.43339405654254</v>
      </c>
      <c r="Z209" s="55" t="n">
        <f aca="false">X209+ROW()*0.000000001</f>
        <v>40.2670456635455</v>
      </c>
    </row>
    <row r="210" customFormat="false" ht="15" hidden="false" customHeight="false" outlineLevel="0" collapsed="false">
      <c r="A210" s="0" t="n">
        <v>0</v>
      </c>
      <c r="B210" s="0" t="n">
        <v>12</v>
      </c>
      <c r="C210" s="0" t="n">
        <v>1</v>
      </c>
      <c r="D210" s="0" t="n">
        <f aca="false">-1+A210*0.125</f>
        <v>-1</v>
      </c>
      <c r="E210" s="0" t="n">
        <f aca="false">-1+B210*0.125</f>
        <v>0.5</v>
      </c>
      <c r="F210" s="0" t="n">
        <f aca="false">-1+C210*0.125</f>
        <v>-0.875</v>
      </c>
      <c r="G210" s="0" t="n">
        <f aca="false">1</f>
        <v>1</v>
      </c>
      <c r="H210" s="0" t="n">
        <f aca="false">D210</f>
        <v>-1</v>
      </c>
      <c r="I210" s="0" t="n">
        <f aca="false">E210</f>
        <v>0.5</v>
      </c>
      <c r="J210" s="0" t="n">
        <f aca="false">F210</f>
        <v>-0.875</v>
      </c>
      <c r="K210" s="0" t="n">
        <f aca="false">D210*E210</f>
        <v>-0.5</v>
      </c>
      <c r="L210" s="0" t="n">
        <f aca="false">D210*F210</f>
        <v>0.875</v>
      </c>
      <c r="M210" s="0" t="n">
        <f aca="false">E210*F210</f>
        <v>-0.4375</v>
      </c>
      <c r="N210" s="0" t="n">
        <f aca="false">D210*D210</f>
        <v>1</v>
      </c>
      <c r="O210" s="0" t="n">
        <f aca="false">E210*E210</f>
        <v>0.25</v>
      </c>
      <c r="P210" s="0" t="n">
        <f aca="false">F210*F210</f>
        <v>0.765625</v>
      </c>
      <c r="Q210" s="0" t="n">
        <f aca="false">SUMPRODUCT(G210:P210,_XtX!$B$71:$K$71)</f>
        <v>40.76234375</v>
      </c>
      <c r="R210" s="0" t="n">
        <f aca="false">SUMPRODUCT(MMULT(G210:P210,_XtX!$B$58:$K$67),G210:P210)</f>
        <v>0.55771484375</v>
      </c>
      <c r="S210" s="0" t="n">
        <f aca="false">04_回帰ANOVA!$K$19*04_回帰ANOVA!$K$14*SQRT(1+R210)</f>
        <v>1.16040773556467</v>
      </c>
      <c r="T210" s="0" t="n">
        <f aca="false">Q210-S210</f>
        <v>39.6019360144353</v>
      </c>
      <c r="U210" s="0" t="n">
        <f aca="false">Q210+S210</f>
        <v>41.9227514855647</v>
      </c>
      <c r="V210" s="54" t="b">
        <f aca="false">AND(D210&gt;=01_因子設定!$L$5-0.000000001,D210&lt;=01_因子設定!$M$5+0.000000001,E210&gt;=01_因子設定!$L$6-0.000000001,E210&lt;=01_因子設定!$M$6+0.000000001,F210&gt;=01_因子設定!$L$7-0.000000001,F210&lt;=01_因子設定!$M$7+0.000000001,IF(01_因子設定!$B$20="Box-Behnken",D210^2+E210^2+F210^2&lt;=2+0.000000001,TRUE()))</f>
        <v>1</v>
      </c>
      <c r="W210" s="55" t="n">
        <f aca="false">IF(V210,IF(01_因子設定!$B$13="最大化",T210-01_因子設定!$B$14,IF(01_因子設定!$B$13="最小化",01_因子設定!$B$15-U210,MIN(T210-01_因子設定!$B$14,01_因子設定!$B$15-U210))),-1E+030)</f>
        <v>-8.89806398556467</v>
      </c>
      <c r="X210" s="55" t="n">
        <f aca="false">IF(V210,IF(01_因子設定!$B$13="最大化",Q210,IF(01_因子設定!$B$13="最小化",-Q210,-ABS(Q210-01_因子設定!$B$16))),-1E+030)</f>
        <v>40.76234375</v>
      </c>
      <c r="Y210" s="55" t="n">
        <f aca="false">W210+ROW()*0.000000001</f>
        <v>-8.89806377556467</v>
      </c>
      <c r="Z210" s="55" t="n">
        <f aca="false">X210+ROW()*0.000000001</f>
        <v>40.76234396</v>
      </c>
    </row>
    <row r="211" customFormat="false" ht="15" hidden="false" customHeight="false" outlineLevel="0" collapsed="false">
      <c r="A211" s="0" t="n">
        <v>0</v>
      </c>
      <c r="B211" s="0" t="n">
        <v>12</v>
      </c>
      <c r="C211" s="0" t="n">
        <v>2</v>
      </c>
      <c r="D211" s="0" t="n">
        <f aca="false">-1+A211*0.125</f>
        <v>-1</v>
      </c>
      <c r="E211" s="0" t="n">
        <f aca="false">-1+B211*0.125</f>
        <v>0.5</v>
      </c>
      <c r="F211" s="0" t="n">
        <f aca="false">-1+C211*0.125</f>
        <v>-0.75</v>
      </c>
      <c r="G211" s="0" t="n">
        <f aca="false">1</f>
        <v>1</v>
      </c>
      <c r="H211" s="0" t="n">
        <f aca="false">D211</f>
        <v>-1</v>
      </c>
      <c r="I211" s="0" t="n">
        <f aca="false">E211</f>
        <v>0.5</v>
      </c>
      <c r="J211" s="0" t="n">
        <f aca="false">F211</f>
        <v>-0.75</v>
      </c>
      <c r="K211" s="0" t="n">
        <f aca="false">D211*E211</f>
        <v>-0.5</v>
      </c>
      <c r="L211" s="0" t="n">
        <f aca="false">D211*F211</f>
        <v>0.75</v>
      </c>
      <c r="M211" s="0" t="n">
        <f aca="false">E211*F211</f>
        <v>-0.375</v>
      </c>
      <c r="N211" s="0" t="n">
        <f aca="false">D211*D211</f>
        <v>1</v>
      </c>
      <c r="O211" s="0" t="n">
        <f aca="false">E211*E211</f>
        <v>0.25</v>
      </c>
      <c r="P211" s="0" t="n">
        <f aca="false">F211*F211</f>
        <v>0.5625</v>
      </c>
      <c r="Q211" s="0" t="n">
        <f aca="false">SUMPRODUCT(G211:P211,_XtX!$B$71:$K$71)</f>
        <v>41.2208522727273</v>
      </c>
      <c r="R211" s="0" t="n">
        <f aca="false">SUMPRODUCT(MMULT(G211:P211,_XtX!$B$58:$K$67),G211:P211)</f>
        <v>0.495276988636364</v>
      </c>
      <c r="S211" s="0" t="n">
        <f aca="false">04_回帰ANOVA!$K$19*04_回帰ANOVA!$K$14*SQRT(1+R211)</f>
        <v>1.13691359828352</v>
      </c>
      <c r="T211" s="0" t="n">
        <f aca="false">Q211-S211</f>
        <v>40.0839386744438</v>
      </c>
      <c r="U211" s="0" t="n">
        <f aca="false">Q211+S211</f>
        <v>42.3577658710108</v>
      </c>
      <c r="V211" s="54" t="b">
        <f aca="false">AND(D211&gt;=01_因子設定!$L$5-0.000000001,D211&lt;=01_因子設定!$M$5+0.000000001,E211&gt;=01_因子設定!$L$6-0.000000001,E211&lt;=01_因子設定!$M$6+0.000000001,F211&gt;=01_因子設定!$L$7-0.000000001,F211&lt;=01_因子設定!$M$7+0.000000001,IF(01_因子設定!$B$20="Box-Behnken",D211^2+E211^2+F211^2&lt;=2+0.000000001,TRUE()))</f>
        <v>1</v>
      </c>
      <c r="W211" s="55" t="n">
        <f aca="false">IF(V211,IF(01_因子設定!$B$13="最大化",T211-01_因子設定!$B$14,IF(01_因子設定!$B$13="最小化",01_因子設定!$B$15-U211,MIN(T211-01_因子設定!$B$14,01_因子設定!$B$15-U211))),-1E+030)</f>
        <v>-8.41606132555625</v>
      </c>
      <c r="X211" s="55" t="n">
        <f aca="false">IF(V211,IF(01_因子設定!$B$13="最大化",Q211,IF(01_因子設定!$B$13="最小化",-Q211,-ABS(Q211-01_因子設定!$B$16))),-1E+030)</f>
        <v>41.2208522727273</v>
      </c>
      <c r="Y211" s="55" t="n">
        <f aca="false">W211+ROW()*0.000000001</f>
        <v>-8.41606111455625</v>
      </c>
      <c r="Z211" s="55" t="n">
        <f aca="false">X211+ROW()*0.000000001</f>
        <v>41.2208524837273</v>
      </c>
    </row>
    <row r="212" customFormat="false" ht="15" hidden="false" customHeight="false" outlineLevel="0" collapsed="false">
      <c r="A212" s="0" t="n">
        <v>0</v>
      </c>
      <c r="B212" s="0" t="n">
        <v>12</v>
      </c>
      <c r="C212" s="0" t="n">
        <v>3</v>
      </c>
      <c r="D212" s="0" t="n">
        <f aca="false">-1+A212*0.125</f>
        <v>-1</v>
      </c>
      <c r="E212" s="0" t="n">
        <f aca="false">-1+B212*0.125</f>
        <v>0.5</v>
      </c>
      <c r="F212" s="0" t="n">
        <f aca="false">-1+C212*0.125</f>
        <v>-0.625</v>
      </c>
      <c r="G212" s="0" t="n">
        <f aca="false">1</f>
        <v>1</v>
      </c>
      <c r="H212" s="0" t="n">
        <f aca="false">D212</f>
        <v>-1</v>
      </c>
      <c r="I212" s="0" t="n">
        <f aca="false">E212</f>
        <v>0.5</v>
      </c>
      <c r="J212" s="0" t="n">
        <f aca="false">F212</f>
        <v>-0.625</v>
      </c>
      <c r="K212" s="0" t="n">
        <f aca="false">D212*E212</f>
        <v>-0.5</v>
      </c>
      <c r="L212" s="0" t="n">
        <f aca="false">D212*F212</f>
        <v>0.625</v>
      </c>
      <c r="M212" s="0" t="n">
        <f aca="false">E212*F212</f>
        <v>-0.3125</v>
      </c>
      <c r="N212" s="0" t="n">
        <f aca="false">D212*D212</f>
        <v>1</v>
      </c>
      <c r="O212" s="0" t="n">
        <f aca="false">E212*E212</f>
        <v>0.25</v>
      </c>
      <c r="P212" s="0" t="n">
        <f aca="false">F212*F212</f>
        <v>0.390625</v>
      </c>
      <c r="Q212" s="0" t="n">
        <f aca="false">SUMPRODUCT(G212:P212,_XtX!$B$71:$K$71)</f>
        <v>41.6425710227273</v>
      </c>
      <c r="R212" s="0" t="n">
        <f aca="false">SUMPRODUCT(MMULT(G212:P212,_XtX!$B$58:$K$67),G212:P212)</f>
        <v>0.465882457386364</v>
      </c>
      <c r="S212" s="0" t="n">
        <f aca="false">04_回帰ANOVA!$K$19*04_回帰ANOVA!$K$14*SQRT(1+R212)</f>
        <v>1.12568326538173</v>
      </c>
      <c r="T212" s="0" t="n">
        <f aca="false">Q212-S212</f>
        <v>40.5168877573455</v>
      </c>
      <c r="U212" s="0" t="n">
        <f aca="false">Q212+S212</f>
        <v>42.768254288109</v>
      </c>
      <c r="V212" s="54" t="b">
        <f aca="false">AND(D212&gt;=01_因子設定!$L$5-0.000000001,D212&lt;=01_因子設定!$M$5+0.000000001,E212&gt;=01_因子設定!$L$6-0.000000001,E212&lt;=01_因子設定!$M$6+0.000000001,F212&gt;=01_因子設定!$L$7-0.000000001,F212&lt;=01_因子設定!$M$7+0.000000001,IF(01_因子設定!$B$20="Box-Behnken",D212^2+E212^2+F212^2&lt;=2+0.000000001,TRUE()))</f>
        <v>1</v>
      </c>
      <c r="W212" s="55" t="n">
        <f aca="false">IF(V212,IF(01_因子設定!$B$13="最大化",T212-01_因子設定!$B$14,IF(01_因子設定!$B$13="最小化",01_因子設定!$B$15-U212,MIN(T212-01_因子設定!$B$14,01_因子設定!$B$15-U212))),-1E+030)</f>
        <v>-7.98311224265446</v>
      </c>
      <c r="X212" s="55" t="n">
        <f aca="false">IF(V212,IF(01_因子設定!$B$13="最大化",Q212,IF(01_因子設定!$B$13="最小化",-Q212,-ABS(Q212-01_因子設定!$B$16))),-1E+030)</f>
        <v>41.6425710227273</v>
      </c>
      <c r="Y212" s="55" t="n">
        <f aca="false">W212+ROW()*0.000000001</f>
        <v>-7.98311203065446</v>
      </c>
      <c r="Z212" s="55" t="n">
        <f aca="false">X212+ROW()*0.000000001</f>
        <v>41.6425712347273</v>
      </c>
    </row>
    <row r="213" customFormat="false" ht="15" hidden="false" customHeight="false" outlineLevel="0" collapsed="false">
      <c r="A213" s="0" t="n">
        <v>0</v>
      </c>
      <c r="B213" s="0" t="n">
        <v>12</v>
      </c>
      <c r="C213" s="0" t="n">
        <v>4</v>
      </c>
      <c r="D213" s="0" t="n">
        <f aca="false">-1+A213*0.125</f>
        <v>-1</v>
      </c>
      <c r="E213" s="0" t="n">
        <f aca="false">-1+B213*0.125</f>
        <v>0.5</v>
      </c>
      <c r="F213" s="0" t="n">
        <f aca="false">-1+C213*0.125</f>
        <v>-0.5</v>
      </c>
      <c r="G213" s="0" t="n">
        <f aca="false">1</f>
        <v>1</v>
      </c>
      <c r="H213" s="0" t="n">
        <f aca="false">D213</f>
        <v>-1</v>
      </c>
      <c r="I213" s="0" t="n">
        <f aca="false">E213</f>
        <v>0.5</v>
      </c>
      <c r="J213" s="0" t="n">
        <f aca="false">F213</f>
        <v>-0.5</v>
      </c>
      <c r="K213" s="0" t="n">
        <f aca="false">D213*E213</f>
        <v>-0.5</v>
      </c>
      <c r="L213" s="0" t="n">
        <f aca="false">D213*F213</f>
        <v>0.5</v>
      </c>
      <c r="M213" s="0" t="n">
        <f aca="false">E213*F213</f>
        <v>-0.25</v>
      </c>
      <c r="N213" s="0" t="n">
        <f aca="false">D213*D213</f>
        <v>1</v>
      </c>
      <c r="O213" s="0" t="n">
        <f aca="false">E213*E213</f>
        <v>0.25</v>
      </c>
      <c r="P213" s="0" t="n">
        <f aca="false">F213*F213</f>
        <v>0.25</v>
      </c>
      <c r="Q213" s="0" t="n">
        <f aca="false">SUMPRODUCT(G213:P213,_XtX!$B$71:$K$71)</f>
        <v>42.0275</v>
      </c>
      <c r="R213" s="0" t="n">
        <f aca="false">SUMPRODUCT(MMULT(G213:P213,_XtX!$B$58:$K$67),G213:P213)</f>
        <v>0.4578125</v>
      </c>
      <c r="S213" s="0" t="n">
        <f aca="false">04_回帰ANOVA!$K$19*04_回帰ANOVA!$K$14*SQRT(1+R213)</f>
        <v>1.12258044051089</v>
      </c>
      <c r="T213" s="0" t="n">
        <f aca="false">Q213-S213</f>
        <v>40.9049195594891</v>
      </c>
      <c r="U213" s="0" t="n">
        <f aca="false">Q213+S213</f>
        <v>43.1500804405109</v>
      </c>
      <c r="V213" s="54" t="b">
        <f aca="false">AND(D213&gt;=01_因子設定!$L$5-0.000000001,D213&lt;=01_因子設定!$M$5+0.000000001,E213&gt;=01_因子設定!$L$6-0.000000001,E213&lt;=01_因子設定!$M$6+0.000000001,F213&gt;=01_因子設定!$L$7-0.000000001,F213&lt;=01_因子設定!$M$7+0.000000001,IF(01_因子設定!$B$20="Box-Behnken",D213^2+E213^2+F213^2&lt;=2+0.000000001,TRUE()))</f>
        <v>1</v>
      </c>
      <c r="W213" s="55" t="n">
        <f aca="false">IF(V213,IF(01_因子設定!$B$13="最大化",T213-01_因子設定!$B$14,IF(01_因子設定!$B$13="最小化",01_因子設定!$B$15-U213,MIN(T213-01_因子設定!$B$14,01_因子設定!$B$15-U213))),-1E+030)</f>
        <v>-7.59508044051089</v>
      </c>
      <c r="X213" s="55" t="n">
        <f aca="false">IF(V213,IF(01_因子設定!$B$13="最大化",Q213,IF(01_因子設定!$B$13="最小化",-Q213,-ABS(Q213-01_因子設定!$B$16))),-1E+030)</f>
        <v>42.0275</v>
      </c>
      <c r="Y213" s="55" t="n">
        <f aca="false">W213+ROW()*0.000000001</f>
        <v>-7.59508022751089</v>
      </c>
      <c r="Z213" s="55" t="n">
        <f aca="false">X213+ROW()*0.000000001</f>
        <v>42.027500213</v>
      </c>
    </row>
    <row r="214" customFormat="false" ht="15" hidden="false" customHeight="false" outlineLevel="0" collapsed="false">
      <c r="A214" s="0" t="n">
        <v>0</v>
      </c>
      <c r="B214" s="0" t="n">
        <v>12</v>
      </c>
      <c r="C214" s="0" t="n">
        <v>5</v>
      </c>
      <c r="D214" s="0" t="n">
        <f aca="false">-1+A214*0.125</f>
        <v>-1</v>
      </c>
      <c r="E214" s="0" t="n">
        <f aca="false">-1+B214*0.125</f>
        <v>0.5</v>
      </c>
      <c r="F214" s="0" t="n">
        <f aca="false">-1+C214*0.125</f>
        <v>-0.375</v>
      </c>
      <c r="G214" s="0" t="n">
        <f aca="false">1</f>
        <v>1</v>
      </c>
      <c r="H214" s="0" t="n">
        <f aca="false">D214</f>
        <v>-1</v>
      </c>
      <c r="I214" s="0" t="n">
        <f aca="false">E214</f>
        <v>0.5</v>
      </c>
      <c r="J214" s="0" t="n">
        <f aca="false">F214</f>
        <v>-0.375</v>
      </c>
      <c r="K214" s="0" t="n">
        <f aca="false">D214*E214</f>
        <v>-0.5</v>
      </c>
      <c r="L214" s="0" t="n">
        <f aca="false">D214*F214</f>
        <v>0.375</v>
      </c>
      <c r="M214" s="0" t="n">
        <f aca="false">E214*F214</f>
        <v>-0.1875</v>
      </c>
      <c r="N214" s="0" t="n">
        <f aca="false">D214*D214</f>
        <v>1</v>
      </c>
      <c r="O214" s="0" t="n">
        <f aca="false">E214*E214</f>
        <v>0.25</v>
      </c>
      <c r="P214" s="0" t="n">
        <f aca="false">F214*F214</f>
        <v>0.140625</v>
      </c>
      <c r="Q214" s="0" t="n">
        <f aca="false">SUMPRODUCT(G214:P214,_XtX!$B$71:$K$71)</f>
        <v>42.3756392045454</v>
      </c>
      <c r="R214" s="0" t="n">
        <f aca="false">SUMPRODUCT(MMULT(G214:P214,_XtX!$B$58:$K$67),G214:P214)</f>
        <v>0.461479048295455</v>
      </c>
      <c r="S214" s="0" t="n">
        <f aca="false">04_回帰ANOVA!$K$19*04_回帰ANOVA!$K$14*SQRT(1+R214)</f>
        <v>1.12399125658369</v>
      </c>
      <c r="T214" s="0" t="n">
        <f aca="false">Q214-S214</f>
        <v>41.2516479479618</v>
      </c>
      <c r="U214" s="0" t="n">
        <f aca="false">Q214+S214</f>
        <v>43.4996304611291</v>
      </c>
      <c r="V214" s="54" t="b">
        <f aca="false">AND(D214&gt;=01_因子設定!$L$5-0.000000001,D214&lt;=01_因子設定!$M$5+0.000000001,E214&gt;=01_因子設定!$L$6-0.000000001,E214&lt;=01_因子設定!$M$6+0.000000001,F214&gt;=01_因子設定!$L$7-0.000000001,F214&lt;=01_因子設定!$M$7+0.000000001,IF(01_因子設定!$B$20="Box-Behnken",D214^2+E214^2+F214^2&lt;=2+0.000000001,TRUE()))</f>
        <v>1</v>
      </c>
      <c r="W214" s="55" t="n">
        <f aca="false">IF(V214,IF(01_因子設定!$B$13="最大化",T214-01_因子設定!$B$14,IF(01_因子設定!$B$13="最小化",01_因子設定!$B$15-U214,MIN(T214-01_因子設定!$B$14,01_因子設定!$B$15-U214))),-1E+030)</f>
        <v>-7.24835205203824</v>
      </c>
      <c r="X214" s="55" t="n">
        <f aca="false">IF(V214,IF(01_因子設定!$B$13="最大化",Q214,IF(01_因子設定!$B$13="最小化",-Q214,-ABS(Q214-01_因子設定!$B$16))),-1E+030)</f>
        <v>42.3756392045454</v>
      </c>
      <c r="Y214" s="55" t="n">
        <f aca="false">W214+ROW()*0.000000001</f>
        <v>-7.24835183803824</v>
      </c>
      <c r="Z214" s="55" t="n">
        <f aca="false">X214+ROW()*0.000000001</f>
        <v>42.3756394185455</v>
      </c>
    </row>
    <row r="215" customFormat="false" ht="15" hidden="false" customHeight="false" outlineLevel="0" collapsed="false">
      <c r="A215" s="0" t="n">
        <v>0</v>
      </c>
      <c r="B215" s="0" t="n">
        <v>12</v>
      </c>
      <c r="C215" s="0" t="n">
        <v>6</v>
      </c>
      <c r="D215" s="0" t="n">
        <f aca="false">-1+A215*0.125</f>
        <v>-1</v>
      </c>
      <c r="E215" s="0" t="n">
        <f aca="false">-1+B215*0.125</f>
        <v>0.5</v>
      </c>
      <c r="F215" s="0" t="n">
        <f aca="false">-1+C215*0.125</f>
        <v>-0.25</v>
      </c>
      <c r="G215" s="0" t="n">
        <f aca="false">1</f>
        <v>1</v>
      </c>
      <c r="H215" s="0" t="n">
        <f aca="false">D215</f>
        <v>-1</v>
      </c>
      <c r="I215" s="0" t="n">
        <f aca="false">E215</f>
        <v>0.5</v>
      </c>
      <c r="J215" s="0" t="n">
        <f aca="false">F215</f>
        <v>-0.25</v>
      </c>
      <c r="K215" s="0" t="n">
        <f aca="false">D215*E215</f>
        <v>-0.5</v>
      </c>
      <c r="L215" s="0" t="n">
        <f aca="false">D215*F215</f>
        <v>0.25</v>
      </c>
      <c r="M215" s="0" t="n">
        <f aca="false">E215*F215</f>
        <v>-0.125</v>
      </c>
      <c r="N215" s="0" t="n">
        <f aca="false">D215*D215</f>
        <v>1</v>
      </c>
      <c r="O215" s="0" t="n">
        <f aca="false">E215*E215</f>
        <v>0.25</v>
      </c>
      <c r="P215" s="0" t="n">
        <f aca="false">F215*F215</f>
        <v>0.0625</v>
      </c>
      <c r="Q215" s="0" t="n">
        <f aca="false">SUMPRODUCT(G215:P215,_XtX!$B$71:$K$71)</f>
        <v>42.6869886363636</v>
      </c>
      <c r="R215" s="0" t="n">
        <f aca="false">SUMPRODUCT(MMULT(G215:P215,_XtX!$B$58:$K$67),G215:P215)</f>
        <v>0.469424715909091</v>
      </c>
      <c r="S215" s="0" t="n">
        <f aca="false">04_回帰ANOVA!$K$19*04_回帰ANOVA!$K$14*SQRT(1+R215)</f>
        <v>1.12704253369596</v>
      </c>
      <c r="T215" s="0" t="n">
        <f aca="false">Q215-S215</f>
        <v>41.5599461026677</v>
      </c>
      <c r="U215" s="0" t="n">
        <f aca="false">Q215+S215</f>
        <v>43.8140311700596</v>
      </c>
      <c r="V215" s="54" t="b">
        <f aca="false">AND(D215&gt;=01_因子設定!$L$5-0.000000001,D215&lt;=01_因子設定!$M$5+0.000000001,E215&gt;=01_因子設定!$L$6-0.000000001,E215&lt;=01_因子設定!$M$6+0.000000001,F215&gt;=01_因子設定!$L$7-0.000000001,F215&lt;=01_因子設定!$M$7+0.000000001,IF(01_因子設定!$B$20="Box-Behnken",D215^2+E215^2+F215^2&lt;=2+0.000000001,TRUE()))</f>
        <v>1</v>
      </c>
      <c r="W215" s="55" t="n">
        <f aca="false">IF(V215,IF(01_因子設定!$B$13="最大化",T215-01_因子設定!$B$14,IF(01_因子設定!$B$13="最小化",01_因子設定!$B$15-U215,MIN(T215-01_因子設定!$B$14,01_因子設定!$B$15-U215))),-1E+030)</f>
        <v>-6.94005389733233</v>
      </c>
      <c r="X215" s="55" t="n">
        <f aca="false">IF(V215,IF(01_因子設定!$B$13="最大化",Q215,IF(01_因子設定!$B$13="最小化",-Q215,-ABS(Q215-01_因子設定!$B$16))),-1E+030)</f>
        <v>42.6869886363636</v>
      </c>
      <c r="Y215" s="55" t="n">
        <f aca="false">W215+ROW()*0.000000001</f>
        <v>-6.94005368233233</v>
      </c>
      <c r="Z215" s="55" t="n">
        <f aca="false">X215+ROW()*0.000000001</f>
        <v>42.6869888513636</v>
      </c>
    </row>
    <row r="216" customFormat="false" ht="15" hidden="false" customHeight="false" outlineLevel="0" collapsed="false">
      <c r="A216" s="0" t="n">
        <v>0</v>
      </c>
      <c r="B216" s="0" t="n">
        <v>12</v>
      </c>
      <c r="C216" s="0" t="n">
        <v>7</v>
      </c>
      <c r="D216" s="0" t="n">
        <f aca="false">-1+A216*0.125</f>
        <v>-1</v>
      </c>
      <c r="E216" s="0" t="n">
        <f aca="false">-1+B216*0.125</f>
        <v>0.5</v>
      </c>
      <c r="F216" s="0" t="n">
        <f aca="false">-1+C216*0.125</f>
        <v>-0.125</v>
      </c>
      <c r="G216" s="0" t="n">
        <f aca="false">1</f>
        <v>1</v>
      </c>
      <c r="H216" s="0" t="n">
        <f aca="false">D216</f>
        <v>-1</v>
      </c>
      <c r="I216" s="0" t="n">
        <f aca="false">E216</f>
        <v>0.5</v>
      </c>
      <c r="J216" s="0" t="n">
        <f aca="false">F216</f>
        <v>-0.125</v>
      </c>
      <c r="K216" s="0" t="n">
        <f aca="false">D216*E216</f>
        <v>-0.5</v>
      </c>
      <c r="L216" s="0" t="n">
        <f aca="false">D216*F216</f>
        <v>0.125</v>
      </c>
      <c r="M216" s="0" t="n">
        <f aca="false">E216*F216</f>
        <v>-0.0625</v>
      </c>
      <c r="N216" s="0" t="n">
        <f aca="false">D216*D216</f>
        <v>1</v>
      </c>
      <c r="O216" s="0" t="n">
        <f aca="false">E216*E216</f>
        <v>0.25</v>
      </c>
      <c r="P216" s="0" t="n">
        <f aca="false">F216*F216</f>
        <v>0.015625</v>
      </c>
      <c r="Q216" s="0" t="n">
        <f aca="false">SUMPRODUCT(G216:P216,_XtX!$B$71:$K$71)</f>
        <v>42.9615482954545</v>
      </c>
      <c r="R216" s="0" t="n">
        <f aca="false">SUMPRODUCT(MMULT(G216:P216,_XtX!$B$58:$K$67),G216:P216)</f>
        <v>0.476322798295455</v>
      </c>
      <c r="S216" s="0" t="n">
        <f aca="false">04_回帰ANOVA!$K$19*04_回帰ANOVA!$K$14*SQRT(1+R216)</f>
        <v>1.12968483630128</v>
      </c>
      <c r="T216" s="0" t="n">
        <f aca="false">Q216-S216</f>
        <v>41.8318634591533</v>
      </c>
      <c r="U216" s="0" t="n">
        <f aca="false">Q216+S216</f>
        <v>44.0912331317558</v>
      </c>
      <c r="V216" s="54" t="b">
        <f aca="false">AND(D216&gt;=01_因子設定!$L$5-0.000000001,D216&lt;=01_因子設定!$M$5+0.000000001,E216&gt;=01_因子設定!$L$6-0.000000001,E216&lt;=01_因子設定!$M$6+0.000000001,F216&gt;=01_因子設定!$L$7-0.000000001,F216&lt;=01_因子設定!$M$7+0.000000001,IF(01_因子設定!$B$20="Box-Behnken",D216^2+E216^2+F216^2&lt;=2+0.000000001,TRUE()))</f>
        <v>1</v>
      </c>
      <c r="W216" s="55" t="n">
        <f aca="false">IF(V216,IF(01_因子設定!$B$13="最大化",T216-01_因子設定!$B$14,IF(01_因子設定!$B$13="最小化",01_因子設定!$B$15-U216,MIN(T216-01_因子設定!$B$14,01_因子設定!$B$15-U216))),-1E+030)</f>
        <v>-6.66813654084675</v>
      </c>
      <c r="X216" s="55" t="n">
        <f aca="false">IF(V216,IF(01_因子設定!$B$13="最大化",Q216,IF(01_因子設定!$B$13="最小化",-Q216,-ABS(Q216-01_因子設定!$B$16))),-1E+030)</f>
        <v>42.9615482954545</v>
      </c>
      <c r="Y216" s="55" t="n">
        <f aca="false">W216+ROW()*0.000000001</f>
        <v>-6.66813632484675</v>
      </c>
      <c r="Z216" s="55" t="n">
        <f aca="false">X216+ROW()*0.000000001</f>
        <v>42.9615485114545</v>
      </c>
    </row>
    <row r="217" customFormat="false" ht="15" hidden="false" customHeight="false" outlineLevel="0" collapsed="false">
      <c r="A217" s="0" t="n">
        <v>0</v>
      </c>
      <c r="B217" s="0" t="n">
        <v>12</v>
      </c>
      <c r="C217" s="0" t="n">
        <v>8</v>
      </c>
      <c r="D217" s="0" t="n">
        <f aca="false">-1+A217*0.125</f>
        <v>-1</v>
      </c>
      <c r="E217" s="0" t="n">
        <f aca="false">-1+B217*0.125</f>
        <v>0.5</v>
      </c>
      <c r="F217" s="0" t="n">
        <f aca="false">-1+C217*0.125</f>
        <v>0</v>
      </c>
      <c r="G217" s="0" t="n">
        <f aca="false">1</f>
        <v>1</v>
      </c>
      <c r="H217" s="0" t="n">
        <f aca="false">D217</f>
        <v>-1</v>
      </c>
      <c r="I217" s="0" t="n">
        <f aca="false">E217</f>
        <v>0.5</v>
      </c>
      <c r="J217" s="0" t="n">
        <f aca="false">F217</f>
        <v>0</v>
      </c>
      <c r="K217" s="0" t="n">
        <f aca="false">D217*E217</f>
        <v>-0.5</v>
      </c>
      <c r="L217" s="0" t="n">
        <f aca="false">D217*F217</f>
        <v>-0</v>
      </c>
      <c r="M217" s="0" t="n">
        <f aca="false">E217*F217</f>
        <v>0</v>
      </c>
      <c r="N217" s="0" t="n">
        <f aca="false">D217*D217</f>
        <v>1</v>
      </c>
      <c r="O217" s="0" t="n">
        <f aca="false">E217*E217</f>
        <v>0.25</v>
      </c>
      <c r="P217" s="0" t="n">
        <f aca="false">F217*F217</f>
        <v>0</v>
      </c>
      <c r="Q217" s="0" t="n">
        <f aca="false">SUMPRODUCT(G217:P217,_XtX!$B$71:$K$71)</f>
        <v>43.1993181818182</v>
      </c>
      <c r="R217" s="0" t="n">
        <f aca="false">SUMPRODUCT(MMULT(G217:P217,_XtX!$B$58:$K$67),G217:P217)</f>
        <v>0.478977272727273</v>
      </c>
      <c r="S217" s="0" t="n">
        <f aca="false">04_回帰ANOVA!$K$19*04_回帰ANOVA!$K$14*SQRT(1+R217)</f>
        <v>1.13069998447216</v>
      </c>
      <c r="T217" s="0" t="n">
        <f aca="false">Q217-S217</f>
        <v>42.068618197346</v>
      </c>
      <c r="U217" s="0" t="n">
        <f aca="false">Q217+S217</f>
        <v>44.3300181662903</v>
      </c>
      <c r="V217" s="54" t="b">
        <f aca="false">AND(D217&gt;=01_因子設定!$L$5-0.000000001,D217&lt;=01_因子設定!$M$5+0.000000001,E217&gt;=01_因子設定!$L$6-0.000000001,E217&lt;=01_因子設定!$M$6+0.000000001,F217&gt;=01_因子設定!$L$7-0.000000001,F217&lt;=01_因子設定!$M$7+0.000000001,IF(01_因子設定!$B$20="Box-Behnken",D217^2+E217^2+F217^2&lt;=2+0.000000001,TRUE()))</f>
        <v>1</v>
      </c>
      <c r="W217" s="55" t="n">
        <f aca="false">IF(V217,IF(01_因子設定!$B$13="最大化",T217-01_因子設定!$B$14,IF(01_因子設定!$B$13="最小化",01_因子設定!$B$15-U217,MIN(T217-01_因子設定!$B$14,01_因子設定!$B$15-U217))),-1E+030)</f>
        <v>-6.43138180265399</v>
      </c>
      <c r="X217" s="55" t="n">
        <f aca="false">IF(V217,IF(01_因子設定!$B$13="最大化",Q217,IF(01_因子設定!$B$13="最小化",-Q217,-ABS(Q217-01_因子設定!$B$16))),-1E+030)</f>
        <v>43.1993181818182</v>
      </c>
      <c r="Y217" s="55" t="n">
        <f aca="false">W217+ROW()*0.000000001</f>
        <v>-6.43138158565399</v>
      </c>
      <c r="Z217" s="55" t="n">
        <f aca="false">X217+ROW()*0.000000001</f>
        <v>43.1993183988182</v>
      </c>
    </row>
    <row r="218" customFormat="false" ht="15" hidden="false" customHeight="false" outlineLevel="0" collapsed="false">
      <c r="A218" s="0" t="n">
        <v>0</v>
      </c>
      <c r="B218" s="0" t="n">
        <v>12</v>
      </c>
      <c r="C218" s="0" t="n">
        <v>9</v>
      </c>
      <c r="D218" s="0" t="n">
        <f aca="false">-1+A218*0.125</f>
        <v>-1</v>
      </c>
      <c r="E218" s="0" t="n">
        <f aca="false">-1+B218*0.125</f>
        <v>0.5</v>
      </c>
      <c r="F218" s="0" t="n">
        <f aca="false">-1+C218*0.125</f>
        <v>0.125</v>
      </c>
      <c r="G218" s="0" t="n">
        <f aca="false">1</f>
        <v>1</v>
      </c>
      <c r="H218" s="0" t="n">
        <f aca="false">D218</f>
        <v>-1</v>
      </c>
      <c r="I218" s="0" t="n">
        <f aca="false">E218</f>
        <v>0.5</v>
      </c>
      <c r="J218" s="0" t="n">
        <f aca="false">F218</f>
        <v>0.125</v>
      </c>
      <c r="K218" s="0" t="n">
        <f aca="false">D218*E218</f>
        <v>-0.5</v>
      </c>
      <c r="L218" s="0" t="n">
        <f aca="false">D218*F218</f>
        <v>-0.125</v>
      </c>
      <c r="M218" s="0" t="n">
        <f aca="false">E218*F218</f>
        <v>0.0625</v>
      </c>
      <c r="N218" s="0" t="n">
        <f aca="false">D218*D218</f>
        <v>1</v>
      </c>
      <c r="O218" s="0" t="n">
        <f aca="false">E218*E218</f>
        <v>0.25</v>
      </c>
      <c r="P218" s="0" t="n">
        <f aca="false">F218*F218</f>
        <v>0.015625</v>
      </c>
      <c r="Q218" s="0" t="n">
        <f aca="false">SUMPRODUCT(G218:P218,_XtX!$B$71:$K$71)</f>
        <v>43.4002982954545</v>
      </c>
      <c r="R218" s="0" t="n">
        <f aca="false">SUMPRODUCT(MMULT(G218:P218,_XtX!$B$58:$K$67),G218:P218)</f>
        <v>0.476322798295455</v>
      </c>
      <c r="S218" s="0" t="n">
        <f aca="false">04_回帰ANOVA!$K$19*04_回帰ANOVA!$K$14*SQRT(1+R218)</f>
        <v>1.12968483630128</v>
      </c>
      <c r="T218" s="0" t="n">
        <f aca="false">Q218-S218</f>
        <v>42.2706134591533</v>
      </c>
      <c r="U218" s="0" t="n">
        <f aca="false">Q218+S218</f>
        <v>44.5299831317558</v>
      </c>
      <c r="V218" s="54" t="b">
        <f aca="false">AND(D218&gt;=01_因子設定!$L$5-0.000000001,D218&lt;=01_因子設定!$M$5+0.000000001,E218&gt;=01_因子設定!$L$6-0.000000001,E218&lt;=01_因子設定!$M$6+0.000000001,F218&gt;=01_因子設定!$L$7-0.000000001,F218&lt;=01_因子設定!$M$7+0.000000001,IF(01_因子設定!$B$20="Box-Behnken",D218^2+E218^2+F218^2&lt;=2+0.000000001,TRUE()))</f>
        <v>1</v>
      </c>
      <c r="W218" s="55" t="n">
        <f aca="false">IF(V218,IF(01_因子設定!$B$13="最大化",T218-01_因子設定!$B$14,IF(01_因子設定!$B$13="最小化",01_因子設定!$B$15-U218,MIN(T218-01_因子設定!$B$14,01_因子設定!$B$15-U218))),-1E+030)</f>
        <v>-6.22938654084675</v>
      </c>
      <c r="X218" s="55" t="n">
        <f aca="false">IF(V218,IF(01_因子設定!$B$13="最大化",Q218,IF(01_因子設定!$B$13="最小化",-Q218,-ABS(Q218-01_因子設定!$B$16))),-1E+030)</f>
        <v>43.4002982954545</v>
      </c>
      <c r="Y218" s="55" t="n">
        <f aca="false">W218+ROW()*0.000000001</f>
        <v>-6.22938632284675</v>
      </c>
      <c r="Z218" s="55" t="n">
        <f aca="false">X218+ROW()*0.000000001</f>
        <v>43.4002985134545</v>
      </c>
    </row>
    <row r="219" customFormat="false" ht="15" hidden="false" customHeight="false" outlineLevel="0" collapsed="false">
      <c r="A219" s="0" t="n">
        <v>0</v>
      </c>
      <c r="B219" s="0" t="n">
        <v>12</v>
      </c>
      <c r="C219" s="0" t="n">
        <v>10</v>
      </c>
      <c r="D219" s="0" t="n">
        <f aca="false">-1+A219*0.125</f>
        <v>-1</v>
      </c>
      <c r="E219" s="0" t="n">
        <f aca="false">-1+B219*0.125</f>
        <v>0.5</v>
      </c>
      <c r="F219" s="0" t="n">
        <f aca="false">-1+C219*0.125</f>
        <v>0.25</v>
      </c>
      <c r="G219" s="0" t="n">
        <f aca="false">1</f>
        <v>1</v>
      </c>
      <c r="H219" s="0" t="n">
        <f aca="false">D219</f>
        <v>-1</v>
      </c>
      <c r="I219" s="0" t="n">
        <f aca="false">E219</f>
        <v>0.5</v>
      </c>
      <c r="J219" s="0" t="n">
        <f aca="false">F219</f>
        <v>0.25</v>
      </c>
      <c r="K219" s="0" t="n">
        <f aca="false">D219*E219</f>
        <v>-0.5</v>
      </c>
      <c r="L219" s="0" t="n">
        <f aca="false">D219*F219</f>
        <v>-0.25</v>
      </c>
      <c r="M219" s="0" t="n">
        <f aca="false">E219*F219</f>
        <v>0.125</v>
      </c>
      <c r="N219" s="0" t="n">
        <f aca="false">D219*D219</f>
        <v>1</v>
      </c>
      <c r="O219" s="0" t="n">
        <f aca="false">E219*E219</f>
        <v>0.25</v>
      </c>
      <c r="P219" s="0" t="n">
        <f aca="false">F219*F219</f>
        <v>0.0625</v>
      </c>
      <c r="Q219" s="0" t="n">
        <f aca="false">SUMPRODUCT(G219:P219,_XtX!$B$71:$K$71)</f>
        <v>43.5644886363636</v>
      </c>
      <c r="R219" s="0" t="n">
        <f aca="false">SUMPRODUCT(MMULT(G219:P219,_XtX!$B$58:$K$67),G219:P219)</f>
        <v>0.469424715909091</v>
      </c>
      <c r="S219" s="0" t="n">
        <f aca="false">04_回帰ANOVA!$K$19*04_回帰ANOVA!$K$14*SQRT(1+R219)</f>
        <v>1.12704253369596</v>
      </c>
      <c r="T219" s="0" t="n">
        <f aca="false">Q219-S219</f>
        <v>42.4374461026677</v>
      </c>
      <c r="U219" s="0" t="n">
        <f aca="false">Q219+S219</f>
        <v>44.6915311700596</v>
      </c>
      <c r="V219" s="54" t="b">
        <f aca="false">AND(D219&gt;=01_因子設定!$L$5-0.000000001,D219&lt;=01_因子設定!$M$5+0.000000001,E219&gt;=01_因子設定!$L$6-0.000000001,E219&lt;=01_因子設定!$M$6+0.000000001,F219&gt;=01_因子設定!$L$7-0.000000001,F219&lt;=01_因子設定!$M$7+0.000000001,IF(01_因子設定!$B$20="Box-Behnken",D219^2+E219^2+F219^2&lt;=2+0.000000001,TRUE()))</f>
        <v>1</v>
      </c>
      <c r="W219" s="55" t="n">
        <f aca="false">IF(V219,IF(01_因子設定!$B$13="最大化",T219-01_因子設定!$B$14,IF(01_因子設定!$B$13="最小化",01_因子設定!$B$15-U219,MIN(T219-01_因子設定!$B$14,01_因子設定!$B$15-U219))),-1E+030)</f>
        <v>-6.06255389733233</v>
      </c>
      <c r="X219" s="55" t="n">
        <f aca="false">IF(V219,IF(01_因子設定!$B$13="最大化",Q219,IF(01_因子設定!$B$13="最小化",-Q219,-ABS(Q219-01_因子設定!$B$16))),-1E+030)</f>
        <v>43.5644886363636</v>
      </c>
      <c r="Y219" s="55" t="n">
        <f aca="false">W219+ROW()*0.000000001</f>
        <v>-6.06255367833233</v>
      </c>
      <c r="Z219" s="55" t="n">
        <f aca="false">X219+ROW()*0.000000001</f>
        <v>43.5644888553636</v>
      </c>
    </row>
    <row r="220" customFormat="false" ht="15" hidden="false" customHeight="false" outlineLevel="0" collapsed="false">
      <c r="A220" s="0" t="n">
        <v>0</v>
      </c>
      <c r="B220" s="0" t="n">
        <v>12</v>
      </c>
      <c r="C220" s="0" t="n">
        <v>11</v>
      </c>
      <c r="D220" s="0" t="n">
        <f aca="false">-1+A220*0.125</f>
        <v>-1</v>
      </c>
      <c r="E220" s="0" t="n">
        <f aca="false">-1+B220*0.125</f>
        <v>0.5</v>
      </c>
      <c r="F220" s="0" t="n">
        <f aca="false">-1+C220*0.125</f>
        <v>0.375</v>
      </c>
      <c r="G220" s="0" t="n">
        <f aca="false">1</f>
        <v>1</v>
      </c>
      <c r="H220" s="0" t="n">
        <f aca="false">D220</f>
        <v>-1</v>
      </c>
      <c r="I220" s="0" t="n">
        <f aca="false">E220</f>
        <v>0.5</v>
      </c>
      <c r="J220" s="0" t="n">
        <f aca="false">F220</f>
        <v>0.375</v>
      </c>
      <c r="K220" s="0" t="n">
        <f aca="false">D220*E220</f>
        <v>-0.5</v>
      </c>
      <c r="L220" s="0" t="n">
        <f aca="false">D220*F220</f>
        <v>-0.375</v>
      </c>
      <c r="M220" s="0" t="n">
        <f aca="false">E220*F220</f>
        <v>0.1875</v>
      </c>
      <c r="N220" s="0" t="n">
        <f aca="false">D220*D220</f>
        <v>1</v>
      </c>
      <c r="O220" s="0" t="n">
        <f aca="false">E220*E220</f>
        <v>0.25</v>
      </c>
      <c r="P220" s="0" t="n">
        <f aca="false">F220*F220</f>
        <v>0.140625</v>
      </c>
      <c r="Q220" s="0" t="n">
        <f aca="false">SUMPRODUCT(G220:P220,_XtX!$B$71:$K$71)</f>
        <v>43.6918892045455</v>
      </c>
      <c r="R220" s="0" t="n">
        <f aca="false">SUMPRODUCT(MMULT(G220:P220,_XtX!$B$58:$K$67),G220:P220)</f>
        <v>0.461479048295455</v>
      </c>
      <c r="S220" s="0" t="n">
        <f aca="false">04_回帰ANOVA!$K$19*04_回帰ANOVA!$K$14*SQRT(1+R220)</f>
        <v>1.12399125658369</v>
      </c>
      <c r="T220" s="0" t="n">
        <f aca="false">Q220-S220</f>
        <v>42.5678979479618</v>
      </c>
      <c r="U220" s="0" t="n">
        <f aca="false">Q220+S220</f>
        <v>44.8158804611291</v>
      </c>
      <c r="V220" s="54" t="b">
        <f aca="false">AND(D220&gt;=01_因子設定!$L$5-0.000000001,D220&lt;=01_因子設定!$M$5+0.000000001,E220&gt;=01_因子設定!$L$6-0.000000001,E220&lt;=01_因子設定!$M$6+0.000000001,F220&gt;=01_因子設定!$L$7-0.000000001,F220&lt;=01_因子設定!$M$7+0.000000001,IF(01_因子設定!$B$20="Box-Behnken",D220^2+E220^2+F220^2&lt;=2+0.000000001,TRUE()))</f>
        <v>1</v>
      </c>
      <c r="W220" s="55" t="n">
        <f aca="false">IF(V220,IF(01_因子設定!$B$13="最大化",T220-01_因子設定!$B$14,IF(01_因子設定!$B$13="最小化",01_因子設定!$B$15-U220,MIN(T220-01_因子設定!$B$14,01_因子設定!$B$15-U220))),-1E+030)</f>
        <v>-5.93210205203824</v>
      </c>
      <c r="X220" s="55" t="n">
        <f aca="false">IF(V220,IF(01_因子設定!$B$13="最大化",Q220,IF(01_因子設定!$B$13="最小化",-Q220,-ABS(Q220-01_因子設定!$B$16))),-1E+030)</f>
        <v>43.6918892045455</v>
      </c>
      <c r="Y220" s="55" t="n">
        <f aca="false">W220+ROW()*0.000000001</f>
        <v>-5.93210183203824</v>
      </c>
      <c r="Z220" s="55" t="n">
        <f aca="false">X220+ROW()*0.000000001</f>
        <v>43.6918894245454</v>
      </c>
    </row>
    <row r="221" customFormat="false" ht="15" hidden="false" customHeight="false" outlineLevel="0" collapsed="false">
      <c r="A221" s="0" t="n">
        <v>0</v>
      </c>
      <c r="B221" s="0" t="n">
        <v>12</v>
      </c>
      <c r="C221" s="0" t="n">
        <v>12</v>
      </c>
      <c r="D221" s="0" t="n">
        <f aca="false">-1+A221*0.125</f>
        <v>-1</v>
      </c>
      <c r="E221" s="0" t="n">
        <f aca="false">-1+B221*0.125</f>
        <v>0.5</v>
      </c>
      <c r="F221" s="0" t="n">
        <f aca="false">-1+C221*0.125</f>
        <v>0.5</v>
      </c>
      <c r="G221" s="0" t="n">
        <f aca="false">1</f>
        <v>1</v>
      </c>
      <c r="H221" s="0" t="n">
        <f aca="false">D221</f>
        <v>-1</v>
      </c>
      <c r="I221" s="0" t="n">
        <f aca="false">E221</f>
        <v>0.5</v>
      </c>
      <c r="J221" s="0" t="n">
        <f aca="false">F221</f>
        <v>0.5</v>
      </c>
      <c r="K221" s="0" t="n">
        <f aca="false">D221*E221</f>
        <v>-0.5</v>
      </c>
      <c r="L221" s="0" t="n">
        <f aca="false">D221*F221</f>
        <v>-0.5</v>
      </c>
      <c r="M221" s="0" t="n">
        <f aca="false">E221*F221</f>
        <v>0.25</v>
      </c>
      <c r="N221" s="0" t="n">
        <f aca="false">D221*D221</f>
        <v>1</v>
      </c>
      <c r="O221" s="0" t="n">
        <f aca="false">E221*E221</f>
        <v>0.25</v>
      </c>
      <c r="P221" s="0" t="n">
        <f aca="false">F221*F221</f>
        <v>0.25</v>
      </c>
      <c r="Q221" s="0" t="n">
        <f aca="false">SUMPRODUCT(G221:P221,_XtX!$B$71:$K$71)</f>
        <v>43.7825</v>
      </c>
      <c r="R221" s="0" t="n">
        <f aca="false">SUMPRODUCT(MMULT(G221:P221,_XtX!$B$58:$K$67),G221:P221)</f>
        <v>0.4578125</v>
      </c>
      <c r="S221" s="0" t="n">
        <f aca="false">04_回帰ANOVA!$K$19*04_回帰ANOVA!$K$14*SQRT(1+R221)</f>
        <v>1.12258044051089</v>
      </c>
      <c r="T221" s="0" t="n">
        <f aca="false">Q221-S221</f>
        <v>42.6599195594891</v>
      </c>
      <c r="U221" s="0" t="n">
        <f aca="false">Q221+S221</f>
        <v>44.9050804405109</v>
      </c>
      <c r="V221" s="54" t="b">
        <f aca="false">AND(D221&gt;=01_因子設定!$L$5-0.000000001,D221&lt;=01_因子設定!$M$5+0.000000001,E221&gt;=01_因子設定!$L$6-0.000000001,E221&lt;=01_因子設定!$M$6+0.000000001,F221&gt;=01_因子設定!$L$7-0.000000001,F221&lt;=01_因子設定!$M$7+0.000000001,IF(01_因子設定!$B$20="Box-Behnken",D221^2+E221^2+F221^2&lt;=2+0.000000001,TRUE()))</f>
        <v>1</v>
      </c>
      <c r="W221" s="55" t="n">
        <f aca="false">IF(V221,IF(01_因子設定!$B$13="最大化",T221-01_因子設定!$B$14,IF(01_因子設定!$B$13="最小化",01_因子設定!$B$15-U221,MIN(T221-01_因子設定!$B$14,01_因子設定!$B$15-U221))),-1E+030)</f>
        <v>-5.8400804405109</v>
      </c>
      <c r="X221" s="55" t="n">
        <f aca="false">IF(V221,IF(01_因子設定!$B$13="最大化",Q221,IF(01_因子設定!$B$13="最小化",-Q221,-ABS(Q221-01_因子設定!$B$16))),-1E+030)</f>
        <v>43.7825</v>
      </c>
      <c r="Y221" s="55" t="n">
        <f aca="false">W221+ROW()*0.000000001</f>
        <v>-5.8400802195109</v>
      </c>
      <c r="Z221" s="55" t="n">
        <f aca="false">X221+ROW()*0.000000001</f>
        <v>43.782500221</v>
      </c>
    </row>
    <row r="222" customFormat="false" ht="15" hidden="false" customHeight="false" outlineLevel="0" collapsed="false">
      <c r="A222" s="0" t="n">
        <v>0</v>
      </c>
      <c r="B222" s="0" t="n">
        <v>12</v>
      </c>
      <c r="C222" s="0" t="n">
        <v>13</v>
      </c>
      <c r="D222" s="0" t="n">
        <f aca="false">-1+A222*0.125</f>
        <v>-1</v>
      </c>
      <c r="E222" s="0" t="n">
        <f aca="false">-1+B222*0.125</f>
        <v>0.5</v>
      </c>
      <c r="F222" s="0" t="n">
        <f aca="false">-1+C222*0.125</f>
        <v>0.625</v>
      </c>
      <c r="G222" s="0" t="n">
        <f aca="false">1</f>
        <v>1</v>
      </c>
      <c r="H222" s="0" t="n">
        <f aca="false">D222</f>
        <v>-1</v>
      </c>
      <c r="I222" s="0" t="n">
        <f aca="false">E222</f>
        <v>0.5</v>
      </c>
      <c r="J222" s="0" t="n">
        <f aca="false">F222</f>
        <v>0.625</v>
      </c>
      <c r="K222" s="0" t="n">
        <f aca="false">D222*E222</f>
        <v>-0.5</v>
      </c>
      <c r="L222" s="0" t="n">
        <f aca="false">D222*F222</f>
        <v>-0.625</v>
      </c>
      <c r="M222" s="0" t="n">
        <f aca="false">E222*F222</f>
        <v>0.3125</v>
      </c>
      <c r="N222" s="0" t="n">
        <f aca="false">D222*D222</f>
        <v>1</v>
      </c>
      <c r="O222" s="0" t="n">
        <f aca="false">E222*E222</f>
        <v>0.25</v>
      </c>
      <c r="P222" s="0" t="n">
        <f aca="false">F222*F222</f>
        <v>0.390625</v>
      </c>
      <c r="Q222" s="0" t="n">
        <f aca="false">SUMPRODUCT(G222:P222,_XtX!$B$71:$K$71)</f>
        <v>43.8363210227273</v>
      </c>
      <c r="R222" s="0" t="n">
        <f aca="false">SUMPRODUCT(MMULT(G222:P222,_XtX!$B$58:$K$67),G222:P222)</f>
        <v>0.465882457386364</v>
      </c>
      <c r="S222" s="0" t="n">
        <f aca="false">04_回帰ANOVA!$K$19*04_回帰ANOVA!$K$14*SQRT(1+R222)</f>
        <v>1.12568326538173</v>
      </c>
      <c r="T222" s="0" t="n">
        <f aca="false">Q222-S222</f>
        <v>42.7106377573455</v>
      </c>
      <c r="U222" s="0" t="n">
        <f aca="false">Q222+S222</f>
        <v>44.962004288109</v>
      </c>
      <c r="V222" s="54" t="b">
        <f aca="false">AND(D222&gt;=01_因子設定!$L$5-0.000000001,D222&lt;=01_因子設定!$M$5+0.000000001,E222&gt;=01_因子設定!$L$6-0.000000001,E222&lt;=01_因子設定!$M$6+0.000000001,F222&gt;=01_因子設定!$L$7-0.000000001,F222&lt;=01_因子設定!$M$7+0.000000001,IF(01_因子設定!$B$20="Box-Behnken",D222^2+E222^2+F222^2&lt;=2+0.000000001,TRUE()))</f>
        <v>1</v>
      </c>
      <c r="W222" s="55" t="n">
        <f aca="false">IF(V222,IF(01_因子設定!$B$13="最大化",T222-01_因子設定!$B$14,IF(01_因子設定!$B$13="最小化",01_因子設定!$B$15-U222,MIN(T222-01_因子設定!$B$14,01_因子設定!$B$15-U222))),-1E+030)</f>
        <v>-5.78936224265446</v>
      </c>
      <c r="X222" s="55" t="n">
        <f aca="false">IF(V222,IF(01_因子設定!$B$13="最大化",Q222,IF(01_因子設定!$B$13="最小化",-Q222,-ABS(Q222-01_因子設定!$B$16))),-1E+030)</f>
        <v>43.8363210227273</v>
      </c>
      <c r="Y222" s="55" t="n">
        <f aca="false">W222+ROW()*0.000000001</f>
        <v>-5.78936202065446</v>
      </c>
      <c r="Z222" s="55" t="n">
        <f aca="false">X222+ROW()*0.000000001</f>
        <v>43.8363212447273</v>
      </c>
    </row>
    <row r="223" customFormat="false" ht="15" hidden="false" customHeight="false" outlineLevel="0" collapsed="false">
      <c r="A223" s="0" t="n">
        <v>0</v>
      </c>
      <c r="B223" s="0" t="n">
        <v>12</v>
      </c>
      <c r="C223" s="0" t="n">
        <v>14</v>
      </c>
      <c r="D223" s="0" t="n">
        <f aca="false">-1+A223*0.125</f>
        <v>-1</v>
      </c>
      <c r="E223" s="0" t="n">
        <f aca="false">-1+B223*0.125</f>
        <v>0.5</v>
      </c>
      <c r="F223" s="0" t="n">
        <f aca="false">-1+C223*0.125</f>
        <v>0.75</v>
      </c>
      <c r="G223" s="0" t="n">
        <f aca="false">1</f>
        <v>1</v>
      </c>
      <c r="H223" s="0" t="n">
        <f aca="false">D223</f>
        <v>-1</v>
      </c>
      <c r="I223" s="0" t="n">
        <f aca="false">E223</f>
        <v>0.5</v>
      </c>
      <c r="J223" s="0" t="n">
        <f aca="false">F223</f>
        <v>0.75</v>
      </c>
      <c r="K223" s="0" t="n">
        <f aca="false">D223*E223</f>
        <v>-0.5</v>
      </c>
      <c r="L223" s="0" t="n">
        <f aca="false">D223*F223</f>
        <v>-0.75</v>
      </c>
      <c r="M223" s="0" t="n">
        <f aca="false">E223*F223</f>
        <v>0.375</v>
      </c>
      <c r="N223" s="0" t="n">
        <f aca="false">D223*D223</f>
        <v>1</v>
      </c>
      <c r="O223" s="0" t="n">
        <f aca="false">E223*E223</f>
        <v>0.25</v>
      </c>
      <c r="P223" s="0" t="n">
        <f aca="false">F223*F223</f>
        <v>0.5625</v>
      </c>
      <c r="Q223" s="0" t="n">
        <f aca="false">SUMPRODUCT(G223:P223,_XtX!$B$71:$K$71)</f>
        <v>43.8533522727273</v>
      </c>
      <c r="R223" s="0" t="n">
        <f aca="false">SUMPRODUCT(MMULT(G223:P223,_XtX!$B$58:$K$67),G223:P223)</f>
        <v>0.495276988636364</v>
      </c>
      <c r="S223" s="0" t="n">
        <f aca="false">04_回帰ANOVA!$K$19*04_回帰ANOVA!$K$14*SQRT(1+R223)</f>
        <v>1.13691359828352</v>
      </c>
      <c r="T223" s="0" t="n">
        <f aca="false">Q223-S223</f>
        <v>42.7164386744438</v>
      </c>
      <c r="U223" s="0" t="n">
        <f aca="false">Q223+S223</f>
        <v>44.9902658710108</v>
      </c>
      <c r="V223" s="54" t="b">
        <f aca="false">AND(D223&gt;=01_因子設定!$L$5-0.000000001,D223&lt;=01_因子設定!$M$5+0.000000001,E223&gt;=01_因子設定!$L$6-0.000000001,E223&lt;=01_因子設定!$M$6+0.000000001,F223&gt;=01_因子設定!$L$7-0.000000001,F223&lt;=01_因子設定!$M$7+0.000000001,IF(01_因子設定!$B$20="Box-Behnken",D223^2+E223^2+F223^2&lt;=2+0.000000001,TRUE()))</f>
        <v>1</v>
      </c>
      <c r="W223" s="55" t="n">
        <f aca="false">IF(V223,IF(01_因子設定!$B$13="最大化",T223-01_因子設定!$B$14,IF(01_因子設定!$B$13="最小化",01_因子設定!$B$15-U223,MIN(T223-01_因子設定!$B$14,01_因子設定!$B$15-U223))),-1E+030)</f>
        <v>-5.78356132555625</v>
      </c>
      <c r="X223" s="55" t="n">
        <f aca="false">IF(V223,IF(01_因子設定!$B$13="最大化",Q223,IF(01_因子設定!$B$13="最小化",-Q223,-ABS(Q223-01_因子設定!$B$16))),-1E+030)</f>
        <v>43.8533522727273</v>
      </c>
      <c r="Y223" s="55" t="n">
        <f aca="false">W223+ROW()*0.000000001</f>
        <v>-5.78356110255625</v>
      </c>
      <c r="Z223" s="55" t="n">
        <f aca="false">X223+ROW()*0.000000001</f>
        <v>43.8533524957273</v>
      </c>
    </row>
    <row r="224" customFormat="false" ht="15" hidden="false" customHeight="false" outlineLevel="0" collapsed="false">
      <c r="A224" s="0" t="n">
        <v>0</v>
      </c>
      <c r="B224" s="0" t="n">
        <v>12</v>
      </c>
      <c r="C224" s="0" t="n">
        <v>15</v>
      </c>
      <c r="D224" s="0" t="n">
        <f aca="false">-1+A224*0.125</f>
        <v>-1</v>
      </c>
      <c r="E224" s="0" t="n">
        <f aca="false">-1+B224*0.125</f>
        <v>0.5</v>
      </c>
      <c r="F224" s="0" t="n">
        <f aca="false">-1+C224*0.125</f>
        <v>0.875</v>
      </c>
      <c r="G224" s="0" t="n">
        <f aca="false">1</f>
        <v>1</v>
      </c>
      <c r="H224" s="0" t="n">
        <f aca="false">D224</f>
        <v>-1</v>
      </c>
      <c r="I224" s="0" t="n">
        <f aca="false">E224</f>
        <v>0.5</v>
      </c>
      <c r="J224" s="0" t="n">
        <f aca="false">F224</f>
        <v>0.875</v>
      </c>
      <c r="K224" s="0" t="n">
        <f aca="false">D224*E224</f>
        <v>-0.5</v>
      </c>
      <c r="L224" s="0" t="n">
        <f aca="false">D224*F224</f>
        <v>-0.875</v>
      </c>
      <c r="M224" s="0" t="n">
        <f aca="false">E224*F224</f>
        <v>0.4375</v>
      </c>
      <c r="N224" s="0" t="n">
        <f aca="false">D224*D224</f>
        <v>1</v>
      </c>
      <c r="O224" s="0" t="n">
        <f aca="false">E224*E224</f>
        <v>0.25</v>
      </c>
      <c r="P224" s="0" t="n">
        <f aca="false">F224*F224</f>
        <v>0.765625</v>
      </c>
      <c r="Q224" s="0" t="n">
        <f aca="false">SUMPRODUCT(G224:P224,_XtX!$B$71:$K$71)</f>
        <v>43.83359375</v>
      </c>
      <c r="R224" s="0" t="n">
        <f aca="false">SUMPRODUCT(MMULT(G224:P224,_XtX!$B$58:$K$67),G224:P224)</f>
        <v>0.55771484375</v>
      </c>
      <c r="S224" s="0" t="n">
        <f aca="false">04_回帰ANOVA!$K$19*04_回帰ANOVA!$K$14*SQRT(1+R224)</f>
        <v>1.16040773556467</v>
      </c>
      <c r="T224" s="0" t="n">
        <f aca="false">Q224-S224</f>
        <v>42.6731860144353</v>
      </c>
      <c r="U224" s="0" t="n">
        <f aca="false">Q224+S224</f>
        <v>44.9940014855647</v>
      </c>
      <c r="V224" s="54" t="b">
        <f aca="false">AND(D224&gt;=01_因子設定!$L$5-0.000000001,D224&lt;=01_因子設定!$M$5+0.000000001,E224&gt;=01_因子設定!$L$6-0.000000001,E224&lt;=01_因子設定!$M$6+0.000000001,F224&gt;=01_因子設定!$L$7-0.000000001,F224&lt;=01_因子設定!$M$7+0.000000001,IF(01_因子設定!$B$20="Box-Behnken",D224^2+E224^2+F224^2&lt;=2+0.000000001,TRUE()))</f>
        <v>1</v>
      </c>
      <c r="W224" s="55" t="n">
        <f aca="false">IF(V224,IF(01_因子設定!$B$13="最大化",T224-01_因子設定!$B$14,IF(01_因子設定!$B$13="最小化",01_因子設定!$B$15-U224,MIN(T224-01_因子設定!$B$14,01_因子設定!$B$15-U224))),-1E+030)</f>
        <v>-5.82681398556467</v>
      </c>
      <c r="X224" s="55" t="n">
        <f aca="false">IF(V224,IF(01_因子設定!$B$13="最大化",Q224,IF(01_因子設定!$B$13="最小化",-Q224,-ABS(Q224-01_因子設定!$B$16))),-1E+030)</f>
        <v>43.83359375</v>
      </c>
      <c r="Y224" s="55" t="n">
        <f aca="false">W224+ROW()*0.000000001</f>
        <v>-5.82681376156467</v>
      </c>
      <c r="Z224" s="55" t="n">
        <f aca="false">X224+ROW()*0.000000001</f>
        <v>43.833593974</v>
      </c>
    </row>
    <row r="225" customFormat="false" ht="15" hidden="false" customHeight="false" outlineLevel="0" collapsed="false">
      <c r="A225" s="0" t="n">
        <v>0</v>
      </c>
      <c r="B225" s="0" t="n">
        <v>12</v>
      </c>
      <c r="C225" s="0" t="n">
        <v>16</v>
      </c>
      <c r="D225" s="0" t="n">
        <f aca="false">-1+A225*0.125</f>
        <v>-1</v>
      </c>
      <c r="E225" s="0" t="n">
        <f aca="false">-1+B225*0.125</f>
        <v>0.5</v>
      </c>
      <c r="F225" s="0" t="n">
        <f aca="false">-1+C225*0.125</f>
        <v>1</v>
      </c>
      <c r="G225" s="0" t="n">
        <f aca="false">1</f>
        <v>1</v>
      </c>
      <c r="H225" s="0" t="n">
        <f aca="false">D225</f>
        <v>-1</v>
      </c>
      <c r="I225" s="0" t="n">
        <f aca="false">E225</f>
        <v>0.5</v>
      </c>
      <c r="J225" s="0" t="n">
        <f aca="false">F225</f>
        <v>1</v>
      </c>
      <c r="K225" s="0" t="n">
        <f aca="false">D225*E225</f>
        <v>-0.5</v>
      </c>
      <c r="L225" s="0" t="n">
        <f aca="false">D225*F225</f>
        <v>-1</v>
      </c>
      <c r="M225" s="0" t="n">
        <f aca="false">E225*F225</f>
        <v>0.5</v>
      </c>
      <c r="N225" s="0" t="n">
        <f aca="false">D225*D225</f>
        <v>1</v>
      </c>
      <c r="O225" s="0" t="n">
        <f aca="false">E225*E225</f>
        <v>0.25</v>
      </c>
      <c r="P225" s="0" t="n">
        <f aca="false">F225*F225</f>
        <v>1</v>
      </c>
      <c r="Q225" s="0" t="n">
        <f aca="false">SUMPRODUCT(G225:P225,_XtX!$B$71:$K$71)</f>
        <v>43.7770454545455</v>
      </c>
      <c r="R225" s="0" t="n">
        <f aca="false">SUMPRODUCT(MMULT(G225:P225,_XtX!$B$58:$K$67),G225:P225)</f>
        <v>0.667045454545455</v>
      </c>
      <c r="S225" s="0" t="n">
        <f aca="false">04_回帰ANOVA!$K$19*04_回帰ANOVA!$K$14*SQRT(1+R225)</f>
        <v>1.200439720088</v>
      </c>
      <c r="T225" s="0" t="n">
        <f aca="false">Q225-S225</f>
        <v>42.5766057344575</v>
      </c>
      <c r="U225" s="0" t="n">
        <f aca="false">Q225+S225</f>
        <v>44.9774851746335</v>
      </c>
      <c r="V225" s="54" t="b">
        <f aca="false">AND(D225&gt;=01_因子設定!$L$5-0.000000001,D225&lt;=01_因子設定!$M$5+0.000000001,E225&gt;=01_因子設定!$L$6-0.000000001,E225&lt;=01_因子設定!$M$6+0.000000001,F225&gt;=01_因子設定!$L$7-0.000000001,F225&lt;=01_因子設定!$M$7+0.000000001,IF(01_因子設定!$B$20="Box-Behnken",D225^2+E225^2+F225^2&lt;=2+0.000000001,TRUE()))</f>
        <v>1</v>
      </c>
      <c r="W225" s="55" t="n">
        <f aca="false">IF(V225,IF(01_因子設定!$B$13="最大化",T225-01_因子設定!$B$14,IF(01_因子設定!$B$13="最小化",01_因子設定!$B$15-U225,MIN(T225-01_因子設定!$B$14,01_因子設定!$B$15-U225))),-1E+030)</f>
        <v>-5.92339426554254</v>
      </c>
      <c r="X225" s="55" t="n">
        <f aca="false">IF(V225,IF(01_因子設定!$B$13="最大化",Q225,IF(01_因子設定!$B$13="最小化",-Q225,-ABS(Q225-01_因子設定!$B$16))),-1E+030)</f>
        <v>43.7770454545455</v>
      </c>
      <c r="Y225" s="55" t="n">
        <f aca="false">W225+ROW()*0.000000001</f>
        <v>-5.92339404054254</v>
      </c>
      <c r="Z225" s="55" t="n">
        <f aca="false">X225+ROW()*0.000000001</f>
        <v>43.7770456795455</v>
      </c>
    </row>
    <row r="226" customFormat="false" ht="15" hidden="false" customHeight="false" outlineLevel="0" collapsed="false">
      <c r="A226" s="0" t="n">
        <v>0</v>
      </c>
      <c r="B226" s="0" t="n">
        <v>13</v>
      </c>
      <c r="C226" s="0" t="n">
        <v>0</v>
      </c>
      <c r="D226" s="0" t="n">
        <f aca="false">-1+A226*0.125</f>
        <v>-1</v>
      </c>
      <c r="E226" s="0" t="n">
        <f aca="false">-1+B226*0.125</f>
        <v>0.625</v>
      </c>
      <c r="F226" s="0" t="n">
        <f aca="false">-1+C226*0.125</f>
        <v>-1</v>
      </c>
      <c r="G226" s="0" t="n">
        <f aca="false">1</f>
        <v>1</v>
      </c>
      <c r="H226" s="0" t="n">
        <f aca="false">D226</f>
        <v>-1</v>
      </c>
      <c r="I226" s="0" t="n">
        <f aca="false">E226</f>
        <v>0.625</v>
      </c>
      <c r="J226" s="0" t="n">
        <f aca="false">F226</f>
        <v>-1</v>
      </c>
      <c r="K226" s="0" t="n">
        <f aca="false">D226*E226</f>
        <v>-0.625</v>
      </c>
      <c r="L226" s="0" t="n">
        <f aca="false">D226*F226</f>
        <v>1</v>
      </c>
      <c r="M226" s="0" t="n">
        <f aca="false">E226*F226</f>
        <v>-0.625</v>
      </c>
      <c r="N226" s="0" t="n">
        <f aca="false">D226*D226</f>
        <v>1</v>
      </c>
      <c r="O226" s="0" t="n">
        <f aca="false">E226*E226</f>
        <v>0.390625</v>
      </c>
      <c r="P226" s="0" t="n">
        <f aca="false">F226*F226</f>
        <v>1</v>
      </c>
      <c r="Q226" s="0" t="n">
        <f aca="false">SUMPRODUCT(G226:P226,_XtX!$B$71:$K$71)</f>
        <v>40.0313352272727</v>
      </c>
      <c r="R226" s="0" t="n">
        <f aca="false">SUMPRODUCT(MMULT(G226:P226,_XtX!$B$58:$K$67),G226:P226)</f>
        <v>0.659534801136364</v>
      </c>
      <c r="S226" s="0" t="n">
        <f aca="false">04_回帰ANOVA!$K$19*04_回帰ANOVA!$K$14*SQRT(1+R226)</f>
        <v>1.19773245593097</v>
      </c>
      <c r="T226" s="0" t="n">
        <f aca="false">Q226-S226</f>
        <v>38.8336027713418</v>
      </c>
      <c r="U226" s="0" t="n">
        <f aca="false">Q226+S226</f>
        <v>41.2290676832037</v>
      </c>
      <c r="V226" s="54" t="b">
        <f aca="false">AND(D226&gt;=01_因子設定!$L$5-0.000000001,D226&lt;=01_因子設定!$M$5+0.000000001,E226&gt;=01_因子設定!$L$6-0.000000001,E226&lt;=01_因子設定!$M$6+0.000000001,F226&gt;=01_因子設定!$L$7-0.000000001,F226&lt;=01_因子設定!$M$7+0.000000001,IF(01_因子設定!$B$20="Box-Behnken",D226^2+E226^2+F226^2&lt;=2+0.000000001,TRUE()))</f>
        <v>1</v>
      </c>
      <c r="W226" s="55" t="n">
        <f aca="false">IF(V226,IF(01_因子設定!$B$13="最大化",T226-01_因子設定!$B$14,IF(01_因子設定!$B$13="最小化",01_因子設定!$B$15-U226,MIN(T226-01_因子設定!$B$14,01_因子設定!$B$15-U226))),-1E+030)</f>
        <v>-9.66639722865823</v>
      </c>
      <c r="X226" s="55" t="n">
        <f aca="false">IF(V226,IF(01_因子設定!$B$13="最大化",Q226,IF(01_因子設定!$B$13="最小化",-Q226,-ABS(Q226-01_因子設定!$B$16))),-1E+030)</f>
        <v>40.0313352272727</v>
      </c>
      <c r="Y226" s="55" t="n">
        <f aca="false">W226+ROW()*0.000000001</f>
        <v>-9.66639700265823</v>
      </c>
      <c r="Z226" s="55" t="n">
        <f aca="false">X226+ROW()*0.000000001</f>
        <v>40.0313354532727</v>
      </c>
    </row>
    <row r="227" customFormat="false" ht="15" hidden="false" customHeight="false" outlineLevel="0" collapsed="false">
      <c r="A227" s="0" t="n">
        <v>0</v>
      </c>
      <c r="B227" s="0" t="n">
        <v>13</v>
      </c>
      <c r="C227" s="0" t="n">
        <v>1</v>
      </c>
      <c r="D227" s="0" t="n">
        <f aca="false">-1+A227*0.125</f>
        <v>-1</v>
      </c>
      <c r="E227" s="0" t="n">
        <f aca="false">-1+B227*0.125</f>
        <v>0.625</v>
      </c>
      <c r="F227" s="0" t="n">
        <f aca="false">-1+C227*0.125</f>
        <v>-0.875</v>
      </c>
      <c r="G227" s="0" t="n">
        <f aca="false">1</f>
        <v>1</v>
      </c>
      <c r="H227" s="0" t="n">
        <f aca="false">D227</f>
        <v>-1</v>
      </c>
      <c r="I227" s="0" t="n">
        <f aca="false">E227</f>
        <v>0.625</v>
      </c>
      <c r="J227" s="0" t="n">
        <f aca="false">F227</f>
        <v>-0.875</v>
      </c>
      <c r="K227" s="0" t="n">
        <f aca="false">D227*E227</f>
        <v>-0.625</v>
      </c>
      <c r="L227" s="0" t="n">
        <f aca="false">D227*F227</f>
        <v>0.875</v>
      </c>
      <c r="M227" s="0" t="n">
        <f aca="false">E227*F227</f>
        <v>-0.546875</v>
      </c>
      <c r="N227" s="0" t="n">
        <f aca="false">D227*D227</f>
        <v>1</v>
      </c>
      <c r="O227" s="0" t="n">
        <f aca="false">E227*E227</f>
        <v>0.390625</v>
      </c>
      <c r="P227" s="0" t="n">
        <f aca="false">F227*F227</f>
        <v>0.765625</v>
      </c>
      <c r="Q227" s="0" t="n">
        <f aca="false">SUMPRODUCT(G227:P227,_XtX!$B$71:$K$71)</f>
        <v>40.5336647727273</v>
      </c>
      <c r="R227" s="0" t="n">
        <f aca="false">SUMPRODUCT(MMULT(G227:P227,_XtX!$B$58:$K$67),G227:P227)</f>
        <v>0.555073131214489</v>
      </c>
      <c r="S227" s="0" t="n">
        <f aca="false">04_回帰ANOVA!$K$19*04_回帰ANOVA!$K$14*SQRT(1+R227)</f>
        <v>1.15942335628341</v>
      </c>
      <c r="T227" s="0" t="n">
        <f aca="false">Q227-S227</f>
        <v>39.3742414164439</v>
      </c>
      <c r="U227" s="0" t="n">
        <f aca="false">Q227+S227</f>
        <v>41.6930881290107</v>
      </c>
      <c r="V227" s="54" t="b">
        <f aca="false">AND(D227&gt;=01_因子設定!$L$5-0.000000001,D227&lt;=01_因子設定!$M$5+0.000000001,E227&gt;=01_因子設定!$L$6-0.000000001,E227&lt;=01_因子設定!$M$6+0.000000001,F227&gt;=01_因子設定!$L$7-0.000000001,F227&lt;=01_因子設定!$M$7+0.000000001,IF(01_因子設定!$B$20="Box-Behnken",D227^2+E227^2+F227^2&lt;=2+0.000000001,TRUE()))</f>
        <v>1</v>
      </c>
      <c r="W227" s="55" t="n">
        <f aca="false">IF(V227,IF(01_因子設定!$B$13="最大化",T227-01_因子設定!$B$14,IF(01_因子設定!$B$13="最小化",01_因子設定!$B$15-U227,MIN(T227-01_因子設定!$B$14,01_因子設定!$B$15-U227))),-1E+030)</f>
        <v>-9.12575858355613</v>
      </c>
      <c r="X227" s="55" t="n">
        <f aca="false">IF(V227,IF(01_因子設定!$B$13="最大化",Q227,IF(01_因子設定!$B$13="最小化",-Q227,-ABS(Q227-01_因子設定!$B$16))),-1E+030)</f>
        <v>40.5336647727273</v>
      </c>
      <c r="Y227" s="55" t="n">
        <f aca="false">W227+ROW()*0.000000001</f>
        <v>-9.12575835655613</v>
      </c>
      <c r="Z227" s="55" t="n">
        <f aca="false">X227+ROW()*0.000000001</f>
        <v>40.5336649997273</v>
      </c>
    </row>
    <row r="228" customFormat="false" ht="15" hidden="false" customHeight="false" outlineLevel="0" collapsed="false">
      <c r="A228" s="0" t="n">
        <v>0</v>
      </c>
      <c r="B228" s="0" t="n">
        <v>13</v>
      </c>
      <c r="C228" s="0" t="n">
        <v>2</v>
      </c>
      <c r="D228" s="0" t="n">
        <f aca="false">-1+A228*0.125</f>
        <v>-1</v>
      </c>
      <c r="E228" s="0" t="n">
        <f aca="false">-1+B228*0.125</f>
        <v>0.625</v>
      </c>
      <c r="F228" s="0" t="n">
        <f aca="false">-1+C228*0.125</f>
        <v>-0.75</v>
      </c>
      <c r="G228" s="0" t="n">
        <f aca="false">1</f>
        <v>1</v>
      </c>
      <c r="H228" s="0" t="n">
        <f aca="false">D228</f>
        <v>-1</v>
      </c>
      <c r="I228" s="0" t="n">
        <f aca="false">E228</f>
        <v>0.625</v>
      </c>
      <c r="J228" s="0" t="n">
        <f aca="false">F228</f>
        <v>-0.75</v>
      </c>
      <c r="K228" s="0" t="n">
        <f aca="false">D228*E228</f>
        <v>-0.625</v>
      </c>
      <c r="L228" s="0" t="n">
        <f aca="false">D228*F228</f>
        <v>0.75</v>
      </c>
      <c r="M228" s="0" t="n">
        <f aca="false">E228*F228</f>
        <v>-0.46875</v>
      </c>
      <c r="N228" s="0" t="n">
        <f aca="false">D228*D228</f>
        <v>1</v>
      </c>
      <c r="O228" s="0" t="n">
        <f aca="false">E228*E228</f>
        <v>0.390625</v>
      </c>
      <c r="P228" s="0" t="n">
        <f aca="false">F228*F228</f>
        <v>0.5625</v>
      </c>
      <c r="Q228" s="0" t="n">
        <f aca="false">SUMPRODUCT(G228:P228,_XtX!$B$71:$K$71)</f>
        <v>40.9992045454545</v>
      </c>
      <c r="R228" s="0" t="n">
        <f aca="false">SUMPRODUCT(MMULT(G228:P228,_XtX!$B$58:$K$67),G228:P228)</f>
        <v>0.496855024857955</v>
      </c>
      <c r="S228" s="0" t="n">
        <f aca="false">04_回帰ANOVA!$K$19*04_回帰ANOVA!$K$14*SQRT(1+R228)</f>
        <v>1.1375133593161</v>
      </c>
      <c r="T228" s="0" t="n">
        <f aca="false">Q228-S228</f>
        <v>39.8616911861384</v>
      </c>
      <c r="U228" s="0" t="n">
        <f aca="false">Q228+S228</f>
        <v>42.1367179047707</v>
      </c>
      <c r="V228" s="54" t="b">
        <f aca="false">AND(D228&gt;=01_因子設定!$L$5-0.000000001,D228&lt;=01_因子設定!$M$5+0.000000001,E228&gt;=01_因子設定!$L$6-0.000000001,E228&lt;=01_因子設定!$M$6+0.000000001,F228&gt;=01_因子設定!$L$7-0.000000001,F228&lt;=01_因子設定!$M$7+0.000000001,IF(01_因子設定!$B$20="Box-Behnken",D228^2+E228^2+F228^2&lt;=2+0.000000001,TRUE()))</f>
        <v>1</v>
      </c>
      <c r="W228" s="55" t="n">
        <f aca="false">IF(V228,IF(01_因子設定!$B$13="最大化",T228-01_因子設定!$B$14,IF(01_因子設定!$B$13="最小化",01_因子設定!$B$15-U228,MIN(T228-01_因子設定!$B$14,01_因子設定!$B$15-U228))),-1E+030)</f>
        <v>-8.63830881386156</v>
      </c>
      <c r="X228" s="55" t="n">
        <f aca="false">IF(V228,IF(01_因子設定!$B$13="最大化",Q228,IF(01_因子設定!$B$13="最小化",-Q228,-ABS(Q228-01_因子設定!$B$16))),-1E+030)</f>
        <v>40.9992045454545</v>
      </c>
      <c r="Y228" s="55" t="n">
        <f aca="false">W228+ROW()*0.000000001</f>
        <v>-8.63830858586156</v>
      </c>
      <c r="Z228" s="55" t="n">
        <f aca="false">X228+ROW()*0.000000001</f>
        <v>40.9992047734545</v>
      </c>
    </row>
    <row r="229" customFormat="false" ht="15" hidden="false" customHeight="false" outlineLevel="0" collapsed="false">
      <c r="A229" s="0" t="n">
        <v>0</v>
      </c>
      <c r="B229" s="0" t="n">
        <v>13</v>
      </c>
      <c r="C229" s="0" t="n">
        <v>3</v>
      </c>
      <c r="D229" s="0" t="n">
        <f aca="false">-1+A229*0.125</f>
        <v>-1</v>
      </c>
      <c r="E229" s="0" t="n">
        <f aca="false">-1+B229*0.125</f>
        <v>0.625</v>
      </c>
      <c r="F229" s="0" t="n">
        <f aca="false">-1+C229*0.125</f>
        <v>-0.625</v>
      </c>
      <c r="G229" s="0" t="n">
        <f aca="false">1</f>
        <v>1</v>
      </c>
      <c r="H229" s="0" t="n">
        <f aca="false">D229</f>
        <v>-1</v>
      </c>
      <c r="I229" s="0" t="n">
        <f aca="false">E229</f>
        <v>0.625</v>
      </c>
      <c r="J229" s="0" t="n">
        <f aca="false">F229</f>
        <v>-0.625</v>
      </c>
      <c r="K229" s="0" t="n">
        <f aca="false">D229*E229</f>
        <v>-0.625</v>
      </c>
      <c r="L229" s="0" t="n">
        <f aca="false">D229*F229</f>
        <v>0.625</v>
      </c>
      <c r="M229" s="0" t="n">
        <f aca="false">E229*F229</f>
        <v>-0.390625</v>
      </c>
      <c r="N229" s="0" t="n">
        <f aca="false">D229*D229</f>
        <v>1</v>
      </c>
      <c r="O229" s="0" t="n">
        <f aca="false">E229*E229</f>
        <v>0.390625</v>
      </c>
      <c r="P229" s="0" t="n">
        <f aca="false">F229*F229</f>
        <v>0.390625</v>
      </c>
      <c r="Q229" s="0" t="n">
        <f aca="false">SUMPRODUCT(G229:P229,_XtX!$B$71:$K$71)</f>
        <v>41.4279545454545</v>
      </c>
      <c r="R229" s="0" t="n">
        <f aca="false">SUMPRODUCT(MMULT(G229:P229,_XtX!$B$58:$K$67),G229:P229)</f>
        <v>0.47103105024858</v>
      </c>
      <c r="S229" s="0" t="n">
        <f aca="false">04_回帰ANOVA!$K$19*04_回帰ANOVA!$K$14*SQRT(1+R229)</f>
        <v>1.1276583912499</v>
      </c>
      <c r="T229" s="0" t="n">
        <f aca="false">Q229-S229</f>
        <v>40.3002961542046</v>
      </c>
      <c r="U229" s="0" t="n">
        <f aca="false">Q229+S229</f>
        <v>42.5556129367044</v>
      </c>
      <c r="V229" s="54" t="b">
        <f aca="false">AND(D229&gt;=01_因子設定!$L$5-0.000000001,D229&lt;=01_因子設定!$M$5+0.000000001,E229&gt;=01_因子設定!$L$6-0.000000001,E229&lt;=01_因子設定!$M$6+0.000000001,F229&gt;=01_因子設定!$L$7-0.000000001,F229&lt;=01_因子設定!$M$7+0.000000001,IF(01_因子設定!$B$20="Box-Behnken",D229^2+E229^2+F229^2&lt;=2+0.000000001,TRUE()))</f>
        <v>1</v>
      </c>
      <c r="W229" s="55" t="n">
        <f aca="false">IF(V229,IF(01_因子設定!$B$13="最大化",T229-01_因子設定!$B$14,IF(01_因子設定!$B$13="最小化",01_因子設定!$B$15-U229,MIN(T229-01_因子設定!$B$14,01_因子設定!$B$15-U229))),-1E+030)</f>
        <v>-8.19970384579536</v>
      </c>
      <c r="X229" s="55" t="n">
        <f aca="false">IF(V229,IF(01_因子設定!$B$13="最大化",Q229,IF(01_因子設定!$B$13="最小化",-Q229,-ABS(Q229-01_因子設定!$B$16))),-1E+030)</f>
        <v>41.4279545454545</v>
      </c>
      <c r="Y229" s="55" t="n">
        <f aca="false">W229+ROW()*0.000000001</f>
        <v>-8.19970361679536</v>
      </c>
      <c r="Z229" s="55" t="n">
        <f aca="false">X229+ROW()*0.000000001</f>
        <v>41.4279547744545</v>
      </c>
    </row>
    <row r="230" customFormat="false" ht="15" hidden="false" customHeight="false" outlineLevel="0" collapsed="false">
      <c r="A230" s="0" t="n">
        <v>0</v>
      </c>
      <c r="B230" s="0" t="n">
        <v>13</v>
      </c>
      <c r="C230" s="0" t="n">
        <v>4</v>
      </c>
      <c r="D230" s="0" t="n">
        <f aca="false">-1+A230*0.125</f>
        <v>-1</v>
      </c>
      <c r="E230" s="0" t="n">
        <f aca="false">-1+B230*0.125</f>
        <v>0.625</v>
      </c>
      <c r="F230" s="0" t="n">
        <f aca="false">-1+C230*0.125</f>
        <v>-0.5</v>
      </c>
      <c r="G230" s="0" t="n">
        <f aca="false">1</f>
        <v>1</v>
      </c>
      <c r="H230" s="0" t="n">
        <f aca="false">D230</f>
        <v>-1</v>
      </c>
      <c r="I230" s="0" t="n">
        <f aca="false">E230</f>
        <v>0.625</v>
      </c>
      <c r="J230" s="0" t="n">
        <f aca="false">F230</f>
        <v>-0.5</v>
      </c>
      <c r="K230" s="0" t="n">
        <f aca="false">D230*E230</f>
        <v>-0.625</v>
      </c>
      <c r="L230" s="0" t="n">
        <f aca="false">D230*F230</f>
        <v>0.5</v>
      </c>
      <c r="M230" s="0" t="n">
        <f aca="false">E230*F230</f>
        <v>-0.3125</v>
      </c>
      <c r="N230" s="0" t="n">
        <f aca="false">D230*D230</f>
        <v>1</v>
      </c>
      <c r="O230" s="0" t="n">
        <f aca="false">E230*E230</f>
        <v>0.390625</v>
      </c>
      <c r="P230" s="0" t="n">
        <f aca="false">F230*F230</f>
        <v>0.25</v>
      </c>
      <c r="Q230" s="0" t="n">
        <f aca="false">SUMPRODUCT(G230:P230,_XtX!$B$71:$K$71)</f>
        <v>41.8199147727273</v>
      </c>
      <c r="R230" s="0" t="n">
        <f aca="false">SUMPRODUCT(MMULT(G230:P230,_XtX!$B$58:$K$67),G230:P230)</f>
        <v>0.465882457386364</v>
      </c>
      <c r="S230" s="0" t="n">
        <f aca="false">04_回帰ANOVA!$K$19*04_回帰ANOVA!$K$14*SQRT(1+R230)</f>
        <v>1.12568326538173</v>
      </c>
      <c r="T230" s="0" t="n">
        <f aca="false">Q230-S230</f>
        <v>40.6942315073455</v>
      </c>
      <c r="U230" s="0" t="n">
        <f aca="false">Q230+S230</f>
        <v>42.945598038109</v>
      </c>
      <c r="V230" s="54" t="b">
        <f aca="false">AND(D230&gt;=01_因子設定!$L$5-0.000000001,D230&lt;=01_因子設定!$M$5+0.000000001,E230&gt;=01_因子設定!$L$6-0.000000001,E230&lt;=01_因子設定!$M$6+0.000000001,F230&gt;=01_因子設定!$L$7-0.000000001,F230&lt;=01_因子設定!$M$7+0.000000001,IF(01_因子設定!$B$20="Box-Behnken",D230^2+E230^2+F230^2&lt;=2+0.000000001,TRUE()))</f>
        <v>1</v>
      </c>
      <c r="W230" s="55" t="n">
        <f aca="false">IF(V230,IF(01_因子設定!$B$13="最大化",T230-01_因子設定!$B$14,IF(01_因子設定!$B$13="最小化",01_因子設定!$B$15-U230,MIN(T230-01_因子設定!$B$14,01_因子設定!$B$15-U230))),-1E+030)</f>
        <v>-7.80576849265446</v>
      </c>
      <c r="X230" s="55" t="n">
        <f aca="false">IF(V230,IF(01_因子設定!$B$13="最大化",Q230,IF(01_因子設定!$B$13="最小化",-Q230,-ABS(Q230-01_因子設定!$B$16))),-1E+030)</f>
        <v>41.8199147727273</v>
      </c>
      <c r="Y230" s="55" t="n">
        <f aca="false">W230+ROW()*0.000000001</f>
        <v>-7.80576826265446</v>
      </c>
      <c r="Z230" s="55" t="n">
        <f aca="false">X230+ROW()*0.000000001</f>
        <v>41.8199150027273</v>
      </c>
    </row>
    <row r="231" customFormat="false" ht="15" hidden="false" customHeight="false" outlineLevel="0" collapsed="false">
      <c r="A231" s="0" t="n">
        <v>0</v>
      </c>
      <c r="B231" s="0" t="n">
        <v>13</v>
      </c>
      <c r="C231" s="0" t="n">
        <v>5</v>
      </c>
      <c r="D231" s="0" t="n">
        <f aca="false">-1+A231*0.125</f>
        <v>-1</v>
      </c>
      <c r="E231" s="0" t="n">
        <f aca="false">-1+B231*0.125</f>
        <v>0.625</v>
      </c>
      <c r="F231" s="0" t="n">
        <f aca="false">-1+C231*0.125</f>
        <v>-0.375</v>
      </c>
      <c r="G231" s="0" t="n">
        <f aca="false">1</f>
        <v>1</v>
      </c>
      <c r="H231" s="0" t="n">
        <f aca="false">D231</f>
        <v>-1</v>
      </c>
      <c r="I231" s="0" t="n">
        <f aca="false">E231</f>
        <v>0.625</v>
      </c>
      <c r="J231" s="0" t="n">
        <f aca="false">F231</f>
        <v>-0.375</v>
      </c>
      <c r="K231" s="0" t="n">
        <f aca="false">D231*E231</f>
        <v>-0.625</v>
      </c>
      <c r="L231" s="0" t="n">
        <f aca="false">D231*F231</f>
        <v>0.375</v>
      </c>
      <c r="M231" s="0" t="n">
        <f aca="false">E231*F231</f>
        <v>-0.234375</v>
      </c>
      <c r="N231" s="0" t="n">
        <f aca="false">D231*D231</f>
        <v>1</v>
      </c>
      <c r="O231" s="0" t="n">
        <f aca="false">E231*E231</f>
        <v>0.390625</v>
      </c>
      <c r="P231" s="0" t="n">
        <f aca="false">F231*F231</f>
        <v>0.140625</v>
      </c>
      <c r="Q231" s="0" t="n">
        <f aca="false">SUMPRODUCT(G231:P231,_XtX!$B$71:$K$71)</f>
        <v>42.1750852272727</v>
      </c>
      <c r="R231" s="0" t="n">
        <f aca="false">SUMPRODUCT(MMULT(G231:P231,_XtX!$B$58:$K$67),G231:P231)</f>
        <v>0.471821178089489</v>
      </c>
      <c r="S231" s="0" t="n">
        <f aca="false">04_回帰ANOVA!$K$19*04_回帰ANOVA!$K$14*SQRT(1+R231)</f>
        <v>1.12796119746125</v>
      </c>
      <c r="T231" s="0" t="n">
        <f aca="false">Q231-S231</f>
        <v>41.0471240298115</v>
      </c>
      <c r="U231" s="0" t="n">
        <f aca="false">Q231+S231</f>
        <v>43.303046424734</v>
      </c>
      <c r="V231" s="54" t="b">
        <f aca="false">AND(D231&gt;=01_因子設定!$L$5-0.000000001,D231&lt;=01_因子設定!$M$5+0.000000001,E231&gt;=01_因子設定!$L$6-0.000000001,E231&lt;=01_因子設定!$M$6+0.000000001,F231&gt;=01_因子設定!$L$7-0.000000001,F231&lt;=01_因子設定!$M$7+0.000000001,IF(01_因子設定!$B$20="Box-Behnken",D231^2+E231^2+F231^2&lt;=2+0.000000001,TRUE()))</f>
        <v>1</v>
      </c>
      <c r="W231" s="55" t="n">
        <f aca="false">IF(V231,IF(01_因子設定!$B$13="最大化",T231-01_因子設定!$B$14,IF(01_因子設定!$B$13="最小化",01_因子設定!$B$15-U231,MIN(T231-01_因子設定!$B$14,01_因子設定!$B$15-U231))),-1E+030)</f>
        <v>-7.45287597018854</v>
      </c>
      <c r="X231" s="55" t="n">
        <f aca="false">IF(V231,IF(01_因子設定!$B$13="最大化",Q231,IF(01_因子設定!$B$13="最小化",-Q231,-ABS(Q231-01_因子設定!$B$16))),-1E+030)</f>
        <v>42.1750852272727</v>
      </c>
      <c r="Y231" s="55" t="n">
        <f aca="false">W231+ROW()*0.000000001</f>
        <v>-7.45287573918854</v>
      </c>
      <c r="Z231" s="55" t="n">
        <f aca="false">X231+ROW()*0.000000001</f>
        <v>42.1750854582727</v>
      </c>
    </row>
    <row r="232" customFormat="false" ht="15" hidden="false" customHeight="false" outlineLevel="0" collapsed="false">
      <c r="A232" s="0" t="n">
        <v>0</v>
      </c>
      <c r="B232" s="0" t="n">
        <v>13</v>
      </c>
      <c r="C232" s="0" t="n">
        <v>6</v>
      </c>
      <c r="D232" s="0" t="n">
        <f aca="false">-1+A232*0.125</f>
        <v>-1</v>
      </c>
      <c r="E232" s="0" t="n">
        <f aca="false">-1+B232*0.125</f>
        <v>0.625</v>
      </c>
      <c r="F232" s="0" t="n">
        <f aca="false">-1+C232*0.125</f>
        <v>-0.25</v>
      </c>
      <c r="G232" s="0" t="n">
        <f aca="false">1</f>
        <v>1</v>
      </c>
      <c r="H232" s="0" t="n">
        <f aca="false">D232</f>
        <v>-1</v>
      </c>
      <c r="I232" s="0" t="n">
        <f aca="false">E232</f>
        <v>0.625</v>
      </c>
      <c r="J232" s="0" t="n">
        <f aca="false">F232</f>
        <v>-0.25</v>
      </c>
      <c r="K232" s="0" t="n">
        <f aca="false">D232*E232</f>
        <v>-0.625</v>
      </c>
      <c r="L232" s="0" t="n">
        <f aca="false">D232*F232</f>
        <v>0.25</v>
      </c>
      <c r="M232" s="0" t="n">
        <f aca="false">E232*F232</f>
        <v>-0.15625</v>
      </c>
      <c r="N232" s="0" t="n">
        <f aca="false">D232*D232</f>
        <v>1</v>
      </c>
      <c r="O232" s="0" t="n">
        <f aca="false">E232*E232</f>
        <v>0.390625</v>
      </c>
      <c r="P232" s="0" t="n">
        <f aca="false">F232*F232</f>
        <v>0.0625</v>
      </c>
      <c r="Q232" s="0" t="n">
        <f aca="false">SUMPRODUCT(G232:P232,_XtX!$B$71:$K$71)</f>
        <v>42.4934659090909</v>
      </c>
      <c r="R232" s="0" t="n">
        <f aca="false">SUMPRODUCT(MMULT(G232:P232,_XtX!$B$58:$K$67),G232:P232)</f>
        <v>0.481389825994318</v>
      </c>
      <c r="S232" s="0" t="n">
        <f aca="false">04_回帰ANOVA!$K$19*04_回帰ANOVA!$K$14*SQRT(1+R232)</f>
        <v>1.13162182500693</v>
      </c>
      <c r="T232" s="0" t="n">
        <f aca="false">Q232-S232</f>
        <v>41.361844084084</v>
      </c>
      <c r="U232" s="0" t="n">
        <f aca="false">Q232+S232</f>
        <v>43.6250877340978</v>
      </c>
      <c r="V232" s="54" t="b">
        <f aca="false">AND(D232&gt;=01_因子設定!$L$5-0.000000001,D232&lt;=01_因子設定!$M$5+0.000000001,E232&gt;=01_因子設定!$L$6-0.000000001,E232&lt;=01_因子設定!$M$6+0.000000001,F232&gt;=01_因子設定!$L$7-0.000000001,F232&lt;=01_因子設定!$M$7+0.000000001,IF(01_因子設定!$B$20="Box-Behnken",D232^2+E232^2+F232^2&lt;=2+0.000000001,TRUE()))</f>
        <v>1</v>
      </c>
      <c r="W232" s="55" t="n">
        <f aca="false">IF(V232,IF(01_因子設定!$B$13="最大化",T232-01_因子設定!$B$14,IF(01_因子設定!$B$13="最小化",01_因子設定!$B$15-U232,MIN(T232-01_因子設定!$B$14,01_因子設定!$B$15-U232))),-1E+030)</f>
        <v>-7.13815591591602</v>
      </c>
      <c r="X232" s="55" t="n">
        <f aca="false">IF(V232,IF(01_因子設定!$B$13="最大化",Q232,IF(01_因子設定!$B$13="最小化",-Q232,-ABS(Q232-01_因子設定!$B$16))),-1E+030)</f>
        <v>42.4934659090909</v>
      </c>
      <c r="Y232" s="55" t="n">
        <f aca="false">W232+ROW()*0.000000001</f>
        <v>-7.13815568391602</v>
      </c>
      <c r="Z232" s="55" t="n">
        <f aca="false">X232+ROW()*0.000000001</f>
        <v>42.4934661410909</v>
      </c>
    </row>
    <row r="233" customFormat="false" ht="15" hidden="false" customHeight="false" outlineLevel="0" collapsed="false">
      <c r="A233" s="0" t="n">
        <v>0</v>
      </c>
      <c r="B233" s="0" t="n">
        <v>13</v>
      </c>
      <c r="C233" s="0" t="n">
        <v>7</v>
      </c>
      <c r="D233" s="0" t="n">
        <f aca="false">-1+A233*0.125</f>
        <v>-1</v>
      </c>
      <c r="E233" s="0" t="n">
        <f aca="false">-1+B233*0.125</f>
        <v>0.625</v>
      </c>
      <c r="F233" s="0" t="n">
        <f aca="false">-1+C233*0.125</f>
        <v>-0.125</v>
      </c>
      <c r="G233" s="0" t="n">
        <f aca="false">1</f>
        <v>1</v>
      </c>
      <c r="H233" s="0" t="n">
        <f aca="false">D233</f>
        <v>-1</v>
      </c>
      <c r="I233" s="0" t="n">
        <f aca="false">E233</f>
        <v>0.625</v>
      </c>
      <c r="J233" s="0" t="n">
        <f aca="false">F233</f>
        <v>-0.125</v>
      </c>
      <c r="K233" s="0" t="n">
        <f aca="false">D233*E233</f>
        <v>-0.625</v>
      </c>
      <c r="L233" s="0" t="n">
        <f aca="false">D233*F233</f>
        <v>0.125</v>
      </c>
      <c r="M233" s="0" t="n">
        <f aca="false">E233*F233</f>
        <v>-0.078125</v>
      </c>
      <c r="N233" s="0" t="n">
        <f aca="false">D233*D233</f>
        <v>1</v>
      </c>
      <c r="O233" s="0" t="n">
        <f aca="false">E233*E233</f>
        <v>0.390625</v>
      </c>
      <c r="P233" s="0" t="n">
        <f aca="false">F233*F233</f>
        <v>0.015625</v>
      </c>
      <c r="Q233" s="0" t="n">
        <f aca="false">SUMPRODUCT(G233:P233,_XtX!$B$71:$K$71)</f>
        <v>42.7750568181818</v>
      </c>
      <c r="R233" s="0" t="n">
        <f aca="false">SUMPRODUCT(MMULT(G233:P233,_XtX!$B$58:$K$67),G233:P233)</f>
        <v>0.489261696555398</v>
      </c>
      <c r="S233" s="0" t="n">
        <f aca="false">04_回帰ANOVA!$K$19*04_回帰ANOVA!$K$14*SQRT(1+R233)</f>
        <v>1.13462447083763</v>
      </c>
      <c r="T233" s="0" t="n">
        <f aca="false">Q233-S233</f>
        <v>41.6404323473442</v>
      </c>
      <c r="U233" s="0" t="n">
        <f aca="false">Q233+S233</f>
        <v>43.9096812890194</v>
      </c>
      <c r="V233" s="54" t="b">
        <f aca="false">AND(D233&gt;=01_因子設定!$L$5-0.000000001,D233&lt;=01_因子設定!$M$5+0.000000001,E233&gt;=01_因子設定!$L$6-0.000000001,E233&lt;=01_因子設定!$M$6+0.000000001,F233&gt;=01_因子設定!$L$7-0.000000001,F233&lt;=01_因子設定!$M$7+0.000000001,IF(01_因子設定!$B$20="Box-Behnken",D233^2+E233^2+F233^2&lt;=2+0.000000001,TRUE()))</f>
        <v>1</v>
      </c>
      <c r="W233" s="55" t="n">
        <f aca="false">IF(V233,IF(01_因子設定!$B$13="最大化",T233-01_因子設定!$B$14,IF(01_因子設定!$B$13="最小化",01_因子設定!$B$15-U233,MIN(T233-01_因子設定!$B$14,01_因子設定!$B$15-U233))),-1E+030)</f>
        <v>-6.85956765265583</v>
      </c>
      <c r="X233" s="55" t="n">
        <f aca="false">IF(V233,IF(01_因子設定!$B$13="最大化",Q233,IF(01_因子設定!$B$13="最小化",-Q233,-ABS(Q233-01_因子設定!$B$16))),-1E+030)</f>
        <v>42.7750568181818</v>
      </c>
      <c r="Y233" s="55" t="n">
        <f aca="false">W233+ROW()*0.000000001</f>
        <v>-6.85956741965583</v>
      </c>
      <c r="Z233" s="55" t="n">
        <f aca="false">X233+ROW()*0.000000001</f>
        <v>42.7750570511818</v>
      </c>
    </row>
    <row r="234" customFormat="false" ht="15" hidden="false" customHeight="false" outlineLevel="0" collapsed="false">
      <c r="A234" s="0" t="n">
        <v>0</v>
      </c>
      <c r="B234" s="0" t="n">
        <v>13</v>
      </c>
      <c r="C234" s="0" t="n">
        <v>8</v>
      </c>
      <c r="D234" s="0" t="n">
        <f aca="false">-1+A234*0.125</f>
        <v>-1</v>
      </c>
      <c r="E234" s="0" t="n">
        <f aca="false">-1+B234*0.125</f>
        <v>0.625</v>
      </c>
      <c r="F234" s="0" t="n">
        <f aca="false">-1+C234*0.125</f>
        <v>0</v>
      </c>
      <c r="G234" s="0" t="n">
        <f aca="false">1</f>
        <v>1</v>
      </c>
      <c r="H234" s="0" t="n">
        <f aca="false">D234</f>
        <v>-1</v>
      </c>
      <c r="I234" s="0" t="n">
        <f aca="false">E234</f>
        <v>0.625</v>
      </c>
      <c r="J234" s="0" t="n">
        <f aca="false">F234</f>
        <v>0</v>
      </c>
      <c r="K234" s="0" t="n">
        <f aca="false">D234*E234</f>
        <v>-0.625</v>
      </c>
      <c r="L234" s="0" t="n">
        <f aca="false">D234*F234</f>
        <v>-0</v>
      </c>
      <c r="M234" s="0" t="n">
        <f aca="false">E234*F234</f>
        <v>0</v>
      </c>
      <c r="N234" s="0" t="n">
        <f aca="false">D234*D234</f>
        <v>1</v>
      </c>
      <c r="O234" s="0" t="n">
        <f aca="false">E234*E234</f>
        <v>0.390625</v>
      </c>
      <c r="P234" s="0" t="n">
        <f aca="false">F234*F234</f>
        <v>0</v>
      </c>
      <c r="Q234" s="0" t="n">
        <f aca="false">SUMPRODUCT(G234:P234,_XtX!$B$71:$K$71)</f>
        <v>43.0198579545454</v>
      </c>
      <c r="R234" s="0" t="n">
        <f aca="false">SUMPRODUCT(MMULT(G234:P234,_XtX!$B$58:$K$67),G234:P234)</f>
        <v>0.492240767045455</v>
      </c>
      <c r="S234" s="0" t="n">
        <f aca="false">04_回帰ANOVA!$K$19*04_回帰ANOVA!$K$14*SQRT(1+R234)</f>
        <v>1.13575873676322</v>
      </c>
      <c r="T234" s="0" t="n">
        <f aca="false">Q234-S234</f>
        <v>41.8840992177822</v>
      </c>
      <c r="U234" s="0" t="n">
        <f aca="false">Q234+S234</f>
        <v>44.1556166913087</v>
      </c>
      <c r="V234" s="54" t="b">
        <f aca="false">AND(D234&gt;=01_因子設定!$L$5-0.000000001,D234&lt;=01_因子設定!$M$5+0.000000001,E234&gt;=01_因子設定!$L$6-0.000000001,E234&lt;=01_因子設定!$M$6+0.000000001,F234&gt;=01_因子設定!$L$7-0.000000001,F234&lt;=01_因子設定!$M$7+0.000000001,IF(01_因子設定!$B$20="Box-Behnken",D234^2+E234^2+F234^2&lt;=2+0.000000001,TRUE()))</f>
        <v>1</v>
      </c>
      <c r="W234" s="55" t="n">
        <f aca="false">IF(V234,IF(01_因子設定!$B$13="最大化",T234-01_因子設定!$B$14,IF(01_因子設定!$B$13="最小化",01_因子設定!$B$15-U234,MIN(T234-01_因子設定!$B$14,01_因子設定!$B$15-U234))),-1E+030)</f>
        <v>-6.61590078221778</v>
      </c>
      <c r="X234" s="55" t="n">
        <f aca="false">IF(V234,IF(01_因子設定!$B$13="最大化",Q234,IF(01_因子設定!$B$13="最小化",-Q234,-ABS(Q234-01_因子設定!$B$16))),-1E+030)</f>
        <v>43.0198579545454</v>
      </c>
      <c r="Y234" s="55" t="n">
        <f aca="false">W234+ROW()*0.000000001</f>
        <v>-6.61590054821778</v>
      </c>
      <c r="Z234" s="55" t="n">
        <f aca="false">X234+ROW()*0.000000001</f>
        <v>43.0198581885454</v>
      </c>
    </row>
    <row r="235" customFormat="false" ht="15" hidden="false" customHeight="false" outlineLevel="0" collapsed="false">
      <c r="A235" s="0" t="n">
        <v>0</v>
      </c>
      <c r="B235" s="0" t="n">
        <v>13</v>
      </c>
      <c r="C235" s="0" t="n">
        <v>9</v>
      </c>
      <c r="D235" s="0" t="n">
        <f aca="false">-1+A235*0.125</f>
        <v>-1</v>
      </c>
      <c r="E235" s="0" t="n">
        <f aca="false">-1+B235*0.125</f>
        <v>0.625</v>
      </c>
      <c r="F235" s="0" t="n">
        <f aca="false">-1+C235*0.125</f>
        <v>0.125</v>
      </c>
      <c r="G235" s="0" t="n">
        <f aca="false">1</f>
        <v>1</v>
      </c>
      <c r="H235" s="0" t="n">
        <f aca="false">D235</f>
        <v>-1</v>
      </c>
      <c r="I235" s="0" t="n">
        <f aca="false">E235</f>
        <v>0.625</v>
      </c>
      <c r="J235" s="0" t="n">
        <f aca="false">F235</f>
        <v>0.125</v>
      </c>
      <c r="K235" s="0" t="n">
        <f aca="false">D235*E235</f>
        <v>-0.625</v>
      </c>
      <c r="L235" s="0" t="n">
        <f aca="false">D235*F235</f>
        <v>-0.125</v>
      </c>
      <c r="M235" s="0" t="n">
        <f aca="false">E235*F235</f>
        <v>0.078125</v>
      </c>
      <c r="N235" s="0" t="n">
        <f aca="false">D235*D235</f>
        <v>1</v>
      </c>
      <c r="O235" s="0" t="n">
        <f aca="false">E235*E235</f>
        <v>0.390625</v>
      </c>
      <c r="P235" s="0" t="n">
        <f aca="false">F235*F235</f>
        <v>0.015625</v>
      </c>
      <c r="Q235" s="0" t="n">
        <f aca="false">SUMPRODUCT(G235:P235,_XtX!$B$71:$K$71)</f>
        <v>43.2278693181818</v>
      </c>
      <c r="R235" s="0" t="n">
        <f aca="false">SUMPRODUCT(MMULT(G235:P235,_XtX!$B$58:$K$67),G235:P235)</f>
        <v>0.489261696555398</v>
      </c>
      <c r="S235" s="0" t="n">
        <f aca="false">04_回帰ANOVA!$K$19*04_回帰ANOVA!$K$14*SQRT(1+R235)</f>
        <v>1.13462447083763</v>
      </c>
      <c r="T235" s="0" t="n">
        <f aca="false">Q235-S235</f>
        <v>42.0932448473442</v>
      </c>
      <c r="U235" s="0" t="n">
        <f aca="false">Q235+S235</f>
        <v>44.3624937890194</v>
      </c>
      <c r="V235" s="54" t="b">
        <f aca="false">AND(D235&gt;=01_因子設定!$L$5-0.000000001,D235&lt;=01_因子設定!$M$5+0.000000001,E235&gt;=01_因子設定!$L$6-0.000000001,E235&lt;=01_因子設定!$M$6+0.000000001,F235&gt;=01_因子設定!$L$7-0.000000001,F235&lt;=01_因子設定!$M$7+0.000000001,IF(01_因子設定!$B$20="Box-Behnken",D235^2+E235^2+F235^2&lt;=2+0.000000001,TRUE()))</f>
        <v>1</v>
      </c>
      <c r="W235" s="55" t="n">
        <f aca="false">IF(V235,IF(01_因子設定!$B$13="最大化",T235-01_因子設定!$B$14,IF(01_因子設定!$B$13="最小化",01_因子設定!$B$15-U235,MIN(T235-01_因子設定!$B$14,01_因子設定!$B$15-U235))),-1E+030)</f>
        <v>-6.40675515265583</v>
      </c>
      <c r="X235" s="55" t="n">
        <f aca="false">IF(V235,IF(01_因子設定!$B$13="最大化",Q235,IF(01_因子設定!$B$13="最小化",-Q235,-ABS(Q235-01_因子設定!$B$16))),-1E+030)</f>
        <v>43.2278693181818</v>
      </c>
      <c r="Y235" s="55" t="n">
        <f aca="false">W235+ROW()*0.000000001</f>
        <v>-6.40675491765583</v>
      </c>
      <c r="Z235" s="55" t="n">
        <f aca="false">X235+ROW()*0.000000001</f>
        <v>43.2278695531818</v>
      </c>
    </row>
    <row r="236" customFormat="false" ht="15" hidden="false" customHeight="false" outlineLevel="0" collapsed="false">
      <c r="A236" s="0" t="n">
        <v>0</v>
      </c>
      <c r="B236" s="0" t="n">
        <v>13</v>
      </c>
      <c r="C236" s="0" t="n">
        <v>10</v>
      </c>
      <c r="D236" s="0" t="n">
        <f aca="false">-1+A236*0.125</f>
        <v>-1</v>
      </c>
      <c r="E236" s="0" t="n">
        <f aca="false">-1+B236*0.125</f>
        <v>0.625</v>
      </c>
      <c r="F236" s="0" t="n">
        <f aca="false">-1+C236*0.125</f>
        <v>0.25</v>
      </c>
      <c r="G236" s="0" t="n">
        <f aca="false">1</f>
        <v>1</v>
      </c>
      <c r="H236" s="0" t="n">
        <f aca="false">D236</f>
        <v>-1</v>
      </c>
      <c r="I236" s="0" t="n">
        <f aca="false">E236</f>
        <v>0.625</v>
      </c>
      <c r="J236" s="0" t="n">
        <f aca="false">F236</f>
        <v>0.25</v>
      </c>
      <c r="K236" s="0" t="n">
        <f aca="false">D236*E236</f>
        <v>-0.625</v>
      </c>
      <c r="L236" s="0" t="n">
        <f aca="false">D236*F236</f>
        <v>-0.25</v>
      </c>
      <c r="M236" s="0" t="n">
        <f aca="false">E236*F236</f>
        <v>0.15625</v>
      </c>
      <c r="N236" s="0" t="n">
        <f aca="false">D236*D236</f>
        <v>1</v>
      </c>
      <c r="O236" s="0" t="n">
        <f aca="false">E236*E236</f>
        <v>0.390625</v>
      </c>
      <c r="P236" s="0" t="n">
        <f aca="false">F236*F236</f>
        <v>0.0625</v>
      </c>
      <c r="Q236" s="0" t="n">
        <f aca="false">SUMPRODUCT(G236:P236,_XtX!$B$71:$K$71)</f>
        <v>43.3990909090909</v>
      </c>
      <c r="R236" s="0" t="n">
        <f aca="false">SUMPRODUCT(MMULT(G236:P236,_XtX!$B$58:$K$67),G236:P236)</f>
        <v>0.481389825994318</v>
      </c>
      <c r="S236" s="0" t="n">
        <f aca="false">04_回帰ANOVA!$K$19*04_回帰ANOVA!$K$14*SQRT(1+R236)</f>
        <v>1.13162182500693</v>
      </c>
      <c r="T236" s="0" t="n">
        <f aca="false">Q236-S236</f>
        <v>42.267469084084</v>
      </c>
      <c r="U236" s="0" t="n">
        <f aca="false">Q236+S236</f>
        <v>44.5307127340978</v>
      </c>
      <c r="V236" s="54" t="b">
        <f aca="false">AND(D236&gt;=01_因子設定!$L$5-0.000000001,D236&lt;=01_因子設定!$M$5+0.000000001,E236&gt;=01_因子設定!$L$6-0.000000001,E236&lt;=01_因子設定!$M$6+0.000000001,F236&gt;=01_因子設定!$L$7-0.000000001,F236&lt;=01_因子設定!$M$7+0.000000001,IF(01_因子設定!$B$20="Box-Behnken",D236^2+E236^2+F236^2&lt;=2+0.000000001,TRUE()))</f>
        <v>1</v>
      </c>
      <c r="W236" s="55" t="n">
        <f aca="false">IF(V236,IF(01_因子設定!$B$13="最大化",T236-01_因子設定!$B$14,IF(01_因子設定!$B$13="最小化",01_因子設定!$B$15-U236,MIN(T236-01_因子設定!$B$14,01_因子設定!$B$15-U236))),-1E+030)</f>
        <v>-6.23253091591602</v>
      </c>
      <c r="X236" s="55" t="n">
        <f aca="false">IF(V236,IF(01_因子設定!$B$13="最大化",Q236,IF(01_因子設定!$B$13="最小化",-Q236,-ABS(Q236-01_因子設定!$B$16))),-1E+030)</f>
        <v>43.3990909090909</v>
      </c>
      <c r="Y236" s="55" t="n">
        <f aca="false">W236+ROW()*0.000000001</f>
        <v>-6.23253067991602</v>
      </c>
      <c r="Z236" s="55" t="n">
        <f aca="false">X236+ROW()*0.000000001</f>
        <v>43.3990911450909</v>
      </c>
    </row>
    <row r="237" customFormat="false" ht="15" hidden="false" customHeight="false" outlineLevel="0" collapsed="false">
      <c r="A237" s="0" t="n">
        <v>0</v>
      </c>
      <c r="B237" s="0" t="n">
        <v>13</v>
      </c>
      <c r="C237" s="0" t="n">
        <v>11</v>
      </c>
      <c r="D237" s="0" t="n">
        <f aca="false">-1+A237*0.125</f>
        <v>-1</v>
      </c>
      <c r="E237" s="0" t="n">
        <f aca="false">-1+B237*0.125</f>
        <v>0.625</v>
      </c>
      <c r="F237" s="0" t="n">
        <f aca="false">-1+C237*0.125</f>
        <v>0.375</v>
      </c>
      <c r="G237" s="0" t="n">
        <f aca="false">1</f>
        <v>1</v>
      </c>
      <c r="H237" s="0" t="n">
        <f aca="false">D237</f>
        <v>-1</v>
      </c>
      <c r="I237" s="0" t="n">
        <f aca="false">E237</f>
        <v>0.625</v>
      </c>
      <c r="J237" s="0" t="n">
        <f aca="false">F237</f>
        <v>0.375</v>
      </c>
      <c r="K237" s="0" t="n">
        <f aca="false">D237*E237</f>
        <v>-0.625</v>
      </c>
      <c r="L237" s="0" t="n">
        <f aca="false">D237*F237</f>
        <v>-0.375</v>
      </c>
      <c r="M237" s="0" t="n">
        <f aca="false">E237*F237</f>
        <v>0.234375</v>
      </c>
      <c r="N237" s="0" t="n">
        <f aca="false">D237*D237</f>
        <v>1</v>
      </c>
      <c r="O237" s="0" t="n">
        <f aca="false">E237*E237</f>
        <v>0.390625</v>
      </c>
      <c r="P237" s="0" t="n">
        <f aca="false">F237*F237</f>
        <v>0.140625</v>
      </c>
      <c r="Q237" s="0" t="n">
        <f aca="false">SUMPRODUCT(G237:P237,_XtX!$B$71:$K$71)</f>
        <v>43.5335227272727</v>
      </c>
      <c r="R237" s="0" t="n">
        <f aca="false">SUMPRODUCT(MMULT(G237:P237,_XtX!$B$58:$K$67),G237:P237)</f>
        <v>0.471821178089489</v>
      </c>
      <c r="S237" s="0" t="n">
        <f aca="false">04_回帰ANOVA!$K$19*04_回帰ANOVA!$K$14*SQRT(1+R237)</f>
        <v>1.12796119746125</v>
      </c>
      <c r="T237" s="0" t="n">
        <f aca="false">Q237-S237</f>
        <v>42.4055615298115</v>
      </c>
      <c r="U237" s="0" t="n">
        <f aca="false">Q237+S237</f>
        <v>44.661483924734</v>
      </c>
      <c r="V237" s="54" t="b">
        <f aca="false">AND(D237&gt;=01_因子設定!$L$5-0.000000001,D237&lt;=01_因子設定!$M$5+0.000000001,E237&gt;=01_因子設定!$L$6-0.000000001,E237&lt;=01_因子設定!$M$6+0.000000001,F237&gt;=01_因子設定!$L$7-0.000000001,F237&lt;=01_因子設定!$M$7+0.000000001,IF(01_因子設定!$B$20="Box-Behnken",D237^2+E237^2+F237^2&lt;=2+0.000000001,TRUE()))</f>
        <v>1</v>
      </c>
      <c r="W237" s="55" t="n">
        <f aca="false">IF(V237,IF(01_因子設定!$B$13="最大化",T237-01_因子設定!$B$14,IF(01_因子設定!$B$13="最小化",01_因子設定!$B$15-U237,MIN(T237-01_因子設定!$B$14,01_因子設定!$B$15-U237))),-1E+030)</f>
        <v>-6.09443847018854</v>
      </c>
      <c r="X237" s="55" t="n">
        <f aca="false">IF(V237,IF(01_因子設定!$B$13="最大化",Q237,IF(01_因子設定!$B$13="最小化",-Q237,-ABS(Q237-01_因子設定!$B$16))),-1E+030)</f>
        <v>43.5335227272727</v>
      </c>
      <c r="Y237" s="55" t="n">
        <f aca="false">W237+ROW()*0.000000001</f>
        <v>-6.09443823318854</v>
      </c>
      <c r="Z237" s="55" t="n">
        <f aca="false">X237+ROW()*0.000000001</f>
        <v>43.5335229642727</v>
      </c>
    </row>
    <row r="238" customFormat="false" ht="15" hidden="false" customHeight="false" outlineLevel="0" collapsed="false">
      <c r="A238" s="0" t="n">
        <v>0</v>
      </c>
      <c r="B238" s="0" t="n">
        <v>13</v>
      </c>
      <c r="C238" s="0" t="n">
        <v>12</v>
      </c>
      <c r="D238" s="0" t="n">
        <f aca="false">-1+A238*0.125</f>
        <v>-1</v>
      </c>
      <c r="E238" s="0" t="n">
        <f aca="false">-1+B238*0.125</f>
        <v>0.625</v>
      </c>
      <c r="F238" s="0" t="n">
        <f aca="false">-1+C238*0.125</f>
        <v>0.5</v>
      </c>
      <c r="G238" s="0" t="n">
        <f aca="false">1</f>
        <v>1</v>
      </c>
      <c r="H238" s="0" t="n">
        <f aca="false">D238</f>
        <v>-1</v>
      </c>
      <c r="I238" s="0" t="n">
        <f aca="false">E238</f>
        <v>0.625</v>
      </c>
      <c r="J238" s="0" t="n">
        <f aca="false">F238</f>
        <v>0.5</v>
      </c>
      <c r="K238" s="0" t="n">
        <f aca="false">D238*E238</f>
        <v>-0.625</v>
      </c>
      <c r="L238" s="0" t="n">
        <f aca="false">D238*F238</f>
        <v>-0.5</v>
      </c>
      <c r="M238" s="0" t="n">
        <f aca="false">E238*F238</f>
        <v>0.3125</v>
      </c>
      <c r="N238" s="0" t="n">
        <f aca="false">D238*D238</f>
        <v>1</v>
      </c>
      <c r="O238" s="0" t="n">
        <f aca="false">E238*E238</f>
        <v>0.390625</v>
      </c>
      <c r="P238" s="0" t="n">
        <f aca="false">F238*F238</f>
        <v>0.25</v>
      </c>
      <c r="Q238" s="0" t="n">
        <f aca="false">SUMPRODUCT(G238:P238,_XtX!$B$71:$K$71)</f>
        <v>43.6311647727273</v>
      </c>
      <c r="R238" s="0" t="n">
        <f aca="false">SUMPRODUCT(MMULT(G238:P238,_XtX!$B$58:$K$67),G238:P238)</f>
        <v>0.465882457386364</v>
      </c>
      <c r="S238" s="0" t="n">
        <f aca="false">04_回帰ANOVA!$K$19*04_回帰ANOVA!$K$14*SQRT(1+R238)</f>
        <v>1.12568326538173</v>
      </c>
      <c r="T238" s="0" t="n">
        <f aca="false">Q238-S238</f>
        <v>42.5054815073455</v>
      </c>
      <c r="U238" s="0" t="n">
        <f aca="false">Q238+S238</f>
        <v>44.756848038109</v>
      </c>
      <c r="V238" s="54" t="b">
        <f aca="false">AND(D238&gt;=01_因子設定!$L$5-0.000000001,D238&lt;=01_因子設定!$M$5+0.000000001,E238&gt;=01_因子設定!$L$6-0.000000001,E238&lt;=01_因子設定!$M$6+0.000000001,F238&gt;=01_因子設定!$L$7-0.000000001,F238&lt;=01_因子設定!$M$7+0.000000001,IF(01_因子設定!$B$20="Box-Behnken",D238^2+E238^2+F238^2&lt;=2+0.000000001,TRUE()))</f>
        <v>1</v>
      </c>
      <c r="W238" s="55" t="n">
        <f aca="false">IF(V238,IF(01_因子設定!$B$13="最大化",T238-01_因子設定!$B$14,IF(01_因子設定!$B$13="最小化",01_因子設定!$B$15-U238,MIN(T238-01_因子設定!$B$14,01_因子設定!$B$15-U238))),-1E+030)</f>
        <v>-5.99451849265446</v>
      </c>
      <c r="X238" s="55" t="n">
        <f aca="false">IF(V238,IF(01_因子設定!$B$13="最大化",Q238,IF(01_因子設定!$B$13="最小化",-Q238,-ABS(Q238-01_因子設定!$B$16))),-1E+030)</f>
        <v>43.6311647727273</v>
      </c>
      <c r="Y238" s="55" t="n">
        <f aca="false">W238+ROW()*0.000000001</f>
        <v>-5.99451825465446</v>
      </c>
      <c r="Z238" s="55" t="n">
        <f aca="false">X238+ROW()*0.000000001</f>
        <v>43.6311650107273</v>
      </c>
    </row>
    <row r="239" customFormat="false" ht="15" hidden="false" customHeight="false" outlineLevel="0" collapsed="false">
      <c r="A239" s="0" t="n">
        <v>0</v>
      </c>
      <c r="B239" s="0" t="n">
        <v>13</v>
      </c>
      <c r="C239" s="0" t="n">
        <v>13</v>
      </c>
      <c r="D239" s="0" t="n">
        <f aca="false">-1+A239*0.125</f>
        <v>-1</v>
      </c>
      <c r="E239" s="0" t="n">
        <f aca="false">-1+B239*0.125</f>
        <v>0.625</v>
      </c>
      <c r="F239" s="0" t="n">
        <f aca="false">-1+C239*0.125</f>
        <v>0.625</v>
      </c>
      <c r="G239" s="0" t="n">
        <f aca="false">1</f>
        <v>1</v>
      </c>
      <c r="H239" s="0" t="n">
        <f aca="false">D239</f>
        <v>-1</v>
      </c>
      <c r="I239" s="0" t="n">
        <f aca="false">E239</f>
        <v>0.625</v>
      </c>
      <c r="J239" s="0" t="n">
        <f aca="false">F239</f>
        <v>0.625</v>
      </c>
      <c r="K239" s="0" t="n">
        <f aca="false">D239*E239</f>
        <v>-0.625</v>
      </c>
      <c r="L239" s="0" t="n">
        <f aca="false">D239*F239</f>
        <v>-0.625</v>
      </c>
      <c r="M239" s="0" t="n">
        <f aca="false">E239*F239</f>
        <v>0.390625</v>
      </c>
      <c r="N239" s="0" t="n">
        <f aca="false">D239*D239</f>
        <v>1</v>
      </c>
      <c r="O239" s="0" t="n">
        <f aca="false">E239*E239</f>
        <v>0.390625</v>
      </c>
      <c r="P239" s="0" t="n">
        <f aca="false">F239*F239</f>
        <v>0.390625</v>
      </c>
      <c r="Q239" s="0" t="n">
        <f aca="false">SUMPRODUCT(G239:P239,_XtX!$B$71:$K$71)</f>
        <v>43.6920170454545</v>
      </c>
      <c r="R239" s="0" t="n">
        <f aca="false">SUMPRODUCT(MMULT(G239:P239,_XtX!$B$58:$K$67),G239:P239)</f>
        <v>0.47103105024858</v>
      </c>
      <c r="S239" s="0" t="n">
        <f aca="false">04_回帰ANOVA!$K$19*04_回帰ANOVA!$K$14*SQRT(1+R239)</f>
        <v>1.1276583912499</v>
      </c>
      <c r="T239" s="0" t="n">
        <f aca="false">Q239-S239</f>
        <v>42.5643586542046</v>
      </c>
      <c r="U239" s="0" t="n">
        <f aca="false">Q239+S239</f>
        <v>44.8196754367044</v>
      </c>
      <c r="V239" s="54" t="b">
        <f aca="false">AND(D239&gt;=01_因子設定!$L$5-0.000000001,D239&lt;=01_因子設定!$M$5+0.000000001,E239&gt;=01_因子設定!$L$6-0.000000001,E239&lt;=01_因子設定!$M$6+0.000000001,F239&gt;=01_因子設定!$L$7-0.000000001,F239&lt;=01_因子設定!$M$7+0.000000001,IF(01_因子設定!$B$20="Box-Behnken",D239^2+E239^2+F239^2&lt;=2+0.000000001,TRUE()))</f>
        <v>1</v>
      </c>
      <c r="W239" s="55" t="n">
        <f aca="false">IF(V239,IF(01_因子設定!$B$13="最大化",T239-01_因子設定!$B$14,IF(01_因子設定!$B$13="最小化",01_因子設定!$B$15-U239,MIN(T239-01_因子設定!$B$14,01_因子設定!$B$15-U239))),-1E+030)</f>
        <v>-5.93564134579536</v>
      </c>
      <c r="X239" s="55" t="n">
        <f aca="false">IF(V239,IF(01_因子設定!$B$13="最大化",Q239,IF(01_因子設定!$B$13="最小化",-Q239,-ABS(Q239-01_因子設定!$B$16))),-1E+030)</f>
        <v>43.6920170454545</v>
      </c>
      <c r="Y239" s="55" t="n">
        <f aca="false">W239+ROW()*0.000000001</f>
        <v>-5.93564110679536</v>
      </c>
      <c r="Z239" s="55" t="n">
        <f aca="false">X239+ROW()*0.000000001</f>
        <v>43.6920172844545</v>
      </c>
    </row>
    <row r="240" customFormat="false" ht="15" hidden="false" customHeight="false" outlineLevel="0" collapsed="false">
      <c r="A240" s="0" t="n">
        <v>0</v>
      </c>
      <c r="B240" s="0" t="n">
        <v>13</v>
      </c>
      <c r="C240" s="0" t="n">
        <v>14</v>
      </c>
      <c r="D240" s="0" t="n">
        <f aca="false">-1+A240*0.125</f>
        <v>-1</v>
      </c>
      <c r="E240" s="0" t="n">
        <f aca="false">-1+B240*0.125</f>
        <v>0.625</v>
      </c>
      <c r="F240" s="0" t="n">
        <f aca="false">-1+C240*0.125</f>
        <v>0.75</v>
      </c>
      <c r="G240" s="0" t="n">
        <f aca="false">1</f>
        <v>1</v>
      </c>
      <c r="H240" s="0" t="n">
        <f aca="false">D240</f>
        <v>-1</v>
      </c>
      <c r="I240" s="0" t="n">
        <f aca="false">E240</f>
        <v>0.625</v>
      </c>
      <c r="J240" s="0" t="n">
        <f aca="false">F240</f>
        <v>0.75</v>
      </c>
      <c r="K240" s="0" t="n">
        <f aca="false">D240*E240</f>
        <v>-0.625</v>
      </c>
      <c r="L240" s="0" t="n">
        <f aca="false">D240*F240</f>
        <v>-0.75</v>
      </c>
      <c r="M240" s="0" t="n">
        <f aca="false">E240*F240</f>
        <v>0.46875</v>
      </c>
      <c r="N240" s="0" t="n">
        <f aca="false">D240*D240</f>
        <v>1</v>
      </c>
      <c r="O240" s="0" t="n">
        <f aca="false">E240*E240</f>
        <v>0.390625</v>
      </c>
      <c r="P240" s="0" t="n">
        <f aca="false">F240*F240</f>
        <v>0.5625</v>
      </c>
      <c r="Q240" s="0" t="n">
        <f aca="false">SUMPRODUCT(G240:P240,_XtX!$B$71:$K$71)</f>
        <v>43.7160795454546</v>
      </c>
      <c r="R240" s="0" t="n">
        <f aca="false">SUMPRODUCT(MMULT(G240:P240,_XtX!$B$58:$K$67),G240:P240)</f>
        <v>0.496855024857955</v>
      </c>
      <c r="S240" s="0" t="n">
        <f aca="false">04_回帰ANOVA!$K$19*04_回帰ANOVA!$K$14*SQRT(1+R240)</f>
        <v>1.1375133593161</v>
      </c>
      <c r="T240" s="0" t="n">
        <f aca="false">Q240-S240</f>
        <v>42.5785661861384</v>
      </c>
      <c r="U240" s="0" t="n">
        <f aca="false">Q240+S240</f>
        <v>44.8535929047707</v>
      </c>
      <c r="V240" s="54" t="b">
        <f aca="false">AND(D240&gt;=01_因子設定!$L$5-0.000000001,D240&lt;=01_因子設定!$M$5+0.000000001,E240&gt;=01_因子設定!$L$6-0.000000001,E240&lt;=01_因子設定!$M$6+0.000000001,F240&gt;=01_因子設定!$L$7-0.000000001,F240&lt;=01_因子設定!$M$7+0.000000001,IF(01_因子設定!$B$20="Box-Behnken",D240^2+E240^2+F240^2&lt;=2+0.000000001,TRUE()))</f>
        <v>1</v>
      </c>
      <c r="W240" s="55" t="n">
        <f aca="false">IF(V240,IF(01_因子設定!$B$13="最大化",T240-01_因子設定!$B$14,IF(01_因子設定!$B$13="最小化",01_因子設定!$B$15-U240,MIN(T240-01_因子設定!$B$14,01_因子設定!$B$15-U240))),-1E+030)</f>
        <v>-5.92143381386155</v>
      </c>
      <c r="X240" s="55" t="n">
        <f aca="false">IF(V240,IF(01_因子設定!$B$13="最大化",Q240,IF(01_因子設定!$B$13="最小化",-Q240,-ABS(Q240-01_因子設定!$B$16))),-1E+030)</f>
        <v>43.7160795454546</v>
      </c>
      <c r="Y240" s="55" t="n">
        <f aca="false">W240+ROW()*0.000000001</f>
        <v>-5.92143357386155</v>
      </c>
      <c r="Z240" s="55" t="n">
        <f aca="false">X240+ROW()*0.000000001</f>
        <v>43.7160797854545</v>
      </c>
    </row>
    <row r="241" customFormat="false" ht="15" hidden="false" customHeight="false" outlineLevel="0" collapsed="false">
      <c r="A241" s="0" t="n">
        <v>0</v>
      </c>
      <c r="B241" s="0" t="n">
        <v>13</v>
      </c>
      <c r="C241" s="0" t="n">
        <v>15</v>
      </c>
      <c r="D241" s="0" t="n">
        <f aca="false">-1+A241*0.125</f>
        <v>-1</v>
      </c>
      <c r="E241" s="0" t="n">
        <f aca="false">-1+B241*0.125</f>
        <v>0.625</v>
      </c>
      <c r="F241" s="0" t="n">
        <f aca="false">-1+C241*0.125</f>
        <v>0.875</v>
      </c>
      <c r="G241" s="0" t="n">
        <f aca="false">1</f>
        <v>1</v>
      </c>
      <c r="H241" s="0" t="n">
        <f aca="false">D241</f>
        <v>-1</v>
      </c>
      <c r="I241" s="0" t="n">
        <f aca="false">E241</f>
        <v>0.625</v>
      </c>
      <c r="J241" s="0" t="n">
        <f aca="false">F241</f>
        <v>0.875</v>
      </c>
      <c r="K241" s="0" t="n">
        <f aca="false">D241*E241</f>
        <v>-0.625</v>
      </c>
      <c r="L241" s="0" t="n">
        <f aca="false">D241*F241</f>
        <v>-0.875</v>
      </c>
      <c r="M241" s="0" t="n">
        <f aca="false">E241*F241</f>
        <v>0.546875</v>
      </c>
      <c r="N241" s="0" t="n">
        <f aca="false">D241*D241</f>
        <v>1</v>
      </c>
      <c r="O241" s="0" t="n">
        <f aca="false">E241*E241</f>
        <v>0.390625</v>
      </c>
      <c r="P241" s="0" t="n">
        <f aca="false">F241*F241</f>
        <v>0.765625</v>
      </c>
      <c r="Q241" s="0" t="n">
        <f aca="false">SUMPRODUCT(G241:P241,_XtX!$B$71:$K$71)</f>
        <v>43.7033522727273</v>
      </c>
      <c r="R241" s="0" t="n">
        <f aca="false">SUMPRODUCT(MMULT(G241:P241,_XtX!$B$58:$K$67),G241:P241)</f>
        <v>0.555073131214489</v>
      </c>
      <c r="S241" s="0" t="n">
        <f aca="false">04_回帰ANOVA!$K$19*04_回帰ANOVA!$K$14*SQRT(1+R241)</f>
        <v>1.15942335628341</v>
      </c>
      <c r="T241" s="0" t="n">
        <f aca="false">Q241-S241</f>
        <v>42.5439289164439</v>
      </c>
      <c r="U241" s="0" t="n">
        <f aca="false">Q241+S241</f>
        <v>44.8627756290107</v>
      </c>
      <c r="V241" s="54" t="b">
        <f aca="false">AND(D241&gt;=01_因子設定!$L$5-0.000000001,D241&lt;=01_因子設定!$M$5+0.000000001,E241&gt;=01_因子設定!$L$6-0.000000001,E241&lt;=01_因子設定!$M$6+0.000000001,F241&gt;=01_因子設定!$L$7-0.000000001,F241&lt;=01_因子設定!$M$7+0.000000001,IF(01_因子設定!$B$20="Box-Behnken",D241^2+E241^2+F241^2&lt;=2+0.000000001,TRUE()))</f>
        <v>1</v>
      </c>
      <c r="W241" s="55" t="n">
        <f aca="false">IF(V241,IF(01_因子設定!$B$13="最大化",T241-01_因子設定!$B$14,IF(01_因子設定!$B$13="最小化",01_因子設定!$B$15-U241,MIN(T241-01_因子設定!$B$14,01_因子設定!$B$15-U241))),-1E+030)</f>
        <v>-5.95607108355613</v>
      </c>
      <c r="X241" s="55" t="n">
        <f aca="false">IF(V241,IF(01_因子設定!$B$13="最大化",Q241,IF(01_因子設定!$B$13="最小化",-Q241,-ABS(Q241-01_因子設定!$B$16))),-1E+030)</f>
        <v>43.7033522727273</v>
      </c>
      <c r="Y241" s="55" t="n">
        <f aca="false">W241+ROW()*0.000000001</f>
        <v>-5.95607084255613</v>
      </c>
      <c r="Z241" s="55" t="n">
        <f aca="false">X241+ROW()*0.000000001</f>
        <v>43.7033525137273</v>
      </c>
    </row>
    <row r="242" customFormat="false" ht="15" hidden="false" customHeight="false" outlineLevel="0" collapsed="false">
      <c r="A242" s="0" t="n">
        <v>0</v>
      </c>
      <c r="B242" s="0" t="n">
        <v>13</v>
      </c>
      <c r="C242" s="0" t="n">
        <v>16</v>
      </c>
      <c r="D242" s="0" t="n">
        <f aca="false">-1+A242*0.125</f>
        <v>-1</v>
      </c>
      <c r="E242" s="0" t="n">
        <f aca="false">-1+B242*0.125</f>
        <v>0.625</v>
      </c>
      <c r="F242" s="0" t="n">
        <f aca="false">-1+C242*0.125</f>
        <v>1</v>
      </c>
      <c r="G242" s="0" t="n">
        <f aca="false">1</f>
        <v>1</v>
      </c>
      <c r="H242" s="0" t="n">
        <f aca="false">D242</f>
        <v>-1</v>
      </c>
      <c r="I242" s="0" t="n">
        <f aca="false">E242</f>
        <v>0.625</v>
      </c>
      <c r="J242" s="0" t="n">
        <f aca="false">F242</f>
        <v>1</v>
      </c>
      <c r="K242" s="0" t="n">
        <f aca="false">D242*E242</f>
        <v>-0.625</v>
      </c>
      <c r="L242" s="0" t="n">
        <f aca="false">D242*F242</f>
        <v>-1</v>
      </c>
      <c r="M242" s="0" t="n">
        <f aca="false">E242*F242</f>
        <v>0.625</v>
      </c>
      <c r="N242" s="0" t="n">
        <f aca="false">D242*D242</f>
        <v>1</v>
      </c>
      <c r="O242" s="0" t="n">
        <f aca="false">E242*E242</f>
        <v>0.390625</v>
      </c>
      <c r="P242" s="0" t="n">
        <f aca="false">F242*F242</f>
        <v>1</v>
      </c>
      <c r="Q242" s="0" t="n">
        <f aca="false">SUMPRODUCT(G242:P242,_XtX!$B$71:$K$71)</f>
        <v>43.6538352272727</v>
      </c>
      <c r="R242" s="0" t="n">
        <f aca="false">SUMPRODUCT(MMULT(G242:P242,_XtX!$B$58:$K$67),G242:P242)</f>
        <v>0.659534801136364</v>
      </c>
      <c r="S242" s="0" t="n">
        <f aca="false">04_回帰ANOVA!$K$19*04_回帰ANOVA!$K$14*SQRT(1+R242)</f>
        <v>1.19773245593097</v>
      </c>
      <c r="T242" s="0" t="n">
        <f aca="false">Q242-S242</f>
        <v>42.4561027713418</v>
      </c>
      <c r="U242" s="0" t="n">
        <f aca="false">Q242+S242</f>
        <v>44.8515676832037</v>
      </c>
      <c r="V242" s="54" t="b">
        <f aca="false">AND(D242&gt;=01_因子設定!$L$5-0.000000001,D242&lt;=01_因子設定!$M$5+0.000000001,E242&gt;=01_因子設定!$L$6-0.000000001,E242&lt;=01_因子設定!$M$6+0.000000001,F242&gt;=01_因子設定!$L$7-0.000000001,F242&lt;=01_因子設定!$M$7+0.000000001,IF(01_因子設定!$B$20="Box-Behnken",D242^2+E242^2+F242^2&lt;=2+0.000000001,TRUE()))</f>
        <v>1</v>
      </c>
      <c r="W242" s="55" t="n">
        <f aca="false">IF(V242,IF(01_因子設定!$B$13="最大化",T242-01_因子設定!$B$14,IF(01_因子設定!$B$13="最小化",01_因子設定!$B$15-U242,MIN(T242-01_因子設定!$B$14,01_因子設定!$B$15-U242))),-1E+030)</f>
        <v>-6.04389722865823</v>
      </c>
      <c r="X242" s="55" t="n">
        <f aca="false">IF(V242,IF(01_因子設定!$B$13="最大化",Q242,IF(01_因子設定!$B$13="最小化",-Q242,-ABS(Q242-01_因子設定!$B$16))),-1E+030)</f>
        <v>43.6538352272727</v>
      </c>
      <c r="Y242" s="55" t="n">
        <f aca="false">W242+ROW()*0.000000001</f>
        <v>-6.04389698665823</v>
      </c>
      <c r="Z242" s="55" t="n">
        <f aca="false">X242+ROW()*0.000000001</f>
        <v>43.6538354692727</v>
      </c>
    </row>
    <row r="243" customFormat="false" ht="15" hidden="false" customHeight="false" outlineLevel="0" collapsed="false">
      <c r="A243" s="0" t="n">
        <v>0</v>
      </c>
      <c r="B243" s="0" t="n">
        <v>14</v>
      </c>
      <c r="C243" s="0" t="n">
        <v>0</v>
      </c>
      <c r="D243" s="0" t="n">
        <f aca="false">-1+A243*0.125</f>
        <v>-1</v>
      </c>
      <c r="E243" s="0" t="n">
        <f aca="false">-1+B243*0.125</f>
        <v>0.75</v>
      </c>
      <c r="F243" s="0" t="n">
        <f aca="false">-1+C243*0.125</f>
        <v>-1</v>
      </c>
      <c r="G243" s="0" t="n">
        <f aca="false">1</f>
        <v>1</v>
      </c>
      <c r="H243" s="0" t="n">
        <f aca="false">D243</f>
        <v>-1</v>
      </c>
      <c r="I243" s="0" t="n">
        <f aca="false">E243</f>
        <v>0.75</v>
      </c>
      <c r="J243" s="0" t="n">
        <f aca="false">F243</f>
        <v>-1</v>
      </c>
      <c r="K243" s="0" t="n">
        <f aca="false">D243*E243</f>
        <v>-0.75</v>
      </c>
      <c r="L243" s="0" t="n">
        <f aca="false">D243*F243</f>
        <v>1</v>
      </c>
      <c r="M243" s="0" t="n">
        <f aca="false">E243*F243</f>
        <v>-0.75</v>
      </c>
      <c r="N243" s="0" t="n">
        <f aca="false">D243*D243</f>
        <v>1</v>
      </c>
      <c r="O243" s="0" t="n">
        <f aca="false">E243*E243</f>
        <v>0.5625</v>
      </c>
      <c r="P243" s="0" t="n">
        <f aca="false">F243*F243</f>
        <v>1</v>
      </c>
      <c r="Q243" s="0" t="n">
        <f aca="false">SUMPRODUCT(G243:P243,_XtX!$B$71:$K$71)</f>
        <v>39.7322727272727</v>
      </c>
      <c r="R243" s="0" t="n">
        <f aca="false">SUMPRODUCT(MMULT(G243:P243,_XtX!$B$58:$K$67),G243:P243)</f>
        <v>0.669886363636364</v>
      </c>
      <c r="S243" s="0" t="n">
        <f aca="false">04_回帰ANOVA!$K$19*04_回帰ANOVA!$K$14*SQRT(1+R243)</f>
        <v>1.20146215423986</v>
      </c>
      <c r="T243" s="0" t="n">
        <f aca="false">Q243-S243</f>
        <v>38.5308105730329</v>
      </c>
      <c r="U243" s="0" t="n">
        <f aca="false">Q243+S243</f>
        <v>40.9337348815126</v>
      </c>
      <c r="V243" s="54" t="b">
        <f aca="false">AND(D243&gt;=01_因子設定!$L$5-0.000000001,D243&lt;=01_因子設定!$M$5+0.000000001,E243&gt;=01_因子設定!$L$6-0.000000001,E243&lt;=01_因子設定!$M$6+0.000000001,F243&gt;=01_因子設定!$L$7-0.000000001,F243&lt;=01_因子設定!$M$7+0.000000001,IF(01_因子設定!$B$20="Box-Behnken",D243^2+E243^2+F243^2&lt;=2+0.000000001,TRUE()))</f>
        <v>1</v>
      </c>
      <c r="W243" s="55" t="n">
        <f aca="false">IF(V243,IF(01_因子設定!$B$13="最大化",T243-01_因子設定!$B$14,IF(01_因子設定!$B$13="最小化",01_因子設定!$B$15-U243,MIN(T243-01_因子設定!$B$14,01_因子設定!$B$15-U243))),-1E+030)</f>
        <v>-9.96918942696713</v>
      </c>
      <c r="X243" s="55" t="n">
        <f aca="false">IF(V243,IF(01_因子設定!$B$13="最大化",Q243,IF(01_因子設定!$B$13="最小化",-Q243,-ABS(Q243-01_因子設定!$B$16))),-1E+030)</f>
        <v>39.7322727272727</v>
      </c>
      <c r="Y243" s="55" t="n">
        <f aca="false">W243+ROW()*0.000000001</f>
        <v>-9.96918918396713</v>
      </c>
      <c r="Z243" s="55" t="n">
        <f aca="false">X243+ROW()*0.000000001</f>
        <v>39.7322729702727</v>
      </c>
    </row>
    <row r="244" customFormat="false" ht="15" hidden="false" customHeight="false" outlineLevel="0" collapsed="false">
      <c r="A244" s="0" t="n">
        <v>0</v>
      </c>
      <c r="B244" s="0" t="n">
        <v>14</v>
      </c>
      <c r="C244" s="0" t="n">
        <v>1</v>
      </c>
      <c r="D244" s="0" t="n">
        <f aca="false">-1+A244*0.125</f>
        <v>-1</v>
      </c>
      <c r="E244" s="0" t="n">
        <f aca="false">-1+B244*0.125</f>
        <v>0.75</v>
      </c>
      <c r="F244" s="0" t="n">
        <f aca="false">-1+C244*0.125</f>
        <v>-0.875</v>
      </c>
      <c r="G244" s="0" t="n">
        <f aca="false">1</f>
        <v>1</v>
      </c>
      <c r="H244" s="0" t="n">
        <f aca="false">D244</f>
        <v>-1</v>
      </c>
      <c r="I244" s="0" t="n">
        <f aca="false">E244</f>
        <v>0.75</v>
      </c>
      <c r="J244" s="0" t="n">
        <f aca="false">F244</f>
        <v>-0.875</v>
      </c>
      <c r="K244" s="0" t="n">
        <f aca="false">D244*E244</f>
        <v>-0.75</v>
      </c>
      <c r="L244" s="0" t="n">
        <f aca="false">D244*F244</f>
        <v>0.875</v>
      </c>
      <c r="M244" s="0" t="n">
        <f aca="false">E244*F244</f>
        <v>-0.65625</v>
      </c>
      <c r="N244" s="0" t="n">
        <f aca="false">D244*D244</f>
        <v>1</v>
      </c>
      <c r="O244" s="0" t="n">
        <f aca="false">E244*E244</f>
        <v>0.5625</v>
      </c>
      <c r="P244" s="0" t="n">
        <f aca="false">F244*F244</f>
        <v>0.765625</v>
      </c>
      <c r="Q244" s="0" t="n">
        <f aca="false">SUMPRODUCT(G244:P244,_XtX!$B$71:$K$71)</f>
        <v>40.2416335227273</v>
      </c>
      <c r="R244" s="0" t="n">
        <f aca="false">SUMPRODUCT(MMULT(G244:P244,_XtX!$B$58:$K$67),G244:P244)</f>
        <v>0.571375621448864</v>
      </c>
      <c r="S244" s="0" t="n">
        <f aca="false">04_回帰ANOVA!$K$19*04_回帰ANOVA!$K$14*SQRT(1+R244)</f>
        <v>1.16548487437682</v>
      </c>
      <c r="T244" s="0" t="n">
        <f aca="false">Q244-S244</f>
        <v>39.0761486483505</v>
      </c>
      <c r="U244" s="0" t="n">
        <f aca="false">Q244+S244</f>
        <v>41.4071183971041</v>
      </c>
      <c r="V244" s="54" t="b">
        <f aca="false">AND(D244&gt;=01_因子設定!$L$5-0.000000001,D244&lt;=01_因子設定!$M$5+0.000000001,E244&gt;=01_因子設定!$L$6-0.000000001,E244&lt;=01_因子設定!$M$6+0.000000001,F244&gt;=01_因子設定!$L$7-0.000000001,F244&lt;=01_因子設定!$M$7+0.000000001,IF(01_因子設定!$B$20="Box-Behnken",D244^2+E244^2+F244^2&lt;=2+0.000000001,TRUE()))</f>
        <v>1</v>
      </c>
      <c r="W244" s="55" t="n">
        <f aca="false">IF(V244,IF(01_因子設定!$B$13="最大化",T244-01_因子設定!$B$14,IF(01_因子設定!$B$13="最小化",01_因子設定!$B$15-U244,MIN(T244-01_因子設定!$B$14,01_因子設定!$B$15-U244))),-1E+030)</f>
        <v>-9.42385135164954</v>
      </c>
      <c r="X244" s="55" t="n">
        <f aca="false">IF(V244,IF(01_因子設定!$B$13="最大化",Q244,IF(01_因子設定!$B$13="最小化",-Q244,-ABS(Q244-01_因子設定!$B$16))),-1E+030)</f>
        <v>40.2416335227273</v>
      </c>
      <c r="Y244" s="55" t="n">
        <f aca="false">W244+ROW()*0.000000001</f>
        <v>-9.42385110764954</v>
      </c>
      <c r="Z244" s="55" t="n">
        <f aca="false">X244+ROW()*0.000000001</f>
        <v>40.2416337667273</v>
      </c>
    </row>
    <row r="245" customFormat="false" ht="15" hidden="false" customHeight="false" outlineLevel="0" collapsed="false">
      <c r="A245" s="0" t="n">
        <v>0</v>
      </c>
      <c r="B245" s="0" t="n">
        <v>14</v>
      </c>
      <c r="C245" s="0" t="n">
        <v>2</v>
      </c>
      <c r="D245" s="0" t="n">
        <f aca="false">-1+A245*0.125</f>
        <v>-1</v>
      </c>
      <c r="E245" s="0" t="n">
        <f aca="false">-1+B245*0.125</f>
        <v>0.75</v>
      </c>
      <c r="F245" s="0" t="n">
        <f aca="false">-1+C245*0.125</f>
        <v>-0.75</v>
      </c>
      <c r="G245" s="0" t="n">
        <f aca="false">1</f>
        <v>1</v>
      </c>
      <c r="H245" s="0" t="n">
        <f aca="false">D245</f>
        <v>-1</v>
      </c>
      <c r="I245" s="0" t="n">
        <f aca="false">E245</f>
        <v>0.75</v>
      </c>
      <c r="J245" s="0" t="n">
        <f aca="false">F245</f>
        <v>-0.75</v>
      </c>
      <c r="K245" s="0" t="n">
        <f aca="false">D245*E245</f>
        <v>-0.75</v>
      </c>
      <c r="L245" s="0" t="n">
        <f aca="false">D245*F245</f>
        <v>0.75</v>
      </c>
      <c r="M245" s="0" t="n">
        <f aca="false">E245*F245</f>
        <v>-0.5625</v>
      </c>
      <c r="N245" s="0" t="n">
        <f aca="false">D245*D245</f>
        <v>1</v>
      </c>
      <c r="O245" s="0" t="n">
        <f aca="false">E245*E245</f>
        <v>0.5625</v>
      </c>
      <c r="P245" s="0" t="n">
        <f aca="false">F245*F245</f>
        <v>0.5625</v>
      </c>
      <c r="Q245" s="0" t="n">
        <f aca="false">SUMPRODUCT(G245:P245,_XtX!$B$71:$K$71)</f>
        <v>40.7142045454546</v>
      </c>
      <c r="R245" s="0" t="n">
        <f aca="false">SUMPRODUCT(MMULT(G245:P245,_XtX!$B$58:$K$67),G245:P245)</f>
        <v>0.518314985795455</v>
      </c>
      <c r="S245" s="0" t="n">
        <f aca="false">04_回帰ANOVA!$K$19*04_回帰ANOVA!$K$14*SQRT(1+R245)</f>
        <v>1.14563843495971</v>
      </c>
      <c r="T245" s="0" t="n">
        <f aca="false">Q245-S245</f>
        <v>39.5685661104948</v>
      </c>
      <c r="U245" s="0" t="n">
        <f aca="false">Q245+S245</f>
        <v>41.8598429804143</v>
      </c>
      <c r="V245" s="54" t="b">
        <f aca="false">AND(D245&gt;=01_因子設定!$L$5-0.000000001,D245&lt;=01_因子設定!$M$5+0.000000001,E245&gt;=01_因子設定!$L$6-0.000000001,E245&lt;=01_因子設定!$M$6+0.000000001,F245&gt;=01_因子設定!$L$7-0.000000001,F245&lt;=01_因子設定!$M$7+0.000000001,IF(01_因子設定!$B$20="Box-Behnken",D245^2+E245^2+F245^2&lt;=2+0.000000001,TRUE()))</f>
        <v>1</v>
      </c>
      <c r="W245" s="55" t="n">
        <f aca="false">IF(V245,IF(01_因子設定!$B$13="最大化",T245-01_因子設定!$B$14,IF(01_因子設定!$B$13="最小化",01_因子設定!$B$15-U245,MIN(T245-01_因子設定!$B$14,01_因子設定!$B$15-U245))),-1E+030)</f>
        <v>-8.93143388950516</v>
      </c>
      <c r="X245" s="55" t="n">
        <f aca="false">IF(V245,IF(01_因子設定!$B$13="最大化",Q245,IF(01_因子設定!$B$13="最小化",-Q245,-ABS(Q245-01_因子設定!$B$16))),-1E+030)</f>
        <v>40.7142045454546</v>
      </c>
      <c r="Y245" s="55" t="n">
        <f aca="false">W245+ROW()*0.000000001</f>
        <v>-8.93143364450516</v>
      </c>
      <c r="Z245" s="55" t="n">
        <f aca="false">X245+ROW()*0.000000001</f>
        <v>40.7142047904546</v>
      </c>
    </row>
    <row r="246" customFormat="false" ht="15" hidden="false" customHeight="false" outlineLevel="0" collapsed="false">
      <c r="A246" s="0" t="n">
        <v>0</v>
      </c>
      <c r="B246" s="0" t="n">
        <v>14</v>
      </c>
      <c r="C246" s="0" t="n">
        <v>3</v>
      </c>
      <c r="D246" s="0" t="n">
        <f aca="false">-1+A246*0.125</f>
        <v>-1</v>
      </c>
      <c r="E246" s="0" t="n">
        <f aca="false">-1+B246*0.125</f>
        <v>0.75</v>
      </c>
      <c r="F246" s="0" t="n">
        <f aca="false">-1+C246*0.125</f>
        <v>-0.625</v>
      </c>
      <c r="G246" s="0" t="n">
        <f aca="false">1</f>
        <v>1</v>
      </c>
      <c r="H246" s="0" t="n">
        <f aca="false">D246</f>
        <v>-1</v>
      </c>
      <c r="I246" s="0" t="n">
        <f aca="false">E246</f>
        <v>0.75</v>
      </c>
      <c r="J246" s="0" t="n">
        <f aca="false">F246</f>
        <v>-0.625</v>
      </c>
      <c r="K246" s="0" t="n">
        <f aca="false">D246*E246</f>
        <v>-0.75</v>
      </c>
      <c r="L246" s="0" t="n">
        <f aca="false">D246*F246</f>
        <v>0.625</v>
      </c>
      <c r="M246" s="0" t="n">
        <f aca="false">E246*F246</f>
        <v>-0.46875</v>
      </c>
      <c r="N246" s="0" t="n">
        <f aca="false">D246*D246</f>
        <v>1</v>
      </c>
      <c r="O246" s="0" t="n">
        <f aca="false">E246*E246</f>
        <v>0.5625</v>
      </c>
      <c r="P246" s="0" t="n">
        <f aca="false">F246*F246</f>
        <v>0.390625</v>
      </c>
      <c r="Q246" s="0" t="n">
        <f aca="false">SUMPRODUCT(G246:P246,_XtX!$B$71:$K$71)</f>
        <v>41.1499857954545</v>
      </c>
      <c r="R246" s="0" t="n">
        <f aca="false">SUMPRODUCT(MMULT(G246:P246,_XtX!$B$58:$K$67),G246:P246)</f>
        <v>0.496855024857955</v>
      </c>
      <c r="S246" s="0" t="n">
        <f aca="false">04_回帰ANOVA!$K$19*04_回帰ANOVA!$K$14*SQRT(1+R246)</f>
        <v>1.1375133593161</v>
      </c>
      <c r="T246" s="0" t="n">
        <f aca="false">Q246-S246</f>
        <v>40.0124724361384</v>
      </c>
      <c r="U246" s="0" t="n">
        <f aca="false">Q246+S246</f>
        <v>42.2874991547706</v>
      </c>
      <c r="V246" s="54" t="b">
        <f aca="false">AND(D246&gt;=01_因子設定!$L$5-0.000000001,D246&lt;=01_因子設定!$M$5+0.000000001,E246&gt;=01_因子設定!$L$6-0.000000001,E246&lt;=01_因子設定!$M$6+0.000000001,F246&gt;=01_因子設定!$L$7-0.000000001,F246&lt;=01_因子設定!$M$7+0.000000001,IF(01_因子設定!$B$20="Box-Behnken",D246^2+E246^2+F246^2&lt;=2+0.000000001,TRUE()))</f>
        <v>1</v>
      </c>
      <c r="W246" s="55" t="n">
        <f aca="false">IF(V246,IF(01_因子設定!$B$13="最大化",T246-01_因子設定!$B$14,IF(01_因子設定!$B$13="最小化",01_因子設定!$B$15-U246,MIN(T246-01_因子設定!$B$14,01_因子設定!$B$15-U246))),-1E+030)</f>
        <v>-8.48752756386156</v>
      </c>
      <c r="X246" s="55" t="n">
        <f aca="false">IF(V246,IF(01_因子設定!$B$13="最大化",Q246,IF(01_因子設定!$B$13="最小化",-Q246,-ABS(Q246-01_因子設定!$B$16))),-1E+030)</f>
        <v>41.1499857954545</v>
      </c>
      <c r="Y246" s="55" t="n">
        <f aca="false">W246+ROW()*0.000000001</f>
        <v>-8.48752731786156</v>
      </c>
      <c r="Z246" s="55" t="n">
        <f aca="false">X246+ROW()*0.000000001</f>
        <v>41.1499860414545</v>
      </c>
    </row>
    <row r="247" customFormat="false" ht="15" hidden="false" customHeight="false" outlineLevel="0" collapsed="false">
      <c r="A247" s="0" t="n">
        <v>0</v>
      </c>
      <c r="B247" s="0" t="n">
        <v>14</v>
      </c>
      <c r="C247" s="0" t="n">
        <v>4</v>
      </c>
      <c r="D247" s="0" t="n">
        <f aca="false">-1+A247*0.125</f>
        <v>-1</v>
      </c>
      <c r="E247" s="0" t="n">
        <f aca="false">-1+B247*0.125</f>
        <v>0.75</v>
      </c>
      <c r="F247" s="0" t="n">
        <f aca="false">-1+C247*0.125</f>
        <v>-0.5</v>
      </c>
      <c r="G247" s="0" t="n">
        <f aca="false">1</f>
        <v>1</v>
      </c>
      <c r="H247" s="0" t="n">
        <f aca="false">D247</f>
        <v>-1</v>
      </c>
      <c r="I247" s="0" t="n">
        <f aca="false">E247</f>
        <v>0.75</v>
      </c>
      <c r="J247" s="0" t="n">
        <f aca="false">F247</f>
        <v>-0.5</v>
      </c>
      <c r="K247" s="0" t="n">
        <f aca="false">D247*E247</f>
        <v>-0.75</v>
      </c>
      <c r="L247" s="0" t="n">
        <f aca="false">D247*F247</f>
        <v>0.5</v>
      </c>
      <c r="M247" s="0" t="n">
        <f aca="false">E247*F247</f>
        <v>-0.375</v>
      </c>
      <c r="N247" s="0" t="n">
        <f aca="false">D247*D247</f>
        <v>1</v>
      </c>
      <c r="O247" s="0" t="n">
        <f aca="false">E247*E247</f>
        <v>0.5625</v>
      </c>
      <c r="P247" s="0" t="n">
        <f aca="false">F247*F247</f>
        <v>0.25</v>
      </c>
      <c r="Q247" s="0" t="n">
        <f aca="false">SUMPRODUCT(G247:P247,_XtX!$B$71:$K$71)</f>
        <v>41.5489772727273</v>
      </c>
      <c r="R247" s="0" t="n">
        <f aca="false">SUMPRODUCT(MMULT(G247:P247,_XtX!$B$58:$K$67),G247:P247)</f>
        <v>0.495276988636364</v>
      </c>
      <c r="S247" s="0" t="n">
        <f aca="false">04_回帰ANOVA!$K$19*04_回帰ANOVA!$K$14*SQRT(1+R247)</f>
        <v>1.13691359828352</v>
      </c>
      <c r="T247" s="0" t="n">
        <f aca="false">Q247-S247</f>
        <v>40.4120636744438</v>
      </c>
      <c r="U247" s="0" t="n">
        <f aca="false">Q247+S247</f>
        <v>42.6858908710108</v>
      </c>
      <c r="V247" s="54" t="b">
        <f aca="false">AND(D247&gt;=01_因子設定!$L$5-0.000000001,D247&lt;=01_因子設定!$M$5+0.000000001,E247&gt;=01_因子設定!$L$6-0.000000001,E247&lt;=01_因子設定!$M$6+0.000000001,F247&gt;=01_因子設定!$L$7-0.000000001,F247&lt;=01_因子設定!$M$7+0.000000001,IF(01_因子設定!$B$20="Box-Behnken",D247^2+E247^2+F247^2&lt;=2+0.000000001,TRUE()))</f>
        <v>1</v>
      </c>
      <c r="W247" s="55" t="n">
        <f aca="false">IF(V247,IF(01_因子設定!$B$13="最大化",T247-01_因子設定!$B$14,IF(01_因子設定!$B$13="最小化",01_因子設定!$B$15-U247,MIN(T247-01_因子設定!$B$14,01_因子設定!$B$15-U247))),-1E+030)</f>
        <v>-8.08793632555625</v>
      </c>
      <c r="X247" s="55" t="n">
        <f aca="false">IF(V247,IF(01_因子設定!$B$13="最大化",Q247,IF(01_因子設定!$B$13="最小化",-Q247,-ABS(Q247-01_因子設定!$B$16))),-1E+030)</f>
        <v>41.5489772727273</v>
      </c>
      <c r="Y247" s="55" t="n">
        <f aca="false">W247+ROW()*0.000000001</f>
        <v>-8.08793607855625</v>
      </c>
      <c r="Z247" s="55" t="n">
        <f aca="false">X247+ROW()*0.000000001</f>
        <v>41.5489775197273</v>
      </c>
    </row>
    <row r="248" customFormat="false" ht="15" hidden="false" customHeight="false" outlineLevel="0" collapsed="false">
      <c r="A248" s="0" t="n">
        <v>0</v>
      </c>
      <c r="B248" s="0" t="n">
        <v>14</v>
      </c>
      <c r="C248" s="0" t="n">
        <v>5</v>
      </c>
      <c r="D248" s="0" t="n">
        <f aca="false">-1+A248*0.125</f>
        <v>-1</v>
      </c>
      <c r="E248" s="0" t="n">
        <f aca="false">-1+B248*0.125</f>
        <v>0.75</v>
      </c>
      <c r="F248" s="0" t="n">
        <f aca="false">-1+C248*0.125</f>
        <v>-0.375</v>
      </c>
      <c r="G248" s="0" t="n">
        <f aca="false">1</f>
        <v>1</v>
      </c>
      <c r="H248" s="0" t="n">
        <f aca="false">D248</f>
        <v>-1</v>
      </c>
      <c r="I248" s="0" t="n">
        <f aca="false">E248</f>
        <v>0.75</v>
      </c>
      <c r="J248" s="0" t="n">
        <f aca="false">F248</f>
        <v>-0.375</v>
      </c>
      <c r="K248" s="0" t="n">
        <f aca="false">D248*E248</f>
        <v>-0.75</v>
      </c>
      <c r="L248" s="0" t="n">
        <f aca="false">D248*F248</f>
        <v>0.375</v>
      </c>
      <c r="M248" s="0" t="n">
        <f aca="false">E248*F248</f>
        <v>-0.28125</v>
      </c>
      <c r="N248" s="0" t="n">
        <f aca="false">D248*D248</f>
        <v>1</v>
      </c>
      <c r="O248" s="0" t="n">
        <f aca="false">E248*E248</f>
        <v>0.5625</v>
      </c>
      <c r="P248" s="0" t="n">
        <f aca="false">F248*F248</f>
        <v>0.140625</v>
      </c>
      <c r="Q248" s="0" t="n">
        <f aca="false">SUMPRODUCT(G248:P248,_XtX!$B$71:$K$71)</f>
        <v>41.9111789772727</v>
      </c>
      <c r="R248" s="0" t="n">
        <f aca="false">SUMPRODUCT(MMULT(G248:P248,_XtX!$B$58:$K$67),G248:P248)</f>
        <v>0.503992808948864</v>
      </c>
      <c r="S248" s="0" t="n">
        <f aca="false">04_回帰ANOVA!$K$19*04_回帰ANOVA!$K$14*SQRT(1+R248)</f>
        <v>1.14022226176226</v>
      </c>
      <c r="T248" s="0" t="n">
        <f aca="false">Q248-S248</f>
        <v>40.7709567155105</v>
      </c>
      <c r="U248" s="0" t="n">
        <f aca="false">Q248+S248</f>
        <v>43.051401239035</v>
      </c>
      <c r="V248" s="54" t="b">
        <f aca="false">AND(D248&gt;=01_因子設定!$L$5-0.000000001,D248&lt;=01_因子設定!$M$5+0.000000001,E248&gt;=01_因子設定!$L$6-0.000000001,E248&lt;=01_因子設定!$M$6+0.000000001,F248&gt;=01_因子設定!$L$7-0.000000001,F248&lt;=01_因子設定!$M$7+0.000000001,IF(01_因子設定!$B$20="Box-Behnken",D248^2+E248^2+F248^2&lt;=2+0.000000001,TRUE()))</f>
        <v>1</v>
      </c>
      <c r="W248" s="55" t="n">
        <f aca="false">IF(V248,IF(01_因子設定!$B$13="最大化",T248-01_因子設定!$B$14,IF(01_因子設定!$B$13="最小化",01_因子設定!$B$15-U248,MIN(T248-01_因子設定!$B$14,01_因子設定!$B$15-U248))),-1E+030)</f>
        <v>-7.72904328448954</v>
      </c>
      <c r="X248" s="55" t="n">
        <f aca="false">IF(V248,IF(01_因子設定!$B$13="最大化",Q248,IF(01_因子設定!$B$13="最小化",-Q248,-ABS(Q248-01_因子設定!$B$16))),-1E+030)</f>
        <v>41.9111789772727</v>
      </c>
      <c r="Y248" s="55" t="n">
        <f aca="false">W248+ROW()*0.000000001</f>
        <v>-7.72904303648954</v>
      </c>
      <c r="Z248" s="55" t="n">
        <f aca="false">X248+ROW()*0.000000001</f>
        <v>41.9111792252727</v>
      </c>
    </row>
    <row r="249" customFormat="false" ht="15" hidden="false" customHeight="false" outlineLevel="0" collapsed="false">
      <c r="A249" s="0" t="n">
        <v>0</v>
      </c>
      <c r="B249" s="0" t="n">
        <v>14</v>
      </c>
      <c r="C249" s="0" t="n">
        <v>6</v>
      </c>
      <c r="D249" s="0" t="n">
        <f aca="false">-1+A249*0.125</f>
        <v>-1</v>
      </c>
      <c r="E249" s="0" t="n">
        <f aca="false">-1+B249*0.125</f>
        <v>0.75</v>
      </c>
      <c r="F249" s="0" t="n">
        <f aca="false">-1+C249*0.125</f>
        <v>-0.25</v>
      </c>
      <c r="G249" s="0" t="n">
        <f aca="false">1</f>
        <v>1</v>
      </c>
      <c r="H249" s="0" t="n">
        <f aca="false">D249</f>
        <v>-1</v>
      </c>
      <c r="I249" s="0" t="n">
        <f aca="false">E249</f>
        <v>0.75</v>
      </c>
      <c r="J249" s="0" t="n">
        <f aca="false">F249</f>
        <v>-0.25</v>
      </c>
      <c r="K249" s="0" t="n">
        <f aca="false">D249*E249</f>
        <v>-0.75</v>
      </c>
      <c r="L249" s="0" t="n">
        <f aca="false">D249*F249</f>
        <v>0.25</v>
      </c>
      <c r="M249" s="0" t="n">
        <f aca="false">E249*F249</f>
        <v>-0.1875</v>
      </c>
      <c r="N249" s="0" t="n">
        <f aca="false">D249*D249</f>
        <v>1</v>
      </c>
      <c r="O249" s="0" t="n">
        <f aca="false">E249*E249</f>
        <v>0.5625</v>
      </c>
      <c r="P249" s="0" t="n">
        <f aca="false">F249*F249</f>
        <v>0.0625</v>
      </c>
      <c r="Q249" s="0" t="n">
        <f aca="false">SUMPRODUCT(G249:P249,_XtX!$B$71:$K$71)</f>
        <v>42.2365909090909</v>
      </c>
      <c r="R249" s="0" t="n">
        <f aca="false">SUMPRODUCT(MMULT(G249:P249,_XtX!$B$58:$K$67),G249:P249)</f>
        <v>0.515545099431818</v>
      </c>
      <c r="S249" s="0" t="n">
        <f aca="false">04_回帰ANOVA!$K$19*04_回帰ANOVA!$K$14*SQRT(1+R249)</f>
        <v>1.14459295464101</v>
      </c>
      <c r="T249" s="0" t="n">
        <f aca="false">Q249-S249</f>
        <v>41.0919979544499</v>
      </c>
      <c r="U249" s="0" t="n">
        <f aca="false">Q249+S249</f>
        <v>43.3811838637319</v>
      </c>
      <c r="V249" s="54" t="b">
        <f aca="false">AND(D249&gt;=01_因子設定!$L$5-0.000000001,D249&lt;=01_因子設定!$M$5+0.000000001,E249&gt;=01_因子設定!$L$6-0.000000001,E249&lt;=01_因子設定!$M$6+0.000000001,F249&gt;=01_因子設定!$L$7-0.000000001,F249&lt;=01_因子設定!$M$7+0.000000001,IF(01_因子設定!$B$20="Box-Behnken",D249^2+E249^2+F249^2&lt;=2+0.000000001,TRUE()))</f>
        <v>1</v>
      </c>
      <c r="W249" s="55" t="n">
        <f aca="false">IF(V249,IF(01_因子設定!$B$13="最大化",T249-01_因子設定!$B$14,IF(01_因子設定!$B$13="最小化",01_因子設定!$B$15-U249,MIN(T249-01_因子設定!$B$14,01_因子設定!$B$15-U249))),-1E+030)</f>
        <v>-7.40800204555011</v>
      </c>
      <c r="X249" s="55" t="n">
        <f aca="false">IF(V249,IF(01_因子設定!$B$13="最大化",Q249,IF(01_因子設定!$B$13="最小化",-Q249,-ABS(Q249-01_因子設定!$B$16))),-1E+030)</f>
        <v>42.2365909090909</v>
      </c>
      <c r="Y249" s="55" t="n">
        <f aca="false">W249+ROW()*0.000000001</f>
        <v>-7.40800179655011</v>
      </c>
      <c r="Z249" s="55" t="n">
        <f aca="false">X249+ROW()*0.000000001</f>
        <v>42.2365911580909</v>
      </c>
    </row>
    <row r="250" customFormat="false" ht="15" hidden="false" customHeight="false" outlineLevel="0" collapsed="false">
      <c r="A250" s="0" t="n">
        <v>0</v>
      </c>
      <c r="B250" s="0" t="n">
        <v>14</v>
      </c>
      <c r="C250" s="0" t="n">
        <v>7</v>
      </c>
      <c r="D250" s="0" t="n">
        <f aca="false">-1+A250*0.125</f>
        <v>-1</v>
      </c>
      <c r="E250" s="0" t="n">
        <f aca="false">-1+B250*0.125</f>
        <v>0.75</v>
      </c>
      <c r="F250" s="0" t="n">
        <f aca="false">-1+C250*0.125</f>
        <v>-0.125</v>
      </c>
      <c r="G250" s="0" t="n">
        <f aca="false">1</f>
        <v>1</v>
      </c>
      <c r="H250" s="0" t="n">
        <f aca="false">D250</f>
        <v>-1</v>
      </c>
      <c r="I250" s="0" t="n">
        <f aca="false">E250</f>
        <v>0.75</v>
      </c>
      <c r="J250" s="0" t="n">
        <f aca="false">F250</f>
        <v>-0.125</v>
      </c>
      <c r="K250" s="0" t="n">
        <f aca="false">D250*E250</f>
        <v>-0.75</v>
      </c>
      <c r="L250" s="0" t="n">
        <f aca="false">D250*F250</f>
        <v>0.125</v>
      </c>
      <c r="M250" s="0" t="n">
        <f aca="false">E250*F250</f>
        <v>-0.09375</v>
      </c>
      <c r="N250" s="0" t="n">
        <f aca="false">D250*D250</f>
        <v>1</v>
      </c>
      <c r="O250" s="0" t="n">
        <f aca="false">E250*E250</f>
        <v>0.5625</v>
      </c>
      <c r="P250" s="0" t="n">
        <f aca="false">F250*F250</f>
        <v>0.015625</v>
      </c>
      <c r="Q250" s="0" t="n">
        <f aca="false">SUMPRODUCT(G250:P250,_XtX!$B$71:$K$71)</f>
        <v>42.5252130681818</v>
      </c>
      <c r="R250" s="0" t="n">
        <f aca="false">SUMPRODUCT(MMULT(G250:P250,_XtX!$B$58:$K$67),G250:P250)</f>
        <v>0.524607155539773</v>
      </c>
      <c r="S250" s="0" t="n">
        <f aca="false">04_回帰ANOVA!$K$19*04_回帰ANOVA!$K$14*SQRT(1+R250)</f>
        <v>1.14800984623412</v>
      </c>
      <c r="T250" s="0" t="n">
        <f aca="false">Q250-S250</f>
        <v>41.3772032219477</v>
      </c>
      <c r="U250" s="0" t="n">
        <f aca="false">Q250+S250</f>
        <v>43.6732229144159</v>
      </c>
      <c r="V250" s="54" t="b">
        <f aca="false">AND(D250&gt;=01_因子設定!$L$5-0.000000001,D250&lt;=01_因子設定!$M$5+0.000000001,E250&gt;=01_因子設定!$L$6-0.000000001,E250&lt;=01_因子設定!$M$6+0.000000001,F250&gt;=01_因子設定!$L$7-0.000000001,F250&lt;=01_因子設定!$M$7+0.000000001,IF(01_因子設定!$B$20="Box-Behnken",D250^2+E250^2+F250^2&lt;=2+0.000000001,TRUE()))</f>
        <v>1</v>
      </c>
      <c r="W250" s="55" t="n">
        <f aca="false">IF(V250,IF(01_因子設定!$B$13="最大化",T250-01_因子設定!$B$14,IF(01_因子設定!$B$13="最小化",01_因子設定!$B$15-U250,MIN(T250-01_因子設定!$B$14,01_因子設定!$B$15-U250))),-1E+030)</f>
        <v>-7.12279677805231</v>
      </c>
      <c r="X250" s="55" t="n">
        <f aca="false">IF(V250,IF(01_因子設定!$B$13="最大化",Q250,IF(01_因子設定!$B$13="最小化",-Q250,-ABS(Q250-01_因子設定!$B$16))),-1E+030)</f>
        <v>42.5252130681818</v>
      </c>
      <c r="Y250" s="55" t="n">
        <f aca="false">W250+ROW()*0.000000001</f>
        <v>-7.12279652805231</v>
      </c>
      <c r="Z250" s="55" t="n">
        <f aca="false">X250+ROW()*0.000000001</f>
        <v>42.5252133181818</v>
      </c>
    </row>
    <row r="251" customFormat="false" ht="15" hidden="false" customHeight="false" outlineLevel="0" collapsed="false">
      <c r="A251" s="0" t="n">
        <v>0</v>
      </c>
      <c r="B251" s="0" t="n">
        <v>14</v>
      </c>
      <c r="C251" s="0" t="n">
        <v>8</v>
      </c>
      <c r="D251" s="0" t="n">
        <f aca="false">-1+A251*0.125</f>
        <v>-1</v>
      </c>
      <c r="E251" s="0" t="n">
        <f aca="false">-1+B251*0.125</f>
        <v>0.75</v>
      </c>
      <c r="F251" s="0" t="n">
        <f aca="false">-1+C251*0.125</f>
        <v>0</v>
      </c>
      <c r="G251" s="0" t="n">
        <f aca="false">1</f>
        <v>1</v>
      </c>
      <c r="H251" s="0" t="n">
        <f aca="false">D251</f>
        <v>-1</v>
      </c>
      <c r="I251" s="0" t="n">
        <f aca="false">E251</f>
        <v>0.75</v>
      </c>
      <c r="J251" s="0" t="n">
        <f aca="false">F251</f>
        <v>0</v>
      </c>
      <c r="K251" s="0" t="n">
        <f aca="false">D251*E251</f>
        <v>-0.75</v>
      </c>
      <c r="L251" s="0" t="n">
        <f aca="false">D251*F251</f>
        <v>-0</v>
      </c>
      <c r="M251" s="0" t="n">
        <f aca="false">E251*F251</f>
        <v>0</v>
      </c>
      <c r="N251" s="0" t="n">
        <f aca="false">D251*D251</f>
        <v>1</v>
      </c>
      <c r="O251" s="0" t="n">
        <f aca="false">E251*E251</f>
        <v>0.5625</v>
      </c>
      <c r="P251" s="0" t="n">
        <f aca="false">F251*F251</f>
        <v>0</v>
      </c>
      <c r="Q251" s="0" t="n">
        <f aca="false">SUMPRODUCT(G251:P251,_XtX!$B$71:$K$71)</f>
        <v>42.7770454545454</v>
      </c>
      <c r="R251" s="0" t="n">
        <f aca="false">SUMPRODUCT(MMULT(G251:P251,_XtX!$B$58:$K$67),G251:P251)</f>
        <v>0.527982954545455</v>
      </c>
      <c r="S251" s="0" t="n">
        <f aca="false">04_回帰ANOVA!$K$19*04_回帰ANOVA!$K$14*SQRT(1+R251)</f>
        <v>1.14928011037747</v>
      </c>
      <c r="T251" s="0" t="n">
        <f aca="false">Q251-S251</f>
        <v>41.627765344168</v>
      </c>
      <c r="U251" s="0" t="n">
        <f aca="false">Q251+S251</f>
        <v>43.9263255649229</v>
      </c>
      <c r="V251" s="54" t="b">
        <f aca="false">AND(D251&gt;=01_因子設定!$L$5-0.000000001,D251&lt;=01_因子設定!$M$5+0.000000001,E251&gt;=01_因子設定!$L$6-0.000000001,E251&lt;=01_因子設定!$M$6+0.000000001,F251&gt;=01_因子設定!$L$7-0.000000001,F251&lt;=01_因子設定!$M$7+0.000000001,IF(01_因子設定!$B$20="Box-Behnken",D251^2+E251^2+F251^2&lt;=2+0.000000001,TRUE()))</f>
        <v>1</v>
      </c>
      <c r="W251" s="55" t="n">
        <f aca="false">IF(V251,IF(01_因子設定!$B$13="最大化",T251-01_因子設定!$B$14,IF(01_因子設定!$B$13="最小化",01_因子設定!$B$15-U251,MIN(T251-01_因子設定!$B$14,01_因子設定!$B$15-U251))),-1E+030)</f>
        <v>-6.87223465583203</v>
      </c>
      <c r="X251" s="55" t="n">
        <f aca="false">IF(V251,IF(01_因子設定!$B$13="最大化",Q251,IF(01_因子設定!$B$13="最小化",-Q251,-ABS(Q251-01_因子設定!$B$16))),-1E+030)</f>
        <v>42.7770454545454</v>
      </c>
      <c r="Y251" s="55" t="n">
        <f aca="false">W251+ROW()*0.000000001</f>
        <v>-6.87223440483203</v>
      </c>
      <c r="Z251" s="55" t="n">
        <f aca="false">X251+ROW()*0.000000001</f>
        <v>42.7770457055455</v>
      </c>
    </row>
    <row r="252" customFormat="false" ht="15" hidden="false" customHeight="false" outlineLevel="0" collapsed="false">
      <c r="A252" s="0" t="n">
        <v>0</v>
      </c>
      <c r="B252" s="0" t="n">
        <v>14</v>
      </c>
      <c r="C252" s="0" t="n">
        <v>9</v>
      </c>
      <c r="D252" s="0" t="n">
        <f aca="false">-1+A252*0.125</f>
        <v>-1</v>
      </c>
      <c r="E252" s="0" t="n">
        <f aca="false">-1+B252*0.125</f>
        <v>0.75</v>
      </c>
      <c r="F252" s="0" t="n">
        <f aca="false">-1+C252*0.125</f>
        <v>0.125</v>
      </c>
      <c r="G252" s="0" t="n">
        <f aca="false">1</f>
        <v>1</v>
      </c>
      <c r="H252" s="0" t="n">
        <f aca="false">D252</f>
        <v>-1</v>
      </c>
      <c r="I252" s="0" t="n">
        <f aca="false">E252</f>
        <v>0.75</v>
      </c>
      <c r="J252" s="0" t="n">
        <f aca="false">F252</f>
        <v>0.125</v>
      </c>
      <c r="K252" s="0" t="n">
        <f aca="false">D252*E252</f>
        <v>-0.75</v>
      </c>
      <c r="L252" s="0" t="n">
        <f aca="false">D252*F252</f>
        <v>-0.125</v>
      </c>
      <c r="M252" s="0" t="n">
        <f aca="false">E252*F252</f>
        <v>0.09375</v>
      </c>
      <c r="N252" s="0" t="n">
        <f aca="false">D252*D252</f>
        <v>1</v>
      </c>
      <c r="O252" s="0" t="n">
        <f aca="false">E252*E252</f>
        <v>0.5625</v>
      </c>
      <c r="P252" s="0" t="n">
        <f aca="false">F252*F252</f>
        <v>0.015625</v>
      </c>
      <c r="Q252" s="0" t="n">
        <f aca="false">SUMPRODUCT(G252:P252,_XtX!$B$71:$K$71)</f>
        <v>42.9920880681818</v>
      </c>
      <c r="R252" s="0" t="n">
        <f aca="false">SUMPRODUCT(MMULT(G252:P252,_XtX!$B$58:$K$67),G252:P252)</f>
        <v>0.524607155539773</v>
      </c>
      <c r="S252" s="0" t="n">
        <f aca="false">04_回帰ANOVA!$K$19*04_回帰ANOVA!$K$14*SQRT(1+R252)</f>
        <v>1.14800984623412</v>
      </c>
      <c r="T252" s="0" t="n">
        <f aca="false">Q252-S252</f>
        <v>41.8440782219477</v>
      </c>
      <c r="U252" s="0" t="n">
        <f aca="false">Q252+S252</f>
        <v>44.1400979144159</v>
      </c>
      <c r="V252" s="54" t="b">
        <f aca="false">AND(D252&gt;=01_因子設定!$L$5-0.000000001,D252&lt;=01_因子設定!$M$5+0.000000001,E252&gt;=01_因子設定!$L$6-0.000000001,E252&lt;=01_因子設定!$M$6+0.000000001,F252&gt;=01_因子設定!$L$7-0.000000001,F252&lt;=01_因子設定!$M$7+0.000000001,IF(01_因子設定!$B$20="Box-Behnken",D252^2+E252^2+F252^2&lt;=2+0.000000001,TRUE()))</f>
        <v>1</v>
      </c>
      <c r="W252" s="55" t="n">
        <f aca="false">IF(V252,IF(01_因子設定!$B$13="最大化",T252-01_因子設定!$B$14,IF(01_因子設定!$B$13="最小化",01_因子設定!$B$15-U252,MIN(T252-01_因子設定!$B$14,01_因子設定!$B$15-U252))),-1E+030)</f>
        <v>-6.65592177805231</v>
      </c>
      <c r="X252" s="55" t="n">
        <f aca="false">IF(V252,IF(01_因子設定!$B$13="最大化",Q252,IF(01_因子設定!$B$13="最小化",-Q252,-ABS(Q252-01_因子設定!$B$16))),-1E+030)</f>
        <v>42.9920880681818</v>
      </c>
      <c r="Y252" s="55" t="n">
        <f aca="false">W252+ROW()*0.000000001</f>
        <v>-6.65592152605231</v>
      </c>
      <c r="Z252" s="55" t="n">
        <f aca="false">X252+ROW()*0.000000001</f>
        <v>42.9920883201818</v>
      </c>
    </row>
    <row r="253" customFormat="false" ht="15" hidden="false" customHeight="false" outlineLevel="0" collapsed="false">
      <c r="A253" s="0" t="n">
        <v>0</v>
      </c>
      <c r="B253" s="0" t="n">
        <v>14</v>
      </c>
      <c r="C253" s="0" t="n">
        <v>10</v>
      </c>
      <c r="D253" s="0" t="n">
        <f aca="false">-1+A253*0.125</f>
        <v>-1</v>
      </c>
      <c r="E253" s="0" t="n">
        <f aca="false">-1+B253*0.125</f>
        <v>0.75</v>
      </c>
      <c r="F253" s="0" t="n">
        <f aca="false">-1+C253*0.125</f>
        <v>0.25</v>
      </c>
      <c r="G253" s="0" t="n">
        <f aca="false">1</f>
        <v>1</v>
      </c>
      <c r="H253" s="0" t="n">
        <f aca="false">D253</f>
        <v>-1</v>
      </c>
      <c r="I253" s="0" t="n">
        <f aca="false">E253</f>
        <v>0.75</v>
      </c>
      <c r="J253" s="0" t="n">
        <f aca="false">F253</f>
        <v>0.25</v>
      </c>
      <c r="K253" s="0" t="n">
        <f aca="false">D253*E253</f>
        <v>-0.75</v>
      </c>
      <c r="L253" s="0" t="n">
        <f aca="false">D253*F253</f>
        <v>-0.25</v>
      </c>
      <c r="M253" s="0" t="n">
        <f aca="false">E253*F253</f>
        <v>0.1875</v>
      </c>
      <c r="N253" s="0" t="n">
        <f aca="false">D253*D253</f>
        <v>1</v>
      </c>
      <c r="O253" s="0" t="n">
        <f aca="false">E253*E253</f>
        <v>0.5625</v>
      </c>
      <c r="P253" s="0" t="n">
        <f aca="false">F253*F253</f>
        <v>0.0625</v>
      </c>
      <c r="Q253" s="0" t="n">
        <f aca="false">SUMPRODUCT(G253:P253,_XtX!$B$71:$K$71)</f>
        <v>43.1703409090909</v>
      </c>
      <c r="R253" s="0" t="n">
        <f aca="false">SUMPRODUCT(MMULT(G253:P253,_XtX!$B$58:$K$67),G253:P253)</f>
        <v>0.515545099431818</v>
      </c>
      <c r="S253" s="0" t="n">
        <f aca="false">04_回帰ANOVA!$K$19*04_回帰ANOVA!$K$14*SQRT(1+R253)</f>
        <v>1.14459295464101</v>
      </c>
      <c r="T253" s="0" t="n">
        <f aca="false">Q253-S253</f>
        <v>42.0257479544499</v>
      </c>
      <c r="U253" s="0" t="n">
        <f aca="false">Q253+S253</f>
        <v>44.3149338637319</v>
      </c>
      <c r="V253" s="54" t="b">
        <f aca="false">AND(D253&gt;=01_因子設定!$L$5-0.000000001,D253&lt;=01_因子設定!$M$5+0.000000001,E253&gt;=01_因子設定!$L$6-0.000000001,E253&lt;=01_因子設定!$M$6+0.000000001,F253&gt;=01_因子設定!$L$7-0.000000001,F253&lt;=01_因子設定!$M$7+0.000000001,IF(01_因子設定!$B$20="Box-Behnken",D253^2+E253^2+F253^2&lt;=2+0.000000001,TRUE()))</f>
        <v>1</v>
      </c>
      <c r="W253" s="55" t="n">
        <f aca="false">IF(V253,IF(01_因子設定!$B$13="最大化",T253-01_因子設定!$B$14,IF(01_因子設定!$B$13="最小化",01_因子設定!$B$15-U253,MIN(T253-01_因子設定!$B$14,01_因子設定!$B$15-U253))),-1E+030)</f>
        <v>-6.47425204555011</v>
      </c>
      <c r="X253" s="55" t="n">
        <f aca="false">IF(V253,IF(01_因子設定!$B$13="最大化",Q253,IF(01_因子設定!$B$13="最小化",-Q253,-ABS(Q253-01_因子設定!$B$16))),-1E+030)</f>
        <v>43.1703409090909</v>
      </c>
      <c r="Y253" s="55" t="n">
        <f aca="false">W253+ROW()*0.000000001</f>
        <v>-6.47425179255011</v>
      </c>
      <c r="Z253" s="55" t="n">
        <f aca="false">X253+ROW()*0.000000001</f>
        <v>43.1703411620909</v>
      </c>
    </row>
    <row r="254" customFormat="false" ht="15" hidden="false" customHeight="false" outlineLevel="0" collapsed="false">
      <c r="A254" s="0" t="n">
        <v>0</v>
      </c>
      <c r="B254" s="0" t="n">
        <v>14</v>
      </c>
      <c r="C254" s="0" t="n">
        <v>11</v>
      </c>
      <c r="D254" s="0" t="n">
        <f aca="false">-1+A254*0.125</f>
        <v>-1</v>
      </c>
      <c r="E254" s="0" t="n">
        <f aca="false">-1+B254*0.125</f>
        <v>0.75</v>
      </c>
      <c r="F254" s="0" t="n">
        <f aca="false">-1+C254*0.125</f>
        <v>0.375</v>
      </c>
      <c r="G254" s="0" t="n">
        <f aca="false">1</f>
        <v>1</v>
      </c>
      <c r="H254" s="0" t="n">
        <f aca="false">D254</f>
        <v>-1</v>
      </c>
      <c r="I254" s="0" t="n">
        <f aca="false">E254</f>
        <v>0.75</v>
      </c>
      <c r="J254" s="0" t="n">
        <f aca="false">F254</f>
        <v>0.375</v>
      </c>
      <c r="K254" s="0" t="n">
        <f aca="false">D254*E254</f>
        <v>-0.75</v>
      </c>
      <c r="L254" s="0" t="n">
        <f aca="false">D254*F254</f>
        <v>-0.375</v>
      </c>
      <c r="M254" s="0" t="n">
        <f aca="false">E254*F254</f>
        <v>0.28125</v>
      </c>
      <c r="N254" s="0" t="n">
        <f aca="false">D254*D254</f>
        <v>1</v>
      </c>
      <c r="O254" s="0" t="n">
        <f aca="false">E254*E254</f>
        <v>0.5625</v>
      </c>
      <c r="P254" s="0" t="n">
        <f aca="false">F254*F254</f>
        <v>0.140625</v>
      </c>
      <c r="Q254" s="0" t="n">
        <f aca="false">SUMPRODUCT(G254:P254,_XtX!$B$71:$K$71)</f>
        <v>43.3118039772727</v>
      </c>
      <c r="R254" s="0" t="n">
        <f aca="false">SUMPRODUCT(MMULT(G254:P254,_XtX!$B$58:$K$67),G254:P254)</f>
        <v>0.503992808948864</v>
      </c>
      <c r="S254" s="0" t="n">
        <f aca="false">04_回帰ANOVA!$K$19*04_回帰ANOVA!$K$14*SQRT(1+R254)</f>
        <v>1.14022226176226</v>
      </c>
      <c r="T254" s="0" t="n">
        <f aca="false">Q254-S254</f>
        <v>42.1715817155105</v>
      </c>
      <c r="U254" s="0" t="n">
        <f aca="false">Q254+S254</f>
        <v>44.452026239035</v>
      </c>
      <c r="V254" s="54" t="b">
        <f aca="false">AND(D254&gt;=01_因子設定!$L$5-0.000000001,D254&lt;=01_因子設定!$M$5+0.000000001,E254&gt;=01_因子設定!$L$6-0.000000001,E254&lt;=01_因子設定!$M$6+0.000000001,F254&gt;=01_因子設定!$L$7-0.000000001,F254&lt;=01_因子設定!$M$7+0.000000001,IF(01_因子設定!$B$20="Box-Behnken",D254^2+E254^2+F254^2&lt;=2+0.000000001,TRUE()))</f>
        <v>1</v>
      </c>
      <c r="W254" s="55" t="n">
        <f aca="false">IF(V254,IF(01_因子設定!$B$13="最大化",T254-01_因子設定!$B$14,IF(01_因子設定!$B$13="最小化",01_因子設定!$B$15-U254,MIN(T254-01_因子設定!$B$14,01_因子設定!$B$15-U254))),-1E+030)</f>
        <v>-6.32841828448954</v>
      </c>
      <c r="X254" s="55" t="n">
        <f aca="false">IF(V254,IF(01_因子設定!$B$13="最大化",Q254,IF(01_因子設定!$B$13="最小化",-Q254,-ABS(Q254-01_因子設定!$B$16))),-1E+030)</f>
        <v>43.3118039772727</v>
      </c>
      <c r="Y254" s="55" t="n">
        <f aca="false">W254+ROW()*0.000000001</f>
        <v>-6.32841803048954</v>
      </c>
      <c r="Z254" s="55" t="n">
        <f aca="false">X254+ROW()*0.000000001</f>
        <v>43.3118042312727</v>
      </c>
    </row>
    <row r="255" customFormat="false" ht="15" hidden="false" customHeight="false" outlineLevel="0" collapsed="false">
      <c r="A255" s="0" t="n">
        <v>0</v>
      </c>
      <c r="B255" s="0" t="n">
        <v>14</v>
      </c>
      <c r="C255" s="0" t="n">
        <v>12</v>
      </c>
      <c r="D255" s="0" t="n">
        <f aca="false">-1+A255*0.125</f>
        <v>-1</v>
      </c>
      <c r="E255" s="0" t="n">
        <f aca="false">-1+B255*0.125</f>
        <v>0.75</v>
      </c>
      <c r="F255" s="0" t="n">
        <f aca="false">-1+C255*0.125</f>
        <v>0.5</v>
      </c>
      <c r="G255" s="0" t="n">
        <f aca="false">1</f>
        <v>1</v>
      </c>
      <c r="H255" s="0" t="n">
        <f aca="false">D255</f>
        <v>-1</v>
      </c>
      <c r="I255" s="0" t="n">
        <f aca="false">E255</f>
        <v>0.75</v>
      </c>
      <c r="J255" s="0" t="n">
        <f aca="false">F255</f>
        <v>0.5</v>
      </c>
      <c r="K255" s="0" t="n">
        <f aca="false">D255*E255</f>
        <v>-0.75</v>
      </c>
      <c r="L255" s="0" t="n">
        <f aca="false">D255*F255</f>
        <v>-0.5</v>
      </c>
      <c r="M255" s="0" t="n">
        <f aca="false">E255*F255</f>
        <v>0.375</v>
      </c>
      <c r="N255" s="0" t="n">
        <f aca="false">D255*D255</f>
        <v>1</v>
      </c>
      <c r="O255" s="0" t="n">
        <f aca="false">E255*E255</f>
        <v>0.5625</v>
      </c>
      <c r="P255" s="0" t="n">
        <f aca="false">F255*F255</f>
        <v>0.25</v>
      </c>
      <c r="Q255" s="0" t="n">
        <f aca="false">SUMPRODUCT(G255:P255,_XtX!$B$71:$K$71)</f>
        <v>43.4164772727273</v>
      </c>
      <c r="R255" s="0" t="n">
        <f aca="false">SUMPRODUCT(MMULT(G255:P255,_XtX!$B$58:$K$67),G255:P255)</f>
        <v>0.495276988636364</v>
      </c>
      <c r="S255" s="0" t="n">
        <f aca="false">04_回帰ANOVA!$K$19*04_回帰ANOVA!$K$14*SQRT(1+R255)</f>
        <v>1.13691359828352</v>
      </c>
      <c r="T255" s="0" t="n">
        <f aca="false">Q255-S255</f>
        <v>42.2795636744438</v>
      </c>
      <c r="U255" s="0" t="n">
        <f aca="false">Q255+S255</f>
        <v>44.5533908710108</v>
      </c>
      <c r="V255" s="54" t="b">
        <f aca="false">AND(D255&gt;=01_因子設定!$L$5-0.000000001,D255&lt;=01_因子設定!$M$5+0.000000001,E255&gt;=01_因子設定!$L$6-0.000000001,E255&lt;=01_因子設定!$M$6+0.000000001,F255&gt;=01_因子設定!$L$7-0.000000001,F255&lt;=01_因子設定!$M$7+0.000000001,IF(01_因子設定!$B$20="Box-Behnken",D255^2+E255^2+F255^2&lt;=2+0.000000001,TRUE()))</f>
        <v>1</v>
      </c>
      <c r="W255" s="55" t="n">
        <f aca="false">IF(V255,IF(01_因子設定!$B$13="最大化",T255-01_因子設定!$B$14,IF(01_因子設定!$B$13="最小化",01_因子設定!$B$15-U255,MIN(T255-01_因子設定!$B$14,01_因子設定!$B$15-U255))),-1E+030)</f>
        <v>-6.22043632555625</v>
      </c>
      <c r="X255" s="55" t="n">
        <f aca="false">IF(V255,IF(01_因子設定!$B$13="最大化",Q255,IF(01_因子設定!$B$13="最小化",-Q255,-ABS(Q255-01_因子設定!$B$16))),-1E+030)</f>
        <v>43.4164772727273</v>
      </c>
      <c r="Y255" s="55" t="n">
        <f aca="false">W255+ROW()*0.000000001</f>
        <v>-6.22043607055625</v>
      </c>
      <c r="Z255" s="55" t="n">
        <f aca="false">X255+ROW()*0.000000001</f>
        <v>43.4164775277273</v>
      </c>
    </row>
    <row r="256" customFormat="false" ht="15" hidden="false" customHeight="false" outlineLevel="0" collapsed="false">
      <c r="A256" s="0" t="n">
        <v>0</v>
      </c>
      <c r="B256" s="0" t="n">
        <v>14</v>
      </c>
      <c r="C256" s="0" t="n">
        <v>13</v>
      </c>
      <c r="D256" s="0" t="n">
        <f aca="false">-1+A256*0.125</f>
        <v>-1</v>
      </c>
      <c r="E256" s="0" t="n">
        <f aca="false">-1+B256*0.125</f>
        <v>0.75</v>
      </c>
      <c r="F256" s="0" t="n">
        <f aca="false">-1+C256*0.125</f>
        <v>0.625</v>
      </c>
      <c r="G256" s="0" t="n">
        <f aca="false">1</f>
        <v>1</v>
      </c>
      <c r="H256" s="0" t="n">
        <f aca="false">D256</f>
        <v>-1</v>
      </c>
      <c r="I256" s="0" t="n">
        <f aca="false">E256</f>
        <v>0.75</v>
      </c>
      <c r="J256" s="0" t="n">
        <f aca="false">F256</f>
        <v>0.625</v>
      </c>
      <c r="K256" s="0" t="n">
        <f aca="false">D256*E256</f>
        <v>-0.75</v>
      </c>
      <c r="L256" s="0" t="n">
        <f aca="false">D256*F256</f>
        <v>-0.625</v>
      </c>
      <c r="M256" s="0" t="n">
        <f aca="false">E256*F256</f>
        <v>0.46875</v>
      </c>
      <c r="N256" s="0" t="n">
        <f aca="false">D256*D256</f>
        <v>1</v>
      </c>
      <c r="O256" s="0" t="n">
        <f aca="false">E256*E256</f>
        <v>0.5625</v>
      </c>
      <c r="P256" s="0" t="n">
        <f aca="false">F256*F256</f>
        <v>0.390625</v>
      </c>
      <c r="Q256" s="0" t="n">
        <f aca="false">SUMPRODUCT(G256:P256,_XtX!$B$71:$K$71)</f>
        <v>43.4843607954545</v>
      </c>
      <c r="R256" s="0" t="n">
        <f aca="false">SUMPRODUCT(MMULT(G256:P256,_XtX!$B$58:$K$67),G256:P256)</f>
        <v>0.496855024857955</v>
      </c>
      <c r="S256" s="0" t="n">
        <f aca="false">04_回帰ANOVA!$K$19*04_回帰ANOVA!$K$14*SQRT(1+R256)</f>
        <v>1.1375133593161</v>
      </c>
      <c r="T256" s="0" t="n">
        <f aca="false">Q256-S256</f>
        <v>42.3468474361385</v>
      </c>
      <c r="U256" s="0" t="n">
        <f aca="false">Q256+S256</f>
        <v>44.6218741547706</v>
      </c>
      <c r="V256" s="54" t="b">
        <f aca="false">AND(D256&gt;=01_因子設定!$L$5-0.000000001,D256&lt;=01_因子設定!$M$5+0.000000001,E256&gt;=01_因子設定!$L$6-0.000000001,E256&lt;=01_因子設定!$M$6+0.000000001,F256&gt;=01_因子設定!$L$7-0.000000001,F256&lt;=01_因子設定!$M$7+0.000000001,IF(01_因子設定!$B$20="Box-Behnken",D256^2+E256^2+F256^2&lt;=2+0.000000001,TRUE()))</f>
        <v>1</v>
      </c>
      <c r="W256" s="55" t="n">
        <f aca="false">IF(V256,IF(01_因子設定!$B$13="最大化",T256-01_因子設定!$B$14,IF(01_因子設定!$B$13="最小化",01_因子設定!$B$15-U256,MIN(T256-01_因子設定!$B$14,01_因子設定!$B$15-U256))),-1E+030)</f>
        <v>-6.15315256386155</v>
      </c>
      <c r="X256" s="55" t="n">
        <f aca="false">IF(V256,IF(01_因子設定!$B$13="最大化",Q256,IF(01_因子設定!$B$13="最小化",-Q256,-ABS(Q256-01_因子設定!$B$16))),-1E+030)</f>
        <v>43.4843607954545</v>
      </c>
      <c r="Y256" s="55" t="n">
        <f aca="false">W256+ROW()*0.000000001</f>
        <v>-6.15315230786155</v>
      </c>
      <c r="Z256" s="55" t="n">
        <f aca="false">X256+ROW()*0.000000001</f>
        <v>43.4843610514545</v>
      </c>
    </row>
    <row r="257" customFormat="false" ht="15" hidden="false" customHeight="false" outlineLevel="0" collapsed="false">
      <c r="A257" s="0" t="n">
        <v>0</v>
      </c>
      <c r="B257" s="0" t="n">
        <v>14</v>
      </c>
      <c r="C257" s="0" t="n">
        <v>14</v>
      </c>
      <c r="D257" s="0" t="n">
        <f aca="false">-1+A257*0.125</f>
        <v>-1</v>
      </c>
      <c r="E257" s="0" t="n">
        <f aca="false">-1+B257*0.125</f>
        <v>0.75</v>
      </c>
      <c r="F257" s="0" t="n">
        <f aca="false">-1+C257*0.125</f>
        <v>0.75</v>
      </c>
      <c r="G257" s="0" t="n">
        <f aca="false">1</f>
        <v>1</v>
      </c>
      <c r="H257" s="0" t="n">
        <f aca="false">D257</f>
        <v>-1</v>
      </c>
      <c r="I257" s="0" t="n">
        <f aca="false">E257</f>
        <v>0.75</v>
      </c>
      <c r="J257" s="0" t="n">
        <f aca="false">F257</f>
        <v>0.75</v>
      </c>
      <c r="K257" s="0" t="n">
        <f aca="false">D257*E257</f>
        <v>-0.75</v>
      </c>
      <c r="L257" s="0" t="n">
        <f aca="false">D257*F257</f>
        <v>-0.75</v>
      </c>
      <c r="M257" s="0" t="n">
        <f aca="false">E257*F257</f>
        <v>0.5625</v>
      </c>
      <c r="N257" s="0" t="n">
        <f aca="false">D257*D257</f>
        <v>1</v>
      </c>
      <c r="O257" s="0" t="n">
        <f aca="false">E257*E257</f>
        <v>0.5625</v>
      </c>
      <c r="P257" s="0" t="n">
        <f aca="false">F257*F257</f>
        <v>0.5625</v>
      </c>
      <c r="Q257" s="0" t="n">
        <f aca="false">SUMPRODUCT(G257:P257,_XtX!$B$71:$K$71)</f>
        <v>43.5154545454545</v>
      </c>
      <c r="R257" s="0" t="n">
        <f aca="false">SUMPRODUCT(MMULT(G257:P257,_XtX!$B$58:$K$67),G257:P257)</f>
        <v>0.518314985795455</v>
      </c>
      <c r="S257" s="0" t="n">
        <f aca="false">04_回帰ANOVA!$K$19*04_回帰ANOVA!$K$14*SQRT(1+R257)</f>
        <v>1.14563843495971</v>
      </c>
      <c r="T257" s="0" t="n">
        <f aca="false">Q257-S257</f>
        <v>42.3698161104948</v>
      </c>
      <c r="U257" s="0" t="n">
        <f aca="false">Q257+S257</f>
        <v>44.6610929804143</v>
      </c>
      <c r="V257" s="54" t="b">
        <f aca="false">AND(D257&gt;=01_因子設定!$L$5-0.000000001,D257&lt;=01_因子設定!$M$5+0.000000001,E257&gt;=01_因子設定!$L$6-0.000000001,E257&lt;=01_因子設定!$M$6+0.000000001,F257&gt;=01_因子設定!$L$7-0.000000001,F257&lt;=01_因子設定!$M$7+0.000000001,IF(01_因子設定!$B$20="Box-Behnken",D257^2+E257^2+F257^2&lt;=2+0.000000001,TRUE()))</f>
        <v>1</v>
      </c>
      <c r="W257" s="55" t="n">
        <f aca="false">IF(V257,IF(01_因子設定!$B$13="最大化",T257-01_因子設定!$B$14,IF(01_因子設定!$B$13="最小化",01_因子設定!$B$15-U257,MIN(T257-01_因子設定!$B$14,01_因子設定!$B$15-U257))),-1E+030)</f>
        <v>-6.13018388950516</v>
      </c>
      <c r="X257" s="55" t="n">
        <f aca="false">IF(V257,IF(01_因子設定!$B$13="最大化",Q257,IF(01_因子設定!$B$13="最小化",-Q257,-ABS(Q257-01_因子設定!$B$16))),-1E+030)</f>
        <v>43.5154545454545</v>
      </c>
      <c r="Y257" s="55" t="n">
        <f aca="false">W257+ROW()*0.000000001</f>
        <v>-6.13018363250516</v>
      </c>
      <c r="Z257" s="55" t="n">
        <f aca="false">X257+ROW()*0.000000001</f>
        <v>43.5154548024546</v>
      </c>
    </row>
    <row r="258" customFormat="false" ht="15" hidden="false" customHeight="false" outlineLevel="0" collapsed="false">
      <c r="A258" s="0" t="n">
        <v>0</v>
      </c>
      <c r="B258" s="0" t="n">
        <v>14</v>
      </c>
      <c r="C258" s="0" t="n">
        <v>15</v>
      </c>
      <c r="D258" s="0" t="n">
        <f aca="false">-1+A258*0.125</f>
        <v>-1</v>
      </c>
      <c r="E258" s="0" t="n">
        <f aca="false">-1+B258*0.125</f>
        <v>0.75</v>
      </c>
      <c r="F258" s="0" t="n">
        <f aca="false">-1+C258*0.125</f>
        <v>0.875</v>
      </c>
      <c r="G258" s="0" t="n">
        <f aca="false">1</f>
        <v>1</v>
      </c>
      <c r="H258" s="0" t="n">
        <f aca="false">D258</f>
        <v>-1</v>
      </c>
      <c r="I258" s="0" t="n">
        <f aca="false">E258</f>
        <v>0.75</v>
      </c>
      <c r="J258" s="0" t="n">
        <f aca="false">F258</f>
        <v>0.875</v>
      </c>
      <c r="K258" s="0" t="n">
        <f aca="false">D258*E258</f>
        <v>-0.75</v>
      </c>
      <c r="L258" s="0" t="n">
        <f aca="false">D258*F258</f>
        <v>-0.875</v>
      </c>
      <c r="M258" s="0" t="n">
        <f aca="false">E258*F258</f>
        <v>0.65625</v>
      </c>
      <c r="N258" s="0" t="n">
        <f aca="false">D258*D258</f>
        <v>1</v>
      </c>
      <c r="O258" s="0" t="n">
        <f aca="false">E258*E258</f>
        <v>0.5625</v>
      </c>
      <c r="P258" s="0" t="n">
        <f aca="false">F258*F258</f>
        <v>0.765625</v>
      </c>
      <c r="Q258" s="0" t="n">
        <f aca="false">SUMPRODUCT(G258:P258,_XtX!$B$71:$K$71)</f>
        <v>43.5097585227273</v>
      </c>
      <c r="R258" s="0" t="n">
        <f aca="false">SUMPRODUCT(MMULT(G258:P258,_XtX!$B$58:$K$67),G258:P258)</f>
        <v>0.571375621448864</v>
      </c>
      <c r="S258" s="0" t="n">
        <f aca="false">04_回帰ANOVA!$K$19*04_回帰ANOVA!$K$14*SQRT(1+R258)</f>
        <v>1.16548487437682</v>
      </c>
      <c r="T258" s="0" t="n">
        <f aca="false">Q258-S258</f>
        <v>42.3442736483505</v>
      </c>
      <c r="U258" s="0" t="n">
        <f aca="false">Q258+S258</f>
        <v>44.6752433971041</v>
      </c>
      <c r="V258" s="54" t="b">
        <f aca="false">AND(D258&gt;=01_因子設定!$L$5-0.000000001,D258&lt;=01_因子設定!$M$5+0.000000001,E258&gt;=01_因子設定!$L$6-0.000000001,E258&lt;=01_因子設定!$M$6+0.000000001,F258&gt;=01_因子設定!$L$7-0.000000001,F258&lt;=01_因子設定!$M$7+0.000000001,IF(01_因子設定!$B$20="Box-Behnken",D258^2+E258^2+F258^2&lt;=2+0.000000001,TRUE()))</f>
        <v>1</v>
      </c>
      <c r="W258" s="55" t="n">
        <f aca="false">IF(V258,IF(01_因子設定!$B$13="最大化",T258-01_因子設定!$B$14,IF(01_因子設定!$B$13="最小化",01_因子設定!$B$15-U258,MIN(T258-01_因子設定!$B$14,01_因子設定!$B$15-U258))),-1E+030)</f>
        <v>-6.15572635164954</v>
      </c>
      <c r="X258" s="55" t="n">
        <f aca="false">IF(V258,IF(01_因子設定!$B$13="最大化",Q258,IF(01_因子設定!$B$13="最小化",-Q258,-ABS(Q258-01_因子設定!$B$16))),-1E+030)</f>
        <v>43.5097585227273</v>
      </c>
      <c r="Y258" s="55" t="n">
        <f aca="false">W258+ROW()*0.000000001</f>
        <v>-6.15572609364954</v>
      </c>
      <c r="Z258" s="55" t="n">
        <f aca="false">X258+ROW()*0.000000001</f>
        <v>43.5097587807273</v>
      </c>
    </row>
    <row r="259" customFormat="false" ht="15" hidden="false" customHeight="false" outlineLevel="0" collapsed="false">
      <c r="A259" s="0" t="n">
        <v>0</v>
      </c>
      <c r="B259" s="0" t="n">
        <v>14</v>
      </c>
      <c r="C259" s="0" t="n">
        <v>16</v>
      </c>
      <c r="D259" s="0" t="n">
        <f aca="false">-1+A259*0.125</f>
        <v>-1</v>
      </c>
      <c r="E259" s="0" t="n">
        <f aca="false">-1+B259*0.125</f>
        <v>0.75</v>
      </c>
      <c r="F259" s="0" t="n">
        <f aca="false">-1+C259*0.125</f>
        <v>1</v>
      </c>
      <c r="G259" s="0" t="n">
        <f aca="false">1</f>
        <v>1</v>
      </c>
      <c r="H259" s="0" t="n">
        <f aca="false">D259</f>
        <v>-1</v>
      </c>
      <c r="I259" s="0" t="n">
        <f aca="false">E259</f>
        <v>0.75</v>
      </c>
      <c r="J259" s="0" t="n">
        <f aca="false">F259</f>
        <v>1</v>
      </c>
      <c r="K259" s="0" t="n">
        <f aca="false">D259*E259</f>
        <v>-0.75</v>
      </c>
      <c r="L259" s="0" t="n">
        <f aca="false">D259*F259</f>
        <v>-1</v>
      </c>
      <c r="M259" s="0" t="n">
        <f aca="false">E259*F259</f>
        <v>0.75</v>
      </c>
      <c r="N259" s="0" t="n">
        <f aca="false">D259*D259</f>
        <v>1</v>
      </c>
      <c r="O259" s="0" t="n">
        <f aca="false">E259*E259</f>
        <v>0.5625</v>
      </c>
      <c r="P259" s="0" t="n">
        <f aca="false">F259*F259</f>
        <v>1</v>
      </c>
      <c r="Q259" s="0" t="n">
        <f aca="false">SUMPRODUCT(G259:P259,_XtX!$B$71:$K$71)</f>
        <v>43.4672727272727</v>
      </c>
      <c r="R259" s="0" t="n">
        <f aca="false">SUMPRODUCT(MMULT(G259:P259,_XtX!$B$58:$K$67),G259:P259)</f>
        <v>0.669886363636364</v>
      </c>
      <c r="S259" s="0" t="n">
        <f aca="false">04_回帰ANOVA!$K$19*04_回帰ANOVA!$K$14*SQRT(1+R259)</f>
        <v>1.20146215423986</v>
      </c>
      <c r="T259" s="0" t="n">
        <f aca="false">Q259-S259</f>
        <v>42.2658105730329</v>
      </c>
      <c r="U259" s="0" t="n">
        <f aca="false">Q259+S259</f>
        <v>44.6687348815126</v>
      </c>
      <c r="V259" s="54" t="b">
        <f aca="false">AND(D259&gt;=01_因子設定!$L$5-0.000000001,D259&lt;=01_因子設定!$M$5+0.000000001,E259&gt;=01_因子設定!$L$6-0.000000001,E259&lt;=01_因子設定!$M$6+0.000000001,F259&gt;=01_因子設定!$L$7-0.000000001,F259&lt;=01_因子設定!$M$7+0.000000001,IF(01_因子設定!$B$20="Box-Behnken",D259^2+E259^2+F259^2&lt;=2+0.000000001,TRUE()))</f>
        <v>1</v>
      </c>
      <c r="W259" s="55" t="n">
        <f aca="false">IF(V259,IF(01_因子設定!$B$13="最大化",T259-01_因子設定!$B$14,IF(01_因子設定!$B$13="最小化",01_因子設定!$B$15-U259,MIN(T259-01_因子設定!$B$14,01_因子設定!$B$15-U259))),-1E+030)</f>
        <v>-6.23418942696713</v>
      </c>
      <c r="X259" s="55" t="n">
        <f aca="false">IF(V259,IF(01_因子設定!$B$13="最大化",Q259,IF(01_因子設定!$B$13="最小化",-Q259,-ABS(Q259-01_因子設定!$B$16))),-1E+030)</f>
        <v>43.4672727272727</v>
      </c>
      <c r="Y259" s="55" t="n">
        <f aca="false">W259+ROW()*0.000000001</f>
        <v>-6.23418916796713</v>
      </c>
      <c r="Z259" s="55" t="n">
        <f aca="false">X259+ROW()*0.000000001</f>
        <v>43.4672729862727</v>
      </c>
    </row>
    <row r="260" customFormat="false" ht="15" hidden="false" customHeight="false" outlineLevel="0" collapsed="false">
      <c r="A260" s="0" t="n">
        <v>0</v>
      </c>
      <c r="B260" s="0" t="n">
        <v>15</v>
      </c>
      <c r="C260" s="0" t="n">
        <v>0</v>
      </c>
      <c r="D260" s="0" t="n">
        <f aca="false">-1+A260*0.125</f>
        <v>-1</v>
      </c>
      <c r="E260" s="0" t="n">
        <f aca="false">-1+B260*0.125</f>
        <v>0.875</v>
      </c>
      <c r="F260" s="0" t="n">
        <f aca="false">-1+C260*0.125</f>
        <v>-1</v>
      </c>
      <c r="G260" s="0" t="n">
        <f aca="false">1</f>
        <v>1</v>
      </c>
      <c r="H260" s="0" t="n">
        <f aca="false">D260</f>
        <v>-1</v>
      </c>
      <c r="I260" s="0" t="n">
        <f aca="false">E260</f>
        <v>0.875</v>
      </c>
      <c r="J260" s="0" t="n">
        <f aca="false">F260</f>
        <v>-1</v>
      </c>
      <c r="K260" s="0" t="n">
        <f aca="false">D260*E260</f>
        <v>-0.875</v>
      </c>
      <c r="L260" s="0" t="n">
        <f aca="false">D260*F260</f>
        <v>1</v>
      </c>
      <c r="M260" s="0" t="n">
        <f aca="false">E260*F260</f>
        <v>-0.875</v>
      </c>
      <c r="N260" s="0" t="n">
        <f aca="false">D260*D260</f>
        <v>1</v>
      </c>
      <c r="O260" s="0" t="n">
        <f aca="false">E260*E260</f>
        <v>0.765625</v>
      </c>
      <c r="P260" s="0" t="n">
        <f aca="false">F260*F260</f>
        <v>1</v>
      </c>
      <c r="Q260" s="0" t="n">
        <f aca="false">SUMPRODUCT(G260:P260,_XtX!$B$71:$K$71)</f>
        <v>39.3698579545455</v>
      </c>
      <c r="R260" s="0" t="n">
        <f aca="false">SUMPRODUCT(MMULT(G260:P260,_XtX!$B$58:$K$67),G260:P260)</f>
        <v>0.709818892045455</v>
      </c>
      <c r="S260" s="0" t="n">
        <f aca="false">04_回帰ANOVA!$K$19*04_回帰ANOVA!$K$14*SQRT(1+R260)</f>
        <v>1.21574275944458</v>
      </c>
      <c r="T260" s="0" t="n">
        <f aca="false">Q260-S260</f>
        <v>38.1541151951009</v>
      </c>
      <c r="U260" s="0" t="n">
        <f aca="false">Q260+S260</f>
        <v>40.5856007139901</v>
      </c>
      <c r="V260" s="54" t="b">
        <f aca="false">AND(D260&gt;=01_因子設定!$L$5-0.000000001,D260&lt;=01_因子設定!$M$5+0.000000001,E260&gt;=01_因子設定!$L$6-0.000000001,E260&lt;=01_因子設定!$M$6+0.000000001,F260&gt;=01_因子設定!$L$7-0.000000001,F260&lt;=01_因子設定!$M$7+0.000000001,IF(01_因子設定!$B$20="Box-Behnken",D260^2+E260^2+F260^2&lt;=2+0.000000001,TRUE()))</f>
        <v>1</v>
      </c>
      <c r="W260" s="55" t="n">
        <f aca="false">IF(V260,IF(01_因子設定!$B$13="最大化",T260-01_因子設定!$B$14,IF(01_因子設定!$B$13="最小化",01_因子設定!$B$15-U260,MIN(T260-01_因子設定!$B$14,01_因子設定!$B$15-U260))),-1E+030)</f>
        <v>-10.3458848048991</v>
      </c>
      <c r="X260" s="55" t="n">
        <f aca="false">IF(V260,IF(01_因子設定!$B$13="最大化",Q260,IF(01_因子設定!$B$13="最小化",-Q260,-ABS(Q260-01_因子設定!$B$16))),-1E+030)</f>
        <v>39.3698579545455</v>
      </c>
      <c r="Y260" s="55" t="n">
        <f aca="false">W260+ROW()*0.000000001</f>
        <v>-10.3458845448991</v>
      </c>
      <c r="Z260" s="55" t="n">
        <f aca="false">X260+ROW()*0.000000001</f>
        <v>39.3698582145455</v>
      </c>
    </row>
    <row r="261" customFormat="false" ht="15" hidden="false" customHeight="false" outlineLevel="0" collapsed="false">
      <c r="A261" s="0" t="n">
        <v>0</v>
      </c>
      <c r="B261" s="0" t="n">
        <v>15</v>
      </c>
      <c r="C261" s="0" t="n">
        <v>1</v>
      </c>
      <c r="D261" s="0" t="n">
        <f aca="false">-1+A261*0.125</f>
        <v>-1</v>
      </c>
      <c r="E261" s="0" t="n">
        <f aca="false">-1+B261*0.125</f>
        <v>0.875</v>
      </c>
      <c r="F261" s="0" t="n">
        <f aca="false">-1+C261*0.125</f>
        <v>-0.875</v>
      </c>
      <c r="G261" s="0" t="n">
        <f aca="false">1</f>
        <v>1</v>
      </c>
      <c r="H261" s="0" t="n">
        <f aca="false">D261</f>
        <v>-1</v>
      </c>
      <c r="I261" s="0" t="n">
        <f aca="false">E261</f>
        <v>0.875</v>
      </c>
      <c r="J261" s="0" t="n">
        <f aca="false">F261</f>
        <v>-0.875</v>
      </c>
      <c r="K261" s="0" t="n">
        <f aca="false">D261*E261</f>
        <v>-0.875</v>
      </c>
      <c r="L261" s="0" t="n">
        <f aca="false">D261*F261</f>
        <v>0.875</v>
      </c>
      <c r="M261" s="0" t="n">
        <f aca="false">E261*F261</f>
        <v>-0.765625</v>
      </c>
      <c r="N261" s="0" t="n">
        <f aca="false">D261*D261</f>
        <v>1</v>
      </c>
      <c r="O261" s="0" t="n">
        <f aca="false">E261*E261</f>
        <v>0.765625</v>
      </c>
      <c r="P261" s="0" t="n">
        <f aca="false">F261*F261</f>
        <v>0.765625</v>
      </c>
      <c r="Q261" s="0" t="n">
        <f aca="false">SUMPRODUCT(G261:P261,_XtX!$B$71:$K$71)</f>
        <v>39.88625</v>
      </c>
      <c r="R261" s="0" t="n">
        <f aca="false">SUMPRODUCT(MMULT(G261:P261,_XtX!$B$58:$K$67),G261:P261)</f>
        <v>0.618341064453125</v>
      </c>
      <c r="S261" s="0" t="n">
        <f aca="false">04_回帰ANOVA!$K$19*04_回帰ANOVA!$K$14*SQRT(1+R261)</f>
        <v>1.18277371124466</v>
      </c>
      <c r="T261" s="0" t="n">
        <f aca="false">Q261-S261</f>
        <v>38.7034762887553</v>
      </c>
      <c r="U261" s="0" t="n">
        <f aca="false">Q261+S261</f>
        <v>41.0690237112447</v>
      </c>
      <c r="V261" s="54" t="b">
        <f aca="false">AND(D261&gt;=01_因子設定!$L$5-0.000000001,D261&lt;=01_因子設定!$M$5+0.000000001,E261&gt;=01_因子設定!$L$6-0.000000001,E261&lt;=01_因子設定!$M$6+0.000000001,F261&gt;=01_因子設定!$L$7-0.000000001,F261&lt;=01_因子設定!$M$7+0.000000001,IF(01_因子設定!$B$20="Box-Behnken",D261^2+E261^2+F261^2&lt;=2+0.000000001,TRUE()))</f>
        <v>1</v>
      </c>
      <c r="W261" s="55" t="n">
        <f aca="false">IF(V261,IF(01_因子設定!$B$13="最大化",T261-01_因子設定!$B$14,IF(01_因子設定!$B$13="最小化",01_因子設定!$B$15-U261,MIN(T261-01_因子設定!$B$14,01_因子設定!$B$15-U261))),-1E+030)</f>
        <v>-9.79652371124466</v>
      </c>
      <c r="X261" s="55" t="n">
        <f aca="false">IF(V261,IF(01_因子設定!$B$13="最大化",Q261,IF(01_因子設定!$B$13="最小化",-Q261,-ABS(Q261-01_因子設定!$B$16))),-1E+030)</f>
        <v>39.88625</v>
      </c>
      <c r="Y261" s="55" t="n">
        <f aca="false">W261+ROW()*0.000000001</f>
        <v>-9.79652345024466</v>
      </c>
      <c r="Z261" s="55" t="n">
        <f aca="false">X261+ROW()*0.000000001</f>
        <v>39.886250261</v>
      </c>
    </row>
    <row r="262" customFormat="false" ht="15" hidden="false" customHeight="false" outlineLevel="0" collapsed="false">
      <c r="A262" s="0" t="n">
        <v>0</v>
      </c>
      <c r="B262" s="0" t="n">
        <v>15</v>
      </c>
      <c r="C262" s="0" t="n">
        <v>2</v>
      </c>
      <c r="D262" s="0" t="n">
        <f aca="false">-1+A262*0.125</f>
        <v>-1</v>
      </c>
      <c r="E262" s="0" t="n">
        <f aca="false">-1+B262*0.125</f>
        <v>0.875</v>
      </c>
      <c r="F262" s="0" t="n">
        <f aca="false">-1+C262*0.125</f>
        <v>-0.75</v>
      </c>
      <c r="G262" s="0" t="n">
        <f aca="false">1</f>
        <v>1</v>
      </c>
      <c r="H262" s="0" t="n">
        <f aca="false">D262</f>
        <v>-1</v>
      </c>
      <c r="I262" s="0" t="n">
        <f aca="false">E262</f>
        <v>0.875</v>
      </c>
      <c r="J262" s="0" t="n">
        <f aca="false">F262</f>
        <v>-0.75</v>
      </c>
      <c r="K262" s="0" t="n">
        <f aca="false">D262*E262</f>
        <v>-0.875</v>
      </c>
      <c r="L262" s="0" t="n">
        <f aca="false">D262*F262</f>
        <v>0.75</v>
      </c>
      <c r="M262" s="0" t="n">
        <f aca="false">E262*F262</f>
        <v>-0.65625</v>
      </c>
      <c r="N262" s="0" t="n">
        <f aca="false">D262*D262</f>
        <v>1</v>
      </c>
      <c r="O262" s="0" t="n">
        <f aca="false">E262*E262</f>
        <v>0.765625</v>
      </c>
      <c r="P262" s="0" t="n">
        <f aca="false">F262*F262</f>
        <v>0.5625</v>
      </c>
      <c r="Q262" s="0" t="n">
        <f aca="false">SUMPRODUCT(G262:P262,_XtX!$B$71:$K$71)</f>
        <v>40.3658522727273</v>
      </c>
      <c r="R262" s="0" t="n">
        <f aca="false">SUMPRODUCT(MMULT(G262:P262,_XtX!$B$58:$K$67),G262:P262)</f>
        <v>0.571375621448864</v>
      </c>
      <c r="S262" s="0" t="n">
        <f aca="false">04_回帰ANOVA!$K$19*04_回帰ANOVA!$K$14*SQRT(1+R262)</f>
        <v>1.16548487437682</v>
      </c>
      <c r="T262" s="0" t="n">
        <f aca="false">Q262-S262</f>
        <v>39.2003673983505</v>
      </c>
      <c r="U262" s="0" t="n">
        <f aca="false">Q262+S262</f>
        <v>41.5313371471041</v>
      </c>
      <c r="V262" s="54" t="b">
        <f aca="false">AND(D262&gt;=01_因子設定!$L$5-0.000000001,D262&lt;=01_因子設定!$M$5+0.000000001,E262&gt;=01_因子設定!$L$6-0.000000001,E262&lt;=01_因子設定!$M$6+0.000000001,F262&gt;=01_因子設定!$L$7-0.000000001,F262&lt;=01_因子設定!$M$7+0.000000001,IF(01_因子設定!$B$20="Box-Behnken",D262^2+E262^2+F262^2&lt;=2+0.000000001,TRUE()))</f>
        <v>1</v>
      </c>
      <c r="W262" s="55" t="n">
        <f aca="false">IF(V262,IF(01_因子設定!$B$13="最大化",T262-01_因子設定!$B$14,IF(01_因子設定!$B$13="最小化",01_因子設定!$B$15-U262,MIN(T262-01_因子設定!$B$14,01_因子設定!$B$15-U262))),-1E+030)</f>
        <v>-9.29963260164954</v>
      </c>
      <c r="X262" s="55" t="n">
        <f aca="false">IF(V262,IF(01_因子設定!$B$13="最大化",Q262,IF(01_因子設定!$B$13="最小化",-Q262,-ABS(Q262-01_因子設定!$B$16))),-1E+030)</f>
        <v>40.3658522727273</v>
      </c>
      <c r="Y262" s="55" t="n">
        <f aca="false">W262+ROW()*0.000000001</f>
        <v>-9.29963233964954</v>
      </c>
      <c r="Z262" s="55" t="n">
        <f aca="false">X262+ROW()*0.000000001</f>
        <v>40.3658525347273</v>
      </c>
    </row>
    <row r="263" customFormat="false" ht="15" hidden="false" customHeight="false" outlineLevel="0" collapsed="false">
      <c r="A263" s="0" t="n">
        <v>0</v>
      </c>
      <c r="B263" s="0" t="n">
        <v>15</v>
      </c>
      <c r="C263" s="0" t="n">
        <v>3</v>
      </c>
      <c r="D263" s="0" t="n">
        <f aca="false">-1+A263*0.125</f>
        <v>-1</v>
      </c>
      <c r="E263" s="0" t="n">
        <f aca="false">-1+B263*0.125</f>
        <v>0.875</v>
      </c>
      <c r="F263" s="0" t="n">
        <f aca="false">-1+C263*0.125</f>
        <v>-0.625</v>
      </c>
      <c r="G263" s="0" t="n">
        <f aca="false">1</f>
        <v>1</v>
      </c>
      <c r="H263" s="0" t="n">
        <f aca="false">D263</f>
        <v>-1</v>
      </c>
      <c r="I263" s="0" t="n">
        <f aca="false">E263</f>
        <v>0.875</v>
      </c>
      <c r="J263" s="0" t="n">
        <f aca="false">F263</f>
        <v>-0.625</v>
      </c>
      <c r="K263" s="0" t="n">
        <f aca="false">D263*E263</f>
        <v>-0.875</v>
      </c>
      <c r="L263" s="0" t="n">
        <f aca="false">D263*F263</f>
        <v>0.625</v>
      </c>
      <c r="M263" s="0" t="n">
        <f aca="false">E263*F263</f>
        <v>-0.546875</v>
      </c>
      <c r="N263" s="0" t="n">
        <f aca="false">D263*D263</f>
        <v>1</v>
      </c>
      <c r="O263" s="0" t="n">
        <f aca="false">E263*E263</f>
        <v>0.765625</v>
      </c>
      <c r="P263" s="0" t="n">
        <f aca="false">F263*F263</f>
        <v>0.390625</v>
      </c>
      <c r="Q263" s="0" t="n">
        <f aca="false">SUMPRODUCT(G263:P263,_XtX!$B$71:$K$71)</f>
        <v>40.8086647727273</v>
      </c>
      <c r="R263" s="0" t="n">
        <f aca="false">SUMPRODUCT(MMULT(G263:P263,_XtX!$B$58:$K$67),G263:P263)</f>
        <v>0.555073131214489</v>
      </c>
      <c r="S263" s="0" t="n">
        <f aca="false">04_回帰ANOVA!$K$19*04_回帰ANOVA!$K$14*SQRT(1+R263)</f>
        <v>1.15942335628341</v>
      </c>
      <c r="T263" s="0" t="n">
        <f aca="false">Q263-S263</f>
        <v>39.6492414164439</v>
      </c>
      <c r="U263" s="0" t="n">
        <f aca="false">Q263+S263</f>
        <v>41.9680881290107</v>
      </c>
      <c r="V263" s="54" t="b">
        <f aca="false">AND(D263&gt;=01_因子設定!$L$5-0.000000001,D263&lt;=01_因子設定!$M$5+0.000000001,E263&gt;=01_因子設定!$L$6-0.000000001,E263&lt;=01_因子設定!$M$6+0.000000001,F263&gt;=01_因子設定!$L$7-0.000000001,F263&lt;=01_因子設定!$M$7+0.000000001,IF(01_因子設定!$B$20="Box-Behnken",D263^2+E263^2+F263^2&lt;=2+0.000000001,TRUE()))</f>
        <v>1</v>
      </c>
      <c r="W263" s="55" t="n">
        <f aca="false">IF(V263,IF(01_因子設定!$B$13="最大化",T263-01_因子設定!$B$14,IF(01_因子設定!$B$13="最小化",01_因子設定!$B$15-U263,MIN(T263-01_因子設定!$B$14,01_因子設定!$B$15-U263))),-1E+030)</f>
        <v>-8.85075858355614</v>
      </c>
      <c r="X263" s="55" t="n">
        <f aca="false">IF(V263,IF(01_因子設定!$B$13="最大化",Q263,IF(01_因子設定!$B$13="最小化",-Q263,-ABS(Q263-01_因子設定!$B$16))),-1E+030)</f>
        <v>40.8086647727273</v>
      </c>
      <c r="Y263" s="55" t="n">
        <f aca="false">W263+ROW()*0.000000001</f>
        <v>-8.85075832055614</v>
      </c>
      <c r="Z263" s="55" t="n">
        <f aca="false">X263+ROW()*0.000000001</f>
        <v>40.8086650357273</v>
      </c>
    </row>
    <row r="264" customFormat="false" ht="15" hidden="false" customHeight="false" outlineLevel="0" collapsed="false">
      <c r="A264" s="0" t="n">
        <v>0</v>
      </c>
      <c r="B264" s="0" t="n">
        <v>15</v>
      </c>
      <c r="C264" s="0" t="n">
        <v>4</v>
      </c>
      <c r="D264" s="0" t="n">
        <f aca="false">-1+A264*0.125</f>
        <v>-1</v>
      </c>
      <c r="E264" s="0" t="n">
        <f aca="false">-1+B264*0.125</f>
        <v>0.875</v>
      </c>
      <c r="F264" s="0" t="n">
        <f aca="false">-1+C264*0.125</f>
        <v>-0.5</v>
      </c>
      <c r="G264" s="0" t="n">
        <f aca="false">1</f>
        <v>1</v>
      </c>
      <c r="H264" s="0" t="n">
        <f aca="false">D264</f>
        <v>-1</v>
      </c>
      <c r="I264" s="0" t="n">
        <f aca="false">E264</f>
        <v>0.875</v>
      </c>
      <c r="J264" s="0" t="n">
        <f aca="false">F264</f>
        <v>-0.5</v>
      </c>
      <c r="K264" s="0" t="n">
        <f aca="false">D264*E264</f>
        <v>-0.875</v>
      </c>
      <c r="L264" s="0" t="n">
        <f aca="false">D264*F264</f>
        <v>0.5</v>
      </c>
      <c r="M264" s="0" t="n">
        <f aca="false">E264*F264</f>
        <v>-0.4375</v>
      </c>
      <c r="N264" s="0" t="n">
        <f aca="false">D264*D264</f>
        <v>1</v>
      </c>
      <c r="O264" s="0" t="n">
        <f aca="false">E264*E264</f>
        <v>0.765625</v>
      </c>
      <c r="P264" s="0" t="n">
        <f aca="false">F264*F264</f>
        <v>0.25</v>
      </c>
      <c r="Q264" s="0" t="n">
        <f aca="false">SUMPRODUCT(G264:P264,_XtX!$B$71:$K$71)</f>
        <v>41.2146875</v>
      </c>
      <c r="R264" s="0" t="n">
        <f aca="false">SUMPRODUCT(MMULT(G264:P264,_XtX!$B$58:$K$67),G264:P264)</f>
        <v>0.55771484375</v>
      </c>
      <c r="S264" s="0" t="n">
        <f aca="false">04_回帰ANOVA!$K$19*04_回帰ANOVA!$K$14*SQRT(1+R264)</f>
        <v>1.16040773556467</v>
      </c>
      <c r="T264" s="0" t="n">
        <f aca="false">Q264-S264</f>
        <v>40.0542797644353</v>
      </c>
      <c r="U264" s="0" t="n">
        <f aca="false">Q264+S264</f>
        <v>42.3750952355647</v>
      </c>
      <c r="V264" s="54" t="b">
        <f aca="false">AND(D264&gt;=01_因子設定!$L$5-0.000000001,D264&lt;=01_因子設定!$M$5+0.000000001,E264&gt;=01_因子設定!$L$6-0.000000001,E264&lt;=01_因子設定!$M$6+0.000000001,F264&gt;=01_因子設定!$L$7-0.000000001,F264&lt;=01_因子設定!$M$7+0.000000001,IF(01_因子設定!$B$20="Box-Behnken",D264^2+E264^2+F264^2&lt;=2+0.000000001,TRUE()))</f>
        <v>1</v>
      </c>
      <c r="W264" s="55" t="n">
        <f aca="false">IF(V264,IF(01_因子設定!$B$13="最大化",T264-01_因子設定!$B$14,IF(01_因子設定!$B$13="最小化",01_因子設定!$B$15-U264,MIN(T264-01_因子設定!$B$14,01_因子設定!$B$15-U264))),-1E+030)</f>
        <v>-8.44572023556468</v>
      </c>
      <c r="X264" s="55" t="n">
        <f aca="false">IF(V264,IF(01_因子設定!$B$13="最大化",Q264,IF(01_因子設定!$B$13="最小化",-Q264,-ABS(Q264-01_因子設定!$B$16))),-1E+030)</f>
        <v>41.2146875</v>
      </c>
      <c r="Y264" s="55" t="n">
        <f aca="false">W264+ROW()*0.000000001</f>
        <v>-8.44571997156468</v>
      </c>
      <c r="Z264" s="55" t="n">
        <f aca="false">X264+ROW()*0.000000001</f>
        <v>41.214687764</v>
      </c>
    </row>
    <row r="265" customFormat="false" ht="15" hidden="false" customHeight="false" outlineLevel="0" collapsed="false">
      <c r="A265" s="0" t="n">
        <v>0</v>
      </c>
      <c r="B265" s="0" t="n">
        <v>15</v>
      </c>
      <c r="C265" s="0" t="n">
        <v>5</v>
      </c>
      <c r="D265" s="0" t="n">
        <f aca="false">-1+A265*0.125</f>
        <v>-1</v>
      </c>
      <c r="E265" s="0" t="n">
        <f aca="false">-1+B265*0.125</f>
        <v>0.875</v>
      </c>
      <c r="F265" s="0" t="n">
        <f aca="false">-1+C265*0.125</f>
        <v>-0.375</v>
      </c>
      <c r="G265" s="0" t="n">
        <f aca="false">1</f>
        <v>1</v>
      </c>
      <c r="H265" s="0" t="n">
        <f aca="false">D265</f>
        <v>-1</v>
      </c>
      <c r="I265" s="0" t="n">
        <f aca="false">E265</f>
        <v>0.875</v>
      </c>
      <c r="J265" s="0" t="n">
        <f aca="false">F265</f>
        <v>-0.375</v>
      </c>
      <c r="K265" s="0" t="n">
        <f aca="false">D265*E265</f>
        <v>-0.875</v>
      </c>
      <c r="L265" s="0" t="n">
        <f aca="false">D265*F265</f>
        <v>0.375</v>
      </c>
      <c r="M265" s="0" t="n">
        <f aca="false">E265*F265</f>
        <v>-0.328125</v>
      </c>
      <c r="N265" s="0" t="n">
        <f aca="false">D265*D265</f>
        <v>1</v>
      </c>
      <c r="O265" s="0" t="n">
        <f aca="false">E265*E265</f>
        <v>0.765625</v>
      </c>
      <c r="P265" s="0" t="n">
        <f aca="false">F265*F265</f>
        <v>0.140625</v>
      </c>
      <c r="Q265" s="0" t="n">
        <f aca="false">SUMPRODUCT(G265:P265,_XtX!$B$71:$K$71)</f>
        <v>41.5839204545455</v>
      </c>
      <c r="R265" s="0" t="n">
        <f aca="false">SUMPRODUCT(MMULT(G265:P265,_XtX!$B$58:$K$67),G265:P265)</f>
        <v>0.56971269087358</v>
      </c>
      <c r="S265" s="0" t="n">
        <f aca="false">04_回帰ANOVA!$K$19*04_回帰ANOVA!$K$14*SQRT(1+R265)</f>
        <v>1.16486801567081</v>
      </c>
      <c r="T265" s="0" t="n">
        <f aca="false">Q265-S265</f>
        <v>40.4190524388746</v>
      </c>
      <c r="U265" s="0" t="n">
        <f aca="false">Q265+S265</f>
        <v>42.7487884702163</v>
      </c>
      <c r="V265" s="54" t="b">
        <f aca="false">AND(D265&gt;=01_因子設定!$L$5-0.000000001,D265&lt;=01_因子設定!$M$5+0.000000001,E265&gt;=01_因子設定!$L$6-0.000000001,E265&lt;=01_因子設定!$M$6+0.000000001,F265&gt;=01_因子設定!$L$7-0.000000001,F265&lt;=01_因子設定!$M$7+0.000000001,IF(01_因子設定!$B$20="Box-Behnken",D265^2+E265^2+F265^2&lt;=2+0.000000001,TRUE()))</f>
        <v>1</v>
      </c>
      <c r="W265" s="55" t="n">
        <f aca="false">IF(V265,IF(01_因子設定!$B$13="最大化",T265-01_因子設定!$B$14,IF(01_因子設定!$B$13="最小化",01_因子設定!$B$15-U265,MIN(T265-01_因子設定!$B$14,01_因子設定!$B$15-U265))),-1E+030)</f>
        <v>-8.08094756112536</v>
      </c>
      <c r="X265" s="55" t="n">
        <f aca="false">IF(V265,IF(01_因子設定!$B$13="最大化",Q265,IF(01_因子設定!$B$13="最小化",-Q265,-ABS(Q265-01_因子設定!$B$16))),-1E+030)</f>
        <v>41.5839204545455</v>
      </c>
      <c r="Y265" s="55" t="n">
        <f aca="false">W265+ROW()*0.000000001</f>
        <v>-8.08094729612536</v>
      </c>
      <c r="Z265" s="55" t="n">
        <f aca="false">X265+ROW()*0.000000001</f>
        <v>41.5839207195454</v>
      </c>
    </row>
    <row r="266" customFormat="false" ht="15" hidden="false" customHeight="false" outlineLevel="0" collapsed="false">
      <c r="A266" s="0" t="n">
        <v>0</v>
      </c>
      <c r="B266" s="0" t="n">
        <v>15</v>
      </c>
      <c r="C266" s="0" t="n">
        <v>6</v>
      </c>
      <c r="D266" s="0" t="n">
        <f aca="false">-1+A266*0.125</f>
        <v>-1</v>
      </c>
      <c r="E266" s="0" t="n">
        <f aca="false">-1+B266*0.125</f>
        <v>0.875</v>
      </c>
      <c r="F266" s="0" t="n">
        <f aca="false">-1+C266*0.125</f>
        <v>-0.25</v>
      </c>
      <c r="G266" s="0" t="n">
        <f aca="false">1</f>
        <v>1</v>
      </c>
      <c r="H266" s="0" t="n">
        <f aca="false">D266</f>
        <v>-1</v>
      </c>
      <c r="I266" s="0" t="n">
        <f aca="false">E266</f>
        <v>0.875</v>
      </c>
      <c r="J266" s="0" t="n">
        <f aca="false">F266</f>
        <v>-0.25</v>
      </c>
      <c r="K266" s="0" t="n">
        <f aca="false">D266*E266</f>
        <v>-0.875</v>
      </c>
      <c r="L266" s="0" t="n">
        <f aca="false">D266*F266</f>
        <v>0.25</v>
      </c>
      <c r="M266" s="0" t="n">
        <f aca="false">E266*F266</f>
        <v>-0.21875</v>
      </c>
      <c r="N266" s="0" t="n">
        <f aca="false">D266*D266</f>
        <v>1</v>
      </c>
      <c r="O266" s="0" t="n">
        <f aca="false">E266*E266</f>
        <v>0.765625</v>
      </c>
      <c r="P266" s="0" t="n">
        <f aca="false">F266*F266</f>
        <v>0.0625</v>
      </c>
      <c r="Q266" s="0" t="n">
        <f aca="false">SUMPRODUCT(G266:P266,_XtX!$B$71:$K$71)</f>
        <v>41.9163636363636</v>
      </c>
      <c r="R266" s="0" t="n">
        <f aca="false">SUMPRODUCT(MMULT(G266:P266,_XtX!$B$58:$K$67),G266:P266)</f>
        <v>0.583609286221591</v>
      </c>
      <c r="S266" s="0" t="n">
        <f aca="false">04_回帰ANOVA!$K$19*04_回帰ANOVA!$K$14*SQRT(1+R266)</f>
        <v>1.1700129157584</v>
      </c>
      <c r="T266" s="0" t="n">
        <f aca="false">Q266-S266</f>
        <v>40.7463507206052</v>
      </c>
      <c r="U266" s="0" t="n">
        <f aca="false">Q266+S266</f>
        <v>43.086376552122</v>
      </c>
      <c r="V266" s="54" t="b">
        <f aca="false">AND(D266&gt;=01_因子設定!$L$5-0.000000001,D266&lt;=01_因子設定!$M$5+0.000000001,E266&gt;=01_因子設定!$L$6-0.000000001,E266&lt;=01_因子設定!$M$6+0.000000001,F266&gt;=01_因子設定!$L$7-0.000000001,F266&lt;=01_因子設定!$M$7+0.000000001,IF(01_因子設定!$B$20="Box-Behnken",D266^2+E266^2+F266^2&lt;=2+0.000000001,TRUE()))</f>
        <v>1</v>
      </c>
      <c r="W266" s="55" t="n">
        <f aca="false">IF(V266,IF(01_因子設定!$B$13="最大化",T266-01_因子設定!$B$14,IF(01_因子設定!$B$13="最小化",01_因子設定!$B$15-U266,MIN(T266-01_因子設定!$B$14,01_因子設定!$B$15-U266))),-1E+030)</f>
        <v>-7.75364927939476</v>
      </c>
      <c r="X266" s="55" t="n">
        <f aca="false">IF(V266,IF(01_因子設定!$B$13="最大化",Q266,IF(01_因子設定!$B$13="最小化",-Q266,-ABS(Q266-01_因子設定!$B$16))),-1E+030)</f>
        <v>41.9163636363636</v>
      </c>
      <c r="Y266" s="55" t="n">
        <f aca="false">W266+ROW()*0.000000001</f>
        <v>-7.75364901339477</v>
      </c>
      <c r="Z266" s="55" t="n">
        <f aca="false">X266+ROW()*0.000000001</f>
        <v>41.9163639023636</v>
      </c>
    </row>
    <row r="267" customFormat="false" ht="15" hidden="false" customHeight="false" outlineLevel="0" collapsed="false">
      <c r="A267" s="0" t="n">
        <v>0</v>
      </c>
      <c r="B267" s="0" t="n">
        <v>15</v>
      </c>
      <c r="C267" s="0" t="n">
        <v>7</v>
      </c>
      <c r="D267" s="0" t="n">
        <f aca="false">-1+A267*0.125</f>
        <v>-1</v>
      </c>
      <c r="E267" s="0" t="n">
        <f aca="false">-1+B267*0.125</f>
        <v>0.875</v>
      </c>
      <c r="F267" s="0" t="n">
        <f aca="false">-1+C267*0.125</f>
        <v>-0.125</v>
      </c>
      <c r="G267" s="0" t="n">
        <f aca="false">1</f>
        <v>1</v>
      </c>
      <c r="H267" s="0" t="n">
        <f aca="false">D267</f>
        <v>-1</v>
      </c>
      <c r="I267" s="0" t="n">
        <f aca="false">E267</f>
        <v>0.875</v>
      </c>
      <c r="J267" s="0" t="n">
        <f aca="false">F267</f>
        <v>-0.125</v>
      </c>
      <c r="K267" s="0" t="n">
        <f aca="false">D267*E267</f>
        <v>-0.875</v>
      </c>
      <c r="L267" s="0" t="n">
        <f aca="false">D267*F267</f>
        <v>0.125</v>
      </c>
      <c r="M267" s="0" t="n">
        <f aca="false">E267*F267</f>
        <v>-0.109375</v>
      </c>
      <c r="N267" s="0" t="n">
        <f aca="false">D267*D267</f>
        <v>1</v>
      </c>
      <c r="O267" s="0" t="n">
        <f aca="false">E267*E267</f>
        <v>0.765625</v>
      </c>
      <c r="P267" s="0" t="n">
        <f aca="false">F267*F267</f>
        <v>0.015625</v>
      </c>
      <c r="Q267" s="0" t="n">
        <f aca="false">SUMPRODUCT(G267:P267,_XtX!$B$71:$K$71)</f>
        <v>42.2120170454545</v>
      </c>
      <c r="R267" s="0" t="n">
        <f aca="false">SUMPRODUCT(MMULT(G267:P267,_XtX!$B$58:$K$67),G267:P267)</f>
        <v>0.59407792524858</v>
      </c>
      <c r="S267" s="0" t="n">
        <f aca="false">04_回帰ANOVA!$K$19*04_回帰ANOVA!$K$14*SQRT(1+R267)</f>
        <v>1.17387380087722</v>
      </c>
      <c r="T267" s="0" t="n">
        <f aca="false">Q267-S267</f>
        <v>41.0381432445773</v>
      </c>
      <c r="U267" s="0" t="n">
        <f aca="false">Q267+S267</f>
        <v>43.3858908463318</v>
      </c>
      <c r="V267" s="54" t="b">
        <f aca="false">AND(D267&gt;=01_因子設定!$L$5-0.000000001,D267&lt;=01_因子設定!$M$5+0.000000001,E267&gt;=01_因子設定!$L$6-0.000000001,E267&lt;=01_因子設定!$M$6+0.000000001,F267&gt;=01_因子設定!$L$7-0.000000001,F267&lt;=01_因子設定!$M$7+0.000000001,IF(01_因子設定!$B$20="Box-Behnken",D267^2+E267^2+F267^2&lt;=2+0.000000001,TRUE()))</f>
        <v>1</v>
      </c>
      <c r="W267" s="55" t="n">
        <f aca="false">IF(V267,IF(01_因子設定!$B$13="最大化",T267-01_因子設定!$B$14,IF(01_因子設定!$B$13="最小化",01_因子設定!$B$15-U267,MIN(T267-01_因子設定!$B$14,01_因子設定!$B$15-U267))),-1E+030)</f>
        <v>-7.46185675542268</v>
      </c>
      <c r="X267" s="55" t="n">
        <f aca="false">IF(V267,IF(01_因子設定!$B$13="最大化",Q267,IF(01_因子設定!$B$13="最小化",-Q267,-ABS(Q267-01_因子設定!$B$16))),-1E+030)</f>
        <v>42.2120170454545</v>
      </c>
      <c r="Y267" s="55" t="n">
        <f aca="false">W267+ROW()*0.000000001</f>
        <v>-7.46185648842268</v>
      </c>
      <c r="Z267" s="55" t="n">
        <f aca="false">X267+ROW()*0.000000001</f>
        <v>42.2120173124545</v>
      </c>
    </row>
    <row r="268" customFormat="false" ht="15" hidden="false" customHeight="false" outlineLevel="0" collapsed="false">
      <c r="A268" s="0" t="n">
        <v>0</v>
      </c>
      <c r="B268" s="0" t="n">
        <v>15</v>
      </c>
      <c r="C268" s="0" t="n">
        <v>8</v>
      </c>
      <c r="D268" s="0" t="n">
        <f aca="false">-1+A268*0.125</f>
        <v>-1</v>
      </c>
      <c r="E268" s="0" t="n">
        <f aca="false">-1+B268*0.125</f>
        <v>0.875</v>
      </c>
      <c r="F268" s="0" t="n">
        <f aca="false">-1+C268*0.125</f>
        <v>0</v>
      </c>
      <c r="G268" s="0" t="n">
        <f aca="false">1</f>
        <v>1</v>
      </c>
      <c r="H268" s="0" t="n">
        <f aca="false">D268</f>
        <v>-1</v>
      </c>
      <c r="I268" s="0" t="n">
        <f aca="false">E268</f>
        <v>0.875</v>
      </c>
      <c r="J268" s="0" t="n">
        <f aca="false">F268</f>
        <v>0</v>
      </c>
      <c r="K268" s="0" t="n">
        <f aca="false">D268*E268</f>
        <v>-0.875</v>
      </c>
      <c r="L268" s="0" t="n">
        <f aca="false">D268*F268</f>
        <v>-0</v>
      </c>
      <c r="M268" s="0" t="n">
        <f aca="false">E268*F268</f>
        <v>0</v>
      </c>
      <c r="N268" s="0" t="n">
        <f aca="false">D268*D268</f>
        <v>1</v>
      </c>
      <c r="O268" s="0" t="n">
        <f aca="false">E268*E268</f>
        <v>0.765625</v>
      </c>
      <c r="P268" s="0" t="n">
        <f aca="false">F268*F268</f>
        <v>0</v>
      </c>
      <c r="Q268" s="0" t="n">
        <f aca="false">SUMPRODUCT(G268:P268,_XtX!$B$71:$K$71)</f>
        <v>42.4708806818182</v>
      </c>
      <c r="R268" s="0" t="n">
        <f aca="false">SUMPRODUCT(MMULT(G268:P268,_XtX!$B$58:$K$67),G268:P268)</f>
        <v>0.597922585227273</v>
      </c>
      <c r="S268" s="0" t="n">
        <f aca="false">04_回帰ANOVA!$K$19*04_回帰ANOVA!$K$14*SQRT(1+R268)</f>
        <v>1.17528854591003</v>
      </c>
      <c r="T268" s="0" t="n">
        <f aca="false">Q268-S268</f>
        <v>41.2955921359081</v>
      </c>
      <c r="U268" s="0" t="n">
        <f aca="false">Q268+S268</f>
        <v>43.6461692277282</v>
      </c>
      <c r="V268" s="54" t="b">
        <f aca="false">AND(D268&gt;=01_因子設定!$L$5-0.000000001,D268&lt;=01_因子設定!$M$5+0.000000001,E268&gt;=01_因子設定!$L$6-0.000000001,E268&lt;=01_因子設定!$M$6+0.000000001,F268&gt;=01_因子設定!$L$7-0.000000001,F268&lt;=01_因子設定!$M$7+0.000000001,IF(01_因子設定!$B$20="Box-Behnken",D268^2+E268^2+F268^2&lt;=2+0.000000001,TRUE()))</f>
        <v>1</v>
      </c>
      <c r="W268" s="55" t="n">
        <f aca="false">IF(V268,IF(01_因子設定!$B$13="最大化",T268-01_因子設定!$B$14,IF(01_因子設定!$B$13="最小化",01_因子設定!$B$15-U268,MIN(T268-01_因子設定!$B$14,01_因子設定!$B$15-U268))),-1E+030)</f>
        <v>-7.20440786409186</v>
      </c>
      <c r="X268" s="55" t="n">
        <f aca="false">IF(V268,IF(01_因子設定!$B$13="最大化",Q268,IF(01_因子設定!$B$13="最小化",-Q268,-ABS(Q268-01_因子設定!$B$16))),-1E+030)</f>
        <v>42.4708806818182</v>
      </c>
      <c r="Y268" s="55" t="n">
        <f aca="false">W268+ROW()*0.000000001</f>
        <v>-7.20440759609186</v>
      </c>
      <c r="Z268" s="55" t="n">
        <f aca="false">X268+ROW()*0.000000001</f>
        <v>42.4708809498182</v>
      </c>
    </row>
    <row r="269" customFormat="false" ht="15" hidden="false" customHeight="false" outlineLevel="0" collapsed="false">
      <c r="A269" s="0" t="n">
        <v>0</v>
      </c>
      <c r="B269" s="0" t="n">
        <v>15</v>
      </c>
      <c r="C269" s="0" t="n">
        <v>9</v>
      </c>
      <c r="D269" s="0" t="n">
        <f aca="false">-1+A269*0.125</f>
        <v>-1</v>
      </c>
      <c r="E269" s="0" t="n">
        <f aca="false">-1+B269*0.125</f>
        <v>0.875</v>
      </c>
      <c r="F269" s="0" t="n">
        <f aca="false">-1+C269*0.125</f>
        <v>0.125</v>
      </c>
      <c r="G269" s="0" t="n">
        <f aca="false">1</f>
        <v>1</v>
      </c>
      <c r="H269" s="0" t="n">
        <f aca="false">D269</f>
        <v>-1</v>
      </c>
      <c r="I269" s="0" t="n">
        <f aca="false">E269</f>
        <v>0.875</v>
      </c>
      <c r="J269" s="0" t="n">
        <f aca="false">F269</f>
        <v>0.125</v>
      </c>
      <c r="K269" s="0" t="n">
        <f aca="false">D269*E269</f>
        <v>-0.875</v>
      </c>
      <c r="L269" s="0" t="n">
        <f aca="false">D269*F269</f>
        <v>-0.125</v>
      </c>
      <c r="M269" s="0" t="n">
        <f aca="false">E269*F269</f>
        <v>0.109375</v>
      </c>
      <c r="N269" s="0" t="n">
        <f aca="false">D269*D269</f>
        <v>1</v>
      </c>
      <c r="O269" s="0" t="n">
        <f aca="false">E269*E269</f>
        <v>0.765625</v>
      </c>
      <c r="P269" s="0" t="n">
        <f aca="false">F269*F269</f>
        <v>0.015625</v>
      </c>
      <c r="Q269" s="0" t="n">
        <f aca="false">SUMPRODUCT(G269:P269,_XtX!$B$71:$K$71)</f>
        <v>42.6929545454545</v>
      </c>
      <c r="R269" s="0" t="n">
        <f aca="false">SUMPRODUCT(MMULT(G269:P269,_XtX!$B$58:$K$67),G269:P269)</f>
        <v>0.59407792524858</v>
      </c>
      <c r="S269" s="0" t="n">
        <f aca="false">04_回帰ANOVA!$K$19*04_回帰ANOVA!$K$14*SQRT(1+R269)</f>
        <v>1.17387380087722</v>
      </c>
      <c r="T269" s="0" t="n">
        <f aca="false">Q269-S269</f>
        <v>41.5190807445773</v>
      </c>
      <c r="U269" s="0" t="n">
        <f aca="false">Q269+S269</f>
        <v>43.8668283463318</v>
      </c>
      <c r="V269" s="54" t="b">
        <f aca="false">AND(D269&gt;=01_因子設定!$L$5-0.000000001,D269&lt;=01_因子設定!$M$5+0.000000001,E269&gt;=01_因子設定!$L$6-0.000000001,E269&lt;=01_因子設定!$M$6+0.000000001,F269&gt;=01_因子設定!$L$7-0.000000001,F269&lt;=01_因子設定!$M$7+0.000000001,IF(01_因子設定!$B$20="Box-Behnken",D269^2+E269^2+F269^2&lt;=2+0.000000001,TRUE()))</f>
        <v>1</v>
      </c>
      <c r="W269" s="55" t="n">
        <f aca="false">IF(V269,IF(01_因子設定!$B$13="最大化",T269-01_因子設定!$B$14,IF(01_因子設定!$B$13="最小化",01_因子設定!$B$15-U269,MIN(T269-01_因子設定!$B$14,01_因子設定!$B$15-U269))),-1E+030)</f>
        <v>-6.98091925542268</v>
      </c>
      <c r="X269" s="55" t="n">
        <f aca="false">IF(V269,IF(01_因子設定!$B$13="最大化",Q269,IF(01_因子設定!$B$13="最小化",-Q269,-ABS(Q269-01_因子設定!$B$16))),-1E+030)</f>
        <v>42.6929545454545</v>
      </c>
      <c r="Y269" s="55" t="n">
        <f aca="false">W269+ROW()*0.000000001</f>
        <v>-6.98091898642268</v>
      </c>
      <c r="Z269" s="55" t="n">
        <f aca="false">X269+ROW()*0.000000001</f>
        <v>42.6929548144545</v>
      </c>
    </row>
    <row r="270" customFormat="false" ht="15" hidden="false" customHeight="false" outlineLevel="0" collapsed="false">
      <c r="A270" s="0" t="n">
        <v>0</v>
      </c>
      <c r="B270" s="0" t="n">
        <v>15</v>
      </c>
      <c r="C270" s="0" t="n">
        <v>10</v>
      </c>
      <c r="D270" s="0" t="n">
        <f aca="false">-1+A270*0.125</f>
        <v>-1</v>
      </c>
      <c r="E270" s="0" t="n">
        <f aca="false">-1+B270*0.125</f>
        <v>0.875</v>
      </c>
      <c r="F270" s="0" t="n">
        <f aca="false">-1+C270*0.125</f>
        <v>0.25</v>
      </c>
      <c r="G270" s="0" t="n">
        <f aca="false">1</f>
        <v>1</v>
      </c>
      <c r="H270" s="0" t="n">
        <f aca="false">D270</f>
        <v>-1</v>
      </c>
      <c r="I270" s="0" t="n">
        <f aca="false">E270</f>
        <v>0.875</v>
      </c>
      <c r="J270" s="0" t="n">
        <f aca="false">F270</f>
        <v>0.25</v>
      </c>
      <c r="K270" s="0" t="n">
        <f aca="false">D270*E270</f>
        <v>-0.875</v>
      </c>
      <c r="L270" s="0" t="n">
        <f aca="false">D270*F270</f>
        <v>-0.25</v>
      </c>
      <c r="M270" s="0" t="n">
        <f aca="false">E270*F270</f>
        <v>0.21875</v>
      </c>
      <c r="N270" s="0" t="n">
        <f aca="false">D270*D270</f>
        <v>1</v>
      </c>
      <c r="O270" s="0" t="n">
        <f aca="false">E270*E270</f>
        <v>0.765625</v>
      </c>
      <c r="P270" s="0" t="n">
        <f aca="false">F270*F270</f>
        <v>0.0625</v>
      </c>
      <c r="Q270" s="0" t="n">
        <f aca="false">SUMPRODUCT(G270:P270,_XtX!$B$71:$K$71)</f>
        <v>42.8782386363636</v>
      </c>
      <c r="R270" s="0" t="n">
        <f aca="false">SUMPRODUCT(MMULT(G270:P270,_XtX!$B$58:$K$67),G270:P270)</f>
        <v>0.583609286221591</v>
      </c>
      <c r="S270" s="0" t="n">
        <f aca="false">04_回帰ANOVA!$K$19*04_回帰ANOVA!$K$14*SQRT(1+R270)</f>
        <v>1.1700129157584</v>
      </c>
      <c r="T270" s="0" t="n">
        <f aca="false">Q270-S270</f>
        <v>41.7082257206052</v>
      </c>
      <c r="U270" s="0" t="n">
        <f aca="false">Q270+S270</f>
        <v>44.048251552122</v>
      </c>
      <c r="V270" s="54" t="b">
        <f aca="false">AND(D270&gt;=01_因子設定!$L$5-0.000000001,D270&lt;=01_因子設定!$M$5+0.000000001,E270&gt;=01_因子設定!$L$6-0.000000001,E270&lt;=01_因子設定!$M$6+0.000000001,F270&gt;=01_因子設定!$L$7-0.000000001,F270&lt;=01_因子設定!$M$7+0.000000001,IF(01_因子設定!$B$20="Box-Behnken",D270^2+E270^2+F270^2&lt;=2+0.000000001,TRUE()))</f>
        <v>1</v>
      </c>
      <c r="W270" s="55" t="n">
        <f aca="false">IF(V270,IF(01_因子設定!$B$13="最大化",T270-01_因子設定!$B$14,IF(01_因子設定!$B$13="最小化",01_因子設定!$B$15-U270,MIN(T270-01_因子設定!$B$14,01_因子設定!$B$15-U270))),-1E+030)</f>
        <v>-6.79177427939477</v>
      </c>
      <c r="X270" s="55" t="n">
        <f aca="false">IF(V270,IF(01_因子設定!$B$13="最大化",Q270,IF(01_因子設定!$B$13="最小化",-Q270,-ABS(Q270-01_因子設定!$B$16))),-1E+030)</f>
        <v>42.8782386363636</v>
      </c>
      <c r="Y270" s="55" t="n">
        <f aca="false">W270+ROW()*0.000000001</f>
        <v>-6.79177400939477</v>
      </c>
      <c r="Z270" s="55" t="n">
        <f aca="false">X270+ROW()*0.000000001</f>
        <v>42.8782389063636</v>
      </c>
    </row>
    <row r="271" customFormat="false" ht="15" hidden="false" customHeight="false" outlineLevel="0" collapsed="false">
      <c r="A271" s="0" t="n">
        <v>0</v>
      </c>
      <c r="B271" s="0" t="n">
        <v>15</v>
      </c>
      <c r="C271" s="0" t="n">
        <v>11</v>
      </c>
      <c r="D271" s="0" t="n">
        <f aca="false">-1+A271*0.125</f>
        <v>-1</v>
      </c>
      <c r="E271" s="0" t="n">
        <f aca="false">-1+B271*0.125</f>
        <v>0.875</v>
      </c>
      <c r="F271" s="0" t="n">
        <f aca="false">-1+C271*0.125</f>
        <v>0.375</v>
      </c>
      <c r="G271" s="0" t="n">
        <f aca="false">1</f>
        <v>1</v>
      </c>
      <c r="H271" s="0" t="n">
        <f aca="false">D271</f>
        <v>-1</v>
      </c>
      <c r="I271" s="0" t="n">
        <f aca="false">E271</f>
        <v>0.875</v>
      </c>
      <c r="J271" s="0" t="n">
        <f aca="false">F271</f>
        <v>0.375</v>
      </c>
      <c r="K271" s="0" t="n">
        <f aca="false">D271*E271</f>
        <v>-0.875</v>
      </c>
      <c r="L271" s="0" t="n">
        <f aca="false">D271*F271</f>
        <v>-0.375</v>
      </c>
      <c r="M271" s="0" t="n">
        <f aca="false">E271*F271</f>
        <v>0.328125</v>
      </c>
      <c r="N271" s="0" t="n">
        <f aca="false">D271*D271</f>
        <v>1</v>
      </c>
      <c r="O271" s="0" t="n">
        <f aca="false">E271*E271</f>
        <v>0.765625</v>
      </c>
      <c r="P271" s="0" t="n">
        <f aca="false">F271*F271</f>
        <v>0.140625</v>
      </c>
      <c r="Q271" s="0" t="n">
        <f aca="false">SUMPRODUCT(G271:P271,_XtX!$B$71:$K$71)</f>
        <v>43.0267329545454</v>
      </c>
      <c r="R271" s="0" t="n">
        <f aca="false">SUMPRODUCT(MMULT(G271:P271,_XtX!$B$58:$K$67),G271:P271)</f>
        <v>0.56971269087358</v>
      </c>
      <c r="S271" s="0" t="n">
        <f aca="false">04_回帰ANOVA!$K$19*04_回帰ANOVA!$K$14*SQRT(1+R271)</f>
        <v>1.16486801567081</v>
      </c>
      <c r="T271" s="0" t="n">
        <f aca="false">Q271-S271</f>
        <v>41.8618649388746</v>
      </c>
      <c r="U271" s="0" t="n">
        <f aca="false">Q271+S271</f>
        <v>44.1916009702163</v>
      </c>
      <c r="V271" s="54" t="b">
        <f aca="false">AND(D271&gt;=01_因子設定!$L$5-0.000000001,D271&lt;=01_因子設定!$M$5+0.000000001,E271&gt;=01_因子設定!$L$6-0.000000001,E271&lt;=01_因子設定!$M$6+0.000000001,F271&gt;=01_因子設定!$L$7-0.000000001,F271&lt;=01_因子設定!$M$7+0.000000001,IF(01_因子設定!$B$20="Box-Behnken",D271^2+E271^2+F271^2&lt;=2+0.000000001,TRUE()))</f>
        <v>1</v>
      </c>
      <c r="W271" s="55" t="n">
        <f aca="false">IF(V271,IF(01_因子設定!$B$13="最大化",T271-01_因子設定!$B$14,IF(01_因子設定!$B$13="最小化",01_因子設定!$B$15-U271,MIN(T271-01_因子設定!$B$14,01_因子設定!$B$15-U271))),-1E+030)</f>
        <v>-6.63813506112536</v>
      </c>
      <c r="X271" s="55" t="n">
        <f aca="false">IF(V271,IF(01_因子設定!$B$13="最大化",Q271,IF(01_因子設定!$B$13="最小化",-Q271,-ABS(Q271-01_因子設定!$B$16))),-1E+030)</f>
        <v>43.0267329545454</v>
      </c>
      <c r="Y271" s="55" t="n">
        <f aca="false">W271+ROW()*0.000000001</f>
        <v>-6.63813479012536</v>
      </c>
      <c r="Z271" s="55" t="n">
        <f aca="false">X271+ROW()*0.000000001</f>
        <v>43.0267332255454</v>
      </c>
    </row>
    <row r="272" customFormat="false" ht="15" hidden="false" customHeight="false" outlineLevel="0" collapsed="false">
      <c r="A272" s="0" t="n">
        <v>0</v>
      </c>
      <c r="B272" s="0" t="n">
        <v>15</v>
      </c>
      <c r="C272" s="0" t="n">
        <v>12</v>
      </c>
      <c r="D272" s="0" t="n">
        <f aca="false">-1+A272*0.125</f>
        <v>-1</v>
      </c>
      <c r="E272" s="0" t="n">
        <f aca="false">-1+B272*0.125</f>
        <v>0.875</v>
      </c>
      <c r="F272" s="0" t="n">
        <f aca="false">-1+C272*0.125</f>
        <v>0.5</v>
      </c>
      <c r="G272" s="0" t="n">
        <f aca="false">1</f>
        <v>1</v>
      </c>
      <c r="H272" s="0" t="n">
        <f aca="false">D272</f>
        <v>-1</v>
      </c>
      <c r="I272" s="0" t="n">
        <f aca="false">E272</f>
        <v>0.875</v>
      </c>
      <c r="J272" s="0" t="n">
        <f aca="false">F272</f>
        <v>0.5</v>
      </c>
      <c r="K272" s="0" t="n">
        <f aca="false">D272*E272</f>
        <v>-0.875</v>
      </c>
      <c r="L272" s="0" t="n">
        <f aca="false">D272*F272</f>
        <v>-0.5</v>
      </c>
      <c r="M272" s="0" t="n">
        <f aca="false">E272*F272</f>
        <v>0.4375</v>
      </c>
      <c r="N272" s="0" t="n">
        <f aca="false">D272*D272</f>
        <v>1</v>
      </c>
      <c r="O272" s="0" t="n">
        <f aca="false">E272*E272</f>
        <v>0.765625</v>
      </c>
      <c r="P272" s="0" t="n">
        <f aca="false">F272*F272</f>
        <v>0.25</v>
      </c>
      <c r="Q272" s="0" t="n">
        <f aca="false">SUMPRODUCT(G272:P272,_XtX!$B$71:$K$71)</f>
        <v>43.1384375</v>
      </c>
      <c r="R272" s="0" t="n">
        <f aca="false">SUMPRODUCT(MMULT(G272:P272,_XtX!$B$58:$K$67),G272:P272)</f>
        <v>0.55771484375</v>
      </c>
      <c r="S272" s="0" t="n">
        <f aca="false">04_回帰ANOVA!$K$19*04_回帰ANOVA!$K$14*SQRT(1+R272)</f>
        <v>1.16040773556467</v>
      </c>
      <c r="T272" s="0" t="n">
        <f aca="false">Q272-S272</f>
        <v>41.9780297644353</v>
      </c>
      <c r="U272" s="0" t="n">
        <f aca="false">Q272+S272</f>
        <v>44.2988452355647</v>
      </c>
      <c r="V272" s="54" t="b">
        <f aca="false">AND(D272&gt;=01_因子設定!$L$5-0.000000001,D272&lt;=01_因子設定!$M$5+0.000000001,E272&gt;=01_因子設定!$L$6-0.000000001,E272&lt;=01_因子設定!$M$6+0.000000001,F272&gt;=01_因子設定!$L$7-0.000000001,F272&lt;=01_因子設定!$M$7+0.000000001,IF(01_因子設定!$B$20="Box-Behnken",D272^2+E272^2+F272^2&lt;=2+0.000000001,TRUE()))</f>
        <v>1</v>
      </c>
      <c r="W272" s="55" t="n">
        <f aca="false">IF(V272,IF(01_因子設定!$B$13="最大化",T272-01_因子設定!$B$14,IF(01_因子設定!$B$13="最小化",01_因子設定!$B$15-U272,MIN(T272-01_因子設定!$B$14,01_因子設定!$B$15-U272))),-1E+030)</f>
        <v>-6.52197023556468</v>
      </c>
      <c r="X272" s="55" t="n">
        <f aca="false">IF(V272,IF(01_因子設定!$B$13="最大化",Q272,IF(01_因子設定!$B$13="最小化",-Q272,-ABS(Q272-01_因子設定!$B$16))),-1E+030)</f>
        <v>43.1384375</v>
      </c>
      <c r="Y272" s="55" t="n">
        <f aca="false">W272+ROW()*0.000000001</f>
        <v>-6.52196996356468</v>
      </c>
      <c r="Z272" s="55" t="n">
        <f aca="false">X272+ROW()*0.000000001</f>
        <v>43.138437772</v>
      </c>
    </row>
    <row r="273" customFormat="false" ht="15" hidden="false" customHeight="false" outlineLevel="0" collapsed="false">
      <c r="A273" s="0" t="n">
        <v>0</v>
      </c>
      <c r="B273" s="0" t="n">
        <v>15</v>
      </c>
      <c r="C273" s="0" t="n">
        <v>13</v>
      </c>
      <c r="D273" s="0" t="n">
        <f aca="false">-1+A273*0.125</f>
        <v>-1</v>
      </c>
      <c r="E273" s="0" t="n">
        <f aca="false">-1+B273*0.125</f>
        <v>0.875</v>
      </c>
      <c r="F273" s="0" t="n">
        <f aca="false">-1+C273*0.125</f>
        <v>0.625</v>
      </c>
      <c r="G273" s="0" t="n">
        <f aca="false">1</f>
        <v>1</v>
      </c>
      <c r="H273" s="0" t="n">
        <f aca="false">D273</f>
        <v>-1</v>
      </c>
      <c r="I273" s="0" t="n">
        <f aca="false">E273</f>
        <v>0.875</v>
      </c>
      <c r="J273" s="0" t="n">
        <f aca="false">F273</f>
        <v>0.625</v>
      </c>
      <c r="K273" s="0" t="n">
        <f aca="false">D273*E273</f>
        <v>-0.875</v>
      </c>
      <c r="L273" s="0" t="n">
        <f aca="false">D273*F273</f>
        <v>-0.625</v>
      </c>
      <c r="M273" s="0" t="n">
        <f aca="false">E273*F273</f>
        <v>0.546875</v>
      </c>
      <c r="N273" s="0" t="n">
        <f aca="false">D273*D273</f>
        <v>1</v>
      </c>
      <c r="O273" s="0" t="n">
        <f aca="false">E273*E273</f>
        <v>0.765625</v>
      </c>
      <c r="P273" s="0" t="n">
        <f aca="false">F273*F273</f>
        <v>0.390625</v>
      </c>
      <c r="Q273" s="0" t="n">
        <f aca="false">SUMPRODUCT(G273:P273,_XtX!$B$71:$K$71)</f>
        <v>43.2133522727273</v>
      </c>
      <c r="R273" s="0" t="n">
        <f aca="false">SUMPRODUCT(MMULT(G273:P273,_XtX!$B$58:$K$67),G273:P273)</f>
        <v>0.555073131214489</v>
      </c>
      <c r="S273" s="0" t="n">
        <f aca="false">04_回帰ANOVA!$K$19*04_回帰ANOVA!$K$14*SQRT(1+R273)</f>
        <v>1.15942335628341</v>
      </c>
      <c r="T273" s="0" t="n">
        <f aca="false">Q273-S273</f>
        <v>42.0539289164439</v>
      </c>
      <c r="U273" s="0" t="n">
        <f aca="false">Q273+S273</f>
        <v>44.3727756290107</v>
      </c>
      <c r="V273" s="54" t="b">
        <f aca="false">AND(D273&gt;=01_因子設定!$L$5-0.000000001,D273&lt;=01_因子設定!$M$5+0.000000001,E273&gt;=01_因子設定!$L$6-0.000000001,E273&lt;=01_因子設定!$M$6+0.000000001,F273&gt;=01_因子設定!$L$7-0.000000001,F273&lt;=01_因子設定!$M$7+0.000000001,IF(01_因子設定!$B$20="Box-Behnken",D273^2+E273^2+F273^2&lt;=2+0.000000001,TRUE()))</f>
        <v>1</v>
      </c>
      <c r="W273" s="55" t="n">
        <f aca="false">IF(V273,IF(01_因子設定!$B$13="最大化",T273-01_因子設定!$B$14,IF(01_因子設定!$B$13="最小化",01_因子設定!$B$15-U273,MIN(T273-01_因子設定!$B$14,01_因子設定!$B$15-U273))),-1E+030)</f>
        <v>-6.44607108355613</v>
      </c>
      <c r="X273" s="55" t="n">
        <f aca="false">IF(V273,IF(01_因子設定!$B$13="最大化",Q273,IF(01_因子設定!$B$13="最小化",-Q273,-ABS(Q273-01_因子設定!$B$16))),-1E+030)</f>
        <v>43.2133522727273</v>
      </c>
      <c r="Y273" s="55" t="n">
        <f aca="false">W273+ROW()*0.000000001</f>
        <v>-6.44607081055613</v>
      </c>
      <c r="Z273" s="55" t="n">
        <f aca="false">X273+ROW()*0.000000001</f>
        <v>43.2133525457273</v>
      </c>
    </row>
    <row r="274" customFormat="false" ht="15" hidden="false" customHeight="false" outlineLevel="0" collapsed="false">
      <c r="A274" s="0" t="n">
        <v>0</v>
      </c>
      <c r="B274" s="0" t="n">
        <v>15</v>
      </c>
      <c r="C274" s="0" t="n">
        <v>14</v>
      </c>
      <c r="D274" s="0" t="n">
        <f aca="false">-1+A274*0.125</f>
        <v>-1</v>
      </c>
      <c r="E274" s="0" t="n">
        <f aca="false">-1+B274*0.125</f>
        <v>0.875</v>
      </c>
      <c r="F274" s="0" t="n">
        <f aca="false">-1+C274*0.125</f>
        <v>0.75</v>
      </c>
      <c r="G274" s="0" t="n">
        <f aca="false">1</f>
        <v>1</v>
      </c>
      <c r="H274" s="0" t="n">
        <f aca="false">D274</f>
        <v>-1</v>
      </c>
      <c r="I274" s="0" t="n">
        <f aca="false">E274</f>
        <v>0.875</v>
      </c>
      <c r="J274" s="0" t="n">
        <f aca="false">F274</f>
        <v>0.75</v>
      </c>
      <c r="K274" s="0" t="n">
        <f aca="false">D274*E274</f>
        <v>-0.875</v>
      </c>
      <c r="L274" s="0" t="n">
        <f aca="false">D274*F274</f>
        <v>-0.75</v>
      </c>
      <c r="M274" s="0" t="n">
        <f aca="false">E274*F274</f>
        <v>0.65625</v>
      </c>
      <c r="N274" s="0" t="n">
        <f aca="false">D274*D274</f>
        <v>1</v>
      </c>
      <c r="O274" s="0" t="n">
        <f aca="false">E274*E274</f>
        <v>0.765625</v>
      </c>
      <c r="P274" s="0" t="n">
        <f aca="false">F274*F274</f>
        <v>0.5625</v>
      </c>
      <c r="Q274" s="0" t="n">
        <f aca="false">SUMPRODUCT(G274:P274,_XtX!$B$71:$K$71)</f>
        <v>43.2514772727273</v>
      </c>
      <c r="R274" s="0" t="n">
        <f aca="false">SUMPRODUCT(MMULT(G274:P274,_XtX!$B$58:$K$67),G274:P274)</f>
        <v>0.571375621448864</v>
      </c>
      <c r="S274" s="0" t="n">
        <f aca="false">04_回帰ANOVA!$K$19*04_回帰ANOVA!$K$14*SQRT(1+R274)</f>
        <v>1.16548487437682</v>
      </c>
      <c r="T274" s="0" t="n">
        <f aca="false">Q274-S274</f>
        <v>42.0859923983505</v>
      </c>
      <c r="U274" s="0" t="n">
        <f aca="false">Q274+S274</f>
        <v>44.4169621471041</v>
      </c>
      <c r="V274" s="54" t="b">
        <f aca="false">AND(D274&gt;=01_因子設定!$L$5-0.000000001,D274&lt;=01_因子設定!$M$5+0.000000001,E274&gt;=01_因子設定!$L$6-0.000000001,E274&lt;=01_因子設定!$M$6+0.000000001,F274&gt;=01_因子設定!$L$7-0.000000001,F274&lt;=01_因子設定!$M$7+0.000000001,IF(01_因子設定!$B$20="Box-Behnken",D274^2+E274^2+F274^2&lt;=2+0.000000001,TRUE()))</f>
        <v>1</v>
      </c>
      <c r="W274" s="55" t="n">
        <f aca="false">IF(V274,IF(01_因子設定!$B$13="最大化",T274-01_因子設定!$B$14,IF(01_因子設定!$B$13="最小化",01_因子設定!$B$15-U274,MIN(T274-01_因子設定!$B$14,01_因子設定!$B$15-U274))),-1E+030)</f>
        <v>-6.41400760164954</v>
      </c>
      <c r="X274" s="55" t="n">
        <f aca="false">IF(V274,IF(01_因子設定!$B$13="最大化",Q274,IF(01_因子設定!$B$13="最小化",-Q274,-ABS(Q274-01_因子設定!$B$16))),-1E+030)</f>
        <v>43.2514772727273</v>
      </c>
      <c r="Y274" s="55" t="n">
        <f aca="false">W274+ROW()*0.000000001</f>
        <v>-6.41400732764955</v>
      </c>
      <c r="Z274" s="55" t="n">
        <f aca="false">X274+ROW()*0.000000001</f>
        <v>43.2514775467273</v>
      </c>
    </row>
    <row r="275" customFormat="false" ht="15" hidden="false" customHeight="false" outlineLevel="0" collapsed="false">
      <c r="A275" s="0" t="n">
        <v>0</v>
      </c>
      <c r="B275" s="0" t="n">
        <v>15</v>
      </c>
      <c r="C275" s="0" t="n">
        <v>15</v>
      </c>
      <c r="D275" s="0" t="n">
        <f aca="false">-1+A275*0.125</f>
        <v>-1</v>
      </c>
      <c r="E275" s="0" t="n">
        <f aca="false">-1+B275*0.125</f>
        <v>0.875</v>
      </c>
      <c r="F275" s="0" t="n">
        <f aca="false">-1+C275*0.125</f>
        <v>0.875</v>
      </c>
      <c r="G275" s="0" t="n">
        <f aca="false">1</f>
        <v>1</v>
      </c>
      <c r="H275" s="0" t="n">
        <f aca="false">D275</f>
        <v>-1</v>
      </c>
      <c r="I275" s="0" t="n">
        <f aca="false">E275</f>
        <v>0.875</v>
      </c>
      <c r="J275" s="0" t="n">
        <f aca="false">F275</f>
        <v>0.875</v>
      </c>
      <c r="K275" s="0" t="n">
        <f aca="false">D275*E275</f>
        <v>-0.875</v>
      </c>
      <c r="L275" s="0" t="n">
        <f aca="false">D275*F275</f>
        <v>-0.875</v>
      </c>
      <c r="M275" s="0" t="n">
        <f aca="false">E275*F275</f>
        <v>0.765625</v>
      </c>
      <c r="N275" s="0" t="n">
        <f aca="false">D275*D275</f>
        <v>1</v>
      </c>
      <c r="O275" s="0" t="n">
        <f aca="false">E275*E275</f>
        <v>0.765625</v>
      </c>
      <c r="P275" s="0" t="n">
        <f aca="false">F275*F275</f>
        <v>0.765625</v>
      </c>
      <c r="Q275" s="0" t="n">
        <f aca="false">SUMPRODUCT(G275:P275,_XtX!$B$71:$K$71)</f>
        <v>43.2528125</v>
      </c>
      <c r="R275" s="0" t="n">
        <f aca="false">SUMPRODUCT(MMULT(G275:P275,_XtX!$B$58:$K$67),G275:P275)</f>
        <v>0.618341064453125</v>
      </c>
      <c r="S275" s="0" t="n">
        <f aca="false">04_回帰ANOVA!$K$19*04_回帰ANOVA!$K$14*SQRT(1+R275)</f>
        <v>1.18277371124466</v>
      </c>
      <c r="T275" s="0" t="n">
        <f aca="false">Q275-S275</f>
        <v>42.0700387887553</v>
      </c>
      <c r="U275" s="0" t="n">
        <f aca="false">Q275+S275</f>
        <v>44.4355862112447</v>
      </c>
      <c r="V275" s="54" t="b">
        <f aca="false">AND(D275&gt;=01_因子設定!$L$5-0.000000001,D275&lt;=01_因子設定!$M$5+0.000000001,E275&gt;=01_因子設定!$L$6-0.000000001,E275&lt;=01_因子設定!$M$6+0.000000001,F275&gt;=01_因子設定!$L$7-0.000000001,F275&lt;=01_因子設定!$M$7+0.000000001,IF(01_因子設定!$B$20="Box-Behnken",D275^2+E275^2+F275^2&lt;=2+0.000000001,TRUE()))</f>
        <v>1</v>
      </c>
      <c r="W275" s="55" t="n">
        <f aca="false">IF(V275,IF(01_因子設定!$B$13="最大化",T275-01_因子設定!$B$14,IF(01_因子設定!$B$13="最小化",01_因子設定!$B$15-U275,MIN(T275-01_因子設定!$B$14,01_因子設定!$B$15-U275))),-1E+030)</f>
        <v>-6.42996121124466</v>
      </c>
      <c r="X275" s="55" t="n">
        <f aca="false">IF(V275,IF(01_因子設定!$B$13="最大化",Q275,IF(01_因子設定!$B$13="最小化",-Q275,-ABS(Q275-01_因子設定!$B$16))),-1E+030)</f>
        <v>43.2528125</v>
      </c>
      <c r="Y275" s="55" t="n">
        <f aca="false">W275+ROW()*0.000000001</f>
        <v>-6.42996093624466</v>
      </c>
      <c r="Z275" s="55" t="n">
        <f aca="false">X275+ROW()*0.000000001</f>
        <v>43.252812775</v>
      </c>
    </row>
    <row r="276" customFormat="false" ht="15" hidden="false" customHeight="false" outlineLevel="0" collapsed="false">
      <c r="A276" s="0" t="n">
        <v>0</v>
      </c>
      <c r="B276" s="0" t="n">
        <v>15</v>
      </c>
      <c r="C276" s="0" t="n">
        <v>16</v>
      </c>
      <c r="D276" s="0" t="n">
        <f aca="false">-1+A276*0.125</f>
        <v>-1</v>
      </c>
      <c r="E276" s="0" t="n">
        <f aca="false">-1+B276*0.125</f>
        <v>0.875</v>
      </c>
      <c r="F276" s="0" t="n">
        <f aca="false">-1+C276*0.125</f>
        <v>1</v>
      </c>
      <c r="G276" s="0" t="n">
        <f aca="false">1</f>
        <v>1</v>
      </c>
      <c r="H276" s="0" t="n">
        <f aca="false">D276</f>
        <v>-1</v>
      </c>
      <c r="I276" s="0" t="n">
        <f aca="false">E276</f>
        <v>0.875</v>
      </c>
      <c r="J276" s="0" t="n">
        <f aca="false">F276</f>
        <v>1</v>
      </c>
      <c r="K276" s="0" t="n">
        <f aca="false">D276*E276</f>
        <v>-0.875</v>
      </c>
      <c r="L276" s="0" t="n">
        <f aca="false">D276*F276</f>
        <v>-1</v>
      </c>
      <c r="M276" s="0" t="n">
        <f aca="false">E276*F276</f>
        <v>0.875</v>
      </c>
      <c r="N276" s="0" t="n">
        <f aca="false">D276*D276</f>
        <v>1</v>
      </c>
      <c r="O276" s="0" t="n">
        <f aca="false">E276*E276</f>
        <v>0.765625</v>
      </c>
      <c r="P276" s="0" t="n">
        <f aca="false">F276*F276</f>
        <v>1</v>
      </c>
      <c r="Q276" s="0" t="n">
        <f aca="false">SUMPRODUCT(G276:P276,_XtX!$B$71:$K$71)</f>
        <v>43.2173579545455</v>
      </c>
      <c r="R276" s="0" t="n">
        <f aca="false">SUMPRODUCT(MMULT(G276:P276,_XtX!$B$58:$K$67),G276:P276)</f>
        <v>0.709818892045455</v>
      </c>
      <c r="S276" s="0" t="n">
        <f aca="false">04_回帰ANOVA!$K$19*04_回帰ANOVA!$K$14*SQRT(1+R276)</f>
        <v>1.21574275944458</v>
      </c>
      <c r="T276" s="0" t="n">
        <f aca="false">Q276-S276</f>
        <v>42.0016151951009</v>
      </c>
      <c r="U276" s="0" t="n">
        <f aca="false">Q276+S276</f>
        <v>44.43310071399</v>
      </c>
      <c r="V276" s="54" t="b">
        <f aca="false">AND(D276&gt;=01_因子設定!$L$5-0.000000001,D276&lt;=01_因子設定!$M$5+0.000000001,E276&gt;=01_因子設定!$L$6-0.000000001,E276&lt;=01_因子設定!$M$6+0.000000001,F276&gt;=01_因子設定!$L$7-0.000000001,F276&lt;=01_因子設定!$M$7+0.000000001,IF(01_因子設定!$B$20="Box-Behnken",D276^2+E276^2+F276^2&lt;=2+0.000000001,TRUE()))</f>
        <v>1</v>
      </c>
      <c r="W276" s="55" t="n">
        <f aca="false">IF(V276,IF(01_因子設定!$B$13="最大化",T276-01_因子設定!$B$14,IF(01_因子設定!$B$13="最小化",01_因子設定!$B$15-U276,MIN(T276-01_因子設定!$B$14,01_因子設定!$B$15-U276))),-1E+030)</f>
        <v>-6.49838480489912</v>
      </c>
      <c r="X276" s="55" t="n">
        <f aca="false">IF(V276,IF(01_因子設定!$B$13="最大化",Q276,IF(01_因子設定!$B$13="最小化",-Q276,-ABS(Q276-01_因子設定!$B$16))),-1E+030)</f>
        <v>43.2173579545455</v>
      </c>
      <c r="Y276" s="55" t="n">
        <f aca="false">W276+ROW()*0.000000001</f>
        <v>-6.49838452889912</v>
      </c>
      <c r="Z276" s="55" t="n">
        <f aca="false">X276+ROW()*0.000000001</f>
        <v>43.2173582305455</v>
      </c>
    </row>
    <row r="277" customFormat="false" ht="15" hidden="false" customHeight="false" outlineLevel="0" collapsed="false">
      <c r="A277" s="0" t="n">
        <v>0</v>
      </c>
      <c r="B277" s="0" t="n">
        <v>16</v>
      </c>
      <c r="C277" s="0" t="n">
        <v>0</v>
      </c>
      <c r="D277" s="0" t="n">
        <f aca="false">-1+A277*0.125</f>
        <v>-1</v>
      </c>
      <c r="E277" s="0" t="n">
        <f aca="false">-1+B277*0.125</f>
        <v>1</v>
      </c>
      <c r="F277" s="0" t="n">
        <f aca="false">-1+C277*0.125</f>
        <v>-1</v>
      </c>
      <c r="G277" s="0" t="n">
        <f aca="false">1</f>
        <v>1</v>
      </c>
      <c r="H277" s="0" t="n">
        <f aca="false">D277</f>
        <v>-1</v>
      </c>
      <c r="I277" s="0" t="n">
        <f aca="false">E277</f>
        <v>1</v>
      </c>
      <c r="J277" s="0" t="n">
        <f aca="false">F277</f>
        <v>-1</v>
      </c>
      <c r="K277" s="0" t="n">
        <f aca="false">D277*E277</f>
        <v>-1</v>
      </c>
      <c r="L277" s="0" t="n">
        <f aca="false">D277*F277</f>
        <v>1</v>
      </c>
      <c r="M277" s="0" t="n">
        <f aca="false">E277*F277</f>
        <v>-1</v>
      </c>
      <c r="N277" s="0" t="n">
        <f aca="false">D277*D277</f>
        <v>1</v>
      </c>
      <c r="O277" s="0" t="n">
        <f aca="false">E277*E277</f>
        <v>1</v>
      </c>
      <c r="P277" s="0" t="n">
        <f aca="false">F277*F277</f>
        <v>1</v>
      </c>
      <c r="Q277" s="0" t="n">
        <f aca="false">SUMPRODUCT(G277:P277,_XtX!$B$71:$K$71)</f>
        <v>38.9440909090909</v>
      </c>
      <c r="R277" s="0" t="n">
        <f aca="false">SUMPRODUCT(MMULT(G277:P277,_XtX!$B$58:$K$67),G277:P277)</f>
        <v>0.793181818181818</v>
      </c>
      <c r="S277" s="0" t="n">
        <f aca="false">04_回帰ANOVA!$K$19*04_回帰ANOVA!$K$14*SQRT(1+R277)</f>
        <v>1.24502708501444</v>
      </c>
      <c r="T277" s="0" t="n">
        <f aca="false">Q277-S277</f>
        <v>37.6990638240765</v>
      </c>
      <c r="U277" s="0" t="n">
        <f aca="false">Q277+S277</f>
        <v>40.1891179941054</v>
      </c>
      <c r="V277" s="54" t="b">
        <f aca="false">AND(D277&gt;=01_因子設定!$L$5-0.000000001,D277&lt;=01_因子設定!$M$5+0.000000001,E277&gt;=01_因子設定!$L$6-0.000000001,E277&lt;=01_因子設定!$M$6+0.000000001,F277&gt;=01_因子設定!$L$7-0.000000001,F277&lt;=01_因子設定!$M$7+0.000000001,IF(01_因子設定!$B$20="Box-Behnken",D277^2+E277^2+F277^2&lt;=2+0.000000001,TRUE()))</f>
        <v>1</v>
      </c>
      <c r="W277" s="55" t="n">
        <f aca="false">IF(V277,IF(01_因子設定!$B$13="最大化",T277-01_因子設定!$B$14,IF(01_因子設定!$B$13="最小化",01_因子設定!$B$15-U277,MIN(T277-01_因子設定!$B$14,01_因子設定!$B$15-U277))),-1E+030)</f>
        <v>-10.8009361759235</v>
      </c>
      <c r="X277" s="55" t="n">
        <f aca="false">IF(V277,IF(01_因子設定!$B$13="最大化",Q277,IF(01_因子設定!$B$13="最小化",-Q277,-ABS(Q277-01_因子設定!$B$16))),-1E+030)</f>
        <v>38.9440909090909</v>
      </c>
      <c r="Y277" s="55" t="n">
        <f aca="false">W277+ROW()*0.000000001</f>
        <v>-10.8009358989235</v>
      </c>
      <c r="Z277" s="55" t="n">
        <f aca="false">X277+ROW()*0.000000001</f>
        <v>38.9440911860909</v>
      </c>
    </row>
    <row r="278" customFormat="false" ht="15" hidden="false" customHeight="false" outlineLevel="0" collapsed="false">
      <c r="A278" s="0" t="n">
        <v>0</v>
      </c>
      <c r="B278" s="0" t="n">
        <v>16</v>
      </c>
      <c r="C278" s="0" t="n">
        <v>1</v>
      </c>
      <c r="D278" s="0" t="n">
        <f aca="false">-1+A278*0.125</f>
        <v>-1</v>
      </c>
      <c r="E278" s="0" t="n">
        <f aca="false">-1+B278*0.125</f>
        <v>1</v>
      </c>
      <c r="F278" s="0" t="n">
        <f aca="false">-1+C278*0.125</f>
        <v>-0.875</v>
      </c>
      <c r="G278" s="0" t="n">
        <f aca="false">1</f>
        <v>1</v>
      </c>
      <c r="H278" s="0" t="n">
        <f aca="false">D278</f>
        <v>-1</v>
      </c>
      <c r="I278" s="0" t="n">
        <f aca="false">E278</f>
        <v>1</v>
      </c>
      <c r="J278" s="0" t="n">
        <f aca="false">F278</f>
        <v>-0.875</v>
      </c>
      <c r="K278" s="0" t="n">
        <f aca="false">D278*E278</f>
        <v>-1</v>
      </c>
      <c r="L278" s="0" t="n">
        <f aca="false">D278*F278</f>
        <v>0.875</v>
      </c>
      <c r="M278" s="0" t="n">
        <f aca="false">E278*F278</f>
        <v>-0.875</v>
      </c>
      <c r="N278" s="0" t="n">
        <f aca="false">D278*D278</f>
        <v>1</v>
      </c>
      <c r="O278" s="0" t="n">
        <f aca="false">E278*E278</f>
        <v>1</v>
      </c>
      <c r="P278" s="0" t="n">
        <f aca="false">F278*F278</f>
        <v>0.765625</v>
      </c>
      <c r="Q278" s="0" t="n">
        <f aca="false">SUMPRODUCT(G278:P278,_XtX!$B$71:$K$71)</f>
        <v>39.4675142045455</v>
      </c>
      <c r="R278" s="0" t="n">
        <f aca="false">SUMPRODUCT(MMULT(G278:P278,_XtX!$B$58:$K$67),G278:P278)</f>
        <v>0.709818892045455</v>
      </c>
      <c r="S278" s="0" t="n">
        <f aca="false">04_回帰ANOVA!$K$19*04_回帰ANOVA!$K$14*SQRT(1+R278)</f>
        <v>1.21574275944458</v>
      </c>
      <c r="T278" s="0" t="n">
        <f aca="false">Q278-S278</f>
        <v>38.2517714451009</v>
      </c>
      <c r="U278" s="0" t="n">
        <f aca="false">Q278+S278</f>
        <v>40.68325696399</v>
      </c>
      <c r="V278" s="54" t="b">
        <f aca="false">AND(D278&gt;=01_因子設定!$L$5-0.000000001,D278&lt;=01_因子設定!$M$5+0.000000001,E278&gt;=01_因子設定!$L$6-0.000000001,E278&lt;=01_因子設定!$M$6+0.000000001,F278&gt;=01_因子設定!$L$7-0.000000001,F278&lt;=01_因子設定!$M$7+0.000000001,IF(01_因子設定!$B$20="Box-Behnken",D278^2+E278^2+F278^2&lt;=2+0.000000001,TRUE()))</f>
        <v>1</v>
      </c>
      <c r="W278" s="55" t="n">
        <f aca="false">IF(V278,IF(01_因子設定!$B$13="最大化",T278-01_因子設定!$B$14,IF(01_因子設定!$B$13="最小化",01_因子設定!$B$15-U278,MIN(T278-01_因子設定!$B$14,01_因子設定!$B$15-U278))),-1E+030)</f>
        <v>-10.2482285548991</v>
      </c>
      <c r="X278" s="55" t="n">
        <f aca="false">IF(V278,IF(01_因子設定!$B$13="最大化",Q278,IF(01_因子設定!$B$13="最小化",-Q278,-ABS(Q278-01_因子設定!$B$16))),-1E+030)</f>
        <v>39.4675142045455</v>
      </c>
      <c r="Y278" s="55" t="n">
        <f aca="false">W278+ROW()*0.000000001</f>
        <v>-10.2482282768991</v>
      </c>
      <c r="Z278" s="55" t="n">
        <f aca="false">X278+ROW()*0.000000001</f>
        <v>39.4675144825455</v>
      </c>
    </row>
    <row r="279" customFormat="false" ht="15" hidden="false" customHeight="false" outlineLevel="0" collapsed="false">
      <c r="A279" s="0" t="n">
        <v>0</v>
      </c>
      <c r="B279" s="0" t="n">
        <v>16</v>
      </c>
      <c r="C279" s="0" t="n">
        <v>2</v>
      </c>
      <c r="D279" s="0" t="n">
        <f aca="false">-1+A279*0.125</f>
        <v>-1</v>
      </c>
      <c r="E279" s="0" t="n">
        <f aca="false">-1+B279*0.125</f>
        <v>1</v>
      </c>
      <c r="F279" s="0" t="n">
        <f aca="false">-1+C279*0.125</f>
        <v>-0.75</v>
      </c>
      <c r="G279" s="0" t="n">
        <f aca="false">1</f>
        <v>1</v>
      </c>
      <c r="H279" s="0" t="n">
        <f aca="false">D279</f>
        <v>-1</v>
      </c>
      <c r="I279" s="0" t="n">
        <f aca="false">E279</f>
        <v>1</v>
      </c>
      <c r="J279" s="0" t="n">
        <f aca="false">F279</f>
        <v>-0.75</v>
      </c>
      <c r="K279" s="0" t="n">
        <f aca="false">D279*E279</f>
        <v>-1</v>
      </c>
      <c r="L279" s="0" t="n">
        <f aca="false">D279*F279</f>
        <v>0.75</v>
      </c>
      <c r="M279" s="0" t="n">
        <f aca="false">E279*F279</f>
        <v>-0.75</v>
      </c>
      <c r="N279" s="0" t="n">
        <f aca="false">D279*D279</f>
        <v>1</v>
      </c>
      <c r="O279" s="0" t="n">
        <f aca="false">E279*E279</f>
        <v>1</v>
      </c>
      <c r="P279" s="0" t="n">
        <f aca="false">F279*F279</f>
        <v>0.5625</v>
      </c>
      <c r="Q279" s="0" t="n">
        <f aca="false">SUMPRODUCT(G279:P279,_XtX!$B$71:$K$71)</f>
        <v>39.9541477272727</v>
      </c>
      <c r="R279" s="0" t="n">
        <f aca="false">SUMPRODUCT(MMULT(G279:P279,_XtX!$B$58:$K$67),G279:P279)</f>
        <v>0.669886363636364</v>
      </c>
      <c r="S279" s="0" t="n">
        <f aca="false">04_回帰ANOVA!$K$19*04_回帰ANOVA!$K$14*SQRT(1+R279)</f>
        <v>1.20146215423986</v>
      </c>
      <c r="T279" s="0" t="n">
        <f aca="false">Q279-S279</f>
        <v>38.7526855730329</v>
      </c>
      <c r="U279" s="0" t="n">
        <f aca="false">Q279+S279</f>
        <v>41.1556098815126</v>
      </c>
      <c r="V279" s="54" t="b">
        <f aca="false">AND(D279&gt;=01_因子設定!$L$5-0.000000001,D279&lt;=01_因子設定!$M$5+0.000000001,E279&gt;=01_因子設定!$L$6-0.000000001,E279&lt;=01_因子設定!$M$6+0.000000001,F279&gt;=01_因子設定!$L$7-0.000000001,F279&lt;=01_因子設定!$M$7+0.000000001,IF(01_因子設定!$B$20="Box-Behnken",D279^2+E279^2+F279^2&lt;=2+0.000000001,TRUE()))</f>
        <v>1</v>
      </c>
      <c r="W279" s="55" t="n">
        <f aca="false">IF(V279,IF(01_因子設定!$B$13="最大化",T279-01_因子設定!$B$14,IF(01_因子設定!$B$13="最小化",01_因子設定!$B$15-U279,MIN(T279-01_因子設定!$B$14,01_因子設定!$B$15-U279))),-1E+030)</f>
        <v>-9.74731442696713</v>
      </c>
      <c r="X279" s="55" t="n">
        <f aca="false">IF(V279,IF(01_因子設定!$B$13="最大化",Q279,IF(01_因子設定!$B$13="最小化",-Q279,-ABS(Q279-01_因子設定!$B$16))),-1E+030)</f>
        <v>39.9541477272727</v>
      </c>
      <c r="Y279" s="55" t="n">
        <f aca="false">W279+ROW()*0.000000001</f>
        <v>-9.74731414796713</v>
      </c>
      <c r="Z279" s="55" t="n">
        <f aca="false">X279+ROW()*0.000000001</f>
        <v>39.9541480062727</v>
      </c>
    </row>
    <row r="280" customFormat="false" ht="15" hidden="false" customHeight="false" outlineLevel="0" collapsed="false">
      <c r="A280" s="0" t="n">
        <v>0</v>
      </c>
      <c r="B280" s="0" t="n">
        <v>16</v>
      </c>
      <c r="C280" s="0" t="n">
        <v>3</v>
      </c>
      <c r="D280" s="0" t="n">
        <f aca="false">-1+A280*0.125</f>
        <v>-1</v>
      </c>
      <c r="E280" s="0" t="n">
        <f aca="false">-1+B280*0.125</f>
        <v>1</v>
      </c>
      <c r="F280" s="0" t="n">
        <f aca="false">-1+C280*0.125</f>
        <v>-0.625</v>
      </c>
      <c r="G280" s="0" t="n">
        <f aca="false">1</f>
        <v>1</v>
      </c>
      <c r="H280" s="0" t="n">
        <f aca="false">D280</f>
        <v>-1</v>
      </c>
      <c r="I280" s="0" t="n">
        <f aca="false">E280</f>
        <v>1</v>
      </c>
      <c r="J280" s="0" t="n">
        <f aca="false">F280</f>
        <v>-0.625</v>
      </c>
      <c r="K280" s="0" t="n">
        <f aca="false">D280*E280</f>
        <v>-1</v>
      </c>
      <c r="L280" s="0" t="n">
        <f aca="false">D280*F280</f>
        <v>0.625</v>
      </c>
      <c r="M280" s="0" t="n">
        <f aca="false">E280*F280</f>
        <v>-0.625</v>
      </c>
      <c r="N280" s="0" t="n">
        <f aca="false">D280*D280</f>
        <v>1</v>
      </c>
      <c r="O280" s="0" t="n">
        <f aca="false">E280*E280</f>
        <v>1</v>
      </c>
      <c r="P280" s="0" t="n">
        <f aca="false">F280*F280</f>
        <v>0.390625</v>
      </c>
      <c r="Q280" s="0" t="n">
        <f aca="false">SUMPRODUCT(G280:P280,_XtX!$B$71:$K$71)</f>
        <v>40.4039914772727</v>
      </c>
      <c r="R280" s="0" t="n">
        <f aca="false">SUMPRODUCT(MMULT(G280:P280,_XtX!$B$58:$K$67),G280:P280)</f>
        <v>0.659534801136364</v>
      </c>
      <c r="S280" s="0" t="n">
        <f aca="false">04_回帰ANOVA!$K$19*04_回帰ANOVA!$K$14*SQRT(1+R280)</f>
        <v>1.19773245593097</v>
      </c>
      <c r="T280" s="0" t="n">
        <f aca="false">Q280-S280</f>
        <v>39.2062590213418</v>
      </c>
      <c r="U280" s="0" t="n">
        <f aca="false">Q280+S280</f>
        <v>41.6017239332037</v>
      </c>
      <c r="V280" s="54" t="b">
        <f aca="false">AND(D280&gt;=01_因子設定!$L$5-0.000000001,D280&lt;=01_因子設定!$M$5+0.000000001,E280&gt;=01_因子設定!$L$6-0.000000001,E280&lt;=01_因子設定!$M$6+0.000000001,F280&gt;=01_因子設定!$L$7-0.000000001,F280&lt;=01_因子設定!$M$7+0.000000001,IF(01_因子設定!$B$20="Box-Behnken",D280^2+E280^2+F280^2&lt;=2+0.000000001,TRUE()))</f>
        <v>1</v>
      </c>
      <c r="W280" s="55" t="n">
        <f aca="false">IF(V280,IF(01_因子設定!$B$13="最大化",T280-01_因子設定!$B$14,IF(01_因子設定!$B$13="最小化",01_因子設定!$B$15-U280,MIN(T280-01_因子設定!$B$14,01_因子設定!$B$15-U280))),-1E+030)</f>
        <v>-9.29374097865824</v>
      </c>
      <c r="X280" s="55" t="n">
        <f aca="false">IF(V280,IF(01_因子設定!$B$13="最大化",Q280,IF(01_因子設定!$B$13="最小化",-Q280,-ABS(Q280-01_因子設定!$B$16))),-1E+030)</f>
        <v>40.4039914772727</v>
      </c>
      <c r="Y280" s="55" t="n">
        <f aca="false">W280+ROW()*0.000000001</f>
        <v>-9.29374069865824</v>
      </c>
      <c r="Z280" s="55" t="n">
        <f aca="false">X280+ROW()*0.000000001</f>
        <v>40.4039917572727</v>
      </c>
    </row>
    <row r="281" customFormat="false" ht="15" hidden="false" customHeight="false" outlineLevel="0" collapsed="false">
      <c r="A281" s="0" t="n">
        <v>0</v>
      </c>
      <c r="B281" s="0" t="n">
        <v>16</v>
      </c>
      <c r="C281" s="0" t="n">
        <v>4</v>
      </c>
      <c r="D281" s="0" t="n">
        <f aca="false">-1+A281*0.125</f>
        <v>-1</v>
      </c>
      <c r="E281" s="0" t="n">
        <f aca="false">-1+B281*0.125</f>
        <v>1</v>
      </c>
      <c r="F281" s="0" t="n">
        <f aca="false">-1+C281*0.125</f>
        <v>-0.5</v>
      </c>
      <c r="G281" s="0" t="n">
        <f aca="false">1</f>
        <v>1</v>
      </c>
      <c r="H281" s="0" t="n">
        <f aca="false">D281</f>
        <v>-1</v>
      </c>
      <c r="I281" s="0" t="n">
        <f aca="false">E281</f>
        <v>1</v>
      </c>
      <c r="J281" s="0" t="n">
        <f aca="false">F281</f>
        <v>-0.5</v>
      </c>
      <c r="K281" s="0" t="n">
        <f aca="false">D281*E281</f>
        <v>-1</v>
      </c>
      <c r="L281" s="0" t="n">
        <f aca="false">D281*F281</f>
        <v>0.5</v>
      </c>
      <c r="M281" s="0" t="n">
        <f aca="false">E281*F281</f>
        <v>-0.5</v>
      </c>
      <c r="N281" s="0" t="n">
        <f aca="false">D281*D281</f>
        <v>1</v>
      </c>
      <c r="O281" s="0" t="n">
        <f aca="false">E281*E281</f>
        <v>1</v>
      </c>
      <c r="P281" s="0" t="n">
        <f aca="false">F281*F281</f>
        <v>0.25</v>
      </c>
      <c r="Q281" s="0" t="n">
        <f aca="false">SUMPRODUCT(G281:P281,_XtX!$B$71:$K$71)</f>
        <v>40.8170454545455</v>
      </c>
      <c r="R281" s="0" t="n">
        <f aca="false">SUMPRODUCT(MMULT(G281:P281,_XtX!$B$58:$K$67),G281:P281)</f>
        <v>0.667045454545455</v>
      </c>
      <c r="S281" s="0" t="n">
        <f aca="false">04_回帰ANOVA!$K$19*04_回帰ANOVA!$K$14*SQRT(1+R281)</f>
        <v>1.200439720088</v>
      </c>
      <c r="T281" s="0" t="n">
        <f aca="false">Q281-S281</f>
        <v>39.6166057344575</v>
      </c>
      <c r="U281" s="0" t="n">
        <f aca="false">Q281+S281</f>
        <v>42.0174851746335</v>
      </c>
      <c r="V281" s="54" t="b">
        <f aca="false">AND(D281&gt;=01_因子設定!$L$5-0.000000001,D281&lt;=01_因子設定!$M$5+0.000000001,E281&gt;=01_因子設定!$L$6-0.000000001,E281&lt;=01_因子設定!$M$6+0.000000001,F281&gt;=01_因子設定!$L$7-0.000000001,F281&lt;=01_因子設定!$M$7+0.000000001,IF(01_因子設定!$B$20="Box-Behnken",D281^2+E281^2+F281^2&lt;=2+0.000000001,TRUE()))</f>
        <v>1</v>
      </c>
      <c r="W281" s="55" t="n">
        <f aca="false">IF(V281,IF(01_因子設定!$B$13="最大化",T281-01_因子設定!$B$14,IF(01_因子設定!$B$13="最小化",01_因子設定!$B$15-U281,MIN(T281-01_因子設定!$B$14,01_因子設定!$B$15-U281))),-1E+030)</f>
        <v>-8.88339426554255</v>
      </c>
      <c r="X281" s="55" t="n">
        <f aca="false">IF(V281,IF(01_因子設定!$B$13="最大化",Q281,IF(01_因子設定!$B$13="最小化",-Q281,-ABS(Q281-01_因子設定!$B$16))),-1E+030)</f>
        <v>40.8170454545455</v>
      </c>
      <c r="Y281" s="55" t="n">
        <f aca="false">W281+ROW()*0.000000001</f>
        <v>-8.88339398454255</v>
      </c>
      <c r="Z281" s="55" t="n">
        <f aca="false">X281+ROW()*0.000000001</f>
        <v>40.8170457355455</v>
      </c>
    </row>
    <row r="282" customFormat="false" ht="15" hidden="false" customHeight="false" outlineLevel="0" collapsed="false">
      <c r="A282" s="0" t="n">
        <v>0</v>
      </c>
      <c r="B282" s="0" t="n">
        <v>16</v>
      </c>
      <c r="C282" s="0" t="n">
        <v>5</v>
      </c>
      <c r="D282" s="0" t="n">
        <f aca="false">-1+A282*0.125</f>
        <v>-1</v>
      </c>
      <c r="E282" s="0" t="n">
        <f aca="false">-1+B282*0.125</f>
        <v>1</v>
      </c>
      <c r="F282" s="0" t="n">
        <f aca="false">-1+C282*0.125</f>
        <v>-0.375</v>
      </c>
      <c r="G282" s="0" t="n">
        <f aca="false">1</f>
        <v>1</v>
      </c>
      <c r="H282" s="0" t="n">
        <f aca="false">D282</f>
        <v>-1</v>
      </c>
      <c r="I282" s="0" t="n">
        <f aca="false">E282</f>
        <v>1</v>
      </c>
      <c r="J282" s="0" t="n">
        <f aca="false">F282</f>
        <v>-0.375</v>
      </c>
      <c r="K282" s="0" t="n">
        <f aca="false">D282*E282</f>
        <v>-1</v>
      </c>
      <c r="L282" s="0" t="n">
        <f aca="false">D282*F282</f>
        <v>0.375</v>
      </c>
      <c r="M282" s="0" t="n">
        <f aca="false">E282*F282</f>
        <v>-0.375</v>
      </c>
      <c r="N282" s="0" t="n">
        <f aca="false">D282*D282</f>
        <v>1</v>
      </c>
      <c r="O282" s="0" t="n">
        <f aca="false">E282*E282</f>
        <v>1</v>
      </c>
      <c r="P282" s="0" t="n">
        <f aca="false">F282*F282</f>
        <v>0.140625</v>
      </c>
      <c r="Q282" s="0" t="n">
        <f aca="false">SUMPRODUCT(G282:P282,_XtX!$B$71:$K$71)</f>
        <v>41.1933096590909</v>
      </c>
      <c r="R282" s="0" t="n">
        <f aca="false">SUMPRODUCT(MMULT(G282:P282,_XtX!$B$58:$K$67),G282:P282)</f>
        <v>0.682830255681818</v>
      </c>
      <c r="S282" s="0" t="n">
        <f aca="false">04_回帰ANOVA!$K$19*04_回帰ANOVA!$K$14*SQRT(1+R282)</f>
        <v>1.20610964896955</v>
      </c>
      <c r="T282" s="0" t="n">
        <f aca="false">Q282-S282</f>
        <v>39.9872000101214</v>
      </c>
      <c r="U282" s="0" t="n">
        <f aca="false">Q282+S282</f>
        <v>42.3994193080604</v>
      </c>
      <c r="V282" s="54" t="b">
        <f aca="false">AND(D282&gt;=01_因子設定!$L$5-0.000000001,D282&lt;=01_因子設定!$M$5+0.000000001,E282&gt;=01_因子設定!$L$6-0.000000001,E282&lt;=01_因子設定!$M$6+0.000000001,F282&gt;=01_因子設定!$L$7-0.000000001,F282&lt;=01_因子設定!$M$7+0.000000001,IF(01_因子設定!$B$20="Box-Behnken",D282^2+E282^2+F282^2&lt;=2+0.000000001,TRUE()))</f>
        <v>1</v>
      </c>
      <c r="W282" s="55" t="n">
        <f aca="false">IF(V282,IF(01_因子設定!$B$13="最大化",T282-01_因子設定!$B$14,IF(01_因子設定!$B$13="最小化",01_因子設定!$B$15-U282,MIN(T282-01_因子設定!$B$14,01_因子設定!$B$15-U282))),-1E+030)</f>
        <v>-8.51279998987864</v>
      </c>
      <c r="X282" s="55" t="n">
        <f aca="false">IF(V282,IF(01_因子設定!$B$13="最大化",Q282,IF(01_因子設定!$B$13="最小化",-Q282,-ABS(Q282-01_因子設定!$B$16))),-1E+030)</f>
        <v>41.1933096590909</v>
      </c>
      <c r="Y282" s="55" t="n">
        <f aca="false">W282+ROW()*0.000000001</f>
        <v>-8.51279970787864</v>
      </c>
      <c r="Z282" s="55" t="n">
        <f aca="false">X282+ROW()*0.000000001</f>
        <v>41.1933099410909</v>
      </c>
    </row>
    <row r="283" customFormat="false" ht="15" hidden="false" customHeight="false" outlineLevel="0" collapsed="false">
      <c r="A283" s="0" t="n">
        <v>0</v>
      </c>
      <c r="B283" s="0" t="n">
        <v>16</v>
      </c>
      <c r="C283" s="0" t="n">
        <v>6</v>
      </c>
      <c r="D283" s="0" t="n">
        <f aca="false">-1+A283*0.125</f>
        <v>-1</v>
      </c>
      <c r="E283" s="0" t="n">
        <f aca="false">-1+B283*0.125</f>
        <v>1</v>
      </c>
      <c r="F283" s="0" t="n">
        <f aca="false">-1+C283*0.125</f>
        <v>-0.25</v>
      </c>
      <c r="G283" s="0" t="n">
        <f aca="false">1</f>
        <v>1</v>
      </c>
      <c r="H283" s="0" t="n">
        <f aca="false">D283</f>
        <v>-1</v>
      </c>
      <c r="I283" s="0" t="n">
        <f aca="false">E283</f>
        <v>1</v>
      </c>
      <c r="J283" s="0" t="n">
        <f aca="false">F283</f>
        <v>-0.25</v>
      </c>
      <c r="K283" s="0" t="n">
        <f aca="false">D283*E283</f>
        <v>-1</v>
      </c>
      <c r="L283" s="0" t="n">
        <f aca="false">D283*F283</f>
        <v>0.25</v>
      </c>
      <c r="M283" s="0" t="n">
        <f aca="false">E283*F283</f>
        <v>-0.25</v>
      </c>
      <c r="N283" s="0" t="n">
        <f aca="false">D283*D283</f>
        <v>1</v>
      </c>
      <c r="O283" s="0" t="n">
        <f aca="false">E283*E283</f>
        <v>1</v>
      </c>
      <c r="P283" s="0" t="n">
        <f aca="false">F283*F283</f>
        <v>0.0625</v>
      </c>
      <c r="Q283" s="0" t="n">
        <f aca="false">SUMPRODUCT(G283:P283,_XtX!$B$71:$K$71)</f>
        <v>41.5327840909091</v>
      </c>
      <c r="R283" s="0" t="n">
        <f aca="false">SUMPRODUCT(MMULT(G283:P283,_XtX!$B$58:$K$67),G283:P283)</f>
        <v>0.699431818181818</v>
      </c>
      <c r="S283" s="0" t="n">
        <f aca="false">04_回帰ANOVA!$K$19*04_回帰ANOVA!$K$14*SQRT(1+R283)</f>
        <v>1.21204434231192</v>
      </c>
      <c r="T283" s="0" t="n">
        <f aca="false">Q283-S283</f>
        <v>40.3207397485972</v>
      </c>
      <c r="U283" s="0" t="n">
        <f aca="false">Q283+S283</f>
        <v>42.744828433221</v>
      </c>
      <c r="V283" s="54" t="b">
        <f aca="false">AND(D283&gt;=01_因子設定!$L$5-0.000000001,D283&lt;=01_因子設定!$M$5+0.000000001,E283&gt;=01_因子設定!$L$6-0.000000001,E283&lt;=01_因子設定!$M$6+0.000000001,F283&gt;=01_因子設定!$L$7-0.000000001,F283&lt;=01_因子設定!$M$7+0.000000001,IF(01_因子設定!$B$20="Box-Behnken",D283^2+E283^2+F283^2&lt;=2+0.000000001,TRUE()))</f>
        <v>1</v>
      </c>
      <c r="W283" s="55" t="n">
        <f aca="false">IF(V283,IF(01_因子設定!$B$13="最大化",T283-01_因子設定!$B$14,IF(01_因子設定!$B$13="最小化",01_因子設定!$B$15-U283,MIN(T283-01_因子設定!$B$14,01_因子設定!$B$15-U283))),-1E+030)</f>
        <v>-8.17926025140284</v>
      </c>
      <c r="X283" s="55" t="n">
        <f aca="false">IF(V283,IF(01_因子設定!$B$13="最大化",Q283,IF(01_因子設定!$B$13="最小化",-Q283,-ABS(Q283-01_因子設定!$B$16))),-1E+030)</f>
        <v>41.5327840909091</v>
      </c>
      <c r="Y283" s="55" t="n">
        <f aca="false">W283+ROW()*0.000000001</f>
        <v>-8.17925996840284</v>
      </c>
      <c r="Z283" s="55" t="n">
        <f aca="false">X283+ROW()*0.000000001</f>
        <v>41.5327843739091</v>
      </c>
    </row>
    <row r="284" customFormat="false" ht="15" hidden="false" customHeight="false" outlineLevel="0" collapsed="false">
      <c r="A284" s="0" t="n">
        <v>0</v>
      </c>
      <c r="B284" s="0" t="n">
        <v>16</v>
      </c>
      <c r="C284" s="0" t="n">
        <v>7</v>
      </c>
      <c r="D284" s="0" t="n">
        <f aca="false">-1+A284*0.125</f>
        <v>-1</v>
      </c>
      <c r="E284" s="0" t="n">
        <f aca="false">-1+B284*0.125</f>
        <v>1</v>
      </c>
      <c r="F284" s="0" t="n">
        <f aca="false">-1+C284*0.125</f>
        <v>-0.125</v>
      </c>
      <c r="G284" s="0" t="n">
        <f aca="false">1</f>
        <v>1</v>
      </c>
      <c r="H284" s="0" t="n">
        <f aca="false">D284</f>
        <v>-1</v>
      </c>
      <c r="I284" s="0" t="n">
        <f aca="false">E284</f>
        <v>1</v>
      </c>
      <c r="J284" s="0" t="n">
        <f aca="false">F284</f>
        <v>-0.125</v>
      </c>
      <c r="K284" s="0" t="n">
        <f aca="false">D284*E284</f>
        <v>-1</v>
      </c>
      <c r="L284" s="0" t="n">
        <f aca="false">D284*F284</f>
        <v>0.125</v>
      </c>
      <c r="M284" s="0" t="n">
        <f aca="false">E284*F284</f>
        <v>-0.125</v>
      </c>
      <c r="N284" s="0" t="n">
        <f aca="false">D284*D284</f>
        <v>1</v>
      </c>
      <c r="O284" s="0" t="n">
        <f aca="false">E284*E284</f>
        <v>1</v>
      </c>
      <c r="P284" s="0" t="n">
        <f aca="false">F284*F284</f>
        <v>0.015625</v>
      </c>
      <c r="Q284" s="0" t="n">
        <f aca="false">SUMPRODUCT(G284:P284,_XtX!$B$71:$K$71)</f>
        <v>41.83546875</v>
      </c>
      <c r="R284" s="0" t="n">
        <f aca="false">SUMPRODUCT(MMULT(G284:P284,_XtX!$B$58:$K$67),G284:P284)</f>
        <v>0.7115234375</v>
      </c>
      <c r="S284" s="0" t="n">
        <f aca="false">04_回帰ANOVA!$K$19*04_回帰ANOVA!$K$14*SQRT(1+R284)</f>
        <v>1.21634860506574</v>
      </c>
      <c r="T284" s="0" t="n">
        <f aca="false">Q284-S284</f>
        <v>40.6191201449343</v>
      </c>
      <c r="U284" s="0" t="n">
        <f aca="false">Q284+S284</f>
        <v>43.0518173550657</v>
      </c>
      <c r="V284" s="54" t="b">
        <f aca="false">AND(D284&gt;=01_因子設定!$L$5-0.000000001,D284&lt;=01_因子設定!$M$5+0.000000001,E284&gt;=01_因子設定!$L$6-0.000000001,E284&lt;=01_因子設定!$M$6+0.000000001,F284&gt;=01_因子設定!$L$7-0.000000001,F284&lt;=01_因子設定!$M$7+0.000000001,IF(01_因子設定!$B$20="Box-Behnken",D284^2+E284^2+F284^2&lt;=2+0.000000001,TRUE()))</f>
        <v>1</v>
      </c>
      <c r="W284" s="55" t="n">
        <f aca="false">IF(V284,IF(01_因子設定!$B$13="最大化",T284-01_因子設定!$B$14,IF(01_因子設定!$B$13="最小化",01_因子設定!$B$15-U284,MIN(T284-01_因子設定!$B$14,01_因子設定!$B$15-U284))),-1E+030)</f>
        <v>-7.88087985506574</v>
      </c>
      <c r="X284" s="55" t="n">
        <f aca="false">IF(V284,IF(01_因子設定!$B$13="最大化",Q284,IF(01_因子設定!$B$13="最小化",-Q284,-ABS(Q284-01_因子設定!$B$16))),-1E+030)</f>
        <v>41.83546875</v>
      </c>
      <c r="Y284" s="55" t="n">
        <f aca="false">W284+ROW()*0.000000001</f>
        <v>-7.88087957106574</v>
      </c>
      <c r="Z284" s="55" t="n">
        <f aca="false">X284+ROW()*0.000000001</f>
        <v>41.835469034</v>
      </c>
    </row>
    <row r="285" customFormat="false" ht="15" hidden="false" customHeight="false" outlineLevel="0" collapsed="false">
      <c r="A285" s="0" t="n">
        <v>0</v>
      </c>
      <c r="B285" s="0" t="n">
        <v>16</v>
      </c>
      <c r="C285" s="0" t="n">
        <v>8</v>
      </c>
      <c r="D285" s="0" t="n">
        <f aca="false">-1+A285*0.125</f>
        <v>-1</v>
      </c>
      <c r="E285" s="0" t="n">
        <f aca="false">-1+B285*0.125</f>
        <v>1</v>
      </c>
      <c r="F285" s="0" t="n">
        <f aca="false">-1+C285*0.125</f>
        <v>0</v>
      </c>
      <c r="G285" s="0" t="n">
        <f aca="false">1</f>
        <v>1</v>
      </c>
      <c r="H285" s="0" t="n">
        <f aca="false">D285</f>
        <v>-1</v>
      </c>
      <c r="I285" s="0" t="n">
        <f aca="false">E285</f>
        <v>1</v>
      </c>
      <c r="J285" s="0" t="n">
        <f aca="false">F285</f>
        <v>0</v>
      </c>
      <c r="K285" s="0" t="n">
        <f aca="false">D285*E285</f>
        <v>-1</v>
      </c>
      <c r="L285" s="0" t="n">
        <f aca="false">D285*F285</f>
        <v>-0</v>
      </c>
      <c r="M285" s="0" t="n">
        <f aca="false">E285*F285</f>
        <v>0</v>
      </c>
      <c r="N285" s="0" t="n">
        <f aca="false">D285*D285</f>
        <v>1</v>
      </c>
      <c r="O285" s="0" t="n">
        <f aca="false">E285*E285</f>
        <v>1</v>
      </c>
      <c r="P285" s="0" t="n">
        <f aca="false">F285*F285</f>
        <v>0</v>
      </c>
      <c r="Q285" s="0" t="n">
        <f aca="false">SUMPRODUCT(G285:P285,_XtX!$B$71:$K$71)</f>
        <v>42.1013636363636</v>
      </c>
      <c r="R285" s="0" t="n">
        <f aca="false">SUMPRODUCT(MMULT(G285:P285,_XtX!$B$58:$K$67),G285:P285)</f>
        <v>0.715909090909091</v>
      </c>
      <c r="S285" s="0" t="n">
        <f aca="false">04_回帰ANOVA!$K$19*04_回帰ANOVA!$K$14*SQRT(1+R285)</f>
        <v>1.21790601011063</v>
      </c>
      <c r="T285" s="0" t="n">
        <f aca="false">Q285-S285</f>
        <v>40.883457626253</v>
      </c>
      <c r="U285" s="0" t="n">
        <f aca="false">Q285+S285</f>
        <v>43.3192696464743</v>
      </c>
      <c r="V285" s="54" t="b">
        <f aca="false">AND(D285&gt;=01_因子設定!$L$5-0.000000001,D285&lt;=01_因子設定!$M$5+0.000000001,E285&gt;=01_因子設定!$L$6-0.000000001,E285&lt;=01_因子設定!$M$6+0.000000001,F285&gt;=01_因子設定!$L$7-0.000000001,F285&lt;=01_因子設定!$M$7+0.000000001,IF(01_因子設定!$B$20="Box-Behnken",D285^2+E285^2+F285^2&lt;=2+0.000000001,TRUE()))</f>
        <v>1</v>
      </c>
      <c r="W285" s="55" t="n">
        <f aca="false">IF(V285,IF(01_因子設定!$B$13="最大化",T285-01_因子設定!$B$14,IF(01_因子設定!$B$13="最小化",01_因子設定!$B$15-U285,MIN(T285-01_因子設定!$B$14,01_因子設定!$B$15-U285))),-1E+030)</f>
        <v>-7.616542373747</v>
      </c>
      <c r="X285" s="55" t="n">
        <f aca="false">IF(V285,IF(01_因子設定!$B$13="最大化",Q285,IF(01_因子設定!$B$13="最小化",-Q285,-ABS(Q285-01_因子設定!$B$16))),-1E+030)</f>
        <v>42.1013636363636</v>
      </c>
      <c r="Y285" s="55" t="n">
        <f aca="false">W285+ROW()*0.000000001</f>
        <v>-7.616542088747</v>
      </c>
      <c r="Z285" s="55" t="n">
        <f aca="false">X285+ROW()*0.000000001</f>
        <v>42.1013639213636</v>
      </c>
    </row>
    <row r="286" customFormat="false" ht="15" hidden="false" customHeight="false" outlineLevel="0" collapsed="false">
      <c r="A286" s="0" t="n">
        <v>0</v>
      </c>
      <c r="B286" s="0" t="n">
        <v>16</v>
      </c>
      <c r="C286" s="0" t="n">
        <v>9</v>
      </c>
      <c r="D286" s="0" t="n">
        <f aca="false">-1+A286*0.125</f>
        <v>-1</v>
      </c>
      <c r="E286" s="0" t="n">
        <f aca="false">-1+B286*0.125</f>
        <v>1</v>
      </c>
      <c r="F286" s="0" t="n">
        <f aca="false">-1+C286*0.125</f>
        <v>0.125</v>
      </c>
      <c r="G286" s="0" t="n">
        <f aca="false">1</f>
        <v>1</v>
      </c>
      <c r="H286" s="0" t="n">
        <f aca="false">D286</f>
        <v>-1</v>
      </c>
      <c r="I286" s="0" t="n">
        <f aca="false">E286</f>
        <v>1</v>
      </c>
      <c r="J286" s="0" t="n">
        <f aca="false">F286</f>
        <v>0.125</v>
      </c>
      <c r="K286" s="0" t="n">
        <f aca="false">D286*E286</f>
        <v>-1</v>
      </c>
      <c r="L286" s="0" t="n">
        <f aca="false">D286*F286</f>
        <v>-0.125</v>
      </c>
      <c r="M286" s="0" t="n">
        <f aca="false">E286*F286</f>
        <v>0.125</v>
      </c>
      <c r="N286" s="0" t="n">
        <f aca="false">D286*D286</f>
        <v>1</v>
      </c>
      <c r="O286" s="0" t="n">
        <f aca="false">E286*E286</f>
        <v>1</v>
      </c>
      <c r="P286" s="0" t="n">
        <f aca="false">F286*F286</f>
        <v>0.015625</v>
      </c>
      <c r="Q286" s="0" t="n">
        <f aca="false">SUMPRODUCT(G286:P286,_XtX!$B$71:$K$71)</f>
        <v>42.33046875</v>
      </c>
      <c r="R286" s="0" t="n">
        <f aca="false">SUMPRODUCT(MMULT(G286:P286,_XtX!$B$58:$K$67),G286:P286)</f>
        <v>0.7115234375</v>
      </c>
      <c r="S286" s="0" t="n">
        <f aca="false">04_回帰ANOVA!$K$19*04_回帰ANOVA!$K$14*SQRT(1+R286)</f>
        <v>1.21634860506574</v>
      </c>
      <c r="T286" s="0" t="n">
        <f aca="false">Q286-S286</f>
        <v>41.1141201449343</v>
      </c>
      <c r="U286" s="0" t="n">
        <f aca="false">Q286+S286</f>
        <v>43.5468173550657</v>
      </c>
      <c r="V286" s="54" t="b">
        <f aca="false">AND(D286&gt;=01_因子設定!$L$5-0.000000001,D286&lt;=01_因子設定!$M$5+0.000000001,E286&gt;=01_因子設定!$L$6-0.000000001,E286&lt;=01_因子設定!$M$6+0.000000001,F286&gt;=01_因子設定!$L$7-0.000000001,F286&lt;=01_因子設定!$M$7+0.000000001,IF(01_因子設定!$B$20="Box-Behnken",D286^2+E286^2+F286^2&lt;=2+0.000000001,TRUE()))</f>
        <v>1</v>
      </c>
      <c r="W286" s="55" t="n">
        <f aca="false">IF(V286,IF(01_因子設定!$B$13="最大化",T286-01_因子設定!$B$14,IF(01_因子設定!$B$13="最小化",01_因子設定!$B$15-U286,MIN(T286-01_因子設定!$B$14,01_因子設定!$B$15-U286))),-1E+030)</f>
        <v>-7.38587985506574</v>
      </c>
      <c r="X286" s="55" t="n">
        <f aca="false">IF(V286,IF(01_因子設定!$B$13="最大化",Q286,IF(01_因子設定!$B$13="最小化",-Q286,-ABS(Q286-01_因子設定!$B$16))),-1E+030)</f>
        <v>42.33046875</v>
      </c>
      <c r="Y286" s="55" t="n">
        <f aca="false">W286+ROW()*0.000000001</f>
        <v>-7.38587956906574</v>
      </c>
      <c r="Z286" s="55" t="n">
        <f aca="false">X286+ROW()*0.000000001</f>
        <v>42.330469036</v>
      </c>
    </row>
    <row r="287" customFormat="false" ht="15" hidden="false" customHeight="false" outlineLevel="0" collapsed="false">
      <c r="A287" s="0" t="n">
        <v>0</v>
      </c>
      <c r="B287" s="0" t="n">
        <v>16</v>
      </c>
      <c r="C287" s="0" t="n">
        <v>10</v>
      </c>
      <c r="D287" s="0" t="n">
        <f aca="false">-1+A287*0.125</f>
        <v>-1</v>
      </c>
      <c r="E287" s="0" t="n">
        <f aca="false">-1+B287*0.125</f>
        <v>1</v>
      </c>
      <c r="F287" s="0" t="n">
        <f aca="false">-1+C287*0.125</f>
        <v>0.25</v>
      </c>
      <c r="G287" s="0" t="n">
        <f aca="false">1</f>
        <v>1</v>
      </c>
      <c r="H287" s="0" t="n">
        <f aca="false">D287</f>
        <v>-1</v>
      </c>
      <c r="I287" s="0" t="n">
        <f aca="false">E287</f>
        <v>1</v>
      </c>
      <c r="J287" s="0" t="n">
        <f aca="false">F287</f>
        <v>0.25</v>
      </c>
      <c r="K287" s="0" t="n">
        <f aca="false">D287*E287</f>
        <v>-1</v>
      </c>
      <c r="L287" s="0" t="n">
        <f aca="false">D287*F287</f>
        <v>-0.25</v>
      </c>
      <c r="M287" s="0" t="n">
        <f aca="false">E287*F287</f>
        <v>0.25</v>
      </c>
      <c r="N287" s="0" t="n">
        <f aca="false">D287*D287</f>
        <v>1</v>
      </c>
      <c r="O287" s="0" t="n">
        <f aca="false">E287*E287</f>
        <v>1</v>
      </c>
      <c r="P287" s="0" t="n">
        <f aca="false">F287*F287</f>
        <v>0.0625</v>
      </c>
      <c r="Q287" s="0" t="n">
        <f aca="false">SUMPRODUCT(G287:P287,_XtX!$B$71:$K$71)</f>
        <v>42.5227840909091</v>
      </c>
      <c r="R287" s="0" t="n">
        <f aca="false">SUMPRODUCT(MMULT(G287:P287,_XtX!$B$58:$K$67),G287:P287)</f>
        <v>0.699431818181818</v>
      </c>
      <c r="S287" s="0" t="n">
        <f aca="false">04_回帰ANOVA!$K$19*04_回帰ANOVA!$K$14*SQRT(1+R287)</f>
        <v>1.21204434231192</v>
      </c>
      <c r="T287" s="0" t="n">
        <f aca="false">Q287-S287</f>
        <v>41.3107397485972</v>
      </c>
      <c r="U287" s="0" t="n">
        <f aca="false">Q287+S287</f>
        <v>43.734828433221</v>
      </c>
      <c r="V287" s="54" t="b">
        <f aca="false">AND(D287&gt;=01_因子設定!$L$5-0.000000001,D287&lt;=01_因子設定!$M$5+0.000000001,E287&gt;=01_因子設定!$L$6-0.000000001,E287&lt;=01_因子設定!$M$6+0.000000001,F287&gt;=01_因子設定!$L$7-0.000000001,F287&lt;=01_因子設定!$M$7+0.000000001,IF(01_因子設定!$B$20="Box-Behnken",D287^2+E287^2+F287^2&lt;=2+0.000000001,TRUE()))</f>
        <v>1</v>
      </c>
      <c r="W287" s="55" t="n">
        <f aca="false">IF(V287,IF(01_因子設定!$B$13="最大化",T287-01_因子設定!$B$14,IF(01_因子設定!$B$13="最小化",01_因子設定!$B$15-U287,MIN(T287-01_因子設定!$B$14,01_因子設定!$B$15-U287))),-1E+030)</f>
        <v>-7.18926025140284</v>
      </c>
      <c r="X287" s="55" t="n">
        <f aca="false">IF(V287,IF(01_因子設定!$B$13="最大化",Q287,IF(01_因子設定!$B$13="最小化",-Q287,-ABS(Q287-01_因子設定!$B$16))),-1E+030)</f>
        <v>42.5227840909091</v>
      </c>
      <c r="Y287" s="55" t="n">
        <f aca="false">W287+ROW()*0.000000001</f>
        <v>-7.18925996440284</v>
      </c>
      <c r="Z287" s="55" t="n">
        <f aca="false">X287+ROW()*0.000000001</f>
        <v>42.5227843779091</v>
      </c>
    </row>
    <row r="288" customFormat="false" ht="15" hidden="false" customHeight="false" outlineLevel="0" collapsed="false">
      <c r="A288" s="0" t="n">
        <v>0</v>
      </c>
      <c r="B288" s="0" t="n">
        <v>16</v>
      </c>
      <c r="C288" s="0" t="n">
        <v>11</v>
      </c>
      <c r="D288" s="0" t="n">
        <f aca="false">-1+A288*0.125</f>
        <v>-1</v>
      </c>
      <c r="E288" s="0" t="n">
        <f aca="false">-1+B288*0.125</f>
        <v>1</v>
      </c>
      <c r="F288" s="0" t="n">
        <f aca="false">-1+C288*0.125</f>
        <v>0.375</v>
      </c>
      <c r="G288" s="0" t="n">
        <f aca="false">1</f>
        <v>1</v>
      </c>
      <c r="H288" s="0" t="n">
        <f aca="false">D288</f>
        <v>-1</v>
      </c>
      <c r="I288" s="0" t="n">
        <f aca="false">E288</f>
        <v>1</v>
      </c>
      <c r="J288" s="0" t="n">
        <f aca="false">F288</f>
        <v>0.375</v>
      </c>
      <c r="K288" s="0" t="n">
        <f aca="false">D288*E288</f>
        <v>-1</v>
      </c>
      <c r="L288" s="0" t="n">
        <f aca="false">D288*F288</f>
        <v>-0.375</v>
      </c>
      <c r="M288" s="0" t="n">
        <f aca="false">E288*F288</f>
        <v>0.375</v>
      </c>
      <c r="N288" s="0" t="n">
        <f aca="false">D288*D288</f>
        <v>1</v>
      </c>
      <c r="O288" s="0" t="n">
        <f aca="false">E288*E288</f>
        <v>1</v>
      </c>
      <c r="P288" s="0" t="n">
        <f aca="false">F288*F288</f>
        <v>0.140625</v>
      </c>
      <c r="Q288" s="0" t="n">
        <f aca="false">SUMPRODUCT(G288:P288,_XtX!$B$71:$K$71)</f>
        <v>42.6783096590909</v>
      </c>
      <c r="R288" s="0" t="n">
        <f aca="false">SUMPRODUCT(MMULT(G288:P288,_XtX!$B$58:$K$67),G288:P288)</f>
        <v>0.682830255681818</v>
      </c>
      <c r="S288" s="0" t="n">
        <f aca="false">04_回帰ANOVA!$K$19*04_回帰ANOVA!$K$14*SQRT(1+R288)</f>
        <v>1.20610964896955</v>
      </c>
      <c r="T288" s="0" t="n">
        <f aca="false">Q288-S288</f>
        <v>41.4722000101214</v>
      </c>
      <c r="U288" s="0" t="n">
        <f aca="false">Q288+S288</f>
        <v>43.8844193080605</v>
      </c>
      <c r="V288" s="54" t="b">
        <f aca="false">AND(D288&gt;=01_因子設定!$L$5-0.000000001,D288&lt;=01_因子設定!$M$5+0.000000001,E288&gt;=01_因子設定!$L$6-0.000000001,E288&lt;=01_因子設定!$M$6+0.000000001,F288&gt;=01_因子設定!$L$7-0.000000001,F288&lt;=01_因子設定!$M$7+0.000000001,IF(01_因子設定!$B$20="Box-Behnken",D288^2+E288^2+F288^2&lt;=2+0.000000001,TRUE()))</f>
        <v>1</v>
      </c>
      <c r="W288" s="55" t="n">
        <f aca="false">IF(V288,IF(01_因子設定!$B$13="最大化",T288-01_因子設定!$B$14,IF(01_因子設定!$B$13="最小化",01_因子設定!$B$15-U288,MIN(T288-01_因子設定!$B$14,01_因子設定!$B$15-U288))),-1E+030)</f>
        <v>-7.02779998987864</v>
      </c>
      <c r="X288" s="55" t="n">
        <f aca="false">IF(V288,IF(01_因子設定!$B$13="最大化",Q288,IF(01_因子設定!$B$13="最小化",-Q288,-ABS(Q288-01_因子設定!$B$16))),-1E+030)</f>
        <v>42.6783096590909</v>
      </c>
      <c r="Y288" s="55" t="n">
        <f aca="false">W288+ROW()*0.000000001</f>
        <v>-7.02779970187864</v>
      </c>
      <c r="Z288" s="55" t="n">
        <f aca="false">X288+ROW()*0.000000001</f>
        <v>42.6783099470909</v>
      </c>
    </row>
    <row r="289" customFormat="false" ht="15" hidden="false" customHeight="false" outlineLevel="0" collapsed="false">
      <c r="A289" s="0" t="n">
        <v>0</v>
      </c>
      <c r="B289" s="0" t="n">
        <v>16</v>
      </c>
      <c r="C289" s="0" t="n">
        <v>12</v>
      </c>
      <c r="D289" s="0" t="n">
        <f aca="false">-1+A289*0.125</f>
        <v>-1</v>
      </c>
      <c r="E289" s="0" t="n">
        <f aca="false">-1+B289*0.125</f>
        <v>1</v>
      </c>
      <c r="F289" s="0" t="n">
        <f aca="false">-1+C289*0.125</f>
        <v>0.5</v>
      </c>
      <c r="G289" s="0" t="n">
        <f aca="false">1</f>
        <v>1</v>
      </c>
      <c r="H289" s="0" t="n">
        <f aca="false">D289</f>
        <v>-1</v>
      </c>
      <c r="I289" s="0" t="n">
        <f aca="false">E289</f>
        <v>1</v>
      </c>
      <c r="J289" s="0" t="n">
        <f aca="false">F289</f>
        <v>0.5</v>
      </c>
      <c r="K289" s="0" t="n">
        <f aca="false">D289*E289</f>
        <v>-1</v>
      </c>
      <c r="L289" s="0" t="n">
        <f aca="false">D289*F289</f>
        <v>-0.5</v>
      </c>
      <c r="M289" s="0" t="n">
        <f aca="false">E289*F289</f>
        <v>0.5</v>
      </c>
      <c r="N289" s="0" t="n">
        <f aca="false">D289*D289</f>
        <v>1</v>
      </c>
      <c r="O289" s="0" t="n">
        <f aca="false">E289*E289</f>
        <v>1</v>
      </c>
      <c r="P289" s="0" t="n">
        <f aca="false">F289*F289</f>
        <v>0.25</v>
      </c>
      <c r="Q289" s="0" t="n">
        <f aca="false">SUMPRODUCT(G289:P289,_XtX!$B$71:$K$71)</f>
        <v>42.7970454545455</v>
      </c>
      <c r="R289" s="0" t="n">
        <f aca="false">SUMPRODUCT(MMULT(G289:P289,_XtX!$B$58:$K$67),G289:P289)</f>
        <v>0.667045454545455</v>
      </c>
      <c r="S289" s="0" t="n">
        <f aca="false">04_回帰ANOVA!$K$19*04_回帰ANOVA!$K$14*SQRT(1+R289)</f>
        <v>1.200439720088</v>
      </c>
      <c r="T289" s="0" t="n">
        <f aca="false">Q289-S289</f>
        <v>41.5966057344575</v>
      </c>
      <c r="U289" s="0" t="n">
        <f aca="false">Q289+S289</f>
        <v>43.9974851746335</v>
      </c>
      <c r="V289" s="54" t="b">
        <f aca="false">AND(D289&gt;=01_因子設定!$L$5-0.000000001,D289&lt;=01_因子設定!$M$5+0.000000001,E289&gt;=01_因子設定!$L$6-0.000000001,E289&lt;=01_因子設定!$M$6+0.000000001,F289&gt;=01_因子設定!$L$7-0.000000001,F289&lt;=01_因子設定!$M$7+0.000000001,IF(01_因子設定!$B$20="Box-Behnken",D289^2+E289^2+F289^2&lt;=2+0.000000001,TRUE()))</f>
        <v>1</v>
      </c>
      <c r="W289" s="55" t="n">
        <f aca="false">IF(V289,IF(01_因子設定!$B$13="最大化",T289-01_因子設定!$B$14,IF(01_因子設定!$B$13="最小化",01_因子設定!$B$15-U289,MIN(T289-01_因子設定!$B$14,01_因子設定!$B$15-U289))),-1E+030)</f>
        <v>-6.90339426554255</v>
      </c>
      <c r="X289" s="55" t="n">
        <f aca="false">IF(V289,IF(01_因子設定!$B$13="最大化",Q289,IF(01_因子設定!$B$13="最小化",-Q289,-ABS(Q289-01_因子設定!$B$16))),-1E+030)</f>
        <v>42.7970454545455</v>
      </c>
      <c r="Y289" s="55" t="n">
        <f aca="false">W289+ROW()*0.000000001</f>
        <v>-6.90339397654255</v>
      </c>
      <c r="Z289" s="55" t="n">
        <f aca="false">X289+ROW()*0.000000001</f>
        <v>42.7970457435455</v>
      </c>
    </row>
    <row r="290" customFormat="false" ht="15" hidden="false" customHeight="false" outlineLevel="0" collapsed="false">
      <c r="A290" s="0" t="n">
        <v>0</v>
      </c>
      <c r="B290" s="0" t="n">
        <v>16</v>
      </c>
      <c r="C290" s="0" t="n">
        <v>13</v>
      </c>
      <c r="D290" s="0" t="n">
        <f aca="false">-1+A290*0.125</f>
        <v>-1</v>
      </c>
      <c r="E290" s="0" t="n">
        <f aca="false">-1+B290*0.125</f>
        <v>1</v>
      </c>
      <c r="F290" s="0" t="n">
        <f aca="false">-1+C290*0.125</f>
        <v>0.625</v>
      </c>
      <c r="G290" s="0" t="n">
        <f aca="false">1</f>
        <v>1</v>
      </c>
      <c r="H290" s="0" t="n">
        <f aca="false">D290</f>
        <v>-1</v>
      </c>
      <c r="I290" s="0" t="n">
        <f aca="false">E290</f>
        <v>1</v>
      </c>
      <c r="J290" s="0" t="n">
        <f aca="false">F290</f>
        <v>0.625</v>
      </c>
      <c r="K290" s="0" t="n">
        <f aca="false">D290*E290</f>
        <v>-1</v>
      </c>
      <c r="L290" s="0" t="n">
        <f aca="false">D290*F290</f>
        <v>-0.625</v>
      </c>
      <c r="M290" s="0" t="n">
        <f aca="false">E290*F290</f>
        <v>0.625</v>
      </c>
      <c r="N290" s="0" t="n">
        <f aca="false">D290*D290</f>
        <v>1</v>
      </c>
      <c r="O290" s="0" t="n">
        <f aca="false">E290*E290</f>
        <v>1</v>
      </c>
      <c r="P290" s="0" t="n">
        <f aca="false">F290*F290</f>
        <v>0.390625</v>
      </c>
      <c r="Q290" s="0" t="n">
        <f aca="false">SUMPRODUCT(G290:P290,_XtX!$B$71:$K$71)</f>
        <v>42.8789914772727</v>
      </c>
      <c r="R290" s="0" t="n">
        <f aca="false">SUMPRODUCT(MMULT(G290:P290,_XtX!$B$58:$K$67),G290:P290)</f>
        <v>0.659534801136364</v>
      </c>
      <c r="S290" s="0" t="n">
        <f aca="false">04_回帰ANOVA!$K$19*04_回帰ANOVA!$K$14*SQRT(1+R290)</f>
        <v>1.19773245593097</v>
      </c>
      <c r="T290" s="0" t="n">
        <f aca="false">Q290-S290</f>
        <v>41.6812590213418</v>
      </c>
      <c r="U290" s="0" t="n">
        <f aca="false">Q290+S290</f>
        <v>44.0767239332037</v>
      </c>
      <c r="V290" s="54" t="b">
        <f aca="false">AND(D290&gt;=01_因子設定!$L$5-0.000000001,D290&lt;=01_因子設定!$M$5+0.000000001,E290&gt;=01_因子設定!$L$6-0.000000001,E290&lt;=01_因子設定!$M$6+0.000000001,F290&gt;=01_因子設定!$L$7-0.000000001,F290&lt;=01_因子設定!$M$7+0.000000001,IF(01_因子設定!$B$20="Box-Behnken",D290^2+E290^2+F290^2&lt;=2+0.000000001,TRUE()))</f>
        <v>1</v>
      </c>
      <c r="W290" s="55" t="n">
        <f aca="false">IF(V290,IF(01_因子設定!$B$13="最大化",T290-01_因子設定!$B$14,IF(01_因子設定!$B$13="最小化",01_因子設定!$B$15-U290,MIN(T290-01_因子設定!$B$14,01_因子設定!$B$15-U290))),-1E+030)</f>
        <v>-6.81874097865824</v>
      </c>
      <c r="X290" s="55" t="n">
        <f aca="false">IF(V290,IF(01_因子設定!$B$13="最大化",Q290,IF(01_因子設定!$B$13="最小化",-Q290,-ABS(Q290-01_因子設定!$B$16))),-1E+030)</f>
        <v>42.8789914772727</v>
      </c>
      <c r="Y290" s="55" t="n">
        <f aca="false">W290+ROW()*0.000000001</f>
        <v>-6.81874068865824</v>
      </c>
      <c r="Z290" s="55" t="n">
        <f aca="false">X290+ROW()*0.000000001</f>
        <v>42.8789917672727</v>
      </c>
    </row>
    <row r="291" customFormat="false" ht="15" hidden="false" customHeight="false" outlineLevel="0" collapsed="false">
      <c r="A291" s="0" t="n">
        <v>0</v>
      </c>
      <c r="B291" s="0" t="n">
        <v>16</v>
      </c>
      <c r="C291" s="0" t="n">
        <v>14</v>
      </c>
      <c r="D291" s="0" t="n">
        <f aca="false">-1+A291*0.125</f>
        <v>-1</v>
      </c>
      <c r="E291" s="0" t="n">
        <f aca="false">-1+B291*0.125</f>
        <v>1</v>
      </c>
      <c r="F291" s="0" t="n">
        <f aca="false">-1+C291*0.125</f>
        <v>0.75</v>
      </c>
      <c r="G291" s="0" t="n">
        <f aca="false">1</f>
        <v>1</v>
      </c>
      <c r="H291" s="0" t="n">
        <f aca="false">D291</f>
        <v>-1</v>
      </c>
      <c r="I291" s="0" t="n">
        <f aca="false">E291</f>
        <v>1</v>
      </c>
      <c r="J291" s="0" t="n">
        <f aca="false">F291</f>
        <v>0.75</v>
      </c>
      <c r="K291" s="0" t="n">
        <f aca="false">D291*E291</f>
        <v>-1</v>
      </c>
      <c r="L291" s="0" t="n">
        <f aca="false">D291*F291</f>
        <v>-0.75</v>
      </c>
      <c r="M291" s="0" t="n">
        <f aca="false">E291*F291</f>
        <v>0.75</v>
      </c>
      <c r="N291" s="0" t="n">
        <f aca="false">D291*D291</f>
        <v>1</v>
      </c>
      <c r="O291" s="0" t="n">
        <f aca="false">E291*E291</f>
        <v>1</v>
      </c>
      <c r="P291" s="0" t="n">
        <f aca="false">F291*F291</f>
        <v>0.5625</v>
      </c>
      <c r="Q291" s="0" t="n">
        <f aca="false">SUMPRODUCT(G291:P291,_XtX!$B$71:$K$71)</f>
        <v>42.9241477272727</v>
      </c>
      <c r="R291" s="0" t="n">
        <f aca="false">SUMPRODUCT(MMULT(G291:P291,_XtX!$B$58:$K$67),G291:P291)</f>
        <v>0.669886363636364</v>
      </c>
      <c r="S291" s="0" t="n">
        <f aca="false">04_回帰ANOVA!$K$19*04_回帰ANOVA!$K$14*SQRT(1+R291)</f>
        <v>1.20146215423986</v>
      </c>
      <c r="T291" s="0" t="n">
        <f aca="false">Q291-S291</f>
        <v>41.7226855730329</v>
      </c>
      <c r="U291" s="0" t="n">
        <f aca="false">Q291+S291</f>
        <v>44.1256098815126</v>
      </c>
      <c r="V291" s="54" t="b">
        <f aca="false">AND(D291&gt;=01_因子設定!$L$5-0.000000001,D291&lt;=01_因子設定!$M$5+0.000000001,E291&gt;=01_因子設定!$L$6-0.000000001,E291&lt;=01_因子設定!$M$6+0.000000001,F291&gt;=01_因子設定!$L$7-0.000000001,F291&lt;=01_因子設定!$M$7+0.000000001,IF(01_因子設定!$B$20="Box-Behnken",D291^2+E291^2+F291^2&lt;=2+0.000000001,TRUE()))</f>
        <v>1</v>
      </c>
      <c r="W291" s="55" t="n">
        <f aca="false">IF(V291,IF(01_因子設定!$B$13="最大化",T291-01_因子設定!$B$14,IF(01_因子設定!$B$13="最小化",01_因子設定!$B$15-U291,MIN(T291-01_因子設定!$B$14,01_因子設定!$B$15-U291))),-1E+030)</f>
        <v>-6.77731442696713</v>
      </c>
      <c r="X291" s="55" t="n">
        <f aca="false">IF(V291,IF(01_因子設定!$B$13="最大化",Q291,IF(01_因子設定!$B$13="最小化",-Q291,-ABS(Q291-01_因子設定!$B$16))),-1E+030)</f>
        <v>42.9241477272727</v>
      </c>
      <c r="Y291" s="55" t="n">
        <f aca="false">W291+ROW()*0.000000001</f>
        <v>-6.77731413596713</v>
      </c>
      <c r="Z291" s="55" t="n">
        <f aca="false">X291+ROW()*0.000000001</f>
        <v>42.9241480182727</v>
      </c>
    </row>
    <row r="292" customFormat="false" ht="15" hidden="false" customHeight="false" outlineLevel="0" collapsed="false">
      <c r="A292" s="0" t="n">
        <v>0</v>
      </c>
      <c r="B292" s="0" t="n">
        <v>16</v>
      </c>
      <c r="C292" s="0" t="n">
        <v>15</v>
      </c>
      <c r="D292" s="0" t="n">
        <f aca="false">-1+A292*0.125</f>
        <v>-1</v>
      </c>
      <c r="E292" s="0" t="n">
        <f aca="false">-1+B292*0.125</f>
        <v>1</v>
      </c>
      <c r="F292" s="0" t="n">
        <f aca="false">-1+C292*0.125</f>
        <v>0.875</v>
      </c>
      <c r="G292" s="0" t="n">
        <f aca="false">1</f>
        <v>1</v>
      </c>
      <c r="H292" s="0" t="n">
        <f aca="false">D292</f>
        <v>-1</v>
      </c>
      <c r="I292" s="0" t="n">
        <f aca="false">E292</f>
        <v>1</v>
      </c>
      <c r="J292" s="0" t="n">
        <f aca="false">F292</f>
        <v>0.875</v>
      </c>
      <c r="K292" s="0" t="n">
        <f aca="false">D292*E292</f>
        <v>-1</v>
      </c>
      <c r="L292" s="0" t="n">
        <f aca="false">D292*F292</f>
        <v>-0.875</v>
      </c>
      <c r="M292" s="0" t="n">
        <f aca="false">E292*F292</f>
        <v>0.875</v>
      </c>
      <c r="N292" s="0" t="n">
        <f aca="false">D292*D292</f>
        <v>1</v>
      </c>
      <c r="O292" s="0" t="n">
        <f aca="false">E292*E292</f>
        <v>1</v>
      </c>
      <c r="P292" s="0" t="n">
        <f aca="false">F292*F292</f>
        <v>0.765625</v>
      </c>
      <c r="Q292" s="0" t="n">
        <f aca="false">SUMPRODUCT(G292:P292,_XtX!$B$71:$K$71)</f>
        <v>42.9325142045455</v>
      </c>
      <c r="R292" s="0" t="n">
        <f aca="false">SUMPRODUCT(MMULT(G292:P292,_XtX!$B$58:$K$67),G292:P292)</f>
        <v>0.709818892045455</v>
      </c>
      <c r="S292" s="0" t="n">
        <f aca="false">04_回帰ANOVA!$K$19*04_回帰ANOVA!$K$14*SQRT(1+R292)</f>
        <v>1.21574275944458</v>
      </c>
      <c r="T292" s="0" t="n">
        <f aca="false">Q292-S292</f>
        <v>41.7167714451009</v>
      </c>
      <c r="U292" s="0" t="n">
        <f aca="false">Q292+S292</f>
        <v>44.14825696399</v>
      </c>
      <c r="V292" s="54" t="b">
        <f aca="false">AND(D292&gt;=01_因子設定!$L$5-0.000000001,D292&lt;=01_因子設定!$M$5+0.000000001,E292&gt;=01_因子設定!$L$6-0.000000001,E292&lt;=01_因子設定!$M$6+0.000000001,F292&gt;=01_因子設定!$L$7-0.000000001,F292&lt;=01_因子設定!$M$7+0.000000001,IF(01_因子設定!$B$20="Box-Behnken",D292^2+E292^2+F292^2&lt;=2+0.000000001,TRUE()))</f>
        <v>1</v>
      </c>
      <c r="W292" s="55" t="n">
        <f aca="false">IF(V292,IF(01_因子設定!$B$13="最大化",T292-01_因子設定!$B$14,IF(01_因子設定!$B$13="最小化",01_因子設定!$B$15-U292,MIN(T292-01_因子設定!$B$14,01_因子設定!$B$15-U292))),-1E+030)</f>
        <v>-6.78322855489912</v>
      </c>
      <c r="X292" s="55" t="n">
        <f aca="false">IF(V292,IF(01_因子設定!$B$13="最大化",Q292,IF(01_因子設定!$B$13="最小化",-Q292,-ABS(Q292-01_因子設定!$B$16))),-1E+030)</f>
        <v>42.9325142045455</v>
      </c>
      <c r="Y292" s="55" t="n">
        <f aca="false">W292+ROW()*0.000000001</f>
        <v>-6.78322826289912</v>
      </c>
      <c r="Z292" s="55" t="n">
        <f aca="false">X292+ROW()*0.000000001</f>
        <v>42.9325144965455</v>
      </c>
    </row>
    <row r="293" customFormat="false" ht="15" hidden="false" customHeight="false" outlineLevel="0" collapsed="false">
      <c r="A293" s="0" t="n">
        <v>0</v>
      </c>
      <c r="B293" s="0" t="n">
        <v>16</v>
      </c>
      <c r="C293" s="0" t="n">
        <v>16</v>
      </c>
      <c r="D293" s="0" t="n">
        <f aca="false">-1+A293*0.125</f>
        <v>-1</v>
      </c>
      <c r="E293" s="0" t="n">
        <f aca="false">-1+B293*0.125</f>
        <v>1</v>
      </c>
      <c r="F293" s="0" t="n">
        <f aca="false">-1+C293*0.125</f>
        <v>1</v>
      </c>
      <c r="G293" s="0" t="n">
        <f aca="false">1</f>
        <v>1</v>
      </c>
      <c r="H293" s="0" t="n">
        <f aca="false">D293</f>
        <v>-1</v>
      </c>
      <c r="I293" s="0" t="n">
        <f aca="false">E293</f>
        <v>1</v>
      </c>
      <c r="J293" s="0" t="n">
        <f aca="false">F293</f>
        <v>1</v>
      </c>
      <c r="K293" s="0" t="n">
        <f aca="false">D293*E293</f>
        <v>-1</v>
      </c>
      <c r="L293" s="0" t="n">
        <f aca="false">D293*F293</f>
        <v>-1</v>
      </c>
      <c r="M293" s="0" t="n">
        <f aca="false">E293*F293</f>
        <v>1</v>
      </c>
      <c r="N293" s="0" t="n">
        <f aca="false">D293*D293</f>
        <v>1</v>
      </c>
      <c r="O293" s="0" t="n">
        <f aca="false">E293*E293</f>
        <v>1</v>
      </c>
      <c r="P293" s="0" t="n">
        <f aca="false">F293*F293</f>
        <v>1</v>
      </c>
      <c r="Q293" s="0" t="n">
        <f aca="false">SUMPRODUCT(G293:P293,_XtX!$B$71:$K$71)</f>
        <v>42.9040909090909</v>
      </c>
      <c r="R293" s="0" t="n">
        <f aca="false">SUMPRODUCT(MMULT(G293:P293,_XtX!$B$58:$K$67),G293:P293)</f>
        <v>0.793181818181818</v>
      </c>
      <c r="S293" s="0" t="n">
        <f aca="false">04_回帰ANOVA!$K$19*04_回帰ANOVA!$K$14*SQRT(1+R293)</f>
        <v>1.24502708501444</v>
      </c>
      <c r="T293" s="0" t="n">
        <f aca="false">Q293-S293</f>
        <v>41.6590638240765</v>
      </c>
      <c r="U293" s="0" t="n">
        <f aca="false">Q293+S293</f>
        <v>44.1491179941054</v>
      </c>
      <c r="V293" s="54" t="b">
        <f aca="false">AND(D293&gt;=01_因子設定!$L$5-0.000000001,D293&lt;=01_因子設定!$M$5+0.000000001,E293&gt;=01_因子設定!$L$6-0.000000001,E293&lt;=01_因子設定!$M$6+0.000000001,F293&gt;=01_因子設定!$L$7-0.000000001,F293&lt;=01_因子設定!$M$7+0.000000001,IF(01_因子設定!$B$20="Box-Behnken",D293^2+E293^2+F293^2&lt;=2+0.000000001,TRUE()))</f>
        <v>1</v>
      </c>
      <c r="W293" s="55" t="n">
        <f aca="false">IF(V293,IF(01_因子設定!$B$13="最大化",T293-01_因子設定!$B$14,IF(01_因子設定!$B$13="最小化",01_因子設定!$B$15-U293,MIN(T293-01_因子設定!$B$14,01_因子設定!$B$15-U293))),-1E+030)</f>
        <v>-6.84093617592352</v>
      </c>
      <c r="X293" s="55" t="n">
        <f aca="false">IF(V293,IF(01_因子設定!$B$13="最大化",Q293,IF(01_因子設定!$B$13="最小化",-Q293,-ABS(Q293-01_因子設定!$B$16))),-1E+030)</f>
        <v>42.9040909090909</v>
      </c>
      <c r="Y293" s="55" t="n">
        <f aca="false">W293+ROW()*0.000000001</f>
        <v>-6.84093588292352</v>
      </c>
      <c r="Z293" s="55" t="n">
        <f aca="false">X293+ROW()*0.000000001</f>
        <v>42.9040912020909</v>
      </c>
    </row>
    <row r="294" customFormat="false" ht="15" hidden="false" customHeight="false" outlineLevel="0" collapsed="false">
      <c r="A294" s="0" t="n">
        <v>1</v>
      </c>
      <c r="B294" s="0" t="n">
        <v>0</v>
      </c>
      <c r="C294" s="0" t="n">
        <v>0</v>
      </c>
      <c r="D294" s="0" t="n">
        <f aca="false">-1+A294*0.125</f>
        <v>-0.875</v>
      </c>
      <c r="E294" s="0" t="n">
        <f aca="false">-1+B294*0.125</f>
        <v>-1</v>
      </c>
      <c r="F294" s="0" t="n">
        <f aca="false">-1+C294*0.125</f>
        <v>-1</v>
      </c>
      <c r="G294" s="0" t="n">
        <f aca="false">1</f>
        <v>1</v>
      </c>
      <c r="H294" s="0" t="n">
        <f aca="false">D294</f>
        <v>-0.875</v>
      </c>
      <c r="I294" s="0" t="n">
        <f aca="false">E294</f>
        <v>-1</v>
      </c>
      <c r="J294" s="0" t="n">
        <f aca="false">F294</f>
        <v>-1</v>
      </c>
      <c r="K294" s="0" t="n">
        <f aca="false">D294*E294</f>
        <v>0.875</v>
      </c>
      <c r="L294" s="0" t="n">
        <f aca="false">D294*F294</f>
        <v>0.875</v>
      </c>
      <c r="M294" s="0" t="n">
        <f aca="false">E294*F294</f>
        <v>1</v>
      </c>
      <c r="N294" s="0" t="n">
        <f aca="false">D294*D294</f>
        <v>0.765625</v>
      </c>
      <c r="O294" s="0" t="n">
        <f aca="false">E294*E294</f>
        <v>1</v>
      </c>
      <c r="P294" s="0" t="n">
        <f aca="false">F294*F294</f>
        <v>1</v>
      </c>
      <c r="Q294" s="0" t="n">
        <f aca="false">SUMPRODUCT(G294:P294,_XtX!$B$71:$K$71)</f>
        <v>38.9278267045455</v>
      </c>
      <c r="R294" s="0" t="n">
        <f aca="false">SUMPRODUCT(MMULT(G294:P294,_XtX!$B$58:$K$67),G294:P294)</f>
        <v>0.709818892045455</v>
      </c>
      <c r="S294" s="0" t="n">
        <f aca="false">04_回帰ANOVA!$K$19*04_回帰ANOVA!$K$14*SQRT(1+R294)</f>
        <v>1.21574275944458</v>
      </c>
      <c r="T294" s="0" t="n">
        <f aca="false">Q294-S294</f>
        <v>37.7120839451009</v>
      </c>
      <c r="U294" s="0" t="n">
        <f aca="false">Q294+S294</f>
        <v>40.1435694639901</v>
      </c>
      <c r="V294" s="54" t="b">
        <f aca="false">AND(D294&gt;=01_因子設定!$L$5-0.000000001,D294&lt;=01_因子設定!$M$5+0.000000001,E294&gt;=01_因子設定!$L$6-0.000000001,E294&lt;=01_因子設定!$M$6+0.000000001,F294&gt;=01_因子設定!$L$7-0.000000001,F294&lt;=01_因子設定!$M$7+0.000000001,IF(01_因子設定!$B$20="Box-Behnken",D294^2+E294^2+F294^2&lt;=2+0.000000001,TRUE()))</f>
        <v>1</v>
      </c>
      <c r="W294" s="55" t="n">
        <f aca="false">IF(V294,IF(01_因子設定!$B$13="最大化",T294-01_因子設定!$B$14,IF(01_因子設定!$B$13="最小化",01_因子設定!$B$15-U294,MIN(T294-01_因子設定!$B$14,01_因子設定!$B$15-U294))),-1E+030)</f>
        <v>-10.7879160548991</v>
      </c>
      <c r="X294" s="55" t="n">
        <f aca="false">IF(V294,IF(01_因子設定!$B$13="最大化",Q294,IF(01_因子設定!$B$13="最小化",-Q294,-ABS(Q294-01_因子設定!$B$16))),-1E+030)</f>
        <v>38.9278267045455</v>
      </c>
      <c r="Y294" s="55" t="n">
        <f aca="false">W294+ROW()*0.000000001</f>
        <v>-10.7879157608991</v>
      </c>
      <c r="Z294" s="55" t="n">
        <f aca="false">X294+ROW()*0.000000001</f>
        <v>38.9278269985455</v>
      </c>
    </row>
    <row r="295" customFormat="false" ht="15" hidden="false" customHeight="false" outlineLevel="0" collapsed="false">
      <c r="A295" s="0" t="n">
        <v>1</v>
      </c>
      <c r="B295" s="0" t="n">
        <v>0</v>
      </c>
      <c r="C295" s="0" t="n">
        <v>1</v>
      </c>
      <c r="D295" s="0" t="n">
        <f aca="false">-1+A295*0.125</f>
        <v>-0.875</v>
      </c>
      <c r="E295" s="0" t="n">
        <f aca="false">-1+B295*0.125</f>
        <v>-1</v>
      </c>
      <c r="F295" s="0" t="n">
        <f aca="false">-1+C295*0.125</f>
        <v>-0.875</v>
      </c>
      <c r="G295" s="0" t="n">
        <f aca="false">1</f>
        <v>1</v>
      </c>
      <c r="H295" s="0" t="n">
        <f aca="false">D295</f>
        <v>-0.875</v>
      </c>
      <c r="I295" s="0" t="n">
        <f aca="false">E295</f>
        <v>-1</v>
      </c>
      <c r="J295" s="0" t="n">
        <f aca="false">F295</f>
        <v>-0.875</v>
      </c>
      <c r="K295" s="0" t="n">
        <f aca="false">D295*E295</f>
        <v>0.875</v>
      </c>
      <c r="L295" s="0" t="n">
        <f aca="false">D295*F295</f>
        <v>0.765625</v>
      </c>
      <c r="M295" s="0" t="n">
        <f aca="false">E295*F295</f>
        <v>0.875</v>
      </c>
      <c r="N295" s="0" t="n">
        <f aca="false">D295*D295</f>
        <v>0.765625</v>
      </c>
      <c r="O295" s="0" t="n">
        <f aca="false">E295*E295</f>
        <v>1</v>
      </c>
      <c r="P295" s="0" t="n">
        <f aca="false">F295*F295</f>
        <v>0.765625</v>
      </c>
      <c r="Q295" s="0" t="n">
        <f aca="false">SUMPRODUCT(G295:P295,_XtX!$B$71:$K$71)</f>
        <v>39.33640625</v>
      </c>
      <c r="R295" s="0" t="n">
        <f aca="false">SUMPRODUCT(MMULT(G295:P295,_XtX!$B$58:$K$67),G295:P295)</f>
        <v>0.618341064453125</v>
      </c>
      <c r="S295" s="0" t="n">
        <f aca="false">04_回帰ANOVA!$K$19*04_回帰ANOVA!$K$14*SQRT(1+R295)</f>
        <v>1.18277371124466</v>
      </c>
      <c r="T295" s="0" t="n">
        <f aca="false">Q295-S295</f>
        <v>38.1536325387553</v>
      </c>
      <c r="U295" s="0" t="n">
        <f aca="false">Q295+S295</f>
        <v>40.5191799612447</v>
      </c>
      <c r="V295" s="54" t="b">
        <f aca="false">AND(D295&gt;=01_因子設定!$L$5-0.000000001,D295&lt;=01_因子設定!$M$5+0.000000001,E295&gt;=01_因子設定!$L$6-0.000000001,E295&lt;=01_因子設定!$M$6+0.000000001,F295&gt;=01_因子設定!$L$7-0.000000001,F295&lt;=01_因子設定!$M$7+0.000000001,IF(01_因子設定!$B$20="Box-Behnken",D295^2+E295^2+F295^2&lt;=2+0.000000001,TRUE()))</f>
        <v>1</v>
      </c>
      <c r="W295" s="55" t="n">
        <f aca="false">IF(V295,IF(01_因子設定!$B$13="最大化",T295-01_因子設定!$B$14,IF(01_因子設定!$B$13="最小化",01_因子設定!$B$15-U295,MIN(T295-01_因子設定!$B$14,01_因子設定!$B$15-U295))),-1E+030)</f>
        <v>-10.3463674612447</v>
      </c>
      <c r="X295" s="55" t="n">
        <f aca="false">IF(V295,IF(01_因子設定!$B$13="最大化",Q295,IF(01_因子設定!$B$13="最小化",-Q295,-ABS(Q295-01_因子設定!$B$16))),-1E+030)</f>
        <v>39.33640625</v>
      </c>
      <c r="Y295" s="55" t="n">
        <f aca="false">W295+ROW()*0.000000001</f>
        <v>-10.3463671662447</v>
      </c>
      <c r="Z295" s="55" t="n">
        <f aca="false">X295+ROW()*0.000000001</f>
        <v>39.336406545</v>
      </c>
    </row>
    <row r="296" customFormat="false" ht="15" hidden="false" customHeight="false" outlineLevel="0" collapsed="false">
      <c r="A296" s="0" t="n">
        <v>1</v>
      </c>
      <c r="B296" s="0" t="n">
        <v>0</v>
      </c>
      <c r="C296" s="0" t="n">
        <v>2</v>
      </c>
      <c r="D296" s="0" t="n">
        <f aca="false">-1+A296*0.125</f>
        <v>-0.875</v>
      </c>
      <c r="E296" s="0" t="n">
        <f aca="false">-1+B296*0.125</f>
        <v>-1</v>
      </c>
      <c r="F296" s="0" t="n">
        <f aca="false">-1+C296*0.125</f>
        <v>-0.75</v>
      </c>
      <c r="G296" s="0" t="n">
        <f aca="false">1</f>
        <v>1</v>
      </c>
      <c r="H296" s="0" t="n">
        <f aca="false">D296</f>
        <v>-0.875</v>
      </c>
      <c r="I296" s="0" t="n">
        <f aca="false">E296</f>
        <v>-1</v>
      </c>
      <c r="J296" s="0" t="n">
        <f aca="false">F296</f>
        <v>-0.75</v>
      </c>
      <c r="K296" s="0" t="n">
        <f aca="false">D296*E296</f>
        <v>0.875</v>
      </c>
      <c r="L296" s="0" t="n">
        <f aca="false">D296*F296</f>
        <v>0.65625</v>
      </c>
      <c r="M296" s="0" t="n">
        <f aca="false">E296*F296</f>
        <v>0.75</v>
      </c>
      <c r="N296" s="0" t="n">
        <f aca="false">D296*D296</f>
        <v>0.765625</v>
      </c>
      <c r="O296" s="0" t="n">
        <f aca="false">E296*E296</f>
        <v>1</v>
      </c>
      <c r="P296" s="0" t="n">
        <f aca="false">F296*F296</f>
        <v>0.5625</v>
      </c>
      <c r="Q296" s="0" t="n">
        <f aca="false">SUMPRODUCT(G296:P296,_XtX!$B$71:$K$71)</f>
        <v>39.7081960227273</v>
      </c>
      <c r="R296" s="0" t="n">
        <f aca="false">SUMPRODUCT(MMULT(G296:P296,_XtX!$B$58:$K$67),G296:P296)</f>
        <v>0.571375621448864</v>
      </c>
      <c r="S296" s="0" t="n">
        <f aca="false">04_回帰ANOVA!$K$19*04_回帰ANOVA!$K$14*SQRT(1+R296)</f>
        <v>1.16548487437682</v>
      </c>
      <c r="T296" s="0" t="n">
        <f aca="false">Q296-S296</f>
        <v>38.5427111483505</v>
      </c>
      <c r="U296" s="0" t="n">
        <f aca="false">Q296+S296</f>
        <v>40.8736808971041</v>
      </c>
      <c r="V296" s="54" t="b">
        <f aca="false">AND(D296&gt;=01_因子設定!$L$5-0.000000001,D296&lt;=01_因子設定!$M$5+0.000000001,E296&gt;=01_因子設定!$L$6-0.000000001,E296&lt;=01_因子設定!$M$6+0.000000001,F296&gt;=01_因子設定!$L$7-0.000000001,F296&lt;=01_因子設定!$M$7+0.000000001,IF(01_因子設定!$B$20="Box-Behnken",D296^2+E296^2+F296^2&lt;=2+0.000000001,TRUE()))</f>
        <v>1</v>
      </c>
      <c r="W296" s="55" t="n">
        <f aca="false">IF(V296,IF(01_因子設定!$B$13="最大化",T296-01_因子設定!$B$14,IF(01_因子設定!$B$13="最小化",01_因子設定!$B$15-U296,MIN(T296-01_因子設定!$B$14,01_因子設定!$B$15-U296))),-1E+030)</f>
        <v>-9.95728885164954</v>
      </c>
      <c r="X296" s="55" t="n">
        <f aca="false">IF(V296,IF(01_因子設定!$B$13="最大化",Q296,IF(01_因子設定!$B$13="最小化",-Q296,-ABS(Q296-01_因子設定!$B$16))),-1E+030)</f>
        <v>39.7081960227273</v>
      </c>
      <c r="Y296" s="55" t="n">
        <f aca="false">W296+ROW()*0.000000001</f>
        <v>-9.95728855564954</v>
      </c>
      <c r="Z296" s="55" t="n">
        <f aca="false">X296+ROW()*0.000000001</f>
        <v>39.7081963187273</v>
      </c>
    </row>
    <row r="297" customFormat="false" ht="15" hidden="false" customHeight="false" outlineLevel="0" collapsed="false">
      <c r="A297" s="0" t="n">
        <v>1</v>
      </c>
      <c r="B297" s="0" t="n">
        <v>0</v>
      </c>
      <c r="C297" s="0" t="n">
        <v>3</v>
      </c>
      <c r="D297" s="0" t="n">
        <f aca="false">-1+A297*0.125</f>
        <v>-0.875</v>
      </c>
      <c r="E297" s="0" t="n">
        <f aca="false">-1+B297*0.125</f>
        <v>-1</v>
      </c>
      <c r="F297" s="0" t="n">
        <f aca="false">-1+C297*0.125</f>
        <v>-0.625</v>
      </c>
      <c r="G297" s="0" t="n">
        <f aca="false">1</f>
        <v>1</v>
      </c>
      <c r="H297" s="0" t="n">
        <f aca="false">D297</f>
        <v>-0.875</v>
      </c>
      <c r="I297" s="0" t="n">
        <f aca="false">E297</f>
        <v>-1</v>
      </c>
      <c r="J297" s="0" t="n">
        <f aca="false">F297</f>
        <v>-0.625</v>
      </c>
      <c r="K297" s="0" t="n">
        <f aca="false">D297*E297</f>
        <v>0.875</v>
      </c>
      <c r="L297" s="0" t="n">
        <f aca="false">D297*F297</f>
        <v>0.546875</v>
      </c>
      <c r="M297" s="0" t="n">
        <f aca="false">E297*F297</f>
        <v>0.625</v>
      </c>
      <c r="N297" s="0" t="n">
        <f aca="false">D297*D297</f>
        <v>0.765625</v>
      </c>
      <c r="O297" s="0" t="n">
        <f aca="false">E297*E297</f>
        <v>1</v>
      </c>
      <c r="P297" s="0" t="n">
        <f aca="false">F297*F297</f>
        <v>0.390625</v>
      </c>
      <c r="Q297" s="0" t="n">
        <f aca="false">SUMPRODUCT(G297:P297,_XtX!$B$71:$K$71)</f>
        <v>40.0431960227273</v>
      </c>
      <c r="R297" s="0" t="n">
        <f aca="false">SUMPRODUCT(MMULT(G297:P297,_XtX!$B$58:$K$67),G297:P297)</f>
        <v>0.555073131214489</v>
      </c>
      <c r="S297" s="0" t="n">
        <f aca="false">04_回帰ANOVA!$K$19*04_回帰ANOVA!$K$14*SQRT(1+R297)</f>
        <v>1.15942335628341</v>
      </c>
      <c r="T297" s="0" t="n">
        <f aca="false">Q297-S297</f>
        <v>38.8837726664439</v>
      </c>
      <c r="U297" s="0" t="n">
        <f aca="false">Q297+S297</f>
        <v>41.2026193790107</v>
      </c>
      <c r="V297" s="54" t="b">
        <f aca="false">AND(D297&gt;=01_因子設定!$L$5-0.000000001,D297&lt;=01_因子設定!$M$5+0.000000001,E297&gt;=01_因子設定!$L$6-0.000000001,E297&lt;=01_因子設定!$M$6+0.000000001,F297&gt;=01_因子設定!$L$7-0.000000001,F297&lt;=01_因子設定!$M$7+0.000000001,IF(01_因子設定!$B$20="Box-Behnken",D297^2+E297^2+F297^2&lt;=2+0.000000001,TRUE()))</f>
        <v>1</v>
      </c>
      <c r="W297" s="55" t="n">
        <f aca="false">IF(V297,IF(01_因子設定!$B$13="最大化",T297-01_因子設定!$B$14,IF(01_因子設定!$B$13="最小化",01_因子設定!$B$15-U297,MIN(T297-01_因子設定!$B$14,01_因子設定!$B$15-U297))),-1E+030)</f>
        <v>-9.61622733355613</v>
      </c>
      <c r="X297" s="55" t="n">
        <f aca="false">IF(V297,IF(01_因子設定!$B$13="最大化",Q297,IF(01_因子設定!$B$13="最小化",-Q297,-ABS(Q297-01_因子設定!$B$16))),-1E+030)</f>
        <v>40.0431960227273</v>
      </c>
      <c r="Y297" s="55" t="n">
        <f aca="false">W297+ROW()*0.000000001</f>
        <v>-9.61622703655613</v>
      </c>
      <c r="Z297" s="55" t="n">
        <f aca="false">X297+ROW()*0.000000001</f>
        <v>40.0431963197273</v>
      </c>
    </row>
    <row r="298" customFormat="false" ht="15" hidden="false" customHeight="false" outlineLevel="0" collapsed="false">
      <c r="A298" s="0" t="n">
        <v>1</v>
      </c>
      <c r="B298" s="0" t="n">
        <v>0</v>
      </c>
      <c r="C298" s="0" t="n">
        <v>4</v>
      </c>
      <c r="D298" s="0" t="n">
        <f aca="false">-1+A298*0.125</f>
        <v>-0.875</v>
      </c>
      <c r="E298" s="0" t="n">
        <f aca="false">-1+B298*0.125</f>
        <v>-1</v>
      </c>
      <c r="F298" s="0" t="n">
        <f aca="false">-1+C298*0.125</f>
        <v>-0.5</v>
      </c>
      <c r="G298" s="0" t="n">
        <f aca="false">1</f>
        <v>1</v>
      </c>
      <c r="H298" s="0" t="n">
        <f aca="false">D298</f>
        <v>-0.875</v>
      </c>
      <c r="I298" s="0" t="n">
        <f aca="false">E298</f>
        <v>-1</v>
      </c>
      <c r="J298" s="0" t="n">
        <f aca="false">F298</f>
        <v>-0.5</v>
      </c>
      <c r="K298" s="0" t="n">
        <f aca="false">D298*E298</f>
        <v>0.875</v>
      </c>
      <c r="L298" s="0" t="n">
        <f aca="false">D298*F298</f>
        <v>0.4375</v>
      </c>
      <c r="M298" s="0" t="n">
        <f aca="false">E298*F298</f>
        <v>0.5</v>
      </c>
      <c r="N298" s="0" t="n">
        <f aca="false">D298*D298</f>
        <v>0.765625</v>
      </c>
      <c r="O298" s="0" t="n">
        <f aca="false">E298*E298</f>
        <v>1</v>
      </c>
      <c r="P298" s="0" t="n">
        <f aca="false">F298*F298</f>
        <v>0.25</v>
      </c>
      <c r="Q298" s="0" t="n">
        <f aca="false">SUMPRODUCT(G298:P298,_XtX!$B$71:$K$71)</f>
        <v>40.34140625</v>
      </c>
      <c r="R298" s="0" t="n">
        <f aca="false">SUMPRODUCT(MMULT(G298:P298,_XtX!$B$58:$K$67),G298:P298)</f>
        <v>0.55771484375</v>
      </c>
      <c r="S298" s="0" t="n">
        <f aca="false">04_回帰ANOVA!$K$19*04_回帰ANOVA!$K$14*SQRT(1+R298)</f>
        <v>1.16040773556467</v>
      </c>
      <c r="T298" s="0" t="n">
        <f aca="false">Q298-S298</f>
        <v>39.1809985144353</v>
      </c>
      <c r="U298" s="0" t="n">
        <f aca="false">Q298+S298</f>
        <v>41.5018139855647</v>
      </c>
      <c r="V298" s="54" t="b">
        <f aca="false">AND(D298&gt;=01_因子設定!$L$5-0.000000001,D298&lt;=01_因子設定!$M$5+0.000000001,E298&gt;=01_因子設定!$L$6-0.000000001,E298&lt;=01_因子設定!$M$6+0.000000001,F298&gt;=01_因子設定!$L$7-0.000000001,F298&lt;=01_因子設定!$M$7+0.000000001,IF(01_因子設定!$B$20="Box-Behnken",D298^2+E298^2+F298^2&lt;=2+0.000000001,TRUE()))</f>
        <v>1</v>
      </c>
      <c r="W298" s="55" t="n">
        <f aca="false">IF(V298,IF(01_因子設定!$B$13="最大化",T298-01_因子設定!$B$14,IF(01_因子設定!$B$13="最小化",01_因子設定!$B$15-U298,MIN(T298-01_因子設定!$B$14,01_因子設定!$B$15-U298))),-1E+030)</f>
        <v>-9.31900148556468</v>
      </c>
      <c r="X298" s="55" t="n">
        <f aca="false">IF(V298,IF(01_因子設定!$B$13="最大化",Q298,IF(01_因子設定!$B$13="最小化",-Q298,-ABS(Q298-01_因子設定!$B$16))),-1E+030)</f>
        <v>40.34140625</v>
      </c>
      <c r="Y298" s="55" t="n">
        <f aca="false">W298+ROW()*0.000000001</f>
        <v>-9.31900118756468</v>
      </c>
      <c r="Z298" s="55" t="n">
        <f aca="false">X298+ROW()*0.000000001</f>
        <v>40.341406548</v>
      </c>
    </row>
    <row r="299" customFormat="false" ht="15" hidden="false" customHeight="false" outlineLevel="0" collapsed="false">
      <c r="A299" s="0" t="n">
        <v>1</v>
      </c>
      <c r="B299" s="0" t="n">
        <v>0</v>
      </c>
      <c r="C299" s="0" t="n">
        <v>5</v>
      </c>
      <c r="D299" s="0" t="n">
        <f aca="false">-1+A299*0.125</f>
        <v>-0.875</v>
      </c>
      <c r="E299" s="0" t="n">
        <f aca="false">-1+B299*0.125</f>
        <v>-1</v>
      </c>
      <c r="F299" s="0" t="n">
        <f aca="false">-1+C299*0.125</f>
        <v>-0.375</v>
      </c>
      <c r="G299" s="0" t="n">
        <f aca="false">1</f>
        <v>1</v>
      </c>
      <c r="H299" s="0" t="n">
        <f aca="false">D299</f>
        <v>-0.875</v>
      </c>
      <c r="I299" s="0" t="n">
        <f aca="false">E299</f>
        <v>-1</v>
      </c>
      <c r="J299" s="0" t="n">
        <f aca="false">F299</f>
        <v>-0.375</v>
      </c>
      <c r="K299" s="0" t="n">
        <f aca="false">D299*E299</f>
        <v>0.875</v>
      </c>
      <c r="L299" s="0" t="n">
        <f aca="false">D299*F299</f>
        <v>0.328125</v>
      </c>
      <c r="M299" s="0" t="n">
        <f aca="false">E299*F299</f>
        <v>0.375</v>
      </c>
      <c r="N299" s="0" t="n">
        <f aca="false">D299*D299</f>
        <v>0.765625</v>
      </c>
      <c r="O299" s="0" t="n">
        <f aca="false">E299*E299</f>
        <v>1</v>
      </c>
      <c r="P299" s="0" t="n">
        <f aca="false">F299*F299</f>
        <v>0.140625</v>
      </c>
      <c r="Q299" s="0" t="n">
        <f aca="false">SUMPRODUCT(G299:P299,_XtX!$B$71:$K$71)</f>
        <v>40.6028267045455</v>
      </c>
      <c r="R299" s="0" t="n">
        <f aca="false">SUMPRODUCT(MMULT(G299:P299,_XtX!$B$58:$K$67),G299:P299)</f>
        <v>0.56971269087358</v>
      </c>
      <c r="S299" s="0" t="n">
        <f aca="false">04_回帰ANOVA!$K$19*04_回帰ANOVA!$K$14*SQRT(1+R299)</f>
        <v>1.16486801567081</v>
      </c>
      <c r="T299" s="0" t="n">
        <f aca="false">Q299-S299</f>
        <v>39.4379586888746</v>
      </c>
      <c r="U299" s="0" t="n">
        <f aca="false">Q299+S299</f>
        <v>41.7676947202163</v>
      </c>
      <c r="V299" s="54" t="b">
        <f aca="false">AND(D299&gt;=01_因子設定!$L$5-0.000000001,D299&lt;=01_因子設定!$M$5+0.000000001,E299&gt;=01_因子設定!$L$6-0.000000001,E299&lt;=01_因子設定!$M$6+0.000000001,F299&gt;=01_因子設定!$L$7-0.000000001,F299&lt;=01_因子設定!$M$7+0.000000001,IF(01_因子設定!$B$20="Box-Behnken",D299^2+E299^2+F299^2&lt;=2+0.000000001,TRUE()))</f>
        <v>1</v>
      </c>
      <c r="W299" s="55" t="n">
        <f aca="false">IF(V299,IF(01_因子設定!$B$13="最大化",T299-01_因子設定!$B$14,IF(01_因子設定!$B$13="最小化",01_因子設定!$B$15-U299,MIN(T299-01_因子設定!$B$14,01_因子設定!$B$15-U299))),-1E+030)</f>
        <v>-9.06204131112536</v>
      </c>
      <c r="X299" s="55" t="n">
        <f aca="false">IF(V299,IF(01_因子設定!$B$13="最大化",Q299,IF(01_因子設定!$B$13="最小化",-Q299,-ABS(Q299-01_因子設定!$B$16))),-1E+030)</f>
        <v>40.6028267045455</v>
      </c>
      <c r="Y299" s="55" t="n">
        <f aca="false">W299+ROW()*0.000000001</f>
        <v>-9.06204101212536</v>
      </c>
      <c r="Z299" s="55" t="n">
        <f aca="false">X299+ROW()*0.000000001</f>
        <v>40.6028270035455</v>
      </c>
    </row>
    <row r="300" customFormat="false" ht="15" hidden="false" customHeight="false" outlineLevel="0" collapsed="false">
      <c r="A300" s="0" t="n">
        <v>1</v>
      </c>
      <c r="B300" s="0" t="n">
        <v>0</v>
      </c>
      <c r="C300" s="0" t="n">
        <v>6</v>
      </c>
      <c r="D300" s="0" t="n">
        <f aca="false">-1+A300*0.125</f>
        <v>-0.875</v>
      </c>
      <c r="E300" s="0" t="n">
        <f aca="false">-1+B300*0.125</f>
        <v>-1</v>
      </c>
      <c r="F300" s="0" t="n">
        <f aca="false">-1+C300*0.125</f>
        <v>-0.25</v>
      </c>
      <c r="G300" s="0" t="n">
        <f aca="false">1</f>
        <v>1</v>
      </c>
      <c r="H300" s="0" t="n">
        <f aca="false">D300</f>
        <v>-0.875</v>
      </c>
      <c r="I300" s="0" t="n">
        <f aca="false">E300</f>
        <v>-1</v>
      </c>
      <c r="J300" s="0" t="n">
        <f aca="false">F300</f>
        <v>-0.25</v>
      </c>
      <c r="K300" s="0" t="n">
        <f aca="false">D300*E300</f>
        <v>0.875</v>
      </c>
      <c r="L300" s="0" t="n">
        <f aca="false">D300*F300</f>
        <v>0.21875</v>
      </c>
      <c r="M300" s="0" t="n">
        <f aca="false">E300*F300</f>
        <v>0.25</v>
      </c>
      <c r="N300" s="0" t="n">
        <f aca="false">D300*D300</f>
        <v>0.765625</v>
      </c>
      <c r="O300" s="0" t="n">
        <f aca="false">E300*E300</f>
        <v>1</v>
      </c>
      <c r="P300" s="0" t="n">
        <f aca="false">F300*F300</f>
        <v>0.0625</v>
      </c>
      <c r="Q300" s="0" t="n">
        <f aca="false">SUMPRODUCT(G300:P300,_XtX!$B$71:$K$71)</f>
        <v>40.8274573863636</v>
      </c>
      <c r="R300" s="0" t="n">
        <f aca="false">SUMPRODUCT(MMULT(G300:P300,_XtX!$B$58:$K$67),G300:P300)</f>
        <v>0.583609286221591</v>
      </c>
      <c r="S300" s="0" t="n">
        <f aca="false">04_回帰ANOVA!$K$19*04_回帰ANOVA!$K$14*SQRT(1+R300)</f>
        <v>1.1700129157584</v>
      </c>
      <c r="T300" s="0" t="n">
        <f aca="false">Q300-S300</f>
        <v>39.6574444706052</v>
      </c>
      <c r="U300" s="0" t="n">
        <f aca="false">Q300+S300</f>
        <v>41.997470302122</v>
      </c>
      <c r="V300" s="54" t="b">
        <f aca="false">AND(D300&gt;=01_因子設定!$L$5-0.000000001,D300&lt;=01_因子設定!$M$5+0.000000001,E300&gt;=01_因子設定!$L$6-0.000000001,E300&lt;=01_因子設定!$M$6+0.000000001,F300&gt;=01_因子設定!$L$7-0.000000001,F300&lt;=01_因子設定!$M$7+0.000000001,IF(01_因子設定!$B$20="Box-Behnken",D300^2+E300^2+F300^2&lt;=2+0.000000001,TRUE()))</f>
        <v>1</v>
      </c>
      <c r="W300" s="55" t="n">
        <f aca="false">IF(V300,IF(01_因子設定!$B$13="最大化",T300-01_因子設定!$B$14,IF(01_因子設定!$B$13="最小化",01_因子設定!$B$15-U300,MIN(T300-01_因子設定!$B$14,01_因子設定!$B$15-U300))),-1E+030)</f>
        <v>-8.84255552939476</v>
      </c>
      <c r="X300" s="55" t="n">
        <f aca="false">IF(V300,IF(01_因子設定!$B$13="最大化",Q300,IF(01_因子設定!$B$13="最小化",-Q300,-ABS(Q300-01_因子設定!$B$16))),-1E+030)</f>
        <v>40.8274573863636</v>
      </c>
      <c r="Y300" s="55" t="n">
        <f aca="false">W300+ROW()*0.000000001</f>
        <v>-8.84255522939476</v>
      </c>
      <c r="Z300" s="55" t="n">
        <f aca="false">X300+ROW()*0.000000001</f>
        <v>40.8274576863636</v>
      </c>
    </row>
    <row r="301" customFormat="false" ht="15" hidden="false" customHeight="false" outlineLevel="0" collapsed="false">
      <c r="A301" s="0" t="n">
        <v>1</v>
      </c>
      <c r="B301" s="0" t="n">
        <v>0</v>
      </c>
      <c r="C301" s="0" t="n">
        <v>7</v>
      </c>
      <c r="D301" s="0" t="n">
        <f aca="false">-1+A301*0.125</f>
        <v>-0.875</v>
      </c>
      <c r="E301" s="0" t="n">
        <f aca="false">-1+B301*0.125</f>
        <v>-1</v>
      </c>
      <c r="F301" s="0" t="n">
        <f aca="false">-1+C301*0.125</f>
        <v>-0.125</v>
      </c>
      <c r="G301" s="0" t="n">
        <f aca="false">1</f>
        <v>1</v>
      </c>
      <c r="H301" s="0" t="n">
        <f aca="false">D301</f>
        <v>-0.875</v>
      </c>
      <c r="I301" s="0" t="n">
        <f aca="false">E301</f>
        <v>-1</v>
      </c>
      <c r="J301" s="0" t="n">
        <f aca="false">F301</f>
        <v>-0.125</v>
      </c>
      <c r="K301" s="0" t="n">
        <f aca="false">D301*E301</f>
        <v>0.875</v>
      </c>
      <c r="L301" s="0" t="n">
        <f aca="false">D301*F301</f>
        <v>0.109375</v>
      </c>
      <c r="M301" s="0" t="n">
        <f aca="false">E301*F301</f>
        <v>0.125</v>
      </c>
      <c r="N301" s="0" t="n">
        <f aca="false">D301*D301</f>
        <v>0.765625</v>
      </c>
      <c r="O301" s="0" t="n">
        <f aca="false">E301*E301</f>
        <v>1</v>
      </c>
      <c r="P301" s="0" t="n">
        <f aca="false">F301*F301</f>
        <v>0.015625</v>
      </c>
      <c r="Q301" s="0" t="n">
        <f aca="false">SUMPRODUCT(G301:P301,_XtX!$B$71:$K$71)</f>
        <v>41.0152982954545</v>
      </c>
      <c r="R301" s="0" t="n">
        <f aca="false">SUMPRODUCT(MMULT(G301:P301,_XtX!$B$58:$K$67),G301:P301)</f>
        <v>0.59407792524858</v>
      </c>
      <c r="S301" s="0" t="n">
        <f aca="false">04_回帰ANOVA!$K$19*04_回帰ANOVA!$K$14*SQRT(1+R301)</f>
        <v>1.17387380087722</v>
      </c>
      <c r="T301" s="0" t="n">
        <f aca="false">Q301-S301</f>
        <v>39.8414244945773</v>
      </c>
      <c r="U301" s="0" t="n">
        <f aca="false">Q301+S301</f>
        <v>42.1891720963318</v>
      </c>
      <c r="V301" s="54" t="b">
        <f aca="false">AND(D301&gt;=01_因子設定!$L$5-0.000000001,D301&lt;=01_因子設定!$M$5+0.000000001,E301&gt;=01_因子設定!$L$6-0.000000001,E301&lt;=01_因子設定!$M$6+0.000000001,F301&gt;=01_因子設定!$L$7-0.000000001,F301&lt;=01_因子設定!$M$7+0.000000001,IF(01_因子設定!$B$20="Box-Behnken",D301^2+E301^2+F301^2&lt;=2+0.000000001,TRUE()))</f>
        <v>1</v>
      </c>
      <c r="W301" s="55" t="n">
        <f aca="false">IF(V301,IF(01_因子設定!$B$13="最大化",T301-01_因子設定!$B$14,IF(01_因子設定!$B$13="最小化",01_因子設定!$B$15-U301,MIN(T301-01_因子設定!$B$14,01_因子設定!$B$15-U301))),-1E+030)</f>
        <v>-8.65857550542268</v>
      </c>
      <c r="X301" s="55" t="n">
        <f aca="false">IF(V301,IF(01_因子設定!$B$13="最大化",Q301,IF(01_因子設定!$B$13="最小化",-Q301,-ABS(Q301-01_因子設定!$B$16))),-1E+030)</f>
        <v>41.0152982954545</v>
      </c>
      <c r="Y301" s="55" t="n">
        <f aca="false">W301+ROW()*0.000000001</f>
        <v>-8.65857520442268</v>
      </c>
      <c r="Z301" s="55" t="n">
        <f aca="false">X301+ROW()*0.000000001</f>
        <v>41.0152985964545</v>
      </c>
    </row>
    <row r="302" customFormat="false" ht="15" hidden="false" customHeight="false" outlineLevel="0" collapsed="false">
      <c r="A302" s="0" t="n">
        <v>1</v>
      </c>
      <c r="B302" s="0" t="n">
        <v>0</v>
      </c>
      <c r="C302" s="0" t="n">
        <v>8</v>
      </c>
      <c r="D302" s="0" t="n">
        <f aca="false">-1+A302*0.125</f>
        <v>-0.875</v>
      </c>
      <c r="E302" s="0" t="n">
        <f aca="false">-1+B302*0.125</f>
        <v>-1</v>
      </c>
      <c r="F302" s="0" t="n">
        <f aca="false">-1+C302*0.125</f>
        <v>0</v>
      </c>
      <c r="G302" s="0" t="n">
        <f aca="false">1</f>
        <v>1</v>
      </c>
      <c r="H302" s="0" t="n">
        <f aca="false">D302</f>
        <v>-0.875</v>
      </c>
      <c r="I302" s="0" t="n">
        <f aca="false">E302</f>
        <v>-1</v>
      </c>
      <c r="J302" s="0" t="n">
        <f aca="false">F302</f>
        <v>0</v>
      </c>
      <c r="K302" s="0" t="n">
        <f aca="false">D302*E302</f>
        <v>0.875</v>
      </c>
      <c r="L302" s="0" t="n">
        <f aca="false">D302*F302</f>
        <v>-0</v>
      </c>
      <c r="M302" s="0" t="n">
        <f aca="false">E302*F302</f>
        <v>-0</v>
      </c>
      <c r="N302" s="0" t="n">
        <f aca="false">D302*D302</f>
        <v>0.765625</v>
      </c>
      <c r="O302" s="0" t="n">
        <f aca="false">E302*E302</f>
        <v>1</v>
      </c>
      <c r="P302" s="0" t="n">
        <f aca="false">F302*F302</f>
        <v>0</v>
      </c>
      <c r="Q302" s="0" t="n">
        <f aca="false">SUMPRODUCT(G302:P302,_XtX!$B$71:$K$71)</f>
        <v>41.1663494318182</v>
      </c>
      <c r="R302" s="0" t="n">
        <f aca="false">SUMPRODUCT(MMULT(G302:P302,_XtX!$B$58:$K$67),G302:P302)</f>
        <v>0.597922585227273</v>
      </c>
      <c r="S302" s="0" t="n">
        <f aca="false">04_回帰ANOVA!$K$19*04_回帰ANOVA!$K$14*SQRT(1+R302)</f>
        <v>1.17528854591003</v>
      </c>
      <c r="T302" s="0" t="n">
        <f aca="false">Q302-S302</f>
        <v>39.9910608859082</v>
      </c>
      <c r="U302" s="0" t="n">
        <f aca="false">Q302+S302</f>
        <v>42.3416379777282</v>
      </c>
      <c r="V302" s="54" t="b">
        <f aca="false">AND(D302&gt;=01_因子設定!$L$5-0.000000001,D302&lt;=01_因子設定!$M$5+0.000000001,E302&gt;=01_因子設定!$L$6-0.000000001,E302&lt;=01_因子設定!$M$6+0.000000001,F302&gt;=01_因子設定!$L$7-0.000000001,F302&lt;=01_因子設定!$M$7+0.000000001,IF(01_因子設定!$B$20="Box-Behnken",D302^2+E302^2+F302^2&lt;=2+0.000000001,TRUE()))</f>
        <v>1</v>
      </c>
      <c r="W302" s="55" t="n">
        <f aca="false">IF(V302,IF(01_因子設定!$B$13="最大化",T302-01_因子設定!$B$14,IF(01_因子設定!$B$13="最小化",01_因子設定!$B$15-U302,MIN(T302-01_因子設定!$B$14,01_因子設定!$B$15-U302))),-1E+030)</f>
        <v>-8.50893911409185</v>
      </c>
      <c r="X302" s="55" t="n">
        <f aca="false">IF(V302,IF(01_因子設定!$B$13="最大化",Q302,IF(01_因子設定!$B$13="最小化",-Q302,-ABS(Q302-01_因子設定!$B$16))),-1E+030)</f>
        <v>41.1663494318182</v>
      </c>
      <c r="Y302" s="55" t="n">
        <f aca="false">W302+ROW()*0.000000001</f>
        <v>-8.50893881209185</v>
      </c>
      <c r="Z302" s="55" t="n">
        <f aca="false">X302+ROW()*0.000000001</f>
        <v>41.1663497338182</v>
      </c>
    </row>
    <row r="303" customFormat="false" ht="15" hidden="false" customHeight="false" outlineLevel="0" collapsed="false">
      <c r="A303" s="0" t="n">
        <v>1</v>
      </c>
      <c r="B303" s="0" t="n">
        <v>0</v>
      </c>
      <c r="C303" s="0" t="n">
        <v>9</v>
      </c>
      <c r="D303" s="0" t="n">
        <f aca="false">-1+A303*0.125</f>
        <v>-0.875</v>
      </c>
      <c r="E303" s="0" t="n">
        <f aca="false">-1+B303*0.125</f>
        <v>-1</v>
      </c>
      <c r="F303" s="0" t="n">
        <f aca="false">-1+C303*0.125</f>
        <v>0.125</v>
      </c>
      <c r="G303" s="0" t="n">
        <f aca="false">1</f>
        <v>1</v>
      </c>
      <c r="H303" s="0" t="n">
        <f aca="false">D303</f>
        <v>-0.875</v>
      </c>
      <c r="I303" s="0" t="n">
        <f aca="false">E303</f>
        <v>-1</v>
      </c>
      <c r="J303" s="0" t="n">
        <f aca="false">F303</f>
        <v>0.125</v>
      </c>
      <c r="K303" s="0" t="n">
        <f aca="false">D303*E303</f>
        <v>0.875</v>
      </c>
      <c r="L303" s="0" t="n">
        <f aca="false">D303*F303</f>
        <v>-0.109375</v>
      </c>
      <c r="M303" s="0" t="n">
        <f aca="false">E303*F303</f>
        <v>-0.125</v>
      </c>
      <c r="N303" s="0" t="n">
        <f aca="false">D303*D303</f>
        <v>0.765625</v>
      </c>
      <c r="O303" s="0" t="n">
        <f aca="false">E303*E303</f>
        <v>1</v>
      </c>
      <c r="P303" s="0" t="n">
        <f aca="false">F303*F303</f>
        <v>0.015625</v>
      </c>
      <c r="Q303" s="0" t="n">
        <f aca="false">SUMPRODUCT(G303:P303,_XtX!$B$71:$K$71)</f>
        <v>41.2806107954545</v>
      </c>
      <c r="R303" s="0" t="n">
        <f aca="false">SUMPRODUCT(MMULT(G303:P303,_XtX!$B$58:$K$67),G303:P303)</f>
        <v>0.59407792524858</v>
      </c>
      <c r="S303" s="0" t="n">
        <f aca="false">04_回帰ANOVA!$K$19*04_回帰ANOVA!$K$14*SQRT(1+R303)</f>
        <v>1.17387380087722</v>
      </c>
      <c r="T303" s="0" t="n">
        <f aca="false">Q303-S303</f>
        <v>40.1067369945773</v>
      </c>
      <c r="U303" s="0" t="n">
        <f aca="false">Q303+S303</f>
        <v>42.4544845963318</v>
      </c>
      <c r="V303" s="54" t="b">
        <f aca="false">AND(D303&gt;=01_因子設定!$L$5-0.000000001,D303&lt;=01_因子設定!$M$5+0.000000001,E303&gt;=01_因子設定!$L$6-0.000000001,E303&lt;=01_因子設定!$M$6+0.000000001,F303&gt;=01_因子設定!$L$7-0.000000001,F303&lt;=01_因子設定!$M$7+0.000000001,IF(01_因子設定!$B$20="Box-Behnken",D303^2+E303^2+F303^2&lt;=2+0.000000001,TRUE()))</f>
        <v>1</v>
      </c>
      <c r="W303" s="55" t="n">
        <f aca="false">IF(V303,IF(01_因子設定!$B$13="最大化",T303-01_因子設定!$B$14,IF(01_因子設定!$B$13="最小化",01_因子設定!$B$15-U303,MIN(T303-01_因子設定!$B$14,01_因子設定!$B$15-U303))),-1E+030)</f>
        <v>-8.39326300542268</v>
      </c>
      <c r="X303" s="55" t="n">
        <f aca="false">IF(V303,IF(01_因子設定!$B$13="最大化",Q303,IF(01_因子設定!$B$13="最小化",-Q303,-ABS(Q303-01_因子設定!$B$16))),-1E+030)</f>
        <v>41.2806107954545</v>
      </c>
      <c r="Y303" s="55" t="n">
        <f aca="false">W303+ROW()*0.000000001</f>
        <v>-8.39326270242268</v>
      </c>
      <c r="Z303" s="55" t="n">
        <f aca="false">X303+ROW()*0.000000001</f>
        <v>41.2806110984545</v>
      </c>
    </row>
    <row r="304" customFormat="false" ht="15" hidden="false" customHeight="false" outlineLevel="0" collapsed="false">
      <c r="A304" s="0" t="n">
        <v>1</v>
      </c>
      <c r="B304" s="0" t="n">
        <v>0</v>
      </c>
      <c r="C304" s="0" t="n">
        <v>10</v>
      </c>
      <c r="D304" s="0" t="n">
        <f aca="false">-1+A304*0.125</f>
        <v>-0.875</v>
      </c>
      <c r="E304" s="0" t="n">
        <f aca="false">-1+B304*0.125</f>
        <v>-1</v>
      </c>
      <c r="F304" s="0" t="n">
        <f aca="false">-1+C304*0.125</f>
        <v>0.25</v>
      </c>
      <c r="G304" s="0" t="n">
        <f aca="false">1</f>
        <v>1</v>
      </c>
      <c r="H304" s="0" t="n">
        <f aca="false">D304</f>
        <v>-0.875</v>
      </c>
      <c r="I304" s="0" t="n">
        <f aca="false">E304</f>
        <v>-1</v>
      </c>
      <c r="J304" s="0" t="n">
        <f aca="false">F304</f>
        <v>0.25</v>
      </c>
      <c r="K304" s="0" t="n">
        <f aca="false">D304*E304</f>
        <v>0.875</v>
      </c>
      <c r="L304" s="0" t="n">
        <f aca="false">D304*F304</f>
        <v>-0.21875</v>
      </c>
      <c r="M304" s="0" t="n">
        <f aca="false">E304*F304</f>
        <v>-0.25</v>
      </c>
      <c r="N304" s="0" t="n">
        <f aca="false">D304*D304</f>
        <v>0.765625</v>
      </c>
      <c r="O304" s="0" t="n">
        <f aca="false">E304*E304</f>
        <v>1</v>
      </c>
      <c r="P304" s="0" t="n">
        <f aca="false">F304*F304</f>
        <v>0.0625</v>
      </c>
      <c r="Q304" s="0" t="n">
        <f aca="false">SUMPRODUCT(G304:P304,_XtX!$B$71:$K$71)</f>
        <v>41.3580823863636</v>
      </c>
      <c r="R304" s="0" t="n">
        <f aca="false">SUMPRODUCT(MMULT(G304:P304,_XtX!$B$58:$K$67),G304:P304)</f>
        <v>0.583609286221591</v>
      </c>
      <c r="S304" s="0" t="n">
        <f aca="false">04_回帰ANOVA!$K$19*04_回帰ANOVA!$K$14*SQRT(1+R304)</f>
        <v>1.1700129157584</v>
      </c>
      <c r="T304" s="0" t="n">
        <f aca="false">Q304-S304</f>
        <v>40.1880694706052</v>
      </c>
      <c r="U304" s="0" t="n">
        <f aca="false">Q304+S304</f>
        <v>42.528095302122</v>
      </c>
      <c r="V304" s="54" t="b">
        <f aca="false">AND(D304&gt;=01_因子設定!$L$5-0.000000001,D304&lt;=01_因子設定!$M$5+0.000000001,E304&gt;=01_因子設定!$L$6-0.000000001,E304&lt;=01_因子設定!$M$6+0.000000001,F304&gt;=01_因子設定!$L$7-0.000000001,F304&lt;=01_因子設定!$M$7+0.000000001,IF(01_因子設定!$B$20="Box-Behnken",D304^2+E304^2+F304^2&lt;=2+0.000000001,TRUE()))</f>
        <v>1</v>
      </c>
      <c r="W304" s="55" t="n">
        <f aca="false">IF(V304,IF(01_因子設定!$B$13="最大化",T304-01_因子設定!$B$14,IF(01_因子設定!$B$13="最小化",01_因子設定!$B$15-U304,MIN(T304-01_因子設定!$B$14,01_因子設定!$B$15-U304))),-1E+030)</f>
        <v>-8.31193052939476</v>
      </c>
      <c r="X304" s="55" t="n">
        <f aca="false">IF(V304,IF(01_因子設定!$B$13="最大化",Q304,IF(01_因子設定!$B$13="最小化",-Q304,-ABS(Q304-01_因子設定!$B$16))),-1E+030)</f>
        <v>41.3580823863636</v>
      </c>
      <c r="Y304" s="55" t="n">
        <f aca="false">W304+ROW()*0.000000001</f>
        <v>-8.31193022539476</v>
      </c>
      <c r="Z304" s="55" t="n">
        <f aca="false">X304+ROW()*0.000000001</f>
        <v>41.3580826903636</v>
      </c>
    </row>
    <row r="305" customFormat="false" ht="15" hidden="false" customHeight="false" outlineLevel="0" collapsed="false">
      <c r="A305" s="0" t="n">
        <v>1</v>
      </c>
      <c r="B305" s="0" t="n">
        <v>0</v>
      </c>
      <c r="C305" s="0" t="n">
        <v>11</v>
      </c>
      <c r="D305" s="0" t="n">
        <f aca="false">-1+A305*0.125</f>
        <v>-0.875</v>
      </c>
      <c r="E305" s="0" t="n">
        <f aca="false">-1+B305*0.125</f>
        <v>-1</v>
      </c>
      <c r="F305" s="0" t="n">
        <f aca="false">-1+C305*0.125</f>
        <v>0.375</v>
      </c>
      <c r="G305" s="0" t="n">
        <f aca="false">1</f>
        <v>1</v>
      </c>
      <c r="H305" s="0" t="n">
        <f aca="false">D305</f>
        <v>-0.875</v>
      </c>
      <c r="I305" s="0" t="n">
        <f aca="false">E305</f>
        <v>-1</v>
      </c>
      <c r="J305" s="0" t="n">
        <f aca="false">F305</f>
        <v>0.375</v>
      </c>
      <c r="K305" s="0" t="n">
        <f aca="false">D305*E305</f>
        <v>0.875</v>
      </c>
      <c r="L305" s="0" t="n">
        <f aca="false">D305*F305</f>
        <v>-0.328125</v>
      </c>
      <c r="M305" s="0" t="n">
        <f aca="false">E305*F305</f>
        <v>-0.375</v>
      </c>
      <c r="N305" s="0" t="n">
        <f aca="false">D305*D305</f>
        <v>0.765625</v>
      </c>
      <c r="O305" s="0" t="n">
        <f aca="false">E305*E305</f>
        <v>1</v>
      </c>
      <c r="P305" s="0" t="n">
        <f aca="false">F305*F305</f>
        <v>0.140625</v>
      </c>
      <c r="Q305" s="0" t="n">
        <f aca="false">SUMPRODUCT(G305:P305,_XtX!$B$71:$K$71)</f>
        <v>41.3987642045455</v>
      </c>
      <c r="R305" s="0" t="n">
        <f aca="false">SUMPRODUCT(MMULT(G305:P305,_XtX!$B$58:$K$67),G305:P305)</f>
        <v>0.56971269087358</v>
      </c>
      <c r="S305" s="0" t="n">
        <f aca="false">04_回帰ANOVA!$K$19*04_回帰ANOVA!$K$14*SQRT(1+R305)</f>
        <v>1.16486801567081</v>
      </c>
      <c r="T305" s="0" t="n">
        <f aca="false">Q305-S305</f>
        <v>40.2338961888746</v>
      </c>
      <c r="U305" s="0" t="n">
        <f aca="false">Q305+S305</f>
        <v>42.5636322202163</v>
      </c>
      <c r="V305" s="54" t="b">
        <f aca="false">AND(D305&gt;=01_因子設定!$L$5-0.000000001,D305&lt;=01_因子設定!$M$5+0.000000001,E305&gt;=01_因子設定!$L$6-0.000000001,E305&lt;=01_因子設定!$M$6+0.000000001,F305&gt;=01_因子設定!$L$7-0.000000001,F305&lt;=01_因子設定!$M$7+0.000000001,IF(01_因子設定!$B$20="Box-Behnken",D305^2+E305^2+F305^2&lt;=2+0.000000001,TRUE()))</f>
        <v>1</v>
      </c>
      <c r="W305" s="55" t="n">
        <f aca="false">IF(V305,IF(01_因子設定!$B$13="最大化",T305-01_因子設定!$B$14,IF(01_因子設定!$B$13="最小化",01_因子設定!$B$15-U305,MIN(T305-01_因子設定!$B$14,01_因子設定!$B$15-U305))),-1E+030)</f>
        <v>-8.26610381112536</v>
      </c>
      <c r="X305" s="55" t="n">
        <f aca="false">IF(V305,IF(01_因子設定!$B$13="最大化",Q305,IF(01_因子設定!$B$13="最小化",-Q305,-ABS(Q305-01_因子設定!$B$16))),-1E+030)</f>
        <v>41.3987642045455</v>
      </c>
      <c r="Y305" s="55" t="n">
        <f aca="false">W305+ROW()*0.000000001</f>
        <v>-8.26610350612535</v>
      </c>
      <c r="Z305" s="55" t="n">
        <f aca="false">X305+ROW()*0.000000001</f>
        <v>41.3987645095455</v>
      </c>
    </row>
    <row r="306" customFormat="false" ht="15" hidden="false" customHeight="false" outlineLevel="0" collapsed="false">
      <c r="A306" s="0" t="n">
        <v>1</v>
      </c>
      <c r="B306" s="0" t="n">
        <v>0</v>
      </c>
      <c r="C306" s="0" t="n">
        <v>12</v>
      </c>
      <c r="D306" s="0" t="n">
        <f aca="false">-1+A306*0.125</f>
        <v>-0.875</v>
      </c>
      <c r="E306" s="0" t="n">
        <f aca="false">-1+B306*0.125</f>
        <v>-1</v>
      </c>
      <c r="F306" s="0" t="n">
        <f aca="false">-1+C306*0.125</f>
        <v>0.5</v>
      </c>
      <c r="G306" s="0" t="n">
        <f aca="false">1</f>
        <v>1</v>
      </c>
      <c r="H306" s="0" t="n">
        <f aca="false">D306</f>
        <v>-0.875</v>
      </c>
      <c r="I306" s="0" t="n">
        <f aca="false">E306</f>
        <v>-1</v>
      </c>
      <c r="J306" s="0" t="n">
        <f aca="false">F306</f>
        <v>0.5</v>
      </c>
      <c r="K306" s="0" t="n">
        <f aca="false">D306*E306</f>
        <v>0.875</v>
      </c>
      <c r="L306" s="0" t="n">
        <f aca="false">D306*F306</f>
        <v>-0.4375</v>
      </c>
      <c r="M306" s="0" t="n">
        <f aca="false">E306*F306</f>
        <v>-0.5</v>
      </c>
      <c r="N306" s="0" t="n">
        <f aca="false">D306*D306</f>
        <v>0.765625</v>
      </c>
      <c r="O306" s="0" t="n">
        <f aca="false">E306*E306</f>
        <v>1</v>
      </c>
      <c r="P306" s="0" t="n">
        <f aca="false">F306*F306</f>
        <v>0.25</v>
      </c>
      <c r="Q306" s="0" t="n">
        <f aca="false">SUMPRODUCT(G306:P306,_XtX!$B$71:$K$71)</f>
        <v>41.40265625</v>
      </c>
      <c r="R306" s="0" t="n">
        <f aca="false">SUMPRODUCT(MMULT(G306:P306,_XtX!$B$58:$K$67),G306:P306)</f>
        <v>0.55771484375</v>
      </c>
      <c r="S306" s="0" t="n">
        <f aca="false">04_回帰ANOVA!$K$19*04_回帰ANOVA!$K$14*SQRT(1+R306)</f>
        <v>1.16040773556467</v>
      </c>
      <c r="T306" s="0" t="n">
        <f aca="false">Q306-S306</f>
        <v>40.2422485144353</v>
      </c>
      <c r="U306" s="0" t="n">
        <f aca="false">Q306+S306</f>
        <v>42.5630639855647</v>
      </c>
      <c r="V306" s="54" t="b">
        <f aca="false">AND(D306&gt;=01_因子設定!$L$5-0.000000001,D306&lt;=01_因子設定!$M$5+0.000000001,E306&gt;=01_因子設定!$L$6-0.000000001,E306&lt;=01_因子設定!$M$6+0.000000001,F306&gt;=01_因子設定!$L$7-0.000000001,F306&lt;=01_因子設定!$M$7+0.000000001,IF(01_因子設定!$B$20="Box-Behnken",D306^2+E306^2+F306^2&lt;=2+0.000000001,TRUE()))</f>
        <v>1</v>
      </c>
      <c r="W306" s="55" t="n">
        <f aca="false">IF(V306,IF(01_因子設定!$B$13="最大化",T306-01_因子設定!$B$14,IF(01_因子設定!$B$13="最小化",01_因子設定!$B$15-U306,MIN(T306-01_因子設定!$B$14,01_因子設定!$B$15-U306))),-1E+030)</f>
        <v>-8.25775148556468</v>
      </c>
      <c r="X306" s="55" t="n">
        <f aca="false">IF(V306,IF(01_因子設定!$B$13="最大化",Q306,IF(01_因子設定!$B$13="最小化",-Q306,-ABS(Q306-01_因子設定!$B$16))),-1E+030)</f>
        <v>41.40265625</v>
      </c>
      <c r="Y306" s="55" t="n">
        <f aca="false">W306+ROW()*0.000000001</f>
        <v>-8.25775117956468</v>
      </c>
      <c r="Z306" s="55" t="n">
        <f aca="false">X306+ROW()*0.000000001</f>
        <v>41.402656556</v>
      </c>
    </row>
    <row r="307" customFormat="false" ht="15" hidden="false" customHeight="false" outlineLevel="0" collapsed="false">
      <c r="A307" s="0" t="n">
        <v>1</v>
      </c>
      <c r="B307" s="0" t="n">
        <v>0</v>
      </c>
      <c r="C307" s="0" t="n">
        <v>13</v>
      </c>
      <c r="D307" s="0" t="n">
        <f aca="false">-1+A307*0.125</f>
        <v>-0.875</v>
      </c>
      <c r="E307" s="0" t="n">
        <f aca="false">-1+B307*0.125</f>
        <v>-1</v>
      </c>
      <c r="F307" s="0" t="n">
        <f aca="false">-1+C307*0.125</f>
        <v>0.625</v>
      </c>
      <c r="G307" s="0" t="n">
        <f aca="false">1</f>
        <v>1</v>
      </c>
      <c r="H307" s="0" t="n">
        <f aca="false">D307</f>
        <v>-0.875</v>
      </c>
      <c r="I307" s="0" t="n">
        <f aca="false">E307</f>
        <v>-1</v>
      </c>
      <c r="J307" s="0" t="n">
        <f aca="false">F307</f>
        <v>0.625</v>
      </c>
      <c r="K307" s="0" t="n">
        <f aca="false">D307*E307</f>
        <v>0.875</v>
      </c>
      <c r="L307" s="0" t="n">
        <f aca="false">D307*F307</f>
        <v>-0.546875</v>
      </c>
      <c r="M307" s="0" t="n">
        <f aca="false">E307*F307</f>
        <v>-0.625</v>
      </c>
      <c r="N307" s="0" t="n">
        <f aca="false">D307*D307</f>
        <v>0.765625</v>
      </c>
      <c r="O307" s="0" t="n">
        <f aca="false">E307*E307</f>
        <v>1</v>
      </c>
      <c r="P307" s="0" t="n">
        <f aca="false">F307*F307</f>
        <v>0.390625</v>
      </c>
      <c r="Q307" s="0" t="n">
        <f aca="false">SUMPRODUCT(G307:P307,_XtX!$B$71:$K$71)</f>
        <v>41.3697585227273</v>
      </c>
      <c r="R307" s="0" t="n">
        <f aca="false">SUMPRODUCT(MMULT(G307:P307,_XtX!$B$58:$K$67),G307:P307)</f>
        <v>0.555073131214489</v>
      </c>
      <c r="S307" s="0" t="n">
        <f aca="false">04_回帰ANOVA!$K$19*04_回帰ANOVA!$K$14*SQRT(1+R307)</f>
        <v>1.15942335628341</v>
      </c>
      <c r="T307" s="0" t="n">
        <f aca="false">Q307-S307</f>
        <v>40.2103351664439</v>
      </c>
      <c r="U307" s="0" t="n">
        <f aca="false">Q307+S307</f>
        <v>42.5291818790107</v>
      </c>
      <c r="V307" s="54" t="b">
        <f aca="false">AND(D307&gt;=01_因子設定!$L$5-0.000000001,D307&lt;=01_因子設定!$M$5+0.000000001,E307&gt;=01_因子設定!$L$6-0.000000001,E307&lt;=01_因子設定!$M$6+0.000000001,F307&gt;=01_因子設定!$L$7-0.000000001,F307&lt;=01_因子設定!$M$7+0.000000001,IF(01_因子設定!$B$20="Box-Behnken",D307^2+E307^2+F307^2&lt;=2+0.000000001,TRUE()))</f>
        <v>1</v>
      </c>
      <c r="W307" s="55" t="n">
        <f aca="false">IF(V307,IF(01_因子設定!$B$13="最大化",T307-01_因子設定!$B$14,IF(01_因子設定!$B$13="最小化",01_因子設定!$B$15-U307,MIN(T307-01_因子設定!$B$14,01_因子設定!$B$15-U307))),-1E+030)</f>
        <v>-8.28966483355613</v>
      </c>
      <c r="X307" s="55" t="n">
        <f aca="false">IF(V307,IF(01_因子設定!$B$13="最大化",Q307,IF(01_因子設定!$B$13="最小化",-Q307,-ABS(Q307-01_因子設定!$B$16))),-1E+030)</f>
        <v>41.3697585227273</v>
      </c>
      <c r="Y307" s="55" t="n">
        <f aca="false">W307+ROW()*0.000000001</f>
        <v>-8.28966452655613</v>
      </c>
      <c r="Z307" s="55" t="n">
        <f aca="false">X307+ROW()*0.000000001</f>
        <v>41.3697588297273</v>
      </c>
    </row>
    <row r="308" customFormat="false" ht="15" hidden="false" customHeight="false" outlineLevel="0" collapsed="false">
      <c r="A308" s="0" t="n">
        <v>1</v>
      </c>
      <c r="B308" s="0" t="n">
        <v>0</v>
      </c>
      <c r="C308" s="0" t="n">
        <v>14</v>
      </c>
      <c r="D308" s="0" t="n">
        <f aca="false">-1+A308*0.125</f>
        <v>-0.875</v>
      </c>
      <c r="E308" s="0" t="n">
        <f aca="false">-1+B308*0.125</f>
        <v>-1</v>
      </c>
      <c r="F308" s="0" t="n">
        <f aca="false">-1+C308*0.125</f>
        <v>0.75</v>
      </c>
      <c r="G308" s="0" t="n">
        <f aca="false">1</f>
        <v>1</v>
      </c>
      <c r="H308" s="0" t="n">
        <f aca="false">D308</f>
        <v>-0.875</v>
      </c>
      <c r="I308" s="0" t="n">
        <f aca="false">E308</f>
        <v>-1</v>
      </c>
      <c r="J308" s="0" t="n">
        <f aca="false">F308</f>
        <v>0.75</v>
      </c>
      <c r="K308" s="0" t="n">
        <f aca="false">D308*E308</f>
        <v>0.875</v>
      </c>
      <c r="L308" s="0" t="n">
        <f aca="false">D308*F308</f>
        <v>-0.65625</v>
      </c>
      <c r="M308" s="0" t="n">
        <f aca="false">E308*F308</f>
        <v>-0.75</v>
      </c>
      <c r="N308" s="0" t="n">
        <f aca="false">D308*D308</f>
        <v>0.765625</v>
      </c>
      <c r="O308" s="0" t="n">
        <f aca="false">E308*E308</f>
        <v>1</v>
      </c>
      <c r="P308" s="0" t="n">
        <f aca="false">F308*F308</f>
        <v>0.5625</v>
      </c>
      <c r="Q308" s="0" t="n">
        <f aca="false">SUMPRODUCT(G308:P308,_XtX!$B$71:$K$71)</f>
        <v>41.3000710227273</v>
      </c>
      <c r="R308" s="0" t="n">
        <f aca="false">SUMPRODUCT(MMULT(G308:P308,_XtX!$B$58:$K$67),G308:P308)</f>
        <v>0.571375621448864</v>
      </c>
      <c r="S308" s="0" t="n">
        <f aca="false">04_回帰ANOVA!$K$19*04_回帰ANOVA!$K$14*SQRT(1+R308)</f>
        <v>1.16548487437682</v>
      </c>
      <c r="T308" s="0" t="n">
        <f aca="false">Q308-S308</f>
        <v>40.1345861483505</v>
      </c>
      <c r="U308" s="0" t="n">
        <f aca="false">Q308+S308</f>
        <v>42.4655558971041</v>
      </c>
      <c r="V308" s="54" t="b">
        <f aca="false">AND(D308&gt;=01_因子設定!$L$5-0.000000001,D308&lt;=01_因子設定!$M$5+0.000000001,E308&gt;=01_因子設定!$L$6-0.000000001,E308&lt;=01_因子設定!$M$6+0.000000001,F308&gt;=01_因子設定!$L$7-0.000000001,F308&lt;=01_因子設定!$M$7+0.000000001,IF(01_因子設定!$B$20="Box-Behnken",D308^2+E308^2+F308^2&lt;=2+0.000000001,TRUE()))</f>
        <v>1</v>
      </c>
      <c r="W308" s="55" t="n">
        <f aca="false">IF(V308,IF(01_因子設定!$B$13="最大化",T308-01_因子設定!$B$14,IF(01_因子設定!$B$13="最小化",01_因子設定!$B$15-U308,MIN(T308-01_因子設定!$B$14,01_因子設定!$B$15-U308))),-1E+030)</f>
        <v>-8.36541385164954</v>
      </c>
      <c r="X308" s="55" t="n">
        <f aca="false">IF(V308,IF(01_因子設定!$B$13="最大化",Q308,IF(01_因子設定!$B$13="最小化",-Q308,-ABS(Q308-01_因子設定!$B$16))),-1E+030)</f>
        <v>41.3000710227273</v>
      </c>
      <c r="Y308" s="55" t="n">
        <f aca="false">W308+ROW()*0.000000001</f>
        <v>-8.36541354364953</v>
      </c>
      <c r="Z308" s="55" t="n">
        <f aca="false">X308+ROW()*0.000000001</f>
        <v>41.3000713307273</v>
      </c>
    </row>
    <row r="309" customFormat="false" ht="15" hidden="false" customHeight="false" outlineLevel="0" collapsed="false">
      <c r="A309" s="0" t="n">
        <v>1</v>
      </c>
      <c r="B309" s="0" t="n">
        <v>0</v>
      </c>
      <c r="C309" s="0" t="n">
        <v>15</v>
      </c>
      <c r="D309" s="0" t="n">
        <f aca="false">-1+A309*0.125</f>
        <v>-0.875</v>
      </c>
      <c r="E309" s="0" t="n">
        <f aca="false">-1+B309*0.125</f>
        <v>-1</v>
      </c>
      <c r="F309" s="0" t="n">
        <f aca="false">-1+C309*0.125</f>
        <v>0.875</v>
      </c>
      <c r="G309" s="0" t="n">
        <f aca="false">1</f>
        <v>1</v>
      </c>
      <c r="H309" s="0" t="n">
        <f aca="false">D309</f>
        <v>-0.875</v>
      </c>
      <c r="I309" s="0" t="n">
        <f aca="false">E309</f>
        <v>-1</v>
      </c>
      <c r="J309" s="0" t="n">
        <f aca="false">F309</f>
        <v>0.875</v>
      </c>
      <c r="K309" s="0" t="n">
        <f aca="false">D309*E309</f>
        <v>0.875</v>
      </c>
      <c r="L309" s="0" t="n">
        <f aca="false">D309*F309</f>
        <v>-0.765625</v>
      </c>
      <c r="M309" s="0" t="n">
        <f aca="false">E309*F309</f>
        <v>-0.875</v>
      </c>
      <c r="N309" s="0" t="n">
        <f aca="false">D309*D309</f>
        <v>0.765625</v>
      </c>
      <c r="O309" s="0" t="n">
        <f aca="false">E309*E309</f>
        <v>1</v>
      </c>
      <c r="P309" s="0" t="n">
        <f aca="false">F309*F309</f>
        <v>0.765625</v>
      </c>
      <c r="Q309" s="0" t="n">
        <f aca="false">SUMPRODUCT(G309:P309,_XtX!$B$71:$K$71)</f>
        <v>41.19359375</v>
      </c>
      <c r="R309" s="0" t="n">
        <f aca="false">SUMPRODUCT(MMULT(G309:P309,_XtX!$B$58:$K$67),G309:P309)</f>
        <v>0.618341064453125</v>
      </c>
      <c r="S309" s="0" t="n">
        <f aca="false">04_回帰ANOVA!$K$19*04_回帰ANOVA!$K$14*SQRT(1+R309)</f>
        <v>1.18277371124466</v>
      </c>
      <c r="T309" s="0" t="n">
        <f aca="false">Q309-S309</f>
        <v>40.0108200387554</v>
      </c>
      <c r="U309" s="0" t="n">
        <f aca="false">Q309+S309</f>
        <v>42.3763674612447</v>
      </c>
      <c r="V309" s="54" t="b">
        <f aca="false">AND(D309&gt;=01_因子設定!$L$5-0.000000001,D309&lt;=01_因子設定!$M$5+0.000000001,E309&gt;=01_因子設定!$L$6-0.000000001,E309&lt;=01_因子設定!$M$6+0.000000001,F309&gt;=01_因子設定!$L$7-0.000000001,F309&lt;=01_因子設定!$M$7+0.000000001,IF(01_因子設定!$B$20="Box-Behnken",D309^2+E309^2+F309^2&lt;=2+0.000000001,TRUE()))</f>
        <v>1</v>
      </c>
      <c r="W309" s="55" t="n">
        <f aca="false">IF(V309,IF(01_因子設定!$B$13="最大化",T309-01_因子設定!$B$14,IF(01_因子設定!$B$13="最小化",01_因子設定!$B$15-U309,MIN(T309-01_因子設定!$B$14,01_因子設定!$B$15-U309))),-1E+030)</f>
        <v>-8.48917996124465</v>
      </c>
      <c r="X309" s="55" t="n">
        <f aca="false">IF(V309,IF(01_因子設定!$B$13="最大化",Q309,IF(01_因子設定!$B$13="最小化",-Q309,-ABS(Q309-01_因子設定!$B$16))),-1E+030)</f>
        <v>41.19359375</v>
      </c>
      <c r="Y309" s="55" t="n">
        <f aca="false">W309+ROW()*0.000000001</f>
        <v>-8.48917965224465</v>
      </c>
      <c r="Z309" s="55" t="n">
        <f aca="false">X309+ROW()*0.000000001</f>
        <v>41.193594059</v>
      </c>
    </row>
    <row r="310" customFormat="false" ht="15" hidden="false" customHeight="false" outlineLevel="0" collapsed="false">
      <c r="A310" s="0" t="n">
        <v>1</v>
      </c>
      <c r="B310" s="0" t="n">
        <v>0</v>
      </c>
      <c r="C310" s="0" t="n">
        <v>16</v>
      </c>
      <c r="D310" s="0" t="n">
        <f aca="false">-1+A310*0.125</f>
        <v>-0.875</v>
      </c>
      <c r="E310" s="0" t="n">
        <f aca="false">-1+B310*0.125</f>
        <v>-1</v>
      </c>
      <c r="F310" s="0" t="n">
        <f aca="false">-1+C310*0.125</f>
        <v>1</v>
      </c>
      <c r="G310" s="0" t="n">
        <f aca="false">1</f>
        <v>1</v>
      </c>
      <c r="H310" s="0" t="n">
        <f aca="false">D310</f>
        <v>-0.875</v>
      </c>
      <c r="I310" s="0" t="n">
        <f aca="false">E310</f>
        <v>-1</v>
      </c>
      <c r="J310" s="0" t="n">
        <f aca="false">F310</f>
        <v>1</v>
      </c>
      <c r="K310" s="0" t="n">
        <f aca="false">D310*E310</f>
        <v>0.875</v>
      </c>
      <c r="L310" s="0" t="n">
        <f aca="false">D310*F310</f>
        <v>-0.875</v>
      </c>
      <c r="M310" s="0" t="n">
        <f aca="false">E310*F310</f>
        <v>-1</v>
      </c>
      <c r="N310" s="0" t="n">
        <f aca="false">D310*D310</f>
        <v>0.765625</v>
      </c>
      <c r="O310" s="0" t="n">
        <f aca="false">E310*E310</f>
        <v>1</v>
      </c>
      <c r="P310" s="0" t="n">
        <f aca="false">F310*F310</f>
        <v>1</v>
      </c>
      <c r="Q310" s="0" t="n">
        <f aca="false">SUMPRODUCT(G310:P310,_XtX!$B$71:$K$71)</f>
        <v>41.0503267045455</v>
      </c>
      <c r="R310" s="0" t="n">
        <f aca="false">SUMPRODUCT(MMULT(G310:P310,_XtX!$B$58:$K$67),G310:P310)</f>
        <v>0.709818892045455</v>
      </c>
      <c r="S310" s="0" t="n">
        <f aca="false">04_回帰ANOVA!$K$19*04_回帰ANOVA!$K$14*SQRT(1+R310)</f>
        <v>1.21574275944458</v>
      </c>
      <c r="T310" s="0" t="n">
        <f aca="false">Q310-S310</f>
        <v>39.8345839451009</v>
      </c>
      <c r="U310" s="0" t="n">
        <f aca="false">Q310+S310</f>
        <v>42.2660694639901</v>
      </c>
      <c r="V310" s="54" t="b">
        <f aca="false">AND(D310&gt;=01_因子設定!$L$5-0.000000001,D310&lt;=01_因子設定!$M$5+0.000000001,E310&gt;=01_因子設定!$L$6-0.000000001,E310&lt;=01_因子設定!$M$6+0.000000001,F310&gt;=01_因子設定!$L$7-0.000000001,F310&lt;=01_因子設定!$M$7+0.000000001,IF(01_因子設定!$B$20="Box-Behnken",D310^2+E310^2+F310^2&lt;=2+0.000000001,TRUE()))</f>
        <v>1</v>
      </c>
      <c r="W310" s="55" t="n">
        <f aca="false">IF(V310,IF(01_因子設定!$B$13="最大化",T310-01_因子設定!$B$14,IF(01_因子設定!$B$13="最小化",01_因子設定!$B$15-U310,MIN(T310-01_因子設定!$B$14,01_因子設定!$B$15-U310))),-1E+030)</f>
        <v>-8.66541605489911</v>
      </c>
      <c r="X310" s="55" t="n">
        <f aca="false">IF(V310,IF(01_因子設定!$B$13="最大化",Q310,IF(01_因子設定!$B$13="最小化",-Q310,-ABS(Q310-01_因子設定!$B$16))),-1E+030)</f>
        <v>41.0503267045455</v>
      </c>
      <c r="Y310" s="55" t="n">
        <f aca="false">W310+ROW()*0.000000001</f>
        <v>-8.66541574489911</v>
      </c>
      <c r="Z310" s="55" t="n">
        <f aca="false">X310+ROW()*0.000000001</f>
        <v>41.0503270145455</v>
      </c>
    </row>
    <row r="311" customFormat="false" ht="15" hidden="false" customHeight="false" outlineLevel="0" collapsed="false">
      <c r="A311" s="0" t="n">
        <v>1</v>
      </c>
      <c r="B311" s="0" t="n">
        <v>1</v>
      </c>
      <c r="C311" s="0" t="n">
        <v>0</v>
      </c>
      <c r="D311" s="0" t="n">
        <f aca="false">-1+A311*0.125</f>
        <v>-0.875</v>
      </c>
      <c r="E311" s="0" t="n">
        <f aca="false">-1+B311*0.125</f>
        <v>-0.875</v>
      </c>
      <c r="F311" s="0" t="n">
        <f aca="false">-1+C311*0.125</f>
        <v>-1</v>
      </c>
      <c r="G311" s="0" t="n">
        <f aca="false">1</f>
        <v>1</v>
      </c>
      <c r="H311" s="0" t="n">
        <f aca="false">D311</f>
        <v>-0.875</v>
      </c>
      <c r="I311" s="0" t="n">
        <f aca="false">E311</f>
        <v>-0.875</v>
      </c>
      <c r="J311" s="0" t="n">
        <f aca="false">F311</f>
        <v>-1</v>
      </c>
      <c r="K311" s="0" t="n">
        <f aca="false">D311*E311</f>
        <v>0.765625</v>
      </c>
      <c r="L311" s="0" t="n">
        <f aca="false">D311*F311</f>
        <v>0.875</v>
      </c>
      <c r="M311" s="0" t="n">
        <f aca="false">E311*F311</f>
        <v>0.875</v>
      </c>
      <c r="N311" s="0" t="n">
        <f aca="false">D311*D311</f>
        <v>0.765625</v>
      </c>
      <c r="O311" s="0" t="n">
        <f aca="false">E311*E311</f>
        <v>0.765625</v>
      </c>
      <c r="P311" s="0" t="n">
        <f aca="false">F311*F311</f>
        <v>1</v>
      </c>
      <c r="Q311" s="0" t="n">
        <f aca="false">SUMPRODUCT(G311:P311,_XtX!$B$71:$K$71)</f>
        <v>39.471484375</v>
      </c>
      <c r="R311" s="0" t="n">
        <f aca="false">SUMPRODUCT(MMULT(G311:P311,_XtX!$B$58:$K$67),G311:P311)</f>
        <v>0.618341064453125</v>
      </c>
      <c r="S311" s="0" t="n">
        <f aca="false">04_回帰ANOVA!$K$19*04_回帰ANOVA!$K$14*SQRT(1+R311)</f>
        <v>1.18277371124466</v>
      </c>
      <c r="T311" s="0" t="n">
        <f aca="false">Q311-S311</f>
        <v>38.2887106637554</v>
      </c>
      <c r="U311" s="0" t="n">
        <f aca="false">Q311+S311</f>
        <v>40.6542580862447</v>
      </c>
      <c r="V311" s="54" t="b">
        <f aca="false">AND(D311&gt;=01_因子設定!$L$5-0.000000001,D311&lt;=01_因子設定!$M$5+0.000000001,E311&gt;=01_因子設定!$L$6-0.000000001,E311&lt;=01_因子設定!$M$6+0.000000001,F311&gt;=01_因子設定!$L$7-0.000000001,F311&lt;=01_因子設定!$M$7+0.000000001,IF(01_因子設定!$B$20="Box-Behnken",D311^2+E311^2+F311^2&lt;=2+0.000000001,TRUE()))</f>
        <v>1</v>
      </c>
      <c r="W311" s="55" t="n">
        <f aca="false">IF(V311,IF(01_因子設定!$B$13="最大化",T311-01_因子設定!$B$14,IF(01_因子設定!$B$13="最小化",01_因子設定!$B$15-U311,MIN(T311-01_因子設定!$B$14,01_因子設定!$B$15-U311))),-1E+030)</f>
        <v>-10.2112893362446</v>
      </c>
      <c r="X311" s="55" t="n">
        <f aca="false">IF(V311,IF(01_因子設定!$B$13="最大化",Q311,IF(01_因子設定!$B$13="最小化",-Q311,-ABS(Q311-01_因子設定!$B$16))),-1E+030)</f>
        <v>39.471484375</v>
      </c>
      <c r="Y311" s="55" t="n">
        <f aca="false">W311+ROW()*0.000000001</f>
        <v>-10.2112890252446</v>
      </c>
      <c r="Z311" s="55" t="n">
        <f aca="false">X311+ROW()*0.000000001</f>
        <v>39.471484686</v>
      </c>
    </row>
    <row r="312" customFormat="false" ht="15" hidden="false" customHeight="false" outlineLevel="0" collapsed="false">
      <c r="A312" s="0" t="n">
        <v>1</v>
      </c>
      <c r="B312" s="0" t="n">
        <v>1</v>
      </c>
      <c r="C312" s="0" t="n">
        <v>1</v>
      </c>
      <c r="D312" s="0" t="n">
        <f aca="false">-1+A312*0.125</f>
        <v>-0.875</v>
      </c>
      <c r="E312" s="0" t="n">
        <f aca="false">-1+B312*0.125</f>
        <v>-0.875</v>
      </c>
      <c r="F312" s="0" t="n">
        <f aca="false">-1+C312*0.125</f>
        <v>-0.875</v>
      </c>
      <c r="G312" s="0" t="n">
        <f aca="false">1</f>
        <v>1</v>
      </c>
      <c r="H312" s="0" t="n">
        <f aca="false">D312</f>
        <v>-0.875</v>
      </c>
      <c r="I312" s="0" t="n">
        <f aca="false">E312</f>
        <v>-0.875</v>
      </c>
      <c r="J312" s="0" t="n">
        <f aca="false">F312</f>
        <v>-0.875</v>
      </c>
      <c r="K312" s="0" t="n">
        <f aca="false">D312*E312</f>
        <v>0.765625</v>
      </c>
      <c r="L312" s="0" t="n">
        <f aca="false">D312*F312</f>
        <v>0.765625</v>
      </c>
      <c r="M312" s="0" t="n">
        <f aca="false">E312*F312</f>
        <v>0.765625</v>
      </c>
      <c r="N312" s="0" t="n">
        <f aca="false">D312*D312</f>
        <v>0.765625</v>
      </c>
      <c r="O312" s="0" t="n">
        <f aca="false">E312*E312</f>
        <v>0.765625</v>
      </c>
      <c r="P312" s="0" t="n">
        <f aca="false">F312*F312</f>
        <v>0.765625</v>
      </c>
      <c r="Q312" s="0" t="n">
        <f aca="false">SUMPRODUCT(G312:P312,_XtX!$B$71:$K$71)</f>
        <v>39.8870951704546</v>
      </c>
      <c r="R312" s="0" t="n">
        <f aca="false">SUMPRODUCT(MMULT(G312:P312,_XtX!$B$58:$K$67),G312:P312)</f>
        <v>0.51874833540483</v>
      </c>
      <c r="S312" s="0" t="n">
        <f aca="false">04_回帰ANOVA!$K$19*04_回帰ANOVA!$K$14*SQRT(1+R312)</f>
        <v>1.14580191439368</v>
      </c>
      <c r="T312" s="0" t="n">
        <f aca="false">Q312-S312</f>
        <v>38.7412932560609</v>
      </c>
      <c r="U312" s="0" t="n">
        <f aca="false">Q312+S312</f>
        <v>41.0328970848482</v>
      </c>
      <c r="V312" s="54" t="b">
        <f aca="false">AND(D312&gt;=01_因子設定!$L$5-0.000000001,D312&lt;=01_因子設定!$M$5+0.000000001,E312&gt;=01_因子設定!$L$6-0.000000001,E312&lt;=01_因子設定!$M$6+0.000000001,F312&gt;=01_因子設定!$L$7-0.000000001,F312&lt;=01_因子設定!$M$7+0.000000001,IF(01_因子設定!$B$20="Box-Behnken",D312^2+E312^2+F312^2&lt;=2+0.000000001,TRUE()))</f>
        <v>1</v>
      </c>
      <c r="W312" s="55" t="n">
        <f aca="false">IF(V312,IF(01_因子設定!$B$13="最大化",T312-01_因子設定!$B$14,IF(01_因子設定!$B$13="最小化",01_因子設定!$B$15-U312,MIN(T312-01_因子設定!$B$14,01_因子設定!$B$15-U312))),-1E+030)</f>
        <v>-9.75870674393912</v>
      </c>
      <c r="X312" s="55" t="n">
        <f aca="false">IF(V312,IF(01_因子設定!$B$13="最大化",Q312,IF(01_因子設定!$B$13="最小化",-Q312,-ABS(Q312-01_因子設定!$B$16))),-1E+030)</f>
        <v>39.8870951704546</v>
      </c>
      <c r="Y312" s="55" t="n">
        <f aca="false">W312+ROW()*0.000000001</f>
        <v>-9.75870643193912</v>
      </c>
      <c r="Z312" s="55" t="n">
        <f aca="false">X312+ROW()*0.000000001</f>
        <v>39.8870954824546</v>
      </c>
    </row>
    <row r="313" customFormat="false" ht="15" hidden="false" customHeight="false" outlineLevel="0" collapsed="false">
      <c r="A313" s="0" t="n">
        <v>1</v>
      </c>
      <c r="B313" s="0" t="n">
        <v>1</v>
      </c>
      <c r="C313" s="0" t="n">
        <v>2</v>
      </c>
      <c r="D313" s="0" t="n">
        <f aca="false">-1+A313*0.125</f>
        <v>-0.875</v>
      </c>
      <c r="E313" s="0" t="n">
        <f aca="false">-1+B313*0.125</f>
        <v>-0.875</v>
      </c>
      <c r="F313" s="0" t="n">
        <f aca="false">-1+C313*0.125</f>
        <v>-0.75</v>
      </c>
      <c r="G313" s="0" t="n">
        <f aca="false">1</f>
        <v>1</v>
      </c>
      <c r="H313" s="0" t="n">
        <f aca="false">D313</f>
        <v>-0.875</v>
      </c>
      <c r="I313" s="0" t="n">
        <f aca="false">E313</f>
        <v>-0.875</v>
      </c>
      <c r="J313" s="0" t="n">
        <f aca="false">F313</f>
        <v>-0.75</v>
      </c>
      <c r="K313" s="0" t="n">
        <f aca="false">D313*E313</f>
        <v>0.765625</v>
      </c>
      <c r="L313" s="0" t="n">
        <f aca="false">D313*F313</f>
        <v>0.65625</v>
      </c>
      <c r="M313" s="0" t="n">
        <f aca="false">E313*F313</f>
        <v>0.65625</v>
      </c>
      <c r="N313" s="0" t="n">
        <f aca="false">D313*D313</f>
        <v>0.765625</v>
      </c>
      <c r="O313" s="0" t="n">
        <f aca="false">E313*E313</f>
        <v>0.765625</v>
      </c>
      <c r="P313" s="0" t="n">
        <f aca="false">F313*F313</f>
        <v>0.5625</v>
      </c>
      <c r="Q313" s="0" t="n">
        <f aca="false">SUMPRODUCT(G313:P313,_XtX!$B$71:$K$71)</f>
        <v>40.2659161931818</v>
      </c>
      <c r="R313" s="0" t="n">
        <f aca="false">SUMPRODUCT(MMULT(G313:P313,_XtX!$B$58:$K$67),G313:P313)</f>
        <v>0.464749977805398</v>
      </c>
      <c r="S313" s="0" t="n">
        <f aca="false">04_回帰ANOVA!$K$19*04_回帰ANOVA!$K$14*SQRT(1+R313)</f>
        <v>1.12524835342194</v>
      </c>
      <c r="T313" s="0" t="n">
        <f aca="false">Q313-S313</f>
        <v>39.1406678397599</v>
      </c>
      <c r="U313" s="0" t="n">
        <f aca="false">Q313+S313</f>
        <v>41.3911645466038</v>
      </c>
      <c r="V313" s="54" t="b">
        <f aca="false">AND(D313&gt;=01_因子設定!$L$5-0.000000001,D313&lt;=01_因子設定!$M$5+0.000000001,E313&gt;=01_因子設定!$L$6-0.000000001,E313&lt;=01_因子設定!$M$6+0.000000001,F313&gt;=01_因子設定!$L$7-0.000000001,F313&lt;=01_因子設定!$M$7+0.000000001,IF(01_因子設定!$B$20="Box-Behnken",D313^2+E313^2+F313^2&lt;=2+0.000000001,TRUE()))</f>
        <v>1</v>
      </c>
      <c r="W313" s="55" t="n">
        <f aca="false">IF(V313,IF(01_因子設定!$B$13="最大化",T313-01_因子設定!$B$14,IF(01_因子設定!$B$13="最小化",01_因子設定!$B$15-U313,MIN(T313-01_因子設定!$B$14,01_因子設定!$B$15-U313))),-1E+030)</f>
        <v>-9.35933216024012</v>
      </c>
      <c r="X313" s="55" t="n">
        <f aca="false">IF(V313,IF(01_因子設定!$B$13="最大化",Q313,IF(01_因子設定!$B$13="最小化",-Q313,-ABS(Q313-01_因子設定!$B$16))),-1E+030)</f>
        <v>40.2659161931818</v>
      </c>
      <c r="Y313" s="55" t="n">
        <f aca="false">W313+ROW()*0.000000001</f>
        <v>-9.35933184724012</v>
      </c>
      <c r="Z313" s="55" t="n">
        <f aca="false">X313+ROW()*0.000000001</f>
        <v>40.2659165061818</v>
      </c>
    </row>
    <row r="314" customFormat="false" ht="15" hidden="false" customHeight="false" outlineLevel="0" collapsed="false">
      <c r="A314" s="0" t="n">
        <v>1</v>
      </c>
      <c r="B314" s="0" t="n">
        <v>1</v>
      </c>
      <c r="C314" s="0" t="n">
        <v>3</v>
      </c>
      <c r="D314" s="0" t="n">
        <f aca="false">-1+A314*0.125</f>
        <v>-0.875</v>
      </c>
      <c r="E314" s="0" t="n">
        <f aca="false">-1+B314*0.125</f>
        <v>-0.875</v>
      </c>
      <c r="F314" s="0" t="n">
        <f aca="false">-1+C314*0.125</f>
        <v>-0.625</v>
      </c>
      <c r="G314" s="0" t="n">
        <f aca="false">1</f>
        <v>1</v>
      </c>
      <c r="H314" s="0" t="n">
        <f aca="false">D314</f>
        <v>-0.875</v>
      </c>
      <c r="I314" s="0" t="n">
        <f aca="false">E314</f>
        <v>-0.875</v>
      </c>
      <c r="J314" s="0" t="n">
        <f aca="false">F314</f>
        <v>-0.625</v>
      </c>
      <c r="K314" s="0" t="n">
        <f aca="false">D314*E314</f>
        <v>0.765625</v>
      </c>
      <c r="L314" s="0" t="n">
        <f aca="false">D314*F314</f>
        <v>0.546875</v>
      </c>
      <c r="M314" s="0" t="n">
        <f aca="false">E314*F314</f>
        <v>0.546875</v>
      </c>
      <c r="N314" s="0" t="n">
        <f aca="false">D314*D314</f>
        <v>0.765625</v>
      </c>
      <c r="O314" s="0" t="n">
        <f aca="false">E314*E314</f>
        <v>0.765625</v>
      </c>
      <c r="P314" s="0" t="n">
        <f aca="false">F314*F314</f>
        <v>0.390625</v>
      </c>
      <c r="Q314" s="0" t="n">
        <f aca="false">SUMPRODUCT(G314:P314,_XtX!$B$71:$K$71)</f>
        <v>40.6079474431818</v>
      </c>
      <c r="R314" s="0" t="n">
        <f aca="false">SUMPRODUCT(MMULT(G314:P314,_XtX!$B$58:$K$67),G314:P314)</f>
        <v>0.442496559836648</v>
      </c>
      <c r="S314" s="0" t="n">
        <f aca="false">04_回帰ANOVA!$K$19*04_回帰ANOVA!$K$14*SQRT(1+R314)</f>
        <v>1.11666789259284</v>
      </c>
      <c r="T314" s="0" t="n">
        <f aca="false">Q314-S314</f>
        <v>39.491279550589</v>
      </c>
      <c r="U314" s="0" t="n">
        <f aca="false">Q314+S314</f>
        <v>41.7246153357747</v>
      </c>
      <c r="V314" s="54" t="b">
        <f aca="false">AND(D314&gt;=01_因子設定!$L$5-0.000000001,D314&lt;=01_因子設定!$M$5+0.000000001,E314&gt;=01_因子設定!$L$6-0.000000001,E314&lt;=01_因子設定!$M$6+0.000000001,F314&gt;=01_因子設定!$L$7-0.000000001,F314&lt;=01_因子設定!$M$7+0.000000001,IF(01_因子設定!$B$20="Box-Behnken",D314^2+E314^2+F314^2&lt;=2+0.000000001,TRUE()))</f>
        <v>1</v>
      </c>
      <c r="W314" s="55" t="n">
        <f aca="false">IF(V314,IF(01_因子設定!$B$13="最大化",T314-01_因子設定!$B$14,IF(01_因子設定!$B$13="最小化",01_因子設定!$B$15-U314,MIN(T314-01_因子設定!$B$14,01_因子設定!$B$15-U314))),-1E+030)</f>
        <v>-9.00872044941102</v>
      </c>
      <c r="X314" s="55" t="n">
        <f aca="false">IF(V314,IF(01_因子設定!$B$13="最大化",Q314,IF(01_因子設定!$B$13="最小化",-Q314,-ABS(Q314-01_因子設定!$B$16))),-1E+030)</f>
        <v>40.6079474431818</v>
      </c>
      <c r="Y314" s="55" t="n">
        <f aca="false">W314+ROW()*0.000000001</f>
        <v>-9.00872013541102</v>
      </c>
      <c r="Z314" s="55" t="n">
        <f aca="false">X314+ROW()*0.000000001</f>
        <v>40.6079477571818</v>
      </c>
    </row>
    <row r="315" customFormat="false" ht="15" hidden="false" customHeight="false" outlineLevel="0" collapsed="false">
      <c r="A315" s="0" t="n">
        <v>1</v>
      </c>
      <c r="B315" s="0" t="n">
        <v>1</v>
      </c>
      <c r="C315" s="0" t="n">
        <v>4</v>
      </c>
      <c r="D315" s="0" t="n">
        <f aca="false">-1+A315*0.125</f>
        <v>-0.875</v>
      </c>
      <c r="E315" s="0" t="n">
        <f aca="false">-1+B315*0.125</f>
        <v>-0.875</v>
      </c>
      <c r="F315" s="0" t="n">
        <f aca="false">-1+C315*0.125</f>
        <v>-0.5</v>
      </c>
      <c r="G315" s="0" t="n">
        <f aca="false">1</f>
        <v>1</v>
      </c>
      <c r="H315" s="0" t="n">
        <f aca="false">D315</f>
        <v>-0.875</v>
      </c>
      <c r="I315" s="0" t="n">
        <f aca="false">E315</f>
        <v>-0.875</v>
      </c>
      <c r="J315" s="0" t="n">
        <f aca="false">F315</f>
        <v>-0.5</v>
      </c>
      <c r="K315" s="0" t="n">
        <f aca="false">D315*E315</f>
        <v>0.765625</v>
      </c>
      <c r="L315" s="0" t="n">
        <f aca="false">D315*F315</f>
        <v>0.4375</v>
      </c>
      <c r="M315" s="0" t="n">
        <f aca="false">E315*F315</f>
        <v>0.4375</v>
      </c>
      <c r="N315" s="0" t="n">
        <f aca="false">D315*D315</f>
        <v>0.765625</v>
      </c>
      <c r="O315" s="0" t="n">
        <f aca="false">E315*E315</f>
        <v>0.765625</v>
      </c>
      <c r="P315" s="0" t="n">
        <f aca="false">F315*F315</f>
        <v>0.25</v>
      </c>
      <c r="Q315" s="0" t="n">
        <f aca="false">SUMPRODUCT(G315:P315,_XtX!$B$71:$K$71)</f>
        <v>40.9131889204545</v>
      </c>
      <c r="R315" s="0" t="n">
        <f aca="false">SUMPRODUCT(MMULT(G315:P315,_XtX!$B$58:$K$67),G315:P315)</f>
        <v>0.44026933149858</v>
      </c>
      <c r="S315" s="0" t="n">
        <f aca="false">04_回帰ANOVA!$K$19*04_回帰ANOVA!$K$14*SQRT(1+R315)</f>
        <v>1.11580548667718</v>
      </c>
      <c r="T315" s="0" t="n">
        <f aca="false">Q315-S315</f>
        <v>39.7973834337774</v>
      </c>
      <c r="U315" s="0" t="n">
        <f aca="false">Q315+S315</f>
        <v>42.0289944071317</v>
      </c>
      <c r="V315" s="54" t="b">
        <f aca="false">AND(D315&gt;=01_因子設定!$L$5-0.000000001,D315&lt;=01_因子設定!$M$5+0.000000001,E315&gt;=01_因子設定!$L$6-0.000000001,E315&lt;=01_因子設定!$M$6+0.000000001,F315&gt;=01_因子設定!$L$7-0.000000001,F315&lt;=01_因子設定!$M$7+0.000000001,IF(01_因子設定!$B$20="Box-Behnken",D315^2+E315^2+F315^2&lt;=2+0.000000001,TRUE()))</f>
        <v>1</v>
      </c>
      <c r="W315" s="55" t="n">
        <f aca="false">IF(V315,IF(01_因子設定!$B$13="最大化",T315-01_因子設定!$B$14,IF(01_因子設定!$B$13="最小化",01_因子設定!$B$15-U315,MIN(T315-01_因子設定!$B$14,01_因子設定!$B$15-U315))),-1E+030)</f>
        <v>-8.70261656622264</v>
      </c>
      <c r="X315" s="55" t="n">
        <f aca="false">IF(V315,IF(01_因子設定!$B$13="最大化",Q315,IF(01_因子設定!$B$13="最小化",-Q315,-ABS(Q315-01_因子設定!$B$16))),-1E+030)</f>
        <v>40.9131889204545</v>
      </c>
      <c r="Y315" s="55" t="n">
        <f aca="false">W315+ROW()*0.000000001</f>
        <v>-8.70261625122264</v>
      </c>
      <c r="Z315" s="55" t="n">
        <f aca="false">X315+ROW()*0.000000001</f>
        <v>40.9131892354545</v>
      </c>
    </row>
    <row r="316" customFormat="false" ht="15" hidden="false" customHeight="false" outlineLevel="0" collapsed="false">
      <c r="A316" s="0" t="n">
        <v>1</v>
      </c>
      <c r="B316" s="0" t="n">
        <v>1</v>
      </c>
      <c r="C316" s="0" t="n">
        <v>5</v>
      </c>
      <c r="D316" s="0" t="n">
        <f aca="false">-1+A316*0.125</f>
        <v>-0.875</v>
      </c>
      <c r="E316" s="0" t="n">
        <f aca="false">-1+B316*0.125</f>
        <v>-0.875</v>
      </c>
      <c r="F316" s="0" t="n">
        <f aca="false">-1+C316*0.125</f>
        <v>-0.375</v>
      </c>
      <c r="G316" s="0" t="n">
        <f aca="false">1</f>
        <v>1</v>
      </c>
      <c r="H316" s="0" t="n">
        <f aca="false">D316</f>
        <v>-0.875</v>
      </c>
      <c r="I316" s="0" t="n">
        <f aca="false">E316</f>
        <v>-0.875</v>
      </c>
      <c r="J316" s="0" t="n">
        <f aca="false">F316</f>
        <v>-0.375</v>
      </c>
      <c r="K316" s="0" t="n">
        <f aca="false">D316*E316</f>
        <v>0.765625</v>
      </c>
      <c r="L316" s="0" t="n">
        <f aca="false">D316*F316</f>
        <v>0.328125</v>
      </c>
      <c r="M316" s="0" t="n">
        <f aca="false">E316*F316</f>
        <v>0.328125</v>
      </c>
      <c r="N316" s="0" t="n">
        <f aca="false">D316*D316</f>
        <v>0.765625</v>
      </c>
      <c r="O316" s="0" t="n">
        <f aca="false">E316*E316</f>
        <v>0.765625</v>
      </c>
      <c r="P316" s="0" t="n">
        <f aca="false">F316*F316</f>
        <v>0.140625</v>
      </c>
      <c r="Q316" s="0" t="n">
        <f aca="false">SUMPRODUCT(G316:P316,_XtX!$B$71:$K$71)</f>
        <v>41.181640625</v>
      </c>
      <c r="R316" s="0" t="n">
        <f aca="false">SUMPRODUCT(MMULT(G316:P316,_XtX!$B$58:$K$67),G316:P316)</f>
        <v>0.448480224609375</v>
      </c>
      <c r="S316" s="0" t="n">
        <f aca="false">04_回帰ANOVA!$K$19*04_回帰ANOVA!$K$14*SQRT(1+R316)</f>
        <v>1.11898153812985</v>
      </c>
      <c r="T316" s="0" t="n">
        <f aca="false">Q316-S316</f>
        <v>40.0626590868702</v>
      </c>
      <c r="U316" s="0" t="n">
        <f aca="false">Q316+S316</f>
        <v>42.3006221631298</v>
      </c>
      <c r="V316" s="54" t="b">
        <f aca="false">AND(D316&gt;=01_因子設定!$L$5-0.000000001,D316&lt;=01_因子設定!$M$5+0.000000001,E316&gt;=01_因子設定!$L$6-0.000000001,E316&lt;=01_因子設定!$M$6+0.000000001,F316&gt;=01_因子設定!$L$7-0.000000001,F316&lt;=01_因子設定!$M$7+0.000000001,IF(01_因子設定!$B$20="Box-Behnken",D316^2+E316^2+F316^2&lt;=2+0.000000001,TRUE()))</f>
        <v>1</v>
      </c>
      <c r="W316" s="55" t="n">
        <f aca="false">IF(V316,IF(01_因子設定!$B$13="最大化",T316-01_因子設定!$B$14,IF(01_因子設定!$B$13="最小化",01_因子設定!$B$15-U316,MIN(T316-01_因子設定!$B$14,01_因子設定!$B$15-U316))),-1E+030)</f>
        <v>-8.43734091312984</v>
      </c>
      <c r="X316" s="55" t="n">
        <f aca="false">IF(V316,IF(01_因子設定!$B$13="最大化",Q316,IF(01_因子設定!$B$13="最小化",-Q316,-ABS(Q316-01_因子設定!$B$16))),-1E+030)</f>
        <v>41.181640625</v>
      </c>
      <c r="Y316" s="55" t="n">
        <f aca="false">W316+ROW()*0.000000001</f>
        <v>-8.43734059712985</v>
      </c>
      <c r="Z316" s="55" t="n">
        <f aca="false">X316+ROW()*0.000000001</f>
        <v>41.181640941</v>
      </c>
    </row>
    <row r="317" customFormat="false" ht="15" hidden="false" customHeight="false" outlineLevel="0" collapsed="false">
      <c r="A317" s="0" t="n">
        <v>1</v>
      </c>
      <c r="B317" s="0" t="n">
        <v>1</v>
      </c>
      <c r="C317" s="0" t="n">
        <v>6</v>
      </c>
      <c r="D317" s="0" t="n">
        <f aca="false">-1+A317*0.125</f>
        <v>-0.875</v>
      </c>
      <c r="E317" s="0" t="n">
        <f aca="false">-1+B317*0.125</f>
        <v>-0.875</v>
      </c>
      <c r="F317" s="0" t="n">
        <f aca="false">-1+C317*0.125</f>
        <v>-0.25</v>
      </c>
      <c r="G317" s="0" t="n">
        <f aca="false">1</f>
        <v>1</v>
      </c>
      <c r="H317" s="0" t="n">
        <f aca="false">D317</f>
        <v>-0.875</v>
      </c>
      <c r="I317" s="0" t="n">
        <f aca="false">E317</f>
        <v>-0.875</v>
      </c>
      <c r="J317" s="0" t="n">
        <f aca="false">F317</f>
        <v>-0.25</v>
      </c>
      <c r="K317" s="0" t="n">
        <f aca="false">D317*E317</f>
        <v>0.765625</v>
      </c>
      <c r="L317" s="0" t="n">
        <f aca="false">D317*F317</f>
        <v>0.21875</v>
      </c>
      <c r="M317" s="0" t="n">
        <f aca="false">E317*F317</f>
        <v>0.21875</v>
      </c>
      <c r="N317" s="0" t="n">
        <f aca="false">D317*D317</f>
        <v>0.765625</v>
      </c>
      <c r="O317" s="0" t="n">
        <f aca="false">E317*E317</f>
        <v>0.765625</v>
      </c>
      <c r="P317" s="0" t="n">
        <f aca="false">F317*F317</f>
        <v>0.0625</v>
      </c>
      <c r="Q317" s="0" t="n">
        <f aca="false">SUMPRODUCT(G317:P317,_XtX!$B$71:$K$71)</f>
        <v>41.4133025568182</v>
      </c>
      <c r="R317" s="0" t="n">
        <f aca="false">SUMPRODUCT(MMULT(G317:P317,_XtX!$B$58:$K$67),G317:P317)</f>
        <v>0.459671852805398</v>
      </c>
      <c r="S317" s="0" t="n">
        <f aca="false">04_回帰ANOVA!$K$19*04_回帰ANOVA!$K$14*SQRT(1+R317)</f>
        <v>1.12329610455115</v>
      </c>
      <c r="T317" s="0" t="n">
        <f aca="false">Q317-S317</f>
        <v>40.290006452267</v>
      </c>
      <c r="U317" s="0" t="n">
        <f aca="false">Q317+S317</f>
        <v>42.5365986613693</v>
      </c>
      <c r="V317" s="54" t="b">
        <f aca="false">AND(D317&gt;=01_因子設定!$L$5-0.000000001,D317&lt;=01_因子設定!$M$5+0.000000001,E317&gt;=01_因子設定!$L$6-0.000000001,E317&lt;=01_因子設定!$M$6+0.000000001,F317&gt;=01_因子設定!$L$7-0.000000001,F317&lt;=01_因子設定!$M$7+0.000000001,IF(01_因子設定!$B$20="Box-Behnken",D317^2+E317^2+F317^2&lt;=2+0.000000001,TRUE()))</f>
        <v>1</v>
      </c>
      <c r="W317" s="55" t="n">
        <f aca="false">IF(V317,IF(01_因子設定!$B$13="最大化",T317-01_因子設定!$B$14,IF(01_因子設定!$B$13="最小化",01_因子設定!$B$15-U317,MIN(T317-01_因子設定!$B$14,01_因子設定!$B$15-U317))),-1E+030)</f>
        <v>-8.20999354773297</v>
      </c>
      <c r="X317" s="55" t="n">
        <f aca="false">IF(V317,IF(01_因子設定!$B$13="最大化",Q317,IF(01_因子設定!$B$13="最小化",-Q317,-ABS(Q317-01_因子設定!$B$16))),-1E+030)</f>
        <v>41.4133025568182</v>
      </c>
      <c r="Y317" s="55" t="n">
        <f aca="false">W317+ROW()*0.000000001</f>
        <v>-8.20999323073297</v>
      </c>
      <c r="Z317" s="55" t="n">
        <f aca="false">X317+ROW()*0.000000001</f>
        <v>41.4133028738182</v>
      </c>
    </row>
    <row r="318" customFormat="false" ht="15" hidden="false" customHeight="false" outlineLevel="0" collapsed="false">
      <c r="A318" s="0" t="n">
        <v>1</v>
      </c>
      <c r="B318" s="0" t="n">
        <v>1</v>
      </c>
      <c r="C318" s="0" t="n">
        <v>7</v>
      </c>
      <c r="D318" s="0" t="n">
        <f aca="false">-1+A318*0.125</f>
        <v>-0.875</v>
      </c>
      <c r="E318" s="0" t="n">
        <f aca="false">-1+B318*0.125</f>
        <v>-0.875</v>
      </c>
      <c r="F318" s="0" t="n">
        <f aca="false">-1+C318*0.125</f>
        <v>-0.125</v>
      </c>
      <c r="G318" s="0" t="n">
        <f aca="false">1</f>
        <v>1</v>
      </c>
      <c r="H318" s="0" t="n">
        <f aca="false">D318</f>
        <v>-0.875</v>
      </c>
      <c r="I318" s="0" t="n">
        <f aca="false">E318</f>
        <v>-0.875</v>
      </c>
      <c r="J318" s="0" t="n">
        <f aca="false">F318</f>
        <v>-0.125</v>
      </c>
      <c r="K318" s="0" t="n">
        <f aca="false">D318*E318</f>
        <v>0.765625</v>
      </c>
      <c r="L318" s="0" t="n">
        <f aca="false">D318*F318</f>
        <v>0.109375</v>
      </c>
      <c r="M318" s="0" t="n">
        <f aca="false">E318*F318</f>
        <v>0.109375</v>
      </c>
      <c r="N318" s="0" t="n">
        <f aca="false">D318*D318</f>
        <v>0.765625</v>
      </c>
      <c r="O318" s="0" t="n">
        <f aca="false">E318*E318</f>
        <v>0.765625</v>
      </c>
      <c r="P318" s="0" t="n">
        <f aca="false">F318*F318</f>
        <v>0.015625</v>
      </c>
      <c r="Q318" s="0" t="n">
        <f aca="false">SUMPRODUCT(G318:P318,_XtX!$B$71:$K$71)</f>
        <v>41.6081747159091</v>
      </c>
      <c r="R318" s="0" t="n">
        <f aca="false">SUMPRODUCT(MMULT(G318:P318,_XtX!$B$58:$K$67),G318:P318)</f>
        <v>0.468517511541193</v>
      </c>
      <c r="S318" s="0" t="n">
        <f aca="false">04_回帰ANOVA!$K$19*04_回帰ANOVA!$K$14*SQRT(1+R318)</f>
        <v>1.12669456902645</v>
      </c>
      <c r="T318" s="0" t="n">
        <f aca="false">Q318-S318</f>
        <v>40.4814801468826</v>
      </c>
      <c r="U318" s="0" t="n">
        <f aca="false">Q318+S318</f>
        <v>42.7348692849355</v>
      </c>
      <c r="V318" s="54" t="b">
        <f aca="false">AND(D318&gt;=01_因子設定!$L$5-0.000000001,D318&lt;=01_因子設定!$M$5+0.000000001,E318&gt;=01_因子設定!$L$6-0.000000001,E318&lt;=01_因子設定!$M$6+0.000000001,F318&gt;=01_因子設定!$L$7-0.000000001,F318&lt;=01_因子設定!$M$7+0.000000001,IF(01_因子設定!$B$20="Box-Behnken",D318^2+E318^2+F318^2&lt;=2+0.000000001,TRUE()))</f>
        <v>1</v>
      </c>
      <c r="W318" s="55" t="n">
        <f aca="false">IF(V318,IF(01_因子設定!$B$13="最大化",T318-01_因子設定!$B$14,IF(01_因子設定!$B$13="最小化",01_因子設定!$B$15-U318,MIN(T318-01_因子設定!$B$14,01_因子設定!$B$15-U318))),-1E+030)</f>
        <v>-8.01851985311736</v>
      </c>
      <c r="X318" s="55" t="n">
        <f aca="false">IF(V318,IF(01_因子設定!$B$13="最大化",Q318,IF(01_因子設定!$B$13="最小化",-Q318,-ABS(Q318-01_因子設定!$B$16))),-1E+030)</f>
        <v>41.6081747159091</v>
      </c>
      <c r="Y318" s="55" t="n">
        <f aca="false">W318+ROW()*0.000000001</f>
        <v>-8.01851953511736</v>
      </c>
      <c r="Z318" s="55" t="n">
        <f aca="false">X318+ROW()*0.000000001</f>
        <v>41.6081750339091</v>
      </c>
    </row>
    <row r="319" customFormat="false" ht="15" hidden="false" customHeight="false" outlineLevel="0" collapsed="false">
      <c r="A319" s="0" t="n">
        <v>1</v>
      </c>
      <c r="B319" s="0" t="n">
        <v>1</v>
      </c>
      <c r="C319" s="0" t="n">
        <v>8</v>
      </c>
      <c r="D319" s="0" t="n">
        <f aca="false">-1+A319*0.125</f>
        <v>-0.875</v>
      </c>
      <c r="E319" s="0" t="n">
        <f aca="false">-1+B319*0.125</f>
        <v>-0.875</v>
      </c>
      <c r="F319" s="0" t="n">
        <f aca="false">-1+C319*0.125</f>
        <v>0</v>
      </c>
      <c r="G319" s="0" t="n">
        <f aca="false">1</f>
        <v>1</v>
      </c>
      <c r="H319" s="0" t="n">
        <f aca="false">D319</f>
        <v>-0.875</v>
      </c>
      <c r="I319" s="0" t="n">
        <f aca="false">E319</f>
        <v>-0.875</v>
      </c>
      <c r="J319" s="0" t="n">
        <f aca="false">F319</f>
        <v>0</v>
      </c>
      <c r="K319" s="0" t="n">
        <f aca="false">D319*E319</f>
        <v>0.765625</v>
      </c>
      <c r="L319" s="0" t="n">
        <f aca="false">D319*F319</f>
        <v>-0</v>
      </c>
      <c r="M319" s="0" t="n">
        <f aca="false">E319*F319</f>
        <v>-0</v>
      </c>
      <c r="N319" s="0" t="n">
        <f aca="false">D319*D319</f>
        <v>0.765625</v>
      </c>
      <c r="O319" s="0" t="n">
        <f aca="false">E319*E319</f>
        <v>0.765625</v>
      </c>
      <c r="P319" s="0" t="n">
        <f aca="false">F319*F319</f>
        <v>0</v>
      </c>
      <c r="Q319" s="0" t="n">
        <f aca="false">SUMPRODUCT(G319:P319,_XtX!$B$71:$K$71)</f>
        <v>41.7662571022727</v>
      </c>
      <c r="R319" s="0" t="n">
        <f aca="false">SUMPRODUCT(MMULT(G319:P319,_XtX!$B$58:$K$67),G319:P319)</f>
        <v>0.471821178089489</v>
      </c>
      <c r="S319" s="0" t="n">
        <f aca="false">04_回帰ANOVA!$K$19*04_回帰ANOVA!$K$14*SQRT(1+R319)</f>
        <v>1.12796119746125</v>
      </c>
      <c r="T319" s="0" t="n">
        <f aca="false">Q319-S319</f>
        <v>40.6382959048115</v>
      </c>
      <c r="U319" s="0" t="n">
        <f aca="false">Q319+S319</f>
        <v>42.894218299734</v>
      </c>
      <c r="V319" s="54" t="b">
        <f aca="false">AND(D319&gt;=01_因子設定!$L$5-0.000000001,D319&lt;=01_因子設定!$M$5+0.000000001,E319&gt;=01_因子設定!$L$6-0.000000001,E319&lt;=01_因子設定!$M$6+0.000000001,F319&gt;=01_因子設定!$L$7-0.000000001,F319&lt;=01_因子設定!$M$7+0.000000001,IF(01_因子設定!$B$20="Box-Behnken",D319^2+E319^2+F319^2&lt;=2+0.000000001,TRUE()))</f>
        <v>1</v>
      </c>
      <c r="W319" s="55" t="n">
        <f aca="false">IF(V319,IF(01_因子設定!$B$13="最大化",T319-01_因子設定!$B$14,IF(01_因子設定!$B$13="最小化",01_因子設定!$B$15-U319,MIN(T319-01_因子設定!$B$14,01_因子設定!$B$15-U319))),-1E+030)</f>
        <v>-7.86170409518854</v>
      </c>
      <c r="X319" s="55" t="n">
        <f aca="false">IF(V319,IF(01_因子設定!$B$13="最大化",Q319,IF(01_因子設定!$B$13="最小化",-Q319,-ABS(Q319-01_因子設定!$B$16))),-1E+030)</f>
        <v>41.7662571022727</v>
      </c>
      <c r="Y319" s="55" t="n">
        <f aca="false">W319+ROW()*0.000000001</f>
        <v>-7.86170377618854</v>
      </c>
      <c r="Z319" s="55" t="n">
        <f aca="false">X319+ROW()*0.000000001</f>
        <v>41.7662574212727</v>
      </c>
    </row>
    <row r="320" customFormat="false" ht="15" hidden="false" customHeight="false" outlineLevel="0" collapsed="false">
      <c r="A320" s="0" t="n">
        <v>1</v>
      </c>
      <c r="B320" s="0" t="n">
        <v>1</v>
      </c>
      <c r="C320" s="0" t="n">
        <v>9</v>
      </c>
      <c r="D320" s="0" t="n">
        <f aca="false">-1+A320*0.125</f>
        <v>-0.875</v>
      </c>
      <c r="E320" s="0" t="n">
        <f aca="false">-1+B320*0.125</f>
        <v>-0.875</v>
      </c>
      <c r="F320" s="0" t="n">
        <f aca="false">-1+C320*0.125</f>
        <v>0.125</v>
      </c>
      <c r="G320" s="0" t="n">
        <f aca="false">1</f>
        <v>1</v>
      </c>
      <c r="H320" s="0" t="n">
        <f aca="false">D320</f>
        <v>-0.875</v>
      </c>
      <c r="I320" s="0" t="n">
        <f aca="false">E320</f>
        <v>-0.875</v>
      </c>
      <c r="J320" s="0" t="n">
        <f aca="false">F320</f>
        <v>0.125</v>
      </c>
      <c r="K320" s="0" t="n">
        <f aca="false">D320*E320</f>
        <v>0.765625</v>
      </c>
      <c r="L320" s="0" t="n">
        <f aca="false">D320*F320</f>
        <v>-0.109375</v>
      </c>
      <c r="M320" s="0" t="n">
        <f aca="false">E320*F320</f>
        <v>-0.109375</v>
      </c>
      <c r="N320" s="0" t="n">
        <f aca="false">D320*D320</f>
        <v>0.765625</v>
      </c>
      <c r="O320" s="0" t="n">
        <f aca="false">E320*E320</f>
        <v>0.765625</v>
      </c>
      <c r="P320" s="0" t="n">
        <f aca="false">F320*F320</f>
        <v>0.015625</v>
      </c>
      <c r="Q320" s="0" t="n">
        <f aca="false">SUMPRODUCT(G320:P320,_XtX!$B$71:$K$71)</f>
        <v>41.8875497159091</v>
      </c>
      <c r="R320" s="0" t="n">
        <f aca="false">SUMPRODUCT(MMULT(G320:P320,_XtX!$B$58:$K$67),G320:P320)</f>
        <v>0.468517511541193</v>
      </c>
      <c r="S320" s="0" t="n">
        <f aca="false">04_回帰ANOVA!$K$19*04_回帰ANOVA!$K$14*SQRT(1+R320)</f>
        <v>1.12669456902645</v>
      </c>
      <c r="T320" s="0" t="n">
        <f aca="false">Q320-S320</f>
        <v>40.7608551468826</v>
      </c>
      <c r="U320" s="0" t="n">
        <f aca="false">Q320+S320</f>
        <v>43.0142442849355</v>
      </c>
      <c r="V320" s="54" t="b">
        <f aca="false">AND(D320&gt;=01_因子設定!$L$5-0.000000001,D320&lt;=01_因子設定!$M$5+0.000000001,E320&gt;=01_因子設定!$L$6-0.000000001,E320&lt;=01_因子設定!$M$6+0.000000001,F320&gt;=01_因子設定!$L$7-0.000000001,F320&lt;=01_因子設定!$M$7+0.000000001,IF(01_因子設定!$B$20="Box-Behnken",D320^2+E320^2+F320^2&lt;=2+0.000000001,TRUE()))</f>
        <v>1</v>
      </c>
      <c r="W320" s="55" t="n">
        <f aca="false">IF(V320,IF(01_因子設定!$B$13="最大化",T320-01_因子設定!$B$14,IF(01_因子設定!$B$13="最小化",01_因子設定!$B$15-U320,MIN(T320-01_因子設定!$B$14,01_因子設定!$B$15-U320))),-1E+030)</f>
        <v>-7.73914485311736</v>
      </c>
      <c r="X320" s="55" t="n">
        <f aca="false">IF(V320,IF(01_因子設定!$B$13="最大化",Q320,IF(01_因子設定!$B$13="最小化",-Q320,-ABS(Q320-01_因子設定!$B$16))),-1E+030)</f>
        <v>41.8875497159091</v>
      </c>
      <c r="Y320" s="55" t="n">
        <f aca="false">W320+ROW()*0.000000001</f>
        <v>-7.73914453311736</v>
      </c>
      <c r="Z320" s="55" t="n">
        <f aca="false">X320+ROW()*0.000000001</f>
        <v>41.8875500359091</v>
      </c>
    </row>
    <row r="321" customFormat="false" ht="15" hidden="false" customHeight="false" outlineLevel="0" collapsed="false">
      <c r="A321" s="0" t="n">
        <v>1</v>
      </c>
      <c r="B321" s="0" t="n">
        <v>1</v>
      </c>
      <c r="C321" s="0" t="n">
        <v>10</v>
      </c>
      <c r="D321" s="0" t="n">
        <f aca="false">-1+A321*0.125</f>
        <v>-0.875</v>
      </c>
      <c r="E321" s="0" t="n">
        <f aca="false">-1+B321*0.125</f>
        <v>-0.875</v>
      </c>
      <c r="F321" s="0" t="n">
        <f aca="false">-1+C321*0.125</f>
        <v>0.25</v>
      </c>
      <c r="G321" s="0" t="n">
        <f aca="false">1</f>
        <v>1</v>
      </c>
      <c r="H321" s="0" t="n">
        <f aca="false">D321</f>
        <v>-0.875</v>
      </c>
      <c r="I321" s="0" t="n">
        <f aca="false">E321</f>
        <v>-0.875</v>
      </c>
      <c r="J321" s="0" t="n">
        <f aca="false">F321</f>
        <v>0.25</v>
      </c>
      <c r="K321" s="0" t="n">
        <f aca="false">D321*E321</f>
        <v>0.765625</v>
      </c>
      <c r="L321" s="0" t="n">
        <f aca="false">D321*F321</f>
        <v>-0.21875</v>
      </c>
      <c r="M321" s="0" t="n">
        <f aca="false">E321*F321</f>
        <v>-0.21875</v>
      </c>
      <c r="N321" s="0" t="n">
        <f aca="false">D321*D321</f>
        <v>0.765625</v>
      </c>
      <c r="O321" s="0" t="n">
        <f aca="false">E321*E321</f>
        <v>0.765625</v>
      </c>
      <c r="P321" s="0" t="n">
        <f aca="false">F321*F321</f>
        <v>0.0625</v>
      </c>
      <c r="Q321" s="0" t="n">
        <f aca="false">SUMPRODUCT(G321:P321,_XtX!$B$71:$K$71)</f>
        <v>41.9720525568182</v>
      </c>
      <c r="R321" s="0" t="n">
        <f aca="false">SUMPRODUCT(MMULT(G321:P321,_XtX!$B$58:$K$67),G321:P321)</f>
        <v>0.459671852805398</v>
      </c>
      <c r="S321" s="0" t="n">
        <f aca="false">04_回帰ANOVA!$K$19*04_回帰ANOVA!$K$14*SQRT(1+R321)</f>
        <v>1.12329610455115</v>
      </c>
      <c r="T321" s="0" t="n">
        <f aca="false">Q321-S321</f>
        <v>40.848756452267</v>
      </c>
      <c r="U321" s="0" t="n">
        <f aca="false">Q321+S321</f>
        <v>43.0953486613693</v>
      </c>
      <c r="V321" s="54" t="b">
        <f aca="false">AND(D321&gt;=01_因子設定!$L$5-0.000000001,D321&lt;=01_因子設定!$M$5+0.000000001,E321&gt;=01_因子設定!$L$6-0.000000001,E321&lt;=01_因子設定!$M$6+0.000000001,F321&gt;=01_因子設定!$L$7-0.000000001,F321&lt;=01_因子設定!$M$7+0.000000001,IF(01_因子設定!$B$20="Box-Behnken",D321^2+E321^2+F321^2&lt;=2+0.000000001,TRUE()))</f>
        <v>1</v>
      </c>
      <c r="W321" s="55" t="n">
        <f aca="false">IF(V321,IF(01_因子設定!$B$13="最大化",T321-01_因子設定!$B$14,IF(01_因子設定!$B$13="最小化",01_因子設定!$B$15-U321,MIN(T321-01_因子設定!$B$14,01_因子設定!$B$15-U321))),-1E+030)</f>
        <v>-7.65124354773297</v>
      </c>
      <c r="X321" s="55" t="n">
        <f aca="false">IF(V321,IF(01_因子設定!$B$13="最大化",Q321,IF(01_因子設定!$B$13="最小化",-Q321,-ABS(Q321-01_因子設定!$B$16))),-1E+030)</f>
        <v>41.9720525568182</v>
      </c>
      <c r="Y321" s="55" t="n">
        <f aca="false">W321+ROW()*0.000000001</f>
        <v>-7.65124322673298</v>
      </c>
      <c r="Z321" s="55" t="n">
        <f aca="false">X321+ROW()*0.000000001</f>
        <v>41.9720528778182</v>
      </c>
    </row>
    <row r="322" customFormat="false" ht="15" hidden="false" customHeight="false" outlineLevel="0" collapsed="false">
      <c r="A322" s="0" t="n">
        <v>1</v>
      </c>
      <c r="B322" s="0" t="n">
        <v>1</v>
      </c>
      <c r="C322" s="0" t="n">
        <v>11</v>
      </c>
      <c r="D322" s="0" t="n">
        <f aca="false">-1+A322*0.125</f>
        <v>-0.875</v>
      </c>
      <c r="E322" s="0" t="n">
        <f aca="false">-1+B322*0.125</f>
        <v>-0.875</v>
      </c>
      <c r="F322" s="0" t="n">
        <f aca="false">-1+C322*0.125</f>
        <v>0.375</v>
      </c>
      <c r="G322" s="0" t="n">
        <f aca="false">1</f>
        <v>1</v>
      </c>
      <c r="H322" s="0" t="n">
        <f aca="false">D322</f>
        <v>-0.875</v>
      </c>
      <c r="I322" s="0" t="n">
        <f aca="false">E322</f>
        <v>-0.875</v>
      </c>
      <c r="J322" s="0" t="n">
        <f aca="false">F322</f>
        <v>0.375</v>
      </c>
      <c r="K322" s="0" t="n">
        <f aca="false">D322*E322</f>
        <v>0.765625</v>
      </c>
      <c r="L322" s="0" t="n">
        <f aca="false">D322*F322</f>
        <v>-0.328125</v>
      </c>
      <c r="M322" s="0" t="n">
        <f aca="false">E322*F322</f>
        <v>-0.328125</v>
      </c>
      <c r="N322" s="0" t="n">
        <f aca="false">D322*D322</f>
        <v>0.765625</v>
      </c>
      <c r="O322" s="0" t="n">
        <f aca="false">E322*E322</f>
        <v>0.765625</v>
      </c>
      <c r="P322" s="0" t="n">
        <f aca="false">F322*F322</f>
        <v>0.140625</v>
      </c>
      <c r="Q322" s="0" t="n">
        <f aca="false">SUMPRODUCT(G322:P322,_XtX!$B$71:$K$71)</f>
        <v>42.019765625</v>
      </c>
      <c r="R322" s="0" t="n">
        <f aca="false">SUMPRODUCT(MMULT(G322:P322,_XtX!$B$58:$K$67),G322:P322)</f>
        <v>0.448480224609375</v>
      </c>
      <c r="S322" s="0" t="n">
        <f aca="false">04_回帰ANOVA!$K$19*04_回帰ANOVA!$K$14*SQRT(1+R322)</f>
        <v>1.11898153812985</v>
      </c>
      <c r="T322" s="0" t="n">
        <f aca="false">Q322-S322</f>
        <v>40.9007840868702</v>
      </c>
      <c r="U322" s="0" t="n">
        <f aca="false">Q322+S322</f>
        <v>43.1387471631298</v>
      </c>
      <c r="V322" s="54" t="b">
        <f aca="false">AND(D322&gt;=01_因子設定!$L$5-0.000000001,D322&lt;=01_因子設定!$M$5+0.000000001,E322&gt;=01_因子設定!$L$6-0.000000001,E322&lt;=01_因子設定!$M$6+0.000000001,F322&gt;=01_因子設定!$L$7-0.000000001,F322&lt;=01_因子設定!$M$7+0.000000001,IF(01_因子設定!$B$20="Box-Behnken",D322^2+E322^2+F322^2&lt;=2+0.000000001,TRUE()))</f>
        <v>1</v>
      </c>
      <c r="W322" s="55" t="n">
        <f aca="false">IF(V322,IF(01_因子設定!$B$13="最大化",T322-01_因子設定!$B$14,IF(01_因子設定!$B$13="最小化",01_因子設定!$B$15-U322,MIN(T322-01_因子設定!$B$14,01_因子設定!$B$15-U322))),-1E+030)</f>
        <v>-7.59921591312985</v>
      </c>
      <c r="X322" s="55" t="n">
        <f aca="false">IF(V322,IF(01_因子設定!$B$13="最大化",Q322,IF(01_因子設定!$B$13="最小化",-Q322,-ABS(Q322-01_因子設定!$B$16))),-1E+030)</f>
        <v>42.019765625</v>
      </c>
      <c r="Y322" s="55" t="n">
        <f aca="false">W322+ROW()*0.000000001</f>
        <v>-7.59921559112985</v>
      </c>
      <c r="Z322" s="55" t="n">
        <f aca="false">X322+ROW()*0.000000001</f>
        <v>42.019765947</v>
      </c>
    </row>
    <row r="323" customFormat="false" ht="15" hidden="false" customHeight="false" outlineLevel="0" collapsed="false">
      <c r="A323" s="0" t="n">
        <v>1</v>
      </c>
      <c r="B323" s="0" t="n">
        <v>1</v>
      </c>
      <c r="C323" s="0" t="n">
        <v>12</v>
      </c>
      <c r="D323" s="0" t="n">
        <f aca="false">-1+A323*0.125</f>
        <v>-0.875</v>
      </c>
      <c r="E323" s="0" t="n">
        <f aca="false">-1+B323*0.125</f>
        <v>-0.875</v>
      </c>
      <c r="F323" s="0" t="n">
        <f aca="false">-1+C323*0.125</f>
        <v>0.5</v>
      </c>
      <c r="G323" s="0" t="n">
        <f aca="false">1</f>
        <v>1</v>
      </c>
      <c r="H323" s="0" t="n">
        <f aca="false">D323</f>
        <v>-0.875</v>
      </c>
      <c r="I323" s="0" t="n">
        <f aca="false">E323</f>
        <v>-0.875</v>
      </c>
      <c r="J323" s="0" t="n">
        <f aca="false">F323</f>
        <v>0.5</v>
      </c>
      <c r="K323" s="0" t="n">
        <f aca="false">D323*E323</f>
        <v>0.765625</v>
      </c>
      <c r="L323" s="0" t="n">
        <f aca="false">D323*F323</f>
        <v>-0.4375</v>
      </c>
      <c r="M323" s="0" t="n">
        <f aca="false">E323*F323</f>
        <v>-0.4375</v>
      </c>
      <c r="N323" s="0" t="n">
        <f aca="false">D323*D323</f>
        <v>0.765625</v>
      </c>
      <c r="O323" s="0" t="n">
        <f aca="false">E323*E323</f>
        <v>0.765625</v>
      </c>
      <c r="P323" s="0" t="n">
        <f aca="false">F323*F323</f>
        <v>0.25</v>
      </c>
      <c r="Q323" s="0" t="n">
        <f aca="false">SUMPRODUCT(G323:P323,_XtX!$B$71:$K$71)</f>
        <v>42.0306889204545</v>
      </c>
      <c r="R323" s="0" t="n">
        <f aca="false">SUMPRODUCT(MMULT(G323:P323,_XtX!$B$58:$K$67),G323:P323)</f>
        <v>0.44026933149858</v>
      </c>
      <c r="S323" s="0" t="n">
        <f aca="false">04_回帰ANOVA!$K$19*04_回帰ANOVA!$K$14*SQRT(1+R323)</f>
        <v>1.11580548667718</v>
      </c>
      <c r="T323" s="0" t="n">
        <f aca="false">Q323-S323</f>
        <v>40.9148834337774</v>
      </c>
      <c r="U323" s="0" t="n">
        <f aca="false">Q323+S323</f>
        <v>43.1464944071317</v>
      </c>
      <c r="V323" s="54" t="b">
        <f aca="false">AND(D323&gt;=01_因子設定!$L$5-0.000000001,D323&lt;=01_因子設定!$M$5+0.000000001,E323&gt;=01_因子設定!$L$6-0.000000001,E323&lt;=01_因子設定!$M$6+0.000000001,F323&gt;=01_因子設定!$L$7-0.000000001,F323&lt;=01_因子設定!$M$7+0.000000001,IF(01_因子設定!$B$20="Box-Behnken",D323^2+E323^2+F323^2&lt;=2+0.000000001,TRUE()))</f>
        <v>1</v>
      </c>
      <c r="W323" s="55" t="n">
        <f aca="false">IF(V323,IF(01_因子設定!$B$13="最大化",T323-01_因子設定!$B$14,IF(01_因子設定!$B$13="最小化",01_因子設定!$B$15-U323,MIN(T323-01_因子設定!$B$14,01_因子設定!$B$15-U323))),-1E+030)</f>
        <v>-7.58511656622264</v>
      </c>
      <c r="X323" s="55" t="n">
        <f aca="false">IF(V323,IF(01_因子設定!$B$13="最大化",Q323,IF(01_因子設定!$B$13="最小化",-Q323,-ABS(Q323-01_因子設定!$B$16))),-1E+030)</f>
        <v>42.0306889204545</v>
      </c>
      <c r="Y323" s="55" t="n">
        <f aca="false">W323+ROW()*0.000000001</f>
        <v>-7.58511624322264</v>
      </c>
      <c r="Z323" s="55" t="n">
        <f aca="false">X323+ROW()*0.000000001</f>
        <v>42.0306892434545</v>
      </c>
    </row>
    <row r="324" customFormat="false" ht="15" hidden="false" customHeight="false" outlineLevel="0" collapsed="false">
      <c r="A324" s="0" t="n">
        <v>1</v>
      </c>
      <c r="B324" s="0" t="n">
        <v>1</v>
      </c>
      <c r="C324" s="0" t="n">
        <v>13</v>
      </c>
      <c r="D324" s="0" t="n">
        <f aca="false">-1+A324*0.125</f>
        <v>-0.875</v>
      </c>
      <c r="E324" s="0" t="n">
        <f aca="false">-1+B324*0.125</f>
        <v>-0.875</v>
      </c>
      <c r="F324" s="0" t="n">
        <f aca="false">-1+C324*0.125</f>
        <v>0.625</v>
      </c>
      <c r="G324" s="0" t="n">
        <f aca="false">1</f>
        <v>1</v>
      </c>
      <c r="H324" s="0" t="n">
        <f aca="false">D324</f>
        <v>-0.875</v>
      </c>
      <c r="I324" s="0" t="n">
        <f aca="false">E324</f>
        <v>-0.875</v>
      </c>
      <c r="J324" s="0" t="n">
        <f aca="false">F324</f>
        <v>0.625</v>
      </c>
      <c r="K324" s="0" t="n">
        <f aca="false">D324*E324</f>
        <v>0.765625</v>
      </c>
      <c r="L324" s="0" t="n">
        <f aca="false">D324*F324</f>
        <v>-0.546875</v>
      </c>
      <c r="M324" s="0" t="n">
        <f aca="false">E324*F324</f>
        <v>-0.546875</v>
      </c>
      <c r="N324" s="0" t="n">
        <f aca="false">D324*D324</f>
        <v>0.765625</v>
      </c>
      <c r="O324" s="0" t="n">
        <f aca="false">E324*E324</f>
        <v>0.765625</v>
      </c>
      <c r="P324" s="0" t="n">
        <f aca="false">F324*F324</f>
        <v>0.390625</v>
      </c>
      <c r="Q324" s="0" t="n">
        <f aca="false">SUMPRODUCT(G324:P324,_XtX!$B$71:$K$71)</f>
        <v>42.0048224431818</v>
      </c>
      <c r="R324" s="0" t="n">
        <f aca="false">SUMPRODUCT(MMULT(G324:P324,_XtX!$B$58:$K$67),G324:P324)</f>
        <v>0.442496559836648</v>
      </c>
      <c r="S324" s="0" t="n">
        <f aca="false">04_回帰ANOVA!$K$19*04_回帰ANOVA!$K$14*SQRT(1+R324)</f>
        <v>1.11666789259284</v>
      </c>
      <c r="T324" s="0" t="n">
        <f aca="false">Q324-S324</f>
        <v>40.888154550589</v>
      </c>
      <c r="U324" s="0" t="n">
        <f aca="false">Q324+S324</f>
        <v>43.1214903357747</v>
      </c>
      <c r="V324" s="54" t="b">
        <f aca="false">AND(D324&gt;=01_因子設定!$L$5-0.000000001,D324&lt;=01_因子設定!$M$5+0.000000001,E324&gt;=01_因子設定!$L$6-0.000000001,E324&lt;=01_因子設定!$M$6+0.000000001,F324&gt;=01_因子設定!$L$7-0.000000001,F324&lt;=01_因子設定!$M$7+0.000000001,IF(01_因子設定!$B$20="Box-Behnken",D324^2+E324^2+F324^2&lt;=2+0.000000001,TRUE()))</f>
        <v>1</v>
      </c>
      <c r="W324" s="55" t="n">
        <f aca="false">IF(V324,IF(01_因子設定!$B$13="最大化",T324-01_因子設定!$B$14,IF(01_因子設定!$B$13="最小化",01_因子設定!$B$15-U324,MIN(T324-01_因子設定!$B$14,01_因子設定!$B$15-U324))),-1E+030)</f>
        <v>-7.61184544941102</v>
      </c>
      <c r="X324" s="55" t="n">
        <f aca="false">IF(V324,IF(01_因子設定!$B$13="最大化",Q324,IF(01_因子設定!$B$13="最小化",-Q324,-ABS(Q324-01_因子設定!$B$16))),-1E+030)</f>
        <v>42.0048224431818</v>
      </c>
      <c r="Y324" s="55" t="n">
        <f aca="false">W324+ROW()*0.000000001</f>
        <v>-7.61184512541102</v>
      </c>
      <c r="Z324" s="55" t="n">
        <f aca="false">X324+ROW()*0.000000001</f>
        <v>42.0048227671818</v>
      </c>
    </row>
    <row r="325" customFormat="false" ht="15" hidden="false" customHeight="false" outlineLevel="0" collapsed="false">
      <c r="A325" s="0" t="n">
        <v>1</v>
      </c>
      <c r="B325" s="0" t="n">
        <v>1</v>
      </c>
      <c r="C325" s="0" t="n">
        <v>14</v>
      </c>
      <c r="D325" s="0" t="n">
        <f aca="false">-1+A325*0.125</f>
        <v>-0.875</v>
      </c>
      <c r="E325" s="0" t="n">
        <f aca="false">-1+B325*0.125</f>
        <v>-0.875</v>
      </c>
      <c r="F325" s="0" t="n">
        <f aca="false">-1+C325*0.125</f>
        <v>0.75</v>
      </c>
      <c r="G325" s="0" t="n">
        <f aca="false">1</f>
        <v>1</v>
      </c>
      <c r="H325" s="0" t="n">
        <f aca="false">D325</f>
        <v>-0.875</v>
      </c>
      <c r="I325" s="0" t="n">
        <f aca="false">E325</f>
        <v>-0.875</v>
      </c>
      <c r="J325" s="0" t="n">
        <f aca="false">F325</f>
        <v>0.75</v>
      </c>
      <c r="K325" s="0" t="n">
        <f aca="false">D325*E325</f>
        <v>0.765625</v>
      </c>
      <c r="L325" s="0" t="n">
        <f aca="false">D325*F325</f>
        <v>-0.65625</v>
      </c>
      <c r="M325" s="0" t="n">
        <f aca="false">E325*F325</f>
        <v>-0.65625</v>
      </c>
      <c r="N325" s="0" t="n">
        <f aca="false">D325*D325</f>
        <v>0.765625</v>
      </c>
      <c r="O325" s="0" t="n">
        <f aca="false">E325*E325</f>
        <v>0.765625</v>
      </c>
      <c r="P325" s="0" t="n">
        <f aca="false">F325*F325</f>
        <v>0.5625</v>
      </c>
      <c r="Q325" s="0" t="n">
        <f aca="false">SUMPRODUCT(G325:P325,_XtX!$B$71:$K$71)</f>
        <v>41.9421661931818</v>
      </c>
      <c r="R325" s="0" t="n">
        <f aca="false">SUMPRODUCT(MMULT(G325:P325,_XtX!$B$58:$K$67),G325:P325)</f>
        <v>0.464749977805398</v>
      </c>
      <c r="S325" s="0" t="n">
        <f aca="false">04_回帰ANOVA!$K$19*04_回帰ANOVA!$K$14*SQRT(1+R325)</f>
        <v>1.12524835342194</v>
      </c>
      <c r="T325" s="0" t="n">
        <f aca="false">Q325-S325</f>
        <v>40.8169178397599</v>
      </c>
      <c r="U325" s="0" t="n">
        <f aca="false">Q325+S325</f>
        <v>43.0674145466038</v>
      </c>
      <c r="V325" s="54" t="b">
        <f aca="false">AND(D325&gt;=01_因子設定!$L$5-0.000000001,D325&lt;=01_因子設定!$M$5+0.000000001,E325&gt;=01_因子設定!$L$6-0.000000001,E325&lt;=01_因子設定!$M$6+0.000000001,F325&gt;=01_因子設定!$L$7-0.000000001,F325&lt;=01_因子設定!$M$7+0.000000001,IF(01_因子設定!$B$20="Box-Behnken",D325^2+E325^2+F325^2&lt;=2+0.000000001,TRUE()))</f>
        <v>1</v>
      </c>
      <c r="W325" s="55" t="n">
        <f aca="false">IF(V325,IF(01_因子設定!$B$13="最大化",T325-01_因子設定!$B$14,IF(01_因子設定!$B$13="最小化",01_因子設定!$B$15-U325,MIN(T325-01_因子設定!$B$14,01_因子設定!$B$15-U325))),-1E+030)</f>
        <v>-7.68308216024012</v>
      </c>
      <c r="X325" s="55" t="n">
        <f aca="false">IF(V325,IF(01_因子設定!$B$13="最大化",Q325,IF(01_因子設定!$B$13="最小化",-Q325,-ABS(Q325-01_因子設定!$B$16))),-1E+030)</f>
        <v>41.9421661931818</v>
      </c>
      <c r="Y325" s="55" t="n">
        <f aca="false">W325+ROW()*0.000000001</f>
        <v>-7.68308183524012</v>
      </c>
      <c r="Z325" s="55" t="n">
        <f aca="false">X325+ROW()*0.000000001</f>
        <v>41.9421665181818</v>
      </c>
    </row>
    <row r="326" customFormat="false" ht="15" hidden="false" customHeight="false" outlineLevel="0" collapsed="false">
      <c r="A326" s="0" t="n">
        <v>1</v>
      </c>
      <c r="B326" s="0" t="n">
        <v>1</v>
      </c>
      <c r="C326" s="0" t="n">
        <v>15</v>
      </c>
      <c r="D326" s="0" t="n">
        <f aca="false">-1+A326*0.125</f>
        <v>-0.875</v>
      </c>
      <c r="E326" s="0" t="n">
        <f aca="false">-1+B326*0.125</f>
        <v>-0.875</v>
      </c>
      <c r="F326" s="0" t="n">
        <f aca="false">-1+C326*0.125</f>
        <v>0.875</v>
      </c>
      <c r="G326" s="0" t="n">
        <f aca="false">1</f>
        <v>1</v>
      </c>
      <c r="H326" s="0" t="n">
        <f aca="false">D326</f>
        <v>-0.875</v>
      </c>
      <c r="I326" s="0" t="n">
        <f aca="false">E326</f>
        <v>-0.875</v>
      </c>
      <c r="J326" s="0" t="n">
        <f aca="false">F326</f>
        <v>0.875</v>
      </c>
      <c r="K326" s="0" t="n">
        <f aca="false">D326*E326</f>
        <v>0.765625</v>
      </c>
      <c r="L326" s="0" t="n">
        <f aca="false">D326*F326</f>
        <v>-0.765625</v>
      </c>
      <c r="M326" s="0" t="n">
        <f aca="false">E326*F326</f>
        <v>-0.765625</v>
      </c>
      <c r="N326" s="0" t="n">
        <f aca="false">D326*D326</f>
        <v>0.765625</v>
      </c>
      <c r="O326" s="0" t="n">
        <f aca="false">E326*E326</f>
        <v>0.765625</v>
      </c>
      <c r="P326" s="0" t="n">
        <f aca="false">F326*F326</f>
        <v>0.765625</v>
      </c>
      <c r="Q326" s="0" t="n">
        <f aca="false">SUMPRODUCT(G326:P326,_XtX!$B$71:$K$71)</f>
        <v>41.8427201704546</v>
      </c>
      <c r="R326" s="0" t="n">
        <f aca="false">SUMPRODUCT(MMULT(G326:P326,_XtX!$B$58:$K$67),G326:P326)</f>
        <v>0.51874833540483</v>
      </c>
      <c r="S326" s="0" t="n">
        <f aca="false">04_回帰ANOVA!$K$19*04_回帰ANOVA!$K$14*SQRT(1+R326)</f>
        <v>1.14580191439368</v>
      </c>
      <c r="T326" s="0" t="n">
        <f aca="false">Q326-S326</f>
        <v>40.6969182560609</v>
      </c>
      <c r="U326" s="0" t="n">
        <f aca="false">Q326+S326</f>
        <v>42.9885220848482</v>
      </c>
      <c r="V326" s="54" t="b">
        <f aca="false">AND(D326&gt;=01_因子設定!$L$5-0.000000001,D326&lt;=01_因子設定!$M$5+0.000000001,E326&gt;=01_因子設定!$L$6-0.000000001,E326&lt;=01_因子設定!$M$6+0.000000001,F326&gt;=01_因子設定!$L$7-0.000000001,F326&lt;=01_因子設定!$M$7+0.000000001,IF(01_因子設定!$B$20="Box-Behnken",D326^2+E326^2+F326^2&lt;=2+0.000000001,TRUE()))</f>
        <v>1</v>
      </c>
      <c r="W326" s="55" t="n">
        <f aca="false">IF(V326,IF(01_因子設定!$B$13="最大化",T326-01_因子設定!$B$14,IF(01_因子設定!$B$13="最小化",01_因子設定!$B$15-U326,MIN(T326-01_因子設定!$B$14,01_因子設定!$B$15-U326))),-1E+030)</f>
        <v>-7.80308174393912</v>
      </c>
      <c r="X326" s="55" t="n">
        <f aca="false">IF(V326,IF(01_因子設定!$B$13="最大化",Q326,IF(01_因子設定!$B$13="最小化",-Q326,-ABS(Q326-01_因子設定!$B$16))),-1E+030)</f>
        <v>41.8427201704546</v>
      </c>
      <c r="Y326" s="55" t="n">
        <f aca="false">W326+ROW()*0.000000001</f>
        <v>-7.80308141793912</v>
      </c>
      <c r="Z326" s="55" t="n">
        <f aca="false">X326+ROW()*0.000000001</f>
        <v>41.8427204964546</v>
      </c>
    </row>
    <row r="327" customFormat="false" ht="15" hidden="false" customHeight="false" outlineLevel="0" collapsed="false">
      <c r="A327" s="0" t="n">
        <v>1</v>
      </c>
      <c r="B327" s="0" t="n">
        <v>1</v>
      </c>
      <c r="C327" s="0" t="n">
        <v>16</v>
      </c>
      <c r="D327" s="0" t="n">
        <f aca="false">-1+A327*0.125</f>
        <v>-0.875</v>
      </c>
      <c r="E327" s="0" t="n">
        <f aca="false">-1+B327*0.125</f>
        <v>-0.875</v>
      </c>
      <c r="F327" s="0" t="n">
        <f aca="false">-1+C327*0.125</f>
        <v>1</v>
      </c>
      <c r="G327" s="0" t="n">
        <f aca="false">1</f>
        <v>1</v>
      </c>
      <c r="H327" s="0" t="n">
        <f aca="false">D327</f>
        <v>-0.875</v>
      </c>
      <c r="I327" s="0" t="n">
        <f aca="false">E327</f>
        <v>-0.875</v>
      </c>
      <c r="J327" s="0" t="n">
        <f aca="false">F327</f>
        <v>1</v>
      </c>
      <c r="K327" s="0" t="n">
        <f aca="false">D327*E327</f>
        <v>0.765625</v>
      </c>
      <c r="L327" s="0" t="n">
        <f aca="false">D327*F327</f>
        <v>-0.875</v>
      </c>
      <c r="M327" s="0" t="n">
        <f aca="false">E327*F327</f>
        <v>-0.875</v>
      </c>
      <c r="N327" s="0" t="n">
        <f aca="false">D327*D327</f>
        <v>0.765625</v>
      </c>
      <c r="O327" s="0" t="n">
        <f aca="false">E327*E327</f>
        <v>0.765625</v>
      </c>
      <c r="P327" s="0" t="n">
        <f aca="false">F327*F327</f>
        <v>1</v>
      </c>
      <c r="Q327" s="0" t="n">
        <f aca="false">SUMPRODUCT(G327:P327,_XtX!$B$71:$K$71)</f>
        <v>41.706484375</v>
      </c>
      <c r="R327" s="0" t="n">
        <f aca="false">SUMPRODUCT(MMULT(G327:P327,_XtX!$B$58:$K$67),G327:P327)</f>
        <v>0.618341064453125</v>
      </c>
      <c r="S327" s="0" t="n">
        <f aca="false">04_回帰ANOVA!$K$19*04_回帰ANOVA!$K$14*SQRT(1+R327)</f>
        <v>1.18277371124466</v>
      </c>
      <c r="T327" s="0" t="n">
        <f aca="false">Q327-S327</f>
        <v>40.5237106637553</v>
      </c>
      <c r="U327" s="0" t="n">
        <f aca="false">Q327+S327</f>
        <v>42.8892580862447</v>
      </c>
      <c r="V327" s="54" t="b">
        <f aca="false">AND(D327&gt;=01_因子設定!$L$5-0.000000001,D327&lt;=01_因子設定!$M$5+0.000000001,E327&gt;=01_因子設定!$L$6-0.000000001,E327&lt;=01_因子設定!$M$6+0.000000001,F327&gt;=01_因子設定!$L$7-0.000000001,F327&lt;=01_因子設定!$M$7+0.000000001,IF(01_因子設定!$B$20="Box-Behnken",D327^2+E327^2+F327^2&lt;=2+0.000000001,TRUE()))</f>
        <v>1</v>
      </c>
      <c r="W327" s="55" t="n">
        <f aca="false">IF(V327,IF(01_因子設定!$B$13="最大化",T327-01_因子設定!$B$14,IF(01_因子設定!$B$13="最小化",01_因子設定!$B$15-U327,MIN(T327-01_因子設定!$B$14,01_因子設定!$B$15-U327))),-1E+030)</f>
        <v>-7.97628933624466</v>
      </c>
      <c r="X327" s="55" t="n">
        <f aca="false">IF(V327,IF(01_因子設定!$B$13="最大化",Q327,IF(01_因子設定!$B$13="最小化",-Q327,-ABS(Q327-01_因子設定!$B$16))),-1E+030)</f>
        <v>41.706484375</v>
      </c>
      <c r="Y327" s="55" t="n">
        <f aca="false">W327+ROW()*0.000000001</f>
        <v>-7.97628900924465</v>
      </c>
      <c r="Z327" s="55" t="n">
        <f aca="false">X327+ROW()*0.000000001</f>
        <v>41.706484702</v>
      </c>
    </row>
    <row r="328" customFormat="false" ht="15" hidden="false" customHeight="false" outlineLevel="0" collapsed="false">
      <c r="A328" s="0" t="n">
        <v>1</v>
      </c>
      <c r="B328" s="0" t="n">
        <v>2</v>
      </c>
      <c r="C328" s="0" t="n">
        <v>0</v>
      </c>
      <c r="D328" s="0" t="n">
        <f aca="false">-1+A328*0.125</f>
        <v>-0.875</v>
      </c>
      <c r="E328" s="0" t="n">
        <f aca="false">-1+B328*0.125</f>
        <v>-0.75</v>
      </c>
      <c r="F328" s="0" t="n">
        <f aca="false">-1+C328*0.125</f>
        <v>-1</v>
      </c>
      <c r="G328" s="0" t="n">
        <f aca="false">1</f>
        <v>1</v>
      </c>
      <c r="H328" s="0" t="n">
        <f aca="false">D328</f>
        <v>-0.875</v>
      </c>
      <c r="I328" s="0" t="n">
        <f aca="false">E328</f>
        <v>-0.75</v>
      </c>
      <c r="J328" s="0" t="n">
        <f aca="false">F328</f>
        <v>-1</v>
      </c>
      <c r="K328" s="0" t="n">
        <f aca="false">D328*E328</f>
        <v>0.65625</v>
      </c>
      <c r="L328" s="0" t="n">
        <f aca="false">D328*F328</f>
        <v>0.875</v>
      </c>
      <c r="M328" s="0" t="n">
        <f aca="false">E328*F328</f>
        <v>0.75</v>
      </c>
      <c r="N328" s="0" t="n">
        <f aca="false">D328*D328</f>
        <v>0.765625</v>
      </c>
      <c r="O328" s="0" t="n">
        <f aca="false">E328*E328</f>
        <v>0.5625</v>
      </c>
      <c r="P328" s="0" t="n">
        <f aca="false">F328*F328</f>
        <v>1</v>
      </c>
      <c r="Q328" s="0" t="n">
        <f aca="false">SUMPRODUCT(G328:P328,_XtX!$B$71:$K$71)</f>
        <v>39.9517897727273</v>
      </c>
      <c r="R328" s="0" t="n">
        <f aca="false">SUMPRODUCT(MMULT(G328:P328,_XtX!$B$58:$K$67),G328:P328)</f>
        <v>0.571375621448864</v>
      </c>
      <c r="S328" s="0" t="n">
        <f aca="false">04_回帰ANOVA!$K$19*04_回帰ANOVA!$K$14*SQRT(1+R328)</f>
        <v>1.16548487437682</v>
      </c>
      <c r="T328" s="0" t="n">
        <f aca="false">Q328-S328</f>
        <v>38.7863048983505</v>
      </c>
      <c r="U328" s="0" t="n">
        <f aca="false">Q328+S328</f>
        <v>41.1172746471041</v>
      </c>
      <c r="V328" s="54" t="b">
        <f aca="false">AND(D328&gt;=01_因子設定!$L$5-0.000000001,D328&lt;=01_因子設定!$M$5+0.000000001,E328&gt;=01_因子設定!$L$6-0.000000001,E328&lt;=01_因子設定!$M$6+0.000000001,F328&gt;=01_因子設定!$L$7-0.000000001,F328&lt;=01_因子設定!$M$7+0.000000001,IF(01_因子設定!$B$20="Box-Behnken",D328^2+E328^2+F328^2&lt;=2+0.000000001,TRUE()))</f>
        <v>1</v>
      </c>
      <c r="W328" s="55" t="n">
        <f aca="false">IF(V328,IF(01_因子設定!$B$13="最大化",T328-01_因子設定!$B$14,IF(01_因子設定!$B$13="最小化",01_因子設定!$B$15-U328,MIN(T328-01_因子設定!$B$14,01_因子設定!$B$15-U328))),-1E+030)</f>
        <v>-9.71369510164953</v>
      </c>
      <c r="X328" s="55" t="n">
        <f aca="false">IF(V328,IF(01_因子設定!$B$13="最大化",Q328,IF(01_因子設定!$B$13="最小化",-Q328,-ABS(Q328-01_因子設定!$B$16))),-1E+030)</f>
        <v>39.9517897727273</v>
      </c>
      <c r="Y328" s="55" t="n">
        <f aca="false">W328+ROW()*0.000000001</f>
        <v>-9.71369477364953</v>
      </c>
      <c r="Z328" s="55" t="n">
        <f aca="false">X328+ROW()*0.000000001</f>
        <v>39.9517901007273</v>
      </c>
    </row>
    <row r="329" customFormat="false" ht="15" hidden="false" customHeight="false" outlineLevel="0" collapsed="false">
      <c r="A329" s="0" t="n">
        <v>1</v>
      </c>
      <c r="B329" s="0" t="n">
        <v>2</v>
      </c>
      <c r="C329" s="0" t="n">
        <v>1</v>
      </c>
      <c r="D329" s="0" t="n">
        <f aca="false">-1+A329*0.125</f>
        <v>-0.875</v>
      </c>
      <c r="E329" s="0" t="n">
        <f aca="false">-1+B329*0.125</f>
        <v>-0.75</v>
      </c>
      <c r="F329" s="0" t="n">
        <f aca="false">-1+C329*0.125</f>
        <v>-0.875</v>
      </c>
      <c r="G329" s="0" t="n">
        <f aca="false">1</f>
        <v>1</v>
      </c>
      <c r="H329" s="0" t="n">
        <f aca="false">D329</f>
        <v>-0.875</v>
      </c>
      <c r="I329" s="0" t="n">
        <f aca="false">E329</f>
        <v>-0.75</v>
      </c>
      <c r="J329" s="0" t="n">
        <f aca="false">F329</f>
        <v>-0.875</v>
      </c>
      <c r="K329" s="0" t="n">
        <f aca="false">D329*E329</f>
        <v>0.65625</v>
      </c>
      <c r="L329" s="0" t="n">
        <f aca="false">D329*F329</f>
        <v>0.765625</v>
      </c>
      <c r="M329" s="0" t="n">
        <f aca="false">E329*F329</f>
        <v>0.65625</v>
      </c>
      <c r="N329" s="0" t="n">
        <f aca="false">D329*D329</f>
        <v>0.765625</v>
      </c>
      <c r="O329" s="0" t="n">
        <f aca="false">E329*E329</f>
        <v>0.5625</v>
      </c>
      <c r="P329" s="0" t="n">
        <f aca="false">F329*F329</f>
        <v>0.765625</v>
      </c>
      <c r="Q329" s="0" t="n">
        <f aca="false">SUMPRODUCT(G329:P329,_XtX!$B$71:$K$71)</f>
        <v>40.3744318181818</v>
      </c>
      <c r="R329" s="0" t="n">
        <f aca="false">SUMPRODUCT(MMULT(G329:P329,_XtX!$B$58:$K$67),G329:P329)</f>
        <v>0.464749977805398</v>
      </c>
      <c r="S329" s="0" t="n">
        <f aca="false">04_回帰ANOVA!$K$19*04_回帰ANOVA!$K$14*SQRT(1+R329)</f>
        <v>1.12524835342194</v>
      </c>
      <c r="T329" s="0" t="n">
        <f aca="false">Q329-S329</f>
        <v>39.2491834647599</v>
      </c>
      <c r="U329" s="0" t="n">
        <f aca="false">Q329+S329</f>
        <v>41.4996801716038</v>
      </c>
      <c r="V329" s="54" t="b">
        <f aca="false">AND(D329&gt;=01_因子設定!$L$5-0.000000001,D329&lt;=01_因子設定!$M$5+0.000000001,E329&gt;=01_因子設定!$L$6-0.000000001,E329&lt;=01_因子設定!$M$6+0.000000001,F329&gt;=01_因子設定!$L$7-0.000000001,F329&lt;=01_因子設定!$M$7+0.000000001,IF(01_因子設定!$B$20="Box-Behnken",D329^2+E329^2+F329^2&lt;=2+0.000000001,TRUE()))</f>
        <v>1</v>
      </c>
      <c r="W329" s="55" t="n">
        <f aca="false">IF(V329,IF(01_因子設定!$B$13="最大化",T329-01_因子設定!$B$14,IF(01_因子設定!$B$13="最小化",01_因子設定!$B$15-U329,MIN(T329-01_因子設定!$B$14,01_因子設定!$B$15-U329))),-1E+030)</f>
        <v>-9.25081653524011</v>
      </c>
      <c r="X329" s="55" t="n">
        <f aca="false">IF(V329,IF(01_因子設定!$B$13="最大化",Q329,IF(01_因子設定!$B$13="最小化",-Q329,-ABS(Q329-01_因子設定!$B$16))),-1E+030)</f>
        <v>40.3744318181818</v>
      </c>
      <c r="Y329" s="55" t="n">
        <f aca="false">W329+ROW()*0.000000001</f>
        <v>-9.25081620624011</v>
      </c>
      <c r="Z329" s="55" t="n">
        <f aca="false">X329+ROW()*0.000000001</f>
        <v>40.3744321471818</v>
      </c>
    </row>
    <row r="330" customFormat="false" ht="15" hidden="false" customHeight="false" outlineLevel="0" collapsed="false">
      <c r="A330" s="0" t="n">
        <v>1</v>
      </c>
      <c r="B330" s="0" t="n">
        <v>2</v>
      </c>
      <c r="C330" s="0" t="n">
        <v>2</v>
      </c>
      <c r="D330" s="0" t="n">
        <f aca="false">-1+A330*0.125</f>
        <v>-0.875</v>
      </c>
      <c r="E330" s="0" t="n">
        <f aca="false">-1+B330*0.125</f>
        <v>-0.75</v>
      </c>
      <c r="F330" s="0" t="n">
        <f aca="false">-1+C330*0.125</f>
        <v>-0.75</v>
      </c>
      <c r="G330" s="0" t="n">
        <f aca="false">1</f>
        <v>1</v>
      </c>
      <c r="H330" s="0" t="n">
        <f aca="false">D330</f>
        <v>-0.875</v>
      </c>
      <c r="I330" s="0" t="n">
        <f aca="false">E330</f>
        <v>-0.75</v>
      </c>
      <c r="J330" s="0" t="n">
        <f aca="false">F330</f>
        <v>-0.75</v>
      </c>
      <c r="K330" s="0" t="n">
        <f aca="false">D330*E330</f>
        <v>0.65625</v>
      </c>
      <c r="L330" s="0" t="n">
        <f aca="false">D330*F330</f>
        <v>0.65625</v>
      </c>
      <c r="M330" s="0" t="n">
        <f aca="false">E330*F330</f>
        <v>0.5625</v>
      </c>
      <c r="N330" s="0" t="n">
        <f aca="false">D330*D330</f>
        <v>0.765625</v>
      </c>
      <c r="O330" s="0" t="n">
        <f aca="false">E330*E330</f>
        <v>0.5625</v>
      </c>
      <c r="P330" s="0" t="n">
        <f aca="false">F330*F330</f>
        <v>0.5625</v>
      </c>
      <c r="Q330" s="0" t="n">
        <f aca="false">SUMPRODUCT(G330:P330,_XtX!$B$71:$K$71)</f>
        <v>40.7602840909091</v>
      </c>
      <c r="R330" s="0" t="n">
        <f aca="false">SUMPRODUCT(MMULT(G330:P330,_XtX!$B$58:$K$67),G330:P330)</f>
        <v>0.404656427556818</v>
      </c>
      <c r="S330" s="0" t="n">
        <f aca="false">04_回帰ANOVA!$K$19*04_回帰ANOVA!$K$14*SQRT(1+R330)</f>
        <v>1.10192412515358</v>
      </c>
      <c r="T330" s="0" t="n">
        <f aca="false">Q330-S330</f>
        <v>39.6583599657555</v>
      </c>
      <c r="U330" s="0" t="n">
        <f aca="false">Q330+S330</f>
        <v>41.8622082160627</v>
      </c>
      <c r="V330" s="54" t="b">
        <f aca="false">AND(D330&gt;=01_因子設定!$L$5-0.000000001,D330&lt;=01_因子設定!$M$5+0.000000001,E330&gt;=01_因子設定!$L$6-0.000000001,E330&lt;=01_因子設定!$M$6+0.000000001,F330&gt;=01_因子設定!$L$7-0.000000001,F330&lt;=01_因子設定!$M$7+0.000000001,IF(01_因子設定!$B$20="Box-Behnken",D330^2+E330^2+F330^2&lt;=2+0.000000001,TRUE()))</f>
        <v>1</v>
      </c>
      <c r="W330" s="55" t="n">
        <f aca="false">IF(V330,IF(01_因子設定!$B$13="最大化",T330-01_因子設定!$B$14,IF(01_因子設定!$B$13="最小化",01_因子設定!$B$15-U330,MIN(T330-01_因子設定!$B$14,01_因子設定!$B$15-U330))),-1E+030)</f>
        <v>-8.84164003424449</v>
      </c>
      <c r="X330" s="55" t="n">
        <f aca="false">IF(V330,IF(01_因子設定!$B$13="最大化",Q330,IF(01_因子設定!$B$13="最小化",-Q330,-ABS(Q330-01_因子設定!$B$16))),-1E+030)</f>
        <v>40.7602840909091</v>
      </c>
      <c r="Y330" s="55" t="n">
        <f aca="false">W330+ROW()*0.000000001</f>
        <v>-8.84163970424448</v>
      </c>
      <c r="Z330" s="55" t="n">
        <f aca="false">X330+ROW()*0.000000001</f>
        <v>40.7602844209091</v>
      </c>
    </row>
    <row r="331" customFormat="false" ht="15" hidden="false" customHeight="false" outlineLevel="0" collapsed="false">
      <c r="A331" s="0" t="n">
        <v>1</v>
      </c>
      <c r="B331" s="0" t="n">
        <v>2</v>
      </c>
      <c r="C331" s="0" t="n">
        <v>3</v>
      </c>
      <c r="D331" s="0" t="n">
        <f aca="false">-1+A331*0.125</f>
        <v>-0.875</v>
      </c>
      <c r="E331" s="0" t="n">
        <f aca="false">-1+B331*0.125</f>
        <v>-0.75</v>
      </c>
      <c r="F331" s="0" t="n">
        <f aca="false">-1+C331*0.125</f>
        <v>-0.625</v>
      </c>
      <c r="G331" s="0" t="n">
        <f aca="false">1</f>
        <v>1</v>
      </c>
      <c r="H331" s="0" t="n">
        <f aca="false">D331</f>
        <v>-0.875</v>
      </c>
      <c r="I331" s="0" t="n">
        <f aca="false">E331</f>
        <v>-0.75</v>
      </c>
      <c r="J331" s="0" t="n">
        <f aca="false">F331</f>
        <v>-0.625</v>
      </c>
      <c r="K331" s="0" t="n">
        <f aca="false">D331*E331</f>
        <v>0.65625</v>
      </c>
      <c r="L331" s="0" t="n">
        <f aca="false">D331*F331</f>
        <v>0.546875</v>
      </c>
      <c r="M331" s="0" t="n">
        <f aca="false">E331*F331</f>
        <v>0.46875</v>
      </c>
      <c r="N331" s="0" t="n">
        <f aca="false">D331*D331</f>
        <v>0.765625</v>
      </c>
      <c r="O331" s="0" t="n">
        <f aca="false">E331*E331</f>
        <v>0.5625</v>
      </c>
      <c r="P331" s="0" t="n">
        <f aca="false">F331*F331</f>
        <v>0.390625</v>
      </c>
      <c r="Q331" s="0" t="n">
        <f aca="false">SUMPRODUCT(G331:P331,_XtX!$B$71:$K$71)</f>
        <v>41.1093465909091</v>
      </c>
      <c r="R331" s="0" t="n">
        <f aca="false">SUMPRODUCT(MMULT(G331:P331,_XtX!$B$58:$K$67),G331:P331)</f>
        <v>0.377245538884943</v>
      </c>
      <c r="S331" s="0" t="n">
        <f aca="false">04_回帰ANOVA!$K$19*04_回帰ANOVA!$K$14*SQRT(1+R331)</f>
        <v>1.09111951468927</v>
      </c>
      <c r="T331" s="0" t="n">
        <f aca="false">Q331-S331</f>
        <v>40.0182270762198</v>
      </c>
      <c r="U331" s="0" t="n">
        <f aca="false">Q331+S331</f>
        <v>42.2004661055984</v>
      </c>
      <c r="V331" s="54" t="b">
        <f aca="false">AND(D331&gt;=01_因子設定!$L$5-0.000000001,D331&lt;=01_因子設定!$M$5+0.000000001,E331&gt;=01_因子設定!$L$6-0.000000001,E331&lt;=01_因子設定!$M$6+0.000000001,F331&gt;=01_因子設定!$L$7-0.000000001,F331&lt;=01_因子設定!$M$7+0.000000001,IF(01_因子設定!$B$20="Box-Behnken",D331^2+E331^2+F331^2&lt;=2+0.000000001,TRUE()))</f>
        <v>1</v>
      </c>
      <c r="W331" s="55" t="n">
        <f aca="false">IF(V331,IF(01_因子設定!$B$13="最大化",T331-01_因子設定!$B$14,IF(01_因子設定!$B$13="最小化",01_因子設定!$B$15-U331,MIN(T331-01_因子設定!$B$14,01_因子設定!$B$15-U331))),-1E+030)</f>
        <v>-8.48177292378018</v>
      </c>
      <c r="X331" s="55" t="n">
        <f aca="false">IF(V331,IF(01_因子設定!$B$13="最大化",Q331,IF(01_因子設定!$B$13="最小化",-Q331,-ABS(Q331-01_因子設定!$B$16))),-1E+030)</f>
        <v>41.1093465909091</v>
      </c>
      <c r="Y331" s="55" t="n">
        <f aca="false">W331+ROW()*0.000000001</f>
        <v>-8.48177259278018</v>
      </c>
      <c r="Z331" s="55" t="n">
        <f aca="false">X331+ROW()*0.000000001</f>
        <v>41.1093469219091</v>
      </c>
    </row>
    <row r="332" customFormat="false" ht="15" hidden="false" customHeight="false" outlineLevel="0" collapsed="false">
      <c r="A332" s="0" t="n">
        <v>1</v>
      </c>
      <c r="B332" s="0" t="n">
        <v>2</v>
      </c>
      <c r="C332" s="0" t="n">
        <v>4</v>
      </c>
      <c r="D332" s="0" t="n">
        <f aca="false">-1+A332*0.125</f>
        <v>-0.875</v>
      </c>
      <c r="E332" s="0" t="n">
        <f aca="false">-1+B332*0.125</f>
        <v>-0.75</v>
      </c>
      <c r="F332" s="0" t="n">
        <f aca="false">-1+C332*0.125</f>
        <v>-0.5</v>
      </c>
      <c r="G332" s="0" t="n">
        <f aca="false">1</f>
        <v>1</v>
      </c>
      <c r="H332" s="0" t="n">
        <f aca="false">D332</f>
        <v>-0.875</v>
      </c>
      <c r="I332" s="0" t="n">
        <f aca="false">E332</f>
        <v>-0.75</v>
      </c>
      <c r="J332" s="0" t="n">
        <f aca="false">F332</f>
        <v>-0.5</v>
      </c>
      <c r="K332" s="0" t="n">
        <f aca="false">D332*E332</f>
        <v>0.65625</v>
      </c>
      <c r="L332" s="0" t="n">
        <f aca="false">D332*F332</f>
        <v>0.4375</v>
      </c>
      <c r="M332" s="0" t="n">
        <f aca="false">E332*F332</f>
        <v>0.375</v>
      </c>
      <c r="N332" s="0" t="n">
        <f aca="false">D332*D332</f>
        <v>0.765625</v>
      </c>
      <c r="O332" s="0" t="n">
        <f aca="false">E332*E332</f>
        <v>0.5625</v>
      </c>
      <c r="P332" s="0" t="n">
        <f aca="false">F332*F332</f>
        <v>0.25</v>
      </c>
      <c r="Q332" s="0" t="n">
        <f aca="false">SUMPRODUCT(G332:P332,_XtX!$B$71:$K$71)</f>
        <v>41.4216193181818</v>
      </c>
      <c r="R332" s="0" t="n">
        <f aca="false">SUMPRODUCT(MMULT(G332:P332,_XtX!$B$58:$K$67),G332:P332)</f>
        <v>0.370798561789773</v>
      </c>
      <c r="S332" s="0" t="n">
        <f aca="false">04_回帰ANOVA!$K$19*04_回帰ANOVA!$K$14*SQRT(1+R332)</f>
        <v>1.08856271788237</v>
      </c>
      <c r="T332" s="0" t="n">
        <f aca="false">Q332-S332</f>
        <v>40.3330566002994</v>
      </c>
      <c r="U332" s="0" t="n">
        <f aca="false">Q332+S332</f>
        <v>42.5101820360642</v>
      </c>
      <c r="V332" s="54" t="b">
        <f aca="false">AND(D332&gt;=01_因子設定!$L$5-0.000000001,D332&lt;=01_因子設定!$M$5+0.000000001,E332&gt;=01_因子設定!$L$6-0.000000001,E332&lt;=01_因子設定!$M$6+0.000000001,F332&gt;=01_因子設定!$L$7-0.000000001,F332&lt;=01_因子設定!$M$7+0.000000001,IF(01_因子設定!$B$20="Box-Behnken",D332^2+E332^2+F332^2&lt;=2+0.000000001,TRUE()))</f>
        <v>1</v>
      </c>
      <c r="W332" s="55" t="n">
        <f aca="false">IF(V332,IF(01_因子設定!$B$13="最大化",T332-01_因子設定!$B$14,IF(01_因子設定!$B$13="最小化",01_因子設定!$B$15-U332,MIN(T332-01_因子設定!$B$14,01_因子設定!$B$15-U332))),-1E+030)</f>
        <v>-8.16694339970056</v>
      </c>
      <c r="X332" s="55" t="n">
        <f aca="false">IF(V332,IF(01_因子設定!$B$13="最大化",Q332,IF(01_因子設定!$B$13="最小化",-Q332,-ABS(Q332-01_因子設定!$B$16))),-1E+030)</f>
        <v>41.4216193181818</v>
      </c>
      <c r="Y332" s="55" t="n">
        <f aca="false">W332+ROW()*0.000000001</f>
        <v>-8.16694306770056</v>
      </c>
      <c r="Z332" s="55" t="n">
        <f aca="false">X332+ROW()*0.000000001</f>
        <v>41.4216196501818</v>
      </c>
    </row>
    <row r="333" customFormat="false" ht="15" hidden="false" customHeight="false" outlineLevel="0" collapsed="false">
      <c r="A333" s="0" t="n">
        <v>1</v>
      </c>
      <c r="B333" s="0" t="n">
        <v>2</v>
      </c>
      <c r="C333" s="0" t="n">
        <v>5</v>
      </c>
      <c r="D333" s="0" t="n">
        <f aca="false">-1+A333*0.125</f>
        <v>-0.875</v>
      </c>
      <c r="E333" s="0" t="n">
        <f aca="false">-1+B333*0.125</f>
        <v>-0.75</v>
      </c>
      <c r="F333" s="0" t="n">
        <f aca="false">-1+C333*0.125</f>
        <v>-0.375</v>
      </c>
      <c r="G333" s="0" t="n">
        <f aca="false">1</f>
        <v>1</v>
      </c>
      <c r="H333" s="0" t="n">
        <f aca="false">D333</f>
        <v>-0.875</v>
      </c>
      <c r="I333" s="0" t="n">
        <f aca="false">E333</f>
        <v>-0.75</v>
      </c>
      <c r="J333" s="0" t="n">
        <f aca="false">F333</f>
        <v>-0.375</v>
      </c>
      <c r="K333" s="0" t="n">
        <f aca="false">D333*E333</f>
        <v>0.65625</v>
      </c>
      <c r="L333" s="0" t="n">
        <f aca="false">D333*F333</f>
        <v>0.328125</v>
      </c>
      <c r="M333" s="0" t="n">
        <f aca="false">E333*F333</f>
        <v>0.28125</v>
      </c>
      <c r="N333" s="0" t="n">
        <f aca="false">D333*D333</f>
        <v>0.765625</v>
      </c>
      <c r="O333" s="0" t="n">
        <f aca="false">E333*E333</f>
        <v>0.5625</v>
      </c>
      <c r="P333" s="0" t="n">
        <f aca="false">F333*F333</f>
        <v>0.140625</v>
      </c>
      <c r="Q333" s="0" t="n">
        <f aca="false">SUMPRODUCT(G333:P333,_XtX!$B$71:$K$71)</f>
        <v>41.6971022727273</v>
      </c>
      <c r="R333" s="0" t="n">
        <f aca="false">SUMPRODUCT(MMULT(G333:P333,_XtX!$B$58:$K$67),G333:P333)</f>
        <v>0.375727428089489</v>
      </c>
      <c r="S333" s="0" t="n">
        <f aca="false">04_回帰ANOVA!$K$19*04_回帰ANOVA!$K$14*SQRT(1+R333)</f>
        <v>1.09051798904087</v>
      </c>
      <c r="T333" s="0" t="n">
        <f aca="false">Q333-S333</f>
        <v>40.6065842836864</v>
      </c>
      <c r="U333" s="0" t="n">
        <f aca="false">Q333+S333</f>
        <v>42.7876202617682</v>
      </c>
      <c r="V333" s="54" t="b">
        <f aca="false">AND(D333&gt;=01_因子設定!$L$5-0.000000001,D333&lt;=01_因子設定!$M$5+0.000000001,E333&gt;=01_因子設定!$L$6-0.000000001,E333&lt;=01_因子設定!$M$6+0.000000001,F333&gt;=01_因子設定!$L$7-0.000000001,F333&lt;=01_因子設定!$M$7+0.000000001,IF(01_因子設定!$B$20="Box-Behnken",D333^2+E333^2+F333^2&lt;=2+0.000000001,TRUE()))</f>
        <v>1</v>
      </c>
      <c r="W333" s="55" t="n">
        <f aca="false">IF(V333,IF(01_因子設定!$B$13="最大化",T333-01_因子設定!$B$14,IF(01_因子設定!$B$13="最小化",01_因子設定!$B$15-U333,MIN(T333-01_因子設定!$B$14,01_因子設定!$B$15-U333))),-1E+030)</f>
        <v>-7.89341571631361</v>
      </c>
      <c r="X333" s="55" t="n">
        <f aca="false">IF(V333,IF(01_因子設定!$B$13="最大化",Q333,IF(01_因子設定!$B$13="最小化",-Q333,-ABS(Q333-01_因子設定!$B$16))),-1E+030)</f>
        <v>41.6971022727273</v>
      </c>
      <c r="Y333" s="55" t="n">
        <f aca="false">W333+ROW()*0.000000001</f>
        <v>-7.89341538331361</v>
      </c>
      <c r="Z333" s="55" t="n">
        <f aca="false">X333+ROW()*0.000000001</f>
        <v>41.6971026057273</v>
      </c>
    </row>
    <row r="334" customFormat="false" ht="15" hidden="false" customHeight="false" outlineLevel="0" collapsed="false">
      <c r="A334" s="0" t="n">
        <v>1</v>
      </c>
      <c r="B334" s="0" t="n">
        <v>2</v>
      </c>
      <c r="C334" s="0" t="n">
        <v>6</v>
      </c>
      <c r="D334" s="0" t="n">
        <f aca="false">-1+A334*0.125</f>
        <v>-0.875</v>
      </c>
      <c r="E334" s="0" t="n">
        <f aca="false">-1+B334*0.125</f>
        <v>-0.75</v>
      </c>
      <c r="F334" s="0" t="n">
        <f aca="false">-1+C334*0.125</f>
        <v>-0.25</v>
      </c>
      <c r="G334" s="0" t="n">
        <f aca="false">1</f>
        <v>1</v>
      </c>
      <c r="H334" s="0" t="n">
        <f aca="false">D334</f>
        <v>-0.875</v>
      </c>
      <c r="I334" s="0" t="n">
        <f aca="false">E334</f>
        <v>-0.75</v>
      </c>
      <c r="J334" s="0" t="n">
        <f aca="false">F334</f>
        <v>-0.25</v>
      </c>
      <c r="K334" s="0" t="n">
        <f aca="false">D334*E334</f>
        <v>0.65625</v>
      </c>
      <c r="L334" s="0" t="n">
        <f aca="false">D334*F334</f>
        <v>0.21875</v>
      </c>
      <c r="M334" s="0" t="n">
        <f aca="false">E334*F334</f>
        <v>0.1875</v>
      </c>
      <c r="N334" s="0" t="n">
        <f aca="false">D334*D334</f>
        <v>0.765625</v>
      </c>
      <c r="O334" s="0" t="n">
        <f aca="false">E334*E334</f>
        <v>0.5625</v>
      </c>
      <c r="P334" s="0" t="n">
        <f aca="false">F334*F334</f>
        <v>0.0625</v>
      </c>
      <c r="Q334" s="0" t="n">
        <f aca="false">SUMPRODUCT(G334:P334,_XtX!$B$71:$K$71)</f>
        <v>41.9357954545455</v>
      </c>
      <c r="R334" s="0" t="n">
        <f aca="false">SUMPRODUCT(MMULT(G334:P334,_XtX!$B$58:$K$67),G334:P334)</f>
        <v>0.384574751420455</v>
      </c>
      <c r="S334" s="0" t="n">
        <f aca="false">04_回帰ANOVA!$K$19*04_回帰ANOVA!$K$14*SQRT(1+R334)</f>
        <v>1.0940189380139</v>
      </c>
      <c r="T334" s="0" t="n">
        <f aca="false">Q334-S334</f>
        <v>40.8417765165315</v>
      </c>
      <c r="U334" s="0" t="n">
        <f aca="false">Q334+S334</f>
        <v>43.0298143925594</v>
      </c>
      <c r="V334" s="54" t="b">
        <f aca="false">AND(D334&gt;=01_因子設定!$L$5-0.000000001,D334&lt;=01_因子設定!$M$5+0.000000001,E334&gt;=01_因子設定!$L$6-0.000000001,E334&lt;=01_因子設定!$M$6+0.000000001,F334&gt;=01_因子設定!$L$7-0.000000001,F334&lt;=01_因子設定!$M$7+0.000000001,IF(01_因子設定!$B$20="Box-Behnken",D334^2+E334^2+F334^2&lt;=2+0.000000001,TRUE()))</f>
        <v>1</v>
      </c>
      <c r="W334" s="55" t="n">
        <f aca="false">IF(V334,IF(01_因子設定!$B$13="最大化",T334-01_因子設定!$B$14,IF(01_因子設定!$B$13="最小化",01_因子設定!$B$15-U334,MIN(T334-01_因子設定!$B$14,01_因子設定!$B$15-U334))),-1E+030)</f>
        <v>-7.65822348346845</v>
      </c>
      <c r="X334" s="55" t="n">
        <f aca="false">IF(V334,IF(01_因子設定!$B$13="最大化",Q334,IF(01_因子設定!$B$13="最小化",-Q334,-ABS(Q334-01_因子設定!$B$16))),-1E+030)</f>
        <v>41.9357954545455</v>
      </c>
      <c r="Y334" s="55" t="n">
        <f aca="false">W334+ROW()*0.000000001</f>
        <v>-7.65822314946845</v>
      </c>
      <c r="Z334" s="55" t="n">
        <f aca="false">X334+ROW()*0.000000001</f>
        <v>41.9357957885455</v>
      </c>
    </row>
    <row r="335" customFormat="false" ht="15" hidden="false" customHeight="false" outlineLevel="0" collapsed="false">
      <c r="A335" s="0" t="n">
        <v>1</v>
      </c>
      <c r="B335" s="0" t="n">
        <v>2</v>
      </c>
      <c r="C335" s="0" t="n">
        <v>7</v>
      </c>
      <c r="D335" s="0" t="n">
        <f aca="false">-1+A335*0.125</f>
        <v>-0.875</v>
      </c>
      <c r="E335" s="0" t="n">
        <f aca="false">-1+B335*0.125</f>
        <v>-0.75</v>
      </c>
      <c r="F335" s="0" t="n">
        <f aca="false">-1+C335*0.125</f>
        <v>-0.125</v>
      </c>
      <c r="G335" s="0" t="n">
        <f aca="false">1</f>
        <v>1</v>
      </c>
      <c r="H335" s="0" t="n">
        <f aca="false">D335</f>
        <v>-0.875</v>
      </c>
      <c r="I335" s="0" t="n">
        <f aca="false">E335</f>
        <v>-0.75</v>
      </c>
      <c r="J335" s="0" t="n">
        <f aca="false">F335</f>
        <v>-0.125</v>
      </c>
      <c r="K335" s="0" t="n">
        <f aca="false">D335*E335</f>
        <v>0.65625</v>
      </c>
      <c r="L335" s="0" t="n">
        <f aca="false">D335*F335</f>
        <v>0.109375</v>
      </c>
      <c r="M335" s="0" t="n">
        <f aca="false">E335*F335</f>
        <v>0.09375</v>
      </c>
      <c r="N335" s="0" t="n">
        <f aca="false">D335*D335</f>
        <v>0.765625</v>
      </c>
      <c r="O335" s="0" t="n">
        <f aca="false">E335*E335</f>
        <v>0.5625</v>
      </c>
      <c r="P335" s="0" t="n">
        <f aca="false">F335*F335</f>
        <v>0.015625</v>
      </c>
      <c r="Q335" s="0" t="n">
        <f aca="false">SUMPRODUCT(G335:P335,_XtX!$B$71:$K$71)</f>
        <v>42.1376988636364</v>
      </c>
      <c r="R335" s="0" t="n">
        <f aca="false">SUMPRODUCT(MMULT(G335:P335,_XtX!$B$58:$K$67),G335:P335)</f>
        <v>0.392013827237216</v>
      </c>
      <c r="S335" s="0" t="n">
        <f aca="false">04_回帰ANOVA!$K$19*04_回帰ANOVA!$K$14*SQRT(1+R335)</f>
        <v>1.09695398627251</v>
      </c>
      <c r="T335" s="0" t="n">
        <f aca="false">Q335-S335</f>
        <v>41.0407448773639</v>
      </c>
      <c r="U335" s="0" t="n">
        <f aca="false">Q335+S335</f>
        <v>43.2346528499089</v>
      </c>
      <c r="V335" s="54" t="b">
        <f aca="false">AND(D335&gt;=01_因子設定!$L$5-0.000000001,D335&lt;=01_因子設定!$M$5+0.000000001,E335&gt;=01_因子設定!$L$6-0.000000001,E335&lt;=01_因子設定!$M$6+0.000000001,F335&gt;=01_因子設定!$L$7-0.000000001,F335&lt;=01_因子設定!$M$7+0.000000001,IF(01_因子設定!$B$20="Box-Behnken",D335^2+E335^2+F335^2&lt;=2+0.000000001,TRUE()))</f>
        <v>1</v>
      </c>
      <c r="W335" s="55" t="n">
        <f aca="false">IF(V335,IF(01_因子設定!$B$13="最大化",T335-01_因子設定!$B$14,IF(01_因子設定!$B$13="最小化",01_因子設定!$B$15-U335,MIN(T335-01_因子設定!$B$14,01_因子設定!$B$15-U335))),-1E+030)</f>
        <v>-7.45925512263615</v>
      </c>
      <c r="X335" s="55" t="n">
        <f aca="false">IF(V335,IF(01_因子設定!$B$13="最大化",Q335,IF(01_因子設定!$B$13="最小化",-Q335,-ABS(Q335-01_因子設定!$B$16))),-1E+030)</f>
        <v>42.1376988636364</v>
      </c>
      <c r="Y335" s="55" t="n">
        <f aca="false">W335+ROW()*0.000000001</f>
        <v>-7.45925478763615</v>
      </c>
      <c r="Z335" s="55" t="n">
        <f aca="false">X335+ROW()*0.000000001</f>
        <v>42.1376991986364</v>
      </c>
    </row>
    <row r="336" customFormat="false" ht="15" hidden="false" customHeight="false" outlineLevel="0" collapsed="false">
      <c r="A336" s="0" t="n">
        <v>1</v>
      </c>
      <c r="B336" s="0" t="n">
        <v>2</v>
      </c>
      <c r="C336" s="0" t="n">
        <v>8</v>
      </c>
      <c r="D336" s="0" t="n">
        <f aca="false">-1+A336*0.125</f>
        <v>-0.875</v>
      </c>
      <c r="E336" s="0" t="n">
        <f aca="false">-1+B336*0.125</f>
        <v>-0.75</v>
      </c>
      <c r="F336" s="0" t="n">
        <f aca="false">-1+C336*0.125</f>
        <v>0</v>
      </c>
      <c r="G336" s="0" t="n">
        <f aca="false">1</f>
        <v>1</v>
      </c>
      <c r="H336" s="0" t="n">
        <f aca="false">D336</f>
        <v>-0.875</v>
      </c>
      <c r="I336" s="0" t="n">
        <f aca="false">E336</f>
        <v>-0.75</v>
      </c>
      <c r="J336" s="0" t="n">
        <f aca="false">F336</f>
        <v>0</v>
      </c>
      <c r="K336" s="0" t="n">
        <f aca="false">D336*E336</f>
        <v>0.65625</v>
      </c>
      <c r="L336" s="0" t="n">
        <f aca="false">D336*F336</f>
        <v>-0</v>
      </c>
      <c r="M336" s="0" t="n">
        <f aca="false">E336*F336</f>
        <v>-0</v>
      </c>
      <c r="N336" s="0" t="n">
        <f aca="false">D336*D336</f>
        <v>0.765625</v>
      </c>
      <c r="O336" s="0" t="n">
        <f aca="false">E336*E336</f>
        <v>0.5625</v>
      </c>
      <c r="P336" s="0" t="n">
        <f aca="false">F336*F336</f>
        <v>0</v>
      </c>
      <c r="Q336" s="0" t="n">
        <f aca="false">SUMPRODUCT(G336:P336,_XtX!$B$71:$K$71)</f>
        <v>42.3028125</v>
      </c>
      <c r="R336" s="0" t="n">
        <f aca="false">SUMPRODUCT(MMULT(G336:P336,_XtX!$B$58:$K$67),G336:P336)</f>
        <v>0.3948486328125</v>
      </c>
      <c r="S336" s="0" t="n">
        <f aca="false">04_回帰ANOVA!$K$19*04_回帰ANOVA!$K$14*SQRT(1+R336)</f>
        <v>1.09807037952996</v>
      </c>
      <c r="T336" s="0" t="n">
        <f aca="false">Q336-S336</f>
        <v>41.20474212047</v>
      </c>
      <c r="U336" s="0" t="n">
        <f aca="false">Q336+S336</f>
        <v>43.40088287953</v>
      </c>
      <c r="V336" s="54" t="b">
        <f aca="false">AND(D336&gt;=01_因子設定!$L$5-0.000000001,D336&lt;=01_因子設定!$M$5+0.000000001,E336&gt;=01_因子設定!$L$6-0.000000001,E336&lt;=01_因子設定!$M$6+0.000000001,F336&gt;=01_因子設定!$L$7-0.000000001,F336&lt;=01_因子設定!$M$7+0.000000001,IF(01_因子設定!$B$20="Box-Behnken",D336^2+E336^2+F336^2&lt;=2+0.000000001,TRUE()))</f>
        <v>1</v>
      </c>
      <c r="W336" s="55" t="n">
        <f aca="false">IF(V336,IF(01_因子設定!$B$13="最大化",T336-01_因子設定!$B$14,IF(01_因子設定!$B$13="最小化",01_因子設定!$B$15-U336,MIN(T336-01_因子設定!$B$14,01_因子設定!$B$15-U336))),-1E+030)</f>
        <v>-7.29525787952996</v>
      </c>
      <c r="X336" s="55" t="n">
        <f aca="false">IF(V336,IF(01_因子設定!$B$13="最大化",Q336,IF(01_因子設定!$B$13="最小化",-Q336,-ABS(Q336-01_因子設定!$B$16))),-1E+030)</f>
        <v>42.3028125</v>
      </c>
      <c r="Y336" s="55" t="n">
        <f aca="false">W336+ROW()*0.000000001</f>
        <v>-7.29525754352996</v>
      </c>
      <c r="Z336" s="55" t="n">
        <f aca="false">X336+ROW()*0.000000001</f>
        <v>42.302812836</v>
      </c>
    </row>
    <row r="337" customFormat="false" ht="15" hidden="false" customHeight="false" outlineLevel="0" collapsed="false">
      <c r="A337" s="0" t="n">
        <v>1</v>
      </c>
      <c r="B337" s="0" t="n">
        <v>2</v>
      </c>
      <c r="C337" s="0" t="n">
        <v>9</v>
      </c>
      <c r="D337" s="0" t="n">
        <f aca="false">-1+A337*0.125</f>
        <v>-0.875</v>
      </c>
      <c r="E337" s="0" t="n">
        <f aca="false">-1+B337*0.125</f>
        <v>-0.75</v>
      </c>
      <c r="F337" s="0" t="n">
        <f aca="false">-1+C337*0.125</f>
        <v>0.125</v>
      </c>
      <c r="G337" s="0" t="n">
        <f aca="false">1</f>
        <v>1</v>
      </c>
      <c r="H337" s="0" t="n">
        <f aca="false">D337</f>
        <v>-0.875</v>
      </c>
      <c r="I337" s="0" t="n">
        <f aca="false">E337</f>
        <v>-0.75</v>
      </c>
      <c r="J337" s="0" t="n">
        <f aca="false">F337</f>
        <v>0.125</v>
      </c>
      <c r="K337" s="0" t="n">
        <f aca="false">D337*E337</f>
        <v>0.65625</v>
      </c>
      <c r="L337" s="0" t="n">
        <f aca="false">D337*F337</f>
        <v>-0.109375</v>
      </c>
      <c r="M337" s="0" t="n">
        <f aca="false">E337*F337</f>
        <v>-0.09375</v>
      </c>
      <c r="N337" s="0" t="n">
        <f aca="false">D337*D337</f>
        <v>0.765625</v>
      </c>
      <c r="O337" s="0" t="n">
        <f aca="false">E337*E337</f>
        <v>0.5625</v>
      </c>
      <c r="P337" s="0" t="n">
        <f aca="false">F337*F337</f>
        <v>0.015625</v>
      </c>
      <c r="Q337" s="0" t="n">
        <f aca="false">SUMPRODUCT(G337:P337,_XtX!$B$71:$K$71)</f>
        <v>42.4311363636364</v>
      </c>
      <c r="R337" s="0" t="n">
        <f aca="false">SUMPRODUCT(MMULT(G337:P337,_XtX!$B$58:$K$67),G337:P337)</f>
        <v>0.392013827237216</v>
      </c>
      <c r="S337" s="0" t="n">
        <f aca="false">04_回帰ANOVA!$K$19*04_回帰ANOVA!$K$14*SQRT(1+R337)</f>
        <v>1.09695398627251</v>
      </c>
      <c r="T337" s="0" t="n">
        <f aca="false">Q337-S337</f>
        <v>41.3341823773638</v>
      </c>
      <c r="U337" s="0" t="n">
        <f aca="false">Q337+S337</f>
        <v>43.5280903499089</v>
      </c>
      <c r="V337" s="54" t="b">
        <f aca="false">AND(D337&gt;=01_因子設定!$L$5-0.000000001,D337&lt;=01_因子設定!$M$5+0.000000001,E337&gt;=01_因子設定!$L$6-0.000000001,E337&lt;=01_因子設定!$M$6+0.000000001,F337&gt;=01_因子設定!$L$7-0.000000001,F337&lt;=01_因子設定!$M$7+0.000000001,IF(01_因子設定!$B$20="Box-Behnken",D337^2+E337^2+F337^2&lt;=2+0.000000001,TRUE()))</f>
        <v>1</v>
      </c>
      <c r="W337" s="55" t="n">
        <f aca="false">IF(V337,IF(01_因子設定!$B$13="最大化",T337-01_因子設定!$B$14,IF(01_因子設定!$B$13="最小化",01_因子設定!$B$15-U337,MIN(T337-01_因子設定!$B$14,01_因子設定!$B$15-U337))),-1E+030)</f>
        <v>-7.16581762263616</v>
      </c>
      <c r="X337" s="55" t="n">
        <f aca="false">IF(V337,IF(01_因子設定!$B$13="最大化",Q337,IF(01_因子設定!$B$13="最小化",-Q337,-ABS(Q337-01_因子設定!$B$16))),-1E+030)</f>
        <v>42.4311363636364</v>
      </c>
      <c r="Y337" s="55" t="n">
        <f aca="false">W337+ROW()*0.000000001</f>
        <v>-7.16581728563615</v>
      </c>
      <c r="Z337" s="55" t="n">
        <f aca="false">X337+ROW()*0.000000001</f>
        <v>42.4311367006364</v>
      </c>
    </row>
    <row r="338" customFormat="false" ht="15" hidden="false" customHeight="false" outlineLevel="0" collapsed="false">
      <c r="A338" s="0" t="n">
        <v>1</v>
      </c>
      <c r="B338" s="0" t="n">
        <v>2</v>
      </c>
      <c r="C338" s="0" t="n">
        <v>10</v>
      </c>
      <c r="D338" s="0" t="n">
        <f aca="false">-1+A338*0.125</f>
        <v>-0.875</v>
      </c>
      <c r="E338" s="0" t="n">
        <f aca="false">-1+B338*0.125</f>
        <v>-0.75</v>
      </c>
      <c r="F338" s="0" t="n">
        <f aca="false">-1+C338*0.125</f>
        <v>0.25</v>
      </c>
      <c r="G338" s="0" t="n">
        <f aca="false">1</f>
        <v>1</v>
      </c>
      <c r="H338" s="0" t="n">
        <f aca="false">D338</f>
        <v>-0.875</v>
      </c>
      <c r="I338" s="0" t="n">
        <f aca="false">E338</f>
        <v>-0.75</v>
      </c>
      <c r="J338" s="0" t="n">
        <f aca="false">F338</f>
        <v>0.25</v>
      </c>
      <c r="K338" s="0" t="n">
        <f aca="false">D338*E338</f>
        <v>0.65625</v>
      </c>
      <c r="L338" s="0" t="n">
        <f aca="false">D338*F338</f>
        <v>-0.21875</v>
      </c>
      <c r="M338" s="0" t="n">
        <f aca="false">E338*F338</f>
        <v>-0.1875</v>
      </c>
      <c r="N338" s="0" t="n">
        <f aca="false">D338*D338</f>
        <v>0.765625</v>
      </c>
      <c r="O338" s="0" t="n">
        <f aca="false">E338*E338</f>
        <v>0.5625</v>
      </c>
      <c r="P338" s="0" t="n">
        <f aca="false">F338*F338</f>
        <v>0.0625</v>
      </c>
      <c r="Q338" s="0" t="n">
        <f aca="false">SUMPRODUCT(G338:P338,_XtX!$B$71:$K$71)</f>
        <v>42.5226704545455</v>
      </c>
      <c r="R338" s="0" t="n">
        <f aca="false">SUMPRODUCT(MMULT(G338:P338,_XtX!$B$58:$K$67),G338:P338)</f>
        <v>0.384574751420455</v>
      </c>
      <c r="S338" s="0" t="n">
        <f aca="false">04_回帰ANOVA!$K$19*04_回帰ANOVA!$K$14*SQRT(1+R338)</f>
        <v>1.0940189380139</v>
      </c>
      <c r="T338" s="0" t="n">
        <f aca="false">Q338-S338</f>
        <v>41.4286515165315</v>
      </c>
      <c r="U338" s="0" t="n">
        <f aca="false">Q338+S338</f>
        <v>43.6166893925594</v>
      </c>
      <c r="V338" s="54" t="b">
        <f aca="false">AND(D338&gt;=01_因子設定!$L$5-0.000000001,D338&lt;=01_因子設定!$M$5+0.000000001,E338&gt;=01_因子設定!$L$6-0.000000001,E338&lt;=01_因子設定!$M$6+0.000000001,F338&gt;=01_因子設定!$L$7-0.000000001,F338&lt;=01_因子設定!$M$7+0.000000001,IF(01_因子設定!$B$20="Box-Behnken",D338^2+E338^2+F338^2&lt;=2+0.000000001,TRUE()))</f>
        <v>1</v>
      </c>
      <c r="W338" s="55" t="n">
        <f aca="false">IF(V338,IF(01_因子設定!$B$13="最大化",T338-01_因子設定!$B$14,IF(01_因子設定!$B$13="最小化",01_因子設定!$B$15-U338,MIN(T338-01_因子設定!$B$14,01_因子設定!$B$15-U338))),-1E+030)</f>
        <v>-7.07134848346846</v>
      </c>
      <c r="X338" s="55" t="n">
        <f aca="false">IF(V338,IF(01_因子設定!$B$13="最大化",Q338,IF(01_因子設定!$B$13="最小化",-Q338,-ABS(Q338-01_因子設定!$B$16))),-1E+030)</f>
        <v>42.5226704545455</v>
      </c>
      <c r="Y338" s="55" t="n">
        <f aca="false">W338+ROW()*0.000000001</f>
        <v>-7.07134814546846</v>
      </c>
      <c r="Z338" s="55" t="n">
        <f aca="false">X338+ROW()*0.000000001</f>
        <v>42.5226707925455</v>
      </c>
    </row>
    <row r="339" customFormat="false" ht="15" hidden="false" customHeight="false" outlineLevel="0" collapsed="false">
      <c r="A339" s="0" t="n">
        <v>1</v>
      </c>
      <c r="B339" s="0" t="n">
        <v>2</v>
      </c>
      <c r="C339" s="0" t="n">
        <v>11</v>
      </c>
      <c r="D339" s="0" t="n">
        <f aca="false">-1+A339*0.125</f>
        <v>-0.875</v>
      </c>
      <c r="E339" s="0" t="n">
        <f aca="false">-1+B339*0.125</f>
        <v>-0.75</v>
      </c>
      <c r="F339" s="0" t="n">
        <f aca="false">-1+C339*0.125</f>
        <v>0.375</v>
      </c>
      <c r="G339" s="0" t="n">
        <f aca="false">1</f>
        <v>1</v>
      </c>
      <c r="H339" s="0" t="n">
        <f aca="false">D339</f>
        <v>-0.875</v>
      </c>
      <c r="I339" s="0" t="n">
        <f aca="false">E339</f>
        <v>-0.75</v>
      </c>
      <c r="J339" s="0" t="n">
        <f aca="false">F339</f>
        <v>0.375</v>
      </c>
      <c r="K339" s="0" t="n">
        <f aca="false">D339*E339</f>
        <v>0.65625</v>
      </c>
      <c r="L339" s="0" t="n">
        <f aca="false">D339*F339</f>
        <v>-0.328125</v>
      </c>
      <c r="M339" s="0" t="n">
        <f aca="false">E339*F339</f>
        <v>-0.28125</v>
      </c>
      <c r="N339" s="0" t="n">
        <f aca="false">D339*D339</f>
        <v>0.765625</v>
      </c>
      <c r="O339" s="0" t="n">
        <f aca="false">E339*E339</f>
        <v>0.5625</v>
      </c>
      <c r="P339" s="0" t="n">
        <f aca="false">F339*F339</f>
        <v>0.140625</v>
      </c>
      <c r="Q339" s="0" t="n">
        <f aca="false">SUMPRODUCT(G339:P339,_XtX!$B$71:$K$71)</f>
        <v>42.5774147727273</v>
      </c>
      <c r="R339" s="0" t="n">
        <f aca="false">SUMPRODUCT(MMULT(G339:P339,_XtX!$B$58:$K$67),G339:P339)</f>
        <v>0.375727428089489</v>
      </c>
      <c r="S339" s="0" t="n">
        <f aca="false">04_回帰ANOVA!$K$19*04_回帰ANOVA!$K$14*SQRT(1+R339)</f>
        <v>1.09051798904087</v>
      </c>
      <c r="T339" s="0" t="n">
        <f aca="false">Q339-S339</f>
        <v>41.4868967836864</v>
      </c>
      <c r="U339" s="0" t="n">
        <f aca="false">Q339+S339</f>
        <v>43.6679327617681</v>
      </c>
      <c r="V339" s="54" t="b">
        <f aca="false">AND(D339&gt;=01_因子設定!$L$5-0.000000001,D339&lt;=01_因子設定!$M$5+0.000000001,E339&gt;=01_因子設定!$L$6-0.000000001,E339&lt;=01_因子設定!$M$6+0.000000001,F339&gt;=01_因子設定!$L$7-0.000000001,F339&lt;=01_因子設定!$M$7+0.000000001,IF(01_因子設定!$B$20="Box-Behnken",D339^2+E339^2+F339^2&lt;=2+0.000000001,TRUE()))</f>
        <v>1</v>
      </c>
      <c r="W339" s="55" t="n">
        <f aca="false">IF(V339,IF(01_因子設定!$B$13="最大化",T339-01_因子設定!$B$14,IF(01_因子設定!$B$13="最小化",01_因子設定!$B$15-U339,MIN(T339-01_因子設定!$B$14,01_因子設定!$B$15-U339))),-1E+030)</f>
        <v>-7.01310321631361</v>
      </c>
      <c r="X339" s="55" t="n">
        <f aca="false">IF(V339,IF(01_因子設定!$B$13="最大化",Q339,IF(01_因子設定!$B$13="最小化",-Q339,-ABS(Q339-01_因子設定!$B$16))),-1E+030)</f>
        <v>42.5774147727273</v>
      </c>
      <c r="Y339" s="55" t="n">
        <f aca="false">W339+ROW()*0.000000001</f>
        <v>-7.01310287731361</v>
      </c>
      <c r="Z339" s="55" t="n">
        <f aca="false">X339+ROW()*0.000000001</f>
        <v>42.5774151117273</v>
      </c>
    </row>
    <row r="340" customFormat="false" ht="15" hidden="false" customHeight="false" outlineLevel="0" collapsed="false">
      <c r="A340" s="0" t="n">
        <v>1</v>
      </c>
      <c r="B340" s="0" t="n">
        <v>2</v>
      </c>
      <c r="C340" s="0" t="n">
        <v>12</v>
      </c>
      <c r="D340" s="0" t="n">
        <f aca="false">-1+A340*0.125</f>
        <v>-0.875</v>
      </c>
      <c r="E340" s="0" t="n">
        <f aca="false">-1+B340*0.125</f>
        <v>-0.75</v>
      </c>
      <c r="F340" s="0" t="n">
        <f aca="false">-1+C340*0.125</f>
        <v>0.5</v>
      </c>
      <c r="G340" s="0" t="n">
        <f aca="false">1</f>
        <v>1</v>
      </c>
      <c r="H340" s="0" t="n">
        <f aca="false">D340</f>
        <v>-0.875</v>
      </c>
      <c r="I340" s="0" t="n">
        <f aca="false">E340</f>
        <v>-0.75</v>
      </c>
      <c r="J340" s="0" t="n">
        <f aca="false">F340</f>
        <v>0.5</v>
      </c>
      <c r="K340" s="0" t="n">
        <f aca="false">D340*E340</f>
        <v>0.65625</v>
      </c>
      <c r="L340" s="0" t="n">
        <f aca="false">D340*F340</f>
        <v>-0.4375</v>
      </c>
      <c r="M340" s="0" t="n">
        <f aca="false">E340*F340</f>
        <v>-0.375</v>
      </c>
      <c r="N340" s="0" t="n">
        <f aca="false">D340*D340</f>
        <v>0.765625</v>
      </c>
      <c r="O340" s="0" t="n">
        <f aca="false">E340*E340</f>
        <v>0.5625</v>
      </c>
      <c r="P340" s="0" t="n">
        <f aca="false">F340*F340</f>
        <v>0.25</v>
      </c>
      <c r="Q340" s="0" t="n">
        <f aca="false">SUMPRODUCT(G340:P340,_XtX!$B$71:$K$71)</f>
        <v>42.5953693181818</v>
      </c>
      <c r="R340" s="0" t="n">
        <f aca="false">SUMPRODUCT(MMULT(G340:P340,_XtX!$B$58:$K$67),G340:P340)</f>
        <v>0.370798561789773</v>
      </c>
      <c r="S340" s="0" t="n">
        <f aca="false">04_回帰ANOVA!$K$19*04_回帰ANOVA!$K$14*SQRT(1+R340)</f>
        <v>1.08856271788237</v>
      </c>
      <c r="T340" s="0" t="n">
        <f aca="false">Q340-S340</f>
        <v>41.5068066002994</v>
      </c>
      <c r="U340" s="0" t="n">
        <f aca="false">Q340+S340</f>
        <v>43.6839320360642</v>
      </c>
      <c r="V340" s="54" t="b">
        <f aca="false">AND(D340&gt;=01_因子設定!$L$5-0.000000001,D340&lt;=01_因子設定!$M$5+0.000000001,E340&gt;=01_因子設定!$L$6-0.000000001,E340&lt;=01_因子設定!$M$6+0.000000001,F340&gt;=01_因子設定!$L$7-0.000000001,F340&lt;=01_因子設定!$M$7+0.000000001,IF(01_因子設定!$B$20="Box-Behnken",D340^2+E340^2+F340^2&lt;=2+0.000000001,TRUE()))</f>
        <v>1</v>
      </c>
      <c r="W340" s="55" t="n">
        <f aca="false">IF(V340,IF(01_因子設定!$B$13="最大化",T340-01_因子設定!$B$14,IF(01_因子設定!$B$13="最小化",01_因子設定!$B$15-U340,MIN(T340-01_因子設定!$B$14,01_因子設定!$B$15-U340))),-1E+030)</f>
        <v>-6.99319339970056</v>
      </c>
      <c r="X340" s="55" t="n">
        <f aca="false">IF(V340,IF(01_因子設定!$B$13="最大化",Q340,IF(01_因子設定!$B$13="最小化",-Q340,-ABS(Q340-01_因子設定!$B$16))),-1E+030)</f>
        <v>42.5953693181818</v>
      </c>
      <c r="Y340" s="55" t="n">
        <f aca="false">W340+ROW()*0.000000001</f>
        <v>-6.99319305970056</v>
      </c>
      <c r="Z340" s="55" t="n">
        <f aca="false">X340+ROW()*0.000000001</f>
        <v>42.5953696581818</v>
      </c>
    </row>
    <row r="341" customFormat="false" ht="15" hidden="false" customHeight="false" outlineLevel="0" collapsed="false">
      <c r="A341" s="0" t="n">
        <v>1</v>
      </c>
      <c r="B341" s="0" t="n">
        <v>2</v>
      </c>
      <c r="C341" s="0" t="n">
        <v>13</v>
      </c>
      <c r="D341" s="0" t="n">
        <f aca="false">-1+A341*0.125</f>
        <v>-0.875</v>
      </c>
      <c r="E341" s="0" t="n">
        <f aca="false">-1+B341*0.125</f>
        <v>-0.75</v>
      </c>
      <c r="F341" s="0" t="n">
        <f aca="false">-1+C341*0.125</f>
        <v>0.625</v>
      </c>
      <c r="G341" s="0" t="n">
        <f aca="false">1</f>
        <v>1</v>
      </c>
      <c r="H341" s="0" t="n">
        <f aca="false">D341</f>
        <v>-0.875</v>
      </c>
      <c r="I341" s="0" t="n">
        <f aca="false">E341</f>
        <v>-0.75</v>
      </c>
      <c r="J341" s="0" t="n">
        <f aca="false">F341</f>
        <v>0.625</v>
      </c>
      <c r="K341" s="0" t="n">
        <f aca="false">D341*E341</f>
        <v>0.65625</v>
      </c>
      <c r="L341" s="0" t="n">
        <f aca="false">D341*F341</f>
        <v>-0.546875</v>
      </c>
      <c r="M341" s="0" t="n">
        <f aca="false">E341*F341</f>
        <v>-0.46875</v>
      </c>
      <c r="N341" s="0" t="n">
        <f aca="false">D341*D341</f>
        <v>0.765625</v>
      </c>
      <c r="O341" s="0" t="n">
        <f aca="false">E341*E341</f>
        <v>0.5625</v>
      </c>
      <c r="P341" s="0" t="n">
        <f aca="false">F341*F341</f>
        <v>0.390625</v>
      </c>
      <c r="Q341" s="0" t="n">
        <f aca="false">SUMPRODUCT(G341:P341,_XtX!$B$71:$K$71)</f>
        <v>42.5765340909091</v>
      </c>
      <c r="R341" s="0" t="n">
        <f aca="false">SUMPRODUCT(MMULT(G341:P341,_XtX!$B$58:$K$67),G341:P341)</f>
        <v>0.377245538884943</v>
      </c>
      <c r="S341" s="0" t="n">
        <f aca="false">04_回帰ANOVA!$K$19*04_回帰ANOVA!$K$14*SQRT(1+R341)</f>
        <v>1.09111951468927</v>
      </c>
      <c r="T341" s="0" t="n">
        <f aca="false">Q341-S341</f>
        <v>41.4854145762198</v>
      </c>
      <c r="U341" s="0" t="n">
        <f aca="false">Q341+S341</f>
        <v>43.6676536055984</v>
      </c>
      <c r="V341" s="54" t="b">
        <f aca="false">AND(D341&gt;=01_因子設定!$L$5-0.000000001,D341&lt;=01_因子設定!$M$5+0.000000001,E341&gt;=01_因子設定!$L$6-0.000000001,E341&lt;=01_因子設定!$M$6+0.000000001,F341&gt;=01_因子設定!$L$7-0.000000001,F341&lt;=01_因子設定!$M$7+0.000000001,IF(01_因子設定!$B$20="Box-Behnken",D341^2+E341^2+F341^2&lt;=2+0.000000001,TRUE()))</f>
        <v>1</v>
      </c>
      <c r="W341" s="55" t="n">
        <f aca="false">IF(V341,IF(01_因子設定!$B$13="最大化",T341-01_因子設定!$B$14,IF(01_因子設定!$B$13="最小化",01_因子設定!$B$15-U341,MIN(T341-01_因子設定!$B$14,01_因子設定!$B$15-U341))),-1E+030)</f>
        <v>-7.01458542378018</v>
      </c>
      <c r="X341" s="55" t="n">
        <f aca="false">IF(V341,IF(01_因子設定!$B$13="最大化",Q341,IF(01_因子設定!$B$13="最小化",-Q341,-ABS(Q341-01_因子設定!$B$16))),-1E+030)</f>
        <v>42.5765340909091</v>
      </c>
      <c r="Y341" s="55" t="n">
        <f aca="false">W341+ROW()*0.000000001</f>
        <v>-7.01458508278018</v>
      </c>
      <c r="Z341" s="55" t="n">
        <f aca="false">X341+ROW()*0.000000001</f>
        <v>42.5765344319091</v>
      </c>
    </row>
    <row r="342" customFormat="false" ht="15" hidden="false" customHeight="false" outlineLevel="0" collapsed="false">
      <c r="A342" s="0" t="n">
        <v>1</v>
      </c>
      <c r="B342" s="0" t="n">
        <v>2</v>
      </c>
      <c r="C342" s="0" t="n">
        <v>14</v>
      </c>
      <c r="D342" s="0" t="n">
        <f aca="false">-1+A342*0.125</f>
        <v>-0.875</v>
      </c>
      <c r="E342" s="0" t="n">
        <f aca="false">-1+B342*0.125</f>
        <v>-0.75</v>
      </c>
      <c r="F342" s="0" t="n">
        <f aca="false">-1+C342*0.125</f>
        <v>0.75</v>
      </c>
      <c r="G342" s="0" t="n">
        <f aca="false">1</f>
        <v>1</v>
      </c>
      <c r="H342" s="0" t="n">
        <f aca="false">D342</f>
        <v>-0.875</v>
      </c>
      <c r="I342" s="0" t="n">
        <f aca="false">E342</f>
        <v>-0.75</v>
      </c>
      <c r="J342" s="0" t="n">
        <f aca="false">F342</f>
        <v>0.75</v>
      </c>
      <c r="K342" s="0" t="n">
        <f aca="false">D342*E342</f>
        <v>0.65625</v>
      </c>
      <c r="L342" s="0" t="n">
        <f aca="false">D342*F342</f>
        <v>-0.65625</v>
      </c>
      <c r="M342" s="0" t="n">
        <f aca="false">E342*F342</f>
        <v>-0.5625</v>
      </c>
      <c r="N342" s="0" t="n">
        <f aca="false">D342*D342</f>
        <v>0.765625</v>
      </c>
      <c r="O342" s="0" t="n">
        <f aca="false">E342*E342</f>
        <v>0.5625</v>
      </c>
      <c r="P342" s="0" t="n">
        <f aca="false">F342*F342</f>
        <v>0.5625</v>
      </c>
      <c r="Q342" s="0" t="n">
        <f aca="false">SUMPRODUCT(G342:P342,_XtX!$B$71:$K$71)</f>
        <v>42.5209090909091</v>
      </c>
      <c r="R342" s="0" t="n">
        <f aca="false">SUMPRODUCT(MMULT(G342:P342,_XtX!$B$58:$K$67),G342:P342)</f>
        <v>0.404656427556818</v>
      </c>
      <c r="S342" s="0" t="n">
        <f aca="false">04_回帰ANOVA!$K$19*04_回帰ANOVA!$K$14*SQRT(1+R342)</f>
        <v>1.10192412515358</v>
      </c>
      <c r="T342" s="0" t="n">
        <f aca="false">Q342-S342</f>
        <v>41.4189849657555</v>
      </c>
      <c r="U342" s="0" t="n">
        <f aca="false">Q342+S342</f>
        <v>43.6228332160627</v>
      </c>
      <c r="V342" s="54" t="b">
        <f aca="false">AND(D342&gt;=01_因子設定!$L$5-0.000000001,D342&lt;=01_因子設定!$M$5+0.000000001,E342&gt;=01_因子設定!$L$6-0.000000001,E342&lt;=01_因子設定!$M$6+0.000000001,F342&gt;=01_因子設定!$L$7-0.000000001,F342&lt;=01_因子設定!$M$7+0.000000001,IF(01_因子設定!$B$20="Box-Behnken",D342^2+E342^2+F342^2&lt;=2+0.000000001,TRUE()))</f>
        <v>1</v>
      </c>
      <c r="W342" s="55" t="n">
        <f aca="false">IF(V342,IF(01_因子設定!$B$13="最大化",T342-01_因子設定!$B$14,IF(01_因子設定!$B$13="最小化",01_因子設定!$B$15-U342,MIN(T342-01_因子設定!$B$14,01_因子設定!$B$15-U342))),-1E+030)</f>
        <v>-7.08101503424449</v>
      </c>
      <c r="X342" s="55" t="n">
        <f aca="false">IF(V342,IF(01_因子設定!$B$13="最大化",Q342,IF(01_因子設定!$B$13="最小化",-Q342,-ABS(Q342-01_因子設定!$B$16))),-1E+030)</f>
        <v>42.5209090909091</v>
      </c>
      <c r="Y342" s="55" t="n">
        <f aca="false">W342+ROW()*0.000000001</f>
        <v>-7.08101469224449</v>
      </c>
      <c r="Z342" s="55" t="n">
        <f aca="false">X342+ROW()*0.000000001</f>
        <v>42.5209094329091</v>
      </c>
    </row>
    <row r="343" customFormat="false" ht="15" hidden="false" customHeight="false" outlineLevel="0" collapsed="false">
      <c r="A343" s="0" t="n">
        <v>1</v>
      </c>
      <c r="B343" s="0" t="n">
        <v>2</v>
      </c>
      <c r="C343" s="0" t="n">
        <v>15</v>
      </c>
      <c r="D343" s="0" t="n">
        <f aca="false">-1+A343*0.125</f>
        <v>-0.875</v>
      </c>
      <c r="E343" s="0" t="n">
        <f aca="false">-1+B343*0.125</f>
        <v>-0.75</v>
      </c>
      <c r="F343" s="0" t="n">
        <f aca="false">-1+C343*0.125</f>
        <v>0.875</v>
      </c>
      <c r="G343" s="0" t="n">
        <f aca="false">1</f>
        <v>1</v>
      </c>
      <c r="H343" s="0" t="n">
        <f aca="false">D343</f>
        <v>-0.875</v>
      </c>
      <c r="I343" s="0" t="n">
        <f aca="false">E343</f>
        <v>-0.75</v>
      </c>
      <c r="J343" s="0" t="n">
        <f aca="false">F343</f>
        <v>0.875</v>
      </c>
      <c r="K343" s="0" t="n">
        <f aca="false">D343*E343</f>
        <v>0.65625</v>
      </c>
      <c r="L343" s="0" t="n">
        <f aca="false">D343*F343</f>
        <v>-0.765625</v>
      </c>
      <c r="M343" s="0" t="n">
        <f aca="false">E343*F343</f>
        <v>-0.65625</v>
      </c>
      <c r="N343" s="0" t="n">
        <f aca="false">D343*D343</f>
        <v>0.765625</v>
      </c>
      <c r="O343" s="0" t="n">
        <f aca="false">E343*E343</f>
        <v>0.5625</v>
      </c>
      <c r="P343" s="0" t="n">
        <f aca="false">F343*F343</f>
        <v>0.765625</v>
      </c>
      <c r="Q343" s="0" t="n">
        <f aca="false">SUMPRODUCT(G343:P343,_XtX!$B$71:$K$71)</f>
        <v>42.4284943181818</v>
      </c>
      <c r="R343" s="0" t="n">
        <f aca="false">SUMPRODUCT(MMULT(G343:P343,_XtX!$B$58:$K$67),G343:P343)</f>
        <v>0.464749977805398</v>
      </c>
      <c r="S343" s="0" t="n">
        <f aca="false">04_回帰ANOVA!$K$19*04_回帰ANOVA!$K$14*SQRT(1+R343)</f>
        <v>1.12524835342194</v>
      </c>
      <c r="T343" s="0" t="n">
        <f aca="false">Q343-S343</f>
        <v>41.3032459647599</v>
      </c>
      <c r="U343" s="0" t="n">
        <f aca="false">Q343+S343</f>
        <v>43.5537426716038</v>
      </c>
      <c r="V343" s="54" t="b">
        <f aca="false">AND(D343&gt;=01_因子設定!$L$5-0.000000001,D343&lt;=01_因子設定!$M$5+0.000000001,E343&gt;=01_因子設定!$L$6-0.000000001,E343&lt;=01_因子設定!$M$6+0.000000001,F343&gt;=01_因子設定!$L$7-0.000000001,F343&lt;=01_因子設定!$M$7+0.000000001,IF(01_因子設定!$B$20="Box-Behnken",D343^2+E343^2+F343^2&lt;=2+0.000000001,TRUE()))</f>
        <v>1</v>
      </c>
      <c r="W343" s="55" t="n">
        <f aca="false">IF(V343,IF(01_因子設定!$B$13="最大化",T343-01_因子設定!$B$14,IF(01_因子設定!$B$13="最小化",01_因子設定!$B$15-U343,MIN(T343-01_因子設定!$B$14,01_因子設定!$B$15-U343))),-1E+030)</f>
        <v>-7.19675403524011</v>
      </c>
      <c r="X343" s="55" t="n">
        <f aca="false">IF(V343,IF(01_因子設定!$B$13="最大化",Q343,IF(01_因子設定!$B$13="最小化",-Q343,-ABS(Q343-01_因子設定!$B$16))),-1E+030)</f>
        <v>42.4284943181818</v>
      </c>
      <c r="Y343" s="55" t="n">
        <f aca="false">W343+ROW()*0.000000001</f>
        <v>-7.19675369224011</v>
      </c>
      <c r="Z343" s="55" t="n">
        <f aca="false">X343+ROW()*0.000000001</f>
        <v>42.4284946611818</v>
      </c>
    </row>
    <row r="344" customFormat="false" ht="15" hidden="false" customHeight="false" outlineLevel="0" collapsed="false">
      <c r="A344" s="0" t="n">
        <v>1</v>
      </c>
      <c r="B344" s="0" t="n">
        <v>2</v>
      </c>
      <c r="C344" s="0" t="n">
        <v>16</v>
      </c>
      <c r="D344" s="0" t="n">
        <f aca="false">-1+A344*0.125</f>
        <v>-0.875</v>
      </c>
      <c r="E344" s="0" t="n">
        <f aca="false">-1+B344*0.125</f>
        <v>-0.75</v>
      </c>
      <c r="F344" s="0" t="n">
        <f aca="false">-1+C344*0.125</f>
        <v>1</v>
      </c>
      <c r="G344" s="0" t="n">
        <f aca="false">1</f>
        <v>1</v>
      </c>
      <c r="H344" s="0" t="n">
        <f aca="false">D344</f>
        <v>-0.875</v>
      </c>
      <c r="I344" s="0" t="n">
        <f aca="false">E344</f>
        <v>-0.75</v>
      </c>
      <c r="J344" s="0" t="n">
        <f aca="false">F344</f>
        <v>1</v>
      </c>
      <c r="K344" s="0" t="n">
        <f aca="false">D344*E344</f>
        <v>0.65625</v>
      </c>
      <c r="L344" s="0" t="n">
        <f aca="false">D344*F344</f>
        <v>-0.875</v>
      </c>
      <c r="M344" s="0" t="n">
        <f aca="false">E344*F344</f>
        <v>-0.75</v>
      </c>
      <c r="N344" s="0" t="n">
        <f aca="false">D344*D344</f>
        <v>0.765625</v>
      </c>
      <c r="O344" s="0" t="n">
        <f aca="false">E344*E344</f>
        <v>0.5625</v>
      </c>
      <c r="P344" s="0" t="n">
        <f aca="false">F344*F344</f>
        <v>1</v>
      </c>
      <c r="Q344" s="0" t="n">
        <f aca="false">SUMPRODUCT(G344:P344,_XtX!$B$71:$K$71)</f>
        <v>42.2992897727273</v>
      </c>
      <c r="R344" s="0" t="n">
        <f aca="false">SUMPRODUCT(MMULT(G344:P344,_XtX!$B$58:$K$67),G344:P344)</f>
        <v>0.571375621448864</v>
      </c>
      <c r="S344" s="0" t="n">
        <f aca="false">04_回帰ANOVA!$K$19*04_回帰ANOVA!$K$14*SQRT(1+R344)</f>
        <v>1.16548487437682</v>
      </c>
      <c r="T344" s="0" t="n">
        <f aca="false">Q344-S344</f>
        <v>41.1338048983505</v>
      </c>
      <c r="U344" s="0" t="n">
        <f aca="false">Q344+S344</f>
        <v>43.4647746471041</v>
      </c>
      <c r="V344" s="54" t="b">
        <f aca="false">AND(D344&gt;=01_因子設定!$L$5-0.000000001,D344&lt;=01_因子設定!$M$5+0.000000001,E344&gt;=01_因子設定!$L$6-0.000000001,E344&lt;=01_因子設定!$M$6+0.000000001,F344&gt;=01_因子設定!$L$7-0.000000001,F344&lt;=01_因子設定!$M$7+0.000000001,IF(01_因子設定!$B$20="Box-Behnken",D344^2+E344^2+F344^2&lt;=2+0.000000001,TRUE()))</f>
        <v>1</v>
      </c>
      <c r="W344" s="55" t="n">
        <f aca="false">IF(V344,IF(01_因子設定!$B$13="最大化",T344-01_因子設定!$B$14,IF(01_因子設定!$B$13="最小化",01_因子設定!$B$15-U344,MIN(T344-01_因子設定!$B$14,01_因子設定!$B$15-U344))),-1E+030)</f>
        <v>-7.36619510164953</v>
      </c>
      <c r="X344" s="55" t="n">
        <f aca="false">IF(V344,IF(01_因子設定!$B$13="最大化",Q344,IF(01_因子設定!$B$13="最小化",-Q344,-ABS(Q344-01_因子設定!$B$16))),-1E+030)</f>
        <v>42.2992897727273</v>
      </c>
      <c r="Y344" s="55" t="n">
        <f aca="false">W344+ROW()*0.000000001</f>
        <v>-7.36619475764953</v>
      </c>
      <c r="Z344" s="55" t="n">
        <f aca="false">X344+ROW()*0.000000001</f>
        <v>42.2992901167273</v>
      </c>
    </row>
    <row r="345" customFormat="false" ht="15" hidden="false" customHeight="false" outlineLevel="0" collapsed="false">
      <c r="A345" s="0" t="n">
        <v>1</v>
      </c>
      <c r="B345" s="0" t="n">
        <v>3</v>
      </c>
      <c r="C345" s="0" t="n">
        <v>0</v>
      </c>
      <c r="D345" s="0" t="n">
        <f aca="false">-1+A345*0.125</f>
        <v>-0.875</v>
      </c>
      <c r="E345" s="0" t="n">
        <f aca="false">-1+B345*0.125</f>
        <v>-0.625</v>
      </c>
      <c r="F345" s="0" t="n">
        <f aca="false">-1+C345*0.125</f>
        <v>-1</v>
      </c>
      <c r="G345" s="0" t="n">
        <f aca="false">1</f>
        <v>1</v>
      </c>
      <c r="H345" s="0" t="n">
        <f aca="false">D345</f>
        <v>-0.875</v>
      </c>
      <c r="I345" s="0" t="n">
        <f aca="false">E345</f>
        <v>-0.625</v>
      </c>
      <c r="J345" s="0" t="n">
        <f aca="false">F345</f>
        <v>-1</v>
      </c>
      <c r="K345" s="0" t="n">
        <f aca="false">D345*E345</f>
        <v>0.546875</v>
      </c>
      <c r="L345" s="0" t="n">
        <f aca="false">D345*F345</f>
        <v>0.875</v>
      </c>
      <c r="M345" s="0" t="n">
        <f aca="false">E345*F345</f>
        <v>0.625</v>
      </c>
      <c r="N345" s="0" t="n">
        <f aca="false">D345*D345</f>
        <v>0.765625</v>
      </c>
      <c r="O345" s="0" t="n">
        <f aca="false">E345*E345</f>
        <v>0.390625</v>
      </c>
      <c r="P345" s="0" t="n">
        <f aca="false">F345*F345</f>
        <v>1</v>
      </c>
      <c r="Q345" s="0" t="n">
        <f aca="false">SUMPRODUCT(G345:P345,_XtX!$B$71:$K$71)</f>
        <v>40.3687428977273</v>
      </c>
      <c r="R345" s="0" t="n">
        <f aca="false">SUMPRODUCT(MMULT(G345:P345,_XtX!$B$58:$K$67),G345:P345)</f>
        <v>0.555073131214489</v>
      </c>
      <c r="S345" s="0" t="n">
        <f aca="false">04_回帰ANOVA!$K$19*04_回帰ANOVA!$K$14*SQRT(1+R345)</f>
        <v>1.15942335628341</v>
      </c>
      <c r="T345" s="0" t="n">
        <f aca="false">Q345-S345</f>
        <v>39.2093195414439</v>
      </c>
      <c r="U345" s="0" t="n">
        <f aca="false">Q345+S345</f>
        <v>41.5281662540107</v>
      </c>
      <c r="V345" s="54" t="b">
        <f aca="false">AND(D345&gt;=01_因子設定!$L$5-0.000000001,D345&lt;=01_因子設定!$M$5+0.000000001,E345&gt;=01_因子設定!$L$6-0.000000001,E345&lt;=01_因子設定!$M$6+0.000000001,F345&gt;=01_因子設定!$L$7-0.000000001,F345&lt;=01_因子設定!$M$7+0.000000001,IF(01_因子設定!$B$20="Box-Behnken",D345^2+E345^2+F345^2&lt;=2+0.000000001,TRUE()))</f>
        <v>1</v>
      </c>
      <c r="W345" s="55" t="n">
        <f aca="false">IF(V345,IF(01_因子設定!$B$13="最大化",T345-01_因子設定!$B$14,IF(01_因子設定!$B$13="最小化",01_因子設定!$B$15-U345,MIN(T345-01_因子設定!$B$14,01_因子設定!$B$15-U345))),-1E+030)</f>
        <v>-9.29068045855612</v>
      </c>
      <c r="X345" s="55" t="n">
        <f aca="false">IF(V345,IF(01_因子設定!$B$13="最大化",Q345,IF(01_因子設定!$B$13="最小化",-Q345,-ABS(Q345-01_因子設定!$B$16))),-1E+030)</f>
        <v>40.3687428977273</v>
      </c>
      <c r="Y345" s="55" t="n">
        <f aca="false">W345+ROW()*0.000000001</f>
        <v>-9.29068011355612</v>
      </c>
      <c r="Z345" s="55" t="n">
        <f aca="false">X345+ROW()*0.000000001</f>
        <v>40.3687432427273</v>
      </c>
    </row>
    <row r="346" customFormat="false" ht="15" hidden="false" customHeight="false" outlineLevel="0" collapsed="false">
      <c r="A346" s="0" t="n">
        <v>1</v>
      </c>
      <c r="B346" s="0" t="n">
        <v>3</v>
      </c>
      <c r="C346" s="0" t="n">
        <v>1</v>
      </c>
      <c r="D346" s="0" t="n">
        <f aca="false">-1+A346*0.125</f>
        <v>-0.875</v>
      </c>
      <c r="E346" s="0" t="n">
        <f aca="false">-1+B346*0.125</f>
        <v>-0.625</v>
      </c>
      <c r="F346" s="0" t="n">
        <f aca="false">-1+C346*0.125</f>
        <v>-0.875</v>
      </c>
      <c r="G346" s="0" t="n">
        <f aca="false">1</f>
        <v>1</v>
      </c>
      <c r="H346" s="0" t="n">
        <f aca="false">D346</f>
        <v>-0.875</v>
      </c>
      <c r="I346" s="0" t="n">
        <f aca="false">E346</f>
        <v>-0.625</v>
      </c>
      <c r="J346" s="0" t="n">
        <f aca="false">F346</f>
        <v>-0.875</v>
      </c>
      <c r="K346" s="0" t="n">
        <f aca="false">D346*E346</f>
        <v>0.546875</v>
      </c>
      <c r="L346" s="0" t="n">
        <f aca="false">D346*F346</f>
        <v>0.765625</v>
      </c>
      <c r="M346" s="0" t="n">
        <f aca="false">E346*F346</f>
        <v>0.546875</v>
      </c>
      <c r="N346" s="0" t="n">
        <f aca="false">D346*D346</f>
        <v>0.765625</v>
      </c>
      <c r="O346" s="0" t="n">
        <f aca="false">E346*E346</f>
        <v>0.390625</v>
      </c>
      <c r="P346" s="0" t="n">
        <f aca="false">F346*F346</f>
        <v>0.765625</v>
      </c>
      <c r="Q346" s="0" t="n">
        <f aca="false">SUMPRODUCT(G346:P346,_XtX!$B$71:$K$71)</f>
        <v>40.7984161931818</v>
      </c>
      <c r="R346" s="0" t="n">
        <f aca="false">SUMPRODUCT(MMULT(G346:P346,_XtX!$B$58:$K$67),G346:P346)</f>
        <v>0.442496559836648</v>
      </c>
      <c r="S346" s="0" t="n">
        <f aca="false">04_回帰ANOVA!$K$19*04_回帰ANOVA!$K$14*SQRT(1+R346)</f>
        <v>1.11666789259284</v>
      </c>
      <c r="T346" s="0" t="n">
        <f aca="false">Q346-S346</f>
        <v>39.681748300589</v>
      </c>
      <c r="U346" s="0" t="n">
        <f aca="false">Q346+S346</f>
        <v>41.9150840857747</v>
      </c>
      <c r="V346" s="54" t="b">
        <f aca="false">AND(D346&gt;=01_因子設定!$L$5-0.000000001,D346&lt;=01_因子設定!$M$5+0.000000001,E346&gt;=01_因子設定!$L$6-0.000000001,E346&lt;=01_因子設定!$M$6+0.000000001,F346&gt;=01_因子設定!$L$7-0.000000001,F346&lt;=01_因子設定!$M$7+0.000000001,IF(01_因子設定!$B$20="Box-Behnken",D346^2+E346^2+F346^2&lt;=2+0.000000001,TRUE()))</f>
        <v>1</v>
      </c>
      <c r="W346" s="55" t="n">
        <f aca="false">IF(V346,IF(01_因子設定!$B$13="最大化",T346-01_因子設定!$B$14,IF(01_因子設定!$B$13="最小化",01_因子設定!$B$15-U346,MIN(T346-01_因子設定!$B$14,01_因子設定!$B$15-U346))),-1E+030)</f>
        <v>-8.81825169941101</v>
      </c>
      <c r="X346" s="55" t="n">
        <f aca="false">IF(V346,IF(01_因子設定!$B$13="最大化",Q346,IF(01_因子設定!$B$13="最小化",-Q346,-ABS(Q346-01_因子設定!$B$16))),-1E+030)</f>
        <v>40.7984161931818</v>
      </c>
      <c r="Y346" s="55" t="n">
        <f aca="false">W346+ROW()*0.000000001</f>
        <v>-8.81825135341101</v>
      </c>
      <c r="Z346" s="55" t="n">
        <f aca="false">X346+ROW()*0.000000001</f>
        <v>40.7984165391818</v>
      </c>
    </row>
    <row r="347" customFormat="false" ht="15" hidden="false" customHeight="false" outlineLevel="0" collapsed="false">
      <c r="A347" s="0" t="n">
        <v>1</v>
      </c>
      <c r="B347" s="0" t="n">
        <v>3</v>
      </c>
      <c r="C347" s="0" t="n">
        <v>2</v>
      </c>
      <c r="D347" s="0" t="n">
        <f aca="false">-1+A347*0.125</f>
        <v>-0.875</v>
      </c>
      <c r="E347" s="0" t="n">
        <f aca="false">-1+B347*0.125</f>
        <v>-0.625</v>
      </c>
      <c r="F347" s="0" t="n">
        <f aca="false">-1+C347*0.125</f>
        <v>-0.75</v>
      </c>
      <c r="G347" s="0" t="n">
        <f aca="false">1</f>
        <v>1</v>
      </c>
      <c r="H347" s="0" t="n">
        <f aca="false">D347</f>
        <v>-0.875</v>
      </c>
      <c r="I347" s="0" t="n">
        <f aca="false">E347</f>
        <v>-0.625</v>
      </c>
      <c r="J347" s="0" t="n">
        <f aca="false">F347</f>
        <v>-0.75</v>
      </c>
      <c r="K347" s="0" t="n">
        <f aca="false">D347*E347</f>
        <v>0.546875</v>
      </c>
      <c r="L347" s="0" t="n">
        <f aca="false">D347*F347</f>
        <v>0.65625</v>
      </c>
      <c r="M347" s="0" t="n">
        <f aca="false">E347*F347</f>
        <v>0.46875</v>
      </c>
      <c r="N347" s="0" t="n">
        <f aca="false">D347*D347</f>
        <v>0.765625</v>
      </c>
      <c r="O347" s="0" t="n">
        <f aca="false">E347*E347</f>
        <v>0.390625</v>
      </c>
      <c r="P347" s="0" t="n">
        <f aca="false">F347*F347</f>
        <v>0.5625</v>
      </c>
      <c r="Q347" s="0" t="n">
        <f aca="false">SUMPRODUCT(G347:P347,_XtX!$B$71:$K$71)</f>
        <v>41.1912997159091</v>
      </c>
      <c r="R347" s="0" t="n">
        <f aca="false">SUMPRODUCT(MMULT(G347:P347,_XtX!$B$58:$K$67),G347:P347)</f>
        <v>0.377245538884943</v>
      </c>
      <c r="S347" s="0" t="n">
        <f aca="false">04_回帰ANOVA!$K$19*04_回帰ANOVA!$K$14*SQRT(1+R347)</f>
        <v>1.09111951468927</v>
      </c>
      <c r="T347" s="0" t="n">
        <f aca="false">Q347-S347</f>
        <v>40.1001802012198</v>
      </c>
      <c r="U347" s="0" t="n">
        <f aca="false">Q347+S347</f>
        <v>42.2824192305984</v>
      </c>
      <c r="V347" s="54" t="b">
        <f aca="false">AND(D347&gt;=01_因子設定!$L$5-0.000000001,D347&lt;=01_因子設定!$M$5+0.000000001,E347&gt;=01_因子設定!$L$6-0.000000001,E347&lt;=01_因子設定!$M$6+0.000000001,F347&gt;=01_因子設定!$L$7-0.000000001,F347&lt;=01_因子設定!$M$7+0.000000001,IF(01_因子設定!$B$20="Box-Behnken",D347^2+E347^2+F347^2&lt;=2+0.000000001,TRUE()))</f>
        <v>1</v>
      </c>
      <c r="W347" s="55" t="n">
        <f aca="false">IF(V347,IF(01_因子設定!$B$13="最大化",T347-01_因子設定!$B$14,IF(01_因子設定!$B$13="最小化",01_因子設定!$B$15-U347,MIN(T347-01_因子設定!$B$14,01_因子設定!$B$15-U347))),-1E+030)</f>
        <v>-8.39981979878018</v>
      </c>
      <c r="X347" s="55" t="n">
        <f aca="false">IF(V347,IF(01_因子設定!$B$13="最大化",Q347,IF(01_因子設定!$B$13="最小化",-Q347,-ABS(Q347-01_因子設定!$B$16))),-1E+030)</f>
        <v>41.1912997159091</v>
      </c>
      <c r="Y347" s="55" t="n">
        <f aca="false">W347+ROW()*0.000000001</f>
        <v>-8.39981945178018</v>
      </c>
      <c r="Z347" s="55" t="n">
        <f aca="false">X347+ROW()*0.000000001</f>
        <v>41.1913000629091</v>
      </c>
    </row>
    <row r="348" customFormat="false" ht="15" hidden="false" customHeight="false" outlineLevel="0" collapsed="false">
      <c r="A348" s="0" t="n">
        <v>1</v>
      </c>
      <c r="B348" s="0" t="n">
        <v>3</v>
      </c>
      <c r="C348" s="0" t="n">
        <v>3</v>
      </c>
      <c r="D348" s="0" t="n">
        <f aca="false">-1+A348*0.125</f>
        <v>-0.875</v>
      </c>
      <c r="E348" s="0" t="n">
        <f aca="false">-1+B348*0.125</f>
        <v>-0.625</v>
      </c>
      <c r="F348" s="0" t="n">
        <f aca="false">-1+C348*0.125</f>
        <v>-0.625</v>
      </c>
      <c r="G348" s="0" t="n">
        <f aca="false">1</f>
        <v>1</v>
      </c>
      <c r="H348" s="0" t="n">
        <f aca="false">D348</f>
        <v>-0.875</v>
      </c>
      <c r="I348" s="0" t="n">
        <f aca="false">E348</f>
        <v>-0.625</v>
      </c>
      <c r="J348" s="0" t="n">
        <f aca="false">F348</f>
        <v>-0.625</v>
      </c>
      <c r="K348" s="0" t="n">
        <f aca="false">D348*E348</f>
        <v>0.546875</v>
      </c>
      <c r="L348" s="0" t="n">
        <f aca="false">D348*F348</f>
        <v>0.546875</v>
      </c>
      <c r="M348" s="0" t="n">
        <f aca="false">E348*F348</f>
        <v>0.390625</v>
      </c>
      <c r="N348" s="0" t="n">
        <f aca="false">D348*D348</f>
        <v>0.765625</v>
      </c>
      <c r="O348" s="0" t="n">
        <f aca="false">E348*E348</f>
        <v>0.390625</v>
      </c>
      <c r="P348" s="0" t="n">
        <f aca="false">F348*F348</f>
        <v>0.390625</v>
      </c>
      <c r="Q348" s="0" t="n">
        <f aca="false">SUMPRODUCT(G348:P348,_XtX!$B$71:$K$71)</f>
        <v>41.5473934659091</v>
      </c>
      <c r="R348" s="0" t="n">
        <f aca="false">SUMPRODUCT(MMULT(G348:P348,_XtX!$B$58:$K$67),G348:P348)</f>
        <v>0.345470636541193</v>
      </c>
      <c r="S348" s="0" t="n">
        <f aca="false">04_回帰ANOVA!$K$19*04_回帰ANOVA!$K$14*SQRT(1+R348)</f>
        <v>1.07845927083227</v>
      </c>
      <c r="T348" s="0" t="n">
        <f aca="false">Q348-S348</f>
        <v>40.4689341950768</v>
      </c>
      <c r="U348" s="0" t="n">
        <f aca="false">Q348+S348</f>
        <v>42.6258527367414</v>
      </c>
      <c r="V348" s="54" t="b">
        <f aca="false">AND(D348&gt;=01_因子設定!$L$5-0.000000001,D348&lt;=01_因子設定!$M$5+0.000000001,E348&gt;=01_因子設定!$L$6-0.000000001,E348&lt;=01_因子設定!$M$6+0.000000001,F348&gt;=01_因子設定!$L$7-0.000000001,F348&lt;=01_因子設定!$M$7+0.000000001,IF(01_因子設定!$B$20="Box-Behnken",D348^2+E348^2+F348^2&lt;=2+0.000000001,TRUE()))</f>
        <v>1</v>
      </c>
      <c r="W348" s="55" t="n">
        <f aca="false">IF(V348,IF(01_因子設定!$B$13="最大化",T348-01_因子設定!$B$14,IF(01_因子設定!$B$13="最小化",01_因子設定!$B$15-U348,MIN(T348-01_因子設定!$B$14,01_因子設定!$B$15-U348))),-1E+030)</f>
        <v>-8.03106580492318</v>
      </c>
      <c r="X348" s="55" t="n">
        <f aca="false">IF(V348,IF(01_因子設定!$B$13="最大化",Q348,IF(01_因子設定!$B$13="最小化",-Q348,-ABS(Q348-01_因子設定!$B$16))),-1E+030)</f>
        <v>41.5473934659091</v>
      </c>
      <c r="Y348" s="55" t="n">
        <f aca="false">W348+ROW()*0.000000001</f>
        <v>-8.03106545692318</v>
      </c>
      <c r="Z348" s="55" t="n">
        <f aca="false">X348+ROW()*0.000000001</f>
        <v>41.5473938139091</v>
      </c>
    </row>
    <row r="349" customFormat="false" ht="15" hidden="false" customHeight="false" outlineLevel="0" collapsed="false">
      <c r="A349" s="0" t="n">
        <v>1</v>
      </c>
      <c r="B349" s="0" t="n">
        <v>3</v>
      </c>
      <c r="C349" s="0" t="n">
        <v>4</v>
      </c>
      <c r="D349" s="0" t="n">
        <f aca="false">-1+A349*0.125</f>
        <v>-0.875</v>
      </c>
      <c r="E349" s="0" t="n">
        <f aca="false">-1+B349*0.125</f>
        <v>-0.625</v>
      </c>
      <c r="F349" s="0" t="n">
        <f aca="false">-1+C349*0.125</f>
        <v>-0.5</v>
      </c>
      <c r="G349" s="0" t="n">
        <f aca="false">1</f>
        <v>1</v>
      </c>
      <c r="H349" s="0" t="n">
        <f aca="false">D349</f>
        <v>-0.875</v>
      </c>
      <c r="I349" s="0" t="n">
        <f aca="false">E349</f>
        <v>-0.625</v>
      </c>
      <c r="J349" s="0" t="n">
        <f aca="false">F349</f>
        <v>-0.5</v>
      </c>
      <c r="K349" s="0" t="n">
        <f aca="false">D349*E349</f>
        <v>0.546875</v>
      </c>
      <c r="L349" s="0" t="n">
        <f aca="false">D349*F349</f>
        <v>0.4375</v>
      </c>
      <c r="M349" s="0" t="n">
        <f aca="false">E349*F349</f>
        <v>0.3125</v>
      </c>
      <c r="N349" s="0" t="n">
        <f aca="false">D349*D349</f>
        <v>0.765625</v>
      </c>
      <c r="O349" s="0" t="n">
        <f aca="false">E349*E349</f>
        <v>0.390625</v>
      </c>
      <c r="P349" s="0" t="n">
        <f aca="false">F349*F349</f>
        <v>0.25</v>
      </c>
      <c r="Q349" s="0" t="n">
        <f aca="false">SUMPRODUCT(G349:P349,_XtX!$B$71:$K$71)</f>
        <v>41.8666974431818</v>
      </c>
      <c r="R349" s="0" t="n">
        <f aca="false">SUMPRODUCT(MMULT(G349:P349,_XtX!$B$58:$K$67),G349:P349)</f>
        <v>0.335453102805398</v>
      </c>
      <c r="S349" s="0" t="n">
        <f aca="false">04_回帰ANOVA!$K$19*04_回帰ANOVA!$K$14*SQRT(1+R349)</f>
        <v>1.07443700305628</v>
      </c>
      <c r="T349" s="0" t="n">
        <f aca="false">Q349-S349</f>
        <v>40.7922604401255</v>
      </c>
      <c r="U349" s="0" t="n">
        <f aca="false">Q349+S349</f>
        <v>42.9411344462381</v>
      </c>
      <c r="V349" s="54" t="b">
        <f aca="false">AND(D349&gt;=01_因子設定!$L$5-0.000000001,D349&lt;=01_因子設定!$M$5+0.000000001,E349&gt;=01_因子設定!$L$6-0.000000001,E349&lt;=01_因子設定!$M$6+0.000000001,F349&gt;=01_因子設定!$L$7-0.000000001,F349&lt;=01_因子設定!$M$7+0.000000001,IF(01_因子設定!$B$20="Box-Behnken",D349^2+E349^2+F349^2&lt;=2+0.000000001,TRUE()))</f>
        <v>1</v>
      </c>
      <c r="W349" s="55" t="n">
        <f aca="false">IF(V349,IF(01_因子設定!$B$13="最大化",T349-01_因子設定!$B$14,IF(01_因子設定!$B$13="最小化",01_因子設定!$B$15-U349,MIN(T349-01_因子設定!$B$14,01_因子設定!$B$15-U349))),-1E+030)</f>
        <v>-7.70773955987446</v>
      </c>
      <c r="X349" s="55" t="n">
        <f aca="false">IF(V349,IF(01_因子設定!$B$13="最大化",Q349,IF(01_因子設定!$B$13="最小化",-Q349,-ABS(Q349-01_因子設定!$B$16))),-1E+030)</f>
        <v>41.8666974431818</v>
      </c>
      <c r="Y349" s="55" t="n">
        <f aca="false">W349+ROW()*0.000000001</f>
        <v>-7.70773921087446</v>
      </c>
      <c r="Z349" s="55" t="n">
        <f aca="false">X349+ROW()*0.000000001</f>
        <v>41.8666977921818</v>
      </c>
    </row>
    <row r="350" customFormat="false" ht="15" hidden="false" customHeight="false" outlineLevel="0" collapsed="false">
      <c r="A350" s="0" t="n">
        <v>1</v>
      </c>
      <c r="B350" s="0" t="n">
        <v>3</v>
      </c>
      <c r="C350" s="0" t="n">
        <v>5</v>
      </c>
      <c r="D350" s="0" t="n">
        <f aca="false">-1+A350*0.125</f>
        <v>-0.875</v>
      </c>
      <c r="E350" s="0" t="n">
        <f aca="false">-1+B350*0.125</f>
        <v>-0.625</v>
      </c>
      <c r="F350" s="0" t="n">
        <f aca="false">-1+C350*0.125</f>
        <v>-0.375</v>
      </c>
      <c r="G350" s="0" t="n">
        <f aca="false">1</f>
        <v>1</v>
      </c>
      <c r="H350" s="0" t="n">
        <f aca="false">D350</f>
        <v>-0.875</v>
      </c>
      <c r="I350" s="0" t="n">
        <f aca="false">E350</f>
        <v>-0.625</v>
      </c>
      <c r="J350" s="0" t="n">
        <f aca="false">F350</f>
        <v>-0.375</v>
      </c>
      <c r="K350" s="0" t="n">
        <f aca="false">D350*E350</f>
        <v>0.546875</v>
      </c>
      <c r="L350" s="0" t="n">
        <f aca="false">D350*F350</f>
        <v>0.328125</v>
      </c>
      <c r="M350" s="0" t="n">
        <f aca="false">E350*F350</f>
        <v>0.234375</v>
      </c>
      <c r="N350" s="0" t="n">
        <f aca="false">D350*D350</f>
        <v>0.765625</v>
      </c>
      <c r="O350" s="0" t="n">
        <f aca="false">E350*E350</f>
        <v>0.390625</v>
      </c>
      <c r="P350" s="0" t="n">
        <f aca="false">F350*F350</f>
        <v>0.140625</v>
      </c>
      <c r="Q350" s="0" t="n">
        <f aca="false">SUMPRODUCT(G350:P350,_XtX!$B$71:$K$71)</f>
        <v>42.1492116477273</v>
      </c>
      <c r="R350" s="0" t="n">
        <f aca="false">SUMPRODUCT(MMULT(G350:P350,_XtX!$B$58:$K$67),G350:P350)</f>
        <v>0.337604869495739</v>
      </c>
      <c r="S350" s="0" t="n">
        <f aca="false">04_回帰ANOVA!$K$19*04_回帰ANOVA!$K$14*SQRT(1+R350)</f>
        <v>1.07530225516193</v>
      </c>
      <c r="T350" s="0" t="n">
        <f aca="false">Q350-S350</f>
        <v>41.0739093925653</v>
      </c>
      <c r="U350" s="0" t="n">
        <f aca="false">Q350+S350</f>
        <v>43.2245139028892</v>
      </c>
      <c r="V350" s="54" t="b">
        <f aca="false">AND(D350&gt;=01_因子設定!$L$5-0.000000001,D350&lt;=01_因子設定!$M$5+0.000000001,E350&gt;=01_因子設定!$L$6-0.000000001,E350&lt;=01_因子設定!$M$6+0.000000001,F350&gt;=01_因子設定!$L$7-0.000000001,F350&lt;=01_因子設定!$M$7+0.000000001,IF(01_因子設定!$B$20="Box-Behnken",D350^2+E350^2+F350^2&lt;=2+0.000000001,TRUE()))</f>
        <v>1</v>
      </c>
      <c r="W350" s="55" t="n">
        <f aca="false">IF(V350,IF(01_因子設定!$B$13="最大化",T350-01_因子設定!$B$14,IF(01_因子設定!$B$13="最小化",01_因子設定!$B$15-U350,MIN(T350-01_因子設定!$B$14,01_因子設定!$B$15-U350))),-1E+030)</f>
        <v>-7.42609060743466</v>
      </c>
      <c r="X350" s="55" t="n">
        <f aca="false">IF(V350,IF(01_因子設定!$B$13="最大化",Q350,IF(01_因子設定!$B$13="最小化",-Q350,-ABS(Q350-01_因子設定!$B$16))),-1E+030)</f>
        <v>42.1492116477273</v>
      </c>
      <c r="Y350" s="55" t="n">
        <f aca="false">W350+ROW()*0.000000001</f>
        <v>-7.42609025743466</v>
      </c>
      <c r="Z350" s="55" t="n">
        <f aca="false">X350+ROW()*0.000000001</f>
        <v>42.1492119977273</v>
      </c>
    </row>
    <row r="351" customFormat="false" ht="15" hidden="false" customHeight="false" outlineLevel="0" collapsed="false">
      <c r="A351" s="0" t="n">
        <v>1</v>
      </c>
      <c r="B351" s="0" t="n">
        <v>3</v>
      </c>
      <c r="C351" s="0" t="n">
        <v>6</v>
      </c>
      <c r="D351" s="0" t="n">
        <f aca="false">-1+A351*0.125</f>
        <v>-0.875</v>
      </c>
      <c r="E351" s="0" t="n">
        <f aca="false">-1+B351*0.125</f>
        <v>-0.625</v>
      </c>
      <c r="F351" s="0" t="n">
        <f aca="false">-1+C351*0.125</f>
        <v>-0.25</v>
      </c>
      <c r="G351" s="0" t="n">
        <f aca="false">1</f>
        <v>1</v>
      </c>
      <c r="H351" s="0" t="n">
        <f aca="false">D351</f>
        <v>-0.875</v>
      </c>
      <c r="I351" s="0" t="n">
        <f aca="false">E351</f>
        <v>-0.625</v>
      </c>
      <c r="J351" s="0" t="n">
        <f aca="false">F351</f>
        <v>-0.25</v>
      </c>
      <c r="K351" s="0" t="n">
        <f aca="false">D351*E351</f>
        <v>0.546875</v>
      </c>
      <c r="L351" s="0" t="n">
        <f aca="false">D351*F351</f>
        <v>0.21875</v>
      </c>
      <c r="M351" s="0" t="n">
        <f aca="false">E351*F351</f>
        <v>0.15625</v>
      </c>
      <c r="N351" s="0" t="n">
        <f aca="false">D351*D351</f>
        <v>0.765625</v>
      </c>
      <c r="O351" s="0" t="n">
        <f aca="false">E351*E351</f>
        <v>0.390625</v>
      </c>
      <c r="P351" s="0" t="n">
        <f aca="false">F351*F351</f>
        <v>0.0625</v>
      </c>
      <c r="Q351" s="0" t="n">
        <f aca="false">SUMPRODUCT(G351:P351,_XtX!$B$71:$K$71)</f>
        <v>42.3949360795454</v>
      </c>
      <c r="R351" s="0" t="n">
        <f aca="false">SUMPRODUCT(MMULT(G351:P351,_XtX!$B$58:$K$67),G351:P351)</f>
        <v>0.34446855024858</v>
      </c>
      <c r="S351" s="0" t="n">
        <f aca="false">04_回帰ANOVA!$K$19*04_回帰ANOVA!$K$14*SQRT(1+R351)</f>
        <v>1.07805758590432</v>
      </c>
      <c r="T351" s="0" t="n">
        <f aca="false">Q351-S351</f>
        <v>41.3168784936411</v>
      </c>
      <c r="U351" s="0" t="n">
        <f aca="false">Q351+S351</f>
        <v>43.4729936654498</v>
      </c>
      <c r="V351" s="54" t="b">
        <f aca="false">AND(D351&gt;=01_因子設定!$L$5-0.000000001,D351&lt;=01_因子設定!$M$5+0.000000001,E351&gt;=01_因子設定!$L$6-0.000000001,E351&lt;=01_因子設定!$M$6+0.000000001,F351&gt;=01_因子設定!$L$7-0.000000001,F351&lt;=01_因子設定!$M$7+0.000000001,IF(01_因子設定!$B$20="Box-Behnken",D351^2+E351^2+F351^2&lt;=2+0.000000001,TRUE()))</f>
        <v>1</v>
      </c>
      <c r="W351" s="55" t="n">
        <f aca="false">IF(V351,IF(01_因子設定!$B$13="最大化",T351-01_因子設定!$B$14,IF(01_因子設定!$B$13="最小化",01_因子設定!$B$15-U351,MIN(T351-01_因子設定!$B$14,01_因子設定!$B$15-U351))),-1E+030)</f>
        <v>-7.18312150635887</v>
      </c>
      <c r="X351" s="55" t="n">
        <f aca="false">IF(V351,IF(01_因子設定!$B$13="最大化",Q351,IF(01_因子設定!$B$13="最小化",-Q351,-ABS(Q351-01_因子設定!$B$16))),-1E+030)</f>
        <v>42.3949360795454</v>
      </c>
      <c r="Y351" s="55" t="n">
        <f aca="false">W351+ROW()*0.000000001</f>
        <v>-7.18312115535887</v>
      </c>
      <c r="Z351" s="55" t="n">
        <f aca="false">X351+ROW()*0.000000001</f>
        <v>42.3949364305454</v>
      </c>
    </row>
    <row r="352" customFormat="false" ht="15" hidden="false" customHeight="false" outlineLevel="0" collapsed="false">
      <c r="A352" s="0" t="n">
        <v>1</v>
      </c>
      <c r="B352" s="0" t="n">
        <v>3</v>
      </c>
      <c r="C352" s="0" t="n">
        <v>7</v>
      </c>
      <c r="D352" s="0" t="n">
        <f aca="false">-1+A352*0.125</f>
        <v>-0.875</v>
      </c>
      <c r="E352" s="0" t="n">
        <f aca="false">-1+B352*0.125</f>
        <v>-0.625</v>
      </c>
      <c r="F352" s="0" t="n">
        <f aca="false">-1+C352*0.125</f>
        <v>-0.125</v>
      </c>
      <c r="G352" s="0" t="n">
        <f aca="false">1</f>
        <v>1</v>
      </c>
      <c r="H352" s="0" t="n">
        <f aca="false">D352</f>
        <v>-0.875</v>
      </c>
      <c r="I352" s="0" t="n">
        <f aca="false">E352</f>
        <v>-0.625</v>
      </c>
      <c r="J352" s="0" t="n">
        <f aca="false">F352</f>
        <v>-0.125</v>
      </c>
      <c r="K352" s="0" t="n">
        <f aca="false">D352*E352</f>
        <v>0.546875</v>
      </c>
      <c r="L352" s="0" t="n">
        <f aca="false">D352*F352</f>
        <v>0.109375</v>
      </c>
      <c r="M352" s="0" t="n">
        <f aca="false">E352*F352</f>
        <v>0.078125</v>
      </c>
      <c r="N352" s="0" t="n">
        <f aca="false">D352*D352</f>
        <v>0.765625</v>
      </c>
      <c r="O352" s="0" t="n">
        <f aca="false">E352*E352</f>
        <v>0.390625</v>
      </c>
      <c r="P352" s="0" t="n">
        <f aca="false">F352*F352</f>
        <v>0.015625</v>
      </c>
      <c r="Q352" s="0" t="n">
        <f aca="false">SUMPRODUCT(G352:P352,_XtX!$B$71:$K$71)</f>
        <v>42.6038707386364</v>
      </c>
      <c r="R352" s="0" t="n">
        <f aca="false">SUMPRODUCT(MMULT(G352:P352,_XtX!$B$58:$K$67),G352:P352)</f>
        <v>0.350717440518466</v>
      </c>
      <c r="S352" s="0" t="n">
        <f aca="false">04_回帰ANOVA!$K$19*04_回帰ANOVA!$K$14*SQRT(1+R352)</f>
        <v>1.08056000737898</v>
      </c>
      <c r="T352" s="0" t="n">
        <f aca="false">Q352-S352</f>
        <v>41.5233107312574</v>
      </c>
      <c r="U352" s="0" t="n">
        <f aca="false">Q352+S352</f>
        <v>43.6844307460153</v>
      </c>
      <c r="V352" s="54" t="b">
        <f aca="false">AND(D352&gt;=01_因子設定!$L$5-0.000000001,D352&lt;=01_因子設定!$M$5+0.000000001,E352&gt;=01_因子設定!$L$6-0.000000001,E352&lt;=01_因子設定!$M$6+0.000000001,F352&gt;=01_因子設定!$L$7-0.000000001,F352&lt;=01_因子設定!$M$7+0.000000001,IF(01_因子設定!$B$20="Box-Behnken",D352^2+E352^2+F352^2&lt;=2+0.000000001,TRUE()))</f>
        <v>1</v>
      </c>
      <c r="W352" s="55" t="n">
        <f aca="false">IF(V352,IF(01_因子設定!$B$13="最大化",T352-01_因子設定!$B$14,IF(01_因子設定!$B$13="最小化",01_因子設定!$B$15-U352,MIN(T352-01_因子設定!$B$14,01_因子設定!$B$15-U352))),-1E+030)</f>
        <v>-6.97668926874262</v>
      </c>
      <c r="X352" s="55" t="n">
        <f aca="false">IF(V352,IF(01_因子設定!$B$13="最大化",Q352,IF(01_因子設定!$B$13="最小化",-Q352,-ABS(Q352-01_因子設定!$B$16))),-1E+030)</f>
        <v>42.6038707386364</v>
      </c>
      <c r="Y352" s="55" t="n">
        <f aca="false">W352+ROW()*0.000000001</f>
        <v>-6.97668891674262</v>
      </c>
      <c r="Z352" s="55" t="n">
        <f aca="false">X352+ROW()*0.000000001</f>
        <v>42.6038710906364</v>
      </c>
    </row>
    <row r="353" customFormat="false" ht="15" hidden="false" customHeight="false" outlineLevel="0" collapsed="false">
      <c r="A353" s="0" t="n">
        <v>1</v>
      </c>
      <c r="B353" s="0" t="n">
        <v>3</v>
      </c>
      <c r="C353" s="0" t="n">
        <v>8</v>
      </c>
      <c r="D353" s="0" t="n">
        <f aca="false">-1+A353*0.125</f>
        <v>-0.875</v>
      </c>
      <c r="E353" s="0" t="n">
        <f aca="false">-1+B353*0.125</f>
        <v>-0.625</v>
      </c>
      <c r="F353" s="0" t="n">
        <f aca="false">-1+C353*0.125</f>
        <v>0</v>
      </c>
      <c r="G353" s="0" t="n">
        <f aca="false">1</f>
        <v>1</v>
      </c>
      <c r="H353" s="0" t="n">
        <f aca="false">D353</f>
        <v>-0.875</v>
      </c>
      <c r="I353" s="0" t="n">
        <f aca="false">E353</f>
        <v>-0.625</v>
      </c>
      <c r="J353" s="0" t="n">
        <f aca="false">F353</f>
        <v>0</v>
      </c>
      <c r="K353" s="0" t="n">
        <f aca="false">D353*E353</f>
        <v>0.546875</v>
      </c>
      <c r="L353" s="0" t="n">
        <f aca="false">D353*F353</f>
        <v>-0</v>
      </c>
      <c r="M353" s="0" t="n">
        <f aca="false">E353*F353</f>
        <v>-0</v>
      </c>
      <c r="N353" s="0" t="n">
        <f aca="false">D353*D353</f>
        <v>0.765625</v>
      </c>
      <c r="O353" s="0" t="n">
        <f aca="false">E353*E353</f>
        <v>0.390625</v>
      </c>
      <c r="P353" s="0" t="n">
        <f aca="false">F353*F353</f>
        <v>0</v>
      </c>
      <c r="Q353" s="0" t="n">
        <f aca="false">SUMPRODUCT(G353:P353,_XtX!$B$71:$K$71)</f>
        <v>42.776015625</v>
      </c>
      <c r="R353" s="0" t="n">
        <f aca="false">SUMPRODUCT(MMULT(G353:P353,_XtX!$B$58:$K$67),G353:P353)</f>
        <v>0.353155517578125</v>
      </c>
      <c r="S353" s="0" t="n">
        <f aca="false">04_回帰ANOVA!$K$19*04_回帰ANOVA!$K$14*SQRT(1+R353)</f>
        <v>1.08153478594098</v>
      </c>
      <c r="T353" s="0" t="n">
        <f aca="false">Q353-S353</f>
        <v>41.694480839059</v>
      </c>
      <c r="U353" s="0" t="n">
        <f aca="false">Q353+S353</f>
        <v>43.857550410941</v>
      </c>
      <c r="V353" s="54" t="b">
        <f aca="false">AND(D353&gt;=01_因子設定!$L$5-0.000000001,D353&lt;=01_因子設定!$M$5+0.000000001,E353&gt;=01_因子設定!$L$6-0.000000001,E353&lt;=01_因子設定!$M$6+0.000000001,F353&gt;=01_因子設定!$L$7-0.000000001,F353&lt;=01_因子設定!$M$7+0.000000001,IF(01_因子設定!$B$20="Box-Behnken",D353^2+E353^2+F353^2&lt;=2+0.000000001,TRUE()))</f>
        <v>1</v>
      </c>
      <c r="W353" s="55" t="n">
        <f aca="false">IF(V353,IF(01_因子設定!$B$13="最大化",T353-01_因子設定!$B$14,IF(01_因子設定!$B$13="最小化",01_因子設定!$B$15-U353,MIN(T353-01_因子設定!$B$14,01_因子設定!$B$15-U353))),-1E+030)</f>
        <v>-6.80551916094099</v>
      </c>
      <c r="X353" s="55" t="n">
        <f aca="false">IF(V353,IF(01_因子設定!$B$13="最大化",Q353,IF(01_因子設定!$B$13="最小化",-Q353,-ABS(Q353-01_因子設定!$B$16))),-1E+030)</f>
        <v>42.776015625</v>
      </c>
      <c r="Y353" s="55" t="n">
        <f aca="false">W353+ROW()*0.000000001</f>
        <v>-6.80551880794099</v>
      </c>
      <c r="Z353" s="55" t="n">
        <f aca="false">X353+ROW()*0.000000001</f>
        <v>42.776015978</v>
      </c>
    </row>
    <row r="354" customFormat="false" ht="15" hidden="false" customHeight="false" outlineLevel="0" collapsed="false">
      <c r="A354" s="0" t="n">
        <v>1</v>
      </c>
      <c r="B354" s="0" t="n">
        <v>3</v>
      </c>
      <c r="C354" s="0" t="n">
        <v>9</v>
      </c>
      <c r="D354" s="0" t="n">
        <f aca="false">-1+A354*0.125</f>
        <v>-0.875</v>
      </c>
      <c r="E354" s="0" t="n">
        <f aca="false">-1+B354*0.125</f>
        <v>-0.625</v>
      </c>
      <c r="F354" s="0" t="n">
        <f aca="false">-1+C354*0.125</f>
        <v>0.125</v>
      </c>
      <c r="G354" s="0" t="n">
        <f aca="false">1</f>
        <v>1</v>
      </c>
      <c r="H354" s="0" t="n">
        <f aca="false">D354</f>
        <v>-0.875</v>
      </c>
      <c r="I354" s="0" t="n">
        <f aca="false">E354</f>
        <v>-0.625</v>
      </c>
      <c r="J354" s="0" t="n">
        <f aca="false">F354</f>
        <v>0.125</v>
      </c>
      <c r="K354" s="0" t="n">
        <f aca="false">D354*E354</f>
        <v>0.546875</v>
      </c>
      <c r="L354" s="0" t="n">
        <f aca="false">D354*F354</f>
        <v>-0.109375</v>
      </c>
      <c r="M354" s="0" t="n">
        <f aca="false">E354*F354</f>
        <v>-0.078125</v>
      </c>
      <c r="N354" s="0" t="n">
        <f aca="false">D354*D354</f>
        <v>0.765625</v>
      </c>
      <c r="O354" s="0" t="n">
        <f aca="false">E354*E354</f>
        <v>0.390625</v>
      </c>
      <c r="P354" s="0" t="n">
        <f aca="false">F354*F354</f>
        <v>0.015625</v>
      </c>
      <c r="Q354" s="0" t="n">
        <f aca="false">SUMPRODUCT(G354:P354,_XtX!$B$71:$K$71)</f>
        <v>42.9113707386364</v>
      </c>
      <c r="R354" s="0" t="n">
        <f aca="false">SUMPRODUCT(MMULT(G354:P354,_XtX!$B$58:$K$67),G354:P354)</f>
        <v>0.350717440518466</v>
      </c>
      <c r="S354" s="0" t="n">
        <f aca="false">04_回帰ANOVA!$K$19*04_回帰ANOVA!$K$14*SQRT(1+R354)</f>
        <v>1.08056000737898</v>
      </c>
      <c r="T354" s="0" t="n">
        <f aca="false">Q354-S354</f>
        <v>41.8308107312574</v>
      </c>
      <c r="U354" s="0" t="n">
        <f aca="false">Q354+S354</f>
        <v>43.9919307460153</v>
      </c>
      <c r="V354" s="54" t="b">
        <f aca="false">AND(D354&gt;=01_因子設定!$L$5-0.000000001,D354&lt;=01_因子設定!$M$5+0.000000001,E354&gt;=01_因子設定!$L$6-0.000000001,E354&lt;=01_因子設定!$M$6+0.000000001,F354&gt;=01_因子設定!$L$7-0.000000001,F354&lt;=01_因子設定!$M$7+0.000000001,IF(01_因子設定!$B$20="Box-Behnken",D354^2+E354^2+F354^2&lt;=2+0.000000001,TRUE()))</f>
        <v>1</v>
      </c>
      <c r="W354" s="55" t="n">
        <f aca="false">IF(V354,IF(01_因子設定!$B$13="最大化",T354-01_因子設定!$B$14,IF(01_因子設定!$B$13="最小化",01_因子設定!$B$15-U354,MIN(T354-01_因子設定!$B$14,01_因子設定!$B$15-U354))),-1E+030)</f>
        <v>-6.66918926874262</v>
      </c>
      <c r="X354" s="55" t="n">
        <f aca="false">IF(V354,IF(01_因子設定!$B$13="最大化",Q354,IF(01_因子設定!$B$13="最小化",-Q354,-ABS(Q354-01_因子設定!$B$16))),-1E+030)</f>
        <v>42.9113707386364</v>
      </c>
      <c r="Y354" s="55" t="n">
        <f aca="false">W354+ROW()*0.000000001</f>
        <v>-6.66918891474262</v>
      </c>
      <c r="Z354" s="55" t="n">
        <f aca="false">X354+ROW()*0.000000001</f>
        <v>42.9113710926364</v>
      </c>
    </row>
    <row r="355" customFormat="false" ht="15" hidden="false" customHeight="false" outlineLevel="0" collapsed="false">
      <c r="A355" s="0" t="n">
        <v>1</v>
      </c>
      <c r="B355" s="0" t="n">
        <v>3</v>
      </c>
      <c r="C355" s="0" t="n">
        <v>10</v>
      </c>
      <c r="D355" s="0" t="n">
        <f aca="false">-1+A355*0.125</f>
        <v>-0.875</v>
      </c>
      <c r="E355" s="0" t="n">
        <f aca="false">-1+B355*0.125</f>
        <v>-0.625</v>
      </c>
      <c r="F355" s="0" t="n">
        <f aca="false">-1+C355*0.125</f>
        <v>0.25</v>
      </c>
      <c r="G355" s="0" t="n">
        <f aca="false">1</f>
        <v>1</v>
      </c>
      <c r="H355" s="0" t="n">
        <f aca="false">D355</f>
        <v>-0.875</v>
      </c>
      <c r="I355" s="0" t="n">
        <f aca="false">E355</f>
        <v>-0.625</v>
      </c>
      <c r="J355" s="0" t="n">
        <f aca="false">F355</f>
        <v>0.25</v>
      </c>
      <c r="K355" s="0" t="n">
        <f aca="false">D355*E355</f>
        <v>0.546875</v>
      </c>
      <c r="L355" s="0" t="n">
        <f aca="false">D355*F355</f>
        <v>-0.21875</v>
      </c>
      <c r="M355" s="0" t="n">
        <f aca="false">E355*F355</f>
        <v>-0.15625</v>
      </c>
      <c r="N355" s="0" t="n">
        <f aca="false">D355*D355</f>
        <v>0.765625</v>
      </c>
      <c r="O355" s="0" t="n">
        <f aca="false">E355*E355</f>
        <v>0.390625</v>
      </c>
      <c r="P355" s="0" t="n">
        <f aca="false">F355*F355</f>
        <v>0.0625</v>
      </c>
      <c r="Q355" s="0" t="n">
        <f aca="false">SUMPRODUCT(G355:P355,_XtX!$B$71:$K$71)</f>
        <v>43.0099360795455</v>
      </c>
      <c r="R355" s="0" t="n">
        <f aca="false">SUMPRODUCT(MMULT(G355:P355,_XtX!$B$58:$K$67),G355:P355)</f>
        <v>0.34446855024858</v>
      </c>
      <c r="S355" s="0" t="n">
        <f aca="false">04_回帰ANOVA!$K$19*04_回帰ANOVA!$K$14*SQRT(1+R355)</f>
        <v>1.07805758590432</v>
      </c>
      <c r="T355" s="0" t="n">
        <f aca="false">Q355-S355</f>
        <v>41.9318784936411</v>
      </c>
      <c r="U355" s="0" t="n">
        <f aca="false">Q355+S355</f>
        <v>44.0879936654498</v>
      </c>
      <c r="V355" s="54" t="b">
        <f aca="false">AND(D355&gt;=01_因子設定!$L$5-0.000000001,D355&lt;=01_因子設定!$M$5+0.000000001,E355&gt;=01_因子設定!$L$6-0.000000001,E355&lt;=01_因子設定!$M$6+0.000000001,F355&gt;=01_因子設定!$L$7-0.000000001,F355&lt;=01_因子設定!$M$7+0.000000001,IF(01_因子設定!$B$20="Box-Behnken",D355^2+E355^2+F355^2&lt;=2+0.000000001,TRUE()))</f>
        <v>1</v>
      </c>
      <c r="W355" s="55" t="n">
        <f aca="false">IF(V355,IF(01_因子設定!$B$13="最大化",T355-01_因子設定!$B$14,IF(01_因子設定!$B$13="最小化",01_因子設定!$B$15-U355,MIN(T355-01_因子設定!$B$14,01_因子設定!$B$15-U355))),-1E+030)</f>
        <v>-6.56812150635887</v>
      </c>
      <c r="X355" s="55" t="n">
        <f aca="false">IF(V355,IF(01_因子設定!$B$13="最大化",Q355,IF(01_因子設定!$B$13="最小化",-Q355,-ABS(Q355-01_因子設定!$B$16))),-1E+030)</f>
        <v>43.0099360795455</v>
      </c>
      <c r="Y355" s="55" t="n">
        <f aca="false">W355+ROW()*0.000000001</f>
        <v>-6.56812115135887</v>
      </c>
      <c r="Z355" s="55" t="n">
        <f aca="false">X355+ROW()*0.000000001</f>
        <v>43.0099364345454</v>
      </c>
    </row>
    <row r="356" customFormat="false" ht="15" hidden="false" customHeight="false" outlineLevel="0" collapsed="false">
      <c r="A356" s="0" t="n">
        <v>1</v>
      </c>
      <c r="B356" s="0" t="n">
        <v>3</v>
      </c>
      <c r="C356" s="0" t="n">
        <v>11</v>
      </c>
      <c r="D356" s="0" t="n">
        <f aca="false">-1+A356*0.125</f>
        <v>-0.875</v>
      </c>
      <c r="E356" s="0" t="n">
        <f aca="false">-1+B356*0.125</f>
        <v>-0.625</v>
      </c>
      <c r="F356" s="0" t="n">
        <f aca="false">-1+C356*0.125</f>
        <v>0.375</v>
      </c>
      <c r="G356" s="0" t="n">
        <f aca="false">1</f>
        <v>1</v>
      </c>
      <c r="H356" s="0" t="n">
        <f aca="false">D356</f>
        <v>-0.875</v>
      </c>
      <c r="I356" s="0" t="n">
        <f aca="false">E356</f>
        <v>-0.625</v>
      </c>
      <c r="J356" s="0" t="n">
        <f aca="false">F356</f>
        <v>0.375</v>
      </c>
      <c r="K356" s="0" t="n">
        <f aca="false">D356*E356</f>
        <v>0.546875</v>
      </c>
      <c r="L356" s="0" t="n">
        <f aca="false">D356*F356</f>
        <v>-0.328125</v>
      </c>
      <c r="M356" s="0" t="n">
        <f aca="false">E356*F356</f>
        <v>-0.234375</v>
      </c>
      <c r="N356" s="0" t="n">
        <f aca="false">D356*D356</f>
        <v>0.765625</v>
      </c>
      <c r="O356" s="0" t="n">
        <f aca="false">E356*E356</f>
        <v>0.390625</v>
      </c>
      <c r="P356" s="0" t="n">
        <f aca="false">F356*F356</f>
        <v>0.140625</v>
      </c>
      <c r="Q356" s="0" t="n">
        <f aca="false">SUMPRODUCT(G356:P356,_XtX!$B$71:$K$71)</f>
        <v>43.0717116477273</v>
      </c>
      <c r="R356" s="0" t="n">
        <f aca="false">SUMPRODUCT(MMULT(G356:P356,_XtX!$B$58:$K$67),G356:P356)</f>
        <v>0.337604869495739</v>
      </c>
      <c r="S356" s="0" t="n">
        <f aca="false">04_回帰ANOVA!$K$19*04_回帰ANOVA!$K$14*SQRT(1+R356)</f>
        <v>1.07530225516193</v>
      </c>
      <c r="T356" s="0" t="n">
        <f aca="false">Q356-S356</f>
        <v>41.9964093925653</v>
      </c>
      <c r="U356" s="0" t="n">
        <f aca="false">Q356+S356</f>
        <v>44.1470139028892</v>
      </c>
      <c r="V356" s="54" t="b">
        <f aca="false">AND(D356&gt;=01_因子設定!$L$5-0.000000001,D356&lt;=01_因子設定!$M$5+0.000000001,E356&gt;=01_因子設定!$L$6-0.000000001,E356&lt;=01_因子設定!$M$6+0.000000001,F356&gt;=01_因子設定!$L$7-0.000000001,F356&lt;=01_因子設定!$M$7+0.000000001,IF(01_因子設定!$B$20="Box-Behnken",D356^2+E356^2+F356^2&lt;=2+0.000000001,TRUE()))</f>
        <v>1</v>
      </c>
      <c r="W356" s="55" t="n">
        <f aca="false">IF(V356,IF(01_因子設定!$B$13="最大化",T356-01_因子設定!$B$14,IF(01_因子設定!$B$13="最小化",01_因子設定!$B$15-U356,MIN(T356-01_因子設定!$B$14,01_因子設定!$B$15-U356))),-1E+030)</f>
        <v>-6.50359060743466</v>
      </c>
      <c r="X356" s="55" t="n">
        <f aca="false">IF(V356,IF(01_因子設定!$B$13="最大化",Q356,IF(01_因子設定!$B$13="最小化",-Q356,-ABS(Q356-01_因子設定!$B$16))),-1E+030)</f>
        <v>43.0717116477273</v>
      </c>
      <c r="Y356" s="55" t="n">
        <f aca="false">W356+ROW()*0.000000001</f>
        <v>-6.50359025143466</v>
      </c>
      <c r="Z356" s="55" t="n">
        <f aca="false">X356+ROW()*0.000000001</f>
        <v>43.0717120037273</v>
      </c>
    </row>
    <row r="357" customFormat="false" ht="15" hidden="false" customHeight="false" outlineLevel="0" collapsed="false">
      <c r="A357" s="0" t="n">
        <v>1</v>
      </c>
      <c r="B357" s="0" t="n">
        <v>3</v>
      </c>
      <c r="C357" s="0" t="n">
        <v>12</v>
      </c>
      <c r="D357" s="0" t="n">
        <f aca="false">-1+A357*0.125</f>
        <v>-0.875</v>
      </c>
      <c r="E357" s="0" t="n">
        <f aca="false">-1+B357*0.125</f>
        <v>-0.625</v>
      </c>
      <c r="F357" s="0" t="n">
        <f aca="false">-1+C357*0.125</f>
        <v>0.5</v>
      </c>
      <c r="G357" s="0" t="n">
        <f aca="false">1</f>
        <v>1</v>
      </c>
      <c r="H357" s="0" t="n">
        <f aca="false">D357</f>
        <v>-0.875</v>
      </c>
      <c r="I357" s="0" t="n">
        <f aca="false">E357</f>
        <v>-0.625</v>
      </c>
      <c r="J357" s="0" t="n">
        <f aca="false">F357</f>
        <v>0.5</v>
      </c>
      <c r="K357" s="0" t="n">
        <f aca="false">D357*E357</f>
        <v>0.546875</v>
      </c>
      <c r="L357" s="0" t="n">
        <f aca="false">D357*F357</f>
        <v>-0.4375</v>
      </c>
      <c r="M357" s="0" t="n">
        <f aca="false">E357*F357</f>
        <v>-0.3125</v>
      </c>
      <c r="N357" s="0" t="n">
        <f aca="false">D357*D357</f>
        <v>0.765625</v>
      </c>
      <c r="O357" s="0" t="n">
        <f aca="false">E357*E357</f>
        <v>0.390625</v>
      </c>
      <c r="P357" s="0" t="n">
        <f aca="false">F357*F357</f>
        <v>0.25</v>
      </c>
      <c r="Q357" s="0" t="n">
        <f aca="false">SUMPRODUCT(G357:P357,_XtX!$B$71:$K$71)</f>
        <v>43.0966974431818</v>
      </c>
      <c r="R357" s="0" t="n">
        <f aca="false">SUMPRODUCT(MMULT(G357:P357,_XtX!$B$58:$K$67),G357:P357)</f>
        <v>0.335453102805398</v>
      </c>
      <c r="S357" s="0" t="n">
        <f aca="false">04_回帰ANOVA!$K$19*04_回帰ANOVA!$K$14*SQRT(1+R357)</f>
        <v>1.07443700305628</v>
      </c>
      <c r="T357" s="0" t="n">
        <f aca="false">Q357-S357</f>
        <v>42.0222604401255</v>
      </c>
      <c r="U357" s="0" t="n">
        <f aca="false">Q357+S357</f>
        <v>44.1711344462381</v>
      </c>
      <c r="V357" s="54" t="b">
        <f aca="false">AND(D357&gt;=01_因子設定!$L$5-0.000000001,D357&lt;=01_因子設定!$M$5+0.000000001,E357&gt;=01_因子設定!$L$6-0.000000001,E357&lt;=01_因子設定!$M$6+0.000000001,F357&gt;=01_因子設定!$L$7-0.000000001,F357&lt;=01_因子設定!$M$7+0.000000001,IF(01_因子設定!$B$20="Box-Behnken",D357^2+E357^2+F357^2&lt;=2+0.000000001,TRUE()))</f>
        <v>1</v>
      </c>
      <c r="W357" s="55" t="n">
        <f aca="false">IF(V357,IF(01_因子設定!$B$13="最大化",T357-01_因子設定!$B$14,IF(01_因子設定!$B$13="最小化",01_因子設定!$B$15-U357,MIN(T357-01_因子設定!$B$14,01_因子設定!$B$15-U357))),-1E+030)</f>
        <v>-6.47773955987446</v>
      </c>
      <c r="X357" s="55" t="n">
        <f aca="false">IF(V357,IF(01_因子設定!$B$13="最大化",Q357,IF(01_因子設定!$B$13="最小化",-Q357,-ABS(Q357-01_因子設定!$B$16))),-1E+030)</f>
        <v>43.0966974431818</v>
      </c>
      <c r="Y357" s="55" t="n">
        <f aca="false">W357+ROW()*0.000000001</f>
        <v>-6.47773920287446</v>
      </c>
      <c r="Z357" s="55" t="n">
        <f aca="false">X357+ROW()*0.000000001</f>
        <v>43.0966978001818</v>
      </c>
    </row>
    <row r="358" customFormat="false" ht="15" hidden="false" customHeight="false" outlineLevel="0" collapsed="false">
      <c r="A358" s="0" t="n">
        <v>1</v>
      </c>
      <c r="B358" s="0" t="n">
        <v>3</v>
      </c>
      <c r="C358" s="0" t="n">
        <v>13</v>
      </c>
      <c r="D358" s="0" t="n">
        <f aca="false">-1+A358*0.125</f>
        <v>-0.875</v>
      </c>
      <c r="E358" s="0" t="n">
        <f aca="false">-1+B358*0.125</f>
        <v>-0.625</v>
      </c>
      <c r="F358" s="0" t="n">
        <f aca="false">-1+C358*0.125</f>
        <v>0.625</v>
      </c>
      <c r="G358" s="0" t="n">
        <f aca="false">1</f>
        <v>1</v>
      </c>
      <c r="H358" s="0" t="n">
        <f aca="false">D358</f>
        <v>-0.875</v>
      </c>
      <c r="I358" s="0" t="n">
        <f aca="false">E358</f>
        <v>-0.625</v>
      </c>
      <c r="J358" s="0" t="n">
        <f aca="false">F358</f>
        <v>0.625</v>
      </c>
      <c r="K358" s="0" t="n">
        <f aca="false">D358*E358</f>
        <v>0.546875</v>
      </c>
      <c r="L358" s="0" t="n">
        <f aca="false">D358*F358</f>
        <v>-0.546875</v>
      </c>
      <c r="M358" s="0" t="n">
        <f aca="false">E358*F358</f>
        <v>-0.390625</v>
      </c>
      <c r="N358" s="0" t="n">
        <f aca="false">D358*D358</f>
        <v>0.765625</v>
      </c>
      <c r="O358" s="0" t="n">
        <f aca="false">E358*E358</f>
        <v>0.390625</v>
      </c>
      <c r="P358" s="0" t="n">
        <f aca="false">F358*F358</f>
        <v>0.390625</v>
      </c>
      <c r="Q358" s="0" t="n">
        <f aca="false">SUMPRODUCT(G358:P358,_XtX!$B$71:$K$71)</f>
        <v>43.0848934659091</v>
      </c>
      <c r="R358" s="0" t="n">
        <f aca="false">SUMPRODUCT(MMULT(G358:P358,_XtX!$B$58:$K$67),G358:P358)</f>
        <v>0.345470636541193</v>
      </c>
      <c r="S358" s="0" t="n">
        <f aca="false">04_回帰ANOVA!$K$19*04_回帰ANOVA!$K$14*SQRT(1+R358)</f>
        <v>1.07845927083227</v>
      </c>
      <c r="T358" s="0" t="n">
        <f aca="false">Q358-S358</f>
        <v>42.0064341950768</v>
      </c>
      <c r="U358" s="0" t="n">
        <f aca="false">Q358+S358</f>
        <v>44.1633527367414</v>
      </c>
      <c r="V358" s="54" t="b">
        <f aca="false">AND(D358&gt;=01_因子設定!$L$5-0.000000001,D358&lt;=01_因子設定!$M$5+0.000000001,E358&gt;=01_因子設定!$L$6-0.000000001,E358&lt;=01_因子設定!$M$6+0.000000001,F358&gt;=01_因子設定!$L$7-0.000000001,F358&lt;=01_因子設定!$M$7+0.000000001,IF(01_因子設定!$B$20="Box-Behnken",D358^2+E358^2+F358^2&lt;=2+0.000000001,TRUE()))</f>
        <v>1</v>
      </c>
      <c r="W358" s="55" t="n">
        <f aca="false">IF(V358,IF(01_因子設定!$B$13="最大化",T358-01_因子設定!$B$14,IF(01_因子設定!$B$13="最小化",01_因子設定!$B$15-U358,MIN(T358-01_因子設定!$B$14,01_因子設定!$B$15-U358))),-1E+030)</f>
        <v>-6.49356580492318</v>
      </c>
      <c r="X358" s="55" t="n">
        <f aca="false">IF(V358,IF(01_因子設定!$B$13="最大化",Q358,IF(01_因子設定!$B$13="最小化",-Q358,-ABS(Q358-01_因子設定!$B$16))),-1E+030)</f>
        <v>43.0848934659091</v>
      </c>
      <c r="Y358" s="55" t="n">
        <f aca="false">W358+ROW()*0.000000001</f>
        <v>-6.49356544692318</v>
      </c>
      <c r="Z358" s="55" t="n">
        <f aca="false">X358+ROW()*0.000000001</f>
        <v>43.0848938239091</v>
      </c>
    </row>
    <row r="359" customFormat="false" ht="15" hidden="false" customHeight="false" outlineLevel="0" collapsed="false">
      <c r="A359" s="0" t="n">
        <v>1</v>
      </c>
      <c r="B359" s="0" t="n">
        <v>3</v>
      </c>
      <c r="C359" s="0" t="n">
        <v>14</v>
      </c>
      <c r="D359" s="0" t="n">
        <f aca="false">-1+A359*0.125</f>
        <v>-0.875</v>
      </c>
      <c r="E359" s="0" t="n">
        <f aca="false">-1+B359*0.125</f>
        <v>-0.625</v>
      </c>
      <c r="F359" s="0" t="n">
        <f aca="false">-1+C359*0.125</f>
        <v>0.75</v>
      </c>
      <c r="G359" s="0" t="n">
        <f aca="false">1</f>
        <v>1</v>
      </c>
      <c r="H359" s="0" t="n">
        <f aca="false">D359</f>
        <v>-0.875</v>
      </c>
      <c r="I359" s="0" t="n">
        <f aca="false">E359</f>
        <v>-0.625</v>
      </c>
      <c r="J359" s="0" t="n">
        <f aca="false">F359</f>
        <v>0.75</v>
      </c>
      <c r="K359" s="0" t="n">
        <f aca="false">D359*E359</f>
        <v>0.546875</v>
      </c>
      <c r="L359" s="0" t="n">
        <f aca="false">D359*F359</f>
        <v>-0.65625</v>
      </c>
      <c r="M359" s="0" t="n">
        <f aca="false">E359*F359</f>
        <v>-0.46875</v>
      </c>
      <c r="N359" s="0" t="n">
        <f aca="false">D359*D359</f>
        <v>0.765625</v>
      </c>
      <c r="O359" s="0" t="n">
        <f aca="false">E359*E359</f>
        <v>0.390625</v>
      </c>
      <c r="P359" s="0" t="n">
        <f aca="false">F359*F359</f>
        <v>0.5625</v>
      </c>
      <c r="Q359" s="0" t="n">
        <f aca="false">SUMPRODUCT(G359:P359,_XtX!$B$71:$K$71)</f>
        <v>43.0362997159091</v>
      </c>
      <c r="R359" s="0" t="n">
        <f aca="false">SUMPRODUCT(MMULT(G359:P359,_XtX!$B$58:$K$67),G359:P359)</f>
        <v>0.377245538884943</v>
      </c>
      <c r="S359" s="0" t="n">
        <f aca="false">04_回帰ANOVA!$K$19*04_回帰ANOVA!$K$14*SQRT(1+R359)</f>
        <v>1.09111951468927</v>
      </c>
      <c r="T359" s="0" t="n">
        <f aca="false">Q359-S359</f>
        <v>41.9451802012198</v>
      </c>
      <c r="U359" s="0" t="n">
        <f aca="false">Q359+S359</f>
        <v>44.1274192305984</v>
      </c>
      <c r="V359" s="54" t="b">
        <f aca="false">AND(D359&gt;=01_因子設定!$L$5-0.000000001,D359&lt;=01_因子設定!$M$5+0.000000001,E359&gt;=01_因子設定!$L$6-0.000000001,E359&lt;=01_因子設定!$M$6+0.000000001,F359&gt;=01_因子設定!$L$7-0.000000001,F359&lt;=01_因子設定!$M$7+0.000000001,IF(01_因子設定!$B$20="Box-Behnken",D359^2+E359^2+F359^2&lt;=2+0.000000001,TRUE()))</f>
        <v>1</v>
      </c>
      <c r="W359" s="55" t="n">
        <f aca="false">IF(V359,IF(01_因子設定!$B$13="最大化",T359-01_因子設定!$B$14,IF(01_因子設定!$B$13="最小化",01_因子設定!$B$15-U359,MIN(T359-01_因子設定!$B$14,01_因子設定!$B$15-U359))),-1E+030)</f>
        <v>-6.55481979878018</v>
      </c>
      <c r="X359" s="55" t="n">
        <f aca="false">IF(V359,IF(01_因子設定!$B$13="最大化",Q359,IF(01_因子設定!$B$13="最小化",-Q359,-ABS(Q359-01_因子設定!$B$16))),-1E+030)</f>
        <v>43.0362997159091</v>
      </c>
      <c r="Y359" s="55" t="n">
        <f aca="false">W359+ROW()*0.000000001</f>
        <v>-6.55481943978018</v>
      </c>
      <c r="Z359" s="55" t="n">
        <f aca="false">X359+ROW()*0.000000001</f>
        <v>43.0363000749091</v>
      </c>
    </row>
    <row r="360" customFormat="false" ht="15" hidden="false" customHeight="false" outlineLevel="0" collapsed="false">
      <c r="A360" s="0" t="n">
        <v>1</v>
      </c>
      <c r="B360" s="0" t="n">
        <v>3</v>
      </c>
      <c r="C360" s="0" t="n">
        <v>15</v>
      </c>
      <c r="D360" s="0" t="n">
        <f aca="false">-1+A360*0.125</f>
        <v>-0.875</v>
      </c>
      <c r="E360" s="0" t="n">
        <f aca="false">-1+B360*0.125</f>
        <v>-0.625</v>
      </c>
      <c r="F360" s="0" t="n">
        <f aca="false">-1+C360*0.125</f>
        <v>0.875</v>
      </c>
      <c r="G360" s="0" t="n">
        <f aca="false">1</f>
        <v>1</v>
      </c>
      <c r="H360" s="0" t="n">
        <f aca="false">D360</f>
        <v>-0.875</v>
      </c>
      <c r="I360" s="0" t="n">
        <f aca="false">E360</f>
        <v>-0.625</v>
      </c>
      <c r="J360" s="0" t="n">
        <f aca="false">F360</f>
        <v>0.875</v>
      </c>
      <c r="K360" s="0" t="n">
        <f aca="false">D360*E360</f>
        <v>0.546875</v>
      </c>
      <c r="L360" s="0" t="n">
        <f aca="false">D360*F360</f>
        <v>-0.765625</v>
      </c>
      <c r="M360" s="0" t="n">
        <f aca="false">E360*F360</f>
        <v>-0.546875</v>
      </c>
      <c r="N360" s="0" t="n">
        <f aca="false">D360*D360</f>
        <v>0.765625</v>
      </c>
      <c r="O360" s="0" t="n">
        <f aca="false">E360*E360</f>
        <v>0.390625</v>
      </c>
      <c r="P360" s="0" t="n">
        <f aca="false">F360*F360</f>
        <v>0.765625</v>
      </c>
      <c r="Q360" s="0" t="n">
        <f aca="false">SUMPRODUCT(G360:P360,_XtX!$B$71:$K$71)</f>
        <v>42.9509161931818</v>
      </c>
      <c r="R360" s="0" t="n">
        <f aca="false">SUMPRODUCT(MMULT(G360:P360,_XtX!$B$58:$K$67),G360:P360)</f>
        <v>0.442496559836648</v>
      </c>
      <c r="S360" s="0" t="n">
        <f aca="false">04_回帰ANOVA!$K$19*04_回帰ANOVA!$K$14*SQRT(1+R360)</f>
        <v>1.11666789259284</v>
      </c>
      <c r="T360" s="0" t="n">
        <f aca="false">Q360-S360</f>
        <v>41.834248300589</v>
      </c>
      <c r="U360" s="0" t="n">
        <f aca="false">Q360+S360</f>
        <v>44.0675840857747</v>
      </c>
      <c r="V360" s="54" t="b">
        <f aca="false">AND(D360&gt;=01_因子設定!$L$5-0.000000001,D360&lt;=01_因子設定!$M$5+0.000000001,E360&gt;=01_因子設定!$L$6-0.000000001,E360&lt;=01_因子設定!$M$6+0.000000001,F360&gt;=01_因子設定!$L$7-0.000000001,F360&lt;=01_因子設定!$M$7+0.000000001,IF(01_因子設定!$B$20="Box-Behnken",D360^2+E360^2+F360^2&lt;=2+0.000000001,TRUE()))</f>
        <v>1</v>
      </c>
      <c r="W360" s="55" t="n">
        <f aca="false">IF(V360,IF(01_因子設定!$B$13="最大化",T360-01_因子設定!$B$14,IF(01_因子設定!$B$13="最小化",01_因子設定!$B$15-U360,MIN(T360-01_因子設定!$B$14,01_因子設定!$B$15-U360))),-1E+030)</f>
        <v>-6.66575169941102</v>
      </c>
      <c r="X360" s="55" t="n">
        <f aca="false">IF(V360,IF(01_因子設定!$B$13="最大化",Q360,IF(01_因子設定!$B$13="最小化",-Q360,-ABS(Q360-01_因子設定!$B$16))),-1E+030)</f>
        <v>42.9509161931818</v>
      </c>
      <c r="Y360" s="55" t="n">
        <f aca="false">W360+ROW()*0.000000001</f>
        <v>-6.66575133941102</v>
      </c>
      <c r="Z360" s="55" t="n">
        <f aca="false">X360+ROW()*0.000000001</f>
        <v>42.9509165531818</v>
      </c>
    </row>
    <row r="361" customFormat="false" ht="15" hidden="false" customHeight="false" outlineLevel="0" collapsed="false">
      <c r="A361" s="0" t="n">
        <v>1</v>
      </c>
      <c r="B361" s="0" t="n">
        <v>3</v>
      </c>
      <c r="C361" s="0" t="n">
        <v>16</v>
      </c>
      <c r="D361" s="0" t="n">
        <f aca="false">-1+A361*0.125</f>
        <v>-0.875</v>
      </c>
      <c r="E361" s="0" t="n">
        <f aca="false">-1+B361*0.125</f>
        <v>-0.625</v>
      </c>
      <c r="F361" s="0" t="n">
        <f aca="false">-1+C361*0.125</f>
        <v>1</v>
      </c>
      <c r="G361" s="0" t="n">
        <f aca="false">1</f>
        <v>1</v>
      </c>
      <c r="H361" s="0" t="n">
        <f aca="false">D361</f>
        <v>-0.875</v>
      </c>
      <c r="I361" s="0" t="n">
        <f aca="false">E361</f>
        <v>-0.625</v>
      </c>
      <c r="J361" s="0" t="n">
        <f aca="false">F361</f>
        <v>1</v>
      </c>
      <c r="K361" s="0" t="n">
        <f aca="false">D361*E361</f>
        <v>0.546875</v>
      </c>
      <c r="L361" s="0" t="n">
        <f aca="false">D361*F361</f>
        <v>-0.875</v>
      </c>
      <c r="M361" s="0" t="n">
        <f aca="false">E361*F361</f>
        <v>-0.625</v>
      </c>
      <c r="N361" s="0" t="n">
        <f aca="false">D361*D361</f>
        <v>0.765625</v>
      </c>
      <c r="O361" s="0" t="n">
        <f aca="false">E361*E361</f>
        <v>0.390625</v>
      </c>
      <c r="P361" s="0" t="n">
        <f aca="false">F361*F361</f>
        <v>1</v>
      </c>
      <c r="Q361" s="0" t="n">
        <f aca="false">SUMPRODUCT(G361:P361,_XtX!$B$71:$K$71)</f>
        <v>42.8287428977273</v>
      </c>
      <c r="R361" s="0" t="n">
        <f aca="false">SUMPRODUCT(MMULT(G361:P361,_XtX!$B$58:$K$67),G361:P361)</f>
        <v>0.555073131214489</v>
      </c>
      <c r="S361" s="0" t="n">
        <f aca="false">04_回帰ANOVA!$K$19*04_回帰ANOVA!$K$14*SQRT(1+R361)</f>
        <v>1.15942335628341</v>
      </c>
      <c r="T361" s="0" t="n">
        <f aca="false">Q361-S361</f>
        <v>41.6693195414439</v>
      </c>
      <c r="U361" s="0" t="n">
        <f aca="false">Q361+S361</f>
        <v>43.9881662540107</v>
      </c>
      <c r="V361" s="54" t="b">
        <f aca="false">AND(D361&gt;=01_因子設定!$L$5-0.000000001,D361&lt;=01_因子設定!$M$5+0.000000001,E361&gt;=01_因子設定!$L$6-0.000000001,E361&lt;=01_因子設定!$M$6+0.000000001,F361&gt;=01_因子設定!$L$7-0.000000001,F361&lt;=01_因子設定!$M$7+0.000000001,IF(01_因子設定!$B$20="Box-Behnken",D361^2+E361^2+F361^2&lt;=2+0.000000001,TRUE()))</f>
        <v>1</v>
      </c>
      <c r="W361" s="55" t="n">
        <f aca="false">IF(V361,IF(01_因子設定!$B$13="最大化",T361-01_因子設定!$B$14,IF(01_因子設定!$B$13="最小化",01_因子設定!$B$15-U361,MIN(T361-01_因子設定!$B$14,01_因子設定!$B$15-U361))),-1E+030)</f>
        <v>-6.83068045855612</v>
      </c>
      <c r="X361" s="55" t="n">
        <f aca="false">IF(V361,IF(01_因子設定!$B$13="最大化",Q361,IF(01_因子設定!$B$13="最小化",-Q361,-ABS(Q361-01_因子設定!$B$16))),-1E+030)</f>
        <v>42.8287428977273</v>
      </c>
      <c r="Y361" s="55" t="n">
        <f aca="false">W361+ROW()*0.000000001</f>
        <v>-6.83068009755612</v>
      </c>
      <c r="Z361" s="55" t="n">
        <f aca="false">X361+ROW()*0.000000001</f>
        <v>42.8287432587273</v>
      </c>
    </row>
    <row r="362" customFormat="false" ht="15" hidden="false" customHeight="false" outlineLevel="0" collapsed="false">
      <c r="A362" s="0" t="n">
        <v>1</v>
      </c>
      <c r="B362" s="0" t="n">
        <v>4</v>
      </c>
      <c r="C362" s="0" t="n">
        <v>0</v>
      </c>
      <c r="D362" s="0" t="n">
        <f aca="false">-1+A362*0.125</f>
        <v>-0.875</v>
      </c>
      <c r="E362" s="0" t="n">
        <f aca="false">-1+B362*0.125</f>
        <v>-0.5</v>
      </c>
      <c r="F362" s="0" t="n">
        <f aca="false">-1+C362*0.125</f>
        <v>-1</v>
      </c>
      <c r="G362" s="0" t="n">
        <f aca="false">1</f>
        <v>1</v>
      </c>
      <c r="H362" s="0" t="n">
        <f aca="false">D362</f>
        <v>-0.875</v>
      </c>
      <c r="I362" s="0" t="n">
        <f aca="false">E362</f>
        <v>-0.5</v>
      </c>
      <c r="J362" s="0" t="n">
        <f aca="false">F362</f>
        <v>-1</v>
      </c>
      <c r="K362" s="0" t="n">
        <f aca="false">D362*E362</f>
        <v>0.4375</v>
      </c>
      <c r="L362" s="0" t="n">
        <f aca="false">D362*F362</f>
        <v>0.875</v>
      </c>
      <c r="M362" s="0" t="n">
        <f aca="false">E362*F362</f>
        <v>0.5</v>
      </c>
      <c r="N362" s="0" t="n">
        <f aca="false">D362*D362</f>
        <v>0.765625</v>
      </c>
      <c r="O362" s="0" t="n">
        <f aca="false">E362*E362</f>
        <v>0.25</v>
      </c>
      <c r="P362" s="0" t="n">
        <f aca="false">F362*F362</f>
        <v>1</v>
      </c>
      <c r="Q362" s="0" t="n">
        <f aca="false">SUMPRODUCT(G362:P362,_XtX!$B$71:$K$71)</f>
        <v>40.72234375</v>
      </c>
      <c r="R362" s="0" t="n">
        <f aca="false">SUMPRODUCT(MMULT(G362:P362,_XtX!$B$58:$K$67),G362:P362)</f>
        <v>0.55771484375</v>
      </c>
      <c r="S362" s="0" t="n">
        <f aca="false">04_回帰ANOVA!$K$19*04_回帰ANOVA!$K$14*SQRT(1+R362)</f>
        <v>1.16040773556467</v>
      </c>
      <c r="T362" s="0" t="n">
        <f aca="false">Q362-S362</f>
        <v>39.5619360144353</v>
      </c>
      <c r="U362" s="0" t="n">
        <f aca="false">Q362+S362</f>
        <v>41.8827514855647</v>
      </c>
      <c r="V362" s="54" t="b">
        <f aca="false">AND(D362&gt;=01_因子設定!$L$5-0.000000001,D362&lt;=01_因子設定!$M$5+0.000000001,E362&gt;=01_因子設定!$L$6-0.000000001,E362&lt;=01_因子設定!$M$6+0.000000001,F362&gt;=01_因子設定!$L$7-0.000000001,F362&lt;=01_因子設定!$M$7+0.000000001,IF(01_因子設定!$B$20="Box-Behnken",D362^2+E362^2+F362^2&lt;=2+0.000000001,TRUE()))</f>
        <v>1</v>
      </c>
      <c r="W362" s="55" t="n">
        <f aca="false">IF(V362,IF(01_因子設定!$B$13="最大化",T362-01_因子設定!$B$14,IF(01_因子設定!$B$13="最小化",01_因子設定!$B$15-U362,MIN(T362-01_因子設定!$B$14,01_因子設定!$B$15-U362))),-1E+030)</f>
        <v>-8.93806398556466</v>
      </c>
      <c r="X362" s="55" t="n">
        <f aca="false">IF(V362,IF(01_因子設定!$B$13="最大化",Q362,IF(01_因子設定!$B$13="最小化",-Q362,-ABS(Q362-01_因子設定!$B$16))),-1E+030)</f>
        <v>40.72234375</v>
      </c>
      <c r="Y362" s="55" t="n">
        <f aca="false">W362+ROW()*0.000000001</f>
        <v>-8.93806362356466</v>
      </c>
      <c r="Z362" s="55" t="n">
        <f aca="false">X362+ROW()*0.000000001</f>
        <v>40.722344112</v>
      </c>
    </row>
    <row r="363" customFormat="false" ht="15" hidden="false" customHeight="false" outlineLevel="0" collapsed="false">
      <c r="A363" s="0" t="n">
        <v>1</v>
      </c>
      <c r="B363" s="0" t="n">
        <v>4</v>
      </c>
      <c r="C363" s="0" t="n">
        <v>1</v>
      </c>
      <c r="D363" s="0" t="n">
        <f aca="false">-1+A363*0.125</f>
        <v>-0.875</v>
      </c>
      <c r="E363" s="0" t="n">
        <f aca="false">-1+B363*0.125</f>
        <v>-0.5</v>
      </c>
      <c r="F363" s="0" t="n">
        <f aca="false">-1+C363*0.125</f>
        <v>-0.875</v>
      </c>
      <c r="G363" s="0" t="n">
        <f aca="false">1</f>
        <v>1</v>
      </c>
      <c r="H363" s="0" t="n">
        <f aca="false">D363</f>
        <v>-0.875</v>
      </c>
      <c r="I363" s="0" t="n">
        <f aca="false">E363</f>
        <v>-0.5</v>
      </c>
      <c r="J363" s="0" t="n">
        <f aca="false">F363</f>
        <v>-0.875</v>
      </c>
      <c r="K363" s="0" t="n">
        <f aca="false">D363*E363</f>
        <v>0.4375</v>
      </c>
      <c r="L363" s="0" t="n">
        <f aca="false">D363*F363</f>
        <v>0.765625</v>
      </c>
      <c r="M363" s="0" t="n">
        <f aca="false">E363*F363</f>
        <v>0.4375</v>
      </c>
      <c r="N363" s="0" t="n">
        <f aca="false">D363*D363</f>
        <v>0.765625</v>
      </c>
      <c r="O363" s="0" t="n">
        <f aca="false">E363*E363</f>
        <v>0.25</v>
      </c>
      <c r="P363" s="0" t="n">
        <f aca="false">F363*F363</f>
        <v>0.765625</v>
      </c>
      <c r="Q363" s="0" t="n">
        <f aca="false">SUMPRODUCT(G363:P363,_XtX!$B$71:$K$71)</f>
        <v>41.1590482954546</v>
      </c>
      <c r="R363" s="0" t="n">
        <f aca="false">SUMPRODUCT(MMULT(G363:P363,_XtX!$B$58:$K$67),G363:P363)</f>
        <v>0.44026933149858</v>
      </c>
      <c r="S363" s="0" t="n">
        <f aca="false">04_回帰ANOVA!$K$19*04_回帰ANOVA!$K$14*SQRT(1+R363)</f>
        <v>1.11580548667718</v>
      </c>
      <c r="T363" s="0" t="n">
        <f aca="false">Q363-S363</f>
        <v>40.0432428087774</v>
      </c>
      <c r="U363" s="0" t="n">
        <f aca="false">Q363+S363</f>
        <v>42.2748537821317</v>
      </c>
      <c r="V363" s="54" t="b">
        <f aca="false">AND(D363&gt;=01_因子設定!$L$5-0.000000001,D363&lt;=01_因子設定!$M$5+0.000000001,E363&gt;=01_因子設定!$L$6-0.000000001,E363&lt;=01_因子設定!$M$6+0.000000001,F363&gt;=01_因子設定!$L$7-0.000000001,F363&lt;=01_因子設定!$M$7+0.000000001,IF(01_因子設定!$B$20="Box-Behnken",D363^2+E363^2+F363^2&lt;=2+0.000000001,TRUE()))</f>
        <v>1</v>
      </c>
      <c r="W363" s="55" t="n">
        <f aca="false">IF(V363,IF(01_因子設定!$B$13="最大化",T363-01_因子設定!$B$14,IF(01_因子設定!$B$13="最小化",01_因子設定!$B$15-U363,MIN(T363-01_因子設定!$B$14,01_因子設定!$B$15-U363))),-1E+030)</f>
        <v>-8.45675719122263</v>
      </c>
      <c r="X363" s="55" t="n">
        <f aca="false">IF(V363,IF(01_因子設定!$B$13="最大化",Q363,IF(01_因子設定!$B$13="最小化",-Q363,-ABS(Q363-01_因子設定!$B$16))),-1E+030)</f>
        <v>41.1590482954546</v>
      </c>
      <c r="Y363" s="55" t="n">
        <f aca="false">W363+ROW()*0.000000001</f>
        <v>-8.45675682822263</v>
      </c>
      <c r="Z363" s="55" t="n">
        <f aca="false">X363+ROW()*0.000000001</f>
        <v>41.1590486584546</v>
      </c>
    </row>
    <row r="364" customFormat="false" ht="15" hidden="false" customHeight="false" outlineLevel="0" collapsed="false">
      <c r="A364" s="0" t="n">
        <v>1</v>
      </c>
      <c r="B364" s="0" t="n">
        <v>4</v>
      </c>
      <c r="C364" s="0" t="n">
        <v>2</v>
      </c>
      <c r="D364" s="0" t="n">
        <f aca="false">-1+A364*0.125</f>
        <v>-0.875</v>
      </c>
      <c r="E364" s="0" t="n">
        <f aca="false">-1+B364*0.125</f>
        <v>-0.5</v>
      </c>
      <c r="F364" s="0" t="n">
        <f aca="false">-1+C364*0.125</f>
        <v>-0.75</v>
      </c>
      <c r="G364" s="0" t="n">
        <f aca="false">1</f>
        <v>1</v>
      </c>
      <c r="H364" s="0" t="n">
        <f aca="false">D364</f>
        <v>-0.875</v>
      </c>
      <c r="I364" s="0" t="n">
        <f aca="false">E364</f>
        <v>-0.5</v>
      </c>
      <c r="J364" s="0" t="n">
        <f aca="false">F364</f>
        <v>-0.75</v>
      </c>
      <c r="K364" s="0" t="n">
        <f aca="false">D364*E364</f>
        <v>0.4375</v>
      </c>
      <c r="L364" s="0" t="n">
        <f aca="false">D364*F364</f>
        <v>0.65625</v>
      </c>
      <c r="M364" s="0" t="n">
        <f aca="false">E364*F364</f>
        <v>0.375</v>
      </c>
      <c r="N364" s="0" t="n">
        <f aca="false">D364*D364</f>
        <v>0.765625</v>
      </c>
      <c r="O364" s="0" t="n">
        <f aca="false">E364*E364</f>
        <v>0.25</v>
      </c>
      <c r="P364" s="0" t="n">
        <f aca="false">F364*F364</f>
        <v>0.5625</v>
      </c>
      <c r="Q364" s="0" t="n">
        <f aca="false">SUMPRODUCT(G364:P364,_XtX!$B$71:$K$71)</f>
        <v>41.5589630681818</v>
      </c>
      <c r="R364" s="0" t="n">
        <f aca="false">SUMPRODUCT(MMULT(G364:P364,_XtX!$B$58:$K$67),G364:P364)</f>
        <v>0.370798561789773</v>
      </c>
      <c r="S364" s="0" t="n">
        <f aca="false">04_回帰ANOVA!$K$19*04_回帰ANOVA!$K$14*SQRT(1+R364)</f>
        <v>1.08856271788237</v>
      </c>
      <c r="T364" s="0" t="n">
        <f aca="false">Q364-S364</f>
        <v>40.4704003502995</v>
      </c>
      <c r="U364" s="0" t="n">
        <f aca="false">Q364+S364</f>
        <v>42.6475257860642</v>
      </c>
      <c r="V364" s="54" t="b">
        <f aca="false">AND(D364&gt;=01_因子設定!$L$5-0.000000001,D364&lt;=01_因子設定!$M$5+0.000000001,E364&gt;=01_因子設定!$L$6-0.000000001,E364&lt;=01_因子設定!$M$6+0.000000001,F364&gt;=01_因子設定!$L$7-0.000000001,F364&lt;=01_因子設定!$M$7+0.000000001,IF(01_因子設定!$B$20="Box-Behnken",D364^2+E364^2+F364^2&lt;=2+0.000000001,TRUE()))</f>
        <v>1</v>
      </c>
      <c r="W364" s="55" t="n">
        <f aca="false">IF(V364,IF(01_因子設定!$B$13="最大化",T364-01_因子設定!$B$14,IF(01_因子設定!$B$13="最小化",01_因子設定!$B$15-U364,MIN(T364-01_因子設定!$B$14,01_因子設定!$B$15-U364))),-1E+030)</f>
        <v>-8.02959964970055</v>
      </c>
      <c r="X364" s="55" t="n">
        <f aca="false">IF(V364,IF(01_因子設定!$B$13="最大化",Q364,IF(01_因子設定!$B$13="最小化",-Q364,-ABS(Q364-01_因子設定!$B$16))),-1E+030)</f>
        <v>41.5589630681818</v>
      </c>
      <c r="Y364" s="55" t="n">
        <f aca="false">W364+ROW()*0.000000001</f>
        <v>-8.02959928570055</v>
      </c>
      <c r="Z364" s="55" t="n">
        <f aca="false">X364+ROW()*0.000000001</f>
        <v>41.5589634321818</v>
      </c>
    </row>
    <row r="365" customFormat="false" ht="15" hidden="false" customHeight="false" outlineLevel="0" collapsed="false">
      <c r="A365" s="0" t="n">
        <v>1</v>
      </c>
      <c r="B365" s="0" t="n">
        <v>4</v>
      </c>
      <c r="C365" s="0" t="n">
        <v>3</v>
      </c>
      <c r="D365" s="0" t="n">
        <f aca="false">-1+A365*0.125</f>
        <v>-0.875</v>
      </c>
      <c r="E365" s="0" t="n">
        <f aca="false">-1+B365*0.125</f>
        <v>-0.5</v>
      </c>
      <c r="F365" s="0" t="n">
        <f aca="false">-1+C365*0.125</f>
        <v>-0.625</v>
      </c>
      <c r="G365" s="0" t="n">
        <f aca="false">1</f>
        <v>1</v>
      </c>
      <c r="H365" s="0" t="n">
        <f aca="false">D365</f>
        <v>-0.875</v>
      </c>
      <c r="I365" s="0" t="n">
        <f aca="false">E365</f>
        <v>-0.5</v>
      </c>
      <c r="J365" s="0" t="n">
        <f aca="false">F365</f>
        <v>-0.625</v>
      </c>
      <c r="K365" s="0" t="n">
        <f aca="false">D365*E365</f>
        <v>0.4375</v>
      </c>
      <c r="L365" s="0" t="n">
        <f aca="false">D365*F365</f>
        <v>0.546875</v>
      </c>
      <c r="M365" s="0" t="n">
        <f aca="false">E365*F365</f>
        <v>0.3125</v>
      </c>
      <c r="N365" s="0" t="n">
        <f aca="false">D365*D365</f>
        <v>0.765625</v>
      </c>
      <c r="O365" s="0" t="n">
        <f aca="false">E365*E365</f>
        <v>0.25</v>
      </c>
      <c r="P365" s="0" t="n">
        <f aca="false">F365*F365</f>
        <v>0.390625</v>
      </c>
      <c r="Q365" s="0" t="n">
        <f aca="false">SUMPRODUCT(G365:P365,_XtX!$B$71:$K$71)</f>
        <v>41.9220880681818</v>
      </c>
      <c r="R365" s="0" t="n">
        <f aca="false">SUMPRODUCT(MMULT(G365:P365,_XtX!$B$58:$K$67),G365:P365)</f>
        <v>0.335453102805398</v>
      </c>
      <c r="S365" s="0" t="n">
        <f aca="false">04_回帰ANOVA!$K$19*04_回帰ANOVA!$K$14*SQRT(1+R365)</f>
        <v>1.07443700305628</v>
      </c>
      <c r="T365" s="0" t="n">
        <f aca="false">Q365-S365</f>
        <v>40.8476510651256</v>
      </c>
      <c r="U365" s="0" t="n">
        <f aca="false">Q365+S365</f>
        <v>42.9965250712381</v>
      </c>
      <c r="V365" s="54" t="b">
        <f aca="false">AND(D365&gt;=01_因子設定!$L$5-0.000000001,D365&lt;=01_因子設定!$M$5+0.000000001,E365&gt;=01_因子設定!$L$6-0.000000001,E365&lt;=01_因子設定!$M$6+0.000000001,F365&gt;=01_因子設定!$L$7-0.000000001,F365&lt;=01_因子設定!$M$7+0.000000001,IF(01_因子設定!$B$20="Box-Behnken",D365^2+E365^2+F365^2&lt;=2+0.000000001,TRUE()))</f>
        <v>1</v>
      </c>
      <c r="W365" s="55" t="n">
        <f aca="false">IF(V365,IF(01_因子設定!$B$13="最大化",T365-01_因子設定!$B$14,IF(01_因子設定!$B$13="最小化",01_因子設定!$B$15-U365,MIN(T365-01_因子設定!$B$14,01_因子設定!$B$15-U365))),-1E+030)</f>
        <v>-7.65234893487445</v>
      </c>
      <c r="X365" s="55" t="n">
        <f aca="false">IF(V365,IF(01_因子設定!$B$13="最大化",Q365,IF(01_因子設定!$B$13="最小化",-Q365,-ABS(Q365-01_因子設定!$B$16))),-1E+030)</f>
        <v>41.9220880681818</v>
      </c>
      <c r="Y365" s="55" t="n">
        <f aca="false">W365+ROW()*0.000000001</f>
        <v>-7.65234856987445</v>
      </c>
      <c r="Z365" s="55" t="n">
        <f aca="false">X365+ROW()*0.000000001</f>
        <v>41.9220884331818</v>
      </c>
    </row>
    <row r="366" customFormat="false" ht="15" hidden="false" customHeight="false" outlineLevel="0" collapsed="false">
      <c r="A366" s="0" t="n">
        <v>1</v>
      </c>
      <c r="B366" s="0" t="n">
        <v>4</v>
      </c>
      <c r="C366" s="0" t="n">
        <v>4</v>
      </c>
      <c r="D366" s="0" t="n">
        <f aca="false">-1+A366*0.125</f>
        <v>-0.875</v>
      </c>
      <c r="E366" s="0" t="n">
        <f aca="false">-1+B366*0.125</f>
        <v>-0.5</v>
      </c>
      <c r="F366" s="0" t="n">
        <f aca="false">-1+C366*0.125</f>
        <v>-0.5</v>
      </c>
      <c r="G366" s="0" t="n">
        <f aca="false">1</f>
        <v>1</v>
      </c>
      <c r="H366" s="0" t="n">
        <f aca="false">D366</f>
        <v>-0.875</v>
      </c>
      <c r="I366" s="0" t="n">
        <f aca="false">E366</f>
        <v>-0.5</v>
      </c>
      <c r="J366" s="0" t="n">
        <f aca="false">F366</f>
        <v>-0.5</v>
      </c>
      <c r="K366" s="0" t="n">
        <f aca="false">D366*E366</f>
        <v>0.4375</v>
      </c>
      <c r="L366" s="0" t="n">
        <f aca="false">D366*F366</f>
        <v>0.4375</v>
      </c>
      <c r="M366" s="0" t="n">
        <f aca="false">E366*F366</f>
        <v>0.25</v>
      </c>
      <c r="N366" s="0" t="n">
        <f aca="false">D366*D366</f>
        <v>0.765625</v>
      </c>
      <c r="O366" s="0" t="n">
        <f aca="false">E366*E366</f>
        <v>0.25</v>
      </c>
      <c r="P366" s="0" t="n">
        <f aca="false">F366*F366</f>
        <v>0.25</v>
      </c>
      <c r="Q366" s="0" t="n">
        <f aca="false">SUMPRODUCT(G366:P366,_XtX!$B$71:$K$71)</f>
        <v>42.2484232954545</v>
      </c>
      <c r="R366" s="0" t="n">
        <f aca="false">SUMPRODUCT(MMULT(G366:P366,_XtX!$B$58:$K$67),G366:P366)</f>
        <v>0.322514204545455</v>
      </c>
      <c r="S366" s="0" t="n">
        <f aca="false">04_回帰ANOVA!$K$19*04_回帰ANOVA!$K$14*SQRT(1+R366)</f>
        <v>1.0692193475064</v>
      </c>
      <c r="T366" s="0" t="n">
        <f aca="false">Q366-S366</f>
        <v>41.1792039479481</v>
      </c>
      <c r="U366" s="0" t="n">
        <f aca="false">Q366+S366</f>
        <v>43.317642642961</v>
      </c>
      <c r="V366" s="54" t="b">
        <f aca="false">AND(D366&gt;=01_因子設定!$L$5-0.000000001,D366&lt;=01_因子設定!$M$5+0.000000001,E366&gt;=01_因子設定!$L$6-0.000000001,E366&lt;=01_因子設定!$M$6+0.000000001,F366&gt;=01_因子設定!$L$7-0.000000001,F366&lt;=01_因子設定!$M$7+0.000000001,IF(01_因子設定!$B$20="Box-Behnken",D366^2+E366^2+F366^2&lt;=2+0.000000001,TRUE()))</f>
        <v>1</v>
      </c>
      <c r="W366" s="55" t="n">
        <f aca="false">IF(V366,IF(01_因子設定!$B$13="最大化",T366-01_因子設定!$B$14,IF(01_因子設定!$B$13="最小化",01_因子設定!$B$15-U366,MIN(T366-01_因子設定!$B$14,01_因子設定!$B$15-U366))),-1E+030)</f>
        <v>-7.32079605205186</v>
      </c>
      <c r="X366" s="55" t="n">
        <f aca="false">IF(V366,IF(01_因子設定!$B$13="最大化",Q366,IF(01_因子設定!$B$13="最小化",-Q366,-ABS(Q366-01_因子設定!$B$16))),-1E+030)</f>
        <v>42.2484232954545</v>
      </c>
      <c r="Y366" s="55" t="n">
        <f aca="false">W366+ROW()*0.000000001</f>
        <v>-7.32079568605186</v>
      </c>
      <c r="Z366" s="55" t="n">
        <f aca="false">X366+ROW()*0.000000001</f>
        <v>42.2484236614545</v>
      </c>
    </row>
    <row r="367" customFormat="false" ht="15" hidden="false" customHeight="false" outlineLevel="0" collapsed="false">
      <c r="A367" s="0" t="n">
        <v>1</v>
      </c>
      <c r="B367" s="0" t="n">
        <v>4</v>
      </c>
      <c r="C367" s="0" t="n">
        <v>5</v>
      </c>
      <c r="D367" s="0" t="n">
        <f aca="false">-1+A367*0.125</f>
        <v>-0.875</v>
      </c>
      <c r="E367" s="0" t="n">
        <f aca="false">-1+B367*0.125</f>
        <v>-0.5</v>
      </c>
      <c r="F367" s="0" t="n">
        <f aca="false">-1+C367*0.125</f>
        <v>-0.375</v>
      </c>
      <c r="G367" s="0" t="n">
        <f aca="false">1</f>
        <v>1</v>
      </c>
      <c r="H367" s="0" t="n">
        <f aca="false">D367</f>
        <v>-0.875</v>
      </c>
      <c r="I367" s="0" t="n">
        <f aca="false">E367</f>
        <v>-0.5</v>
      </c>
      <c r="J367" s="0" t="n">
        <f aca="false">F367</f>
        <v>-0.375</v>
      </c>
      <c r="K367" s="0" t="n">
        <f aca="false">D367*E367</f>
        <v>0.4375</v>
      </c>
      <c r="L367" s="0" t="n">
        <f aca="false">D367*F367</f>
        <v>0.328125</v>
      </c>
      <c r="M367" s="0" t="n">
        <f aca="false">E367*F367</f>
        <v>0.1875</v>
      </c>
      <c r="N367" s="0" t="n">
        <f aca="false">D367*D367</f>
        <v>0.765625</v>
      </c>
      <c r="O367" s="0" t="n">
        <f aca="false">E367*E367</f>
        <v>0.25</v>
      </c>
      <c r="P367" s="0" t="n">
        <f aca="false">F367*F367</f>
        <v>0.140625</v>
      </c>
      <c r="Q367" s="0" t="n">
        <f aca="false">SUMPRODUCT(G367:P367,_XtX!$B$71:$K$71)</f>
        <v>42.53796875</v>
      </c>
      <c r="R367" s="0" t="n">
        <f aca="false">SUMPRODUCT(MMULT(G367:P367,_XtX!$B$58:$K$67),G367:P367)</f>
        <v>0.322393798828125</v>
      </c>
      <c r="S367" s="0" t="n">
        <f aca="false">04_回帰ANOVA!$K$19*04_回帰ANOVA!$K$14*SQRT(1+R367)</f>
        <v>1.06917067390712</v>
      </c>
      <c r="T367" s="0" t="n">
        <f aca="false">Q367-S367</f>
        <v>41.4687980760929</v>
      </c>
      <c r="U367" s="0" t="n">
        <f aca="false">Q367+S367</f>
        <v>43.6071394239071</v>
      </c>
      <c r="V367" s="54" t="b">
        <f aca="false">AND(D367&gt;=01_因子設定!$L$5-0.000000001,D367&lt;=01_因子設定!$M$5+0.000000001,E367&gt;=01_因子設定!$L$6-0.000000001,E367&lt;=01_因子設定!$M$6+0.000000001,F367&gt;=01_因子設定!$L$7-0.000000001,F367&lt;=01_因子設定!$M$7+0.000000001,IF(01_因子設定!$B$20="Box-Behnken",D367^2+E367^2+F367^2&lt;=2+0.000000001,TRUE()))</f>
        <v>1</v>
      </c>
      <c r="W367" s="55" t="n">
        <f aca="false">IF(V367,IF(01_因子設定!$B$13="最大化",T367-01_因子設定!$B$14,IF(01_因子設定!$B$13="最小化",01_因子設定!$B$15-U367,MIN(T367-01_因子設定!$B$14,01_因子設定!$B$15-U367))),-1E+030)</f>
        <v>-7.03120192390712</v>
      </c>
      <c r="X367" s="55" t="n">
        <f aca="false">IF(V367,IF(01_因子設定!$B$13="最大化",Q367,IF(01_因子設定!$B$13="最小化",-Q367,-ABS(Q367-01_因子設定!$B$16))),-1E+030)</f>
        <v>42.53796875</v>
      </c>
      <c r="Y367" s="55" t="n">
        <f aca="false">W367+ROW()*0.000000001</f>
        <v>-7.03120155690712</v>
      </c>
      <c r="Z367" s="55" t="n">
        <f aca="false">X367+ROW()*0.000000001</f>
        <v>42.537969117</v>
      </c>
    </row>
    <row r="368" customFormat="false" ht="15" hidden="false" customHeight="false" outlineLevel="0" collapsed="false">
      <c r="A368" s="0" t="n">
        <v>1</v>
      </c>
      <c r="B368" s="0" t="n">
        <v>4</v>
      </c>
      <c r="C368" s="0" t="n">
        <v>6</v>
      </c>
      <c r="D368" s="0" t="n">
        <f aca="false">-1+A368*0.125</f>
        <v>-0.875</v>
      </c>
      <c r="E368" s="0" t="n">
        <f aca="false">-1+B368*0.125</f>
        <v>-0.5</v>
      </c>
      <c r="F368" s="0" t="n">
        <f aca="false">-1+C368*0.125</f>
        <v>-0.25</v>
      </c>
      <c r="G368" s="0" t="n">
        <f aca="false">1</f>
        <v>1</v>
      </c>
      <c r="H368" s="0" t="n">
        <f aca="false">D368</f>
        <v>-0.875</v>
      </c>
      <c r="I368" s="0" t="n">
        <f aca="false">E368</f>
        <v>-0.5</v>
      </c>
      <c r="J368" s="0" t="n">
        <f aca="false">F368</f>
        <v>-0.25</v>
      </c>
      <c r="K368" s="0" t="n">
        <f aca="false">D368*E368</f>
        <v>0.4375</v>
      </c>
      <c r="L368" s="0" t="n">
        <f aca="false">D368*F368</f>
        <v>0.21875</v>
      </c>
      <c r="M368" s="0" t="n">
        <f aca="false">E368*F368</f>
        <v>0.125</v>
      </c>
      <c r="N368" s="0" t="n">
        <f aca="false">D368*D368</f>
        <v>0.765625</v>
      </c>
      <c r="O368" s="0" t="n">
        <f aca="false">E368*E368</f>
        <v>0.25</v>
      </c>
      <c r="P368" s="0" t="n">
        <f aca="false">F368*F368</f>
        <v>0.0625</v>
      </c>
      <c r="Q368" s="0" t="n">
        <f aca="false">SUMPRODUCT(G368:P368,_XtX!$B$71:$K$71)</f>
        <v>42.7907244318182</v>
      </c>
      <c r="R368" s="0" t="n">
        <f aca="false">SUMPRODUCT(MMULT(G368:P368,_XtX!$B$58:$K$67),G368:P368)</f>
        <v>0.327634499289773</v>
      </c>
      <c r="S368" s="0" t="n">
        <f aca="false">04_回帰ANOVA!$K$19*04_回帰ANOVA!$K$14*SQRT(1+R368)</f>
        <v>1.07128716250217</v>
      </c>
      <c r="T368" s="0" t="n">
        <f aca="false">Q368-S368</f>
        <v>41.719437269316</v>
      </c>
      <c r="U368" s="0" t="n">
        <f aca="false">Q368+S368</f>
        <v>43.8620115943204</v>
      </c>
      <c r="V368" s="54" t="b">
        <f aca="false">AND(D368&gt;=01_因子設定!$L$5-0.000000001,D368&lt;=01_因子設定!$M$5+0.000000001,E368&gt;=01_因子設定!$L$6-0.000000001,E368&lt;=01_因子設定!$M$6+0.000000001,F368&gt;=01_因子設定!$L$7-0.000000001,F368&lt;=01_因子設定!$M$7+0.000000001,IF(01_因子設定!$B$20="Box-Behnken",D368^2+E368^2+F368^2&lt;=2+0.000000001,TRUE()))</f>
        <v>1</v>
      </c>
      <c r="W368" s="55" t="n">
        <f aca="false">IF(V368,IF(01_因子設定!$B$13="最大化",T368-01_因子設定!$B$14,IF(01_因子設定!$B$13="最小化",01_因子設定!$B$15-U368,MIN(T368-01_因子設定!$B$14,01_因子設定!$B$15-U368))),-1E+030)</f>
        <v>-6.780562730684</v>
      </c>
      <c r="X368" s="55" t="n">
        <f aca="false">IF(V368,IF(01_因子設定!$B$13="最大化",Q368,IF(01_因子設定!$B$13="最小化",-Q368,-ABS(Q368-01_因子設定!$B$16))),-1E+030)</f>
        <v>42.7907244318182</v>
      </c>
      <c r="Y368" s="55" t="n">
        <f aca="false">W368+ROW()*0.000000001</f>
        <v>-6.780562362684</v>
      </c>
      <c r="Z368" s="55" t="n">
        <f aca="false">X368+ROW()*0.000000001</f>
        <v>42.7907247998182</v>
      </c>
    </row>
    <row r="369" customFormat="false" ht="15" hidden="false" customHeight="false" outlineLevel="0" collapsed="false">
      <c r="A369" s="0" t="n">
        <v>1</v>
      </c>
      <c r="B369" s="0" t="n">
        <v>4</v>
      </c>
      <c r="C369" s="0" t="n">
        <v>7</v>
      </c>
      <c r="D369" s="0" t="n">
        <f aca="false">-1+A369*0.125</f>
        <v>-0.875</v>
      </c>
      <c r="E369" s="0" t="n">
        <f aca="false">-1+B369*0.125</f>
        <v>-0.5</v>
      </c>
      <c r="F369" s="0" t="n">
        <f aca="false">-1+C369*0.125</f>
        <v>-0.125</v>
      </c>
      <c r="G369" s="0" t="n">
        <f aca="false">1</f>
        <v>1</v>
      </c>
      <c r="H369" s="0" t="n">
        <f aca="false">D369</f>
        <v>-0.875</v>
      </c>
      <c r="I369" s="0" t="n">
        <f aca="false">E369</f>
        <v>-0.5</v>
      </c>
      <c r="J369" s="0" t="n">
        <f aca="false">F369</f>
        <v>-0.125</v>
      </c>
      <c r="K369" s="0" t="n">
        <f aca="false">D369*E369</f>
        <v>0.4375</v>
      </c>
      <c r="L369" s="0" t="n">
        <f aca="false">D369*F369</f>
        <v>0.109375</v>
      </c>
      <c r="M369" s="0" t="n">
        <f aca="false">E369*F369</f>
        <v>0.0625</v>
      </c>
      <c r="N369" s="0" t="n">
        <f aca="false">D369*D369</f>
        <v>0.765625</v>
      </c>
      <c r="O369" s="0" t="n">
        <f aca="false">E369*E369</f>
        <v>0.25</v>
      </c>
      <c r="P369" s="0" t="n">
        <f aca="false">F369*F369</f>
        <v>0.015625</v>
      </c>
      <c r="Q369" s="0" t="n">
        <f aca="false">SUMPRODUCT(G369:P369,_XtX!$B$71:$K$71)</f>
        <v>43.0066903409091</v>
      </c>
      <c r="R369" s="0" t="n">
        <f aca="false">SUMPRODUCT(MMULT(G369:P369,_XtX!$B$58:$K$67),G369:P369)</f>
        <v>0.332909601384943</v>
      </c>
      <c r="S369" s="0" t="n">
        <f aca="false">04_回帰ANOVA!$K$19*04_回帰ANOVA!$K$14*SQRT(1+R369)</f>
        <v>1.07341333007404</v>
      </c>
      <c r="T369" s="0" t="n">
        <f aca="false">Q369-S369</f>
        <v>41.933277010835</v>
      </c>
      <c r="U369" s="0" t="n">
        <f aca="false">Q369+S369</f>
        <v>44.0801036709831</v>
      </c>
      <c r="V369" s="54" t="b">
        <f aca="false">AND(D369&gt;=01_因子設定!$L$5-0.000000001,D369&lt;=01_因子設定!$M$5+0.000000001,E369&gt;=01_因子設定!$L$6-0.000000001,E369&lt;=01_因子設定!$M$6+0.000000001,F369&gt;=01_因子設定!$L$7-0.000000001,F369&lt;=01_因子設定!$M$7+0.000000001,IF(01_因子設定!$B$20="Box-Behnken",D369^2+E369^2+F369^2&lt;=2+0.000000001,TRUE()))</f>
        <v>1</v>
      </c>
      <c r="W369" s="55" t="n">
        <f aca="false">IF(V369,IF(01_因子設定!$B$13="最大化",T369-01_因子設定!$B$14,IF(01_因子設定!$B$13="最小化",01_因子設定!$B$15-U369,MIN(T369-01_因子設定!$B$14,01_因子設定!$B$15-U369))),-1E+030)</f>
        <v>-6.56672298916496</v>
      </c>
      <c r="X369" s="55" t="n">
        <f aca="false">IF(V369,IF(01_因子設定!$B$13="最大化",Q369,IF(01_因子設定!$B$13="最小化",-Q369,-ABS(Q369-01_因子設定!$B$16))),-1E+030)</f>
        <v>43.0066903409091</v>
      </c>
      <c r="Y369" s="55" t="n">
        <f aca="false">W369+ROW()*0.000000001</f>
        <v>-6.56672262016496</v>
      </c>
      <c r="Z369" s="55" t="n">
        <f aca="false">X369+ROW()*0.000000001</f>
        <v>43.0066907099091</v>
      </c>
    </row>
    <row r="370" customFormat="false" ht="15" hidden="false" customHeight="false" outlineLevel="0" collapsed="false">
      <c r="A370" s="0" t="n">
        <v>1</v>
      </c>
      <c r="B370" s="0" t="n">
        <v>4</v>
      </c>
      <c r="C370" s="0" t="n">
        <v>8</v>
      </c>
      <c r="D370" s="0" t="n">
        <f aca="false">-1+A370*0.125</f>
        <v>-0.875</v>
      </c>
      <c r="E370" s="0" t="n">
        <f aca="false">-1+B370*0.125</f>
        <v>-0.5</v>
      </c>
      <c r="F370" s="0" t="n">
        <f aca="false">-1+C370*0.125</f>
        <v>0</v>
      </c>
      <c r="G370" s="0" t="n">
        <f aca="false">1</f>
        <v>1</v>
      </c>
      <c r="H370" s="0" t="n">
        <f aca="false">D370</f>
        <v>-0.875</v>
      </c>
      <c r="I370" s="0" t="n">
        <f aca="false">E370</f>
        <v>-0.5</v>
      </c>
      <c r="J370" s="0" t="n">
        <f aca="false">F370</f>
        <v>0</v>
      </c>
      <c r="K370" s="0" t="n">
        <f aca="false">D370*E370</f>
        <v>0.4375</v>
      </c>
      <c r="L370" s="0" t="n">
        <f aca="false">D370*F370</f>
        <v>-0</v>
      </c>
      <c r="M370" s="0" t="n">
        <f aca="false">E370*F370</f>
        <v>-0</v>
      </c>
      <c r="N370" s="0" t="n">
        <f aca="false">D370*D370</f>
        <v>0.765625</v>
      </c>
      <c r="O370" s="0" t="n">
        <f aca="false">E370*E370</f>
        <v>0.25</v>
      </c>
      <c r="P370" s="0" t="n">
        <f aca="false">F370*F370</f>
        <v>0</v>
      </c>
      <c r="Q370" s="0" t="n">
        <f aca="false">SUMPRODUCT(G370:P370,_XtX!$B$71:$K$71)</f>
        <v>43.1858664772727</v>
      </c>
      <c r="R370" s="0" t="n">
        <f aca="false">SUMPRODUCT(MMULT(G370:P370,_XtX!$B$58:$K$67),G370:P370)</f>
        <v>0.335023082386364</v>
      </c>
      <c r="S370" s="0" t="n">
        <f aca="false">04_回帰ANOVA!$K$19*04_回帰ANOVA!$K$14*SQRT(1+R370)</f>
        <v>1.07426400295275</v>
      </c>
      <c r="T370" s="0" t="n">
        <f aca="false">Q370-S370</f>
        <v>42.11160247432</v>
      </c>
      <c r="U370" s="0" t="n">
        <f aca="false">Q370+S370</f>
        <v>44.2601304802255</v>
      </c>
      <c r="V370" s="54" t="b">
        <f aca="false">AND(D370&gt;=01_因子設定!$L$5-0.000000001,D370&lt;=01_因子設定!$M$5+0.000000001,E370&gt;=01_因子設定!$L$6-0.000000001,E370&lt;=01_因子設定!$M$6+0.000000001,F370&gt;=01_因子設定!$L$7-0.000000001,F370&lt;=01_因子設定!$M$7+0.000000001,IF(01_因子設定!$B$20="Box-Behnken",D370^2+E370^2+F370^2&lt;=2+0.000000001,TRUE()))</f>
        <v>1</v>
      </c>
      <c r="W370" s="55" t="n">
        <f aca="false">IF(V370,IF(01_因子設定!$B$13="最大化",T370-01_因子設定!$B$14,IF(01_因子設定!$B$13="最小化",01_因子設定!$B$15-U370,MIN(T370-01_因子設定!$B$14,01_因子設定!$B$15-U370))),-1E+030)</f>
        <v>-6.38839752568003</v>
      </c>
      <c r="X370" s="55" t="n">
        <f aca="false">IF(V370,IF(01_因子設定!$B$13="最大化",Q370,IF(01_因子設定!$B$13="最小化",-Q370,-ABS(Q370-01_因子設定!$B$16))),-1E+030)</f>
        <v>43.1858664772727</v>
      </c>
      <c r="Y370" s="55" t="n">
        <f aca="false">W370+ROW()*0.000000001</f>
        <v>-6.38839715568003</v>
      </c>
      <c r="Z370" s="55" t="n">
        <f aca="false">X370+ROW()*0.000000001</f>
        <v>43.1858668472727</v>
      </c>
    </row>
    <row r="371" customFormat="false" ht="15" hidden="false" customHeight="false" outlineLevel="0" collapsed="false">
      <c r="A371" s="0" t="n">
        <v>1</v>
      </c>
      <c r="B371" s="0" t="n">
        <v>4</v>
      </c>
      <c r="C371" s="0" t="n">
        <v>9</v>
      </c>
      <c r="D371" s="0" t="n">
        <f aca="false">-1+A371*0.125</f>
        <v>-0.875</v>
      </c>
      <c r="E371" s="0" t="n">
        <f aca="false">-1+B371*0.125</f>
        <v>-0.5</v>
      </c>
      <c r="F371" s="0" t="n">
        <f aca="false">-1+C371*0.125</f>
        <v>0.125</v>
      </c>
      <c r="G371" s="0" t="n">
        <f aca="false">1</f>
        <v>1</v>
      </c>
      <c r="H371" s="0" t="n">
        <f aca="false">D371</f>
        <v>-0.875</v>
      </c>
      <c r="I371" s="0" t="n">
        <f aca="false">E371</f>
        <v>-0.5</v>
      </c>
      <c r="J371" s="0" t="n">
        <f aca="false">F371</f>
        <v>0.125</v>
      </c>
      <c r="K371" s="0" t="n">
        <f aca="false">D371*E371</f>
        <v>0.4375</v>
      </c>
      <c r="L371" s="0" t="n">
        <f aca="false">D371*F371</f>
        <v>-0.109375</v>
      </c>
      <c r="M371" s="0" t="n">
        <f aca="false">E371*F371</f>
        <v>-0.0625</v>
      </c>
      <c r="N371" s="0" t="n">
        <f aca="false">D371*D371</f>
        <v>0.765625</v>
      </c>
      <c r="O371" s="0" t="n">
        <f aca="false">E371*E371</f>
        <v>0.25</v>
      </c>
      <c r="P371" s="0" t="n">
        <f aca="false">F371*F371</f>
        <v>0.015625</v>
      </c>
      <c r="Q371" s="0" t="n">
        <f aca="false">SUMPRODUCT(G371:P371,_XtX!$B$71:$K$71)</f>
        <v>43.3282528409091</v>
      </c>
      <c r="R371" s="0" t="n">
        <f aca="false">SUMPRODUCT(MMULT(G371:P371,_XtX!$B$58:$K$67),G371:P371)</f>
        <v>0.332909601384943</v>
      </c>
      <c r="S371" s="0" t="n">
        <f aca="false">04_回帰ANOVA!$K$19*04_回帰ANOVA!$K$14*SQRT(1+R371)</f>
        <v>1.07341333007404</v>
      </c>
      <c r="T371" s="0" t="n">
        <f aca="false">Q371-S371</f>
        <v>42.2548395108351</v>
      </c>
      <c r="U371" s="0" t="n">
        <f aca="false">Q371+S371</f>
        <v>44.4016661709831</v>
      </c>
      <c r="V371" s="54" t="b">
        <f aca="false">AND(D371&gt;=01_因子設定!$L$5-0.000000001,D371&lt;=01_因子設定!$M$5+0.000000001,E371&gt;=01_因子設定!$L$6-0.000000001,E371&lt;=01_因子設定!$M$6+0.000000001,F371&gt;=01_因子設定!$L$7-0.000000001,F371&lt;=01_因子設定!$M$7+0.000000001,IF(01_因子設定!$B$20="Box-Behnken",D371^2+E371^2+F371^2&lt;=2+0.000000001,TRUE()))</f>
        <v>1</v>
      </c>
      <c r="W371" s="55" t="n">
        <f aca="false">IF(V371,IF(01_因子設定!$B$13="最大化",T371-01_因子設定!$B$14,IF(01_因子設定!$B$13="最小化",01_因子設定!$B$15-U371,MIN(T371-01_因子設定!$B$14,01_因子設定!$B$15-U371))),-1E+030)</f>
        <v>-6.24516048916495</v>
      </c>
      <c r="X371" s="55" t="n">
        <f aca="false">IF(V371,IF(01_因子設定!$B$13="最大化",Q371,IF(01_因子設定!$B$13="最小化",-Q371,-ABS(Q371-01_因子設定!$B$16))),-1E+030)</f>
        <v>43.3282528409091</v>
      </c>
      <c r="Y371" s="55" t="n">
        <f aca="false">W371+ROW()*0.000000001</f>
        <v>-6.24516011816495</v>
      </c>
      <c r="Z371" s="55" t="n">
        <f aca="false">X371+ROW()*0.000000001</f>
        <v>43.3282532119091</v>
      </c>
    </row>
    <row r="372" customFormat="false" ht="15" hidden="false" customHeight="false" outlineLevel="0" collapsed="false">
      <c r="A372" s="0" t="n">
        <v>1</v>
      </c>
      <c r="B372" s="0" t="n">
        <v>4</v>
      </c>
      <c r="C372" s="0" t="n">
        <v>10</v>
      </c>
      <c r="D372" s="0" t="n">
        <f aca="false">-1+A372*0.125</f>
        <v>-0.875</v>
      </c>
      <c r="E372" s="0" t="n">
        <f aca="false">-1+B372*0.125</f>
        <v>-0.5</v>
      </c>
      <c r="F372" s="0" t="n">
        <f aca="false">-1+C372*0.125</f>
        <v>0.25</v>
      </c>
      <c r="G372" s="0" t="n">
        <f aca="false">1</f>
        <v>1</v>
      </c>
      <c r="H372" s="0" t="n">
        <f aca="false">D372</f>
        <v>-0.875</v>
      </c>
      <c r="I372" s="0" t="n">
        <f aca="false">E372</f>
        <v>-0.5</v>
      </c>
      <c r="J372" s="0" t="n">
        <f aca="false">F372</f>
        <v>0.25</v>
      </c>
      <c r="K372" s="0" t="n">
        <f aca="false">D372*E372</f>
        <v>0.4375</v>
      </c>
      <c r="L372" s="0" t="n">
        <f aca="false">D372*F372</f>
        <v>-0.21875</v>
      </c>
      <c r="M372" s="0" t="n">
        <f aca="false">E372*F372</f>
        <v>-0.125</v>
      </c>
      <c r="N372" s="0" t="n">
        <f aca="false">D372*D372</f>
        <v>0.765625</v>
      </c>
      <c r="O372" s="0" t="n">
        <f aca="false">E372*E372</f>
        <v>0.25</v>
      </c>
      <c r="P372" s="0" t="n">
        <f aca="false">F372*F372</f>
        <v>0.0625</v>
      </c>
      <c r="Q372" s="0" t="n">
        <f aca="false">SUMPRODUCT(G372:P372,_XtX!$B$71:$K$71)</f>
        <v>43.4338494318182</v>
      </c>
      <c r="R372" s="0" t="n">
        <f aca="false">SUMPRODUCT(MMULT(G372:P372,_XtX!$B$58:$K$67),G372:P372)</f>
        <v>0.327634499289773</v>
      </c>
      <c r="S372" s="0" t="n">
        <f aca="false">04_回帰ANOVA!$K$19*04_回帰ANOVA!$K$14*SQRT(1+R372)</f>
        <v>1.07128716250217</v>
      </c>
      <c r="T372" s="0" t="n">
        <f aca="false">Q372-S372</f>
        <v>42.362562269316</v>
      </c>
      <c r="U372" s="0" t="n">
        <f aca="false">Q372+S372</f>
        <v>44.5051365943204</v>
      </c>
      <c r="V372" s="54" t="b">
        <f aca="false">AND(D372&gt;=01_因子設定!$L$5-0.000000001,D372&lt;=01_因子設定!$M$5+0.000000001,E372&gt;=01_因子設定!$L$6-0.000000001,E372&lt;=01_因子設定!$M$6+0.000000001,F372&gt;=01_因子設定!$L$7-0.000000001,F372&lt;=01_因子設定!$M$7+0.000000001,IF(01_因子設定!$B$20="Box-Behnken",D372^2+E372^2+F372^2&lt;=2+0.000000001,TRUE()))</f>
        <v>1</v>
      </c>
      <c r="W372" s="55" t="n">
        <f aca="false">IF(V372,IF(01_因子設定!$B$13="最大化",T372-01_因子設定!$B$14,IF(01_因子設定!$B$13="最小化",01_因子設定!$B$15-U372,MIN(T372-01_因子設定!$B$14,01_因子設定!$B$15-U372))),-1E+030)</f>
        <v>-6.137437730684</v>
      </c>
      <c r="X372" s="55" t="n">
        <f aca="false">IF(V372,IF(01_因子設定!$B$13="最大化",Q372,IF(01_因子設定!$B$13="最小化",-Q372,-ABS(Q372-01_因子設定!$B$16))),-1E+030)</f>
        <v>43.4338494318182</v>
      </c>
      <c r="Y372" s="55" t="n">
        <f aca="false">W372+ROW()*0.000000001</f>
        <v>-6.137437358684</v>
      </c>
      <c r="Z372" s="55" t="n">
        <f aca="false">X372+ROW()*0.000000001</f>
        <v>43.4338498038182</v>
      </c>
    </row>
    <row r="373" customFormat="false" ht="15" hidden="false" customHeight="false" outlineLevel="0" collapsed="false">
      <c r="A373" s="0" t="n">
        <v>1</v>
      </c>
      <c r="B373" s="0" t="n">
        <v>4</v>
      </c>
      <c r="C373" s="0" t="n">
        <v>11</v>
      </c>
      <c r="D373" s="0" t="n">
        <f aca="false">-1+A373*0.125</f>
        <v>-0.875</v>
      </c>
      <c r="E373" s="0" t="n">
        <f aca="false">-1+B373*0.125</f>
        <v>-0.5</v>
      </c>
      <c r="F373" s="0" t="n">
        <f aca="false">-1+C373*0.125</f>
        <v>0.375</v>
      </c>
      <c r="G373" s="0" t="n">
        <f aca="false">1</f>
        <v>1</v>
      </c>
      <c r="H373" s="0" t="n">
        <f aca="false">D373</f>
        <v>-0.875</v>
      </c>
      <c r="I373" s="0" t="n">
        <f aca="false">E373</f>
        <v>-0.5</v>
      </c>
      <c r="J373" s="0" t="n">
        <f aca="false">F373</f>
        <v>0.375</v>
      </c>
      <c r="K373" s="0" t="n">
        <f aca="false">D373*E373</f>
        <v>0.4375</v>
      </c>
      <c r="L373" s="0" t="n">
        <f aca="false">D373*F373</f>
        <v>-0.328125</v>
      </c>
      <c r="M373" s="0" t="n">
        <f aca="false">E373*F373</f>
        <v>-0.1875</v>
      </c>
      <c r="N373" s="0" t="n">
        <f aca="false">D373*D373</f>
        <v>0.765625</v>
      </c>
      <c r="O373" s="0" t="n">
        <f aca="false">E373*E373</f>
        <v>0.25</v>
      </c>
      <c r="P373" s="0" t="n">
        <f aca="false">F373*F373</f>
        <v>0.140625</v>
      </c>
      <c r="Q373" s="0" t="n">
        <f aca="false">SUMPRODUCT(G373:P373,_XtX!$B$71:$K$71)</f>
        <v>43.50265625</v>
      </c>
      <c r="R373" s="0" t="n">
        <f aca="false">SUMPRODUCT(MMULT(G373:P373,_XtX!$B$58:$K$67),G373:P373)</f>
        <v>0.322393798828125</v>
      </c>
      <c r="S373" s="0" t="n">
        <f aca="false">04_回帰ANOVA!$K$19*04_回帰ANOVA!$K$14*SQRT(1+R373)</f>
        <v>1.06917067390712</v>
      </c>
      <c r="T373" s="0" t="n">
        <f aca="false">Q373-S373</f>
        <v>42.4334855760929</v>
      </c>
      <c r="U373" s="0" t="n">
        <f aca="false">Q373+S373</f>
        <v>44.5718269239071</v>
      </c>
      <c r="V373" s="54" t="b">
        <f aca="false">AND(D373&gt;=01_因子設定!$L$5-0.000000001,D373&lt;=01_因子設定!$M$5+0.000000001,E373&gt;=01_因子設定!$L$6-0.000000001,E373&lt;=01_因子設定!$M$6+0.000000001,F373&gt;=01_因子設定!$L$7-0.000000001,F373&lt;=01_因子設定!$M$7+0.000000001,IF(01_因子設定!$B$20="Box-Behnken",D373^2+E373^2+F373^2&lt;=2+0.000000001,TRUE()))</f>
        <v>1</v>
      </c>
      <c r="W373" s="55" t="n">
        <f aca="false">IF(V373,IF(01_因子設定!$B$13="最大化",T373-01_因子設定!$B$14,IF(01_因子設定!$B$13="最小化",01_因子設定!$B$15-U373,MIN(T373-01_因子設定!$B$14,01_因子設定!$B$15-U373))),-1E+030)</f>
        <v>-6.06651442390712</v>
      </c>
      <c r="X373" s="55" t="n">
        <f aca="false">IF(V373,IF(01_因子設定!$B$13="最大化",Q373,IF(01_因子設定!$B$13="最小化",-Q373,-ABS(Q373-01_因子設定!$B$16))),-1E+030)</f>
        <v>43.50265625</v>
      </c>
      <c r="Y373" s="55" t="n">
        <f aca="false">W373+ROW()*0.000000001</f>
        <v>-6.06651405090712</v>
      </c>
      <c r="Z373" s="55" t="n">
        <f aca="false">X373+ROW()*0.000000001</f>
        <v>43.502656623</v>
      </c>
    </row>
    <row r="374" customFormat="false" ht="15" hidden="false" customHeight="false" outlineLevel="0" collapsed="false">
      <c r="A374" s="0" t="n">
        <v>1</v>
      </c>
      <c r="B374" s="0" t="n">
        <v>4</v>
      </c>
      <c r="C374" s="0" t="n">
        <v>12</v>
      </c>
      <c r="D374" s="0" t="n">
        <f aca="false">-1+A374*0.125</f>
        <v>-0.875</v>
      </c>
      <c r="E374" s="0" t="n">
        <f aca="false">-1+B374*0.125</f>
        <v>-0.5</v>
      </c>
      <c r="F374" s="0" t="n">
        <f aca="false">-1+C374*0.125</f>
        <v>0.5</v>
      </c>
      <c r="G374" s="0" t="n">
        <f aca="false">1</f>
        <v>1</v>
      </c>
      <c r="H374" s="0" t="n">
        <f aca="false">D374</f>
        <v>-0.875</v>
      </c>
      <c r="I374" s="0" t="n">
        <f aca="false">E374</f>
        <v>-0.5</v>
      </c>
      <c r="J374" s="0" t="n">
        <f aca="false">F374</f>
        <v>0.5</v>
      </c>
      <c r="K374" s="0" t="n">
        <f aca="false">D374*E374</f>
        <v>0.4375</v>
      </c>
      <c r="L374" s="0" t="n">
        <f aca="false">D374*F374</f>
        <v>-0.4375</v>
      </c>
      <c r="M374" s="0" t="n">
        <f aca="false">E374*F374</f>
        <v>-0.25</v>
      </c>
      <c r="N374" s="0" t="n">
        <f aca="false">D374*D374</f>
        <v>0.765625</v>
      </c>
      <c r="O374" s="0" t="n">
        <f aca="false">E374*E374</f>
        <v>0.25</v>
      </c>
      <c r="P374" s="0" t="n">
        <f aca="false">F374*F374</f>
        <v>0.25</v>
      </c>
      <c r="Q374" s="0" t="n">
        <f aca="false">SUMPRODUCT(G374:P374,_XtX!$B$71:$K$71)</f>
        <v>43.5346732954545</v>
      </c>
      <c r="R374" s="0" t="n">
        <f aca="false">SUMPRODUCT(MMULT(G374:P374,_XtX!$B$58:$K$67),G374:P374)</f>
        <v>0.322514204545455</v>
      </c>
      <c r="S374" s="0" t="n">
        <f aca="false">04_回帰ANOVA!$K$19*04_回帰ANOVA!$K$14*SQRT(1+R374)</f>
        <v>1.0692193475064</v>
      </c>
      <c r="T374" s="0" t="n">
        <f aca="false">Q374-S374</f>
        <v>42.4654539479481</v>
      </c>
      <c r="U374" s="0" t="n">
        <f aca="false">Q374+S374</f>
        <v>44.603892642961</v>
      </c>
      <c r="V374" s="54" t="b">
        <f aca="false">AND(D374&gt;=01_因子設定!$L$5-0.000000001,D374&lt;=01_因子設定!$M$5+0.000000001,E374&gt;=01_因子設定!$L$6-0.000000001,E374&lt;=01_因子設定!$M$6+0.000000001,F374&gt;=01_因子設定!$L$7-0.000000001,F374&lt;=01_因子設定!$M$7+0.000000001,IF(01_因子設定!$B$20="Box-Behnken",D374^2+E374^2+F374^2&lt;=2+0.000000001,TRUE()))</f>
        <v>1</v>
      </c>
      <c r="W374" s="55" t="n">
        <f aca="false">IF(V374,IF(01_因子設定!$B$13="最大化",T374-01_因子設定!$B$14,IF(01_因子設定!$B$13="最小化",01_因子設定!$B$15-U374,MIN(T374-01_因子設定!$B$14,01_因子設定!$B$15-U374))),-1E+030)</f>
        <v>-6.03454605205186</v>
      </c>
      <c r="X374" s="55" t="n">
        <f aca="false">IF(V374,IF(01_因子設定!$B$13="最大化",Q374,IF(01_因子設定!$B$13="最小化",-Q374,-ABS(Q374-01_因子設定!$B$16))),-1E+030)</f>
        <v>43.5346732954545</v>
      </c>
      <c r="Y374" s="55" t="n">
        <f aca="false">W374+ROW()*0.000000001</f>
        <v>-6.03454567805186</v>
      </c>
      <c r="Z374" s="55" t="n">
        <f aca="false">X374+ROW()*0.000000001</f>
        <v>43.5346736694546</v>
      </c>
    </row>
    <row r="375" customFormat="false" ht="15" hidden="false" customHeight="false" outlineLevel="0" collapsed="false">
      <c r="A375" s="0" t="n">
        <v>1</v>
      </c>
      <c r="B375" s="0" t="n">
        <v>4</v>
      </c>
      <c r="C375" s="0" t="n">
        <v>13</v>
      </c>
      <c r="D375" s="0" t="n">
        <f aca="false">-1+A375*0.125</f>
        <v>-0.875</v>
      </c>
      <c r="E375" s="0" t="n">
        <f aca="false">-1+B375*0.125</f>
        <v>-0.5</v>
      </c>
      <c r="F375" s="0" t="n">
        <f aca="false">-1+C375*0.125</f>
        <v>0.625</v>
      </c>
      <c r="G375" s="0" t="n">
        <f aca="false">1</f>
        <v>1</v>
      </c>
      <c r="H375" s="0" t="n">
        <f aca="false">D375</f>
        <v>-0.875</v>
      </c>
      <c r="I375" s="0" t="n">
        <f aca="false">E375</f>
        <v>-0.5</v>
      </c>
      <c r="J375" s="0" t="n">
        <f aca="false">F375</f>
        <v>0.625</v>
      </c>
      <c r="K375" s="0" t="n">
        <f aca="false">D375*E375</f>
        <v>0.4375</v>
      </c>
      <c r="L375" s="0" t="n">
        <f aca="false">D375*F375</f>
        <v>-0.546875</v>
      </c>
      <c r="M375" s="0" t="n">
        <f aca="false">E375*F375</f>
        <v>-0.3125</v>
      </c>
      <c r="N375" s="0" t="n">
        <f aca="false">D375*D375</f>
        <v>0.765625</v>
      </c>
      <c r="O375" s="0" t="n">
        <f aca="false">E375*E375</f>
        <v>0.25</v>
      </c>
      <c r="P375" s="0" t="n">
        <f aca="false">F375*F375</f>
        <v>0.390625</v>
      </c>
      <c r="Q375" s="0" t="n">
        <f aca="false">SUMPRODUCT(G375:P375,_XtX!$B$71:$K$71)</f>
        <v>43.5299005681818</v>
      </c>
      <c r="R375" s="0" t="n">
        <f aca="false">SUMPRODUCT(MMULT(G375:P375,_XtX!$B$58:$K$67),G375:P375)</f>
        <v>0.335453102805398</v>
      </c>
      <c r="S375" s="0" t="n">
        <f aca="false">04_回帰ANOVA!$K$19*04_回帰ANOVA!$K$14*SQRT(1+R375)</f>
        <v>1.07443700305628</v>
      </c>
      <c r="T375" s="0" t="n">
        <f aca="false">Q375-S375</f>
        <v>42.4554635651255</v>
      </c>
      <c r="U375" s="0" t="n">
        <f aca="false">Q375+S375</f>
        <v>44.6043375712381</v>
      </c>
      <c r="V375" s="54" t="b">
        <f aca="false">AND(D375&gt;=01_因子設定!$L$5-0.000000001,D375&lt;=01_因子設定!$M$5+0.000000001,E375&gt;=01_因子設定!$L$6-0.000000001,E375&lt;=01_因子設定!$M$6+0.000000001,F375&gt;=01_因子設定!$L$7-0.000000001,F375&lt;=01_因子設定!$M$7+0.000000001,IF(01_因子設定!$B$20="Box-Behnken",D375^2+E375^2+F375^2&lt;=2+0.000000001,TRUE()))</f>
        <v>1</v>
      </c>
      <c r="W375" s="55" t="n">
        <f aca="false">IF(V375,IF(01_因子設定!$B$13="最大化",T375-01_因子設定!$B$14,IF(01_因子設定!$B$13="最小化",01_因子設定!$B$15-U375,MIN(T375-01_因子設定!$B$14,01_因子設定!$B$15-U375))),-1E+030)</f>
        <v>-6.04453643487446</v>
      </c>
      <c r="X375" s="55" t="n">
        <f aca="false">IF(V375,IF(01_因子設定!$B$13="最大化",Q375,IF(01_因子設定!$B$13="最小化",-Q375,-ABS(Q375-01_因子設定!$B$16))),-1E+030)</f>
        <v>43.5299005681818</v>
      </c>
      <c r="Y375" s="55" t="n">
        <f aca="false">W375+ROW()*0.000000001</f>
        <v>-6.04453605987446</v>
      </c>
      <c r="Z375" s="55" t="n">
        <f aca="false">X375+ROW()*0.000000001</f>
        <v>43.5299009431818</v>
      </c>
    </row>
    <row r="376" customFormat="false" ht="15" hidden="false" customHeight="false" outlineLevel="0" collapsed="false">
      <c r="A376" s="0" t="n">
        <v>1</v>
      </c>
      <c r="B376" s="0" t="n">
        <v>4</v>
      </c>
      <c r="C376" s="0" t="n">
        <v>14</v>
      </c>
      <c r="D376" s="0" t="n">
        <f aca="false">-1+A376*0.125</f>
        <v>-0.875</v>
      </c>
      <c r="E376" s="0" t="n">
        <f aca="false">-1+B376*0.125</f>
        <v>-0.5</v>
      </c>
      <c r="F376" s="0" t="n">
        <f aca="false">-1+C376*0.125</f>
        <v>0.75</v>
      </c>
      <c r="G376" s="0" t="n">
        <f aca="false">1</f>
        <v>1</v>
      </c>
      <c r="H376" s="0" t="n">
        <f aca="false">D376</f>
        <v>-0.875</v>
      </c>
      <c r="I376" s="0" t="n">
        <f aca="false">E376</f>
        <v>-0.5</v>
      </c>
      <c r="J376" s="0" t="n">
        <f aca="false">F376</f>
        <v>0.75</v>
      </c>
      <c r="K376" s="0" t="n">
        <f aca="false">D376*E376</f>
        <v>0.4375</v>
      </c>
      <c r="L376" s="0" t="n">
        <f aca="false">D376*F376</f>
        <v>-0.65625</v>
      </c>
      <c r="M376" s="0" t="n">
        <f aca="false">E376*F376</f>
        <v>-0.375</v>
      </c>
      <c r="N376" s="0" t="n">
        <f aca="false">D376*D376</f>
        <v>0.765625</v>
      </c>
      <c r="O376" s="0" t="n">
        <f aca="false">E376*E376</f>
        <v>0.25</v>
      </c>
      <c r="P376" s="0" t="n">
        <f aca="false">F376*F376</f>
        <v>0.5625</v>
      </c>
      <c r="Q376" s="0" t="n">
        <f aca="false">SUMPRODUCT(G376:P376,_XtX!$B$71:$K$71)</f>
        <v>43.4883380681818</v>
      </c>
      <c r="R376" s="0" t="n">
        <f aca="false">SUMPRODUCT(MMULT(G376:P376,_XtX!$B$58:$K$67),G376:P376)</f>
        <v>0.370798561789773</v>
      </c>
      <c r="S376" s="0" t="n">
        <f aca="false">04_回帰ANOVA!$K$19*04_回帰ANOVA!$K$14*SQRT(1+R376)</f>
        <v>1.08856271788237</v>
      </c>
      <c r="T376" s="0" t="n">
        <f aca="false">Q376-S376</f>
        <v>42.3997753502994</v>
      </c>
      <c r="U376" s="0" t="n">
        <f aca="false">Q376+S376</f>
        <v>44.5769007860642</v>
      </c>
      <c r="V376" s="54" t="b">
        <f aca="false">AND(D376&gt;=01_因子設定!$L$5-0.000000001,D376&lt;=01_因子設定!$M$5+0.000000001,E376&gt;=01_因子設定!$L$6-0.000000001,E376&lt;=01_因子設定!$M$6+0.000000001,F376&gt;=01_因子設定!$L$7-0.000000001,F376&lt;=01_因子設定!$M$7+0.000000001,IF(01_因子設定!$B$20="Box-Behnken",D376^2+E376^2+F376^2&lt;=2+0.000000001,TRUE()))</f>
        <v>1</v>
      </c>
      <c r="W376" s="55" t="n">
        <f aca="false">IF(V376,IF(01_因子設定!$B$13="最大化",T376-01_因子設定!$B$14,IF(01_因子設定!$B$13="最小化",01_因子設定!$B$15-U376,MIN(T376-01_因子設定!$B$14,01_因子設定!$B$15-U376))),-1E+030)</f>
        <v>-6.10022464970056</v>
      </c>
      <c r="X376" s="55" t="n">
        <f aca="false">IF(V376,IF(01_因子設定!$B$13="最大化",Q376,IF(01_因子設定!$B$13="最小化",-Q376,-ABS(Q376-01_因子設定!$B$16))),-1E+030)</f>
        <v>43.4883380681818</v>
      </c>
      <c r="Y376" s="55" t="n">
        <f aca="false">W376+ROW()*0.000000001</f>
        <v>-6.10022427370056</v>
      </c>
      <c r="Z376" s="55" t="n">
        <f aca="false">X376+ROW()*0.000000001</f>
        <v>43.4883384441818</v>
      </c>
    </row>
    <row r="377" customFormat="false" ht="15" hidden="false" customHeight="false" outlineLevel="0" collapsed="false">
      <c r="A377" s="0" t="n">
        <v>1</v>
      </c>
      <c r="B377" s="0" t="n">
        <v>4</v>
      </c>
      <c r="C377" s="0" t="n">
        <v>15</v>
      </c>
      <c r="D377" s="0" t="n">
        <f aca="false">-1+A377*0.125</f>
        <v>-0.875</v>
      </c>
      <c r="E377" s="0" t="n">
        <f aca="false">-1+B377*0.125</f>
        <v>-0.5</v>
      </c>
      <c r="F377" s="0" t="n">
        <f aca="false">-1+C377*0.125</f>
        <v>0.875</v>
      </c>
      <c r="G377" s="0" t="n">
        <f aca="false">1</f>
        <v>1</v>
      </c>
      <c r="H377" s="0" t="n">
        <f aca="false">D377</f>
        <v>-0.875</v>
      </c>
      <c r="I377" s="0" t="n">
        <f aca="false">E377</f>
        <v>-0.5</v>
      </c>
      <c r="J377" s="0" t="n">
        <f aca="false">F377</f>
        <v>0.875</v>
      </c>
      <c r="K377" s="0" t="n">
        <f aca="false">D377*E377</f>
        <v>0.4375</v>
      </c>
      <c r="L377" s="0" t="n">
        <f aca="false">D377*F377</f>
        <v>-0.765625</v>
      </c>
      <c r="M377" s="0" t="n">
        <f aca="false">E377*F377</f>
        <v>-0.4375</v>
      </c>
      <c r="N377" s="0" t="n">
        <f aca="false">D377*D377</f>
        <v>0.765625</v>
      </c>
      <c r="O377" s="0" t="n">
        <f aca="false">E377*E377</f>
        <v>0.25</v>
      </c>
      <c r="P377" s="0" t="n">
        <f aca="false">F377*F377</f>
        <v>0.765625</v>
      </c>
      <c r="Q377" s="0" t="n">
        <f aca="false">SUMPRODUCT(G377:P377,_XtX!$B$71:$K$71)</f>
        <v>43.4099857954546</v>
      </c>
      <c r="R377" s="0" t="n">
        <f aca="false">SUMPRODUCT(MMULT(G377:P377,_XtX!$B$58:$K$67),G377:P377)</f>
        <v>0.44026933149858</v>
      </c>
      <c r="S377" s="0" t="n">
        <f aca="false">04_回帰ANOVA!$K$19*04_回帰ANOVA!$K$14*SQRT(1+R377)</f>
        <v>1.11580548667718</v>
      </c>
      <c r="T377" s="0" t="n">
        <f aca="false">Q377-S377</f>
        <v>42.2941803087774</v>
      </c>
      <c r="U377" s="0" t="n">
        <f aca="false">Q377+S377</f>
        <v>44.5257912821317</v>
      </c>
      <c r="V377" s="54" t="b">
        <f aca="false">AND(D377&gt;=01_因子設定!$L$5-0.000000001,D377&lt;=01_因子設定!$M$5+0.000000001,E377&gt;=01_因子設定!$L$6-0.000000001,E377&lt;=01_因子設定!$M$6+0.000000001,F377&gt;=01_因子設定!$L$7-0.000000001,F377&lt;=01_因子設定!$M$7+0.000000001,IF(01_因子設定!$B$20="Box-Behnken",D377^2+E377^2+F377^2&lt;=2+0.000000001,TRUE()))</f>
        <v>1</v>
      </c>
      <c r="W377" s="55" t="n">
        <f aca="false">IF(V377,IF(01_因子設定!$B$13="最大化",T377-01_因子設定!$B$14,IF(01_因子設定!$B$13="最小化",01_因子設定!$B$15-U377,MIN(T377-01_因子設定!$B$14,01_因子設定!$B$15-U377))),-1E+030)</f>
        <v>-6.20581969122263</v>
      </c>
      <c r="X377" s="55" t="n">
        <f aca="false">IF(V377,IF(01_因子設定!$B$13="最大化",Q377,IF(01_因子設定!$B$13="最小化",-Q377,-ABS(Q377-01_因子設定!$B$16))),-1E+030)</f>
        <v>43.4099857954546</v>
      </c>
      <c r="Y377" s="55" t="n">
        <f aca="false">W377+ROW()*0.000000001</f>
        <v>-6.20581931422263</v>
      </c>
      <c r="Z377" s="55" t="n">
        <f aca="false">X377+ROW()*0.000000001</f>
        <v>43.4099861724546</v>
      </c>
    </row>
    <row r="378" customFormat="false" ht="15" hidden="false" customHeight="false" outlineLevel="0" collapsed="false">
      <c r="A378" s="0" t="n">
        <v>1</v>
      </c>
      <c r="B378" s="0" t="n">
        <v>4</v>
      </c>
      <c r="C378" s="0" t="n">
        <v>16</v>
      </c>
      <c r="D378" s="0" t="n">
        <f aca="false">-1+A378*0.125</f>
        <v>-0.875</v>
      </c>
      <c r="E378" s="0" t="n">
        <f aca="false">-1+B378*0.125</f>
        <v>-0.5</v>
      </c>
      <c r="F378" s="0" t="n">
        <f aca="false">-1+C378*0.125</f>
        <v>1</v>
      </c>
      <c r="G378" s="0" t="n">
        <f aca="false">1</f>
        <v>1</v>
      </c>
      <c r="H378" s="0" t="n">
        <f aca="false">D378</f>
        <v>-0.875</v>
      </c>
      <c r="I378" s="0" t="n">
        <f aca="false">E378</f>
        <v>-0.5</v>
      </c>
      <c r="J378" s="0" t="n">
        <f aca="false">F378</f>
        <v>1</v>
      </c>
      <c r="K378" s="0" t="n">
        <f aca="false">D378*E378</f>
        <v>0.4375</v>
      </c>
      <c r="L378" s="0" t="n">
        <f aca="false">D378*F378</f>
        <v>-0.875</v>
      </c>
      <c r="M378" s="0" t="n">
        <f aca="false">E378*F378</f>
        <v>-0.5</v>
      </c>
      <c r="N378" s="0" t="n">
        <f aca="false">D378*D378</f>
        <v>0.765625</v>
      </c>
      <c r="O378" s="0" t="n">
        <f aca="false">E378*E378</f>
        <v>0.25</v>
      </c>
      <c r="P378" s="0" t="n">
        <f aca="false">F378*F378</f>
        <v>1</v>
      </c>
      <c r="Q378" s="0" t="n">
        <f aca="false">SUMPRODUCT(G378:P378,_XtX!$B$71:$K$71)</f>
        <v>43.29484375</v>
      </c>
      <c r="R378" s="0" t="n">
        <f aca="false">SUMPRODUCT(MMULT(G378:P378,_XtX!$B$58:$K$67),G378:P378)</f>
        <v>0.55771484375</v>
      </c>
      <c r="S378" s="0" t="n">
        <f aca="false">04_回帰ANOVA!$K$19*04_回帰ANOVA!$K$14*SQRT(1+R378)</f>
        <v>1.16040773556467</v>
      </c>
      <c r="T378" s="0" t="n">
        <f aca="false">Q378-S378</f>
        <v>42.1344360144353</v>
      </c>
      <c r="U378" s="0" t="n">
        <f aca="false">Q378+S378</f>
        <v>44.4552514855647</v>
      </c>
      <c r="V378" s="54" t="b">
        <f aca="false">AND(D378&gt;=01_因子設定!$L$5-0.000000001,D378&lt;=01_因子設定!$M$5+0.000000001,E378&gt;=01_因子設定!$L$6-0.000000001,E378&lt;=01_因子設定!$M$6+0.000000001,F378&gt;=01_因子設定!$L$7-0.000000001,F378&lt;=01_因子設定!$M$7+0.000000001,IF(01_因子設定!$B$20="Box-Behnken",D378^2+E378^2+F378^2&lt;=2+0.000000001,TRUE()))</f>
        <v>1</v>
      </c>
      <c r="W378" s="55" t="n">
        <f aca="false">IF(V378,IF(01_因子設定!$B$13="最大化",T378-01_因子設定!$B$14,IF(01_因子設定!$B$13="最小化",01_因子設定!$B$15-U378,MIN(T378-01_因子設定!$B$14,01_因子設定!$B$15-U378))),-1E+030)</f>
        <v>-6.36556398556466</v>
      </c>
      <c r="X378" s="55" t="n">
        <f aca="false">IF(V378,IF(01_因子設定!$B$13="最大化",Q378,IF(01_因子設定!$B$13="最小化",-Q378,-ABS(Q378-01_因子設定!$B$16))),-1E+030)</f>
        <v>43.29484375</v>
      </c>
      <c r="Y378" s="55" t="n">
        <f aca="false">W378+ROW()*0.000000001</f>
        <v>-6.36556360756466</v>
      </c>
      <c r="Z378" s="55" t="n">
        <f aca="false">X378+ROW()*0.000000001</f>
        <v>43.294844128</v>
      </c>
    </row>
    <row r="379" customFormat="false" ht="15" hidden="false" customHeight="false" outlineLevel="0" collapsed="false">
      <c r="A379" s="0" t="n">
        <v>1</v>
      </c>
      <c r="B379" s="0" t="n">
        <v>5</v>
      </c>
      <c r="C379" s="0" t="n">
        <v>0</v>
      </c>
      <c r="D379" s="0" t="n">
        <f aca="false">-1+A379*0.125</f>
        <v>-0.875</v>
      </c>
      <c r="E379" s="0" t="n">
        <f aca="false">-1+B379*0.125</f>
        <v>-0.375</v>
      </c>
      <c r="F379" s="0" t="n">
        <f aca="false">-1+C379*0.125</f>
        <v>-1</v>
      </c>
      <c r="G379" s="0" t="n">
        <f aca="false">1</f>
        <v>1</v>
      </c>
      <c r="H379" s="0" t="n">
        <f aca="false">D379</f>
        <v>-0.875</v>
      </c>
      <c r="I379" s="0" t="n">
        <f aca="false">E379</f>
        <v>-0.375</v>
      </c>
      <c r="J379" s="0" t="n">
        <f aca="false">F379</f>
        <v>-1</v>
      </c>
      <c r="K379" s="0" t="n">
        <f aca="false">D379*E379</f>
        <v>0.328125</v>
      </c>
      <c r="L379" s="0" t="n">
        <f aca="false">D379*F379</f>
        <v>0.875</v>
      </c>
      <c r="M379" s="0" t="n">
        <f aca="false">E379*F379</f>
        <v>0.375</v>
      </c>
      <c r="N379" s="0" t="n">
        <f aca="false">D379*D379</f>
        <v>0.765625</v>
      </c>
      <c r="O379" s="0" t="n">
        <f aca="false">E379*E379</f>
        <v>0.140625</v>
      </c>
      <c r="P379" s="0" t="n">
        <f aca="false">F379*F379</f>
        <v>1</v>
      </c>
      <c r="Q379" s="0" t="n">
        <f aca="false">SUMPRODUCT(G379:P379,_XtX!$B$71:$K$71)</f>
        <v>41.0125923295455</v>
      </c>
      <c r="R379" s="0" t="n">
        <f aca="false">SUMPRODUCT(MMULT(G379:P379,_XtX!$B$58:$K$67),G379:P379)</f>
        <v>0.56971269087358</v>
      </c>
      <c r="S379" s="0" t="n">
        <f aca="false">04_回帰ANOVA!$K$19*04_回帰ANOVA!$K$14*SQRT(1+R379)</f>
        <v>1.16486801567081</v>
      </c>
      <c r="T379" s="0" t="n">
        <f aca="false">Q379-S379</f>
        <v>39.8477243138747</v>
      </c>
      <c r="U379" s="0" t="n">
        <f aca="false">Q379+S379</f>
        <v>42.1774603452163</v>
      </c>
      <c r="V379" s="54" t="b">
        <f aca="false">AND(D379&gt;=01_因子設定!$L$5-0.000000001,D379&lt;=01_因子設定!$M$5+0.000000001,E379&gt;=01_因子設定!$L$6-0.000000001,E379&lt;=01_因子設定!$M$6+0.000000001,F379&gt;=01_因子設定!$L$7-0.000000001,F379&lt;=01_因子設定!$M$7+0.000000001,IF(01_因子設定!$B$20="Box-Behnken",D379^2+E379^2+F379^2&lt;=2+0.000000001,TRUE()))</f>
        <v>1</v>
      </c>
      <c r="W379" s="55" t="n">
        <f aca="false">IF(V379,IF(01_因子設定!$B$13="最大化",T379-01_因子設定!$B$14,IF(01_因子設定!$B$13="最小化",01_因子設定!$B$15-U379,MIN(T379-01_因子設定!$B$14,01_因子設定!$B$15-U379))),-1E+030)</f>
        <v>-8.65227568612534</v>
      </c>
      <c r="X379" s="55" t="n">
        <f aca="false">IF(V379,IF(01_因子設定!$B$13="最大化",Q379,IF(01_因子設定!$B$13="最小化",-Q379,-ABS(Q379-01_因子設定!$B$16))),-1E+030)</f>
        <v>41.0125923295455</v>
      </c>
      <c r="Y379" s="55" t="n">
        <f aca="false">W379+ROW()*0.000000001</f>
        <v>-8.65227530712534</v>
      </c>
      <c r="Z379" s="55" t="n">
        <f aca="false">X379+ROW()*0.000000001</f>
        <v>41.0125927085455</v>
      </c>
    </row>
    <row r="380" customFormat="false" ht="15" hidden="false" customHeight="false" outlineLevel="0" collapsed="false">
      <c r="A380" s="0" t="n">
        <v>1</v>
      </c>
      <c r="B380" s="0" t="n">
        <v>5</v>
      </c>
      <c r="C380" s="0" t="n">
        <v>1</v>
      </c>
      <c r="D380" s="0" t="n">
        <f aca="false">-1+A380*0.125</f>
        <v>-0.875</v>
      </c>
      <c r="E380" s="0" t="n">
        <f aca="false">-1+B380*0.125</f>
        <v>-0.375</v>
      </c>
      <c r="F380" s="0" t="n">
        <f aca="false">-1+C380*0.125</f>
        <v>-0.875</v>
      </c>
      <c r="G380" s="0" t="n">
        <f aca="false">1</f>
        <v>1</v>
      </c>
      <c r="H380" s="0" t="n">
        <f aca="false">D380</f>
        <v>-0.875</v>
      </c>
      <c r="I380" s="0" t="n">
        <f aca="false">E380</f>
        <v>-0.375</v>
      </c>
      <c r="J380" s="0" t="n">
        <f aca="false">F380</f>
        <v>-0.875</v>
      </c>
      <c r="K380" s="0" t="n">
        <f aca="false">D380*E380</f>
        <v>0.328125</v>
      </c>
      <c r="L380" s="0" t="n">
        <f aca="false">D380*F380</f>
        <v>0.765625</v>
      </c>
      <c r="M380" s="0" t="n">
        <f aca="false">E380*F380</f>
        <v>0.328125</v>
      </c>
      <c r="N380" s="0" t="n">
        <f aca="false">D380*D380</f>
        <v>0.765625</v>
      </c>
      <c r="O380" s="0" t="n">
        <f aca="false">E380*E380</f>
        <v>0.140625</v>
      </c>
      <c r="P380" s="0" t="n">
        <f aca="false">F380*F380</f>
        <v>0.765625</v>
      </c>
      <c r="Q380" s="0" t="n">
        <f aca="false">SUMPRODUCT(G380:P380,_XtX!$B$71:$K$71)</f>
        <v>41.456328125</v>
      </c>
      <c r="R380" s="0" t="n">
        <f aca="false">SUMPRODUCT(MMULT(G380:P380,_XtX!$B$58:$K$67),G380:P380)</f>
        <v>0.448480224609375</v>
      </c>
      <c r="S380" s="0" t="n">
        <f aca="false">04_回帰ANOVA!$K$19*04_回帰ANOVA!$K$14*SQRT(1+R380)</f>
        <v>1.11898153812985</v>
      </c>
      <c r="T380" s="0" t="n">
        <f aca="false">Q380-S380</f>
        <v>40.3373465868702</v>
      </c>
      <c r="U380" s="0" t="n">
        <f aca="false">Q380+S380</f>
        <v>42.5753096631299</v>
      </c>
      <c r="V380" s="54" t="b">
        <f aca="false">AND(D380&gt;=01_因子設定!$L$5-0.000000001,D380&lt;=01_因子設定!$M$5+0.000000001,E380&gt;=01_因子設定!$L$6-0.000000001,E380&lt;=01_因子設定!$M$6+0.000000001,F380&gt;=01_因子設定!$L$7-0.000000001,F380&lt;=01_因子設定!$M$7+0.000000001,IF(01_因子設定!$B$20="Box-Behnken",D380^2+E380^2+F380^2&lt;=2+0.000000001,TRUE()))</f>
        <v>1</v>
      </c>
      <c r="W380" s="55" t="n">
        <f aca="false">IF(V380,IF(01_因子設定!$B$13="最大化",T380-01_因子設定!$B$14,IF(01_因子設定!$B$13="最小化",01_因子設定!$B$15-U380,MIN(T380-01_因子設定!$B$14,01_因子設定!$B$15-U380))),-1E+030)</f>
        <v>-8.16265341312984</v>
      </c>
      <c r="X380" s="55" t="n">
        <f aca="false">IF(V380,IF(01_因子設定!$B$13="最大化",Q380,IF(01_因子設定!$B$13="最小化",-Q380,-ABS(Q380-01_因子設定!$B$16))),-1E+030)</f>
        <v>41.456328125</v>
      </c>
      <c r="Y380" s="55" t="n">
        <f aca="false">W380+ROW()*0.000000001</f>
        <v>-8.16265303312984</v>
      </c>
      <c r="Z380" s="55" t="n">
        <f aca="false">X380+ROW()*0.000000001</f>
        <v>41.456328505</v>
      </c>
    </row>
    <row r="381" customFormat="false" ht="15" hidden="false" customHeight="false" outlineLevel="0" collapsed="false">
      <c r="A381" s="0" t="n">
        <v>1</v>
      </c>
      <c r="B381" s="0" t="n">
        <v>5</v>
      </c>
      <c r="C381" s="0" t="n">
        <v>2</v>
      </c>
      <c r="D381" s="0" t="n">
        <f aca="false">-1+A381*0.125</f>
        <v>-0.875</v>
      </c>
      <c r="E381" s="0" t="n">
        <f aca="false">-1+B381*0.125</f>
        <v>-0.375</v>
      </c>
      <c r="F381" s="0" t="n">
        <f aca="false">-1+C381*0.125</f>
        <v>-0.75</v>
      </c>
      <c r="G381" s="0" t="n">
        <f aca="false">1</f>
        <v>1</v>
      </c>
      <c r="H381" s="0" t="n">
        <f aca="false">D381</f>
        <v>-0.875</v>
      </c>
      <c r="I381" s="0" t="n">
        <f aca="false">E381</f>
        <v>-0.375</v>
      </c>
      <c r="J381" s="0" t="n">
        <f aca="false">F381</f>
        <v>-0.75</v>
      </c>
      <c r="K381" s="0" t="n">
        <f aca="false">D381*E381</f>
        <v>0.328125</v>
      </c>
      <c r="L381" s="0" t="n">
        <f aca="false">D381*F381</f>
        <v>0.65625</v>
      </c>
      <c r="M381" s="0" t="n">
        <f aca="false">E381*F381</f>
        <v>0.28125</v>
      </c>
      <c r="N381" s="0" t="n">
        <f aca="false">D381*D381</f>
        <v>0.765625</v>
      </c>
      <c r="O381" s="0" t="n">
        <f aca="false">E381*E381</f>
        <v>0.140625</v>
      </c>
      <c r="P381" s="0" t="n">
        <f aca="false">F381*F381</f>
        <v>0.5625</v>
      </c>
      <c r="Q381" s="0" t="n">
        <f aca="false">SUMPRODUCT(G381:P381,_XtX!$B$71:$K$71)</f>
        <v>41.8632741477273</v>
      </c>
      <c r="R381" s="0" t="n">
        <f aca="false">SUMPRODUCT(MMULT(G381:P381,_XtX!$B$58:$K$67),G381:P381)</f>
        <v>0.375727428089489</v>
      </c>
      <c r="S381" s="0" t="n">
        <f aca="false">04_回帰ANOVA!$K$19*04_回帰ANOVA!$K$14*SQRT(1+R381)</f>
        <v>1.09051798904087</v>
      </c>
      <c r="T381" s="0" t="n">
        <f aca="false">Q381-S381</f>
        <v>40.7727561586864</v>
      </c>
      <c r="U381" s="0" t="n">
        <f aca="false">Q381+S381</f>
        <v>42.9537921367682</v>
      </c>
      <c r="V381" s="54" t="b">
        <f aca="false">AND(D381&gt;=01_因子設定!$L$5-0.000000001,D381&lt;=01_因子設定!$M$5+0.000000001,E381&gt;=01_因子設定!$L$6-0.000000001,E381&lt;=01_因子設定!$M$6+0.000000001,F381&gt;=01_因子設定!$L$7-0.000000001,F381&lt;=01_因子設定!$M$7+0.000000001,IF(01_因子設定!$B$20="Box-Behnken",D381^2+E381^2+F381^2&lt;=2+0.000000001,TRUE()))</f>
        <v>1</v>
      </c>
      <c r="W381" s="55" t="n">
        <f aca="false">IF(V381,IF(01_因子設定!$B$13="最大化",T381-01_因子設定!$B$14,IF(01_因子設定!$B$13="最小化",01_因子設定!$B$15-U381,MIN(T381-01_因子設定!$B$14,01_因子設定!$B$15-U381))),-1E+030)</f>
        <v>-7.7272438413136</v>
      </c>
      <c r="X381" s="55" t="n">
        <f aca="false">IF(V381,IF(01_因子設定!$B$13="最大化",Q381,IF(01_因子設定!$B$13="最小化",-Q381,-ABS(Q381-01_因子設定!$B$16))),-1E+030)</f>
        <v>41.8632741477273</v>
      </c>
      <c r="Y381" s="55" t="n">
        <f aca="false">W381+ROW()*0.000000001</f>
        <v>-7.7272434603136</v>
      </c>
      <c r="Z381" s="55" t="n">
        <f aca="false">X381+ROW()*0.000000001</f>
        <v>41.8632745287273</v>
      </c>
    </row>
    <row r="382" customFormat="false" ht="15" hidden="false" customHeight="false" outlineLevel="0" collapsed="false">
      <c r="A382" s="0" t="n">
        <v>1</v>
      </c>
      <c r="B382" s="0" t="n">
        <v>5</v>
      </c>
      <c r="C382" s="0" t="n">
        <v>3</v>
      </c>
      <c r="D382" s="0" t="n">
        <f aca="false">-1+A382*0.125</f>
        <v>-0.875</v>
      </c>
      <c r="E382" s="0" t="n">
        <f aca="false">-1+B382*0.125</f>
        <v>-0.375</v>
      </c>
      <c r="F382" s="0" t="n">
        <f aca="false">-1+C382*0.125</f>
        <v>-0.625</v>
      </c>
      <c r="G382" s="0" t="n">
        <f aca="false">1</f>
        <v>1</v>
      </c>
      <c r="H382" s="0" t="n">
        <f aca="false">D382</f>
        <v>-0.875</v>
      </c>
      <c r="I382" s="0" t="n">
        <f aca="false">E382</f>
        <v>-0.375</v>
      </c>
      <c r="J382" s="0" t="n">
        <f aca="false">F382</f>
        <v>-0.625</v>
      </c>
      <c r="K382" s="0" t="n">
        <f aca="false">D382*E382</f>
        <v>0.328125</v>
      </c>
      <c r="L382" s="0" t="n">
        <f aca="false">D382*F382</f>
        <v>0.546875</v>
      </c>
      <c r="M382" s="0" t="n">
        <f aca="false">E382*F382</f>
        <v>0.234375</v>
      </c>
      <c r="N382" s="0" t="n">
        <f aca="false">D382*D382</f>
        <v>0.765625</v>
      </c>
      <c r="O382" s="0" t="n">
        <f aca="false">E382*E382</f>
        <v>0.140625</v>
      </c>
      <c r="P382" s="0" t="n">
        <f aca="false">F382*F382</f>
        <v>0.390625</v>
      </c>
      <c r="Q382" s="0" t="n">
        <f aca="false">SUMPRODUCT(G382:P382,_XtX!$B$71:$K$71)</f>
        <v>42.2334303977273</v>
      </c>
      <c r="R382" s="0" t="n">
        <f aca="false">SUMPRODUCT(MMULT(G382:P382,_XtX!$B$58:$K$67),G382:P382)</f>
        <v>0.337604869495739</v>
      </c>
      <c r="S382" s="0" t="n">
        <f aca="false">04_回帰ANOVA!$K$19*04_回帰ANOVA!$K$14*SQRT(1+R382)</f>
        <v>1.07530225516193</v>
      </c>
      <c r="T382" s="0" t="n">
        <f aca="false">Q382-S382</f>
        <v>41.1581281425653</v>
      </c>
      <c r="U382" s="0" t="n">
        <f aca="false">Q382+S382</f>
        <v>43.3087326528892</v>
      </c>
      <c r="V382" s="54" t="b">
        <f aca="false">AND(D382&gt;=01_因子設定!$L$5-0.000000001,D382&lt;=01_因子設定!$M$5+0.000000001,E382&gt;=01_因子設定!$L$6-0.000000001,E382&lt;=01_因子設定!$M$6+0.000000001,F382&gt;=01_因子設定!$L$7-0.000000001,F382&lt;=01_因子設定!$M$7+0.000000001,IF(01_因子設定!$B$20="Box-Behnken",D382^2+E382^2+F382^2&lt;=2+0.000000001,TRUE()))</f>
        <v>1</v>
      </c>
      <c r="W382" s="55" t="n">
        <f aca="false">IF(V382,IF(01_因子設定!$B$13="最大化",T382-01_因子設定!$B$14,IF(01_因子設定!$B$13="最小化",01_因子設定!$B$15-U382,MIN(T382-01_因子設定!$B$14,01_因子設定!$B$15-U382))),-1E+030)</f>
        <v>-7.34187185743465</v>
      </c>
      <c r="X382" s="55" t="n">
        <f aca="false">IF(V382,IF(01_因子設定!$B$13="最大化",Q382,IF(01_因子設定!$B$13="最小化",-Q382,-ABS(Q382-01_因子設定!$B$16))),-1E+030)</f>
        <v>42.2334303977273</v>
      </c>
      <c r="Y382" s="55" t="n">
        <f aca="false">W382+ROW()*0.000000001</f>
        <v>-7.34187147543466</v>
      </c>
      <c r="Z382" s="55" t="n">
        <f aca="false">X382+ROW()*0.000000001</f>
        <v>42.2334307797273</v>
      </c>
    </row>
    <row r="383" customFormat="false" ht="15" hidden="false" customHeight="false" outlineLevel="0" collapsed="false">
      <c r="A383" s="0" t="n">
        <v>1</v>
      </c>
      <c r="B383" s="0" t="n">
        <v>5</v>
      </c>
      <c r="C383" s="0" t="n">
        <v>4</v>
      </c>
      <c r="D383" s="0" t="n">
        <f aca="false">-1+A383*0.125</f>
        <v>-0.875</v>
      </c>
      <c r="E383" s="0" t="n">
        <f aca="false">-1+B383*0.125</f>
        <v>-0.375</v>
      </c>
      <c r="F383" s="0" t="n">
        <f aca="false">-1+C383*0.125</f>
        <v>-0.5</v>
      </c>
      <c r="G383" s="0" t="n">
        <f aca="false">1</f>
        <v>1</v>
      </c>
      <c r="H383" s="0" t="n">
        <f aca="false">D383</f>
        <v>-0.875</v>
      </c>
      <c r="I383" s="0" t="n">
        <f aca="false">E383</f>
        <v>-0.375</v>
      </c>
      <c r="J383" s="0" t="n">
        <f aca="false">F383</f>
        <v>-0.5</v>
      </c>
      <c r="K383" s="0" t="n">
        <f aca="false">D383*E383</f>
        <v>0.328125</v>
      </c>
      <c r="L383" s="0" t="n">
        <f aca="false">D383*F383</f>
        <v>0.4375</v>
      </c>
      <c r="M383" s="0" t="n">
        <f aca="false">E383*F383</f>
        <v>0.1875</v>
      </c>
      <c r="N383" s="0" t="n">
        <f aca="false">D383*D383</f>
        <v>0.765625</v>
      </c>
      <c r="O383" s="0" t="n">
        <f aca="false">E383*E383</f>
        <v>0.140625</v>
      </c>
      <c r="P383" s="0" t="n">
        <f aca="false">F383*F383</f>
        <v>0.25</v>
      </c>
      <c r="Q383" s="0" t="n">
        <f aca="false">SUMPRODUCT(G383:P383,_XtX!$B$71:$K$71)</f>
        <v>42.566796875</v>
      </c>
      <c r="R383" s="0" t="n">
        <f aca="false">SUMPRODUCT(MMULT(G383:P383,_XtX!$B$58:$K$67),G383:P383)</f>
        <v>0.322393798828125</v>
      </c>
      <c r="S383" s="0" t="n">
        <f aca="false">04_回帰ANOVA!$K$19*04_回帰ANOVA!$K$14*SQRT(1+R383)</f>
        <v>1.06917067390712</v>
      </c>
      <c r="T383" s="0" t="n">
        <f aca="false">Q383-S383</f>
        <v>41.4976262010929</v>
      </c>
      <c r="U383" s="0" t="n">
        <f aca="false">Q383+S383</f>
        <v>43.6359675489071</v>
      </c>
      <c r="V383" s="54" t="b">
        <f aca="false">AND(D383&gt;=01_因子設定!$L$5-0.000000001,D383&lt;=01_因子設定!$M$5+0.000000001,E383&gt;=01_因子設定!$L$6-0.000000001,E383&lt;=01_因子設定!$M$6+0.000000001,F383&gt;=01_因子設定!$L$7-0.000000001,F383&lt;=01_因子設定!$M$7+0.000000001,IF(01_因子設定!$B$20="Box-Behnken",D383^2+E383^2+F383^2&lt;=2+0.000000001,TRUE()))</f>
        <v>1</v>
      </c>
      <c r="W383" s="55" t="n">
        <f aca="false">IF(V383,IF(01_因子設定!$B$13="最大化",T383-01_因子設定!$B$14,IF(01_因子設定!$B$13="最小化",01_因子設定!$B$15-U383,MIN(T383-01_因子設定!$B$14,01_因子設定!$B$15-U383))),-1E+030)</f>
        <v>-7.00237379890712</v>
      </c>
      <c r="X383" s="55" t="n">
        <f aca="false">IF(V383,IF(01_因子設定!$B$13="最大化",Q383,IF(01_因子設定!$B$13="最小化",-Q383,-ABS(Q383-01_因子設定!$B$16))),-1E+030)</f>
        <v>42.566796875</v>
      </c>
      <c r="Y383" s="55" t="n">
        <f aca="false">W383+ROW()*0.000000001</f>
        <v>-7.00237341590712</v>
      </c>
      <c r="Z383" s="55" t="n">
        <f aca="false">X383+ROW()*0.000000001</f>
        <v>42.566797258</v>
      </c>
    </row>
    <row r="384" customFormat="false" ht="15" hidden="false" customHeight="false" outlineLevel="0" collapsed="false">
      <c r="A384" s="0" t="n">
        <v>1</v>
      </c>
      <c r="B384" s="0" t="n">
        <v>5</v>
      </c>
      <c r="C384" s="0" t="n">
        <v>5</v>
      </c>
      <c r="D384" s="0" t="n">
        <f aca="false">-1+A384*0.125</f>
        <v>-0.875</v>
      </c>
      <c r="E384" s="0" t="n">
        <f aca="false">-1+B384*0.125</f>
        <v>-0.375</v>
      </c>
      <c r="F384" s="0" t="n">
        <f aca="false">-1+C384*0.125</f>
        <v>-0.375</v>
      </c>
      <c r="G384" s="0" t="n">
        <f aca="false">1</f>
        <v>1</v>
      </c>
      <c r="H384" s="0" t="n">
        <f aca="false">D384</f>
        <v>-0.875</v>
      </c>
      <c r="I384" s="0" t="n">
        <f aca="false">E384</f>
        <v>-0.375</v>
      </c>
      <c r="J384" s="0" t="n">
        <f aca="false">F384</f>
        <v>-0.375</v>
      </c>
      <c r="K384" s="0" t="n">
        <f aca="false">D384*E384</f>
        <v>0.328125</v>
      </c>
      <c r="L384" s="0" t="n">
        <f aca="false">D384*F384</f>
        <v>0.328125</v>
      </c>
      <c r="M384" s="0" t="n">
        <f aca="false">E384*F384</f>
        <v>0.140625</v>
      </c>
      <c r="N384" s="0" t="n">
        <f aca="false">D384*D384</f>
        <v>0.765625</v>
      </c>
      <c r="O384" s="0" t="n">
        <f aca="false">E384*E384</f>
        <v>0.140625</v>
      </c>
      <c r="P384" s="0" t="n">
        <f aca="false">F384*F384</f>
        <v>0.140625</v>
      </c>
      <c r="Q384" s="0" t="n">
        <f aca="false">SUMPRODUCT(G384:P384,_XtX!$B$71:$K$71)</f>
        <v>42.8633735795455</v>
      </c>
      <c r="R384" s="0" t="n">
        <f aca="false">SUMPRODUCT(MMULT(G384:P384,_XtX!$B$58:$K$67),G384:P384)</f>
        <v>0.32050614790483</v>
      </c>
      <c r="S384" s="0" t="n">
        <f aca="false">04_回帰ANOVA!$K$19*04_回帰ANOVA!$K$14*SQRT(1+R384)</f>
        <v>1.06840730759619</v>
      </c>
      <c r="T384" s="0" t="n">
        <f aca="false">Q384-S384</f>
        <v>41.7949662719493</v>
      </c>
      <c r="U384" s="0" t="n">
        <f aca="false">Q384+S384</f>
        <v>43.9317808871416</v>
      </c>
      <c r="V384" s="54" t="b">
        <f aca="false">AND(D384&gt;=01_因子設定!$L$5-0.000000001,D384&lt;=01_因子設定!$M$5+0.000000001,E384&gt;=01_因子設定!$L$6-0.000000001,E384&lt;=01_因子設定!$M$6+0.000000001,F384&gt;=01_因子設定!$L$7-0.000000001,F384&lt;=01_因子設定!$M$7+0.000000001,IF(01_因子設定!$B$20="Box-Behnken",D384^2+E384^2+F384^2&lt;=2+0.000000001,TRUE()))</f>
        <v>1</v>
      </c>
      <c r="W384" s="55" t="n">
        <f aca="false">IF(V384,IF(01_因子設定!$B$13="最大化",T384-01_因子設定!$B$14,IF(01_因子設定!$B$13="最小化",01_因子設定!$B$15-U384,MIN(T384-01_因子設定!$B$14,01_因子設定!$B$15-U384))),-1E+030)</f>
        <v>-6.70503372805074</v>
      </c>
      <c r="X384" s="55" t="n">
        <f aca="false">IF(V384,IF(01_因子設定!$B$13="最大化",Q384,IF(01_因子設定!$B$13="最小化",-Q384,-ABS(Q384-01_因子設定!$B$16))),-1E+030)</f>
        <v>42.8633735795455</v>
      </c>
      <c r="Y384" s="55" t="n">
        <f aca="false">W384+ROW()*0.000000001</f>
        <v>-6.70503334405074</v>
      </c>
      <c r="Z384" s="55" t="n">
        <f aca="false">X384+ROW()*0.000000001</f>
        <v>42.8633739635455</v>
      </c>
    </row>
    <row r="385" customFormat="false" ht="15" hidden="false" customHeight="false" outlineLevel="0" collapsed="false">
      <c r="A385" s="0" t="n">
        <v>1</v>
      </c>
      <c r="B385" s="0" t="n">
        <v>5</v>
      </c>
      <c r="C385" s="0" t="n">
        <v>6</v>
      </c>
      <c r="D385" s="0" t="n">
        <f aca="false">-1+A385*0.125</f>
        <v>-0.875</v>
      </c>
      <c r="E385" s="0" t="n">
        <f aca="false">-1+B385*0.125</f>
        <v>-0.375</v>
      </c>
      <c r="F385" s="0" t="n">
        <f aca="false">-1+C385*0.125</f>
        <v>-0.25</v>
      </c>
      <c r="G385" s="0" t="n">
        <f aca="false">1</f>
        <v>1</v>
      </c>
      <c r="H385" s="0" t="n">
        <f aca="false">D385</f>
        <v>-0.875</v>
      </c>
      <c r="I385" s="0" t="n">
        <f aca="false">E385</f>
        <v>-0.375</v>
      </c>
      <c r="J385" s="0" t="n">
        <f aca="false">F385</f>
        <v>-0.25</v>
      </c>
      <c r="K385" s="0" t="n">
        <f aca="false">D385*E385</f>
        <v>0.328125</v>
      </c>
      <c r="L385" s="0" t="n">
        <f aca="false">D385*F385</f>
        <v>0.21875</v>
      </c>
      <c r="M385" s="0" t="n">
        <f aca="false">E385*F385</f>
        <v>0.09375</v>
      </c>
      <c r="N385" s="0" t="n">
        <f aca="false">D385*D385</f>
        <v>0.765625</v>
      </c>
      <c r="O385" s="0" t="n">
        <f aca="false">E385*E385</f>
        <v>0.140625</v>
      </c>
      <c r="P385" s="0" t="n">
        <f aca="false">F385*F385</f>
        <v>0.0625</v>
      </c>
      <c r="Q385" s="0" t="n">
        <f aca="false">SUMPRODUCT(G385:P385,_XtX!$B$71:$K$71)</f>
        <v>43.1231605113636</v>
      </c>
      <c r="R385" s="0" t="n">
        <f aca="false">SUMPRODUCT(MMULT(G385:P385,_XtX!$B$58:$K$67),G385:P385)</f>
        <v>0.324484530362216</v>
      </c>
      <c r="S385" s="0" t="n">
        <f aca="false">04_回帰ANOVA!$K$19*04_回帰ANOVA!$K$14*SQRT(1+R385)</f>
        <v>1.07001553041279</v>
      </c>
      <c r="T385" s="0" t="n">
        <f aca="false">Q385-S385</f>
        <v>42.0531449809508</v>
      </c>
      <c r="U385" s="0" t="n">
        <f aca="false">Q385+S385</f>
        <v>44.1931760417764</v>
      </c>
      <c r="V385" s="54" t="b">
        <f aca="false">AND(D385&gt;=01_因子設定!$L$5-0.000000001,D385&lt;=01_因子設定!$M$5+0.000000001,E385&gt;=01_因子設定!$L$6-0.000000001,E385&lt;=01_因子設定!$M$6+0.000000001,F385&gt;=01_因子設定!$L$7-0.000000001,F385&lt;=01_因子設定!$M$7+0.000000001,IF(01_因子設定!$B$20="Box-Behnken",D385^2+E385^2+F385^2&lt;=2+0.000000001,TRUE()))</f>
        <v>1</v>
      </c>
      <c r="W385" s="55" t="n">
        <f aca="false">IF(V385,IF(01_因子設定!$B$13="最大化",T385-01_因子設定!$B$14,IF(01_因子設定!$B$13="最小化",01_因子設定!$B$15-U385,MIN(T385-01_因子設定!$B$14,01_因子設定!$B$15-U385))),-1E+030)</f>
        <v>-6.44685501904916</v>
      </c>
      <c r="X385" s="55" t="n">
        <f aca="false">IF(V385,IF(01_因子設定!$B$13="最大化",Q385,IF(01_因子設定!$B$13="最小化",-Q385,-ABS(Q385-01_因子設定!$B$16))),-1E+030)</f>
        <v>43.1231605113636</v>
      </c>
      <c r="Y385" s="55" t="n">
        <f aca="false">W385+ROW()*0.000000001</f>
        <v>-6.44685463404916</v>
      </c>
      <c r="Z385" s="55" t="n">
        <f aca="false">X385+ROW()*0.000000001</f>
        <v>43.1231608963636</v>
      </c>
    </row>
    <row r="386" customFormat="false" ht="15" hidden="false" customHeight="false" outlineLevel="0" collapsed="false">
      <c r="A386" s="0" t="n">
        <v>1</v>
      </c>
      <c r="B386" s="0" t="n">
        <v>5</v>
      </c>
      <c r="C386" s="0" t="n">
        <v>7</v>
      </c>
      <c r="D386" s="0" t="n">
        <f aca="false">-1+A386*0.125</f>
        <v>-0.875</v>
      </c>
      <c r="E386" s="0" t="n">
        <f aca="false">-1+B386*0.125</f>
        <v>-0.375</v>
      </c>
      <c r="F386" s="0" t="n">
        <f aca="false">-1+C386*0.125</f>
        <v>-0.125</v>
      </c>
      <c r="G386" s="0" t="n">
        <f aca="false">1</f>
        <v>1</v>
      </c>
      <c r="H386" s="0" t="n">
        <f aca="false">D386</f>
        <v>-0.875</v>
      </c>
      <c r="I386" s="0" t="n">
        <f aca="false">E386</f>
        <v>-0.375</v>
      </c>
      <c r="J386" s="0" t="n">
        <f aca="false">F386</f>
        <v>-0.125</v>
      </c>
      <c r="K386" s="0" t="n">
        <f aca="false">D386*E386</f>
        <v>0.328125</v>
      </c>
      <c r="L386" s="0" t="n">
        <f aca="false">D386*F386</f>
        <v>0.109375</v>
      </c>
      <c r="M386" s="0" t="n">
        <f aca="false">E386*F386</f>
        <v>0.046875</v>
      </c>
      <c r="N386" s="0" t="n">
        <f aca="false">D386*D386</f>
        <v>0.765625</v>
      </c>
      <c r="O386" s="0" t="n">
        <f aca="false">E386*E386</f>
        <v>0.140625</v>
      </c>
      <c r="P386" s="0" t="n">
        <f aca="false">F386*F386</f>
        <v>0.015625</v>
      </c>
      <c r="Q386" s="0" t="n">
        <f aca="false">SUMPRODUCT(G386:P386,_XtX!$B$71:$K$71)</f>
        <v>43.3461576704545</v>
      </c>
      <c r="R386" s="0" t="n">
        <f aca="false">SUMPRODUCT(MMULT(G386:P386,_XtX!$B$58:$K$67),G386:P386)</f>
        <v>0.32900224165483</v>
      </c>
      <c r="S386" s="0" t="n">
        <f aca="false">04_回帰ANOVA!$K$19*04_回帰ANOVA!$K$14*SQRT(1+R386)</f>
        <v>1.07183884583628</v>
      </c>
      <c r="T386" s="0" t="n">
        <f aca="false">Q386-S386</f>
        <v>42.2743188246183</v>
      </c>
      <c r="U386" s="0" t="n">
        <f aca="false">Q386+S386</f>
        <v>44.4179965162908</v>
      </c>
      <c r="V386" s="54" t="b">
        <f aca="false">AND(D386&gt;=01_因子設定!$L$5-0.000000001,D386&lt;=01_因子設定!$M$5+0.000000001,E386&gt;=01_因子設定!$L$6-0.000000001,E386&lt;=01_因子設定!$M$6+0.000000001,F386&gt;=01_因子設定!$L$7-0.000000001,F386&lt;=01_因子設定!$M$7+0.000000001,IF(01_因子設定!$B$20="Box-Behnken",D386^2+E386^2+F386^2&lt;=2+0.000000001,TRUE()))</f>
        <v>1</v>
      </c>
      <c r="W386" s="55" t="n">
        <f aca="false">IF(V386,IF(01_因子設定!$B$13="最大化",T386-01_因子設定!$B$14,IF(01_因子設定!$B$13="最小化",01_因子設定!$B$15-U386,MIN(T386-01_因子設定!$B$14,01_因子設定!$B$15-U386))),-1E+030)</f>
        <v>-6.22568117538174</v>
      </c>
      <c r="X386" s="55" t="n">
        <f aca="false">IF(V386,IF(01_因子設定!$B$13="最大化",Q386,IF(01_因子設定!$B$13="最小化",-Q386,-ABS(Q386-01_因子設定!$B$16))),-1E+030)</f>
        <v>43.3461576704545</v>
      </c>
      <c r="Y386" s="55" t="n">
        <f aca="false">W386+ROW()*0.000000001</f>
        <v>-6.22568078938174</v>
      </c>
      <c r="Z386" s="55" t="n">
        <f aca="false">X386+ROW()*0.000000001</f>
        <v>43.3461580564545</v>
      </c>
    </row>
    <row r="387" customFormat="false" ht="15" hidden="false" customHeight="false" outlineLevel="0" collapsed="false">
      <c r="A387" s="0" t="n">
        <v>1</v>
      </c>
      <c r="B387" s="0" t="n">
        <v>5</v>
      </c>
      <c r="C387" s="0" t="n">
        <v>8</v>
      </c>
      <c r="D387" s="0" t="n">
        <f aca="false">-1+A387*0.125</f>
        <v>-0.875</v>
      </c>
      <c r="E387" s="0" t="n">
        <f aca="false">-1+B387*0.125</f>
        <v>-0.375</v>
      </c>
      <c r="F387" s="0" t="n">
        <f aca="false">-1+C387*0.125</f>
        <v>0</v>
      </c>
      <c r="G387" s="0" t="n">
        <f aca="false">1</f>
        <v>1</v>
      </c>
      <c r="H387" s="0" t="n">
        <f aca="false">D387</f>
        <v>-0.875</v>
      </c>
      <c r="I387" s="0" t="n">
        <f aca="false">E387</f>
        <v>-0.375</v>
      </c>
      <c r="J387" s="0" t="n">
        <f aca="false">F387</f>
        <v>0</v>
      </c>
      <c r="K387" s="0" t="n">
        <f aca="false">D387*E387</f>
        <v>0.328125</v>
      </c>
      <c r="L387" s="0" t="n">
        <f aca="false">D387*F387</f>
        <v>-0</v>
      </c>
      <c r="M387" s="0" t="n">
        <f aca="false">E387*F387</f>
        <v>-0</v>
      </c>
      <c r="N387" s="0" t="n">
        <f aca="false">D387*D387</f>
        <v>0.765625</v>
      </c>
      <c r="O387" s="0" t="n">
        <f aca="false">E387*E387</f>
        <v>0.140625</v>
      </c>
      <c r="P387" s="0" t="n">
        <f aca="false">F387*F387</f>
        <v>0</v>
      </c>
      <c r="Q387" s="0" t="n">
        <f aca="false">SUMPRODUCT(G387:P387,_XtX!$B$71:$K$71)</f>
        <v>43.5323650568182</v>
      </c>
      <c r="R387" s="0" t="n">
        <f aca="false">SUMPRODUCT(MMULT(G387:P387,_XtX!$B$58:$K$67),G387:P387)</f>
        <v>0.330863259055398</v>
      </c>
      <c r="S387" s="0" t="n">
        <f aca="false">04_回帰ANOVA!$K$19*04_回帰ANOVA!$K$14*SQRT(1+R387)</f>
        <v>1.07258903754571</v>
      </c>
      <c r="T387" s="0" t="n">
        <f aca="false">Q387-S387</f>
        <v>42.4597760192725</v>
      </c>
      <c r="U387" s="0" t="n">
        <f aca="false">Q387+S387</f>
        <v>44.6049540943639</v>
      </c>
      <c r="V387" s="54" t="b">
        <f aca="false">AND(D387&gt;=01_因子設定!$L$5-0.000000001,D387&lt;=01_因子設定!$M$5+0.000000001,E387&gt;=01_因子設定!$L$6-0.000000001,E387&lt;=01_因子設定!$M$6+0.000000001,F387&gt;=01_因子設定!$L$7-0.000000001,F387&lt;=01_因子設定!$M$7+0.000000001,IF(01_因子設定!$B$20="Box-Behnken",D387^2+E387^2+F387^2&lt;=2+0.000000001,TRUE()))</f>
        <v>1</v>
      </c>
      <c r="W387" s="55" t="n">
        <f aca="false">IF(V387,IF(01_因子設定!$B$13="最大化",T387-01_因子設定!$B$14,IF(01_因子設定!$B$13="最小化",01_因子設定!$B$15-U387,MIN(T387-01_因子設定!$B$14,01_因子設定!$B$15-U387))),-1E+030)</f>
        <v>-6.04022398072753</v>
      </c>
      <c r="X387" s="55" t="n">
        <f aca="false">IF(V387,IF(01_因子設定!$B$13="最大化",Q387,IF(01_因子設定!$B$13="最小化",-Q387,-ABS(Q387-01_因子設定!$B$16))),-1E+030)</f>
        <v>43.5323650568182</v>
      </c>
      <c r="Y387" s="55" t="n">
        <f aca="false">W387+ROW()*0.000000001</f>
        <v>-6.04022359372753</v>
      </c>
      <c r="Z387" s="55" t="n">
        <f aca="false">X387+ROW()*0.000000001</f>
        <v>43.5323654438182</v>
      </c>
    </row>
    <row r="388" customFormat="false" ht="15" hidden="false" customHeight="false" outlineLevel="0" collapsed="false">
      <c r="A388" s="0" t="n">
        <v>1</v>
      </c>
      <c r="B388" s="0" t="n">
        <v>5</v>
      </c>
      <c r="C388" s="0" t="n">
        <v>9</v>
      </c>
      <c r="D388" s="0" t="n">
        <f aca="false">-1+A388*0.125</f>
        <v>-0.875</v>
      </c>
      <c r="E388" s="0" t="n">
        <f aca="false">-1+B388*0.125</f>
        <v>-0.375</v>
      </c>
      <c r="F388" s="0" t="n">
        <f aca="false">-1+C388*0.125</f>
        <v>0.125</v>
      </c>
      <c r="G388" s="0" t="n">
        <f aca="false">1</f>
        <v>1</v>
      </c>
      <c r="H388" s="0" t="n">
        <f aca="false">D388</f>
        <v>-0.875</v>
      </c>
      <c r="I388" s="0" t="n">
        <f aca="false">E388</f>
        <v>-0.375</v>
      </c>
      <c r="J388" s="0" t="n">
        <f aca="false">F388</f>
        <v>0.125</v>
      </c>
      <c r="K388" s="0" t="n">
        <f aca="false">D388*E388</f>
        <v>0.328125</v>
      </c>
      <c r="L388" s="0" t="n">
        <f aca="false">D388*F388</f>
        <v>-0.109375</v>
      </c>
      <c r="M388" s="0" t="n">
        <f aca="false">E388*F388</f>
        <v>-0.046875</v>
      </c>
      <c r="N388" s="0" t="n">
        <f aca="false">D388*D388</f>
        <v>0.765625</v>
      </c>
      <c r="O388" s="0" t="n">
        <f aca="false">E388*E388</f>
        <v>0.140625</v>
      </c>
      <c r="P388" s="0" t="n">
        <f aca="false">F388*F388</f>
        <v>0.015625</v>
      </c>
      <c r="Q388" s="0" t="n">
        <f aca="false">SUMPRODUCT(G388:P388,_XtX!$B$71:$K$71)</f>
        <v>43.6817826704545</v>
      </c>
      <c r="R388" s="0" t="n">
        <f aca="false">SUMPRODUCT(MMULT(G388:P388,_XtX!$B$58:$K$67),G388:P388)</f>
        <v>0.32900224165483</v>
      </c>
      <c r="S388" s="0" t="n">
        <f aca="false">04_回帰ANOVA!$K$19*04_回帰ANOVA!$K$14*SQRT(1+R388)</f>
        <v>1.07183884583628</v>
      </c>
      <c r="T388" s="0" t="n">
        <f aca="false">Q388-S388</f>
        <v>42.6099438246183</v>
      </c>
      <c r="U388" s="0" t="n">
        <f aca="false">Q388+S388</f>
        <v>44.7536215162908</v>
      </c>
      <c r="V388" s="54" t="b">
        <f aca="false">AND(D388&gt;=01_因子設定!$L$5-0.000000001,D388&lt;=01_因子設定!$M$5+0.000000001,E388&gt;=01_因子設定!$L$6-0.000000001,E388&lt;=01_因子設定!$M$6+0.000000001,F388&gt;=01_因子設定!$L$7-0.000000001,F388&lt;=01_因子設定!$M$7+0.000000001,IF(01_因子設定!$B$20="Box-Behnken",D388^2+E388^2+F388^2&lt;=2+0.000000001,TRUE()))</f>
        <v>1</v>
      </c>
      <c r="W388" s="55" t="n">
        <f aca="false">IF(V388,IF(01_因子設定!$B$13="最大化",T388-01_因子設定!$B$14,IF(01_因子設定!$B$13="最小化",01_因子設定!$B$15-U388,MIN(T388-01_因子設定!$B$14,01_因子設定!$B$15-U388))),-1E+030)</f>
        <v>-5.89005617538174</v>
      </c>
      <c r="X388" s="55" t="n">
        <f aca="false">IF(V388,IF(01_因子設定!$B$13="最大化",Q388,IF(01_因子設定!$B$13="最小化",-Q388,-ABS(Q388-01_因子設定!$B$16))),-1E+030)</f>
        <v>43.6817826704545</v>
      </c>
      <c r="Y388" s="55" t="n">
        <f aca="false">W388+ROW()*0.000000001</f>
        <v>-5.89005578738174</v>
      </c>
      <c r="Z388" s="55" t="n">
        <f aca="false">X388+ROW()*0.000000001</f>
        <v>43.6817830584545</v>
      </c>
    </row>
    <row r="389" customFormat="false" ht="15" hidden="false" customHeight="false" outlineLevel="0" collapsed="false">
      <c r="A389" s="0" t="n">
        <v>1</v>
      </c>
      <c r="B389" s="0" t="n">
        <v>5</v>
      </c>
      <c r="C389" s="0" t="n">
        <v>10</v>
      </c>
      <c r="D389" s="0" t="n">
        <f aca="false">-1+A389*0.125</f>
        <v>-0.875</v>
      </c>
      <c r="E389" s="0" t="n">
        <f aca="false">-1+B389*0.125</f>
        <v>-0.375</v>
      </c>
      <c r="F389" s="0" t="n">
        <f aca="false">-1+C389*0.125</f>
        <v>0.25</v>
      </c>
      <c r="G389" s="0" t="n">
        <f aca="false">1</f>
        <v>1</v>
      </c>
      <c r="H389" s="0" t="n">
        <f aca="false">D389</f>
        <v>-0.875</v>
      </c>
      <c r="I389" s="0" t="n">
        <f aca="false">E389</f>
        <v>-0.375</v>
      </c>
      <c r="J389" s="0" t="n">
        <f aca="false">F389</f>
        <v>0.25</v>
      </c>
      <c r="K389" s="0" t="n">
        <f aca="false">D389*E389</f>
        <v>0.328125</v>
      </c>
      <c r="L389" s="0" t="n">
        <f aca="false">D389*F389</f>
        <v>-0.21875</v>
      </c>
      <c r="M389" s="0" t="n">
        <f aca="false">E389*F389</f>
        <v>-0.09375</v>
      </c>
      <c r="N389" s="0" t="n">
        <f aca="false">D389*D389</f>
        <v>0.765625</v>
      </c>
      <c r="O389" s="0" t="n">
        <f aca="false">E389*E389</f>
        <v>0.140625</v>
      </c>
      <c r="P389" s="0" t="n">
        <f aca="false">F389*F389</f>
        <v>0.0625</v>
      </c>
      <c r="Q389" s="0" t="n">
        <f aca="false">SUMPRODUCT(G389:P389,_XtX!$B$71:$K$71)</f>
        <v>43.7944105113636</v>
      </c>
      <c r="R389" s="0" t="n">
        <f aca="false">SUMPRODUCT(MMULT(G389:P389,_XtX!$B$58:$K$67),G389:P389)</f>
        <v>0.324484530362216</v>
      </c>
      <c r="S389" s="0" t="n">
        <f aca="false">04_回帰ANOVA!$K$19*04_回帰ANOVA!$K$14*SQRT(1+R389)</f>
        <v>1.07001553041279</v>
      </c>
      <c r="T389" s="0" t="n">
        <f aca="false">Q389-S389</f>
        <v>42.7243949809508</v>
      </c>
      <c r="U389" s="0" t="n">
        <f aca="false">Q389+S389</f>
        <v>44.8644260417764</v>
      </c>
      <c r="V389" s="54" t="b">
        <f aca="false">AND(D389&gt;=01_因子設定!$L$5-0.000000001,D389&lt;=01_因子設定!$M$5+0.000000001,E389&gt;=01_因子設定!$L$6-0.000000001,E389&lt;=01_因子設定!$M$6+0.000000001,F389&gt;=01_因子設定!$L$7-0.000000001,F389&lt;=01_因子設定!$M$7+0.000000001,IF(01_因子設定!$B$20="Box-Behnken",D389^2+E389^2+F389^2&lt;=2+0.000000001,TRUE()))</f>
        <v>1</v>
      </c>
      <c r="W389" s="55" t="n">
        <f aca="false">IF(V389,IF(01_因子設定!$B$13="最大化",T389-01_因子設定!$B$14,IF(01_因子設定!$B$13="最小化",01_因子設定!$B$15-U389,MIN(T389-01_因子設定!$B$14,01_因子設定!$B$15-U389))),-1E+030)</f>
        <v>-5.77560501904916</v>
      </c>
      <c r="X389" s="55" t="n">
        <f aca="false">IF(V389,IF(01_因子設定!$B$13="最大化",Q389,IF(01_因子設定!$B$13="最小化",-Q389,-ABS(Q389-01_因子設定!$B$16))),-1E+030)</f>
        <v>43.7944105113636</v>
      </c>
      <c r="Y389" s="55" t="n">
        <f aca="false">W389+ROW()*0.000000001</f>
        <v>-5.77560463004916</v>
      </c>
      <c r="Z389" s="55" t="n">
        <f aca="false">X389+ROW()*0.000000001</f>
        <v>43.7944109003636</v>
      </c>
    </row>
    <row r="390" customFormat="false" ht="15" hidden="false" customHeight="false" outlineLevel="0" collapsed="false">
      <c r="A390" s="0" t="n">
        <v>1</v>
      </c>
      <c r="B390" s="0" t="n">
        <v>5</v>
      </c>
      <c r="C390" s="0" t="n">
        <v>11</v>
      </c>
      <c r="D390" s="0" t="n">
        <f aca="false">-1+A390*0.125</f>
        <v>-0.875</v>
      </c>
      <c r="E390" s="0" t="n">
        <f aca="false">-1+B390*0.125</f>
        <v>-0.375</v>
      </c>
      <c r="F390" s="0" t="n">
        <f aca="false">-1+C390*0.125</f>
        <v>0.375</v>
      </c>
      <c r="G390" s="0" t="n">
        <f aca="false">1</f>
        <v>1</v>
      </c>
      <c r="H390" s="0" t="n">
        <f aca="false">D390</f>
        <v>-0.875</v>
      </c>
      <c r="I390" s="0" t="n">
        <f aca="false">E390</f>
        <v>-0.375</v>
      </c>
      <c r="J390" s="0" t="n">
        <f aca="false">F390</f>
        <v>0.375</v>
      </c>
      <c r="K390" s="0" t="n">
        <f aca="false">D390*E390</f>
        <v>0.328125</v>
      </c>
      <c r="L390" s="0" t="n">
        <f aca="false">D390*F390</f>
        <v>-0.328125</v>
      </c>
      <c r="M390" s="0" t="n">
        <f aca="false">E390*F390</f>
        <v>-0.140625</v>
      </c>
      <c r="N390" s="0" t="n">
        <f aca="false">D390*D390</f>
        <v>0.765625</v>
      </c>
      <c r="O390" s="0" t="n">
        <f aca="false">E390*E390</f>
        <v>0.140625</v>
      </c>
      <c r="P390" s="0" t="n">
        <f aca="false">F390*F390</f>
        <v>0.140625</v>
      </c>
      <c r="Q390" s="0" t="n">
        <f aca="false">SUMPRODUCT(G390:P390,_XtX!$B$71:$K$71)</f>
        <v>43.8702485795454</v>
      </c>
      <c r="R390" s="0" t="n">
        <f aca="false">SUMPRODUCT(MMULT(G390:P390,_XtX!$B$58:$K$67),G390:P390)</f>
        <v>0.32050614790483</v>
      </c>
      <c r="S390" s="0" t="n">
        <f aca="false">04_回帰ANOVA!$K$19*04_回帰ANOVA!$K$14*SQRT(1+R390)</f>
        <v>1.06840730759619</v>
      </c>
      <c r="T390" s="0" t="n">
        <f aca="false">Q390-S390</f>
        <v>42.8018412719493</v>
      </c>
      <c r="U390" s="0" t="n">
        <f aca="false">Q390+S390</f>
        <v>44.9386558871416</v>
      </c>
      <c r="V390" s="54" t="b">
        <f aca="false">AND(D390&gt;=01_因子設定!$L$5-0.000000001,D390&lt;=01_因子設定!$M$5+0.000000001,E390&gt;=01_因子設定!$L$6-0.000000001,E390&lt;=01_因子設定!$M$6+0.000000001,F390&gt;=01_因子設定!$L$7-0.000000001,F390&lt;=01_因子設定!$M$7+0.000000001,IF(01_因子設定!$B$20="Box-Behnken",D390^2+E390^2+F390^2&lt;=2+0.000000001,TRUE()))</f>
        <v>1</v>
      </c>
      <c r="W390" s="55" t="n">
        <f aca="false">IF(V390,IF(01_因子設定!$B$13="最大化",T390-01_因子設定!$B$14,IF(01_因子設定!$B$13="最小化",01_因子設定!$B$15-U390,MIN(T390-01_因子設定!$B$14,01_因子設定!$B$15-U390))),-1E+030)</f>
        <v>-5.69815872805074</v>
      </c>
      <c r="X390" s="55" t="n">
        <f aca="false">IF(V390,IF(01_因子設定!$B$13="最大化",Q390,IF(01_因子設定!$B$13="最小化",-Q390,-ABS(Q390-01_因子設定!$B$16))),-1E+030)</f>
        <v>43.8702485795454</v>
      </c>
      <c r="Y390" s="55" t="n">
        <f aca="false">W390+ROW()*0.000000001</f>
        <v>-5.69815833805074</v>
      </c>
      <c r="Z390" s="55" t="n">
        <f aca="false">X390+ROW()*0.000000001</f>
        <v>43.8702489695454</v>
      </c>
    </row>
    <row r="391" customFormat="false" ht="15" hidden="false" customHeight="false" outlineLevel="0" collapsed="false">
      <c r="A391" s="0" t="n">
        <v>1</v>
      </c>
      <c r="B391" s="0" t="n">
        <v>5</v>
      </c>
      <c r="C391" s="0" t="n">
        <v>12</v>
      </c>
      <c r="D391" s="0" t="n">
        <f aca="false">-1+A391*0.125</f>
        <v>-0.875</v>
      </c>
      <c r="E391" s="0" t="n">
        <f aca="false">-1+B391*0.125</f>
        <v>-0.375</v>
      </c>
      <c r="F391" s="0" t="n">
        <f aca="false">-1+C391*0.125</f>
        <v>0.5</v>
      </c>
      <c r="G391" s="0" t="n">
        <f aca="false">1</f>
        <v>1</v>
      </c>
      <c r="H391" s="0" t="n">
        <f aca="false">D391</f>
        <v>-0.875</v>
      </c>
      <c r="I391" s="0" t="n">
        <f aca="false">E391</f>
        <v>-0.375</v>
      </c>
      <c r="J391" s="0" t="n">
        <f aca="false">F391</f>
        <v>0.5</v>
      </c>
      <c r="K391" s="0" t="n">
        <f aca="false">D391*E391</f>
        <v>0.328125</v>
      </c>
      <c r="L391" s="0" t="n">
        <f aca="false">D391*F391</f>
        <v>-0.4375</v>
      </c>
      <c r="M391" s="0" t="n">
        <f aca="false">E391*F391</f>
        <v>-0.1875</v>
      </c>
      <c r="N391" s="0" t="n">
        <f aca="false">D391*D391</f>
        <v>0.765625</v>
      </c>
      <c r="O391" s="0" t="n">
        <f aca="false">E391*E391</f>
        <v>0.140625</v>
      </c>
      <c r="P391" s="0" t="n">
        <f aca="false">F391*F391</f>
        <v>0.25</v>
      </c>
      <c r="Q391" s="0" t="n">
        <f aca="false">SUMPRODUCT(G391:P391,_XtX!$B$71:$K$71)</f>
        <v>43.909296875</v>
      </c>
      <c r="R391" s="0" t="n">
        <f aca="false">SUMPRODUCT(MMULT(G391:P391,_XtX!$B$58:$K$67),G391:P391)</f>
        <v>0.322393798828125</v>
      </c>
      <c r="S391" s="0" t="n">
        <f aca="false">04_回帰ANOVA!$K$19*04_回帰ANOVA!$K$14*SQRT(1+R391)</f>
        <v>1.06917067390712</v>
      </c>
      <c r="T391" s="0" t="n">
        <f aca="false">Q391-S391</f>
        <v>42.8401262010929</v>
      </c>
      <c r="U391" s="0" t="n">
        <f aca="false">Q391+S391</f>
        <v>44.9784675489071</v>
      </c>
      <c r="V391" s="54" t="b">
        <f aca="false">AND(D391&gt;=01_因子設定!$L$5-0.000000001,D391&lt;=01_因子設定!$M$5+0.000000001,E391&gt;=01_因子設定!$L$6-0.000000001,E391&lt;=01_因子設定!$M$6+0.000000001,F391&gt;=01_因子設定!$L$7-0.000000001,F391&lt;=01_因子設定!$M$7+0.000000001,IF(01_因子設定!$B$20="Box-Behnken",D391^2+E391^2+F391^2&lt;=2+0.000000001,TRUE()))</f>
        <v>1</v>
      </c>
      <c r="W391" s="55" t="n">
        <f aca="false">IF(V391,IF(01_因子設定!$B$13="最大化",T391-01_因子設定!$B$14,IF(01_因子設定!$B$13="最小化",01_因子設定!$B$15-U391,MIN(T391-01_因子設定!$B$14,01_因子設定!$B$15-U391))),-1E+030)</f>
        <v>-5.65987379890712</v>
      </c>
      <c r="X391" s="55" t="n">
        <f aca="false">IF(V391,IF(01_因子設定!$B$13="最大化",Q391,IF(01_因子設定!$B$13="最小化",-Q391,-ABS(Q391-01_因子設定!$B$16))),-1E+030)</f>
        <v>43.909296875</v>
      </c>
      <c r="Y391" s="55" t="n">
        <f aca="false">W391+ROW()*0.000000001</f>
        <v>-5.65987340790712</v>
      </c>
      <c r="Z391" s="55" t="n">
        <f aca="false">X391+ROW()*0.000000001</f>
        <v>43.909297266</v>
      </c>
    </row>
    <row r="392" customFormat="false" ht="15" hidden="false" customHeight="false" outlineLevel="0" collapsed="false">
      <c r="A392" s="0" t="n">
        <v>1</v>
      </c>
      <c r="B392" s="0" t="n">
        <v>5</v>
      </c>
      <c r="C392" s="0" t="n">
        <v>13</v>
      </c>
      <c r="D392" s="0" t="n">
        <f aca="false">-1+A392*0.125</f>
        <v>-0.875</v>
      </c>
      <c r="E392" s="0" t="n">
        <f aca="false">-1+B392*0.125</f>
        <v>-0.375</v>
      </c>
      <c r="F392" s="0" t="n">
        <f aca="false">-1+C392*0.125</f>
        <v>0.625</v>
      </c>
      <c r="G392" s="0" t="n">
        <f aca="false">1</f>
        <v>1</v>
      </c>
      <c r="H392" s="0" t="n">
        <f aca="false">D392</f>
        <v>-0.875</v>
      </c>
      <c r="I392" s="0" t="n">
        <f aca="false">E392</f>
        <v>-0.375</v>
      </c>
      <c r="J392" s="0" t="n">
        <f aca="false">F392</f>
        <v>0.625</v>
      </c>
      <c r="K392" s="0" t="n">
        <f aca="false">D392*E392</f>
        <v>0.328125</v>
      </c>
      <c r="L392" s="0" t="n">
        <f aca="false">D392*F392</f>
        <v>-0.546875</v>
      </c>
      <c r="M392" s="0" t="n">
        <f aca="false">E392*F392</f>
        <v>-0.234375</v>
      </c>
      <c r="N392" s="0" t="n">
        <f aca="false">D392*D392</f>
        <v>0.765625</v>
      </c>
      <c r="O392" s="0" t="n">
        <f aca="false">E392*E392</f>
        <v>0.140625</v>
      </c>
      <c r="P392" s="0" t="n">
        <f aca="false">F392*F392</f>
        <v>0.390625</v>
      </c>
      <c r="Q392" s="0" t="n">
        <f aca="false">SUMPRODUCT(G392:P392,_XtX!$B$71:$K$71)</f>
        <v>43.9115553977273</v>
      </c>
      <c r="R392" s="0" t="n">
        <f aca="false">SUMPRODUCT(MMULT(G392:P392,_XtX!$B$58:$K$67),G392:P392)</f>
        <v>0.337604869495739</v>
      </c>
      <c r="S392" s="0" t="n">
        <f aca="false">04_回帰ANOVA!$K$19*04_回帰ANOVA!$K$14*SQRT(1+R392)</f>
        <v>1.07530225516193</v>
      </c>
      <c r="T392" s="0" t="n">
        <f aca="false">Q392-S392</f>
        <v>42.8362531425653</v>
      </c>
      <c r="U392" s="0" t="n">
        <f aca="false">Q392+S392</f>
        <v>44.9868576528892</v>
      </c>
      <c r="V392" s="54" t="b">
        <f aca="false">AND(D392&gt;=01_因子設定!$L$5-0.000000001,D392&lt;=01_因子設定!$M$5+0.000000001,E392&gt;=01_因子設定!$L$6-0.000000001,E392&lt;=01_因子設定!$M$6+0.000000001,F392&gt;=01_因子設定!$L$7-0.000000001,F392&lt;=01_因子設定!$M$7+0.000000001,IF(01_因子設定!$B$20="Box-Behnken",D392^2+E392^2+F392^2&lt;=2+0.000000001,TRUE()))</f>
        <v>1</v>
      </c>
      <c r="W392" s="55" t="n">
        <f aca="false">IF(V392,IF(01_因子設定!$B$13="最大化",T392-01_因子設定!$B$14,IF(01_因子設定!$B$13="最小化",01_因子設定!$B$15-U392,MIN(T392-01_因子設定!$B$14,01_因子設定!$B$15-U392))),-1E+030)</f>
        <v>-5.66374685743466</v>
      </c>
      <c r="X392" s="55" t="n">
        <f aca="false">IF(V392,IF(01_因子設定!$B$13="最大化",Q392,IF(01_因子設定!$B$13="最小化",-Q392,-ABS(Q392-01_因子設定!$B$16))),-1E+030)</f>
        <v>43.9115553977273</v>
      </c>
      <c r="Y392" s="55" t="n">
        <f aca="false">W392+ROW()*0.000000001</f>
        <v>-5.66374646543466</v>
      </c>
      <c r="Z392" s="55" t="n">
        <f aca="false">X392+ROW()*0.000000001</f>
        <v>43.9115557897273</v>
      </c>
    </row>
    <row r="393" customFormat="false" ht="15" hidden="false" customHeight="false" outlineLevel="0" collapsed="false">
      <c r="A393" s="0" t="n">
        <v>1</v>
      </c>
      <c r="B393" s="0" t="n">
        <v>5</v>
      </c>
      <c r="C393" s="0" t="n">
        <v>14</v>
      </c>
      <c r="D393" s="0" t="n">
        <f aca="false">-1+A393*0.125</f>
        <v>-0.875</v>
      </c>
      <c r="E393" s="0" t="n">
        <f aca="false">-1+B393*0.125</f>
        <v>-0.375</v>
      </c>
      <c r="F393" s="0" t="n">
        <f aca="false">-1+C393*0.125</f>
        <v>0.75</v>
      </c>
      <c r="G393" s="0" t="n">
        <f aca="false">1</f>
        <v>1</v>
      </c>
      <c r="H393" s="0" t="n">
        <f aca="false">D393</f>
        <v>-0.875</v>
      </c>
      <c r="I393" s="0" t="n">
        <f aca="false">E393</f>
        <v>-0.375</v>
      </c>
      <c r="J393" s="0" t="n">
        <f aca="false">F393</f>
        <v>0.75</v>
      </c>
      <c r="K393" s="0" t="n">
        <f aca="false">D393*E393</f>
        <v>0.328125</v>
      </c>
      <c r="L393" s="0" t="n">
        <f aca="false">D393*F393</f>
        <v>-0.65625</v>
      </c>
      <c r="M393" s="0" t="n">
        <f aca="false">E393*F393</f>
        <v>-0.28125</v>
      </c>
      <c r="N393" s="0" t="n">
        <f aca="false">D393*D393</f>
        <v>0.765625</v>
      </c>
      <c r="O393" s="0" t="n">
        <f aca="false">E393*E393</f>
        <v>0.140625</v>
      </c>
      <c r="P393" s="0" t="n">
        <f aca="false">F393*F393</f>
        <v>0.5625</v>
      </c>
      <c r="Q393" s="0" t="n">
        <f aca="false">SUMPRODUCT(G393:P393,_XtX!$B$71:$K$71)</f>
        <v>43.8770241477273</v>
      </c>
      <c r="R393" s="0" t="n">
        <f aca="false">SUMPRODUCT(MMULT(G393:P393,_XtX!$B$58:$K$67),G393:P393)</f>
        <v>0.375727428089489</v>
      </c>
      <c r="S393" s="0" t="n">
        <f aca="false">04_回帰ANOVA!$K$19*04_回帰ANOVA!$K$14*SQRT(1+R393)</f>
        <v>1.09051798904087</v>
      </c>
      <c r="T393" s="0" t="n">
        <f aca="false">Q393-S393</f>
        <v>42.7865061586864</v>
      </c>
      <c r="U393" s="0" t="n">
        <f aca="false">Q393+S393</f>
        <v>44.9675421367682</v>
      </c>
      <c r="V393" s="54" t="b">
        <f aca="false">AND(D393&gt;=01_因子設定!$L$5-0.000000001,D393&lt;=01_因子設定!$M$5+0.000000001,E393&gt;=01_因子設定!$L$6-0.000000001,E393&lt;=01_因子設定!$M$6+0.000000001,F393&gt;=01_因子設定!$L$7-0.000000001,F393&lt;=01_因子設定!$M$7+0.000000001,IF(01_因子設定!$B$20="Box-Behnken",D393^2+E393^2+F393^2&lt;=2+0.000000001,TRUE()))</f>
        <v>1</v>
      </c>
      <c r="W393" s="55" t="n">
        <f aca="false">IF(V393,IF(01_因子設定!$B$13="最大化",T393-01_因子設定!$B$14,IF(01_因子設定!$B$13="最小化",01_因子設定!$B$15-U393,MIN(T393-01_因子設定!$B$14,01_因子設定!$B$15-U393))),-1E+030)</f>
        <v>-5.7134938413136</v>
      </c>
      <c r="X393" s="55" t="n">
        <f aca="false">IF(V393,IF(01_因子設定!$B$13="最大化",Q393,IF(01_因子設定!$B$13="最小化",-Q393,-ABS(Q393-01_因子設定!$B$16))),-1E+030)</f>
        <v>43.8770241477273</v>
      </c>
      <c r="Y393" s="55" t="n">
        <f aca="false">W393+ROW()*0.000000001</f>
        <v>-5.7134934483136</v>
      </c>
      <c r="Z393" s="55" t="n">
        <f aca="false">X393+ROW()*0.000000001</f>
        <v>43.8770245407273</v>
      </c>
    </row>
    <row r="394" customFormat="false" ht="15" hidden="false" customHeight="false" outlineLevel="0" collapsed="false">
      <c r="A394" s="0" t="n">
        <v>1</v>
      </c>
      <c r="B394" s="0" t="n">
        <v>5</v>
      </c>
      <c r="C394" s="0" t="n">
        <v>15</v>
      </c>
      <c r="D394" s="0" t="n">
        <f aca="false">-1+A394*0.125</f>
        <v>-0.875</v>
      </c>
      <c r="E394" s="0" t="n">
        <f aca="false">-1+B394*0.125</f>
        <v>-0.375</v>
      </c>
      <c r="F394" s="0" t="n">
        <f aca="false">-1+C394*0.125</f>
        <v>0.875</v>
      </c>
      <c r="G394" s="0" t="n">
        <f aca="false">1</f>
        <v>1</v>
      </c>
      <c r="H394" s="0" t="n">
        <f aca="false">D394</f>
        <v>-0.875</v>
      </c>
      <c r="I394" s="0" t="n">
        <f aca="false">E394</f>
        <v>-0.375</v>
      </c>
      <c r="J394" s="0" t="n">
        <f aca="false">F394</f>
        <v>0.875</v>
      </c>
      <c r="K394" s="0" t="n">
        <f aca="false">D394*E394</f>
        <v>0.328125</v>
      </c>
      <c r="L394" s="0" t="n">
        <f aca="false">D394*F394</f>
        <v>-0.765625</v>
      </c>
      <c r="M394" s="0" t="n">
        <f aca="false">E394*F394</f>
        <v>-0.328125</v>
      </c>
      <c r="N394" s="0" t="n">
        <f aca="false">D394*D394</f>
        <v>0.765625</v>
      </c>
      <c r="O394" s="0" t="n">
        <f aca="false">E394*E394</f>
        <v>0.140625</v>
      </c>
      <c r="P394" s="0" t="n">
        <f aca="false">F394*F394</f>
        <v>0.765625</v>
      </c>
      <c r="Q394" s="0" t="n">
        <f aca="false">SUMPRODUCT(G394:P394,_XtX!$B$71:$K$71)</f>
        <v>43.805703125</v>
      </c>
      <c r="R394" s="0" t="n">
        <f aca="false">SUMPRODUCT(MMULT(G394:P394,_XtX!$B$58:$K$67),G394:P394)</f>
        <v>0.448480224609375</v>
      </c>
      <c r="S394" s="0" t="n">
        <f aca="false">04_回帰ANOVA!$K$19*04_回帰ANOVA!$K$14*SQRT(1+R394)</f>
        <v>1.11898153812985</v>
      </c>
      <c r="T394" s="0" t="n">
        <f aca="false">Q394-S394</f>
        <v>42.6867215868702</v>
      </c>
      <c r="U394" s="0" t="n">
        <f aca="false">Q394+S394</f>
        <v>44.9246846631299</v>
      </c>
      <c r="V394" s="54" t="b">
        <f aca="false">AND(D394&gt;=01_因子設定!$L$5-0.000000001,D394&lt;=01_因子設定!$M$5+0.000000001,E394&gt;=01_因子設定!$L$6-0.000000001,E394&lt;=01_因子設定!$M$6+0.000000001,F394&gt;=01_因子設定!$L$7-0.000000001,F394&lt;=01_因子設定!$M$7+0.000000001,IF(01_因子設定!$B$20="Box-Behnken",D394^2+E394^2+F394^2&lt;=2+0.000000001,TRUE()))</f>
        <v>1</v>
      </c>
      <c r="W394" s="55" t="n">
        <f aca="false">IF(V394,IF(01_因子設定!$B$13="最大化",T394-01_因子設定!$B$14,IF(01_因子設定!$B$13="最小化",01_因子設定!$B$15-U394,MIN(T394-01_因子設定!$B$14,01_因子設定!$B$15-U394))),-1E+030)</f>
        <v>-5.81327841312984</v>
      </c>
      <c r="X394" s="55" t="n">
        <f aca="false">IF(V394,IF(01_因子設定!$B$13="最大化",Q394,IF(01_因子設定!$B$13="最小化",-Q394,-ABS(Q394-01_因子設定!$B$16))),-1E+030)</f>
        <v>43.805703125</v>
      </c>
      <c r="Y394" s="55" t="n">
        <f aca="false">W394+ROW()*0.000000001</f>
        <v>-5.81327801912984</v>
      </c>
      <c r="Z394" s="55" t="n">
        <f aca="false">X394+ROW()*0.000000001</f>
        <v>43.805703519</v>
      </c>
    </row>
    <row r="395" customFormat="false" ht="15" hidden="false" customHeight="false" outlineLevel="0" collapsed="false">
      <c r="A395" s="0" t="n">
        <v>1</v>
      </c>
      <c r="B395" s="0" t="n">
        <v>5</v>
      </c>
      <c r="C395" s="0" t="n">
        <v>16</v>
      </c>
      <c r="D395" s="0" t="n">
        <f aca="false">-1+A395*0.125</f>
        <v>-0.875</v>
      </c>
      <c r="E395" s="0" t="n">
        <f aca="false">-1+B395*0.125</f>
        <v>-0.375</v>
      </c>
      <c r="F395" s="0" t="n">
        <f aca="false">-1+C395*0.125</f>
        <v>1</v>
      </c>
      <c r="G395" s="0" t="n">
        <f aca="false">1</f>
        <v>1</v>
      </c>
      <c r="H395" s="0" t="n">
        <f aca="false">D395</f>
        <v>-0.875</v>
      </c>
      <c r="I395" s="0" t="n">
        <f aca="false">E395</f>
        <v>-0.375</v>
      </c>
      <c r="J395" s="0" t="n">
        <f aca="false">F395</f>
        <v>1</v>
      </c>
      <c r="K395" s="0" t="n">
        <f aca="false">D395*E395</f>
        <v>0.328125</v>
      </c>
      <c r="L395" s="0" t="n">
        <f aca="false">D395*F395</f>
        <v>-0.875</v>
      </c>
      <c r="M395" s="0" t="n">
        <f aca="false">E395*F395</f>
        <v>-0.375</v>
      </c>
      <c r="N395" s="0" t="n">
        <f aca="false">D395*D395</f>
        <v>0.765625</v>
      </c>
      <c r="O395" s="0" t="n">
        <f aca="false">E395*E395</f>
        <v>0.140625</v>
      </c>
      <c r="P395" s="0" t="n">
        <f aca="false">F395*F395</f>
        <v>1</v>
      </c>
      <c r="Q395" s="0" t="n">
        <f aca="false">SUMPRODUCT(G395:P395,_XtX!$B$71:$K$71)</f>
        <v>43.6975923295455</v>
      </c>
      <c r="R395" s="0" t="n">
        <f aca="false">SUMPRODUCT(MMULT(G395:P395,_XtX!$B$58:$K$67),G395:P395)</f>
        <v>0.56971269087358</v>
      </c>
      <c r="S395" s="0" t="n">
        <f aca="false">04_回帰ANOVA!$K$19*04_回帰ANOVA!$K$14*SQRT(1+R395)</f>
        <v>1.16486801567081</v>
      </c>
      <c r="T395" s="0" t="n">
        <f aca="false">Q395-S395</f>
        <v>42.5327243138747</v>
      </c>
      <c r="U395" s="0" t="n">
        <f aca="false">Q395+S395</f>
        <v>44.8624603452163</v>
      </c>
      <c r="V395" s="54" t="b">
        <f aca="false">AND(D395&gt;=01_因子設定!$L$5-0.000000001,D395&lt;=01_因子設定!$M$5+0.000000001,E395&gt;=01_因子設定!$L$6-0.000000001,E395&lt;=01_因子設定!$M$6+0.000000001,F395&gt;=01_因子設定!$L$7-0.000000001,F395&lt;=01_因子設定!$M$7+0.000000001,IF(01_因子設定!$B$20="Box-Behnken",D395^2+E395^2+F395^2&lt;=2+0.000000001,TRUE()))</f>
        <v>1</v>
      </c>
      <c r="W395" s="55" t="n">
        <f aca="false">IF(V395,IF(01_因子設定!$B$13="最大化",T395-01_因子設定!$B$14,IF(01_因子設定!$B$13="最小化",01_因子設定!$B$15-U395,MIN(T395-01_因子設定!$B$14,01_因子設定!$B$15-U395))),-1E+030)</f>
        <v>-5.96727568612534</v>
      </c>
      <c r="X395" s="55" t="n">
        <f aca="false">IF(V395,IF(01_因子設定!$B$13="最大化",Q395,IF(01_因子設定!$B$13="最小化",-Q395,-ABS(Q395-01_因子設定!$B$16))),-1E+030)</f>
        <v>43.6975923295455</v>
      </c>
      <c r="Y395" s="55" t="n">
        <f aca="false">W395+ROW()*0.000000001</f>
        <v>-5.96727529112534</v>
      </c>
      <c r="Z395" s="55" t="n">
        <f aca="false">X395+ROW()*0.000000001</f>
        <v>43.6975927245455</v>
      </c>
    </row>
    <row r="396" customFormat="false" ht="15" hidden="false" customHeight="false" outlineLevel="0" collapsed="false">
      <c r="A396" s="0" t="n">
        <v>1</v>
      </c>
      <c r="B396" s="0" t="n">
        <v>6</v>
      </c>
      <c r="C396" s="0" t="n">
        <v>0</v>
      </c>
      <c r="D396" s="0" t="n">
        <f aca="false">-1+A396*0.125</f>
        <v>-0.875</v>
      </c>
      <c r="E396" s="0" t="n">
        <f aca="false">-1+B396*0.125</f>
        <v>-0.25</v>
      </c>
      <c r="F396" s="0" t="n">
        <f aca="false">-1+C396*0.125</f>
        <v>-1</v>
      </c>
      <c r="G396" s="0" t="n">
        <f aca="false">1</f>
        <v>1</v>
      </c>
      <c r="H396" s="0" t="n">
        <f aca="false">D396</f>
        <v>-0.875</v>
      </c>
      <c r="I396" s="0" t="n">
        <f aca="false">E396</f>
        <v>-0.25</v>
      </c>
      <c r="J396" s="0" t="n">
        <f aca="false">F396</f>
        <v>-1</v>
      </c>
      <c r="K396" s="0" t="n">
        <f aca="false">D396*E396</f>
        <v>0.21875</v>
      </c>
      <c r="L396" s="0" t="n">
        <f aca="false">D396*F396</f>
        <v>0.875</v>
      </c>
      <c r="M396" s="0" t="n">
        <f aca="false">E396*F396</f>
        <v>0.25</v>
      </c>
      <c r="N396" s="0" t="n">
        <f aca="false">D396*D396</f>
        <v>0.765625</v>
      </c>
      <c r="O396" s="0" t="n">
        <f aca="false">E396*E396</f>
        <v>0.0625</v>
      </c>
      <c r="P396" s="0" t="n">
        <f aca="false">F396*F396</f>
        <v>1</v>
      </c>
      <c r="Q396" s="0" t="n">
        <f aca="false">SUMPRODUCT(G396:P396,_XtX!$B$71:$K$71)</f>
        <v>41.2394886363636</v>
      </c>
      <c r="R396" s="0" t="n">
        <f aca="false">SUMPRODUCT(MMULT(G396:P396,_XtX!$B$58:$K$67),G396:P396)</f>
        <v>0.583609286221591</v>
      </c>
      <c r="S396" s="0" t="n">
        <f aca="false">04_回帰ANOVA!$K$19*04_回帰ANOVA!$K$14*SQRT(1+R396)</f>
        <v>1.1700129157584</v>
      </c>
      <c r="T396" s="0" t="n">
        <f aca="false">Q396-S396</f>
        <v>40.0694757206053</v>
      </c>
      <c r="U396" s="0" t="n">
        <f aca="false">Q396+S396</f>
        <v>42.409501552122</v>
      </c>
      <c r="V396" s="54" t="b">
        <f aca="false">AND(D396&gt;=01_因子設定!$L$5-0.000000001,D396&lt;=01_因子設定!$M$5+0.000000001,E396&gt;=01_因子設定!$L$6-0.000000001,E396&lt;=01_因子設定!$M$6+0.000000001,F396&gt;=01_因子設定!$L$7-0.000000001,F396&lt;=01_因子設定!$M$7+0.000000001,IF(01_因子設定!$B$20="Box-Behnken",D396^2+E396^2+F396^2&lt;=2+0.000000001,TRUE()))</f>
        <v>1</v>
      </c>
      <c r="W396" s="55" t="n">
        <f aca="false">IF(V396,IF(01_因子設定!$B$13="最大化",T396-01_因子設定!$B$14,IF(01_因子設定!$B$13="最小化",01_因子設定!$B$15-U396,MIN(T396-01_因子設定!$B$14,01_因子設定!$B$15-U396))),-1E+030)</f>
        <v>-8.43052427939475</v>
      </c>
      <c r="X396" s="55" t="n">
        <f aca="false">IF(V396,IF(01_因子設定!$B$13="最大化",Q396,IF(01_因子設定!$B$13="最小化",-Q396,-ABS(Q396-01_因子設定!$B$16))),-1E+030)</f>
        <v>41.2394886363636</v>
      </c>
      <c r="Y396" s="55" t="n">
        <f aca="false">W396+ROW()*0.000000001</f>
        <v>-8.43052388339475</v>
      </c>
      <c r="Z396" s="55" t="n">
        <f aca="false">X396+ROW()*0.000000001</f>
        <v>41.2394890323636</v>
      </c>
    </row>
    <row r="397" customFormat="false" ht="15" hidden="false" customHeight="false" outlineLevel="0" collapsed="false">
      <c r="A397" s="0" t="n">
        <v>1</v>
      </c>
      <c r="B397" s="0" t="n">
        <v>6</v>
      </c>
      <c r="C397" s="0" t="n">
        <v>1</v>
      </c>
      <c r="D397" s="0" t="n">
        <f aca="false">-1+A397*0.125</f>
        <v>-0.875</v>
      </c>
      <c r="E397" s="0" t="n">
        <f aca="false">-1+B397*0.125</f>
        <v>-0.25</v>
      </c>
      <c r="F397" s="0" t="n">
        <f aca="false">-1+C397*0.125</f>
        <v>-0.875</v>
      </c>
      <c r="G397" s="0" t="n">
        <f aca="false">1</f>
        <v>1</v>
      </c>
      <c r="H397" s="0" t="n">
        <f aca="false">D397</f>
        <v>-0.875</v>
      </c>
      <c r="I397" s="0" t="n">
        <f aca="false">E397</f>
        <v>-0.25</v>
      </c>
      <c r="J397" s="0" t="n">
        <f aca="false">F397</f>
        <v>-0.875</v>
      </c>
      <c r="K397" s="0" t="n">
        <f aca="false">D397*E397</f>
        <v>0.21875</v>
      </c>
      <c r="L397" s="0" t="n">
        <f aca="false">D397*F397</f>
        <v>0.765625</v>
      </c>
      <c r="M397" s="0" t="n">
        <f aca="false">E397*F397</f>
        <v>0.21875</v>
      </c>
      <c r="N397" s="0" t="n">
        <f aca="false">D397*D397</f>
        <v>0.765625</v>
      </c>
      <c r="O397" s="0" t="n">
        <f aca="false">E397*E397</f>
        <v>0.0625</v>
      </c>
      <c r="P397" s="0" t="n">
        <f aca="false">F397*F397</f>
        <v>0.765625</v>
      </c>
      <c r="Q397" s="0" t="n">
        <f aca="false">SUMPRODUCT(G397:P397,_XtX!$B$71:$K$71)</f>
        <v>41.6902556818182</v>
      </c>
      <c r="R397" s="0" t="n">
        <f aca="false">SUMPRODUCT(MMULT(G397:P397,_XtX!$B$58:$K$67),G397:P397)</f>
        <v>0.459671852805398</v>
      </c>
      <c r="S397" s="0" t="n">
        <f aca="false">04_回帰ANOVA!$K$19*04_回帰ANOVA!$K$14*SQRT(1+R397)</f>
        <v>1.12329610455115</v>
      </c>
      <c r="T397" s="0" t="n">
        <f aca="false">Q397-S397</f>
        <v>40.566959577267</v>
      </c>
      <c r="U397" s="0" t="n">
        <f aca="false">Q397+S397</f>
        <v>42.8135517863693</v>
      </c>
      <c r="V397" s="54" t="b">
        <f aca="false">AND(D397&gt;=01_因子設定!$L$5-0.000000001,D397&lt;=01_因子設定!$M$5+0.000000001,E397&gt;=01_因子設定!$L$6-0.000000001,E397&lt;=01_因子設定!$M$6+0.000000001,F397&gt;=01_因子設定!$L$7-0.000000001,F397&lt;=01_因子設定!$M$7+0.000000001,IF(01_因子設定!$B$20="Box-Behnken",D397^2+E397^2+F397^2&lt;=2+0.000000001,TRUE()))</f>
        <v>1</v>
      </c>
      <c r="W397" s="55" t="n">
        <f aca="false">IF(V397,IF(01_因子設定!$B$13="最大化",T397-01_因子設定!$B$14,IF(01_因子設定!$B$13="最小化",01_因子設定!$B$15-U397,MIN(T397-01_因子設定!$B$14,01_因子設定!$B$15-U397))),-1E+030)</f>
        <v>-7.93304042273297</v>
      </c>
      <c r="X397" s="55" t="n">
        <f aca="false">IF(V397,IF(01_因子設定!$B$13="最大化",Q397,IF(01_因子設定!$B$13="最小化",-Q397,-ABS(Q397-01_因子設定!$B$16))),-1E+030)</f>
        <v>41.6902556818182</v>
      </c>
      <c r="Y397" s="55" t="n">
        <f aca="false">W397+ROW()*0.000000001</f>
        <v>-7.93304002573297</v>
      </c>
      <c r="Z397" s="55" t="n">
        <f aca="false">X397+ROW()*0.000000001</f>
        <v>41.6902560788182</v>
      </c>
    </row>
    <row r="398" customFormat="false" ht="15" hidden="false" customHeight="false" outlineLevel="0" collapsed="false">
      <c r="A398" s="0" t="n">
        <v>1</v>
      </c>
      <c r="B398" s="0" t="n">
        <v>6</v>
      </c>
      <c r="C398" s="0" t="n">
        <v>2</v>
      </c>
      <c r="D398" s="0" t="n">
        <f aca="false">-1+A398*0.125</f>
        <v>-0.875</v>
      </c>
      <c r="E398" s="0" t="n">
        <f aca="false">-1+B398*0.125</f>
        <v>-0.25</v>
      </c>
      <c r="F398" s="0" t="n">
        <f aca="false">-1+C398*0.125</f>
        <v>-0.75</v>
      </c>
      <c r="G398" s="0" t="n">
        <f aca="false">1</f>
        <v>1</v>
      </c>
      <c r="H398" s="0" t="n">
        <f aca="false">D398</f>
        <v>-0.875</v>
      </c>
      <c r="I398" s="0" t="n">
        <f aca="false">E398</f>
        <v>-0.25</v>
      </c>
      <c r="J398" s="0" t="n">
        <f aca="false">F398</f>
        <v>-0.75</v>
      </c>
      <c r="K398" s="0" t="n">
        <f aca="false">D398*E398</f>
        <v>0.21875</v>
      </c>
      <c r="L398" s="0" t="n">
        <f aca="false">D398*F398</f>
        <v>0.65625</v>
      </c>
      <c r="M398" s="0" t="n">
        <f aca="false">E398*F398</f>
        <v>0.1875</v>
      </c>
      <c r="N398" s="0" t="n">
        <f aca="false">D398*D398</f>
        <v>0.765625</v>
      </c>
      <c r="O398" s="0" t="n">
        <f aca="false">E398*E398</f>
        <v>0.0625</v>
      </c>
      <c r="P398" s="0" t="n">
        <f aca="false">F398*F398</f>
        <v>0.5625</v>
      </c>
      <c r="Q398" s="0" t="n">
        <f aca="false">SUMPRODUCT(G398:P398,_XtX!$B$71:$K$71)</f>
        <v>42.1042329545455</v>
      </c>
      <c r="R398" s="0" t="n">
        <f aca="false">SUMPRODUCT(MMULT(G398:P398,_XtX!$B$58:$K$67),G398:P398)</f>
        <v>0.384574751420455</v>
      </c>
      <c r="S398" s="0" t="n">
        <f aca="false">04_回帰ANOVA!$K$19*04_回帰ANOVA!$K$14*SQRT(1+R398)</f>
        <v>1.0940189380139</v>
      </c>
      <c r="T398" s="0" t="n">
        <f aca="false">Q398-S398</f>
        <v>41.0102140165316</v>
      </c>
      <c r="U398" s="0" t="n">
        <f aca="false">Q398+S398</f>
        <v>43.1982518925594</v>
      </c>
      <c r="V398" s="54" t="b">
        <f aca="false">AND(D398&gt;=01_因子設定!$L$5-0.000000001,D398&lt;=01_因子設定!$M$5+0.000000001,E398&gt;=01_因子設定!$L$6-0.000000001,E398&lt;=01_因子設定!$M$6+0.000000001,F398&gt;=01_因子設定!$L$7-0.000000001,F398&lt;=01_因子設定!$M$7+0.000000001,IF(01_因子設定!$B$20="Box-Behnken",D398^2+E398^2+F398^2&lt;=2+0.000000001,TRUE()))</f>
        <v>1</v>
      </c>
      <c r="W398" s="55" t="n">
        <f aca="false">IF(V398,IF(01_因子設定!$B$13="最大化",T398-01_因子設定!$B$14,IF(01_因子設定!$B$13="最小化",01_因子設定!$B$15-U398,MIN(T398-01_因子設定!$B$14,01_因子設定!$B$15-U398))),-1E+030)</f>
        <v>-7.48978598346844</v>
      </c>
      <c r="X398" s="55" t="n">
        <f aca="false">IF(V398,IF(01_因子設定!$B$13="最大化",Q398,IF(01_因子設定!$B$13="最小化",-Q398,-ABS(Q398-01_因子設定!$B$16))),-1E+030)</f>
        <v>42.1042329545455</v>
      </c>
      <c r="Y398" s="55" t="n">
        <f aca="false">W398+ROW()*0.000000001</f>
        <v>-7.48978558546844</v>
      </c>
      <c r="Z398" s="55" t="n">
        <f aca="false">X398+ROW()*0.000000001</f>
        <v>42.1042333525455</v>
      </c>
    </row>
    <row r="399" customFormat="false" ht="15" hidden="false" customHeight="false" outlineLevel="0" collapsed="false">
      <c r="A399" s="0" t="n">
        <v>1</v>
      </c>
      <c r="B399" s="0" t="n">
        <v>6</v>
      </c>
      <c r="C399" s="0" t="n">
        <v>3</v>
      </c>
      <c r="D399" s="0" t="n">
        <f aca="false">-1+A399*0.125</f>
        <v>-0.875</v>
      </c>
      <c r="E399" s="0" t="n">
        <f aca="false">-1+B399*0.125</f>
        <v>-0.25</v>
      </c>
      <c r="F399" s="0" t="n">
        <f aca="false">-1+C399*0.125</f>
        <v>-0.625</v>
      </c>
      <c r="G399" s="0" t="n">
        <f aca="false">1</f>
        <v>1</v>
      </c>
      <c r="H399" s="0" t="n">
        <f aca="false">D399</f>
        <v>-0.875</v>
      </c>
      <c r="I399" s="0" t="n">
        <f aca="false">E399</f>
        <v>-0.25</v>
      </c>
      <c r="J399" s="0" t="n">
        <f aca="false">F399</f>
        <v>-0.625</v>
      </c>
      <c r="K399" s="0" t="n">
        <f aca="false">D399*E399</f>
        <v>0.21875</v>
      </c>
      <c r="L399" s="0" t="n">
        <f aca="false">D399*F399</f>
        <v>0.546875</v>
      </c>
      <c r="M399" s="0" t="n">
        <f aca="false">E399*F399</f>
        <v>0.15625</v>
      </c>
      <c r="N399" s="0" t="n">
        <f aca="false">D399*D399</f>
        <v>0.765625</v>
      </c>
      <c r="O399" s="0" t="n">
        <f aca="false">E399*E399</f>
        <v>0.0625</v>
      </c>
      <c r="P399" s="0" t="n">
        <f aca="false">F399*F399</f>
        <v>0.390625</v>
      </c>
      <c r="Q399" s="0" t="n">
        <f aca="false">SUMPRODUCT(G399:P399,_XtX!$B$71:$K$71)</f>
        <v>42.4814204545455</v>
      </c>
      <c r="R399" s="0" t="n">
        <f aca="false">SUMPRODUCT(MMULT(G399:P399,_XtX!$B$58:$K$67),G399:P399)</f>
        <v>0.34446855024858</v>
      </c>
      <c r="S399" s="0" t="n">
        <f aca="false">04_回帰ANOVA!$K$19*04_回帰ANOVA!$K$14*SQRT(1+R399)</f>
        <v>1.07805758590432</v>
      </c>
      <c r="T399" s="0" t="n">
        <f aca="false">Q399-S399</f>
        <v>41.4033628686411</v>
      </c>
      <c r="U399" s="0" t="n">
        <f aca="false">Q399+S399</f>
        <v>43.5594780404498</v>
      </c>
      <c r="V399" s="54" t="b">
        <f aca="false">AND(D399&gt;=01_因子設定!$L$5-0.000000001,D399&lt;=01_因子設定!$M$5+0.000000001,E399&gt;=01_因子設定!$L$6-0.000000001,E399&lt;=01_因子設定!$M$6+0.000000001,F399&gt;=01_因子設定!$L$7-0.000000001,F399&lt;=01_因子設定!$M$7+0.000000001,IF(01_因子設定!$B$20="Box-Behnken",D399^2+E399^2+F399^2&lt;=2+0.000000001,TRUE()))</f>
        <v>1</v>
      </c>
      <c r="W399" s="55" t="n">
        <f aca="false">IF(V399,IF(01_因子設定!$B$13="最大化",T399-01_因子設定!$B$14,IF(01_因子設定!$B$13="最小化",01_因子設定!$B$15-U399,MIN(T399-01_因子設定!$B$14,01_因子設定!$B$15-U399))),-1E+030)</f>
        <v>-7.09663713135886</v>
      </c>
      <c r="X399" s="55" t="n">
        <f aca="false">IF(V399,IF(01_因子設定!$B$13="最大化",Q399,IF(01_因子設定!$B$13="最小化",-Q399,-ABS(Q399-01_因子設定!$B$16))),-1E+030)</f>
        <v>42.4814204545455</v>
      </c>
      <c r="Y399" s="55" t="n">
        <f aca="false">W399+ROW()*0.000000001</f>
        <v>-7.09663673235886</v>
      </c>
      <c r="Z399" s="55" t="n">
        <f aca="false">X399+ROW()*0.000000001</f>
        <v>42.4814208535455</v>
      </c>
    </row>
    <row r="400" customFormat="false" ht="15" hidden="false" customHeight="false" outlineLevel="0" collapsed="false">
      <c r="A400" s="0" t="n">
        <v>1</v>
      </c>
      <c r="B400" s="0" t="n">
        <v>6</v>
      </c>
      <c r="C400" s="0" t="n">
        <v>4</v>
      </c>
      <c r="D400" s="0" t="n">
        <f aca="false">-1+A400*0.125</f>
        <v>-0.875</v>
      </c>
      <c r="E400" s="0" t="n">
        <f aca="false">-1+B400*0.125</f>
        <v>-0.25</v>
      </c>
      <c r="F400" s="0" t="n">
        <f aca="false">-1+C400*0.125</f>
        <v>-0.5</v>
      </c>
      <c r="G400" s="0" t="n">
        <f aca="false">1</f>
        <v>1</v>
      </c>
      <c r="H400" s="0" t="n">
        <f aca="false">D400</f>
        <v>-0.875</v>
      </c>
      <c r="I400" s="0" t="n">
        <f aca="false">E400</f>
        <v>-0.25</v>
      </c>
      <c r="J400" s="0" t="n">
        <f aca="false">F400</f>
        <v>-0.5</v>
      </c>
      <c r="K400" s="0" t="n">
        <f aca="false">D400*E400</f>
        <v>0.21875</v>
      </c>
      <c r="L400" s="0" t="n">
        <f aca="false">D400*F400</f>
        <v>0.4375</v>
      </c>
      <c r="M400" s="0" t="n">
        <f aca="false">E400*F400</f>
        <v>0.125</v>
      </c>
      <c r="N400" s="0" t="n">
        <f aca="false">D400*D400</f>
        <v>0.765625</v>
      </c>
      <c r="O400" s="0" t="n">
        <f aca="false">E400*E400</f>
        <v>0.0625</v>
      </c>
      <c r="P400" s="0" t="n">
        <f aca="false">F400*F400</f>
        <v>0.25</v>
      </c>
      <c r="Q400" s="0" t="n">
        <f aca="false">SUMPRODUCT(G400:P400,_XtX!$B$71:$K$71)</f>
        <v>42.8218181818182</v>
      </c>
      <c r="R400" s="0" t="n">
        <f aca="false">SUMPRODUCT(MMULT(G400:P400,_XtX!$B$58:$K$67),G400:P400)</f>
        <v>0.327634499289773</v>
      </c>
      <c r="S400" s="0" t="n">
        <f aca="false">04_回帰ANOVA!$K$19*04_回帰ANOVA!$K$14*SQRT(1+R400)</f>
        <v>1.07128716250217</v>
      </c>
      <c r="T400" s="0" t="n">
        <f aca="false">Q400-S400</f>
        <v>41.750531019316</v>
      </c>
      <c r="U400" s="0" t="n">
        <f aca="false">Q400+S400</f>
        <v>43.8931053443204</v>
      </c>
      <c r="V400" s="54" t="b">
        <f aca="false">AND(D400&gt;=01_因子設定!$L$5-0.000000001,D400&lt;=01_因子設定!$M$5+0.000000001,E400&gt;=01_因子設定!$L$6-0.000000001,E400&lt;=01_因子設定!$M$6+0.000000001,F400&gt;=01_因子設定!$L$7-0.000000001,F400&lt;=01_因子設定!$M$7+0.000000001,IF(01_因子設定!$B$20="Box-Behnken",D400^2+E400^2+F400^2&lt;=2+0.000000001,TRUE()))</f>
        <v>1</v>
      </c>
      <c r="W400" s="55" t="n">
        <f aca="false">IF(V400,IF(01_因子設定!$B$13="最大化",T400-01_因子設定!$B$14,IF(01_因子設定!$B$13="最小化",01_因子設定!$B$15-U400,MIN(T400-01_因子設定!$B$14,01_因子設定!$B$15-U400))),-1E+030)</f>
        <v>-6.74946898068399</v>
      </c>
      <c r="X400" s="55" t="n">
        <f aca="false">IF(V400,IF(01_因子設定!$B$13="最大化",Q400,IF(01_因子設定!$B$13="最小化",-Q400,-ABS(Q400-01_因子設定!$B$16))),-1E+030)</f>
        <v>42.8218181818182</v>
      </c>
      <c r="Y400" s="55" t="n">
        <f aca="false">W400+ROW()*0.000000001</f>
        <v>-6.74946858068399</v>
      </c>
      <c r="Z400" s="55" t="n">
        <f aca="false">X400+ROW()*0.000000001</f>
        <v>42.8218185818182</v>
      </c>
    </row>
    <row r="401" customFormat="false" ht="15" hidden="false" customHeight="false" outlineLevel="0" collapsed="false">
      <c r="A401" s="0" t="n">
        <v>1</v>
      </c>
      <c r="B401" s="0" t="n">
        <v>6</v>
      </c>
      <c r="C401" s="0" t="n">
        <v>5</v>
      </c>
      <c r="D401" s="0" t="n">
        <f aca="false">-1+A401*0.125</f>
        <v>-0.875</v>
      </c>
      <c r="E401" s="0" t="n">
        <f aca="false">-1+B401*0.125</f>
        <v>-0.25</v>
      </c>
      <c r="F401" s="0" t="n">
        <f aca="false">-1+C401*0.125</f>
        <v>-0.375</v>
      </c>
      <c r="G401" s="0" t="n">
        <f aca="false">1</f>
        <v>1</v>
      </c>
      <c r="H401" s="0" t="n">
        <f aca="false">D401</f>
        <v>-0.875</v>
      </c>
      <c r="I401" s="0" t="n">
        <f aca="false">E401</f>
        <v>-0.25</v>
      </c>
      <c r="J401" s="0" t="n">
        <f aca="false">F401</f>
        <v>-0.375</v>
      </c>
      <c r="K401" s="0" t="n">
        <f aca="false">D401*E401</f>
        <v>0.21875</v>
      </c>
      <c r="L401" s="0" t="n">
        <f aca="false">D401*F401</f>
        <v>0.328125</v>
      </c>
      <c r="M401" s="0" t="n">
        <f aca="false">E401*F401</f>
        <v>0.09375</v>
      </c>
      <c r="N401" s="0" t="n">
        <f aca="false">D401*D401</f>
        <v>0.765625</v>
      </c>
      <c r="O401" s="0" t="n">
        <f aca="false">E401*E401</f>
        <v>0.0625</v>
      </c>
      <c r="P401" s="0" t="n">
        <f aca="false">F401*F401</f>
        <v>0.140625</v>
      </c>
      <c r="Q401" s="0" t="n">
        <f aca="false">SUMPRODUCT(G401:P401,_XtX!$B$71:$K$71)</f>
        <v>43.1254261363636</v>
      </c>
      <c r="R401" s="0" t="n">
        <f aca="false">SUMPRODUCT(MMULT(G401:P401,_XtX!$B$58:$K$67),G401:P401)</f>
        <v>0.324484530362216</v>
      </c>
      <c r="S401" s="0" t="n">
        <f aca="false">04_回帰ANOVA!$K$19*04_回帰ANOVA!$K$14*SQRT(1+R401)</f>
        <v>1.07001553041279</v>
      </c>
      <c r="T401" s="0" t="n">
        <f aca="false">Q401-S401</f>
        <v>42.0554106059508</v>
      </c>
      <c r="U401" s="0" t="n">
        <f aca="false">Q401+S401</f>
        <v>44.1954416667764</v>
      </c>
      <c r="V401" s="54" t="b">
        <f aca="false">AND(D401&gt;=01_因子設定!$L$5-0.000000001,D401&lt;=01_因子設定!$M$5+0.000000001,E401&gt;=01_因子設定!$L$6-0.000000001,E401&lt;=01_因子設定!$M$6+0.000000001,F401&gt;=01_因子設定!$L$7-0.000000001,F401&lt;=01_因子設定!$M$7+0.000000001,IF(01_因子設定!$B$20="Box-Behnken",D401^2+E401^2+F401^2&lt;=2+0.000000001,TRUE()))</f>
        <v>1</v>
      </c>
      <c r="W401" s="55" t="n">
        <f aca="false">IF(V401,IF(01_因子設定!$B$13="最大化",T401-01_因子設定!$B$14,IF(01_因子設定!$B$13="最小化",01_因子設定!$B$15-U401,MIN(T401-01_因子設定!$B$14,01_因子設定!$B$15-U401))),-1E+030)</f>
        <v>-6.44458939404916</v>
      </c>
      <c r="X401" s="55" t="n">
        <f aca="false">IF(V401,IF(01_因子設定!$B$13="最大化",Q401,IF(01_因子設定!$B$13="最小化",-Q401,-ABS(Q401-01_因子設定!$B$16))),-1E+030)</f>
        <v>43.1254261363636</v>
      </c>
      <c r="Y401" s="55" t="n">
        <f aca="false">W401+ROW()*0.000000001</f>
        <v>-6.44458899304916</v>
      </c>
      <c r="Z401" s="55" t="n">
        <f aca="false">X401+ROW()*0.000000001</f>
        <v>43.1254265373636</v>
      </c>
    </row>
    <row r="402" customFormat="false" ht="15" hidden="false" customHeight="false" outlineLevel="0" collapsed="false">
      <c r="A402" s="0" t="n">
        <v>1</v>
      </c>
      <c r="B402" s="0" t="n">
        <v>6</v>
      </c>
      <c r="C402" s="0" t="n">
        <v>6</v>
      </c>
      <c r="D402" s="0" t="n">
        <f aca="false">-1+A402*0.125</f>
        <v>-0.875</v>
      </c>
      <c r="E402" s="0" t="n">
        <f aca="false">-1+B402*0.125</f>
        <v>-0.25</v>
      </c>
      <c r="F402" s="0" t="n">
        <f aca="false">-1+C402*0.125</f>
        <v>-0.25</v>
      </c>
      <c r="G402" s="0" t="n">
        <f aca="false">1</f>
        <v>1</v>
      </c>
      <c r="H402" s="0" t="n">
        <f aca="false">D402</f>
        <v>-0.875</v>
      </c>
      <c r="I402" s="0" t="n">
        <f aca="false">E402</f>
        <v>-0.25</v>
      </c>
      <c r="J402" s="0" t="n">
        <f aca="false">F402</f>
        <v>-0.25</v>
      </c>
      <c r="K402" s="0" t="n">
        <f aca="false">D402*E402</f>
        <v>0.21875</v>
      </c>
      <c r="L402" s="0" t="n">
        <f aca="false">D402*F402</f>
        <v>0.21875</v>
      </c>
      <c r="M402" s="0" t="n">
        <f aca="false">E402*F402</f>
        <v>0.0625</v>
      </c>
      <c r="N402" s="0" t="n">
        <f aca="false">D402*D402</f>
        <v>0.765625</v>
      </c>
      <c r="O402" s="0" t="n">
        <f aca="false">E402*E402</f>
        <v>0.0625</v>
      </c>
      <c r="P402" s="0" t="n">
        <f aca="false">F402*F402</f>
        <v>0.0625</v>
      </c>
      <c r="Q402" s="0" t="n">
        <f aca="false">SUMPRODUCT(G402:P402,_XtX!$B$71:$K$71)</f>
        <v>43.3922443181818</v>
      </c>
      <c r="R402" s="0" t="n">
        <f aca="false">SUMPRODUCT(MMULT(G402:P402,_XtX!$B$58:$K$67),G402:P402)</f>
        <v>0.327561257102273</v>
      </c>
      <c r="S402" s="0" t="n">
        <f aca="false">04_回帰ANOVA!$K$19*04_回帰ANOVA!$K$14*SQRT(1+R402)</f>
        <v>1.07125761201315</v>
      </c>
      <c r="T402" s="0" t="n">
        <f aca="false">Q402-S402</f>
        <v>42.3209867061687</v>
      </c>
      <c r="U402" s="0" t="n">
        <f aca="false">Q402+S402</f>
        <v>44.463501930195</v>
      </c>
      <c r="V402" s="54" t="b">
        <f aca="false">AND(D402&gt;=01_因子設定!$L$5-0.000000001,D402&lt;=01_因子設定!$M$5+0.000000001,E402&gt;=01_因子設定!$L$6-0.000000001,E402&lt;=01_因子設定!$M$6+0.000000001,F402&gt;=01_因子設定!$L$7-0.000000001,F402&lt;=01_因子設定!$M$7+0.000000001,IF(01_因子設定!$B$20="Box-Behnken",D402^2+E402^2+F402^2&lt;=2+0.000000001,TRUE()))</f>
        <v>1</v>
      </c>
      <c r="W402" s="55" t="n">
        <f aca="false">IF(V402,IF(01_因子設定!$B$13="最大化",T402-01_因子設定!$B$14,IF(01_因子設定!$B$13="最小化",01_因子設定!$B$15-U402,MIN(T402-01_因子設定!$B$14,01_因子設定!$B$15-U402))),-1E+030)</f>
        <v>-6.17901329383134</v>
      </c>
      <c r="X402" s="55" t="n">
        <f aca="false">IF(V402,IF(01_因子設定!$B$13="最大化",Q402,IF(01_因子設定!$B$13="最小化",-Q402,-ABS(Q402-01_因子設定!$B$16))),-1E+030)</f>
        <v>43.3922443181818</v>
      </c>
      <c r="Y402" s="55" t="n">
        <f aca="false">W402+ROW()*0.000000001</f>
        <v>-6.17901289183134</v>
      </c>
      <c r="Z402" s="55" t="n">
        <f aca="false">X402+ROW()*0.000000001</f>
        <v>43.3922447201818</v>
      </c>
    </row>
    <row r="403" customFormat="false" ht="15" hidden="false" customHeight="false" outlineLevel="0" collapsed="false">
      <c r="A403" s="0" t="n">
        <v>1</v>
      </c>
      <c r="B403" s="0" t="n">
        <v>6</v>
      </c>
      <c r="C403" s="0" t="n">
        <v>7</v>
      </c>
      <c r="D403" s="0" t="n">
        <f aca="false">-1+A403*0.125</f>
        <v>-0.875</v>
      </c>
      <c r="E403" s="0" t="n">
        <f aca="false">-1+B403*0.125</f>
        <v>-0.25</v>
      </c>
      <c r="F403" s="0" t="n">
        <f aca="false">-1+C403*0.125</f>
        <v>-0.125</v>
      </c>
      <c r="G403" s="0" t="n">
        <f aca="false">1</f>
        <v>1</v>
      </c>
      <c r="H403" s="0" t="n">
        <f aca="false">D403</f>
        <v>-0.875</v>
      </c>
      <c r="I403" s="0" t="n">
        <f aca="false">E403</f>
        <v>-0.25</v>
      </c>
      <c r="J403" s="0" t="n">
        <f aca="false">F403</f>
        <v>-0.125</v>
      </c>
      <c r="K403" s="0" t="n">
        <f aca="false">D403*E403</f>
        <v>0.21875</v>
      </c>
      <c r="L403" s="0" t="n">
        <f aca="false">D403*F403</f>
        <v>0.109375</v>
      </c>
      <c r="M403" s="0" t="n">
        <f aca="false">E403*F403</f>
        <v>0.03125</v>
      </c>
      <c r="N403" s="0" t="n">
        <f aca="false">D403*D403</f>
        <v>0.765625</v>
      </c>
      <c r="O403" s="0" t="n">
        <f aca="false">E403*E403</f>
        <v>0.0625</v>
      </c>
      <c r="P403" s="0" t="n">
        <f aca="false">F403*F403</f>
        <v>0.015625</v>
      </c>
      <c r="Q403" s="0" t="n">
        <f aca="false">SUMPRODUCT(G403:P403,_XtX!$B$71:$K$71)</f>
        <v>43.6222727272727</v>
      </c>
      <c r="R403" s="0" t="n">
        <f aca="false">SUMPRODUCT(MMULT(G403:P403,_XtX!$B$58:$K$67),G403:P403)</f>
        <v>0.331537974964489</v>
      </c>
      <c r="S403" s="0" t="n">
        <f aca="false">04_回帰ANOVA!$K$19*04_回帰ANOVA!$K$14*SQRT(1+R403)</f>
        <v>1.07286089161565</v>
      </c>
      <c r="T403" s="0" t="n">
        <f aca="false">Q403-S403</f>
        <v>42.5494118356571</v>
      </c>
      <c r="U403" s="0" t="n">
        <f aca="false">Q403+S403</f>
        <v>44.6951336188884</v>
      </c>
      <c r="V403" s="54" t="b">
        <f aca="false">AND(D403&gt;=01_因子設定!$L$5-0.000000001,D403&lt;=01_因子設定!$M$5+0.000000001,E403&gt;=01_因子設定!$L$6-0.000000001,E403&lt;=01_因子設定!$M$6+0.000000001,F403&gt;=01_因子設定!$L$7-0.000000001,F403&lt;=01_因子設定!$M$7+0.000000001,IF(01_因子設定!$B$20="Box-Behnken",D403^2+E403^2+F403^2&lt;=2+0.000000001,TRUE()))</f>
        <v>1</v>
      </c>
      <c r="W403" s="55" t="n">
        <f aca="false">IF(V403,IF(01_因子設定!$B$13="最大化",T403-01_因子設定!$B$14,IF(01_因子設定!$B$13="最小化",01_因子設定!$B$15-U403,MIN(T403-01_因子設定!$B$14,01_因子設定!$B$15-U403))),-1E+030)</f>
        <v>-5.95058816434293</v>
      </c>
      <c r="X403" s="55" t="n">
        <f aca="false">IF(V403,IF(01_因子設定!$B$13="最大化",Q403,IF(01_因子設定!$B$13="最小化",-Q403,-ABS(Q403-01_因子設定!$B$16))),-1E+030)</f>
        <v>43.6222727272727</v>
      </c>
      <c r="Y403" s="55" t="n">
        <f aca="false">W403+ROW()*0.000000001</f>
        <v>-5.95058776134293</v>
      </c>
      <c r="Z403" s="55" t="n">
        <f aca="false">X403+ROW()*0.000000001</f>
        <v>43.6222731302727</v>
      </c>
    </row>
    <row r="404" customFormat="false" ht="15" hidden="false" customHeight="false" outlineLevel="0" collapsed="false">
      <c r="A404" s="0" t="n">
        <v>1</v>
      </c>
      <c r="B404" s="0" t="n">
        <v>6</v>
      </c>
      <c r="C404" s="0" t="n">
        <v>8</v>
      </c>
      <c r="D404" s="0" t="n">
        <f aca="false">-1+A404*0.125</f>
        <v>-0.875</v>
      </c>
      <c r="E404" s="0" t="n">
        <f aca="false">-1+B404*0.125</f>
        <v>-0.25</v>
      </c>
      <c r="F404" s="0" t="n">
        <f aca="false">-1+C404*0.125</f>
        <v>0</v>
      </c>
      <c r="G404" s="0" t="n">
        <f aca="false">1</f>
        <v>1</v>
      </c>
      <c r="H404" s="0" t="n">
        <f aca="false">D404</f>
        <v>-0.875</v>
      </c>
      <c r="I404" s="0" t="n">
        <f aca="false">E404</f>
        <v>-0.25</v>
      </c>
      <c r="J404" s="0" t="n">
        <f aca="false">F404</f>
        <v>0</v>
      </c>
      <c r="K404" s="0" t="n">
        <f aca="false">D404*E404</f>
        <v>0.21875</v>
      </c>
      <c r="L404" s="0" t="n">
        <f aca="false">D404*F404</f>
        <v>-0</v>
      </c>
      <c r="M404" s="0" t="n">
        <f aca="false">E404*F404</f>
        <v>-0</v>
      </c>
      <c r="N404" s="0" t="n">
        <f aca="false">D404*D404</f>
        <v>0.765625</v>
      </c>
      <c r="O404" s="0" t="n">
        <f aca="false">E404*E404</f>
        <v>0.0625</v>
      </c>
      <c r="P404" s="0" t="n">
        <f aca="false">F404*F404</f>
        <v>0</v>
      </c>
      <c r="Q404" s="0" t="n">
        <f aca="false">SUMPRODUCT(G404:P404,_XtX!$B$71:$K$71)</f>
        <v>43.8155113636364</v>
      </c>
      <c r="R404" s="0" t="n">
        <f aca="false">SUMPRODUCT(MMULT(G404:P404,_XtX!$B$58:$K$67),G404:P404)</f>
        <v>0.333218661221591</v>
      </c>
      <c r="S404" s="0" t="n">
        <f aca="false">04_回帰ANOVA!$K$19*04_回帰ANOVA!$K$14*SQRT(1+R404)</f>
        <v>1.07353776826542</v>
      </c>
      <c r="T404" s="0" t="n">
        <f aca="false">Q404-S404</f>
        <v>42.7419735953709</v>
      </c>
      <c r="U404" s="0" t="n">
        <f aca="false">Q404+S404</f>
        <v>44.8890491319018</v>
      </c>
      <c r="V404" s="54" t="b">
        <f aca="false">AND(D404&gt;=01_因子設定!$L$5-0.000000001,D404&lt;=01_因子設定!$M$5+0.000000001,E404&gt;=01_因子設定!$L$6-0.000000001,E404&lt;=01_因子設定!$M$6+0.000000001,F404&gt;=01_因子設定!$L$7-0.000000001,F404&lt;=01_因子設定!$M$7+0.000000001,IF(01_因子設定!$B$20="Box-Behnken",D404^2+E404^2+F404^2&lt;=2+0.000000001,TRUE()))</f>
        <v>1</v>
      </c>
      <c r="W404" s="55" t="n">
        <f aca="false">IF(V404,IF(01_因子設定!$B$13="最大化",T404-01_因子設定!$B$14,IF(01_因子設定!$B$13="最小化",01_因子設定!$B$15-U404,MIN(T404-01_因子設定!$B$14,01_因子設定!$B$15-U404))),-1E+030)</f>
        <v>-5.75802640462906</v>
      </c>
      <c r="X404" s="55" t="n">
        <f aca="false">IF(V404,IF(01_因子設定!$B$13="最大化",Q404,IF(01_因子設定!$B$13="最小化",-Q404,-ABS(Q404-01_因子設定!$B$16))),-1E+030)</f>
        <v>43.8155113636364</v>
      </c>
      <c r="Y404" s="55" t="n">
        <f aca="false">W404+ROW()*0.000000001</f>
        <v>-5.75802600062906</v>
      </c>
      <c r="Z404" s="55" t="n">
        <f aca="false">X404+ROW()*0.000000001</f>
        <v>43.8155117676364</v>
      </c>
    </row>
    <row r="405" customFormat="false" ht="15" hidden="false" customHeight="false" outlineLevel="0" collapsed="false">
      <c r="A405" s="0" t="n">
        <v>1</v>
      </c>
      <c r="B405" s="0" t="n">
        <v>6</v>
      </c>
      <c r="C405" s="0" t="n">
        <v>9</v>
      </c>
      <c r="D405" s="0" t="n">
        <f aca="false">-1+A405*0.125</f>
        <v>-0.875</v>
      </c>
      <c r="E405" s="0" t="n">
        <f aca="false">-1+B405*0.125</f>
        <v>-0.25</v>
      </c>
      <c r="F405" s="0" t="n">
        <f aca="false">-1+C405*0.125</f>
        <v>0.125</v>
      </c>
      <c r="G405" s="0" t="n">
        <f aca="false">1</f>
        <v>1</v>
      </c>
      <c r="H405" s="0" t="n">
        <f aca="false">D405</f>
        <v>-0.875</v>
      </c>
      <c r="I405" s="0" t="n">
        <f aca="false">E405</f>
        <v>-0.25</v>
      </c>
      <c r="J405" s="0" t="n">
        <f aca="false">F405</f>
        <v>0.125</v>
      </c>
      <c r="K405" s="0" t="n">
        <f aca="false">D405*E405</f>
        <v>0.21875</v>
      </c>
      <c r="L405" s="0" t="n">
        <f aca="false">D405*F405</f>
        <v>-0.109375</v>
      </c>
      <c r="M405" s="0" t="n">
        <f aca="false">E405*F405</f>
        <v>-0.03125</v>
      </c>
      <c r="N405" s="0" t="n">
        <f aca="false">D405*D405</f>
        <v>0.765625</v>
      </c>
      <c r="O405" s="0" t="n">
        <f aca="false">E405*E405</f>
        <v>0.0625</v>
      </c>
      <c r="P405" s="0" t="n">
        <f aca="false">F405*F405</f>
        <v>0.015625</v>
      </c>
      <c r="Q405" s="0" t="n">
        <f aca="false">SUMPRODUCT(G405:P405,_XtX!$B$71:$K$71)</f>
        <v>43.9719602272727</v>
      </c>
      <c r="R405" s="0" t="n">
        <f aca="false">SUMPRODUCT(MMULT(G405:P405,_XtX!$B$58:$K$67),G405:P405)</f>
        <v>0.331537974964489</v>
      </c>
      <c r="S405" s="0" t="n">
        <f aca="false">04_回帰ANOVA!$K$19*04_回帰ANOVA!$K$14*SQRT(1+R405)</f>
        <v>1.07286089161565</v>
      </c>
      <c r="T405" s="0" t="n">
        <f aca="false">Q405-S405</f>
        <v>42.8990993356571</v>
      </c>
      <c r="U405" s="0" t="n">
        <f aca="false">Q405+S405</f>
        <v>45.0448211188884</v>
      </c>
      <c r="V405" s="54" t="b">
        <f aca="false">AND(D405&gt;=01_因子設定!$L$5-0.000000001,D405&lt;=01_因子設定!$M$5+0.000000001,E405&gt;=01_因子設定!$L$6-0.000000001,E405&lt;=01_因子設定!$M$6+0.000000001,F405&gt;=01_因子設定!$L$7-0.000000001,F405&lt;=01_因子設定!$M$7+0.000000001,IF(01_因子設定!$B$20="Box-Behnken",D405^2+E405^2+F405^2&lt;=2+0.000000001,TRUE()))</f>
        <v>1</v>
      </c>
      <c r="W405" s="55" t="n">
        <f aca="false">IF(V405,IF(01_因子設定!$B$13="最大化",T405-01_因子設定!$B$14,IF(01_因子設定!$B$13="最小化",01_因子設定!$B$15-U405,MIN(T405-01_因子設定!$B$14,01_因子設定!$B$15-U405))),-1E+030)</f>
        <v>-5.60090066434294</v>
      </c>
      <c r="X405" s="55" t="n">
        <f aca="false">IF(V405,IF(01_因子設定!$B$13="最大化",Q405,IF(01_因子設定!$B$13="最小化",-Q405,-ABS(Q405-01_因子設定!$B$16))),-1E+030)</f>
        <v>43.9719602272727</v>
      </c>
      <c r="Y405" s="55" t="n">
        <f aca="false">W405+ROW()*0.000000001</f>
        <v>-5.60090025934294</v>
      </c>
      <c r="Z405" s="55" t="n">
        <f aca="false">X405+ROW()*0.000000001</f>
        <v>43.9719606322727</v>
      </c>
    </row>
    <row r="406" customFormat="false" ht="15" hidden="false" customHeight="false" outlineLevel="0" collapsed="false">
      <c r="A406" s="0" t="n">
        <v>1</v>
      </c>
      <c r="B406" s="0" t="n">
        <v>6</v>
      </c>
      <c r="C406" s="0" t="n">
        <v>10</v>
      </c>
      <c r="D406" s="0" t="n">
        <f aca="false">-1+A406*0.125</f>
        <v>-0.875</v>
      </c>
      <c r="E406" s="0" t="n">
        <f aca="false">-1+B406*0.125</f>
        <v>-0.25</v>
      </c>
      <c r="F406" s="0" t="n">
        <f aca="false">-1+C406*0.125</f>
        <v>0.25</v>
      </c>
      <c r="G406" s="0" t="n">
        <f aca="false">1</f>
        <v>1</v>
      </c>
      <c r="H406" s="0" t="n">
        <f aca="false">D406</f>
        <v>-0.875</v>
      </c>
      <c r="I406" s="0" t="n">
        <f aca="false">E406</f>
        <v>-0.25</v>
      </c>
      <c r="J406" s="0" t="n">
        <f aca="false">F406</f>
        <v>0.25</v>
      </c>
      <c r="K406" s="0" t="n">
        <f aca="false">D406*E406</f>
        <v>0.21875</v>
      </c>
      <c r="L406" s="0" t="n">
        <f aca="false">D406*F406</f>
        <v>-0.21875</v>
      </c>
      <c r="M406" s="0" t="n">
        <f aca="false">E406*F406</f>
        <v>-0.0625</v>
      </c>
      <c r="N406" s="0" t="n">
        <f aca="false">D406*D406</f>
        <v>0.765625</v>
      </c>
      <c r="O406" s="0" t="n">
        <f aca="false">E406*E406</f>
        <v>0.0625</v>
      </c>
      <c r="P406" s="0" t="n">
        <f aca="false">F406*F406</f>
        <v>0.0625</v>
      </c>
      <c r="Q406" s="0" t="n">
        <f aca="false">SUMPRODUCT(G406:P406,_XtX!$B$71:$K$71)</f>
        <v>44.0916193181818</v>
      </c>
      <c r="R406" s="0" t="n">
        <f aca="false">SUMPRODUCT(MMULT(G406:P406,_XtX!$B$58:$K$67),G406:P406)</f>
        <v>0.327561257102273</v>
      </c>
      <c r="S406" s="0" t="n">
        <f aca="false">04_回帰ANOVA!$K$19*04_回帰ANOVA!$K$14*SQRT(1+R406)</f>
        <v>1.07125761201315</v>
      </c>
      <c r="T406" s="0" t="n">
        <f aca="false">Q406-S406</f>
        <v>43.0203617061687</v>
      </c>
      <c r="U406" s="0" t="n">
        <f aca="false">Q406+S406</f>
        <v>45.162876930195</v>
      </c>
      <c r="V406" s="54" t="b">
        <f aca="false">AND(D406&gt;=01_因子設定!$L$5-0.000000001,D406&lt;=01_因子設定!$M$5+0.000000001,E406&gt;=01_因子設定!$L$6-0.000000001,E406&lt;=01_因子設定!$M$6+0.000000001,F406&gt;=01_因子設定!$L$7-0.000000001,F406&lt;=01_因子設定!$M$7+0.000000001,IF(01_因子設定!$B$20="Box-Behnken",D406^2+E406^2+F406^2&lt;=2+0.000000001,TRUE()))</f>
        <v>1</v>
      </c>
      <c r="W406" s="55" t="n">
        <f aca="false">IF(V406,IF(01_因子設定!$B$13="最大化",T406-01_因子設定!$B$14,IF(01_因子設定!$B$13="最小化",01_因子設定!$B$15-U406,MIN(T406-01_因子設定!$B$14,01_因子設定!$B$15-U406))),-1E+030)</f>
        <v>-5.47963829383134</v>
      </c>
      <c r="X406" s="55" t="n">
        <f aca="false">IF(V406,IF(01_因子設定!$B$13="最大化",Q406,IF(01_因子設定!$B$13="最小化",-Q406,-ABS(Q406-01_因子設定!$B$16))),-1E+030)</f>
        <v>44.0916193181818</v>
      </c>
      <c r="Y406" s="55" t="n">
        <f aca="false">W406+ROW()*0.000000001</f>
        <v>-5.47963788783134</v>
      </c>
      <c r="Z406" s="55" t="n">
        <f aca="false">X406+ROW()*0.000000001</f>
        <v>44.0916197241818</v>
      </c>
    </row>
    <row r="407" customFormat="false" ht="15" hidden="false" customHeight="false" outlineLevel="0" collapsed="false">
      <c r="A407" s="0" t="n">
        <v>1</v>
      </c>
      <c r="B407" s="0" t="n">
        <v>6</v>
      </c>
      <c r="C407" s="0" t="n">
        <v>11</v>
      </c>
      <c r="D407" s="0" t="n">
        <f aca="false">-1+A407*0.125</f>
        <v>-0.875</v>
      </c>
      <c r="E407" s="0" t="n">
        <f aca="false">-1+B407*0.125</f>
        <v>-0.25</v>
      </c>
      <c r="F407" s="0" t="n">
        <f aca="false">-1+C407*0.125</f>
        <v>0.375</v>
      </c>
      <c r="G407" s="0" t="n">
        <f aca="false">1</f>
        <v>1</v>
      </c>
      <c r="H407" s="0" t="n">
        <f aca="false">D407</f>
        <v>-0.875</v>
      </c>
      <c r="I407" s="0" t="n">
        <f aca="false">E407</f>
        <v>-0.25</v>
      </c>
      <c r="J407" s="0" t="n">
        <f aca="false">F407</f>
        <v>0.375</v>
      </c>
      <c r="K407" s="0" t="n">
        <f aca="false">D407*E407</f>
        <v>0.21875</v>
      </c>
      <c r="L407" s="0" t="n">
        <f aca="false">D407*F407</f>
        <v>-0.328125</v>
      </c>
      <c r="M407" s="0" t="n">
        <f aca="false">E407*F407</f>
        <v>-0.09375</v>
      </c>
      <c r="N407" s="0" t="n">
        <f aca="false">D407*D407</f>
        <v>0.765625</v>
      </c>
      <c r="O407" s="0" t="n">
        <f aca="false">E407*E407</f>
        <v>0.0625</v>
      </c>
      <c r="P407" s="0" t="n">
        <f aca="false">F407*F407</f>
        <v>0.140625</v>
      </c>
      <c r="Q407" s="0" t="n">
        <f aca="false">SUMPRODUCT(G407:P407,_XtX!$B$71:$K$71)</f>
        <v>44.1744886363636</v>
      </c>
      <c r="R407" s="0" t="n">
        <f aca="false">SUMPRODUCT(MMULT(G407:P407,_XtX!$B$58:$K$67),G407:P407)</f>
        <v>0.324484530362216</v>
      </c>
      <c r="S407" s="0" t="n">
        <f aca="false">04_回帰ANOVA!$K$19*04_回帰ANOVA!$K$14*SQRT(1+R407)</f>
        <v>1.07001553041279</v>
      </c>
      <c r="T407" s="0" t="n">
        <f aca="false">Q407-S407</f>
        <v>43.1044731059508</v>
      </c>
      <c r="U407" s="0" t="n">
        <f aca="false">Q407+S407</f>
        <v>45.2445041667764</v>
      </c>
      <c r="V407" s="54" t="b">
        <f aca="false">AND(D407&gt;=01_因子設定!$L$5-0.000000001,D407&lt;=01_因子設定!$M$5+0.000000001,E407&gt;=01_因子設定!$L$6-0.000000001,E407&lt;=01_因子設定!$M$6+0.000000001,F407&gt;=01_因子設定!$L$7-0.000000001,F407&lt;=01_因子設定!$M$7+0.000000001,IF(01_因子設定!$B$20="Box-Behnken",D407^2+E407^2+F407^2&lt;=2+0.000000001,TRUE()))</f>
        <v>1</v>
      </c>
      <c r="W407" s="55" t="n">
        <f aca="false">IF(V407,IF(01_因子設定!$B$13="最大化",T407-01_因子設定!$B$14,IF(01_因子設定!$B$13="最小化",01_因子設定!$B$15-U407,MIN(T407-01_因子設定!$B$14,01_因子設定!$B$15-U407))),-1E+030)</f>
        <v>-5.39552689404916</v>
      </c>
      <c r="X407" s="55" t="n">
        <f aca="false">IF(V407,IF(01_因子設定!$B$13="最大化",Q407,IF(01_因子設定!$B$13="最小化",-Q407,-ABS(Q407-01_因子設定!$B$16))),-1E+030)</f>
        <v>44.1744886363636</v>
      </c>
      <c r="Y407" s="55" t="n">
        <f aca="false">W407+ROW()*0.000000001</f>
        <v>-5.39552648704916</v>
      </c>
      <c r="Z407" s="55" t="n">
        <f aca="false">X407+ROW()*0.000000001</f>
        <v>44.1744890433636</v>
      </c>
    </row>
    <row r="408" customFormat="false" ht="15" hidden="false" customHeight="false" outlineLevel="0" collapsed="false">
      <c r="A408" s="0" t="n">
        <v>1</v>
      </c>
      <c r="B408" s="0" t="n">
        <v>6</v>
      </c>
      <c r="C408" s="0" t="n">
        <v>12</v>
      </c>
      <c r="D408" s="0" t="n">
        <f aca="false">-1+A408*0.125</f>
        <v>-0.875</v>
      </c>
      <c r="E408" s="0" t="n">
        <f aca="false">-1+B408*0.125</f>
        <v>-0.25</v>
      </c>
      <c r="F408" s="0" t="n">
        <f aca="false">-1+C408*0.125</f>
        <v>0.5</v>
      </c>
      <c r="G408" s="0" t="n">
        <f aca="false">1</f>
        <v>1</v>
      </c>
      <c r="H408" s="0" t="n">
        <f aca="false">D408</f>
        <v>-0.875</v>
      </c>
      <c r="I408" s="0" t="n">
        <f aca="false">E408</f>
        <v>-0.25</v>
      </c>
      <c r="J408" s="0" t="n">
        <f aca="false">F408</f>
        <v>0.5</v>
      </c>
      <c r="K408" s="0" t="n">
        <f aca="false">D408*E408</f>
        <v>0.21875</v>
      </c>
      <c r="L408" s="0" t="n">
        <f aca="false">D408*F408</f>
        <v>-0.4375</v>
      </c>
      <c r="M408" s="0" t="n">
        <f aca="false">E408*F408</f>
        <v>-0.125</v>
      </c>
      <c r="N408" s="0" t="n">
        <f aca="false">D408*D408</f>
        <v>0.765625</v>
      </c>
      <c r="O408" s="0" t="n">
        <f aca="false">E408*E408</f>
        <v>0.0625</v>
      </c>
      <c r="P408" s="0" t="n">
        <f aca="false">F408*F408</f>
        <v>0.25</v>
      </c>
      <c r="Q408" s="0" t="n">
        <f aca="false">SUMPRODUCT(G408:P408,_XtX!$B$71:$K$71)</f>
        <v>44.2205681818182</v>
      </c>
      <c r="R408" s="0" t="n">
        <f aca="false">SUMPRODUCT(MMULT(G408:P408,_XtX!$B$58:$K$67),G408:P408)</f>
        <v>0.327634499289773</v>
      </c>
      <c r="S408" s="0" t="n">
        <f aca="false">04_回帰ANOVA!$K$19*04_回帰ANOVA!$K$14*SQRT(1+R408)</f>
        <v>1.07128716250217</v>
      </c>
      <c r="T408" s="0" t="n">
        <f aca="false">Q408-S408</f>
        <v>43.149281019316</v>
      </c>
      <c r="U408" s="0" t="n">
        <f aca="false">Q408+S408</f>
        <v>45.2918553443204</v>
      </c>
      <c r="V408" s="54" t="b">
        <f aca="false">AND(D408&gt;=01_因子設定!$L$5-0.000000001,D408&lt;=01_因子設定!$M$5+0.000000001,E408&gt;=01_因子設定!$L$6-0.000000001,E408&lt;=01_因子設定!$M$6+0.000000001,F408&gt;=01_因子設定!$L$7-0.000000001,F408&lt;=01_因子設定!$M$7+0.000000001,IF(01_因子設定!$B$20="Box-Behnken",D408^2+E408^2+F408^2&lt;=2+0.000000001,TRUE()))</f>
        <v>1</v>
      </c>
      <c r="W408" s="55" t="n">
        <f aca="false">IF(V408,IF(01_因子設定!$B$13="最大化",T408-01_因子設定!$B$14,IF(01_因子設定!$B$13="最小化",01_因子設定!$B$15-U408,MIN(T408-01_因子設定!$B$14,01_因子設定!$B$15-U408))),-1E+030)</f>
        <v>-5.35071898068399</v>
      </c>
      <c r="X408" s="55" t="n">
        <f aca="false">IF(V408,IF(01_因子設定!$B$13="最大化",Q408,IF(01_因子設定!$B$13="最小化",-Q408,-ABS(Q408-01_因子設定!$B$16))),-1E+030)</f>
        <v>44.2205681818182</v>
      </c>
      <c r="Y408" s="55" t="n">
        <f aca="false">W408+ROW()*0.000000001</f>
        <v>-5.35071857268399</v>
      </c>
      <c r="Z408" s="55" t="n">
        <f aca="false">X408+ROW()*0.000000001</f>
        <v>44.2205685898182</v>
      </c>
    </row>
    <row r="409" customFormat="false" ht="15" hidden="false" customHeight="false" outlineLevel="0" collapsed="false">
      <c r="A409" s="0" t="n">
        <v>1</v>
      </c>
      <c r="B409" s="0" t="n">
        <v>6</v>
      </c>
      <c r="C409" s="0" t="n">
        <v>13</v>
      </c>
      <c r="D409" s="0" t="n">
        <f aca="false">-1+A409*0.125</f>
        <v>-0.875</v>
      </c>
      <c r="E409" s="0" t="n">
        <f aca="false">-1+B409*0.125</f>
        <v>-0.25</v>
      </c>
      <c r="F409" s="0" t="n">
        <f aca="false">-1+C409*0.125</f>
        <v>0.625</v>
      </c>
      <c r="G409" s="0" t="n">
        <f aca="false">1</f>
        <v>1</v>
      </c>
      <c r="H409" s="0" t="n">
        <f aca="false">D409</f>
        <v>-0.875</v>
      </c>
      <c r="I409" s="0" t="n">
        <f aca="false">E409</f>
        <v>-0.25</v>
      </c>
      <c r="J409" s="0" t="n">
        <f aca="false">F409</f>
        <v>0.625</v>
      </c>
      <c r="K409" s="0" t="n">
        <f aca="false">D409*E409</f>
        <v>0.21875</v>
      </c>
      <c r="L409" s="0" t="n">
        <f aca="false">D409*F409</f>
        <v>-0.546875</v>
      </c>
      <c r="M409" s="0" t="n">
        <f aca="false">E409*F409</f>
        <v>-0.15625</v>
      </c>
      <c r="N409" s="0" t="n">
        <f aca="false">D409*D409</f>
        <v>0.765625</v>
      </c>
      <c r="O409" s="0" t="n">
        <f aca="false">E409*E409</f>
        <v>0.0625</v>
      </c>
      <c r="P409" s="0" t="n">
        <f aca="false">F409*F409</f>
        <v>0.390625</v>
      </c>
      <c r="Q409" s="0" t="n">
        <f aca="false">SUMPRODUCT(G409:P409,_XtX!$B$71:$K$71)</f>
        <v>44.2298579545455</v>
      </c>
      <c r="R409" s="0" t="n">
        <f aca="false">SUMPRODUCT(MMULT(G409:P409,_XtX!$B$58:$K$67),G409:P409)</f>
        <v>0.34446855024858</v>
      </c>
      <c r="S409" s="0" t="n">
        <f aca="false">04_回帰ANOVA!$K$19*04_回帰ANOVA!$K$14*SQRT(1+R409)</f>
        <v>1.07805758590432</v>
      </c>
      <c r="T409" s="0" t="n">
        <f aca="false">Q409-S409</f>
        <v>43.1518003686411</v>
      </c>
      <c r="U409" s="0" t="n">
        <f aca="false">Q409+S409</f>
        <v>45.3079155404498</v>
      </c>
      <c r="V409" s="54" t="b">
        <f aca="false">AND(D409&gt;=01_因子設定!$L$5-0.000000001,D409&lt;=01_因子設定!$M$5+0.000000001,E409&gt;=01_因子設定!$L$6-0.000000001,E409&lt;=01_因子設定!$M$6+0.000000001,F409&gt;=01_因子設定!$L$7-0.000000001,F409&lt;=01_因子設定!$M$7+0.000000001,IF(01_因子設定!$B$20="Box-Behnken",D409^2+E409^2+F409^2&lt;=2+0.000000001,TRUE()))</f>
        <v>1</v>
      </c>
      <c r="W409" s="55" t="n">
        <f aca="false">IF(V409,IF(01_因子設定!$B$13="最大化",T409-01_因子設定!$B$14,IF(01_因子設定!$B$13="最小化",01_因子設定!$B$15-U409,MIN(T409-01_因子設定!$B$14,01_因子設定!$B$15-U409))),-1E+030)</f>
        <v>-5.34819963135887</v>
      </c>
      <c r="X409" s="55" t="n">
        <f aca="false">IF(V409,IF(01_因子設定!$B$13="最大化",Q409,IF(01_因子設定!$B$13="最小化",-Q409,-ABS(Q409-01_因子設定!$B$16))),-1E+030)</f>
        <v>44.2298579545455</v>
      </c>
      <c r="Y409" s="55" t="n">
        <f aca="false">W409+ROW()*0.000000001</f>
        <v>-5.34819922235887</v>
      </c>
      <c r="Z409" s="55" t="n">
        <f aca="false">X409+ROW()*0.000000001</f>
        <v>44.2298583635455</v>
      </c>
    </row>
    <row r="410" customFormat="false" ht="15" hidden="false" customHeight="false" outlineLevel="0" collapsed="false">
      <c r="A410" s="0" t="n">
        <v>1</v>
      </c>
      <c r="B410" s="0" t="n">
        <v>6</v>
      </c>
      <c r="C410" s="0" t="n">
        <v>14</v>
      </c>
      <c r="D410" s="0" t="n">
        <f aca="false">-1+A410*0.125</f>
        <v>-0.875</v>
      </c>
      <c r="E410" s="0" t="n">
        <f aca="false">-1+B410*0.125</f>
        <v>-0.25</v>
      </c>
      <c r="F410" s="0" t="n">
        <f aca="false">-1+C410*0.125</f>
        <v>0.75</v>
      </c>
      <c r="G410" s="0" t="n">
        <f aca="false">1</f>
        <v>1</v>
      </c>
      <c r="H410" s="0" t="n">
        <f aca="false">D410</f>
        <v>-0.875</v>
      </c>
      <c r="I410" s="0" t="n">
        <f aca="false">E410</f>
        <v>-0.25</v>
      </c>
      <c r="J410" s="0" t="n">
        <f aca="false">F410</f>
        <v>0.75</v>
      </c>
      <c r="K410" s="0" t="n">
        <f aca="false">D410*E410</f>
        <v>0.21875</v>
      </c>
      <c r="L410" s="0" t="n">
        <f aca="false">D410*F410</f>
        <v>-0.65625</v>
      </c>
      <c r="M410" s="0" t="n">
        <f aca="false">E410*F410</f>
        <v>-0.1875</v>
      </c>
      <c r="N410" s="0" t="n">
        <f aca="false">D410*D410</f>
        <v>0.765625</v>
      </c>
      <c r="O410" s="0" t="n">
        <f aca="false">E410*E410</f>
        <v>0.0625</v>
      </c>
      <c r="P410" s="0" t="n">
        <f aca="false">F410*F410</f>
        <v>0.5625</v>
      </c>
      <c r="Q410" s="0" t="n">
        <f aca="false">SUMPRODUCT(G410:P410,_XtX!$B$71:$K$71)</f>
        <v>44.2023579545455</v>
      </c>
      <c r="R410" s="0" t="n">
        <f aca="false">SUMPRODUCT(MMULT(G410:P410,_XtX!$B$58:$K$67),G410:P410)</f>
        <v>0.384574751420455</v>
      </c>
      <c r="S410" s="0" t="n">
        <f aca="false">04_回帰ANOVA!$K$19*04_回帰ANOVA!$K$14*SQRT(1+R410)</f>
        <v>1.0940189380139</v>
      </c>
      <c r="T410" s="0" t="n">
        <f aca="false">Q410-S410</f>
        <v>43.1083390165316</v>
      </c>
      <c r="U410" s="0" t="n">
        <f aca="false">Q410+S410</f>
        <v>45.2963768925594</v>
      </c>
      <c r="V410" s="54" t="b">
        <f aca="false">AND(D410&gt;=01_因子設定!$L$5-0.000000001,D410&lt;=01_因子設定!$M$5+0.000000001,E410&gt;=01_因子設定!$L$6-0.000000001,E410&lt;=01_因子設定!$M$6+0.000000001,F410&gt;=01_因子設定!$L$7-0.000000001,F410&lt;=01_因子設定!$M$7+0.000000001,IF(01_因子設定!$B$20="Box-Behnken",D410^2+E410^2+F410^2&lt;=2+0.000000001,TRUE()))</f>
        <v>1</v>
      </c>
      <c r="W410" s="55" t="n">
        <f aca="false">IF(V410,IF(01_因子設定!$B$13="最大化",T410-01_因子設定!$B$14,IF(01_因子設定!$B$13="最小化",01_因子設定!$B$15-U410,MIN(T410-01_因子設定!$B$14,01_因子設定!$B$15-U410))),-1E+030)</f>
        <v>-5.39166098346845</v>
      </c>
      <c r="X410" s="55" t="n">
        <f aca="false">IF(V410,IF(01_因子設定!$B$13="最大化",Q410,IF(01_因子設定!$B$13="最小化",-Q410,-ABS(Q410-01_因子設定!$B$16))),-1E+030)</f>
        <v>44.2023579545455</v>
      </c>
      <c r="Y410" s="55" t="n">
        <f aca="false">W410+ROW()*0.000000001</f>
        <v>-5.39166057346845</v>
      </c>
      <c r="Z410" s="55" t="n">
        <f aca="false">X410+ROW()*0.000000001</f>
        <v>44.2023583645455</v>
      </c>
    </row>
    <row r="411" customFormat="false" ht="15" hidden="false" customHeight="false" outlineLevel="0" collapsed="false">
      <c r="A411" s="0" t="n">
        <v>1</v>
      </c>
      <c r="B411" s="0" t="n">
        <v>6</v>
      </c>
      <c r="C411" s="0" t="n">
        <v>15</v>
      </c>
      <c r="D411" s="0" t="n">
        <f aca="false">-1+A411*0.125</f>
        <v>-0.875</v>
      </c>
      <c r="E411" s="0" t="n">
        <f aca="false">-1+B411*0.125</f>
        <v>-0.25</v>
      </c>
      <c r="F411" s="0" t="n">
        <f aca="false">-1+C411*0.125</f>
        <v>0.875</v>
      </c>
      <c r="G411" s="0" t="n">
        <f aca="false">1</f>
        <v>1</v>
      </c>
      <c r="H411" s="0" t="n">
        <f aca="false">D411</f>
        <v>-0.875</v>
      </c>
      <c r="I411" s="0" t="n">
        <f aca="false">E411</f>
        <v>-0.25</v>
      </c>
      <c r="J411" s="0" t="n">
        <f aca="false">F411</f>
        <v>0.875</v>
      </c>
      <c r="K411" s="0" t="n">
        <f aca="false">D411*E411</f>
        <v>0.21875</v>
      </c>
      <c r="L411" s="0" t="n">
        <f aca="false">D411*F411</f>
        <v>-0.765625</v>
      </c>
      <c r="M411" s="0" t="n">
        <f aca="false">E411*F411</f>
        <v>-0.21875</v>
      </c>
      <c r="N411" s="0" t="n">
        <f aca="false">D411*D411</f>
        <v>0.765625</v>
      </c>
      <c r="O411" s="0" t="n">
        <f aca="false">E411*E411</f>
        <v>0.0625</v>
      </c>
      <c r="P411" s="0" t="n">
        <f aca="false">F411*F411</f>
        <v>0.765625</v>
      </c>
      <c r="Q411" s="0" t="n">
        <f aca="false">SUMPRODUCT(G411:P411,_XtX!$B$71:$K$71)</f>
        <v>44.1380681818182</v>
      </c>
      <c r="R411" s="0" t="n">
        <f aca="false">SUMPRODUCT(MMULT(G411:P411,_XtX!$B$58:$K$67),G411:P411)</f>
        <v>0.459671852805398</v>
      </c>
      <c r="S411" s="0" t="n">
        <f aca="false">04_回帰ANOVA!$K$19*04_回帰ANOVA!$K$14*SQRT(1+R411)</f>
        <v>1.12329610455115</v>
      </c>
      <c r="T411" s="0" t="n">
        <f aca="false">Q411-S411</f>
        <v>43.014772077267</v>
      </c>
      <c r="U411" s="0" t="n">
        <f aca="false">Q411+S411</f>
        <v>45.2613642863693</v>
      </c>
      <c r="V411" s="54" t="b">
        <f aca="false">AND(D411&gt;=01_因子設定!$L$5-0.000000001,D411&lt;=01_因子設定!$M$5+0.000000001,E411&gt;=01_因子設定!$L$6-0.000000001,E411&lt;=01_因子設定!$M$6+0.000000001,F411&gt;=01_因子設定!$L$7-0.000000001,F411&lt;=01_因子設定!$M$7+0.000000001,IF(01_因子設定!$B$20="Box-Behnken",D411^2+E411^2+F411^2&lt;=2+0.000000001,TRUE()))</f>
        <v>1</v>
      </c>
      <c r="W411" s="55" t="n">
        <f aca="false">IF(V411,IF(01_因子設定!$B$13="最大化",T411-01_因子設定!$B$14,IF(01_因子設定!$B$13="最小化",01_因子設定!$B$15-U411,MIN(T411-01_因子設定!$B$14,01_因子設定!$B$15-U411))),-1E+030)</f>
        <v>-5.48522792273296</v>
      </c>
      <c r="X411" s="55" t="n">
        <f aca="false">IF(V411,IF(01_因子設定!$B$13="最大化",Q411,IF(01_因子設定!$B$13="最小化",-Q411,-ABS(Q411-01_因子設定!$B$16))),-1E+030)</f>
        <v>44.1380681818182</v>
      </c>
      <c r="Y411" s="55" t="n">
        <f aca="false">W411+ROW()*0.000000001</f>
        <v>-5.48522751173296</v>
      </c>
      <c r="Z411" s="55" t="n">
        <f aca="false">X411+ROW()*0.000000001</f>
        <v>44.1380685928182</v>
      </c>
    </row>
    <row r="412" customFormat="false" ht="15" hidden="false" customHeight="false" outlineLevel="0" collapsed="false">
      <c r="A412" s="0" t="n">
        <v>1</v>
      </c>
      <c r="B412" s="0" t="n">
        <v>6</v>
      </c>
      <c r="C412" s="0" t="n">
        <v>16</v>
      </c>
      <c r="D412" s="0" t="n">
        <f aca="false">-1+A412*0.125</f>
        <v>-0.875</v>
      </c>
      <c r="E412" s="0" t="n">
        <f aca="false">-1+B412*0.125</f>
        <v>-0.25</v>
      </c>
      <c r="F412" s="0" t="n">
        <f aca="false">-1+C412*0.125</f>
        <v>1</v>
      </c>
      <c r="G412" s="0" t="n">
        <f aca="false">1</f>
        <v>1</v>
      </c>
      <c r="H412" s="0" t="n">
        <f aca="false">D412</f>
        <v>-0.875</v>
      </c>
      <c r="I412" s="0" t="n">
        <f aca="false">E412</f>
        <v>-0.25</v>
      </c>
      <c r="J412" s="0" t="n">
        <f aca="false">F412</f>
        <v>1</v>
      </c>
      <c r="K412" s="0" t="n">
        <f aca="false">D412*E412</f>
        <v>0.21875</v>
      </c>
      <c r="L412" s="0" t="n">
        <f aca="false">D412*F412</f>
        <v>-0.875</v>
      </c>
      <c r="M412" s="0" t="n">
        <f aca="false">E412*F412</f>
        <v>-0.25</v>
      </c>
      <c r="N412" s="0" t="n">
        <f aca="false">D412*D412</f>
        <v>0.765625</v>
      </c>
      <c r="O412" s="0" t="n">
        <f aca="false">E412*E412</f>
        <v>0.0625</v>
      </c>
      <c r="P412" s="0" t="n">
        <f aca="false">F412*F412</f>
        <v>1</v>
      </c>
      <c r="Q412" s="0" t="n">
        <f aca="false">SUMPRODUCT(G412:P412,_XtX!$B$71:$K$71)</f>
        <v>44.0369886363636</v>
      </c>
      <c r="R412" s="0" t="n">
        <f aca="false">SUMPRODUCT(MMULT(G412:P412,_XtX!$B$58:$K$67),G412:P412)</f>
        <v>0.583609286221591</v>
      </c>
      <c r="S412" s="0" t="n">
        <f aca="false">04_回帰ANOVA!$K$19*04_回帰ANOVA!$K$14*SQRT(1+R412)</f>
        <v>1.1700129157584</v>
      </c>
      <c r="T412" s="0" t="n">
        <f aca="false">Q412-S412</f>
        <v>42.8669757206053</v>
      </c>
      <c r="U412" s="0" t="n">
        <f aca="false">Q412+S412</f>
        <v>45.207001552122</v>
      </c>
      <c r="V412" s="54" t="b">
        <f aca="false">AND(D412&gt;=01_因子設定!$L$5-0.000000001,D412&lt;=01_因子設定!$M$5+0.000000001,E412&gt;=01_因子設定!$L$6-0.000000001,E412&lt;=01_因子設定!$M$6+0.000000001,F412&gt;=01_因子設定!$L$7-0.000000001,F412&lt;=01_因子設定!$M$7+0.000000001,IF(01_因子設定!$B$20="Box-Behnken",D412^2+E412^2+F412^2&lt;=2+0.000000001,TRUE()))</f>
        <v>1</v>
      </c>
      <c r="W412" s="55" t="n">
        <f aca="false">IF(V412,IF(01_因子設定!$B$13="最大化",T412-01_因子設定!$B$14,IF(01_因子設定!$B$13="最小化",01_因子設定!$B$15-U412,MIN(T412-01_因子設定!$B$14,01_因子設定!$B$15-U412))),-1E+030)</f>
        <v>-5.63302427939475</v>
      </c>
      <c r="X412" s="55" t="n">
        <f aca="false">IF(V412,IF(01_因子設定!$B$13="最大化",Q412,IF(01_因子設定!$B$13="最小化",-Q412,-ABS(Q412-01_因子設定!$B$16))),-1E+030)</f>
        <v>44.0369886363636</v>
      </c>
      <c r="Y412" s="55" t="n">
        <f aca="false">W412+ROW()*0.000000001</f>
        <v>-5.63302386739475</v>
      </c>
      <c r="Z412" s="55" t="n">
        <f aca="false">X412+ROW()*0.000000001</f>
        <v>44.0369890483636</v>
      </c>
    </row>
    <row r="413" customFormat="false" ht="15" hidden="false" customHeight="false" outlineLevel="0" collapsed="false">
      <c r="A413" s="0" t="n">
        <v>1</v>
      </c>
      <c r="B413" s="0" t="n">
        <v>7</v>
      </c>
      <c r="C413" s="0" t="n">
        <v>0</v>
      </c>
      <c r="D413" s="0" t="n">
        <f aca="false">-1+A413*0.125</f>
        <v>-0.875</v>
      </c>
      <c r="E413" s="0" t="n">
        <f aca="false">-1+B413*0.125</f>
        <v>-0.125</v>
      </c>
      <c r="F413" s="0" t="n">
        <f aca="false">-1+C413*0.125</f>
        <v>-1</v>
      </c>
      <c r="G413" s="0" t="n">
        <f aca="false">1</f>
        <v>1</v>
      </c>
      <c r="H413" s="0" t="n">
        <f aca="false">D413</f>
        <v>-0.875</v>
      </c>
      <c r="I413" s="0" t="n">
        <f aca="false">E413</f>
        <v>-0.125</v>
      </c>
      <c r="J413" s="0" t="n">
        <f aca="false">F413</f>
        <v>-1</v>
      </c>
      <c r="K413" s="0" t="n">
        <f aca="false">D413*E413</f>
        <v>0.109375</v>
      </c>
      <c r="L413" s="0" t="n">
        <f aca="false">D413*F413</f>
        <v>0.875</v>
      </c>
      <c r="M413" s="0" t="n">
        <f aca="false">E413*F413</f>
        <v>0.125</v>
      </c>
      <c r="N413" s="0" t="n">
        <f aca="false">D413*D413</f>
        <v>0.765625</v>
      </c>
      <c r="O413" s="0" t="n">
        <f aca="false">E413*E413</f>
        <v>0.015625</v>
      </c>
      <c r="P413" s="0" t="n">
        <f aca="false">F413*F413</f>
        <v>1</v>
      </c>
      <c r="Q413" s="0" t="n">
        <f aca="false">SUMPRODUCT(G413:P413,_XtX!$B$71:$K$71)</f>
        <v>41.4030326704546</v>
      </c>
      <c r="R413" s="0" t="n">
        <f aca="false">SUMPRODUCT(MMULT(G413:P413,_XtX!$B$58:$K$67),G413:P413)</f>
        <v>0.59407792524858</v>
      </c>
      <c r="S413" s="0" t="n">
        <f aca="false">04_回帰ANOVA!$K$19*04_回帰ANOVA!$K$14*SQRT(1+R413)</f>
        <v>1.17387380087722</v>
      </c>
      <c r="T413" s="0" t="n">
        <f aca="false">Q413-S413</f>
        <v>40.2291588695773</v>
      </c>
      <c r="U413" s="0" t="n">
        <f aca="false">Q413+S413</f>
        <v>42.5769064713318</v>
      </c>
      <c r="V413" s="54" t="b">
        <f aca="false">AND(D413&gt;=01_因子設定!$L$5-0.000000001,D413&lt;=01_因子設定!$M$5+0.000000001,E413&gt;=01_因子設定!$L$6-0.000000001,E413&lt;=01_因子設定!$M$6+0.000000001,F413&gt;=01_因子設定!$L$7-0.000000001,F413&lt;=01_因子設定!$M$7+0.000000001,IF(01_因子設定!$B$20="Box-Behnken",D413^2+E413^2+F413^2&lt;=2+0.000000001,TRUE()))</f>
        <v>1</v>
      </c>
      <c r="W413" s="55" t="n">
        <f aca="false">IF(V413,IF(01_因子設定!$B$13="最大化",T413-01_因子設定!$B$14,IF(01_因子設定!$B$13="最小化",01_因子設定!$B$15-U413,MIN(T413-01_因子設定!$B$14,01_因子設定!$B$15-U413))),-1E+030)</f>
        <v>-8.27084113042266</v>
      </c>
      <c r="X413" s="55" t="n">
        <f aca="false">IF(V413,IF(01_因子設定!$B$13="最大化",Q413,IF(01_因子設定!$B$13="最小化",-Q413,-ABS(Q413-01_因子設定!$B$16))),-1E+030)</f>
        <v>41.4030326704546</v>
      </c>
      <c r="Y413" s="55" t="n">
        <f aca="false">W413+ROW()*0.000000001</f>
        <v>-8.27084071742266</v>
      </c>
      <c r="Z413" s="55" t="n">
        <f aca="false">X413+ROW()*0.000000001</f>
        <v>41.4030330834546</v>
      </c>
    </row>
    <row r="414" customFormat="false" ht="15" hidden="false" customHeight="false" outlineLevel="0" collapsed="false">
      <c r="A414" s="0" t="n">
        <v>1</v>
      </c>
      <c r="B414" s="0" t="n">
        <v>7</v>
      </c>
      <c r="C414" s="0" t="n">
        <v>1</v>
      </c>
      <c r="D414" s="0" t="n">
        <f aca="false">-1+A414*0.125</f>
        <v>-0.875</v>
      </c>
      <c r="E414" s="0" t="n">
        <f aca="false">-1+B414*0.125</f>
        <v>-0.125</v>
      </c>
      <c r="F414" s="0" t="n">
        <f aca="false">-1+C414*0.125</f>
        <v>-0.875</v>
      </c>
      <c r="G414" s="0" t="n">
        <f aca="false">1</f>
        <v>1</v>
      </c>
      <c r="H414" s="0" t="n">
        <f aca="false">D414</f>
        <v>-0.875</v>
      </c>
      <c r="I414" s="0" t="n">
        <f aca="false">E414</f>
        <v>-0.125</v>
      </c>
      <c r="J414" s="0" t="n">
        <f aca="false">F414</f>
        <v>-0.875</v>
      </c>
      <c r="K414" s="0" t="n">
        <f aca="false">D414*E414</f>
        <v>0.109375</v>
      </c>
      <c r="L414" s="0" t="n">
        <f aca="false">D414*F414</f>
        <v>0.765625</v>
      </c>
      <c r="M414" s="0" t="n">
        <f aca="false">E414*F414</f>
        <v>0.109375</v>
      </c>
      <c r="N414" s="0" t="n">
        <f aca="false">D414*D414</f>
        <v>0.765625</v>
      </c>
      <c r="O414" s="0" t="n">
        <f aca="false">E414*E414</f>
        <v>0.015625</v>
      </c>
      <c r="P414" s="0" t="n">
        <f aca="false">F414*F414</f>
        <v>0.765625</v>
      </c>
      <c r="Q414" s="0" t="n">
        <f aca="false">SUMPRODUCT(G414:P414,_XtX!$B$71:$K$71)</f>
        <v>41.8608309659091</v>
      </c>
      <c r="R414" s="0" t="n">
        <f aca="false">SUMPRODUCT(MMULT(G414:P414,_XtX!$B$58:$K$67),G414:P414)</f>
        <v>0.468517511541193</v>
      </c>
      <c r="S414" s="0" t="n">
        <f aca="false">04_回帰ANOVA!$K$19*04_回帰ANOVA!$K$14*SQRT(1+R414)</f>
        <v>1.12669456902645</v>
      </c>
      <c r="T414" s="0" t="n">
        <f aca="false">Q414-S414</f>
        <v>40.7341363968827</v>
      </c>
      <c r="U414" s="0" t="n">
        <f aca="false">Q414+S414</f>
        <v>42.9875255349355</v>
      </c>
      <c r="V414" s="54" t="b">
        <f aca="false">AND(D414&gt;=01_因子設定!$L$5-0.000000001,D414&lt;=01_因子設定!$M$5+0.000000001,E414&gt;=01_因子設定!$L$6-0.000000001,E414&lt;=01_因子設定!$M$6+0.000000001,F414&gt;=01_因子設定!$L$7-0.000000001,F414&lt;=01_因子設定!$M$7+0.000000001,IF(01_因子設定!$B$20="Box-Behnken",D414^2+E414^2+F414^2&lt;=2+0.000000001,TRUE()))</f>
        <v>1</v>
      </c>
      <c r="W414" s="55" t="n">
        <f aca="false">IF(V414,IF(01_因子設定!$B$13="最大化",T414-01_因子設定!$B$14,IF(01_因子設定!$B$13="最小化",01_因子設定!$B$15-U414,MIN(T414-01_因子設定!$B$14,01_因子設定!$B$15-U414))),-1E+030)</f>
        <v>-7.76586360311735</v>
      </c>
      <c r="X414" s="55" t="n">
        <f aca="false">IF(V414,IF(01_因子設定!$B$13="最大化",Q414,IF(01_因子設定!$B$13="最小化",-Q414,-ABS(Q414-01_因子設定!$B$16))),-1E+030)</f>
        <v>41.8608309659091</v>
      </c>
      <c r="Y414" s="55" t="n">
        <f aca="false">W414+ROW()*0.000000001</f>
        <v>-7.76586318911735</v>
      </c>
      <c r="Z414" s="55" t="n">
        <f aca="false">X414+ROW()*0.000000001</f>
        <v>41.8608313799091</v>
      </c>
    </row>
    <row r="415" customFormat="false" ht="15" hidden="false" customHeight="false" outlineLevel="0" collapsed="false">
      <c r="A415" s="0" t="n">
        <v>1</v>
      </c>
      <c r="B415" s="0" t="n">
        <v>7</v>
      </c>
      <c r="C415" s="0" t="n">
        <v>2</v>
      </c>
      <c r="D415" s="0" t="n">
        <f aca="false">-1+A415*0.125</f>
        <v>-0.875</v>
      </c>
      <c r="E415" s="0" t="n">
        <f aca="false">-1+B415*0.125</f>
        <v>-0.125</v>
      </c>
      <c r="F415" s="0" t="n">
        <f aca="false">-1+C415*0.125</f>
        <v>-0.75</v>
      </c>
      <c r="G415" s="0" t="n">
        <f aca="false">1</f>
        <v>1</v>
      </c>
      <c r="H415" s="0" t="n">
        <f aca="false">D415</f>
        <v>-0.875</v>
      </c>
      <c r="I415" s="0" t="n">
        <f aca="false">E415</f>
        <v>-0.125</v>
      </c>
      <c r="J415" s="0" t="n">
        <f aca="false">F415</f>
        <v>-0.75</v>
      </c>
      <c r="K415" s="0" t="n">
        <f aca="false">D415*E415</f>
        <v>0.109375</v>
      </c>
      <c r="L415" s="0" t="n">
        <f aca="false">D415*F415</f>
        <v>0.65625</v>
      </c>
      <c r="M415" s="0" t="n">
        <f aca="false">E415*F415</f>
        <v>0.09375</v>
      </c>
      <c r="N415" s="0" t="n">
        <f aca="false">D415*D415</f>
        <v>0.765625</v>
      </c>
      <c r="O415" s="0" t="n">
        <f aca="false">E415*E415</f>
        <v>0.015625</v>
      </c>
      <c r="P415" s="0" t="n">
        <f aca="false">F415*F415</f>
        <v>0.5625</v>
      </c>
      <c r="Q415" s="0" t="n">
        <f aca="false">SUMPRODUCT(G415:P415,_XtX!$B$71:$K$71)</f>
        <v>42.2818394886364</v>
      </c>
      <c r="R415" s="0" t="n">
        <f aca="false">SUMPRODUCT(MMULT(G415:P415,_XtX!$B$58:$K$67),G415:P415)</f>
        <v>0.392013827237216</v>
      </c>
      <c r="S415" s="0" t="n">
        <f aca="false">04_回帰ANOVA!$K$19*04_回帰ANOVA!$K$14*SQRT(1+R415)</f>
        <v>1.09695398627251</v>
      </c>
      <c r="T415" s="0" t="n">
        <f aca="false">Q415-S415</f>
        <v>41.1848855023639</v>
      </c>
      <c r="U415" s="0" t="n">
        <f aca="false">Q415+S415</f>
        <v>43.3787934749089</v>
      </c>
      <c r="V415" s="54" t="b">
        <f aca="false">AND(D415&gt;=01_因子設定!$L$5-0.000000001,D415&lt;=01_因子設定!$M$5+0.000000001,E415&gt;=01_因子設定!$L$6-0.000000001,E415&lt;=01_因子設定!$M$6+0.000000001,F415&gt;=01_因子設定!$L$7-0.000000001,F415&lt;=01_因子設定!$M$7+0.000000001,IF(01_因子設定!$B$20="Box-Behnken",D415^2+E415^2+F415^2&lt;=2+0.000000001,TRUE()))</f>
        <v>1</v>
      </c>
      <c r="W415" s="55" t="n">
        <f aca="false">IF(V415,IF(01_因子設定!$B$13="最大化",T415-01_因子設定!$B$14,IF(01_因子設定!$B$13="最小化",01_因子設定!$B$15-U415,MIN(T415-01_因子設定!$B$14,01_因子設定!$B$15-U415))),-1E+030)</f>
        <v>-7.31511449763615</v>
      </c>
      <c r="X415" s="55" t="n">
        <f aca="false">IF(V415,IF(01_因子設定!$B$13="最大化",Q415,IF(01_因子設定!$B$13="最小化",-Q415,-ABS(Q415-01_因子設定!$B$16))),-1E+030)</f>
        <v>42.2818394886364</v>
      </c>
      <c r="Y415" s="55" t="n">
        <f aca="false">W415+ROW()*0.000000001</f>
        <v>-7.31511408263615</v>
      </c>
      <c r="Z415" s="55" t="n">
        <f aca="false">X415+ROW()*0.000000001</f>
        <v>42.2818399036364</v>
      </c>
    </row>
    <row r="416" customFormat="false" ht="15" hidden="false" customHeight="false" outlineLevel="0" collapsed="false">
      <c r="A416" s="0" t="n">
        <v>1</v>
      </c>
      <c r="B416" s="0" t="n">
        <v>7</v>
      </c>
      <c r="C416" s="0" t="n">
        <v>3</v>
      </c>
      <c r="D416" s="0" t="n">
        <f aca="false">-1+A416*0.125</f>
        <v>-0.875</v>
      </c>
      <c r="E416" s="0" t="n">
        <f aca="false">-1+B416*0.125</f>
        <v>-0.125</v>
      </c>
      <c r="F416" s="0" t="n">
        <f aca="false">-1+C416*0.125</f>
        <v>-0.625</v>
      </c>
      <c r="G416" s="0" t="n">
        <f aca="false">1</f>
        <v>1</v>
      </c>
      <c r="H416" s="0" t="n">
        <f aca="false">D416</f>
        <v>-0.875</v>
      </c>
      <c r="I416" s="0" t="n">
        <f aca="false">E416</f>
        <v>-0.125</v>
      </c>
      <c r="J416" s="0" t="n">
        <f aca="false">F416</f>
        <v>-0.625</v>
      </c>
      <c r="K416" s="0" t="n">
        <f aca="false">D416*E416</f>
        <v>0.109375</v>
      </c>
      <c r="L416" s="0" t="n">
        <f aca="false">D416*F416</f>
        <v>0.546875</v>
      </c>
      <c r="M416" s="0" t="n">
        <f aca="false">E416*F416</f>
        <v>0.078125</v>
      </c>
      <c r="N416" s="0" t="n">
        <f aca="false">D416*D416</f>
        <v>0.765625</v>
      </c>
      <c r="O416" s="0" t="n">
        <f aca="false">E416*E416</f>
        <v>0.015625</v>
      </c>
      <c r="P416" s="0" t="n">
        <f aca="false">F416*F416</f>
        <v>0.390625</v>
      </c>
      <c r="Q416" s="0" t="n">
        <f aca="false">SUMPRODUCT(G416:P416,_XtX!$B$71:$K$71)</f>
        <v>42.6660582386364</v>
      </c>
      <c r="R416" s="0" t="n">
        <f aca="false">SUMPRODUCT(MMULT(G416:P416,_XtX!$B$58:$K$67),G416:P416)</f>
        <v>0.350717440518466</v>
      </c>
      <c r="S416" s="0" t="n">
        <f aca="false">04_回帰ANOVA!$K$19*04_回帰ANOVA!$K$14*SQRT(1+R416)</f>
        <v>1.08056000737898</v>
      </c>
      <c r="T416" s="0" t="n">
        <f aca="false">Q416-S416</f>
        <v>41.5854982312574</v>
      </c>
      <c r="U416" s="0" t="n">
        <f aca="false">Q416+S416</f>
        <v>43.7466182460153</v>
      </c>
      <c r="V416" s="54" t="b">
        <f aca="false">AND(D416&gt;=01_因子設定!$L$5-0.000000001,D416&lt;=01_因子設定!$M$5+0.000000001,E416&gt;=01_因子設定!$L$6-0.000000001,E416&lt;=01_因子設定!$M$6+0.000000001,F416&gt;=01_因子設定!$L$7-0.000000001,F416&lt;=01_因子設定!$M$7+0.000000001,IF(01_因子設定!$B$20="Box-Behnken",D416^2+E416^2+F416^2&lt;=2+0.000000001,TRUE()))</f>
        <v>1</v>
      </c>
      <c r="W416" s="55" t="n">
        <f aca="false">IF(V416,IF(01_因子設定!$B$13="最大化",T416-01_因子設定!$B$14,IF(01_因子設定!$B$13="最小化",01_因子設定!$B$15-U416,MIN(T416-01_因子設定!$B$14,01_因子設定!$B$15-U416))),-1E+030)</f>
        <v>-6.91450176874262</v>
      </c>
      <c r="X416" s="55" t="n">
        <f aca="false">IF(V416,IF(01_因子設定!$B$13="最大化",Q416,IF(01_因子設定!$B$13="最小化",-Q416,-ABS(Q416-01_因子設定!$B$16))),-1E+030)</f>
        <v>42.6660582386364</v>
      </c>
      <c r="Y416" s="55" t="n">
        <f aca="false">W416+ROW()*0.000000001</f>
        <v>-6.91450135274262</v>
      </c>
      <c r="Z416" s="55" t="n">
        <f aca="false">X416+ROW()*0.000000001</f>
        <v>42.6660586546364</v>
      </c>
    </row>
    <row r="417" customFormat="false" ht="15" hidden="false" customHeight="false" outlineLevel="0" collapsed="false">
      <c r="A417" s="0" t="n">
        <v>1</v>
      </c>
      <c r="B417" s="0" t="n">
        <v>7</v>
      </c>
      <c r="C417" s="0" t="n">
        <v>4</v>
      </c>
      <c r="D417" s="0" t="n">
        <f aca="false">-1+A417*0.125</f>
        <v>-0.875</v>
      </c>
      <c r="E417" s="0" t="n">
        <f aca="false">-1+B417*0.125</f>
        <v>-0.125</v>
      </c>
      <c r="F417" s="0" t="n">
        <f aca="false">-1+C417*0.125</f>
        <v>-0.5</v>
      </c>
      <c r="G417" s="0" t="n">
        <f aca="false">1</f>
        <v>1</v>
      </c>
      <c r="H417" s="0" t="n">
        <f aca="false">D417</f>
        <v>-0.875</v>
      </c>
      <c r="I417" s="0" t="n">
        <f aca="false">E417</f>
        <v>-0.125</v>
      </c>
      <c r="J417" s="0" t="n">
        <f aca="false">F417</f>
        <v>-0.5</v>
      </c>
      <c r="K417" s="0" t="n">
        <f aca="false">D417*E417</f>
        <v>0.109375</v>
      </c>
      <c r="L417" s="0" t="n">
        <f aca="false">D417*F417</f>
        <v>0.4375</v>
      </c>
      <c r="M417" s="0" t="n">
        <f aca="false">E417*F417</f>
        <v>0.0625</v>
      </c>
      <c r="N417" s="0" t="n">
        <f aca="false">D417*D417</f>
        <v>0.765625</v>
      </c>
      <c r="O417" s="0" t="n">
        <f aca="false">E417*E417</f>
        <v>0.015625</v>
      </c>
      <c r="P417" s="0" t="n">
        <f aca="false">F417*F417</f>
        <v>0.25</v>
      </c>
      <c r="Q417" s="0" t="n">
        <f aca="false">SUMPRODUCT(G417:P417,_XtX!$B$71:$K$71)</f>
        <v>43.0134872159091</v>
      </c>
      <c r="R417" s="0" t="n">
        <f aca="false">SUMPRODUCT(MMULT(G417:P417,_XtX!$B$58:$K$67),G417:P417)</f>
        <v>0.332909601384943</v>
      </c>
      <c r="S417" s="0" t="n">
        <f aca="false">04_回帰ANOVA!$K$19*04_回帰ANOVA!$K$14*SQRT(1+R417)</f>
        <v>1.07341333007404</v>
      </c>
      <c r="T417" s="0" t="n">
        <f aca="false">Q417-S417</f>
        <v>41.9400738858351</v>
      </c>
      <c r="U417" s="0" t="n">
        <f aca="false">Q417+S417</f>
        <v>44.0869005459831</v>
      </c>
      <c r="V417" s="54" t="b">
        <f aca="false">AND(D417&gt;=01_因子設定!$L$5-0.000000001,D417&lt;=01_因子設定!$M$5+0.000000001,E417&gt;=01_因子設定!$L$6-0.000000001,E417&lt;=01_因子設定!$M$6+0.000000001,F417&gt;=01_因子設定!$L$7-0.000000001,F417&lt;=01_因子設定!$M$7+0.000000001,IF(01_因子設定!$B$20="Box-Behnken",D417^2+E417^2+F417^2&lt;=2+0.000000001,TRUE()))</f>
        <v>1</v>
      </c>
      <c r="W417" s="55" t="n">
        <f aca="false">IF(V417,IF(01_因子設定!$B$13="最大化",T417-01_因子設定!$B$14,IF(01_因子設定!$B$13="最小化",01_因子設定!$B$15-U417,MIN(T417-01_因子設定!$B$14,01_因子設定!$B$15-U417))),-1E+030)</f>
        <v>-6.55992611416495</v>
      </c>
      <c r="X417" s="55" t="n">
        <f aca="false">IF(V417,IF(01_因子設定!$B$13="最大化",Q417,IF(01_因子設定!$B$13="最小化",-Q417,-ABS(Q417-01_因子設定!$B$16))),-1E+030)</f>
        <v>43.0134872159091</v>
      </c>
      <c r="Y417" s="55" t="n">
        <f aca="false">W417+ROW()*0.000000001</f>
        <v>-6.55992569716495</v>
      </c>
      <c r="Z417" s="55" t="n">
        <f aca="false">X417+ROW()*0.000000001</f>
        <v>43.0134876329091</v>
      </c>
    </row>
    <row r="418" customFormat="false" ht="15" hidden="false" customHeight="false" outlineLevel="0" collapsed="false">
      <c r="A418" s="0" t="n">
        <v>1</v>
      </c>
      <c r="B418" s="0" t="n">
        <v>7</v>
      </c>
      <c r="C418" s="0" t="n">
        <v>5</v>
      </c>
      <c r="D418" s="0" t="n">
        <f aca="false">-1+A418*0.125</f>
        <v>-0.875</v>
      </c>
      <c r="E418" s="0" t="n">
        <f aca="false">-1+B418*0.125</f>
        <v>-0.125</v>
      </c>
      <c r="F418" s="0" t="n">
        <f aca="false">-1+C418*0.125</f>
        <v>-0.375</v>
      </c>
      <c r="G418" s="0" t="n">
        <f aca="false">1</f>
        <v>1</v>
      </c>
      <c r="H418" s="0" t="n">
        <f aca="false">D418</f>
        <v>-0.875</v>
      </c>
      <c r="I418" s="0" t="n">
        <f aca="false">E418</f>
        <v>-0.125</v>
      </c>
      <c r="J418" s="0" t="n">
        <f aca="false">F418</f>
        <v>-0.375</v>
      </c>
      <c r="K418" s="0" t="n">
        <f aca="false">D418*E418</f>
        <v>0.109375</v>
      </c>
      <c r="L418" s="0" t="n">
        <f aca="false">D418*F418</f>
        <v>0.328125</v>
      </c>
      <c r="M418" s="0" t="n">
        <f aca="false">E418*F418</f>
        <v>0.046875</v>
      </c>
      <c r="N418" s="0" t="n">
        <f aca="false">D418*D418</f>
        <v>0.765625</v>
      </c>
      <c r="O418" s="0" t="n">
        <f aca="false">E418*E418</f>
        <v>0.015625</v>
      </c>
      <c r="P418" s="0" t="n">
        <f aca="false">F418*F418</f>
        <v>0.140625</v>
      </c>
      <c r="Q418" s="0" t="n">
        <f aca="false">SUMPRODUCT(G418:P418,_XtX!$B$71:$K$71)</f>
        <v>43.3241264204545</v>
      </c>
      <c r="R418" s="0" t="n">
        <f aca="false">SUMPRODUCT(MMULT(G418:P418,_XtX!$B$58:$K$67),G418:P418)</f>
        <v>0.32900224165483</v>
      </c>
      <c r="S418" s="0" t="n">
        <f aca="false">04_回帰ANOVA!$K$19*04_回帰ANOVA!$K$14*SQRT(1+R418)</f>
        <v>1.07183884583628</v>
      </c>
      <c r="T418" s="0" t="n">
        <f aca="false">Q418-S418</f>
        <v>42.2522875746183</v>
      </c>
      <c r="U418" s="0" t="n">
        <f aca="false">Q418+S418</f>
        <v>44.3959652662908</v>
      </c>
      <c r="V418" s="54" t="b">
        <f aca="false">AND(D418&gt;=01_因子設定!$L$5-0.000000001,D418&lt;=01_因子設定!$M$5+0.000000001,E418&gt;=01_因子設定!$L$6-0.000000001,E418&lt;=01_因子設定!$M$6+0.000000001,F418&gt;=01_因子設定!$L$7-0.000000001,F418&lt;=01_因子設定!$M$7+0.000000001,IF(01_因子設定!$B$20="Box-Behnken",D418^2+E418^2+F418^2&lt;=2+0.000000001,TRUE()))</f>
        <v>1</v>
      </c>
      <c r="W418" s="55" t="n">
        <f aca="false">IF(V418,IF(01_因子設定!$B$13="最大化",T418-01_因子設定!$B$14,IF(01_因子設定!$B$13="最小化",01_因子設定!$B$15-U418,MIN(T418-01_因子設定!$B$14,01_因子設定!$B$15-U418))),-1E+030)</f>
        <v>-6.24771242538174</v>
      </c>
      <c r="X418" s="55" t="n">
        <f aca="false">IF(V418,IF(01_因子設定!$B$13="最大化",Q418,IF(01_因子設定!$B$13="最小化",-Q418,-ABS(Q418-01_因子設定!$B$16))),-1E+030)</f>
        <v>43.3241264204545</v>
      </c>
      <c r="Y418" s="55" t="n">
        <f aca="false">W418+ROW()*0.000000001</f>
        <v>-6.24771200738174</v>
      </c>
      <c r="Z418" s="55" t="n">
        <f aca="false">X418+ROW()*0.000000001</f>
        <v>43.3241268384545</v>
      </c>
    </row>
    <row r="419" customFormat="false" ht="15" hidden="false" customHeight="false" outlineLevel="0" collapsed="false">
      <c r="A419" s="0" t="n">
        <v>1</v>
      </c>
      <c r="B419" s="0" t="n">
        <v>7</v>
      </c>
      <c r="C419" s="0" t="n">
        <v>6</v>
      </c>
      <c r="D419" s="0" t="n">
        <f aca="false">-1+A419*0.125</f>
        <v>-0.875</v>
      </c>
      <c r="E419" s="0" t="n">
        <f aca="false">-1+B419*0.125</f>
        <v>-0.125</v>
      </c>
      <c r="F419" s="0" t="n">
        <f aca="false">-1+C419*0.125</f>
        <v>-0.25</v>
      </c>
      <c r="G419" s="0" t="n">
        <f aca="false">1</f>
        <v>1</v>
      </c>
      <c r="H419" s="0" t="n">
        <f aca="false">D419</f>
        <v>-0.875</v>
      </c>
      <c r="I419" s="0" t="n">
        <f aca="false">E419</f>
        <v>-0.125</v>
      </c>
      <c r="J419" s="0" t="n">
        <f aca="false">F419</f>
        <v>-0.25</v>
      </c>
      <c r="K419" s="0" t="n">
        <f aca="false">D419*E419</f>
        <v>0.109375</v>
      </c>
      <c r="L419" s="0" t="n">
        <f aca="false">D419*F419</f>
        <v>0.21875</v>
      </c>
      <c r="M419" s="0" t="n">
        <f aca="false">E419*F419</f>
        <v>0.03125</v>
      </c>
      <c r="N419" s="0" t="n">
        <f aca="false">D419*D419</f>
        <v>0.765625</v>
      </c>
      <c r="O419" s="0" t="n">
        <f aca="false">E419*E419</f>
        <v>0.015625</v>
      </c>
      <c r="P419" s="0" t="n">
        <f aca="false">F419*F419</f>
        <v>0.0625</v>
      </c>
      <c r="Q419" s="0" t="n">
        <f aca="false">SUMPRODUCT(G419:P419,_XtX!$B$71:$K$71)</f>
        <v>43.5979758522727</v>
      </c>
      <c r="R419" s="0" t="n">
        <f aca="false">SUMPRODUCT(MMULT(G419:P419,_XtX!$B$58:$K$67),G419:P419)</f>
        <v>0.331537974964489</v>
      </c>
      <c r="S419" s="0" t="n">
        <f aca="false">04_回帰ANOVA!$K$19*04_回帰ANOVA!$K$14*SQRT(1+R419)</f>
        <v>1.07286089161565</v>
      </c>
      <c r="T419" s="0" t="n">
        <f aca="false">Q419-S419</f>
        <v>42.5251149606571</v>
      </c>
      <c r="U419" s="0" t="n">
        <f aca="false">Q419+S419</f>
        <v>44.6708367438884</v>
      </c>
      <c r="V419" s="54" t="b">
        <f aca="false">AND(D419&gt;=01_因子設定!$L$5-0.000000001,D419&lt;=01_因子設定!$M$5+0.000000001,E419&gt;=01_因子設定!$L$6-0.000000001,E419&lt;=01_因子設定!$M$6+0.000000001,F419&gt;=01_因子設定!$L$7-0.000000001,F419&lt;=01_因子設定!$M$7+0.000000001,IF(01_因子設定!$B$20="Box-Behnken",D419^2+E419^2+F419^2&lt;=2+0.000000001,TRUE()))</f>
        <v>1</v>
      </c>
      <c r="W419" s="55" t="n">
        <f aca="false">IF(V419,IF(01_因子設定!$B$13="最大化",T419-01_因子設定!$B$14,IF(01_因子設定!$B$13="最小化",01_因子設定!$B$15-U419,MIN(T419-01_因子設定!$B$14,01_因子設定!$B$15-U419))),-1E+030)</f>
        <v>-5.97488503934294</v>
      </c>
      <c r="X419" s="55" t="n">
        <f aca="false">IF(V419,IF(01_因子設定!$B$13="最大化",Q419,IF(01_因子設定!$B$13="最小化",-Q419,-ABS(Q419-01_因子設定!$B$16))),-1E+030)</f>
        <v>43.5979758522727</v>
      </c>
      <c r="Y419" s="55" t="n">
        <f aca="false">W419+ROW()*0.000000001</f>
        <v>-5.97488462034294</v>
      </c>
      <c r="Z419" s="55" t="n">
        <f aca="false">X419+ROW()*0.000000001</f>
        <v>43.5979762712727</v>
      </c>
    </row>
    <row r="420" customFormat="false" ht="15" hidden="false" customHeight="false" outlineLevel="0" collapsed="false">
      <c r="A420" s="0" t="n">
        <v>1</v>
      </c>
      <c r="B420" s="0" t="n">
        <v>7</v>
      </c>
      <c r="C420" s="0" t="n">
        <v>7</v>
      </c>
      <c r="D420" s="0" t="n">
        <f aca="false">-1+A420*0.125</f>
        <v>-0.875</v>
      </c>
      <c r="E420" s="0" t="n">
        <f aca="false">-1+B420*0.125</f>
        <v>-0.125</v>
      </c>
      <c r="F420" s="0" t="n">
        <f aca="false">-1+C420*0.125</f>
        <v>-0.125</v>
      </c>
      <c r="G420" s="0" t="n">
        <f aca="false">1</f>
        <v>1</v>
      </c>
      <c r="H420" s="0" t="n">
        <f aca="false">D420</f>
        <v>-0.875</v>
      </c>
      <c r="I420" s="0" t="n">
        <f aca="false">E420</f>
        <v>-0.125</v>
      </c>
      <c r="J420" s="0" t="n">
        <f aca="false">F420</f>
        <v>-0.125</v>
      </c>
      <c r="K420" s="0" t="n">
        <f aca="false">D420*E420</f>
        <v>0.109375</v>
      </c>
      <c r="L420" s="0" t="n">
        <f aca="false">D420*F420</f>
        <v>0.109375</v>
      </c>
      <c r="M420" s="0" t="n">
        <f aca="false">E420*F420</f>
        <v>0.015625</v>
      </c>
      <c r="N420" s="0" t="n">
        <f aca="false">D420*D420</f>
        <v>0.765625</v>
      </c>
      <c r="O420" s="0" t="n">
        <f aca="false">E420*E420</f>
        <v>0.015625</v>
      </c>
      <c r="P420" s="0" t="n">
        <f aca="false">F420*F420</f>
        <v>0.015625</v>
      </c>
      <c r="Q420" s="0" t="n">
        <f aca="false">SUMPRODUCT(G420:P420,_XtX!$B$71:$K$71)</f>
        <v>43.8350355113636</v>
      </c>
      <c r="R420" s="0" t="n">
        <f aca="false">SUMPRODUCT(MMULT(G420:P420,_XtX!$B$58:$K$67),G420:P420)</f>
        <v>0.335190096768466</v>
      </c>
      <c r="S420" s="0" t="n">
        <f aca="false">04_回帰ANOVA!$K$19*04_回帰ANOVA!$K$14*SQRT(1+R420)</f>
        <v>1.07433119726947</v>
      </c>
      <c r="T420" s="0" t="n">
        <f aca="false">Q420-S420</f>
        <v>42.7607043140942</v>
      </c>
      <c r="U420" s="0" t="n">
        <f aca="false">Q420+S420</f>
        <v>44.9093667086331</v>
      </c>
      <c r="V420" s="54" t="b">
        <f aca="false">AND(D420&gt;=01_因子設定!$L$5-0.000000001,D420&lt;=01_因子設定!$M$5+0.000000001,E420&gt;=01_因子設定!$L$6-0.000000001,E420&lt;=01_因子設定!$M$6+0.000000001,F420&gt;=01_因子設定!$L$7-0.000000001,F420&lt;=01_因子設定!$M$7+0.000000001,IF(01_因子設定!$B$20="Box-Behnken",D420^2+E420^2+F420^2&lt;=2+0.000000001,TRUE()))</f>
        <v>1</v>
      </c>
      <c r="W420" s="55" t="n">
        <f aca="false">IF(V420,IF(01_因子設定!$B$13="最大化",T420-01_因子設定!$B$14,IF(01_因子設定!$B$13="最小化",01_因子設定!$B$15-U420,MIN(T420-01_因子設定!$B$14,01_因子設定!$B$15-U420))),-1E+030)</f>
        <v>-5.73929568590584</v>
      </c>
      <c r="X420" s="55" t="n">
        <f aca="false">IF(V420,IF(01_因子設定!$B$13="最大化",Q420,IF(01_因子設定!$B$13="最小化",-Q420,-ABS(Q420-01_因子設定!$B$16))),-1E+030)</f>
        <v>43.8350355113636</v>
      </c>
      <c r="Y420" s="55" t="n">
        <f aca="false">W420+ROW()*0.000000001</f>
        <v>-5.73929526590584</v>
      </c>
      <c r="Z420" s="55" t="n">
        <f aca="false">X420+ROW()*0.000000001</f>
        <v>43.8350359313636</v>
      </c>
    </row>
    <row r="421" customFormat="false" ht="15" hidden="false" customHeight="false" outlineLevel="0" collapsed="false">
      <c r="A421" s="0" t="n">
        <v>1</v>
      </c>
      <c r="B421" s="0" t="n">
        <v>7</v>
      </c>
      <c r="C421" s="0" t="n">
        <v>8</v>
      </c>
      <c r="D421" s="0" t="n">
        <f aca="false">-1+A421*0.125</f>
        <v>-0.875</v>
      </c>
      <c r="E421" s="0" t="n">
        <f aca="false">-1+B421*0.125</f>
        <v>-0.125</v>
      </c>
      <c r="F421" s="0" t="n">
        <f aca="false">-1+C421*0.125</f>
        <v>0</v>
      </c>
      <c r="G421" s="0" t="n">
        <f aca="false">1</f>
        <v>1</v>
      </c>
      <c r="H421" s="0" t="n">
        <f aca="false">D421</f>
        <v>-0.875</v>
      </c>
      <c r="I421" s="0" t="n">
        <f aca="false">E421</f>
        <v>-0.125</v>
      </c>
      <c r="J421" s="0" t="n">
        <f aca="false">F421</f>
        <v>0</v>
      </c>
      <c r="K421" s="0" t="n">
        <f aca="false">D421*E421</f>
        <v>0.109375</v>
      </c>
      <c r="L421" s="0" t="n">
        <f aca="false">D421*F421</f>
        <v>-0</v>
      </c>
      <c r="M421" s="0" t="n">
        <f aca="false">E421*F421</f>
        <v>-0</v>
      </c>
      <c r="N421" s="0" t="n">
        <f aca="false">D421*D421</f>
        <v>0.765625</v>
      </c>
      <c r="O421" s="0" t="n">
        <f aca="false">E421*E421</f>
        <v>0.015625</v>
      </c>
      <c r="P421" s="0" t="n">
        <f aca="false">F421*F421</f>
        <v>0</v>
      </c>
      <c r="Q421" s="0" t="n">
        <f aca="false">SUMPRODUCT(G421:P421,_XtX!$B$71:$K$71)</f>
        <v>44.0353053977273</v>
      </c>
      <c r="R421" s="0" t="n">
        <f aca="false">SUMPRODUCT(MMULT(G421:P421,_XtX!$B$58:$K$67),G421:P421)</f>
        <v>0.336762584339489</v>
      </c>
      <c r="S421" s="0" t="n">
        <f aca="false">04_回帰ANOVA!$K$19*04_回帰ANOVA!$K$14*SQRT(1+R421)</f>
        <v>1.07496364479411</v>
      </c>
      <c r="T421" s="0" t="n">
        <f aca="false">Q421-S421</f>
        <v>42.9603417529332</v>
      </c>
      <c r="U421" s="0" t="n">
        <f aca="false">Q421+S421</f>
        <v>45.1102690425214</v>
      </c>
      <c r="V421" s="54" t="b">
        <f aca="false">AND(D421&gt;=01_因子設定!$L$5-0.000000001,D421&lt;=01_因子設定!$M$5+0.000000001,E421&gt;=01_因子設定!$L$6-0.000000001,E421&lt;=01_因子設定!$M$6+0.000000001,F421&gt;=01_因子設定!$L$7-0.000000001,F421&lt;=01_因子設定!$M$7+0.000000001,IF(01_因子設定!$B$20="Box-Behnken",D421^2+E421^2+F421^2&lt;=2+0.000000001,TRUE()))</f>
        <v>1</v>
      </c>
      <c r="W421" s="55" t="n">
        <f aca="false">IF(V421,IF(01_因子設定!$B$13="最大化",T421-01_因子設定!$B$14,IF(01_因子設定!$B$13="最小化",01_因子設定!$B$15-U421,MIN(T421-01_因子設定!$B$14,01_因子設定!$B$15-U421))),-1E+030)</f>
        <v>-5.53965824706685</v>
      </c>
      <c r="X421" s="55" t="n">
        <f aca="false">IF(V421,IF(01_因子設定!$B$13="最大化",Q421,IF(01_因子設定!$B$13="最小化",-Q421,-ABS(Q421-01_因子設定!$B$16))),-1E+030)</f>
        <v>44.0353053977273</v>
      </c>
      <c r="Y421" s="55" t="n">
        <f aca="false">W421+ROW()*0.000000001</f>
        <v>-5.53965782606685</v>
      </c>
      <c r="Z421" s="55" t="n">
        <f aca="false">X421+ROW()*0.000000001</f>
        <v>44.0353058187273</v>
      </c>
    </row>
    <row r="422" customFormat="false" ht="15" hidden="false" customHeight="false" outlineLevel="0" collapsed="false">
      <c r="A422" s="0" t="n">
        <v>1</v>
      </c>
      <c r="B422" s="0" t="n">
        <v>7</v>
      </c>
      <c r="C422" s="0" t="n">
        <v>9</v>
      </c>
      <c r="D422" s="0" t="n">
        <f aca="false">-1+A422*0.125</f>
        <v>-0.875</v>
      </c>
      <c r="E422" s="0" t="n">
        <f aca="false">-1+B422*0.125</f>
        <v>-0.125</v>
      </c>
      <c r="F422" s="0" t="n">
        <f aca="false">-1+C422*0.125</f>
        <v>0.125</v>
      </c>
      <c r="G422" s="0" t="n">
        <f aca="false">1</f>
        <v>1</v>
      </c>
      <c r="H422" s="0" t="n">
        <f aca="false">D422</f>
        <v>-0.875</v>
      </c>
      <c r="I422" s="0" t="n">
        <f aca="false">E422</f>
        <v>-0.125</v>
      </c>
      <c r="J422" s="0" t="n">
        <f aca="false">F422</f>
        <v>0.125</v>
      </c>
      <c r="K422" s="0" t="n">
        <f aca="false">D422*E422</f>
        <v>0.109375</v>
      </c>
      <c r="L422" s="0" t="n">
        <f aca="false">D422*F422</f>
        <v>-0.109375</v>
      </c>
      <c r="M422" s="0" t="n">
        <f aca="false">E422*F422</f>
        <v>-0.015625</v>
      </c>
      <c r="N422" s="0" t="n">
        <f aca="false">D422*D422</f>
        <v>0.765625</v>
      </c>
      <c r="O422" s="0" t="n">
        <f aca="false">E422*E422</f>
        <v>0.015625</v>
      </c>
      <c r="P422" s="0" t="n">
        <f aca="false">F422*F422</f>
        <v>0.015625</v>
      </c>
      <c r="Q422" s="0" t="n">
        <f aca="false">SUMPRODUCT(G422:P422,_XtX!$B$71:$K$71)</f>
        <v>44.1987855113636</v>
      </c>
      <c r="R422" s="0" t="n">
        <f aca="false">SUMPRODUCT(MMULT(G422:P422,_XtX!$B$58:$K$67),G422:P422)</f>
        <v>0.335190096768466</v>
      </c>
      <c r="S422" s="0" t="n">
        <f aca="false">04_回帰ANOVA!$K$19*04_回帰ANOVA!$K$14*SQRT(1+R422)</f>
        <v>1.07433119726947</v>
      </c>
      <c r="T422" s="0" t="n">
        <f aca="false">Q422-S422</f>
        <v>43.1244543140942</v>
      </c>
      <c r="U422" s="0" t="n">
        <f aca="false">Q422+S422</f>
        <v>45.2731167086331</v>
      </c>
      <c r="V422" s="54" t="b">
        <f aca="false">AND(D422&gt;=01_因子設定!$L$5-0.000000001,D422&lt;=01_因子設定!$M$5+0.000000001,E422&gt;=01_因子設定!$L$6-0.000000001,E422&lt;=01_因子設定!$M$6+0.000000001,F422&gt;=01_因子設定!$L$7-0.000000001,F422&lt;=01_因子設定!$M$7+0.000000001,IF(01_因子設定!$B$20="Box-Behnken",D422^2+E422^2+F422^2&lt;=2+0.000000001,TRUE()))</f>
        <v>1</v>
      </c>
      <c r="W422" s="55" t="n">
        <f aca="false">IF(V422,IF(01_因子設定!$B$13="最大化",T422-01_因子設定!$B$14,IF(01_因子設定!$B$13="最小化",01_因子設定!$B$15-U422,MIN(T422-01_因子設定!$B$14,01_因子設定!$B$15-U422))),-1E+030)</f>
        <v>-5.37554568590583</v>
      </c>
      <c r="X422" s="55" t="n">
        <f aca="false">IF(V422,IF(01_因子設定!$B$13="最大化",Q422,IF(01_因子設定!$B$13="最小化",-Q422,-ABS(Q422-01_因子設定!$B$16))),-1E+030)</f>
        <v>44.1987855113636</v>
      </c>
      <c r="Y422" s="55" t="n">
        <f aca="false">W422+ROW()*0.000000001</f>
        <v>-5.37554526390583</v>
      </c>
      <c r="Z422" s="55" t="n">
        <f aca="false">X422+ROW()*0.000000001</f>
        <v>44.1987859333636</v>
      </c>
    </row>
    <row r="423" customFormat="false" ht="15" hidden="false" customHeight="false" outlineLevel="0" collapsed="false">
      <c r="A423" s="0" t="n">
        <v>1</v>
      </c>
      <c r="B423" s="0" t="n">
        <v>7</v>
      </c>
      <c r="C423" s="0" t="n">
        <v>10</v>
      </c>
      <c r="D423" s="0" t="n">
        <f aca="false">-1+A423*0.125</f>
        <v>-0.875</v>
      </c>
      <c r="E423" s="0" t="n">
        <f aca="false">-1+B423*0.125</f>
        <v>-0.125</v>
      </c>
      <c r="F423" s="0" t="n">
        <f aca="false">-1+C423*0.125</f>
        <v>0.25</v>
      </c>
      <c r="G423" s="0" t="n">
        <f aca="false">1</f>
        <v>1</v>
      </c>
      <c r="H423" s="0" t="n">
        <f aca="false">D423</f>
        <v>-0.875</v>
      </c>
      <c r="I423" s="0" t="n">
        <f aca="false">E423</f>
        <v>-0.125</v>
      </c>
      <c r="J423" s="0" t="n">
        <f aca="false">F423</f>
        <v>0.25</v>
      </c>
      <c r="K423" s="0" t="n">
        <f aca="false">D423*E423</f>
        <v>0.109375</v>
      </c>
      <c r="L423" s="0" t="n">
        <f aca="false">D423*F423</f>
        <v>-0.21875</v>
      </c>
      <c r="M423" s="0" t="n">
        <f aca="false">E423*F423</f>
        <v>-0.03125</v>
      </c>
      <c r="N423" s="0" t="n">
        <f aca="false">D423*D423</f>
        <v>0.765625</v>
      </c>
      <c r="O423" s="0" t="n">
        <f aca="false">E423*E423</f>
        <v>0.015625</v>
      </c>
      <c r="P423" s="0" t="n">
        <f aca="false">F423*F423</f>
        <v>0.0625</v>
      </c>
      <c r="Q423" s="0" t="n">
        <f aca="false">SUMPRODUCT(G423:P423,_XtX!$B$71:$K$71)</f>
        <v>44.3254758522727</v>
      </c>
      <c r="R423" s="0" t="n">
        <f aca="false">SUMPRODUCT(MMULT(G423:P423,_XtX!$B$58:$K$67),G423:P423)</f>
        <v>0.331537974964489</v>
      </c>
      <c r="S423" s="0" t="n">
        <f aca="false">04_回帰ANOVA!$K$19*04_回帰ANOVA!$K$14*SQRT(1+R423)</f>
        <v>1.07286089161565</v>
      </c>
      <c r="T423" s="0" t="n">
        <f aca="false">Q423-S423</f>
        <v>43.2526149606571</v>
      </c>
      <c r="U423" s="0" t="n">
        <f aca="false">Q423+S423</f>
        <v>45.3983367438884</v>
      </c>
      <c r="V423" s="54" t="b">
        <f aca="false">AND(D423&gt;=01_因子設定!$L$5-0.000000001,D423&lt;=01_因子設定!$M$5+0.000000001,E423&gt;=01_因子設定!$L$6-0.000000001,E423&lt;=01_因子設定!$M$6+0.000000001,F423&gt;=01_因子設定!$L$7-0.000000001,F423&lt;=01_因子設定!$M$7+0.000000001,IF(01_因子設定!$B$20="Box-Behnken",D423^2+E423^2+F423^2&lt;=2+0.000000001,TRUE()))</f>
        <v>1</v>
      </c>
      <c r="W423" s="55" t="n">
        <f aca="false">IF(V423,IF(01_因子設定!$B$13="最大化",T423-01_因子設定!$B$14,IF(01_因子設定!$B$13="最小化",01_因子設定!$B$15-U423,MIN(T423-01_因子設定!$B$14,01_因子設定!$B$15-U423))),-1E+030)</f>
        <v>-5.24738503934294</v>
      </c>
      <c r="X423" s="55" t="n">
        <f aca="false">IF(V423,IF(01_因子設定!$B$13="最大化",Q423,IF(01_因子設定!$B$13="最小化",-Q423,-ABS(Q423-01_因子設定!$B$16))),-1E+030)</f>
        <v>44.3254758522727</v>
      </c>
      <c r="Y423" s="55" t="n">
        <f aca="false">W423+ROW()*0.000000001</f>
        <v>-5.24738461634294</v>
      </c>
      <c r="Z423" s="55" t="n">
        <f aca="false">X423+ROW()*0.000000001</f>
        <v>44.3254762752727</v>
      </c>
    </row>
    <row r="424" customFormat="false" ht="15" hidden="false" customHeight="false" outlineLevel="0" collapsed="false">
      <c r="A424" s="0" t="n">
        <v>1</v>
      </c>
      <c r="B424" s="0" t="n">
        <v>7</v>
      </c>
      <c r="C424" s="0" t="n">
        <v>11</v>
      </c>
      <c r="D424" s="0" t="n">
        <f aca="false">-1+A424*0.125</f>
        <v>-0.875</v>
      </c>
      <c r="E424" s="0" t="n">
        <f aca="false">-1+B424*0.125</f>
        <v>-0.125</v>
      </c>
      <c r="F424" s="0" t="n">
        <f aca="false">-1+C424*0.125</f>
        <v>0.375</v>
      </c>
      <c r="G424" s="0" t="n">
        <f aca="false">1</f>
        <v>1</v>
      </c>
      <c r="H424" s="0" t="n">
        <f aca="false">D424</f>
        <v>-0.875</v>
      </c>
      <c r="I424" s="0" t="n">
        <f aca="false">E424</f>
        <v>-0.125</v>
      </c>
      <c r="J424" s="0" t="n">
        <f aca="false">F424</f>
        <v>0.375</v>
      </c>
      <c r="K424" s="0" t="n">
        <f aca="false">D424*E424</f>
        <v>0.109375</v>
      </c>
      <c r="L424" s="0" t="n">
        <f aca="false">D424*F424</f>
        <v>-0.328125</v>
      </c>
      <c r="M424" s="0" t="n">
        <f aca="false">E424*F424</f>
        <v>-0.046875</v>
      </c>
      <c r="N424" s="0" t="n">
        <f aca="false">D424*D424</f>
        <v>0.765625</v>
      </c>
      <c r="O424" s="0" t="n">
        <f aca="false">E424*E424</f>
        <v>0.015625</v>
      </c>
      <c r="P424" s="0" t="n">
        <f aca="false">F424*F424</f>
        <v>0.140625</v>
      </c>
      <c r="Q424" s="0" t="n">
        <f aca="false">SUMPRODUCT(G424:P424,_XtX!$B$71:$K$71)</f>
        <v>44.4153764204545</v>
      </c>
      <c r="R424" s="0" t="n">
        <f aca="false">SUMPRODUCT(MMULT(G424:P424,_XtX!$B$58:$K$67),G424:P424)</f>
        <v>0.32900224165483</v>
      </c>
      <c r="S424" s="0" t="n">
        <f aca="false">04_回帰ANOVA!$K$19*04_回帰ANOVA!$K$14*SQRT(1+R424)</f>
        <v>1.07183884583628</v>
      </c>
      <c r="T424" s="0" t="n">
        <f aca="false">Q424-S424</f>
        <v>43.3435375746183</v>
      </c>
      <c r="U424" s="0" t="n">
        <f aca="false">Q424+S424</f>
        <v>45.4872152662908</v>
      </c>
      <c r="V424" s="54" t="b">
        <f aca="false">AND(D424&gt;=01_因子設定!$L$5-0.000000001,D424&lt;=01_因子設定!$M$5+0.000000001,E424&gt;=01_因子設定!$L$6-0.000000001,E424&lt;=01_因子設定!$M$6+0.000000001,F424&gt;=01_因子設定!$L$7-0.000000001,F424&lt;=01_因子設定!$M$7+0.000000001,IF(01_因子設定!$B$20="Box-Behnken",D424^2+E424^2+F424^2&lt;=2+0.000000001,TRUE()))</f>
        <v>1</v>
      </c>
      <c r="W424" s="55" t="n">
        <f aca="false">IF(V424,IF(01_因子設定!$B$13="最大化",T424-01_因子設定!$B$14,IF(01_因子設定!$B$13="最小化",01_因子設定!$B$15-U424,MIN(T424-01_因子設定!$B$14,01_因子設定!$B$15-U424))),-1E+030)</f>
        <v>-5.15646242538173</v>
      </c>
      <c r="X424" s="55" t="n">
        <f aca="false">IF(V424,IF(01_因子設定!$B$13="最大化",Q424,IF(01_因子設定!$B$13="最小化",-Q424,-ABS(Q424-01_因子設定!$B$16))),-1E+030)</f>
        <v>44.4153764204545</v>
      </c>
      <c r="Y424" s="55" t="n">
        <f aca="false">W424+ROW()*0.000000001</f>
        <v>-5.15646200138173</v>
      </c>
      <c r="Z424" s="55" t="n">
        <f aca="false">X424+ROW()*0.000000001</f>
        <v>44.4153768444545</v>
      </c>
    </row>
    <row r="425" customFormat="false" ht="15" hidden="false" customHeight="false" outlineLevel="0" collapsed="false">
      <c r="A425" s="0" t="n">
        <v>1</v>
      </c>
      <c r="B425" s="0" t="n">
        <v>7</v>
      </c>
      <c r="C425" s="0" t="n">
        <v>12</v>
      </c>
      <c r="D425" s="0" t="n">
        <f aca="false">-1+A425*0.125</f>
        <v>-0.875</v>
      </c>
      <c r="E425" s="0" t="n">
        <f aca="false">-1+B425*0.125</f>
        <v>-0.125</v>
      </c>
      <c r="F425" s="0" t="n">
        <f aca="false">-1+C425*0.125</f>
        <v>0.5</v>
      </c>
      <c r="G425" s="0" t="n">
        <f aca="false">1</f>
        <v>1</v>
      </c>
      <c r="H425" s="0" t="n">
        <f aca="false">D425</f>
        <v>-0.875</v>
      </c>
      <c r="I425" s="0" t="n">
        <f aca="false">E425</f>
        <v>-0.125</v>
      </c>
      <c r="J425" s="0" t="n">
        <f aca="false">F425</f>
        <v>0.5</v>
      </c>
      <c r="K425" s="0" t="n">
        <f aca="false">D425*E425</f>
        <v>0.109375</v>
      </c>
      <c r="L425" s="0" t="n">
        <f aca="false">D425*F425</f>
        <v>-0.4375</v>
      </c>
      <c r="M425" s="0" t="n">
        <f aca="false">E425*F425</f>
        <v>-0.0625</v>
      </c>
      <c r="N425" s="0" t="n">
        <f aca="false">D425*D425</f>
        <v>0.765625</v>
      </c>
      <c r="O425" s="0" t="n">
        <f aca="false">E425*E425</f>
        <v>0.015625</v>
      </c>
      <c r="P425" s="0" t="n">
        <f aca="false">F425*F425</f>
        <v>0.25</v>
      </c>
      <c r="Q425" s="0" t="n">
        <f aca="false">SUMPRODUCT(G425:P425,_XtX!$B$71:$K$71)</f>
        <v>44.4684872159091</v>
      </c>
      <c r="R425" s="0" t="n">
        <f aca="false">SUMPRODUCT(MMULT(G425:P425,_XtX!$B$58:$K$67),G425:P425)</f>
        <v>0.332909601384943</v>
      </c>
      <c r="S425" s="0" t="n">
        <f aca="false">04_回帰ANOVA!$K$19*04_回帰ANOVA!$K$14*SQRT(1+R425)</f>
        <v>1.07341333007404</v>
      </c>
      <c r="T425" s="0" t="n">
        <f aca="false">Q425-S425</f>
        <v>43.395073885835</v>
      </c>
      <c r="U425" s="0" t="n">
        <f aca="false">Q425+S425</f>
        <v>45.5419005459831</v>
      </c>
      <c r="V425" s="54" t="b">
        <f aca="false">AND(D425&gt;=01_因子設定!$L$5-0.000000001,D425&lt;=01_因子設定!$M$5+0.000000001,E425&gt;=01_因子設定!$L$6-0.000000001,E425&lt;=01_因子設定!$M$6+0.000000001,F425&gt;=01_因子設定!$L$7-0.000000001,F425&lt;=01_因子設定!$M$7+0.000000001,IF(01_因子設定!$B$20="Box-Behnken",D425^2+E425^2+F425^2&lt;=2+0.000000001,TRUE()))</f>
        <v>1</v>
      </c>
      <c r="W425" s="55" t="n">
        <f aca="false">IF(V425,IF(01_因子設定!$B$13="最大化",T425-01_因子設定!$B$14,IF(01_因子設定!$B$13="最小化",01_因子設定!$B$15-U425,MIN(T425-01_因子設定!$B$14,01_因子設定!$B$15-U425))),-1E+030)</f>
        <v>-5.10492611416495</v>
      </c>
      <c r="X425" s="55" t="n">
        <f aca="false">IF(V425,IF(01_因子設定!$B$13="最大化",Q425,IF(01_因子設定!$B$13="最小化",-Q425,-ABS(Q425-01_因子設定!$B$16))),-1E+030)</f>
        <v>44.4684872159091</v>
      </c>
      <c r="Y425" s="55" t="n">
        <f aca="false">W425+ROW()*0.000000001</f>
        <v>-5.10492568916495</v>
      </c>
      <c r="Z425" s="55" t="n">
        <f aca="false">X425+ROW()*0.000000001</f>
        <v>44.4684876409091</v>
      </c>
    </row>
    <row r="426" customFormat="false" ht="15" hidden="false" customHeight="false" outlineLevel="0" collapsed="false">
      <c r="A426" s="0" t="n">
        <v>1</v>
      </c>
      <c r="B426" s="0" t="n">
        <v>7</v>
      </c>
      <c r="C426" s="0" t="n">
        <v>13</v>
      </c>
      <c r="D426" s="0" t="n">
        <f aca="false">-1+A426*0.125</f>
        <v>-0.875</v>
      </c>
      <c r="E426" s="0" t="n">
        <f aca="false">-1+B426*0.125</f>
        <v>-0.125</v>
      </c>
      <c r="F426" s="0" t="n">
        <f aca="false">-1+C426*0.125</f>
        <v>0.625</v>
      </c>
      <c r="G426" s="0" t="n">
        <f aca="false">1</f>
        <v>1</v>
      </c>
      <c r="H426" s="0" t="n">
        <f aca="false">D426</f>
        <v>-0.875</v>
      </c>
      <c r="I426" s="0" t="n">
        <f aca="false">E426</f>
        <v>-0.125</v>
      </c>
      <c r="J426" s="0" t="n">
        <f aca="false">F426</f>
        <v>0.625</v>
      </c>
      <c r="K426" s="0" t="n">
        <f aca="false">D426*E426</f>
        <v>0.109375</v>
      </c>
      <c r="L426" s="0" t="n">
        <f aca="false">D426*F426</f>
        <v>-0.546875</v>
      </c>
      <c r="M426" s="0" t="n">
        <f aca="false">E426*F426</f>
        <v>-0.078125</v>
      </c>
      <c r="N426" s="0" t="n">
        <f aca="false">D426*D426</f>
        <v>0.765625</v>
      </c>
      <c r="O426" s="0" t="n">
        <f aca="false">E426*E426</f>
        <v>0.015625</v>
      </c>
      <c r="P426" s="0" t="n">
        <f aca="false">F426*F426</f>
        <v>0.390625</v>
      </c>
      <c r="Q426" s="0" t="n">
        <f aca="false">SUMPRODUCT(G426:P426,_XtX!$B$71:$K$71)</f>
        <v>44.4848082386364</v>
      </c>
      <c r="R426" s="0" t="n">
        <f aca="false">SUMPRODUCT(MMULT(G426:P426,_XtX!$B$58:$K$67),G426:P426)</f>
        <v>0.350717440518466</v>
      </c>
      <c r="S426" s="0" t="n">
        <f aca="false">04_回帰ANOVA!$K$19*04_回帰ANOVA!$K$14*SQRT(1+R426)</f>
        <v>1.08056000737898</v>
      </c>
      <c r="T426" s="0" t="n">
        <f aca="false">Q426-S426</f>
        <v>43.4042482312574</v>
      </c>
      <c r="U426" s="0" t="n">
        <f aca="false">Q426+S426</f>
        <v>45.5653682460153</v>
      </c>
      <c r="V426" s="54" t="b">
        <f aca="false">AND(D426&gt;=01_因子設定!$L$5-0.000000001,D426&lt;=01_因子設定!$M$5+0.000000001,E426&gt;=01_因子設定!$L$6-0.000000001,E426&lt;=01_因子設定!$M$6+0.000000001,F426&gt;=01_因子設定!$L$7-0.000000001,F426&lt;=01_因子設定!$M$7+0.000000001,IF(01_因子設定!$B$20="Box-Behnken",D426^2+E426^2+F426^2&lt;=2+0.000000001,TRUE()))</f>
        <v>1</v>
      </c>
      <c r="W426" s="55" t="n">
        <f aca="false">IF(V426,IF(01_因子設定!$B$13="最大化",T426-01_因子設定!$B$14,IF(01_因子設定!$B$13="最小化",01_因子設定!$B$15-U426,MIN(T426-01_因子設定!$B$14,01_因子設定!$B$15-U426))),-1E+030)</f>
        <v>-5.09575176874262</v>
      </c>
      <c r="X426" s="55" t="n">
        <f aca="false">IF(V426,IF(01_因子設定!$B$13="最大化",Q426,IF(01_因子設定!$B$13="最小化",-Q426,-ABS(Q426-01_因子設定!$B$16))),-1E+030)</f>
        <v>44.4848082386364</v>
      </c>
      <c r="Y426" s="55" t="n">
        <f aca="false">W426+ROW()*0.000000001</f>
        <v>-5.09575134274262</v>
      </c>
      <c r="Z426" s="55" t="n">
        <f aca="false">X426+ROW()*0.000000001</f>
        <v>44.4848086646364</v>
      </c>
    </row>
    <row r="427" customFormat="false" ht="15" hidden="false" customHeight="false" outlineLevel="0" collapsed="false">
      <c r="A427" s="0" t="n">
        <v>1</v>
      </c>
      <c r="B427" s="0" t="n">
        <v>7</v>
      </c>
      <c r="C427" s="0" t="n">
        <v>14</v>
      </c>
      <c r="D427" s="0" t="n">
        <f aca="false">-1+A427*0.125</f>
        <v>-0.875</v>
      </c>
      <c r="E427" s="0" t="n">
        <f aca="false">-1+B427*0.125</f>
        <v>-0.125</v>
      </c>
      <c r="F427" s="0" t="n">
        <f aca="false">-1+C427*0.125</f>
        <v>0.75</v>
      </c>
      <c r="G427" s="0" t="n">
        <f aca="false">1</f>
        <v>1</v>
      </c>
      <c r="H427" s="0" t="n">
        <f aca="false">D427</f>
        <v>-0.875</v>
      </c>
      <c r="I427" s="0" t="n">
        <f aca="false">E427</f>
        <v>-0.125</v>
      </c>
      <c r="J427" s="0" t="n">
        <f aca="false">F427</f>
        <v>0.75</v>
      </c>
      <c r="K427" s="0" t="n">
        <f aca="false">D427*E427</f>
        <v>0.109375</v>
      </c>
      <c r="L427" s="0" t="n">
        <f aca="false">D427*F427</f>
        <v>-0.65625</v>
      </c>
      <c r="M427" s="0" t="n">
        <f aca="false">E427*F427</f>
        <v>-0.09375</v>
      </c>
      <c r="N427" s="0" t="n">
        <f aca="false">D427*D427</f>
        <v>0.765625</v>
      </c>
      <c r="O427" s="0" t="n">
        <f aca="false">E427*E427</f>
        <v>0.015625</v>
      </c>
      <c r="P427" s="0" t="n">
        <f aca="false">F427*F427</f>
        <v>0.5625</v>
      </c>
      <c r="Q427" s="0" t="n">
        <f aca="false">SUMPRODUCT(G427:P427,_XtX!$B$71:$K$71)</f>
        <v>44.4643394886364</v>
      </c>
      <c r="R427" s="0" t="n">
        <f aca="false">SUMPRODUCT(MMULT(G427:P427,_XtX!$B$58:$K$67),G427:P427)</f>
        <v>0.392013827237216</v>
      </c>
      <c r="S427" s="0" t="n">
        <f aca="false">04_回帰ANOVA!$K$19*04_回帰ANOVA!$K$14*SQRT(1+R427)</f>
        <v>1.09695398627251</v>
      </c>
      <c r="T427" s="0" t="n">
        <f aca="false">Q427-S427</f>
        <v>43.3673855023639</v>
      </c>
      <c r="U427" s="0" t="n">
        <f aca="false">Q427+S427</f>
        <v>45.5612934749089</v>
      </c>
      <c r="V427" s="54" t="b">
        <f aca="false">AND(D427&gt;=01_因子設定!$L$5-0.000000001,D427&lt;=01_因子設定!$M$5+0.000000001,E427&gt;=01_因子設定!$L$6-0.000000001,E427&lt;=01_因子設定!$M$6+0.000000001,F427&gt;=01_因子設定!$L$7-0.000000001,F427&lt;=01_因子設定!$M$7+0.000000001,IF(01_因子設定!$B$20="Box-Behnken",D427^2+E427^2+F427^2&lt;=2+0.000000001,TRUE()))</f>
        <v>1</v>
      </c>
      <c r="W427" s="55" t="n">
        <f aca="false">IF(V427,IF(01_因子設定!$B$13="最大化",T427-01_因子設定!$B$14,IF(01_因子設定!$B$13="最小化",01_因子設定!$B$15-U427,MIN(T427-01_因子設定!$B$14,01_因子設定!$B$15-U427))),-1E+030)</f>
        <v>-5.13261449763614</v>
      </c>
      <c r="X427" s="55" t="n">
        <f aca="false">IF(V427,IF(01_因子設定!$B$13="最大化",Q427,IF(01_因子設定!$B$13="最小化",-Q427,-ABS(Q427-01_因子設定!$B$16))),-1E+030)</f>
        <v>44.4643394886364</v>
      </c>
      <c r="Y427" s="55" t="n">
        <f aca="false">W427+ROW()*0.000000001</f>
        <v>-5.13261407063614</v>
      </c>
      <c r="Z427" s="55" t="n">
        <f aca="false">X427+ROW()*0.000000001</f>
        <v>44.4643399156364</v>
      </c>
    </row>
    <row r="428" customFormat="false" ht="15" hidden="false" customHeight="false" outlineLevel="0" collapsed="false">
      <c r="A428" s="0" t="n">
        <v>1</v>
      </c>
      <c r="B428" s="0" t="n">
        <v>7</v>
      </c>
      <c r="C428" s="0" t="n">
        <v>15</v>
      </c>
      <c r="D428" s="0" t="n">
        <f aca="false">-1+A428*0.125</f>
        <v>-0.875</v>
      </c>
      <c r="E428" s="0" t="n">
        <f aca="false">-1+B428*0.125</f>
        <v>-0.125</v>
      </c>
      <c r="F428" s="0" t="n">
        <f aca="false">-1+C428*0.125</f>
        <v>0.875</v>
      </c>
      <c r="G428" s="0" t="n">
        <f aca="false">1</f>
        <v>1</v>
      </c>
      <c r="H428" s="0" t="n">
        <f aca="false">D428</f>
        <v>-0.875</v>
      </c>
      <c r="I428" s="0" t="n">
        <f aca="false">E428</f>
        <v>-0.125</v>
      </c>
      <c r="J428" s="0" t="n">
        <f aca="false">F428</f>
        <v>0.875</v>
      </c>
      <c r="K428" s="0" t="n">
        <f aca="false">D428*E428</f>
        <v>0.109375</v>
      </c>
      <c r="L428" s="0" t="n">
        <f aca="false">D428*F428</f>
        <v>-0.765625</v>
      </c>
      <c r="M428" s="0" t="n">
        <f aca="false">E428*F428</f>
        <v>-0.109375</v>
      </c>
      <c r="N428" s="0" t="n">
        <f aca="false">D428*D428</f>
        <v>0.765625</v>
      </c>
      <c r="O428" s="0" t="n">
        <f aca="false">E428*E428</f>
        <v>0.015625</v>
      </c>
      <c r="P428" s="0" t="n">
        <f aca="false">F428*F428</f>
        <v>0.765625</v>
      </c>
      <c r="Q428" s="0" t="n">
        <f aca="false">SUMPRODUCT(G428:P428,_XtX!$B$71:$K$71)</f>
        <v>44.4070809659091</v>
      </c>
      <c r="R428" s="0" t="n">
        <f aca="false">SUMPRODUCT(MMULT(G428:P428,_XtX!$B$58:$K$67),G428:P428)</f>
        <v>0.468517511541193</v>
      </c>
      <c r="S428" s="0" t="n">
        <f aca="false">04_回帰ANOVA!$K$19*04_回帰ANOVA!$K$14*SQRT(1+R428)</f>
        <v>1.12669456902645</v>
      </c>
      <c r="T428" s="0" t="n">
        <f aca="false">Q428-S428</f>
        <v>43.2803863968827</v>
      </c>
      <c r="U428" s="0" t="n">
        <f aca="false">Q428+S428</f>
        <v>45.5337755349355</v>
      </c>
      <c r="V428" s="54" t="b">
        <f aca="false">AND(D428&gt;=01_因子設定!$L$5-0.000000001,D428&lt;=01_因子設定!$M$5+0.000000001,E428&gt;=01_因子設定!$L$6-0.000000001,E428&lt;=01_因子設定!$M$6+0.000000001,F428&gt;=01_因子設定!$L$7-0.000000001,F428&lt;=01_因子設定!$M$7+0.000000001,IF(01_因子設定!$B$20="Box-Behnken",D428^2+E428^2+F428^2&lt;=2+0.000000001,TRUE()))</f>
        <v>1</v>
      </c>
      <c r="W428" s="55" t="n">
        <f aca="false">IF(V428,IF(01_因子設定!$B$13="最大化",T428-01_因子設定!$B$14,IF(01_因子設定!$B$13="最小化",01_因子設定!$B$15-U428,MIN(T428-01_因子設定!$B$14,01_因子設定!$B$15-U428))),-1E+030)</f>
        <v>-5.21961360311735</v>
      </c>
      <c r="X428" s="55" t="n">
        <f aca="false">IF(V428,IF(01_因子設定!$B$13="最大化",Q428,IF(01_因子設定!$B$13="最小化",-Q428,-ABS(Q428-01_因子設定!$B$16))),-1E+030)</f>
        <v>44.4070809659091</v>
      </c>
      <c r="Y428" s="55" t="n">
        <f aca="false">W428+ROW()*0.000000001</f>
        <v>-5.21961317511735</v>
      </c>
      <c r="Z428" s="55" t="n">
        <f aca="false">X428+ROW()*0.000000001</f>
        <v>44.4070813939091</v>
      </c>
    </row>
    <row r="429" customFormat="false" ht="15" hidden="false" customHeight="false" outlineLevel="0" collapsed="false">
      <c r="A429" s="0" t="n">
        <v>1</v>
      </c>
      <c r="B429" s="0" t="n">
        <v>7</v>
      </c>
      <c r="C429" s="0" t="n">
        <v>16</v>
      </c>
      <c r="D429" s="0" t="n">
        <f aca="false">-1+A429*0.125</f>
        <v>-0.875</v>
      </c>
      <c r="E429" s="0" t="n">
        <f aca="false">-1+B429*0.125</f>
        <v>-0.125</v>
      </c>
      <c r="F429" s="0" t="n">
        <f aca="false">-1+C429*0.125</f>
        <v>1</v>
      </c>
      <c r="G429" s="0" t="n">
        <f aca="false">1</f>
        <v>1</v>
      </c>
      <c r="H429" s="0" t="n">
        <f aca="false">D429</f>
        <v>-0.875</v>
      </c>
      <c r="I429" s="0" t="n">
        <f aca="false">E429</f>
        <v>-0.125</v>
      </c>
      <c r="J429" s="0" t="n">
        <f aca="false">F429</f>
        <v>1</v>
      </c>
      <c r="K429" s="0" t="n">
        <f aca="false">D429*E429</f>
        <v>0.109375</v>
      </c>
      <c r="L429" s="0" t="n">
        <f aca="false">D429*F429</f>
        <v>-0.875</v>
      </c>
      <c r="M429" s="0" t="n">
        <f aca="false">E429*F429</f>
        <v>-0.125</v>
      </c>
      <c r="N429" s="0" t="n">
        <f aca="false">D429*D429</f>
        <v>0.765625</v>
      </c>
      <c r="O429" s="0" t="n">
        <f aca="false">E429*E429</f>
        <v>0.015625</v>
      </c>
      <c r="P429" s="0" t="n">
        <f aca="false">F429*F429</f>
        <v>1</v>
      </c>
      <c r="Q429" s="0" t="n">
        <f aca="false">SUMPRODUCT(G429:P429,_XtX!$B$71:$K$71)</f>
        <v>44.3130326704546</v>
      </c>
      <c r="R429" s="0" t="n">
        <f aca="false">SUMPRODUCT(MMULT(G429:P429,_XtX!$B$58:$K$67),G429:P429)</f>
        <v>0.59407792524858</v>
      </c>
      <c r="S429" s="0" t="n">
        <f aca="false">04_回帰ANOVA!$K$19*04_回帰ANOVA!$K$14*SQRT(1+R429)</f>
        <v>1.17387380087722</v>
      </c>
      <c r="T429" s="0" t="n">
        <f aca="false">Q429-S429</f>
        <v>43.1391588695773</v>
      </c>
      <c r="U429" s="0" t="n">
        <f aca="false">Q429+S429</f>
        <v>45.4869064713318</v>
      </c>
      <c r="V429" s="54" t="b">
        <f aca="false">AND(D429&gt;=01_因子設定!$L$5-0.000000001,D429&lt;=01_因子設定!$M$5+0.000000001,E429&gt;=01_因子設定!$L$6-0.000000001,E429&lt;=01_因子設定!$M$6+0.000000001,F429&gt;=01_因子設定!$L$7-0.000000001,F429&lt;=01_因子設定!$M$7+0.000000001,IF(01_因子設定!$B$20="Box-Behnken",D429^2+E429^2+F429^2&lt;=2+0.000000001,TRUE()))</f>
        <v>1</v>
      </c>
      <c r="W429" s="55" t="n">
        <f aca="false">IF(V429,IF(01_因子設定!$B$13="最大化",T429-01_因子設定!$B$14,IF(01_因子設定!$B$13="最小化",01_因子設定!$B$15-U429,MIN(T429-01_因子設定!$B$14,01_因子設定!$B$15-U429))),-1E+030)</f>
        <v>-5.36084113042266</v>
      </c>
      <c r="X429" s="55" t="n">
        <f aca="false">IF(V429,IF(01_因子設定!$B$13="最大化",Q429,IF(01_因子設定!$B$13="最小化",-Q429,-ABS(Q429-01_因子設定!$B$16))),-1E+030)</f>
        <v>44.3130326704546</v>
      </c>
      <c r="Y429" s="55" t="n">
        <f aca="false">W429+ROW()*0.000000001</f>
        <v>-5.36084070142266</v>
      </c>
      <c r="Z429" s="55" t="n">
        <f aca="false">X429+ROW()*0.000000001</f>
        <v>44.3130330994546</v>
      </c>
    </row>
    <row r="430" customFormat="false" ht="15" hidden="false" customHeight="false" outlineLevel="0" collapsed="false">
      <c r="A430" s="0" t="n">
        <v>1</v>
      </c>
      <c r="B430" s="0" t="n">
        <v>8</v>
      </c>
      <c r="C430" s="0" t="n">
        <v>0</v>
      </c>
      <c r="D430" s="0" t="n">
        <f aca="false">-1+A430*0.125</f>
        <v>-0.875</v>
      </c>
      <c r="E430" s="0" t="n">
        <f aca="false">-1+B430*0.125</f>
        <v>0</v>
      </c>
      <c r="F430" s="0" t="n">
        <f aca="false">-1+C430*0.125</f>
        <v>-1</v>
      </c>
      <c r="G430" s="0" t="n">
        <f aca="false">1</f>
        <v>1</v>
      </c>
      <c r="H430" s="0" t="n">
        <f aca="false">D430</f>
        <v>-0.875</v>
      </c>
      <c r="I430" s="0" t="n">
        <f aca="false">E430</f>
        <v>0</v>
      </c>
      <c r="J430" s="0" t="n">
        <f aca="false">F430</f>
        <v>-1</v>
      </c>
      <c r="K430" s="0" t="n">
        <f aca="false">D430*E430</f>
        <v>-0</v>
      </c>
      <c r="L430" s="0" t="n">
        <f aca="false">D430*F430</f>
        <v>0.875</v>
      </c>
      <c r="M430" s="0" t="n">
        <f aca="false">E430*F430</f>
        <v>-0</v>
      </c>
      <c r="N430" s="0" t="n">
        <f aca="false">D430*D430</f>
        <v>0.765625</v>
      </c>
      <c r="O430" s="0" t="n">
        <f aca="false">E430*E430</f>
        <v>0</v>
      </c>
      <c r="P430" s="0" t="n">
        <f aca="false">F430*F430</f>
        <v>1</v>
      </c>
      <c r="Q430" s="0" t="n">
        <f aca="false">SUMPRODUCT(G430:P430,_XtX!$B$71:$K$71)</f>
        <v>41.5032244318182</v>
      </c>
      <c r="R430" s="0" t="n">
        <f aca="false">SUMPRODUCT(MMULT(G430:P430,_XtX!$B$58:$K$67),G430:P430)</f>
        <v>0.597922585227273</v>
      </c>
      <c r="S430" s="0" t="n">
        <f aca="false">04_回帰ANOVA!$K$19*04_回帰ANOVA!$K$14*SQRT(1+R430)</f>
        <v>1.17528854591003</v>
      </c>
      <c r="T430" s="0" t="n">
        <f aca="false">Q430-S430</f>
        <v>40.3279358859082</v>
      </c>
      <c r="U430" s="0" t="n">
        <f aca="false">Q430+S430</f>
        <v>42.6785129777282</v>
      </c>
      <c r="V430" s="54" t="b">
        <f aca="false">AND(D430&gt;=01_因子設定!$L$5-0.000000001,D430&lt;=01_因子設定!$M$5+0.000000001,E430&gt;=01_因子設定!$L$6-0.000000001,E430&lt;=01_因子設定!$M$6+0.000000001,F430&gt;=01_因子設定!$L$7-0.000000001,F430&lt;=01_因子設定!$M$7+0.000000001,IF(01_因子設定!$B$20="Box-Behnken",D430^2+E430^2+F430^2&lt;=2+0.000000001,TRUE()))</f>
        <v>1</v>
      </c>
      <c r="W430" s="55" t="n">
        <f aca="false">IF(V430,IF(01_因子設定!$B$13="最大化",T430-01_因子設定!$B$14,IF(01_因子設定!$B$13="最小化",01_因子設定!$B$15-U430,MIN(T430-01_因子設定!$B$14,01_因子設定!$B$15-U430))),-1E+030)</f>
        <v>-8.17206411409183</v>
      </c>
      <c r="X430" s="55" t="n">
        <f aca="false">IF(V430,IF(01_因子設定!$B$13="最大化",Q430,IF(01_因子設定!$B$13="最小化",-Q430,-ABS(Q430-01_因子設定!$B$16))),-1E+030)</f>
        <v>41.5032244318182</v>
      </c>
      <c r="Y430" s="55" t="n">
        <f aca="false">W430+ROW()*0.000000001</f>
        <v>-8.17206368409183</v>
      </c>
      <c r="Z430" s="55" t="n">
        <f aca="false">X430+ROW()*0.000000001</f>
        <v>41.5032248618182</v>
      </c>
    </row>
    <row r="431" customFormat="false" ht="15" hidden="false" customHeight="false" outlineLevel="0" collapsed="false">
      <c r="A431" s="0" t="n">
        <v>1</v>
      </c>
      <c r="B431" s="0" t="n">
        <v>8</v>
      </c>
      <c r="C431" s="0" t="n">
        <v>1</v>
      </c>
      <c r="D431" s="0" t="n">
        <f aca="false">-1+A431*0.125</f>
        <v>-0.875</v>
      </c>
      <c r="E431" s="0" t="n">
        <f aca="false">-1+B431*0.125</f>
        <v>0</v>
      </c>
      <c r="F431" s="0" t="n">
        <f aca="false">-1+C431*0.125</f>
        <v>-0.875</v>
      </c>
      <c r="G431" s="0" t="n">
        <f aca="false">1</f>
        <v>1</v>
      </c>
      <c r="H431" s="0" t="n">
        <f aca="false">D431</f>
        <v>-0.875</v>
      </c>
      <c r="I431" s="0" t="n">
        <f aca="false">E431</f>
        <v>0</v>
      </c>
      <c r="J431" s="0" t="n">
        <f aca="false">F431</f>
        <v>-0.875</v>
      </c>
      <c r="K431" s="0" t="n">
        <f aca="false">D431*E431</f>
        <v>-0</v>
      </c>
      <c r="L431" s="0" t="n">
        <f aca="false">D431*F431</f>
        <v>0.765625</v>
      </c>
      <c r="M431" s="0" t="n">
        <f aca="false">E431*F431</f>
        <v>-0</v>
      </c>
      <c r="N431" s="0" t="n">
        <f aca="false">D431*D431</f>
        <v>0.765625</v>
      </c>
      <c r="O431" s="0" t="n">
        <f aca="false">E431*E431</f>
        <v>0</v>
      </c>
      <c r="P431" s="0" t="n">
        <f aca="false">F431*F431</f>
        <v>0.765625</v>
      </c>
      <c r="Q431" s="0" t="n">
        <f aca="false">SUMPRODUCT(G431:P431,_XtX!$B$71:$K$71)</f>
        <v>41.9680539772727</v>
      </c>
      <c r="R431" s="0" t="n">
        <f aca="false">SUMPRODUCT(MMULT(G431:P431,_XtX!$B$58:$K$67),G431:P431)</f>
        <v>0.471821178089489</v>
      </c>
      <c r="S431" s="0" t="n">
        <f aca="false">04_回帰ANOVA!$K$19*04_回帰ANOVA!$K$14*SQRT(1+R431)</f>
        <v>1.12796119746125</v>
      </c>
      <c r="T431" s="0" t="n">
        <f aca="false">Q431-S431</f>
        <v>40.8400927798115</v>
      </c>
      <c r="U431" s="0" t="n">
        <f aca="false">Q431+S431</f>
        <v>43.096015174734</v>
      </c>
      <c r="V431" s="54" t="b">
        <f aca="false">AND(D431&gt;=01_因子設定!$L$5-0.000000001,D431&lt;=01_因子設定!$M$5+0.000000001,E431&gt;=01_因子設定!$L$6-0.000000001,E431&lt;=01_因子設定!$M$6+0.000000001,F431&gt;=01_因子設定!$L$7-0.000000001,F431&lt;=01_因子設定!$M$7+0.000000001,IF(01_因子設定!$B$20="Box-Behnken",D431^2+E431^2+F431^2&lt;=2+0.000000001,TRUE()))</f>
        <v>1</v>
      </c>
      <c r="W431" s="55" t="n">
        <f aca="false">IF(V431,IF(01_因子設定!$B$13="最大化",T431-01_因子設定!$B$14,IF(01_因子設定!$B$13="最小化",01_因子設定!$B$15-U431,MIN(T431-01_因子設定!$B$14,01_因子設定!$B$15-U431))),-1E+030)</f>
        <v>-7.65990722018852</v>
      </c>
      <c r="X431" s="55" t="n">
        <f aca="false">IF(V431,IF(01_因子設定!$B$13="最大化",Q431,IF(01_因子設定!$B$13="最小化",-Q431,-ABS(Q431-01_因子設定!$B$16))),-1E+030)</f>
        <v>41.9680539772727</v>
      </c>
      <c r="Y431" s="55" t="n">
        <f aca="false">W431+ROW()*0.000000001</f>
        <v>-7.65990678918852</v>
      </c>
      <c r="Z431" s="55" t="n">
        <f aca="false">X431+ROW()*0.000000001</f>
        <v>41.9680544082727</v>
      </c>
    </row>
    <row r="432" customFormat="false" ht="15" hidden="false" customHeight="false" outlineLevel="0" collapsed="false">
      <c r="A432" s="0" t="n">
        <v>1</v>
      </c>
      <c r="B432" s="0" t="n">
        <v>8</v>
      </c>
      <c r="C432" s="0" t="n">
        <v>2</v>
      </c>
      <c r="D432" s="0" t="n">
        <f aca="false">-1+A432*0.125</f>
        <v>-0.875</v>
      </c>
      <c r="E432" s="0" t="n">
        <f aca="false">-1+B432*0.125</f>
        <v>0</v>
      </c>
      <c r="F432" s="0" t="n">
        <f aca="false">-1+C432*0.125</f>
        <v>-0.75</v>
      </c>
      <c r="G432" s="0" t="n">
        <f aca="false">1</f>
        <v>1</v>
      </c>
      <c r="H432" s="0" t="n">
        <f aca="false">D432</f>
        <v>-0.875</v>
      </c>
      <c r="I432" s="0" t="n">
        <f aca="false">E432</f>
        <v>0</v>
      </c>
      <c r="J432" s="0" t="n">
        <f aca="false">F432</f>
        <v>-0.75</v>
      </c>
      <c r="K432" s="0" t="n">
        <f aca="false">D432*E432</f>
        <v>-0</v>
      </c>
      <c r="L432" s="0" t="n">
        <f aca="false">D432*F432</f>
        <v>0.65625</v>
      </c>
      <c r="M432" s="0" t="n">
        <f aca="false">E432*F432</f>
        <v>-0</v>
      </c>
      <c r="N432" s="0" t="n">
        <f aca="false">D432*D432</f>
        <v>0.765625</v>
      </c>
      <c r="O432" s="0" t="n">
        <f aca="false">E432*E432</f>
        <v>0</v>
      </c>
      <c r="P432" s="0" t="n">
        <f aca="false">F432*F432</f>
        <v>0.5625</v>
      </c>
      <c r="Q432" s="0" t="n">
        <f aca="false">SUMPRODUCT(G432:P432,_XtX!$B$71:$K$71)</f>
        <v>42.39609375</v>
      </c>
      <c r="R432" s="0" t="n">
        <f aca="false">SUMPRODUCT(MMULT(G432:P432,_XtX!$B$58:$K$67),G432:P432)</f>
        <v>0.3948486328125</v>
      </c>
      <c r="S432" s="0" t="n">
        <f aca="false">04_回帰ANOVA!$K$19*04_回帰ANOVA!$K$14*SQRT(1+R432)</f>
        <v>1.09807037952996</v>
      </c>
      <c r="T432" s="0" t="n">
        <f aca="false">Q432-S432</f>
        <v>41.2980233704701</v>
      </c>
      <c r="U432" s="0" t="n">
        <f aca="false">Q432+S432</f>
        <v>43.49416412953</v>
      </c>
      <c r="V432" s="54" t="b">
        <f aca="false">AND(D432&gt;=01_因子設定!$L$5-0.000000001,D432&lt;=01_因子設定!$M$5+0.000000001,E432&gt;=01_因子設定!$L$6-0.000000001,E432&lt;=01_因子設定!$M$6+0.000000001,F432&gt;=01_因子設定!$L$7-0.000000001,F432&lt;=01_因子設定!$M$7+0.000000001,IF(01_因子設定!$B$20="Box-Behnken",D432^2+E432^2+F432^2&lt;=2+0.000000001,TRUE()))</f>
        <v>1</v>
      </c>
      <c r="W432" s="55" t="n">
        <f aca="false">IF(V432,IF(01_因子設定!$B$13="最大化",T432-01_因子設定!$B$14,IF(01_因子設定!$B$13="最小化",01_因子設定!$B$15-U432,MIN(T432-01_因子設定!$B$14,01_因子設定!$B$15-U432))),-1E+030)</f>
        <v>-7.20197662952995</v>
      </c>
      <c r="X432" s="55" t="n">
        <f aca="false">IF(V432,IF(01_因子設定!$B$13="最大化",Q432,IF(01_因子設定!$B$13="最小化",-Q432,-ABS(Q432-01_因子設定!$B$16))),-1E+030)</f>
        <v>42.39609375</v>
      </c>
      <c r="Y432" s="55" t="n">
        <f aca="false">W432+ROW()*0.000000001</f>
        <v>-7.20197619752995</v>
      </c>
      <c r="Z432" s="55" t="n">
        <f aca="false">X432+ROW()*0.000000001</f>
        <v>42.396094182</v>
      </c>
    </row>
    <row r="433" customFormat="false" ht="15" hidden="false" customHeight="false" outlineLevel="0" collapsed="false">
      <c r="A433" s="0" t="n">
        <v>1</v>
      </c>
      <c r="B433" s="0" t="n">
        <v>8</v>
      </c>
      <c r="C433" s="0" t="n">
        <v>3</v>
      </c>
      <c r="D433" s="0" t="n">
        <f aca="false">-1+A433*0.125</f>
        <v>-0.875</v>
      </c>
      <c r="E433" s="0" t="n">
        <f aca="false">-1+B433*0.125</f>
        <v>0</v>
      </c>
      <c r="F433" s="0" t="n">
        <f aca="false">-1+C433*0.125</f>
        <v>-0.625</v>
      </c>
      <c r="G433" s="0" t="n">
        <f aca="false">1</f>
        <v>1</v>
      </c>
      <c r="H433" s="0" t="n">
        <f aca="false">D433</f>
        <v>-0.875</v>
      </c>
      <c r="I433" s="0" t="n">
        <f aca="false">E433</f>
        <v>0</v>
      </c>
      <c r="J433" s="0" t="n">
        <f aca="false">F433</f>
        <v>-0.625</v>
      </c>
      <c r="K433" s="0" t="n">
        <f aca="false">D433*E433</f>
        <v>-0</v>
      </c>
      <c r="L433" s="0" t="n">
        <f aca="false">D433*F433</f>
        <v>0.546875</v>
      </c>
      <c r="M433" s="0" t="n">
        <f aca="false">E433*F433</f>
        <v>-0</v>
      </c>
      <c r="N433" s="0" t="n">
        <f aca="false">D433*D433</f>
        <v>0.765625</v>
      </c>
      <c r="O433" s="0" t="n">
        <f aca="false">E433*E433</f>
        <v>0</v>
      </c>
      <c r="P433" s="0" t="n">
        <f aca="false">F433*F433</f>
        <v>0.390625</v>
      </c>
      <c r="Q433" s="0" t="n">
        <f aca="false">SUMPRODUCT(G433:P433,_XtX!$B$71:$K$71)</f>
        <v>42.78734375</v>
      </c>
      <c r="R433" s="0" t="n">
        <f aca="false">SUMPRODUCT(MMULT(G433:P433,_XtX!$B$58:$K$67),G433:P433)</f>
        <v>0.353155517578125</v>
      </c>
      <c r="S433" s="0" t="n">
        <f aca="false">04_回帰ANOVA!$K$19*04_回帰ANOVA!$K$14*SQRT(1+R433)</f>
        <v>1.08153478594098</v>
      </c>
      <c r="T433" s="0" t="n">
        <f aca="false">Q433-S433</f>
        <v>41.705808964059</v>
      </c>
      <c r="U433" s="0" t="n">
        <f aca="false">Q433+S433</f>
        <v>43.868878535941</v>
      </c>
      <c r="V433" s="54" t="b">
        <f aca="false">AND(D433&gt;=01_因子設定!$L$5-0.000000001,D433&lt;=01_因子設定!$M$5+0.000000001,E433&gt;=01_因子設定!$L$6-0.000000001,E433&lt;=01_因子設定!$M$6+0.000000001,F433&gt;=01_因子設定!$L$7-0.000000001,F433&lt;=01_因子設定!$M$7+0.000000001,IF(01_因子設定!$B$20="Box-Behnken",D433^2+E433^2+F433^2&lt;=2+0.000000001,TRUE()))</f>
        <v>1</v>
      </c>
      <c r="W433" s="55" t="n">
        <f aca="false">IF(V433,IF(01_因子設定!$B$13="最大化",T433-01_因子設定!$B$14,IF(01_因子設定!$B$13="最小化",01_因子設定!$B$15-U433,MIN(T433-01_因子設定!$B$14,01_因子設定!$B$15-U433))),-1E+030)</f>
        <v>-6.79419103594098</v>
      </c>
      <c r="X433" s="55" t="n">
        <f aca="false">IF(V433,IF(01_因子設定!$B$13="最大化",Q433,IF(01_因子設定!$B$13="最小化",-Q433,-ABS(Q433-01_因子設定!$B$16))),-1E+030)</f>
        <v>42.78734375</v>
      </c>
      <c r="Y433" s="55" t="n">
        <f aca="false">W433+ROW()*0.000000001</f>
        <v>-6.79419060294098</v>
      </c>
      <c r="Z433" s="55" t="n">
        <f aca="false">X433+ROW()*0.000000001</f>
        <v>42.787344183</v>
      </c>
    </row>
    <row r="434" customFormat="false" ht="15" hidden="false" customHeight="false" outlineLevel="0" collapsed="false">
      <c r="A434" s="0" t="n">
        <v>1</v>
      </c>
      <c r="B434" s="0" t="n">
        <v>8</v>
      </c>
      <c r="C434" s="0" t="n">
        <v>4</v>
      </c>
      <c r="D434" s="0" t="n">
        <f aca="false">-1+A434*0.125</f>
        <v>-0.875</v>
      </c>
      <c r="E434" s="0" t="n">
        <f aca="false">-1+B434*0.125</f>
        <v>0</v>
      </c>
      <c r="F434" s="0" t="n">
        <f aca="false">-1+C434*0.125</f>
        <v>-0.5</v>
      </c>
      <c r="G434" s="0" t="n">
        <f aca="false">1</f>
        <v>1</v>
      </c>
      <c r="H434" s="0" t="n">
        <f aca="false">D434</f>
        <v>-0.875</v>
      </c>
      <c r="I434" s="0" t="n">
        <f aca="false">E434</f>
        <v>0</v>
      </c>
      <c r="J434" s="0" t="n">
        <f aca="false">F434</f>
        <v>-0.5</v>
      </c>
      <c r="K434" s="0" t="n">
        <f aca="false">D434*E434</f>
        <v>-0</v>
      </c>
      <c r="L434" s="0" t="n">
        <f aca="false">D434*F434</f>
        <v>0.4375</v>
      </c>
      <c r="M434" s="0" t="n">
        <f aca="false">E434*F434</f>
        <v>-0</v>
      </c>
      <c r="N434" s="0" t="n">
        <f aca="false">D434*D434</f>
        <v>0.765625</v>
      </c>
      <c r="O434" s="0" t="n">
        <f aca="false">E434*E434</f>
        <v>0</v>
      </c>
      <c r="P434" s="0" t="n">
        <f aca="false">F434*F434</f>
        <v>0.25</v>
      </c>
      <c r="Q434" s="0" t="n">
        <f aca="false">SUMPRODUCT(G434:P434,_XtX!$B$71:$K$71)</f>
        <v>43.1418039772727</v>
      </c>
      <c r="R434" s="0" t="n">
        <f aca="false">SUMPRODUCT(MMULT(G434:P434,_XtX!$B$58:$K$67),G434:P434)</f>
        <v>0.335023082386364</v>
      </c>
      <c r="S434" s="0" t="n">
        <f aca="false">04_回帰ANOVA!$K$19*04_回帰ANOVA!$K$14*SQRT(1+R434)</f>
        <v>1.07426400295275</v>
      </c>
      <c r="T434" s="0" t="n">
        <f aca="false">Q434-S434</f>
        <v>42.06753997432</v>
      </c>
      <c r="U434" s="0" t="n">
        <f aca="false">Q434+S434</f>
        <v>44.2160679802255</v>
      </c>
      <c r="V434" s="54" t="b">
        <f aca="false">AND(D434&gt;=01_因子設定!$L$5-0.000000001,D434&lt;=01_因子設定!$M$5+0.000000001,E434&gt;=01_因子設定!$L$6-0.000000001,E434&lt;=01_因子設定!$M$6+0.000000001,F434&gt;=01_因子設定!$L$7-0.000000001,F434&lt;=01_因子設定!$M$7+0.000000001,IF(01_因子設定!$B$20="Box-Behnken",D434^2+E434^2+F434^2&lt;=2+0.000000001,TRUE()))</f>
        <v>1</v>
      </c>
      <c r="W434" s="55" t="n">
        <f aca="false">IF(V434,IF(01_因子設定!$B$13="最大化",T434-01_因子設定!$B$14,IF(01_因子設定!$B$13="最小化",01_因子設定!$B$15-U434,MIN(T434-01_因子設定!$B$14,01_因子設定!$B$15-U434))),-1E+030)</f>
        <v>-6.43246002568003</v>
      </c>
      <c r="X434" s="55" t="n">
        <f aca="false">IF(V434,IF(01_因子設定!$B$13="最大化",Q434,IF(01_因子設定!$B$13="最小化",-Q434,-ABS(Q434-01_因子設定!$B$16))),-1E+030)</f>
        <v>43.1418039772727</v>
      </c>
      <c r="Y434" s="55" t="n">
        <f aca="false">W434+ROW()*0.000000001</f>
        <v>-6.43245959168003</v>
      </c>
      <c r="Z434" s="55" t="n">
        <f aca="false">X434+ROW()*0.000000001</f>
        <v>43.1418044112727</v>
      </c>
    </row>
    <row r="435" customFormat="false" ht="15" hidden="false" customHeight="false" outlineLevel="0" collapsed="false">
      <c r="A435" s="0" t="n">
        <v>1</v>
      </c>
      <c r="B435" s="0" t="n">
        <v>8</v>
      </c>
      <c r="C435" s="0" t="n">
        <v>5</v>
      </c>
      <c r="D435" s="0" t="n">
        <f aca="false">-1+A435*0.125</f>
        <v>-0.875</v>
      </c>
      <c r="E435" s="0" t="n">
        <f aca="false">-1+B435*0.125</f>
        <v>0</v>
      </c>
      <c r="F435" s="0" t="n">
        <f aca="false">-1+C435*0.125</f>
        <v>-0.375</v>
      </c>
      <c r="G435" s="0" t="n">
        <f aca="false">1</f>
        <v>1</v>
      </c>
      <c r="H435" s="0" t="n">
        <f aca="false">D435</f>
        <v>-0.875</v>
      </c>
      <c r="I435" s="0" t="n">
        <f aca="false">E435</f>
        <v>0</v>
      </c>
      <c r="J435" s="0" t="n">
        <f aca="false">F435</f>
        <v>-0.375</v>
      </c>
      <c r="K435" s="0" t="n">
        <f aca="false">D435*E435</f>
        <v>-0</v>
      </c>
      <c r="L435" s="0" t="n">
        <f aca="false">D435*F435</f>
        <v>0.328125</v>
      </c>
      <c r="M435" s="0" t="n">
        <f aca="false">E435*F435</f>
        <v>-0</v>
      </c>
      <c r="N435" s="0" t="n">
        <f aca="false">D435*D435</f>
        <v>0.765625</v>
      </c>
      <c r="O435" s="0" t="n">
        <f aca="false">E435*E435</f>
        <v>0</v>
      </c>
      <c r="P435" s="0" t="n">
        <f aca="false">F435*F435</f>
        <v>0.140625</v>
      </c>
      <c r="Q435" s="0" t="n">
        <f aca="false">SUMPRODUCT(G435:P435,_XtX!$B$71:$K$71)</f>
        <v>43.4594744318182</v>
      </c>
      <c r="R435" s="0" t="n">
        <f aca="false">SUMPRODUCT(MMULT(G435:P435,_XtX!$B$58:$K$67),G435:P435)</f>
        <v>0.330863259055398</v>
      </c>
      <c r="S435" s="0" t="n">
        <f aca="false">04_回帰ANOVA!$K$19*04_回帰ANOVA!$K$14*SQRT(1+R435)</f>
        <v>1.07258903754571</v>
      </c>
      <c r="T435" s="0" t="n">
        <f aca="false">Q435-S435</f>
        <v>42.3868853942725</v>
      </c>
      <c r="U435" s="0" t="n">
        <f aca="false">Q435+S435</f>
        <v>44.5320634693639</v>
      </c>
      <c r="V435" s="54" t="b">
        <f aca="false">AND(D435&gt;=01_因子設定!$L$5-0.000000001,D435&lt;=01_因子設定!$M$5+0.000000001,E435&gt;=01_因子設定!$L$6-0.000000001,E435&lt;=01_因子設定!$M$6+0.000000001,F435&gt;=01_因子設定!$L$7-0.000000001,F435&lt;=01_因子設定!$M$7+0.000000001,IF(01_因子設定!$B$20="Box-Behnken",D435^2+E435^2+F435^2&lt;=2+0.000000001,TRUE()))</f>
        <v>1</v>
      </c>
      <c r="W435" s="55" t="n">
        <f aca="false">IF(V435,IF(01_因子設定!$B$13="最大化",T435-01_因子設定!$B$14,IF(01_因子設定!$B$13="最小化",01_因子設定!$B$15-U435,MIN(T435-01_因子設定!$B$14,01_因子設定!$B$15-U435))),-1E+030)</f>
        <v>-6.11311460572752</v>
      </c>
      <c r="X435" s="55" t="n">
        <f aca="false">IF(V435,IF(01_因子設定!$B$13="最大化",Q435,IF(01_因子設定!$B$13="最小化",-Q435,-ABS(Q435-01_因子設定!$B$16))),-1E+030)</f>
        <v>43.4594744318182</v>
      </c>
      <c r="Y435" s="55" t="n">
        <f aca="false">W435+ROW()*0.000000001</f>
        <v>-6.11311417072753</v>
      </c>
      <c r="Z435" s="55" t="n">
        <f aca="false">X435+ROW()*0.000000001</f>
        <v>43.4594748668182</v>
      </c>
    </row>
    <row r="436" customFormat="false" ht="15" hidden="false" customHeight="false" outlineLevel="0" collapsed="false">
      <c r="A436" s="0" t="n">
        <v>1</v>
      </c>
      <c r="B436" s="0" t="n">
        <v>8</v>
      </c>
      <c r="C436" s="0" t="n">
        <v>6</v>
      </c>
      <c r="D436" s="0" t="n">
        <f aca="false">-1+A436*0.125</f>
        <v>-0.875</v>
      </c>
      <c r="E436" s="0" t="n">
        <f aca="false">-1+B436*0.125</f>
        <v>0</v>
      </c>
      <c r="F436" s="0" t="n">
        <f aca="false">-1+C436*0.125</f>
        <v>-0.25</v>
      </c>
      <c r="G436" s="0" t="n">
        <f aca="false">1</f>
        <v>1</v>
      </c>
      <c r="H436" s="0" t="n">
        <f aca="false">D436</f>
        <v>-0.875</v>
      </c>
      <c r="I436" s="0" t="n">
        <f aca="false">E436</f>
        <v>0</v>
      </c>
      <c r="J436" s="0" t="n">
        <f aca="false">F436</f>
        <v>-0.25</v>
      </c>
      <c r="K436" s="0" t="n">
        <f aca="false">D436*E436</f>
        <v>-0</v>
      </c>
      <c r="L436" s="0" t="n">
        <f aca="false">D436*F436</f>
        <v>0.21875</v>
      </c>
      <c r="M436" s="0" t="n">
        <f aca="false">E436*F436</f>
        <v>-0</v>
      </c>
      <c r="N436" s="0" t="n">
        <f aca="false">D436*D436</f>
        <v>0.765625</v>
      </c>
      <c r="O436" s="0" t="n">
        <f aca="false">E436*E436</f>
        <v>0</v>
      </c>
      <c r="P436" s="0" t="n">
        <f aca="false">F436*F436</f>
        <v>0.0625</v>
      </c>
      <c r="Q436" s="0" t="n">
        <f aca="false">SUMPRODUCT(G436:P436,_XtX!$B$71:$K$71)</f>
        <v>43.7403551136364</v>
      </c>
      <c r="R436" s="0" t="n">
        <f aca="false">SUMPRODUCT(MMULT(G436:P436,_XtX!$B$58:$K$67),G436:P436)</f>
        <v>0.333218661221591</v>
      </c>
      <c r="S436" s="0" t="n">
        <f aca="false">04_回帰ANOVA!$K$19*04_回帰ANOVA!$K$14*SQRT(1+R436)</f>
        <v>1.07353776826542</v>
      </c>
      <c r="T436" s="0" t="n">
        <f aca="false">Q436-S436</f>
        <v>42.6668173453709</v>
      </c>
      <c r="U436" s="0" t="n">
        <f aca="false">Q436+S436</f>
        <v>44.8138928819018</v>
      </c>
      <c r="V436" s="54" t="b">
        <f aca="false">AND(D436&gt;=01_因子設定!$L$5-0.000000001,D436&lt;=01_因子設定!$M$5+0.000000001,E436&gt;=01_因子設定!$L$6-0.000000001,E436&lt;=01_因子設定!$M$6+0.000000001,F436&gt;=01_因子設定!$L$7-0.000000001,F436&lt;=01_因子設定!$M$7+0.000000001,IF(01_因子設定!$B$20="Box-Behnken",D436^2+E436^2+F436^2&lt;=2+0.000000001,TRUE()))</f>
        <v>1</v>
      </c>
      <c r="W436" s="55" t="n">
        <f aca="false">IF(V436,IF(01_因子設定!$B$13="最大化",T436-01_因子設定!$B$14,IF(01_因子設定!$B$13="最小化",01_因子設定!$B$15-U436,MIN(T436-01_因子設定!$B$14,01_因子設定!$B$15-U436))),-1E+030)</f>
        <v>-5.83318265462906</v>
      </c>
      <c r="X436" s="55" t="n">
        <f aca="false">IF(V436,IF(01_因子設定!$B$13="最大化",Q436,IF(01_因子設定!$B$13="最小化",-Q436,-ABS(Q436-01_因子設定!$B$16))),-1E+030)</f>
        <v>43.7403551136364</v>
      </c>
      <c r="Y436" s="55" t="n">
        <f aca="false">W436+ROW()*0.000000001</f>
        <v>-5.83318221862906</v>
      </c>
      <c r="Z436" s="55" t="n">
        <f aca="false">X436+ROW()*0.000000001</f>
        <v>43.7403555496364</v>
      </c>
    </row>
    <row r="437" customFormat="false" ht="15" hidden="false" customHeight="false" outlineLevel="0" collapsed="false">
      <c r="A437" s="0" t="n">
        <v>1</v>
      </c>
      <c r="B437" s="0" t="n">
        <v>8</v>
      </c>
      <c r="C437" s="0" t="n">
        <v>7</v>
      </c>
      <c r="D437" s="0" t="n">
        <f aca="false">-1+A437*0.125</f>
        <v>-0.875</v>
      </c>
      <c r="E437" s="0" t="n">
        <f aca="false">-1+B437*0.125</f>
        <v>0</v>
      </c>
      <c r="F437" s="0" t="n">
        <f aca="false">-1+C437*0.125</f>
        <v>-0.125</v>
      </c>
      <c r="G437" s="0" t="n">
        <f aca="false">1</f>
        <v>1</v>
      </c>
      <c r="H437" s="0" t="n">
        <f aca="false">D437</f>
        <v>-0.875</v>
      </c>
      <c r="I437" s="0" t="n">
        <f aca="false">E437</f>
        <v>0</v>
      </c>
      <c r="J437" s="0" t="n">
        <f aca="false">F437</f>
        <v>-0.125</v>
      </c>
      <c r="K437" s="0" t="n">
        <f aca="false">D437*E437</f>
        <v>-0</v>
      </c>
      <c r="L437" s="0" t="n">
        <f aca="false">D437*F437</f>
        <v>0.109375</v>
      </c>
      <c r="M437" s="0" t="n">
        <f aca="false">E437*F437</f>
        <v>-0</v>
      </c>
      <c r="N437" s="0" t="n">
        <f aca="false">D437*D437</f>
        <v>0.765625</v>
      </c>
      <c r="O437" s="0" t="n">
        <f aca="false">E437*E437</f>
        <v>0</v>
      </c>
      <c r="P437" s="0" t="n">
        <f aca="false">F437*F437</f>
        <v>0.015625</v>
      </c>
      <c r="Q437" s="0" t="n">
        <f aca="false">SUMPRODUCT(G437:P437,_XtX!$B$71:$K$71)</f>
        <v>43.9844460227273</v>
      </c>
      <c r="R437" s="0" t="n">
        <f aca="false">SUMPRODUCT(MMULT(G437:P437,_XtX!$B$58:$K$67),G437:P437)</f>
        <v>0.336762584339489</v>
      </c>
      <c r="S437" s="0" t="n">
        <f aca="false">04_回帰ANOVA!$K$19*04_回帰ANOVA!$K$14*SQRT(1+R437)</f>
        <v>1.07496364479411</v>
      </c>
      <c r="T437" s="0" t="n">
        <f aca="false">Q437-S437</f>
        <v>42.9094823779332</v>
      </c>
      <c r="U437" s="0" t="n">
        <f aca="false">Q437+S437</f>
        <v>45.0594096675214</v>
      </c>
      <c r="V437" s="54" t="b">
        <f aca="false">AND(D437&gt;=01_因子設定!$L$5-0.000000001,D437&lt;=01_因子設定!$M$5+0.000000001,E437&gt;=01_因子設定!$L$6-0.000000001,E437&lt;=01_因子設定!$M$6+0.000000001,F437&gt;=01_因子設定!$L$7-0.000000001,F437&lt;=01_因子設定!$M$7+0.000000001,IF(01_因子設定!$B$20="Box-Behnken",D437^2+E437^2+F437^2&lt;=2+0.000000001,TRUE()))</f>
        <v>1</v>
      </c>
      <c r="W437" s="55" t="n">
        <f aca="false">IF(V437,IF(01_因子設定!$B$13="最大化",T437-01_因子設定!$B$14,IF(01_因子設定!$B$13="最小化",01_因子設定!$B$15-U437,MIN(T437-01_因子設定!$B$14,01_因子設定!$B$15-U437))),-1E+030)</f>
        <v>-5.59051762206685</v>
      </c>
      <c r="X437" s="55" t="n">
        <f aca="false">IF(V437,IF(01_因子設定!$B$13="最大化",Q437,IF(01_因子設定!$B$13="最小化",-Q437,-ABS(Q437-01_因子設定!$B$16))),-1E+030)</f>
        <v>43.9844460227273</v>
      </c>
      <c r="Y437" s="55" t="n">
        <f aca="false">W437+ROW()*0.000000001</f>
        <v>-5.59051718506685</v>
      </c>
      <c r="Z437" s="55" t="n">
        <f aca="false">X437+ROW()*0.000000001</f>
        <v>43.9844464597273</v>
      </c>
    </row>
    <row r="438" customFormat="false" ht="15" hidden="false" customHeight="false" outlineLevel="0" collapsed="false">
      <c r="A438" s="0" t="n">
        <v>1</v>
      </c>
      <c r="B438" s="0" t="n">
        <v>8</v>
      </c>
      <c r="C438" s="0" t="n">
        <v>8</v>
      </c>
      <c r="D438" s="0" t="n">
        <f aca="false">-1+A438*0.125</f>
        <v>-0.875</v>
      </c>
      <c r="E438" s="0" t="n">
        <f aca="false">-1+B438*0.125</f>
        <v>0</v>
      </c>
      <c r="F438" s="0" t="n">
        <f aca="false">-1+C438*0.125</f>
        <v>0</v>
      </c>
      <c r="G438" s="0" t="n">
        <f aca="false">1</f>
        <v>1</v>
      </c>
      <c r="H438" s="0" t="n">
        <f aca="false">D438</f>
        <v>-0.875</v>
      </c>
      <c r="I438" s="0" t="n">
        <f aca="false">E438</f>
        <v>0</v>
      </c>
      <c r="J438" s="0" t="n">
        <f aca="false">F438</f>
        <v>0</v>
      </c>
      <c r="K438" s="0" t="n">
        <f aca="false">D438*E438</f>
        <v>-0</v>
      </c>
      <c r="L438" s="0" t="n">
        <f aca="false">D438*F438</f>
        <v>-0</v>
      </c>
      <c r="M438" s="0" t="n">
        <f aca="false">E438*F438</f>
        <v>0</v>
      </c>
      <c r="N438" s="0" t="n">
        <f aca="false">D438*D438</f>
        <v>0.765625</v>
      </c>
      <c r="O438" s="0" t="n">
        <f aca="false">E438*E438</f>
        <v>0</v>
      </c>
      <c r="P438" s="0" t="n">
        <f aca="false">F438*F438</f>
        <v>0</v>
      </c>
      <c r="Q438" s="0" t="n">
        <f aca="false">SUMPRODUCT(G438:P438,_XtX!$B$71:$K$71)</f>
        <v>44.1917471590909</v>
      </c>
      <c r="R438" s="0" t="n">
        <f aca="false">SUMPRODUCT(MMULT(G438:P438,_XtX!$B$58:$K$67),G438:P438)</f>
        <v>0.338299005681818</v>
      </c>
      <c r="S438" s="0" t="n">
        <f aca="false">04_回帰ANOVA!$K$19*04_回帰ANOVA!$K$14*SQRT(1+R438)</f>
        <v>1.07558122745542</v>
      </c>
      <c r="T438" s="0" t="n">
        <f aca="false">Q438-S438</f>
        <v>43.1161659316355</v>
      </c>
      <c r="U438" s="0" t="n">
        <f aca="false">Q438+S438</f>
        <v>45.2673283865463</v>
      </c>
      <c r="V438" s="54" t="b">
        <f aca="false">AND(D438&gt;=01_因子設定!$L$5-0.000000001,D438&lt;=01_因子設定!$M$5+0.000000001,E438&gt;=01_因子設定!$L$6-0.000000001,E438&lt;=01_因子設定!$M$6+0.000000001,F438&gt;=01_因子設定!$L$7-0.000000001,F438&lt;=01_因子設定!$M$7+0.000000001,IF(01_因子設定!$B$20="Box-Behnken",D438^2+E438^2+F438^2&lt;=2+0.000000001,TRUE()))</f>
        <v>1</v>
      </c>
      <c r="W438" s="55" t="n">
        <f aca="false">IF(V438,IF(01_因子設定!$B$13="最大化",T438-01_因子設定!$B$14,IF(01_因子設定!$B$13="最小化",01_因子設定!$B$15-U438,MIN(T438-01_因子設定!$B$14,01_因子設定!$B$15-U438))),-1E+030)</f>
        <v>-5.38383406836451</v>
      </c>
      <c r="X438" s="55" t="n">
        <f aca="false">IF(V438,IF(01_因子設定!$B$13="最大化",Q438,IF(01_因子設定!$B$13="最小化",-Q438,-ABS(Q438-01_因子設定!$B$16))),-1E+030)</f>
        <v>44.1917471590909</v>
      </c>
      <c r="Y438" s="55" t="n">
        <f aca="false">W438+ROW()*0.000000001</f>
        <v>-5.38383363036451</v>
      </c>
      <c r="Z438" s="55" t="n">
        <f aca="false">X438+ROW()*0.000000001</f>
        <v>44.1917475970909</v>
      </c>
    </row>
    <row r="439" customFormat="false" ht="15" hidden="false" customHeight="false" outlineLevel="0" collapsed="false">
      <c r="A439" s="0" t="n">
        <v>1</v>
      </c>
      <c r="B439" s="0" t="n">
        <v>8</v>
      </c>
      <c r="C439" s="0" t="n">
        <v>9</v>
      </c>
      <c r="D439" s="0" t="n">
        <f aca="false">-1+A439*0.125</f>
        <v>-0.875</v>
      </c>
      <c r="E439" s="0" t="n">
        <f aca="false">-1+B439*0.125</f>
        <v>0</v>
      </c>
      <c r="F439" s="0" t="n">
        <f aca="false">-1+C439*0.125</f>
        <v>0.125</v>
      </c>
      <c r="G439" s="0" t="n">
        <f aca="false">1</f>
        <v>1</v>
      </c>
      <c r="H439" s="0" t="n">
        <f aca="false">D439</f>
        <v>-0.875</v>
      </c>
      <c r="I439" s="0" t="n">
        <f aca="false">E439</f>
        <v>0</v>
      </c>
      <c r="J439" s="0" t="n">
        <f aca="false">F439</f>
        <v>0.125</v>
      </c>
      <c r="K439" s="0" t="n">
        <f aca="false">D439*E439</f>
        <v>-0</v>
      </c>
      <c r="L439" s="0" t="n">
        <f aca="false">D439*F439</f>
        <v>-0.109375</v>
      </c>
      <c r="M439" s="0" t="n">
        <f aca="false">E439*F439</f>
        <v>0</v>
      </c>
      <c r="N439" s="0" t="n">
        <f aca="false">D439*D439</f>
        <v>0.765625</v>
      </c>
      <c r="O439" s="0" t="n">
        <f aca="false">E439*E439</f>
        <v>0</v>
      </c>
      <c r="P439" s="0" t="n">
        <f aca="false">F439*F439</f>
        <v>0.015625</v>
      </c>
      <c r="Q439" s="0" t="n">
        <f aca="false">SUMPRODUCT(G439:P439,_XtX!$B$71:$K$71)</f>
        <v>44.3622585227273</v>
      </c>
      <c r="R439" s="0" t="n">
        <f aca="false">SUMPRODUCT(MMULT(G439:P439,_XtX!$B$58:$K$67),G439:P439)</f>
        <v>0.336762584339489</v>
      </c>
      <c r="S439" s="0" t="n">
        <f aca="false">04_回帰ANOVA!$K$19*04_回帰ANOVA!$K$14*SQRT(1+R439)</f>
        <v>1.07496364479411</v>
      </c>
      <c r="T439" s="0" t="n">
        <f aca="false">Q439-S439</f>
        <v>43.2872948779332</v>
      </c>
      <c r="U439" s="0" t="n">
        <f aca="false">Q439+S439</f>
        <v>45.4372221675214</v>
      </c>
      <c r="V439" s="54" t="b">
        <f aca="false">AND(D439&gt;=01_因子設定!$L$5-0.000000001,D439&lt;=01_因子設定!$M$5+0.000000001,E439&gt;=01_因子設定!$L$6-0.000000001,E439&lt;=01_因子設定!$M$6+0.000000001,F439&gt;=01_因子設定!$L$7-0.000000001,F439&lt;=01_因子設定!$M$7+0.000000001,IF(01_因子設定!$B$20="Box-Behnken",D439^2+E439^2+F439^2&lt;=2+0.000000001,TRUE()))</f>
        <v>1</v>
      </c>
      <c r="W439" s="55" t="n">
        <f aca="false">IF(V439,IF(01_因子設定!$B$13="最大化",T439-01_因子設定!$B$14,IF(01_因子設定!$B$13="最小化",01_因子設定!$B$15-U439,MIN(T439-01_因子設定!$B$14,01_因子設定!$B$15-U439))),-1E+030)</f>
        <v>-5.21270512206684</v>
      </c>
      <c r="X439" s="55" t="n">
        <f aca="false">IF(V439,IF(01_因子設定!$B$13="最大化",Q439,IF(01_因子設定!$B$13="最小化",-Q439,-ABS(Q439-01_因子設定!$B$16))),-1E+030)</f>
        <v>44.3622585227273</v>
      </c>
      <c r="Y439" s="55" t="n">
        <f aca="false">W439+ROW()*0.000000001</f>
        <v>-5.21270468306684</v>
      </c>
      <c r="Z439" s="55" t="n">
        <f aca="false">X439+ROW()*0.000000001</f>
        <v>44.3622589617273</v>
      </c>
    </row>
    <row r="440" customFormat="false" ht="15" hidden="false" customHeight="false" outlineLevel="0" collapsed="false">
      <c r="A440" s="0" t="n">
        <v>1</v>
      </c>
      <c r="B440" s="0" t="n">
        <v>8</v>
      </c>
      <c r="C440" s="0" t="n">
        <v>10</v>
      </c>
      <c r="D440" s="0" t="n">
        <f aca="false">-1+A440*0.125</f>
        <v>-0.875</v>
      </c>
      <c r="E440" s="0" t="n">
        <f aca="false">-1+B440*0.125</f>
        <v>0</v>
      </c>
      <c r="F440" s="0" t="n">
        <f aca="false">-1+C440*0.125</f>
        <v>0.25</v>
      </c>
      <c r="G440" s="0" t="n">
        <f aca="false">1</f>
        <v>1</v>
      </c>
      <c r="H440" s="0" t="n">
        <f aca="false">D440</f>
        <v>-0.875</v>
      </c>
      <c r="I440" s="0" t="n">
        <f aca="false">E440</f>
        <v>0</v>
      </c>
      <c r="J440" s="0" t="n">
        <f aca="false">F440</f>
        <v>0.25</v>
      </c>
      <c r="K440" s="0" t="n">
        <f aca="false">D440*E440</f>
        <v>-0</v>
      </c>
      <c r="L440" s="0" t="n">
        <f aca="false">D440*F440</f>
        <v>-0.21875</v>
      </c>
      <c r="M440" s="0" t="n">
        <f aca="false">E440*F440</f>
        <v>0</v>
      </c>
      <c r="N440" s="0" t="n">
        <f aca="false">D440*D440</f>
        <v>0.765625</v>
      </c>
      <c r="O440" s="0" t="n">
        <f aca="false">E440*E440</f>
        <v>0</v>
      </c>
      <c r="P440" s="0" t="n">
        <f aca="false">F440*F440</f>
        <v>0.0625</v>
      </c>
      <c r="Q440" s="0" t="n">
        <f aca="false">SUMPRODUCT(G440:P440,_XtX!$B$71:$K$71)</f>
        <v>44.4959801136364</v>
      </c>
      <c r="R440" s="0" t="n">
        <f aca="false">SUMPRODUCT(MMULT(G440:P440,_XtX!$B$58:$K$67),G440:P440)</f>
        <v>0.333218661221591</v>
      </c>
      <c r="S440" s="0" t="n">
        <f aca="false">04_回帰ANOVA!$K$19*04_回帰ANOVA!$K$14*SQRT(1+R440)</f>
        <v>1.07353776826542</v>
      </c>
      <c r="T440" s="0" t="n">
        <f aca="false">Q440-S440</f>
        <v>43.4224423453709</v>
      </c>
      <c r="U440" s="0" t="n">
        <f aca="false">Q440+S440</f>
        <v>45.5695178819018</v>
      </c>
      <c r="V440" s="54" t="b">
        <f aca="false">AND(D440&gt;=01_因子設定!$L$5-0.000000001,D440&lt;=01_因子設定!$M$5+0.000000001,E440&gt;=01_因子設定!$L$6-0.000000001,E440&lt;=01_因子設定!$M$6+0.000000001,F440&gt;=01_因子設定!$L$7-0.000000001,F440&lt;=01_因子設定!$M$7+0.000000001,IF(01_因子設定!$B$20="Box-Behnken",D440^2+E440^2+F440^2&lt;=2+0.000000001,TRUE()))</f>
        <v>1</v>
      </c>
      <c r="W440" s="55" t="n">
        <f aca="false">IF(V440,IF(01_因子設定!$B$13="最大化",T440-01_因子設定!$B$14,IF(01_因子設定!$B$13="最小化",01_因子設定!$B$15-U440,MIN(T440-01_因子設定!$B$14,01_因子設定!$B$15-U440))),-1E+030)</f>
        <v>-5.07755765462906</v>
      </c>
      <c r="X440" s="55" t="n">
        <f aca="false">IF(V440,IF(01_因子設定!$B$13="最大化",Q440,IF(01_因子設定!$B$13="最小化",-Q440,-ABS(Q440-01_因子設定!$B$16))),-1E+030)</f>
        <v>44.4959801136364</v>
      </c>
      <c r="Y440" s="55" t="n">
        <f aca="false">W440+ROW()*0.000000001</f>
        <v>-5.07755721462906</v>
      </c>
      <c r="Z440" s="55" t="n">
        <f aca="false">X440+ROW()*0.000000001</f>
        <v>44.4959805536364</v>
      </c>
    </row>
    <row r="441" customFormat="false" ht="15" hidden="false" customHeight="false" outlineLevel="0" collapsed="false">
      <c r="A441" s="0" t="n">
        <v>1</v>
      </c>
      <c r="B441" s="0" t="n">
        <v>8</v>
      </c>
      <c r="C441" s="0" t="n">
        <v>11</v>
      </c>
      <c r="D441" s="0" t="n">
        <f aca="false">-1+A441*0.125</f>
        <v>-0.875</v>
      </c>
      <c r="E441" s="0" t="n">
        <f aca="false">-1+B441*0.125</f>
        <v>0</v>
      </c>
      <c r="F441" s="0" t="n">
        <f aca="false">-1+C441*0.125</f>
        <v>0.375</v>
      </c>
      <c r="G441" s="0" t="n">
        <f aca="false">1</f>
        <v>1</v>
      </c>
      <c r="H441" s="0" t="n">
        <f aca="false">D441</f>
        <v>-0.875</v>
      </c>
      <c r="I441" s="0" t="n">
        <f aca="false">E441</f>
        <v>0</v>
      </c>
      <c r="J441" s="0" t="n">
        <f aca="false">F441</f>
        <v>0.375</v>
      </c>
      <c r="K441" s="0" t="n">
        <f aca="false">D441*E441</f>
        <v>-0</v>
      </c>
      <c r="L441" s="0" t="n">
        <f aca="false">D441*F441</f>
        <v>-0.328125</v>
      </c>
      <c r="M441" s="0" t="n">
        <f aca="false">E441*F441</f>
        <v>0</v>
      </c>
      <c r="N441" s="0" t="n">
        <f aca="false">D441*D441</f>
        <v>0.765625</v>
      </c>
      <c r="O441" s="0" t="n">
        <f aca="false">E441*E441</f>
        <v>0</v>
      </c>
      <c r="P441" s="0" t="n">
        <f aca="false">F441*F441</f>
        <v>0.140625</v>
      </c>
      <c r="Q441" s="0" t="n">
        <f aca="false">SUMPRODUCT(G441:P441,_XtX!$B$71:$K$71)</f>
        <v>44.5929119318182</v>
      </c>
      <c r="R441" s="0" t="n">
        <f aca="false">SUMPRODUCT(MMULT(G441:P441,_XtX!$B$58:$K$67),G441:P441)</f>
        <v>0.330863259055398</v>
      </c>
      <c r="S441" s="0" t="n">
        <f aca="false">04_回帰ANOVA!$K$19*04_回帰ANOVA!$K$14*SQRT(1+R441)</f>
        <v>1.07258903754571</v>
      </c>
      <c r="T441" s="0" t="n">
        <f aca="false">Q441-S441</f>
        <v>43.5203228942725</v>
      </c>
      <c r="U441" s="0" t="n">
        <f aca="false">Q441+S441</f>
        <v>45.6655009693639</v>
      </c>
      <c r="V441" s="54" t="b">
        <f aca="false">AND(D441&gt;=01_因子設定!$L$5-0.000000001,D441&lt;=01_因子設定!$M$5+0.000000001,E441&gt;=01_因子設定!$L$6-0.000000001,E441&lt;=01_因子設定!$M$6+0.000000001,F441&gt;=01_因子設定!$L$7-0.000000001,F441&lt;=01_因子設定!$M$7+0.000000001,IF(01_因子設定!$B$20="Box-Behnken",D441^2+E441^2+F441^2&lt;=2+0.000000001,TRUE()))</f>
        <v>1</v>
      </c>
      <c r="W441" s="55" t="n">
        <f aca="false">IF(V441,IF(01_因子設定!$B$13="最大化",T441-01_因子設定!$B$14,IF(01_因子設定!$B$13="最小化",01_因子設定!$B$15-U441,MIN(T441-01_因子設定!$B$14,01_因子設定!$B$15-U441))),-1E+030)</f>
        <v>-4.97967710572753</v>
      </c>
      <c r="X441" s="55" t="n">
        <f aca="false">IF(V441,IF(01_因子設定!$B$13="最大化",Q441,IF(01_因子設定!$B$13="最小化",-Q441,-ABS(Q441-01_因子設定!$B$16))),-1E+030)</f>
        <v>44.5929119318182</v>
      </c>
      <c r="Y441" s="55" t="n">
        <f aca="false">W441+ROW()*0.000000001</f>
        <v>-4.97967666472753</v>
      </c>
      <c r="Z441" s="55" t="n">
        <f aca="false">X441+ROW()*0.000000001</f>
        <v>44.5929123728182</v>
      </c>
    </row>
    <row r="442" customFormat="false" ht="15" hidden="false" customHeight="false" outlineLevel="0" collapsed="false">
      <c r="A442" s="0" t="n">
        <v>1</v>
      </c>
      <c r="B442" s="0" t="n">
        <v>8</v>
      </c>
      <c r="C442" s="0" t="n">
        <v>12</v>
      </c>
      <c r="D442" s="0" t="n">
        <f aca="false">-1+A442*0.125</f>
        <v>-0.875</v>
      </c>
      <c r="E442" s="0" t="n">
        <f aca="false">-1+B442*0.125</f>
        <v>0</v>
      </c>
      <c r="F442" s="0" t="n">
        <f aca="false">-1+C442*0.125</f>
        <v>0.5</v>
      </c>
      <c r="G442" s="0" t="n">
        <f aca="false">1</f>
        <v>1</v>
      </c>
      <c r="H442" s="0" t="n">
        <f aca="false">D442</f>
        <v>-0.875</v>
      </c>
      <c r="I442" s="0" t="n">
        <f aca="false">E442</f>
        <v>0</v>
      </c>
      <c r="J442" s="0" t="n">
        <f aca="false">F442</f>
        <v>0.5</v>
      </c>
      <c r="K442" s="0" t="n">
        <f aca="false">D442*E442</f>
        <v>-0</v>
      </c>
      <c r="L442" s="0" t="n">
        <f aca="false">D442*F442</f>
        <v>-0.4375</v>
      </c>
      <c r="M442" s="0" t="n">
        <f aca="false">E442*F442</f>
        <v>0</v>
      </c>
      <c r="N442" s="0" t="n">
        <f aca="false">D442*D442</f>
        <v>0.765625</v>
      </c>
      <c r="O442" s="0" t="n">
        <f aca="false">E442*E442</f>
        <v>0</v>
      </c>
      <c r="P442" s="0" t="n">
        <f aca="false">F442*F442</f>
        <v>0.25</v>
      </c>
      <c r="Q442" s="0" t="n">
        <f aca="false">SUMPRODUCT(G442:P442,_XtX!$B$71:$K$71)</f>
        <v>44.6530539772727</v>
      </c>
      <c r="R442" s="0" t="n">
        <f aca="false">SUMPRODUCT(MMULT(G442:P442,_XtX!$B$58:$K$67),G442:P442)</f>
        <v>0.335023082386364</v>
      </c>
      <c r="S442" s="0" t="n">
        <f aca="false">04_回帰ANOVA!$K$19*04_回帰ANOVA!$K$14*SQRT(1+R442)</f>
        <v>1.07426400295275</v>
      </c>
      <c r="T442" s="0" t="n">
        <f aca="false">Q442-S442</f>
        <v>43.57878997432</v>
      </c>
      <c r="U442" s="0" t="n">
        <f aca="false">Q442+S442</f>
        <v>45.7273179802255</v>
      </c>
      <c r="V442" s="54" t="b">
        <f aca="false">AND(D442&gt;=01_因子設定!$L$5-0.000000001,D442&lt;=01_因子設定!$M$5+0.000000001,E442&gt;=01_因子設定!$L$6-0.000000001,E442&lt;=01_因子設定!$M$6+0.000000001,F442&gt;=01_因子設定!$L$7-0.000000001,F442&lt;=01_因子設定!$M$7+0.000000001,IF(01_因子設定!$B$20="Box-Behnken",D442^2+E442^2+F442^2&lt;=2+0.000000001,TRUE()))</f>
        <v>1</v>
      </c>
      <c r="W442" s="55" t="n">
        <f aca="false">IF(V442,IF(01_因子設定!$B$13="最大化",T442-01_因子設定!$B$14,IF(01_因子設定!$B$13="最小化",01_因子設定!$B$15-U442,MIN(T442-01_因子設定!$B$14,01_因子設定!$B$15-U442))),-1E+030)</f>
        <v>-4.92121002568003</v>
      </c>
      <c r="X442" s="55" t="n">
        <f aca="false">IF(V442,IF(01_因子設定!$B$13="最大化",Q442,IF(01_因子設定!$B$13="最小化",-Q442,-ABS(Q442-01_因子設定!$B$16))),-1E+030)</f>
        <v>44.6530539772727</v>
      </c>
      <c r="Y442" s="55" t="n">
        <f aca="false">W442+ROW()*0.000000001</f>
        <v>-4.92120958368003</v>
      </c>
      <c r="Z442" s="55" t="n">
        <f aca="false">X442+ROW()*0.000000001</f>
        <v>44.6530544192727</v>
      </c>
    </row>
    <row r="443" customFormat="false" ht="15" hidden="false" customHeight="false" outlineLevel="0" collapsed="false">
      <c r="A443" s="0" t="n">
        <v>1</v>
      </c>
      <c r="B443" s="0" t="n">
        <v>8</v>
      </c>
      <c r="C443" s="0" t="n">
        <v>13</v>
      </c>
      <c r="D443" s="0" t="n">
        <f aca="false">-1+A443*0.125</f>
        <v>-0.875</v>
      </c>
      <c r="E443" s="0" t="n">
        <f aca="false">-1+B443*0.125</f>
        <v>0</v>
      </c>
      <c r="F443" s="0" t="n">
        <f aca="false">-1+C443*0.125</f>
        <v>0.625</v>
      </c>
      <c r="G443" s="0" t="n">
        <f aca="false">1</f>
        <v>1</v>
      </c>
      <c r="H443" s="0" t="n">
        <f aca="false">D443</f>
        <v>-0.875</v>
      </c>
      <c r="I443" s="0" t="n">
        <f aca="false">E443</f>
        <v>0</v>
      </c>
      <c r="J443" s="0" t="n">
        <f aca="false">F443</f>
        <v>0.625</v>
      </c>
      <c r="K443" s="0" t="n">
        <f aca="false">D443*E443</f>
        <v>-0</v>
      </c>
      <c r="L443" s="0" t="n">
        <f aca="false">D443*F443</f>
        <v>-0.546875</v>
      </c>
      <c r="M443" s="0" t="n">
        <f aca="false">E443*F443</f>
        <v>0</v>
      </c>
      <c r="N443" s="0" t="n">
        <f aca="false">D443*D443</f>
        <v>0.765625</v>
      </c>
      <c r="O443" s="0" t="n">
        <f aca="false">E443*E443</f>
        <v>0</v>
      </c>
      <c r="P443" s="0" t="n">
        <f aca="false">F443*F443</f>
        <v>0.390625</v>
      </c>
      <c r="Q443" s="0" t="n">
        <f aca="false">SUMPRODUCT(G443:P443,_XtX!$B$71:$K$71)</f>
        <v>44.67640625</v>
      </c>
      <c r="R443" s="0" t="n">
        <f aca="false">SUMPRODUCT(MMULT(G443:P443,_XtX!$B$58:$K$67),G443:P443)</f>
        <v>0.353155517578125</v>
      </c>
      <c r="S443" s="0" t="n">
        <f aca="false">04_回帰ANOVA!$K$19*04_回帰ANOVA!$K$14*SQRT(1+R443)</f>
        <v>1.08153478594098</v>
      </c>
      <c r="T443" s="0" t="n">
        <f aca="false">Q443-S443</f>
        <v>43.594871464059</v>
      </c>
      <c r="U443" s="0" t="n">
        <f aca="false">Q443+S443</f>
        <v>45.757941035941</v>
      </c>
      <c r="V443" s="54" t="b">
        <f aca="false">AND(D443&gt;=01_因子設定!$L$5-0.000000001,D443&lt;=01_因子設定!$M$5+0.000000001,E443&gt;=01_因子設定!$L$6-0.000000001,E443&lt;=01_因子設定!$M$6+0.000000001,F443&gt;=01_因子設定!$L$7-0.000000001,F443&lt;=01_因子設定!$M$7+0.000000001,IF(01_因子設定!$B$20="Box-Behnken",D443^2+E443^2+F443^2&lt;=2+0.000000001,TRUE()))</f>
        <v>1</v>
      </c>
      <c r="W443" s="55" t="n">
        <f aca="false">IF(V443,IF(01_因子設定!$B$13="最大化",T443-01_因子設定!$B$14,IF(01_因子設定!$B$13="最小化",01_因子設定!$B$15-U443,MIN(T443-01_因子設定!$B$14,01_因子設定!$B$15-U443))),-1E+030)</f>
        <v>-4.90512853594098</v>
      </c>
      <c r="X443" s="55" t="n">
        <f aca="false">IF(V443,IF(01_因子設定!$B$13="最大化",Q443,IF(01_因子設定!$B$13="最小化",-Q443,-ABS(Q443-01_因子設定!$B$16))),-1E+030)</f>
        <v>44.67640625</v>
      </c>
      <c r="Y443" s="55" t="n">
        <f aca="false">W443+ROW()*0.000000001</f>
        <v>-4.90512809294098</v>
      </c>
      <c r="Z443" s="55" t="n">
        <f aca="false">X443+ROW()*0.000000001</f>
        <v>44.676406693</v>
      </c>
    </row>
    <row r="444" customFormat="false" ht="15" hidden="false" customHeight="false" outlineLevel="0" collapsed="false">
      <c r="A444" s="0" t="n">
        <v>1</v>
      </c>
      <c r="B444" s="0" t="n">
        <v>8</v>
      </c>
      <c r="C444" s="0" t="n">
        <v>14</v>
      </c>
      <c r="D444" s="0" t="n">
        <f aca="false">-1+A444*0.125</f>
        <v>-0.875</v>
      </c>
      <c r="E444" s="0" t="n">
        <f aca="false">-1+B444*0.125</f>
        <v>0</v>
      </c>
      <c r="F444" s="0" t="n">
        <f aca="false">-1+C444*0.125</f>
        <v>0.75</v>
      </c>
      <c r="G444" s="0" t="n">
        <f aca="false">1</f>
        <v>1</v>
      </c>
      <c r="H444" s="0" t="n">
        <f aca="false">D444</f>
        <v>-0.875</v>
      </c>
      <c r="I444" s="0" t="n">
        <f aca="false">E444</f>
        <v>0</v>
      </c>
      <c r="J444" s="0" t="n">
        <f aca="false">F444</f>
        <v>0.75</v>
      </c>
      <c r="K444" s="0" t="n">
        <f aca="false">D444*E444</f>
        <v>-0</v>
      </c>
      <c r="L444" s="0" t="n">
        <f aca="false">D444*F444</f>
        <v>-0.65625</v>
      </c>
      <c r="M444" s="0" t="n">
        <f aca="false">E444*F444</f>
        <v>0</v>
      </c>
      <c r="N444" s="0" t="n">
        <f aca="false">D444*D444</f>
        <v>0.765625</v>
      </c>
      <c r="O444" s="0" t="n">
        <f aca="false">E444*E444</f>
        <v>0</v>
      </c>
      <c r="P444" s="0" t="n">
        <f aca="false">F444*F444</f>
        <v>0.5625</v>
      </c>
      <c r="Q444" s="0" t="n">
        <f aca="false">SUMPRODUCT(G444:P444,_XtX!$B$71:$K$71)</f>
        <v>44.66296875</v>
      </c>
      <c r="R444" s="0" t="n">
        <f aca="false">SUMPRODUCT(MMULT(G444:P444,_XtX!$B$58:$K$67),G444:P444)</f>
        <v>0.3948486328125</v>
      </c>
      <c r="S444" s="0" t="n">
        <f aca="false">04_回帰ANOVA!$K$19*04_回帰ANOVA!$K$14*SQRT(1+R444)</f>
        <v>1.09807037952996</v>
      </c>
      <c r="T444" s="0" t="n">
        <f aca="false">Q444-S444</f>
        <v>43.5648983704701</v>
      </c>
      <c r="U444" s="0" t="n">
        <f aca="false">Q444+S444</f>
        <v>45.76103912953</v>
      </c>
      <c r="V444" s="54" t="b">
        <f aca="false">AND(D444&gt;=01_因子設定!$L$5-0.000000001,D444&lt;=01_因子設定!$M$5+0.000000001,E444&gt;=01_因子設定!$L$6-0.000000001,E444&lt;=01_因子設定!$M$6+0.000000001,F444&gt;=01_因子設定!$L$7-0.000000001,F444&lt;=01_因子設定!$M$7+0.000000001,IF(01_因子設定!$B$20="Box-Behnken",D444^2+E444^2+F444^2&lt;=2+0.000000001,TRUE()))</f>
        <v>1</v>
      </c>
      <c r="W444" s="55" t="n">
        <f aca="false">IF(V444,IF(01_因子設定!$B$13="最大化",T444-01_因子設定!$B$14,IF(01_因子設定!$B$13="最小化",01_因子設定!$B$15-U444,MIN(T444-01_因子設定!$B$14,01_因子設定!$B$15-U444))),-1E+030)</f>
        <v>-4.93510162952995</v>
      </c>
      <c r="X444" s="55" t="n">
        <f aca="false">IF(V444,IF(01_因子設定!$B$13="最大化",Q444,IF(01_因子設定!$B$13="最小化",-Q444,-ABS(Q444-01_因子設定!$B$16))),-1E+030)</f>
        <v>44.66296875</v>
      </c>
      <c r="Y444" s="55" t="n">
        <f aca="false">W444+ROW()*0.000000001</f>
        <v>-4.93510118552995</v>
      </c>
      <c r="Z444" s="55" t="n">
        <f aca="false">X444+ROW()*0.000000001</f>
        <v>44.662969194</v>
      </c>
    </row>
    <row r="445" customFormat="false" ht="15" hidden="false" customHeight="false" outlineLevel="0" collapsed="false">
      <c r="A445" s="0" t="n">
        <v>1</v>
      </c>
      <c r="B445" s="0" t="n">
        <v>8</v>
      </c>
      <c r="C445" s="0" t="n">
        <v>15</v>
      </c>
      <c r="D445" s="0" t="n">
        <f aca="false">-1+A445*0.125</f>
        <v>-0.875</v>
      </c>
      <c r="E445" s="0" t="n">
        <f aca="false">-1+B445*0.125</f>
        <v>0</v>
      </c>
      <c r="F445" s="0" t="n">
        <f aca="false">-1+C445*0.125</f>
        <v>0.875</v>
      </c>
      <c r="G445" s="0" t="n">
        <f aca="false">1</f>
        <v>1</v>
      </c>
      <c r="H445" s="0" t="n">
        <f aca="false">D445</f>
        <v>-0.875</v>
      </c>
      <c r="I445" s="0" t="n">
        <f aca="false">E445</f>
        <v>0</v>
      </c>
      <c r="J445" s="0" t="n">
        <f aca="false">F445</f>
        <v>0.875</v>
      </c>
      <c r="K445" s="0" t="n">
        <f aca="false">D445*E445</f>
        <v>-0</v>
      </c>
      <c r="L445" s="0" t="n">
        <f aca="false">D445*F445</f>
        <v>-0.765625</v>
      </c>
      <c r="M445" s="0" t="n">
        <f aca="false">E445*F445</f>
        <v>0</v>
      </c>
      <c r="N445" s="0" t="n">
        <f aca="false">D445*D445</f>
        <v>0.765625</v>
      </c>
      <c r="O445" s="0" t="n">
        <f aca="false">E445*E445</f>
        <v>0</v>
      </c>
      <c r="P445" s="0" t="n">
        <f aca="false">F445*F445</f>
        <v>0.765625</v>
      </c>
      <c r="Q445" s="0" t="n">
        <f aca="false">SUMPRODUCT(G445:P445,_XtX!$B$71:$K$71)</f>
        <v>44.6127414772727</v>
      </c>
      <c r="R445" s="0" t="n">
        <f aca="false">SUMPRODUCT(MMULT(G445:P445,_XtX!$B$58:$K$67),G445:P445)</f>
        <v>0.471821178089489</v>
      </c>
      <c r="S445" s="0" t="n">
        <f aca="false">04_回帰ANOVA!$K$19*04_回帰ANOVA!$K$14*SQRT(1+R445)</f>
        <v>1.12796119746125</v>
      </c>
      <c r="T445" s="0" t="n">
        <f aca="false">Q445-S445</f>
        <v>43.4847802798115</v>
      </c>
      <c r="U445" s="0" t="n">
        <f aca="false">Q445+S445</f>
        <v>45.740702674734</v>
      </c>
      <c r="V445" s="54" t="b">
        <f aca="false">AND(D445&gt;=01_因子設定!$L$5-0.000000001,D445&lt;=01_因子設定!$M$5+0.000000001,E445&gt;=01_因子設定!$L$6-0.000000001,E445&lt;=01_因子設定!$M$6+0.000000001,F445&gt;=01_因子設定!$L$7-0.000000001,F445&lt;=01_因子設定!$M$7+0.000000001,IF(01_因子設定!$B$20="Box-Behnken",D445^2+E445^2+F445^2&lt;=2+0.000000001,TRUE()))</f>
        <v>1</v>
      </c>
      <c r="W445" s="55" t="n">
        <f aca="false">IF(V445,IF(01_因子設定!$B$13="最大化",T445-01_因子設定!$B$14,IF(01_因子設定!$B$13="最小化",01_因子設定!$B$15-U445,MIN(T445-01_因子設定!$B$14,01_因子設定!$B$15-U445))),-1E+030)</f>
        <v>-5.01521972018852</v>
      </c>
      <c r="X445" s="55" t="n">
        <f aca="false">IF(V445,IF(01_因子設定!$B$13="最大化",Q445,IF(01_因子設定!$B$13="最小化",-Q445,-ABS(Q445-01_因子設定!$B$16))),-1E+030)</f>
        <v>44.6127414772727</v>
      </c>
      <c r="Y445" s="55" t="n">
        <f aca="false">W445+ROW()*0.000000001</f>
        <v>-5.01521927518852</v>
      </c>
      <c r="Z445" s="55" t="n">
        <f aca="false">X445+ROW()*0.000000001</f>
        <v>44.6127419222727</v>
      </c>
    </row>
    <row r="446" customFormat="false" ht="15" hidden="false" customHeight="false" outlineLevel="0" collapsed="false">
      <c r="A446" s="0" t="n">
        <v>1</v>
      </c>
      <c r="B446" s="0" t="n">
        <v>8</v>
      </c>
      <c r="C446" s="0" t="n">
        <v>16</v>
      </c>
      <c r="D446" s="0" t="n">
        <f aca="false">-1+A446*0.125</f>
        <v>-0.875</v>
      </c>
      <c r="E446" s="0" t="n">
        <f aca="false">-1+B446*0.125</f>
        <v>0</v>
      </c>
      <c r="F446" s="0" t="n">
        <f aca="false">-1+C446*0.125</f>
        <v>1</v>
      </c>
      <c r="G446" s="0" t="n">
        <f aca="false">1</f>
        <v>1</v>
      </c>
      <c r="H446" s="0" t="n">
        <f aca="false">D446</f>
        <v>-0.875</v>
      </c>
      <c r="I446" s="0" t="n">
        <f aca="false">E446</f>
        <v>0</v>
      </c>
      <c r="J446" s="0" t="n">
        <f aca="false">F446</f>
        <v>1</v>
      </c>
      <c r="K446" s="0" t="n">
        <f aca="false">D446*E446</f>
        <v>-0</v>
      </c>
      <c r="L446" s="0" t="n">
        <f aca="false">D446*F446</f>
        <v>-0.875</v>
      </c>
      <c r="M446" s="0" t="n">
        <f aca="false">E446*F446</f>
        <v>0</v>
      </c>
      <c r="N446" s="0" t="n">
        <f aca="false">D446*D446</f>
        <v>0.765625</v>
      </c>
      <c r="O446" s="0" t="n">
        <f aca="false">E446*E446</f>
        <v>0</v>
      </c>
      <c r="P446" s="0" t="n">
        <f aca="false">F446*F446</f>
        <v>1</v>
      </c>
      <c r="Q446" s="0" t="n">
        <f aca="false">SUMPRODUCT(G446:P446,_XtX!$B$71:$K$71)</f>
        <v>44.5257244318182</v>
      </c>
      <c r="R446" s="0" t="n">
        <f aca="false">SUMPRODUCT(MMULT(G446:P446,_XtX!$B$58:$K$67),G446:P446)</f>
        <v>0.597922585227273</v>
      </c>
      <c r="S446" s="0" t="n">
        <f aca="false">04_回帰ANOVA!$K$19*04_回帰ANOVA!$K$14*SQRT(1+R446)</f>
        <v>1.17528854591003</v>
      </c>
      <c r="T446" s="0" t="n">
        <f aca="false">Q446-S446</f>
        <v>43.3504358859082</v>
      </c>
      <c r="U446" s="0" t="n">
        <f aca="false">Q446+S446</f>
        <v>45.7010129777282</v>
      </c>
      <c r="V446" s="54" t="b">
        <f aca="false">AND(D446&gt;=01_因子設定!$L$5-0.000000001,D446&lt;=01_因子設定!$M$5+0.000000001,E446&gt;=01_因子設定!$L$6-0.000000001,E446&lt;=01_因子設定!$M$6+0.000000001,F446&gt;=01_因子設定!$L$7-0.000000001,F446&lt;=01_因子設定!$M$7+0.000000001,IF(01_因子設定!$B$20="Box-Behnken",D446^2+E446^2+F446^2&lt;=2+0.000000001,TRUE()))</f>
        <v>1</v>
      </c>
      <c r="W446" s="55" t="n">
        <f aca="false">IF(V446,IF(01_因子設定!$B$13="最大化",T446-01_因子設定!$B$14,IF(01_因子設定!$B$13="最小化",01_因子設定!$B$15-U446,MIN(T446-01_因子設定!$B$14,01_因子設定!$B$15-U446))),-1E+030)</f>
        <v>-5.14956411409184</v>
      </c>
      <c r="X446" s="55" t="n">
        <f aca="false">IF(V446,IF(01_因子設定!$B$13="最大化",Q446,IF(01_因子設定!$B$13="最小化",-Q446,-ABS(Q446-01_因子設定!$B$16))),-1E+030)</f>
        <v>44.5257244318182</v>
      </c>
      <c r="Y446" s="55" t="n">
        <f aca="false">W446+ROW()*0.000000001</f>
        <v>-5.14956366809184</v>
      </c>
      <c r="Z446" s="55" t="n">
        <f aca="false">X446+ROW()*0.000000001</f>
        <v>44.5257248778182</v>
      </c>
    </row>
    <row r="447" customFormat="false" ht="15" hidden="false" customHeight="false" outlineLevel="0" collapsed="false">
      <c r="A447" s="0" t="n">
        <v>1</v>
      </c>
      <c r="B447" s="0" t="n">
        <v>9</v>
      </c>
      <c r="C447" s="0" t="n">
        <v>0</v>
      </c>
      <c r="D447" s="0" t="n">
        <f aca="false">-1+A447*0.125</f>
        <v>-0.875</v>
      </c>
      <c r="E447" s="0" t="n">
        <f aca="false">-1+B447*0.125</f>
        <v>0.125</v>
      </c>
      <c r="F447" s="0" t="n">
        <f aca="false">-1+C447*0.125</f>
        <v>-1</v>
      </c>
      <c r="G447" s="0" t="n">
        <f aca="false">1</f>
        <v>1</v>
      </c>
      <c r="H447" s="0" t="n">
        <f aca="false">D447</f>
        <v>-0.875</v>
      </c>
      <c r="I447" s="0" t="n">
        <f aca="false">E447</f>
        <v>0.125</v>
      </c>
      <c r="J447" s="0" t="n">
        <f aca="false">F447</f>
        <v>-1</v>
      </c>
      <c r="K447" s="0" t="n">
        <f aca="false">D447*E447</f>
        <v>-0.109375</v>
      </c>
      <c r="L447" s="0" t="n">
        <f aca="false">D447*F447</f>
        <v>0.875</v>
      </c>
      <c r="M447" s="0" t="n">
        <f aca="false">E447*F447</f>
        <v>-0.125</v>
      </c>
      <c r="N447" s="0" t="n">
        <f aca="false">D447*D447</f>
        <v>0.765625</v>
      </c>
      <c r="O447" s="0" t="n">
        <f aca="false">E447*E447</f>
        <v>0.015625</v>
      </c>
      <c r="P447" s="0" t="n">
        <f aca="false">F447*F447</f>
        <v>1</v>
      </c>
      <c r="Q447" s="0" t="n">
        <f aca="false">SUMPRODUCT(G447:P447,_XtX!$B$71:$K$71)</f>
        <v>41.5400639204546</v>
      </c>
      <c r="R447" s="0" t="n">
        <f aca="false">SUMPRODUCT(MMULT(G447:P447,_XtX!$B$58:$K$67),G447:P447)</f>
        <v>0.59407792524858</v>
      </c>
      <c r="S447" s="0" t="n">
        <f aca="false">04_回帰ANOVA!$K$19*04_回帰ANOVA!$K$14*SQRT(1+R447)</f>
        <v>1.17387380087722</v>
      </c>
      <c r="T447" s="0" t="n">
        <f aca="false">Q447-S447</f>
        <v>40.3661901195773</v>
      </c>
      <c r="U447" s="0" t="n">
        <f aca="false">Q447+S447</f>
        <v>42.7139377213318</v>
      </c>
      <c r="V447" s="54" t="b">
        <f aca="false">AND(D447&gt;=01_因子設定!$L$5-0.000000001,D447&lt;=01_因子設定!$M$5+0.000000001,E447&gt;=01_因子設定!$L$6-0.000000001,E447&lt;=01_因子設定!$M$6+0.000000001,F447&gt;=01_因子設定!$L$7-0.000000001,F447&lt;=01_因子設定!$M$7+0.000000001,IF(01_因子設定!$B$20="Box-Behnken",D447^2+E447^2+F447^2&lt;=2+0.000000001,TRUE()))</f>
        <v>1</v>
      </c>
      <c r="W447" s="55" t="n">
        <f aca="false">IF(V447,IF(01_因子設定!$B$13="最大化",T447-01_因子設定!$B$14,IF(01_因子設定!$B$13="最小化",01_因子設定!$B$15-U447,MIN(T447-01_因子設定!$B$14,01_因子設定!$B$15-U447))),-1E+030)</f>
        <v>-8.13380988042266</v>
      </c>
      <c r="X447" s="55" t="n">
        <f aca="false">IF(V447,IF(01_因子設定!$B$13="最大化",Q447,IF(01_因子設定!$B$13="最小化",-Q447,-ABS(Q447-01_因子設定!$B$16))),-1E+030)</f>
        <v>41.5400639204546</v>
      </c>
      <c r="Y447" s="55" t="n">
        <f aca="false">W447+ROW()*0.000000001</f>
        <v>-8.13380943342266</v>
      </c>
      <c r="Z447" s="55" t="n">
        <f aca="false">X447+ROW()*0.000000001</f>
        <v>41.5400643674546</v>
      </c>
    </row>
    <row r="448" customFormat="false" ht="15" hidden="false" customHeight="false" outlineLevel="0" collapsed="false">
      <c r="A448" s="0" t="n">
        <v>1</v>
      </c>
      <c r="B448" s="0" t="n">
        <v>9</v>
      </c>
      <c r="C448" s="0" t="n">
        <v>1</v>
      </c>
      <c r="D448" s="0" t="n">
        <f aca="false">-1+A448*0.125</f>
        <v>-0.875</v>
      </c>
      <c r="E448" s="0" t="n">
        <f aca="false">-1+B448*0.125</f>
        <v>0.125</v>
      </c>
      <c r="F448" s="0" t="n">
        <f aca="false">-1+C448*0.125</f>
        <v>-0.875</v>
      </c>
      <c r="G448" s="0" t="n">
        <f aca="false">1</f>
        <v>1</v>
      </c>
      <c r="H448" s="0" t="n">
        <f aca="false">D448</f>
        <v>-0.875</v>
      </c>
      <c r="I448" s="0" t="n">
        <f aca="false">E448</f>
        <v>0.125</v>
      </c>
      <c r="J448" s="0" t="n">
        <f aca="false">F448</f>
        <v>-0.875</v>
      </c>
      <c r="K448" s="0" t="n">
        <f aca="false">D448*E448</f>
        <v>-0.109375</v>
      </c>
      <c r="L448" s="0" t="n">
        <f aca="false">D448*F448</f>
        <v>0.765625</v>
      </c>
      <c r="M448" s="0" t="n">
        <f aca="false">E448*F448</f>
        <v>-0.109375</v>
      </c>
      <c r="N448" s="0" t="n">
        <f aca="false">D448*D448</f>
        <v>0.765625</v>
      </c>
      <c r="O448" s="0" t="n">
        <f aca="false">E448*E448</f>
        <v>0.015625</v>
      </c>
      <c r="P448" s="0" t="n">
        <f aca="false">F448*F448</f>
        <v>0.765625</v>
      </c>
      <c r="Q448" s="0" t="n">
        <f aca="false">SUMPRODUCT(G448:P448,_XtX!$B$71:$K$71)</f>
        <v>42.0119247159091</v>
      </c>
      <c r="R448" s="0" t="n">
        <f aca="false">SUMPRODUCT(MMULT(G448:P448,_XtX!$B$58:$K$67),G448:P448)</f>
        <v>0.468517511541193</v>
      </c>
      <c r="S448" s="0" t="n">
        <f aca="false">04_回帰ANOVA!$K$19*04_回帰ANOVA!$K$14*SQRT(1+R448)</f>
        <v>1.12669456902645</v>
      </c>
      <c r="T448" s="0" t="n">
        <f aca="false">Q448-S448</f>
        <v>40.8852301468827</v>
      </c>
      <c r="U448" s="0" t="n">
        <f aca="false">Q448+S448</f>
        <v>43.1386192849355</v>
      </c>
      <c r="V448" s="54" t="b">
        <f aca="false">AND(D448&gt;=01_因子設定!$L$5-0.000000001,D448&lt;=01_因子設定!$M$5+0.000000001,E448&gt;=01_因子設定!$L$6-0.000000001,E448&lt;=01_因子設定!$M$6+0.000000001,F448&gt;=01_因子設定!$L$7-0.000000001,F448&lt;=01_因子設定!$M$7+0.000000001,IF(01_因子設定!$B$20="Box-Behnken",D448^2+E448^2+F448^2&lt;=2+0.000000001,TRUE()))</f>
        <v>1</v>
      </c>
      <c r="W448" s="55" t="n">
        <f aca="false">IF(V448,IF(01_因子設定!$B$13="最大化",T448-01_因子設定!$B$14,IF(01_因子設定!$B$13="最小化",01_因子設定!$B$15-U448,MIN(T448-01_因子設定!$B$14,01_因子設定!$B$15-U448))),-1E+030)</f>
        <v>-7.61476985311735</v>
      </c>
      <c r="X448" s="55" t="n">
        <f aca="false">IF(V448,IF(01_因子設定!$B$13="最大化",Q448,IF(01_因子設定!$B$13="最小化",-Q448,-ABS(Q448-01_因子設定!$B$16))),-1E+030)</f>
        <v>42.0119247159091</v>
      </c>
      <c r="Y448" s="55" t="n">
        <f aca="false">W448+ROW()*0.000000001</f>
        <v>-7.61476940511735</v>
      </c>
      <c r="Z448" s="55" t="n">
        <f aca="false">X448+ROW()*0.000000001</f>
        <v>42.0119251639091</v>
      </c>
    </row>
    <row r="449" customFormat="false" ht="15" hidden="false" customHeight="false" outlineLevel="0" collapsed="false">
      <c r="A449" s="0" t="n">
        <v>1</v>
      </c>
      <c r="B449" s="0" t="n">
        <v>9</v>
      </c>
      <c r="C449" s="0" t="n">
        <v>2</v>
      </c>
      <c r="D449" s="0" t="n">
        <f aca="false">-1+A449*0.125</f>
        <v>-0.875</v>
      </c>
      <c r="E449" s="0" t="n">
        <f aca="false">-1+B449*0.125</f>
        <v>0.125</v>
      </c>
      <c r="F449" s="0" t="n">
        <f aca="false">-1+C449*0.125</f>
        <v>-0.75</v>
      </c>
      <c r="G449" s="0" t="n">
        <f aca="false">1</f>
        <v>1</v>
      </c>
      <c r="H449" s="0" t="n">
        <f aca="false">D449</f>
        <v>-0.875</v>
      </c>
      <c r="I449" s="0" t="n">
        <f aca="false">E449</f>
        <v>0.125</v>
      </c>
      <c r="J449" s="0" t="n">
        <f aca="false">F449</f>
        <v>-0.75</v>
      </c>
      <c r="K449" s="0" t="n">
        <f aca="false">D449*E449</f>
        <v>-0.109375</v>
      </c>
      <c r="L449" s="0" t="n">
        <f aca="false">D449*F449</f>
        <v>0.65625</v>
      </c>
      <c r="M449" s="0" t="n">
        <f aca="false">E449*F449</f>
        <v>-0.09375</v>
      </c>
      <c r="N449" s="0" t="n">
        <f aca="false">D449*D449</f>
        <v>0.765625</v>
      </c>
      <c r="O449" s="0" t="n">
        <f aca="false">E449*E449</f>
        <v>0.015625</v>
      </c>
      <c r="P449" s="0" t="n">
        <f aca="false">F449*F449</f>
        <v>0.5625</v>
      </c>
      <c r="Q449" s="0" t="n">
        <f aca="false">SUMPRODUCT(G449:P449,_XtX!$B$71:$K$71)</f>
        <v>42.4469957386364</v>
      </c>
      <c r="R449" s="0" t="n">
        <f aca="false">SUMPRODUCT(MMULT(G449:P449,_XtX!$B$58:$K$67),G449:P449)</f>
        <v>0.392013827237216</v>
      </c>
      <c r="S449" s="0" t="n">
        <f aca="false">04_回帰ANOVA!$K$19*04_回帰ANOVA!$K$14*SQRT(1+R449)</f>
        <v>1.09695398627251</v>
      </c>
      <c r="T449" s="0" t="n">
        <f aca="false">Q449-S449</f>
        <v>41.3500417523639</v>
      </c>
      <c r="U449" s="0" t="n">
        <f aca="false">Q449+S449</f>
        <v>43.5439497249089</v>
      </c>
      <c r="V449" s="54" t="b">
        <f aca="false">AND(D449&gt;=01_因子設定!$L$5-0.000000001,D449&lt;=01_因子設定!$M$5+0.000000001,E449&gt;=01_因子設定!$L$6-0.000000001,E449&lt;=01_因子設定!$M$6+0.000000001,F449&gt;=01_因子設定!$L$7-0.000000001,F449&lt;=01_因子設定!$M$7+0.000000001,IF(01_因子設定!$B$20="Box-Behnken",D449^2+E449^2+F449^2&lt;=2+0.000000001,TRUE()))</f>
        <v>1</v>
      </c>
      <c r="W449" s="55" t="n">
        <f aca="false">IF(V449,IF(01_因子設定!$B$13="最大化",T449-01_因子設定!$B$14,IF(01_因子設定!$B$13="最小化",01_因子設定!$B$15-U449,MIN(T449-01_因子設定!$B$14,01_因子設定!$B$15-U449))),-1E+030)</f>
        <v>-7.14995824763614</v>
      </c>
      <c r="X449" s="55" t="n">
        <f aca="false">IF(V449,IF(01_因子設定!$B$13="最大化",Q449,IF(01_因子設定!$B$13="最小化",-Q449,-ABS(Q449-01_因子設定!$B$16))),-1E+030)</f>
        <v>42.4469957386364</v>
      </c>
      <c r="Y449" s="55" t="n">
        <f aca="false">W449+ROW()*0.000000001</f>
        <v>-7.14995779863614</v>
      </c>
      <c r="Z449" s="55" t="n">
        <f aca="false">X449+ROW()*0.000000001</f>
        <v>42.4469961876364</v>
      </c>
    </row>
    <row r="450" customFormat="false" ht="15" hidden="false" customHeight="false" outlineLevel="0" collapsed="false">
      <c r="A450" s="0" t="n">
        <v>1</v>
      </c>
      <c r="B450" s="0" t="n">
        <v>9</v>
      </c>
      <c r="C450" s="0" t="n">
        <v>3</v>
      </c>
      <c r="D450" s="0" t="n">
        <f aca="false">-1+A450*0.125</f>
        <v>-0.875</v>
      </c>
      <c r="E450" s="0" t="n">
        <f aca="false">-1+B450*0.125</f>
        <v>0.125</v>
      </c>
      <c r="F450" s="0" t="n">
        <f aca="false">-1+C450*0.125</f>
        <v>-0.625</v>
      </c>
      <c r="G450" s="0" t="n">
        <f aca="false">1</f>
        <v>1</v>
      </c>
      <c r="H450" s="0" t="n">
        <f aca="false">D450</f>
        <v>-0.875</v>
      </c>
      <c r="I450" s="0" t="n">
        <f aca="false">E450</f>
        <v>0.125</v>
      </c>
      <c r="J450" s="0" t="n">
        <f aca="false">F450</f>
        <v>-0.625</v>
      </c>
      <c r="K450" s="0" t="n">
        <f aca="false">D450*E450</f>
        <v>-0.109375</v>
      </c>
      <c r="L450" s="0" t="n">
        <f aca="false">D450*F450</f>
        <v>0.546875</v>
      </c>
      <c r="M450" s="0" t="n">
        <f aca="false">E450*F450</f>
        <v>-0.078125</v>
      </c>
      <c r="N450" s="0" t="n">
        <f aca="false">D450*D450</f>
        <v>0.765625</v>
      </c>
      <c r="O450" s="0" t="n">
        <f aca="false">E450*E450</f>
        <v>0.015625</v>
      </c>
      <c r="P450" s="0" t="n">
        <f aca="false">F450*F450</f>
        <v>0.390625</v>
      </c>
      <c r="Q450" s="0" t="n">
        <f aca="false">SUMPRODUCT(G450:P450,_XtX!$B$71:$K$71)</f>
        <v>42.8452769886364</v>
      </c>
      <c r="R450" s="0" t="n">
        <f aca="false">SUMPRODUCT(MMULT(G450:P450,_XtX!$B$58:$K$67),G450:P450)</f>
        <v>0.350717440518466</v>
      </c>
      <c r="S450" s="0" t="n">
        <f aca="false">04_回帰ANOVA!$K$19*04_回帰ANOVA!$K$14*SQRT(1+R450)</f>
        <v>1.08056000737898</v>
      </c>
      <c r="T450" s="0" t="n">
        <f aca="false">Q450-S450</f>
        <v>41.7647169812574</v>
      </c>
      <c r="U450" s="0" t="n">
        <f aca="false">Q450+S450</f>
        <v>43.9258369960153</v>
      </c>
      <c r="V450" s="54" t="b">
        <f aca="false">AND(D450&gt;=01_因子設定!$L$5-0.000000001,D450&lt;=01_因子設定!$M$5+0.000000001,E450&gt;=01_因子設定!$L$6-0.000000001,E450&lt;=01_因子設定!$M$6+0.000000001,F450&gt;=01_因子設定!$L$7-0.000000001,F450&lt;=01_因子設定!$M$7+0.000000001,IF(01_因子設定!$B$20="Box-Behnken",D450^2+E450^2+F450^2&lt;=2+0.000000001,TRUE()))</f>
        <v>1</v>
      </c>
      <c r="W450" s="55" t="n">
        <f aca="false">IF(V450,IF(01_因子設定!$B$13="最大化",T450-01_因子設定!$B$14,IF(01_因子設定!$B$13="最小化",01_因子設定!$B$15-U450,MIN(T450-01_因子設定!$B$14,01_因子設定!$B$15-U450))),-1E+030)</f>
        <v>-6.73528301874261</v>
      </c>
      <c r="X450" s="55" t="n">
        <f aca="false">IF(V450,IF(01_因子設定!$B$13="最大化",Q450,IF(01_因子設定!$B$13="最小化",-Q450,-ABS(Q450-01_因子設定!$B$16))),-1E+030)</f>
        <v>42.8452769886364</v>
      </c>
      <c r="Y450" s="55" t="n">
        <f aca="false">W450+ROW()*0.000000001</f>
        <v>-6.73528256874261</v>
      </c>
      <c r="Z450" s="55" t="n">
        <f aca="false">X450+ROW()*0.000000001</f>
        <v>42.8452774386364</v>
      </c>
    </row>
    <row r="451" customFormat="false" ht="15" hidden="false" customHeight="false" outlineLevel="0" collapsed="false">
      <c r="A451" s="0" t="n">
        <v>1</v>
      </c>
      <c r="B451" s="0" t="n">
        <v>9</v>
      </c>
      <c r="C451" s="0" t="n">
        <v>4</v>
      </c>
      <c r="D451" s="0" t="n">
        <f aca="false">-1+A451*0.125</f>
        <v>-0.875</v>
      </c>
      <c r="E451" s="0" t="n">
        <f aca="false">-1+B451*0.125</f>
        <v>0.125</v>
      </c>
      <c r="F451" s="0" t="n">
        <f aca="false">-1+C451*0.125</f>
        <v>-0.5</v>
      </c>
      <c r="G451" s="0" t="n">
        <f aca="false">1</f>
        <v>1</v>
      </c>
      <c r="H451" s="0" t="n">
        <f aca="false">D451</f>
        <v>-0.875</v>
      </c>
      <c r="I451" s="0" t="n">
        <f aca="false">E451</f>
        <v>0.125</v>
      </c>
      <c r="J451" s="0" t="n">
        <f aca="false">F451</f>
        <v>-0.5</v>
      </c>
      <c r="K451" s="0" t="n">
        <f aca="false">D451*E451</f>
        <v>-0.109375</v>
      </c>
      <c r="L451" s="0" t="n">
        <f aca="false">D451*F451</f>
        <v>0.4375</v>
      </c>
      <c r="M451" s="0" t="n">
        <f aca="false">E451*F451</f>
        <v>-0.0625</v>
      </c>
      <c r="N451" s="0" t="n">
        <f aca="false">D451*D451</f>
        <v>0.765625</v>
      </c>
      <c r="O451" s="0" t="n">
        <f aca="false">E451*E451</f>
        <v>0.015625</v>
      </c>
      <c r="P451" s="0" t="n">
        <f aca="false">F451*F451</f>
        <v>0.25</v>
      </c>
      <c r="Q451" s="0" t="n">
        <f aca="false">SUMPRODUCT(G451:P451,_XtX!$B$71:$K$71)</f>
        <v>43.2067684659091</v>
      </c>
      <c r="R451" s="0" t="n">
        <f aca="false">SUMPRODUCT(MMULT(G451:P451,_XtX!$B$58:$K$67),G451:P451)</f>
        <v>0.332909601384943</v>
      </c>
      <c r="S451" s="0" t="n">
        <f aca="false">04_回帰ANOVA!$K$19*04_回帰ANOVA!$K$14*SQRT(1+R451)</f>
        <v>1.07341333007404</v>
      </c>
      <c r="T451" s="0" t="n">
        <f aca="false">Q451-S451</f>
        <v>42.133355135835</v>
      </c>
      <c r="U451" s="0" t="n">
        <f aca="false">Q451+S451</f>
        <v>44.2801817959831</v>
      </c>
      <c r="V451" s="54" t="b">
        <f aca="false">AND(D451&gt;=01_因子設定!$L$5-0.000000001,D451&lt;=01_因子設定!$M$5+0.000000001,E451&gt;=01_因子設定!$L$6-0.000000001,E451&lt;=01_因子設定!$M$6+0.000000001,F451&gt;=01_因子設定!$L$7-0.000000001,F451&lt;=01_因子設定!$M$7+0.000000001,IF(01_因子設定!$B$20="Box-Behnken",D451^2+E451^2+F451^2&lt;=2+0.000000001,TRUE()))</f>
        <v>1</v>
      </c>
      <c r="W451" s="55" t="n">
        <f aca="false">IF(V451,IF(01_因子設定!$B$13="最大化",T451-01_因子設定!$B$14,IF(01_因子設定!$B$13="最小化",01_因子設定!$B$15-U451,MIN(T451-01_因子設定!$B$14,01_因子設定!$B$15-U451))),-1E+030)</f>
        <v>-6.36664486416495</v>
      </c>
      <c r="X451" s="55" t="n">
        <f aca="false">IF(V451,IF(01_因子設定!$B$13="最大化",Q451,IF(01_因子設定!$B$13="最小化",-Q451,-ABS(Q451-01_因子設定!$B$16))),-1E+030)</f>
        <v>43.2067684659091</v>
      </c>
      <c r="Y451" s="55" t="n">
        <f aca="false">W451+ROW()*0.000000001</f>
        <v>-6.36664441316495</v>
      </c>
      <c r="Z451" s="55" t="n">
        <f aca="false">X451+ROW()*0.000000001</f>
        <v>43.2067689169091</v>
      </c>
    </row>
    <row r="452" customFormat="false" ht="15" hidden="false" customHeight="false" outlineLevel="0" collapsed="false">
      <c r="A452" s="0" t="n">
        <v>1</v>
      </c>
      <c r="B452" s="0" t="n">
        <v>9</v>
      </c>
      <c r="C452" s="0" t="n">
        <v>5</v>
      </c>
      <c r="D452" s="0" t="n">
        <f aca="false">-1+A452*0.125</f>
        <v>-0.875</v>
      </c>
      <c r="E452" s="0" t="n">
        <f aca="false">-1+B452*0.125</f>
        <v>0.125</v>
      </c>
      <c r="F452" s="0" t="n">
        <f aca="false">-1+C452*0.125</f>
        <v>-0.375</v>
      </c>
      <c r="G452" s="0" t="n">
        <f aca="false">1</f>
        <v>1</v>
      </c>
      <c r="H452" s="0" t="n">
        <f aca="false">D452</f>
        <v>-0.875</v>
      </c>
      <c r="I452" s="0" t="n">
        <f aca="false">E452</f>
        <v>0.125</v>
      </c>
      <c r="J452" s="0" t="n">
        <f aca="false">F452</f>
        <v>-0.375</v>
      </c>
      <c r="K452" s="0" t="n">
        <f aca="false">D452*E452</f>
        <v>-0.109375</v>
      </c>
      <c r="L452" s="0" t="n">
        <f aca="false">D452*F452</f>
        <v>0.328125</v>
      </c>
      <c r="M452" s="0" t="n">
        <f aca="false">E452*F452</f>
        <v>-0.046875</v>
      </c>
      <c r="N452" s="0" t="n">
        <f aca="false">D452*D452</f>
        <v>0.765625</v>
      </c>
      <c r="O452" s="0" t="n">
        <f aca="false">E452*E452</f>
        <v>0.015625</v>
      </c>
      <c r="P452" s="0" t="n">
        <f aca="false">F452*F452</f>
        <v>0.140625</v>
      </c>
      <c r="Q452" s="0" t="n">
        <f aca="false">SUMPRODUCT(G452:P452,_XtX!$B$71:$K$71)</f>
        <v>43.5314701704545</v>
      </c>
      <c r="R452" s="0" t="n">
        <f aca="false">SUMPRODUCT(MMULT(G452:P452,_XtX!$B$58:$K$67),G452:P452)</f>
        <v>0.32900224165483</v>
      </c>
      <c r="S452" s="0" t="n">
        <f aca="false">04_回帰ANOVA!$K$19*04_回帰ANOVA!$K$14*SQRT(1+R452)</f>
        <v>1.07183884583628</v>
      </c>
      <c r="T452" s="0" t="n">
        <f aca="false">Q452-S452</f>
        <v>42.4596313246183</v>
      </c>
      <c r="U452" s="0" t="n">
        <f aca="false">Q452+S452</f>
        <v>44.6033090162908</v>
      </c>
      <c r="V452" s="54" t="b">
        <f aca="false">AND(D452&gt;=01_因子設定!$L$5-0.000000001,D452&lt;=01_因子設定!$M$5+0.000000001,E452&gt;=01_因子設定!$L$6-0.000000001,E452&lt;=01_因子設定!$M$6+0.000000001,F452&gt;=01_因子設定!$L$7-0.000000001,F452&lt;=01_因子設定!$M$7+0.000000001,IF(01_因子設定!$B$20="Box-Behnken",D452^2+E452^2+F452^2&lt;=2+0.000000001,TRUE()))</f>
        <v>1</v>
      </c>
      <c r="W452" s="55" t="n">
        <f aca="false">IF(V452,IF(01_因子設定!$B$13="最大化",T452-01_因子設定!$B$14,IF(01_因子設定!$B$13="最小化",01_因子設定!$B$15-U452,MIN(T452-01_因子設定!$B$14,01_因子設定!$B$15-U452))),-1E+030)</f>
        <v>-6.04036867538174</v>
      </c>
      <c r="X452" s="55" t="n">
        <f aca="false">IF(V452,IF(01_因子設定!$B$13="最大化",Q452,IF(01_因子設定!$B$13="最小化",-Q452,-ABS(Q452-01_因子設定!$B$16))),-1E+030)</f>
        <v>43.5314701704545</v>
      </c>
      <c r="Y452" s="55" t="n">
        <f aca="false">W452+ROW()*0.000000001</f>
        <v>-6.04036822338174</v>
      </c>
      <c r="Z452" s="55" t="n">
        <f aca="false">X452+ROW()*0.000000001</f>
        <v>43.5314706224545</v>
      </c>
    </row>
    <row r="453" customFormat="false" ht="15" hidden="false" customHeight="false" outlineLevel="0" collapsed="false">
      <c r="A453" s="0" t="n">
        <v>1</v>
      </c>
      <c r="B453" s="0" t="n">
        <v>9</v>
      </c>
      <c r="C453" s="0" t="n">
        <v>6</v>
      </c>
      <c r="D453" s="0" t="n">
        <f aca="false">-1+A453*0.125</f>
        <v>-0.875</v>
      </c>
      <c r="E453" s="0" t="n">
        <f aca="false">-1+B453*0.125</f>
        <v>0.125</v>
      </c>
      <c r="F453" s="0" t="n">
        <f aca="false">-1+C453*0.125</f>
        <v>-0.25</v>
      </c>
      <c r="G453" s="0" t="n">
        <f aca="false">1</f>
        <v>1</v>
      </c>
      <c r="H453" s="0" t="n">
        <f aca="false">D453</f>
        <v>-0.875</v>
      </c>
      <c r="I453" s="0" t="n">
        <f aca="false">E453</f>
        <v>0.125</v>
      </c>
      <c r="J453" s="0" t="n">
        <f aca="false">F453</f>
        <v>-0.25</v>
      </c>
      <c r="K453" s="0" t="n">
        <f aca="false">D453*E453</f>
        <v>-0.109375</v>
      </c>
      <c r="L453" s="0" t="n">
        <f aca="false">D453*F453</f>
        <v>0.21875</v>
      </c>
      <c r="M453" s="0" t="n">
        <f aca="false">E453*F453</f>
        <v>-0.03125</v>
      </c>
      <c r="N453" s="0" t="n">
        <f aca="false">D453*D453</f>
        <v>0.765625</v>
      </c>
      <c r="O453" s="0" t="n">
        <f aca="false">E453*E453</f>
        <v>0.015625</v>
      </c>
      <c r="P453" s="0" t="n">
        <f aca="false">F453*F453</f>
        <v>0.0625</v>
      </c>
      <c r="Q453" s="0" t="n">
        <f aca="false">SUMPRODUCT(G453:P453,_XtX!$B$71:$K$71)</f>
        <v>43.8193821022727</v>
      </c>
      <c r="R453" s="0" t="n">
        <f aca="false">SUMPRODUCT(MMULT(G453:P453,_XtX!$B$58:$K$67),G453:P453)</f>
        <v>0.331537974964489</v>
      </c>
      <c r="S453" s="0" t="n">
        <f aca="false">04_回帰ANOVA!$K$19*04_回帰ANOVA!$K$14*SQRT(1+R453)</f>
        <v>1.07286089161565</v>
      </c>
      <c r="T453" s="0" t="n">
        <f aca="false">Q453-S453</f>
        <v>42.7465212106571</v>
      </c>
      <c r="U453" s="0" t="n">
        <f aca="false">Q453+S453</f>
        <v>44.8922429938884</v>
      </c>
      <c r="V453" s="54" t="b">
        <f aca="false">AND(D453&gt;=01_因子設定!$L$5-0.000000001,D453&lt;=01_因子設定!$M$5+0.000000001,E453&gt;=01_因子設定!$L$6-0.000000001,E453&lt;=01_因子設定!$M$6+0.000000001,F453&gt;=01_因子設定!$L$7-0.000000001,F453&lt;=01_因子設定!$M$7+0.000000001,IF(01_因子設定!$B$20="Box-Behnken",D453^2+E453^2+F453^2&lt;=2+0.000000001,TRUE()))</f>
        <v>1</v>
      </c>
      <c r="W453" s="55" t="n">
        <f aca="false">IF(V453,IF(01_因子設定!$B$13="最大化",T453-01_因子設定!$B$14,IF(01_因子設定!$B$13="最小化",01_因子設定!$B$15-U453,MIN(T453-01_因子設定!$B$14,01_因子設定!$B$15-U453))),-1E+030)</f>
        <v>-5.75347878934294</v>
      </c>
      <c r="X453" s="55" t="n">
        <f aca="false">IF(V453,IF(01_因子設定!$B$13="最大化",Q453,IF(01_因子設定!$B$13="最小化",-Q453,-ABS(Q453-01_因子設定!$B$16))),-1E+030)</f>
        <v>43.8193821022727</v>
      </c>
      <c r="Y453" s="55" t="n">
        <f aca="false">W453+ROW()*0.000000001</f>
        <v>-5.75347833634294</v>
      </c>
      <c r="Z453" s="55" t="n">
        <f aca="false">X453+ROW()*0.000000001</f>
        <v>43.8193825552727</v>
      </c>
    </row>
    <row r="454" customFormat="false" ht="15" hidden="false" customHeight="false" outlineLevel="0" collapsed="false">
      <c r="A454" s="0" t="n">
        <v>1</v>
      </c>
      <c r="B454" s="0" t="n">
        <v>9</v>
      </c>
      <c r="C454" s="0" t="n">
        <v>7</v>
      </c>
      <c r="D454" s="0" t="n">
        <f aca="false">-1+A454*0.125</f>
        <v>-0.875</v>
      </c>
      <c r="E454" s="0" t="n">
        <f aca="false">-1+B454*0.125</f>
        <v>0.125</v>
      </c>
      <c r="F454" s="0" t="n">
        <f aca="false">-1+C454*0.125</f>
        <v>-0.125</v>
      </c>
      <c r="G454" s="0" t="n">
        <f aca="false">1</f>
        <v>1</v>
      </c>
      <c r="H454" s="0" t="n">
        <f aca="false">D454</f>
        <v>-0.875</v>
      </c>
      <c r="I454" s="0" t="n">
        <f aca="false">E454</f>
        <v>0.125</v>
      </c>
      <c r="J454" s="0" t="n">
        <f aca="false">F454</f>
        <v>-0.125</v>
      </c>
      <c r="K454" s="0" t="n">
        <f aca="false">D454*E454</f>
        <v>-0.109375</v>
      </c>
      <c r="L454" s="0" t="n">
        <f aca="false">D454*F454</f>
        <v>0.109375</v>
      </c>
      <c r="M454" s="0" t="n">
        <f aca="false">E454*F454</f>
        <v>-0.015625</v>
      </c>
      <c r="N454" s="0" t="n">
        <f aca="false">D454*D454</f>
        <v>0.765625</v>
      </c>
      <c r="O454" s="0" t="n">
        <f aca="false">E454*E454</f>
        <v>0.015625</v>
      </c>
      <c r="P454" s="0" t="n">
        <f aca="false">F454*F454</f>
        <v>0.015625</v>
      </c>
      <c r="Q454" s="0" t="n">
        <f aca="false">SUMPRODUCT(G454:P454,_XtX!$B$71:$K$71)</f>
        <v>44.0705042613636</v>
      </c>
      <c r="R454" s="0" t="n">
        <f aca="false">SUMPRODUCT(MMULT(G454:P454,_XtX!$B$58:$K$67),G454:P454)</f>
        <v>0.335190096768466</v>
      </c>
      <c r="S454" s="0" t="n">
        <f aca="false">04_回帰ANOVA!$K$19*04_回帰ANOVA!$K$14*SQRT(1+R454)</f>
        <v>1.07433119726947</v>
      </c>
      <c r="T454" s="0" t="n">
        <f aca="false">Q454-S454</f>
        <v>42.9961730640942</v>
      </c>
      <c r="U454" s="0" t="n">
        <f aca="false">Q454+S454</f>
        <v>45.1448354586331</v>
      </c>
      <c r="V454" s="54" t="b">
        <f aca="false">AND(D454&gt;=01_因子設定!$L$5-0.000000001,D454&lt;=01_因子設定!$M$5+0.000000001,E454&gt;=01_因子設定!$L$6-0.000000001,E454&lt;=01_因子設定!$M$6+0.000000001,F454&gt;=01_因子設定!$L$7-0.000000001,F454&lt;=01_因子設定!$M$7+0.000000001,IF(01_因子設定!$B$20="Box-Behnken",D454^2+E454^2+F454^2&lt;=2+0.000000001,TRUE()))</f>
        <v>1</v>
      </c>
      <c r="W454" s="55" t="n">
        <f aca="false">IF(V454,IF(01_因子設定!$B$13="最大化",T454-01_因子設定!$B$14,IF(01_因子設定!$B$13="最小化",01_因子設定!$B$15-U454,MIN(T454-01_因子設定!$B$14,01_因子設定!$B$15-U454))),-1E+030)</f>
        <v>-5.50382693590584</v>
      </c>
      <c r="X454" s="55" t="n">
        <f aca="false">IF(V454,IF(01_因子設定!$B$13="最大化",Q454,IF(01_因子設定!$B$13="最小化",-Q454,-ABS(Q454-01_因子設定!$B$16))),-1E+030)</f>
        <v>44.0705042613636</v>
      </c>
      <c r="Y454" s="55" t="n">
        <f aca="false">W454+ROW()*0.000000001</f>
        <v>-5.50382648190583</v>
      </c>
      <c r="Z454" s="55" t="n">
        <f aca="false">X454+ROW()*0.000000001</f>
        <v>44.0705047153636</v>
      </c>
    </row>
    <row r="455" customFormat="false" ht="15" hidden="false" customHeight="false" outlineLevel="0" collapsed="false">
      <c r="A455" s="0" t="n">
        <v>1</v>
      </c>
      <c r="B455" s="0" t="n">
        <v>9</v>
      </c>
      <c r="C455" s="0" t="n">
        <v>8</v>
      </c>
      <c r="D455" s="0" t="n">
        <f aca="false">-1+A455*0.125</f>
        <v>-0.875</v>
      </c>
      <c r="E455" s="0" t="n">
        <f aca="false">-1+B455*0.125</f>
        <v>0.125</v>
      </c>
      <c r="F455" s="0" t="n">
        <f aca="false">-1+C455*0.125</f>
        <v>0</v>
      </c>
      <c r="G455" s="0" t="n">
        <f aca="false">1</f>
        <v>1</v>
      </c>
      <c r="H455" s="0" t="n">
        <f aca="false">D455</f>
        <v>-0.875</v>
      </c>
      <c r="I455" s="0" t="n">
        <f aca="false">E455</f>
        <v>0.125</v>
      </c>
      <c r="J455" s="0" t="n">
        <f aca="false">F455</f>
        <v>0</v>
      </c>
      <c r="K455" s="0" t="n">
        <f aca="false">D455*E455</f>
        <v>-0.109375</v>
      </c>
      <c r="L455" s="0" t="n">
        <f aca="false">D455*F455</f>
        <v>-0</v>
      </c>
      <c r="M455" s="0" t="n">
        <f aca="false">E455*F455</f>
        <v>0</v>
      </c>
      <c r="N455" s="0" t="n">
        <f aca="false">D455*D455</f>
        <v>0.765625</v>
      </c>
      <c r="O455" s="0" t="n">
        <f aca="false">E455*E455</f>
        <v>0.015625</v>
      </c>
      <c r="P455" s="0" t="n">
        <f aca="false">F455*F455</f>
        <v>0</v>
      </c>
      <c r="Q455" s="0" t="n">
        <f aca="false">SUMPRODUCT(G455:P455,_XtX!$B$71:$K$71)</f>
        <v>44.2848366477273</v>
      </c>
      <c r="R455" s="0" t="n">
        <f aca="false">SUMPRODUCT(MMULT(G455:P455,_XtX!$B$58:$K$67),G455:P455)</f>
        <v>0.336762584339489</v>
      </c>
      <c r="S455" s="0" t="n">
        <f aca="false">04_回帰ANOVA!$K$19*04_回帰ANOVA!$K$14*SQRT(1+R455)</f>
        <v>1.07496364479411</v>
      </c>
      <c r="T455" s="0" t="n">
        <f aca="false">Q455-S455</f>
        <v>43.2098730029332</v>
      </c>
      <c r="U455" s="0" t="n">
        <f aca="false">Q455+S455</f>
        <v>45.3598002925214</v>
      </c>
      <c r="V455" s="54" t="b">
        <f aca="false">AND(D455&gt;=01_因子設定!$L$5-0.000000001,D455&lt;=01_因子設定!$M$5+0.000000001,E455&gt;=01_因子設定!$L$6-0.000000001,E455&lt;=01_因子設定!$M$6+0.000000001,F455&gt;=01_因子設定!$L$7-0.000000001,F455&lt;=01_因子設定!$M$7+0.000000001,IF(01_因子設定!$B$20="Box-Behnken",D455^2+E455^2+F455^2&lt;=2+0.000000001,TRUE()))</f>
        <v>1</v>
      </c>
      <c r="W455" s="55" t="n">
        <f aca="false">IF(V455,IF(01_因子設定!$B$13="最大化",T455-01_因子設定!$B$14,IF(01_因子設定!$B$13="最小化",01_因子設定!$B$15-U455,MIN(T455-01_因子設定!$B$14,01_因子設定!$B$15-U455))),-1E+030)</f>
        <v>-5.29012699706684</v>
      </c>
      <c r="X455" s="55" t="n">
        <f aca="false">IF(V455,IF(01_因子設定!$B$13="最大化",Q455,IF(01_因子設定!$B$13="最小化",-Q455,-ABS(Q455-01_因子設定!$B$16))),-1E+030)</f>
        <v>44.2848366477273</v>
      </c>
      <c r="Y455" s="55" t="n">
        <f aca="false">W455+ROW()*0.000000001</f>
        <v>-5.29012654206684</v>
      </c>
      <c r="Z455" s="55" t="n">
        <f aca="false">X455+ROW()*0.000000001</f>
        <v>44.2848371027273</v>
      </c>
    </row>
    <row r="456" customFormat="false" ht="15" hidden="false" customHeight="false" outlineLevel="0" collapsed="false">
      <c r="A456" s="0" t="n">
        <v>1</v>
      </c>
      <c r="B456" s="0" t="n">
        <v>9</v>
      </c>
      <c r="C456" s="0" t="n">
        <v>9</v>
      </c>
      <c r="D456" s="0" t="n">
        <f aca="false">-1+A456*0.125</f>
        <v>-0.875</v>
      </c>
      <c r="E456" s="0" t="n">
        <f aca="false">-1+B456*0.125</f>
        <v>0.125</v>
      </c>
      <c r="F456" s="0" t="n">
        <f aca="false">-1+C456*0.125</f>
        <v>0.125</v>
      </c>
      <c r="G456" s="0" t="n">
        <f aca="false">1</f>
        <v>1</v>
      </c>
      <c r="H456" s="0" t="n">
        <f aca="false">D456</f>
        <v>-0.875</v>
      </c>
      <c r="I456" s="0" t="n">
        <f aca="false">E456</f>
        <v>0.125</v>
      </c>
      <c r="J456" s="0" t="n">
        <f aca="false">F456</f>
        <v>0.125</v>
      </c>
      <c r="K456" s="0" t="n">
        <f aca="false">D456*E456</f>
        <v>-0.109375</v>
      </c>
      <c r="L456" s="0" t="n">
        <f aca="false">D456*F456</f>
        <v>-0.109375</v>
      </c>
      <c r="M456" s="0" t="n">
        <f aca="false">E456*F456</f>
        <v>0.015625</v>
      </c>
      <c r="N456" s="0" t="n">
        <f aca="false">D456*D456</f>
        <v>0.765625</v>
      </c>
      <c r="O456" s="0" t="n">
        <f aca="false">E456*E456</f>
        <v>0.015625</v>
      </c>
      <c r="P456" s="0" t="n">
        <f aca="false">F456*F456</f>
        <v>0.015625</v>
      </c>
      <c r="Q456" s="0" t="n">
        <f aca="false">SUMPRODUCT(G456:P456,_XtX!$B$71:$K$71)</f>
        <v>44.4623792613636</v>
      </c>
      <c r="R456" s="0" t="n">
        <f aca="false">SUMPRODUCT(MMULT(G456:P456,_XtX!$B$58:$K$67),G456:P456)</f>
        <v>0.335190096768466</v>
      </c>
      <c r="S456" s="0" t="n">
        <f aca="false">04_回帰ANOVA!$K$19*04_回帰ANOVA!$K$14*SQRT(1+R456)</f>
        <v>1.07433119726947</v>
      </c>
      <c r="T456" s="0" t="n">
        <f aca="false">Q456-S456</f>
        <v>43.3880480640942</v>
      </c>
      <c r="U456" s="0" t="n">
        <f aca="false">Q456+S456</f>
        <v>45.5367104586331</v>
      </c>
      <c r="V456" s="54" t="b">
        <f aca="false">AND(D456&gt;=01_因子設定!$L$5-0.000000001,D456&lt;=01_因子設定!$M$5+0.000000001,E456&gt;=01_因子設定!$L$6-0.000000001,E456&lt;=01_因子設定!$M$6+0.000000001,F456&gt;=01_因子設定!$L$7-0.000000001,F456&lt;=01_因子設定!$M$7+0.000000001,IF(01_因子設定!$B$20="Box-Behnken",D456^2+E456^2+F456^2&lt;=2+0.000000001,TRUE()))</f>
        <v>1</v>
      </c>
      <c r="W456" s="55" t="n">
        <f aca="false">IF(V456,IF(01_因子設定!$B$13="最大化",T456-01_因子設定!$B$14,IF(01_因子設定!$B$13="最小化",01_因子設定!$B$15-U456,MIN(T456-01_因子設定!$B$14,01_因子設定!$B$15-U456))),-1E+030)</f>
        <v>-5.11195193590584</v>
      </c>
      <c r="X456" s="55" t="n">
        <f aca="false">IF(V456,IF(01_因子設定!$B$13="最大化",Q456,IF(01_因子設定!$B$13="最小化",-Q456,-ABS(Q456-01_因子設定!$B$16))),-1E+030)</f>
        <v>44.4623792613636</v>
      </c>
      <c r="Y456" s="55" t="n">
        <f aca="false">W456+ROW()*0.000000001</f>
        <v>-5.11195147990584</v>
      </c>
      <c r="Z456" s="55" t="n">
        <f aca="false">X456+ROW()*0.000000001</f>
        <v>44.4623797173636</v>
      </c>
    </row>
    <row r="457" customFormat="false" ht="15" hidden="false" customHeight="false" outlineLevel="0" collapsed="false">
      <c r="A457" s="0" t="n">
        <v>1</v>
      </c>
      <c r="B457" s="0" t="n">
        <v>9</v>
      </c>
      <c r="C457" s="0" t="n">
        <v>10</v>
      </c>
      <c r="D457" s="0" t="n">
        <f aca="false">-1+A457*0.125</f>
        <v>-0.875</v>
      </c>
      <c r="E457" s="0" t="n">
        <f aca="false">-1+B457*0.125</f>
        <v>0.125</v>
      </c>
      <c r="F457" s="0" t="n">
        <f aca="false">-1+C457*0.125</f>
        <v>0.25</v>
      </c>
      <c r="G457" s="0" t="n">
        <f aca="false">1</f>
        <v>1</v>
      </c>
      <c r="H457" s="0" t="n">
        <f aca="false">D457</f>
        <v>-0.875</v>
      </c>
      <c r="I457" s="0" t="n">
        <f aca="false">E457</f>
        <v>0.125</v>
      </c>
      <c r="J457" s="0" t="n">
        <f aca="false">F457</f>
        <v>0.25</v>
      </c>
      <c r="K457" s="0" t="n">
        <f aca="false">D457*E457</f>
        <v>-0.109375</v>
      </c>
      <c r="L457" s="0" t="n">
        <f aca="false">D457*F457</f>
        <v>-0.21875</v>
      </c>
      <c r="M457" s="0" t="n">
        <f aca="false">E457*F457</f>
        <v>0.03125</v>
      </c>
      <c r="N457" s="0" t="n">
        <f aca="false">D457*D457</f>
        <v>0.765625</v>
      </c>
      <c r="O457" s="0" t="n">
        <f aca="false">E457*E457</f>
        <v>0.015625</v>
      </c>
      <c r="P457" s="0" t="n">
        <f aca="false">F457*F457</f>
        <v>0.0625</v>
      </c>
      <c r="Q457" s="0" t="n">
        <f aca="false">SUMPRODUCT(G457:P457,_XtX!$B$71:$K$71)</f>
        <v>44.6031321022727</v>
      </c>
      <c r="R457" s="0" t="n">
        <f aca="false">SUMPRODUCT(MMULT(G457:P457,_XtX!$B$58:$K$67),G457:P457)</f>
        <v>0.331537974964489</v>
      </c>
      <c r="S457" s="0" t="n">
        <f aca="false">04_回帰ANOVA!$K$19*04_回帰ANOVA!$K$14*SQRT(1+R457)</f>
        <v>1.07286089161565</v>
      </c>
      <c r="T457" s="0" t="n">
        <f aca="false">Q457-S457</f>
        <v>43.5302712106571</v>
      </c>
      <c r="U457" s="0" t="n">
        <f aca="false">Q457+S457</f>
        <v>45.6759929938884</v>
      </c>
      <c r="V457" s="54" t="b">
        <f aca="false">AND(D457&gt;=01_因子設定!$L$5-0.000000001,D457&lt;=01_因子設定!$M$5+0.000000001,E457&gt;=01_因子設定!$L$6-0.000000001,E457&lt;=01_因子設定!$M$6+0.000000001,F457&gt;=01_因子設定!$L$7-0.000000001,F457&lt;=01_因子設定!$M$7+0.000000001,IF(01_因子設定!$B$20="Box-Behnken",D457^2+E457^2+F457^2&lt;=2+0.000000001,TRUE()))</f>
        <v>1</v>
      </c>
      <c r="W457" s="55" t="n">
        <f aca="false">IF(V457,IF(01_因子設定!$B$13="最大化",T457-01_因子設定!$B$14,IF(01_因子設定!$B$13="最小化",01_因子設定!$B$15-U457,MIN(T457-01_因子設定!$B$14,01_因子設定!$B$15-U457))),-1E+030)</f>
        <v>-4.96972878934293</v>
      </c>
      <c r="X457" s="55" t="n">
        <f aca="false">IF(V457,IF(01_因子設定!$B$13="最大化",Q457,IF(01_因子設定!$B$13="最小化",-Q457,-ABS(Q457-01_因子設定!$B$16))),-1E+030)</f>
        <v>44.6031321022727</v>
      </c>
      <c r="Y457" s="55" t="n">
        <f aca="false">W457+ROW()*0.000000001</f>
        <v>-4.96972833234293</v>
      </c>
      <c r="Z457" s="55" t="n">
        <f aca="false">X457+ROW()*0.000000001</f>
        <v>44.6031325592727</v>
      </c>
    </row>
    <row r="458" customFormat="false" ht="15" hidden="false" customHeight="false" outlineLevel="0" collapsed="false">
      <c r="A458" s="0" t="n">
        <v>1</v>
      </c>
      <c r="B458" s="0" t="n">
        <v>9</v>
      </c>
      <c r="C458" s="0" t="n">
        <v>11</v>
      </c>
      <c r="D458" s="0" t="n">
        <f aca="false">-1+A458*0.125</f>
        <v>-0.875</v>
      </c>
      <c r="E458" s="0" t="n">
        <f aca="false">-1+B458*0.125</f>
        <v>0.125</v>
      </c>
      <c r="F458" s="0" t="n">
        <f aca="false">-1+C458*0.125</f>
        <v>0.375</v>
      </c>
      <c r="G458" s="0" t="n">
        <f aca="false">1</f>
        <v>1</v>
      </c>
      <c r="H458" s="0" t="n">
        <f aca="false">D458</f>
        <v>-0.875</v>
      </c>
      <c r="I458" s="0" t="n">
        <f aca="false">E458</f>
        <v>0.125</v>
      </c>
      <c r="J458" s="0" t="n">
        <f aca="false">F458</f>
        <v>0.375</v>
      </c>
      <c r="K458" s="0" t="n">
        <f aca="false">D458*E458</f>
        <v>-0.109375</v>
      </c>
      <c r="L458" s="0" t="n">
        <f aca="false">D458*F458</f>
        <v>-0.328125</v>
      </c>
      <c r="M458" s="0" t="n">
        <f aca="false">E458*F458</f>
        <v>0.046875</v>
      </c>
      <c r="N458" s="0" t="n">
        <f aca="false">D458*D458</f>
        <v>0.765625</v>
      </c>
      <c r="O458" s="0" t="n">
        <f aca="false">E458*E458</f>
        <v>0.015625</v>
      </c>
      <c r="P458" s="0" t="n">
        <f aca="false">F458*F458</f>
        <v>0.140625</v>
      </c>
      <c r="Q458" s="0" t="n">
        <f aca="false">SUMPRODUCT(G458:P458,_XtX!$B$71:$K$71)</f>
        <v>44.7070951704545</v>
      </c>
      <c r="R458" s="0" t="n">
        <f aca="false">SUMPRODUCT(MMULT(G458:P458,_XtX!$B$58:$K$67),G458:P458)</f>
        <v>0.32900224165483</v>
      </c>
      <c r="S458" s="0" t="n">
        <f aca="false">04_回帰ANOVA!$K$19*04_回帰ANOVA!$K$14*SQRT(1+R458)</f>
        <v>1.07183884583628</v>
      </c>
      <c r="T458" s="0" t="n">
        <f aca="false">Q458-S458</f>
        <v>43.6352563246183</v>
      </c>
      <c r="U458" s="0" t="n">
        <f aca="false">Q458+S458</f>
        <v>45.7789340162908</v>
      </c>
      <c r="V458" s="54" t="b">
        <f aca="false">AND(D458&gt;=01_因子設定!$L$5-0.000000001,D458&lt;=01_因子設定!$M$5+0.000000001,E458&gt;=01_因子設定!$L$6-0.000000001,E458&lt;=01_因子設定!$M$6+0.000000001,F458&gt;=01_因子設定!$L$7-0.000000001,F458&lt;=01_因子設定!$M$7+0.000000001,IF(01_因子設定!$B$20="Box-Behnken",D458^2+E458^2+F458^2&lt;=2+0.000000001,TRUE()))</f>
        <v>1</v>
      </c>
      <c r="W458" s="55" t="n">
        <f aca="false">IF(V458,IF(01_因子設定!$B$13="最大化",T458-01_因子設定!$B$14,IF(01_因子設定!$B$13="最小化",01_因子設定!$B$15-U458,MIN(T458-01_因子設定!$B$14,01_因子設定!$B$15-U458))),-1E+030)</f>
        <v>-4.86474367538173</v>
      </c>
      <c r="X458" s="55" t="n">
        <f aca="false">IF(V458,IF(01_因子設定!$B$13="最大化",Q458,IF(01_因子設定!$B$13="最小化",-Q458,-ABS(Q458-01_因子設定!$B$16))),-1E+030)</f>
        <v>44.7070951704545</v>
      </c>
      <c r="Y458" s="55" t="n">
        <f aca="false">W458+ROW()*0.000000001</f>
        <v>-4.86474321738173</v>
      </c>
      <c r="Z458" s="55" t="n">
        <f aca="false">X458+ROW()*0.000000001</f>
        <v>44.7070956284545</v>
      </c>
    </row>
    <row r="459" customFormat="false" ht="15" hidden="false" customHeight="false" outlineLevel="0" collapsed="false">
      <c r="A459" s="0" t="n">
        <v>1</v>
      </c>
      <c r="B459" s="0" t="n">
        <v>9</v>
      </c>
      <c r="C459" s="0" t="n">
        <v>12</v>
      </c>
      <c r="D459" s="0" t="n">
        <f aca="false">-1+A459*0.125</f>
        <v>-0.875</v>
      </c>
      <c r="E459" s="0" t="n">
        <f aca="false">-1+B459*0.125</f>
        <v>0.125</v>
      </c>
      <c r="F459" s="0" t="n">
        <f aca="false">-1+C459*0.125</f>
        <v>0.5</v>
      </c>
      <c r="G459" s="0" t="n">
        <f aca="false">1</f>
        <v>1</v>
      </c>
      <c r="H459" s="0" t="n">
        <f aca="false">D459</f>
        <v>-0.875</v>
      </c>
      <c r="I459" s="0" t="n">
        <f aca="false">E459</f>
        <v>0.125</v>
      </c>
      <c r="J459" s="0" t="n">
        <f aca="false">F459</f>
        <v>0.5</v>
      </c>
      <c r="K459" s="0" t="n">
        <f aca="false">D459*E459</f>
        <v>-0.109375</v>
      </c>
      <c r="L459" s="0" t="n">
        <f aca="false">D459*F459</f>
        <v>-0.4375</v>
      </c>
      <c r="M459" s="0" t="n">
        <f aca="false">E459*F459</f>
        <v>0.0625</v>
      </c>
      <c r="N459" s="0" t="n">
        <f aca="false">D459*D459</f>
        <v>0.765625</v>
      </c>
      <c r="O459" s="0" t="n">
        <f aca="false">E459*E459</f>
        <v>0.015625</v>
      </c>
      <c r="P459" s="0" t="n">
        <f aca="false">F459*F459</f>
        <v>0.25</v>
      </c>
      <c r="Q459" s="0" t="n">
        <f aca="false">SUMPRODUCT(G459:P459,_XtX!$B$71:$K$71)</f>
        <v>44.7742684659091</v>
      </c>
      <c r="R459" s="0" t="n">
        <f aca="false">SUMPRODUCT(MMULT(G459:P459,_XtX!$B$58:$K$67),G459:P459)</f>
        <v>0.332909601384943</v>
      </c>
      <c r="S459" s="0" t="n">
        <f aca="false">04_回帰ANOVA!$K$19*04_回帰ANOVA!$K$14*SQRT(1+R459)</f>
        <v>1.07341333007404</v>
      </c>
      <c r="T459" s="0" t="n">
        <f aca="false">Q459-S459</f>
        <v>43.7008551358351</v>
      </c>
      <c r="U459" s="0" t="n">
        <f aca="false">Q459+S459</f>
        <v>45.8476817959831</v>
      </c>
      <c r="V459" s="54" t="b">
        <f aca="false">AND(D459&gt;=01_因子設定!$L$5-0.000000001,D459&lt;=01_因子設定!$M$5+0.000000001,E459&gt;=01_因子設定!$L$6-0.000000001,E459&lt;=01_因子設定!$M$6+0.000000001,F459&gt;=01_因子設定!$L$7-0.000000001,F459&lt;=01_因子設定!$M$7+0.000000001,IF(01_因子設定!$B$20="Box-Behnken",D459^2+E459^2+F459^2&lt;=2+0.000000001,TRUE()))</f>
        <v>1</v>
      </c>
      <c r="W459" s="55" t="n">
        <f aca="false">IF(V459,IF(01_因子設定!$B$13="最大化",T459-01_因子設定!$B$14,IF(01_因子設定!$B$13="最小化",01_因子設定!$B$15-U459,MIN(T459-01_因子設定!$B$14,01_因子設定!$B$15-U459))),-1E+030)</f>
        <v>-4.79914486416495</v>
      </c>
      <c r="X459" s="55" t="n">
        <f aca="false">IF(V459,IF(01_因子設定!$B$13="最大化",Q459,IF(01_因子設定!$B$13="最小化",-Q459,-ABS(Q459-01_因子設定!$B$16))),-1E+030)</f>
        <v>44.7742684659091</v>
      </c>
      <c r="Y459" s="55" t="n">
        <f aca="false">W459+ROW()*0.000000001</f>
        <v>-4.79914440516495</v>
      </c>
      <c r="Z459" s="55" t="n">
        <f aca="false">X459+ROW()*0.000000001</f>
        <v>44.7742689249091</v>
      </c>
    </row>
    <row r="460" customFormat="false" ht="15" hidden="false" customHeight="false" outlineLevel="0" collapsed="false">
      <c r="A460" s="0" t="n">
        <v>1</v>
      </c>
      <c r="B460" s="0" t="n">
        <v>9</v>
      </c>
      <c r="C460" s="0" t="n">
        <v>13</v>
      </c>
      <c r="D460" s="0" t="n">
        <f aca="false">-1+A460*0.125</f>
        <v>-0.875</v>
      </c>
      <c r="E460" s="0" t="n">
        <f aca="false">-1+B460*0.125</f>
        <v>0.125</v>
      </c>
      <c r="F460" s="0" t="n">
        <f aca="false">-1+C460*0.125</f>
        <v>0.625</v>
      </c>
      <c r="G460" s="0" t="n">
        <f aca="false">1</f>
        <v>1</v>
      </c>
      <c r="H460" s="0" t="n">
        <f aca="false">D460</f>
        <v>-0.875</v>
      </c>
      <c r="I460" s="0" t="n">
        <f aca="false">E460</f>
        <v>0.125</v>
      </c>
      <c r="J460" s="0" t="n">
        <f aca="false">F460</f>
        <v>0.625</v>
      </c>
      <c r="K460" s="0" t="n">
        <f aca="false">D460*E460</f>
        <v>-0.109375</v>
      </c>
      <c r="L460" s="0" t="n">
        <f aca="false">D460*F460</f>
        <v>-0.546875</v>
      </c>
      <c r="M460" s="0" t="n">
        <f aca="false">E460*F460</f>
        <v>0.078125</v>
      </c>
      <c r="N460" s="0" t="n">
        <f aca="false">D460*D460</f>
        <v>0.765625</v>
      </c>
      <c r="O460" s="0" t="n">
        <f aca="false">E460*E460</f>
        <v>0.015625</v>
      </c>
      <c r="P460" s="0" t="n">
        <f aca="false">F460*F460</f>
        <v>0.390625</v>
      </c>
      <c r="Q460" s="0" t="n">
        <f aca="false">SUMPRODUCT(G460:P460,_XtX!$B$71:$K$71)</f>
        <v>44.8046519886364</v>
      </c>
      <c r="R460" s="0" t="n">
        <f aca="false">SUMPRODUCT(MMULT(G460:P460,_XtX!$B$58:$K$67),G460:P460)</f>
        <v>0.350717440518466</v>
      </c>
      <c r="S460" s="0" t="n">
        <f aca="false">04_回帰ANOVA!$K$19*04_回帰ANOVA!$K$14*SQRT(1+R460)</f>
        <v>1.08056000737898</v>
      </c>
      <c r="T460" s="0" t="n">
        <f aca="false">Q460-S460</f>
        <v>43.7240919812574</v>
      </c>
      <c r="U460" s="0" t="n">
        <f aca="false">Q460+S460</f>
        <v>45.8852119960153</v>
      </c>
      <c r="V460" s="54" t="b">
        <f aca="false">AND(D460&gt;=01_因子設定!$L$5-0.000000001,D460&lt;=01_因子設定!$M$5+0.000000001,E460&gt;=01_因子設定!$L$6-0.000000001,E460&lt;=01_因子設定!$M$6+0.000000001,F460&gt;=01_因子設定!$L$7-0.000000001,F460&lt;=01_因子設定!$M$7+0.000000001,IF(01_因子設定!$B$20="Box-Behnken",D460^2+E460^2+F460^2&lt;=2+0.000000001,TRUE()))</f>
        <v>1</v>
      </c>
      <c r="W460" s="55" t="n">
        <f aca="false">IF(V460,IF(01_因子設定!$B$13="最大化",T460-01_因子設定!$B$14,IF(01_因子設定!$B$13="最小化",01_因子設定!$B$15-U460,MIN(T460-01_因子設定!$B$14,01_因子設定!$B$15-U460))),-1E+030)</f>
        <v>-4.77590801874261</v>
      </c>
      <c r="X460" s="55" t="n">
        <f aca="false">IF(V460,IF(01_因子設定!$B$13="最大化",Q460,IF(01_因子設定!$B$13="最小化",-Q460,-ABS(Q460-01_因子設定!$B$16))),-1E+030)</f>
        <v>44.8046519886364</v>
      </c>
      <c r="Y460" s="55" t="n">
        <f aca="false">W460+ROW()*0.000000001</f>
        <v>-4.77590755874261</v>
      </c>
      <c r="Z460" s="55" t="n">
        <f aca="false">X460+ROW()*0.000000001</f>
        <v>44.8046524486364</v>
      </c>
    </row>
    <row r="461" customFormat="false" ht="15" hidden="false" customHeight="false" outlineLevel="0" collapsed="false">
      <c r="A461" s="0" t="n">
        <v>1</v>
      </c>
      <c r="B461" s="0" t="n">
        <v>9</v>
      </c>
      <c r="C461" s="0" t="n">
        <v>14</v>
      </c>
      <c r="D461" s="0" t="n">
        <f aca="false">-1+A461*0.125</f>
        <v>-0.875</v>
      </c>
      <c r="E461" s="0" t="n">
        <f aca="false">-1+B461*0.125</f>
        <v>0.125</v>
      </c>
      <c r="F461" s="0" t="n">
        <f aca="false">-1+C461*0.125</f>
        <v>0.75</v>
      </c>
      <c r="G461" s="0" t="n">
        <f aca="false">1</f>
        <v>1</v>
      </c>
      <c r="H461" s="0" t="n">
        <f aca="false">D461</f>
        <v>-0.875</v>
      </c>
      <c r="I461" s="0" t="n">
        <f aca="false">E461</f>
        <v>0.125</v>
      </c>
      <c r="J461" s="0" t="n">
        <f aca="false">F461</f>
        <v>0.75</v>
      </c>
      <c r="K461" s="0" t="n">
        <f aca="false">D461*E461</f>
        <v>-0.109375</v>
      </c>
      <c r="L461" s="0" t="n">
        <f aca="false">D461*F461</f>
        <v>-0.65625</v>
      </c>
      <c r="M461" s="0" t="n">
        <f aca="false">E461*F461</f>
        <v>0.09375</v>
      </c>
      <c r="N461" s="0" t="n">
        <f aca="false">D461*D461</f>
        <v>0.765625</v>
      </c>
      <c r="O461" s="0" t="n">
        <f aca="false">E461*E461</f>
        <v>0.015625</v>
      </c>
      <c r="P461" s="0" t="n">
        <f aca="false">F461*F461</f>
        <v>0.5625</v>
      </c>
      <c r="Q461" s="0" t="n">
        <f aca="false">SUMPRODUCT(G461:P461,_XtX!$B$71:$K$71)</f>
        <v>44.7982457386364</v>
      </c>
      <c r="R461" s="0" t="n">
        <f aca="false">SUMPRODUCT(MMULT(G461:P461,_XtX!$B$58:$K$67),G461:P461)</f>
        <v>0.392013827237216</v>
      </c>
      <c r="S461" s="0" t="n">
        <f aca="false">04_回帰ANOVA!$K$19*04_回帰ANOVA!$K$14*SQRT(1+R461)</f>
        <v>1.09695398627251</v>
      </c>
      <c r="T461" s="0" t="n">
        <f aca="false">Q461-S461</f>
        <v>43.7012917523639</v>
      </c>
      <c r="U461" s="0" t="n">
        <f aca="false">Q461+S461</f>
        <v>45.8951997249089</v>
      </c>
      <c r="V461" s="54" t="b">
        <f aca="false">AND(D461&gt;=01_因子設定!$L$5-0.000000001,D461&lt;=01_因子設定!$M$5+0.000000001,E461&gt;=01_因子設定!$L$6-0.000000001,E461&lt;=01_因子設定!$M$6+0.000000001,F461&gt;=01_因子設定!$L$7-0.000000001,F461&lt;=01_因子設定!$M$7+0.000000001,IF(01_因子設定!$B$20="Box-Behnken",D461^2+E461^2+F461^2&lt;=2+0.000000001,TRUE()))</f>
        <v>1</v>
      </c>
      <c r="W461" s="55" t="n">
        <f aca="false">IF(V461,IF(01_因子設定!$B$13="最大化",T461-01_因子設定!$B$14,IF(01_因子設定!$B$13="最小化",01_因子設定!$B$15-U461,MIN(T461-01_因子設定!$B$14,01_因子設定!$B$15-U461))),-1E+030)</f>
        <v>-4.79870824763614</v>
      </c>
      <c r="X461" s="55" t="n">
        <f aca="false">IF(V461,IF(01_因子設定!$B$13="最大化",Q461,IF(01_因子設定!$B$13="最小化",-Q461,-ABS(Q461-01_因子設定!$B$16))),-1E+030)</f>
        <v>44.7982457386364</v>
      </c>
      <c r="Y461" s="55" t="n">
        <f aca="false">W461+ROW()*0.000000001</f>
        <v>-4.79870778663614</v>
      </c>
      <c r="Z461" s="55" t="n">
        <f aca="false">X461+ROW()*0.000000001</f>
        <v>44.7982461996364</v>
      </c>
    </row>
    <row r="462" customFormat="false" ht="15" hidden="false" customHeight="false" outlineLevel="0" collapsed="false">
      <c r="A462" s="0" t="n">
        <v>1</v>
      </c>
      <c r="B462" s="0" t="n">
        <v>9</v>
      </c>
      <c r="C462" s="0" t="n">
        <v>15</v>
      </c>
      <c r="D462" s="0" t="n">
        <f aca="false">-1+A462*0.125</f>
        <v>-0.875</v>
      </c>
      <c r="E462" s="0" t="n">
        <f aca="false">-1+B462*0.125</f>
        <v>0.125</v>
      </c>
      <c r="F462" s="0" t="n">
        <f aca="false">-1+C462*0.125</f>
        <v>0.875</v>
      </c>
      <c r="G462" s="0" t="n">
        <f aca="false">1</f>
        <v>1</v>
      </c>
      <c r="H462" s="0" t="n">
        <f aca="false">D462</f>
        <v>-0.875</v>
      </c>
      <c r="I462" s="0" t="n">
        <f aca="false">E462</f>
        <v>0.125</v>
      </c>
      <c r="J462" s="0" t="n">
        <f aca="false">F462</f>
        <v>0.875</v>
      </c>
      <c r="K462" s="0" t="n">
        <f aca="false">D462*E462</f>
        <v>-0.109375</v>
      </c>
      <c r="L462" s="0" t="n">
        <f aca="false">D462*F462</f>
        <v>-0.765625</v>
      </c>
      <c r="M462" s="0" t="n">
        <f aca="false">E462*F462</f>
        <v>0.109375</v>
      </c>
      <c r="N462" s="0" t="n">
        <f aca="false">D462*D462</f>
        <v>0.765625</v>
      </c>
      <c r="O462" s="0" t="n">
        <f aca="false">E462*E462</f>
        <v>0.015625</v>
      </c>
      <c r="P462" s="0" t="n">
        <f aca="false">F462*F462</f>
        <v>0.765625</v>
      </c>
      <c r="Q462" s="0" t="n">
        <f aca="false">SUMPRODUCT(G462:P462,_XtX!$B$71:$K$71)</f>
        <v>44.7550497159091</v>
      </c>
      <c r="R462" s="0" t="n">
        <f aca="false">SUMPRODUCT(MMULT(G462:P462,_XtX!$B$58:$K$67),G462:P462)</f>
        <v>0.468517511541193</v>
      </c>
      <c r="S462" s="0" t="n">
        <f aca="false">04_回帰ANOVA!$K$19*04_回帰ANOVA!$K$14*SQRT(1+R462)</f>
        <v>1.12669456902645</v>
      </c>
      <c r="T462" s="0" t="n">
        <f aca="false">Q462-S462</f>
        <v>43.6283551468827</v>
      </c>
      <c r="U462" s="0" t="n">
        <f aca="false">Q462+S462</f>
        <v>45.8817442849355</v>
      </c>
      <c r="V462" s="54" t="b">
        <f aca="false">AND(D462&gt;=01_因子設定!$L$5-0.000000001,D462&lt;=01_因子設定!$M$5+0.000000001,E462&gt;=01_因子設定!$L$6-0.000000001,E462&lt;=01_因子設定!$M$6+0.000000001,F462&gt;=01_因子設定!$L$7-0.000000001,F462&lt;=01_因子設定!$M$7+0.000000001,IF(01_因子設定!$B$20="Box-Behnken",D462^2+E462^2+F462^2&lt;=2+0.000000001,TRUE()))</f>
        <v>1</v>
      </c>
      <c r="W462" s="55" t="n">
        <f aca="false">IF(V462,IF(01_因子設定!$B$13="最大化",T462-01_因子設定!$B$14,IF(01_因子設定!$B$13="最小化",01_因子設定!$B$15-U462,MIN(T462-01_因子設定!$B$14,01_因子設定!$B$15-U462))),-1E+030)</f>
        <v>-4.87164485311735</v>
      </c>
      <c r="X462" s="55" t="n">
        <f aca="false">IF(V462,IF(01_因子設定!$B$13="最大化",Q462,IF(01_因子設定!$B$13="最小化",-Q462,-ABS(Q462-01_因子設定!$B$16))),-1E+030)</f>
        <v>44.7550497159091</v>
      </c>
      <c r="Y462" s="55" t="n">
        <f aca="false">W462+ROW()*0.000000001</f>
        <v>-4.87164439111735</v>
      </c>
      <c r="Z462" s="55" t="n">
        <f aca="false">X462+ROW()*0.000000001</f>
        <v>44.7550501779091</v>
      </c>
    </row>
    <row r="463" customFormat="false" ht="15" hidden="false" customHeight="false" outlineLevel="0" collapsed="false">
      <c r="A463" s="0" t="n">
        <v>1</v>
      </c>
      <c r="B463" s="0" t="n">
        <v>9</v>
      </c>
      <c r="C463" s="0" t="n">
        <v>16</v>
      </c>
      <c r="D463" s="0" t="n">
        <f aca="false">-1+A463*0.125</f>
        <v>-0.875</v>
      </c>
      <c r="E463" s="0" t="n">
        <f aca="false">-1+B463*0.125</f>
        <v>0.125</v>
      </c>
      <c r="F463" s="0" t="n">
        <f aca="false">-1+C463*0.125</f>
        <v>1</v>
      </c>
      <c r="G463" s="0" t="n">
        <f aca="false">1</f>
        <v>1</v>
      </c>
      <c r="H463" s="0" t="n">
        <f aca="false">D463</f>
        <v>-0.875</v>
      </c>
      <c r="I463" s="0" t="n">
        <f aca="false">E463</f>
        <v>0.125</v>
      </c>
      <c r="J463" s="0" t="n">
        <f aca="false">F463</f>
        <v>1</v>
      </c>
      <c r="K463" s="0" t="n">
        <f aca="false">D463*E463</f>
        <v>-0.109375</v>
      </c>
      <c r="L463" s="0" t="n">
        <f aca="false">D463*F463</f>
        <v>-0.875</v>
      </c>
      <c r="M463" s="0" t="n">
        <f aca="false">E463*F463</f>
        <v>0.125</v>
      </c>
      <c r="N463" s="0" t="n">
        <f aca="false">D463*D463</f>
        <v>0.765625</v>
      </c>
      <c r="O463" s="0" t="n">
        <f aca="false">E463*E463</f>
        <v>0.015625</v>
      </c>
      <c r="P463" s="0" t="n">
        <f aca="false">F463*F463</f>
        <v>1</v>
      </c>
      <c r="Q463" s="0" t="n">
        <f aca="false">SUMPRODUCT(G463:P463,_XtX!$B$71:$K$71)</f>
        <v>44.6750639204546</v>
      </c>
      <c r="R463" s="0" t="n">
        <f aca="false">SUMPRODUCT(MMULT(G463:P463,_XtX!$B$58:$K$67),G463:P463)</f>
        <v>0.59407792524858</v>
      </c>
      <c r="S463" s="0" t="n">
        <f aca="false">04_回帰ANOVA!$K$19*04_回帰ANOVA!$K$14*SQRT(1+R463)</f>
        <v>1.17387380087722</v>
      </c>
      <c r="T463" s="0" t="n">
        <f aca="false">Q463-S463</f>
        <v>43.5011901195773</v>
      </c>
      <c r="U463" s="0" t="n">
        <f aca="false">Q463+S463</f>
        <v>45.8489377213318</v>
      </c>
      <c r="V463" s="54" t="b">
        <f aca="false">AND(D463&gt;=01_因子設定!$L$5-0.000000001,D463&lt;=01_因子設定!$M$5+0.000000001,E463&gt;=01_因子設定!$L$6-0.000000001,E463&lt;=01_因子設定!$M$6+0.000000001,F463&gt;=01_因子設定!$L$7-0.000000001,F463&lt;=01_因子設定!$M$7+0.000000001,IF(01_因子設定!$B$20="Box-Behnken",D463^2+E463^2+F463^2&lt;=2+0.000000001,TRUE()))</f>
        <v>1</v>
      </c>
      <c r="W463" s="55" t="n">
        <f aca="false">IF(V463,IF(01_因子設定!$B$13="最大化",T463-01_因子設定!$B$14,IF(01_因子設定!$B$13="最小化",01_因子設定!$B$15-U463,MIN(T463-01_因子設定!$B$14,01_因子設定!$B$15-U463))),-1E+030)</f>
        <v>-4.99880988042266</v>
      </c>
      <c r="X463" s="55" t="n">
        <f aca="false">IF(V463,IF(01_因子設定!$B$13="最大化",Q463,IF(01_因子設定!$B$13="最小化",-Q463,-ABS(Q463-01_因子設定!$B$16))),-1E+030)</f>
        <v>44.6750639204546</v>
      </c>
      <c r="Y463" s="55" t="n">
        <f aca="false">W463+ROW()*0.000000001</f>
        <v>-4.99880941742266</v>
      </c>
      <c r="Z463" s="55" t="n">
        <f aca="false">X463+ROW()*0.000000001</f>
        <v>44.6750643834546</v>
      </c>
    </row>
    <row r="464" customFormat="false" ht="15" hidden="false" customHeight="false" outlineLevel="0" collapsed="false">
      <c r="A464" s="0" t="n">
        <v>1</v>
      </c>
      <c r="B464" s="0" t="n">
        <v>10</v>
      </c>
      <c r="C464" s="0" t="n">
        <v>0</v>
      </c>
      <c r="D464" s="0" t="n">
        <f aca="false">-1+A464*0.125</f>
        <v>-0.875</v>
      </c>
      <c r="E464" s="0" t="n">
        <f aca="false">-1+B464*0.125</f>
        <v>0.25</v>
      </c>
      <c r="F464" s="0" t="n">
        <f aca="false">-1+C464*0.125</f>
        <v>-1</v>
      </c>
      <c r="G464" s="0" t="n">
        <f aca="false">1</f>
        <v>1</v>
      </c>
      <c r="H464" s="0" t="n">
        <f aca="false">D464</f>
        <v>-0.875</v>
      </c>
      <c r="I464" s="0" t="n">
        <f aca="false">E464</f>
        <v>0.25</v>
      </c>
      <c r="J464" s="0" t="n">
        <f aca="false">F464</f>
        <v>-1</v>
      </c>
      <c r="K464" s="0" t="n">
        <f aca="false">D464*E464</f>
        <v>-0.21875</v>
      </c>
      <c r="L464" s="0" t="n">
        <f aca="false">D464*F464</f>
        <v>0.875</v>
      </c>
      <c r="M464" s="0" t="n">
        <f aca="false">E464*F464</f>
        <v>-0.25</v>
      </c>
      <c r="N464" s="0" t="n">
        <f aca="false">D464*D464</f>
        <v>0.765625</v>
      </c>
      <c r="O464" s="0" t="n">
        <f aca="false">E464*E464</f>
        <v>0.0625</v>
      </c>
      <c r="P464" s="0" t="n">
        <f aca="false">F464*F464</f>
        <v>1</v>
      </c>
      <c r="Q464" s="0" t="n">
        <f aca="false">SUMPRODUCT(G464:P464,_XtX!$B$71:$K$71)</f>
        <v>41.5135511363636</v>
      </c>
      <c r="R464" s="0" t="n">
        <f aca="false">SUMPRODUCT(MMULT(G464:P464,_XtX!$B$58:$K$67),G464:P464)</f>
        <v>0.583609286221591</v>
      </c>
      <c r="S464" s="0" t="n">
        <f aca="false">04_回帰ANOVA!$K$19*04_回帰ANOVA!$K$14*SQRT(1+R464)</f>
        <v>1.1700129157584</v>
      </c>
      <c r="T464" s="0" t="n">
        <f aca="false">Q464-S464</f>
        <v>40.3435382206053</v>
      </c>
      <c r="U464" s="0" t="n">
        <f aca="false">Q464+S464</f>
        <v>42.683564052122</v>
      </c>
      <c r="V464" s="54" t="b">
        <f aca="false">AND(D464&gt;=01_因子設定!$L$5-0.000000001,D464&lt;=01_因子設定!$M$5+0.000000001,E464&gt;=01_因子設定!$L$6-0.000000001,E464&lt;=01_因子設定!$M$6+0.000000001,F464&gt;=01_因子設定!$L$7-0.000000001,F464&lt;=01_因子設定!$M$7+0.000000001,IF(01_因子設定!$B$20="Box-Behnken",D464^2+E464^2+F464^2&lt;=2+0.000000001,TRUE()))</f>
        <v>1</v>
      </c>
      <c r="W464" s="55" t="n">
        <f aca="false">IF(V464,IF(01_因子設定!$B$13="最大化",T464-01_因子設定!$B$14,IF(01_因子設定!$B$13="最小化",01_因子設定!$B$15-U464,MIN(T464-01_因子設定!$B$14,01_因子設定!$B$15-U464))),-1E+030)</f>
        <v>-8.15646177939475</v>
      </c>
      <c r="X464" s="55" t="n">
        <f aca="false">IF(V464,IF(01_因子設定!$B$13="最大化",Q464,IF(01_因子設定!$B$13="最小化",-Q464,-ABS(Q464-01_因子設定!$B$16))),-1E+030)</f>
        <v>41.5135511363636</v>
      </c>
      <c r="Y464" s="55" t="n">
        <f aca="false">W464+ROW()*0.000000001</f>
        <v>-8.15646131539475</v>
      </c>
      <c r="Z464" s="55" t="n">
        <f aca="false">X464+ROW()*0.000000001</f>
        <v>41.5135516003637</v>
      </c>
    </row>
    <row r="465" customFormat="false" ht="15" hidden="false" customHeight="false" outlineLevel="0" collapsed="false">
      <c r="A465" s="0" t="n">
        <v>1</v>
      </c>
      <c r="B465" s="0" t="n">
        <v>10</v>
      </c>
      <c r="C465" s="0" t="n">
        <v>1</v>
      </c>
      <c r="D465" s="0" t="n">
        <f aca="false">-1+A465*0.125</f>
        <v>-0.875</v>
      </c>
      <c r="E465" s="0" t="n">
        <f aca="false">-1+B465*0.125</f>
        <v>0.25</v>
      </c>
      <c r="F465" s="0" t="n">
        <f aca="false">-1+C465*0.125</f>
        <v>-0.875</v>
      </c>
      <c r="G465" s="0" t="n">
        <f aca="false">1</f>
        <v>1</v>
      </c>
      <c r="H465" s="0" t="n">
        <f aca="false">D465</f>
        <v>-0.875</v>
      </c>
      <c r="I465" s="0" t="n">
        <f aca="false">E465</f>
        <v>0.25</v>
      </c>
      <c r="J465" s="0" t="n">
        <f aca="false">F465</f>
        <v>-0.875</v>
      </c>
      <c r="K465" s="0" t="n">
        <f aca="false">D465*E465</f>
        <v>-0.21875</v>
      </c>
      <c r="L465" s="0" t="n">
        <f aca="false">D465*F465</f>
        <v>0.765625</v>
      </c>
      <c r="M465" s="0" t="n">
        <f aca="false">E465*F465</f>
        <v>-0.21875</v>
      </c>
      <c r="N465" s="0" t="n">
        <f aca="false">D465*D465</f>
        <v>0.765625</v>
      </c>
      <c r="O465" s="0" t="n">
        <f aca="false">E465*E465</f>
        <v>0.0625</v>
      </c>
      <c r="P465" s="0" t="n">
        <f aca="false">F465*F465</f>
        <v>0.765625</v>
      </c>
      <c r="Q465" s="0" t="n">
        <f aca="false">SUMPRODUCT(G465:P465,_XtX!$B$71:$K$71)</f>
        <v>41.9924431818182</v>
      </c>
      <c r="R465" s="0" t="n">
        <f aca="false">SUMPRODUCT(MMULT(G465:P465,_XtX!$B$58:$K$67),G465:P465)</f>
        <v>0.459671852805398</v>
      </c>
      <c r="S465" s="0" t="n">
        <f aca="false">04_回帰ANOVA!$K$19*04_回帰ANOVA!$K$14*SQRT(1+R465)</f>
        <v>1.12329610455115</v>
      </c>
      <c r="T465" s="0" t="n">
        <f aca="false">Q465-S465</f>
        <v>40.869147077267</v>
      </c>
      <c r="U465" s="0" t="n">
        <f aca="false">Q465+S465</f>
        <v>43.1157392863693</v>
      </c>
      <c r="V465" s="54" t="b">
        <f aca="false">AND(D465&gt;=01_因子設定!$L$5-0.000000001,D465&lt;=01_因子設定!$M$5+0.000000001,E465&gt;=01_因子設定!$L$6-0.000000001,E465&lt;=01_因子設定!$M$6+0.000000001,F465&gt;=01_因子設定!$L$7-0.000000001,F465&lt;=01_因子設定!$M$7+0.000000001,IF(01_因子設定!$B$20="Box-Behnken",D465^2+E465^2+F465^2&lt;=2+0.000000001,TRUE()))</f>
        <v>1</v>
      </c>
      <c r="W465" s="55" t="n">
        <f aca="false">IF(V465,IF(01_因子設定!$B$13="最大化",T465-01_因子設定!$B$14,IF(01_因子設定!$B$13="最小化",01_因子設定!$B$15-U465,MIN(T465-01_因子設定!$B$14,01_因子設定!$B$15-U465))),-1E+030)</f>
        <v>-7.63085292273296</v>
      </c>
      <c r="X465" s="55" t="n">
        <f aca="false">IF(V465,IF(01_因子設定!$B$13="最大化",Q465,IF(01_因子設定!$B$13="最小化",-Q465,-ABS(Q465-01_因子設定!$B$16))),-1E+030)</f>
        <v>41.9924431818182</v>
      </c>
      <c r="Y465" s="55" t="n">
        <f aca="false">W465+ROW()*0.000000001</f>
        <v>-7.63085245773296</v>
      </c>
      <c r="Z465" s="55" t="n">
        <f aca="false">X465+ROW()*0.000000001</f>
        <v>41.9924436468182</v>
      </c>
    </row>
    <row r="466" customFormat="false" ht="15" hidden="false" customHeight="false" outlineLevel="0" collapsed="false">
      <c r="A466" s="0" t="n">
        <v>1</v>
      </c>
      <c r="B466" s="0" t="n">
        <v>10</v>
      </c>
      <c r="C466" s="0" t="n">
        <v>2</v>
      </c>
      <c r="D466" s="0" t="n">
        <f aca="false">-1+A466*0.125</f>
        <v>-0.875</v>
      </c>
      <c r="E466" s="0" t="n">
        <f aca="false">-1+B466*0.125</f>
        <v>0.25</v>
      </c>
      <c r="F466" s="0" t="n">
        <f aca="false">-1+C466*0.125</f>
        <v>-0.75</v>
      </c>
      <c r="G466" s="0" t="n">
        <f aca="false">1</f>
        <v>1</v>
      </c>
      <c r="H466" s="0" t="n">
        <f aca="false">D466</f>
        <v>-0.875</v>
      </c>
      <c r="I466" s="0" t="n">
        <f aca="false">E466</f>
        <v>0.25</v>
      </c>
      <c r="J466" s="0" t="n">
        <f aca="false">F466</f>
        <v>-0.75</v>
      </c>
      <c r="K466" s="0" t="n">
        <f aca="false">D466*E466</f>
        <v>-0.21875</v>
      </c>
      <c r="L466" s="0" t="n">
        <f aca="false">D466*F466</f>
        <v>0.65625</v>
      </c>
      <c r="M466" s="0" t="n">
        <f aca="false">E466*F466</f>
        <v>-0.1875</v>
      </c>
      <c r="N466" s="0" t="n">
        <f aca="false">D466*D466</f>
        <v>0.765625</v>
      </c>
      <c r="O466" s="0" t="n">
        <f aca="false">E466*E466</f>
        <v>0.0625</v>
      </c>
      <c r="P466" s="0" t="n">
        <f aca="false">F466*F466</f>
        <v>0.5625</v>
      </c>
      <c r="Q466" s="0" t="n">
        <f aca="false">SUMPRODUCT(G466:P466,_XtX!$B$71:$K$71)</f>
        <v>42.4345454545455</v>
      </c>
      <c r="R466" s="0" t="n">
        <f aca="false">SUMPRODUCT(MMULT(G466:P466,_XtX!$B$58:$K$67),G466:P466)</f>
        <v>0.384574751420455</v>
      </c>
      <c r="S466" s="0" t="n">
        <f aca="false">04_回帰ANOVA!$K$19*04_回帰ANOVA!$K$14*SQRT(1+R466)</f>
        <v>1.0940189380139</v>
      </c>
      <c r="T466" s="0" t="n">
        <f aca="false">Q466-S466</f>
        <v>41.3405265165316</v>
      </c>
      <c r="U466" s="0" t="n">
        <f aca="false">Q466+S466</f>
        <v>43.5285643925594</v>
      </c>
      <c r="V466" s="54" t="b">
        <f aca="false">AND(D466&gt;=01_因子設定!$L$5-0.000000001,D466&lt;=01_因子設定!$M$5+0.000000001,E466&gt;=01_因子設定!$L$6-0.000000001,E466&lt;=01_因子設定!$M$6+0.000000001,F466&gt;=01_因子設定!$L$7-0.000000001,F466&lt;=01_因子設定!$M$7+0.000000001,IF(01_因子設定!$B$20="Box-Behnken",D466^2+E466^2+F466^2&lt;=2+0.000000001,TRUE()))</f>
        <v>1</v>
      </c>
      <c r="W466" s="55" t="n">
        <f aca="false">IF(V466,IF(01_因子設定!$B$13="最大化",T466-01_因子設定!$B$14,IF(01_因子設定!$B$13="最小化",01_因子設定!$B$15-U466,MIN(T466-01_因子設定!$B$14,01_因子設定!$B$15-U466))),-1E+030)</f>
        <v>-7.15947348346845</v>
      </c>
      <c r="X466" s="55" t="n">
        <f aca="false">IF(V466,IF(01_因子設定!$B$13="最大化",Q466,IF(01_因子設定!$B$13="最小化",-Q466,-ABS(Q466-01_因子設定!$B$16))),-1E+030)</f>
        <v>42.4345454545455</v>
      </c>
      <c r="Y466" s="55" t="n">
        <f aca="false">W466+ROW()*0.000000001</f>
        <v>-7.15947301746845</v>
      </c>
      <c r="Z466" s="55" t="n">
        <f aca="false">X466+ROW()*0.000000001</f>
        <v>42.4345459205455</v>
      </c>
    </row>
    <row r="467" customFormat="false" ht="15" hidden="false" customHeight="false" outlineLevel="0" collapsed="false">
      <c r="A467" s="0" t="n">
        <v>1</v>
      </c>
      <c r="B467" s="0" t="n">
        <v>10</v>
      </c>
      <c r="C467" s="0" t="n">
        <v>3</v>
      </c>
      <c r="D467" s="0" t="n">
        <f aca="false">-1+A467*0.125</f>
        <v>-0.875</v>
      </c>
      <c r="E467" s="0" t="n">
        <f aca="false">-1+B467*0.125</f>
        <v>0.25</v>
      </c>
      <c r="F467" s="0" t="n">
        <f aca="false">-1+C467*0.125</f>
        <v>-0.625</v>
      </c>
      <c r="G467" s="0" t="n">
        <f aca="false">1</f>
        <v>1</v>
      </c>
      <c r="H467" s="0" t="n">
        <f aca="false">D467</f>
        <v>-0.875</v>
      </c>
      <c r="I467" s="0" t="n">
        <f aca="false">E467</f>
        <v>0.25</v>
      </c>
      <c r="J467" s="0" t="n">
        <f aca="false">F467</f>
        <v>-0.625</v>
      </c>
      <c r="K467" s="0" t="n">
        <f aca="false">D467*E467</f>
        <v>-0.21875</v>
      </c>
      <c r="L467" s="0" t="n">
        <f aca="false">D467*F467</f>
        <v>0.546875</v>
      </c>
      <c r="M467" s="0" t="n">
        <f aca="false">E467*F467</f>
        <v>-0.15625</v>
      </c>
      <c r="N467" s="0" t="n">
        <f aca="false">D467*D467</f>
        <v>0.765625</v>
      </c>
      <c r="O467" s="0" t="n">
        <f aca="false">E467*E467</f>
        <v>0.0625</v>
      </c>
      <c r="P467" s="0" t="n">
        <f aca="false">F467*F467</f>
        <v>0.390625</v>
      </c>
      <c r="Q467" s="0" t="n">
        <f aca="false">SUMPRODUCT(G467:P467,_XtX!$B$71:$K$71)</f>
        <v>42.8398579545455</v>
      </c>
      <c r="R467" s="0" t="n">
        <f aca="false">SUMPRODUCT(MMULT(G467:P467,_XtX!$B$58:$K$67),G467:P467)</f>
        <v>0.34446855024858</v>
      </c>
      <c r="S467" s="0" t="n">
        <f aca="false">04_回帰ANOVA!$K$19*04_回帰ANOVA!$K$14*SQRT(1+R467)</f>
        <v>1.07805758590432</v>
      </c>
      <c r="T467" s="0" t="n">
        <f aca="false">Q467-S467</f>
        <v>41.7618003686411</v>
      </c>
      <c r="U467" s="0" t="n">
        <f aca="false">Q467+S467</f>
        <v>43.9179155404498</v>
      </c>
      <c r="V467" s="54" t="b">
        <f aca="false">AND(D467&gt;=01_因子設定!$L$5-0.000000001,D467&lt;=01_因子設定!$M$5+0.000000001,E467&gt;=01_因子設定!$L$6-0.000000001,E467&lt;=01_因子設定!$M$6+0.000000001,F467&gt;=01_因子設定!$L$7-0.000000001,F467&lt;=01_因子設定!$M$7+0.000000001,IF(01_因子設定!$B$20="Box-Behnken",D467^2+E467^2+F467^2&lt;=2+0.000000001,TRUE()))</f>
        <v>1</v>
      </c>
      <c r="W467" s="55" t="n">
        <f aca="false">IF(V467,IF(01_因子設定!$B$13="最大化",T467-01_因子設定!$B$14,IF(01_因子設定!$B$13="最小化",01_因子設定!$B$15-U467,MIN(T467-01_因子設定!$B$14,01_因子設定!$B$15-U467))),-1E+030)</f>
        <v>-6.73819963135886</v>
      </c>
      <c r="X467" s="55" t="n">
        <f aca="false">IF(V467,IF(01_因子設定!$B$13="最大化",Q467,IF(01_因子設定!$B$13="最小化",-Q467,-ABS(Q467-01_因子設定!$B$16))),-1E+030)</f>
        <v>42.8398579545455</v>
      </c>
      <c r="Y467" s="55" t="n">
        <f aca="false">W467+ROW()*0.000000001</f>
        <v>-6.73819916435886</v>
      </c>
      <c r="Z467" s="55" t="n">
        <f aca="false">X467+ROW()*0.000000001</f>
        <v>42.8398584215455</v>
      </c>
    </row>
    <row r="468" customFormat="false" ht="15" hidden="false" customHeight="false" outlineLevel="0" collapsed="false">
      <c r="A468" s="0" t="n">
        <v>1</v>
      </c>
      <c r="B468" s="0" t="n">
        <v>10</v>
      </c>
      <c r="C468" s="0" t="n">
        <v>4</v>
      </c>
      <c r="D468" s="0" t="n">
        <f aca="false">-1+A468*0.125</f>
        <v>-0.875</v>
      </c>
      <c r="E468" s="0" t="n">
        <f aca="false">-1+B468*0.125</f>
        <v>0.25</v>
      </c>
      <c r="F468" s="0" t="n">
        <f aca="false">-1+C468*0.125</f>
        <v>-0.5</v>
      </c>
      <c r="G468" s="0" t="n">
        <f aca="false">1</f>
        <v>1</v>
      </c>
      <c r="H468" s="0" t="n">
        <f aca="false">D468</f>
        <v>-0.875</v>
      </c>
      <c r="I468" s="0" t="n">
        <f aca="false">E468</f>
        <v>0.25</v>
      </c>
      <c r="J468" s="0" t="n">
        <f aca="false">F468</f>
        <v>-0.5</v>
      </c>
      <c r="K468" s="0" t="n">
        <f aca="false">D468*E468</f>
        <v>-0.21875</v>
      </c>
      <c r="L468" s="0" t="n">
        <f aca="false">D468*F468</f>
        <v>0.4375</v>
      </c>
      <c r="M468" s="0" t="n">
        <f aca="false">E468*F468</f>
        <v>-0.125</v>
      </c>
      <c r="N468" s="0" t="n">
        <f aca="false">D468*D468</f>
        <v>0.765625</v>
      </c>
      <c r="O468" s="0" t="n">
        <f aca="false">E468*E468</f>
        <v>0.0625</v>
      </c>
      <c r="P468" s="0" t="n">
        <f aca="false">F468*F468</f>
        <v>0.25</v>
      </c>
      <c r="Q468" s="0" t="n">
        <f aca="false">SUMPRODUCT(G468:P468,_XtX!$B$71:$K$71)</f>
        <v>43.2083806818182</v>
      </c>
      <c r="R468" s="0" t="n">
        <f aca="false">SUMPRODUCT(MMULT(G468:P468,_XtX!$B$58:$K$67),G468:P468)</f>
        <v>0.327634499289773</v>
      </c>
      <c r="S468" s="0" t="n">
        <f aca="false">04_回帰ANOVA!$K$19*04_回帰ANOVA!$K$14*SQRT(1+R468)</f>
        <v>1.07128716250217</v>
      </c>
      <c r="T468" s="0" t="n">
        <f aca="false">Q468-S468</f>
        <v>42.137093519316</v>
      </c>
      <c r="U468" s="0" t="n">
        <f aca="false">Q468+S468</f>
        <v>44.2796678443204</v>
      </c>
      <c r="V468" s="54" t="b">
        <f aca="false">AND(D468&gt;=01_因子設定!$L$5-0.000000001,D468&lt;=01_因子設定!$M$5+0.000000001,E468&gt;=01_因子設定!$L$6-0.000000001,E468&lt;=01_因子設定!$M$6+0.000000001,F468&gt;=01_因子設定!$L$7-0.000000001,F468&lt;=01_因子設定!$M$7+0.000000001,IF(01_因子設定!$B$20="Box-Behnken",D468^2+E468^2+F468^2&lt;=2+0.000000001,TRUE()))</f>
        <v>1</v>
      </c>
      <c r="W468" s="55" t="n">
        <f aca="false">IF(V468,IF(01_因子設定!$B$13="最大化",T468-01_因子設定!$B$14,IF(01_因子設定!$B$13="最小化",01_因子設定!$B$15-U468,MIN(T468-01_因子設定!$B$14,01_因子設定!$B$15-U468))),-1E+030)</f>
        <v>-6.362906480684</v>
      </c>
      <c r="X468" s="55" t="n">
        <f aca="false">IF(V468,IF(01_因子設定!$B$13="最大化",Q468,IF(01_因子設定!$B$13="最小化",-Q468,-ABS(Q468-01_因子設定!$B$16))),-1E+030)</f>
        <v>43.2083806818182</v>
      </c>
      <c r="Y468" s="55" t="n">
        <f aca="false">W468+ROW()*0.000000001</f>
        <v>-6.362906012684</v>
      </c>
      <c r="Z468" s="55" t="n">
        <f aca="false">X468+ROW()*0.000000001</f>
        <v>43.2083811498182</v>
      </c>
    </row>
    <row r="469" customFormat="false" ht="15" hidden="false" customHeight="false" outlineLevel="0" collapsed="false">
      <c r="A469" s="0" t="n">
        <v>1</v>
      </c>
      <c r="B469" s="0" t="n">
        <v>10</v>
      </c>
      <c r="C469" s="0" t="n">
        <v>5</v>
      </c>
      <c r="D469" s="0" t="n">
        <f aca="false">-1+A469*0.125</f>
        <v>-0.875</v>
      </c>
      <c r="E469" s="0" t="n">
        <f aca="false">-1+B469*0.125</f>
        <v>0.25</v>
      </c>
      <c r="F469" s="0" t="n">
        <f aca="false">-1+C469*0.125</f>
        <v>-0.375</v>
      </c>
      <c r="G469" s="0" t="n">
        <f aca="false">1</f>
        <v>1</v>
      </c>
      <c r="H469" s="0" t="n">
        <f aca="false">D469</f>
        <v>-0.875</v>
      </c>
      <c r="I469" s="0" t="n">
        <f aca="false">E469</f>
        <v>0.25</v>
      </c>
      <c r="J469" s="0" t="n">
        <f aca="false">F469</f>
        <v>-0.375</v>
      </c>
      <c r="K469" s="0" t="n">
        <f aca="false">D469*E469</f>
        <v>-0.21875</v>
      </c>
      <c r="L469" s="0" t="n">
        <f aca="false">D469*F469</f>
        <v>0.328125</v>
      </c>
      <c r="M469" s="0" t="n">
        <f aca="false">E469*F469</f>
        <v>-0.09375</v>
      </c>
      <c r="N469" s="0" t="n">
        <f aca="false">D469*D469</f>
        <v>0.765625</v>
      </c>
      <c r="O469" s="0" t="n">
        <f aca="false">E469*E469</f>
        <v>0.0625</v>
      </c>
      <c r="P469" s="0" t="n">
        <f aca="false">F469*F469</f>
        <v>0.140625</v>
      </c>
      <c r="Q469" s="0" t="n">
        <f aca="false">SUMPRODUCT(G469:P469,_XtX!$B$71:$K$71)</f>
        <v>43.5401136363636</v>
      </c>
      <c r="R469" s="0" t="n">
        <f aca="false">SUMPRODUCT(MMULT(G469:P469,_XtX!$B$58:$K$67),G469:P469)</f>
        <v>0.324484530362216</v>
      </c>
      <c r="S469" s="0" t="n">
        <f aca="false">04_回帰ANOVA!$K$19*04_回帰ANOVA!$K$14*SQRT(1+R469)</f>
        <v>1.07001553041279</v>
      </c>
      <c r="T469" s="0" t="n">
        <f aca="false">Q469-S469</f>
        <v>42.4700981059508</v>
      </c>
      <c r="U469" s="0" t="n">
        <f aca="false">Q469+S469</f>
        <v>44.6101291667764</v>
      </c>
      <c r="V469" s="54" t="b">
        <f aca="false">AND(D469&gt;=01_因子設定!$L$5-0.000000001,D469&lt;=01_因子設定!$M$5+0.000000001,E469&gt;=01_因子設定!$L$6-0.000000001,E469&lt;=01_因子設定!$M$6+0.000000001,F469&gt;=01_因子設定!$L$7-0.000000001,F469&lt;=01_因子設定!$M$7+0.000000001,IF(01_因子設定!$B$20="Box-Behnken",D469^2+E469^2+F469^2&lt;=2+0.000000001,TRUE()))</f>
        <v>1</v>
      </c>
      <c r="W469" s="55" t="n">
        <f aca="false">IF(V469,IF(01_因子設定!$B$13="最大化",T469-01_因子設定!$B$14,IF(01_因子設定!$B$13="最小化",01_因子設定!$B$15-U469,MIN(T469-01_因子設定!$B$14,01_因子設定!$B$15-U469))),-1E+030)</f>
        <v>-6.02990189404916</v>
      </c>
      <c r="X469" s="55" t="n">
        <f aca="false">IF(V469,IF(01_因子設定!$B$13="最大化",Q469,IF(01_因子設定!$B$13="最小化",-Q469,-ABS(Q469-01_因子設定!$B$16))),-1E+030)</f>
        <v>43.5401136363636</v>
      </c>
      <c r="Y469" s="55" t="n">
        <f aca="false">W469+ROW()*0.000000001</f>
        <v>-6.02990142504916</v>
      </c>
      <c r="Z469" s="55" t="n">
        <f aca="false">X469+ROW()*0.000000001</f>
        <v>43.5401141053636</v>
      </c>
    </row>
    <row r="470" customFormat="false" ht="15" hidden="false" customHeight="false" outlineLevel="0" collapsed="false">
      <c r="A470" s="0" t="n">
        <v>1</v>
      </c>
      <c r="B470" s="0" t="n">
        <v>10</v>
      </c>
      <c r="C470" s="0" t="n">
        <v>6</v>
      </c>
      <c r="D470" s="0" t="n">
        <f aca="false">-1+A470*0.125</f>
        <v>-0.875</v>
      </c>
      <c r="E470" s="0" t="n">
        <f aca="false">-1+B470*0.125</f>
        <v>0.25</v>
      </c>
      <c r="F470" s="0" t="n">
        <f aca="false">-1+C470*0.125</f>
        <v>-0.25</v>
      </c>
      <c r="G470" s="0" t="n">
        <f aca="false">1</f>
        <v>1</v>
      </c>
      <c r="H470" s="0" t="n">
        <f aca="false">D470</f>
        <v>-0.875</v>
      </c>
      <c r="I470" s="0" t="n">
        <f aca="false">E470</f>
        <v>0.25</v>
      </c>
      <c r="J470" s="0" t="n">
        <f aca="false">F470</f>
        <v>-0.25</v>
      </c>
      <c r="K470" s="0" t="n">
        <f aca="false">D470*E470</f>
        <v>-0.21875</v>
      </c>
      <c r="L470" s="0" t="n">
        <f aca="false">D470*F470</f>
        <v>0.21875</v>
      </c>
      <c r="M470" s="0" t="n">
        <f aca="false">E470*F470</f>
        <v>-0.0625</v>
      </c>
      <c r="N470" s="0" t="n">
        <f aca="false">D470*D470</f>
        <v>0.765625</v>
      </c>
      <c r="O470" s="0" t="n">
        <f aca="false">E470*E470</f>
        <v>0.0625</v>
      </c>
      <c r="P470" s="0" t="n">
        <f aca="false">F470*F470</f>
        <v>0.0625</v>
      </c>
      <c r="Q470" s="0" t="n">
        <f aca="false">SUMPRODUCT(G470:P470,_XtX!$B$71:$K$71)</f>
        <v>43.8350568181818</v>
      </c>
      <c r="R470" s="0" t="n">
        <f aca="false">SUMPRODUCT(MMULT(G470:P470,_XtX!$B$58:$K$67),G470:P470)</f>
        <v>0.327561257102273</v>
      </c>
      <c r="S470" s="0" t="n">
        <f aca="false">04_回帰ANOVA!$K$19*04_回帰ANOVA!$K$14*SQRT(1+R470)</f>
        <v>1.07125761201315</v>
      </c>
      <c r="T470" s="0" t="n">
        <f aca="false">Q470-S470</f>
        <v>42.7637992061687</v>
      </c>
      <c r="U470" s="0" t="n">
        <f aca="false">Q470+S470</f>
        <v>44.906314430195</v>
      </c>
      <c r="V470" s="54" t="b">
        <f aca="false">AND(D470&gt;=01_因子設定!$L$5-0.000000001,D470&lt;=01_因子設定!$M$5+0.000000001,E470&gt;=01_因子設定!$L$6-0.000000001,E470&lt;=01_因子設定!$M$6+0.000000001,F470&gt;=01_因子設定!$L$7-0.000000001,F470&lt;=01_因子設定!$M$7+0.000000001,IF(01_因子設定!$B$20="Box-Behnken",D470^2+E470^2+F470^2&lt;=2+0.000000001,TRUE()))</f>
        <v>1</v>
      </c>
      <c r="W470" s="55" t="n">
        <f aca="false">IF(V470,IF(01_因子設定!$B$13="最大化",T470-01_因子設定!$B$14,IF(01_因子設定!$B$13="最小化",01_因子設定!$B$15-U470,MIN(T470-01_因子設定!$B$14,01_因子設定!$B$15-U470))),-1E+030)</f>
        <v>-5.73620079383134</v>
      </c>
      <c r="X470" s="55" t="n">
        <f aca="false">IF(V470,IF(01_因子設定!$B$13="最大化",Q470,IF(01_因子設定!$B$13="最小化",-Q470,-ABS(Q470-01_因子設定!$B$16))),-1E+030)</f>
        <v>43.8350568181818</v>
      </c>
      <c r="Y470" s="55" t="n">
        <f aca="false">W470+ROW()*0.000000001</f>
        <v>-5.73620032383134</v>
      </c>
      <c r="Z470" s="55" t="n">
        <f aca="false">X470+ROW()*0.000000001</f>
        <v>43.8350572881818</v>
      </c>
    </row>
    <row r="471" customFormat="false" ht="15" hidden="false" customHeight="false" outlineLevel="0" collapsed="false">
      <c r="A471" s="0" t="n">
        <v>1</v>
      </c>
      <c r="B471" s="0" t="n">
        <v>10</v>
      </c>
      <c r="C471" s="0" t="n">
        <v>7</v>
      </c>
      <c r="D471" s="0" t="n">
        <f aca="false">-1+A471*0.125</f>
        <v>-0.875</v>
      </c>
      <c r="E471" s="0" t="n">
        <f aca="false">-1+B471*0.125</f>
        <v>0.25</v>
      </c>
      <c r="F471" s="0" t="n">
        <f aca="false">-1+C471*0.125</f>
        <v>-0.125</v>
      </c>
      <c r="G471" s="0" t="n">
        <f aca="false">1</f>
        <v>1</v>
      </c>
      <c r="H471" s="0" t="n">
        <f aca="false">D471</f>
        <v>-0.875</v>
      </c>
      <c r="I471" s="0" t="n">
        <f aca="false">E471</f>
        <v>0.25</v>
      </c>
      <c r="J471" s="0" t="n">
        <f aca="false">F471</f>
        <v>-0.125</v>
      </c>
      <c r="K471" s="0" t="n">
        <f aca="false">D471*E471</f>
        <v>-0.21875</v>
      </c>
      <c r="L471" s="0" t="n">
        <f aca="false">D471*F471</f>
        <v>0.109375</v>
      </c>
      <c r="M471" s="0" t="n">
        <f aca="false">E471*F471</f>
        <v>-0.03125</v>
      </c>
      <c r="N471" s="0" t="n">
        <f aca="false">D471*D471</f>
        <v>0.765625</v>
      </c>
      <c r="O471" s="0" t="n">
        <f aca="false">E471*E471</f>
        <v>0.0625</v>
      </c>
      <c r="P471" s="0" t="n">
        <f aca="false">F471*F471</f>
        <v>0.015625</v>
      </c>
      <c r="Q471" s="0" t="n">
        <f aca="false">SUMPRODUCT(G471:P471,_XtX!$B$71:$K$71)</f>
        <v>44.0932102272727</v>
      </c>
      <c r="R471" s="0" t="n">
        <f aca="false">SUMPRODUCT(MMULT(G471:P471,_XtX!$B$58:$K$67),G471:P471)</f>
        <v>0.331537974964489</v>
      </c>
      <c r="S471" s="0" t="n">
        <f aca="false">04_回帰ANOVA!$K$19*04_回帰ANOVA!$K$14*SQRT(1+R471)</f>
        <v>1.07286089161565</v>
      </c>
      <c r="T471" s="0" t="n">
        <f aca="false">Q471-S471</f>
        <v>43.0203493356571</v>
      </c>
      <c r="U471" s="0" t="n">
        <f aca="false">Q471+S471</f>
        <v>45.1660711188884</v>
      </c>
      <c r="V471" s="54" t="b">
        <f aca="false">AND(D471&gt;=01_因子設定!$L$5-0.000000001,D471&lt;=01_因子設定!$M$5+0.000000001,E471&gt;=01_因子設定!$L$6-0.000000001,E471&lt;=01_因子設定!$M$6+0.000000001,F471&gt;=01_因子設定!$L$7-0.000000001,F471&lt;=01_因子設定!$M$7+0.000000001,IF(01_因子設定!$B$20="Box-Behnken",D471^2+E471^2+F471^2&lt;=2+0.000000001,TRUE()))</f>
        <v>1</v>
      </c>
      <c r="W471" s="55" t="n">
        <f aca="false">IF(V471,IF(01_因子設定!$B$13="最大化",T471-01_因子設定!$B$14,IF(01_因子設定!$B$13="最小化",01_因子設定!$B$15-U471,MIN(T471-01_因子設定!$B$14,01_因子設定!$B$15-U471))),-1E+030)</f>
        <v>-5.47965066434293</v>
      </c>
      <c r="X471" s="55" t="n">
        <f aca="false">IF(V471,IF(01_因子設定!$B$13="最大化",Q471,IF(01_因子設定!$B$13="最小化",-Q471,-ABS(Q471-01_因子設定!$B$16))),-1E+030)</f>
        <v>44.0932102272727</v>
      </c>
      <c r="Y471" s="55" t="n">
        <f aca="false">W471+ROW()*0.000000001</f>
        <v>-5.47965019334293</v>
      </c>
      <c r="Z471" s="55" t="n">
        <f aca="false">X471+ROW()*0.000000001</f>
        <v>44.0932106982727</v>
      </c>
    </row>
    <row r="472" customFormat="false" ht="15" hidden="false" customHeight="false" outlineLevel="0" collapsed="false">
      <c r="A472" s="0" t="n">
        <v>1</v>
      </c>
      <c r="B472" s="0" t="n">
        <v>10</v>
      </c>
      <c r="C472" s="0" t="n">
        <v>8</v>
      </c>
      <c r="D472" s="0" t="n">
        <f aca="false">-1+A472*0.125</f>
        <v>-0.875</v>
      </c>
      <c r="E472" s="0" t="n">
        <f aca="false">-1+B472*0.125</f>
        <v>0.25</v>
      </c>
      <c r="F472" s="0" t="n">
        <f aca="false">-1+C472*0.125</f>
        <v>0</v>
      </c>
      <c r="G472" s="0" t="n">
        <f aca="false">1</f>
        <v>1</v>
      </c>
      <c r="H472" s="0" t="n">
        <f aca="false">D472</f>
        <v>-0.875</v>
      </c>
      <c r="I472" s="0" t="n">
        <f aca="false">E472</f>
        <v>0.25</v>
      </c>
      <c r="J472" s="0" t="n">
        <f aca="false">F472</f>
        <v>0</v>
      </c>
      <c r="K472" s="0" t="n">
        <f aca="false">D472*E472</f>
        <v>-0.21875</v>
      </c>
      <c r="L472" s="0" t="n">
        <f aca="false">D472*F472</f>
        <v>-0</v>
      </c>
      <c r="M472" s="0" t="n">
        <f aca="false">E472*F472</f>
        <v>0</v>
      </c>
      <c r="N472" s="0" t="n">
        <f aca="false">D472*D472</f>
        <v>0.765625</v>
      </c>
      <c r="O472" s="0" t="n">
        <f aca="false">E472*E472</f>
        <v>0.0625</v>
      </c>
      <c r="P472" s="0" t="n">
        <f aca="false">F472*F472</f>
        <v>0</v>
      </c>
      <c r="Q472" s="0" t="n">
        <f aca="false">SUMPRODUCT(G472:P472,_XtX!$B$71:$K$71)</f>
        <v>44.3145738636364</v>
      </c>
      <c r="R472" s="0" t="n">
        <f aca="false">SUMPRODUCT(MMULT(G472:P472,_XtX!$B$58:$K$67),G472:P472)</f>
        <v>0.333218661221591</v>
      </c>
      <c r="S472" s="0" t="n">
        <f aca="false">04_回帰ANOVA!$K$19*04_回帰ANOVA!$K$14*SQRT(1+R472)</f>
        <v>1.07353776826542</v>
      </c>
      <c r="T472" s="0" t="n">
        <f aca="false">Q472-S472</f>
        <v>43.2410360953709</v>
      </c>
      <c r="U472" s="0" t="n">
        <f aca="false">Q472+S472</f>
        <v>45.3881116319018</v>
      </c>
      <c r="V472" s="54" t="b">
        <f aca="false">AND(D472&gt;=01_因子設定!$L$5-0.000000001,D472&lt;=01_因子設定!$M$5+0.000000001,E472&gt;=01_因子設定!$L$6-0.000000001,E472&lt;=01_因子設定!$M$6+0.000000001,F472&gt;=01_因子設定!$L$7-0.000000001,F472&lt;=01_因子設定!$M$7+0.000000001,IF(01_因子設定!$B$20="Box-Behnken",D472^2+E472^2+F472^2&lt;=2+0.000000001,TRUE()))</f>
        <v>1</v>
      </c>
      <c r="W472" s="55" t="n">
        <f aca="false">IF(V472,IF(01_因子設定!$B$13="最大化",T472-01_因子設定!$B$14,IF(01_因子設定!$B$13="最小化",01_因子設定!$B$15-U472,MIN(T472-01_因子設定!$B$14,01_因子設定!$B$15-U472))),-1E+030)</f>
        <v>-5.25896390462906</v>
      </c>
      <c r="X472" s="55" t="n">
        <f aca="false">IF(V472,IF(01_因子設定!$B$13="最大化",Q472,IF(01_因子設定!$B$13="最小化",-Q472,-ABS(Q472-01_因子設定!$B$16))),-1E+030)</f>
        <v>44.3145738636364</v>
      </c>
      <c r="Y472" s="55" t="n">
        <f aca="false">W472+ROW()*0.000000001</f>
        <v>-5.25896343262906</v>
      </c>
      <c r="Z472" s="55" t="n">
        <f aca="false">X472+ROW()*0.000000001</f>
        <v>44.3145743356364</v>
      </c>
    </row>
    <row r="473" customFormat="false" ht="15" hidden="false" customHeight="false" outlineLevel="0" collapsed="false">
      <c r="A473" s="0" t="n">
        <v>1</v>
      </c>
      <c r="B473" s="0" t="n">
        <v>10</v>
      </c>
      <c r="C473" s="0" t="n">
        <v>9</v>
      </c>
      <c r="D473" s="0" t="n">
        <f aca="false">-1+A473*0.125</f>
        <v>-0.875</v>
      </c>
      <c r="E473" s="0" t="n">
        <f aca="false">-1+B473*0.125</f>
        <v>0.25</v>
      </c>
      <c r="F473" s="0" t="n">
        <f aca="false">-1+C473*0.125</f>
        <v>0.125</v>
      </c>
      <c r="G473" s="0" t="n">
        <f aca="false">1</f>
        <v>1</v>
      </c>
      <c r="H473" s="0" t="n">
        <f aca="false">D473</f>
        <v>-0.875</v>
      </c>
      <c r="I473" s="0" t="n">
        <f aca="false">E473</f>
        <v>0.25</v>
      </c>
      <c r="J473" s="0" t="n">
        <f aca="false">F473</f>
        <v>0.125</v>
      </c>
      <c r="K473" s="0" t="n">
        <f aca="false">D473*E473</f>
        <v>-0.21875</v>
      </c>
      <c r="L473" s="0" t="n">
        <f aca="false">D473*F473</f>
        <v>-0.109375</v>
      </c>
      <c r="M473" s="0" t="n">
        <f aca="false">E473*F473</f>
        <v>0.03125</v>
      </c>
      <c r="N473" s="0" t="n">
        <f aca="false">D473*D473</f>
        <v>0.765625</v>
      </c>
      <c r="O473" s="0" t="n">
        <f aca="false">E473*E473</f>
        <v>0.0625</v>
      </c>
      <c r="P473" s="0" t="n">
        <f aca="false">F473*F473</f>
        <v>0.015625</v>
      </c>
      <c r="Q473" s="0" t="n">
        <f aca="false">SUMPRODUCT(G473:P473,_XtX!$B$71:$K$71)</f>
        <v>44.4991477272727</v>
      </c>
      <c r="R473" s="0" t="n">
        <f aca="false">SUMPRODUCT(MMULT(G473:P473,_XtX!$B$58:$K$67),G473:P473)</f>
        <v>0.331537974964489</v>
      </c>
      <c r="S473" s="0" t="n">
        <f aca="false">04_回帰ANOVA!$K$19*04_回帰ANOVA!$K$14*SQRT(1+R473)</f>
        <v>1.07286089161565</v>
      </c>
      <c r="T473" s="0" t="n">
        <f aca="false">Q473-S473</f>
        <v>43.4262868356571</v>
      </c>
      <c r="U473" s="0" t="n">
        <f aca="false">Q473+S473</f>
        <v>45.5720086188884</v>
      </c>
      <c r="V473" s="54" t="b">
        <f aca="false">AND(D473&gt;=01_因子設定!$L$5-0.000000001,D473&lt;=01_因子設定!$M$5+0.000000001,E473&gt;=01_因子設定!$L$6-0.000000001,E473&lt;=01_因子設定!$M$6+0.000000001,F473&gt;=01_因子設定!$L$7-0.000000001,F473&lt;=01_因子設定!$M$7+0.000000001,IF(01_因子設定!$B$20="Box-Behnken",D473^2+E473^2+F473^2&lt;=2+0.000000001,TRUE()))</f>
        <v>1</v>
      </c>
      <c r="W473" s="55" t="n">
        <f aca="false">IF(V473,IF(01_因子設定!$B$13="最大化",T473-01_因子設定!$B$14,IF(01_因子設定!$B$13="最小化",01_因子設定!$B$15-U473,MIN(T473-01_因子設定!$B$14,01_因子設定!$B$15-U473))),-1E+030)</f>
        <v>-5.07371316434293</v>
      </c>
      <c r="X473" s="55" t="n">
        <f aca="false">IF(V473,IF(01_因子設定!$B$13="最大化",Q473,IF(01_因子設定!$B$13="最小化",-Q473,-ABS(Q473-01_因子設定!$B$16))),-1E+030)</f>
        <v>44.4991477272727</v>
      </c>
      <c r="Y473" s="55" t="n">
        <f aca="false">W473+ROW()*0.000000001</f>
        <v>-5.07371269134293</v>
      </c>
      <c r="Z473" s="55" t="n">
        <f aca="false">X473+ROW()*0.000000001</f>
        <v>44.4991482002727</v>
      </c>
    </row>
    <row r="474" customFormat="false" ht="15" hidden="false" customHeight="false" outlineLevel="0" collapsed="false">
      <c r="A474" s="0" t="n">
        <v>1</v>
      </c>
      <c r="B474" s="0" t="n">
        <v>10</v>
      </c>
      <c r="C474" s="0" t="n">
        <v>10</v>
      </c>
      <c r="D474" s="0" t="n">
        <f aca="false">-1+A474*0.125</f>
        <v>-0.875</v>
      </c>
      <c r="E474" s="0" t="n">
        <f aca="false">-1+B474*0.125</f>
        <v>0.25</v>
      </c>
      <c r="F474" s="0" t="n">
        <f aca="false">-1+C474*0.125</f>
        <v>0.25</v>
      </c>
      <c r="G474" s="0" t="n">
        <f aca="false">1</f>
        <v>1</v>
      </c>
      <c r="H474" s="0" t="n">
        <f aca="false">D474</f>
        <v>-0.875</v>
      </c>
      <c r="I474" s="0" t="n">
        <f aca="false">E474</f>
        <v>0.25</v>
      </c>
      <c r="J474" s="0" t="n">
        <f aca="false">F474</f>
        <v>0.25</v>
      </c>
      <c r="K474" s="0" t="n">
        <f aca="false">D474*E474</f>
        <v>-0.21875</v>
      </c>
      <c r="L474" s="0" t="n">
        <f aca="false">D474*F474</f>
        <v>-0.21875</v>
      </c>
      <c r="M474" s="0" t="n">
        <f aca="false">E474*F474</f>
        <v>0.0625</v>
      </c>
      <c r="N474" s="0" t="n">
        <f aca="false">D474*D474</f>
        <v>0.765625</v>
      </c>
      <c r="O474" s="0" t="n">
        <f aca="false">E474*E474</f>
        <v>0.0625</v>
      </c>
      <c r="P474" s="0" t="n">
        <f aca="false">F474*F474</f>
        <v>0.0625</v>
      </c>
      <c r="Q474" s="0" t="n">
        <f aca="false">SUMPRODUCT(G474:P474,_XtX!$B$71:$K$71)</f>
        <v>44.6469318181818</v>
      </c>
      <c r="R474" s="0" t="n">
        <f aca="false">SUMPRODUCT(MMULT(G474:P474,_XtX!$B$58:$K$67),G474:P474)</f>
        <v>0.327561257102273</v>
      </c>
      <c r="S474" s="0" t="n">
        <f aca="false">04_回帰ANOVA!$K$19*04_回帰ANOVA!$K$14*SQRT(1+R474)</f>
        <v>1.07125761201315</v>
      </c>
      <c r="T474" s="0" t="n">
        <f aca="false">Q474-S474</f>
        <v>43.5756742061687</v>
      </c>
      <c r="U474" s="0" t="n">
        <f aca="false">Q474+S474</f>
        <v>45.718189430195</v>
      </c>
      <c r="V474" s="54" t="b">
        <f aca="false">AND(D474&gt;=01_因子設定!$L$5-0.000000001,D474&lt;=01_因子設定!$M$5+0.000000001,E474&gt;=01_因子設定!$L$6-0.000000001,E474&lt;=01_因子設定!$M$6+0.000000001,F474&gt;=01_因子設定!$L$7-0.000000001,F474&lt;=01_因子設定!$M$7+0.000000001,IF(01_因子設定!$B$20="Box-Behnken",D474^2+E474^2+F474^2&lt;=2+0.000000001,TRUE()))</f>
        <v>1</v>
      </c>
      <c r="W474" s="55" t="n">
        <f aca="false">IF(V474,IF(01_因子設定!$B$13="最大化",T474-01_因子設定!$B$14,IF(01_因子設定!$B$13="最小化",01_因子設定!$B$15-U474,MIN(T474-01_因子設定!$B$14,01_因子設定!$B$15-U474))),-1E+030)</f>
        <v>-4.92432579383134</v>
      </c>
      <c r="X474" s="55" t="n">
        <f aca="false">IF(V474,IF(01_因子設定!$B$13="最大化",Q474,IF(01_因子設定!$B$13="最小化",-Q474,-ABS(Q474-01_因子設定!$B$16))),-1E+030)</f>
        <v>44.6469318181818</v>
      </c>
      <c r="Y474" s="55" t="n">
        <f aca="false">W474+ROW()*0.000000001</f>
        <v>-4.92432531983134</v>
      </c>
      <c r="Z474" s="55" t="n">
        <f aca="false">X474+ROW()*0.000000001</f>
        <v>44.6469322921818</v>
      </c>
    </row>
    <row r="475" customFormat="false" ht="15" hidden="false" customHeight="false" outlineLevel="0" collapsed="false">
      <c r="A475" s="0" t="n">
        <v>1</v>
      </c>
      <c r="B475" s="0" t="n">
        <v>10</v>
      </c>
      <c r="C475" s="0" t="n">
        <v>11</v>
      </c>
      <c r="D475" s="0" t="n">
        <f aca="false">-1+A475*0.125</f>
        <v>-0.875</v>
      </c>
      <c r="E475" s="0" t="n">
        <f aca="false">-1+B475*0.125</f>
        <v>0.25</v>
      </c>
      <c r="F475" s="0" t="n">
        <f aca="false">-1+C475*0.125</f>
        <v>0.375</v>
      </c>
      <c r="G475" s="0" t="n">
        <f aca="false">1</f>
        <v>1</v>
      </c>
      <c r="H475" s="0" t="n">
        <f aca="false">D475</f>
        <v>-0.875</v>
      </c>
      <c r="I475" s="0" t="n">
        <f aca="false">E475</f>
        <v>0.25</v>
      </c>
      <c r="J475" s="0" t="n">
        <f aca="false">F475</f>
        <v>0.375</v>
      </c>
      <c r="K475" s="0" t="n">
        <f aca="false">D475*E475</f>
        <v>-0.21875</v>
      </c>
      <c r="L475" s="0" t="n">
        <f aca="false">D475*F475</f>
        <v>-0.328125</v>
      </c>
      <c r="M475" s="0" t="n">
        <f aca="false">E475*F475</f>
        <v>0.09375</v>
      </c>
      <c r="N475" s="0" t="n">
        <f aca="false">D475*D475</f>
        <v>0.765625</v>
      </c>
      <c r="O475" s="0" t="n">
        <f aca="false">E475*E475</f>
        <v>0.0625</v>
      </c>
      <c r="P475" s="0" t="n">
        <f aca="false">F475*F475</f>
        <v>0.140625</v>
      </c>
      <c r="Q475" s="0" t="n">
        <f aca="false">SUMPRODUCT(G475:P475,_XtX!$B$71:$K$71)</f>
        <v>44.7579261363636</v>
      </c>
      <c r="R475" s="0" t="n">
        <f aca="false">SUMPRODUCT(MMULT(G475:P475,_XtX!$B$58:$K$67),G475:P475)</f>
        <v>0.324484530362216</v>
      </c>
      <c r="S475" s="0" t="n">
        <f aca="false">04_回帰ANOVA!$K$19*04_回帰ANOVA!$K$14*SQRT(1+R475)</f>
        <v>1.07001553041279</v>
      </c>
      <c r="T475" s="0" t="n">
        <f aca="false">Q475-S475</f>
        <v>43.6879106059508</v>
      </c>
      <c r="U475" s="0" t="n">
        <f aca="false">Q475+S475</f>
        <v>45.8279416667764</v>
      </c>
      <c r="V475" s="54" t="b">
        <f aca="false">AND(D475&gt;=01_因子設定!$L$5-0.000000001,D475&lt;=01_因子設定!$M$5+0.000000001,E475&gt;=01_因子設定!$L$6-0.000000001,E475&lt;=01_因子設定!$M$6+0.000000001,F475&gt;=01_因子設定!$L$7-0.000000001,F475&lt;=01_因子設定!$M$7+0.000000001,IF(01_因子設定!$B$20="Box-Behnken",D475^2+E475^2+F475^2&lt;=2+0.000000001,TRUE()))</f>
        <v>1</v>
      </c>
      <c r="W475" s="55" t="n">
        <f aca="false">IF(V475,IF(01_因子設定!$B$13="最大化",T475-01_因子設定!$B$14,IF(01_因子設定!$B$13="最小化",01_因子設定!$B$15-U475,MIN(T475-01_因子設定!$B$14,01_因子設定!$B$15-U475))),-1E+030)</f>
        <v>-4.81208939404916</v>
      </c>
      <c r="X475" s="55" t="n">
        <f aca="false">IF(V475,IF(01_因子設定!$B$13="最大化",Q475,IF(01_因子設定!$B$13="最小化",-Q475,-ABS(Q475-01_因子設定!$B$16))),-1E+030)</f>
        <v>44.7579261363636</v>
      </c>
      <c r="Y475" s="55" t="n">
        <f aca="false">W475+ROW()*0.000000001</f>
        <v>-4.81208891904916</v>
      </c>
      <c r="Z475" s="55" t="n">
        <f aca="false">X475+ROW()*0.000000001</f>
        <v>44.7579266113636</v>
      </c>
    </row>
    <row r="476" customFormat="false" ht="15" hidden="false" customHeight="false" outlineLevel="0" collapsed="false">
      <c r="A476" s="0" t="n">
        <v>1</v>
      </c>
      <c r="B476" s="0" t="n">
        <v>10</v>
      </c>
      <c r="C476" s="0" t="n">
        <v>12</v>
      </c>
      <c r="D476" s="0" t="n">
        <f aca="false">-1+A476*0.125</f>
        <v>-0.875</v>
      </c>
      <c r="E476" s="0" t="n">
        <f aca="false">-1+B476*0.125</f>
        <v>0.25</v>
      </c>
      <c r="F476" s="0" t="n">
        <f aca="false">-1+C476*0.125</f>
        <v>0.5</v>
      </c>
      <c r="G476" s="0" t="n">
        <f aca="false">1</f>
        <v>1</v>
      </c>
      <c r="H476" s="0" t="n">
        <f aca="false">D476</f>
        <v>-0.875</v>
      </c>
      <c r="I476" s="0" t="n">
        <f aca="false">E476</f>
        <v>0.25</v>
      </c>
      <c r="J476" s="0" t="n">
        <f aca="false">F476</f>
        <v>0.5</v>
      </c>
      <c r="K476" s="0" t="n">
        <f aca="false">D476*E476</f>
        <v>-0.21875</v>
      </c>
      <c r="L476" s="0" t="n">
        <f aca="false">D476*F476</f>
        <v>-0.4375</v>
      </c>
      <c r="M476" s="0" t="n">
        <f aca="false">E476*F476</f>
        <v>0.125</v>
      </c>
      <c r="N476" s="0" t="n">
        <f aca="false">D476*D476</f>
        <v>0.765625</v>
      </c>
      <c r="O476" s="0" t="n">
        <f aca="false">E476*E476</f>
        <v>0.0625</v>
      </c>
      <c r="P476" s="0" t="n">
        <f aca="false">F476*F476</f>
        <v>0.25</v>
      </c>
      <c r="Q476" s="0" t="n">
        <f aca="false">SUMPRODUCT(G476:P476,_XtX!$B$71:$K$71)</f>
        <v>44.8321306818182</v>
      </c>
      <c r="R476" s="0" t="n">
        <f aca="false">SUMPRODUCT(MMULT(G476:P476,_XtX!$B$58:$K$67),G476:P476)</f>
        <v>0.327634499289773</v>
      </c>
      <c r="S476" s="0" t="n">
        <f aca="false">04_回帰ANOVA!$K$19*04_回帰ANOVA!$K$14*SQRT(1+R476)</f>
        <v>1.07128716250217</v>
      </c>
      <c r="T476" s="0" t="n">
        <f aca="false">Q476-S476</f>
        <v>43.760843519316</v>
      </c>
      <c r="U476" s="0" t="n">
        <f aca="false">Q476+S476</f>
        <v>45.9034178443204</v>
      </c>
      <c r="V476" s="54" t="b">
        <f aca="false">AND(D476&gt;=01_因子設定!$L$5-0.000000001,D476&lt;=01_因子設定!$M$5+0.000000001,E476&gt;=01_因子設定!$L$6-0.000000001,E476&lt;=01_因子設定!$M$6+0.000000001,F476&gt;=01_因子設定!$L$7-0.000000001,F476&lt;=01_因子設定!$M$7+0.000000001,IF(01_因子設定!$B$20="Box-Behnken",D476^2+E476^2+F476^2&lt;=2+0.000000001,TRUE()))</f>
        <v>1</v>
      </c>
      <c r="W476" s="55" t="n">
        <f aca="false">IF(V476,IF(01_因子設定!$B$13="最大化",T476-01_因子設定!$B$14,IF(01_因子設定!$B$13="最小化",01_因子設定!$B$15-U476,MIN(T476-01_因子設定!$B$14,01_因子設定!$B$15-U476))),-1E+030)</f>
        <v>-4.739156480684</v>
      </c>
      <c r="X476" s="55" t="n">
        <f aca="false">IF(V476,IF(01_因子設定!$B$13="最大化",Q476,IF(01_因子設定!$B$13="最小化",-Q476,-ABS(Q476-01_因子設定!$B$16))),-1E+030)</f>
        <v>44.8321306818182</v>
      </c>
      <c r="Y476" s="55" t="n">
        <f aca="false">W476+ROW()*0.000000001</f>
        <v>-4.739156004684</v>
      </c>
      <c r="Z476" s="55" t="n">
        <f aca="false">X476+ROW()*0.000000001</f>
        <v>44.8321311578182</v>
      </c>
    </row>
    <row r="477" customFormat="false" ht="15" hidden="false" customHeight="false" outlineLevel="0" collapsed="false">
      <c r="A477" s="0" t="n">
        <v>1</v>
      </c>
      <c r="B477" s="0" t="n">
        <v>10</v>
      </c>
      <c r="C477" s="0" t="n">
        <v>13</v>
      </c>
      <c r="D477" s="0" t="n">
        <f aca="false">-1+A477*0.125</f>
        <v>-0.875</v>
      </c>
      <c r="E477" s="0" t="n">
        <f aca="false">-1+B477*0.125</f>
        <v>0.25</v>
      </c>
      <c r="F477" s="0" t="n">
        <f aca="false">-1+C477*0.125</f>
        <v>0.625</v>
      </c>
      <c r="G477" s="0" t="n">
        <f aca="false">1</f>
        <v>1</v>
      </c>
      <c r="H477" s="0" t="n">
        <f aca="false">D477</f>
        <v>-0.875</v>
      </c>
      <c r="I477" s="0" t="n">
        <f aca="false">E477</f>
        <v>0.25</v>
      </c>
      <c r="J477" s="0" t="n">
        <f aca="false">F477</f>
        <v>0.625</v>
      </c>
      <c r="K477" s="0" t="n">
        <f aca="false">D477*E477</f>
        <v>-0.21875</v>
      </c>
      <c r="L477" s="0" t="n">
        <f aca="false">D477*F477</f>
        <v>-0.546875</v>
      </c>
      <c r="M477" s="0" t="n">
        <f aca="false">E477*F477</f>
        <v>0.15625</v>
      </c>
      <c r="N477" s="0" t="n">
        <f aca="false">D477*D477</f>
        <v>0.765625</v>
      </c>
      <c r="O477" s="0" t="n">
        <f aca="false">E477*E477</f>
        <v>0.0625</v>
      </c>
      <c r="P477" s="0" t="n">
        <f aca="false">F477*F477</f>
        <v>0.390625</v>
      </c>
      <c r="Q477" s="0" t="n">
        <f aca="false">SUMPRODUCT(G477:P477,_XtX!$B$71:$K$71)</f>
        <v>44.8695454545455</v>
      </c>
      <c r="R477" s="0" t="n">
        <f aca="false">SUMPRODUCT(MMULT(G477:P477,_XtX!$B$58:$K$67),G477:P477)</f>
        <v>0.34446855024858</v>
      </c>
      <c r="S477" s="0" t="n">
        <f aca="false">04_回帰ANOVA!$K$19*04_回帰ANOVA!$K$14*SQRT(1+R477)</f>
        <v>1.07805758590432</v>
      </c>
      <c r="T477" s="0" t="n">
        <f aca="false">Q477-S477</f>
        <v>43.7914878686411</v>
      </c>
      <c r="U477" s="0" t="n">
        <f aca="false">Q477+S477</f>
        <v>45.9476030404498</v>
      </c>
      <c r="V477" s="54" t="b">
        <f aca="false">AND(D477&gt;=01_因子設定!$L$5-0.000000001,D477&lt;=01_因子設定!$M$5+0.000000001,E477&gt;=01_因子設定!$L$6-0.000000001,E477&lt;=01_因子設定!$M$6+0.000000001,F477&gt;=01_因子設定!$L$7-0.000000001,F477&lt;=01_因子設定!$M$7+0.000000001,IF(01_因子設定!$B$20="Box-Behnken",D477^2+E477^2+F477^2&lt;=2+0.000000001,TRUE()))</f>
        <v>1</v>
      </c>
      <c r="W477" s="55" t="n">
        <f aca="false">IF(V477,IF(01_因子設定!$B$13="最大化",T477-01_因子設定!$B$14,IF(01_因子設定!$B$13="最小化",01_因子設定!$B$15-U477,MIN(T477-01_因子設定!$B$14,01_因子設定!$B$15-U477))),-1E+030)</f>
        <v>-4.70851213135887</v>
      </c>
      <c r="X477" s="55" t="n">
        <f aca="false">IF(V477,IF(01_因子設定!$B$13="最大化",Q477,IF(01_因子設定!$B$13="最小化",-Q477,-ABS(Q477-01_因子設定!$B$16))),-1E+030)</f>
        <v>44.8695454545455</v>
      </c>
      <c r="Y477" s="55" t="n">
        <f aca="false">W477+ROW()*0.000000001</f>
        <v>-4.70851165435887</v>
      </c>
      <c r="Z477" s="55" t="n">
        <f aca="false">X477+ROW()*0.000000001</f>
        <v>44.8695459315455</v>
      </c>
    </row>
    <row r="478" customFormat="false" ht="15" hidden="false" customHeight="false" outlineLevel="0" collapsed="false">
      <c r="A478" s="0" t="n">
        <v>1</v>
      </c>
      <c r="B478" s="0" t="n">
        <v>10</v>
      </c>
      <c r="C478" s="0" t="n">
        <v>14</v>
      </c>
      <c r="D478" s="0" t="n">
        <f aca="false">-1+A478*0.125</f>
        <v>-0.875</v>
      </c>
      <c r="E478" s="0" t="n">
        <f aca="false">-1+B478*0.125</f>
        <v>0.25</v>
      </c>
      <c r="F478" s="0" t="n">
        <f aca="false">-1+C478*0.125</f>
        <v>0.75</v>
      </c>
      <c r="G478" s="0" t="n">
        <f aca="false">1</f>
        <v>1</v>
      </c>
      <c r="H478" s="0" t="n">
        <f aca="false">D478</f>
        <v>-0.875</v>
      </c>
      <c r="I478" s="0" t="n">
        <f aca="false">E478</f>
        <v>0.25</v>
      </c>
      <c r="J478" s="0" t="n">
        <f aca="false">F478</f>
        <v>0.75</v>
      </c>
      <c r="K478" s="0" t="n">
        <f aca="false">D478*E478</f>
        <v>-0.21875</v>
      </c>
      <c r="L478" s="0" t="n">
        <f aca="false">D478*F478</f>
        <v>-0.65625</v>
      </c>
      <c r="M478" s="0" t="n">
        <f aca="false">E478*F478</f>
        <v>0.1875</v>
      </c>
      <c r="N478" s="0" t="n">
        <f aca="false">D478*D478</f>
        <v>0.765625</v>
      </c>
      <c r="O478" s="0" t="n">
        <f aca="false">E478*E478</f>
        <v>0.0625</v>
      </c>
      <c r="P478" s="0" t="n">
        <f aca="false">F478*F478</f>
        <v>0.5625</v>
      </c>
      <c r="Q478" s="0" t="n">
        <f aca="false">SUMPRODUCT(G478:P478,_XtX!$B$71:$K$71)</f>
        <v>44.8701704545455</v>
      </c>
      <c r="R478" s="0" t="n">
        <f aca="false">SUMPRODUCT(MMULT(G478:P478,_XtX!$B$58:$K$67),G478:P478)</f>
        <v>0.384574751420455</v>
      </c>
      <c r="S478" s="0" t="n">
        <f aca="false">04_回帰ANOVA!$K$19*04_回帰ANOVA!$K$14*SQRT(1+R478)</f>
        <v>1.0940189380139</v>
      </c>
      <c r="T478" s="0" t="n">
        <f aca="false">Q478-S478</f>
        <v>43.7761515165316</v>
      </c>
      <c r="U478" s="0" t="n">
        <f aca="false">Q478+S478</f>
        <v>45.9641893925594</v>
      </c>
      <c r="V478" s="54" t="b">
        <f aca="false">AND(D478&gt;=01_因子設定!$L$5-0.000000001,D478&lt;=01_因子設定!$M$5+0.000000001,E478&gt;=01_因子設定!$L$6-0.000000001,E478&lt;=01_因子設定!$M$6+0.000000001,F478&gt;=01_因子設定!$L$7-0.000000001,F478&lt;=01_因子設定!$M$7+0.000000001,IF(01_因子設定!$B$20="Box-Behnken",D478^2+E478^2+F478^2&lt;=2+0.000000001,TRUE()))</f>
        <v>1</v>
      </c>
      <c r="W478" s="55" t="n">
        <f aca="false">IF(V478,IF(01_因子設定!$B$13="最大化",T478-01_因子設定!$B$14,IF(01_因子設定!$B$13="最小化",01_因子設定!$B$15-U478,MIN(T478-01_因子設定!$B$14,01_因子設定!$B$15-U478))),-1E+030)</f>
        <v>-4.72384848346844</v>
      </c>
      <c r="X478" s="55" t="n">
        <f aca="false">IF(V478,IF(01_因子設定!$B$13="最大化",Q478,IF(01_因子設定!$B$13="最小化",-Q478,-ABS(Q478-01_因子設定!$B$16))),-1E+030)</f>
        <v>44.8701704545455</v>
      </c>
      <c r="Y478" s="55" t="n">
        <f aca="false">W478+ROW()*0.000000001</f>
        <v>-4.72384800546845</v>
      </c>
      <c r="Z478" s="55" t="n">
        <f aca="false">X478+ROW()*0.000000001</f>
        <v>44.8701709325455</v>
      </c>
    </row>
    <row r="479" customFormat="false" ht="15" hidden="false" customHeight="false" outlineLevel="0" collapsed="false">
      <c r="A479" s="0" t="n">
        <v>1</v>
      </c>
      <c r="B479" s="0" t="n">
        <v>10</v>
      </c>
      <c r="C479" s="0" t="n">
        <v>15</v>
      </c>
      <c r="D479" s="0" t="n">
        <f aca="false">-1+A479*0.125</f>
        <v>-0.875</v>
      </c>
      <c r="E479" s="0" t="n">
        <f aca="false">-1+B479*0.125</f>
        <v>0.25</v>
      </c>
      <c r="F479" s="0" t="n">
        <f aca="false">-1+C479*0.125</f>
        <v>0.875</v>
      </c>
      <c r="G479" s="0" t="n">
        <f aca="false">1</f>
        <v>1</v>
      </c>
      <c r="H479" s="0" t="n">
        <f aca="false">D479</f>
        <v>-0.875</v>
      </c>
      <c r="I479" s="0" t="n">
        <f aca="false">E479</f>
        <v>0.25</v>
      </c>
      <c r="J479" s="0" t="n">
        <f aca="false">F479</f>
        <v>0.875</v>
      </c>
      <c r="K479" s="0" t="n">
        <f aca="false">D479*E479</f>
        <v>-0.21875</v>
      </c>
      <c r="L479" s="0" t="n">
        <f aca="false">D479*F479</f>
        <v>-0.765625</v>
      </c>
      <c r="M479" s="0" t="n">
        <f aca="false">E479*F479</f>
        <v>0.21875</v>
      </c>
      <c r="N479" s="0" t="n">
        <f aca="false">D479*D479</f>
        <v>0.765625</v>
      </c>
      <c r="O479" s="0" t="n">
        <f aca="false">E479*E479</f>
        <v>0.0625</v>
      </c>
      <c r="P479" s="0" t="n">
        <f aca="false">F479*F479</f>
        <v>0.765625</v>
      </c>
      <c r="Q479" s="0" t="n">
        <f aca="false">SUMPRODUCT(G479:P479,_XtX!$B$71:$K$71)</f>
        <v>44.8340056818182</v>
      </c>
      <c r="R479" s="0" t="n">
        <f aca="false">SUMPRODUCT(MMULT(G479:P479,_XtX!$B$58:$K$67),G479:P479)</f>
        <v>0.459671852805398</v>
      </c>
      <c r="S479" s="0" t="n">
        <f aca="false">04_回帰ANOVA!$K$19*04_回帰ANOVA!$K$14*SQRT(1+R479)</f>
        <v>1.12329610455115</v>
      </c>
      <c r="T479" s="0" t="n">
        <f aca="false">Q479-S479</f>
        <v>43.710709577267</v>
      </c>
      <c r="U479" s="0" t="n">
        <f aca="false">Q479+S479</f>
        <v>45.9573017863693</v>
      </c>
      <c r="V479" s="54" t="b">
        <f aca="false">AND(D479&gt;=01_因子設定!$L$5-0.000000001,D479&lt;=01_因子設定!$M$5+0.000000001,E479&gt;=01_因子設定!$L$6-0.000000001,E479&lt;=01_因子設定!$M$6+0.000000001,F479&gt;=01_因子設定!$L$7-0.000000001,F479&lt;=01_因子設定!$M$7+0.000000001,IF(01_因子設定!$B$20="Box-Behnken",D479^2+E479^2+F479^2&lt;=2+0.000000001,TRUE()))</f>
        <v>1</v>
      </c>
      <c r="W479" s="55" t="n">
        <f aca="false">IF(V479,IF(01_因子設定!$B$13="最大化",T479-01_因子設定!$B$14,IF(01_因子設定!$B$13="最小化",01_因子設定!$B$15-U479,MIN(T479-01_因子設定!$B$14,01_因子設定!$B$15-U479))),-1E+030)</f>
        <v>-4.78929042273296</v>
      </c>
      <c r="X479" s="55" t="n">
        <f aca="false">IF(V479,IF(01_因子設定!$B$13="最大化",Q479,IF(01_因子設定!$B$13="最小化",-Q479,-ABS(Q479-01_因子設定!$B$16))),-1E+030)</f>
        <v>44.8340056818182</v>
      </c>
      <c r="Y479" s="55" t="n">
        <f aca="false">W479+ROW()*0.000000001</f>
        <v>-4.78928994373296</v>
      </c>
      <c r="Z479" s="55" t="n">
        <f aca="false">X479+ROW()*0.000000001</f>
        <v>44.8340061608182</v>
      </c>
    </row>
    <row r="480" customFormat="false" ht="15" hidden="false" customHeight="false" outlineLevel="0" collapsed="false">
      <c r="A480" s="0" t="n">
        <v>1</v>
      </c>
      <c r="B480" s="0" t="n">
        <v>10</v>
      </c>
      <c r="C480" s="0" t="n">
        <v>16</v>
      </c>
      <c r="D480" s="0" t="n">
        <f aca="false">-1+A480*0.125</f>
        <v>-0.875</v>
      </c>
      <c r="E480" s="0" t="n">
        <f aca="false">-1+B480*0.125</f>
        <v>0.25</v>
      </c>
      <c r="F480" s="0" t="n">
        <f aca="false">-1+C480*0.125</f>
        <v>1</v>
      </c>
      <c r="G480" s="0" t="n">
        <f aca="false">1</f>
        <v>1</v>
      </c>
      <c r="H480" s="0" t="n">
        <f aca="false">D480</f>
        <v>-0.875</v>
      </c>
      <c r="I480" s="0" t="n">
        <f aca="false">E480</f>
        <v>0.25</v>
      </c>
      <c r="J480" s="0" t="n">
        <f aca="false">F480</f>
        <v>1</v>
      </c>
      <c r="K480" s="0" t="n">
        <f aca="false">D480*E480</f>
        <v>-0.21875</v>
      </c>
      <c r="L480" s="0" t="n">
        <f aca="false">D480*F480</f>
        <v>-0.875</v>
      </c>
      <c r="M480" s="0" t="n">
        <f aca="false">E480*F480</f>
        <v>0.25</v>
      </c>
      <c r="N480" s="0" t="n">
        <f aca="false">D480*D480</f>
        <v>0.765625</v>
      </c>
      <c r="O480" s="0" t="n">
        <f aca="false">E480*E480</f>
        <v>0.0625</v>
      </c>
      <c r="P480" s="0" t="n">
        <f aca="false">F480*F480</f>
        <v>1</v>
      </c>
      <c r="Q480" s="0" t="n">
        <f aca="false">SUMPRODUCT(G480:P480,_XtX!$B$71:$K$71)</f>
        <v>44.7610511363637</v>
      </c>
      <c r="R480" s="0" t="n">
        <f aca="false">SUMPRODUCT(MMULT(G480:P480,_XtX!$B$58:$K$67),G480:P480)</f>
        <v>0.583609286221591</v>
      </c>
      <c r="S480" s="0" t="n">
        <f aca="false">04_回帰ANOVA!$K$19*04_回帰ANOVA!$K$14*SQRT(1+R480)</f>
        <v>1.1700129157584</v>
      </c>
      <c r="T480" s="0" t="n">
        <f aca="false">Q480-S480</f>
        <v>43.5910382206053</v>
      </c>
      <c r="U480" s="0" t="n">
        <f aca="false">Q480+S480</f>
        <v>45.931064052122</v>
      </c>
      <c r="V480" s="54" t="b">
        <f aca="false">AND(D480&gt;=01_因子設定!$L$5-0.000000001,D480&lt;=01_因子設定!$M$5+0.000000001,E480&gt;=01_因子設定!$L$6-0.000000001,E480&lt;=01_因子設定!$M$6+0.000000001,F480&gt;=01_因子設定!$L$7-0.000000001,F480&lt;=01_因子設定!$M$7+0.000000001,IF(01_因子設定!$B$20="Box-Behnken",D480^2+E480^2+F480^2&lt;=2+0.000000001,TRUE()))</f>
        <v>1</v>
      </c>
      <c r="W480" s="55" t="n">
        <f aca="false">IF(V480,IF(01_因子設定!$B$13="最大化",T480-01_因子設定!$B$14,IF(01_因子設定!$B$13="最小化",01_因子設定!$B$15-U480,MIN(T480-01_因子設定!$B$14,01_因子設定!$B$15-U480))),-1E+030)</f>
        <v>-4.90896177939474</v>
      </c>
      <c r="X480" s="55" t="n">
        <f aca="false">IF(V480,IF(01_因子設定!$B$13="最大化",Q480,IF(01_因子設定!$B$13="最小化",-Q480,-ABS(Q480-01_因子設定!$B$16))),-1E+030)</f>
        <v>44.7610511363637</v>
      </c>
      <c r="Y480" s="55" t="n">
        <f aca="false">W480+ROW()*0.000000001</f>
        <v>-4.90896129939474</v>
      </c>
      <c r="Z480" s="55" t="n">
        <f aca="false">X480+ROW()*0.000000001</f>
        <v>44.7610516163636</v>
      </c>
    </row>
    <row r="481" customFormat="false" ht="15" hidden="false" customHeight="false" outlineLevel="0" collapsed="false">
      <c r="A481" s="0" t="n">
        <v>1</v>
      </c>
      <c r="B481" s="0" t="n">
        <v>11</v>
      </c>
      <c r="C481" s="0" t="n">
        <v>0</v>
      </c>
      <c r="D481" s="0" t="n">
        <f aca="false">-1+A481*0.125</f>
        <v>-0.875</v>
      </c>
      <c r="E481" s="0" t="n">
        <f aca="false">-1+B481*0.125</f>
        <v>0.375</v>
      </c>
      <c r="F481" s="0" t="n">
        <f aca="false">-1+C481*0.125</f>
        <v>-1</v>
      </c>
      <c r="G481" s="0" t="n">
        <f aca="false">1</f>
        <v>1</v>
      </c>
      <c r="H481" s="0" t="n">
        <f aca="false">D481</f>
        <v>-0.875</v>
      </c>
      <c r="I481" s="0" t="n">
        <f aca="false">E481</f>
        <v>0.375</v>
      </c>
      <c r="J481" s="0" t="n">
        <f aca="false">F481</f>
        <v>-1</v>
      </c>
      <c r="K481" s="0" t="n">
        <f aca="false">D481*E481</f>
        <v>-0.328125</v>
      </c>
      <c r="L481" s="0" t="n">
        <f aca="false">D481*F481</f>
        <v>0.875</v>
      </c>
      <c r="M481" s="0" t="n">
        <f aca="false">E481*F481</f>
        <v>-0.375</v>
      </c>
      <c r="N481" s="0" t="n">
        <f aca="false">D481*D481</f>
        <v>0.765625</v>
      </c>
      <c r="O481" s="0" t="n">
        <f aca="false">E481*E481</f>
        <v>0.140625</v>
      </c>
      <c r="P481" s="0" t="n">
        <f aca="false">F481*F481</f>
        <v>1</v>
      </c>
      <c r="Q481" s="0" t="n">
        <f aca="false">SUMPRODUCT(G481:P481,_XtX!$B$71:$K$71)</f>
        <v>41.4236860795455</v>
      </c>
      <c r="R481" s="0" t="n">
        <f aca="false">SUMPRODUCT(MMULT(G481:P481,_XtX!$B$58:$K$67),G481:P481)</f>
        <v>0.56971269087358</v>
      </c>
      <c r="S481" s="0" t="n">
        <f aca="false">04_回帰ANOVA!$K$19*04_回帰ANOVA!$K$14*SQRT(1+R481)</f>
        <v>1.16486801567081</v>
      </c>
      <c r="T481" s="0" t="n">
        <f aca="false">Q481-S481</f>
        <v>40.2588180638747</v>
      </c>
      <c r="U481" s="0" t="n">
        <f aca="false">Q481+S481</f>
        <v>42.5885540952163</v>
      </c>
      <c r="V481" s="54" t="b">
        <f aca="false">AND(D481&gt;=01_因子設定!$L$5-0.000000001,D481&lt;=01_因子設定!$M$5+0.000000001,E481&gt;=01_因子設定!$L$6-0.000000001,E481&lt;=01_因子設定!$M$6+0.000000001,F481&gt;=01_因子設定!$L$7-0.000000001,F481&lt;=01_因子設定!$M$7+0.000000001,IF(01_因子設定!$B$20="Box-Behnken",D481^2+E481^2+F481^2&lt;=2+0.000000001,TRUE()))</f>
        <v>1</v>
      </c>
      <c r="W481" s="55" t="n">
        <f aca="false">IF(V481,IF(01_因子設定!$B$13="最大化",T481-01_因子設定!$B$14,IF(01_因子設定!$B$13="最小化",01_因子設定!$B$15-U481,MIN(T481-01_因子設定!$B$14,01_因子設定!$B$15-U481))),-1E+030)</f>
        <v>-8.24118193612534</v>
      </c>
      <c r="X481" s="55" t="n">
        <f aca="false">IF(V481,IF(01_因子設定!$B$13="最大化",Q481,IF(01_因子設定!$B$13="最小化",-Q481,-ABS(Q481-01_因子設定!$B$16))),-1E+030)</f>
        <v>41.4236860795455</v>
      </c>
      <c r="Y481" s="55" t="n">
        <f aca="false">W481+ROW()*0.000000001</f>
        <v>-8.24118145512534</v>
      </c>
      <c r="Z481" s="55" t="n">
        <f aca="false">X481+ROW()*0.000000001</f>
        <v>41.4236865605455</v>
      </c>
    </row>
    <row r="482" customFormat="false" ht="15" hidden="false" customHeight="false" outlineLevel="0" collapsed="false">
      <c r="A482" s="0" t="n">
        <v>1</v>
      </c>
      <c r="B482" s="0" t="n">
        <v>11</v>
      </c>
      <c r="C482" s="0" t="n">
        <v>1</v>
      </c>
      <c r="D482" s="0" t="n">
        <f aca="false">-1+A482*0.125</f>
        <v>-0.875</v>
      </c>
      <c r="E482" s="0" t="n">
        <f aca="false">-1+B482*0.125</f>
        <v>0.375</v>
      </c>
      <c r="F482" s="0" t="n">
        <f aca="false">-1+C482*0.125</f>
        <v>-0.875</v>
      </c>
      <c r="G482" s="0" t="n">
        <f aca="false">1</f>
        <v>1</v>
      </c>
      <c r="H482" s="0" t="n">
        <f aca="false">D482</f>
        <v>-0.875</v>
      </c>
      <c r="I482" s="0" t="n">
        <f aca="false">E482</f>
        <v>0.375</v>
      </c>
      <c r="J482" s="0" t="n">
        <f aca="false">F482</f>
        <v>-0.875</v>
      </c>
      <c r="K482" s="0" t="n">
        <f aca="false">D482*E482</f>
        <v>-0.328125</v>
      </c>
      <c r="L482" s="0" t="n">
        <f aca="false">D482*F482</f>
        <v>0.765625</v>
      </c>
      <c r="M482" s="0" t="n">
        <f aca="false">E482*F482</f>
        <v>-0.328125</v>
      </c>
      <c r="N482" s="0" t="n">
        <f aca="false">D482*D482</f>
        <v>0.765625</v>
      </c>
      <c r="O482" s="0" t="n">
        <f aca="false">E482*E482</f>
        <v>0.140625</v>
      </c>
      <c r="P482" s="0" t="n">
        <f aca="false">F482*F482</f>
        <v>0.765625</v>
      </c>
      <c r="Q482" s="0" t="n">
        <f aca="false">SUMPRODUCT(G482:P482,_XtX!$B$71:$K$71)</f>
        <v>41.909609375</v>
      </c>
      <c r="R482" s="0" t="n">
        <f aca="false">SUMPRODUCT(MMULT(G482:P482,_XtX!$B$58:$K$67),G482:P482)</f>
        <v>0.448480224609375</v>
      </c>
      <c r="S482" s="0" t="n">
        <f aca="false">04_回帰ANOVA!$K$19*04_回帰ANOVA!$K$14*SQRT(1+R482)</f>
        <v>1.11898153812985</v>
      </c>
      <c r="T482" s="0" t="n">
        <f aca="false">Q482-S482</f>
        <v>40.7906278368702</v>
      </c>
      <c r="U482" s="0" t="n">
        <f aca="false">Q482+S482</f>
        <v>43.0285909131299</v>
      </c>
      <c r="V482" s="54" t="b">
        <f aca="false">AND(D482&gt;=01_因子設定!$L$5-0.000000001,D482&lt;=01_因子設定!$M$5+0.000000001,E482&gt;=01_因子設定!$L$6-0.000000001,E482&lt;=01_因子設定!$M$6+0.000000001,F482&gt;=01_因子設定!$L$7-0.000000001,F482&lt;=01_因子設定!$M$7+0.000000001,IF(01_因子設定!$B$20="Box-Behnken",D482^2+E482^2+F482^2&lt;=2+0.000000001,TRUE()))</f>
        <v>1</v>
      </c>
      <c r="W482" s="55" t="n">
        <f aca="false">IF(V482,IF(01_因子設定!$B$13="最大化",T482-01_因子設定!$B$14,IF(01_因子設定!$B$13="最小化",01_因子設定!$B$15-U482,MIN(T482-01_因子設定!$B$14,01_因子設定!$B$15-U482))),-1E+030)</f>
        <v>-7.70937216312984</v>
      </c>
      <c r="X482" s="55" t="n">
        <f aca="false">IF(V482,IF(01_因子設定!$B$13="最大化",Q482,IF(01_因子設定!$B$13="最小化",-Q482,-ABS(Q482-01_因子設定!$B$16))),-1E+030)</f>
        <v>41.909609375</v>
      </c>
      <c r="Y482" s="55" t="n">
        <f aca="false">W482+ROW()*0.000000001</f>
        <v>-7.70937168112984</v>
      </c>
      <c r="Z482" s="55" t="n">
        <f aca="false">X482+ROW()*0.000000001</f>
        <v>41.909609857</v>
      </c>
    </row>
    <row r="483" customFormat="false" ht="15" hidden="false" customHeight="false" outlineLevel="0" collapsed="false">
      <c r="A483" s="0" t="n">
        <v>1</v>
      </c>
      <c r="B483" s="0" t="n">
        <v>11</v>
      </c>
      <c r="C483" s="0" t="n">
        <v>2</v>
      </c>
      <c r="D483" s="0" t="n">
        <f aca="false">-1+A483*0.125</f>
        <v>-0.875</v>
      </c>
      <c r="E483" s="0" t="n">
        <f aca="false">-1+B483*0.125</f>
        <v>0.375</v>
      </c>
      <c r="F483" s="0" t="n">
        <f aca="false">-1+C483*0.125</f>
        <v>-0.75</v>
      </c>
      <c r="G483" s="0" t="n">
        <f aca="false">1</f>
        <v>1</v>
      </c>
      <c r="H483" s="0" t="n">
        <f aca="false">D483</f>
        <v>-0.875</v>
      </c>
      <c r="I483" s="0" t="n">
        <f aca="false">E483</f>
        <v>0.375</v>
      </c>
      <c r="J483" s="0" t="n">
        <f aca="false">F483</f>
        <v>-0.75</v>
      </c>
      <c r="K483" s="0" t="n">
        <f aca="false">D483*E483</f>
        <v>-0.328125</v>
      </c>
      <c r="L483" s="0" t="n">
        <f aca="false">D483*F483</f>
        <v>0.65625</v>
      </c>
      <c r="M483" s="0" t="n">
        <f aca="false">E483*F483</f>
        <v>-0.28125</v>
      </c>
      <c r="N483" s="0" t="n">
        <f aca="false">D483*D483</f>
        <v>0.765625</v>
      </c>
      <c r="O483" s="0" t="n">
        <f aca="false">E483*E483</f>
        <v>0.140625</v>
      </c>
      <c r="P483" s="0" t="n">
        <f aca="false">F483*F483</f>
        <v>0.5625</v>
      </c>
      <c r="Q483" s="0" t="n">
        <f aca="false">SUMPRODUCT(G483:P483,_XtX!$B$71:$K$71)</f>
        <v>42.3587428977273</v>
      </c>
      <c r="R483" s="0" t="n">
        <f aca="false">SUMPRODUCT(MMULT(G483:P483,_XtX!$B$58:$K$67),G483:P483)</f>
        <v>0.375727428089489</v>
      </c>
      <c r="S483" s="0" t="n">
        <f aca="false">04_回帰ANOVA!$K$19*04_回帰ANOVA!$K$14*SQRT(1+R483)</f>
        <v>1.09051798904087</v>
      </c>
      <c r="T483" s="0" t="n">
        <f aca="false">Q483-S483</f>
        <v>41.2682249086864</v>
      </c>
      <c r="U483" s="0" t="n">
        <f aca="false">Q483+S483</f>
        <v>43.4492608867682</v>
      </c>
      <c r="V483" s="54" t="b">
        <f aca="false">AND(D483&gt;=01_因子設定!$L$5-0.000000001,D483&lt;=01_因子設定!$M$5+0.000000001,E483&gt;=01_因子設定!$L$6-0.000000001,E483&lt;=01_因子設定!$M$6+0.000000001,F483&gt;=01_因子設定!$L$7-0.000000001,F483&lt;=01_因子設定!$M$7+0.000000001,IF(01_因子設定!$B$20="Box-Behnken",D483^2+E483^2+F483^2&lt;=2+0.000000001,TRUE()))</f>
        <v>1</v>
      </c>
      <c r="W483" s="55" t="n">
        <f aca="false">IF(V483,IF(01_因子設定!$B$13="最大化",T483-01_因子設定!$B$14,IF(01_因子設定!$B$13="最小化",01_因子設定!$B$15-U483,MIN(T483-01_因子設定!$B$14,01_因子設定!$B$15-U483))),-1E+030)</f>
        <v>-7.2317750913136</v>
      </c>
      <c r="X483" s="55" t="n">
        <f aca="false">IF(V483,IF(01_因子設定!$B$13="最大化",Q483,IF(01_因子設定!$B$13="最小化",-Q483,-ABS(Q483-01_因子設定!$B$16))),-1E+030)</f>
        <v>42.3587428977273</v>
      </c>
      <c r="Y483" s="55" t="n">
        <f aca="false">W483+ROW()*0.000000001</f>
        <v>-7.2317746083136</v>
      </c>
      <c r="Z483" s="55" t="n">
        <f aca="false">X483+ROW()*0.000000001</f>
        <v>42.3587433807273</v>
      </c>
    </row>
    <row r="484" customFormat="false" ht="15" hidden="false" customHeight="false" outlineLevel="0" collapsed="false">
      <c r="A484" s="0" t="n">
        <v>1</v>
      </c>
      <c r="B484" s="0" t="n">
        <v>11</v>
      </c>
      <c r="C484" s="0" t="n">
        <v>3</v>
      </c>
      <c r="D484" s="0" t="n">
        <f aca="false">-1+A484*0.125</f>
        <v>-0.875</v>
      </c>
      <c r="E484" s="0" t="n">
        <f aca="false">-1+B484*0.125</f>
        <v>0.375</v>
      </c>
      <c r="F484" s="0" t="n">
        <f aca="false">-1+C484*0.125</f>
        <v>-0.625</v>
      </c>
      <c r="G484" s="0" t="n">
        <f aca="false">1</f>
        <v>1</v>
      </c>
      <c r="H484" s="0" t="n">
        <f aca="false">D484</f>
        <v>-0.875</v>
      </c>
      <c r="I484" s="0" t="n">
        <f aca="false">E484</f>
        <v>0.375</v>
      </c>
      <c r="J484" s="0" t="n">
        <f aca="false">F484</f>
        <v>-0.625</v>
      </c>
      <c r="K484" s="0" t="n">
        <f aca="false">D484*E484</f>
        <v>-0.328125</v>
      </c>
      <c r="L484" s="0" t="n">
        <f aca="false">D484*F484</f>
        <v>0.546875</v>
      </c>
      <c r="M484" s="0" t="n">
        <f aca="false">E484*F484</f>
        <v>-0.234375</v>
      </c>
      <c r="N484" s="0" t="n">
        <f aca="false">D484*D484</f>
        <v>0.765625</v>
      </c>
      <c r="O484" s="0" t="n">
        <f aca="false">E484*E484</f>
        <v>0.140625</v>
      </c>
      <c r="P484" s="0" t="n">
        <f aca="false">F484*F484</f>
        <v>0.390625</v>
      </c>
      <c r="Q484" s="0" t="n">
        <f aca="false">SUMPRODUCT(G484:P484,_XtX!$B$71:$K$71)</f>
        <v>42.7710866477273</v>
      </c>
      <c r="R484" s="0" t="n">
        <f aca="false">SUMPRODUCT(MMULT(G484:P484,_XtX!$B$58:$K$67),G484:P484)</f>
        <v>0.337604869495739</v>
      </c>
      <c r="S484" s="0" t="n">
        <f aca="false">04_回帰ANOVA!$K$19*04_回帰ANOVA!$K$14*SQRT(1+R484)</f>
        <v>1.07530225516193</v>
      </c>
      <c r="T484" s="0" t="n">
        <f aca="false">Q484-S484</f>
        <v>41.6957843925653</v>
      </c>
      <c r="U484" s="0" t="n">
        <f aca="false">Q484+S484</f>
        <v>43.8463889028892</v>
      </c>
      <c r="V484" s="54" t="b">
        <f aca="false">AND(D484&gt;=01_因子設定!$L$5-0.000000001,D484&lt;=01_因子設定!$M$5+0.000000001,E484&gt;=01_因子設定!$L$6-0.000000001,E484&lt;=01_因子設定!$M$6+0.000000001,F484&gt;=01_因子設定!$L$7-0.000000001,F484&lt;=01_因子設定!$M$7+0.000000001,IF(01_因子設定!$B$20="Box-Behnken",D484^2+E484^2+F484^2&lt;=2+0.000000001,TRUE()))</f>
        <v>1</v>
      </c>
      <c r="W484" s="55" t="n">
        <f aca="false">IF(V484,IF(01_因子設定!$B$13="最大化",T484-01_因子設定!$B$14,IF(01_因子設定!$B$13="最小化",01_因子設定!$B$15-U484,MIN(T484-01_因子設定!$B$14,01_因子設定!$B$15-U484))),-1E+030)</f>
        <v>-6.80421560743466</v>
      </c>
      <c r="X484" s="55" t="n">
        <f aca="false">IF(V484,IF(01_因子設定!$B$13="最大化",Q484,IF(01_因子設定!$B$13="最小化",-Q484,-ABS(Q484-01_因子設定!$B$16))),-1E+030)</f>
        <v>42.7710866477273</v>
      </c>
      <c r="Y484" s="55" t="n">
        <f aca="false">W484+ROW()*0.000000001</f>
        <v>-6.80421512343466</v>
      </c>
      <c r="Z484" s="55" t="n">
        <f aca="false">X484+ROW()*0.000000001</f>
        <v>42.7710871317273</v>
      </c>
    </row>
    <row r="485" customFormat="false" ht="15" hidden="false" customHeight="false" outlineLevel="0" collapsed="false">
      <c r="A485" s="0" t="n">
        <v>1</v>
      </c>
      <c r="B485" s="0" t="n">
        <v>11</v>
      </c>
      <c r="C485" s="0" t="n">
        <v>4</v>
      </c>
      <c r="D485" s="0" t="n">
        <f aca="false">-1+A485*0.125</f>
        <v>-0.875</v>
      </c>
      <c r="E485" s="0" t="n">
        <f aca="false">-1+B485*0.125</f>
        <v>0.375</v>
      </c>
      <c r="F485" s="0" t="n">
        <f aca="false">-1+C485*0.125</f>
        <v>-0.5</v>
      </c>
      <c r="G485" s="0" t="n">
        <f aca="false">1</f>
        <v>1</v>
      </c>
      <c r="H485" s="0" t="n">
        <f aca="false">D485</f>
        <v>-0.875</v>
      </c>
      <c r="I485" s="0" t="n">
        <f aca="false">E485</f>
        <v>0.375</v>
      </c>
      <c r="J485" s="0" t="n">
        <f aca="false">F485</f>
        <v>-0.5</v>
      </c>
      <c r="K485" s="0" t="n">
        <f aca="false">D485*E485</f>
        <v>-0.328125</v>
      </c>
      <c r="L485" s="0" t="n">
        <f aca="false">D485*F485</f>
        <v>0.4375</v>
      </c>
      <c r="M485" s="0" t="n">
        <f aca="false">E485*F485</f>
        <v>-0.1875</v>
      </c>
      <c r="N485" s="0" t="n">
        <f aca="false">D485*D485</f>
        <v>0.765625</v>
      </c>
      <c r="O485" s="0" t="n">
        <f aca="false">E485*E485</f>
        <v>0.140625</v>
      </c>
      <c r="P485" s="0" t="n">
        <f aca="false">F485*F485</f>
        <v>0.25</v>
      </c>
      <c r="Q485" s="0" t="n">
        <f aca="false">SUMPRODUCT(G485:P485,_XtX!$B$71:$K$71)</f>
        <v>43.146640625</v>
      </c>
      <c r="R485" s="0" t="n">
        <f aca="false">SUMPRODUCT(MMULT(G485:P485,_XtX!$B$58:$K$67),G485:P485)</f>
        <v>0.322393798828125</v>
      </c>
      <c r="S485" s="0" t="n">
        <f aca="false">04_回帰ANOVA!$K$19*04_回帰ANOVA!$K$14*SQRT(1+R485)</f>
        <v>1.06917067390712</v>
      </c>
      <c r="T485" s="0" t="n">
        <f aca="false">Q485-S485</f>
        <v>42.0774699510929</v>
      </c>
      <c r="U485" s="0" t="n">
        <f aca="false">Q485+S485</f>
        <v>44.2158112989071</v>
      </c>
      <c r="V485" s="54" t="b">
        <f aca="false">AND(D485&gt;=01_因子設定!$L$5-0.000000001,D485&lt;=01_因子設定!$M$5+0.000000001,E485&gt;=01_因子設定!$L$6-0.000000001,E485&lt;=01_因子設定!$M$6+0.000000001,F485&gt;=01_因子設定!$L$7-0.000000001,F485&lt;=01_因子設定!$M$7+0.000000001,IF(01_因子設定!$B$20="Box-Behnken",D485^2+E485^2+F485^2&lt;=2+0.000000001,TRUE()))</f>
        <v>1</v>
      </c>
      <c r="W485" s="55" t="n">
        <f aca="false">IF(V485,IF(01_因子設定!$B$13="最大化",T485-01_因子設定!$B$14,IF(01_因子設定!$B$13="最小化",01_因子設定!$B$15-U485,MIN(T485-01_因子設定!$B$14,01_因子設定!$B$15-U485))),-1E+030)</f>
        <v>-6.42253004890712</v>
      </c>
      <c r="X485" s="55" t="n">
        <f aca="false">IF(V485,IF(01_因子設定!$B$13="最大化",Q485,IF(01_因子設定!$B$13="最小化",-Q485,-ABS(Q485-01_因子設定!$B$16))),-1E+030)</f>
        <v>43.146640625</v>
      </c>
      <c r="Y485" s="55" t="n">
        <f aca="false">W485+ROW()*0.000000001</f>
        <v>-6.42252956390712</v>
      </c>
      <c r="Z485" s="55" t="n">
        <f aca="false">X485+ROW()*0.000000001</f>
        <v>43.14664111</v>
      </c>
    </row>
    <row r="486" customFormat="false" ht="15" hidden="false" customHeight="false" outlineLevel="0" collapsed="false">
      <c r="A486" s="0" t="n">
        <v>1</v>
      </c>
      <c r="B486" s="0" t="n">
        <v>11</v>
      </c>
      <c r="C486" s="0" t="n">
        <v>5</v>
      </c>
      <c r="D486" s="0" t="n">
        <f aca="false">-1+A486*0.125</f>
        <v>-0.875</v>
      </c>
      <c r="E486" s="0" t="n">
        <f aca="false">-1+B486*0.125</f>
        <v>0.375</v>
      </c>
      <c r="F486" s="0" t="n">
        <f aca="false">-1+C486*0.125</f>
        <v>-0.375</v>
      </c>
      <c r="G486" s="0" t="n">
        <f aca="false">1</f>
        <v>1</v>
      </c>
      <c r="H486" s="0" t="n">
        <f aca="false">D486</f>
        <v>-0.875</v>
      </c>
      <c r="I486" s="0" t="n">
        <f aca="false">E486</f>
        <v>0.375</v>
      </c>
      <c r="J486" s="0" t="n">
        <f aca="false">F486</f>
        <v>-0.375</v>
      </c>
      <c r="K486" s="0" t="n">
        <f aca="false">D486*E486</f>
        <v>-0.328125</v>
      </c>
      <c r="L486" s="0" t="n">
        <f aca="false">D486*F486</f>
        <v>0.328125</v>
      </c>
      <c r="M486" s="0" t="n">
        <f aca="false">E486*F486</f>
        <v>-0.140625</v>
      </c>
      <c r="N486" s="0" t="n">
        <f aca="false">D486*D486</f>
        <v>0.765625</v>
      </c>
      <c r="O486" s="0" t="n">
        <f aca="false">E486*E486</f>
        <v>0.140625</v>
      </c>
      <c r="P486" s="0" t="n">
        <f aca="false">F486*F486</f>
        <v>0.140625</v>
      </c>
      <c r="Q486" s="0" t="n">
        <f aca="false">SUMPRODUCT(G486:P486,_XtX!$B$71:$K$71)</f>
        <v>43.4854048295455</v>
      </c>
      <c r="R486" s="0" t="n">
        <f aca="false">SUMPRODUCT(MMULT(G486:P486,_XtX!$B$58:$K$67),G486:P486)</f>
        <v>0.32050614790483</v>
      </c>
      <c r="S486" s="0" t="n">
        <f aca="false">04_回帰ANOVA!$K$19*04_回帰ANOVA!$K$14*SQRT(1+R486)</f>
        <v>1.06840730759619</v>
      </c>
      <c r="T486" s="0" t="n">
        <f aca="false">Q486-S486</f>
        <v>42.4169975219493</v>
      </c>
      <c r="U486" s="0" t="n">
        <f aca="false">Q486+S486</f>
        <v>44.5538121371416</v>
      </c>
      <c r="V486" s="54" t="b">
        <f aca="false">AND(D486&gt;=01_因子設定!$L$5-0.000000001,D486&lt;=01_因子設定!$M$5+0.000000001,E486&gt;=01_因子設定!$L$6-0.000000001,E486&lt;=01_因子設定!$M$6+0.000000001,F486&gt;=01_因子設定!$L$7-0.000000001,F486&lt;=01_因子設定!$M$7+0.000000001,IF(01_因子設定!$B$20="Box-Behnken",D486^2+E486^2+F486^2&lt;=2+0.000000001,TRUE()))</f>
        <v>1</v>
      </c>
      <c r="W486" s="55" t="n">
        <f aca="false">IF(V486,IF(01_因子設定!$B$13="最大化",T486-01_因子設定!$B$14,IF(01_因子設定!$B$13="最小化",01_因子設定!$B$15-U486,MIN(T486-01_因子設定!$B$14,01_因子設定!$B$15-U486))),-1E+030)</f>
        <v>-6.08300247805074</v>
      </c>
      <c r="X486" s="55" t="n">
        <f aca="false">IF(V486,IF(01_因子設定!$B$13="最大化",Q486,IF(01_因子設定!$B$13="最小化",-Q486,-ABS(Q486-01_因子設定!$B$16))),-1E+030)</f>
        <v>43.4854048295455</v>
      </c>
      <c r="Y486" s="55" t="n">
        <f aca="false">W486+ROW()*0.000000001</f>
        <v>-6.08300199205074</v>
      </c>
      <c r="Z486" s="55" t="n">
        <f aca="false">X486+ROW()*0.000000001</f>
        <v>43.4854053155455</v>
      </c>
    </row>
    <row r="487" customFormat="false" ht="15" hidden="false" customHeight="false" outlineLevel="0" collapsed="false">
      <c r="A487" s="0" t="n">
        <v>1</v>
      </c>
      <c r="B487" s="0" t="n">
        <v>11</v>
      </c>
      <c r="C487" s="0" t="n">
        <v>6</v>
      </c>
      <c r="D487" s="0" t="n">
        <f aca="false">-1+A487*0.125</f>
        <v>-0.875</v>
      </c>
      <c r="E487" s="0" t="n">
        <f aca="false">-1+B487*0.125</f>
        <v>0.375</v>
      </c>
      <c r="F487" s="0" t="n">
        <f aca="false">-1+C487*0.125</f>
        <v>-0.25</v>
      </c>
      <c r="G487" s="0" t="n">
        <f aca="false">1</f>
        <v>1</v>
      </c>
      <c r="H487" s="0" t="n">
        <f aca="false">D487</f>
        <v>-0.875</v>
      </c>
      <c r="I487" s="0" t="n">
        <f aca="false">E487</f>
        <v>0.375</v>
      </c>
      <c r="J487" s="0" t="n">
        <f aca="false">F487</f>
        <v>-0.25</v>
      </c>
      <c r="K487" s="0" t="n">
        <f aca="false">D487*E487</f>
        <v>-0.328125</v>
      </c>
      <c r="L487" s="0" t="n">
        <f aca="false">D487*F487</f>
        <v>0.21875</v>
      </c>
      <c r="M487" s="0" t="n">
        <f aca="false">E487*F487</f>
        <v>-0.09375</v>
      </c>
      <c r="N487" s="0" t="n">
        <f aca="false">D487*D487</f>
        <v>0.765625</v>
      </c>
      <c r="O487" s="0" t="n">
        <f aca="false">E487*E487</f>
        <v>0.140625</v>
      </c>
      <c r="P487" s="0" t="n">
        <f aca="false">F487*F487</f>
        <v>0.0625</v>
      </c>
      <c r="Q487" s="0" t="n">
        <f aca="false">SUMPRODUCT(G487:P487,_XtX!$B$71:$K$71)</f>
        <v>43.7873792613636</v>
      </c>
      <c r="R487" s="0" t="n">
        <f aca="false">SUMPRODUCT(MMULT(G487:P487,_XtX!$B$58:$K$67),G487:P487)</f>
        <v>0.324484530362216</v>
      </c>
      <c r="S487" s="0" t="n">
        <f aca="false">04_回帰ANOVA!$K$19*04_回帰ANOVA!$K$14*SQRT(1+R487)</f>
        <v>1.07001553041279</v>
      </c>
      <c r="T487" s="0" t="n">
        <f aca="false">Q487-S487</f>
        <v>42.7173637309508</v>
      </c>
      <c r="U487" s="0" t="n">
        <f aca="false">Q487+S487</f>
        <v>44.8573947917764</v>
      </c>
      <c r="V487" s="54" t="b">
        <f aca="false">AND(D487&gt;=01_因子設定!$L$5-0.000000001,D487&lt;=01_因子設定!$M$5+0.000000001,E487&gt;=01_因子設定!$L$6-0.000000001,E487&lt;=01_因子設定!$M$6+0.000000001,F487&gt;=01_因子設定!$L$7-0.000000001,F487&lt;=01_因子設定!$M$7+0.000000001,IF(01_因子設定!$B$20="Box-Behnken",D487^2+E487^2+F487^2&lt;=2+0.000000001,TRUE()))</f>
        <v>1</v>
      </c>
      <c r="W487" s="55" t="n">
        <f aca="false">IF(V487,IF(01_因子設定!$B$13="最大化",T487-01_因子設定!$B$14,IF(01_因子設定!$B$13="最小化",01_因子設定!$B$15-U487,MIN(T487-01_因子設定!$B$14,01_因子設定!$B$15-U487))),-1E+030)</f>
        <v>-5.78263626904916</v>
      </c>
      <c r="X487" s="55" t="n">
        <f aca="false">IF(V487,IF(01_因子設定!$B$13="最大化",Q487,IF(01_因子設定!$B$13="最小化",-Q487,-ABS(Q487-01_因子設定!$B$16))),-1E+030)</f>
        <v>43.7873792613636</v>
      </c>
      <c r="Y487" s="55" t="n">
        <f aca="false">W487+ROW()*0.000000001</f>
        <v>-5.78263578204916</v>
      </c>
      <c r="Z487" s="55" t="n">
        <f aca="false">X487+ROW()*0.000000001</f>
        <v>43.7873797483636</v>
      </c>
    </row>
    <row r="488" customFormat="false" ht="15" hidden="false" customHeight="false" outlineLevel="0" collapsed="false">
      <c r="A488" s="0" t="n">
        <v>1</v>
      </c>
      <c r="B488" s="0" t="n">
        <v>11</v>
      </c>
      <c r="C488" s="0" t="n">
        <v>7</v>
      </c>
      <c r="D488" s="0" t="n">
        <f aca="false">-1+A488*0.125</f>
        <v>-0.875</v>
      </c>
      <c r="E488" s="0" t="n">
        <f aca="false">-1+B488*0.125</f>
        <v>0.375</v>
      </c>
      <c r="F488" s="0" t="n">
        <f aca="false">-1+C488*0.125</f>
        <v>-0.125</v>
      </c>
      <c r="G488" s="0" t="n">
        <f aca="false">1</f>
        <v>1</v>
      </c>
      <c r="H488" s="0" t="n">
        <f aca="false">D488</f>
        <v>-0.875</v>
      </c>
      <c r="I488" s="0" t="n">
        <f aca="false">E488</f>
        <v>0.375</v>
      </c>
      <c r="J488" s="0" t="n">
        <f aca="false">F488</f>
        <v>-0.125</v>
      </c>
      <c r="K488" s="0" t="n">
        <f aca="false">D488*E488</f>
        <v>-0.328125</v>
      </c>
      <c r="L488" s="0" t="n">
        <f aca="false">D488*F488</f>
        <v>0.109375</v>
      </c>
      <c r="M488" s="0" t="n">
        <f aca="false">E488*F488</f>
        <v>-0.046875</v>
      </c>
      <c r="N488" s="0" t="n">
        <f aca="false">D488*D488</f>
        <v>0.765625</v>
      </c>
      <c r="O488" s="0" t="n">
        <f aca="false">E488*E488</f>
        <v>0.140625</v>
      </c>
      <c r="P488" s="0" t="n">
        <f aca="false">F488*F488</f>
        <v>0.015625</v>
      </c>
      <c r="Q488" s="0" t="n">
        <f aca="false">SUMPRODUCT(G488:P488,_XtX!$B$71:$K$71)</f>
        <v>44.0525639204545</v>
      </c>
      <c r="R488" s="0" t="n">
        <f aca="false">SUMPRODUCT(MMULT(G488:P488,_XtX!$B$58:$K$67),G488:P488)</f>
        <v>0.32900224165483</v>
      </c>
      <c r="S488" s="0" t="n">
        <f aca="false">04_回帰ANOVA!$K$19*04_回帰ANOVA!$K$14*SQRT(1+R488)</f>
        <v>1.07183884583628</v>
      </c>
      <c r="T488" s="0" t="n">
        <f aca="false">Q488-S488</f>
        <v>42.9807250746183</v>
      </c>
      <c r="U488" s="0" t="n">
        <f aca="false">Q488+S488</f>
        <v>45.1244027662908</v>
      </c>
      <c r="V488" s="54" t="b">
        <f aca="false">AND(D488&gt;=01_因子設定!$L$5-0.000000001,D488&lt;=01_因子設定!$M$5+0.000000001,E488&gt;=01_因子設定!$L$6-0.000000001,E488&lt;=01_因子設定!$M$6+0.000000001,F488&gt;=01_因子設定!$L$7-0.000000001,F488&lt;=01_因子設定!$M$7+0.000000001,IF(01_因子設定!$B$20="Box-Behnken",D488^2+E488^2+F488^2&lt;=2+0.000000001,TRUE()))</f>
        <v>1</v>
      </c>
      <c r="W488" s="55" t="n">
        <f aca="false">IF(V488,IF(01_因子設定!$B$13="最大化",T488-01_因子設定!$B$14,IF(01_因子設定!$B$13="最小化",01_因子設定!$B$15-U488,MIN(T488-01_因子設定!$B$14,01_因子設定!$B$15-U488))),-1E+030)</f>
        <v>-5.51927492538174</v>
      </c>
      <c r="X488" s="55" t="n">
        <f aca="false">IF(V488,IF(01_因子設定!$B$13="最大化",Q488,IF(01_因子設定!$B$13="最小化",-Q488,-ABS(Q488-01_因子設定!$B$16))),-1E+030)</f>
        <v>44.0525639204545</v>
      </c>
      <c r="Y488" s="55" t="n">
        <f aca="false">W488+ROW()*0.000000001</f>
        <v>-5.51927443738174</v>
      </c>
      <c r="Z488" s="55" t="n">
        <f aca="false">X488+ROW()*0.000000001</f>
        <v>44.0525644084545</v>
      </c>
    </row>
    <row r="489" customFormat="false" ht="15" hidden="false" customHeight="false" outlineLevel="0" collapsed="false">
      <c r="A489" s="0" t="n">
        <v>1</v>
      </c>
      <c r="B489" s="0" t="n">
        <v>11</v>
      </c>
      <c r="C489" s="0" t="n">
        <v>8</v>
      </c>
      <c r="D489" s="0" t="n">
        <f aca="false">-1+A489*0.125</f>
        <v>-0.875</v>
      </c>
      <c r="E489" s="0" t="n">
        <f aca="false">-1+B489*0.125</f>
        <v>0.375</v>
      </c>
      <c r="F489" s="0" t="n">
        <f aca="false">-1+C489*0.125</f>
        <v>0</v>
      </c>
      <c r="G489" s="0" t="n">
        <f aca="false">1</f>
        <v>1</v>
      </c>
      <c r="H489" s="0" t="n">
        <f aca="false">D489</f>
        <v>-0.875</v>
      </c>
      <c r="I489" s="0" t="n">
        <f aca="false">E489</f>
        <v>0.375</v>
      </c>
      <c r="J489" s="0" t="n">
        <f aca="false">F489</f>
        <v>0</v>
      </c>
      <c r="K489" s="0" t="n">
        <f aca="false">D489*E489</f>
        <v>-0.328125</v>
      </c>
      <c r="L489" s="0" t="n">
        <f aca="false">D489*F489</f>
        <v>-0</v>
      </c>
      <c r="M489" s="0" t="n">
        <f aca="false">E489*F489</f>
        <v>0</v>
      </c>
      <c r="N489" s="0" t="n">
        <f aca="false">D489*D489</f>
        <v>0.765625</v>
      </c>
      <c r="O489" s="0" t="n">
        <f aca="false">E489*E489</f>
        <v>0.140625</v>
      </c>
      <c r="P489" s="0" t="n">
        <f aca="false">F489*F489</f>
        <v>0</v>
      </c>
      <c r="Q489" s="0" t="n">
        <f aca="false">SUMPRODUCT(G489:P489,_XtX!$B$71:$K$71)</f>
        <v>44.2809588068182</v>
      </c>
      <c r="R489" s="0" t="n">
        <f aca="false">SUMPRODUCT(MMULT(G489:P489,_XtX!$B$58:$K$67),G489:P489)</f>
        <v>0.330863259055398</v>
      </c>
      <c r="S489" s="0" t="n">
        <f aca="false">04_回帰ANOVA!$K$19*04_回帰ANOVA!$K$14*SQRT(1+R489)</f>
        <v>1.07258903754571</v>
      </c>
      <c r="T489" s="0" t="n">
        <f aca="false">Q489-S489</f>
        <v>43.2083697692725</v>
      </c>
      <c r="U489" s="0" t="n">
        <f aca="false">Q489+S489</f>
        <v>45.3535478443639</v>
      </c>
      <c r="V489" s="54" t="b">
        <f aca="false">AND(D489&gt;=01_因子設定!$L$5-0.000000001,D489&lt;=01_因子設定!$M$5+0.000000001,E489&gt;=01_因子設定!$L$6-0.000000001,E489&lt;=01_因子設定!$M$6+0.000000001,F489&gt;=01_因子設定!$L$7-0.000000001,F489&lt;=01_因子設定!$M$7+0.000000001,IF(01_因子設定!$B$20="Box-Behnken",D489^2+E489^2+F489^2&lt;=2+0.000000001,TRUE()))</f>
        <v>1</v>
      </c>
      <c r="W489" s="55" t="n">
        <f aca="false">IF(V489,IF(01_因子設定!$B$13="最大化",T489-01_因子設定!$B$14,IF(01_因子設定!$B$13="最小化",01_因子設定!$B$15-U489,MIN(T489-01_因子設定!$B$14,01_因子設定!$B$15-U489))),-1E+030)</f>
        <v>-5.29163023072753</v>
      </c>
      <c r="X489" s="55" t="n">
        <f aca="false">IF(V489,IF(01_因子設定!$B$13="最大化",Q489,IF(01_因子設定!$B$13="最小化",-Q489,-ABS(Q489-01_因子設定!$B$16))),-1E+030)</f>
        <v>44.2809588068182</v>
      </c>
      <c r="Y489" s="55" t="n">
        <f aca="false">W489+ROW()*0.000000001</f>
        <v>-5.29162974172753</v>
      </c>
      <c r="Z489" s="55" t="n">
        <f aca="false">X489+ROW()*0.000000001</f>
        <v>44.2809592958182</v>
      </c>
    </row>
    <row r="490" customFormat="false" ht="15" hidden="false" customHeight="false" outlineLevel="0" collapsed="false">
      <c r="A490" s="0" t="n">
        <v>1</v>
      </c>
      <c r="B490" s="0" t="n">
        <v>11</v>
      </c>
      <c r="C490" s="0" t="n">
        <v>9</v>
      </c>
      <c r="D490" s="0" t="n">
        <f aca="false">-1+A490*0.125</f>
        <v>-0.875</v>
      </c>
      <c r="E490" s="0" t="n">
        <f aca="false">-1+B490*0.125</f>
        <v>0.375</v>
      </c>
      <c r="F490" s="0" t="n">
        <f aca="false">-1+C490*0.125</f>
        <v>0.125</v>
      </c>
      <c r="G490" s="0" t="n">
        <f aca="false">1</f>
        <v>1</v>
      </c>
      <c r="H490" s="0" t="n">
        <f aca="false">D490</f>
        <v>-0.875</v>
      </c>
      <c r="I490" s="0" t="n">
        <f aca="false">E490</f>
        <v>0.375</v>
      </c>
      <c r="J490" s="0" t="n">
        <f aca="false">F490</f>
        <v>0.125</v>
      </c>
      <c r="K490" s="0" t="n">
        <f aca="false">D490*E490</f>
        <v>-0.328125</v>
      </c>
      <c r="L490" s="0" t="n">
        <f aca="false">D490*F490</f>
        <v>-0.109375</v>
      </c>
      <c r="M490" s="0" t="n">
        <f aca="false">E490*F490</f>
        <v>0.046875</v>
      </c>
      <c r="N490" s="0" t="n">
        <f aca="false">D490*D490</f>
        <v>0.765625</v>
      </c>
      <c r="O490" s="0" t="n">
        <f aca="false">E490*E490</f>
        <v>0.140625</v>
      </c>
      <c r="P490" s="0" t="n">
        <f aca="false">F490*F490</f>
        <v>0.015625</v>
      </c>
      <c r="Q490" s="0" t="n">
        <f aca="false">SUMPRODUCT(G490:P490,_XtX!$B$71:$K$71)</f>
        <v>44.4725639204545</v>
      </c>
      <c r="R490" s="0" t="n">
        <f aca="false">SUMPRODUCT(MMULT(G490:P490,_XtX!$B$58:$K$67),G490:P490)</f>
        <v>0.32900224165483</v>
      </c>
      <c r="S490" s="0" t="n">
        <f aca="false">04_回帰ANOVA!$K$19*04_回帰ANOVA!$K$14*SQRT(1+R490)</f>
        <v>1.07183884583628</v>
      </c>
      <c r="T490" s="0" t="n">
        <f aca="false">Q490-S490</f>
        <v>43.4007250746183</v>
      </c>
      <c r="U490" s="0" t="n">
        <f aca="false">Q490+S490</f>
        <v>45.5444027662908</v>
      </c>
      <c r="V490" s="54" t="b">
        <f aca="false">AND(D490&gt;=01_因子設定!$L$5-0.000000001,D490&lt;=01_因子設定!$M$5+0.000000001,E490&gt;=01_因子設定!$L$6-0.000000001,E490&lt;=01_因子設定!$M$6+0.000000001,F490&gt;=01_因子設定!$L$7-0.000000001,F490&lt;=01_因子設定!$M$7+0.000000001,IF(01_因子設定!$B$20="Box-Behnken",D490^2+E490^2+F490^2&lt;=2+0.000000001,TRUE()))</f>
        <v>1</v>
      </c>
      <c r="W490" s="55" t="n">
        <f aca="false">IF(V490,IF(01_因子設定!$B$13="最大化",T490-01_因子設定!$B$14,IF(01_因子設定!$B$13="最小化",01_因子設定!$B$15-U490,MIN(T490-01_因子設定!$B$14,01_因子設定!$B$15-U490))),-1E+030)</f>
        <v>-5.09927492538174</v>
      </c>
      <c r="X490" s="55" t="n">
        <f aca="false">IF(V490,IF(01_因子設定!$B$13="最大化",Q490,IF(01_因子設定!$B$13="最小化",-Q490,-ABS(Q490-01_因子設定!$B$16))),-1E+030)</f>
        <v>44.4725639204545</v>
      </c>
      <c r="Y490" s="55" t="n">
        <f aca="false">W490+ROW()*0.000000001</f>
        <v>-5.09927443538174</v>
      </c>
      <c r="Z490" s="55" t="n">
        <f aca="false">X490+ROW()*0.000000001</f>
        <v>44.4725644104545</v>
      </c>
    </row>
    <row r="491" customFormat="false" ht="15" hidden="false" customHeight="false" outlineLevel="0" collapsed="false">
      <c r="A491" s="0" t="n">
        <v>1</v>
      </c>
      <c r="B491" s="0" t="n">
        <v>11</v>
      </c>
      <c r="C491" s="0" t="n">
        <v>10</v>
      </c>
      <c r="D491" s="0" t="n">
        <f aca="false">-1+A491*0.125</f>
        <v>-0.875</v>
      </c>
      <c r="E491" s="0" t="n">
        <f aca="false">-1+B491*0.125</f>
        <v>0.375</v>
      </c>
      <c r="F491" s="0" t="n">
        <f aca="false">-1+C491*0.125</f>
        <v>0.25</v>
      </c>
      <c r="G491" s="0" t="n">
        <f aca="false">1</f>
        <v>1</v>
      </c>
      <c r="H491" s="0" t="n">
        <f aca="false">D491</f>
        <v>-0.875</v>
      </c>
      <c r="I491" s="0" t="n">
        <f aca="false">E491</f>
        <v>0.375</v>
      </c>
      <c r="J491" s="0" t="n">
        <f aca="false">F491</f>
        <v>0.25</v>
      </c>
      <c r="K491" s="0" t="n">
        <f aca="false">D491*E491</f>
        <v>-0.328125</v>
      </c>
      <c r="L491" s="0" t="n">
        <f aca="false">D491*F491</f>
        <v>-0.21875</v>
      </c>
      <c r="M491" s="0" t="n">
        <f aca="false">E491*F491</f>
        <v>0.09375</v>
      </c>
      <c r="N491" s="0" t="n">
        <f aca="false">D491*D491</f>
        <v>0.765625</v>
      </c>
      <c r="O491" s="0" t="n">
        <f aca="false">E491*E491</f>
        <v>0.140625</v>
      </c>
      <c r="P491" s="0" t="n">
        <f aca="false">F491*F491</f>
        <v>0.0625</v>
      </c>
      <c r="Q491" s="0" t="n">
        <f aca="false">SUMPRODUCT(G491:P491,_XtX!$B$71:$K$71)</f>
        <v>44.6273792613636</v>
      </c>
      <c r="R491" s="0" t="n">
        <f aca="false">SUMPRODUCT(MMULT(G491:P491,_XtX!$B$58:$K$67),G491:P491)</f>
        <v>0.324484530362216</v>
      </c>
      <c r="S491" s="0" t="n">
        <f aca="false">04_回帰ANOVA!$K$19*04_回帰ANOVA!$K$14*SQRT(1+R491)</f>
        <v>1.07001553041279</v>
      </c>
      <c r="T491" s="0" t="n">
        <f aca="false">Q491-S491</f>
        <v>43.5573637309508</v>
      </c>
      <c r="U491" s="0" t="n">
        <f aca="false">Q491+S491</f>
        <v>45.6973947917764</v>
      </c>
      <c r="V491" s="54" t="b">
        <f aca="false">AND(D491&gt;=01_因子設定!$L$5-0.000000001,D491&lt;=01_因子設定!$M$5+0.000000001,E491&gt;=01_因子設定!$L$6-0.000000001,E491&lt;=01_因子設定!$M$6+0.000000001,F491&gt;=01_因子設定!$L$7-0.000000001,F491&lt;=01_因子設定!$M$7+0.000000001,IF(01_因子設定!$B$20="Box-Behnken",D491^2+E491^2+F491^2&lt;=2+0.000000001,TRUE()))</f>
        <v>1</v>
      </c>
      <c r="W491" s="55" t="n">
        <f aca="false">IF(V491,IF(01_因子設定!$B$13="最大化",T491-01_因子設定!$B$14,IF(01_因子設定!$B$13="最小化",01_因子設定!$B$15-U491,MIN(T491-01_因子設定!$B$14,01_因子設定!$B$15-U491))),-1E+030)</f>
        <v>-4.94263626904916</v>
      </c>
      <c r="X491" s="55" t="n">
        <f aca="false">IF(V491,IF(01_因子設定!$B$13="最大化",Q491,IF(01_因子設定!$B$13="最小化",-Q491,-ABS(Q491-01_因子設定!$B$16))),-1E+030)</f>
        <v>44.6273792613636</v>
      </c>
      <c r="Y491" s="55" t="n">
        <f aca="false">W491+ROW()*0.000000001</f>
        <v>-4.94263577804916</v>
      </c>
      <c r="Z491" s="55" t="n">
        <f aca="false">X491+ROW()*0.000000001</f>
        <v>44.6273797523636</v>
      </c>
    </row>
    <row r="492" customFormat="false" ht="15" hidden="false" customHeight="false" outlineLevel="0" collapsed="false">
      <c r="A492" s="0" t="n">
        <v>1</v>
      </c>
      <c r="B492" s="0" t="n">
        <v>11</v>
      </c>
      <c r="C492" s="0" t="n">
        <v>11</v>
      </c>
      <c r="D492" s="0" t="n">
        <f aca="false">-1+A492*0.125</f>
        <v>-0.875</v>
      </c>
      <c r="E492" s="0" t="n">
        <f aca="false">-1+B492*0.125</f>
        <v>0.375</v>
      </c>
      <c r="F492" s="0" t="n">
        <f aca="false">-1+C492*0.125</f>
        <v>0.375</v>
      </c>
      <c r="G492" s="0" t="n">
        <f aca="false">1</f>
        <v>1</v>
      </c>
      <c r="H492" s="0" t="n">
        <f aca="false">D492</f>
        <v>-0.875</v>
      </c>
      <c r="I492" s="0" t="n">
        <f aca="false">E492</f>
        <v>0.375</v>
      </c>
      <c r="J492" s="0" t="n">
        <f aca="false">F492</f>
        <v>0.375</v>
      </c>
      <c r="K492" s="0" t="n">
        <f aca="false">D492*E492</f>
        <v>-0.328125</v>
      </c>
      <c r="L492" s="0" t="n">
        <f aca="false">D492*F492</f>
        <v>-0.328125</v>
      </c>
      <c r="M492" s="0" t="n">
        <f aca="false">E492*F492</f>
        <v>0.140625</v>
      </c>
      <c r="N492" s="0" t="n">
        <f aca="false">D492*D492</f>
        <v>0.765625</v>
      </c>
      <c r="O492" s="0" t="n">
        <f aca="false">E492*E492</f>
        <v>0.140625</v>
      </c>
      <c r="P492" s="0" t="n">
        <f aca="false">F492*F492</f>
        <v>0.140625</v>
      </c>
      <c r="Q492" s="0" t="n">
        <f aca="false">SUMPRODUCT(G492:P492,_XtX!$B$71:$K$71)</f>
        <v>44.7454048295455</v>
      </c>
      <c r="R492" s="0" t="n">
        <f aca="false">SUMPRODUCT(MMULT(G492:P492,_XtX!$B$58:$K$67),G492:P492)</f>
        <v>0.32050614790483</v>
      </c>
      <c r="S492" s="0" t="n">
        <f aca="false">04_回帰ANOVA!$K$19*04_回帰ANOVA!$K$14*SQRT(1+R492)</f>
        <v>1.06840730759619</v>
      </c>
      <c r="T492" s="0" t="n">
        <f aca="false">Q492-S492</f>
        <v>43.6769975219493</v>
      </c>
      <c r="U492" s="0" t="n">
        <f aca="false">Q492+S492</f>
        <v>45.8138121371416</v>
      </c>
      <c r="V492" s="54" t="b">
        <f aca="false">AND(D492&gt;=01_因子設定!$L$5-0.000000001,D492&lt;=01_因子設定!$M$5+0.000000001,E492&gt;=01_因子設定!$L$6-0.000000001,E492&lt;=01_因子設定!$M$6+0.000000001,F492&gt;=01_因子設定!$L$7-0.000000001,F492&lt;=01_因子設定!$M$7+0.000000001,IF(01_因子設定!$B$20="Box-Behnken",D492^2+E492^2+F492^2&lt;=2+0.000000001,TRUE()))</f>
        <v>1</v>
      </c>
      <c r="W492" s="55" t="n">
        <f aca="false">IF(V492,IF(01_因子設定!$B$13="最大化",T492-01_因子設定!$B$14,IF(01_因子設定!$B$13="最小化",01_因子設定!$B$15-U492,MIN(T492-01_因子設定!$B$14,01_因子設定!$B$15-U492))),-1E+030)</f>
        <v>-4.82300247805074</v>
      </c>
      <c r="X492" s="55" t="n">
        <f aca="false">IF(V492,IF(01_因子設定!$B$13="最大化",Q492,IF(01_因子設定!$B$13="最小化",-Q492,-ABS(Q492-01_因子設定!$B$16))),-1E+030)</f>
        <v>44.7454048295455</v>
      </c>
      <c r="Y492" s="55" t="n">
        <f aca="false">W492+ROW()*0.000000001</f>
        <v>-4.82300198605074</v>
      </c>
      <c r="Z492" s="55" t="n">
        <f aca="false">X492+ROW()*0.000000001</f>
        <v>44.7454053215455</v>
      </c>
    </row>
    <row r="493" customFormat="false" ht="15" hidden="false" customHeight="false" outlineLevel="0" collapsed="false">
      <c r="A493" s="0" t="n">
        <v>1</v>
      </c>
      <c r="B493" s="0" t="n">
        <v>11</v>
      </c>
      <c r="C493" s="0" t="n">
        <v>12</v>
      </c>
      <c r="D493" s="0" t="n">
        <f aca="false">-1+A493*0.125</f>
        <v>-0.875</v>
      </c>
      <c r="E493" s="0" t="n">
        <f aca="false">-1+B493*0.125</f>
        <v>0.375</v>
      </c>
      <c r="F493" s="0" t="n">
        <f aca="false">-1+C493*0.125</f>
        <v>0.5</v>
      </c>
      <c r="G493" s="0" t="n">
        <f aca="false">1</f>
        <v>1</v>
      </c>
      <c r="H493" s="0" t="n">
        <f aca="false">D493</f>
        <v>-0.875</v>
      </c>
      <c r="I493" s="0" t="n">
        <f aca="false">E493</f>
        <v>0.375</v>
      </c>
      <c r="J493" s="0" t="n">
        <f aca="false">F493</f>
        <v>0.5</v>
      </c>
      <c r="K493" s="0" t="n">
        <f aca="false">D493*E493</f>
        <v>-0.328125</v>
      </c>
      <c r="L493" s="0" t="n">
        <f aca="false">D493*F493</f>
        <v>-0.4375</v>
      </c>
      <c r="M493" s="0" t="n">
        <f aca="false">E493*F493</f>
        <v>0.1875</v>
      </c>
      <c r="N493" s="0" t="n">
        <f aca="false">D493*D493</f>
        <v>0.765625</v>
      </c>
      <c r="O493" s="0" t="n">
        <f aca="false">E493*E493</f>
        <v>0.140625</v>
      </c>
      <c r="P493" s="0" t="n">
        <f aca="false">F493*F493</f>
        <v>0.25</v>
      </c>
      <c r="Q493" s="0" t="n">
        <f aca="false">SUMPRODUCT(G493:P493,_XtX!$B$71:$K$71)</f>
        <v>44.826640625</v>
      </c>
      <c r="R493" s="0" t="n">
        <f aca="false">SUMPRODUCT(MMULT(G493:P493,_XtX!$B$58:$K$67),G493:P493)</f>
        <v>0.322393798828125</v>
      </c>
      <c r="S493" s="0" t="n">
        <f aca="false">04_回帰ANOVA!$K$19*04_回帰ANOVA!$K$14*SQRT(1+R493)</f>
        <v>1.06917067390712</v>
      </c>
      <c r="T493" s="0" t="n">
        <f aca="false">Q493-S493</f>
        <v>43.7574699510929</v>
      </c>
      <c r="U493" s="0" t="n">
        <f aca="false">Q493+S493</f>
        <v>45.8958112989071</v>
      </c>
      <c r="V493" s="54" t="b">
        <f aca="false">AND(D493&gt;=01_因子設定!$L$5-0.000000001,D493&lt;=01_因子設定!$M$5+0.000000001,E493&gt;=01_因子設定!$L$6-0.000000001,E493&lt;=01_因子設定!$M$6+0.000000001,F493&gt;=01_因子設定!$L$7-0.000000001,F493&lt;=01_因子設定!$M$7+0.000000001,IF(01_因子設定!$B$20="Box-Behnken",D493^2+E493^2+F493^2&lt;=2+0.000000001,TRUE()))</f>
        <v>1</v>
      </c>
      <c r="W493" s="55" t="n">
        <f aca="false">IF(V493,IF(01_因子設定!$B$13="最大化",T493-01_因子設定!$B$14,IF(01_因子設定!$B$13="最小化",01_因子設定!$B$15-U493,MIN(T493-01_因子設定!$B$14,01_因子設定!$B$15-U493))),-1E+030)</f>
        <v>-4.74253004890712</v>
      </c>
      <c r="X493" s="55" t="n">
        <f aca="false">IF(V493,IF(01_因子設定!$B$13="最大化",Q493,IF(01_因子設定!$B$13="最小化",-Q493,-ABS(Q493-01_因子設定!$B$16))),-1E+030)</f>
        <v>44.826640625</v>
      </c>
      <c r="Y493" s="55" t="n">
        <f aca="false">W493+ROW()*0.000000001</f>
        <v>-4.74252955590712</v>
      </c>
      <c r="Z493" s="55" t="n">
        <f aca="false">X493+ROW()*0.000000001</f>
        <v>44.826641118</v>
      </c>
    </row>
    <row r="494" customFormat="false" ht="15" hidden="false" customHeight="false" outlineLevel="0" collapsed="false">
      <c r="A494" s="0" t="n">
        <v>1</v>
      </c>
      <c r="B494" s="0" t="n">
        <v>11</v>
      </c>
      <c r="C494" s="0" t="n">
        <v>13</v>
      </c>
      <c r="D494" s="0" t="n">
        <f aca="false">-1+A494*0.125</f>
        <v>-0.875</v>
      </c>
      <c r="E494" s="0" t="n">
        <f aca="false">-1+B494*0.125</f>
        <v>0.375</v>
      </c>
      <c r="F494" s="0" t="n">
        <f aca="false">-1+C494*0.125</f>
        <v>0.625</v>
      </c>
      <c r="G494" s="0" t="n">
        <f aca="false">1</f>
        <v>1</v>
      </c>
      <c r="H494" s="0" t="n">
        <f aca="false">D494</f>
        <v>-0.875</v>
      </c>
      <c r="I494" s="0" t="n">
        <f aca="false">E494</f>
        <v>0.375</v>
      </c>
      <c r="J494" s="0" t="n">
        <f aca="false">F494</f>
        <v>0.625</v>
      </c>
      <c r="K494" s="0" t="n">
        <f aca="false">D494*E494</f>
        <v>-0.328125</v>
      </c>
      <c r="L494" s="0" t="n">
        <f aca="false">D494*F494</f>
        <v>-0.546875</v>
      </c>
      <c r="M494" s="0" t="n">
        <f aca="false">E494*F494</f>
        <v>0.234375</v>
      </c>
      <c r="N494" s="0" t="n">
        <f aca="false">D494*D494</f>
        <v>0.765625</v>
      </c>
      <c r="O494" s="0" t="n">
        <f aca="false">E494*E494</f>
        <v>0.140625</v>
      </c>
      <c r="P494" s="0" t="n">
        <f aca="false">F494*F494</f>
        <v>0.390625</v>
      </c>
      <c r="Q494" s="0" t="n">
        <f aca="false">SUMPRODUCT(G494:P494,_XtX!$B$71:$K$71)</f>
        <v>44.8710866477273</v>
      </c>
      <c r="R494" s="0" t="n">
        <f aca="false">SUMPRODUCT(MMULT(G494:P494,_XtX!$B$58:$K$67),G494:P494)</f>
        <v>0.337604869495739</v>
      </c>
      <c r="S494" s="0" t="n">
        <f aca="false">04_回帰ANOVA!$K$19*04_回帰ANOVA!$K$14*SQRT(1+R494)</f>
        <v>1.07530225516193</v>
      </c>
      <c r="T494" s="0" t="n">
        <f aca="false">Q494-S494</f>
        <v>43.7957843925654</v>
      </c>
      <c r="U494" s="0" t="n">
        <f aca="false">Q494+S494</f>
        <v>45.9463889028892</v>
      </c>
      <c r="V494" s="54" t="b">
        <f aca="false">AND(D494&gt;=01_因子設定!$L$5-0.000000001,D494&lt;=01_因子設定!$M$5+0.000000001,E494&gt;=01_因子設定!$L$6-0.000000001,E494&lt;=01_因子設定!$M$6+0.000000001,F494&gt;=01_因子設定!$L$7-0.000000001,F494&lt;=01_因子設定!$M$7+0.000000001,IF(01_因子設定!$B$20="Box-Behnken",D494^2+E494^2+F494^2&lt;=2+0.000000001,TRUE()))</f>
        <v>1</v>
      </c>
      <c r="W494" s="55" t="n">
        <f aca="false">IF(V494,IF(01_因子設定!$B$13="最大化",T494-01_因子設定!$B$14,IF(01_因子設定!$B$13="最小化",01_因子設定!$B$15-U494,MIN(T494-01_因子設定!$B$14,01_因子設定!$B$15-U494))),-1E+030)</f>
        <v>-4.70421560743465</v>
      </c>
      <c r="X494" s="55" t="n">
        <f aca="false">IF(V494,IF(01_因子設定!$B$13="最大化",Q494,IF(01_因子設定!$B$13="最小化",-Q494,-ABS(Q494-01_因子設定!$B$16))),-1E+030)</f>
        <v>44.8710866477273</v>
      </c>
      <c r="Y494" s="55" t="n">
        <f aca="false">W494+ROW()*0.000000001</f>
        <v>-4.70421511343465</v>
      </c>
      <c r="Z494" s="55" t="n">
        <f aca="false">X494+ROW()*0.000000001</f>
        <v>44.8710871417273</v>
      </c>
    </row>
    <row r="495" customFormat="false" ht="15" hidden="false" customHeight="false" outlineLevel="0" collapsed="false">
      <c r="A495" s="0" t="n">
        <v>1</v>
      </c>
      <c r="B495" s="0" t="n">
        <v>11</v>
      </c>
      <c r="C495" s="0" t="n">
        <v>14</v>
      </c>
      <c r="D495" s="0" t="n">
        <f aca="false">-1+A495*0.125</f>
        <v>-0.875</v>
      </c>
      <c r="E495" s="0" t="n">
        <f aca="false">-1+B495*0.125</f>
        <v>0.375</v>
      </c>
      <c r="F495" s="0" t="n">
        <f aca="false">-1+C495*0.125</f>
        <v>0.75</v>
      </c>
      <c r="G495" s="0" t="n">
        <f aca="false">1</f>
        <v>1</v>
      </c>
      <c r="H495" s="0" t="n">
        <f aca="false">D495</f>
        <v>-0.875</v>
      </c>
      <c r="I495" s="0" t="n">
        <f aca="false">E495</f>
        <v>0.375</v>
      </c>
      <c r="J495" s="0" t="n">
        <f aca="false">F495</f>
        <v>0.75</v>
      </c>
      <c r="K495" s="0" t="n">
        <f aca="false">D495*E495</f>
        <v>-0.328125</v>
      </c>
      <c r="L495" s="0" t="n">
        <f aca="false">D495*F495</f>
        <v>-0.65625</v>
      </c>
      <c r="M495" s="0" t="n">
        <f aca="false">E495*F495</f>
        <v>0.28125</v>
      </c>
      <c r="N495" s="0" t="n">
        <f aca="false">D495*D495</f>
        <v>0.765625</v>
      </c>
      <c r="O495" s="0" t="n">
        <f aca="false">E495*E495</f>
        <v>0.140625</v>
      </c>
      <c r="P495" s="0" t="n">
        <f aca="false">F495*F495</f>
        <v>0.5625</v>
      </c>
      <c r="Q495" s="0" t="n">
        <f aca="false">SUMPRODUCT(G495:P495,_XtX!$B$71:$K$71)</f>
        <v>44.8787428977273</v>
      </c>
      <c r="R495" s="0" t="n">
        <f aca="false">SUMPRODUCT(MMULT(G495:P495,_XtX!$B$58:$K$67),G495:P495)</f>
        <v>0.375727428089489</v>
      </c>
      <c r="S495" s="0" t="n">
        <f aca="false">04_回帰ANOVA!$K$19*04_回帰ANOVA!$K$14*SQRT(1+R495)</f>
        <v>1.09051798904087</v>
      </c>
      <c r="T495" s="0" t="n">
        <f aca="false">Q495-S495</f>
        <v>43.7882249086864</v>
      </c>
      <c r="U495" s="0" t="n">
        <f aca="false">Q495+S495</f>
        <v>45.9692608867682</v>
      </c>
      <c r="V495" s="54" t="b">
        <f aca="false">AND(D495&gt;=01_因子設定!$L$5-0.000000001,D495&lt;=01_因子設定!$M$5+0.000000001,E495&gt;=01_因子設定!$L$6-0.000000001,E495&lt;=01_因子設定!$M$6+0.000000001,F495&gt;=01_因子設定!$L$7-0.000000001,F495&lt;=01_因子設定!$M$7+0.000000001,IF(01_因子設定!$B$20="Box-Behnken",D495^2+E495^2+F495^2&lt;=2+0.000000001,TRUE()))</f>
        <v>1</v>
      </c>
      <c r="W495" s="55" t="n">
        <f aca="false">IF(V495,IF(01_因子設定!$B$13="最大化",T495-01_因子設定!$B$14,IF(01_因子設定!$B$13="最小化",01_因子設定!$B$15-U495,MIN(T495-01_因子設定!$B$14,01_因子設定!$B$15-U495))),-1E+030)</f>
        <v>-4.7117750913136</v>
      </c>
      <c r="X495" s="55" t="n">
        <f aca="false">IF(V495,IF(01_因子設定!$B$13="最大化",Q495,IF(01_因子設定!$B$13="最小化",-Q495,-ABS(Q495-01_因子設定!$B$16))),-1E+030)</f>
        <v>44.8787428977273</v>
      </c>
      <c r="Y495" s="55" t="n">
        <f aca="false">W495+ROW()*0.000000001</f>
        <v>-4.7117745963136</v>
      </c>
      <c r="Z495" s="55" t="n">
        <f aca="false">X495+ROW()*0.000000001</f>
        <v>44.8787433927273</v>
      </c>
    </row>
    <row r="496" customFormat="false" ht="15" hidden="false" customHeight="false" outlineLevel="0" collapsed="false">
      <c r="A496" s="0" t="n">
        <v>1</v>
      </c>
      <c r="B496" s="0" t="n">
        <v>11</v>
      </c>
      <c r="C496" s="0" t="n">
        <v>15</v>
      </c>
      <c r="D496" s="0" t="n">
        <f aca="false">-1+A496*0.125</f>
        <v>-0.875</v>
      </c>
      <c r="E496" s="0" t="n">
        <f aca="false">-1+B496*0.125</f>
        <v>0.375</v>
      </c>
      <c r="F496" s="0" t="n">
        <f aca="false">-1+C496*0.125</f>
        <v>0.875</v>
      </c>
      <c r="G496" s="0" t="n">
        <f aca="false">1</f>
        <v>1</v>
      </c>
      <c r="H496" s="0" t="n">
        <f aca="false">D496</f>
        <v>-0.875</v>
      </c>
      <c r="I496" s="0" t="n">
        <f aca="false">E496</f>
        <v>0.375</v>
      </c>
      <c r="J496" s="0" t="n">
        <f aca="false">F496</f>
        <v>0.875</v>
      </c>
      <c r="K496" s="0" t="n">
        <f aca="false">D496*E496</f>
        <v>-0.328125</v>
      </c>
      <c r="L496" s="0" t="n">
        <f aca="false">D496*F496</f>
        <v>-0.765625</v>
      </c>
      <c r="M496" s="0" t="n">
        <f aca="false">E496*F496</f>
        <v>0.328125</v>
      </c>
      <c r="N496" s="0" t="n">
        <f aca="false">D496*D496</f>
        <v>0.765625</v>
      </c>
      <c r="O496" s="0" t="n">
        <f aca="false">E496*E496</f>
        <v>0.140625</v>
      </c>
      <c r="P496" s="0" t="n">
        <f aca="false">F496*F496</f>
        <v>0.765625</v>
      </c>
      <c r="Q496" s="0" t="n">
        <f aca="false">SUMPRODUCT(G496:P496,_XtX!$B$71:$K$71)</f>
        <v>44.849609375</v>
      </c>
      <c r="R496" s="0" t="n">
        <f aca="false">SUMPRODUCT(MMULT(G496:P496,_XtX!$B$58:$K$67),G496:P496)</f>
        <v>0.448480224609375</v>
      </c>
      <c r="S496" s="0" t="n">
        <f aca="false">04_回帰ANOVA!$K$19*04_回帰ANOVA!$K$14*SQRT(1+R496)</f>
        <v>1.11898153812985</v>
      </c>
      <c r="T496" s="0" t="n">
        <f aca="false">Q496-S496</f>
        <v>43.7306278368702</v>
      </c>
      <c r="U496" s="0" t="n">
        <f aca="false">Q496+S496</f>
        <v>45.9685909131299</v>
      </c>
      <c r="V496" s="54" t="b">
        <f aca="false">AND(D496&gt;=01_因子設定!$L$5-0.000000001,D496&lt;=01_因子設定!$M$5+0.000000001,E496&gt;=01_因子設定!$L$6-0.000000001,E496&lt;=01_因子設定!$M$6+0.000000001,F496&gt;=01_因子設定!$L$7-0.000000001,F496&lt;=01_因子設定!$M$7+0.000000001,IF(01_因子設定!$B$20="Box-Behnken",D496^2+E496^2+F496^2&lt;=2+0.000000001,TRUE()))</f>
        <v>1</v>
      </c>
      <c r="W496" s="55" t="n">
        <f aca="false">IF(V496,IF(01_因子設定!$B$13="最大化",T496-01_因子設定!$B$14,IF(01_因子設定!$B$13="最小化",01_因子設定!$B$15-U496,MIN(T496-01_因子設定!$B$14,01_因子設定!$B$15-U496))),-1E+030)</f>
        <v>-4.76937216312984</v>
      </c>
      <c r="X496" s="55" t="n">
        <f aca="false">IF(V496,IF(01_因子設定!$B$13="最大化",Q496,IF(01_因子設定!$B$13="最小化",-Q496,-ABS(Q496-01_因子設定!$B$16))),-1E+030)</f>
        <v>44.849609375</v>
      </c>
      <c r="Y496" s="55" t="n">
        <f aca="false">W496+ROW()*0.000000001</f>
        <v>-4.76937166712984</v>
      </c>
      <c r="Z496" s="55" t="n">
        <f aca="false">X496+ROW()*0.000000001</f>
        <v>44.849609871</v>
      </c>
    </row>
    <row r="497" customFormat="false" ht="15" hidden="false" customHeight="false" outlineLevel="0" collapsed="false">
      <c r="A497" s="0" t="n">
        <v>1</v>
      </c>
      <c r="B497" s="0" t="n">
        <v>11</v>
      </c>
      <c r="C497" s="0" t="n">
        <v>16</v>
      </c>
      <c r="D497" s="0" t="n">
        <f aca="false">-1+A497*0.125</f>
        <v>-0.875</v>
      </c>
      <c r="E497" s="0" t="n">
        <f aca="false">-1+B497*0.125</f>
        <v>0.375</v>
      </c>
      <c r="F497" s="0" t="n">
        <f aca="false">-1+C497*0.125</f>
        <v>1</v>
      </c>
      <c r="G497" s="0" t="n">
        <f aca="false">1</f>
        <v>1</v>
      </c>
      <c r="H497" s="0" t="n">
        <f aca="false">D497</f>
        <v>-0.875</v>
      </c>
      <c r="I497" s="0" t="n">
        <f aca="false">E497</f>
        <v>0.375</v>
      </c>
      <c r="J497" s="0" t="n">
        <f aca="false">F497</f>
        <v>1</v>
      </c>
      <c r="K497" s="0" t="n">
        <f aca="false">D497*E497</f>
        <v>-0.328125</v>
      </c>
      <c r="L497" s="0" t="n">
        <f aca="false">D497*F497</f>
        <v>-0.875</v>
      </c>
      <c r="M497" s="0" t="n">
        <f aca="false">E497*F497</f>
        <v>0.375</v>
      </c>
      <c r="N497" s="0" t="n">
        <f aca="false">D497*D497</f>
        <v>0.765625</v>
      </c>
      <c r="O497" s="0" t="n">
        <f aca="false">E497*E497</f>
        <v>0.140625</v>
      </c>
      <c r="P497" s="0" t="n">
        <f aca="false">F497*F497</f>
        <v>1</v>
      </c>
      <c r="Q497" s="0" t="n">
        <f aca="false">SUMPRODUCT(G497:P497,_XtX!$B$71:$K$71)</f>
        <v>44.7836860795455</v>
      </c>
      <c r="R497" s="0" t="n">
        <f aca="false">SUMPRODUCT(MMULT(G497:P497,_XtX!$B$58:$K$67),G497:P497)</f>
        <v>0.56971269087358</v>
      </c>
      <c r="S497" s="0" t="n">
        <f aca="false">04_回帰ANOVA!$K$19*04_回帰ANOVA!$K$14*SQRT(1+R497)</f>
        <v>1.16486801567081</v>
      </c>
      <c r="T497" s="0" t="n">
        <f aca="false">Q497-S497</f>
        <v>43.6188180638747</v>
      </c>
      <c r="U497" s="0" t="n">
        <f aca="false">Q497+S497</f>
        <v>45.9485540952163</v>
      </c>
      <c r="V497" s="54" t="b">
        <f aca="false">AND(D497&gt;=01_因子設定!$L$5-0.000000001,D497&lt;=01_因子設定!$M$5+0.000000001,E497&gt;=01_因子設定!$L$6-0.000000001,E497&lt;=01_因子設定!$M$6+0.000000001,F497&gt;=01_因子設定!$L$7-0.000000001,F497&lt;=01_因子設定!$M$7+0.000000001,IF(01_因子設定!$B$20="Box-Behnken",D497^2+E497^2+F497^2&lt;=2+0.000000001,TRUE()))</f>
        <v>1</v>
      </c>
      <c r="W497" s="55" t="n">
        <f aca="false">IF(V497,IF(01_因子設定!$B$13="最大化",T497-01_因子設定!$B$14,IF(01_因子設定!$B$13="最小化",01_因子設定!$B$15-U497,MIN(T497-01_因子設定!$B$14,01_因子設定!$B$15-U497))),-1E+030)</f>
        <v>-4.88118193612534</v>
      </c>
      <c r="X497" s="55" t="n">
        <f aca="false">IF(V497,IF(01_因子設定!$B$13="最大化",Q497,IF(01_因子設定!$B$13="最小化",-Q497,-ABS(Q497-01_因子設定!$B$16))),-1E+030)</f>
        <v>44.7836860795455</v>
      </c>
      <c r="Y497" s="55" t="n">
        <f aca="false">W497+ROW()*0.000000001</f>
        <v>-4.88118143912534</v>
      </c>
      <c r="Z497" s="55" t="n">
        <f aca="false">X497+ROW()*0.000000001</f>
        <v>44.7836865765455</v>
      </c>
    </row>
    <row r="498" customFormat="false" ht="15" hidden="false" customHeight="false" outlineLevel="0" collapsed="false">
      <c r="A498" s="0" t="n">
        <v>1</v>
      </c>
      <c r="B498" s="0" t="n">
        <v>12</v>
      </c>
      <c r="C498" s="0" t="n">
        <v>0</v>
      </c>
      <c r="D498" s="0" t="n">
        <f aca="false">-1+A498*0.125</f>
        <v>-0.875</v>
      </c>
      <c r="E498" s="0" t="n">
        <f aca="false">-1+B498*0.125</f>
        <v>0.5</v>
      </c>
      <c r="F498" s="0" t="n">
        <f aca="false">-1+C498*0.125</f>
        <v>-1</v>
      </c>
      <c r="G498" s="0" t="n">
        <f aca="false">1</f>
        <v>1</v>
      </c>
      <c r="H498" s="0" t="n">
        <f aca="false">D498</f>
        <v>-0.875</v>
      </c>
      <c r="I498" s="0" t="n">
        <f aca="false">E498</f>
        <v>0.5</v>
      </c>
      <c r="J498" s="0" t="n">
        <f aca="false">F498</f>
        <v>-1</v>
      </c>
      <c r="K498" s="0" t="n">
        <f aca="false">D498*E498</f>
        <v>-0.4375</v>
      </c>
      <c r="L498" s="0" t="n">
        <f aca="false">D498*F498</f>
        <v>0.875</v>
      </c>
      <c r="M498" s="0" t="n">
        <f aca="false">E498*F498</f>
        <v>-0.5</v>
      </c>
      <c r="N498" s="0" t="n">
        <f aca="false">D498*D498</f>
        <v>0.765625</v>
      </c>
      <c r="O498" s="0" t="n">
        <f aca="false">E498*E498</f>
        <v>0.25</v>
      </c>
      <c r="P498" s="0" t="n">
        <f aca="false">F498*F498</f>
        <v>1</v>
      </c>
      <c r="Q498" s="0" t="n">
        <f aca="false">SUMPRODUCT(G498:P498,_XtX!$B$71:$K$71)</f>
        <v>41.27046875</v>
      </c>
      <c r="R498" s="0" t="n">
        <f aca="false">SUMPRODUCT(MMULT(G498:P498,_XtX!$B$58:$K$67),G498:P498)</f>
        <v>0.55771484375</v>
      </c>
      <c r="S498" s="0" t="n">
        <f aca="false">04_回帰ANOVA!$K$19*04_回帰ANOVA!$K$14*SQRT(1+R498)</f>
        <v>1.16040773556467</v>
      </c>
      <c r="T498" s="0" t="n">
        <f aca="false">Q498-S498</f>
        <v>40.1100610144353</v>
      </c>
      <c r="U498" s="0" t="n">
        <f aca="false">Q498+S498</f>
        <v>42.4308764855647</v>
      </c>
      <c r="V498" s="54" t="b">
        <f aca="false">AND(D498&gt;=01_因子設定!$L$5-0.000000001,D498&lt;=01_因子設定!$M$5+0.000000001,E498&gt;=01_因子設定!$L$6-0.000000001,E498&lt;=01_因子設定!$M$6+0.000000001,F498&gt;=01_因子設定!$L$7-0.000000001,F498&lt;=01_因子設定!$M$7+0.000000001,IF(01_因子設定!$B$20="Box-Behnken",D498^2+E498^2+F498^2&lt;=2+0.000000001,TRUE()))</f>
        <v>1</v>
      </c>
      <c r="W498" s="55" t="n">
        <f aca="false">IF(V498,IF(01_因子設定!$B$13="最大化",T498-01_因子設定!$B$14,IF(01_因子設定!$B$13="最小化",01_因子設定!$B$15-U498,MIN(T498-01_因子設定!$B$14,01_因子設定!$B$15-U498))),-1E+030)</f>
        <v>-8.38993898556466</v>
      </c>
      <c r="X498" s="55" t="n">
        <f aca="false">IF(V498,IF(01_因子設定!$B$13="最大化",Q498,IF(01_因子設定!$B$13="最小化",-Q498,-ABS(Q498-01_因子設定!$B$16))),-1E+030)</f>
        <v>41.27046875</v>
      </c>
      <c r="Y498" s="55" t="n">
        <f aca="false">W498+ROW()*0.000000001</f>
        <v>-8.38993848756466</v>
      </c>
      <c r="Z498" s="55" t="n">
        <f aca="false">X498+ROW()*0.000000001</f>
        <v>41.270469248</v>
      </c>
    </row>
    <row r="499" customFormat="false" ht="15" hidden="false" customHeight="false" outlineLevel="0" collapsed="false">
      <c r="A499" s="0" t="n">
        <v>1</v>
      </c>
      <c r="B499" s="0" t="n">
        <v>12</v>
      </c>
      <c r="C499" s="0" t="n">
        <v>1</v>
      </c>
      <c r="D499" s="0" t="n">
        <f aca="false">-1+A499*0.125</f>
        <v>-0.875</v>
      </c>
      <c r="E499" s="0" t="n">
        <f aca="false">-1+B499*0.125</f>
        <v>0.5</v>
      </c>
      <c r="F499" s="0" t="n">
        <f aca="false">-1+C499*0.125</f>
        <v>-0.875</v>
      </c>
      <c r="G499" s="0" t="n">
        <f aca="false">1</f>
        <v>1</v>
      </c>
      <c r="H499" s="0" t="n">
        <f aca="false">D499</f>
        <v>-0.875</v>
      </c>
      <c r="I499" s="0" t="n">
        <f aca="false">E499</f>
        <v>0.5</v>
      </c>
      <c r="J499" s="0" t="n">
        <f aca="false">F499</f>
        <v>-0.875</v>
      </c>
      <c r="K499" s="0" t="n">
        <f aca="false">D499*E499</f>
        <v>-0.4375</v>
      </c>
      <c r="L499" s="0" t="n">
        <f aca="false">D499*F499</f>
        <v>0.765625</v>
      </c>
      <c r="M499" s="0" t="n">
        <f aca="false">E499*F499</f>
        <v>-0.4375</v>
      </c>
      <c r="N499" s="0" t="n">
        <f aca="false">D499*D499</f>
        <v>0.765625</v>
      </c>
      <c r="O499" s="0" t="n">
        <f aca="false">E499*E499</f>
        <v>0.25</v>
      </c>
      <c r="P499" s="0" t="n">
        <f aca="false">F499*F499</f>
        <v>0.765625</v>
      </c>
      <c r="Q499" s="0" t="n">
        <f aca="false">SUMPRODUCT(G499:P499,_XtX!$B$71:$K$71)</f>
        <v>41.7634232954546</v>
      </c>
      <c r="R499" s="0" t="n">
        <f aca="false">SUMPRODUCT(MMULT(G499:P499,_XtX!$B$58:$K$67),G499:P499)</f>
        <v>0.44026933149858</v>
      </c>
      <c r="S499" s="0" t="n">
        <f aca="false">04_回帰ANOVA!$K$19*04_回帰ANOVA!$K$14*SQRT(1+R499)</f>
        <v>1.11580548667718</v>
      </c>
      <c r="T499" s="0" t="n">
        <f aca="false">Q499-S499</f>
        <v>40.6476178087774</v>
      </c>
      <c r="U499" s="0" t="n">
        <f aca="false">Q499+S499</f>
        <v>42.8792287821317</v>
      </c>
      <c r="V499" s="54" t="b">
        <f aca="false">AND(D499&gt;=01_因子設定!$L$5-0.000000001,D499&lt;=01_因子設定!$M$5+0.000000001,E499&gt;=01_因子設定!$L$6-0.000000001,E499&lt;=01_因子設定!$M$6+0.000000001,F499&gt;=01_因子設定!$L$7-0.000000001,F499&lt;=01_因子設定!$M$7+0.000000001,IF(01_因子設定!$B$20="Box-Behnken",D499^2+E499^2+F499^2&lt;=2+0.000000001,TRUE()))</f>
        <v>1</v>
      </c>
      <c r="W499" s="55" t="n">
        <f aca="false">IF(V499,IF(01_因子設定!$B$13="最大化",T499-01_因子設定!$B$14,IF(01_因子設定!$B$13="最小化",01_因子設定!$B$15-U499,MIN(T499-01_因子設定!$B$14,01_因子設定!$B$15-U499))),-1E+030)</f>
        <v>-7.85238219122263</v>
      </c>
      <c r="X499" s="55" t="n">
        <f aca="false">IF(V499,IF(01_因子設定!$B$13="最大化",Q499,IF(01_因子設定!$B$13="最小化",-Q499,-ABS(Q499-01_因子設定!$B$16))),-1E+030)</f>
        <v>41.7634232954546</v>
      </c>
      <c r="Y499" s="55" t="n">
        <f aca="false">W499+ROW()*0.000000001</f>
        <v>-7.85238169222263</v>
      </c>
      <c r="Z499" s="55" t="n">
        <f aca="false">X499+ROW()*0.000000001</f>
        <v>41.7634237944546</v>
      </c>
    </row>
    <row r="500" customFormat="false" ht="15" hidden="false" customHeight="false" outlineLevel="0" collapsed="false">
      <c r="A500" s="0" t="n">
        <v>1</v>
      </c>
      <c r="B500" s="0" t="n">
        <v>12</v>
      </c>
      <c r="C500" s="0" t="n">
        <v>2</v>
      </c>
      <c r="D500" s="0" t="n">
        <f aca="false">-1+A500*0.125</f>
        <v>-0.875</v>
      </c>
      <c r="E500" s="0" t="n">
        <f aca="false">-1+B500*0.125</f>
        <v>0.5</v>
      </c>
      <c r="F500" s="0" t="n">
        <f aca="false">-1+C500*0.125</f>
        <v>-0.75</v>
      </c>
      <c r="G500" s="0" t="n">
        <f aca="false">1</f>
        <v>1</v>
      </c>
      <c r="H500" s="0" t="n">
        <f aca="false">D500</f>
        <v>-0.875</v>
      </c>
      <c r="I500" s="0" t="n">
        <f aca="false">E500</f>
        <v>0.5</v>
      </c>
      <c r="J500" s="0" t="n">
        <f aca="false">F500</f>
        <v>-0.75</v>
      </c>
      <c r="K500" s="0" t="n">
        <f aca="false">D500*E500</f>
        <v>-0.4375</v>
      </c>
      <c r="L500" s="0" t="n">
        <f aca="false">D500*F500</f>
        <v>0.65625</v>
      </c>
      <c r="M500" s="0" t="n">
        <f aca="false">E500*F500</f>
        <v>-0.375</v>
      </c>
      <c r="N500" s="0" t="n">
        <f aca="false">D500*D500</f>
        <v>0.765625</v>
      </c>
      <c r="O500" s="0" t="n">
        <f aca="false">E500*E500</f>
        <v>0.25</v>
      </c>
      <c r="P500" s="0" t="n">
        <f aca="false">F500*F500</f>
        <v>0.5625</v>
      </c>
      <c r="Q500" s="0" t="n">
        <f aca="false">SUMPRODUCT(G500:P500,_XtX!$B$71:$K$71)</f>
        <v>42.2195880681818</v>
      </c>
      <c r="R500" s="0" t="n">
        <f aca="false">SUMPRODUCT(MMULT(G500:P500,_XtX!$B$58:$K$67),G500:P500)</f>
        <v>0.370798561789773</v>
      </c>
      <c r="S500" s="0" t="n">
        <f aca="false">04_回帰ANOVA!$K$19*04_回帰ANOVA!$K$14*SQRT(1+R500)</f>
        <v>1.08856271788237</v>
      </c>
      <c r="T500" s="0" t="n">
        <f aca="false">Q500-S500</f>
        <v>41.1310253502994</v>
      </c>
      <c r="U500" s="0" t="n">
        <f aca="false">Q500+S500</f>
        <v>43.3081507860642</v>
      </c>
      <c r="V500" s="54" t="b">
        <f aca="false">AND(D500&gt;=01_因子設定!$L$5-0.000000001,D500&lt;=01_因子設定!$M$5+0.000000001,E500&gt;=01_因子設定!$L$6-0.000000001,E500&lt;=01_因子設定!$M$6+0.000000001,F500&gt;=01_因子設定!$L$7-0.000000001,F500&lt;=01_因子設定!$M$7+0.000000001,IF(01_因子設定!$B$20="Box-Behnken",D500^2+E500^2+F500^2&lt;=2+0.000000001,TRUE()))</f>
        <v>1</v>
      </c>
      <c r="W500" s="55" t="n">
        <f aca="false">IF(V500,IF(01_因子設定!$B$13="最大化",T500-01_因子設定!$B$14,IF(01_因子設定!$B$13="最小化",01_因子設定!$B$15-U500,MIN(T500-01_因子設定!$B$14,01_因子設定!$B$15-U500))),-1E+030)</f>
        <v>-7.36897464970055</v>
      </c>
      <c r="X500" s="55" t="n">
        <f aca="false">IF(V500,IF(01_因子設定!$B$13="最大化",Q500,IF(01_因子設定!$B$13="最小化",-Q500,-ABS(Q500-01_因子設定!$B$16))),-1E+030)</f>
        <v>42.2195880681818</v>
      </c>
      <c r="Y500" s="55" t="n">
        <f aca="false">W500+ROW()*0.000000001</f>
        <v>-7.36897414970056</v>
      </c>
      <c r="Z500" s="55" t="n">
        <f aca="false">X500+ROW()*0.000000001</f>
        <v>42.2195885681818</v>
      </c>
    </row>
    <row r="501" customFormat="false" ht="15" hidden="false" customHeight="false" outlineLevel="0" collapsed="false">
      <c r="A501" s="0" t="n">
        <v>1</v>
      </c>
      <c r="B501" s="0" t="n">
        <v>12</v>
      </c>
      <c r="C501" s="0" t="n">
        <v>3</v>
      </c>
      <c r="D501" s="0" t="n">
        <f aca="false">-1+A501*0.125</f>
        <v>-0.875</v>
      </c>
      <c r="E501" s="0" t="n">
        <f aca="false">-1+B501*0.125</f>
        <v>0.5</v>
      </c>
      <c r="F501" s="0" t="n">
        <f aca="false">-1+C501*0.125</f>
        <v>-0.625</v>
      </c>
      <c r="G501" s="0" t="n">
        <f aca="false">1</f>
        <v>1</v>
      </c>
      <c r="H501" s="0" t="n">
        <f aca="false">D501</f>
        <v>-0.875</v>
      </c>
      <c r="I501" s="0" t="n">
        <f aca="false">E501</f>
        <v>0.5</v>
      </c>
      <c r="J501" s="0" t="n">
        <f aca="false">F501</f>
        <v>-0.625</v>
      </c>
      <c r="K501" s="0" t="n">
        <f aca="false">D501*E501</f>
        <v>-0.4375</v>
      </c>
      <c r="L501" s="0" t="n">
        <f aca="false">D501*F501</f>
        <v>0.546875</v>
      </c>
      <c r="M501" s="0" t="n">
        <f aca="false">E501*F501</f>
        <v>-0.3125</v>
      </c>
      <c r="N501" s="0" t="n">
        <f aca="false">D501*D501</f>
        <v>0.765625</v>
      </c>
      <c r="O501" s="0" t="n">
        <f aca="false">E501*E501</f>
        <v>0.25</v>
      </c>
      <c r="P501" s="0" t="n">
        <f aca="false">F501*F501</f>
        <v>0.390625</v>
      </c>
      <c r="Q501" s="0" t="n">
        <f aca="false">SUMPRODUCT(G501:P501,_XtX!$B$71:$K$71)</f>
        <v>42.6389630681818</v>
      </c>
      <c r="R501" s="0" t="n">
        <f aca="false">SUMPRODUCT(MMULT(G501:P501,_XtX!$B$58:$K$67),G501:P501)</f>
        <v>0.335453102805398</v>
      </c>
      <c r="S501" s="0" t="n">
        <f aca="false">04_回帰ANOVA!$K$19*04_回帰ANOVA!$K$14*SQRT(1+R501)</f>
        <v>1.07443700305628</v>
      </c>
      <c r="T501" s="0" t="n">
        <f aca="false">Q501-S501</f>
        <v>41.5645260651255</v>
      </c>
      <c r="U501" s="0" t="n">
        <f aca="false">Q501+S501</f>
        <v>43.7134000712381</v>
      </c>
      <c r="V501" s="54" t="b">
        <f aca="false">AND(D501&gt;=01_因子設定!$L$5-0.000000001,D501&lt;=01_因子設定!$M$5+0.000000001,E501&gt;=01_因子設定!$L$6-0.000000001,E501&lt;=01_因子設定!$M$6+0.000000001,F501&gt;=01_因子設定!$L$7-0.000000001,F501&lt;=01_因子設定!$M$7+0.000000001,IF(01_因子設定!$B$20="Box-Behnken",D501^2+E501^2+F501^2&lt;=2+0.000000001,TRUE()))</f>
        <v>1</v>
      </c>
      <c r="W501" s="55" t="n">
        <f aca="false">IF(V501,IF(01_因子設定!$B$13="最大化",T501-01_因子設定!$B$14,IF(01_因子設定!$B$13="最小化",01_因子設定!$B$15-U501,MIN(T501-01_因子設定!$B$14,01_因子設定!$B$15-U501))),-1E+030)</f>
        <v>-6.93547393487446</v>
      </c>
      <c r="X501" s="55" t="n">
        <f aca="false">IF(V501,IF(01_因子設定!$B$13="最大化",Q501,IF(01_因子設定!$B$13="最小化",-Q501,-ABS(Q501-01_因子設定!$B$16))),-1E+030)</f>
        <v>42.6389630681818</v>
      </c>
      <c r="Y501" s="55" t="n">
        <f aca="false">W501+ROW()*0.000000001</f>
        <v>-6.93547343387446</v>
      </c>
      <c r="Z501" s="55" t="n">
        <f aca="false">X501+ROW()*0.000000001</f>
        <v>42.6389635691818</v>
      </c>
    </row>
    <row r="502" customFormat="false" ht="15" hidden="false" customHeight="false" outlineLevel="0" collapsed="false">
      <c r="A502" s="0" t="n">
        <v>1</v>
      </c>
      <c r="B502" s="0" t="n">
        <v>12</v>
      </c>
      <c r="C502" s="0" t="n">
        <v>4</v>
      </c>
      <c r="D502" s="0" t="n">
        <f aca="false">-1+A502*0.125</f>
        <v>-0.875</v>
      </c>
      <c r="E502" s="0" t="n">
        <f aca="false">-1+B502*0.125</f>
        <v>0.5</v>
      </c>
      <c r="F502" s="0" t="n">
        <f aca="false">-1+C502*0.125</f>
        <v>-0.5</v>
      </c>
      <c r="G502" s="0" t="n">
        <f aca="false">1</f>
        <v>1</v>
      </c>
      <c r="H502" s="0" t="n">
        <f aca="false">D502</f>
        <v>-0.875</v>
      </c>
      <c r="I502" s="0" t="n">
        <f aca="false">E502</f>
        <v>0.5</v>
      </c>
      <c r="J502" s="0" t="n">
        <f aca="false">F502</f>
        <v>-0.5</v>
      </c>
      <c r="K502" s="0" t="n">
        <f aca="false">D502*E502</f>
        <v>-0.4375</v>
      </c>
      <c r="L502" s="0" t="n">
        <f aca="false">D502*F502</f>
        <v>0.4375</v>
      </c>
      <c r="M502" s="0" t="n">
        <f aca="false">E502*F502</f>
        <v>-0.25</v>
      </c>
      <c r="N502" s="0" t="n">
        <f aca="false">D502*D502</f>
        <v>0.765625</v>
      </c>
      <c r="O502" s="0" t="n">
        <f aca="false">E502*E502</f>
        <v>0.25</v>
      </c>
      <c r="P502" s="0" t="n">
        <f aca="false">F502*F502</f>
        <v>0.25</v>
      </c>
      <c r="Q502" s="0" t="n">
        <f aca="false">SUMPRODUCT(G502:P502,_XtX!$B$71:$K$71)</f>
        <v>43.0215482954545</v>
      </c>
      <c r="R502" s="0" t="n">
        <f aca="false">SUMPRODUCT(MMULT(G502:P502,_XtX!$B$58:$K$67),G502:P502)</f>
        <v>0.322514204545455</v>
      </c>
      <c r="S502" s="0" t="n">
        <f aca="false">04_回帰ANOVA!$K$19*04_回帰ANOVA!$K$14*SQRT(1+R502)</f>
        <v>1.0692193475064</v>
      </c>
      <c r="T502" s="0" t="n">
        <f aca="false">Q502-S502</f>
        <v>41.9523289479481</v>
      </c>
      <c r="U502" s="0" t="n">
        <f aca="false">Q502+S502</f>
        <v>44.090767642961</v>
      </c>
      <c r="V502" s="54" t="b">
        <f aca="false">AND(D502&gt;=01_因子設定!$L$5-0.000000001,D502&lt;=01_因子設定!$M$5+0.000000001,E502&gt;=01_因子設定!$L$6-0.000000001,E502&lt;=01_因子設定!$M$6+0.000000001,F502&gt;=01_因子設定!$L$7-0.000000001,F502&lt;=01_因子設定!$M$7+0.000000001,IF(01_因子設定!$B$20="Box-Behnken",D502^2+E502^2+F502^2&lt;=2+0.000000001,TRUE()))</f>
        <v>1</v>
      </c>
      <c r="W502" s="55" t="n">
        <f aca="false">IF(V502,IF(01_因子設定!$B$13="最大化",T502-01_因子設定!$B$14,IF(01_因子設定!$B$13="最小化",01_因子設定!$B$15-U502,MIN(T502-01_因子設定!$B$14,01_因子設定!$B$15-U502))),-1E+030)</f>
        <v>-6.54767105205186</v>
      </c>
      <c r="X502" s="55" t="n">
        <f aca="false">IF(V502,IF(01_因子設定!$B$13="最大化",Q502,IF(01_因子設定!$B$13="最小化",-Q502,-ABS(Q502-01_因子設定!$B$16))),-1E+030)</f>
        <v>43.0215482954545</v>
      </c>
      <c r="Y502" s="55" t="n">
        <f aca="false">W502+ROW()*0.000000001</f>
        <v>-6.54767055005186</v>
      </c>
      <c r="Z502" s="55" t="n">
        <f aca="false">X502+ROW()*0.000000001</f>
        <v>43.0215487974545</v>
      </c>
    </row>
    <row r="503" customFormat="false" ht="15" hidden="false" customHeight="false" outlineLevel="0" collapsed="false">
      <c r="A503" s="0" t="n">
        <v>1</v>
      </c>
      <c r="B503" s="0" t="n">
        <v>12</v>
      </c>
      <c r="C503" s="0" t="n">
        <v>5</v>
      </c>
      <c r="D503" s="0" t="n">
        <f aca="false">-1+A503*0.125</f>
        <v>-0.875</v>
      </c>
      <c r="E503" s="0" t="n">
        <f aca="false">-1+B503*0.125</f>
        <v>0.5</v>
      </c>
      <c r="F503" s="0" t="n">
        <f aca="false">-1+C503*0.125</f>
        <v>-0.375</v>
      </c>
      <c r="G503" s="0" t="n">
        <f aca="false">1</f>
        <v>1</v>
      </c>
      <c r="H503" s="0" t="n">
        <f aca="false">D503</f>
        <v>-0.875</v>
      </c>
      <c r="I503" s="0" t="n">
        <f aca="false">E503</f>
        <v>0.5</v>
      </c>
      <c r="J503" s="0" t="n">
        <f aca="false">F503</f>
        <v>-0.375</v>
      </c>
      <c r="K503" s="0" t="n">
        <f aca="false">D503*E503</f>
        <v>-0.4375</v>
      </c>
      <c r="L503" s="0" t="n">
        <f aca="false">D503*F503</f>
        <v>0.328125</v>
      </c>
      <c r="M503" s="0" t="n">
        <f aca="false">E503*F503</f>
        <v>-0.1875</v>
      </c>
      <c r="N503" s="0" t="n">
        <f aca="false">D503*D503</f>
        <v>0.765625</v>
      </c>
      <c r="O503" s="0" t="n">
        <f aca="false">E503*E503</f>
        <v>0.25</v>
      </c>
      <c r="P503" s="0" t="n">
        <f aca="false">F503*F503</f>
        <v>0.140625</v>
      </c>
      <c r="Q503" s="0" t="n">
        <f aca="false">SUMPRODUCT(G503:P503,_XtX!$B$71:$K$71)</f>
        <v>43.36734375</v>
      </c>
      <c r="R503" s="0" t="n">
        <f aca="false">SUMPRODUCT(MMULT(G503:P503,_XtX!$B$58:$K$67),G503:P503)</f>
        <v>0.322393798828125</v>
      </c>
      <c r="S503" s="0" t="n">
        <f aca="false">04_回帰ANOVA!$K$19*04_回帰ANOVA!$K$14*SQRT(1+R503)</f>
        <v>1.06917067390712</v>
      </c>
      <c r="T503" s="0" t="n">
        <f aca="false">Q503-S503</f>
        <v>42.2981730760929</v>
      </c>
      <c r="U503" s="0" t="n">
        <f aca="false">Q503+S503</f>
        <v>44.4365144239071</v>
      </c>
      <c r="V503" s="54" t="b">
        <f aca="false">AND(D503&gt;=01_因子設定!$L$5-0.000000001,D503&lt;=01_因子設定!$M$5+0.000000001,E503&gt;=01_因子設定!$L$6-0.000000001,E503&lt;=01_因子設定!$M$6+0.000000001,F503&gt;=01_因子設定!$L$7-0.000000001,F503&lt;=01_因子設定!$M$7+0.000000001,IF(01_因子設定!$B$20="Box-Behnken",D503^2+E503^2+F503^2&lt;=2+0.000000001,TRUE()))</f>
        <v>1</v>
      </c>
      <c r="W503" s="55" t="n">
        <f aca="false">IF(V503,IF(01_因子設定!$B$13="最大化",T503-01_因子設定!$B$14,IF(01_因子設定!$B$13="最小化",01_因子設定!$B$15-U503,MIN(T503-01_因子設定!$B$14,01_因子設定!$B$15-U503))),-1E+030)</f>
        <v>-6.20182692390712</v>
      </c>
      <c r="X503" s="55" t="n">
        <f aca="false">IF(V503,IF(01_因子設定!$B$13="最大化",Q503,IF(01_因子設定!$B$13="最小化",-Q503,-ABS(Q503-01_因子設定!$B$16))),-1E+030)</f>
        <v>43.36734375</v>
      </c>
      <c r="Y503" s="55" t="n">
        <f aca="false">W503+ROW()*0.000000001</f>
        <v>-6.20182642090712</v>
      </c>
      <c r="Z503" s="55" t="n">
        <f aca="false">X503+ROW()*0.000000001</f>
        <v>43.367344253</v>
      </c>
    </row>
    <row r="504" customFormat="false" ht="15" hidden="false" customHeight="false" outlineLevel="0" collapsed="false">
      <c r="A504" s="0" t="n">
        <v>1</v>
      </c>
      <c r="B504" s="0" t="n">
        <v>12</v>
      </c>
      <c r="C504" s="0" t="n">
        <v>6</v>
      </c>
      <c r="D504" s="0" t="n">
        <f aca="false">-1+A504*0.125</f>
        <v>-0.875</v>
      </c>
      <c r="E504" s="0" t="n">
        <f aca="false">-1+B504*0.125</f>
        <v>0.5</v>
      </c>
      <c r="F504" s="0" t="n">
        <f aca="false">-1+C504*0.125</f>
        <v>-0.25</v>
      </c>
      <c r="G504" s="0" t="n">
        <f aca="false">1</f>
        <v>1</v>
      </c>
      <c r="H504" s="0" t="n">
        <f aca="false">D504</f>
        <v>-0.875</v>
      </c>
      <c r="I504" s="0" t="n">
        <f aca="false">E504</f>
        <v>0.5</v>
      </c>
      <c r="J504" s="0" t="n">
        <f aca="false">F504</f>
        <v>-0.25</v>
      </c>
      <c r="K504" s="0" t="n">
        <f aca="false">D504*E504</f>
        <v>-0.4375</v>
      </c>
      <c r="L504" s="0" t="n">
        <f aca="false">D504*F504</f>
        <v>0.21875</v>
      </c>
      <c r="M504" s="0" t="n">
        <f aca="false">E504*F504</f>
        <v>-0.125</v>
      </c>
      <c r="N504" s="0" t="n">
        <f aca="false">D504*D504</f>
        <v>0.765625</v>
      </c>
      <c r="O504" s="0" t="n">
        <f aca="false">E504*E504</f>
        <v>0.25</v>
      </c>
      <c r="P504" s="0" t="n">
        <f aca="false">F504*F504</f>
        <v>0.0625</v>
      </c>
      <c r="Q504" s="0" t="n">
        <f aca="false">SUMPRODUCT(G504:P504,_XtX!$B$71:$K$71)</f>
        <v>43.6763494318182</v>
      </c>
      <c r="R504" s="0" t="n">
        <f aca="false">SUMPRODUCT(MMULT(G504:P504,_XtX!$B$58:$K$67),G504:P504)</f>
        <v>0.327634499289773</v>
      </c>
      <c r="S504" s="0" t="n">
        <f aca="false">04_回帰ANOVA!$K$19*04_回帰ANOVA!$K$14*SQRT(1+R504)</f>
        <v>1.07128716250217</v>
      </c>
      <c r="T504" s="0" t="n">
        <f aca="false">Q504-S504</f>
        <v>42.605062269316</v>
      </c>
      <c r="U504" s="0" t="n">
        <f aca="false">Q504+S504</f>
        <v>44.7476365943204</v>
      </c>
      <c r="V504" s="54" t="b">
        <f aca="false">AND(D504&gt;=01_因子設定!$L$5-0.000000001,D504&lt;=01_因子設定!$M$5+0.000000001,E504&gt;=01_因子設定!$L$6-0.000000001,E504&lt;=01_因子設定!$M$6+0.000000001,F504&gt;=01_因子設定!$L$7-0.000000001,F504&lt;=01_因子設定!$M$7+0.000000001,IF(01_因子設定!$B$20="Box-Behnken",D504^2+E504^2+F504^2&lt;=2+0.000000001,TRUE()))</f>
        <v>1</v>
      </c>
      <c r="W504" s="55" t="n">
        <f aca="false">IF(V504,IF(01_因子設定!$B$13="最大化",T504-01_因子設定!$B$14,IF(01_因子設定!$B$13="最小化",01_因子設定!$B$15-U504,MIN(T504-01_因子設定!$B$14,01_因子設定!$B$15-U504))),-1E+030)</f>
        <v>-5.894937730684</v>
      </c>
      <c r="X504" s="55" t="n">
        <f aca="false">IF(V504,IF(01_因子設定!$B$13="最大化",Q504,IF(01_因子設定!$B$13="最小化",-Q504,-ABS(Q504-01_因子設定!$B$16))),-1E+030)</f>
        <v>43.6763494318182</v>
      </c>
      <c r="Y504" s="55" t="n">
        <f aca="false">W504+ROW()*0.000000001</f>
        <v>-5.894937226684</v>
      </c>
      <c r="Z504" s="55" t="n">
        <f aca="false">X504+ROW()*0.000000001</f>
        <v>43.6763499358182</v>
      </c>
    </row>
    <row r="505" customFormat="false" ht="15" hidden="false" customHeight="false" outlineLevel="0" collapsed="false">
      <c r="A505" s="0" t="n">
        <v>1</v>
      </c>
      <c r="B505" s="0" t="n">
        <v>12</v>
      </c>
      <c r="C505" s="0" t="n">
        <v>7</v>
      </c>
      <c r="D505" s="0" t="n">
        <f aca="false">-1+A505*0.125</f>
        <v>-0.875</v>
      </c>
      <c r="E505" s="0" t="n">
        <f aca="false">-1+B505*0.125</f>
        <v>0.5</v>
      </c>
      <c r="F505" s="0" t="n">
        <f aca="false">-1+C505*0.125</f>
        <v>-0.125</v>
      </c>
      <c r="G505" s="0" t="n">
        <f aca="false">1</f>
        <v>1</v>
      </c>
      <c r="H505" s="0" t="n">
        <f aca="false">D505</f>
        <v>-0.875</v>
      </c>
      <c r="I505" s="0" t="n">
        <f aca="false">E505</f>
        <v>0.5</v>
      </c>
      <c r="J505" s="0" t="n">
        <f aca="false">F505</f>
        <v>-0.125</v>
      </c>
      <c r="K505" s="0" t="n">
        <f aca="false">D505*E505</f>
        <v>-0.4375</v>
      </c>
      <c r="L505" s="0" t="n">
        <f aca="false">D505*F505</f>
        <v>0.109375</v>
      </c>
      <c r="M505" s="0" t="n">
        <f aca="false">E505*F505</f>
        <v>-0.0625</v>
      </c>
      <c r="N505" s="0" t="n">
        <f aca="false">D505*D505</f>
        <v>0.765625</v>
      </c>
      <c r="O505" s="0" t="n">
        <f aca="false">E505*E505</f>
        <v>0.25</v>
      </c>
      <c r="P505" s="0" t="n">
        <f aca="false">F505*F505</f>
        <v>0.015625</v>
      </c>
      <c r="Q505" s="0" t="n">
        <f aca="false">SUMPRODUCT(G505:P505,_XtX!$B$71:$K$71)</f>
        <v>43.9485653409091</v>
      </c>
      <c r="R505" s="0" t="n">
        <f aca="false">SUMPRODUCT(MMULT(G505:P505,_XtX!$B$58:$K$67),G505:P505)</f>
        <v>0.332909601384943</v>
      </c>
      <c r="S505" s="0" t="n">
        <f aca="false">04_回帰ANOVA!$K$19*04_回帰ANOVA!$K$14*SQRT(1+R505)</f>
        <v>1.07341333007404</v>
      </c>
      <c r="T505" s="0" t="n">
        <f aca="false">Q505-S505</f>
        <v>42.875152010835</v>
      </c>
      <c r="U505" s="0" t="n">
        <f aca="false">Q505+S505</f>
        <v>45.0219786709831</v>
      </c>
      <c r="V505" s="54" t="b">
        <f aca="false">AND(D505&gt;=01_因子設定!$L$5-0.000000001,D505&lt;=01_因子設定!$M$5+0.000000001,E505&gt;=01_因子設定!$L$6-0.000000001,E505&lt;=01_因子設定!$M$6+0.000000001,F505&gt;=01_因子設定!$L$7-0.000000001,F505&lt;=01_因子設定!$M$7+0.000000001,IF(01_因子設定!$B$20="Box-Behnken",D505^2+E505^2+F505^2&lt;=2+0.000000001,TRUE()))</f>
        <v>1</v>
      </c>
      <c r="W505" s="55" t="n">
        <f aca="false">IF(V505,IF(01_因子設定!$B$13="最大化",T505-01_因子設定!$B$14,IF(01_因子設定!$B$13="最小化",01_因子設定!$B$15-U505,MIN(T505-01_因子設定!$B$14,01_因子設定!$B$15-U505))),-1E+030)</f>
        <v>-5.62484798916496</v>
      </c>
      <c r="X505" s="55" t="n">
        <f aca="false">IF(V505,IF(01_因子設定!$B$13="最大化",Q505,IF(01_因子設定!$B$13="最小化",-Q505,-ABS(Q505-01_因子設定!$B$16))),-1E+030)</f>
        <v>43.9485653409091</v>
      </c>
      <c r="Y505" s="55" t="n">
        <f aca="false">W505+ROW()*0.000000001</f>
        <v>-5.62484748416496</v>
      </c>
      <c r="Z505" s="55" t="n">
        <f aca="false">X505+ROW()*0.000000001</f>
        <v>43.9485658459091</v>
      </c>
    </row>
    <row r="506" customFormat="false" ht="15" hidden="false" customHeight="false" outlineLevel="0" collapsed="false">
      <c r="A506" s="0" t="n">
        <v>1</v>
      </c>
      <c r="B506" s="0" t="n">
        <v>12</v>
      </c>
      <c r="C506" s="0" t="n">
        <v>8</v>
      </c>
      <c r="D506" s="0" t="n">
        <f aca="false">-1+A506*0.125</f>
        <v>-0.875</v>
      </c>
      <c r="E506" s="0" t="n">
        <f aca="false">-1+B506*0.125</f>
        <v>0.5</v>
      </c>
      <c r="F506" s="0" t="n">
        <f aca="false">-1+C506*0.125</f>
        <v>0</v>
      </c>
      <c r="G506" s="0" t="n">
        <f aca="false">1</f>
        <v>1</v>
      </c>
      <c r="H506" s="0" t="n">
        <f aca="false">D506</f>
        <v>-0.875</v>
      </c>
      <c r="I506" s="0" t="n">
        <f aca="false">E506</f>
        <v>0.5</v>
      </c>
      <c r="J506" s="0" t="n">
        <f aca="false">F506</f>
        <v>0</v>
      </c>
      <c r="K506" s="0" t="n">
        <f aca="false">D506*E506</f>
        <v>-0.4375</v>
      </c>
      <c r="L506" s="0" t="n">
        <f aca="false">D506*F506</f>
        <v>-0</v>
      </c>
      <c r="M506" s="0" t="n">
        <f aca="false">E506*F506</f>
        <v>0</v>
      </c>
      <c r="N506" s="0" t="n">
        <f aca="false">D506*D506</f>
        <v>0.765625</v>
      </c>
      <c r="O506" s="0" t="n">
        <f aca="false">E506*E506</f>
        <v>0.25</v>
      </c>
      <c r="P506" s="0" t="n">
        <f aca="false">F506*F506</f>
        <v>0</v>
      </c>
      <c r="Q506" s="0" t="n">
        <f aca="false">SUMPRODUCT(G506:P506,_XtX!$B$71:$K$71)</f>
        <v>44.1839914772727</v>
      </c>
      <c r="R506" s="0" t="n">
        <f aca="false">SUMPRODUCT(MMULT(G506:P506,_XtX!$B$58:$K$67),G506:P506)</f>
        <v>0.335023082386364</v>
      </c>
      <c r="S506" s="0" t="n">
        <f aca="false">04_回帰ANOVA!$K$19*04_回帰ANOVA!$K$14*SQRT(1+R506)</f>
        <v>1.07426400295275</v>
      </c>
      <c r="T506" s="0" t="n">
        <f aca="false">Q506-S506</f>
        <v>43.10972747432</v>
      </c>
      <c r="U506" s="0" t="n">
        <f aca="false">Q506+S506</f>
        <v>45.2582554802255</v>
      </c>
      <c r="V506" s="54" t="b">
        <f aca="false">AND(D506&gt;=01_因子設定!$L$5-0.000000001,D506&lt;=01_因子設定!$M$5+0.000000001,E506&gt;=01_因子設定!$L$6-0.000000001,E506&lt;=01_因子設定!$M$6+0.000000001,F506&gt;=01_因子設定!$L$7-0.000000001,F506&lt;=01_因子設定!$M$7+0.000000001,IF(01_因子設定!$B$20="Box-Behnken",D506^2+E506^2+F506^2&lt;=2+0.000000001,TRUE()))</f>
        <v>1</v>
      </c>
      <c r="W506" s="55" t="n">
        <f aca="false">IF(V506,IF(01_因子設定!$B$13="最大化",T506-01_因子設定!$B$14,IF(01_因子設定!$B$13="最小化",01_因子設定!$B$15-U506,MIN(T506-01_因子設定!$B$14,01_因子設定!$B$15-U506))),-1E+030)</f>
        <v>-5.39027252568003</v>
      </c>
      <c r="X506" s="55" t="n">
        <f aca="false">IF(V506,IF(01_因子設定!$B$13="最大化",Q506,IF(01_因子設定!$B$13="最小化",-Q506,-ABS(Q506-01_因子設定!$B$16))),-1E+030)</f>
        <v>44.1839914772727</v>
      </c>
      <c r="Y506" s="55" t="n">
        <f aca="false">W506+ROW()*0.000000001</f>
        <v>-5.39027201968003</v>
      </c>
      <c r="Z506" s="55" t="n">
        <f aca="false">X506+ROW()*0.000000001</f>
        <v>44.1839919832727</v>
      </c>
    </row>
    <row r="507" customFormat="false" ht="15" hidden="false" customHeight="false" outlineLevel="0" collapsed="false">
      <c r="A507" s="0" t="n">
        <v>1</v>
      </c>
      <c r="B507" s="0" t="n">
        <v>12</v>
      </c>
      <c r="C507" s="0" t="n">
        <v>9</v>
      </c>
      <c r="D507" s="0" t="n">
        <f aca="false">-1+A507*0.125</f>
        <v>-0.875</v>
      </c>
      <c r="E507" s="0" t="n">
        <f aca="false">-1+B507*0.125</f>
        <v>0.5</v>
      </c>
      <c r="F507" s="0" t="n">
        <f aca="false">-1+C507*0.125</f>
        <v>0.125</v>
      </c>
      <c r="G507" s="0" t="n">
        <f aca="false">1</f>
        <v>1</v>
      </c>
      <c r="H507" s="0" t="n">
        <f aca="false">D507</f>
        <v>-0.875</v>
      </c>
      <c r="I507" s="0" t="n">
        <f aca="false">E507</f>
        <v>0.5</v>
      </c>
      <c r="J507" s="0" t="n">
        <f aca="false">F507</f>
        <v>0.125</v>
      </c>
      <c r="K507" s="0" t="n">
        <f aca="false">D507*E507</f>
        <v>-0.4375</v>
      </c>
      <c r="L507" s="0" t="n">
        <f aca="false">D507*F507</f>
        <v>-0.109375</v>
      </c>
      <c r="M507" s="0" t="n">
        <f aca="false">E507*F507</f>
        <v>0.0625</v>
      </c>
      <c r="N507" s="0" t="n">
        <f aca="false">D507*D507</f>
        <v>0.765625</v>
      </c>
      <c r="O507" s="0" t="n">
        <f aca="false">E507*E507</f>
        <v>0.25</v>
      </c>
      <c r="P507" s="0" t="n">
        <f aca="false">F507*F507</f>
        <v>0.015625</v>
      </c>
      <c r="Q507" s="0" t="n">
        <f aca="false">SUMPRODUCT(G507:P507,_XtX!$B$71:$K$71)</f>
        <v>44.3826278409091</v>
      </c>
      <c r="R507" s="0" t="n">
        <f aca="false">SUMPRODUCT(MMULT(G507:P507,_XtX!$B$58:$K$67),G507:P507)</f>
        <v>0.332909601384943</v>
      </c>
      <c r="S507" s="0" t="n">
        <f aca="false">04_回帰ANOVA!$K$19*04_回帰ANOVA!$K$14*SQRT(1+R507)</f>
        <v>1.07341333007404</v>
      </c>
      <c r="T507" s="0" t="n">
        <f aca="false">Q507-S507</f>
        <v>43.3092145108351</v>
      </c>
      <c r="U507" s="0" t="n">
        <f aca="false">Q507+S507</f>
        <v>45.4560411709831</v>
      </c>
      <c r="V507" s="54" t="b">
        <f aca="false">AND(D507&gt;=01_因子設定!$L$5-0.000000001,D507&lt;=01_因子設定!$M$5+0.000000001,E507&gt;=01_因子設定!$L$6-0.000000001,E507&lt;=01_因子設定!$M$6+0.000000001,F507&gt;=01_因子設定!$L$7-0.000000001,F507&lt;=01_因子設定!$M$7+0.000000001,IF(01_因子設定!$B$20="Box-Behnken",D507^2+E507^2+F507^2&lt;=2+0.000000001,TRUE()))</f>
        <v>1</v>
      </c>
      <c r="W507" s="55" t="n">
        <f aca="false">IF(V507,IF(01_因子設定!$B$13="最大化",T507-01_因子設定!$B$14,IF(01_因子設定!$B$13="最小化",01_因子設定!$B$15-U507,MIN(T507-01_因子設定!$B$14,01_因子設定!$B$15-U507))),-1E+030)</f>
        <v>-5.19078548916495</v>
      </c>
      <c r="X507" s="55" t="n">
        <f aca="false">IF(V507,IF(01_因子設定!$B$13="最大化",Q507,IF(01_因子設定!$B$13="最小化",-Q507,-ABS(Q507-01_因子設定!$B$16))),-1E+030)</f>
        <v>44.3826278409091</v>
      </c>
      <c r="Y507" s="55" t="n">
        <f aca="false">W507+ROW()*0.000000001</f>
        <v>-5.19078498216495</v>
      </c>
      <c r="Z507" s="55" t="n">
        <f aca="false">X507+ROW()*0.000000001</f>
        <v>44.3826283479091</v>
      </c>
    </row>
    <row r="508" customFormat="false" ht="15" hidden="false" customHeight="false" outlineLevel="0" collapsed="false">
      <c r="A508" s="0" t="n">
        <v>1</v>
      </c>
      <c r="B508" s="0" t="n">
        <v>12</v>
      </c>
      <c r="C508" s="0" t="n">
        <v>10</v>
      </c>
      <c r="D508" s="0" t="n">
        <f aca="false">-1+A508*0.125</f>
        <v>-0.875</v>
      </c>
      <c r="E508" s="0" t="n">
        <f aca="false">-1+B508*0.125</f>
        <v>0.5</v>
      </c>
      <c r="F508" s="0" t="n">
        <f aca="false">-1+C508*0.125</f>
        <v>0.25</v>
      </c>
      <c r="G508" s="0" t="n">
        <f aca="false">1</f>
        <v>1</v>
      </c>
      <c r="H508" s="0" t="n">
        <f aca="false">D508</f>
        <v>-0.875</v>
      </c>
      <c r="I508" s="0" t="n">
        <f aca="false">E508</f>
        <v>0.5</v>
      </c>
      <c r="J508" s="0" t="n">
        <f aca="false">F508</f>
        <v>0.25</v>
      </c>
      <c r="K508" s="0" t="n">
        <f aca="false">D508*E508</f>
        <v>-0.4375</v>
      </c>
      <c r="L508" s="0" t="n">
        <f aca="false">D508*F508</f>
        <v>-0.21875</v>
      </c>
      <c r="M508" s="0" t="n">
        <f aca="false">E508*F508</f>
        <v>0.125</v>
      </c>
      <c r="N508" s="0" t="n">
        <f aca="false">D508*D508</f>
        <v>0.765625</v>
      </c>
      <c r="O508" s="0" t="n">
        <f aca="false">E508*E508</f>
        <v>0.25</v>
      </c>
      <c r="P508" s="0" t="n">
        <f aca="false">F508*F508</f>
        <v>0.0625</v>
      </c>
      <c r="Q508" s="0" t="n">
        <f aca="false">SUMPRODUCT(G508:P508,_XtX!$B$71:$K$71)</f>
        <v>44.5444744318182</v>
      </c>
      <c r="R508" s="0" t="n">
        <f aca="false">SUMPRODUCT(MMULT(G508:P508,_XtX!$B$58:$K$67),G508:P508)</f>
        <v>0.327634499289773</v>
      </c>
      <c r="S508" s="0" t="n">
        <f aca="false">04_回帰ANOVA!$K$19*04_回帰ANOVA!$K$14*SQRT(1+R508)</f>
        <v>1.07128716250217</v>
      </c>
      <c r="T508" s="0" t="n">
        <f aca="false">Q508-S508</f>
        <v>43.473187269316</v>
      </c>
      <c r="U508" s="0" t="n">
        <f aca="false">Q508+S508</f>
        <v>45.6157615943204</v>
      </c>
      <c r="V508" s="54" t="b">
        <f aca="false">AND(D508&gt;=01_因子設定!$L$5-0.000000001,D508&lt;=01_因子設定!$M$5+0.000000001,E508&gt;=01_因子設定!$L$6-0.000000001,E508&lt;=01_因子設定!$M$6+0.000000001,F508&gt;=01_因子設定!$L$7-0.000000001,F508&lt;=01_因子設定!$M$7+0.000000001,IF(01_因子設定!$B$20="Box-Behnken",D508^2+E508^2+F508^2&lt;=2+0.000000001,TRUE()))</f>
        <v>1</v>
      </c>
      <c r="W508" s="55" t="n">
        <f aca="false">IF(V508,IF(01_因子設定!$B$13="最大化",T508-01_因子設定!$B$14,IF(01_因子設定!$B$13="最小化",01_因子設定!$B$15-U508,MIN(T508-01_因子設定!$B$14,01_因子設定!$B$15-U508))),-1E+030)</f>
        <v>-5.026812730684</v>
      </c>
      <c r="X508" s="55" t="n">
        <f aca="false">IF(V508,IF(01_因子設定!$B$13="最大化",Q508,IF(01_因子設定!$B$13="最小化",-Q508,-ABS(Q508-01_因子設定!$B$16))),-1E+030)</f>
        <v>44.5444744318182</v>
      </c>
      <c r="Y508" s="55" t="n">
        <f aca="false">W508+ROW()*0.000000001</f>
        <v>-5.026812222684</v>
      </c>
      <c r="Z508" s="55" t="n">
        <f aca="false">X508+ROW()*0.000000001</f>
        <v>44.5444749398182</v>
      </c>
    </row>
    <row r="509" customFormat="false" ht="15" hidden="false" customHeight="false" outlineLevel="0" collapsed="false">
      <c r="A509" s="0" t="n">
        <v>1</v>
      </c>
      <c r="B509" s="0" t="n">
        <v>12</v>
      </c>
      <c r="C509" s="0" t="n">
        <v>11</v>
      </c>
      <c r="D509" s="0" t="n">
        <f aca="false">-1+A509*0.125</f>
        <v>-0.875</v>
      </c>
      <c r="E509" s="0" t="n">
        <f aca="false">-1+B509*0.125</f>
        <v>0.5</v>
      </c>
      <c r="F509" s="0" t="n">
        <f aca="false">-1+C509*0.125</f>
        <v>0.375</v>
      </c>
      <c r="G509" s="0" t="n">
        <f aca="false">1</f>
        <v>1</v>
      </c>
      <c r="H509" s="0" t="n">
        <f aca="false">D509</f>
        <v>-0.875</v>
      </c>
      <c r="I509" s="0" t="n">
        <f aca="false">E509</f>
        <v>0.5</v>
      </c>
      <c r="J509" s="0" t="n">
        <f aca="false">F509</f>
        <v>0.375</v>
      </c>
      <c r="K509" s="0" t="n">
        <f aca="false">D509*E509</f>
        <v>-0.4375</v>
      </c>
      <c r="L509" s="0" t="n">
        <f aca="false">D509*F509</f>
        <v>-0.328125</v>
      </c>
      <c r="M509" s="0" t="n">
        <f aca="false">E509*F509</f>
        <v>0.1875</v>
      </c>
      <c r="N509" s="0" t="n">
        <f aca="false">D509*D509</f>
        <v>0.765625</v>
      </c>
      <c r="O509" s="0" t="n">
        <f aca="false">E509*E509</f>
        <v>0.25</v>
      </c>
      <c r="P509" s="0" t="n">
        <f aca="false">F509*F509</f>
        <v>0.140625</v>
      </c>
      <c r="Q509" s="0" t="n">
        <f aca="false">SUMPRODUCT(G509:P509,_XtX!$B$71:$K$71)</f>
        <v>44.66953125</v>
      </c>
      <c r="R509" s="0" t="n">
        <f aca="false">SUMPRODUCT(MMULT(G509:P509,_XtX!$B$58:$K$67),G509:P509)</f>
        <v>0.322393798828125</v>
      </c>
      <c r="S509" s="0" t="n">
        <f aca="false">04_回帰ANOVA!$K$19*04_回帰ANOVA!$K$14*SQRT(1+R509)</f>
        <v>1.06917067390712</v>
      </c>
      <c r="T509" s="0" t="n">
        <f aca="false">Q509-S509</f>
        <v>43.6003605760929</v>
      </c>
      <c r="U509" s="0" t="n">
        <f aca="false">Q509+S509</f>
        <v>45.7387019239071</v>
      </c>
      <c r="V509" s="54" t="b">
        <f aca="false">AND(D509&gt;=01_因子設定!$L$5-0.000000001,D509&lt;=01_因子設定!$M$5+0.000000001,E509&gt;=01_因子設定!$L$6-0.000000001,E509&lt;=01_因子設定!$M$6+0.000000001,F509&gt;=01_因子設定!$L$7-0.000000001,F509&lt;=01_因子設定!$M$7+0.000000001,IF(01_因子設定!$B$20="Box-Behnken",D509^2+E509^2+F509^2&lt;=2+0.000000001,TRUE()))</f>
        <v>1</v>
      </c>
      <c r="W509" s="55" t="n">
        <f aca="false">IF(V509,IF(01_因子設定!$B$13="最大化",T509-01_因子設定!$B$14,IF(01_因子設定!$B$13="最小化",01_因子設定!$B$15-U509,MIN(T509-01_因子設定!$B$14,01_因子設定!$B$15-U509))),-1E+030)</f>
        <v>-4.89963942390712</v>
      </c>
      <c r="X509" s="55" t="n">
        <f aca="false">IF(V509,IF(01_因子設定!$B$13="最大化",Q509,IF(01_因子設定!$B$13="最小化",-Q509,-ABS(Q509-01_因子設定!$B$16))),-1E+030)</f>
        <v>44.66953125</v>
      </c>
      <c r="Y509" s="55" t="n">
        <f aca="false">W509+ROW()*0.000000001</f>
        <v>-4.89963891490712</v>
      </c>
      <c r="Z509" s="55" t="n">
        <f aca="false">X509+ROW()*0.000000001</f>
        <v>44.669531759</v>
      </c>
    </row>
    <row r="510" customFormat="false" ht="15" hidden="false" customHeight="false" outlineLevel="0" collapsed="false">
      <c r="A510" s="0" t="n">
        <v>1</v>
      </c>
      <c r="B510" s="0" t="n">
        <v>12</v>
      </c>
      <c r="C510" s="0" t="n">
        <v>12</v>
      </c>
      <c r="D510" s="0" t="n">
        <f aca="false">-1+A510*0.125</f>
        <v>-0.875</v>
      </c>
      <c r="E510" s="0" t="n">
        <f aca="false">-1+B510*0.125</f>
        <v>0.5</v>
      </c>
      <c r="F510" s="0" t="n">
        <f aca="false">-1+C510*0.125</f>
        <v>0.5</v>
      </c>
      <c r="G510" s="0" t="n">
        <f aca="false">1</f>
        <v>1</v>
      </c>
      <c r="H510" s="0" t="n">
        <f aca="false">D510</f>
        <v>-0.875</v>
      </c>
      <c r="I510" s="0" t="n">
        <f aca="false">E510</f>
        <v>0.5</v>
      </c>
      <c r="J510" s="0" t="n">
        <f aca="false">F510</f>
        <v>0.5</v>
      </c>
      <c r="K510" s="0" t="n">
        <f aca="false">D510*E510</f>
        <v>-0.4375</v>
      </c>
      <c r="L510" s="0" t="n">
        <f aca="false">D510*F510</f>
        <v>-0.4375</v>
      </c>
      <c r="M510" s="0" t="n">
        <f aca="false">E510*F510</f>
        <v>0.25</v>
      </c>
      <c r="N510" s="0" t="n">
        <f aca="false">D510*D510</f>
        <v>0.765625</v>
      </c>
      <c r="O510" s="0" t="n">
        <f aca="false">E510*E510</f>
        <v>0.25</v>
      </c>
      <c r="P510" s="0" t="n">
        <f aca="false">F510*F510</f>
        <v>0.25</v>
      </c>
      <c r="Q510" s="0" t="n">
        <f aca="false">SUMPRODUCT(G510:P510,_XtX!$B$71:$K$71)</f>
        <v>44.7577982954545</v>
      </c>
      <c r="R510" s="0" t="n">
        <f aca="false">SUMPRODUCT(MMULT(G510:P510,_XtX!$B$58:$K$67),G510:P510)</f>
        <v>0.322514204545455</v>
      </c>
      <c r="S510" s="0" t="n">
        <f aca="false">04_回帰ANOVA!$K$19*04_回帰ANOVA!$K$14*SQRT(1+R510)</f>
        <v>1.0692193475064</v>
      </c>
      <c r="T510" s="0" t="n">
        <f aca="false">Q510-S510</f>
        <v>43.6885789479481</v>
      </c>
      <c r="U510" s="0" t="n">
        <f aca="false">Q510+S510</f>
        <v>45.8270176429609</v>
      </c>
      <c r="V510" s="54" t="b">
        <f aca="false">AND(D510&gt;=01_因子設定!$L$5-0.000000001,D510&lt;=01_因子設定!$M$5+0.000000001,E510&gt;=01_因子設定!$L$6-0.000000001,E510&lt;=01_因子設定!$M$6+0.000000001,F510&gt;=01_因子設定!$L$7-0.000000001,F510&lt;=01_因子設定!$M$7+0.000000001,IF(01_因子設定!$B$20="Box-Behnken",D510^2+E510^2+F510^2&lt;=2+0.000000001,TRUE()))</f>
        <v>1</v>
      </c>
      <c r="W510" s="55" t="n">
        <f aca="false">IF(V510,IF(01_因子設定!$B$13="最大化",T510-01_因子設定!$B$14,IF(01_因子設定!$B$13="最小化",01_因子設定!$B$15-U510,MIN(T510-01_因子設定!$B$14,01_因子設定!$B$15-U510))),-1E+030)</f>
        <v>-4.81142105205186</v>
      </c>
      <c r="X510" s="55" t="n">
        <f aca="false">IF(V510,IF(01_因子設定!$B$13="最大化",Q510,IF(01_因子設定!$B$13="最小化",-Q510,-ABS(Q510-01_因子設定!$B$16))),-1E+030)</f>
        <v>44.7577982954545</v>
      </c>
      <c r="Y510" s="55" t="n">
        <f aca="false">W510+ROW()*0.000000001</f>
        <v>-4.81142054205186</v>
      </c>
      <c r="Z510" s="55" t="n">
        <f aca="false">X510+ROW()*0.000000001</f>
        <v>44.7577988054545</v>
      </c>
    </row>
    <row r="511" customFormat="false" ht="15" hidden="false" customHeight="false" outlineLevel="0" collapsed="false">
      <c r="A511" s="0" t="n">
        <v>1</v>
      </c>
      <c r="B511" s="0" t="n">
        <v>12</v>
      </c>
      <c r="C511" s="0" t="n">
        <v>13</v>
      </c>
      <c r="D511" s="0" t="n">
        <f aca="false">-1+A511*0.125</f>
        <v>-0.875</v>
      </c>
      <c r="E511" s="0" t="n">
        <f aca="false">-1+B511*0.125</f>
        <v>0.5</v>
      </c>
      <c r="F511" s="0" t="n">
        <f aca="false">-1+C511*0.125</f>
        <v>0.625</v>
      </c>
      <c r="G511" s="0" t="n">
        <f aca="false">1</f>
        <v>1</v>
      </c>
      <c r="H511" s="0" t="n">
        <f aca="false">D511</f>
        <v>-0.875</v>
      </c>
      <c r="I511" s="0" t="n">
        <f aca="false">E511</f>
        <v>0.5</v>
      </c>
      <c r="J511" s="0" t="n">
        <f aca="false">F511</f>
        <v>0.625</v>
      </c>
      <c r="K511" s="0" t="n">
        <f aca="false">D511*E511</f>
        <v>-0.4375</v>
      </c>
      <c r="L511" s="0" t="n">
        <f aca="false">D511*F511</f>
        <v>-0.546875</v>
      </c>
      <c r="M511" s="0" t="n">
        <f aca="false">E511*F511</f>
        <v>0.3125</v>
      </c>
      <c r="N511" s="0" t="n">
        <f aca="false">D511*D511</f>
        <v>0.765625</v>
      </c>
      <c r="O511" s="0" t="n">
        <f aca="false">E511*E511</f>
        <v>0.25</v>
      </c>
      <c r="P511" s="0" t="n">
        <f aca="false">F511*F511</f>
        <v>0.390625</v>
      </c>
      <c r="Q511" s="0" t="n">
        <f aca="false">SUMPRODUCT(G511:P511,_XtX!$B$71:$K$71)</f>
        <v>44.8092755681818</v>
      </c>
      <c r="R511" s="0" t="n">
        <f aca="false">SUMPRODUCT(MMULT(G511:P511,_XtX!$B$58:$K$67),G511:P511)</f>
        <v>0.335453102805398</v>
      </c>
      <c r="S511" s="0" t="n">
        <f aca="false">04_回帰ANOVA!$K$19*04_回帰ANOVA!$K$14*SQRT(1+R511)</f>
        <v>1.07443700305628</v>
      </c>
      <c r="T511" s="0" t="n">
        <f aca="false">Q511-S511</f>
        <v>43.7348385651255</v>
      </c>
      <c r="U511" s="0" t="n">
        <f aca="false">Q511+S511</f>
        <v>45.8837125712381</v>
      </c>
      <c r="V511" s="54" t="b">
        <f aca="false">AND(D511&gt;=01_因子設定!$L$5-0.000000001,D511&lt;=01_因子設定!$M$5+0.000000001,E511&gt;=01_因子設定!$L$6-0.000000001,E511&lt;=01_因子設定!$M$6+0.000000001,F511&gt;=01_因子設定!$L$7-0.000000001,F511&lt;=01_因子設定!$M$7+0.000000001,IF(01_因子設定!$B$20="Box-Behnken",D511^2+E511^2+F511^2&lt;=2+0.000000001,TRUE()))</f>
        <v>1</v>
      </c>
      <c r="W511" s="55" t="n">
        <f aca="false">IF(V511,IF(01_因子設定!$B$13="最大化",T511-01_因子設定!$B$14,IF(01_因子設定!$B$13="最小化",01_因子設定!$B$15-U511,MIN(T511-01_因子設定!$B$14,01_因子設定!$B$15-U511))),-1E+030)</f>
        <v>-4.76516143487446</v>
      </c>
      <c r="X511" s="55" t="n">
        <f aca="false">IF(V511,IF(01_因子設定!$B$13="最大化",Q511,IF(01_因子設定!$B$13="最小化",-Q511,-ABS(Q511-01_因子設定!$B$16))),-1E+030)</f>
        <v>44.8092755681818</v>
      </c>
      <c r="Y511" s="55" t="n">
        <f aca="false">W511+ROW()*0.000000001</f>
        <v>-4.76516092387446</v>
      </c>
      <c r="Z511" s="55" t="n">
        <f aca="false">X511+ROW()*0.000000001</f>
        <v>44.8092760791818</v>
      </c>
    </row>
    <row r="512" customFormat="false" ht="15" hidden="false" customHeight="false" outlineLevel="0" collapsed="false">
      <c r="A512" s="0" t="n">
        <v>1</v>
      </c>
      <c r="B512" s="0" t="n">
        <v>12</v>
      </c>
      <c r="C512" s="0" t="n">
        <v>14</v>
      </c>
      <c r="D512" s="0" t="n">
        <f aca="false">-1+A512*0.125</f>
        <v>-0.875</v>
      </c>
      <c r="E512" s="0" t="n">
        <f aca="false">-1+B512*0.125</f>
        <v>0.5</v>
      </c>
      <c r="F512" s="0" t="n">
        <f aca="false">-1+C512*0.125</f>
        <v>0.75</v>
      </c>
      <c r="G512" s="0" t="n">
        <f aca="false">1</f>
        <v>1</v>
      </c>
      <c r="H512" s="0" t="n">
        <f aca="false">D512</f>
        <v>-0.875</v>
      </c>
      <c r="I512" s="0" t="n">
        <f aca="false">E512</f>
        <v>0.5</v>
      </c>
      <c r="J512" s="0" t="n">
        <f aca="false">F512</f>
        <v>0.75</v>
      </c>
      <c r="K512" s="0" t="n">
        <f aca="false">D512*E512</f>
        <v>-0.4375</v>
      </c>
      <c r="L512" s="0" t="n">
        <f aca="false">D512*F512</f>
        <v>-0.65625</v>
      </c>
      <c r="M512" s="0" t="n">
        <f aca="false">E512*F512</f>
        <v>0.375</v>
      </c>
      <c r="N512" s="0" t="n">
        <f aca="false">D512*D512</f>
        <v>0.765625</v>
      </c>
      <c r="O512" s="0" t="n">
        <f aca="false">E512*E512</f>
        <v>0.25</v>
      </c>
      <c r="P512" s="0" t="n">
        <f aca="false">F512*F512</f>
        <v>0.5625</v>
      </c>
      <c r="Q512" s="0" t="n">
        <f aca="false">SUMPRODUCT(G512:P512,_XtX!$B$71:$K$71)</f>
        <v>44.8239630681818</v>
      </c>
      <c r="R512" s="0" t="n">
        <f aca="false">SUMPRODUCT(MMULT(G512:P512,_XtX!$B$58:$K$67),G512:P512)</f>
        <v>0.370798561789773</v>
      </c>
      <c r="S512" s="0" t="n">
        <f aca="false">04_回帰ANOVA!$K$19*04_回帰ANOVA!$K$14*SQRT(1+R512)</f>
        <v>1.08856271788237</v>
      </c>
      <c r="T512" s="0" t="n">
        <f aca="false">Q512-S512</f>
        <v>43.7354003502995</v>
      </c>
      <c r="U512" s="0" t="n">
        <f aca="false">Q512+S512</f>
        <v>45.9125257860642</v>
      </c>
      <c r="V512" s="54" t="b">
        <f aca="false">AND(D512&gt;=01_因子設定!$L$5-0.000000001,D512&lt;=01_因子設定!$M$5+0.000000001,E512&gt;=01_因子設定!$L$6-0.000000001,E512&lt;=01_因子設定!$M$6+0.000000001,F512&gt;=01_因子設定!$L$7-0.000000001,F512&lt;=01_因子設定!$M$7+0.000000001,IF(01_因子設定!$B$20="Box-Behnken",D512^2+E512^2+F512^2&lt;=2+0.000000001,TRUE()))</f>
        <v>1</v>
      </c>
      <c r="W512" s="55" t="n">
        <f aca="false">IF(V512,IF(01_因子設定!$B$13="最大化",T512-01_因子設定!$B$14,IF(01_因子設定!$B$13="最小化",01_因子設定!$B$15-U512,MIN(T512-01_因子設定!$B$14,01_因子設定!$B$15-U512))),-1E+030)</f>
        <v>-4.76459964970055</v>
      </c>
      <c r="X512" s="55" t="n">
        <f aca="false">IF(V512,IF(01_因子設定!$B$13="最大化",Q512,IF(01_因子設定!$B$13="最小化",-Q512,-ABS(Q512-01_因子設定!$B$16))),-1E+030)</f>
        <v>44.8239630681818</v>
      </c>
      <c r="Y512" s="55" t="n">
        <f aca="false">W512+ROW()*0.000000001</f>
        <v>-4.76459913770055</v>
      </c>
      <c r="Z512" s="55" t="n">
        <f aca="false">X512+ROW()*0.000000001</f>
        <v>44.8239635801818</v>
      </c>
    </row>
    <row r="513" customFormat="false" ht="15" hidden="false" customHeight="false" outlineLevel="0" collapsed="false">
      <c r="A513" s="0" t="n">
        <v>1</v>
      </c>
      <c r="B513" s="0" t="n">
        <v>12</v>
      </c>
      <c r="C513" s="0" t="n">
        <v>15</v>
      </c>
      <c r="D513" s="0" t="n">
        <f aca="false">-1+A513*0.125</f>
        <v>-0.875</v>
      </c>
      <c r="E513" s="0" t="n">
        <f aca="false">-1+B513*0.125</f>
        <v>0.5</v>
      </c>
      <c r="F513" s="0" t="n">
        <f aca="false">-1+C513*0.125</f>
        <v>0.875</v>
      </c>
      <c r="G513" s="0" t="n">
        <f aca="false">1</f>
        <v>1</v>
      </c>
      <c r="H513" s="0" t="n">
        <f aca="false">D513</f>
        <v>-0.875</v>
      </c>
      <c r="I513" s="0" t="n">
        <f aca="false">E513</f>
        <v>0.5</v>
      </c>
      <c r="J513" s="0" t="n">
        <f aca="false">F513</f>
        <v>0.875</v>
      </c>
      <c r="K513" s="0" t="n">
        <f aca="false">D513*E513</f>
        <v>-0.4375</v>
      </c>
      <c r="L513" s="0" t="n">
        <f aca="false">D513*F513</f>
        <v>-0.765625</v>
      </c>
      <c r="M513" s="0" t="n">
        <f aca="false">E513*F513</f>
        <v>0.4375</v>
      </c>
      <c r="N513" s="0" t="n">
        <f aca="false">D513*D513</f>
        <v>0.765625</v>
      </c>
      <c r="O513" s="0" t="n">
        <f aca="false">E513*E513</f>
        <v>0.25</v>
      </c>
      <c r="P513" s="0" t="n">
        <f aca="false">F513*F513</f>
        <v>0.765625</v>
      </c>
      <c r="Q513" s="0" t="n">
        <f aca="false">SUMPRODUCT(G513:P513,_XtX!$B$71:$K$71)</f>
        <v>44.8018607954546</v>
      </c>
      <c r="R513" s="0" t="n">
        <f aca="false">SUMPRODUCT(MMULT(G513:P513,_XtX!$B$58:$K$67),G513:P513)</f>
        <v>0.44026933149858</v>
      </c>
      <c r="S513" s="0" t="n">
        <f aca="false">04_回帰ANOVA!$K$19*04_回帰ANOVA!$K$14*SQRT(1+R513)</f>
        <v>1.11580548667718</v>
      </c>
      <c r="T513" s="0" t="n">
        <f aca="false">Q513-S513</f>
        <v>43.6860553087774</v>
      </c>
      <c r="U513" s="0" t="n">
        <f aca="false">Q513+S513</f>
        <v>45.9176662821317</v>
      </c>
      <c r="V513" s="54" t="b">
        <f aca="false">AND(D513&gt;=01_因子設定!$L$5-0.000000001,D513&lt;=01_因子設定!$M$5+0.000000001,E513&gt;=01_因子設定!$L$6-0.000000001,E513&lt;=01_因子設定!$M$6+0.000000001,F513&gt;=01_因子設定!$L$7-0.000000001,F513&lt;=01_因子設定!$M$7+0.000000001,IF(01_因子設定!$B$20="Box-Behnken",D513^2+E513^2+F513^2&lt;=2+0.000000001,TRUE()))</f>
        <v>1</v>
      </c>
      <c r="W513" s="55" t="n">
        <f aca="false">IF(V513,IF(01_因子設定!$B$13="最大化",T513-01_因子設定!$B$14,IF(01_因子設定!$B$13="最小化",01_因子設定!$B$15-U513,MIN(T513-01_因子設定!$B$14,01_因子設定!$B$15-U513))),-1E+030)</f>
        <v>-4.81394469122263</v>
      </c>
      <c r="X513" s="55" t="n">
        <f aca="false">IF(V513,IF(01_因子設定!$B$13="最大化",Q513,IF(01_因子設定!$B$13="最小化",-Q513,-ABS(Q513-01_因子設定!$B$16))),-1E+030)</f>
        <v>44.8018607954546</v>
      </c>
      <c r="Y513" s="55" t="n">
        <f aca="false">W513+ROW()*0.000000001</f>
        <v>-4.81394417822263</v>
      </c>
      <c r="Z513" s="55" t="n">
        <f aca="false">X513+ROW()*0.000000001</f>
        <v>44.8018613084546</v>
      </c>
    </row>
    <row r="514" customFormat="false" ht="15" hidden="false" customHeight="false" outlineLevel="0" collapsed="false">
      <c r="A514" s="0" t="n">
        <v>1</v>
      </c>
      <c r="B514" s="0" t="n">
        <v>12</v>
      </c>
      <c r="C514" s="0" t="n">
        <v>16</v>
      </c>
      <c r="D514" s="0" t="n">
        <f aca="false">-1+A514*0.125</f>
        <v>-0.875</v>
      </c>
      <c r="E514" s="0" t="n">
        <f aca="false">-1+B514*0.125</f>
        <v>0.5</v>
      </c>
      <c r="F514" s="0" t="n">
        <f aca="false">-1+C514*0.125</f>
        <v>1</v>
      </c>
      <c r="G514" s="0" t="n">
        <f aca="false">1</f>
        <v>1</v>
      </c>
      <c r="H514" s="0" t="n">
        <f aca="false">D514</f>
        <v>-0.875</v>
      </c>
      <c r="I514" s="0" t="n">
        <f aca="false">E514</f>
        <v>0.5</v>
      </c>
      <c r="J514" s="0" t="n">
        <f aca="false">F514</f>
        <v>1</v>
      </c>
      <c r="K514" s="0" t="n">
        <f aca="false">D514*E514</f>
        <v>-0.4375</v>
      </c>
      <c r="L514" s="0" t="n">
        <f aca="false">D514*F514</f>
        <v>-0.875</v>
      </c>
      <c r="M514" s="0" t="n">
        <f aca="false">E514*F514</f>
        <v>0.5</v>
      </c>
      <c r="N514" s="0" t="n">
        <f aca="false">D514*D514</f>
        <v>0.765625</v>
      </c>
      <c r="O514" s="0" t="n">
        <f aca="false">E514*E514</f>
        <v>0.25</v>
      </c>
      <c r="P514" s="0" t="n">
        <f aca="false">F514*F514</f>
        <v>1</v>
      </c>
      <c r="Q514" s="0" t="n">
        <f aca="false">SUMPRODUCT(G514:P514,_XtX!$B$71:$K$71)</f>
        <v>44.74296875</v>
      </c>
      <c r="R514" s="0" t="n">
        <f aca="false">SUMPRODUCT(MMULT(G514:P514,_XtX!$B$58:$K$67),G514:P514)</f>
        <v>0.55771484375</v>
      </c>
      <c r="S514" s="0" t="n">
        <f aca="false">04_回帰ANOVA!$K$19*04_回帰ANOVA!$K$14*SQRT(1+R514)</f>
        <v>1.16040773556467</v>
      </c>
      <c r="T514" s="0" t="n">
        <f aca="false">Q514-S514</f>
        <v>43.5825610144353</v>
      </c>
      <c r="U514" s="0" t="n">
        <f aca="false">Q514+S514</f>
        <v>45.9033764855647</v>
      </c>
      <c r="V514" s="54" t="b">
        <f aca="false">AND(D514&gt;=01_因子設定!$L$5-0.000000001,D514&lt;=01_因子設定!$M$5+0.000000001,E514&gt;=01_因子設定!$L$6-0.000000001,E514&lt;=01_因子設定!$M$6+0.000000001,F514&gt;=01_因子設定!$L$7-0.000000001,F514&lt;=01_因子設定!$M$7+0.000000001,IF(01_因子設定!$B$20="Box-Behnken",D514^2+E514^2+F514^2&lt;=2+0.000000001,TRUE()))</f>
        <v>1</v>
      </c>
      <c r="W514" s="55" t="n">
        <f aca="false">IF(V514,IF(01_因子設定!$B$13="最大化",T514-01_因子設定!$B$14,IF(01_因子設定!$B$13="最小化",01_因子設定!$B$15-U514,MIN(T514-01_因子設定!$B$14,01_因子設定!$B$15-U514))),-1E+030)</f>
        <v>-4.91743898556467</v>
      </c>
      <c r="X514" s="55" t="n">
        <f aca="false">IF(V514,IF(01_因子設定!$B$13="最大化",Q514,IF(01_因子設定!$B$13="最小化",-Q514,-ABS(Q514-01_因子設定!$B$16))),-1E+030)</f>
        <v>44.74296875</v>
      </c>
      <c r="Y514" s="55" t="n">
        <f aca="false">W514+ROW()*0.000000001</f>
        <v>-4.91743847156467</v>
      </c>
      <c r="Z514" s="55" t="n">
        <f aca="false">X514+ROW()*0.000000001</f>
        <v>44.742969264</v>
      </c>
    </row>
    <row r="515" customFormat="false" ht="15" hidden="false" customHeight="false" outlineLevel="0" collapsed="false">
      <c r="A515" s="0" t="n">
        <v>1</v>
      </c>
      <c r="B515" s="0" t="n">
        <v>13</v>
      </c>
      <c r="C515" s="0" t="n">
        <v>0</v>
      </c>
      <c r="D515" s="0" t="n">
        <f aca="false">-1+A515*0.125</f>
        <v>-0.875</v>
      </c>
      <c r="E515" s="0" t="n">
        <f aca="false">-1+B515*0.125</f>
        <v>0.625</v>
      </c>
      <c r="F515" s="0" t="n">
        <f aca="false">-1+C515*0.125</f>
        <v>-1</v>
      </c>
      <c r="G515" s="0" t="n">
        <f aca="false">1</f>
        <v>1</v>
      </c>
      <c r="H515" s="0" t="n">
        <f aca="false">D515</f>
        <v>-0.875</v>
      </c>
      <c r="I515" s="0" t="n">
        <f aca="false">E515</f>
        <v>0.625</v>
      </c>
      <c r="J515" s="0" t="n">
        <f aca="false">F515</f>
        <v>-1</v>
      </c>
      <c r="K515" s="0" t="n">
        <f aca="false">D515*E515</f>
        <v>-0.546875</v>
      </c>
      <c r="L515" s="0" t="n">
        <f aca="false">D515*F515</f>
        <v>0.875</v>
      </c>
      <c r="M515" s="0" t="n">
        <f aca="false">E515*F515</f>
        <v>-0.625</v>
      </c>
      <c r="N515" s="0" t="n">
        <f aca="false">D515*D515</f>
        <v>0.765625</v>
      </c>
      <c r="O515" s="0" t="n">
        <f aca="false">E515*E515</f>
        <v>0.390625</v>
      </c>
      <c r="P515" s="0" t="n">
        <f aca="false">F515*F515</f>
        <v>1</v>
      </c>
      <c r="Q515" s="0" t="n">
        <f aca="false">SUMPRODUCT(G515:P515,_XtX!$B$71:$K$71)</f>
        <v>41.0538991477273</v>
      </c>
      <c r="R515" s="0" t="n">
        <f aca="false">SUMPRODUCT(MMULT(G515:P515,_XtX!$B$58:$K$67),G515:P515)</f>
        <v>0.555073131214489</v>
      </c>
      <c r="S515" s="0" t="n">
        <f aca="false">04_回帰ANOVA!$K$19*04_回帰ANOVA!$K$14*SQRT(1+R515)</f>
        <v>1.15942335628341</v>
      </c>
      <c r="T515" s="0" t="n">
        <f aca="false">Q515-S515</f>
        <v>39.8944757914439</v>
      </c>
      <c r="U515" s="0" t="n">
        <f aca="false">Q515+S515</f>
        <v>42.2133225040107</v>
      </c>
      <c r="V515" s="54" t="b">
        <f aca="false">AND(D515&gt;=01_因子設定!$L$5-0.000000001,D515&lt;=01_因子設定!$M$5+0.000000001,E515&gt;=01_因子設定!$L$6-0.000000001,E515&lt;=01_因子設定!$M$6+0.000000001,F515&gt;=01_因子設定!$L$7-0.000000001,F515&lt;=01_因子設定!$M$7+0.000000001,IF(01_因子設定!$B$20="Box-Behnken",D515^2+E515^2+F515^2&lt;=2+0.000000001,TRUE()))</f>
        <v>1</v>
      </c>
      <c r="W515" s="55" t="n">
        <f aca="false">IF(V515,IF(01_因子設定!$B$13="最大化",T515-01_因子設定!$B$14,IF(01_因子設定!$B$13="最小化",01_因子設定!$B$15-U515,MIN(T515-01_因子設定!$B$14,01_因子設定!$B$15-U515))),-1E+030)</f>
        <v>-8.60552420855612</v>
      </c>
      <c r="X515" s="55" t="n">
        <f aca="false">IF(V515,IF(01_因子設定!$B$13="最大化",Q515,IF(01_因子設定!$B$13="最小化",-Q515,-ABS(Q515-01_因子設定!$B$16))),-1E+030)</f>
        <v>41.0538991477273</v>
      </c>
      <c r="Y515" s="55" t="n">
        <f aca="false">W515+ROW()*0.000000001</f>
        <v>-8.60552369355612</v>
      </c>
      <c r="Z515" s="55" t="n">
        <f aca="false">X515+ROW()*0.000000001</f>
        <v>41.0538996627273</v>
      </c>
    </row>
    <row r="516" customFormat="false" ht="15" hidden="false" customHeight="false" outlineLevel="0" collapsed="false">
      <c r="A516" s="0" t="n">
        <v>1</v>
      </c>
      <c r="B516" s="0" t="n">
        <v>13</v>
      </c>
      <c r="C516" s="0" t="n">
        <v>1</v>
      </c>
      <c r="D516" s="0" t="n">
        <f aca="false">-1+A516*0.125</f>
        <v>-0.875</v>
      </c>
      <c r="E516" s="0" t="n">
        <f aca="false">-1+B516*0.125</f>
        <v>0.625</v>
      </c>
      <c r="F516" s="0" t="n">
        <f aca="false">-1+C516*0.125</f>
        <v>-0.875</v>
      </c>
      <c r="G516" s="0" t="n">
        <f aca="false">1</f>
        <v>1</v>
      </c>
      <c r="H516" s="0" t="n">
        <f aca="false">D516</f>
        <v>-0.875</v>
      </c>
      <c r="I516" s="0" t="n">
        <f aca="false">E516</f>
        <v>0.625</v>
      </c>
      <c r="J516" s="0" t="n">
        <f aca="false">F516</f>
        <v>-0.875</v>
      </c>
      <c r="K516" s="0" t="n">
        <f aca="false">D516*E516</f>
        <v>-0.546875</v>
      </c>
      <c r="L516" s="0" t="n">
        <f aca="false">D516*F516</f>
        <v>0.765625</v>
      </c>
      <c r="M516" s="0" t="n">
        <f aca="false">E516*F516</f>
        <v>-0.546875</v>
      </c>
      <c r="N516" s="0" t="n">
        <f aca="false">D516*D516</f>
        <v>0.765625</v>
      </c>
      <c r="O516" s="0" t="n">
        <f aca="false">E516*E516</f>
        <v>0.390625</v>
      </c>
      <c r="P516" s="0" t="n">
        <f aca="false">F516*F516</f>
        <v>0.765625</v>
      </c>
      <c r="Q516" s="0" t="n">
        <f aca="false">SUMPRODUCT(G516:P516,_XtX!$B$71:$K$71)</f>
        <v>41.5538849431818</v>
      </c>
      <c r="R516" s="0" t="n">
        <f aca="false">SUMPRODUCT(MMULT(G516:P516,_XtX!$B$58:$K$67),G516:P516)</f>
        <v>0.442496559836648</v>
      </c>
      <c r="S516" s="0" t="n">
        <f aca="false">04_回帰ANOVA!$K$19*04_回帰ANOVA!$K$14*SQRT(1+R516)</f>
        <v>1.11666789259284</v>
      </c>
      <c r="T516" s="0" t="n">
        <f aca="false">Q516-S516</f>
        <v>40.437217050589</v>
      </c>
      <c r="U516" s="0" t="n">
        <f aca="false">Q516+S516</f>
        <v>42.6705528357747</v>
      </c>
      <c r="V516" s="54" t="b">
        <f aca="false">AND(D516&gt;=01_因子設定!$L$5-0.000000001,D516&lt;=01_因子設定!$M$5+0.000000001,E516&gt;=01_因子設定!$L$6-0.000000001,E516&lt;=01_因子設定!$M$6+0.000000001,F516&gt;=01_因子設定!$L$7-0.000000001,F516&lt;=01_因子設定!$M$7+0.000000001,IF(01_因子設定!$B$20="Box-Behnken",D516^2+E516^2+F516^2&lt;=2+0.000000001,TRUE()))</f>
        <v>1</v>
      </c>
      <c r="W516" s="55" t="n">
        <f aca="false">IF(V516,IF(01_因子設定!$B$13="最大化",T516-01_因子設定!$B$14,IF(01_因子設定!$B$13="最小化",01_因子設定!$B$15-U516,MIN(T516-01_因子設定!$B$14,01_因子設定!$B$15-U516))),-1E+030)</f>
        <v>-8.06278294941102</v>
      </c>
      <c r="X516" s="55" t="n">
        <f aca="false">IF(V516,IF(01_因子設定!$B$13="最大化",Q516,IF(01_因子設定!$B$13="最小化",-Q516,-ABS(Q516-01_因子設定!$B$16))),-1E+030)</f>
        <v>41.5538849431818</v>
      </c>
      <c r="Y516" s="55" t="n">
        <f aca="false">W516+ROW()*0.000000001</f>
        <v>-8.06278243341102</v>
      </c>
      <c r="Z516" s="55" t="n">
        <f aca="false">X516+ROW()*0.000000001</f>
        <v>41.5538854591818</v>
      </c>
    </row>
    <row r="517" customFormat="false" ht="15" hidden="false" customHeight="false" outlineLevel="0" collapsed="false">
      <c r="A517" s="0" t="n">
        <v>1</v>
      </c>
      <c r="B517" s="0" t="n">
        <v>13</v>
      </c>
      <c r="C517" s="0" t="n">
        <v>2</v>
      </c>
      <c r="D517" s="0" t="n">
        <f aca="false">-1+A517*0.125</f>
        <v>-0.875</v>
      </c>
      <c r="E517" s="0" t="n">
        <f aca="false">-1+B517*0.125</f>
        <v>0.625</v>
      </c>
      <c r="F517" s="0" t="n">
        <f aca="false">-1+C517*0.125</f>
        <v>-0.75</v>
      </c>
      <c r="G517" s="0" t="n">
        <f aca="false">1</f>
        <v>1</v>
      </c>
      <c r="H517" s="0" t="n">
        <f aca="false">D517</f>
        <v>-0.875</v>
      </c>
      <c r="I517" s="0" t="n">
        <f aca="false">E517</f>
        <v>0.625</v>
      </c>
      <c r="J517" s="0" t="n">
        <f aca="false">F517</f>
        <v>-0.75</v>
      </c>
      <c r="K517" s="0" t="n">
        <f aca="false">D517*E517</f>
        <v>-0.546875</v>
      </c>
      <c r="L517" s="0" t="n">
        <f aca="false">D517*F517</f>
        <v>0.65625</v>
      </c>
      <c r="M517" s="0" t="n">
        <f aca="false">E517*F517</f>
        <v>-0.46875</v>
      </c>
      <c r="N517" s="0" t="n">
        <f aca="false">D517*D517</f>
        <v>0.765625</v>
      </c>
      <c r="O517" s="0" t="n">
        <f aca="false">E517*E517</f>
        <v>0.390625</v>
      </c>
      <c r="P517" s="0" t="n">
        <f aca="false">F517*F517</f>
        <v>0.5625</v>
      </c>
      <c r="Q517" s="0" t="n">
        <f aca="false">SUMPRODUCT(G517:P517,_XtX!$B$71:$K$71)</f>
        <v>42.0170809659091</v>
      </c>
      <c r="R517" s="0" t="n">
        <f aca="false">SUMPRODUCT(MMULT(G517:P517,_XtX!$B$58:$K$67),G517:P517)</f>
        <v>0.377245538884943</v>
      </c>
      <c r="S517" s="0" t="n">
        <f aca="false">04_回帰ANOVA!$K$19*04_回帰ANOVA!$K$14*SQRT(1+R517)</f>
        <v>1.09111951468927</v>
      </c>
      <c r="T517" s="0" t="n">
        <f aca="false">Q517-S517</f>
        <v>40.9259614512198</v>
      </c>
      <c r="U517" s="0" t="n">
        <f aca="false">Q517+S517</f>
        <v>43.1082004805984</v>
      </c>
      <c r="V517" s="54" t="b">
        <f aca="false">AND(D517&gt;=01_因子設定!$L$5-0.000000001,D517&lt;=01_因子設定!$M$5+0.000000001,E517&gt;=01_因子設定!$L$6-0.000000001,E517&lt;=01_因子設定!$M$6+0.000000001,F517&gt;=01_因子設定!$L$7-0.000000001,F517&lt;=01_因子設定!$M$7+0.000000001,IF(01_因子設定!$B$20="Box-Behnken",D517^2+E517^2+F517^2&lt;=2+0.000000001,TRUE()))</f>
        <v>1</v>
      </c>
      <c r="W517" s="55" t="n">
        <f aca="false">IF(V517,IF(01_因子設定!$B$13="最大化",T517-01_因子設定!$B$14,IF(01_因子設定!$B$13="最小化",01_因子設定!$B$15-U517,MIN(T517-01_因子設定!$B$14,01_因子設定!$B$15-U517))),-1E+030)</f>
        <v>-7.57403854878018</v>
      </c>
      <c r="X517" s="55" t="n">
        <f aca="false">IF(V517,IF(01_因子設定!$B$13="最大化",Q517,IF(01_因子設定!$B$13="最小化",-Q517,-ABS(Q517-01_因子設定!$B$16))),-1E+030)</f>
        <v>42.0170809659091</v>
      </c>
      <c r="Y517" s="55" t="n">
        <f aca="false">W517+ROW()*0.000000001</f>
        <v>-7.57403803178018</v>
      </c>
      <c r="Z517" s="55" t="n">
        <f aca="false">X517+ROW()*0.000000001</f>
        <v>42.0170814829091</v>
      </c>
    </row>
    <row r="518" customFormat="false" ht="15" hidden="false" customHeight="false" outlineLevel="0" collapsed="false">
      <c r="A518" s="0" t="n">
        <v>1</v>
      </c>
      <c r="B518" s="0" t="n">
        <v>13</v>
      </c>
      <c r="C518" s="0" t="n">
        <v>3</v>
      </c>
      <c r="D518" s="0" t="n">
        <f aca="false">-1+A518*0.125</f>
        <v>-0.875</v>
      </c>
      <c r="E518" s="0" t="n">
        <f aca="false">-1+B518*0.125</f>
        <v>0.625</v>
      </c>
      <c r="F518" s="0" t="n">
        <f aca="false">-1+C518*0.125</f>
        <v>-0.625</v>
      </c>
      <c r="G518" s="0" t="n">
        <f aca="false">1</f>
        <v>1</v>
      </c>
      <c r="H518" s="0" t="n">
        <f aca="false">D518</f>
        <v>-0.875</v>
      </c>
      <c r="I518" s="0" t="n">
        <f aca="false">E518</f>
        <v>0.625</v>
      </c>
      <c r="J518" s="0" t="n">
        <f aca="false">F518</f>
        <v>-0.625</v>
      </c>
      <c r="K518" s="0" t="n">
        <f aca="false">D518*E518</f>
        <v>-0.546875</v>
      </c>
      <c r="L518" s="0" t="n">
        <f aca="false">D518*F518</f>
        <v>0.546875</v>
      </c>
      <c r="M518" s="0" t="n">
        <f aca="false">E518*F518</f>
        <v>-0.390625</v>
      </c>
      <c r="N518" s="0" t="n">
        <f aca="false">D518*D518</f>
        <v>0.765625</v>
      </c>
      <c r="O518" s="0" t="n">
        <f aca="false">E518*E518</f>
        <v>0.390625</v>
      </c>
      <c r="P518" s="0" t="n">
        <f aca="false">F518*F518</f>
        <v>0.390625</v>
      </c>
      <c r="Q518" s="0" t="n">
        <f aca="false">SUMPRODUCT(G518:P518,_XtX!$B$71:$K$71)</f>
        <v>42.4434872159091</v>
      </c>
      <c r="R518" s="0" t="n">
        <f aca="false">SUMPRODUCT(MMULT(G518:P518,_XtX!$B$58:$K$67),G518:P518)</f>
        <v>0.345470636541193</v>
      </c>
      <c r="S518" s="0" t="n">
        <f aca="false">04_回帰ANOVA!$K$19*04_回帰ANOVA!$K$14*SQRT(1+R518)</f>
        <v>1.07845927083227</v>
      </c>
      <c r="T518" s="0" t="n">
        <f aca="false">Q518-S518</f>
        <v>41.3650279450768</v>
      </c>
      <c r="U518" s="0" t="n">
        <f aca="false">Q518+S518</f>
        <v>43.5219464867414</v>
      </c>
      <c r="V518" s="54" t="b">
        <f aca="false">AND(D518&gt;=01_因子設定!$L$5-0.000000001,D518&lt;=01_因子設定!$M$5+0.000000001,E518&gt;=01_因子設定!$L$6-0.000000001,E518&lt;=01_因子設定!$M$6+0.000000001,F518&gt;=01_因子設定!$L$7-0.000000001,F518&lt;=01_因子設定!$M$7+0.000000001,IF(01_因子設定!$B$20="Box-Behnken",D518^2+E518^2+F518^2&lt;=2+0.000000001,TRUE()))</f>
        <v>1</v>
      </c>
      <c r="W518" s="55" t="n">
        <f aca="false">IF(V518,IF(01_因子設定!$B$13="最大化",T518-01_因子設定!$B$14,IF(01_因子設定!$B$13="最小化",01_因子設定!$B$15-U518,MIN(T518-01_因子設定!$B$14,01_因子設定!$B$15-U518))),-1E+030)</f>
        <v>-7.13497205492318</v>
      </c>
      <c r="X518" s="55" t="n">
        <f aca="false">IF(V518,IF(01_因子設定!$B$13="最大化",Q518,IF(01_因子設定!$B$13="最小化",-Q518,-ABS(Q518-01_因子設定!$B$16))),-1E+030)</f>
        <v>42.4434872159091</v>
      </c>
      <c r="Y518" s="55" t="n">
        <f aca="false">W518+ROW()*0.000000001</f>
        <v>-7.13497153692317</v>
      </c>
      <c r="Z518" s="55" t="n">
        <f aca="false">X518+ROW()*0.000000001</f>
        <v>42.4434877339091</v>
      </c>
    </row>
    <row r="519" customFormat="false" ht="15" hidden="false" customHeight="false" outlineLevel="0" collapsed="false">
      <c r="A519" s="0" t="n">
        <v>1</v>
      </c>
      <c r="B519" s="0" t="n">
        <v>13</v>
      </c>
      <c r="C519" s="0" t="n">
        <v>4</v>
      </c>
      <c r="D519" s="0" t="n">
        <f aca="false">-1+A519*0.125</f>
        <v>-0.875</v>
      </c>
      <c r="E519" s="0" t="n">
        <f aca="false">-1+B519*0.125</f>
        <v>0.625</v>
      </c>
      <c r="F519" s="0" t="n">
        <f aca="false">-1+C519*0.125</f>
        <v>-0.5</v>
      </c>
      <c r="G519" s="0" t="n">
        <f aca="false">1</f>
        <v>1</v>
      </c>
      <c r="H519" s="0" t="n">
        <f aca="false">D519</f>
        <v>-0.875</v>
      </c>
      <c r="I519" s="0" t="n">
        <f aca="false">E519</f>
        <v>0.625</v>
      </c>
      <c r="J519" s="0" t="n">
        <f aca="false">F519</f>
        <v>-0.5</v>
      </c>
      <c r="K519" s="0" t="n">
        <f aca="false">D519*E519</f>
        <v>-0.546875</v>
      </c>
      <c r="L519" s="0" t="n">
        <f aca="false">D519*F519</f>
        <v>0.4375</v>
      </c>
      <c r="M519" s="0" t="n">
        <f aca="false">E519*F519</f>
        <v>-0.3125</v>
      </c>
      <c r="N519" s="0" t="n">
        <f aca="false">D519*D519</f>
        <v>0.765625</v>
      </c>
      <c r="O519" s="0" t="n">
        <f aca="false">E519*E519</f>
        <v>0.390625</v>
      </c>
      <c r="P519" s="0" t="n">
        <f aca="false">F519*F519</f>
        <v>0.25</v>
      </c>
      <c r="Q519" s="0" t="n">
        <f aca="false">SUMPRODUCT(G519:P519,_XtX!$B$71:$K$71)</f>
        <v>42.8331036931818</v>
      </c>
      <c r="R519" s="0" t="n">
        <f aca="false">SUMPRODUCT(MMULT(G519:P519,_XtX!$B$58:$K$67),G519:P519)</f>
        <v>0.335453102805398</v>
      </c>
      <c r="S519" s="0" t="n">
        <f aca="false">04_回帰ANOVA!$K$19*04_回帰ANOVA!$K$14*SQRT(1+R519)</f>
        <v>1.07443700305628</v>
      </c>
      <c r="T519" s="0" t="n">
        <f aca="false">Q519-S519</f>
        <v>41.7586666901255</v>
      </c>
      <c r="U519" s="0" t="n">
        <f aca="false">Q519+S519</f>
        <v>43.9075406962381</v>
      </c>
      <c r="V519" s="54" t="b">
        <f aca="false">AND(D519&gt;=01_因子設定!$L$5-0.000000001,D519&lt;=01_因子設定!$M$5+0.000000001,E519&gt;=01_因子設定!$L$6-0.000000001,E519&lt;=01_因子設定!$M$6+0.000000001,F519&gt;=01_因子設定!$L$7-0.000000001,F519&lt;=01_因子設定!$M$7+0.000000001,IF(01_因子設定!$B$20="Box-Behnken",D519^2+E519^2+F519^2&lt;=2+0.000000001,TRUE()))</f>
        <v>1</v>
      </c>
      <c r="W519" s="55" t="n">
        <f aca="false">IF(V519,IF(01_因子設定!$B$13="最大化",T519-01_因子設定!$B$14,IF(01_因子設定!$B$13="最小化",01_因子設定!$B$15-U519,MIN(T519-01_因子設定!$B$14,01_因子設定!$B$15-U519))),-1E+030)</f>
        <v>-6.74133330987446</v>
      </c>
      <c r="X519" s="55" t="n">
        <f aca="false">IF(V519,IF(01_因子設定!$B$13="最大化",Q519,IF(01_因子設定!$B$13="最小化",-Q519,-ABS(Q519-01_因子設定!$B$16))),-1E+030)</f>
        <v>42.8331036931818</v>
      </c>
      <c r="Y519" s="55" t="n">
        <f aca="false">W519+ROW()*0.000000001</f>
        <v>-6.74133279087446</v>
      </c>
      <c r="Z519" s="55" t="n">
        <f aca="false">X519+ROW()*0.000000001</f>
        <v>42.8331042121818</v>
      </c>
    </row>
    <row r="520" customFormat="false" ht="15" hidden="false" customHeight="false" outlineLevel="0" collapsed="false">
      <c r="A520" s="0" t="n">
        <v>1</v>
      </c>
      <c r="B520" s="0" t="n">
        <v>13</v>
      </c>
      <c r="C520" s="0" t="n">
        <v>5</v>
      </c>
      <c r="D520" s="0" t="n">
        <f aca="false">-1+A520*0.125</f>
        <v>-0.875</v>
      </c>
      <c r="E520" s="0" t="n">
        <f aca="false">-1+B520*0.125</f>
        <v>0.625</v>
      </c>
      <c r="F520" s="0" t="n">
        <f aca="false">-1+C520*0.125</f>
        <v>-0.375</v>
      </c>
      <c r="G520" s="0" t="n">
        <f aca="false">1</f>
        <v>1</v>
      </c>
      <c r="H520" s="0" t="n">
        <f aca="false">D520</f>
        <v>-0.875</v>
      </c>
      <c r="I520" s="0" t="n">
        <f aca="false">E520</f>
        <v>0.625</v>
      </c>
      <c r="J520" s="0" t="n">
        <f aca="false">F520</f>
        <v>-0.375</v>
      </c>
      <c r="K520" s="0" t="n">
        <f aca="false">D520*E520</f>
        <v>-0.546875</v>
      </c>
      <c r="L520" s="0" t="n">
        <f aca="false">D520*F520</f>
        <v>0.328125</v>
      </c>
      <c r="M520" s="0" t="n">
        <f aca="false">E520*F520</f>
        <v>-0.234375</v>
      </c>
      <c r="N520" s="0" t="n">
        <f aca="false">D520*D520</f>
        <v>0.765625</v>
      </c>
      <c r="O520" s="0" t="n">
        <f aca="false">E520*E520</f>
        <v>0.390625</v>
      </c>
      <c r="P520" s="0" t="n">
        <f aca="false">F520*F520</f>
        <v>0.140625</v>
      </c>
      <c r="Q520" s="0" t="n">
        <f aca="false">SUMPRODUCT(G520:P520,_XtX!$B$71:$K$71)</f>
        <v>43.1859303977273</v>
      </c>
      <c r="R520" s="0" t="n">
        <f aca="false">SUMPRODUCT(MMULT(G520:P520,_XtX!$B$58:$K$67),G520:P520)</f>
        <v>0.337604869495739</v>
      </c>
      <c r="S520" s="0" t="n">
        <f aca="false">04_回帰ANOVA!$K$19*04_回帰ANOVA!$K$14*SQRT(1+R520)</f>
        <v>1.07530225516193</v>
      </c>
      <c r="T520" s="0" t="n">
        <f aca="false">Q520-S520</f>
        <v>42.1106281425653</v>
      </c>
      <c r="U520" s="0" t="n">
        <f aca="false">Q520+S520</f>
        <v>44.2612326528892</v>
      </c>
      <c r="V520" s="54" t="b">
        <f aca="false">AND(D520&gt;=01_因子設定!$L$5-0.000000001,D520&lt;=01_因子設定!$M$5+0.000000001,E520&gt;=01_因子設定!$L$6-0.000000001,E520&lt;=01_因子設定!$M$6+0.000000001,F520&gt;=01_因子設定!$L$7-0.000000001,F520&lt;=01_因子設定!$M$7+0.000000001,IF(01_因子設定!$B$20="Box-Behnken",D520^2+E520^2+F520^2&lt;=2+0.000000001,TRUE()))</f>
        <v>1</v>
      </c>
      <c r="W520" s="55" t="n">
        <f aca="false">IF(V520,IF(01_因子設定!$B$13="最大化",T520-01_因子設定!$B$14,IF(01_因子設定!$B$13="最小化",01_因子設定!$B$15-U520,MIN(T520-01_因子設定!$B$14,01_因子設定!$B$15-U520))),-1E+030)</f>
        <v>-6.38937185743465</v>
      </c>
      <c r="X520" s="55" t="n">
        <f aca="false">IF(V520,IF(01_因子設定!$B$13="最大化",Q520,IF(01_因子設定!$B$13="最小化",-Q520,-ABS(Q520-01_因子設定!$B$16))),-1E+030)</f>
        <v>43.1859303977273</v>
      </c>
      <c r="Y520" s="55" t="n">
        <f aca="false">W520+ROW()*0.000000001</f>
        <v>-6.38937133743465</v>
      </c>
      <c r="Z520" s="55" t="n">
        <f aca="false">X520+ROW()*0.000000001</f>
        <v>43.1859309177273</v>
      </c>
    </row>
    <row r="521" customFormat="false" ht="15" hidden="false" customHeight="false" outlineLevel="0" collapsed="false">
      <c r="A521" s="0" t="n">
        <v>1</v>
      </c>
      <c r="B521" s="0" t="n">
        <v>13</v>
      </c>
      <c r="C521" s="0" t="n">
        <v>6</v>
      </c>
      <c r="D521" s="0" t="n">
        <f aca="false">-1+A521*0.125</f>
        <v>-0.875</v>
      </c>
      <c r="E521" s="0" t="n">
        <f aca="false">-1+B521*0.125</f>
        <v>0.625</v>
      </c>
      <c r="F521" s="0" t="n">
        <f aca="false">-1+C521*0.125</f>
        <v>-0.25</v>
      </c>
      <c r="G521" s="0" t="n">
        <f aca="false">1</f>
        <v>1</v>
      </c>
      <c r="H521" s="0" t="n">
        <f aca="false">D521</f>
        <v>-0.875</v>
      </c>
      <c r="I521" s="0" t="n">
        <f aca="false">E521</f>
        <v>0.625</v>
      </c>
      <c r="J521" s="0" t="n">
        <f aca="false">F521</f>
        <v>-0.25</v>
      </c>
      <c r="K521" s="0" t="n">
        <f aca="false">D521*E521</f>
        <v>-0.546875</v>
      </c>
      <c r="L521" s="0" t="n">
        <f aca="false">D521*F521</f>
        <v>0.21875</v>
      </c>
      <c r="M521" s="0" t="n">
        <f aca="false">E521*F521</f>
        <v>-0.15625</v>
      </c>
      <c r="N521" s="0" t="n">
        <f aca="false">D521*D521</f>
        <v>0.765625</v>
      </c>
      <c r="O521" s="0" t="n">
        <f aca="false">E521*E521</f>
        <v>0.390625</v>
      </c>
      <c r="P521" s="0" t="n">
        <f aca="false">F521*F521</f>
        <v>0.0625</v>
      </c>
      <c r="Q521" s="0" t="n">
        <f aca="false">SUMPRODUCT(G521:P521,_XtX!$B$71:$K$71)</f>
        <v>43.5019673295455</v>
      </c>
      <c r="R521" s="0" t="n">
        <f aca="false">SUMPRODUCT(MMULT(G521:P521,_XtX!$B$58:$K$67),G521:P521)</f>
        <v>0.34446855024858</v>
      </c>
      <c r="S521" s="0" t="n">
        <f aca="false">04_回帰ANOVA!$K$19*04_回帰ANOVA!$K$14*SQRT(1+R521)</f>
        <v>1.07805758590432</v>
      </c>
      <c r="T521" s="0" t="n">
        <f aca="false">Q521-S521</f>
        <v>42.4239097436411</v>
      </c>
      <c r="U521" s="0" t="n">
        <f aca="false">Q521+S521</f>
        <v>44.5800249154498</v>
      </c>
      <c r="V521" s="54" t="b">
        <f aca="false">AND(D521&gt;=01_因子設定!$L$5-0.000000001,D521&lt;=01_因子設定!$M$5+0.000000001,E521&gt;=01_因子設定!$L$6-0.000000001,E521&lt;=01_因子設定!$M$6+0.000000001,F521&gt;=01_因子設定!$L$7-0.000000001,F521&lt;=01_因子設定!$M$7+0.000000001,IF(01_因子設定!$B$20="Box-Behnken",D521^2+E521^2+F521^2&lt;=2+0.000000001,TRUE()))</f>
        <v>1</v>
      </c>
      <c r="W521" s="55" t="n">
        <f aca="false">IF(V521,IF(01_因子設定!$B$13="最大化",T521-01_因子設定!$B$14,IF(01_因子設定!$B$13="最小化",01_因子設定!$B$15-U521,MIN(T521-01_因子設定!$B$14,01_因子設定!$B$15-U521))),-1E+030)</f>
        <v>-6.07609025635887</v>
      </c>
      <c r="X521" s="55" t="n">
        <f aca="false">IF(V521,IF(01_因子設定!$B$13="最大化",Q521,IF(01_因子設定!$B$13="最小化",-Q521,-ABS(Q521-01_因子設定!$B$16))),-1E+030)</f>
        <v>43.5019673295455</v>
      </c>
      <c r="Y521" s="55" t="n">
        <f aca="false">W521+ROW()*0.000000001</f>
        <v>-6.07608973535887</v>
      </c>
      <c r="Z521" s="55" t="n">
        <f aca="false">X521+ROW()*0.000000001</f>
        <v>43.5019678505455</v>
      </c>
    </row>
    <row r="522" customFormat="false" ht="15" hidden="false" customHeight="false" outlineLevel="0" collapsed="false">
      <c r="A522" s="0" t="n">
        <v>1</v>
      </c>
      <c r="B522" s="0" t="n">
        <v>13</v>
      </c>
      <c r="C522" s="0" t="n">
        <v>7</v>
      </c>
      <c r="D522" s="0" t="n">
        <f aca="false">-1+A522*0.125</f>
        <v>-0.875</v>
      </c>
      <c r="E522" s="0" t="n">
        <f aca="false">-1+B522*0.125</f>
        <v>0.625</v>
      </c>
      <c r="F522" s="0" t="n">
        <f aca="false">-1+C522*0.125</f>
        <v>-0.125</v>
      </c>
      <c r="G522" s="0" t="n">
        <f aca="false">1</f>
        <v>1</v>
      </c>
      <c r="H522" s="0" t="n">
        <f aca="false">D522</f>
        <v>-0.875</v>
      </c>
      <c r="I522" s="0" t="n">
        <f aca="false">E522</f>
        <v>0.625</v>
      </c>
      <c r="J522" s="0" t="n">
        <f aca="false">F522</f>
        <v>-0.125</v>
      </c>
      <c r="K522" s="0" t="n">
        <f aca="false">D522*E522</f>
        <v>-0.546875</v>
      </c>
      <c r="L522" s="0" t="n">
        <f aca="false">D522*F522</f>
        <v>0.109375</v>
      </c>
      <c r="M522" s="0" t="n">
        <f aca="false">E522*F522</f>
        <v>-0.078125</v>
      </c>
      <c r="N522" s="0" t="n">
        <f aca="false">D522*D522</f>
        <v>0.765625</v>
      </c>
      <c r="O522" s="0" t="n">
        <f aca="false">E522*E522</f>
        <v>0.390625</v>
      </c>
      <c r="P522" s="0" t="n">
        <f aca="false">F522*F522</f>
        <v>0.015625</v>
      </c>
      <c r="Q522" s="0" t="n">
        <f aca="false">SUMPRODUCT(G522:P522,_XtX!$B$71:$K$71)</f>
        <v>43.7812144886364</v>
      </c>
      <c r="R522" s="0" t="n">
        <f aca="false">SUMPRODUCT(MMULT(G522:P522,_XtX!$B$58:$K$67),G522:P522)</f>
        <v>0.350717440518466</v>
      </c>
      <c r="S522" s="0" t="n">
        <f aca="false">04_回帰ANOVA!$K$19*04_回帰ANOVA!$K$14*SQRT(1+R522)</f>
        <v>1.08056000737898</v>
      </c>
      <c r="T522" s="0" t="n">
        <f aca="false">Q522-S522</f>
        <v>42.7006544812574</v>
      </c>
      <c r="U522" s="0" t="n">
        <f aca="false">Q522+S522</f>
        <v>44.8617744960153</v>
      </c>
      <c r="V522" s="54" t="b">
        <f aca="false">AND(D522&gt;=01_因子設定!$L$5-0.000000001,D522&lt;=01_因子設定!$M$5+0.000000001,E522&gt;=01_因子設定!$L$6-0.000000001,E522&lt;=01_因子設定!$M$6+0.000000001,F522&gt;=01_因子設定!$L$7-0.000000001,F522&lt;=01_因子設定!$M$7+0.000000001,IF(01_因子設定!$B$20="Box-Behnken",D522^2+E522^2+F522^2&lt;=2+0.000000001,TRUE()))</f>
        <v>1</v>
      </c>
      <c r="W522" s="55" t="n">
        <f aca="false">IF(V522,IF(01_因子設定!$B$13="最大化",T522-01_因子設定!$B$14,IF(01_因子設定!$B$13="最小化",01_因子設定!$B$15-U522,MIN(T522-01_因子設定!$B$14,01_因子設定!$B$15-U522))),-1E+030)</f>
        <v>-5.79934551874262</v>
      </c>
      <c r="X522" s="55" t="n">
        <f aca="false">IF(V522,IF(01_因子設定!$B$13="最大化",Q522,IF(01_因子設定!$B$13="最小化",-Q522,-ABS(Q522-01_因子設定!$B$16))),-1E+030)</f>
        <v>43.7812144886364</v>
      </c>
      <c r="Y522" s="55" t="n">
        <f aca="false">W522+ROW()*0.000000001</f>
        <v>-5.79934499674262</v>
      </c>
      <c r="Z522" s="55" t="n">
        <f aca="false">X522+ROW()*0.000000001</f>
        <v>43.7812150106364</v>
      </c>
    </row>
    <row r="523" customFormat="false" ht="15" hidden="false" customHeight="false" outlineLevel="0" collapsed="false">
      <c r="A523" s="0" t="n">
        <v>1</v>
      </c>
      <c r="B523" s="0" t="n">
        <v>13</v>
      </c>
      <c r="C523" s="0" t="n">
        <v>8</v>
      </c>
      <c r="D523" s="0" t="n">
        <f aca="false">-1+A523*0.125</f>
        <v>-0.875</v>
      </c>
      <c r="E523" s="0" t="n">
        <f aca="false">-1+B523*0.125</f>
        <v>0.625</v>
      </c>
      <c r="F523" s="0" t="n">
        <f aca="false">-1+C523*0.125</f>
        <v>0</v>
      </c>
      <c r="G523" s="0" t="n">
        <f aca="false">1</f>
        <v>1</v>
      </c>
      <c r="H523" s="0" t="n">
        <f aca="false">D523</f>
        <v>-0.875</v>
      </c>
      <c r="I523" s="0" t="n">
        <f aca="false">E523</f>
        <v>0.625</v>
      </c>
      <c r="J523" s="0" t="n">
        <f aca="false">F523</f>
        <v>0</v>
      </c>
      <c r="K523" s="0" t="n">
        <f aca="false">D523*E523</f>
        <v>-0.546875</v>
      </c>
      <c r="L523" s="0" t="n">
        <f aca="false">D523*F523</f>
        <v>-0</v>
      </c>
      <c r="M523" s="0" t="n">
        <f aca="false">E523*F523</f>
        <v>0</v>
      </c>
      <c r="N523" s="0" t="n">
        <f aca="false">D523*D523</f>
        <v>0.765625</v>
      </c>
      <c r="O523" s="0" t="n">
        <f aca="false">E523*E523</f>
        <v>0.390625</v>
      </c>
      <c r="P523" s="0" t="n">
        <f aca="false">F523*F523</f>
        <v>0</v>
      </c>
      <c r="Q523" s="0" t="n">
        <f aca="false">SUMPRODUCT(G523:P523,_XtX!$B$71:$K$71)</f>
        <v>44.023671875</v>
      </c>
      <c r="R523" s="0" t="n">
        <f aca="false">SUMPRODUCT(MMULT(G523:P523,_XtX!$B$58:$K$67),G523:P523)</f>
        <v>0.353155517578125</v>
      </c>
      <c r="S523" s="0" t="n">
        <f aca="false">04_回帰ANOVA!$K$19*04_回帰ANOVA!$K$14*SQRT(1+R523)</f>
        <v>1.08153478594098</v>
      </c>
      <c r="T523" s="0" t="n">
        <f aca="false">Q523-S523</f>
        <v>42.942137089059</v>
      </c>
      <c r="U523" s="0" t="n">
        <f aca="false">Q523+S523</f>
        <v>45.105206660941</v>
      </c>
      <c r="V523" s="54" t="b">
        <f aca="false">AND(D523&gt;=01_因子設定!$L$5-0.000000001,D523&lt;=01_因子設定!$M$5+0.000000001,E523&gt;=01_因子設定!$L$6-0.000000001,E523&lt;=01_因子設定!$M$6+0.000000001,F523&gt;=01_因子設定!$L$7-0.000000001,F523&lt;=01_因子設定!$M$7+0.000000001,IF(01_因子設定!$B$20="Box-Behnken",D523^2+E523^2+F523^2&lt;=2+0.000000001,TRUE()))</f>
        <v>1</v>
      </c>
      <c r="W523" s="55" t="n">
        <f aca="false">IF(V523,IF(01_因子設定!$B$13="最大化",T523-01_因子設定!$B$14,IF(01_因子設定!$B$13="最小化",01_因子設定!$B$15-U523,MIN(T523-01_因子設定!$B$14,01_因子設定!$B$15-U523))),-1E+030)</f>
        <v>-5.55786291094099</v>
      </c>
      <c r="X523" s="55" t="n">
        <f aca="false">IF(V523,IF(01_因子設定!$B$13="最大化",Q523,IF(01_因子設定!$B$13="最小化",-Q523,-ABS(Q523-01_因子設定!$B$16))),-1E+030)</f>
        <v>44.023671875</v>
      </c>
      <c r="Y523" s="55" t="n">
        <f aca="false">W523+ROW()*0.000000001</f>
        <v>-5.55786238794099</v>
      </c>
      <c r="Z523" s="55" t="n">
        <f aca="false">X523+ROW()*0.000000001</f>
        <v>44.023672398</v>
      </c>
    </row>
    <row r="524" customFormat="false" ht="15" hidden="false" customHeight="false" outlineLevel="0" collapsed="false">
      <c r="A524" s="0" t="n">
        <v>1</v>
      </c>
      <c r="B524" s="0" t="n">
        <v>13</v>
      </c>
      <c r="C524" s="0" t="n">
        <v>9</v>
      </c>
      <c r="D524" s="0" t="n">
        <f aca="false">-1+A524*0.125</f>
        <v>-0.875</v>
      </c>
      <c r="E524" s="0" t="n">
        <f aca="false">-1+B524*0.125</f>
        <v>0.625</v>
      </c>
      <c r="F524" s="0" t="n">
        <f aca="false">-1+C524*0.125</f>
        <v>0.125</v>
      </c>
      <c r="G524" s="0" t="n">
        <f aca="false">1</f>
        <v>1</v>
      </c>
      <c r="H524" s="0" t="n">
        <f aca="false">D524</f>
        <v>-0.875</v>
      </c>
      <c r="I524" s="0" t="n">
        <f aca="false">E524</f>
        <v>0.625</v>
      </c>
      <c r="J524" s="0" t="n">
        <f aca="false">F524</f>
        <v>0.125</v>
      </c>
      <c r="K524" s="0" t="n">
        <f aca="false">D524*E524</f>
        <v>-0.546875</v>
      </c>
      <c r="L524" s="0" t="n">
        <f aca="false">D524*F524</f>
        <v>-0.109375</v>
      </c>
      <c r="M524" s="0" t="n">
        <f aca="false">E524*F524</f>
        <v>0.078125</v>
      </c>
      <c r="N524" s="0" t="n">
        <f aca="false">D524*D524</f>
        <v>0.765625</v>
      </c>
      <c r="O524" s="0" t="n">
        <f aca="false">E524*E524</f>
        <v>0.390625</v>
      </c>
      <c r="P524" s="0" t="n">
        <f aca="false">F524*F524</f>
        <v>0.015625</v>
      </c>
      <c r="Q524" s="0" t="n">
        <f aca="false">SUMPRODUCT(G524:P524,_XtX!$B$71:$K$71)</f>
        <v>44.2293394886364</v>
      </c>
      <c r="R524" s="0" t="n">
        <f aca="false">SUMPRODUCT(MMULT(G524:P524,_XtX!$B$58:$K$67),G524:P524)</f>
        <v>0.350717440518466</v>
      </c>
      <c r="S524" s="0" t="n">
        <f aca="false">04_回帰ANOVA!$K$19*04_回帰ANOVA!$K$14*SQRT(1+R524)</f>
        <v>1.08056000737898</v>
      </c>
      <c r="T524" s="0" t="n">
        <f aca="false">Q524-S524</f>
        <v>43.1487794812574</v>
      </c>
      <c r="U524" s="0" t="n">
        <f aca="false">Q524+S524</f>
        <v>45.3098994960153</v>
      </c>
      <c r="V524" s="54" t="b">
        <f aca="false">AND(D524&gt;=01_因子設定!$L$5-0.000000001,D524&lt;=01_因子設定!$M$5+0.000000001,E524&gt;=01_因子設定!$L$6-0.000000001,E524&lt;=01_因子設定!$M$6+0.000000001,F524&gt;=01_因子設定!$L$7-0.000000001,F524&lt;=01_因子設定!$M$7+0.000000001,IF(01_因子設定!$B$20="Box-Behnken",D524^2+E524^2+F524^2&lt;=2+0.000000001,TRUE()))</f>
        <v>1</v>
      </c>
      <c r="W524" s="55" t="n">
        <f aca="false">IF(V524,IF(01_因子設定!$B$13="最大化",T524-01_因子設定!$B$14,IF(01_因子設定!$B$13="最小化",01_因子設定!$B$15-U524,MIN(T524-01_因子設定!$B$14,01_因子設定!$B$15-U524))),-1E+030)</f>
        <v>-5.35122051874262</v>
      </c>
      <c r="X524" s="55" t="n">
        <f aca="false">IF(V524,IF(01_因子設定!$B$13="最大化",Q524,IF(01_因子設定!$B$13="最小化",-Q524,-ABS(Q524-01_因子設定!$B$16))),-1E+030)</f>
        <v>44.2293394886364</v>
      </c>
      <c r="Y524" s="55" t="n">
        <f aca="false">W524+ROW()*0.000000001</f>
        <v>-5.35121999474262</v>
      </c>
      <c r="Z524" s="55" t="n">
        <f aca="false">X524+ROW()*0.000000001</f>
        <v>44.2293400126364</v>
      </c>
    </row>
    <row r="525" customFormat="false" ht="15" hidden="false" customHeight="false" outlineLevel="0" collapsed="false">
      <c r="A525" s="0" t="n">
        <v>1</v>
      </c>
      <c r="B525" s="0" t="n">
        <v>13</v>
      </c>
      <c r="C525" s="0" t="n">
        <v>10</v>
      </c>
      <c r="D525" s="0" t="n">
        <f aca="false">-1+A525*0.125</f>
        <v>-0.875</v>
      </c>
      <c r="E525" s="0" t="n">
        <f aca="false">-1+B525*0.125</f>
        <v>0.625</v>
      </c>
      <c r="F525" s="0" t="n">
        <f aca="false">-1+C525*0.125</f>
        <v>0.25</v>
      </c>
      <c r="G525" s="0" t="n">
        <f aca="false">1</f>
        <v>1</v>
      </c>
      <c r="H525" s="0" t="n">
        <f aca="false">D525</f>
        <v>-0.875</v>
      </c>
      <c r="I525" s="0" t="n">
        <f aca="false">E525</f>
        <v>0.625</v>
      </c>
      <c r="J525" s="0" t="n">
        <f aca="false">F525</f>
        <v>0.25</v>
      </c>
      <c r="K525" s="0" t="n">
        <f aca="false">D525*E525</f>
        <v>-0.546875</v>
      </c>
      <c r="L525" s="0" t="n">
        <f aca="false">D525*F525</f>
        <v>-0.21875</v>
      </c>
      <c r="M525" s="0" t="n">
        <f aca="false">E525*F525</f>
        <v>0.15625</v>
      </c>
      <c r="N525" s="0" t="n">
        <f aca="false">D525*D525</f>
        <v>0.765625</v>
      </c>
      <c r="O525" s="0" t="n">
        <f aca="false">E525*E525</f>
        <v>0.390625</v>
      </c>
      <c r="P525" s="0" t="n">
        <f aca="false">F525*F525</f>
        <v>0.0625</v>
      </c>
      <c r="Q525" s="0" t="n">
        <f aca="false">SUMPRODUCT(G525:P525,_XtX!$B$71:$K$71)</f>
        <v>44.3982173295455</v>
      </c>
      <c r="R525" s="0" t="n">
        <f aca="false">SUMPRODUCT(MMULT(G525:P525,_XtX!$B$58:$K$67),G525:P525)</f>
        <v>0.34446855024858</v>
      </c>
      <c r="S525" s="0" t="n">
        <f aca="false">04_回帰ANOVA!$K$19*04_回帰ANOVA!$K$14*SQRT(1+R525)</f>
        <v>1.07805758590432</v>
      </c>
      <c r="T525" s="0" t="n">
        <f aca="false">Q525-S525</f>
        <v>43.3201597436411</v>
      </c>
      <c r="U525" s="0" t="n">
        <f aca="false">Q525+S525</f>
        <v>45.4762749154498</v>
      </c>
      <c r="V525" s="54" t="b">
        <f aca="false">AND(D525&gt;=01_因子設定!$L$5-0.000000001,D525&lt;=01_因子設定!$M$5+0.000000001,E525&gt;=01_因子設定!$L$6-0.000000001,E525&lt;=01_因子設定!$M$6+0.000000001,F525&gt;=01_因子設定!$L$7-0.000000001,F525&lt;=01_因子設定!$M$7+0.000000001,IF(01_因子設定!$B$20="Box-Behnken",D525^2+E525^2+F525^2&lt;=2+0.000000001,TRUE()))</f>
        <v>1</v>
      </c>
      <c r="W525" s="55" t="n">
        <f aca="false">IF(V525,IF(01_因子設定!$B$13="最大化",T525-01_因子設定!$B$14,IF(01_因子設定!$B$13="最小化",01_因子設定!$B$15-U525,MIN(T525-01_因子設定!$B$14,01_因子設定!$B$15-U525))),-1E+030)</f>
        <v>-5.17984025635887</v>
      </c>
      <c r="X525" s="55" t="n">
        <f aca="false">IF(V525,IF(01_因子設定!$B$13="最大化",Q525,IF(01_因子設定!$B$13="最小化",-Q525,-ABS(Q525-01_因子設定!$B$16))),-1E+030)</f>
        <v>44.3982173295455</v>
      </c>
      <c r="Y525" s="55" t="n">
        <f aca="false">W525+ROW()*0.000000001</f>
        <v>-5.17983973135887</v>
      </c>
      <c r="Z525" s="55" t="n">
        <f aca="false">X525+ROW()*0.000000001</f>
        <v>44.3982178545455</v>
      </c>
    </row>
    <row r="526" customFormat="false" ht="15" hidden="false" customHeight="false" outlineLevel="0" collapsed="false">
      <c r="A526" s="0" t="n">
        <v>1</v>
      </c>
      <c r="B526" s="0" t="n">
        <v>13</v>
      </c>
      <c r="C526" s="0" t="n">
        <v>11</v>
      </c>
      <c r="D526" s="0" t="n">
        <f aca="false">-1+A526*0.125</f>
        <v>-0.875</v>
      </c>
      <c r="E526" s="0" t="n">
        <f aca="false">-1+B526*0.125</f>
        <v>0.625</v>
      </c>
      <c r="F526" s="0" t="n">
        <f aca="false">-1+C526*0.125</f>
        <v>0.375</v>
      </c>
      <c r="G526" s="0" t="n">
        <f aca="false">1</f>
        <v>1</v>
      </c>
      <c r="H526" s="0" t="n">
        <f aca="false">D526</f>
        <v>-0.875</v>
      </c>
      <c r="I526" s="0" t="n">
        <f aca="false">E526</f>
        <v>0.625</v>
      </c>
      <c r="J526" s="0" t="n">
        <f aca="false">F526</f>
        <v>0.375</v>
      </c>
      <c r="K526" s="0" t="n">
        <f aca="false">D526*E526</f>
        <v>-0.546875</v>
      </c>
      <c r="L526" s="0" t="n">
        <f aca="false">D526*F526</f>
        <v>-0.328125</v>
      </c>
      <c r="M526" s="0" t="n">
        <f aca="false">E526*F526</f>
        <v>0.234375</v>
      </c>
      <c r="N526" s="0" t="n">
        <f aca="false">D526*D526</f>
        <v>0.765625</v>
      </c>
      <c r="O526" s="0" t="n">
        <f aca="false">E526*E526</f>
        <v>0.390625</v>
      </c>
      <c r="P526" s="0" t="n">
        <f aca="false">F526*F526</f>
        <v>0.140625</v>
      </c>
      <c r="Q526" s="0" t="n">
        <f aca="false">SUMPRODUCT(G526:P526,_XtX!$B$71:$K$71)</f>
        <v>44.5303053977273</v>
      </c>
      <c r="R526" s="0" t="n">
        <f aca="false">SUMPRODUCT(MMULT(G526:P526,_XtX!$B$58:$K$67),G526:P526)</f>
        <v>0.337604869495739</v>
      </c>
      <c r="S526" s="0" t="n">
        <f aca="false">04_回帰ANOVA!$K$19*04_回帰ANOVA!$K$14*SQRT(1+R526)</f>
        <v>1.07530225516193</v>
      </c>
      <c r="T526" s="0" t="n">
        <f aca="false">Q526-S526</f>
        <v>43.4550031425653</v>
      </c>
      <c r="U526" s="0" t="n">
        <f aca="false">Q526+S526</f>
        <v>45.6056076528892</v>
      </c>
      <c r="V526" s="54" t="b">
        <f aca="false">AND(D526&gt;=01_因子設定!$L$5-0.000000001,D526&lt;=01_因子設定!$M$5+0.000000001,E526&gt;=01_因子設定!$L$6-0.000000001,E526&lt;=01_因子設定!$M$6+0.000000001,F526&gt;=01_因子設定!$L$7-0.000000001,F526&lt;=01_因子設定!$M$7+0.000000001,IF(01_因子設定!$B$20="Box-Behnken",D526^2+E526^2+F526^2&lt;=2+0.000000001,TRUE()))</f>
        <v>1</v>
      </c>
      <c r="W526" s="55" t="n">
        <f aca="false">IF(V526,IF(01_因子設定!$B$13="最大化",T526-01_因子設定!$B$14,IF(01_因子設定!$B$13="最小化",01_因子設定!$B$15-U526,MIN(T526-01_因子設定!$B$14,01_因子設定!$B$15-U526))),-1E+030)</f>
        <v>-5.04499685743465</v>
      </c>
      <c r="X526" s="55" t="n">
        <f aca="false">IF(V526,IF(01_因子設定!$B$13="最大化",Q526,IF(01_因子設定!$B$13="最小化",-Q526,-ABS(Q526-01_因子設定!$B$16))),-1E+030)</f>
        <v>44.5303053977273</v>
      </c>
      <c r="Y526" s="55" t="n">
        <f aca="false">W526+ROW()*0.000000001</f>
        <v>-5.04499633143465</v>
      </c>
      <c r="Z526" s="55" t="n">
        <f aca="false">X526+ROW()*0.000000001</f>
        <v>44.5303059237273</v>
      </c>
    </row>
    <row r="527" customFormat="false" ht="15" hidden="false" customHeight="false" outlineLevel="0" collapsed="false">
      <c r="A527" s="0" t="n">
        <v>1</v>
      </c>
      <c r="B527" s="0" t="n">
        <v>13</v>
      </c>
      <c r="C527" s="0" t="n">
        <v>12</v>
      </c>
      <c r="D527" s="0" t="n">
        <f aca="false">-1+A527*0.125</f>
        <v>-0.875</v>
      </c>
      <c r="E527" s="0" t="n">
        <f aca="false">-1+B527*0.125</f>
        <v>0.625</v>
      </c>
      <c r="F527" s="0" t="n">
        <f aca="false">-1+C527*0.125</f>
        <v>0.5</v>
      </c>
      <c r="G527" s="0" t="n">
        <f aca="false">1</f>
        <v>1</v>
      </c>
      <c r="H527" s="0" t="n">
        <f aca="false">D527</f>
        <v>-0.875</v>
      </c>
      <c r="I527" s="0" t="n">
        <f aca="false">E527</f>
        <v>0.625</v>
      </c>
      <c r="J527" s="0" t="n">
        <f aca="false">F527</f>
        <v>0.5</v>
      </c>
      <c r="K527" s="0" t="n">
        <f aca="false">D527*E527</f>
        <v>-0.546875</v>
      </c>
      <c r="L527" s="0" t="n">
        <f aca="false">D527*F527</f>
        <v>-0.4375</v>
      </c>
      <c r="M527" s="0" t="n">
        <f aca="false">E527*F527</f>
        <v>0.3125</v>
      </c>
      <c r="N527" s="0" t="n">
        <f aca="false">D527*D527</f>
        <v>0.765625</v>
      </c>
      <c r="O527" s="0" t="n">
        <f aca="false">E527*E527</f>
        <v>0.390625</v>
      </c>
      <c r="P527" s="0" t="n">
        <f aca="false">F527*F527</f>
        <v>0.25</v>
      </c>
      <c r="Q527" s="0" t="n">
        <f aca="false">SUMPRODUCT(G527:P527,_XtX!$B$71:$K$71)</f>
        <v>44.6256036931818</v>
      </c>
      <c r="R527" s="0" t="n">
        <f aca="false">SUMPRODUCT(MMULT(G527:P527,_XtX!$B$58:$K$67),G527:P527)</f>
        <v>0.335453102805398</v>
      </c>
      <c r="S527" s="0" t="n">
        <f aca="false">04_回帰ANOVA!$K$19*04_回帰ANOVA!$K$14*SQRT(1+R527)</f>
        <v>1.07443700305628</v>
      </c>
      <c r="T527" s="0" t="n">
        <f aca="false">Q527-S527</f>
        <v>43.5511666901255</v>
      </c>
      <c r="U527" s="0" t="n">
        <f aca="false">Q527+S527</f>
        <v>45.7000406962381</v>
      </c>
      <c r="V527" s="54" t="b">
        <f aca="false">AND(D527&gt;=01_因子設定!$L$5-0.000000001,D527&lt;=01_因子設定!$M$5+0.000000001,E527&gt;=01_因子設定!$L$6-0.000000001,E527&lt;=01_因子設定!$M$6+0.000000001,F527&gt;=01_因子設定!$L$7-0.000000001,F527&lt;=01_因子設定!$M$7+0.000000001,IF(01_因子設定!$B$20="Box-Behnken",D527^2+E527^2+F527^2&lt;=2+0.000000001,TRUE()))</f>
        <v>1</v>
      </c>
      <c r="W527" s="55" t="n">
        <f aca="false">IF(V527,IF(01_因子設定!$B$13="最大化",T527-01_因子設定!$B$14,IF(01_因子設定!$B$13="最小化",01_因子設定!$B$15-U527,MIN(T527-01_因子設定!$B$14,01_因子設定!$B$15-U527))),-1E+030)</f>
        <v>-4.94883330987446</v>
      </c>
      <c r="X527" s="55" t="n">
        <f aca="false">IF(V527,IF(01_因子設定!$B$13="最大化",Q527,IF(01_因子設定!$B$13="最小化",-Q527,-ABS(Q527-01_因子設定!$B$16))),-1E+030)</f>
        <v>44.6256036931818</v>
      </c>
      <c r="Y527" s="55" t="n">
        <f aca="false">W527+ROW()*0.000000001</f>
        <v>-4.94883278287446</v>
      </c>
      <c r="Z527" s="55" t="n">
        <f aca="false">X527+ROW()*0.000000001</f>
        <v>44.6256042201818</v>
      </c>
    </row>
    <row r="528" customFormat="false" ht="15" hidden="false" customHeight="false" outlineLevel="0" collapsed="false">
      <c r="A528" s="0" t="n">
        <v>1</v>
      </c>
      <c r="B528" s="0" t="n">
        <v>13</v>
      </c>
      <c r="C528" s="0" t="n">
        <v>13</v>
      </c>
      <c r="D528" s="0" t="n">
        <f aca="false">-1+A528*0.125</f>
        <v>-0.875</v>
      </c>
      <c r="E528" s="0" t="n">
        <f aca="false">-1+B528*0.125</f>
        <v>0.625</v>
      </c>
      <c r="F528" s="0" t="n">
        <f aca="false">-1+C528*0.125</f>
        <v>0.625</v>
      </c>
      <c r="G528" s="0" t="n">
        <f aca="false">1</f>
        <v>1</v>
      </c>
      <c r="H528" s="0" t="n">
        <f aca="false">D528</f>
        <v>-0.875</v>
      </c>
      <c r="I528" s="0" t="n">
        <f aca="false">E528</f>
        <v>0.625</v>
      </c>
      <c r="J528" s="0" t="n">
        <f aca="false">F528</f>
        <v>0.625</v>
      </c>
      <c r="K528" s="0" t="n">
        <f aca="false">D528*E528</f>
        <v>-0.546875</v>
      </c>
      <c r="L528" s="0" t="n">
        <f aca="false">D528*F528</f>
        <v>-0.546875</v>
      </c>
      <c r="M528" s="0" t="n">
        <f aca="false">E528*F528</f>
        <v>0.390625</v>
      </c>
      <c r="N528" s="0" t="n">
        <f aca="false">D528*D528</f>
        <v>0.765625</v>
      </c>
      <c r="O528" s="0" t="n">
        <f aca="false">E528*E528</f>
        <v>0.390625</v>
      </c>
      <c r="P528" s="0" t="n">
        <f aca="false">F528*F528</f>
        <v>0.390625</v>
      </c>
      <c r="Q528" s="0" t="n">
        <f aca="false">SUMPRODUCT(G528:P528,_XtX!$B$71:$K$71)</f>
        <v>44.6841122159091</v>
      </c>
      <c r="R528" s="0" t="n">
        <f aca="false">SUMPRODUCT(MMULT(G528:P528,_XtX!$B$58:$K$67),G528:P528)</f>
        <v>0.345470636541193</v>
      </c>
      <c r="S528" s="0" t="n">
        <f aca="false">04_回帰ANOVA!$K$19*04_回帰ANOVA!$K$14*SQRT(1+R528)</f>
        <v>1.07845927083227</v>
      </c>
      <c r="T528" s="0" t="n">
        <f aca="false">Q528-S528</f>
        <v>43.6056529450768</v>
      </c>
      <c r="U528" s="0" t="n">
        <f aca="false">Q528+S528</f>
        <v>45.7625714867414</v>
      </c>
      <c r="V528" s="54" t="b">
        <f aca="false">AND(D528&gt;=01_因子設定!$L$5-0.000000001,D528&lt;=01_因子設定!$M$5+0.000000001,E528&gt;=01_因子設定!$L$6-0.000000001,E528&lt;=01_因子設定!$M$6+0.000000001,F528&gt;=01_因子設定!$L$7-0.000000001,F528&lt;=01_因子設定!$M$7+0.000000001,IF(01_因子設定!$B$20="Box-Behnken",D528^2+E528^2+F528^2&lt;=2+0.000000001,TRUE()))</f>
        <v>1</v>
      </c>
      <c r="W528" s="55" t="n">
        <f aca="false">IF(V528,IF(01_因子設定!$B$13="最大化",T528-01_因子設定!$B$14,IF(01_因子設定!$B$13="最小化",01_因子設定!$B$15-U528,MIN(T528-01_因子設定!$B$14,01_因子設定!$B$15-U528))),-1E+030)</f>
        <v>-4.89434705492318</v>
      </c>
      <c r="X528" s="55" t="n">
        <f aca="false">IF(V528,IF(01_因子設定!$B$13="最大化",Q528,IF(01_因子設定!$B$13="最小化",-Q528,-ABS(Q528-01_因子設定!$B$16))),-1E+030)</f>
        <v>44.6841122159091</v>
      </c>
      <c r="Y528" s="55" t="n">
        <f aca="false">W528+ROW()*0.000000001</f>
        <v>-4.89434652692318</v>
      </c>
      <c r="Z528" s="55" t="n">
        <f aca="false">X528+ROW()*0.000000001</f>
        <v>44.6841127439091</v>
      </c>
    </row>
    <row r="529" customFormat="false" ht="15" hidden="false" customHeight="false" outlineLevel="0" collapsed="false">
      <c r="A529" s="0" t="n">
        <v>1</v>
      </c>
      <c r="B529" s="0" t="n">
        <v>13</v>
      </c>
      <c r="C529" s="0" t="n">
        <v>14</v>
      </c>
      <c r="D529" s="0" t="n">
        <f aca="false">-1+A529*0.125</f>
        <v>-0.875</v>
      </c>
      <c r="E529" s="0" t="n">
        <f aca="false">-1+B529*0.125</f>
        <v>0.625</v>
      </c>
      <c r="F529" s="0" t="n">
        <f aca="false">-1+C529*0.125</f>
        <v>0.75</v>
      </c>
      <c r="G529" s="0" t="n">
        <f aca="false">1</f>
        <v>1</v>
      </c>
      <c r="H529" s="0" t="n">
        <f aca="false">D529</f>
        <v>-0.875</v>
      </c>
      <c r="I529" s="0" t="n">
        <f aca="false">E529</f>
        <v>0.625</v>
      </c>
      <c r="J529" s="0" t="n">
        <f aca="false">F529</f>
        <v>0.75</v>
      </c>
      <c r="K529" s="0" t="n">
        <f aca="false">D529*E529</f>
        <v>-0.546875</v>
      </c>
      <c r="L529" s="0" t="n">
        <f aca="false">D529*F529</f>
        <v>-0.65625</v>
      </c>
      <c r="M529" s="0" t="n">
        <f aca="false">E529*F529</f>
        <v>0.46875</v>
      </c>
      <c r="N529" s="0" t="n">
        <f aca="false">D529*D529</f>
        <v>0.765625</v>
      </c>
      <c r="O529" s="0" t="n">
        <f aca="false">E529*E529</f>
        <v>0.390625</v>
      </c>
      <c r="P529" s="0" t="n">
        <f aca="false">F529*F529</f>
        <v>0.5625</v>
      </c>
      <c r="Q529" s="0" t="n">
        <f aca="false">SUMPRODUCT(G529:P529,_XtX!$B$71:$K$71)</f>
        <v>44.7058309659091</v>
      </c>
      <c r="R529" s="0" t="n">
        <f aca="false">SUMPRODUCT(MMULT(G529:P529,_XtX!$B$58:$K$67),G529:P529)</f>
        <v>0.377245538884943</v>
      </c>
      <c r="S529" s="0" t="n">
        <f aca="false">04_回帰ANOVA!$K$19*04_回帰ANOVA!$K$14*SQRT(1+R529)</f>
        <v>1.09111951468927</v>
      </c>
      <c r="T529" s="0" t="n">
        <f aca="false">Q529-S529</f>
        <v>43.6147114512198</v>
      </c>
      <c r="U529" s="0" t="n">
        <f aca="false">Q529+S529</f>
        <v>45.7969504805984</v>
      </c>
      <c r="V529" s="54" t="b">
        <f aca="false">AND(D529&gt;=01_因子設定!$L$5-0.000000001,D529&lt;=01_因子設定!$M$5+0.000000001,E529&gt;=01_因子設定!$L$6-0.000000001,E529&lt;=01_因子設定!$M$6+0.000000001,F529&gt;=01_因子設定!$L$7-0.000000001,F529&lt;=01_因子設定!$M$7+0.000000001,IF(01_因子設定!$B$20="Box-Behnken",D529^2+E529^2+F529^2&lt;=2+0.000000001,TRUE()))</f>
        <v>1</v>
      </c>
      <c r="W529" s="55" t="n">
        <f aca="false">IF(V529,IF(01_因子設定!$B$13="最大化",T529-01_因子設定!$B$14,IF(01_因子設定!$B$13="最小化",01_因子設定!$B$15-U529,MIN(T529-01_因子設定!$B$14,01_因子設定!$B$15-U529))),-1E+030)</f>
        <v>-4.88528854878018</v>
      </c>
      <c r="X529" s="55" t="n">
        <f aca="false">IF(V529,IF(01_因子設定!$B$13="最大化",Q529,IF(01_因子設定!$B$13="最小化",-Q529,-ABS(Q529-01_因子設定!$B$16))),-1E+030)</f>
        <v>44.7058309659091</v>
      </c>
      <c r="Y529" s="55" t="n">
        <f aca="false">W529+ROW()*0.000000001</f>
        <v>-4.88528801978018</v>
      </c>
      <c r="Z529" s="55" t="n">
        <f aca="false">X529+ROW()*0.000000001</f>
        <v>44.7058314949091</v>
      </c>
    </row>
    <row r="530" customFormat="false" ht="15" hidden="false" customHeight="false" outlineLevel="0" collapsed="false">
      <c r="A530" s="0" t="n">
        <v>1</v>
      </c>
      <c r="B530" s="0" t="n">
        <v>13</v>
      </c>
      <c r="C530" s="0" t="n">
        <v>15</v>
      </c>
      <c r="D530" s="0" t="n">
        <f aca="false">-1+A530*0.125</f>
        <v>-0.875</v>
      </c>
      <c r="E530" s="0" t="n">
        <f aca="false">-1+B530*0.125</f>
        <v>0.625</v>
      </c>
      <c r="F530" s="0" t="n">
        <f aca="false">-1+C530*0.125</f>
        <v>0.875</v>
      </c>
      <c r="G530" s="0" t="n">
        <f aca="false">1</f>
        <v>1</v>
      </c>
      <c r="H530" s="0" t="n">
        <f aca="false">D530</f>
        <v>-0.875</v>
      </c>
      <c r="I530" s="0" t="n">
        <f aca="false">E530</f>
        <v>0.625</v>
      </c>
      <c r="J530" s="0" t="n">
        <f aca="false">F530</f>
        <v>0.875</v>
      </c>
      <c r="K530" s="0" t="n">
        <f aca="false">D530*E530</f>
        <v>-0.546875</v>
      </c>
      <c r="L530" s="0" t="n">
        <f aca="false">D530*F530</f>
        <v>-0.765625</v>
      </c>
      <c r="M530" s="0" t="n">
        <f aca="false">E530*F530</f>
        <v>0.546875</v>
      </c>
      <c r="N530" s="0" t="n">
        <f aca="false">D530*D530</f>
        <v>0.765625</v>
      </c>
      <c r="O530" s="0" t="n">
        <f aca="false">E530*E530</f>
        <v>0.390625</v>
      </c>
      <c r="P530" s="0" t="n">
        <f aca="false">F530*F530</f>
        <v>0.765625</v>
      </c>
      <c r="Q530" s="0" t="n">
        <f aca="false">SUMPRODUCT(G530:P530,_XtX!$B$71:$K$71)</f>
        <v>44.6907599431818</v>
      </c>
      <c r="R530" s="0" t="n">
        <f aca="false">SUMPRODUCT(MMULT(G530:P530,_XtX!$B$58:$K$67),G530:P530)</f>
        <v>0.442496559836648</v>
      </c>
      <c r="S530" s="0" t="n">
        <f aca="false">04_回帰ANOVA!$K$19*04_回帰ANOVA!$K$14*SQRT(1+R530)</f>
        <v>1.11666789259284</v>
      </c>
      <c r="T530" s="0" t="n">
        <f aca="false">Q530-S530</f>
        <v>43.574092050589</v>
      </c>
      <c r="U530" s="0" t="n">
        <f aca="false">Q530+S530</f>
        <v>45.8074278357747</v>
      </c>
      <c r="V530" s="54" t="b">
        <f aca="false">AND(D530&gt;=01_因子設定!$L$5-0.000000001,D530&lt;=01_因子設定!$M$5+0.000000001,E530&gt;=01_因子設定!$L$6-0.000000001,E530&lt;=01_因子設定!$M$6+0.000000001,F530&gt;=01_因子設定!$L$7-0.000000001,F530&lt;=01_因子設定!$M$7+0.000000001,IF(01_因子設定!$B$20="Box-Behnken",D530^2+E530^2+F530^2&lt;=2+0.000000001,TRUE()))</f>
        <v>1</v>
      </c>
      <c r="W530" s="55" t="n">
        <f aca="false">IF(V530,IF(01_因子設定!$B$13="最大化",T530-01_因子設定!$B$14,IF(01_因子設定!$B$13="最小化",01_因子設定!$B$15-U530,MIN(T530-01_因子設定!$B$14,01_因子設定!$B$15-U530))),-1E+030)</f>
        <v>-4.92590794941102</v>
      </c>
      <c r="X530" s="55" t="n">
        <f aca="false">IF(V530,IF(01_因子設定!$B$13="最大化",Q530,IF(01_因子設定!$B$13="最小化",-Q530,-ABS(Q530-01_因子設定!$B$16))),-1E+030)</f>
        <v>44.6907599431818</v>
      </c>
      <c r="Y530" s="55" t="n">
        <f aca="false">W530+ROW()*0.000000001</f>
        <v>-4.92590741941102</v>
      </c>
      <c r="Z530" s="55" t="n">
        <f aca="false">X530+ROW()*0.000000001</f>
        <v>44.6907604731818</v>
      </c>
    </row>
    <row r="531" customFormat="false" ht="15" hidden="false" customHeight="false" outlineLevel="0" collapsed="false">
      <c r="A531" s="0" t="n">
        <v>1</v>
      </c>
      <c r="B531" s="0" t="n">
        <v>13</v>
      </c>
      <c r="C531" s="0" t="n">
        <v>16</v>
      </c>
      <c r="D531" s="0" t="n">
        <f aca="false">-1+A531*0.125</f>
        <v>-0.875</v>
      </c>
      <c r="E531" s="0" t="n">
        <f aca="false">-1+B531*0.125</f>
        <v>0.625</v>
      </c>
      <c r="F531" s="0" t="n">
        <f aca="false">-1+C531*0.125</f>
        <v>1</v>
      </c>
      <c r="G531" s="0" t="n">
        <f aca="false">1</f>
        <v>1</v>
      </c>
      <c r="H531" s="0" t="n">
        <f aca="false">D531</f>
        <v>-0.875</v>
      </c>
      <c r="I531" s="0" t="n">
        <f aca="false">E531</f>
        <v>0.625</v>
      </c>
      <c r="J531" s="0" t="n">
        <f aca="false">F531</f>
        <v>1</v>
      </c>
      <c r="K531" s="0" t="n">
        <f aca="false">D531*E531</f>
        <v>-0.546875</v>
      </c>
      <c r="L531" s="0" t="n">
        <f aca="false">D531*F531</f>
        <v>-0.875</v>
      </c>
      <c r="M531" s="0" t="n">
        <f aca="false">E531*F531</f>
        <v>0.625</v>
      </c>
      <c r="N531" s="0" t="n">
        <f aca="false">D531*D531</f>
        <v>0.765625</v>
      </c>
      <c r="O531" s="0" t="n">
        <f aca="false">E531*E531</f>
        <v>0.390625</v>
      </c>
      <c r="P531" s="0" t="n">
        <f aca="false">F531*F531</f>
        <v>1</v>
      </c>
      <c r="Q531" s="0" t="n">
        <f aca="false">SUMPRODUCT(G531:P531,_XtX!$B$71:$K$71)</f>
        <v>44.6388991477273</v>
      </c>
      <c r="R531" s="0" t="n">
        <f aca="false">SUMPRODUCT(MMULT(G531:P531,_XtX!$B$58:$K$67),G531:P531)</f>
        <v>0.555073131214489</v>
      </c>
      <c r="S531" s="0" t="n">
        <f aca="false">04_回帰ANOVA!$K$19*04_回帰ANOVA!$K$14*SQRT(1+R531)</f>
        <v>1.15942335628341</v>
      </c>
      <c r="T531" s="0" t="n">
        <f aca="false">Q531-S531</f>
        <v>43.4794757914439</v>
      </c>
      <c r="U531" s="0" t="n">
        <f aca="false">Q531+S531</f>
        <v>45.7983225040107</v>
      </c>
      <c r="V531" s="54" t="b">
        <f aca="false">AND(D531&gt;=01_因子設定!$L$5-0.000000001,D531&lt;=01_因子設定!$M$5+0.000000001,E531&gt;=01_因子設定!$L$6-0.000000001,E531&lt;=01_因子設定!$M$6+0.000000001,F531&gt;=01_因子設定!$L$7-0.000000001,F531&lt;=01_因子設定!$M$7+0.000000001,IF(01_因子設定!$B$20="Box-Behnken",D531^2+E531^2+F531^2&lt;=2+0.000000001,TRUE()))</f>
        <v>1</v>
      </c>
      <c r="W531" s="55" t="n">
        <f aca="false">IF(V531,IF(01_因子設定!$B$13="最大化",T531-01_因子設定!$B$14,IF(01_因子設定!$B$13="最小化",01_因子設定!$B$15-U531,MIN(T531-01_因子設定!$B$14,01_因子設定!$B$15-U531))),-1E+030)</f>
        <v>-5.02052420855612</v>
      </c>
      <c r="X531" s="55" t="n">
        <f aca="false">IF(V531,IF(01_因子設定!$B$13="最大化",Q531,IF(01_因子設定!$B$13="最小化",-Q531,-ABS(Q531-01_因子設定!$B$16))),-1E+030)</f>
        <v>44.6388991477273</v>
      </c>
      <c r="Y531" s="55" t="n">
        <f aca="false">W531+ROW()*0.000000001</f>
        <v>-5.02052367755612</v>
      </c>
      <c r="Z531" s="55" t="n">
        <f aca="false">X531+ROW()*0.000000001</f>
        <v>44.6388996787273</v>
      </c>
    </row>
    <row r="532" customFormat="false" ht="15" hidden="false" customHeight="false" outlineLevel="0" collapsed="false">
      <c r="A532" s="0" t="n">
        <v>1</v>
      </c>
      <c r="B532" s="0" t="n">
        <v>14</v>
      </c>
      <c r="C532" s="0" t="n">
        <v>0</v>
      </c>
      <c r="D532" s="0" t="n">
        <f aca="false">-1+A532*0.125</f>
        <v>-0.875</v>
      </c>
      <c r="E532" s="0" t="n">
        <f aca="false">-1+B532*0.125</f>
        <v>0.75</v>
      </c>
      <c r="F532" s="0" t="n">
        <f aca="false">-1+C532*0.125</f>
        <v>-1</v>
      </c>
      <c r="G532" s="0" t="n">
        <f aca="false">1</f>
        <v>1</v>
      </c>
      <c r="H532" s="0" t="n">
        <f aca="false">D532</f>
        <v>-0.875</v>
      </c>
      <c r="I532" s="0" t="n">
        <f aca="false">E532</f>
        <v>0.75</v>
      </c>
      <c r="J532" s="0" t="n">
        <f aca="false">F532</f>
        <v>-1</v>
      </c>
      <c r="K532" s="0" t="n">
        <f aca="false">D532*E532</f>
        <v>-0.65625</v>
      </c>
      <c r="L532" s="0" t="n">
        <f aca="false">D532*F532</f>
        <v>0.875</v>
      </c>
      <c r="M532" s="0" t="n">
        <f aca="false">E532*F532</f>
        <v>-0.75</v>
      </c>
      <c r="N532" s="0" t="n">
        <f aca="false">D532*D532</f>
        <v>0.765625</v>
      </c>
      <c r="O532" s="0" t="n">
        <f aca="false">E532*E532</f>
        <v>0.5625</v>
      </c>
      <c r="P532" s="0" t="n">
        <f aca="false">F532*F532</f>
        <v>1</v>
      </c>
      <c r="Q532" s="0" t="n">
        <f aca="false">SUMPRODUCT(G532:P532,_XtX!$B$71:$K$71)</f>
        <v>40.7739772727273</v>
      </c>
      <c r="R532" s="0" t="n">
        <f aca="false">SUMPRODUCT(MMULT(G532:P532,_XtX!$B$58:$K$67),G532:P532)</f>
        <v>0.571375621448864</v>
      </c>
      <c r="S532" s="0" t="n">
        <f aca="false">04_回帰ANOVA!$K$19*04_回帰ANOVA!$K$14*SQRT(1+R532)</f>
        <v>1.16548487437682</v>
      </c>
      <c r="T532" s="0" t="n">
        <f aca="false">Q532-S532</f>
        <v>39.6084923983505</v>
      </c>
      <c r="U532" s="0" t="n">
        <f aca="false">Q532+S532</f>
        <v>41.9394621471041</v>
      </c>
      <c r="V532" s="54" t="b">
        <f aca="false">AND(D532&gt;=01_因子設定!$L$5-0.000000001,D532&lt;=01_因子設定!$M$5+0.000000001,E532&gt;=01_因子設定!$L$6-0.000000001,E532&lt;=01_因子設定!$M$6+0.000000001,F532&gt;=01_因子設定!$L$7-0.000000001,F532&lt;=01_因子設定!$M$7+0.000000001,IF(01_因子設定!$B$20="Box-Behnken",D532^2+E532^2+F532^2&lt;=2+0.000000001,TRUE()))</f>
        <v>1</v>
      </c>
      <c r="W532" s="55" t="n">
        <f aca="false">IF(V532,IF(01_因子設定!$B$13="最大化",T532-01_因子設定!$B$14,IF(01_因子設定!$B$13="最小化",01_因子設定!$B$15-U532,MIN(T532-01_因子設定!$B$14,01_因子設定!$B$15-U532))),-1E+030)</f>
        <v>-8.89150760164953</v>
      </c>
      <c r="X532" s="55" t="n">
        <f aca="false">IF(V532,IF(01_因子設定!$B$13="最大化",Q532,IF(01_因子設定!$B$13="最小化",-Q532,-ABS(Q532-01_因子設定!$B$16))),-1E+030)</f>
        <v>40.7739772727273</v>
      </c>
      <c r="Y532" s="55" t="n">
        <f aca="false">W532+ROW()*0.000000001</f>
        <v>-8.89150706964953</v>
      </c>
      <c r="Z532" s="55" t="n">
        <f aca="false">X532+ROW()*0.000000001</f>
        <v>40.7739778047273</v>
      </c>
    </row>
    <row r="533" customFormat="false" ht="15" hidden="false" customHeight="false" outlineLevel="0" collapsed="false">
      <c r="A533" s="0" t="n">
        <v>1</v>
      </c>
      <c r="B533" s="0" t="n">
        <v>14</v>
      </c>
      <c r="C533" s="0" t="n">
        <v>1</v>
      </c>
      <c r="D533" s="0" t="n">
        <f aca="false">-1+A533*0.125</f>
        <v>-0.875</v>
      </c>
      <c r="E533" s="0" t="n">
        <f aca="false">-1+B533*0.125</f>
        <v>0.75</v>
      </c>
      <c r="F533" s="0" t="n">
        <f aca="false">-1+C533*0.125</f>
        <v>-0.875</v>
      </c>
      <c r="G533" s="0" t="n">
        <f aca="false">1</f>
        <v>1</v>
      </c>
      <c r="H533" s="0" t="n">
        <f aca="false">D533</f>
        <v>-0.875</v>
      </c>
      <c r="I533" s="0" t="n">
        <f aca="false">E533</f>
        <v>0.75</v>
      </c>
      <c r="J533" s="0" t="n">
        <f aca="false">F533</f>
        <v>-0.875</v>
      </c>
      <c r="K533" s="0" t="n">
        <f aca="false">D533*E533</f>
        <v>-0.65625</v>
      </c>
      <c r="L533" s="0" t="n">
        <f aca="false">D533*F533</f>
        <v>0.765625</v>
      </c>
      <c r="M533" s="0" t="n">
        <f aca="false">E533*F533</f>
        <v>-0.65625</v>
      </c>
      <c r="N533" s="0" t="n">
        <f aca="false">D533*D533</f>
        <v>0.765625</v>
      </c>
      <c r="O533" s="0" t="n">
        <f aca="false">E533*E533</f>
        <v>0.5625</v>
      </c>
      <c r="P533" s="0" t="n">
        <f aca="false">F533*F533</f>
        <v>0.765625</v>
      </c>
      <c r="Q533" s="0" t="n">
        <f aca="false">SUMPRODUCT(G533:P533,_XtX!$B$71:$K$71)</f>
        <v>41.2809943181818</v>
      </c>
      <c r="R533" s="0" t="n">
        <f aca="false">SUMPRODUCT(MMULT(G533:P533,_XtX!$B$58:$K$67),G533:P533)</f>
        <v>0.464749977805398</v>
      </c>
      <c r="S533" s="0" t="n">
        <f aca="false">04_回帰ANOVA!$K$19*04_回帰ANOVA!$K$14*SQRT(1+R533)</f>
        <v>1.12524835342194</v>
      </c>
      <c r="T533" s="0" t="n">
        <f aca="false">Q533-S533</f>
        <v>40.1557459647599</v>
      </c>
      <c r="U533" s="0" t="n">
        <f aca="false">Q533+S533</f>
        <v>42.4062426716038</v>
      </c>
      <c r="V533" s="54" t="b">
        <f aca="false">AND(D533&gt;=01_因子設定!$L$5-0.000000001,D533&lt;=01_因子設定!$M$5+0.000000001,E533&gt;=01_因子設定!$L$6-0.000000001,E533&lt;=01_因子設定!$M$6+0.000000001,F533&gt;=01_因子設定!$L$7-0.000000001,F533&lt;=01_因子設定!$M$7+0.000000001,IF(01_因子設定!$B$20="Box-Behnken",D533^2+E533^2+F533^2&lt;=2+0.000000001,TRUE()))</f>
        <v>1</v>
      </c>
      <c r="W533" s="55" t="n">
        <f aca="false">IF(V533,IF(01_因子設定!$B$13="最大化",T533-01_因子設定!$B$14,IF(01_因子設定!$B$13="最小化",01_因子設定!$B$15-U533,MIN(T533-01_因子設定!$B$14,01_因子設定!$B$15-U533))),-1E+030)</f>
        <v>-8.34425403524011</v>
      </c>
      <c r="X533" s="55" t="n">
        <f aca="false">IF(V533,IF(01_因子設定!$B$13="最大化",Q533,IF(01_因子設定!$B$13="最小化",-Q533,-ABS(Q533-01_因子設定!$B$16))),-1E+030)</f>
        <v>41.2809943181818</v>
      </c>
      <c r="Y533" s="55" t="n">
        <f aca="false">W533+ROW()*0.000000001</f>
        <v>-8.34425350224011</v>
      </c>
      <c r="Z533" s="55" t="n">
        <f aca="false">X533+ROW()*0.000000001</f>
        <v>41.2809948511818</v>
      </c>
    </row>
    <row r="534" customFormat="false" ht="15" hidden="false" customHeight="false" outlineLevel="0" collapsed="false">
      <c r="A534" s="0" t="n">
        <v>1</v>
      </c>
      <c r="B534" s="0" t="n">
        <v>14</v>
      </c>
      <c r="C534" s="0" t="n">
        <v>2</v>
      </c>
      <c r="D534" s="0" t="n">
        <f aca="false">-1+A534*0.125</f>
        <v>-0.875</v>
      </c>
      <c r="E534" s="0" t="n">
        <f aca="false">-1+B534*0.125</f>
        <v>0.75</v>
      </c>
      <c r="F534" s="0" t="n">
        <f aca="false">-1+C534*0.125</f>
        <v>-0.75</v>
      </c>
      <c r="G534" s="0" t="n">
        <f aca="false">1</f>
        <v>1</v>
      </c>
      <c r="H534" s="0" t="n">
        <f aca="false">D534</f>
        <v>-0.875</v>
      </c>
      <c r="I534" s="0" t="n">
        <f aca="false">E534</f>
        <v>0.75</v>
      </c>
      <c r="J534" s="0" t="n">
        <f aca="false">F534</f>
        <v>-0.75</v>
      </c>
      <c r="K534" s="0" t="n">
        <f aca="false">D534*E534</f>
        <v>-0.65625</v>
      </c>
      <c r="L534" s="0" t="n">
        <f aca="false">D534*F534</f>
        <v>0.65625</v>
      </c>
      <c r="M534" s="0" t="n">
        <f aca="false">E534*F534</f>
        <v>-0.5625</v>
      </c>
      <c r="N534" s="0" t="n">
        <f aca="false">D534*D534</f>
        <v>0.765625</v>
      </c>
      <c r="O534" s="0" t="n">
        <f aca="false">E534*E534</f>
        <v>0.5625</v>
      </c>
      <c r="P534" s="0" t="n">
        <f aca="false">F534*F534</f>
        <v>0.5625</v>
      </c>
      <c r="Q534" s="0" t="n">
        <f aca="false">SUMPRODUCT(G534:P534,_XtX!$B$71:$K$71)</f>
        <v>41.7512215909091</v>
      </c>
      <c r="R534" s="0" t="n">
        <f aca="false">SUMPRODUCT(MMULT(G534:P534,_XtX!$B$58:$K$67),G534:P534)</f>
        <v>0.404656427556818</v>
      </c>
      <c r="S534" s="0" t="n">
        <f aca="false">04_回帰ANOVA!$K$19*04_回帰ANOVA!$K$14*SQRT(1+R534)</f>
        <v>1.10192412515358</v>
      </c>
      <c r="T534" s="0" t="n">
        <f aca="false">Q534-S534</f>
        <v>40.6492974657555</v>
      </c>
      <c r="U534" s="0" t="n">
        <f aca="false">Q534+S534</f>
        <v>42.8531457160627</v>
      </c>
      <c r="V534" s="54" t="b">
        <f aca="false">AND(D534&gt;=01_因子設定!$L$5-0.000000001,D534&lt;=01_因子設定!$M$5+0.000000001,E534&gt;=01_因子設定!$L$6-0.000000001,E534&lt;=01_因子設定!$M$6+0.000000001,F534&gt;=01_因子設定!$L$7-0.000000001,F534&lt;=01_因子設定!$M$7+0.000000001,IF(01_因子設定!$B$20="Box-Behnken",D534^2+E534^2+F534^2&lt;=2+0.000000001,TRUE()))</f>
        <v>1</v>
      </c>
      <c r="W534" s="55" t="n">
        <f aca="false">IF(V534,IF(01_因子設定!$B$13="最大化",T534-01_因子設定!$B$14,IF(01_因子設定!$B$13="最小化",01_因子設定!$B$15-U534,MIN(T534-01_因子設定!$B$14,01_因子設定!$B$15-U534))),-1E+030)</f>
        <v>-7.85070253424448</v>
      </c>
      <c r="X534" s="55" t="n">
        <f aca="false">IF(V534,IF(01_因子設定!$B$13="最大化",Q534,IF(01_因子設定!$B$13="最小化",-Q534,-ABS(Q534-01_因子設定!$B$16))),-1E+030)</f>
        <v>41.7512215909091</v>
      </c>
      <c r="Y534" s="55" t="n">
        <f aca="false">W534+ROW()*0.000000001</f>
        <v>-7.85070200024448</v>
      </c>
      <c r="Z534" s="55" t="n">
        <f aca="false">X534+ROW()*0.000000001</f>
        <v>41.7512221249091</v>
      </c>
    </row>
    <row r="535" customFormat="false" ht="15" hidden="false" customHeight="false" outlineLevel="0" collapsed="false">
      <c r="A535" s="0" t="n">
        <v>1</v>
      </c>
      <c r="B535" s="0" t="n">
        <v>14</v>
      </c>
      <c r="C535" s="0" t="n">
        <v>3</v>
      </c>
      <c r="D535" s="0" t="n">
        <f aca="false">-1+A535*0.125</f>
        <v>-0.875</v>
      </c>
      <c r="E535" s="0" t="n">
        <f aca="false">-1+B535*0.125</f>
        <v>0.75</v>
      </c>
      <c r="F535" s="0" t="n">
        <f aca="false">-1+C535*0.125</f>
        <v>-0.625</v>
      </c>
      <c r="G535" s="0" t="n">
        <f aca="false">1</f>
        <v>1</v>
      </c>
      <c r="H535" s="0" t="n">
        <f aca="false">D535</f>
        <v>-0.875</v>
      </c>
      <c r="I535" s="0" t="n">
        <f aca="false">E535</f>
        <v>0.75</v>
      </c>
      <c r="J535" s="0" t="n">
        <f aca="false">F535</f>
        <v>-0.625</v>
      </c>
      <c r="K535" s="0" t="n">
        <f aca="false">D535*E535</f>
        <v>-0.65625</v>
      </c>
      <c r="L535" s="0" t="n">
        <f aca="false">D535*F535</f>
        <v>0.546875</v>
      </c>
      <c r="M535" s="0" t="n">
        <f aca="false">E535*F535</f>
        <v>-0.46875</v>
      </c>
      <c r="N535" s="0" t="n">
        <f aca="false">D535*D535</f>
        <v>0.765625</v>
      </c>
      <c r="O535" s="0" t="n">
        <f aca="false">E535*E535</f>
        <v>0.5625</v>
      </c>
      <c r="P535" s="0" t="n">
        <f aca="false">F535*F535</f>
        <v>0.390625</v>
      </c>
      <c r="Q535" s="0" t="n">
        <f aca="false">SUMPRODUCT(G535:P535,_XtX!$B$71:$K$71)</f>
        <v>42.1846590909091</v>
      </c>
      <c r="R535" s="0" t="n">
        <f aca="false">SUMPRODUCT(MMULT(G535:P535,_XtX!$B$58:$K$67),G535:P535)</f>
        <v>0.377245538884943</v>
      </c>
      <c r="S535" s="0" t="n">
        <f aca="false">04_回帰ANOVA!$K$19*04_回帰ANOVA!$K$14*SQRT(1+R535)</f>
        <v>1.09111951468927</v>
      </c>
      <c r="T535" s="0" t="n">
        <f aca="false">Q535-S535</f>
        <v>41.0935395762198</v>
      </c>
      <c r="U535" s="0" t="n">
        <f aca="false">Q535+S535</f>
        <v>43.2757786055984</v>
      </c>
      <c r="V535" s="54" t="b">
        <f aca="false">AND(D535&gt;=01_因子設定!$L$5-0.000000001,D535&lt;=01_因子設定!$M$5+0.000000001,E535&gt;=01_因子設定!$L$6-0.000000001,E535&lt;=01_因子設定!$M$6+0.000000001,F535&gt;=01_因子設定!$L$7-0.000000001,F535&lt;=01_因子設定!$M$7+0.000000001,IF(01_因子設定!$B$20="Box-Behnken",D535^2+E535^2+F535^2&lt;=2+0.000000001,TRUE()))</f>
        <v>1</v>
      </c>
      <c r="W535" s="55" t="n">
        <f aca="false">IF(V535,IF(01_因子設定!$B$13="最大化",T535-01_因子設定!$B$14,IF(01_因子設定!$B$13="最小化",01_因子設定!$B$15-U535,MIN(T535-01_因子設定!$B$14,01_因子設定!$B$15-U535))),-1E+030)</f>
        <v>-7.40646042378018</v>
      </c>
      <c r="X535" s="55" t="n">
        <f aca="false">IF(V535,IF(01_因子設定!$B$13="最大化",Q535,IF(01_因子設定!$B$13="最小化",-Q535,-ABS(Q535-01_因子設定!$B$16))),-1E+030)</f>
        <v>42.1846590909091</v>
      </c>
      <c r="Y535" s="55" t="n">
        <f aca="false">W535+ROW()*0.000000001</f>
        <v>-7.40645988878018</v>
      </c>
      <c r="Z535" s="55" t="n">
        <f aca="false">X535+ROW()*0.000000001</f>
        <v>42.1846596259091</v>
      </c>
    </row>
    <row r="536" customFormat="false" ht="15" hidden="false" customHeight="false" outlineLevel="0" collapsed="false">
      <c r="A536" s="0" t="n">
        <v>1</v>
      </c>
      <c r="B536" s="0" t="n">
        <v>14</v>
      </c>
      <c r="C536" s="0" t="n">
        <v>4</v>
      </c>
      <c r="D536" s="0" t="n">
        <f aca="false">-1+A536*0.125</f>
        <v>-0.875</v>
      </c>
      <c r="E536" s="0" t="n">
        <f aca="false">-1+B536*0.125</f>
        <v>0.75</v>
      </c>
      <c r="F536" s="0" t="n">
        <f aca="false">-1+C536*0.125</f>
        <v>-0.5</v>
      </c>
      <c r="G536" s="0" t="n">
        <f aca="false">1</f>
        <v>1</v>
      </c>
      <c r="H536" s="0" t="n">
        <f aca="false">D536</f>
        <v>-0.875</v>
      </c>
      <c r="I536" s="0" t="n">
        <f aca="false">E536</f>
        <v>0.75</v>
      </c>
      <c r="J536" s="0" t="n">
        <f aca="false">F536</f>
        <v>-0.5</v>
      </c>
      <c r="K536" s="0" t="n">
        <f aca="false">D536*E536</f>
        <v>-0.65625</v>
      </c>
      <c r="L536" s="0" t="n">
        <f aca="false">D536*F536</f>
        <v>0.4375</v>
      </c>
      <c r="M536" s="0" t="n">
        <f aca="false">E536*F536</f>
        <v>-0.375</v>
      </c>
      <c r="N536" s="0" t="n">
        <f aca="false">D536*D536</f>
        <v>0.765625</v>
      </c>
      <c r="O536" s="0" t="n">
        <f aca="false">E536*E536</f>
        <v>0.5625</v>
      </c>
      <c r="P536" s="0" t="n">
        <f aca="false">F536*F536</f>
        <v>0.25</v>
      </c>
      <c r="Q536" s="0" t="n">
        <f aca="false">SUMPRODUCT(G536:P536,_XtX!$B$71:$K$71)</f>
        <v>42.5813068181818</v>
      </c>
      <c r="R536" s="0" t="n">
        <f aca="false">SUMPRODUCT(MMULT(G536:P536,_XtX!$B$58:$K$67),G536:P536)</f>
        <v>0.370798561789773</v>
      </c>
      <c r="S536" s="0" t="n">
        <f aca="false">04_回帰ANOVA!$K$19*04_回帰ANOVA!$K$14*SQRT(1+R536)</f>
        <v>1.08856271788237</v>
      </c>
      <c r="T536" s="0" t="n">
        <f aca="false">Q536-S536</f>
        <v>41.4927441002994</v>
      </c>
      <c r="U536" s="0" t="n">
        <f aca="false">Q536+S536</f>
        <v>43.6698695360642</v>
      </c>
      <c r="V536" s="54" t="b">
        <f aca="false">AND(D536&gt;=01_因子設定!$L$5-0.000000001,D536&lt;=01_因子設定!$M$5+0.000000001,E536&gt;=01_因子設定!$L$6-0.000000001,E536&lt;=01_因子設定!$M$6+0.000000001,F536&gt;=01_因子設定!$L$7-0.000000001,F536&lt;=01_因子設定!$M$7+0.000000001,IF(01_因子設定!$B$20="Box-Behnken",D536^2+E536^2+F536^2&lt;=2+0.000000001,TRUE()))</f>
        <v>1</v>
      </c>
      <c r="W536" s="55" t="n">
        <f aca="false">IF(V536,IF(01_因子設定!$B$13="最大化",T536-01_因子設定!$B$14,IF(01_因子設定!$B$13="最小化",01_因子設定!$B$15-U536,MIN(T536-01_因子設定!$B$14,01_因子設定!$B$15-U536))),-1E+030)</f>
        <v>-7.00725589970056</v>
      </c>
      <c r="X536" s="55" t="n">
        <f aca="false">IF(V536,IF(01_因子設定!$B$13="最大化",Q536,IF(01_因子設定!$B$13="最小化",-Q536,-ABS(Q536-01_因子設定!$B$16))),-1E+030)</f>
        <v>42.5813068181818</v>
      </c>
      <c r="Y536" s="55" t="n">
        <f aca="false">W536+ROW()*0.000000001</f>
        <v>-7.00725536370056</v>
      </c>
      <c r="Z536" s="55" t="n">
        <f aca="false">X536+ROW()*0.000000001</f>
        <v>42.5813073541818</v>
      </c>
    </row>
    <row r="537" customFormat="false" ht="15" hidden="false" customHeight="false" outlineLevel="0" collapsed="false">
      <c r="A537" s="0" t="n">
        <v>1</v>
      </c>
      <c r="B537" s="0" t="n">
        <v>14</v>
      </c>
      <c r="C537" s="0" t="n">
        <v>5</v>
      </c>
      <c r="D537" s="0" t="n">
        <f aca="false">-1+A537*0.125</f>
        <v>-0.875</v>
      </c>
      <c r="E537" s="0" t="n">
        <f aca="false">-1+B537*0.125</f>
        <v>0.75</v>
      </c>
      <c r="F537" s="0" t="n">
        <f aca="false">-1+C537*0.125</f>
        <v>-0.375</v>
      </c>
      <c r="G537" s="0" t="n">
        <f aca="false">1</f>
        <v>1</v>
      </c>
      <c r="H537" s="0" t="n">
        <f aca="false">D537</f>
        <v>-0.875</v>
      </c>
      <c r="I537" s="0" t="n">
        <f aca="false">E537</f>
        <v>0.75</v>
      </c>
      <c r="J537" s="0" t="n">
        <f aca="false">F537</f>
        <v>-0.375</v>
      </c>
      <c r="K537" s="0" t="n">
        <f aca="false">D537*E537</f>
        <v>-0.65625</v>
      </c>
      <c r="L537" s="0" t="n">
        <f aca="false">D537*F537</f>
        <v>0.328125</v>
      </c>
      <c r="M537" s="0" t="n">
        <f aca="false">E537*F537</f>
        <v>-0.28125</v>
      </c>
      <c r="N537" s="0" t="n">
        <f aca="false">D537*D537</f>
        <v>0.765625</v>
      </c>
      <c r="O537" s="0" t="n">
        <f aca="false">E537*E537</f>
        <v>0.5625</v>
      </c>
      <c r="P537" s="0" t="n">
        <f aca="false">F537*F537</f>
        <v>0.140625</v>
      </c>
      <c r="Q537" s="0" t="n">
        <f aca="false">SUMPRODUCT(G537:P537,_XtX!$B$71:$K$71)</f>
        <v>42.9411647727273</v>
      </c>
      <c r="R537" s="0" t="n">
        <f aca="false">SUMPRODUCT(MMULT(G537:P537,_XtX!$B$58:$K$67),G537:P537)</f>
        <v>0.375727428089489</v>
      </c>
      <c r="S537" s="0" t="n">
        <f aca="false">04_回帰ANOVA!$K$19*04_回帰ANOVA!$K$14*SQRT(1+R537)</f>
        <v>1.09051798904087</v>
      </c>
      <c r="T537" s="0" t="n">
        <f aca="false">Q537-S537</f>
        <v>41.8506467836864</v>
      </c>
      <c r="U537" s="0" t="n">
        <f aca="false">Q537+S537</f>
        <v>44.0316827617681</v>
      </c>
      <c r="V537" s="54" t="b">
        <f aca="false">AND(D537&gt;=01_因子設定!$L$5-0.000000001,D537&lt;=01_因子設定!$M$5+0.000000001,E537&gt;=01_因子設定!$L$6-0.000000001,E537&lt;=01_因子設定!$M$6+0.000000001,F537&gt;=01_因子設定!$L$7-0.000000001,F537&lt;=01_因子設定!$M$7+0.000000001,IF(01_因子設定!$B$20="Box-Behnken",D537^2+E537^2+F537^2&lt;=2+0.000000001,TRUE()))</f>
        <v>1</v>
      </c>
      <c r="W537" s="55" t="n">
        <f aca="false">IF(V537,IF(01_因子設定!$B$13="最大化",T537-01_因子設定!$B$14,IF(01_因子設定!$B$13="最小化",01_因子設定!$B$15-U537,MIN(T537-01_因子設定!$B$14,01_因子設定!$B$15-U537))),-1E+030)</f>
        <v>-6.64935321631361</v>
      </c>
      <c r="X537" s="55" t="n">
        <f aca="false">IF(V537,IF(01_因子設定!$B$13="最大化",Q537,IF(01_因子設定!$B$13="最小化",-Q537,-ABS(Q537-01_因子設定!$B$16))),-1E+030)</f>
        <v>42.9411647727273</v>
      </c>
      <c r="Y537" s="55" t="n">
        <f aca="false">W537+ROW()*0.000000001</f>
        <v>-6.64935267931361</v>
      </c>
      <c r="Z537" s="55" t="n">
        <f aca="false">X537+ROW()*0.000000001</f>
        <v>42.9411653097273</v>
      </c>
    </row>
    <row r="538" customFormat="false" ht="15" hidden="false" customHeight="false" outlineLevel="0" collapsed="false">
      <c r="A538" s="0" t="n">
        <v>1</v>
      </c>
      <c r="B538" s="0" t="n">
        <v>14</v>
      </c>
      <c r="C538" s="0" t="n">
        <v>6</v>
      </c>
      <c r="D538" s="0" t="n">
        <f aca="false">-1+A538*0.125</f>
        <v>-0.875</v>
      </c>
      <c r="E538" s="0" t="n">
        <f aca="false">-1+B538*0.125</f>
        <v>0.75</v>
      </c>
      <c r="F538" s="0" t="n">
        <f aca="false">-1+C538*0.125</f>
        <v>-0.25</v>
      </c>
      <c r="G538" s="0" t="n">
        <f aca="false">1</f>
        <v>1</v>
      </c>
      <c r="H538" s="0" t="n">
        <f aca="false">D538</f>
        <v>-0.875</v>
      </c>
      <c r="I538" s="0" t="n">
        <f aca="false">E538</f>
        <v>0.75</v>
      </c>
      <c r="J538" s="0" t="n">
        <f aca="false">F538</f>
        <v>-0.25</v>
      </c>
      <c r="K538" s="0" t="n">
        <f aca="false">D538*E538</f>
        <v>-0.65625</v>
      </c>
      <c r="L538" s="0" t="n">
        <f aca="false">D538*F538</f>
        <v>0.21875</v>
      </c>
      <c r="M538" s="0" t="n">
        <f aca="false">E538*F538</f>
        <v>-0.1875</v>
      </c>
      <c r="N538" s="0" t="n">
        <f aca="false">D538*D538</f>
        <v>0.765625</v>
      </c>
      <c r="O538" s="0" t="n">
        <f aca="false">E538*E538</f>
        <v>0.5625</v>
      </c>
      <c r="P538" s="0" t="n">
        <f aca="false">F538*F538</f>
        <v>0.0625</v>
      </c>
      <c r="Q538" s="0" t="n">
        <f aca="false">SUMPRODUCT(G538:P538,_XtX!$B$71:$K$71)</f>
        <v>43.2642329545455</v>
      </c>
      <c r="R538" s="0" t="n">
        <f aca="false">SUMPRODUCT(MMULT(G538:P538,_XtX!$B$58:$K$67),G538:P538)</f>
        <v>0.384574751420455</v>
      </c>
      <c r="S538" s="0" t="n">
        <f aca="false">04_回帰ANOVA!$K$19*04_回帰ANOVA!$K$14*SQRT(1+R538)</f>
        <v>1.0940189380139</v>
      </c>
      <c r="T538" s="0" t="n">
        <f aca="false">Q538-S538</f>
        <v>42.1702140165315</v>
      </c>
      <c r="U538" s="0" t="n">
        <f aca="false">Q538+S538</f>
        <v>44.3582518925594</v>
      </c>
      <c r="V538" s="54" t="b">
        <f aca="false">AND(D538&gt;=01_因子設定!$L$5-0.000000001,D538&lt;=01_因子設定!$M$5+0.000000001,E538&gt;=01_因子設定!$L$6-0.000000001,E538&lt;=01_因子設定!$M$6+0.000000001,F538&gt;=01_因子設定!$L$7-0.000000001,F538&lt;=01_因子設定!$M$7+0.000000001,IF(01_因子設定!$B$20="Box-Behnken",D538^2+E538^2+F538^2&lt;=2+0.000000001,TRUE()))</f>
        <v>1</v>
      </c>
      <c r="W538" s="55" t="n">
        <f aca="false">IF(V538,IF(01_因子設定!$B$13="最大化",T538-01_因子設定!$B$14,IF(01_因子設定!$B$13="最小化",01_因子設定!$B$15-U538,MIN(T538-01_因子設定!$B$14,01_因子設定!$B$15-U538))),-1E+030)</f>
        <v>-6.32978598346845</v>
      </c>
      <c r="X538" s="55" t="n">
        <f aca="false">IF(V538,IF(01_因子設定!$B$13="最大化",Q538,IF(01_因子設定!$B$13="最小化",-Q538,-ABS(Q538-01_因子設定!$B$16))),-1E+030)</f>
        <v>43.2642329545455</v>
      </c>
      <c r="Y538" s="55" t="n">
        <f aca="false">W538+ROW()*0.000000001</f>
        <v>-6.32978544546845</v>
      </c>
      <c r="Z538" s="55" t="n">
        <f aca="false">X538+ROW()*0.000000001</f>
        <v>43.2642334925455</v>
      </c>
    </row>
    <row r="539" customFormat="false" ht="15" hidden="false" customHeight="false" outlineLevel="0" collapsed="false">
      <c r="A539" s="0" t="n">
        <v>1</v>
      </c>
      <c r="B539" s="0" t="n">
        <v>14</v>
      </c>
      <c r="C539" s="0" t="n">
        <v>7</v>
      </c>
      <c r="D539" s="0" t="n">
        <f aca="false">-1+A539*0.125</f>
        <v>-0.875</v>
      </c>
      <c r="E539" s="0" t="n">
        <f aca="false">-1+B539*0.125</f>
        <v>0.75</v>
      </c>
      <c r="F539" s="0" t="n">
        <f aca="false">-1+C539*0.125</f>
        <v>-0.125</v>
      </c>
      <c r="G539" s="0" t="n">
        <f aca="false">1</f>
        <v>1</v>
      </c>
      <c r="H539" s="0" t="n">
        <f aca="false">D539</f>
        <v>-0.875</v>
      </c>
      <c r="I539" s="0" t="n">
        <f aca="false">E539</f>
        <v>0.75</v>
      </c>
      <c r="J539" s="0" t="n">
        <f aca="false">F539</f>
        <v>-0.125</v>
      </c>
      <c r="K539" s="0" t="n">
        <f aca="false">D539*E539</f>
        <v>-0.65625</v>
      </c>
      <c r="L539" s="0" t="n">
        <f aca="false">D539*F539</f>
        <v>0.109375</v>
      </c>
      <c r="M539" s="0" t="n">
        <f aca="false">E539*F539</f>
        <v>-0.09375</v>
      </c>
      <c r="N539" s="0" t="n">
        <f aca="false">D539*D539</f>
        <v>0.765625</v>
      </c>
      <c r="O539" s="0" t="n">
        <f aca="false">E539*E539</f>
        <v>0.5625</v>
      </c>
      <c r="P539" s="0" t="n">
        <f aca="false">F539*F539</f>
        <v>0.015625</v>
      </c>
      <c r="Q539" s="0" t="n">
        <f aca="false">SUMPRODUCT(G539:P539,_XtX!$B$71:$K$71)</f>
        <v>43.5505113636364</v>
      </c>
      <c r="R539" s="0" t="n">
        <f aca="false">SUMPRODUCT(MMULT(G539:P539,_XtX!$B$58:$K$67),G539:P539)</f>
        <v>0.392013827237216</v>
      </c>
      <c r="S539" s="0" t="n">
        <f aca="false">04_回帰ANOVA!$K$19*04_回帰ANOVA!$K$14*SQRT(1+R539)</f>
        <v>1.09695398627251</v>
      </c>
      <c r="T539" s="0" t="n">
        <f aca="false">Q539-S539</f>
        <v>42.4535573773639</v>
      </c>
      <c r="U539" s="0" t="n">
        <f aca="false">Q539+S539</f>
        <v>44.6474653499089</v>
      </c>
      <c r="V539" s="54" t="b">
        <f aca="false">AND(D539&gt;=01_因子設定!$L$5-0.000000001,D539&lt;=01_因子設定!$M$5+0.000000001,E539&gt;=01_因子設定!$L$6-0.000000001,E539&lt;=01_因子設定!$M$6+0.000000001,F539&gt;=01_因子設定!$L$7-0.000000001,F539&lt;=01_因子設定!$M$7+0.000000001,IF(01_因子設定!$B$20="Box-Behnken",D539^2+E539^2+F539^2&lt;=2+0.000000001,TRUE()))</f>
        <v>1</v>
      </c>
      <c r="W539" s="55" t="n">
        <f aca="false">IF(V539,IF(01_因子設定!$B$13="最大化",T539-01_因子設定!$B$14,IF(01_因子設定!$B$13="最小化",01_因子設定!$B$15-U539,MIN(T539-01_因子設定!$B$14,01_因子設定!$B$15-U539))),-1E+030)</f>
        <v>-6.04644262263615</v>
      </c>
      <c r="X539" s="55" t="n">
        <f aca="false">IF(V539,IF(01_因子設定!$B$13="最大化",Q539,IF(01_因子設定!$B$13="最小化",-Q539,-ABS(Q539-01_因子設定!$B$16))),-1E+030)</f>
        <v>43.5505113636364</v>
      </c>
      <c r="Y539" s="55" t="n">
        <f aca="false">W539+ROW()*0.000000001</f>
        <v>-6.04644208363615</v>
      </c>
      <c r="Z539" s="55" t="n">
        <f aca="false">X539+ROW()*0.000000001</f>
        <v>43.5505119026364</v>
      </c>
    </row>
    <row r="540" customFormat="false" ht="15" hidden="false" customHeight="false" outlineLevel="0" collapsed="false">
      <c r="A540" s="0" t="n">
        <v>1</v>
      </c>
      <c r="B540" s="0" t="n">
        <v>14</v>
      </c>
      <c r="C540" s="0" t="n">
        <v>8</v>
      </c>
      <c r="D540" s="0" t="n">
        <f aca="false">-1+A540*0.125</f>
        <v>-0.875</v>
      </c>
      <c r="E540" s="0" t="n">
        <f aca="false">-1+B540*0.125</f>
        <v>0.75</v>
      </c>
      <c r="F540" s="0" t="n">
        <f aca="false">-1+C540*0.125</f>
        <v>0</v>
      </c>
      <c r="G540" s="0" t="n">
        <f aca="false">1</f>
        <v>1</v>
      </c>
      <c r="H540" s="0" t="n">
        <f aca="false">D540</f>
        <v>-0.875</v>
      </c>
      <c r="I540" s="0" t="n">
        <f aca="false">E540</f>
        <v>0.75</v>
      </c>
      <c r="J540" s="0" t="n">
        <f aca="false">F540</f>
        <v>0</v>
      </c>
      <c r="K540" s="0" t="n">
        <f aca="false">D540*E540</f>
        <v>-0.65625</v>
      </c>
      <c r="L540" s="0" t="n">
        <f aca="false">D540*F540</f>
        <v>-0</v>
      </c>
      <c r="M540" s="0" t="n">
        <f aca="false">E540*F540</f>
        <v>0</v>
      </c>
      <c r="N540" s="0" t="n">
        <f aca="false">D540*D540</f>
        <v>0.765625</v>
      </c>
      <c r="O540" s="0" t="n">
        <f aca="false">E540*E540</f>
        <v>0.5625</v>
      </c>
      <c r="P540" s="0" t="n">
        <f aca="false">F540*F540</f>
        <v>0</v>
      </c>
      <c r="Q540" s="0" t="n">
        <f aca="false">SUMPRODUCT(G540:P540,_XtX!$B$71:$K$71)</f>
        <v>43.8</v>
      </c>
      <c r="R540" s="0" t="n">
        <f aca="false">SUMPRODUCT(MMULT(G540:P540,_XtX!$B$58:$K$67),G540:P540)</f>
        <v>0.3948486328125</v>
      </c>
      <c r="S540" s="0" t="n">
        <f aca="false">04_回帰ANOVA!$K$19*04_回帰ANOVA!$K$14*SQRT(1+R540)</f>
        <v>1.09807037952996</v>
      </c>
      <c r="T540" s="0" t="n">
        <f aca="false">Q540-S540</f>
        <v>42.70192962047</v>
      </c>
      <c r="U540" s="0" t="n">
        <f aca="false">Q540+S540</f>
        <v>44.89807037953</v>
      </c>
      <c r="V540" s="54" t="b">
        <f aca="false">AND(D540&gt;=01_因子設定!$L$5-0.000000001,D540&lt;=01_因子設定!$M$5+0.000000001,E540&gt;=01_因子設定!$L$6-0.000000001,E540&lt;=01_因子設定!$M$6+0.000000001,F540&gt;=01_因子設定!$L$7-0.000000001,F540&lt;=01_因子設定!$M$7+0.000000001,IF(01_因子設定!$B$20="Box-Behnken",D540^2+E540^2+F540^2&lt;=2+0.000000001,TRUE()))</f>
        <v>1</v>
      </c>
      <c r="W540" s="55" t="n">
        <f aca="false">IF(V540,IF(01_因子設定!$B$13="最大化",T540-01_因子設定!$B$14,IF(01_因子設定!$B$13="最小化",01_因子設定!$B$15-U540,MIN(T540-01_因子設定!$B$14,01_因子設定!$B$15-U540))),-1E+030)</f>
        <v>-5.79807037952996</v>
      </c>
      <c r="X540" s="55" t="n">
        <f aca="false">IF(V540,IF(01_因子設定!$B$13="最大化",Q540,IF(01_因子設定!$B$13="最小化",-Q540,-ABS(Q540-01_因子設定!$B$16))),-1E+030)</f>
        <v>43.8</v>
      </c>
      <c r="Y540" s="55" t="n">
        <f aca="false">W540+ROW()*0.000000001</f>
        <v>-5.79806983952996</v>
      </c>
      <c r="Z540" s="55" t="n">
        <f aca="false">X540+ROW()*0.000000001</f>
        <v>43.80000054</v>
      </c>
    </row>
    <row r="541" customFormat="false" ht="15" hidden="false" customHeight="false" outlineLevel="0" collapsed="false">
      <c r="A541" s="0" t="n">
        <v>1</v>
      </c>
      <c r="B541" s="0" t="n">
        <v>14</v>
      </c>
      <c r="C541" s="0" t="n">
        <v>9</v>
      </c>
      <c r="D541" s="0" t="n">
        <f aca="false">-1+A541*0.125</f>
        <v>-0.875</v>
      </c>
      <c r="E541" s="0" t="n">
        <f aca="false">-1+B541*0.125</f>
        <v>0.75</v>
      </c>
      <c r="F541" s="0" t="n">
        <f aca="false">-1+C541*0.125</f>
        <v>0.125</v>
      </c>
      <c r="G541" s="0" t="n">
        <f aca="false">1</f>
        <v>1</v>
      </c>
      <c r="H541" s="0" t="n">
        <f aca="false">D541</f>
        <v>-0.875</v>
      </c>
      <c r="I541" s="0" t="n">
        <f aca="false">E541</f>
        <v>0.75</v>
      </c>
      <c r="J541" s="0" t="n">
        <f aca="false">F541</f>
        <v>0.125</v>
      </c>
      <c r="K541" s="0" t="n">
        <f aca="false">D541*E541</f>
        <v>-0.65625</v>
      </c>
      <c r="L541" s="0" t="n">
        <f aca="false">D541*F541</f>
        <v>-0.109375</v>
      </c>
      <c r="M541" s="0" t="n">
        <f aca="false">E541*F541</f>
        <v>0.09375</v>
      </c>
      <c r="N541" s="0" t="n">
        <f aca="false">D541*D541</f>
        <v>0.765625</v>
      </c>
      <c r="O541" s="0" t="n">
        <f aca="false">E541*E541</f>
        <v>0.5625</v>
      </c>
      <c r="P541" s="0" t="n">
        <f aca="false">F541*F541</f>
        <v>0.015625</v>
      </c>
      <c r="Q541" s="0" t="n">
        <f aca="false">SUMPRODUCT(G541:P541,_XtX!$B$71:$K$71)</f>
        <v>44.0126988636364</v>
      </c>
      <c r="R541" s="0" t="n">
        <f aca="false">SUMPRODUCT(MMULT(G541:P541,_XtX!$B$58:$K$67),G541:P541)</f>
        <v>0.392013827237216</v>
      </c>
      <c r="S541" s="0" t="n">
        <f aca="false">04_回帰ANOVA!$K$19*04_回帰ANOVA!$K$14*SQRT(1+R541)</f>
        <v>1.09695398627251</v>
      </c>
      <c r="T541" s="0" t="n">
        <f aca="false">Q541-S541</f>
        <v>42.9157448773639</v>
      </c>
      <c r="U541" s="0" t="n">
        <f aca="false">Q541+S541</f>
        <v>45.1096528499089</v>
      </c>
      <c r="V541" s="54" t="b">
        <f aca="false">AND(D541&gt;=01_因子設定!$L$5-0.000000001,D541&lt;=01_因子設定!$M$5+0.000000001,E541&gt;=01_因子設定!$L$6-0.000000001,E541&lt;=01_因子設定!$M$6+0.000000001,F541&gt;=01_因子設定!$L$7-0.000000001,F541&lt;=01_因子設定!$M$7+0.000000001,IF(01_因子設定!$B$20="Box-Behnken",D541^2+E541^2+F541^2&lt;=2+0.000000001,TRUE()))</f>
        <v>1</v>
      </c>
      <c r="W541" s="55" t="n">
        <f aca="false">IF(V541,IF(01_因子設定!$B$13="最大化",T541-01_因子設定!$B$14,IF(01_因子設定!$B$13="最小化",01_因子設定!$B$15-U541,MIN(T541-01_因子設定!$B$14,01_因子設定!$B$15-U541))),-1E+030)</f>
        <v>-5.58425512263615</v>
      </c>
      <c r="X541" s="55" t="n">
        <f aca="false">IF(V541,IF(01_因子設定!$B$13="最大化",Q541,IF(01_因子設定!$B$13="最小化",-Q541,-ABS(Q541-01_因子設定!$B$16))),-1E+030)</f>
        <v>44.0126988636364</v>
      </c>
      <c r="Y541" s="55" t="n">
        <f aca="false">W541+ROW()*0.000000001</f>
        <v>-5.58425458163615</v>
      </c>
      <c r="Z541" s="55" t="n">
        <f aca="false">X541+ROW()*0.000000001</f>
        <v>44.0126994046364</v>
      </c>
    </row>
    <row r="542" customFormat="false" ht="15" hidden="false" customHeight="false" outlineLevel="0" collapsed="false">
      <c r="A542" s="0" t="n">
        <v>1</v>
      </c>
      <c r="B542" s="0" t="n">
        <v>14</v>
      </c>
      <c r="C542" s="0" t="n">
        <v>10</v>
      </c>
      <c r="D542" s="0" t="n">
        <f aca="false">-1+A542*0.125</f>
        <v>-0.875</v>
      </c>
      <c r="E542" s="0" t="n">
        <f aca="false">-1+B542*0.125</f>
        <v>0.75</v>
      </c>
      <c r="F542" s="0" t="n">
        <f aca="false">-1+C542*0.125</f>
        <v>0.25</v>
      </c>
      <c r="G542" s="0" t="n">
        <f aca="false">1</f>
        <v>1</v>
      </c>
      <c r="H542" s="0" t="n">
        <f aca="false">D542</f>
        <v>-0.875</v>
      </c>
      <c r="I542" s="0" t="n">
        <f aca="false">E542</f>
        <v>0.75</v>
      </c>
      <c r="J542" s="0" t="n">
        <f aca="false">F542</f>
        <v>0.25</v>
      </c>
      <c r="K542" s="0" t="n">
        <f aca="false">D542*E542</f>
        <v>-0.65625</v>
      </c>
      <c r="L542" s="0" t="n">
        <f aca="false">D542*F542</f>
        <v>-0.21875</v>
      </c>
      <c r="M542" s="0" t="n">
        <f aca="false">E542*F542</f>
        <v>0.1875</v>
      </c>
      <c r="N542" s="0" t="n">
        <f aca="false">D542*D542</f>
        <v>0.765625</v>
      </c>
      <c r="O542" s="0" t="n">
        <f aca="false">E542*E542</f>
        <v>0.5625</v>
      </c>
      <c r="P542" s="0" t="n">
        <f aca="false">F542*F542</f>
        <v>0.0625</v>
      </c>
      <c r="Q542" s="0" t="n">
        <f aca="false">SUMPRODUCT(G542:P542,_XtX!$B$71:$K$71)</f>
        <v>44.1886079545455</v>
      </c>
      <c r="R542" s="0" t="n">
        <f aca="false">SUMPRODUCT(MMULT(G542:P542,_XtX!$B$58:$K$67),G542:P542)</f>
        <v>0.384574751420455</v>
      </c>
      <c r="S542" s="0" t="n">
        <f aca="false">04_回帰ANOVA!$K$19*04_回帰ANOVA!$K$14*SQRT(1+R542)</f>
        <v>1.0940189380139</v>
      </c>
      <c r="T542" s="0" t="n">
        <f aca="false">Q542-S542</f>
        <v>43.0945890165316</v>
      </c>
      <c r="U542" s="0" t="n">
        <f aca="false">Q542+S542</f>
        <v>45.2826268925594</v>
      </c>
      <c r="V542" s="54" t="b">
        <f aca="false">AND(D542&gt;=01_因子設定!$L$5-0.000000001,D542&lt;=01_因子設定!$M$5+0.000000001,E542&gt;=01_因子設定!$L$6-0.000000001,E542&lt;=01_因子設定!$M$6+0.000000001,F542&gt;=01_因子設定!$L$7-0.000000001,F542&lt;=01_因子設定!$M$7+0.000000001,IF(01_因子設定!$B$20="Box-Behnken",D542^2+E542^2+F542^2&lt;=2+0.000000001,TRUE()))</f>
        <v>1</v>
      </c>
      <c r="W542" s="55" t="n">
        <f aca="false">IF(V542,IF(01_因子設定!$B$13="最大化",T542-01_因子設定!$B$14,IF(01_因子設定!$B$13="最小化",01_因子設定!$B$15-U542,MIN(T542-01_因子設定!$B$14,01_因子設定!$B$15-U542))),-1E+030)</f>
        <v>-5.40541098346845</v>
      </c>
      <c r="X542" s="55" t="n">
        <f aca="false">IF(V542,IF(01_因子設定!$B$13="最大化",Q542,IF(01_因子設定!$B$13="最小化",-Q542,-ABS(Q542-01_因子設定!$B$16))),-1E+030)</f>
        <v>44.1886079545455</v>
      </c>
      <c r="Y542" s="55" t="n">
        <f aca="false">W542+ROW()*0.000000001</f>
        <v>-5.40541044146845</v>
      </c>
      <c r="Z542" s="55" t="n">
        <f aca="false">X542+ROW()*0.000000001</f>
        <v>44.1886084965455</v>
      </c>
    </row>
    <row r="543" customFormat="false" ht="15" hidden="false" customHeight="false" outlineLevel="0" collapsed="false">
      <c r="A543" s="0" t="n">
        <v>1</v>
      </c>
      <c r="B543" s="0" t="n">
        <v>14</v>
      </c>
      <c r="C543" s="0" t="n">
        <v>11</v>
      </c>
      <c r="D543" s="0" t="n">
        <f aca="false">-1+A543*0.125</f>
        <v>-0.875</v>
      </c>
      <c r="E543" s="0" t="n">
        <f aca="false">-1+B543*0.125</f>
        <v>0.75</v>
      </c>
      <c r="F543" s="0" t="n">
        <f aca="false">-1+C543*0.125</f>
        <v>0.375</v>
      </c>
      <c r="G543" s="0" t="n">
        <f aca="false">1</f>
        <v>1</v>
      </c>
      <c r="H543" s="0" t="n">
        <f aca="false">D543</f>
        <v>-0.875</v>
      </c>
      <c r="I543" s="0" t="n">
        <f aca="false">E543</f>
        <v>0.75</v>
      </c>
      <c r="J543" s="0" t="n">
        <f aca="false">F543</f>
        <v>0.375</v>
      </c>
      <c r="K543" s="0" t="n">
        <f aca="false">D543*E543</f>
        <v>-0.65625</v>
      </c>
      <c r="L543" s="0" t="n">
        <f aca="false">D543*F543</f>
        <v>-0.328125</v>
      </c>
      <c r="M543" s="0" t="n">
        <f aca="false">E543*F543</f>
        <v>0.28125</v>
      </c>
      <c r="N543" s="0" t="n">
        <f aca="false">D543*D543</f>
        <v>0.765625</v>
      </c>
      <c r="O543" s="0" t="n">
        <f aca="false">E543*E543</f>
        <v>0.5625</v>
      </c>
      <c r="P543" s="0" t="n">
        <f aca="false">F543*F543</f>
        <v>0.140625</v>
      </c>
      <c r="Q543" s="0" t="n">
        <f aca="false">SUMPRODUCT(G543:P543,_XtX!$B$71:$K$71)</f>
        <v>44.3277272727273</v>
      </c>
      <c r="R543" s="0" t="n">
        <f aca="false">SUMPRODUCT(MMULT(G543:P543,_XtX!$B$58:$K$67),G543:P543)</f>
        <v>0.375727428089489</v>
      </c>
      <c r="S543" s="0" t="n">
        <f aca="false">04_回帰ANOVA!$K$19*04_回帰ANOVA!$K$14*SQRT(1+R543)</f>
        <v>1.09051798904087</v>
      </c>
      <c r="T543" s="0" t="n">
        <f aca="false">Q543-S543</f>
        <v>43.2372092836864</v>
      </c>
      <c r="U543" s="0" t="n">
        <f aca="false">Q543+S543</f>
        <v>45.4182452617682</v>
      </c>
      <c r="V543" s="54" t="b">
        <f aca="false">AND(D543&gt;=01_因子設定!$L$5-0.000000001,D543&lt;=01_因子設定!$M$5+0.000000001,E543&gt;=01_因子設定!$L$6-0.000000001,E543&lt;=01_因子設定!$M$6+0.000000001,F543&gt;=01_因子設定!$L$7-0.000000001,F543&lt;=01_因子設定!$M$7+0.000000001,IF(01_因子設定!$B$20="Box-Behnken",D543^2+E543^2+F543^2&lt;=2+0.000000001,TRUE()))</f>
        <v>1</v>
      </c>
      <c r="W543" s="55" t="n">
        <f aca="false">IF(V543,IF(01_因子設定!$B$13="最大化",T543-01_因子設定!$B$14,IF(01_因子設定!$B$13="最小化",01_因子設定!$B$15-U543,MIN(T543-01_因子設定!$B$14,01_因子設定!$B$15-U543))),-1E+030)</f>
        <v>-5.2627907163136</v>
      </c>
      <c r="X543" s="55" t="n">
        <f aca="false">IF(V543,IF(01_因子設定!$B$13="最大化",Q543,IF(01_因子設定!$B$13="最小化",-Q543,-ABS(Q543-01_因子設定!$B$16))),-1E+030)</f>
        <v>44.3277272727273</v>
      </c>
      <c r="Y543" s="55" t="n">
        <f aca="false">W543+ROW()*0.000000001</f>
        <v>-5.2627901733136</v>
      </c>
      <c r="Z543" s="55" t="n">
        <f aca="false">X543+ROW()*0.000000001</f>
        <v>44.3277278157273</v>
      </c>
    </row>
    <row r="544" customFormat="false" ht="15" hidden="false" customHeight="false" outlineLevel="0" collapsed="false">
      <c r="A544" s="0" t="n">
        <v>1</v>
      </c>
      <c r="B544" s="0" t="n">
        <v>14</v>
      </c>
      <c r="C544" s="0" t="n">
        <v>12</v>
      </c>
      <c r="D544" s="0" t="n">
        <f aca="false">-1+A544*0.125</f>
        <v>-0.875</v>
      </c>
      <c r="E544" s="0" t="n">
        <f aca="false">-1+B544*0.125</f>
        <v>0.75</v>
      </c>
      <c r="F544" s="0" t="n">
        <f aca="false">-1+C544*0.125</f>
        <v>0.5</v>
      </c>
      <c r="G544" s="0" t="n">
        <f aca="false">1</f>
        <v>1</v>
      </c>
      <c r="H544" s="0" t="n">
        <f aca="false">D544</f>
        <v>-0.875</v>
      </c>
      <c r="I544" s="0" t="n">
        <f aca="false">E544</f>
        <v>0.75</v>
      </c>
      <c r="J544" s="0" t="n">
        <f aca="false">F544</f>
        <v>0.5</v>
      </c>
      <c r="K544" s="0" t="n">
        <f aca="false">D544*E544</f>
        <v>-0.65625</v>
      </c>
      <c r="L544" s="0" t="n">
        <f aca="false">D544*F544</f>
        <v>-0.4375</v>
      </c>
      <c r="M544" s="0" t="n">
        <f aca="false">E544*F544</f>
        <v>0.375</v>
      </c>
      <c r="N544" s="0" t="n">
        <f aca="false">D544*D544</f>
        <v>0.765625</v>
      </c>
      <c r="O544" s="0" t="n">
        <f aca="false">E544*E544</f>
        <v>0.5625</v>
      </c>
      <c r="P544" s="0" t="n">
        <f aca="false">F544*F544</f>
        <v>0.25</v>
      </c>
      <c r="Q544" s="0" t="n">
        <f aca="false">SUMPRODUCT(G544:P544,_XtX!$B$71:$K$71)</f>
        <v>44.4300568181818</v>
      </c>
      <c r="R544" s="0" t="n">
        <f aca="false">SUMPRODUCT(MMULT(G544:P544,_XtX!$B$58:$K$67),G544:P544)</f>
        <v>0.370798561789773</v>
      </c>
      <c r="S544" s="0" t="n">
        <f aca="false">04_回帰ANOVA!$K$19*04_回帰ANOVA!$K$14*SQRT(1+R544)</f>
        <v>1.08856271788237</v>
      </c>
      <c r="T544" s="0" t="n">
        <f aca="false">Q544-S544</f>
        <v>43.3414941002994</v>
      </c>
      <c r="U544" s="0" t="n">
        <f aca="false">Q544+S544</f>
        <v>45.5186195360642</v>
      </c>
      <c r="V544" s="54" t="b">
        <f aca="false">AND(D544&gt;=01_因子設定!$L$5-0.000000001,D544&lt;=01_因子設定!$M$5+0.000000001,E544&gt;=01_因子設定!$L$6-0.000000001,E544&lt;=01_因子設定!$M$6+0.000000001,F544&gt;=01_因子設定!$L$7-0.000000001,F544&lt;=01_因子設定!$M$7+0.000000001,IF(01_因子設定!$B$20="Box-Behnken",D544^2+E544^2+F544^2&lt;=2+0.000000001,TRUE()))</f>
        <v>1</v>
      </c>
      <c r="W544" s="55" t="n">
        <f aca="false">IF(V544,IF(01_因子設定!$B$13="最大化",T544-01_因子設定!$B$14,IF(01_因子設定!$B$13="最小化",01_因子設定!$B$15-U544,MIN(T544-01_因子設定!$B$14,01_因子設定!$B$15-U544))),-1E+030)</f>
        <v>-5.15850589970056</v>
      </c>
      <c r="X544" s="55" t="n">
        <f aca="false">IF(V544,IF(01_因子設定!$B$13="最大化",Q544,IF(01_因子設定!$B$13="最小化",-Q544,-ABS(Q544-01_因子設定!$B$16))),-1E+030)</f>
        <v>44.4300568181818</v>
      </c>
      <c r="Y544" s="55" t="n">
        <f aca="false">W544+ROW()*0.000000001</f>
        <v>-5.15850535570056</v>
      </c>
      <c r="Z544" s="55" t="n">
        <f aca="false">X544+ROW()*0.000000001</f>
        <v>44.4300573621818</v>
      </c>
    </row>
    <row r="545" customFormat="false" ht="15" hidden="false" customHeight="false" outlineLevel="0" collapsed="false">
      <c r="A545" s="0" t="n">
        <v>1</v>
      </c>
      <c r="B545" s="0" t="n">
        <v>14</v>
      </c>
      <c r="C545" s="0" t="n">
        <v>13</v>
      </c>
      <c r="D545" s="0" t="n">
        <f aca="false">-1+A545*0.125</f>
        <v>-0.875</v>
      </c>
      <c r="E545" s="0" t="n">
        <f aca="false">-1+B545*0.125</f>
        <v>0.75</v>
      </c>
      <c r="F545" s="0" t="n">
        <f aca="false">-1+C545*0.125</f>
        <v>0.625</v>
      </c>
      <c r="G545" s="0" t="n">
        <f aca="false">1</f>
        <v>1</v>
      </c>
      <c r="H545" s="0" t="n">
        <f aca="false">D545</f>
        <v>-0.875</v>
      </c>
      <c r="I545" s="0" t="n">
        <f aca="false">E545</f>
        <v>0.75</v>
      </c>
      <c r="J545" s="0" t="n">
        <f aca="false">F545</f>
        <v>0.625</v>
      </c>
      <c r="K545" s="0" t="n">
        <f aca="false">D545*E545</f>
        <v>-0.65625</v>
      </c>
      <c r="L545" s="0" t="n">
        <f aca="false">D545*F545</f>
        <v>-0.546875</v>
      </c>
      <c r="M545" s="0" t="n">
        <f aca="false">E545*F545</f>
        <v>0.46875</v>
      </c>
      <c r="N545" s="0" t="n">
        <f aca="false">D545*D545</f>
        <v>0.765625</v>
      </c>
      <c r="O545" s="0" t="n">
        <f aca="false">E545*E545</f>
        <v>0.5625</v>
      </c>
      <c r="P545" s="0" t="n">
        <f aca="false">F545*F545</f>
        <v>0.390625</v>
      </c>
      <c r="Q545" s="0" t="n">
        <f aca="false">SUMPRODUCT(G545:P545,_XtX!$B$71:$K$71)</f>
        <v>44.4955965909091</v>
      </c>
      <c r="R545" s="0" t="n">
        <f aca="false">SUMPRODUCT(MMULT(G545:P545,_XtX!$B$58:$K$67),G545:P545)</f>
        <v>0.377245538884943</v>
      </c>
      <c r="S545" s="0" t="n">
        <f aca="false">04_回帰ANOVA!$K$19*04_回帰ANOVA!$K$14*SQRT(1+R545)</f>
        <v>1.09111951468927</v>
      </c>
      <c r="T545" s="0" t="n">
        <f aca="false">Q545-S545</f>
        <v>43.4044770762198</v>
      </c>
      <c r="U545" s="0" t="n">
        <f aca="false">Q545+S545</f>
        <v>45.5867161055984</v>
      </c>
      <c r="V545" s="54" t="b">
        <f aca="false">AND(D545&gt;=01_因子設定!$L$5-0.000000001,D545&lt;=01_因子設定!$M$5+0.000000001,E545&gt;=01_因子設定!$L$6-0.000000001,E545&lt;=01_因子設定!$M$6+0.000000001,F545&gt;=01_因子設定!$L$7-0.000000001,F545&lt;=01_因子設定!$M$7+0.000000001,IF(01_因子設定!$B$20="Box-Behnken",D545^2+E545^2+F545^2&lt;=2+0.000000001,TRUE()))</f>
        <v>1</v>
      </c>
      <c r="W545" s="55" t="n">
        <f aca="false">IF(V545,IF(01_因子設定!$B$13="最大化",T545-01_因子設定!$B$14,IF(01_因子設定!$B$13="最小化",01_因子設定!$B$15-U545,MIN(T545-01_因子設定!$B$14,01_因子設定!$B$15-U545))),-1E+030)</f>
        <v>-5.09552292378018</v>
      </c>
      <c r="X545" s="55" t="n">
        <f aca="false">IF(V545,IF(01_因子設定!$B$13="最大化",Q545,IF(01_因子設定!$B$13="最小化",-Q545,-ABS(Q545-01_因子設定!$B$16))),-1E+030)</f>
        <v>44.4955965909091</v>
      </c>
      <c r="Y545" s="55" t="n">
        <f aca="false">W545+ROW()*0.000000001</f>
        <v>-5.09552237878018</v>
      </c>
      <c r="Z545" s="55" t="n">
        <f aca="false">X545+ROW()*0.000000001</f>
        <v>44.4955971359091</v>
      </c>
    </row>
    <row r="546" customFormat="false" ht="15" hidden="false" customHeight="false" outlineLevel="0" collapsed="false">
      <c r="A546" s="0" t="n">
        <v>1</v>
      </c>
      <c r="B546" s="0" t="n">
        <v>14</v>
      </c>
      <c r="C546" s="0" t="n">
        <v>14</v>
      </c>
      <c r="D546" s="0" t="n">
        <f aca="false">-1+A546*0.125</f>
        <v>-0.875</v>
      </c>
      <c r="E546" s="0" t="n">
        <f aca="false">-1+B546*0.125</f>
        <v>0.75</v>
      </c>
      <c r="F546" s="0" t="n">
        <f aca="false">-1+C546*0.125</f>
        <v>0.75</v>
      </c>
      <c r="G546" s="0" t="n">
        <f aca="false">1</f>
        <v>1</v>
      </c>
      <c r="H546" s="0" t="n">
        <f aca="false">D546</f>
        <v>-0.875</v>
      </c>
      <c r="I546" s="0" t="n">
        <f aca="false">E546</f>
        <v>0.75</v>
      </c>
      <c r="J546" s="0" t="n">
        <f aca="false">F546</f>
        <v>0.75</v>
      </c>
      <c r="K546" s="0" t="n">
        <f aca="false">D546*E546</f>
        <v>-0.65625</v>
      </c>
      <c r="L546" s="0" t="n">
        <f aca="false">D546*F546</f>
        <v>-0.65625</v>
      </c>
      <c r="M546" s="0" t="n">
        <f aca="false">E546*F546</f>
        <v>0.5625</v>
      </c>
      <c r="N546" s="0" t="n">
        <f aca="false">D546*D546</f>
        <v>0.765625</v>
      </c>
      <c r="O546" s="0" t="n">
        <f aca="false">E546*E546</f>
        <v>0.5625</v>
      </c>
      <c r="P546" s="0" t="n">
        <f aca="false">F546*F546</f>
        <v>0.5625</v>
      </c>
      <c r="Q546" s="0" t="n">
        <f aca="false">SUMPRODUCT(G546:P546,_XtX!$B$71:$K$71)</f>
        <v>44.5243465909091</v>
      </c>
      <c r="R546" s="0" t="n">
        <f aca="false">SUMPRODUCT(MMULT(G546:P546,_XtX!$B$58:$K$67),G546:P546)</f>
        <v>0.404656427556818</v>
      </c>
      <c r="S546" s="0" t="n">
        <f aca="false">04_回帰ANOVA!$K$19*04_回帰ANOVA!$K$14*SQRT(1+R546)</f>
        <v>1.10192412515358</v>
      </c>
      <c r="T546" s="0" t="n">
        <f aca="false">Q546-S546</f>
        <v>43.4224224657555</v>
      </c>
      <c r="U546" s="0" t="n">
        <f aca="false">Q546+S546</f>
        <v>45.6262707160627</v>
      </c>
      <c r="V546" s="54" t="b">
        <f aca="false">AND(D546&gt;=01_因子設定!$L$5-0.000000001,D546&lt;=01_因子設定!$M$5+0.000000001,E546&gt;=01_因子設定!$L$6-0.000000001,E546&lt;=01_因子設定!$M$6+0.000000001,F546&gt;=01_因子設定!$L$7-0.000000001,F546&lt;=01_因子設定!$M$7+0.000000001,IF(01_因子設定!$B$20="Box-Behnken",D546^2+E546^2+F546^2&lt;=2+0.000000001,TRUE()))</f>
        <v>1</v>
      </c>
      <c r="W546" s="55" t="n">
        <f aca="false">IF(V546,IF(01_因子設定!$B$13="最大化",T546-01_因子設定!$B$14,IF(01_因子設定!$B$13="最小化",01_因子設定!$B$15-U546,MIN(T546-01_因子設定!$B$14,01_因子設定!$B$15-U546))),-1E+030)</f>
        <v>-5.07757753424448</v>
      </c>
      <c r="X546" s="55" t="n">
        <f aca="false">IF(V546,IF(01_因子設定!$B$13="最大化",Q546,IF(01_因子設定!$B$13="最小化",-Q546,-ABS(Q546-01_因子設定!$B$16))),-1E+030)</f>
        <v>44.5243465909091</v>
      </c>
      <c r="Y546" s="55" t="n">
        <f aca="false">W546+ROW()*0.000000001</f>
        <v>-5.07757698824448</v>
      </c>
      <c r="Z546" s="55" t="n">
        <f aca="false">X546+ROW()*0.000000001</f>
        <v>44.5243471369091</v>
      </c>
    </row>
    <row r="547" customFormat="false" ht="15" hidden="false" customHeight="false" outlineLevel="0" collapsed="false">
      <c r="A547" s="0" t="n">
        <v>1</v>
      </c>
      <c r="B547" s="0" t="n">
        <v>14</v>
      </c>
      <c r="C547" s="0" t="n">
        <v>15</v>
      </c>
      <c r="D547" s="0" t="n">
        <f aca="false">-1+A547*0.125</f>
        <v>-0.875</v>
      </c>
      <c r="E547" s="0" t="n">
        <f aca="false">-1+B547*0.125</f>
        <v>0.75</v>
      </c>
      <c r="F547" s="0" t="n">
        <f aca="false">-1+C547*0.125</f>
        <v>0.875</v>
      </c>
      <c r="G547" s="0" t="n">
        <f aca="false">1</f>
        <v>1</v>
      </c>
      <c r="H547" s="0" t="n">
        <f aca="false">D547</f>
        <v>-0.875</v>
      </c>
      <c r="I547" s="0" t="n">
        <f aca="false">E547</f>
        <v>0.75</v>
      </c>
      <c r="J547" s="0" t="n">
        <f aca="false">F547</f>
        <v>0.875</v>
      </c>
      <c r="K547" s="0" t="n">
        <f aca="false">D547*E547</f>
        <v>-0.65625</v>
      </c>
      <c r="L547" s="0" t="n">
        <f aca="false">D547*F547</f>
        <v>-0.765625</v>
      </c>
      <c r="M547" s="0" t="n">
        <f aca="false">E547*F547</f>
        <v>0.65625</v>
      </c>
      <c r="N547" s="0" t="n">
        <f aca="false">D547*D547</f>
        <v>0.765625</v>
      </c>
      <c r="O547" s="0" t="n">
        <f aca="false">E547*E547</f>
        <v>0.5625</v>
      </c>
      <c r="P547" s="0" t="n">
        <f aca="false">F547*F547</f>
        <v>0.765625</v>
      </c>
      <c r="Q547" s="0" t="n">
        <f aca="false">SUMPRODUCT(G547:P547,_XtX!$B$71:$K$71)</f>
        <v>44.5163068181818</v>
      </c>
      <c r="R547" s="0" t="n">
        <f aca="false">SUMPRODUCT(MMULT(G547:P547,_XtX!$B$58:$K$67),G547:P547)</f>
        <v>0.464749977805398</v>
      </c>
      <c r="S547" s="0" t="n">
        <f aca="false">04_回帰ANOVA!$K$19*04_回帰ANOVA!$K$14*SQRT(1+R547)</f>
        <v>1.12524835342194</v>
      </c>
      <c r="T547" s="0" t="n">
        <f aca="false">Q547-S547</f>
        <v>43.3910584647599</v>
      </c>
      <c r="U547" s="0" t="n">
        <f aca="false">Q547+S547</f>
        <v>45.6415551716038</v>
      </c>
      <c r="V547" s="54" t="b">
        <f aca="false">AND(D547&gt;=01_因子設定!$L$5-0.000000001,D547&lt;=01_因子設定!$M$5+0.000000001,E547&gt;=01_因子設定!$L$6-0.000000001,E547&lt;=01_因子設定!$M$6+0.000000001,F547&gt;=01_因子設定!$L$7-0.000000001,F547&lt;=01_因子設定!$M$7+0.000000001,IF(01_因子設定!$B$20="Box-Behnken",D547^2+E547^2+F547^2&lt;=2+0.000000001,TRUE()))</f>
        <v>1</v>
      </c>
      <c r="W547" s="55" t="n">
        <f aca="false">IF(V547,IF(01_因子設定!$B$13="最大化",T547-01_因子設定!$B$14,IF(01_因子設定!$B$13="最小化",01_因子設定!$B$15-U547,MIN(T547-01_因子設定!$B$14,01_因子設定!$B$15-U547))),-1E+030)</f>
        <v>-5.10894153524011</v>
      </c>
      <c r="X547" s="55" t="n">
        <f aca="false">IF(V547,IF(01_因子設定!$B$13="最大化",Q547,IF(01_因子設定!$B$13="最小化",-Q547,-ABS(Q547-01_因子設定!$B$16))),-1E+030)</f>
        <v>44.5163068181818</v>
      </c>
      <c r="Y547" s="55" t="n">
        <f aca="false">W547+ROW()*0.000000001</f>
        <v>-5.10894098824011</v>
      </c>
      <c r="Z547" s="55" t="n">
        <f aca="false">X547+ROW()*0.000000001</f>
        <v>44.5163073651818</v>
      </c>
    </row>
    <row r="548" customFormat="false" ht="15" hidden="false" customHeight="false" outlineLevel="0" collapsed="false">
      <c r="A548" s="0" t="n">
        <v>1</v>
      </c>
      <c r="B548" s="0" t="n">
        <v>14</v>
      </c>
      <c r="C548" s="0" t="n">
        <v>16</v>
      </c>
      <c r="D548" s="0" t="n">
        <f aca="false">-1+A548*0.125</f>
        <v>-0.875</v>
      </c>
      <c r="E548" s="0" t="n">
        <f aca="false">-1+B548*0.125</f>
        <v>0.75</v>
      </c>
      <c r="F548" s="0" t="n">
        <f aca="false">-1+C548*0.125</f>
        <v>1</v>
      </c>
      <c r="G548" s="0" t="n">
        <f aca="false">1</f>
        <v>1</v>
      </c>
      <c r="H548" s="0" t="n">
        <f aca="false">D548</f>
        <v>-0.875</v>
      </c>
      <c r="I548" s="0" t="n">
        <f aca="false">E548</f>
        <v>0.75</v>
      </c>
      <c r="J548" s="0" t="n">
        <f aca="false">F548</f>
        <v>1</v>
      </c>
      <c r="K548" s="0" t="n">
        <f aca="false">D548*E548</f>
        <v>-0.65625</v>
      </c>
      <c r="L548" s="0" t="n">
        <f aca="false">D548*F548</f>
        <v>-0.875</v>
      </c>
      <c r="M548" s="0" t="n">
        <f aca="false">E548*F548</f>
        <v>0.75</v>
      </c>
      <c r="N548" s="0" t="n">
        <f aca="false">D548*D548</f>
        <v>0.765625</v>
      </c>
      <c r="O548" s="0" t="n">
        <f aca="false">E548*E548</f>
        <v>0.5625</v>
      </c>
      <c r="P548" s="0" t="n">
        <f aca="false">F548*F548</f>
        <v>1</v>
      </c>
      <c r="Q548" s="0" t="n">
        <f aca="false">SUMPRODUCT(G548:P548,_XtX!$B$71:$K$71)</f>
        <v>44.4714772727273</v>
      </c>
      <c r="R548" s="0" t="n">
        <f aca="false">SUMPRODUCT(MMULT(G548:P548,_XtX!$B$58:$K$67),G548:P548)</f>
        <v>0.571375621448864</v>
      </c>
      <c r="S548" s="0" t="n">
        <f aca="false">04_回帰ANOVA!$K$19*04_回帰ANOVA!$K$14*SQRT(1+R548)</f>
        <v>1.16548487437682</v>
      </c>
      <c r="T548" s="0" t="n">
        <f aca="false">Q548-S548</f>
        <v>43.3059923983505</v>
      </c>
      <c r="U548" s="0" t="n">
        <f aca="false">Q548+S548</f>
        <v>45.6369621471041</v>
      </c>
      <c r="V548" s="54" t="b">
        <f aca="false">AND(D548&gt;=01_因子設定!$L$5-0.000000001,D548&lt;=01_因子設定!$M$5+0.000000001,E548&gt;=01_因子設定!$L$6-0.000000001,E548&lt;=01_因子設定!$M$6+0.000000001,F548&gt;=01_因子設定!$L$7-0.000000001,F548&lt;=01_因子設定!$M$7+0.000000001,IF(01_因子設定!$B$20="Box-Behnken",D548^2+E548^2+F548^2&lt;=2+0.000000001,TRUE()))</f>
        <v>1</v>
      </c>
      <c r="W548" s="55" t="n">
        <f aca="false">IF(V548,IF(01_因子設定!$B$13="最大化",T548-01_因子設定!$B$14,IF(01_因子設定!$B$13="最小化",01_因子設定!$B$15-U548,MIN(T548-01_因子設定!$B$14,01_因子設定!$B$15-U548))),-1E+030)</f>
        <v>-5.19400760164953</v>
      </c>
      <c r="X548" s="55" t="n">
        <f aca="false">IF(V548,IF(01_因子設定!$B$13="最大化",Q548,IF(01_因子設定!$B$13="最小化",-Q548,-ABS(Q548-01_因子設定!$B$16))),-1E+030)</f>
        <v>44.4714772727273</v>
      </c>
      <c r="Y548" s="55" t="n">
        <f aca="false">W548+ROW()*0.000000001</f>
        <v>-5.19400705364953</v>
      </c>
      <c r="Z548" s="55" t="n">
        <f aca="false">X548+ROW()*0.000000001</f>
        <v>44.4714778207273</v>
      </c>
    </row>
    <row r="549" customFormat="false" ht="15" hidden="false" customHeight="false" outlineLevel="0" collapsed="false">
      <c r="A549" s="0" t="n">
        <v>1</v>
      </c>
      <c r="B549" s="0" t="n">
        <v>15</v>
      </c>
      <c r="C549" s="0" t="n">
        <v>0</v>
      </c>
      <c r="D549" s="0" t="n">
        <f aca="false">-1+A549*0.125</f>
        <v>-0.875</v>
      </c>
      <c r="E549" s="0" t="n">
        <f aca="false">-1+B549*0.125</f>
        <v>0.875</v>
      </c>
      <c r="F549" s="0" t="n">
        <f aca="false">-1+C549*0.125</f>
        <v>-1</v>
      </c>
      <c r="G549" s="0" t="n">
        <f aca="false">1</f>
        <v>1</v>
      </c>
      <c r="H549" s="0" t="n">
        <f aca="false">D549</f>
        <v>-0.875</v>
      </c>
      <c r="I549" s="0" t="n">
        <f aca="false">E549</f>
        <v>0.875</v>
      </c>
      <c r="J549" s="0" t="n">
        <f aca="false">F549</f>
        <v>-1</v>
      </c>
      <c r="K549" s="0" t="n">
        <f aca="false">D549*E549</f>
        <v>-0.765625</v>
      </c>
      <c r="L549" s="0" t="n">
        <f aca="false">D549*F549</f>
        <v>0.875</v>
      </c>
      <c r="M549" s="0" t="n">
        <f aca="false">E549*F549</f>
        <v>-0.875</v>
      </c>
      <c r="N549" s="0" t="n">
        <f aca="false">D549*D549</f>
        <v>0.765625</v>
      </c>
      <c r="O549" s="0" t="n">
        <f aca="false">E549*E549</f>
        <v>0.765625</v>
      </c>
      <c r="P549" s="0" t="n">
        <f aca="false">F549*F549</f>
        <v>1</v>
      </c>
      <c r="Q549" s="0" t="n">
        <f aca="false">SUMPRODUCT(G549:P549,_XtX!$B$71:$K$71)</f>
        <v>40.430703125</v>
      </c>
      <c r="R549" s="0" t="n">
        <f aca="false">SUMPRODUCT(MMULT(G549:P549,_XtX!$B$58:$K$67),G549:P549)</f>
        <v>0.618341064453125</v>
      </c>
      <c r="S549" s="0" t="n">
        <f aca="false">04_回帰ANOVA!$K$19*04_回帰ANOVA!$K$14*SQRT(1+R549)</f>
        <v>1.18277371124466</v>
      </c>
      <c r="T549" s="0" t="n">
        <f aca="false">Q549-S549</f>
        <v>39.2479294137554</v>
      </c>
      <c r="U549" s="0" t="n">
        <f aca="false">Q549+S549</f>
        <v>41.6134768362447</v>
      </c>
      <c r="V549" s="54" t="b">
        <f aca="false">AND(D549&gt;=01_因子設定!$L$5-0.000000001,D549&lt;=01_因子設定!$M$5+0.000000001,E549&gt;=01_因子設定!$L$6-0.000000001,E549&lt;=01_因子設定!$M$6+0.000000001,F549&gt;=01_因子設定!$L$7-0.000000001,F549&lt;=01_因子設定!$M$7+0.000000001,IF(01_因子設定!$B$20="Box-Behnken",D549^2+E549^2+F549^2&lt;=2+0.000000001,TRUE()))</f>
        <v>1</v>
      </c>
      <c r="W549" s="55" t="n">
        <f aca="false">IF(V549,IF(01_因子設定!$B$13="最大化",T549-01_因子設定!$B$14,IF(01_因子設定!$B$13="最小化",01_因子設定!$B$15-U549,MIN(T549-01_因子設定!$B$14,01_因子設定!$B$15-U549))),-1E+030)</f>
        <v>-9.25207058624465</v>
      </c>
      <c r="X549" s="55" t="n">
        <f aca="false">IF(V549,IF(01_因子設定!$B$13="最大化",Q549,IF(01_因子設定!$B$13="最小化",-Q549,-ABS(Q549-01_因子設定!$B$16))),-1E+030)</f>
        <v>40.430703125</v>
      </c>
      <c r="Y549" s="55" t="n">
        <f aca="false">W549+ROW()*0.000000001</f>
        <v>-9.25207003724465</v>
      </c>
      <c r="Z549" s="55" t="n">
        <f aca="false">X549+ROW()*0.000000001</f>
        <v>40.430703674</v>
      </c>
    </row>
    <row r="550" customFormat="false" ht="15" hidden="false" customHeight="false" outlineLevel="0" collapsed="false">
      <c r="A550" s="0" t="n">
        <v>1</v>
      </c>
      <c r="B550" s="0" t="n">
        <v>15</v>
      </c>
      <c r="C550" s="0" t="n">
        <v>1</v>
      </c>
      <c r="D550" s="0" t="n">
        <f aca="false">-1+A550*0.125</f>
        <v>-0.875</v>
      </c>
      <c r="E550" s="0" t="n">
        <f aca="false">-1+B550*0.125</f>
        <v>0.875</v>
      </c>
      <c r="F550" s="0" t="n">
        <f aca="false">-1+C550*0.125</f>
        <v>-0.875</v>
      </c>
      <c r="G550" s="0" t="n">
        <f aca="false">1</f>
        <v>1</v>
      </c>
      <c r="H550" s="0" t="n">
        <f aca="false">D550</f>
        <v>-0.875</v>
      </c>
      <c r="I550" s="0" t="n">
        <f aca="false">E550</f>
        <v>0.875</v>
      </c>
      <c r="J550" s="0" t="n">
        <f aca="false">F550</f>
        <v>-0.875</v>
      </c>
      <c r="K550" s="0" t="n">
        <f aca="false">D550*E550</f>
        <v>-0.765625</v>
      </c>
      <c r="L550" s="0" t="n">
        <f aca="false">D550*F550</f>
        <v>0.765625</v>
      </c>
      <c r="M550" s="0" t="n">
        <f aca="false">E550*F550</f>
        <v>-0.765625</v>
      </c>
      <c r="N550" s="0" t="n">
        <f aca="false">D550*D550</f>
        <v>0.765625</v>
      </c>
      <c r="O550" s="0" t="n">
        <f aca="false">E550*E550</f>
        <v>0.765625</v>
      </c>
      <c r="P550" s="0" t="n">
        <f aca="false">F550*F550</f>
        <v>0.765625</v>
      </c>
      <c r="Q550" s="0" t="n">
        <f aca="false">SUMPRODUCT(G550:P550,_XtX!$B$71:$K$71)</f>
        <v>40.9447514204546</v>
      </c>
      <c r="R550" s="0" t="n">
        <f aca="false">SUMPRODUCT(MMULT(G550:P550,_XtX!$B$58:$K$67),G550:P550)</f>
        <v>0.51874833540483</v>
      </c>
      <c r="S550" s="0" t="n">
        <f aca="false">04_回帰ANOVA!$K$19*04_回帰ANOVA!$K$14*SQRT(1+R550)</f>
        <v>1.14580191439368</v>
      </c>
      <c r="T550" s="0" t="n">
        <f aca="false">Q550-S550</f>
        <v>39.7989495060609</v>
      </c>
      <c r="U550" s="0" t="n">
        <f aca="false">Q550+S550</f>
        <v>42.0905533348482</v>
      </c>
      <c r="V550" s="54" t="b">
        <f aca="false">AND(D550&gt;=01_因子設定!$L$5-0.000000001,D550&lt;=01_因子設定!$M$5+0.000000001,E550&gt;=01_因子設定!$L$6-0.000000001,E550&lt;=01_因子設定!$M$6+0.000000001,F550&gt;=01_因子設定!$L$7-0.000000001,F550&lt;=01_因子設定!$M$7+0.000000001,IF(01_因子設定!$B$20="Box-Behnken",D550^2+E550^2+F550^2&lt;=2+0.000000001,TRUE()))</f>
        <v>1</v>
      </c>
      <c r="W550" s="55" t="n">
        <f aca="false">IF(V550,IF(01_因子設定!$B$13="最大化",T550-01_因子設定!$B$14,IF(01_因子設定!$B$13="最小化",01_因子設定!$B$15-U550,MIN(T550-01_因子設定!$B$14,01_因子設定!$B$15-U550))),-1E+030)</f>
        <v>-8.70105049393912</v>
      </c>
      <c r="X550" s="55" t="n">
        <f aca="false">IF(V550,IF(01_因子設定!$B$13="最大化",Q550,IF(01_因子設定!$B$13="最小化",-Q550,-ABS(Q550-01_因子設定!$B$16))),-1E+030)</f>
        <v>40.9447514204546</v>
      </c>
      <c r="Y550" s="55" t="n">
        <f aca="false">W550+ROW()*0.000000001</f>
        <v>-8.70104994393912</v>
      </c>
      <c r="Z550" s="55" t="n">
        <f aca="false">X550+ROW()*0.000000001</f>
        <v>40.9447519704546</v>
      </c>
    </row>
    <row r="551" customFormat="false" ht="15" hidden="false" customHeight="false" outlineLevel="0" collapsed="false">
      <c r="A551" s="0" t="n">
        <v>1</v>
      </c>
      <c r="B551" s="0" t="n">
        <v>15</v>
      </c>
      <c r="C551" s="0" t="n">
        <v>2</v>
      </c>
      <c r="D551" s="0" t="n">
        <f aca="false">-1+A551*0.125</f>
        <v>-0.875</v>
      </c>
      <c r="E551" s="0" t="n">
        <f aca="false">-1+B551*0.125</f>
        <v>0.875</v>
      </c>
      <c r="F551" s="0" t="n">
        <f aca="false">-1+C551*0.125</f>
        <v>-0.75</v>
      </c>
      <c r="G551" s="0" t="n">
        <f aca="false">1</f>
        <v>1</v>
      </c>
      <c r="H551" s="0" t="n">
        <f aca="false">D551</f>
        <v>-0.875</v>
      </c>
      <c r="I551" s="0" t="n">
        <f aca="false">E551</f>
        <v>0.875</v>
      </c>
      <c r="J551" s="0" t="n">
        <f aca="false">F551</f>
        <v>-0.75</v>
      </c>
      <c r="K551" s="0" t="n">
        <f aca="false">D551*E551</f>
        <v>-0.765625</v>
      </c>
      <c r="L551" s="0" t="n">
        <f aca="false">D551*F551</f>
        <v>0.65625</v>
      </c>
      <c r="M551" s="0" t="n">
        <f aca="false">E551*F551</f>
        <v>-0.65625</v>
      </c>
      <c r="N551" s="0" t="n">
        <f aca="false">D551*D551</f>
        <v>0.765625</v>
      </c>
      <c r="O551" s="0" t="n">
        <f aca="false">E551*E551</f>
        <v>0.765625</v>
      </c>
      <c r="P551" s="0" t="n">
        <f aca="false">F551*F551</f>
        <v>0.5625</v>
      </c>
      <c r="Q551" s="0" t="n">
        <f aca="false">SUMPRODUCT(G551:P551,_XtX!$B$71:$K$71)</f>
        <v>41.4220099431818</v>
      </c>
      <c r="R551" s="0" t="n">
        <f aca="false">SUMPRODUCT(MMULT(G551:P551,_XtX!$B$58:$K$67),G551:P551)</f>
        <v>0.464749977805398</v>
      </c>
      <c r="S551" s="0" t="n">
        <f aca="false">04_回帰ANOVA!$K$19*04_回帰ANOVA!$K$14*SQRT(1+R551)</f>
        <v>1.12524835342194</v>
      </c>
      <c r="T551" s="0" t="n">
        <f aca="false">Q551-S551</f>
        <v>40.2967615897599</v>
      </c>
      <c r="U551" s="0" t="n">
        <f aca="false">Q551+S551</f>
        <v>42.5472582966038</v>
      </c>
      <c r="V551" s="54" t="b">
        <f aca="false">AND(D551&gt;=01_因子設定!$L$5-0.000000001,D551&lt;=01_因子設定!$M$5+0.000000001,E551&gt;=01_因子設定!$L$6-0.000000001,E551&lt;=01_因子設定!$M$6+0.000000001,F551&gt;=01_因子設定!$L$7-0.000000001,F551&lt;=01_因子設定!$M$7+0.000000001,IF(01_因子設定!$B$20="Box-Behnken",D551^2+E551^2+F551^2&lt;=2+0.000000001,TRUE()))</f>
        <v>1</v>
      </c>
      <c r="W551" s="55" t="n">
        <f aca="false">IF(V551,IF(01_因子設定!$B$13="最大化",T551-01_因子設定!$B$14,IF(01_因子設定!$B$13="最小化",01_因子設定!$B$15-U551,MIN(T551-01_因子設定!$B$14,01_因子設定!$B$15-U551))),-1E+030)</f>
        <v>-8.20323841024011</v>
      </c>
      <c r="X551" s="55" t="n">
        <f aca="false">IF(V551,IF(01_因子設定!$B$13="最大化",Q551,IF(01_因子設定!$B$13="最小化",-Q551,-ABS(Q551-01_因子設定!$B$16))),-1E+030)</f>
        <v>41.4220099431818</v>
      </c>
      <c r="Y551" s="55" t="n">
        <f aca="false">W551+ROW()*0.000000001</f>
        <v>-8.20323785924011</v>
      </c>
      <c r="Z551" s="55" t="n">
        <f aca="false">X551+ROW()*0.000000001</f>
        <v>41.4220104941818</v>
      </c>
    </row>
    <row r="552" customFormat="false" ht="15" hidden="false" customHeight="false" outlineLevel="0" collapsed="false">
      <c r="A552" s="0" t="n">
        <v>1</v>
      </c>
      <c r="B552" s="0" t="n">
        <v>15</v>
      </c>
      <c r="C552" s="0" t="n">
        <v>3</v>
      </c>
      <c r="D552" s="0" t="n">
        <f aca="false">-1+A552*0.125</f>
        <v>-0.875</v>
      </c>
      <c r="E552" s="0" t="n">
        <f aca="false">-1+B552*0.125</f>
        <v>0.875</v>
      </c>
      <c r="F552" s="0" t="n">
        <f aca="false">-1+C552*0.125</f>
        <v>-0.625</v>
      </c>
      <c r="G552" s="0" t="n">
        <f aca="false">1</f>
        <v>1</v>
      </c>
      <c r="H552" s="0" t="n">
        <f aca="false">D552</f>
        <v>-0.875</v>
      </c>
      <c r="I552" s="0" t="n">
        <f aca="false">E552</f>
        <v>0.875</v>
      </c>
      <c r="J552" s="0" t="n">
        <f aca="false">F552</f>
        <v>-0.625</v>
      </c>
      <c r="K552" s="0" t="n">
        <f aca="false">D552*E552</f>
        <v>-0.765625</v>
      </c>
      <c r="L552" s="0" t="n">
        <f aca="false">D552*F552</f>
        <v>0.546875</v>
      </c>
      <c r="M552" s="0" t="n">
        <f aca="false">E552*F552</f>
        <v>-0.546875</v>
      </c>
      <c r="N552" s="0" t="n">
        <f aca="false">D552*D552</f>
        <v>0.765625</v>
      </c>
      <c r="O552" s="0" t="n">
        <f aca="false">E552*E552</f>
        <v>0.765625</v>
      </c>
      <c r="P552" s="0" t="n">
        <f aca="false">F552*F552</f>
        <v>0.390625</v>
      </c>
      <c r="Q552" s="0" t="n">
        <f aca="false">SUMPRODUCT(G552:P552,_XtX!$B$71:$K$71)</f>
        <v>41.8624786931818</v>
      </c>
      <c r="R552" s="0" t="n">
        <f aca="false">SUMPRODUCT(MMULT(G552:P552,_XtX!$B$58:$K$67),G552:P552)</f>
        <v>0.442496559836648</v>
      </c>
      <c r="S552" s="0" t="n">
        <f aca="false">04_回帰ANOVA!$K$19*04_回帰ANOVA!$K$14*SQRT(1+R552)</f>
        <v>1.11666789259284</v>
      </c>
      <c r="T552" s="0" t="n">
        <f aca="false">Q552-S552</f>
        <v>40.745810800589</v>
      </c>
      <c r="U552" s="0" t="n">
        <f aca="false">Q552+S552</f>
        <v>42.9791465857747</v>
      </c>
      <c r="V552" s="54" t="b">
        <f aca="false">AND(D552&gt;=01_因子設定!$L$5-0.000000001,D552&lt;=01_因子設定!$M$5+0.000000001,E552&gt;=01_因子設定!$L$6-0.000000001,E552&lt;=01_因子設定!$M$6+0.000000001,F552&gt;=01_因子設定!$L$7-0.000000001,F552&lt;=01_因子設定!$M$7+0.000000001,IF(01_因子設定!$B$20="Box-Behnken",D552^2+E552^2+F552^2&lt;=2+0.000000001,TRUE()))</f>
        <v>1</v>
      </c>
      <c r="W552" s="55" t="n">
        <f aca="false">IF(V552,IF(01_因子設定!$B$13="最大化",T552-01_因子設定!$B$14,IF(01_因子設定!$B$13="最小化",01_因子設定!$B$15-U552,MIN(T552-01_因子設定!$B$14,01_因子設定!$B$15-U552))),-1E+030)</f>
        <v>-7.75418919941102</v>
      </c>
      <c r="X552" s="55" t="n">
        <f aca="false">IF(V552,IF(01_因子設定!$B$13="最大化",Q552,IF(01_因子設定!$B$13="最小化",-Q552,-ABS(Q552-01_因子設定!$B$16))),-1E+030)</f>
        <v>41.8624786931818</v>
      </c>
      <c r="Y552" s="55" t="n">
        <f aca="false">W552+ROW()*0.000000001</f>
        <v>-7.75418864741102</v>
      </c>
      <c r="Z552" s="55" t="n">
        <f aca="false">X552+ROW()*0.000000001</f>
        <v>41.8624792451818</v>
      </c>
    </row>
    <row r="553" customFormat="false" ht="15" hidden="false" customHeight="false" outlineLevel="0" collapsed="false">
      <c r="A553" s="0" t="n">
        <v>1</v>
      </c>
      <c r="B553" s="0" t="n">
        <v>15</v>
      </c>
      <c r="C553" s="0" t="n">
        <v>4</v>
      </c>
      <c r="D553" s="0" t="n">
        <f aca="false">-1+A553*0.125</f>
        <v>-0.875</v>
      </c>
      <c r="E553" s="0" t="n">
        <f aca="false">-1+B553*0.125</f>
        <v>0.875</v>
      </c>
      <c r="F553" s="0" t="n">
        <f aca="false">-1+C553*0.125</f>
        <v>-0.5</v>
      </c>
      <c r="G553" s="0" t="n">
        <f aca="false">1</f>
        <v>1</v>
      </c>
      <c r="H553" s="0" t="n">
        <f aca="false">D553</f>
        <v>-0.875</v>
      </c>
      <c r="I553" s="0" t="n">
        <f aca="false">E553</f>
        <v>0.875</v>
      </c>
      <c r="J553" s="0" t="n">
        <f aca="false">F553</f>
        <v>-0.5</v>
      </c>
      <c r="K553" s="0" t="n">
        <f aca="false">D553*E553</f>
        <v>-0.765625</v>
      </c>
      <c r="L553" s="0" t="n">
        <f aca="false">D553*F553</f>
        <v>0.4375</v>
      </c>
      <c r="M553" s="0" t="n">
        <f aca="false">E553*F553</f>
        <v>-0.4375</v>
      </c>
      <c r="N553" s="0" t="n">
        <f aca="false">D553*D553</f>
        <v>0.765625</v>
      </c>
      <c r="O553" s="0" t="n">
        <f aca="false">E553*E553</f>
        <v>0.765625</v>
      </c>
      <c r="P553" s="0" t="n">
        <f aca="false">F553*F553</f>
        <v>0.25</v>
      </c>
      <c r="Q553" s="0" t="n">
        <f aca="false">SUMPRODUCT(G553:P553,_XtX!$B$71:$K$71)</f>
        <v>42.2661576704546</v>
      </c>
      <c r="R553" s="0" t="n">
        <f aca="false">SUMPRODUCT(MMULT(G553:P553,_XtX!$B$58:$K$67),G553:P553)</f>
        <v>0.44026933149858</v>
      </c>
      <c r="S553" s="0" t="n">
        <f aca="false">04_回帰ANOVA!$K$19*04_回帰ANOVA!$K$14*SQRT(1+R553)</f>
        <v>1.11580548667718</v>
      </c>
      <c r="T553" s="0" t="n">
        <f aca="false">Q553-S553</f>
        <v>41.1503521837774</v>
      </c>
      <c r="U553" s="0" t="n">
        <f aca="false">Q553+S553</f>
        <v>43.3819631571317</v>
      </c>
      <c r="V553" s="54" t="b">
        <f aca="false">AND(D553&gt;=01_因子設定!$L$5-0.000000001,D553&lt;=01_因子設定!$M$5+0.000000001,E553&gt;=01_因子設定!$L$6-0.000000001,E553&lt;=01_因子設定!$M$6+0.000000001,F553&gt;=01_因子設定!$L$7-0.000000001,F553&lt;=01_因子設定!$M$7+0.000000001,IF(01_因子設定!$B$20="Box-Behnken",D553^2+E553^2+F553^2&lt;=2+0.000000001,TRUE()))</f>
        <v>1</v>
      </c>
      <c r="W553" s="55" t="n">
        <f aca="false">IF(V553,IF(01_因子設定!$B$13="最大化",T553-01_因子設定!$B$14,IF(01_因子設定!$B$13="最小化",01_因子設定!$B$15-U553,MIN(T553-01_因子設定!$B$14,01_因子設定!$B$15-U553))),-1E+030)</f>
        <v>-7.34964781622264</v>
      </c>
      <c r="X553" s="55" t="n">
        <f aca="false">IF(V553,IF(01_因子設定!$B$13="最大化",Q553,IF(01_因子設定!$B$13="最小化",-Q553,-ABS(Q553-01_因子設定!$B$16))),-1E+030)</f>
        <v>42.2661576704546</v>
      </c>
      <c r="Y553" s="55" t="n">
        <f aca="false">W553+ROW()*0.000000001</f>
        <v>-7.34964726322264</v>
      </c>
      <c r="Z553" s="55" t="n">
        <f aca="false">X553+ROW()*0.000000001</f>
        <v>42.2661582234545</v>
      </c>
    </row>
    <row r="554" customFormat="false" ht="15" hidden="false" customHeight="false" outlineLevel="0" collapsed="false">
      <c r="A554" s="0" t="n">
        <v>1</v>
      </c>
      <c r="B554" s="0" t="n">
        <v>15</v>
      </c>
      <c r="C554" s="0" t="n">
        <v>5</v>
      </c>
      <c r="D554" s="0" t="n">
        <f aca="false">-1+A554*0.125</f>
        <v>-0.875</v>
      </c>
      <c r="E554" s="0" t="n">
        <f aca="false">-1+B554*0.125</f>
        <v>0.875</v>
      </c>
      <c r="F554" s="0" t="n">
        <f aca="false">-1+C554*0.125</f>
        <v>-0.375</v>
      </c>
      <c r="G554" s="0" t="n">
        <f aca="false">1</f>
        <v>1</v>
      </c>
      <c r="H554" s="0" t="n">
        <f aca="false">D554</f>
        <v>-0.875</v>
      </c>
      <c r="I554" s="0" t="n">
        <f aca="false">E554</f>
        <v>0.875</v>
      </c>
      <c r="J554" s="0" t="n">
        <f aca="false">F554</f>
        <v>-0.375</v>
      </c>
      <c r="K554" s="0" t="n">
        <f aca="false">D554*E554</f>
        <v>-0.765625</v>
      </c>
      <c r="L554" s="0" t="n">
        <f aca="false">D554*F554</f>
        <v>0.328125</v>
      </c>
      <c r="M554" s="0" t="n">
        <f aca="false">E554*F554</f>
        <v>-0.328125</v>
      </c>
      <c r="N554" s="0" t="n">
        <f aca="false">D554*D554</f>
        <v>0.765625</v>
      </c>
      <c r="O554" s="0" t="n">
        <f aca="false">E554*E554</f>
        <v>0.765625</v>
      </c>
      <c r="P554" s="0" t="n">
        <f aca="false">F554*F554</f>
        <v>0.140625</v>
      </c>
      <c r="Q554" s="0" t="n">
        <f aca="false">SUMPRODUCT(G554:P554,_XtX!$B$71:$K$71)</f>
        <v>42.633046875</v>
      </c>
      <c r="R554" s="0" t="n">
        <f aca="false">SUMPRODUCT(MMULT(G554:P554,_XtX!$B$58:$K$67),G554:P554)</f>
        <v>0.448480224609375</v>
      </c>
      <c r="S554" s="0" t="n">
        <f aca="false">04_回帰ANOVA!$K$19*04_回帰ANOVA!$K$14*SQRT(1+R554)</f>
        <v>1.11898153812985</v>
      </c>
      <c r="T554" s="0" t="n">
        <f aca="false">Q554-S554</f>
        <v>41.5140653368702</v>
      </c>
      <c r="U554" s="0" t="n">
        <f aca="false">Q554+S554</f>
        <v>43.7520284131298</v>
      </c>
      <c r="V554" s="54" t="b">
        <f aca="false">AND(D554&gt;=01_因子設定!$L$5-0.000000001,D554&lt;=01_因子設定!$M$5+0.000000001,E554&gt;=01_因子設定!$L$6-0.000000001,E554&lt;=01_因子設定!$M$6+0.000000001,F554&gt;=01_因子設定!$L$7-0.000000001,F554&lt;=01_因子設定!$M$7+0.000000001,IF(01_因子設定!$B$20="Box-Behnken",D554^2+E554^2+F554^2&lt;=2+0.000000001,TRUE()))</f>
        <v>1</v>
      </c>
      <c r="W554" s="55" t="n">
        <f aca="false">IF(V554,IF(01_因子設定!$B$13="最大化",T554-01_因子設定!$B$14,IF(01_因子設定!$B$13="最小化",01_因子設定!$B$15-U554,MIN(T554-01_因子設定!$B$14,01_因子設定!$B$15-U554))),-1E+030)</f>
        <v>-6.98593466312985</v>
      </c>
      <c r="X554" s="55" t="n">
        <f aca="false">IF(V554,IF(01_因子設定!$B$13="最大化",Q554,IF(01_因子設定!$B$13="最小化",-Q554,-ABS(Q554-01_因子設定!$B$16))),-1E+030)</f>
        <v>42.633046875</v>
      </c>
      <c r="Y554" s="55" t="n">
        <f aca="false">W554+ROW()*0.000000001</f>
        <v>-6.98593410912985</v>
      </c>
      <c r="Z554" s="55" t="n">
        <f aca="false">X554+ROW()*0.000000001</f>
        <v>42.633047429</v>
      </c>
    </row>
    <row r="555" customFormat="false" ht="15" hidden="false" customHeight="false" outlineLevel="0" collapsed="false">
      <c r="A555" s="0" t="n">
        <v>1</v>
      </c>
      <c r="B555" s="0" t="n">
        <v>15</v>
      </c>
      <c r="C555" s="0" t="n">
        <v>6</v>
      </c>
      <c r="D555" s="0" t="n">
        <f aca="false">-1+A555*0.125</f>
        <v>-0.875</v>
      </c>
      <c r="E555" s="0" t="n">
        <f aca="false">-1+B555*0.125</f>
        <v>0.875</v>
      </c>
      <c r="F555" s="0" t="n">
        <f aca="false">-1+C555*0.125</f>
        <v>-0.25</v>
      </c>
      <c r="G555" s="0" t="n">
        <f aca="false">1</f>
        <v>1</v>
      </c>
      <c r="H555" s="0" t="n">
        <f aca="false">D555</f>
        <v>-0.875</v>
      </c>
      <c r="I555" s="0" t="n">
        <f aca="false">E555</f>
        <v>0.875</v>
      </c>
      <c r="J555" s="0" t="n">
        <f aca="false">F555</f>
        <v>-0.25</v>
      </c>
      <c r="K555" s="0" t="n">
        <f aca="false">D555*E555</f>
        <v>-0.765625</v>
      </c>
      <c r="L555" s="0" t="n">
        <f aca="false">D555*F555</f>
        <v>0.21875</v>
      </c>
      <c r="M555" s="0" t="n">
        <f aca="false">E555*F555</f>
        <v>-0.21875</v>
      </c>
      <c r="N555" s="0" t="n">
        <f aca="false">D555*D555</f>
        <v>0.765625</v>
      </c>
      <c r="O555" s="0" t="n">
        <f aca="false">E555*E555</f>
        <v>0.765625</v>
      </c>
      <c r="P555" s="0" t="n">
        <f aca="false">F555*F555</f>
        <v>0.0625</v>
      </c>
      <c r="Q555" s="0" t="n">
        <f aca="false">SUMPRODUCT(G555:P555,_XtX!$B$71:$K$71)</f>
        <v>42.9631463068182</v>
      </c>
      <c r="R555" s="0" t="n">
        <f aca="false">SUMPRODUCT(MMULT(G555:P555,_XtX!$B$58:$K$67),G555:P555)</f>
        <v>0.459671852805398</v>
      </c>
      <c r="S555" s="0" t="n">
        <f aca="false">04_回帰ANOVA!$K$19*04_回帰ANOVA!$K$14*SQRT(1+R555)</f>
        <v>1.12329610455115</v>
      </c>
      <c r="T555" s="0" t="n">
        <f aca="false">Q555-S555</f>
        <v>41.839850202267</v>
      </c>
      <c r="U555" s="0" t="n">
        <f aca="false">Q555+S555</f>
        <v>44.0864424113693</v>
      </c>
      <c r="V555" s="54" t="b">
        <f aca="false">AND(D555&gt;=01_因子設定!$L$5-0.000000001,D555&lt;=01_因子設定!$M$5+0.000000001,E555&gt;=01_因子設定!$L$6-0.000000001,E555&lt;=01_因子設定!$M$6+0.000000001,F555&gt;=01_因子設定!$L$7-0.000000001,F555&lt;=01_因子設定!$M$7+0.000000001,IF(01_因子設定!$B$20="Box-Behnken",D555^2+E555^2+F555^2&lt;=2+0.000000001,TRUE()))</f>
        <v>1</v>
      </c>
      <c r="W555" s="55" t="n">
        <f aca="false">IF(V555,IF(01_因子設定!$B$13="最大化",T555-01_因子設定!$B$14,IF(01_因子設定!$B$13="最小化",01_因子設定!$B$15-U555,MIN(T555-01_因子設定!$B$14,01_因子設定!$B$15-U555))),-1E+030)</f>
        <v>-6.66014979773297</v>
      </c>
      <c r="X555" s="55" t="n">
        <f aca="false">IF(V555,IF(01_因子設定!$B$13="最大化",Q555,IF(01_因子設定!$B$13="最小化",-Q555,-ABS(Q555-01_因子設定!$B$16))),-1E+030)</f>
        <v>42.9631463068182</v>
      </c>
      <c r="Y555" s="55" t="n">
        <f aca="false">W555+ROW()*0.000000001</f>
        <v>-6.66014924273297</v>
      </c>
      <c r="Z555" s="55" t="n">
        <f aca="false">X555+ROW()*0.000000001</f>
        <v>42.9631468618182</v>
      </c>
    </row>
    <row r="556" customFormat="false" ht="15" hidden="false" customHeight="false" outlineLevel="0" collapsed="false">
      <c r="A556" s="0" t="n">
        <v>1</v>
      </c>
      <c r="B556" s="0" t="n">
        <v>15</v>
      </c>
      <c r="C556" s="0" t="n">
        <v>7</v>
      </c>
      <c r="D556" s="0" t="n">
        <f aca="false">-1+A556*0.125</f>
        <v>-0.875</v>
      </c>
      <c r="E556" s="0" t="n">
        <f aca="false">-1+B556*0.125</f>
        <v>0.875</v>
      </c>
      <c r="F556" s="0" t="n">
        <f aca="false">-1+C556*0.125</f>
        <v>-0.125</v>
      </c>
      <c r="G556" s="0" t="n">
        <f aca="false">1</f>
        <v>1</v>
      </c>
      <c r="H556" s="0" t="n">
        <f aca="false">D556</f>
        <v>-0.875</v>
      </c>
      <c r="I556" s="0" t="n">
        <f aca="false">E556</f>
        <v>0.875</v>
      </c>
      <c r="J556" s="0" t="n">
        <f aca="false">F556</f>
        <v>-0.125</v>
      </c>
      <c r="K556" s="0" t="n">
        <f aca="false">D556*E556</f>
        <v>-0.765625</v>
      </c>
      <c r="L556" s="0" t="n">
        <f aca="false">D556*F556</f>
        <v>0.109375</v>
      </c>
      <c r="M556" s="0" t="n">
        <f aca="false">E556*F556</f>
        <v>-0.109375</v>
      </c>
      <c r="N556" s="0" t="n">
        <f aca="false">D556*D556</f>
        <v>0.765625</v>
      </c>
      <c r="O556" s="0" t="n">
        <f aca="false">E556*E556</f>
        <v>0.765625</v>
      </c>
      <c r="P556" s="0" t="n">
        <f aca="false">F556*F556</f>
        <v>0.015625</v>
      </c>
      <c r="Q556" s="0" t="n">
        <f aca="false">SUMPRODUCT(G556:P556,_XtX!$B$71:$K$71)</f>
        <v>43.2564559659091</v>
      </c>
      <c r="R556" s="0" t="n">
        <f aca="false">SUMPRODUCT(MMULT(G556:P556,_XtX!$B$58:$K$67),G556:P556)</f>
        <v>0.468517511541193</v>
      </c>
      <c r="S556" s="0" t="n">
        <f aca="false">04_回帰ANOVA!$K$19*04_回帰ANOVA!$K$14*SQRT(1+R556)</f>
        <v>1.12669456902645</v>
      </c>
      <c r="T556" s="0" t="n">
        <f aca="false">Q556-S556</f>
        <v>42.1297613968826</v>
      </c>
      <c r="U556" s="0" t="n">
        <f aca="false">Q556+S556</f>
        <v>44.3831505349355</v>
      </c>
      <c r="V556" s="54" t="b">
        <f aca="false">AND(D556&gt;=01_因子設定!$L$5-0.000000001,D556&lt;=01_因子設定!$M$5+0.000000001,E556&gt;=01_因子設定!$L$6-0.000000001,E556&lt;=01_因子設定!$M$6+0.000000001,F556&gt;=01_因子設定!$L$7-0.000000001,F556&lt;=01_因子設定!$M$7+0.000000001,IF(01_因子設定!$B$20="Box-Behnken",D556^2+E556^2+F556^2&lt;=2+0.000000001,TRUE()))</f>
        <v>1</v>
      </c>
      <c r="W556" s="55" t="n">
        <f aca="false">IF(V556,IF(01_因子設定!$B$13="最大化",T556-01_因子設定!$B$14,IF(01_因子設定!$B$13="最小化",01_因子設定!$B$15-U556,MIN(T556-01_因子設定!$B$14,01_因子設定!$B$15-U556))),-1E+030)</f>
        <v>-6.37023860311737</v>
      </c>
      <c r="X556" s="55" t="n">
        <f aca="false">IF(V556,IF(01_因子設定!$B$13="最大化",Q556,IF(01_因子設定!$B$13="最小化",-Q556,-ABS(Q556-01_因子設定!$B$16))),-1E+030)</f>
        <v>43.2564559659091</v>
      </c>
      <c r="Y556" s="55" t="n">
        <f aca="false">W556+ROW()*0.000000001</f>
        <v>-6.37023804711737</v>
      </c>
      <c r="Z556" s="55" t="n">
        <f aca="false">X556+ROW()*0.000000001</f>
        <v>43.2564565219091</v>
      </c>
    </row>
    <row r="557" customFormat="false" ht="15" hidden="false" customHeight="false" outlineLevel="0" collapsed="false">
      <c r="A557" s="0" t="n">
        <v>1</v>
      </c>
      <c r="B557" s="0" t="n">
        <v>15</v>
      </c>
      <c r="C557" s="0" t="n">
        <v>8</v>
      </c>
      <c r="D557" s="0" t="n">
        <f aca="false">-1+A557*0.125</f>
        <v>-0.875</v>
      </c>
      <c r="E557" s="0" t="n">
        <f aca="false">-1+B557*0.125</f>
        <v>0.875</v>
      </c>
      <c r="F557" s="0" t="n">
        <f aca="false">-1+C557*0.125</f>
        <v>0</v>
      </c>
      <c r="G557" s="0" t="n">
        <f aca="false">1</f>
        <v>1</v>
      </c>
      <c r="H557" s="0" t="n">
        <f aca="false">D557</f>
        <v>-0.875</v>
      </c>
      <c r="I557" s="0" t="n">
        <f aca="false">E557</f>
        <v>0.875</v>
      </c>
      <c r="J557" s="0" t="n">
        <f aca="false">F557</f>
        <v>0</v>
      </c>
      <c r="K557" s="0" t="n">
        <f aca="false">D557*E557</f>
        <v>-0.765625</v>
      </c>
      <c r="L557" s="0" t="n">
        <f aca="false">D557*F557</f>
        <v>-0</v>
      </c>
      <c r="M557" s="0" t="n">
        <f aca="false">E557*F557</f>
        <v>0</v>
      </c>
      <c r="N557" s="0" t="n">
        <f aca="false">D557*D557</f>
        <v>0.765625</v>
      </c>
      <c r="O557" s="0" t="n">
        <f aca="false">E557*E557</f>
        <v>0.765625</v>
      </c>
      <c r="P557" s="0" t="n">
        <f aca="false">F557*F557</f>
        <v>0</v>
      </c>
      <c r="Q557" s="0" t="n">
        <f aca="false">SUMPRODUCT(G557:P557,_XtX!$B$71:$K$71)</f>
        <v>43.5129758522727</v>
      </c>
      <c r="R557" s="0" t="n">
        <f aca="false">SUMPRODUCT(MMULT(G557:P557,_XtX!$B$58:$K$67),G557:P557)</f>
        <v>0.471821178089489</v>
      </c>
      <c r="S557" s="0" t="n">
        <f aca="false">04_回帰ANOVA!$K$19*04_回帰ANOVA!$K$14*SQRT(1+R557)</f>
        <v>1.12796119746125</v>
      </c>
      <c r="T557" s="0" t="n">
        <f aca="false">Q557-S557</f>
        <v>42.3850146548115</v>
      </c>
      <c r="U557" s="0" t="n">
        <f aca="false">Q557+S557</f>
        <v>44.640937049734</v>
      </c>
      <c r="V557" s="54" t="b">
        <f aca="false">AND(D557&gt;=01_因子設定!$L$5-0.000000001,D557&lt;=01_因子設定!$M$5+0.000000001,E557&gt;=01_因子設定!$L$6-0.000000001,E557&lt;=01_因子設定!$M$6+0.000000001,F557&gt;=01_因子設定!$L$7-0.000000001,F557&lt;=01_因子設定!$M$7+0.000000001,IF(01_因子設定!$B$20="Box-Behnken",D557^2+E557^2+F557^2&lt;=2+0.000000001,TRUE()))</f>
        <v>1</v>
      </c>
      <c r="W557" s="55" t="n">
        <f aca="false">IF(V557,IF(01_因子設定!$B$13="最大化",T557-01_因子設定!$B$14,IF(01_因子設定!$B$13="最小化",01_因子設定!$B$15-U557,MIN(T557-01_因子設定!$B$14,01_因子設定!$B$15-U557))),-1E+030)</f>
        <v>-6.11498534518853</v>
      </c>
      <c r="X557" s="55" t="n">
        <f aca="false">IF(V557,IF(01_因子設定!$B$13="最大化",Q557,IF(01_因子設定!$B$13="最小化",-Q557,-ABS(Q557-01_因子設定!$B$16))),-1E+030)</f>
        <v>43.5129758522727</v>
      </c>
      <c r="Y557" s="55" t="n">
        <f aca="false">W557+ROW()*0.000000001</f>
        <v>-6.11498478818853</v>
      </c>
      <c r="Z557" s="55" t="n">
        <f aca="false">X557+ROW()*0.000000001</f>
        <v>43.5129764092727</v>
      </c>
    </row>
    <row r="558" customFormat="false" ht="15" hidden="false" customHeight="false" outlineLevel="0" collapsed="false">
      <c r="A558" s="0" t="n">
        <v>1</v>
      </c>
      <c r="B558" s="0" t="n">
        <v>15</v>
      </c>
      <c r="C558" s="0" t="n">
        <v>9</v>
      </c>
      <c r="D558" s="0" t="n">
        <f aca="false">-1+A558*0.125</f>
        <v>-0.875</v>
      </c>
      <c r="E558" s="0" t="n">
        <f aca="false">-1+B558*0.125</f>
        <v>0.875</v>
      </c>
      <c r="F558" s="0" t="n">
        <f aca="false">-1+C558*0.125</f>
        <v>0.125</v>
      </c>
      <c r="G558" s="0" t="n">
        <f aca="false">1</f>
        <v>1</v>
      </c>
      <c r="H558" s="0" t="n">
        <f aca="false">D558</f>
        <v>-0.875</v>
      </c>
      <c r="I558" s="0" t="n">
        <f aca="false">E558</f>
        <v>0.875</v>
      </c>
      <c r="J558" s="0" t="n">
        <f aca="false">F558</f>
        <v>0.125</v>
      </c>
      <c r="K558" s="0" t="n">
        <f aca="false">D558*E558</f>
        <v>-0.765625</v>
      </c>
      <c r="L558" s="0" t="n">
        <f aca="false">D558*F558</f>
        <v>-0.109375</v>
      </c>
      <c r="M558" s="0" t="n">
        <f aca="false">E558*F558</f>
        <v>0.109375</v>
      </c>
      <c r="N558" s="0" t="n">
        <f aca="false">D558*D558</f>
        <v>0.765625</v>
      </c>
      <c r="O558" s="0" t="n">
        <f aca="false">E558*E558</f>
        <v>0.765625</v>
      </c>
      <c r="P558" s="0" t="n">
        <f aca="false">F558*F558</f>
        <v>0.015625</v>
      </c>
      <c r="Q558" s="0" t="n">
        <f aca="false">SUMPRODUCT(G558:P558,_XtX!$B$71:$K$71)</f>
        <v>43.7327059659091</v>
      </c>
      <c r="R558" s="0" t="n">
        <f aca="false">SUMPRODUCT(MMULT(G558:P558,_XtX!$B$58:$K$67),G558:P558)</f>
        <v>0.468517511541193</v>
      </c>
      <c r="S558" s="0" t="n">
        <f aca="false">04_回帰ANOVA!$K$19*04_回帰ANOVA!$K$14*SQRT(1+R558)</f>
        <v>1.12669456902645</v>
      </c>
      <c r="T558" s="0" t="n">
        <f aca="false">Q558-S558</f>
        <v>42.6060113968826</v>
      </c>
      <c r="U558" s="0" t="n">
        <f aca="false">Q558+S558</f>
        <v>44.8594005349355</v>
      </c>
      <c r="V558" s="54" t="b">
        <f aca="false">AND(D558&gt;=01_因子設定!$L$5-0.000000001,D558&lt;=01_因子設定!$M$5+0.000000001,E558&gt;=01_因子設定!$L$6-0.000000001,E558&lt;=01_因子設定!$M$6+0.000000001,F558&gt;=01_因子設定!$L$7-0.000000001,F558&lt;=01_因子設定!$M$7+0.000000001,IF(01_因子設定!$B$20="Box-Behnken",D558^2+E558^2+F558^2&lt;=2+0.000000001,TRUE()))</f>
        <v>1</v>
      </c>
      <c r="W558" s="55" t="n">
        <f aca="false">IF(V558,IF(01_因子設定!$B$13="最大化",T558-01_因子設定!$B$14,IF(01_因子設定!$B$13="最小化",01_因子設定!$B$15-U558,MIN(T558-01_因子設定!$B$14,01_因子設定!$B$15-U558))),-1E+030)</f>
        <v>-5.89398860311736</v>
      </c>
      <c r="X558" s="55" t="n">
        <f aca="false">IF(V558,IF(01_因子設定!$B$13="最大化",Q558,IF(01_因子設定!$B$13="最小化",-Q558,-ABS(Q558-01_因子設定!$B$16))),-1E+030)</f>
        <v>43.7327059659091</v>
      </c>
      <c r="Y558" s="55" t="n">
        <f aca="false">W558+ROW()*0.000000001</f>
        <v>-5.89398804511736</v>
      </c>
      <c r="Z558" s="55" t="n">
        <f aca="false">X558+ROW()*0.000000001</f>
        <v>43.7327065239091</v>
      </c>
    </row>
    <row r="559" customFormat="false" ht="15" hidden="false" customHeight="false" outlineLevel="0" collapsed="false">
      <c r="A559" s="0" t="n">
        <v>1</v>
      </c>
      <c r="B559" s="0" t="n">
        <v>15</v>
      </c>
      <c r="C559" s="0" t="n">
        <v>10</v>
      </c>
      <c r="D559" s="0" t="n">
        <f aca="false">-1+A559*0.125</f>
        <v>-0.875</v>
      </c>
      <c r="E559" s="0" t="n">
        <f aca="false">-1+B559*0.125</f>
        <v>0.875</v>
      </c>
      <c r="F559" s="0" t="n">
        <f aca="false">-1+C559*0.125</f>
        <v>0.25</v>
      </c>
      <c r="G559" s="0" t="n">
        <f aca="false">1</f>
        <v>1</v>
      </c>
      <c r="H559" s="0" t="n">
        <f aca="false">D559</f>
        <v>-0.875</v>
      </c>
      <c r="I559" s="0" t="n">
        <f aca="false">E559</f>
        <v>0.875</v>
      </c>
      <c r="J559" s="0" t="n">
        <f aca="false">F559</f>
        <v>0.25</v>
      </c>
      <c r="K559" s="0" t="n">
        <f aca="false">D559*E559</f>
        <v>-0.765625</v>
      </c>
      <c r="L559" s="0" t="n">
        <f aca="false">D559*F559</f>
        <v>-0.21875</v>
      </c>
      <c r="M559" s="0" t="n">
        <f aca="false">E559*F559</f>
        <v>0.21875</v>
      </c>
      <c r="N559" s="0" t="n">
        <f aca="false">D559*D559</f>
        <v>0.765625</v>
      </c>
      <c r="O559" s="0" t="n">
        <f aca="false">E559*E559</f>
        <v>0.765625</v>
      </c>
      <c r="P559" s="0" t="n">
        <f aca="false">F559*F559</f>
        <v>0.0625</v>
      </c>
      <c r="Q559" s="0" t="n">
        <f aca="false">SUMPRODUCT(G559:P559,_XtX!$B$71:$K$71)</f>
        <v>43.9156463068182</v>
      </c>
      <c r="R559" s="0" t="n">
        <f aca="false">SUMPRODUCT(MMULT(G559:P559,_XtX!$B$58:$K$67),G559:P559)</f>
        <v>0.459671852805398</v>
      </c>
      <c r="S559" s="0" t="n">
        <f aca="false">04_回帰ANOVA!$K$19*04_回帰ANOVA!$K$14*SQRT(1+R559)</f>
        <v>1.12329610455115</v>
      </c>
      <c r="T559" s="0" t="n">
        <f aca="false">Q559-S559</f>
        <v>42.792350202267</v>
      </c>
      <c r="U559" s="0" t="n">
        <f aca="false">Q559+S559</f>
        <v>45.0389424113693</v>
      </c>
      <c r="V559" s="54" t="b">
        <f aca="false">AND(D559&gt;=01_因子設定!$L$5-0.000000001,D559&lt;=01_因子設定!$M$5+0.000000001,E559&gt;=01_因子設定!$L$6-0.000000001,E559&lt;=01_因子設定!$M$6+0.000000001,F559&gt;=01_因子設定!$L$7-0.000000001,F559&lt;=01_因子設定!$M$7+0.000000001,IF(01_因子設定!$B$20="Box-Behnken",D559^2+E559^2+F559^2&lt;=2+0.000000001,TRUE()))</f>
        <v>1</v>
      </c>
      <c r="W559" s="55" t="n">
        <f aca="false">IF(V559,IF(01_因子設定!$B$13="最大化",T559-01_因子設定!$B$14,IF(01_因子設定!$B$13="最小化",01_因子設定!$B$15-U559,MIN(T559-01_因子設定!$B$14,01_因子設定!$B$15-U559))),-1E+030)</f>
        <v>-5.70764979773298</v>
      </c>
      <c r="X559" s="55" t="n">
        <f aca="false">IF(V559,IF(01_因子設定!$B$13="最大化",Q559,IF(01_因子設定!$B$13="最小化",-Q559,-ABS(Q559-01_因子設定!$B$16))),-1E+030)</f>
        <v>43.9156463068182</v>
      </c>
      <c r="Y559" s="55" t="n">
        <f aca="false">W559+ROW()*0.000000001</f>
        <v>-5.70764923873298</v>
      </c>
      <c r="Z559" s="55" t="n">
        <f aca="false">X559+ROW()*0.000000001</f>
        <v>43.9156468658182</v>
      </c>
    </row>
    <row r="560" customFormat="false" ht="15" hidden="false" customHeight="false" outlineLevel="0" collapsed="false">
      <c r="A560" s="0" t="n">
        <v>1</v>
      </c>
      <c r="B560" s="0" t="n">
        <v>15</v>
      </c>
      <c r="C560" s="0" t="n">
        <v>11</v>
      </c>
      <c r="D560" s="0" t="n">
        <f aca="false">-1+A560*0.125</f>
        <v>-0.875</v>
      </c>
      <c r="E560" s="0" t="n">
        <f aca="false">-1+B560*0.125</f>
        <v>0.875</v>
      </c>
      <c r="F560" s="0" t="n">
        <f aca="false">-1+C560*0.125</f>
        <v>0.375</v>
      </c>
      <c r="G560" s="0" t="n">
        <f aca="false">1</f>
        <v>1</v>
      </c>
      <c r="H560" s="0" t="n">
        <f aca="false">D560</f>
        <v>-0.875</v>
      </c>
      <c r="I560" s="0" t="n">
        <f aca="false">E560</f>
        <v>0.875</v>
      </c>
      <c r="J560" s="0" t="n">
        <f aca="false">F560</f>
        <v>0.375</v>
      </c>
      <c r="K560" s="0" t="n">
        <f aca="false">D560*E560</f>
        <v>-0.765625</v>
      </c>
      <c r="L560" s="0" t="n">
        <f aca="false">D560*F560</f>
        <v>-0.328125</v>
      </c>
      <c r="M560" s="0" t="n">
        <f aca="false">E560*F560</f>
        <v>0.328125</v>
      </c>
      <c r="N560" s="0" t="n">
        <f aca="false">D560*D560</f>
        <v>0.765625</v>
      </c>
      <c r="O560" s="0" t="n">
        <f aca="false">E560*E560</f>
        <v>0.765625</v>
      </c>
      <c r="P560" s="0" t="n">
        <f aca="false">F560*F560</f>
        <v>0.140625</v>
      </c>
      <c r="Q560" s="0" t="n">
        <f aca="false">SUMPRODUCT(G560:P560,_XtX!$B$71:$K$71)</f>
        <v>44.061796875</v>
      </c>
      <c r="R560" s="0" t="n">
        <f aca="false">SUMPRODUCT(MMULT(G560:P560,_XtX!$B$58:$K$67),G560:P560)</f>
        <v>0.448480224609375</v>
      </c>
      <c r="S560" s="0" t="n">
        <f aca="false">04_回帰ANOVA!$K$19*04_回帰ANOVA!$K$14*SQRT(1+R560)</f>
        <v>1.11898153812985</v>
      </c>
      <c r="T560" s="0" t="n">
        <f aca="false">Q560-S560</f>
        <v>42.9428153368702</v>
      </c>
      <c r="U560" s="0" t="n">
        <f aca="false">Q560+S560</f>
        <v>45.1807784131298</v>
      </c>
      <c r="V560" s="54" t="b">
        <f aca="false">AND(D560&gt;=01_因子設定!$L$5-0.000000001,D560&lt;=01_因子設定!$M$5+0.000000001,E560&gt;=01_因子設定!$L$6-0.000000001,E560&lt;=01_因子設定!$M$6+0.000000001,F560&gt;=01_因子設定!$L$7-0.000000001,F560&lt;=01_因子設定!$M$7+0.000000001,IF(01_因子設定!$B$20="Box-Behnken",D560^2+E560^2+F560^2&lt;=2+0.000000001,TRUE()))</f>
        <v>1</v>
      </c>
      <c r="W560" s="55" t="n">
        <f aca="false">IF(V560,IF(01_因子設定!$B$13="最大化",T560-01_因子設定!$B$14,IF(01_因子設定!$B$13="最小化",01_因子設定!$B$15-U560,MIN(T560-01_因子設定!$B$14,01_因子設定!$B$15-U560))),-1E+030)</f>
        <v>-5.55718466312985</v>
      </c>
      <c r="X560" s="55" t="n">
        <f aca="false">IF(V560,IF(01_因子設定!$B$13="最大化",Q560,IF(01_因子設定!$B$13="最小化",-Q560,-ABS(Q560-01_因子設定!$B$16))),-1E+030)</f>
        <v>44.061796875</v>
      </c>
      <c r="Y560" s="55" t="n">
        <f aca="false">W560+ROW()*0.000000001</f>
        <v>-5.55718410312985</v>
      </c>
      <c r="Z560" s="55" t="n">
        <f aca="false">X560+ROW()*0.000000001</f>
        <v>44.061797435</v>
      </c>
    </row>
    <row r="561" customFormat="false" ht="15" hidden="false" customHeight="false" outlineLevel="0" collapsed="false">
      <c r="A561" s="0" t="n">
        <v>1</v>
      </c>
      <c r="B561" s="0" t="n">
        <v>15</v>
      </c>
      <c r="C561" s="0" t="n">
        <v>12</v>
      </c>
      <c r="D561" s="0" t="n">
        <f aca="false">-1+A561*0.125</f>
        <v>-0.875</v>
      </c>
      <c r="E561" s="0" t="n">
        <f aca="false">-1+B561*0.125</f>
        <v>0.875</v>
      </c>
      <c r="F561" s="0" t="n">
        <f aca="false">-1+C561*0.125</f>
        <v>0.5</v>
      </c>
      <c r="G561" s="0" t="n">
        <f aca="false">1</f>
        <v>1</v>
      </c>
      <c r="H561" s="0" t="n">
        <f aca="false">D561</f>
        <v>-0.875</v>
      </c>
      <c r="I561" s="0" t="n">
        <f aca="false">E561</f>
        <v>0.875</v>
      </c>
      <c r="J561" s="0" t="n">
        <f aca="false">F561</f>
        <v>0.5</v>
      </c>
      <c r="K561" s="0" t="n">
        <f aca="false">D561*E561</f>
        <v>-0.765625</v>
      </c>
      <c r="L561" s="0" t="n">
        <f aca="false">D561*F561</f>
        <v>-0.4375</v>
      </c>
      <c r="M561" s="0" t="n">
        <f aca="false">E561*F561</f>
        <v>0.4375</v>
      </c>
      <c r="N561" s="0" t="n">
        <f aca="false">D561*D561</f>
        <v>0.765625</v>
      </c>
      <c r="O561" s="0" t="n">
        <f aca="false">E561*E561</f>
        <v>0.765625</v>
      </c>
      <c r="P561" s="0" t="n">
        <f aca="false">F561*F561</f>
        <v>0.25</v>
      </c>
      <c r="Q561" s="0" t="n">
        <f aca="false">SUMPRODUCT(G561:P561,_XtX!$B$71:$K$71)</f>
        <v>44.1711576704546</v>
      </c>
      <c r="R561" s="0" t="n">
        <f aca="false">SUMPRODUCT(MMULT(G561:P561,_XtX!$B$58:$K$67),G561:P561)</f>
        <v>0.44026933149858</v>
      </c>
      <c r="S561" s="0" t="n">
        <f aca="false">04_回帰ANOVA!$K$19*04_回帰ANOVA!$K$14*SQRT(1+R561)</f>
        <v>1.11580548667718</v>
      </c>
      <c r="T561" s="0" t="n">
        <f aca="false">Q561-S561</f>
        <v>43.0553521837774</v>
      </c>
      <c r="U561" s="0" t="n">
        <f aca="false">Q561+S561</f>
        <v>45.2869631571317</v>
      </c>
      <c r="V561" s="54" t="b">
        <f aca="false">AND(D561&gt;=01_因子設定!$L$5-0.000000001,D561&lt;=01_因子設定!$M$5+0.000000001,E561&gt;=01_因子設定!$L$6-0.000000001,E561&lt;=01_因子設定!$M$6+0.000000001,F561&gt;=01_因子設定!$L$7-0.000000001,F561&lt;=01_因子設定!$M$7+0.000000001,IF(01_因子設定!$B$20="Box-Behnken",D561^2+E561^2+F561^2&lt;=2+0.000000001,TRUE()))</f>
        <v>1</v>
      </c>
      <c r="W561" s="55" t="n">
        <f aca="false">IF(V561,IF(01_因子設定!$B$13="最大化",T561-01_因子設定!$B$14,IF(01_因子設定!$B$13="最小化",01_因子設定!$B$15-U561,MIN(T561-01_因子設定!$B$14,01_因子設定!$B$15-U561))),-1E+030)</f>
        <v>-5.44464781622263</v>
      </c>
      <c r="X561" s="55" t="n">
        <f aca="false">IF(V561,IF(01_因子設定!$B$13="最大化",Q561,IF(01_因子設定!$B$13="最小化",-Q561,-ABS(Q561-01_因子設定!$B$16))),-1E+030)</f>
        <v>44.1711576704546</v>
      </c>
      <c r="Y561" s="55" t="n">
        <f aca="false">W561+ROW()*0.000000001</f>
        <v>-5.44464725522263</v>
      </c>
      <c r="Z561" s="55" t="n">
        <f aca="false">X561+ROW()*0.000000001</f>
        <v>44.1711582314546</v>
      </c>
    </row>
    <row r="562" customFormat="false" ht="15" hidden="false" customHeight="false" outlineLevel="0" collapsed="false">
      <c r="A562" s="0" t="n">
        <v>1</v>
      </c>
      <c r="B562" s="0" t="n">
        <v>15</v>
      </c>
      <c r="C562" s="0" t="n">
        <v>13</v>
      </c>
      <c r="D562" s="0" t="n">
        <f aca="false">-1+A562*0.125</f>
        <v>-0.875</v>
      </c>
      <c r="E562" s="0" t="n">
        <f aca="false">-1+B562*0.125</f>
        <v>0.875</v>
      </c>
      <c r="F562" s="0" t="n">
        <f aca="false">-1+C562*0.125</f>
        <v>0.625</v>
      </c>
      <c r="G562" s="0" t="n">
        <f aca="false">1</f>
        <v>1</v>
      </c>
      <c r="H562" s="0" t="n">
        <f aca="false">D562</f>
        <v>-0.875</v>
      </c>
      <c r="I562" s="0" t="n">
        <f aca="false">E562</f>
        <v>0.875</v>
      </c>
      <c r="J562" s="0" t="n">
        <f aca="false">F562</f>
        <v>0.625</v>
      </c>
      <c r="K562" s="0" t="n">
        <f aca="false">D562*E562</f>
        <v>-0.765625</v>
      </c>
      <c r="L562" s="0" t="n">
        <f aca="false">D562*F562</f>
        <v>-0.546875</v>
      </c>
      <c r="M562" s="0" t="n">
        <f aca="false">E562*F562</f>
        <v>0.546875</v>
      </c>
      <c r="N562" s="0" t="n">
        <f aca="false">D562*D562</f>
        <v>0.765625</v>
      </c>
      <c r="O562" s="0" t="n">
        <f aca="false">E562*E562</f>
        <v>0.765625</v>
      </c>
      <c r="P562" s="0" t="n">
        <f aca="false">F562*F562</f>
        <v>0.390625</v>
      </c>
      <c r="Q562" s="0" t="n">
        <f aca="false">SUMPRODUCT(G562:P562,_XtX!$B$71:$K$71)</f>
        <v>44.2437286931818</v>
      </c>
      <c r="R562" s="0" t="n">
        <f aca="false">SUMPRODUCT(MMULT(G562:P562,_XtX!$B$58:$K$67),G562:P562)</f>
        <v>0.442496559836648</v>
      </c>
      <c r="S562" s="0" t="n">
        <f aca="false">04_回帰ANOVA!$K$19*04_回帰ANOVA!$K$14*SQRT(1+R562)</f>
        <v>1.11666789259284</v>
      </c>
      <c r="T562" s="0" t="n">
        <f aca="false">Q562-S562</f>
        <v>43.127060800589</v>
      </c>
      <c r="U562" s="0" t="n">
        <f aca="false">Q562+S562</f>
        <v>45.3603965857747</v>
      </c>
      <c r="V562" s="54" t="b">
        <f aca="false">AND(D562&gt;=01_因子設定!$L$5-0.000000001,D562&lt;=01_因子設定!$M$5+0.000000001,E562&gt;=01_因子設定!$L$6-0.000000001,E562&lt;=01_因子設定!$M$6+0.000000001,F562&gt;=01_因子設定!$L$7-0.000000001,F562&lt;=01_因子設定!$M$7+0.000000001,IF(01_因子設定!$B$20="Box-Behnken",D562^2+E562^2+F562^2&lt;=2+0.000000001,TRUE()))</f>
        <v>1</v>
      </c>
      <c r="W562" s="55" t="n">
        <f aca="false">IF(V562,IF(01_因子設定!$B$13="最大化",T562-01_因子設定!$B$14,IF(01_因子設定!$B$13="最小化",01_因子設定!$B$15-U562,MIN(T562-01_因子設定!$B$14,01_因子設定!$B$15-U562))),-1E+030)</f>
        <v>-5.37293919941102</v>
      </c>
      <c r="X562" s="55" t="n">
        <f aca="false">IF(V562,IF(01_因子設定!$B$13="最大化",Q562,IF(01_因子設定!$B$13="最小化",-Q562,-ABS(Q562-01_因子設定!$B$16))),-1E+030)</f>
        <v>44.2437286931818</v>
      </c>
      <c r="Y562" s="55" t="n">
        <f aca="false">W562+ROW()*0.000000001</f>
        <v>-5.37293863741102</v>
      </c>
      <c r="Z562" s="55" t="n">
        <f aca="false">X562+ROW()*0.000000001</f>
        <v>44.2437292551818</v>
      </c>
    </row>
    <row r="563" customFormat="false" ht="15" hidden="false" customHeight="false" outlineLevel="0" collapsed="false">
      <c r="A563" s="0" t="n">
        <v>1</v>
      </c>
      <c r="B563" s="0" t="n">
        <v>15</v>
      </c>
      <c r="C563" s="0" t="n">
        <v>14</v>
      </c>
      <c r="D563" s="0" t="n">
        <f aca="false">-1+A563*0.125</f>
        <v>-0.875</v>
      </c>
      <c r="E563" s="0" t="n">
        <f aca="false">-1+B563*0.125</f>
        <v>0.875</v>
      </c>
      <c r="F563" s="0" t="n">
        <f aca="false">-1+C563*0.125</f>
        <v>0.75</v>
      </c>
      <c r="G563" s="0" t="n">
        <f aca="false">1</f>
        <v>1</v>
      </c>
      <c r="H563" s="0" t="n">
        <f aca="false">D563</f>
        <v>-0.875</v>
      </c>
      <c r="I563" s="0" t="n">
        <f aca="false">E563</f>
        <v>0.875</v>
      </c>
      <c r="J563" s="0" t="n">
        <f aca="false">F563</f>
        <v>0.75</v>
      </c>
      <c r="K563" s="0" t="n">
        <f aca="false">D563*E563</f>
        <v>-0.765625</v>
      </c>
      <c r="L563" s="0" t="n">
        <f aca="false">D563*F563</f>
        <v>-0.65625</v>
      </c>
      <c r="M563" s="0" t="n">
        <f aca="false">E563*F563</f>
        <v>0.65625</v>
      </c>
      <c r="N563" s="0" t="n">
        <f aca="false">D563*D563</f>
        <v>0.765625</v>
      </c>
      <c r="O563" s="0" t="n">
        <f aca="false">E563*E563</f>
        <v>0.765625</v>
      </c>
      <c r="P563" s="0" t="n">
        <f aca="false">F563*F563</f>
        <v>0.5625</v>
      </c>
      <c r="Q563" s="0" t="n">
        <f aca="false">SUMPRODUCT(G563:P563,_XtX!$B$71:$K$71)</f>
        <v>44.2795099431818</v>
      </c>
      <c r="R563" s="0" t="n">
        <f aca="false">SUMPRODUCT(MMULT(G563:P563,_XtX!$B$58:$K$67),G563:P563)</f>
        <v>0.464749977805398</v>
      </c>
      <c r="S563" s="0" t="n">
        <f aca="false">04_回帰ANOVA!$K$19*04_回帰ANOVA!$K$14*SQRT(1+R563)</f>
        <v>1.12524835342194</v>
      </c>
      <c r="T563" s="0" t="n">
        <f aca="false">Q563-S563</f>
        <v>43.1542615897599</v>
      </c>
      <c r="U563" s="0" t="n">
        <f aca="false">Q563+S563</f>
        <v>45.4047582966038</v>
      </c>
      <c r="V563" s="54" t="b">
        <f aca="false">AND(D563&gt;=01_因子設定!$L$5-0.000000001,D563&lt;=01_因子設定!$M$5+0.000000001,E563&gt;=01_因子設定!$L$6-0.000000001,E563&lt;=01_因子設定!$M$6+0.000000001,F563&gt;=01_因子設定!$L$7-0.000000001,F563&lt;=01_因子設定!$M$7+0.000000001,IF(01_因子設定!$B$20="Box-Behnken",D563^2+E563^2+F563^2&lt;=2+0.000000001,TRUE()))</f>
        <v>1</v>
      </c>
      <c r="W563" s="55" t="n">
        <f aca="false">IF(V563,IF(01_因子設定!$B$13="最大化",T563-01_因子設定!$B$14,IF(01_因子設定!$B$13="最小化",01_因子設定!$B$15-U563,MIN(T563-01_因子設定!$B$14,01_因子設定!$B$15-U563))),-1E+030)</f>
        <v>-5.34573841024012</v>
      </c>
      <c r="X563" s="55" t="n">
        <f aca="false">IF(V563,IF(01_因子設定!$B$13="最大化",Q563,IF(01_因子設定!$B$13="最小化",-Q563,-ABS(Q563-01_因子設定!$B$16))),-1E+030)</f>
        <v>44.2795099431818</v>
      </c>
      <c r="Y563" s="55" t="n">
        <f aca="false">W563+ROW()*0.000000001</f>
        <v>-5.34573784724012</v>
      </c>
      <c r="Z563" s="55" t="n">
        <f aca="false">X563+ROW()*0.000000001</f>
        <v>44.2795105061818</v>
      </c>
    </row>
    <row r="564" customFormat="false" ht="15" hidden="false" customHeight="false" outlineLevel="0" collapsed="false">
      <c r="A564" s="0" t="n">
        <v>1</v>
      </c>
      <c r="B564" s="0" t="n">
        <v>15</v>
      </c>
      <c r="C564" s="0" t="n">
        <v>15</v>
      </c>
      <c r="D564" s="0" t="n">
        <f aca="false">-1+A564*0.125</f>
        <v>-0.875</v>
      </c>
      <c r="E564" s="0" t="n">
        <f aca="false">-1+B564*0.125</f>
        <v>0.875</v>
      </c>
      <c r="F564" s="0" t="n">
        <f aca="false">-1+C564*0.125</f>
        <v>0.875</v>
      </c>
      <c r="G564" s="0" t="n">
        <f aca="false">1</f>
        <v>1</v>
      </c>
      <c r="H564" s="0" t="n">
        <f aca="false">D564</f>
        <v>-0.875</v>
      </c>
      <c r="I564" s="0" t="n">
        <f aca="false">E564</f>
        <v>0.875</v>
      </c>
      <c r="J564" s="0" t="n">
        <f aca="false">F564</f>
        <v>0.875</v>
      </c>
      <c r="K564" s="0" t="n">
        <f aca="false">D564*E564</f>
        <v>-0.765625</v>
      </c>
      <c r="L564" s="0" t="n">
        <f aca="false">D564*F564</f>
        <v>-0.765625</v>
      </c>
      <c r="M564" s="0" t="n">
        <f aca="false">E564*F564</f>
        <v>0.765625</v>
      </c>
      <c r="N564" s="0" t="n">
        <f aca="false">D564*D564</f>
        <v>0.765625</v>
      </c>
      <c r="O564" s="0" t="n">
        <f aca="false">E564*E564</f>
        <v>0.765625</v>
      </c>
      <c r="P564" s="0" t="n">
        <f aca="false">F564*F564</f>
        <v>0.765625</v>
      </c>
      <c r="Q564" s="0" t="n">
        <f aca="false">SUMPRODUCT(G564:P564,_XtX!$B$71:$K$71)</f>
        <v>44.2785014204546</v>
      </c>
      <c r="R564" s="0" t="n">
        <f aca="false">SUMPRODUCT(MMULT(G564:P564,_XtX!$B$58:$K$67),G564:P564)</f>
        <v>0.51874833540483</v>
      </c>
      <c r="S564" s="0" t="n">
        <f aca="false">04_回帰ANOVA!$K$19*04_回帰ANOVA!$K$14*SQRT(1+R564)</f>
        <v>1.14580191439368</v>
      </c>
      <c r="T564" s="0" t="n">
        <f aca="false">Q564-S564</f>
        <v>43.1326995060609</v>
      </c>
      <c r="U564" s="0" t="n">
        <f aca="false">Q564+S564</f>
        <v>45.4243033348482</v>
      </c>
      <c r="V564" s="54" t="b">
        <f aca="false">AND(D564&gt;=01_因子設定!$L$5-0.000000001,D564&lt;=01_因子設定!$M$5+0.000000001,E564&gt;=01_因子設定!$L$6-0.000000001,E564&lt;=01_因子設定!$M$6+0.000000001,F564&gt;=01_因子設定!$L$7-0.000000001,F564&lt;=01_因子設定!$M$7+0.000000001,IF(01_因子設定!$B$20="Box-Behnken",D564^2+E564^2+F564^2&lt;=2+0.000000001,TRUE()))</f>
        <v>1</v>
      </c>
      <c r="W564" s="55" t="n">
        <f aca="false">IF(V564,IF(01_因子設定!$B$13="最大化",T564-01_因子設定!$B$14,IF(01_因子設定!$B$13="最小化",01_因子設定!$B$15-U564,MIN(T564-01_因子設定!$B$14,01_因子設定!$B$15-U564))),-1E+030)</f>
        <v>-5.36730049393913</v>
      </c>
      <c r="X564" s="55" t="n">
        <f aca="false">IF(V564,IF(01_因子設定!$B$13="最大化",Q564,IF(01_因子設定!$B$13="最小化",-Q564,-ABS(Q564-01_因子設定!$B$16))),-1E+030)</f>
        <v>44.2785014204546</v>
      </c>
      <c r="Y564" s="55" t="n">
        <f aca="false">W564+ROW()*0.000000001</f>
        <v>-5.36729992993913</v>
      </c>
      <c r="Z564" s="55" t="n">
        <f aca="false">X564+ROW()*0.000000001</f>
        <v>44.2785019844546</v>
      </c>
    </row>
    <row r="565" customFormat="false" ht="15" hidden="false" customHeight="false" outlineLevel="0" collapsed="false">
      <c r="A565" s="0" t="n">
        <v>1</v>
      </c>
      <c r="B565" s="0" t="n">
        <v>15</v>
      </c>
      <c r="C565" s="0" t="n">
        <v>16</v>
      </c>
      <c r="D565" s="0" t="n">
        <f aca="false">-1+A565*0.125</f>
        <v>-0.875</v>
      </c>
      <c r="E565" s="0" t="n">
        <f aca="false">-1+B565*0.125</f>
        <v>0.875</v>
      </c>
      <c r="F565" s="0" t="n">
        <f aca="false">-1+C565*0.125</f>
        <v>1</v>
      </c>
      <c r="G565" s="0" t="n">
        <f aca="false">1</f>
        <v>1</v>
      </c>
      <c r="H565" s="0" t="n">
        <f aca="false">D565</f>
        <v>-0.875</v>
      </c>
      <c r="I565" s="0" t="n">
        <f aca="false">E565</f>
        <v>0.875</v>
      </c>
      <c r="J565" s="0" t="n">
        <f aca="false">F565</f>
        <v>1</v>
      </c>
      <c r="K565" s="0" t="n">
        <f aca="false">D565*E565</f>
        <v>-0.765625</v>
      </c>
      <c r="L565" s="0" t="n">
        <f aca="false">D565*F565</f>
        <v>-0.875</v>
      </c>
      <c r="M565" s="0" t="n">
        <f aca="false">E565*F565</f>
        <v>0.875</v>
      </c>
      <c r="N565" s="0" t="n">
        <f aca="false">D565*D565</f>
        <v>0.765625</v>
      </c>
      <c r="O565" s="0" t="n">
        <f aca="false">E565*E565</f>
        <v>0.765625</v>
      </c>
      <c r="P565" s="0" t="n">
        <f aca="false">F565*F565</f>
        <v>1</v>
      </c>
      <c r="Q565" s="0" t="n">
        <f aca="false">SUMPRODUCT(G565:P565,_XtX!$B$71:$K$71)</f>
        <v>44.240703125</v>
      </c>
      <c r="R565" s="0" t="n">
        <f aca="false">SUMPRODUCT(MMULT(G565:P565,_XtX!$B$58:$K$67),G565:P565)</f>
        <v>0.618341064453125</v>
      </c>
      <c r="S565" s="0" t="n">
        <f aca="false">04_回帰ANOVA!$K$19*04_回帰ANOVA!$K$14*SQRT(1+R565)</f>
        <v>1.18277371124466</v>
      </c>
      <c r="T565" s="0" t="n">
        <f aca="false">Q565-S565</f>
        <v>43.0579294137554</v>
      </c>
      <c r="U565" s="0" t="n">
        <f aca="false">Q565+S565</f>
        <v>45.4234768362447</v>
      </c>
      <c r="V565" s="54" t="b">
        <f aca="false">AND(D565&gt;=01_因子設定!$L$5-0.000000001,D565&lt;=01_因子設定!$M$5+0.000000001,E565&gt;=01_因子設定!$L$6-0.000000001,E565&lt;=01_因子設定!$M$6+0.000000001,F565&gt;=01_因子設定!$L$7-0.000000001,F565&lt;=01_因子設定!$M$7+0.000000001,IF(01_因子設定!$B$20="Box-Behnken",D565^2+E565^2+F565^2&lt;=2+0.000000001,TRUE()))</f>
        <v>1</v>
      </c>
      <c r="W565" s="55" t="n">
        <f aca="false">IF(V565,IF(01_因子設定!$B$13="最大化",T565-01_因子設定!$B$14,IF(01_因子設定!$B$13="最小化",01_因子設定!$B$15-U565,MIN(T565-01_因子設定!$B$14,01_因子設定!$B$15-U565))),-1E+030)</f>
        <v>-5.44207058624465</v>
      </c>
      <c r="X565" s="55" t="n">
        <f aca="false">IF(V565,IF(01_因子設定!$B$13="最大化",Q565,IF(01_因子設定!$B$13="最小化",-Q565,-ABS(Q565-01_因子設定!$B$16))),-1E+030)</f>
        <v>44.240703125</v>
      </c>
      <c r="Y565" s="55" t="n">
        <f aca="false">W565+ROW()*0.000000001</f>
        <v>-5.44207002124465</v>
      </c>
      <c r="Z565" s="55" t="n">
        <f aca="false">X565+ROW()*0.000000001</f>
        <v>44.24070369</v>
      </c>
    </row>
    <row r="566" customFormat="false" ht="15" hidden="false" customHeight="false" outlineLevel="0" collapsed="false">
      <c r="A566" s="0" t="n">
        <v>1</v>
      </c>
      <c r="B566" s="0" t="n">
        <v>16</v>
      </c>
      <c r="C566" s="0" t="n">
        <v>0</v>
      </c>
      <c r="D566" s="0" t="n">
        <f aca="false">-1+A566*0.125</f>
        <v>-0.875</v>
      </c>
      <c r="E566" s="0" t="n">
        <f aca="false">-1+B566*0.125</f>
        <v>1</v>
      </c>
      <c r="F566" s="0" t="n">
        <f aca="false">-1+C566*0.125</f>
        <v>-1</v>
      </c>
      <c r="G566" s="0" t="n">
        <f aca="false">1</f>
        <v>1</v>
      </c>
      <c r="H566" s="0" t="n">
        <f aca="false">D566</f>
        <v>-0.875</v>
      </c>
      <c r="I566" s="0" t="n">
        <f aca="false">E566</f>
        <v>1</v>
      </c>
      <c r="J566" s="0" t="n">
        <f aca="false">F566</f>
        <v>-1</v>
      </c>
      <c r="K566" s="0" t="n">
        <f aca="false">D566*E566</f>
        <v>-0.875</v>
      </c>
      <c r="L566" s="0" t="n">
        <f aca="false">D566*F566</f>
        <v>0.875</v>
      </c>
      <c r="M566" s="0" t="n">
        <f aca="false">E566*F566</f>
        <v>-1</v>
      </c>
      <c r="N566" s="0" t="n">
        <f aca="false">D566*D566</f>
        <v>0.765625</v>
      </c>
      <c r="O566" s="0" t="n">
        <f aca="false">E566*E566</f>
        <v>1</v>
      </c>
      <c r="P566" s="0" t="n">
        <f aca="false">F566*F566</f>
        <v>1</v>
      </c>
      <c r="Q566" s="0" t="n">
        <f aca="false">SUMPRODUCT(G566:P566,_XtX!$B$71:$K$71)</f>
        <v>40.0240767045455</v>
      </c>
      <c r="R566" s="0" t="n">
        <f aca="false">SUMPRODUCT(MMULT(G566:P566,_XtX!$B$58:$K$67),G566:P566)</f>
        <v>0.709818892045455</v>
      </c>
      <c r="S566" s="0" t="n">
        <f aca="false">04_回帰ANOVA!$K$19*04_回帰ANOVA!$K$14*SQRT(1+R566)</f>
        <v>1.21574275944458</v>
      </c>
      <c r="T566" s="0" t="n">
        <f aca="false">Q566-S566</f>
        <v>38.8083339451009</v>
      </c>
      <c r="U566" s="0" t="n">
        <f aca="false">Q566+S566</f>
        <v>41.2398194639901</v>
      </c>
      <c r="V566" s="54" t="b">
        <f aca="false">AND(D566&gt;=01_因子設定!$L$5-0.000000001,D566&lt;=01_因子設定!$M$5+0.000000001,E566&gt;=01_因子設定!$L$6-0.000000001,E566&lt;=01_因子設定!$M$6+0.000000001,F566&gt;=01_因子設定!$L$7-0.000000001,F566&lt;=01_因子設定!$M$7+0.000000001,IF(01_因子設定!$B$20="Box-Behnken",D566^2+E566^2+F566^2&lt;=2+0.000000001,TRUE()))</f>
        <v>1</v>
      </c>
      <c r="W566" s="55" t="n">
        <f aca="false">IF(V566,IF(01_因子設定!$B$13="最大化",T566-01_因子設定!$B$14,IF(01_因子設定!$B$13="最小化",01_因子設定!$B$15-U566,MIN(T566-01_因子設定!$B$14,01_因子設定!$B$15-U566))),-1E+030)</f>
        <v>-9.69166605489911</v>
      </c>
      <c r="X566" s="55" t="n">
        <f aca="false">IF(V566,IF(01_因子設定!$B$13="最大化",Q566,IF(01_因子設定!$B$13="最小化",-Q566,-ABS(Q566-01_因子設定!$B$16))),-1E+030)</f>
        <v>40.0240767045455</v>
      </c>
      <c r="Y566" s="55" t="n">
        <f aca="false">W566+ROW()*0.000000001</f>
        <v>-9.69166548889911</v>
      </c>
      <c r="Z566" s="55" t="n">
        <f aca="false">X566+ROW()*0.000000001</f>
        <v>40.0240772705455</v>
      </c>
    </row>
    <row r="567" customFormat="false" ht="15" hidden="false" customHeight="false" outlineLevel="0" collapsed="false">
      <c r="A567" s="0" t="n">
        <v>1</v>
      </c>
      <c r="B567" s="0" t="n">
        <v>16</v>
      </c>
      <c r="C567" s="0" t="n">
        <v>1</v>
      </c>
      <c r="D567" s="0" t="n">
        <f aca="false">-1+A567*0.125</f>
        <v>-0.875</v>
      </c>
      <c r="E567" s="0" t="n">
        <f aca="false">-1+B567*0.125</f>
        <v>1</v>
      </c>
      <c r="F567" s="0" t="n">
        <f aca="false">-1+C567*0.125</f>
        <v>-0.875</v>
      </c>
      <c r="G567" s="0" t="n">
        <f aca="false">1</f>
        <v>1</v>
      </c>
      <c r="H567" s="0" t="n">
        <f aca="false">D567</f>
        <v>-0.875</v>
      </c>
      <c r="I567" s="0" t="n">
        <f aca="false">E567</f>
        <v>1</v>
      </c>
      <c r="J567" s="0" t="n">
        <f aca="false">F567</f>
        <v>-0.875</v>
      </c>
      <c r="K567" s="0" t="n">
        <f aca="false">D567*E567</f>
        <v>-0.875</v>
      </c>
      <c r="L567" s="0" t="n">
        <f aca="false">D567*F567</f>
        <v>0.765625</v>
      </c>
      <c r="M567" s="0" t="n">
        <f aca="false">E567*F567</f>
        <v>-0.875</v>
      </c>
      <c r="N567" s="0" t="n">
        <f aca="false">D567*D567</f>
        <v>0.765625</v>
      </c>
      <c r="O567" s="0" t="n">
        <f aca="false">E567*E567</f>
        <v>1</v>
      </c>
      <c r="P567" s="0" t="n">
        <f aca="false">F567*F567</f>
        <v>0.765625</v>
      </c>
      <c r="Q567" s="0" t="n">
        <f aca="false">SUMPRODUCT(G567:P567,_XtX!$B$71:$K$71)</f>
        <v>40.54515625</v>
      </c>
      <c r="R567" s="0" t="n">
        <f aca="false">SUMPRODUCT(MMULT(G567:P567,_XtX!$B$58:$K$67),G567:P567)</f>
        <v>0.618341064453125</v>
      </c>
      <c r="S567" s="0" t="n">
        <f aca="false">04_回帰ANOVA!$K$19*04_回帰ANOVA!$K$14*SQRT(1+R567)</f>
        <v>1.18277371124466</v>
      </c>
      <c r="T567" s="0" t="n">
        <f aca="false">Q567-S567</f>
        <v>39.3623825387554</v>
      </c>
      <c r="U567" s="0" t="n">
        <f aca="false">Q567+S567</f>
        <v>41.7279299612447</v>
      </c>
      <c r="V567" s="54" t="b">
        <f aca="false">AND(D567&gt;=01_因子設定!$L$5-0.000000001,D567&lt;=01_因子設定!$M$5+0.000000001,E567&gt;=01_因子設定!$L$6-0.000000001,E567&lt;=01_因子設定!$M$6+0.000000001,F567&gt;=01_因子設定!$L$7-0.000000001,F567&lt;=01_因子設定!$M$7+0.000000001,IF(01_因子設定!$B$20="Box-Behnken",D567^2+E567^2+F567^2&lt;=2+0.000000001,TRUE()))</f>
        <v>1</v>
      </c>
      <c r="W567" s="55" t="n">
        <f aca="false">IF(V567,IF(01_因子設定!$B$13="最大化",T567-01_因子設定!$B$14,IF(01_因子設定!$B$13="最小化",01_因子設定!$B$15-U567,MIN(T567-01_因子設定!$B$14,01_因子設定!$B$15-U567))),-1E+030)</f>
        <v>-9.13761746124465</v>
      </c>
      <c r="X567" s="55" t="n">
        <f aca="false">IF(V567,IF(01_因子設定!$B$13="最大化",Q567,IF(01_因子設定!$B$13="最小化",-Q567,-ABS(Q567-01_因子設定!$B$16))),-1E+030)</f>
        <v>40.54515625</v>
      </c>
      <c r="Y567" s="55" t="n">
        <f aca="false">W567+ROW()*0.000000001</f>
        <v>-9.13761689424465</v>
      </c>
      <c r="Z567" s="55" t="n">
        <f aca="false">X567+ROW()*0.000000001</f>
        <v>40.545156817</v>
      </c>
    </row>
    <row r="568" customFormat="false" ht="15" hidden="false" customHeight="false" outlineLevel="0" collapsed="false">
      <c r="A568" s="0" t="n">
        <v>1</v>
      </c>
      <c r="B568" s="0" t="n">
        <v>16</v>
      </c>
      <c r="C568" s="0" t="n">
        <v>2</v>
      </c>
      <c r="D568" s="0" t="n">
        <f aca="false">-1+A568*0.125</f>
        <v>-0.875</v>
      </c>
      <c r="E568" s="0" t="n">
        <f aca="false">-1+B568*0.125</f>
        <v>1</v>
      </c>
      <c r="F568" s="0" t="n">
        <f aca="false">-1+C568*0.125</f>
        <v>-0.75</v>
      </c>
      <c r="G568" s="0" t="n">
        <f aca="false">1</f>
        <v>1</v>
      </c>
      <c r="H568" s="0" t="n">
        <f aca="false">D568</f>
        <v>-0.875</v>
      </c>
      <c r="I568" s="0" t="n">
        <f aca="false">E568</f>
        <v>1</v>
      </c>
      <c r="J568" s="0" t="n">
        <f aca="false">F568</f>
        <v>-0.75</v>
      </c>
      <c r="K568" s="0" t="n">
        <f aca="false">D568*E568</f>
        <v>-0.875</v>
      </c>
      <c r="L568" s="0" t="n">
        <f aca="false">D568*F568</f>
        <v>0.65625</v>
      </c>
      <c r="M568" s="0" t="n">
        <f aca="false">E568*F568</f>
        <v>-0.75</v>
      </c>
      <c r="N568" s="0" t="n">
        <f aca="false">D568*D568</f>
        <v>0.765625</v>
      </c>
      <c r="O568" s="0" t="n">
        <f aca="false">E568*E568</f>
        <v>1</v>
      </c>
      <c r="P568" s="0" t="n">
        <f aca="false">F568*F568</f>
        <v>0.5625</v>
      </c>
      <c r="Q568" s="0" t="n">
        <f aca="false">SUMPRODUCT(G568:P568,_XtX!$B$71:$K$71)</f>
        <v>41.0294460227273</v>
      </c>
      <c r="R568" s="0" t="n">
        <f aca="false">SUMPRODUCT(MMULT(G568:P568,_XtX!$B$58:$K$67),G568:P568)</f>
        <v>0.571375621448864</v>
      </c>
      <c r="S568" s="0" t="n">
        <f aca="false">04_回帰ANOVA!$K$19*04_回帰ANOVA!$K$14*SQRT(1+R568)</f>
        <v>1.16548487437682</v>
      </c>
      <c r="T568" s="0" t="n">
        <f aca="false">Q568-S568</f>
        <v>39.8639611483505</v>
      </c>
      <c r="U568" s="0" t="n">
        <f aca="false">Q568+S568</f>
        <v>42.1949308971041</v>
      </c>
      <c r="V568" s="54" t="b">
        <f aca="false">AND(D568&gt;=01_因子設定!$L$5-0.000000001,D568&lt;=01_因子設定!$M$5+0.000000001,E568&gt;=01_因子設定!$L$6-0.000000001,E568&lt;=01_因子設定!$M$6+0.000000001,F568&gt;=01_因子設定!$L$7-0.000000001,F568&lt;=01_因子設定!$M$7+0.000000001,IF(01_因子設定!$B$20="Box-Behnken",D568^2+E568^2+F568^2&lt;=2+0.000000001,TRUE()))</f>
        <v>1</v>
      </c>
      <c r="W568" s="55" t="n">
        <f aca="false">IF(V568,IF(01_因子設定!$B$13="最大化",T568-01_因子設定!$B$14,IF(01_因子設定!$B$13="最小化",01_因子設定!$B$15-U568,MIN(T568-01_因子設定!$B$14,01_因子設定!$B$15-U568))),-1E+030)</f>
        <v>-8.63603885164954</v>
      </c>
      <c r="X568" s="55" t="n">
        <f aca="false">IF(V568,IF(01_因子設定!$B$13="最大化",Q568,IF(01_因子設定!$B$13="最小化",-Q568,-ABS(Q568-01_因子設定!$B$16))),-1E+030)</f>
        <v>41.0294460227273</v>
      </c>
      <c r="Y568" s="55" t="n">
        <f aca="false">W568+ROW()*0.000000001</f>
        <v>-8.63603828364954</v>
      </c>
      <c r="Z568" s="55" t="n">
        <f aca="false">X568+ROW()*0.000000001</f>
        <v>41.0294465907273</v>
      </c>
    </row>
    <row r="569" customFormat="false" ht="15" hidden="false" customHeight="false" outlineLevel="0" collapsed="false">
      <c r="A569" s="0" t="n">
        <v>1</v>
      </c>
      <c r="B569" s="0" t="n">
        <v>16</v>
      </c>
      <c r="C569" s="0" t="n">
        <v>3</v>
      </c>
      <c r="D569" s="0" t="n">
        <f aca="false">-1+A569*0.125</f>
        <v>-0.875</v>
      </c>
      <c r="E569" s="0" t="n">
        <f aca="false">-1+B569*0.125</f>
        <v>1</v>
      </c>
      <c r="F569" s="0" t="n">
        <f aca="false">-1+C569*0.125</f>
        <v>-0.625</v>
      </c>
      <c r="G569" s="0" t="n">
        <f aca="false">1</f>
        <v>1</v>
      </c>
      <c r="H569" s="0" t="n">
        <f aca="false">D569</f>
        <v>-0.875</v>
      </c>
      <c r="I569" s="0" t="n">
        <f aca="false">E569</f>
        <v>1</v>
      </c>
      <c r="J569" s="0" t="n">
        <f aca="false">F569</f>
        <v>-0.625</v>
      </c>
      <c r="K569" s="0" t="n">
        <f aca="false">D569*E569</f>
        <v>-0.875</v>
      </c>
      <c r="L569" s="0" t="n">
        <f aca="false">D569*F569</f>
        <v>0.546875</v>
      </c>
      <c r="M569" s="0" t="n">
        <f aca="false">E569*F569</f>
        <v>-0.625</v>
      </c>
      <c r="N569" s="0" t="n">
        <f aca="false">D569*D569</f>
        <v>0.765625</v>
      </c>
      <c r="O569" s="0" t="n">
        <f aca="false">E569*E569</f>
        <v>1</v>
      </c>
      <c r="P569" s="0" t="n">
        <f aca="false">F569*F569</f>
        <v>0.390625</v>
      </c>
      <c r="Q569" s="0" t="n">
        <f aca="false">SUMPRODUCT(G569:P569,_XtX!$B$71:$K$71)</f>
        <v>41.4769460227273</v>
      </c>
      <c r="R569" s="0" t="n">
        <f aca="false">SUMPRODUCT(MMULT(G569:P569,_XtX!$B$58:$K$67),G569:P569)</f>
        <v>0.555073131214489</v>
      </c>
      <c r="S569" s="0" t="n">
        <f aca="false">04_回帰ANOVA!$K$19*04_回帰ANOVA!$K$14*SQRT(1+R569)</f>
        <v>1.15942335628341</v>
      </c>
      <c r="T569" s="0" t="n">
        <f aca="false">Q569-S569</f>
        <v>40.3175226664439</v>
      </c>
      <c r="U569" s="0" t="n">
        <f aca="false">Q569+S569</f>
        <v>42.6363693790107</v>
      </c>
      <c r="V569" s="54" t="b">
        <f aca="false">AND(D569&gt;=01_因子設定!$L$5-0.000000001,D569&lt;=01_因子設定!$M$5+0.000000001,E569&gt;=01_因子設定!$L$6-0.000000001,E569&lt;=01_因子設定!$M$6+0.000000001,F569&gt;=01_因子設定!$L$7-0.000000001,F569&lt;=01_因子設定!$M$7+0.000000001,IF(01_因子設定!$B$20="Box-Behnken",D569^2+E569^2+F569^2&lt;=2+0.000000001,TRUE()))</f>
        <v>1</v>
      </c>
      <c r="W569" s="55" t="n">
        <f aca="false">IF(V569,IF(01_因子設定!$B$13="最大化",T569-01_因子設定!$B$14,IF(01_因子設定!$B$13="最小化",01_因子設定!$B$15-U569,MIN(T569-01_因子設定!$B$14,01_因子設定!$B$15-U569))),-1E+030)</f>
        <v>-8.18247733355613</v>
      </c>
      <c r="X569" s="55" t="n">
        <f aca="false">IF(V569,IF(01_因子設定!$B$13="最大化",Q569,IF(01_因子設定!$B$13="最小化",-Q569,-ABS(Q569-01_因子設定!$B$16))),-1E+030)</f>
        <v>41.4769460227273</v>
      </c>
      <c r="Y569" s="55" t="n">
        <f aca="false">W569+ROW()*0.000000001</f>
        <v>-8.18247676455613</v>
      </c>
      <c r="Z569" s="55" t="n">
        <f aca="false">X569+ROW()*0.000000001</f>
        <v>41.4769465917273</v>
      </c>
    </row>
    <row r="570" customFormat="false" ht="15" hidden="false" customHeight="false" outlineLevel="0" collapsed="false">
      <c r="A570" s="0" t="n">
        <v>1</v>
      </c>
      <c r="B570" s="0" t="n">
        <v>16</v>
      </c>
      <c r="C570" s="0" t="n">
        <v>4</v>
      </c>
      <c r="D570" s="0" t="n">
        <f aca="false">-1+A570*0.125</f>
        <v>-0.875</v>
      </c>
      <c r="E570" s="0" t="n">
        <f aca="false">-1+B570*0.125</f>
        <v>1</v>
      </c>
      <c r="F570" s="0" t="n">
        <f aca="false">-1+C570*0.125</f>
        <v>-0.5</v>
      </c>
      <c r="G570" s="0" t="n">
        <f aca="false">1</f>
        <v>1</v>
      </c>
      <c r="H570" s="0" t="n">
        <f aca="false">D570</f>
        <v>-0.875</v>
      </c>
      <c r="I570" s="0" t="n">
        <f aca="false">E570</f>
        <v>1</v>
      </c>
      <c r="J570" s="0" t="n">
        <f aca="false">F570</f>
        <v>-0.5</v>
      </c>
      <c r="K570" s="0" t="n">
        <f aca="false">D570*E570</f>
        <v>-0.875</v>
      </c>
      <c r="L570" s="0" t="n">
        <f aca="false">D570*F570</f>
        <v>0.4375</v>
      </c>
      <c r="M570" s="0" t="n">
        <f aca="false">E570*F570</f>
        <v>-0.5</v>
      </c>
      <c r="N570" s="0" t="n">
        <f aca="false">D570*D570</f>
        <v>0.765625</v>
      </c>
      <c r="O570" s="0" t="n">
        <f aca="false">E570*E570</f>
        <v>1</v>
      </c>
      <c r="P570" s="0" t="n">
        <f aca="false">F570*F570</f>
        <v>0.25</v>
      </c>
      <c r="Q570" s="0" t="n">
        <f aca="false">SUMPRODUCT(G570:P570,_XtX!$B$71:$K$71)</f>
        <v>41.88765625</v>
      </c>
      <c r="R570" s="0" t="n">
        <f aca="false">SUMPRODUCT(MMULT(G570:P570,_XtX!$B$58:$K$67),G570:P570)</f>
        <v>0.55771484375</v>
      </c>
      <c r="S570" s="0" t="n">
        <f aca="false">04_回帰ANOVA!$K$19*04_回帰ANOVA!$K$14*SQRT(1+R570)</f>
        <v>1.16040773556467</v>
      </c>
      <c r="T570" s="0" t="n">
        <f aca="false">Q570-S570</f>
        <v>40.7272485144353</v>
      </c>
      <c r="U570" s="0" t="n">
        <f aca="false">Q570+S570</f>
        <v>43.0480639855647</v>
      </c>
      <c r="V570" s="54" t="b">
        <f aca="false">AND(D570&gt;=01_因子設定!$L$5-0.000000001,D570&lt;=01_因子設定!$M$5+0.000000001,E570&gt;=01_因子設定!$L$6-0.000000001,E570&lt;=01_因子設定!$M$6+0.000000001,F570&gt;=01_因子設定!$L$7-0.000000001,F570&lt;=01_因子設定!$M$7+0.000000001,IF(01_因子設定!$B$20="Box-Behnken",D570^2+E570^2+F570^2&lt;=2+0.000000001,TRUE()))</f>
        <v>1</v>
      </c>
      <c r="W570" s="55" t="n">
        <f aca="false">IF(V570,IF(01_因子設定!$B$13="最大化",T570-01_因子設定!$B$14,IF(01_因子設定!$B$13="最小化",01_因子設定!$B$15-U570,MIN(T570-01_因子設定!$B$14,01_因子設定!$B$15-U570))),-1E+030)</f>
        <v>-7.77275148556468</v>
      </c>
      <c r="X570" s="55" t="n">
        <f aca="false">IF(V570,IF(01_因子設定!$B$13="最大化",Q570,IF(01_因子設定!$B$13="最小化",-Q570,-ABS(Q570-01_因子設定!$B$16))),-1E+030)</f>
        <v>41.88765625</v>
      </c>
      <c r="Y570" s="55" t="n">
        <f aca="false">W570+ROW()*0.000000001</f>
        <v>-7.77275091556468</v>
      </c>
      <c r="Z570" s="55" t="n">
        <f aca="false">X570+ROW()*0.000000001</f>
        <v>41.88765682</v>
      </c>
    </row>
    <row r="571" customFormat="false" ht="15" hidden="false" customHeight="false" outlineLevel="0" collapsed="false">
      <c r="A571" s="0" t="n">
        <v>1</v>
      </c>
      <c r="B571" s="0" t="n">
        <v>16</v>
      </c>
      <c r="C571" s="0" t="n">
        <v>5</v>
      </c>
      <c r="D571" s="0" t="n">
        <f aca="false">-1+A571*0.125</f>
        <v>-0.875</v>
      </c>
      <c r="E571" s="0" t="n">
        <f aca="false">-1+B571*0.125</f>
        <v>1</v>
      </c>
      <c r="F571" s="0" t="n">
        <f aca="false">-1+C571*0.125</f>
        <v>-0.375</v>
      </c>
      <c r="G571" s="0" t="n">
        <f aca="false">1</f>
        <v>1</v>
      </c>
      <c r="H571" s="0" t="n">
        <f aca="false">D571</f>
        <v>-0.875</v>
      </c>
      <c r="I571" s="0" t="n">
        <f aca="false">E571</f>
        <v>1</v>
      </c>
      <c r="J571" s="0" t="n">
        <f aca="false">F571</f>
        <v>-0.375</v>
      </c>
      <c r="K571" s="0" t="n">
        <f aca="false">D571*E571</f>
        <v>-0.875</v>
      </c>
      <c r="L571" s="0" t="n">
        <f aca="false">D571*F571</f>
        <v>0.328125</v>
      </c>
      <c r="M571" s="0" t="n">
        <f aca="false">E571*F571</f>
        <v>-0.375</v>
      </c>
      <c r="N571" s="0" t="n">
        <f aca="false">D571*D571</f>
        <v>0.765625</v>
      </c>
      <c r="O571" s="0" t="n">
        <f aca="false">E571*E571</f>
        <v>1</v>
      </c>
      <c r="P571" s="0" t="n">
        <f aca="false">F571*F571</f>
        <v>0.140625</v>
      </c>
      <c r="Q571" s="0" t="n">
        <f aca="false">SUMPRODUCT(G571:P571,_XtX!$B$71:$K$71)</f>
        <v>42.2615767045455</v>
      </c>
      <c r="R571" s="0" t="n">
        <f aca="false">SUMPRODUCT(MMULT(G571:P571,_XtX!$B$58:$K$67),G571:P571)</f>
        <v>0.56971269087358</v>
      </c>
      <c r="S571" s="0" t="n">
        <f aca="false">04_回帰ANOVA!$K$19*04_回帰ANOVA!$K$14*SQRT(1+R571)</f>
        <v>1.16486801567081</v>
      </c>
      <c r="T571" s="0" t="n">
        <f aca="false">Q571-S571</f>
        <v>41.0967086888747</v>
      </c>
      <c r="U571" s="0" t="n">
        <f aca="false">Q571+S571</f>
        <v>43.4264447202163</v>
      </c>
      <c r="V571" s="54" t="b">
        <f aca="false">AND(D571&gt;=01_因子設定!$L$5-0.000000001,D571&lt;=01_因子設定!$M$5+0.000000001,E571&gt;=01_因子設定!$L$6-0.000000001,E571&lt;=01_因子設定!$M$6+0.000000001,F571&gt;=01_因子設定!$L$7-0.000000001,F571&lt;=01_因子設定!$M$7+0.000000001,IF(01_因子設定!$B$20="Box-Behnken",D571^2+E571^2+F571^2&lt;=2+0.000000001,TRUE()))</f>
        <v>1</v>
      </c>
      <c r="W571" s="55" t="n">
        <f aca="false">IF(V571,IF(01_因子設定!$B$13="最大化",T571-01_因子設定!$B$14,IF(01_因子設定!$B$13="最小化",01_因子設定!$B$15-U571,MIN(T571-01_因子設定!$B$14,01_因子設定!$B$15-U571))),-1E+030)</f>
        <v>-7.40329131112535</v>
      </c>
      <c r="X571" s="55" t="n">
        <f aca="false">IF(V571,IF(01_因子設定!$B$13="最大化",Q571,IF(01_因子設定!$B$13="最小化",-Q571,-ABS(Q571-01_因子設定!$B$16))),-1E+030)</f>
        <v>42.2615767045455</v>
      </c>
      <c r="Y571" s="55" t="n">
        <f aca="false">W571+ROW()*0.000000001</f>
        <v>-7.40329074012535</v>
      </c>
      <c r="Z571" s="55" t="n">
        <f aca="false">X571+ROW()*0.000000001</f>
        <v>42.2615772755455</v>
      </c>
    </row>
    <row r="572" customFormat="false" ht="15" hidden="false" customHeight="false" outlineLevel="0" collapsed="false">
      <c r="A572" s="0" t="n">
        <v>1</v>
      </c>
      <c r="B572" s="0" t="n">
        <v>16</v>
      </c>
      <c r="C572" s="0" t="n">
        <v>6</v>
      </c>
      <c r="D572" s="0" t="n">
        <f aca="false">-1+A572*0.125</f>
        <v>-0.875</v>
      </c>
      <c r="E572" s="0" t="n">
        <f aca="false">-1+B572*0.125</f>
        <v>1</v>
      </c>
      <c r="F572" s="0" t="n">
        <f aca="false">-1+C572*0.125</f>
        <v>-0.25</v>
      </c>
      <c r="G572" s="0" t="n">
        <f aca="false">1</f>
        <v>1</v>
      </c>
      <c r="H572" s="0" t="n">
        <f aca="false">D572</f>
        <v>-0.875</v>
      </c>
      <c r="I572" s="0" t="n">
        <f aca="false">E572</f>
        <v>1</v>
      </c>
      <c r="J572" s="0" t="n">
        <f aca="false">F572</f>
        <v>-0.25</v>
      </c>
      <c r="K572" s="0" t="n">
        <f aca="false">D572*E572</f>
        <v>-0.875</v>
      </c>
      <c r="L572" s="0" t="n">
        <f aca="false">D572*F572</f>
        <v>0.21875</v>
      </c>
      <c r="M572" s="0" t="n">
        <f aca="false">E572*F572</f>
        <v>-0.25</v>
      </c>
      <c r="N572" s="0" t="n">
        <f aca="false">D572*D572</f>
        <v>0.765625</v>
      </c>
      <c r="O572" s="0" t="n">
        <f aca="false">E572*E572</f>
        <v>1</v>
      </c>
      <c r="P572" s="0" t="n">
        <f aca="false">F572*F572</f>
        <v>0.0625</v>
      </c>
      <c r="Q572" s="0" t="n">
        <f aca="false">SUMPRODUCT(G572:P572,_XtX!$B$71:$K$71)</f>
        <v>42.5987073863636</v>
      </c>
      <c r="R572" s="0" t="n">
        <f aca="false">SUMPRODUCT(MMULT(G572:P572,_XtX!$B$58:$K$67),G572:P572)</f>
        <v>0.583609286221591</v>
      </c>
      <c r="S572" s="0" t="n">
        <f aca="false">04_回帰ANOVA!$K$19*04_回帰ANOVA!$K$14*SQRT(1+R572)</f>
        <v>1.1700129157584</v>
      </c>
      <c r="T572" s="0" t="n">
        <f aca="false">Q572-S572</f>
        <v>41.4286944706052</v>
      </c>
      <c r="U572" s="0" t="n">
        <f aca="false">Q572+S572</f>
        <v>43.768720302122</v>
      </c>
      <c r="V572" s="54" t="b">
        <f aca="false">AND(D572&gt;=01_因子設定!$L$5-0.000000001,D572&lt;=01_因子設定!$M$5+0.000000001,E572&gt;=01_因子設定!$L$6-0.000000001,E572&lt;=01_因子設定!$M$6+0.000000001,F572&gt;=01_因子設定!$L$7-0.000000001,F572&lt;=01_因子設定!$M$7+0.000000001,IF(01_因子設定!$B$20="Box-Behnken",D572^2+E572^2+F572^2&lt;=2+0.000000001,TRUE()))</f>
        <v>1</v>
      </c>
      <c r="W572" s="55" t="n">
        <f aca="false">IF(V572,IF(01_因子設定!$B$13="最大化",T572-01_因子設定!$B$14,IF(01_因子設定!$B$13="最小化",01_因子設定!$B$15-U572,MIN(T572-01_因子設定!$B$14,01_因子設定!$B$15-U572))),-1E+030)</f>
        <v>-7.07130552939476</v>
      </c>
      <c r="X572" s="55" t="n">
        <f aca="false">IF(V572,IF(01_因子設定!$B$13="最大化",Q572,IF(01_因子設定!$B$13="最小化",-Q572,-ABS(Q572-01_因子設定!$B$16))),-1E+030)</f>
        <v>42.5987073863636</v>
      </c>
      <c r="Y572" s="55" t="n">
        <f aca="false">W572+ROW()*0.000000001</f>
        <v>-7.07130495739476</v>
      </c>
      <c r="Z572" s="55" t="n">
        <f aca="false">X572+ROW()*0.000000001</f>
        <v>42.5987079583636</v>
      </c>
    </row>
    <row r="573" customFormat="false" ht="15" hidden="false" customHeight="false" outlineLevel="0" collapsed="false">
      <c r="A573" s="0" t="n">
        <v>1</v>
      </c>
      <c r="B573" s="0" t="n">
        <v>16</v>
      </c>
      <c r="C573" s="0" t="n">
        <v>7</v>
      </c>
      <c r="D573" s="0" t="n">
        <f aca="false">-1+A573*0.125</f>
        <v>-0.875</v>
      </c>
      <c r="E573" s="0" t="n">
        <f aca="false">-1+B573*0.125</f>
        <v>1</v>
      </c>
      <c r="F573" s="0" t="n">
        <f aca="false">-1+C573*0.125</f>
        <v>-0.125</v>
      </c>
      <c r="G573" s="0" t="n">
        <f aca="false">1</f>
        <v>1</v>
      </c>
      <c r="H573" s="0" t="n">
        <f aca="false">D573</f>
        <v>-0.875</v>
      </c>
      <c r="I573" s="0" t="n">
        <f aca="false">E573</f>
        <v>1</v>
      </c>
      <c r="J573" s="0" t="n">
        <f aca="false">F573</f>
        <v>-0.125</v>
      </c>
      <c r="K573" s="0" t="n">
        <f aca="false">D573*E573</f>
        <v>-0.875</v>
      </c>
      <c r="L573" s="0" t="n">
        <f aca="false">D573*F573</f>
        <v>0.109375</v>
      </c>
      <c r="M573" s="0" t="n">
        <f aca="false">E573*F573</f>
        <v>-0.125</v>
      </c>
      <c r="N573" s="0" t="n">
        <f aca="false">D573*D573</f>
        <v>0.765625</v>
      </c>
      <c r="O573" s="0" t="n">
        <f aca="false">E573*E573</f>
        <v>1</v>
      </c>
      <c r="P573" s="0" t="n">
        <f aca="false">F573*F573</f>
        <v>0.015625</v>
      </c>
      <c r="Q573" s="0" t="n">
        <f aca="false">SUMPRODUCT(G573:P573,_XtX!$B$71:$K$71)</f>
        <v>42.8990482954545</v>
      </c>
      <c r="R573" s="0" t="n">
        <f aca="false">SUMPRODUCT(MMULT(G573:P573,_XtX!$B$58:$K$67),G573:P573)</f>
        <v>0.59407792524858</v>
      </c>
      <c r="S573" s="0" t="n">
        <f aca="false">04_回帰ANOVA!$K$19*04_回帰ANOVA!$K$14*SQRT(1+R573)</f>
        <v>1.17387380087722</v>
      </c>
      <c r="T573" s="0" t="n">
        <f aca="false">Q573-S573</f>
        <v>41.7251744945773</v>
      </c>
      <c r="U573" s="0" t="n">
        <f aca="false">Q573+S573</f>
        <v>44.0729220963318</v>
      </c>
      <c r="V573" s="54" t="b">
        <f aca="false">AND(D573&gt;=01_因子設定!$L$5-0.000000001,D573&lt;=01_因子設定!$M$5+0.000000001,E573&gt;=01_因子設定!$L$6-0.000000001,E573&lt;=01_因子設定!$M$6+0.000000001,F573&gt;=01_因子設定!$L$7-0.000000001,F573&lt;=01_因子設定!$M$7+0.000000001,IF(01_因子設定!$B$20="Box-Behnken",D573^2+E573^2+F573^2&lt;=2+0.000000001,TRUE()))</f>
        <v>1</v>
      </c>
      <c r="W573" s="55" t="n">
        <f aca="false">IF(V573,IF(01_因子設定!$B$13="最大化",T573-01_因子設定!$B$14,IF(01_因子設定!$B$13="最小化",01_因子設定!$B$15-U573,MIN(T573-01_因子設定!$B$14,01_因子設定!$B$15-U573))),-1E+030)</f>
        <v>-6.77482550542268</v>
      </c>
      <c r="X573" s="55" t="n">
        <f aca="false">IF(V573,IF(01_因子設定!$B$13="最大化",Q573,IF(01_因子設定!$B$13="最小化",-Q573,-ABS(Q573-01_因子設定!$B$16))),-1E+030)</f>
        <v>42.8990482954545</v>
      </c>
      <c r="Y573" s="55" t="n">
        <f aca="false">W573+ROW()*0.000000001</f>
        <v>-6.77482493242268</v>
      </c>
      <c r="Z573" s="55" t="n">
        <f aca="false">X573+ROW()*0.000000001</f>
        <v>42.8990488684545</v>
      </c>
    </row>
    <row r="574" customFormat="false" ht="15" hidden="false" customHeight="false" outlineLevel="0" collapsed="false">
      <c r="A574" s="0" t="n">
        <v>1</v>
      </c>
      <c r="B574" s="0" t="n">
        <v>16</v>
      </c>
      <c r="C574" s="0" t="n">
        <v>8</v>
      </c>
      <c r="D574" s="0" t="n">
        <f aca="false">-1+A574*0.125</f>
        <v>-0.875</v>
      </c>
      <c r="E574" s="0" t="n">
        <f aca="false">-1+B574*0.125</f>
        <v>1</v>
      </c>
      <c r="F574" s="0" t="n">
        <f aca="false">-1+C574*0.125</f>
        <v>0</v>
      </c>
      <c r="G574" s="0" t="n">
        <f aca="false">1</f>
        <v>1</v>
      </c>
      <c r="H574" s="0" t="n">
        <f aca="false">D574</f>
        <v>-0.875</v>
      </c>
      <c r="I574" s="0" t="n">
        <f aca="false">E574</f>
        <v>1</v>
      </c>
      <c r="J574" s="0" t="n">
        <f aca="false">F574</f>
        <v>0</v>
      </c>
      <c r="K574" s="0" t="n">
        <f aca="false">D574*E574</f>
        <v>-0.875</v>
      </c>
      <c r="L574" s="0" t="n">
        <f aca="false">D574*F574</f>
        <v>-0</v>
      </c>
      <c r="M574" s="0" t="n">
        <f aca="false">E574*F574</f>
        <v>0</v>
      </c>
      <c r="N574" s="0" t="n">
        <f aca="false">D574*D574</f>
        <v>0.765625</v>
      </c>
      <c r="O574" s="0" t="n">
        <f aca="false">E574*E574</f>
        <v>1</v>
      </c>
      <c r="P574" s="0" t="n">
        <f aca="false">F574*F574</f>
        <v>0</v>
      </c>
      <c r="Q574" s="0" t="n">
        <f aca="false">SUMPRODUCT(G574:P574,_XtX!$B$71:$K$71)</f>
        <v>43.1625994318182</v>
      </c>
      <c r="R574" s="0" t="n">
        <f aca="false">SUMPRODUCT(MMULT(G574:P574,_XtX!$B$58:$K$67),G574:P574)</f>
        <v>0.597922585227273</v>
      </c>
      <c r="S574" s="0" t="n">
        <f aca="false">04_回帰ANOVA!$K$19*04_回帰ANOVA!$K$14*SQRT(1+R574)</f>
        <v>1.17528854591003</v>
      </c>
      <c r="T574" s="0" t="n">
        <f aca="false">Q574-S574</f>
        <v>41.9873108859082</v>
      </c>
      <c r="U574" s="0" t="n">
        <f aca="false">Q574+S574</f>
        <v>44.3378879777282</v>
      </c>
      <c r="V574" s="54" t="b">
        <f aca="false">AND(D574&gt;=01_因子設定!$L$5-0.000000001,D574&lt;=01_因子設定!$M$5+0.000000001,E574&gt;=01_因子設定!$L$6-0.000000001,E574&lt;=01_因子設定!$M$6+0.000000001,F574&gt;=01_因子設定!$L$7-0.000000001,F574&lt;=01_因子設定!$M$7+0.000000001,IF(01_因子設定!$B$20="Box-Behnken",D574^2+E574^2+F574^2&lt;=2+0.000000001,TRUE()))</f>
        <v>1</v>
      </c>
      <c r="W574" s="55" t="n">
        <f aca="false">IF(V574,IF(01_因子設定!$B$13="最大化",T574-01_因子設定!$B$14,IF(01_因子設定!$B$13="最小化",01_因子設定!$B$15-U574,MIN(T574-01_因子設定!$B$14,01_因子設定!$B$15-U574))),-1E+030)</f>
        <v>-6.51268911409185</v>
      </c>
      <c r="X574" s="55" t="n">
        <f aca="false">IF(V574,IF(01_因子設定!$B$13="最大化",Q574,IF(01_因子設定!$B$13="最小化",-Q574,-ABS(Q574-01_因子設定!$B$16))),-1E+030)</f>
        <v>43.1625994318182</v>
      </c>
      <c r="Y574" s="55" t="n">
        <f aca="false">W574+ROW()*0.000000001</f>
        <v>-6.51268854009185</v>
      </c>
      <c r="Z574" s="55" t="n">
        <f aca="false">X574+ROW()*0.000000001</f>
        <v>43.1626000058182</v>
      </c>
    </row>
    <row r="575" customFormat="false" ht="15" hidden="false" customHeight="false" outlineLevel="0" collapsed="false">
      <c r="A575" s="0" t="n">
        <v>1</v>
      </c>
      <c r="B575" s="0" t="n">
        <v>16</v>
      </c>
      <c r="C575" s="0" t="n">
        <v>9</v>
      </c>
      <c r="D575" s="0" t="n">
        <f aca="false">-1+A575*0.125</f>
        <v>-0.875</v>
      </c>
      <c r="E575" s="0" t="n">
        <f aca="false">-1+B575*0.125</f>
        <v>1</v>
      </c>
      <c r="F575" s="0" t="n">
        <f aca="false">-1+C575*0.125</f>
        <v>0.125</v>
      </c>
      <c r="G575" s="0" t="n">
        <f aca="false">1</f>
        <v>1</v>
      </c>
      <c r="H575" s="0" t="n">
        <f aca="false">D575</f>
        <v>-0.875</v>
      </c>
      <c r="I575" s="0" t="n">
        <f aca="false">E575</f>
        <v>1</v>
      </c>
      <c r="J575" s="0" t="n">
        <f aca="false">F575</f>
        <v>0.125</v>
      </c>
      <c r="K575" s="0" t="n">
        <f aca="false">D575*E575</f>
        <v>-0.875</v>
      </c>
      <c r="L575" s="0" t="n">
        <f aca="false">D575*F575</f>
        <v>-0.109375</v>
      </c>
      <c r="M575" s="0" t="n">
        <f aca="false">E575*F575</f>
        <v>0.125</v>
      </c>
      <c r="N575" s="0" t="n">
        <f aca="false">D575*D575</f>
        <v>0.765625</v>
      </c>
      <c r="O575" s="0" t="n">
        <f aca="false">E575*E575</f>
        <v>1</v>
      </c>
      <c r="P575" s="0" t="n">
        <f aca="false">F575*F575</f>
        <v>0.015625</v>
      </c>
      <c r="Q575" s="0" t="n">
        <f aca="false">SUMPRODUCT(G575:P575,_XtX!$B$71:$K$71)</f>
        <v>43.3893607954545</v>
      </c>
      <c r="R575" s="0" t="n">
        <f aca="false">SUMPRODUCT(MMULT(G575:P575,_XtX!$B$58:$K$67),G575:P575)</f>
        <v>0.59407792524858</v>
      </c>
      <c r="S575" s="0" t="n">
        <f aca="false">04_回帰ANOVA!$K$19*04_回帰ANOVA!$K$14*SQRT(1+R575)</f>
        <v>1.17387380087722</v>
      </c>
      <c r="T575" s="0" t="n">
        <f aca="false">Q575-S575</f>
        <v>42.2154869945773</v>
      </c>
      <c r="U575" s="0" t="n">
        <f aca="false">Q575+S575</f>
        <v>44.5632345963318</v>
      </c>
      <c r="V575" s="54" t="b">
        <f aca="false">AND(D575&gt;=01_因子設定!$L$5-0.000000001,D575&lt;=01_因子設定!$M$5+0.000000001,E575&gt;=01_因子設定!$L$6-0.000000001,E575&lt;=01_因子設定!$M$6+0.000000001,F575&gt;=01_因子設定!$L$7-0.000000001,F575&lt;=01_因子設定!$M$7+0.000000001,IF(01_因子設定!$B$20="Box-Behnken",D575^2+E575^2+F575^2&lt;=2+0.000000001,TRUE()))</f>
        <v>1</v>
      </c>
      <c r="W575" s="55" t="n">
        <f aca="false">IF(V575,IF(01_因子設定!$B$13="最大化",T575-01_因子設定!$B$14,IF(01_因子設定!$B$13="最小化",01_因子設定!$B$15-U575,MIN(T575-01_因子設定!$B$14,01_因子設定!$B$15-U575))),-1E+030)</f>
        <v>-6.28451300542267</v>
      </c>
      <c r="X575" s="55" t="n">
        <f aca="false">IF(V575,IF(01_因子設定!$B$13="最大化",Q575,IF(01_因子設定!$B$13="最小化",-Q575,-ABS(Q575-01_因子設定!$B$16))),-1E+030)</f>
        <v>43.3893607954545</v>
      </c>
      <c r="Y575" s="55" t="n">
        <f aca="false">W575+ROW()*0.000000001</f>
        <v>-6.28451243042268</v>
      </c>
      <c r="Z575" s="55" t="n">
        <f aca="false">X575+ROW()*0.000000001</f>
        <v>43.3893613704545</v>
      </c>
    </row>
    <row r="576" customFormat="false" ht="15" hidden="false" customHeight="false" outlineLevel="0" collapsed="false">
      <c r="A576" s="0" t="n">
        <v>1</v>
      </c>
      <c r="B576" s="0" t="n">
        <v>16</v>
      </c>
      <c r="C576" s="0" t="n">
        <v>10</v>
      </c>
      <c r="D576" s="0" t="n">
        <f aca="false">-1+A576*0.125</f>
        <v>-0.875</v>
      </c>
      <c r="E576" s="0" t="n">
        <f aca="false">-1+B576*0.125</f>
        <v>1</v>
      </c>
      <c r="F576" s="0" t="n">
        <f aca="false">-1+C576*0.125</f>
        <v>0.25</v>
      </c>
      <c r="G576" s="0" t="n">
        <f aca="false">1</f>
        <v>1</v>
      </c>
      <c r="H576" s="0" t="n">
        <f aca="false">D576</f>
        <v>-0.875</v>
      </c>
      <c r="I576" s="0" t="n">
        <f aca="false">E576</f>
        <v>1</v>
      </c>
      <c r="J576" s="0" t="n">
        <f aca="false">F576</f>
        <v>0.25</v>
      </c>
      <c r="K576" s="0" t="n">
        <f aca="false">D576*E576</f>
        <v>-0.875</v>
      </c>
      <c r="L576" s="0" t="n">
        <f aca="false">D576*F576</f>
        <v>-0.21875</v>
      </c>
      <c r="M576" s="0" t="n">
        <f aca="false">E576*F576</f>
        <v>0.25</v>
      </c>
      <c r="N576" s="0" t="n">
        <f aca="false">D576*D576</f>
        <v>0.765625</v>
      </c>
      <c r="O576" s="0" t="n">
        <f aca="false">E576*E576</f>
        <v>1</v>
      </c>
      <c r="P576" s="0" t="n">
        <f aca="false">F576*F576</f>
        <v>0.0625</v>
      </c>
      <c r="Q576" s="0" t="n">
        <f aca="false">SUMPRODUCT(G576:P576,_XtX!$B$71:$K$71)</f>
        <v>43.5793323863636</v>
      </c>
      <c r="R576" s="0" t="n">
        <f aca="false">SUMPRODUCT(MMULT(G576:P576,_XtX!$B$58:$K$67),G576:P576)</f>
        <v>0.583609286221591</v>
      </c>
      <c r="S576" s="0" t="n">
        <f aca="false">04_回帰ANOVA!$K$19*04_回帰ANOVA!$K$14*SQRT(1+R576)</f>
        <v>1.1700129157584</v>
      </c>
      <c r="T576" s="0" t="n">
        <f aca="false">Q576-S576</f>
        <v>42.4093194706052</v>
      </c>
      <c r="U576" s="0" t="n">
        <f aca="false">Q576+S576</f>
        <v>44.749345302122</v>
      </c>
      <c r="V576" s="54" t="b">
        <f aca="false">AND(D576&gt;=01_因子設定!$L$5-0.000000001,D576&lt;=01_因子設定!$M$5+0.000000001,E576&gt;=01_因子設定!$L$6-0.000000001,E576&lt;=01_因子設定!$M$6+0.000000001,F576&gt;=01_因子設定!$L$7-0.000000001,F576&lt;=01_因子設定!$M$7+0.000000001,IF(01_因子設定!$B$20="Box-Behnken",D576^2+E576^2+F576^2&lt;=2+0.000000001,TRUE()))</f>
        <v>1</v>
      </c>
      <c r="W576" s="55" t="n">
        <f aca="false">IF(V576,IF(01_因子設定!$B$13="最大化",T576-01_因子設定!$B$14,IF(01_因子設定!$B$13="最小化",01_因子設定!$B$15-U576,MIN(T576-01_因子設定!$B$14,01_因子設定!$B$15-U576))),-1E+030)</f>
        <v>-6.09068052939476</v>
      </c>
      <c r="X576" s="55" t="n">
        <f aca="false">IF(V576,IF(01_因子設定!$B$13="最大化",Q576,IF(01_因子設定!$B$13="最小化",-Q576,-ABS(Q576-01_因子設定!$B$16))),-1E+030)</f>
        <v>43.5793323863636</v>
      </c>
      <c r="Y576" s="55" t="n">
        <f aca="false">W576+ROW()*0.000000001</f>
        <v>-6.09067995339476</v>
      </c>
      <c r="Z576" s="55" t="n">
        <f aca="false">X576+ROW()*0.000000001</f>
        <v>43.5793329623636</v>
      </c>
    </row>
    <row r="577" customFormat="false" ht="15" hidden="false" customHeight="false" outlineLevel="0" collapsed="false">
      <c r="A577" s="0" t="n">
        <v>1</v>
      </c>
      <c r="B577" s="0" t="n">
        <v>16</v>
      </c>
      <c r="C577" s="0" t="n">
        <v>11</v>
      </c>
      <c r="D577" s="0" t="n">
        <f aca="false">-1+A577*0.125</f>
        <v>-0.875</v>
      </c>
      <c r="E577" s="0" t="n">
        <f aca="false">-1+B577*0.125</f>
        <v>1</v>
      </c>
      <c r="F577" s="0" t="n">
        <f aca="false">-1+C577*0.125</f>
        <v>0.375</v>
      </c>
      <c r="G577" s="0" t="n">
        <f aca="false">1</f>
        <v>1</v>
      </c>
      <c r="H577" s="0" t="n">
        <f aca="false">D577</f>
        <v>-0.875</v>
      </c>
      <c r="I577" s="0" t="n">
        <f aca="false">E577</f>
        <v>1</v>
      </c>
      <c r="J577" s="0" t="n">
        <f aca="false">F577</f>
        <v>0.375</v>
      </c>
      <c r="K577" s="0" t="n">
        <f aca="false">D577*E577</f>
        <v>-0.875</v>
      </c>
      <c r="L577" s="0" t="n">
        <f aca="false">D577*F577</f>
        <v>-0.328125</v>
      </c>
      <c r="M577" s="0" t="n">
        <f aca="false">E577*F577</f>
        <v>0.375</v>
      </c>
      <c r="N577" s="0" t="n">
        <f aca="false">D577*D577</f>
        <v>0.765625</v>
      </c>
      <c r="O577" s="0" t="n">
        <f aca="false">E577*E577</f>
        <v>1</v>
      </c>
      <c r="P577" s="0" t="n">
        <f aca="false">F577*F577</f>
        <v>0.140625</v>
      </c>
      <c r="Q577" s="0" t="n">
        <f aca="false">SUMPRODUCT(G577:P577,_XtX!$B$71:$K$71)</f>
        <v>43.7325142045455</v>
      </c>
      <c r="R577" s="0" t="n">
        <f aca="false">SUMPRODUCT(MMULT(G577:P577,_XtX!$B$58:$K$67),G577:P577)</f>
        <v>0.56971269087358</v>
      </c>
      <c r="S577" s="0" t="n">
        <f aca="false">04_回帰ANOVA!$K$19*04_回帰ANOVA!$K$14*SQRT(1+R577)</f>
        <v>1.16486801567081</v>
      </c>
      <c r="T577" s="0" t="n">
        <f aca="false">Q577-S577</f>
        <v>42.5676461888747</v>
      </c>
      <c r="U577" s="0" t="n">
        <f aca="false">Q577+S577</f>
        <v>44.8973822202163</v>
      </c>
      <c r="V577" s="54" t="b">
        <f aca="false">AND(D577&gt;=01_因子設定!$L$5-0.000000001,D577&lt;=01_因子設定!$M$5+0.000000001,E577&gt;=01_因子設定!$L$6-0.000000001,E577&lt;=01_因子設定!$M$6+0.000000001,F577&gt;=01_因子設定!$L$7-0.000000001,F577&lt;=01_因子設定!$M$7+0.000000001,IF(01_因子設定!$B$20="Box-Behnken",D577^2+E577^2+F577^2&lt;=2+0.000000001,TRUE()))</f>
        <v>1</v>
      </c>
      <c r="W577" s="55" t="n">
        <f aca="false">IF(V577,IF(01_因子設定!$B$13="最大化",T577-01_因子設定!$B$14,IF(01_因子設定!$B$13="最小化",01_因子設定!$B$15-U577,MIN(T577-01_因子設定!$B$14,01_因子設定!$B$15-U577))),-1E+030)</f>
        <v>-5.93235381112535</v>
      </c>
      <c r="X577" s="55" t="n">
        <f aca="false">IF(V577,IF(01_因子設定!$B$13="最大化",Q577,IF(01_因子設定!$B$13="最小化",-Q577,-ABS(Q577-01_因子設定!$B$16))),-1E+030)</f>
        <v>43.7325142045455</v>
      </c>
      <c r="Y577" s="55" t="n">
        <f aca="false">W577+ROW()*0.000000001</f>
        <v>-5.93235323412535</v>
      </c>
      <c r="Z577" s="55" t="n">
        <f aca="false">X577+ROW()*0.000000001</f>
        <v>43.7325147815455</v>
      </c>
    </row>
    <row r="578" customFormat="false" ht="15" hidden="false" customHeight="false" outlineLevel="0" collapsed="false">
      <c r="A578" s="0" t="n">
        <v>1</v>
      </c>
      <c r="B578" s="0" t="n">
        <v>16</v>
      </c>
      <c r="C578" s="0" t="n">
        <v>12</v>
      </c>
      <c r="D578" s="0" t="n">
        <f aca="false">-1+A578*0.125</f>
        <v>-0.875</v>
      </c>
      <c r="E578" s="0" t="n">
        <f aca="false">-1+B578*0.125</f>
        <v>1</v>
      </c>
      <c r="F578" s="0" t="n">
        <f aca="false">-1+C578*0.125</f>
        <v>0.5</v>
      </c>
      <c r="G578" s="0" t="n">
        <f aca="false">1</f>
        <v>1</v>
      </c>
      <c r="H578" s="0" t="n">
        <f aca="false">D578</f>
        <v>-0.875</v>
      </c>
      <c r="I578" s="0" t="n">
        <f aca="false">E578</f>
        <v>1</v>
      </c>
      <c r="J578" s="0" t="n">
        <f aca="false">F578</f>
        <v>0.5</v>
      </c>
      <c r="K578" s="0" t="n">
        <f aca="false">D578*E578</f>
        <v>-0.875</v>
      </c>
      <c r="L578" s="0" t="n">
        <f aca="false">D578*F578</f>
        <v>-0.4375</v>
      </c>
      <c r="M578" s="0" t="n">
        <f aca="false">E578*F578</f>
        <v>0.5</v>
      </c>
      <c r="N578" s="0" t="n">
        <f aca="false">D578*D578</f>
        <v>0.765625</v>
      </c>
      <c r="O578" s="0" t="n">
        <f aca="false">E578*E578</f>
        <v>1</v>
      </c>
      <c r="P578" s="0" t="n">
        <f aca="false">F578*F578</f>
        <v>0.25</v>
      </c>
      <c r="Q578" s="0" t="n">
        <f aca="false">SUMPRODUCT(G578:P578,_XtX!$B$71:$K$71)</f>
        <v>43.84890625</v>
      </c>
      <c r="R578" s="0" t="n">
        <f aca="false">SUMPRODUCT(MMULT(G578:P578,_XtX!$B$58:$K$67),G578:P578)</f>
        <v>0.55771484375</v>
      </c>
      <c r="S578" s="0" t="n">
        <f aca="false">04_回帰ANOVA!$K$19*04_回帰ANOVA!$K$14*SQRT(1+R578)</f>
        <v>1.16040773556467</v>
      </c>
      <c r="T578" s="0" t="n">
        <f aca="false">Q578-S578</f>
        <v>42.6884985144353</v>
      </c>
      <c r="U578" s="0" t="n">
        <f aca="false">Q578+S578</f>
        <v>45.0093139855647</v>
      </c>
      <c r="V578" s="54" t="b">
        <f aca="false">AND(D578&gt;=01_因子設定!$L$5-0.000000001,D578&lt;=01_因子設定!$M$5+0.000000001,E578&gt;=01_因子設定!$L$6-0.000000001,E578&lt;=01_因子設定!$M$6+0.000000001,F578&gt;=01_因子設定!$L$7-0.000000001,F578&lt;=01_因子設定!$M$7+0.000000001,IF(01_因子設定!$B$20="Box-Behnken",D578^2+E578^2+F578^2&lt;=2+0.000000001,TRUE()))</f>
        <v>1</v>
      </c>
      <c r="W578" s="55" t="n">
        <f aca="false">IF(V578,IF(01_因子設定!$B$13="最大化",T578-01_因子設定!$B$14,IF(01_因子設定!$B$13="最小化",01_因子設定!$B$15-U578,MIN(T578-01_因子設定!$B$14,01_因子設定!$B$15-U578))),-1E+030)</f>
        <v>-5.81150148556468</v>
      </c>
      <c r="X578" s="55" t="n">
        <f aca="false">IF(V578,IF(01_因子設定!$B$13="最大化",Q578,IF(01_因子設定!$B$13="最小化",-Q578,-ABS(Q578-01_因子設定!$B$16))),-1E+030)</f>
        <v>43.84890625</v>
      </c>
      <c r="Y578" s="55" t="n">
        <f aca="false">W578+ROW()*0.000000001</f>
        <v>-5.81150090756468</v>
      </c>
      <c r="Z578" s="55" t="n">
        <f aca="false">X578+ROW()*0.000000001</f>
        <v>43.848906828</v>
      </c>
    </row>
    <row r="579" customFormat="false" ht="15" hidden="false" customHeight="false" outlineLevel="0" collapsed="false">
      <c r="A579" s="0" t="n">
        <v>1</v>
      </c>
      <c r="B579" s="0" t="n">
        <v>16</v>
      </c>
      <c r="C579" s="0" t="n">
        <v>13</v>
      </c>
      <c r="D579" s="0" t="n">
        <f aca="false">-1+A579*0.125</f>
        <v>-0.875</v>
      </c>
      <c r="E579" s="0" t="n">
        <f aca="false">-1+B579*0.125</f>
        <v>1</v>
      </c>
      <c r="F579" s="0" t="n">
        <f aca="false">-1+C579*0.125</f>
        <v>0.625</v>
      </c>
      <c r="G579" s="0" t="n">
        <f aca="false">1</f>
        <v>1</v>
      </c>
      <c r="H579" s="0" t="n">
        <f aca="false">D579</f>
        <v>-0.875</v>
      </c>
      <c r="I579" s="0" t="n">
        <f aca="false">E579</f>
        <v>1</v>
      </c>
      <c r="J579" s="0" t="n">
        <f aca="false">F579</f>
        <v>0.625</v>
      </c>
      <c r="K579" s="0" t="n">
        <f aca="false">D579*E579</f>
        <v>-0.875</v>
      </c>
      <c r="L579" s="0" t="n">
        <f aca="false">D579*F579</f>
        <v>-0.546875</v>
      </c>
      <c r="M579" s="0" t="n">
        <f aca="false">E579*F579</f>
        <v>0.625</v>
      </c>
      <c r="N579" s="0" t="n">
        <f aca="false">D579*D579</f>
        <v>0.765625</v>
      </c>
      <c r="O579" s="0" t="n">
        <f aca="false">E579*E579</f>
        <v>1</v>
      </c>
      <c r="P579" s="0" t="n">
        <f aca="false">F579*F579</f>
        <v>0.390625</v>
      </c>
      <c r="Q579" s="0" t="n">
        <f aca="false">SUMPRODUCT(G579:P579,_XtX!$B$71:$K$71)</f>
        <v>43.9285085227273</v>
      </c>
      <c r="R579" s="0" t="n">
        <f aca="false">SUMPRODUCT(MMULT(G579:P579,_XtX!$B$58:$K$67),G579:P579)</f>
        <v>0.555073131214489</v>
      </c>
      <c r="S579" s="0" t="n">
        <f aca="false">04_回帰ANOVA!$K$19*04_回帰ANOVA!$K$14*SQRT(1+R579)</f>
        <v>1.15942335628341</v>
      </c>
      <c r="T579" s="0" t="n">
        <f aca="false">Q579-S579</f>
        <v>42.7690851664439</v>
      </c>
      <c r="U579" s="0" t="n">
        <f aca="false">Q579+S579</f>
        <v>45.0879318790107</v>
      </c>
      <c r="V579" s="54" t="b">
        <f aca="false">AND(D579&gt;=01_因子設定!$L$5-0.000000001,D579&lt;=01_因子設定!$M$5+0.000000001,E579&gt;=01_因子設定!$L$6-0.000000001,E579&lt;=01_因子設定!$M$6+0.000000001,F579&gt;=01_因子設定!$L$7-0.000000001,F579&lt;=01_因子設定!$M$7+0.000000001,IF(01_因子設定!$B$20="Box-Behnken",D579^2+E579^2+F579^2&lt;=2+0.000000001,TRUE()))</f>
        <v>1</v>
      </c>
      <c r="W579" s="55" t="n">
        <f aca="false">IF(V579,IF(01_因子設定!$B$13="最大化",T579-01_因子設定!$B$14,IF(01_因子設定!$B$13="最小化",01_因子設定!$B$15-U579,MIN(T579-01_因子設定!$B$14,01_因子設定!$B$15-U579))),-1E+030)</f>
        <v>-5.73091483355613</v>
      </c>
      <c r="X579" s="55" t="n">
        <f aca="false">IF(V579,IF(01_因子設定!$B$13="最大化",Q579,IF(01_因子設定!$B$13="最小化",-Q579,-ABS(Q579-01_因子設定!$B$16))),-1E+030)</f>
        <v>43.9285085227273</v>
      </c>
      <c r="Y579" s="55" t="n">
        <f aca="false">W579+ROW()*0.000000001</f>
        <v>-5.73091425455613</v>
      </c>
      <c r="Z579" s="55" t="n">
        <f aca="false">X579+ROW()*0.000000001</f>
        <v>43.9285091017273</v>
      </c>
    </row>
    <row r="580" customFormat="false" ht="15" hidden="false" customHeight="false" outlineLevel="0" collapsed="false">
      <c r="A580" s="0" t="n">
        <v>1</v>
      </c>
      <c r="B580" s="0" t="n">
        <v>16</v>
      </c>
      <c r="C580" s="0" t="n">
        <v>14</v>
      </c>
      <c r="D580" s="0" t="n">
        <f aca="false">-1+A580*0.125</f>
        <v>-0.875</v>
      </c>
      <c r="E580" s="0" t="n">
        <f aca="false">-1+B580*0.125</f>
        <v>1</v>
      </c>
      <c r="F580" s="0" t="n">
        <f aca="false">-1+C580*0.125</f>
        <v>0.75</v>
      </c>
      <c r="G580" s="0" t="n">
        <f aca="false">1</f>
        <v>1</v>
      </c>
      <c r="H580" s="0" t="n">
        <f aca="false">D580</f>
        <v>-0.875</v>
      </c>
      <c r="I580" s="0" t="n">
        <f aca="false">E580</f>
        <v>1</v>
      </c>
      <c r="J580" s="0" t="n">
        <f aca="false">F580</f>
        <v>0.75</v>
      </c>
      <c r="K580" s="0" t="n">
        <f aca="false">D580*E580</f>
        <v>-0.875</v>
      </c>
      <c r="L580" s="0" t="n">
        <f aca="false">D580*F580</f>
        <v>-0.65625</v>
      </c>
      <c r="M580" s="0" t="n">
        <f aca="false">E580*F580</f>
        <v>0.75</v>
      </c>
      <c r="N580" s="0" t="n">
        <f aca="false">D580*D580</f>
        <v>0.765625</v>
      </c>
      <c r="O580" s="0" t="n">
        <f aca="false">E580*E580</f>
        <v>1</v>
      </c>
      <c r="P580" s="0" t="n">
        <f aca="false">F580*F580</f>
        <v>0.5625</v>
      </c>
      <c r="Q580" s="0" t="n">
        <f aca="false">SUMPRODUCT(G580:P580,_XtX!$B$71:$K$71)</f>
        <v>43.9713210227273</v>
      </c>
      <c r="R580" s="0" t="n">
        <f aca="false">SUMPRODUCT(MMULT(G580:P580,_XtX!$B$58:$K$67),G580:P580)</f>
        <v>0.571375621448864</v>
      </c>
      <c r="S580" s="0" t="n">
        <f aca="false">04_回帰ANOVA!$K$19*04_回帰ANOVA!$K$14*SQRT(1+R580)</f>
        <v>1.16548487437682</v>
      </c>
      <c r="T580" s="0" t="n">
        <f aca="false">Q580-S580</f>
        <v>42.8058361483505</v>
      </c>
      <c r="U580" s="0" t="n">
        <f aca="false">Q580+S580</f>
        <v>45.1368058971041</v>
      </c>
      <c r="V580" s="54" t="b">
        <f aca="false">AND(D580&gt;=01_因子設定!$L$5-0.000000001,D580&lt;=01_因子設定!$M$5+0.000000001,E580&gt;=01_因子設定!$L$6-0.000000001,E580&lt;=01_因子設定!$M$6+0.000000001,F580&gt;=01_因子設定!$L$7-0.000000001,F580&lt;=01_因子設定!$M$7+0.000000001,IF(01_因子設定!$B$20="Box-Behnken",D580^2+E580^2+F580^2&lt;=2+0.000000001,TRUE()))</f>
        <v>1</v>
      </c>
      <c r="W580" s="55" t="n">
        <f aca="false">IF(V580,IF(01_因子設定!$B$13="最大化",T580-01_因子設定!$B$14,IF(01_因子設定!$B$13="最小化",01_因子設定!$B$15-U580,MIN(T580-01_因子設定!$B$14,01_因子設定!$B$15-U580))),-1E+030)</f>
        <v>-5.69416385164953</v>
      </c>
      <c r="X580" s="55" t="n">
        <f aca="false">IF(V580,IF(01_因子設定!$B$13="最大化",Q580,IF(01_因子設定!$B$13="最小化",-Q580,-ABS(Q580-01_因子設定!$B$16))),-1E+030)</f>
        <v>43.9713210227273</v>
      </c>
      <c r="Y580" s="55" t="n">
        <f aca="false">W580+ROW()*0.000000001</f>
        <v>-5.69416327164953</v>
      </c>
      <c r="Z580" s="55" t="n">
        <f aca="false">X580+ROW()*0.000000001</f>
        <v>43.9713216027273</v>
      </c>
    </row>
    <row r="581" customFormat="false" ht="15" hidden="false" customHeight="false" outlineLevel="0" collapsed="false">
      <c r="A581" s="0" t="n">
        <v>1</v>
      </c>
      <c r="B581" s="0" t="n">
        <v>16</v>
      </c>
      <c r="C581" s="0" t="n">
        <v>15</v>
      </c>
      <c r="D581" s="0" t="n">
        <f aca="false">-1+A581*0.125</f>
        <v>-0.875</v>
      </c>
      <c r="E581" s="0" t="n">
        <f aca="false">-1+B581*0.125</f>
        <v>1</v>
      </c>
      <c r="F581" s="0" t="n">
        <f aca="false">-1+C581*0.125</f>
        <v>0.875</v>
      </c>
      <c r="G581" s="0" t="n">
        <f aca="false">1</f>
        <v>1</v>
      </c>
      <c r="H581" s="0" t="n">
        <f aca="false">D581</f>
        <v>-0.875</v>
      </c>
      <c r="I581" s="0" t="n">
        <f aca="false">E581</f>
        <v>1</v>
      </c>
      <c r="J581" s="0" t="n">
        <f aca="false">F581</f>
        <v>0.875</v>
      </c>
      <c r="K581" s="0" t="n">
        <f aca="false">D581*E581</f>
        <v>-0.875</v>
      </c>
      <c r="L581" s="0" t="n">
        <f aca="false">D581*F581</f>
        <v>-0.765625</v>
      </c>
      <c r="M581" s="0" t="n">
        <f aca="false">E581*F581</f>
        <v>0.875</v>
      </c>
      <c r="N581" s="0" t="n">
        <f aca="false">D581*D581</f>
        <v>0.765625</v>
      </c>
      <c r="O581" s="0" t="n">
        <f aca="false">E581*E581</f>
        <v>1</v>
      </c>
      <c r="P581" s="0" t="n">
        <f aca="false">F581*F581</f>
        <v>0.765625</v>
      </c>
      <c r="Q581" s="0" t="n">
        <f aca="false">SUMPRODUCT(G581:P581,_XtX!$B$71:$K$71)</f>
        <v>43.97734375</v>
      </c>
      <c r="R581" s="0" t="n">
        <f aca="false">SUMPRODUCT(MMULT(G581:P581,_XtX!$B$58:$K$67),G581:P581)</f>
        <v>0.618341064453125</v>
      </c>
      <c r="S581" s="0" t="n">
        <f aca="false">04_回帰ANOVA!$K$19*04_回帰ANOVA!$K$14*SQRT(1+R581)</f>
        <v>1.18277371124466</v>
      </c>
      <c r="T581" s="0" t="n">
        <f aca="false">Q581-S581</f>
        <v>42.7945700387553</v>
      </c>
      <c r="U581" s="0" t="n">
        <f aca="false">Q581+S581</f>
        <v>45.1601174612447</v>
      </c>
      <c r="V581" s="54" t="b">
        <f aca="false">AND(D581&gt;=01_因子設定!$L$5-0.000000001,D581&lt;=01_因子設定!$M$5+0.000000001,E581&gt;=01_因子設定!$L$6-0.000000001,E581&lt;=01_因子設定!$M$6+0.000000001,F581&gt;=01_因子設定!$L$7-0.000000001,F581&lt;=01_因子設定!$M$7+0.000000001,IF(01_因子設定!$B$20="Box-Behnken",D581^2+E581^2+F581^2&lt;=2+0.000000001,TRUE()))</f>
        <v>1</v>
      </c>
      <c r="W581" s="55" t="n">
        <f aca="false">IF(V581,IF(01_因子設定!$B$13="最大化",T581-01_因子設定!$B$14,IF(01_因子設定!$B$13="最小化",01_因子設定!$B$15-U581,MIN(T581-01_因子設定!$B$14,01_因子設定!$B$15-U581))),-1E+030)</f>
        <v>-5.70542996124465</v>
      </c>
      <c r="X581" s="55" t="n">
        <f aca="false">IF(V581,IF(01_因子設定!$B$13="最大化",Q581,IF(01_因子設定!$B$13="最小化",-Q581,-ABS(Q581-01_因子設定!$B$16))),-1E+030)</f>
        <v>43.97734375</v>
      </c>
      <c r="Y581" s="55" t="n">
        <f aca="false">W581+ROW()*0.000000001</f>
        <v>-5.70542938024465</v>
      </c>
      <c r="Z581" s="55" t="n">
        <f aca="false">X581+ROW()*0.000000001</f>
        <v>43.977344331</v>
      </c>
    </row>
    <row r="582" customFormat="false" ht="15" hidden="false" customHeight="false" outlineLevel="0" collapsed="false">
      <c r="A582" s="0" t="n">
        <v>1</v>
      </c>
      <c r="B582" s="0" t="n">
        <v>16</v>
      </c>
      <c r="C582" s="0" t="n">
        <v>16</v>
      </c>
      <c r="D582" s="0" t="n">
        <f aca="false">-1+A582*0.125</f>
        <v>-0.875</v>
      </c>
      <c r="E582" s="0" t="n">
        <f aca="false">-1+B582*0.125</f>
        <v>1</v>
      </c>
      <c r="F582" s="0" t="n">
        <f aca="false">-1+C582*0.125</f>
        <v>1</v>
      </c>
      <c r="G582" s="0" t="n">
        <f aca="false">1</f>
        <v>1</v>
      </c>
      <c r="H582" s="0" t="n">
        <f aca="false">D582</f>
        <v>-0.875</v>
      </c>
      <c r="I582" s="0" t="n">
        <f aca="false">E582</f>
        <v>1</v>
      </c>
      <c r="J582" s="0" t="n">
        <f aca="false">F582</f>
        <v>1</v>
      </c>
      <c r="K582" s="0" t="n">
        <f aca="false">D582*E582</f>
        <v>-0.875</v>
      </c>
      <c r="L582" s="0" t="n">
        <f aca="false">D582*F582</f>
        <v>-0.875</v>
      </c>
      <c r="M582" s="0" t="n">
        <f aca="false">E582*F582</f>
        <v>1</v>
      </c>
      <c r="N582" s="0" t="n">
        <f aca="false">D582*D582</f>
        <v>0.765625</v>
      </c>
      <c r="O582" s="0" t="n">
        <f aca="false">E582*E582</f>
        <v>1</v>
      </c>
      <c r="P582" s="0" t="n">
        <f aca="false">F582*F582</f>
        <v>1</v>
      </c>
      <c r="Q582" s="0" t="n">
        <f aca="false">SUMPRODUCT(G582:P582,_XtX!$B$71:$K$71)</f>
        <v>43.9465767045455</v>
      </c>
      <c r="R582" s="0" t="n">
        <f aca="false">SUMPRODUCT(MMULT(G582:P582,_XtX!$B$58:$K$67),G582:P582)</f>
        <v>0.709818892045455</v>
      </c>
      <c r="S582" s="0" t="n">
        <f aca="false">04_回帰ANOVA!$K$19*04_回帰ANOVA!$K$14*SQRT(1+R582)</f>
        <v>1.21574275944458</v>
      </c>
      <c r="T582" s="0" t="n">
        <f aca="false">Q582-S582</f>
        <v>42.7308339451009</v>
      </c>
      <c r="U582" s="0" t="n">
        <f aca="false">Q582+S582</f>
        <v>45.1623194639901</v>
      </c>
      <c r="V582" s="54" t="b">
        <f aca="false">AND(D582&gt;=01_因子設定!$L$5-0.000000001,D582&lt;=01_因子設定!$M$5+0.000000001,E582&gt;=01_因子設定!$L$6-0.000000001,E582&lt;=01_因子設定!$M$6+0.000000001,F582&gt;=01_因子設定!$L$7-0.000000001,F582&lt;=01_因子設定!$M$7+0.000000001,IF(01_因子設定!$B$20="Box-Behnken",D582^2+E582^2+F582^2&lt;=2+0.000000001,TRUE()))</f>
        <v>1</v>
      </c>
      <c r="W582" s="55" t="n">
        <f aca="false">IF(V582,IF(01_因子設定!$B$13="最大化",T582-01_因子設定!$B$14,IF(01_因子設定!$B$13="最小化",01_因子設定!$B$15-U582,MIN(T582-01_因子設定!$B$14,01_因子設定!$B$15-U582))),-1E+030)</f>
        <v>-5.76916605489911</v>
      </c>
      <c r="X582" s="55" t="n">
        <f aca="false">IF(V582,IF(01_因子設定!$B$13="最大化",Q582,IF(01_因子設定!$B$13="最小化",-Q582,-ABS(Q582-01_因子設定!$B$16))),-1E+030)</f>
        <v>43.9465767045455</v>
      </c>
      <c r="Y582" s="55" t="n">
        <f aca="false">W582+ROW()*0.000000001</f>
        <v>-5.76916547289911</v>
      </c>
      <c r="Z582" s="55" t="n">
        <f aca="false">X582+ROW()*0.000000001</f>
        <v>43.9465772865455</v>
      </c>
    </row>
    <row r="583" customFormat="false" ht="15" hidden="false" customHeight="false" outlineLevel="0" collapsed="false">
      <c r="A583" s="0" t="n">
        <v>2</v>
      </c>
      <c r="B583" s="0" t="n">
        <v>0</v>
      </c>
      <c r="C583" s="0" t="n">
        <v>0</v>
      </c>
      <c r="D583" s="0" t="n">
        <f aca="false">-1+A583*0.125</f>
        <v>-0.75</v>
      </c>
      <c r="E583" s="0" t="n">
        <f aca="false">-1+B583*0.125</f>
        <v>-1</v>
      </c>
      <c r="F583" s="0" t="n">
        <f aca="false">-1+C583*0.125</f>
        <v>-1</v>
      </c>
      <c r="G583" s="0" t="n">
        <f aca="false">1</f>
        <v>1</v>
      </c>
      <c r="H583" s="0" t="n">
        <f aca="false">D583</f>
        <v>-0.75</v>
      </c>
      <c r="I583" s="0" t="n">
        <f aca="false">E583</f>
        <v>-1</v>
      </c>
      <c r="J583" s="0" t="n">
        <f aca="false">F583</f>
        <v>-1</v>
      </c>
      <c r="K583" s="0" t="n">
        <f aca="false">D583*E583</f>
        <v>0.75</v>
      </c>
      <c r="L583" s="0" t="n">
        <f aca="false">D583*F583</f>
        <v>0.75</v>
      </c>
      <c r="M583" s="0" t="n">
        <f aca="false">E583*F583</f>
        <v>1</v>
      </c>
      <c r="N583" s="0" t="n">
        <f aca="false">D583*D583</f>
        <v>0.5625</v>
      </c>
      <c r="O583" s="0" t="n">
        <f aca="false">E583*E583</f>
        <v>1</v>
      </c>
      <c r="P583" s="0" t="n">
        <f aca="false">F583*F583</f>
        <v>1</v>
      </c>
      <c r="Q583" s="0" t="n">
        <f aca="false">SUMPRODUCT(G583:P583,_XtX!$B$71:$K$71)</f>
        <v>39.6241477272728</v>
      </c>
      <c r="R583" s="0" t="n">
        <f aca="false">SUMPRODUCT(MMULT(G583:P583,_XtX!$B$58:$K$67),G583:P583)</f>
        <v>0.669886363636364</v>
      </c>
      <c r="S583" s="0" t="n">
        <f aca="false">04_回帰ANOVA!$K$19*04_回帰ANOVA!$K$14*SQRT(1+R583)</f>
        <v>1.20146215423986</v>
      </c>
      <c r="T583" s="0" t="n">
        <f aca="false">Q583-S583</f>
        <v>38.4226855730329</v>
      </c>
      <c r="U583" s="0" t="n">
        <f aca="false">Q583+S583</f>
        <v>40.8256098815126</v>
      </c>
      <c r="V583" s="54" t="b">
        <f aca="false">AND(D583&gt;=01_因子設定!$L$5-0.000000001,D583&lt;=01_因子設定!$M$5+0.000000001,E583&gt;=01_因子設定!$L$6-0.000000001,E583&lt;=01_因子設定!$M$6+0.000000001,F583&gt;=01_因子設定!$L$7-0.000000001,F583&lt;=01_因子設定!$M$7+0.000000001,IF(01_因子設定!$B$20="Box-Behnken",D583^2+E583^2+F583^2&lt;=2+0.000000001,TRUE()))</f>
        <v>1</v>
      </c>
      <c r="W583" s="55" t="n">
        <f aca="false">IF(V583,IF(01_因子設定!$B$13="最大化",T583-01_因子設定!$B$14,IF(01_因子設定!$B$13="最小化",01_因子設定!$B$15-U583,MIN(T583-01_因子設定!$B$14,01_因子設定!$B$15-U583))),-1E+030)</f>
        <v>-10.0773144269671</v>
      </c>
      <c r="X583" s="55" t="n">
        <f aca="false">IF(V583,IF(01_因子設定!$B$13="最大化",Q583,IF(01_因子設定!$B$13="最小化",-Q583,-ABS(Q583-01_因子設定!$B$16))),-1E+030)</f>
        <v>39.6241477272728</v>
      </c>
      <c r="Y583" s="55" t="n">
        <f aca="false">W583+ROW()*0.000000001</f>
        <v>-10.0773138439671</v>
      </c>
      <c r="Z583" s="55" t="n">
        <f aca="false">X583+ROW()*0.000000001</f>
        <v>39.6241483102728</v>
      </c>
    </row>
    <row r="584" customFormat="false" ht="15" hidden="false" customHeight="false" outlineLevel="0" collapsed="false">
      <c r="A584" s="0" t="n">
        <v>2</v>
      </c>
      <c r="B584" s="0" t="n">
        <v>0</v>
      </c>
      <c r="C584" s="0" t="n">
        <v>1</v>
      </c>
      <c r="D584" s="0" t="n">
        <f aca="false">-1+A584*0.125</f>
        <v>-0.75</v>
      </c>
      <c r="E584" s="0" t="n">
        <f aca="false">-1+B584*0.125</f>
        <v>-1</v>
      </c>
      <c r="F584" s="0" t="n">
        <f aca="false">-1+C584*0.125</f>
        <v>-0.875</v>
      </c>
      <c r="G584" s="0" t="n">
        <f aca="false">1</f>
        <v>1</v>
      </c>
      <c r="H584" s="0" t="n">
        <f aca="false">D584</f>
        <v>-0.75</v>
      </c>
      <c r="I584" s="0" t="n">
        <f aca="false">E584</f>
        <v>-1</v>
      </c>
      <c r="J584" s="0" t="n">
        <f aca="false">F584</f>
        <v>-0.875</v>
      </c>
      <c r="K584" s="0" t="n">
        <f aca="false">D584*E584</f>
        <v>0.75</v>
      </c>
      <c r="L584" s="0" t="n">
        <f aca="false">D584*F584</f>
        <v>0.65625</v>
      </c>
      <c r="M584" s="0" t="n">
        <f aca="false">E584*F584</f>
        <v>0.875</v>
      </c>
      <c r="N584" s="0" t="n">
        <f aca="false">D584*D584</f>
        <v>0.5625</v>
      </c>
      <c r="O584" s="0" t="n">
        <f aca="false">E584*E584</f>
        <v>1</v>
      </c>
      <c r="P584" s="0" t="n">
        <f aca="false">F584*F584</f>
        <v>0.765625</v>
      </c>
      <c r="Q584" s="0" t="n">
        <f aca="false">SUMPRODUCT(G584:P584,_XtX!$B$71:$K$71)</f>
        <v>40.0303835227273</v>
      </c>
      <c r="R584" s="0" t="n">
        <f aca="false">SUMPRODUCT(MMULT(G584:P584,_XtX!$B$58:$K$67),G584:P584)</f>
        <v>0.571375621448864</v>
      </c>
      <c r="S584" s="0" t="n">
        <f aca="false">04_回帰ANOVA!$K$19*04_回帰ANOVA!$K$14*SQRT(1+R584)</f>
        <v>1.16548487437682</v>
      </c>
      <c r="T584" s="0" t="n">
        <f aca="false">Q584-S584</f>
        <v>38.8648986483505</v>
      </c>
      <c r="U584" s="0" t="n">
        <f aca="false">Q584+S584</f>
        <v>41.1958683971041</v>
      </c>
      <c r="V584" s="54" t="b">
        <f aca="false">AND(D584&gt;=01_因子設定!$L$5-0.000000001,D584&lt;=01_因子設定!$M$5+0.000000001,E584&gt;=01_因子設定!$L$6-0.000000001,E584&lt;=01_因子設定!$M$6+0.000000001,F584&gt;=01_因子設定!$L$7-0.000000001,F584&lt;=01_因子設定!$M$7+0.000000001,IF(01_因子設定!$B$20="Box-Behnken",D584^2+E584^2+F584^2&lt;=2+0.000000001,TRUE()))</f>
        <v>1</v>
      </c>
      <c r="W584" s="55" t="n">
        <f aca="false">IF(V584,IF(01_因子設定!$B$13="最大化",T584-01_因子設定!$B$14,IF(01_因子設定!$B$13="最小化",01_因子設定!$B$15-U584,MIN(T584-01_因子設定!$B$14,01_因子設定!$B$15-U584))),-1E+030)</f>
        <v>-9.63510135164953</v>
      </c>
      <c r="X584" s="55" t="n">
        <f aca="false">IF(V584,IF(01_因子設定!$B$13="最大化",Q584,IF(01_因子設定!$B$13="最小化",-Q584,-ABS(Q584-01_因子設定!$B$16))),-1E+030)</f>
        <v>40.0303835227273</v>
      </c>
      <c r="Y584" s="55" t="n">
        <f aca="false">W584+ROW()*0.000000001</f>
        <v>-9.63510076764953</v>
      </c>
      <c r="Z584" s="55" t="n">
        <f aca="false">X584+ROW()*0.000000001</f>
        <v>40.0303841067273</v>
      </c>
    </row>
    <row r="585" customFormat="false" ht="15" hidden="false" customHeight="false" outlineLevel="0" collapsed="false">
      <c r="A585" s="0" t="n">
        <v>2</v>
      </c>
      <c r="B585" s="0" t="n">
        <v>0</v>
      </c>
      <c r="C585" s="0" t="n">
        <v>2</v>
      </c>
      <c r="D585" s="0" t="n">
        <f aca="false">-1+A585*0.125</f>
        <v>-0.75</v>
      </c>
      <c r="E585" s="0" t="n">
        <f aca="false">-1+B585*0.125</f>
        <v>-1</v>
      </c>
      <c r="F585" s="0" t="n">
        <f aca="false">-1+C585*0.125</f>
        <v>-0.75</v>
      </c>
      <c r="G585" s="0" t="n">
        <f aca="false">1</f>
        <v>1</v>
      </c>
      <c r="H585" s="0" t="n">
        <f aca="false">D585</f>
        <v>-0.75</v>
      </c>
      <c r="I585" s="0" t="n">
        <f aca="false">E585</f>
        <v>-1</v>
      </c>
      <c r="J585" s="0" t="n">
        <f aca="false">F585</f>
        <v>-0.75</v>
      </c>
      <c r="K585" s="0" t="n">
        <f aca="false">D585*E585</f>
        <v>0.75</v>
      </c>
      <c r="L585" s="0" t="n">
        <f aca="false">D585*F585</f>
        <v>0.5625</v>
      </c>
      <c r="M585" s="0" t="n">
        <f aca="false">E585*F585</f>
        <v>0.75</v>
      </c>
      <c r="N585" s="0" t="n">
        <f aca="false">D585*D585</f>
        <v>0.5625</v>
      </c>
      <c r="O585" s="0" t="n">
        <f aca="false">E585*E585</f>
        <v>1</v>
      </c>
      <c r="P585" s="0" t="n">
        <f aca="false">F585*F585</f>
        <v>0.5625</v>
      </c>
      <c r="Q585" s="0" t="n">
        <f aca="false">SUMPRODUCT(G585:P585,_XtX!$B$71:$K$71)</f>
        <v>40.3998295454546</v>
      </c>
      <c r="R585" s="0" t="n">
        <f aca="false">SUMPRODUCT(MMULT(G585:P585,_XtX!$B$58:$K$67),G585:P585)</f>
        <v>0.518314985795455</v>
      </c>
      <c r="S585" s="0" t="n">
        <f aca="false">04_回帰ANOVA!$K$19*04_回帰ANOVA!$K$14*SQRT(1+R585)</f>
        <v>1.14563843495971</v>
      </c>
      <c r="T585" s="0" t="n">
        <f aca="false">Q585-S585</f>
        <v>39.2541911104949</v>
      </c>
      <c r="U585" s="0" t="n">
        <f aca="false">Q585+S585</f>
        <v>41.5454679804143</v>
      </c>
      <c r="V585" s="54" t="b">
        <f aca="false">AND(D585&gt;=01_因子設定!$L$5-0.000000001,D585&lt;=01_因子設定!$M$5+0.000000001,E585&gt;=01_因子設定!$L$6-0.000000001,E585&lt;=01_因子設定!$M$6+0.000000001,F585&gt;=01_因子設定!$L$7-0.000000001,F585&lt;=01_因子設定!$M$7+0.000000001,IF(01_因子設定!$B$20="Box-Behnken",D585^2+E585^2+F585^2&lt;=2+0.000000001,TRUE()))</f>
        <v>1</v>
      </c>
      <c r="W585" s="55" t="n">
        <f aca="false">IF(V585,IF(01_因子設定!$B$13="最大化",T585-01_因子設定!$B$14,IF(01_因子設定!$B$13="最小化",01_因子設定!$B$15-U585,MIN(T585-01_因子設定!$B$14,01_因子設定!$B$15-U585))),-1E+030)</f>
        <v>-9.24580888950515</v>
      </c>
      <c r="X585" s="55" t="n">
        <f aca="false">IF(V585,IF(01_因子設定!$B$13="最大化",Q585,IF(01_因子設定!$B$13="最小化",-Q585,-ABS(Q585-01_因子設定!$B$16))),-1E+030)</f>
        <v>40.3998295454546</v>
      </c>
      <c r="Y585" s="55" t="n">
        <f aca="false">W585+ROW()*0.000000001</f>
        <v>-9.24580830450515</v>
      </c>
      <c r="Z585" s="55" t="n">
        <f aca="false">X585+ROW()*0.000000001</f>
        <v>40.3998301304546</v>
      </c>
    </row>
    <row r="586" customFormat="false" ht="15" hidden="false" customHeight="false" outlineLevel="0" collapsed="false">
      <c r="A586" s="0" t="n">
        <v>2</v>
      </c>
      <c r="B586" s="0" t="n">
        <v>0</v>
      </c>
      <c r="C586" s="0" t="n">
        <v>3</v>
      </c>
      <c r="D586" s="0" t="n">
        <f aca="false">-1+A586*0.125</f>
        <v>-0.75</v>
      </c>
      <c r="E586" s="0" t="n">
        <f aca="false">-1+B586*0.125</f>
        <v>-1</v>
      </c>
      <c r="F586" s="0" t="n">
        <f aca="false">-1+C586*0.125</f>
        <v>-0.625</v>
      </c>
      <c r="G586" s="0" t="n">
        <f aca="false">1</f>
        <v>1</v>
      </c>
      <c r="H586" s="0" t="n">
        <f aca="false">D586</f>
        <v>-0.75</v>
      </c>
      <c r="I586" s="0" t="n">
        <f aca="false">E586</f>
        <v>-1</v>
      </c>
      <c r="J586" s="0" t="n">
        <f aca="false">F586</f>
        <v>-0.625</v>
      </c>
      <c r="K586" s="0" t="n">
        <f aca="false">D586*E586</f>
        <v>0.75</v>
      </c>
      <c r="L586" s="0" t="n">
        <f aca="false">D586*F586</f>
        <v>0.46875</v>
      </c>
      <c r="M586" s="0" t="n">
        <f aca="false">E586*F586</f>
        <v>0.625</v>
      </c>
      <c r="N586" s="0" t="n">
        <f aca="false">D586*D586</f>
        <v>0.5625</v>
      </c>
      <c r="O586" s="0" t="n">
        <f aca="false">E586*E586</f>
        <v>1</v>
      </c>
      <c r="P586" s="0" t="n">
        <f aca="false">F586*F586</f>
        <v>0.390625</v>
      </c>
      <c r="Q586" s="0" t="n">
        <f aca="false">SUMPRODUCT(G586:P586,_XtX!$B$71:$K$71)</f>
        <v>40.7324857954546</v>
      </c>
      <c r="R586" s="0" t="n">
        <f aca="false">SUMPRODUCT(MMULT(G586:P586,_XtX!$B$58:$K$67),G586:P586)</f>
        <v>0.496855024857955</v>
      </c>
      <c r="S586" s="0" t="n">
        <f aca="false">04_回帰ANOVA!$K$19*04_回帰ANOVA!$K$14*SQRT(1+R586)</f>
        <v>1.1375133593161</v>
      </c>
      <c r="T586" s="0" t="n">
        <f aca="false">Q586-S586</f>
        <v>39.5949724361385</v>
      </c>
      <c r="U586" s="0" t="n">
        <f aca="false">Q586+S586</f>
        <v>41.8699991547707</v>
      </c>
      <c r="V586" s="54" t="b">
        <f aca="false">AND(D586&gt;=01_因子設定!$L$5-0.000000001,D586&lt;=01_因子設定!$M$5+0.000000001,E586&gt;=01_因子設定!$L$6-0.000000001,E586&lt;=01_因子設定!$M$6+0.000000001,F586&gt;=01_因子設定!$L$7-0.000000001,F586&lt;=01_因子設定!$M$7+0.000000001,IF(01_因子設定!$B$20="Box-Behnken",D586^2+E586^2+F586^2&lt;=2+0.000000001,TRUE()))</f>
        <v>1</v>
      </c>
      <c r="W586" s="55" t="n">
        <f aca="false">IF(V586,IF(01_因子設定!$B$13="最大化",T586-01_因子設定!$B$14,IF(01_因子設定!$B$13="最小化",01_因子設定!$B$15-U586,MIN(T586-01_因子設定!$B$14,01_因子設定!$B$15-U586))),-1E+030)</f>
        <v>-8.90502756386155</v>
      </c>
      <c r="X586" s="55" t="n">
        <f aca="false">IF(V586,IF(01_因子設定!$B$13="最大化",Q586,IF(01_因子設定!$B$13="最小化",-Q586,-ABS(Q586-01_因子設定!$B$16))),-1E+030)</f>
        <v>40.7324857954546</v>
      </c>
      <c r="Y586" s="55" t="n">
        <f aca="false">W586+ROW()*0.000000001</f>
        <v>-8.90502697786155</v>
      </c>
      <c r="Z586" s="55" t="n">
        <f aca="false">X586+ROW()*0.000000001</f>
        <v>40.7324863814546</v>
      </c>
    </row>
    <row r="587" customFormat="false" ht="15" hidden="false" customHeight="false" outlineLevel="0" collapsed="false">
      <c r="A587" s="0" t="n">
        <v>2</v>
      </c>
      <c r="B587" s="0" t="n">
        <v>0</v>
      </c>
      <c r="C587" s="0" t="n">
        <v>4</v>
      </c>
      <c r="D587" s="0" t="n">
        <f aca="false">-1+A587*0.125</f>
        <v>-0.75</v>
      </c>
      <c r="E587" s="0" t="n">
        <f aca="false">-1+B587*0.125</f>
        <v>-1</v>
      </c>
      <c r="F587" s="0" t="n">
        <f aca="false">-1+C587*0.125</f>
        <v>-0.5</v>
      </c>
      <c r="G587" s="0" t="n">
        <f aca="false">1</f>
        <v>1</v>
      </c>
      <c r="H587" s="0" t="n">
        <f aca="false">D587</f>
        <v>-0.75</v>
      </c>
      <c r="I587" s="0" t="n">
        <f aca="false">E587</f>
        <v>-1</v>
      </c>
      <c r="J587" s="0" t="n">
        <f aca="false">F587</f>
        <v>-0.5</v>
      </c>
      <c r="K587" s="0" t="n">
        <f aca="false">D587*E587</f>
        <v>0.75</v>
      </c>
      <c r="L587" s="0" t="n">
        <f aca="false">D587*F587</f>
        <v>0.375</v>
      </c>
      <c r="M587" s="0" t="n">
        <f aca="false">E587*F587</f>
        <v>0.5</v>
      </c>
      <c r="N587" s="0" t="n">
        <f aca="false">D587*D587</f>
        <v>0.5625</v>
      </c>
      <c r="O587" s="0" t="n">
        <f aca="false">E587*E587</f>
        <v>1</v>
      </c>
      <c r="P587" s="0" t="n">
        <f aca="false">F587*F587</f>
        <v>0.25</v>
      </c>
      <c r="Q587" s="0" t="n">
        <f aca="false">SUMPRODUCT(G587:P587,_XtX!$B$71:$K$71)</f>
        <v>41.0283522727273</v>
      </c>
      <c r="R587" s="0" t="n">
        <f aca="false">SUMPRODUCT(MMULT(G587:P587,_XtX!$B$58:$K$67),G587:P587)</f>
        <v>0.495276988636364</v>
      </c>
      <c r="S587" s="0" t="n">
        <f aca="false">04_回帰ANOVA!$K$19*04_回帰ANOVA!$K$14*SQRT(1+R587)</f>
        <v>1.13691359828352</v>
      </c>
      <c r="T587" s="0" t="n">
        <f aca="false">Q587-S587</f>
        <v>39.8914386744438</v>
      </c>
      <c r="U587" s="0" t="n">
        <f aca="false">Q587+S587</f>
        <v>42.1652658710108</v>
      </c>
      <c r="V587" s="54" t="b">
        <f aca="false">AND(D587&gt;=01_因子設定!$L$5-0.000000001,D587&lt;=01_因子設定!$M$5+0.000000001,E587&gt;=01_因子設定!$L$6-0.000000001,E587&lt;=01_因子設定!$M$6+0.000000001,F587&gt;=01_因子設定!$L$7-0.000000001,F587&lt;=01_因子設定!$M$7+0.000000001,IF(01_因子設定!$B$20="Box-Behnken",D587^2+E587^2+F587^2&lt;=2+0.000000001,TRUE()))</f>
        <v>1</v>
      </c>
      <c r="W587" s="55" t="n">
        <f aca="false">IF(V587,IF(01_因子設定!$B$13="最大化",T587-01_因子設定!$B$14,IF(01_因子設定!$B$13="最小化",01_因子設定!$B$15-U587,MIN(T587-01_因子設定!$B$14,01_因子設定!$B$15-U587))),-1E+030)</f>
        <v>-8.60856132555625</v>
      </c>
      <c r="X587" s="55" t="n">
        <f aca="false">IF(V587,IF(01_因子設定!$B$13="最大化",Q587,IF(01_因子設定!$B$13="最小化",-Q587,-ABS(Q587-01_因子設定!$B$16))),-1E+030)</f>
        <v>41.0283522727273</v>
      </c>
      <c r="Y587" s="55" t="n">
        <f aca="false">W587+ROW()*0.000000001</f>
        <v>-8.60856073855624</v>
      </c>
      <c r="Z587" s="55" t="n">
        <f aca="false">X587+ROW()*0.000000001</f>
        <v>41.0283528597273</v>
      </c>
    </row>
    <row r="588" customFormat="false" ht="15" hidden="false" customHeight="false" outlineLevel="0" collapsed="false">
      <c r="A588" s="0" t="n">
        <v>2</v>
      </c>
      <c r="B588" s="0" t="n">
        <v>0</v>
      </c>
      <c r="C588" s="0" t="n">
        <v>5</v>
      </c>
      <c r="D588" s="0" t="n">
        <f aca="false">-1+A588*0.125</f>
        <v>-0.75</v>
      </c>
      <c r="E588" s="0" t="n">
        <f aca="false">-1+B588*0.125</f>
        <v>-1</v>
      </c>
      <c r="F588" s="0" t="n">
        <f aca="false">-1+C588*0.125</f>
        <v>-0.375</v>
      </c>
      <c r="G588" s="0" t="n">
        <f aca="false">1</f>
        <v>1</v>
      </c>
      <c r="H588" s="0" t="n">
        <f aca="false">D588</f>
        <v>-0.75</v>
      </c>
      <c r="I588" s="0" t="n">
        <f aca="false">E588</f>
        <v>-1</v>
      </c>
      <c r="J588" s="0" t="n">
        <f aca="false">F588</f>
        <v>-0.375</v>
      </c>
      <c r="K588" s="0" t="n">
        <f aca="false">D588*E588</f>
        <v>0.75</v>
      </c>
      <c r="L588" s="0" t="n">
        <f aca="false">D588*F588</f>
        <v>0.28125</v>
      </c>
      <c r="M588" s="0" t="n">
        <f aca="false">E588*F588</f>
        <v>0.375</v>
      </c>
      <c r="N588" s="0" t="n">
        <f aca="false">D588*D588</f>
        <v>0.5625</v>
      </c>
      <c r="O588" s="0" t="n">
        <f aca="false">E588*E588</f>
        <v>1</v>
      </c>
      <c r="P588" s="0" t="n">
        <f aca="false">F588*F588</f>
        <v>0.140625</v>
      </c>
      <c r="Q588" s="0" t="n">
        <f aca="false">SUMPRODUCT(G588:P588,_XtX!$B$71:$K$71)</f>
        <v>41.2874289772727</v>
      </c>
      <c r="R588" s="0" t="n">
        <f aca="false">SUMPRODUCT(MMULT(G588:P588,_XtX!$B$58:$K$67),G588:P588)</f>
        <v>0.503992808948864</v>
      </c>
      <c r="S588" s="0" t="n">
        <f aca="false">04_回帰ANOVA!$K$19*04_回帰ANOVA!$K$14*SQRT(1+R588)</f>
        <v>1.14022226176226</v>
      </c>
      <c r="T588" s="0" t="n">
        <f aca="false">Q588-S588</f>
        <v>40.1472067155105</v>
      </c>
      <c r="U588" s="0" t="n">
        <f aca="false">Q588+S588</f>
        <v>42.427651239035</v>
      </c>
      <c r="V588" s="54" t="b">
        <f aca="false">AND(D588&gt;=01_因子設定!$L$5-0.000000001,D588&lt;=01_因子設定!$M$5+0.000000001,E588&gt;=01_因子設定!$L$6-0.000000001,E588&lt;=01_因子設定!$M$6+0.000000001,F588&gt;=01_因子設定!$L$7-0.000000001,F588&lt;=01_因子設定!$M$7+0.000000001,IF(01_因子設定!$B$20="Box-Behnken",D588^2+E588^2+F588^2&lt;=2+0.000000001,TRUE()))</f>
        <v>1</v>
      </c>
      <c r="W588" s="55" t="n">
        <f aca="false">IF(V588,IF(01_因子設定!$B$13="最大化",T588-01_因子設定!$B$14,IF(01_因子設定!$B$13="最小化",01_因子設定!$B$15-U588,MIN(T588-01_因子設定!$B$14,01_因子設定!$B$15-U588))),-1E+030)</f>
        <v>-8.35279328448953</v>
      </c>
      <c r="X588" s="55" t="n">
        <f aca="false">IF(V588,IF(01_因子設定!$B$13="最大化",Q588,IF(01_因子設定!$B$13="最小化",-Q588,-ABS(Q588-01_因子設定!$B$16))),-1E+030)</f>
        <v>41.2874289772727</v>
      </c>
      <c r="Y588" s="55" t="n">
        <f aca="false">W588+ROW()*0.000000001</f>
        <v>-8.35279269648953</v>
      </c>
      <c r="Z588" s="55" t="n">
        <f aca="false">X588+ROW()*0.000000001</f>
        <v>41.2874295652727</v>
      </c>
    </row>
    <row r="589" customFormat="false" ht="15" hidden="false" customHeight="false" outlineLevel="0" collapsed="false">
      <c r="A589" s="0" t="n">
        <v>2</v>
      </c>
      <c r="B589" s="0" t="n">
        <v>0</v>
      </c>
      <c r="C589" s="0" t="n">
        <v>6</v>
      </c>
      <c r="D589" s="0" t="n">
        <f aca="false">-1+A589*0.125</f>
        <v>-0.75</v>
      </c>
      <c r="E589" s="0" t="n">
        <f aca="false">-1+B589*0.125</f>
        <v>-1</v>
      </c>
      <c r="F589" s="0" t="n">
        <f aca="false">-1+C589*0.125</f>
        <v>-0.25</v>
      </c>
      <c r="G589" s="0" t="n">
        <f aca="false">1</f>
        <v>1</v>
      </c>
      <c r="H589" s="0" t="n">
        <f aca="false">D589</f>
        <v>-0.75</v>
      </c>
      <c r="I589" s="0" t="n">
        <f aca="false">E589</f>
        <v>-1</v>
      </c>
      <c r="J589" s="0" t="n">
        <f aca="false">F589</f>
        <v>-0.25</v>
      </c>
      <c r="K589" s="0" t="n">
        <f aca="false">D589*E589</f>
        <v>0.75</v>
      </c>
      <c r="L589" s="0" t="n">
        <f aca="false">D589*F589</f>
        <v>0.1875</v>
      </c>
      <c r="M589" s="0" t="n">
        <f aca="false">E589*F589</f>
        <v>0.25</v>
      </c>
      <c r="N589" s="0" t="n">
        <f aca="false">D589*D589</f>
        <v>0.5625</v>
      </c>
      <c r="O589" s="0" t="n">
        <f aca="false">E589*E589</f>
        <v>1</v>
      </c>
      <c r="P589" s="0" t="n">
        <f aca="false">F589*F589</f>
        <v>0.0625</v>
      </c>
      <c r="Q589" s="0" t="n">
        <f aca="false">SUMPRODUCT(G589:P589,_XtX!$B$71:$K$71)</f>
        <v>41.5097159090909</v>
      </c>
      <c r="R589" s="0" t="n">
        <f aca="false">SUMPRODUCT(MMULT(G589:P589,_XtX!$B$58:$K$67),G589:P589)</f>
        <v>0.515545099431818</v>
      </c>
      <c r="S589" s="0" t="n">
        <f aca="false">04_回帰ANOVA!$K$19*04_回帰ANOVA!$K$14*SQRT(1+R589)</f>
        <v>1.14459295464101</v>
      </c>
      <c r="T589" s="0" t="n">
        <f aca="false">Q589-S589</f>
        <v>40.3651229544499</v>
      </c>
      <c r="U589" s="0" t="n">
        <f aca="false">Q589+S589</f>
        <v>42.6543088637319</v>
      </c>
      <c r="V589" s="54" t="b">
        <f aca="false">AND(D589&gt;=01_因子設定!$L$5-0.000000001,D589&lt;=01_因子設定!$M$5+0.000000001,E589&gt;=01_因子設定!$L$6-0.000000001,E589&lt;=01_因子設定!$M$6+0.000000001,F589&gt;=01_因子設定!$L$7-0.000000001,F589&lt;=01_因子設定!$M$7+0.000000001,IF(01_因子設定!$B$20="Box-Behnken",D589^2+E589^2+F589^2&lt;=2+0.000000001,TRUE()))</f>
        <v>1</v>
      </c>
      <c r="W589" s="55" t="n">
        <f aca="false">IF(V589,IF(01_因子設定!$B$13="最大化",T589-01_因子設定!$B$14,IF(01_因子設定!$B$13="最小化",01_因子設定!$B$15-U589,MIN(T589-01_因子設定!$B$14,01_因子設定!$B$15-U589))),-1E+030)</f>
        <v>-8.13487704555011</v>
      </c>
      <c r="X589" s="55" t="n">
        <f aca="false">IF(V589,IF(01_因子設定!$B$13="最大化",Q589,IF(01_因子設定!$B$13="最小化",-Q589,-ABS(Q589-01_因子設定!$B$16))),-1E+030)</f>
        <v>41.5097159090909</v>
      </c>
      <c r="Y589" s="55" t="n">
        <f aca="false">W589+ROW()*0.000000001</f>
        <v>-8.13487645655011</v>
      </c>
      <c r="Z589" s="55" t="n">
        <f aca="false">X589+ROW()*0.000000001</f>
        <v>41.5097164980909</v>
      </c>
    </row>
    <row r="590" customFormat="false" ht="15" hidden="false" customHeight="false" outlineLevel="0" collapsed="false">
      <c r="A590" s="0" t="n">
        <v>2</v>
      </c>
      <c r="B590" s="0" t="n">
        <v>0</v>
      </c>
      <c r="C590" s="0" t="n">
        <v>7</v>
      </c>
      <c r="D590" s="0" t="n">
        <f aca="false">-1+A590*0.125</f>
        <v>-0.75</v>
      </c>
      <c r="E590" s="0" t="n">
        <f aca="false">-1+B590*0.125</f>
        <v>-1</v>
      </c>
      <c r="F590" s="0" t="n">
        <f aca="false">-1+C590*0.125</f>
        <v>-0.125</v>
      </c>
      <c r="G590" s="0" t="n">
        <f aca="false">1</f>
        <v>1</v>
      </c>
      <c r="H590" s="0" t="n">
        <f aca="false">D590</f>
        <v>-0.75</v>
      </c>
      <c r="I590" s="0" t="n">
        <f aca="false">E590</f>
        <v>-1</v>
      </c>
      <c r="J590" s="0" t="n">
        <f aca="false">F590</f>
        <v>-0.125</v>
      </c>
      <c r="K590" s="0" t="n">
        <f aca="false">D590*E590</f>
        <v>0.75</v>
      </c>
      <c r="L590" s="0" t="n">
        <f aca="false">D590*F590</f>
        <v>0.09375</v>
      </c>
      <c r="M590" s="0" t="n">
        <f aca="false">E590*F590</f>
        <v>0.125</v>
      </c>
      <c r="N590" s="0" t="n">
        <f aca="false">D590*D590</f>
        <v>0.5625</v>
      </c>
      <c r="O590" s="0" t="n">
        <f aca="false">E590*E590</f>
        <v>1</v>
      </c>
      <c r="P590" s="0" t="n">
        <f aca="false">F590*F590</f>
        <v>0.015625</v>
      </c>
      <c r="Q590" s="0" t="n">
        <f aca="false">SUMPRODUCT(G590:P590,_XtX!$B$71:$K$71)</f>
        <v>41.6952130681818</v>
      </c>
      <c r="R590" s="0" t="n">
        <f aca="false">SUMPRODUCT(MMULT(G590:P590,_XtX!$B$58:$K$67),G590:P590)</f>
        <v>0.524607155539773</v>
      </c>
      <c r="S590" s="0" t="n">
        <f aca="false">04_回帰ANOVA!$K$19*04_回帰ANOVA!$K$14*SQRT(1+R590)</f>
        <v>1.14800984623412</v>
      </c>
      <c r="T590" s="0" t="n">
        <f aca="false">Q590-S590</f>
        <v>40.5472032219477</v>
      </c>
      <c r="U590" s="0" t="n">
        <f aca="false">Q590+S590</f>
        <v>42.8432229144159</v>
      </c>
      <c r="V590" s="54" t="b">
        <f aca="false">AND(D590&gt;=01_因子設定!$L$5-0.000000001,D590&lt;=01_因子設定!$M$5+0.000000001,E590&gt;=01_因子設定!$L$6-0.000000001,E590&lt;=01_因子設定!$M$6+0.000000001,F590&gt;=01_因子設定!$L$7-0.000000001,F590&lt;=01_因子設定!$M$7+0.000000001,IF(01_因子設定!$B$20="Box-Behnken",D590^2+E590^2+F590^2&lt;=2+0.000000001,TRUE()))</f>
        <v>1</v>
      </c>
      <c r="W590" s="55" t="n">
        <f aca="false">IF(V590,IF(01_因子設定!$B$13="最大化",T590-01_因子設定!$B$14,IF(01_因子設定!$B$13="最小化",01_因子設定!$B$15-U590,MIN(T590-01_因子設定!$B$14,01_因子設定!$B$15-U590))),-1E+030)</f>
        <v>-7.9527967780523</v>
      </c>
      <c r="X590" s="55" t="n">
        <f aca="false">IF(V590,IF(01_因子設定!$B$13="最大化",Q590,IF(01_因子設定!$B$13="最小化",-Q590,-ABS(Q590-01_因子設定!$B$16))),-1E+030)</f>
        <v>41.6952130681818</v>
      </c>
      <c r="Y590" s="55" t="n">
        <f aca="false">W590+ROW()*0.000000001</f>
        <v>-7.9527961880523</v>
      </c>
      <c r="Z590" s="55" t="n">
        <f aca="false">X590+ROW()*0.000000001</f>
        <v>41.6952136581818</v>
      </c>
    </row>
    <row r="591" customFormat="false" ht="15" hidden="false" customHeight="false" outlineLevel="0" collapsed="false">
      <c r="A591" s="0" t="n">
        <v>2</v>
      </c>
      <c r="B591" s="0" t="n">
        <v>0</v>
      </c>
      <c r="C591" s="0" t="n">
        <v>8</v>
      </c>
      <c r="D591" s="0" t="n">
        <f aca="false">-1+A591*0.125</f>
        <v>-0.75</v>
      </c>
      <c r="E591" s="0" t="n">
        <f aca="false">-1+B591*0.125</f>
        <v>-1</v>
      </c>
      <c r="F591" s="0" t="n">
        <f aca="false">-1+C591*0.125</f>
        <v>0</v>
      </c>
      <c r="G591" s="0" t="n">
        <f aca="false">1</f>
        <v>1</v>
      </c>
      <c r="H591" s="0" t="n">
        <f aca="false">D591</f>
        <v>-0.75</v>
      </c>
      <c r="I591" s="0" t="n">
        <f aca="false">E591</f>
        <v>-1</v>
      </c>
      <c r="J591" s="0" t="n">
        <f aca="false">F591</f>
        <v>0</v>
      </c>
      <c r="K591" s="0" t="n">
        <f aca="false">D591*E591</f>
        <v>0.75</v>
      </c>
      <c r="L591" s="0" t="n">
        <f aca="false">D591*F591</f>
        <v>-0</v>
      </c>
      <c r="M591" s="0" t="n">
        <f aca="false">E591*F591</f>
        <v>-0</v>
      </c>
      <c r="N591" s="0" t="n">
        <f aca="false">D591*D591</f>
        <v>0.5625</v>
      </c>
      <c r="O591" s="0" t="n">
        <f aca="false">E591*E591</f>
        <v>1</v>
      </c>
      <c r="P591" s="0" t="n">
        <f aca="false">F591*F591</f>
        <v>0</v>
      </c>
      <c r="Q591" s="0" t="n">
        <f aca="false">SUMPRODUCT(G591:P591,_XtX!$B$71:$K$71)</f>
        <v>41.8439204545455</v>
      </c>
      <c r="R591" s="0" t="n">
        <f aca="false">SUMPRODUCT(MMULT(G591:P591,_XtX!$B$58:$K$67),G591:P591)</f>
        <v>0.527982954545455</v>
      </c>
      <c r="S591" s="0" t="n">
        <f aca="false">04_回帰ANOVA!$K$19*04_回帰ANOVA!$K$14*SQRT(1+R591)</f>
        <v>1.14928011037747</v>
      </c>
      <c r="T591" s="0" t="n">
        <f aca="false">Q591-S591</f>
        <v>40.694640344168</v>
      </c>
      <c r="U591" s="0" t="n">
        <f aca="false">Q591+S591</f>
        <v>42.9932005649229</v>
      </c>
      <c r="V591" s="54" t="b">
        <f aca="false">AND(D591&gt;=01_因子設定!$L$5-0.000000001,D591&lt;=01_因子設定!$M$5+0.000000001,E591&gt;=01_因子設定!$L$6-0.000000001,E591&lt;=01_因子設定!$M$6+0.000000001,F591&gt;=01_因子設定!$L$7-0.000000001,F591&lt;=01_因子設定!$M$7+0.000000001,IF(01_因子設定!$B$20="Box-Behnken",D591^2+E591^2+F591^2&lt;=2+0.000000001,TRUE()))</f>
        <v>1</v>
      </c>
      <c r="W591" s="55" t="n">
        <f aca="false">IF(V591,IF(01_因子設定!$B$13="最大化",T591-01_因子設定!$B$14,IF(01_因子設定!$B$13="最小化",01_因子設定!$B$15-U591,MIN(T591-01_因子設定!$B$14,01_因子設定!$B$15-U591))),-1E+030)</f>
        <v>-7.80535965583202</v>
      </c>
      <c r="X591" s="55" t="n">
        <f aca="false">IF(V591,IF(01_因子設定!$B$13="最大化",Q591,IF(01_因子設定!$B$13="最小化",-Q591,-ABS(Q591-01_因子設定!$B$16))),-1E+030)</f>
        <v>41.8439204545455</v>
      </c>
      <c r="Y591" s="55" t="n">
        <f aca="false">W591+ROW()*0.000000001</f>
        <v>-7.80535906483202</v>
      </c>
      <c r="Z591" s="55" t="n">
        <f aca="false">X591+ROW()*0.000000001</f>
        <v>41.8439210455455</v>
      </c>
    </row>
    <row r="592" customFormat="false" ht="15" hidden="false" customHeight="false" outlineLevel="0" collapsed="false">
      <c r="A592" s="0" t="n">
        <v>2</v>
      </c>
      <c r="B592" s="0" t="n">
        <v>0</v>
      </c>
      <c r="C592" s="0" t="n">
        <v>9</v>
      </c>
      <c r="D592" s="0" t="n">
        <f aca="false">-1+A592*0.125</f>
        <v>-0.75</v>
      </c>
      <c r="E592" s="0" t="n">
        <f aca="false">-1+B592*0.125</f>
        <v>-1</v>
      </c>
      <c r="F592" s="0" t="n">
        <f aca="false">-1+C592*0.125</f>
        <v>0.125</v>
      </c>
      <c r="G592" s="0" t="n">
        <f aca="false">1</f>
        <v>1</v>
      </c>
      <c r="H592" s="0" t="n">
        <f aca="false">D592</f>
        <v>-0.75</v>
      </c>
      <c r="I592" s="0" t="n">
        <f aca="false">E592</f>
        <v>-1</v>
      </c>
      <c r="J592" s="0" t="n">
        <f aca="false">F592</f>
        <v>0.125</v>
      </c>
      <c r="K592" s="0" t="n">
        <f aca="false">D592*E592</f>
        <v>0.75</v>
      </c>
      <c r="L592" s="0" t="n">
        <f aca="false">D592*F592</f>
        <v>-0.09375</v>
      </c>
      <c r="M592" s="0" t="n">
        <f aca="false">E592*F592</f>
        <v>-0.125</v>
      </c>
      <c r="N592" s="0" t="n">
        <f aca="false">D592*D592</f>
        <v>0.5625</v>
      </c>
      <c r="O592" s="0" t="n">
        <f aca="false">E592*E592</f>
        <v>1</v>
      </c>
      <c r="P592" s="0" t="n">
        <f aca="false">F592*F592</f>
        <v>0.015625</v>
      </c>
      <c r="Q592" s="0" t="n">
        <f aca="false">SUMPRODUCT(G592:P592,_XtX!$B$71:$K$71)</f>
        <v>41.9558380681818</v>
      </c>
      <c r="R592" s="0" t="n">
        <f aca="false">SUMPRODUCT(MMULT(G592:P592,_XtX!$B$58:$K$67),G592:P592)</f>
        <v>0.524607155539773</v>
      </c>
      <c r="S592" s="0" t="n">
        <f aca="false">04_回帰ANOVA!$K$19*04_回帰ANOVA!$K$14*SQRT(1+R592)</f>
        <v>1.14800984623412</v>
      </c>
      <c r="T592" s="0" t="n">
        <f aca="false">Q592-S592</f>
        <v>40.8078282219477</v>
      </c>
      <c r="U592" s="0" t="n">
        <f aca="false">Q592+S592</f>
        <v>43.1038479144159</v>
      </c>
      <c r="V592" s="54" t="b">
        <f aca="false">AND(D592&gt;=01_因子設定!$L$5-0.000000001,D592&lt;=01_因子設定!$M$5+0.000000001,E592&gt;=01_因子設定!$L$6-0.000000001,E592&lt;=01_因子設定!$M$6+0.000000001,F592&gt;=01_因子設定!$L$7-0.000000001,F592&lt;=01_因子設定!$M$7+0.000000001,IF(01_因子設定!$B$20="Box-Behnken",D592^2+E592^2+F592^2&lt;=2+0.000000001,TRUE()))</f>
        <v>1</v>
      </c>
      <c r="W592" s="55" t="n">
        <f aca="false">IF(V592,IF(01_因子設定!$B$13="最大化",T592-01_因子設定!$B$14,IF(01_因子設定!$B$13="最小化",01_因子設定!$B$15-U592,MIN(T592-01_因子設定!$B$14,01_因子設定!$B$15-U592))),-1E+030)</f>
        <v>-7.6921717780523</v>
      </c>
      <c r="X592" s="55" t="n">
        <f aca="false">IF(V592,IF(01_因子設定!$B$13="最大化",Q592,IF(01_因子設定!$B$13="最小化",-Q592,-ABS(Q592-01_因子設定!$B$16))),-1E+030)</f>
        <v>41.9558380681818</v>
      </c>
      <c r="Y592" s="55" t="n">
        <f aca="false">W592+ROW()*0.000000001</f>
        <v>-7.6921711860523</v>
      </c>
      <c r="Z592" s="55" t="n">
        <f aca="false">X592+ROW()*0.000000001</f>
        <v>41.9558386601818</v>
      </c>
    </row>
    <row r="593" customFormat="false" ht="15" hidden="false" customHeight="false" outlineLevel="0" collapsed="false">
      <c r="A593" s="0" t="n">
        <v>2</v>
      </c>
      <c r="B593" s="0" t="n">
        <v>0</v>
      </c>
      <c r="C593" s="0" t="n">
        <v>10</v>
      </c>
      <c r="D593" s="0" t="n">
        <f aca="false">-1+A593*0.125</f>
        <v>-0.75</v>
      </c>
      <c r="E593" s="0" t="n">
        <f aca="false">-1+B593*0.125</f>
        <v>-1</v>
      </c>
      <c r="F593" s="0" t="n">
        <f aca="false">-1+C593*0.125</f>
        <v>0.25</v>
      </c>
      <c r="G593" s="0" t="n">
        <f aca="false">1</f>
        <v>1</v>
      </c>
      <c r="H593" s="0" t="n">
        <f aca="false">D593</f>
        <v>-0.75</v>
      </c>
      <c r="I593" s="0" t="n">
        <f aca="false">E593</f>
        <v>-1</v>
      </c>
      <c r="J593" s="0" t="n">
        <f aca="false">F593</f>
        <v>0.25</v>
      </c>
      <c r="K593" s="0" t="n">
        <f aca="false">D593*E593</f>
        <v>0.75</v>
      </c>
      <c r="L593" s="0" t="n">
        <f aca="false">D593*F593</f>
        <v>-0.1875</v>
      </c>
      <c r="M593" s="0" t="n">
        <f aca="false">E593*F593</f>
        <v>-0.25</v>
      </c>
      <c r="N593" s="0" t="n">
        <f aca="false">D593*D593</f>
        <v>0.5625</v>
      </c>
      <c r="O593" s="0" t="n">
        <f aca="false">E593*E593</f>
        <v>1</v>
      </c>
      <c r="P593" s="0" t="n">
        <f aca="false">F593*F593</f>
        <v>0.0625</v>
      </c>
      <c r="Q593" s="0" t="n">
        <f aca="false">SUMPRODUCT(G593:P593,_XtX!$B$71:$K$71)</f>
        <v>42.0309659090909</v>
      </c>
      <c r="R593" s="0" t="n">
        <f aca="false">SUMPRODUCT(MMULT(G593:P593,_XtX!$B$58:$K$67),G593:P593)</f>
        <v>0.515545099431818</v>
      </c>
      <c r="S593" s="0" t="n">
        <f aca="false">04_回帰ANOVA!$K$19*04_回帰ANOVA!$K$14*SQRT(1+R593)</f>
        <v>1.14459295464101</v>
      </c>
      <c r="T593" s="0" t="n">
        <f aca="false">Q593-S593</f>
        <v>40.8863729544499</v>
      </c>
      <c r="U593" s="0" t="n">
        <f aca="false">Q593+S593</f>
        <v>43.1755588637319</v>
      </c>
      <c r="V593" s="54" t="b">
        <f aca="false">AND(D593&gt;=01_因子設定!$L$5-0.000000001,D593&lt;=01_因子設定!$M$5+0.000000001,E593&gt;=01_因子設定!$L$6-0.000000001,E593&lt;=01_因子設定!$M$6+0.000000001,F593&gt;=01_因子設定!$L$7-0.000000001,F593&lt;=01_因子設定!$M$7+0.000000001,IF(01_因子設定!$B$20="Box-Behnken",D593^2+E593^2+F593^2&lt;=2+0.000000001,TRUE()))</f>
        <v>1</v>
      </c>
      <c r="W593" s="55" t="n">
        <f aca="false">IF(V593,IF(01_因子設定!$B$13="最大化",T593-01_因子設定!$B$14,IF(01_因子設定!$B$13="最小化",01_因子設定!$B$15-U593,MIN(T593-01_因子設定!$B$14,01_因子設定!$B$15-U593))),-1E+030)</f>
        <v>-7.6136270455501</v>
      </c>
      <c r="X593" s="55" t="n">
        <f aca="false">IF(V593,IF(01_因子設定!$B$13="最大化",Q593,IF(01_因子設定!$B$13="最小化",-Q593,-ABS(Q593-01_因子設定!$B$16))),-1E+030)</f>
        <v>42.0309659090909</v>
      </c>
      <c r="Y593" s="55" t="n">
        <f aca="false">W593+ROW()*0.000000001</f>
        <v>-7.6136264525501</v>
      </c>
      <c r="Z593" s="55" t="n">
        <f aca="false">X593+ROW()*0.000000001</f>
        <v>42.0309665020909</v>
      </c>
    </row>
    <row r="594" customFormat="false" ht="15" hidden="false" customHeight="false" outlineLevel="0" collapsed="false">
      <c r="A594" s="0" t="n">
        <v>2</v>
      </c>
      <c r="B594" s="0" t="n">
        <v>0</v>
      </c>
      <c r="C594" s="0" t="n">
        <v>11</v>
      </c>
      <c r="D594" s="0" t="n">
        <f aca="false">-1+A594*0.125</f>
        <v>-0.75</v>
      </c>
      <c r="E594" s="0" t="n">
        <f aca="false">-1+B594*0.125</f>
        <v>-1</v>
      </c>
      <c r="F594" s="0" t="n">
        <f aca="false">-1+C594*0.125</f>
        <v>0.375</v>
      </c>
      <c r="G594" s="0" t="n">
        <f aca="false">1</f>
        <v>1</v>
      </c>
      <c r="H594" s="0" t="n">
        <f aca="false">D594</f>
        <v>-0.75</v>
      </c>
      <c r="I594" s="0" t="n">
        <f aca="false">E594</f>
        <v>-1</v>
      </c>
      <c r="J594" s="0" t="n">
        <f aca="false">F594</f>
        <v>0.375</v>
      </c>
      <c r="K594" s="0" t="n">
        <f aca="false">D594*E594</f>
        <v>0.75</v>
      </c>
      <c r="L594" s="0" t="n">
        <f aca="false">D594*F594</f>
        <v>-0.28125</v>
      </c>
      <c r="M594" s="0" t="n">
        <f aca="false">E594*F594</f>
        <v>-0.375</v>
      </c>
      <c r="N594" s="0" t="n">
        <f aca="false">D594*D594</f>
        <v>0.5625</v>
      </c>
      <c r="O594" s="0" t="n">
        <f aca="false">E594*E594</f>
        <v>1</v>
      </c>
      <c r="P594" s="0" t="n">
        <f aca="false">F594*F594</f>
        <v>0.140625</v>
      </c>
      <c r="Q594" s="0" t="n">
        <f aca="false">SUMPRODUCT(G594:P594,_XtX!$B$71:$K$71)</f>
        <v>42.0693039772727</v>
      </c>
      <c r="R594" s="0" t="n">
        <f aca="false">SUMPRODUCT(MMULT(G594:P594,_XtX!$B$58:$K$67),G594:P594)</f>
        <v>0.503992808948864</v>
      </c>
      <c r="S594" s="0" t="n">
        <f aca="false">04_回帰ANOVA!$K$19*04_回帰ANOVA!$K$14*SQRT(1+R594)</f>
        <v>1.14022226176226</v>
      </c>
      <c r="T594" s="0" t="n">
        <f aca="false">Q594-S594</f>
        <v>40.9290817155105</v>
      </c>
      <c r="U594" s="0" t="n">
        <f aca="false">Q594+S594</f>
        <v>43.209526239035</v>
      </c>
      <c r="V594" s="54" t="b">
        <f aca="false">AND(D594&gt;=01_因子設定!$L$5-0.000000001,D594&lt;=01_因子設定!$M$5+0.000000001,E594&gt;=01_因子設定!$L$6-0.000000001,E594&lt;=01_因子設定!$M$6+0.000000001,F594&gt;=01_因子設定!$L$7-0.000000001,F594&lt;=01_因子設定!$M$7+0.000000001,IF(01_因子設定!$B$20="Box-Behnken",D594^2+E594^2+F594^2&lt;=2+0.000000001,TRUE()))</f>
        <v>1</v>
      </c>
      <c r="W594" s="55" t="n">
        <f aca="false">IF(V594,IF(01_因子設定!$B$13="最大化",T594-01_因子設定!$B$14,IF(01_因子設定!$B$13="最小化",01_因子設定!$B$15-U594,MIN(T594-01_因子設定!$B$14,01_因子設定!$B$15-U594))),-1E+030)</f>
        <v>-7.57091828448953</v>
      </c>
      <c r="X594" s="55" t="n">
        <f aca="false">IF(V594,IF(01_因子設定!$B$13="最大化",Q594,IF(01_因子設定!$B$13="最小化",-Q594,-ABS(Q594-01_因子設定!$B$16))),-1E+030)</f>
        <v>42.0693039772727</v>
      </c>
      <c r="Y594" s="55" t="n">
        <f aca="false">W594+ROW()*0.000000001</f>
        <v>-7.57091769048953</v>
      </c>
      <c r="Z594" s="55" t="n">
        <f aca="false">X594+ROW()*0.000000001</f>
        <v>42.0693045712727</v>
      </c>
    </row>
    <row r="595" customFormat="false" ht="15" hidden="false" customHeight="false" outlineLevel="0" collapsed="false">
      <c r="A595" s="0" t="n">
        <v>2</v>
      </c>
      <c r="B595" s="0" t="n">
        <v>0</v>
      </c>
      <c r="C595" s="0" t="n">
        <v>12</v>
      </c>
      <c r="D595" s="0" t="n">
        <f aca="false">-1+A595*0.125</f>
        <v>-0.75</v>
      </c>
      <c r="E595" s="0" t="n">
        <f aca="false">-1+B595*0.125</f>
        <v>-1</v>
      </c>
      <c r="F595" s="0" t="n">
        <f aca="false">-1+C595*0.125</f>
        <v>0.5</v>
      </c>
      <c r="G595" s="0" t="n">
        <f aca="false">1</f>
        <v>1</v>
      </c>
      <c r="H595" s="0" t="n">
        <f aca="false">D595</f>
        <v>-0.75</v>
      </c>
      <c r="I595" s="0" t="n">
        <f aca="false">E595</f>
        <v>-1</v>
      </c>
      <c r="J595" s="0" t="n">
        <f aca="false">F595</f>
        <v>0.5</v>
      </c>
      <c r="K595" s="0" t="n">
        <f aca="false">D595*E595</f>
        <v>0.75</v>
      </c>
      <c r="L595" s="0" t="n">
        <f aca="false">D595*F595</f>
        <v>-0.375</v>
      </c>
      <c r="M595" s="0" t="n">
        <f aca="false">E595*F595</f>
        <v>-0.5</v>
      </c>
      <c r="N595" s="0" t="n">
        <f aca="false">D595*D595</f>
        <v>0.5625</v>
      </c>
      <c r="O595" s="0" t="n">
        <f aca="false">E595*E595</f>
        <v>1</v>
      </c>
      <c r="P595" s="0" t="n">
        <f aca="false">F595*F595</f>
        <v>0.25</v>
      </c>
      <c r="Q595" s="0" t="n">
        <f aca="false">SUMPRODUCT(G595:P595,_XtX!$B$71:$K$71)</f>
        <v>42.0708522727273</v>
      </c>
      <c r="R595" s="0" t="n">
        <f aca="false">SUMPRODUCT(MMULT(G595:P595,_XtX!$B$58:$K$67),G595:P595)</f>
        <v>0.495276988636364</v>
      </c>
      <c r="S595" s="0" t="n">
        <f aca="false">04_回帰ANOVA!$K$19*04_回帰ANOVA!$K$14*SQRT(1+R595)</f>
        <v>1.13691359828352</v>
      </c>
      <c r="T595" s="0" t="n">
        <f aca="false">Q595-S595</f>
        <v>40.9339386744438</v>
      </c>
      <c r="U595" s="0" t="n">
        <f aca="false">Q595+S595</f>
        <v>43.2077658710108</v>
      </c>
      <c r="V595" s="54" t="b">
        <f aca="false">AND(D595&gt;=01_因子設定!$L$5-0.000000001,D595&lt;=01_因子設定!$M$5+0.000000001,E595&gt;=01_因子設定!$L$6-0.000000001,E595&lt;=01_因子設定!$M$6+0.000000001,F595&gt;=01_因子設定!$L$7-0.000000001,F595&lt;=01_因子設定!$M$7+0.000000001,IF(01_因子設定!$B$20="Box-Behnken",D595^2+E595^2+F595^2&lt;=2+0.000000001,TRUE()))</f>
        <v>1</v>
      </c>
      <c r="W595" s="55" t="n">
        <f aca="false">IF(V595,IF(01_因子設定!$B$13="最大化",T595-01_因子設定!$B$14,IF(01_因子設定!$B$13="最小化",01_因子設定!$B$15-U595,MIN(T595-01_因子設定!$B$14,01_因子設定!$B$15-U595))),-1E+030)</f>
        <v>-7.56606132555624</v>
      </c>
      <c r="X595" s="55" t="n">
        <f aca="false">IF(V595,IF(01_因子設定!$B$13="最大化",Q595,IF(01_因子設定!$B$13="最小化",-Q595,-ABS(Q595-01_因子設定!$B$16))),-1E+030)</f>
        <v>42.0708522727273</v>
      </c>
      <c r="Y595" s="55" t="n">
        <f aca="false">W595+ROW()*0.000000001</f>
        <v>-7.56606073055624</v>
      </c>
      <c r="Z595" s="55" t="n">
        <f aca="false">X595+ROW()*0.000000001</f>
        <v>42.0708528677273</v>
      </c>
    </row>
    <row r="596" customFormat="false" ht="15" hidden="false" customHeight="false" outlineLevel="0" collapsed="false">
      <c r="A596" s="0" t="n">
        <v>2</v>
      </c>
      <c r="B596" s="0" t="n">
        <v>0</v>
      </c>
      <c r="C596" s="0" t="n">
        <v>13</v>
      </c>
      <c r="D596" s="0" t="n">
        <f aca="false">-1+A596*0.125</f>
        <v>-0.75</v>
      </c>
      <c r="E596" s="0" t="n">
        <f aca="false">-1+B596*0.125</f>
        <v>-1</v>
      </c>
      <c r="F596" s="0" t="n">
        <f aca="false">-1+C596*0.125</f>
        <v>0.625</v>
      </c>
      <c r="G596" s="0" t="n">
        <f aca="false">1</f>
        <v>1</v>
      </c>
      <c r="H596" s="0" t="n">
        <f aca="false">D596</f>
        <v>-0.75</v>
      </c>
      <c r="I596" s="0" t="n">
        <f aca="false">E596</f>
        <v>-1</v>
      </c>
      <c r="J596" s="0" t="n">
        <f aca="false">F596</f>
        <v>0.625</v>
      </c>
      <c r="K596" s="0" t="n">
        <f aca="false">D596*E596</f>
        <v>0.75</v>
      </c>
      <c r="L596" s="0" t="n">
        <f aca="false">D596*F596</f>
        <v>-0.46875</v>
      </c>
      <c r="M596" s="0" t="n">
        <f aca="false">E596*F596</f>
        <v>-0.625</v>
      </c>
      <c r="N596" s="0" t="n">
        <f aca="false">D596*D596</f>
        <v>0.5625</v>
      </c>
      <c r="O596" s="0" t="n">
        <f aca="false">E596*E596</f>
        <v>1</v>
      </c>
      <c r="P596" s="0" t="n">
        <f aca="false">F596*F596</f>
        <v>0.390625</v>
      </c>
      <c r="Q596" s="0" t="n">
        <f aca="false">SUMPRODUCT(G596:P596,_XtX!$B$71:$K$71)</f>
        <v>42.0356107954546</v>
      </c>
      <c r="R596" s="0" t="n">
        <f aca="false">SUMPRODUCT(MMULT(G596:P596,_XtX!$B$58:$K$67),G596:P596)</f>
        <v>0.496855024857955</v>
      </c>
      <c r="S596" s="0" t="n">
        <f aca="false">04_回帰ANOVA!$K$19*04_回帰ANOVA!$K$14*SQRT(1+R596)</f>
        <v>1.1375133593161</v>
      </c>
      <c r="T596" s="0" t="n">
        <f aca="false">Q596-S596</f>
        <v>40.8980974361385</v>
      </c>
      <c r="U596" s="0" t="n">
        <f aca="false">Q596+S596</f>
        <v>43.1731241547707</v>
      </c>
      <c r="V596" s="54" t="b">
        <f aca="false">AND(D596&gt;=01_因子設定!$L$5-0.000000001,D596&lt;=01_因子設定!$M$5+0.000000001,E596&gt;=01_因子設定!$L$6-0.000000001,E596&lt;=01_因子設定!$M$6+0.000000001,F596&gt;=01_因子設定!$L$7-0.000000001,F596&lt;=01_因子設定!$M$7+0.000000001,IF(01_因子設定!$B$20="Box-Behnken",D596^2+E596^2+F596^2&lt;=2+0.000000001,TRUE()))</f>
        <v>1</v>
      </c>
      <c r="W596" s="55" t="n">
        <f aca="false">IF(V596,IF(01_因子設定!$B$13="最大化",T596-01_因子設定!$B$14,IF(01_因子設定!$B$13="最小化",01_因子設定!$B$15-U596,MIN(T596-01_因子設定!$B$14,01_因子設定!$B$15-U596))),-1E+030)</f>
        <v>-7.60190256386154</v>
      </c>
      <c r="X596" s="55" t="n">
        <f aca="false">IF(V596,IF(01_因子設定!$B$13="最大化",Q596,IF(01_因子設定!$B$13="最小化",-Q596,-ABS(Q596-01_因子設定!$B$16))),-1E+030)</f>
        <v>42.0356107954546</v>
      </c>
      <c r="Y596" s="55" t="n">
        <f aca="false">W596+ROW()*0.000000001</f>
        <v>-7.60190196786154</v>
      </c>
      <c r="Z596" s="55" t="n">
        <f aca="false">X596+ROW()*0.000000001</f>
        <v>42.0356113914546</v>
      </c>
    </row>
    <row r="597" customFormat="false" ht="15" hidden="false" customHeight="false" outlineLevel="0" collapsed="false">
      <c r="A597" s="0" t="n">
        <v>2</v>
      </c>
      <c r="B597" s="0" t="n">
        <v>0</v>
      </c>
      <c r="C597" s="0" t="n">
        <v>14</v>
      </c>
      <c r="D597" s="0" t="n">
        <f aca="false">-1+A597*0.125</f>
        <v>-0.75</v>
      </c>
      <c r="E597" s="0" t="n">
        <f aca="false">-1+B597*0.125</f>
        <v>-1</v>
      </c>
      <c r="F597" s="0" t="n">
        <f aca="false">-1+C597*0.125</f>
        <v>0.75</v>
      </c>
      <c r="G597" s="0" t="n">
        <f aca="false">1</f>
        <v>1</v>
      </c>
      <c r="H597" s="0" t="n">
        <f aca="false">D597</f>
        <v>-0.75</v>
      </c>
      <c r="I597" s="0" t="n">
        <f aca="false">E597</f>
        <v>-1</v>
      </c>
      <c r="J597" s="0" t="n">
        <f aca="false">F597</f>
        <v>0.75</v>
      </c>
      <c r="K597" s="0" t="n">
        <f aca="false">D597*E597</f>
        <v>0.75</v>
      </c>
      <c r="L597" s="0" t="n">
        <f aca="false">D597*F597</f>
        <v>-0.5625</v>
      </c>
      <c r="M597" s="0" t="n">
        <f aca="false">E597*F597</f>
        <v>-0.75</v>
      </c>
      <c r="N597" s="0" t="n">
        <f aca="false">D597*D597</f>
        <v>0.5625</v>
      </c>
      <c r="O597" s="0" t="n">
        <f aca="false">E597*E597</f>
        <v>1</v>
      </c>
      <c r="P597" s="0" t="n">
        <f aca="false">F597*F597</f>
        <v>0.5625</v>
      </c>
      <c r="Q597" s="0" t="n">
        <f aca="false">SUMPRODUCT(G597:P597,_XtX!$B$71:$K$71)</f>
        <v>41.9635795454546</v>
      </c>
      <c r="R597" s="0" t="n">
        <f aca="false">SUMPRODUCT(MMULT(G597:P597,_XtX!$B$58:$K$67),G597:P597)</f>
        <v>0.518314985795455</v>
      </c>
      <c r="S597" s="0" t="n">
        <f aca="false">04_回帰ANOVA!$K$19*04_回帰ANOVA!$K$14*SQRT(1+R597)</f>
        <v>1.14563843495971</v>
      </c>
      <c r="T597" s="0" t="n">
        <f aca="false">Q597-S597</f>
        <v>40.8179411104949</v>
      </c>
      <c r="U597" s="0" t="n">
        <f aca="false">Q597+S597</f>
        <v>43.1092179804143</v>
      </c>
      <c r="V597" s="54" t="b">
        <f aca="false">AND(D597&gt;=01_因子設定!$L$5-0.000000001,D597&lt;=01_因子設定!$M$5+0.000000001,E597&gt;=01_因子設定!$L$6-0.000000001,E597&lt;=01_因子設定!$M$6+0.000000001,F597&gt;=01_因子設定!$L$7-0.000000001,F597&lt;=01_因子設定!$M$7+0.000000001,IF(01_因子設定!$B$20="Box-Behnken",D597^2+E597^2+F597^2&lt;=2+0.000000001,TRUE()))</f>
        <v>1</v>
      </c>
      <c r="W597" s="55" t="n">
        <f aca="false">IF(V597,IF(01_因子設定!$B$13="最大化",T597-01_因子設定!$B$14,IF(01_因子設定!$B$13="最小化",01_因子設定!$B$15-U597,MIN(T597-01_因子設定!$B$14,01_因子設定!$B$15-U597))),-1E+030)</f>
        <v>-7.68205888950515</v>
      </c>
      <c r="X597" s="55" t="n">
        <f aca="false">IF(V597,IF(01_因子設定!$B$13="最大化",Q597,IF(01_因子設定!$B$13="最小化",-Q597,-ABS(Q597-01_因子設定!$B$16))),-1E+030)</f>
        <v>41.9635795454546</v>
      </c>
      <c r="Y597" s="55" t="n">
        <f aca="false">W597+ROW()*0.000000001</f>
        <v>-7.68205829250515</v>
      </c>
      <c r="Z597" s="55" t="n">
        <f aca="false">X597+ROW()*0.000000001</f>
        <v>41.9635801424546</v>
      </c>
    </row>
    <row r="598" customFormat="false" ht="15" hidden="false" customHeight="false" outlineLevel="0" collapsed="false">
      <c r="A598" s="0" t="n">
        <v>2</v>
      </c>
      <c r="B598" s="0" t="n">
        <v>0</v>
      </c>
      <c r="C598" s="0" t="n">
        <v>15</v>
      </c>
      <c r="D598" s="0" t="n">
        <f aca="false">-1+A598*0.125</f>
        <v>-0.75</v>
      </c>
      <c r="E598" s="0" t="n">
        <f aca="false">-1+B598*0.125</f>
        <v>-1</v>
      </c>
      <c r="F598" s="0" t="n">
        <f aca="false">-1+C598*0.125</f>
        <v>0.875</v>
      </c>
      <c r="G598" s="0" t="n">
        <f aca="false">1</f>
        <v>1</v>
      </c>
      <c r="H598" s="0" t="n">
        <f aca="false">D598</f>
        <v>-0.75</v>
      </c>
      <c r="I598" s="0" t="n">
        <f aca="false">E598</f>
        <v>-1</v>
      </c>
      <c r="J598" s="0" t="n">
        <f aca="false">F598</f>
        <v>0.875</v>
      </c>
      <c r="K598" s="0" t="n">
        <f aca="false">D598*E598</f>
        <v>0.75</v>
      </c>
      <c r="L598" s="0" t="n">
        <f aca="false">D598*F598</f>
        <v>-0.65625</v>
      </c>
      <c r="M598" s="0" t="n">
        <f aca="false">E598*F598</f>
        <v>-0.875</v>
      </c>
      <c r="N598" s="0" t="n">
        <f aca="false">D598*D598</f>
        <v>0.5625</v>
      </c>
      <c r="O598" s="0" t="n">
        <f aca="false">E598*E598</f>
        <v>1</v>
      </c>
      <c r="P598" s="0" t="n">
        <f aca="false">F598*F598</f>
        <v>0.765625</v>
      </c>
      <c r="Q598" s="0" t="n">
        <f aca="false">SUMPRODUCT(G598:P598,_XtX!$B$71:$K$71)</f>
        <v>41.8547585227273</v>
      </c>
      <c r="R598" s="0" t="n">
        <f aca="false">SUMPRODUCT(MMULT(G598:P598,_XtX!$B$58:$K$67),G598:P598)</f>
        <v>0.571375621448864</v>
      </c>
      <c r="S598" s="0" t="n">
        <f aca="false">04_回帰ANOVA!$K$19*04_回帰ANOVA!$K$14*SQRT(1+R598)</f>
        <v>1.16548487437682</v>
      </c>
      <c r="T598" s="0" t="n">
        <f aca="false">Q598-S598</f>
        <v>40.6892736483505</v>
      </c>
      <c r="U598" s="0" t="n">
        <f aca="false">Q598+S598</f>
        <v>43.0202433971041</v>
      </c>
      <c r="V598" s="54" t="b">
        <f aca="false">AND(D598&gt;=01_因子設定!$L$5-0.000000001,D598&lt;=01_因子設定!$M$5+0.000000001,E598&gt;=01_因子設定!$L$6-0.000000001,E598&lt;=01_因子設定!$M$6+0.000000001,F598&gt;=01_因子設定!$L$7-0.000000001,F598&lt;=01_因子設定!$M$7+0.000000001,IF(01_因子設定!$B$20="Box-Behnken",D598^2+E598^2+F598^2&lt;=2+0.000000001,TRUE()))</f>
        <v>1</v>
      </c>
      <c r="W598" s="55" t="n">
        <f aca="false">IF(V598,IF(01_因子設定!$B$13="最大化",T598-01_因子設定!$B$14,IF(01_因子設定!$B$13="最小化",01_因子設定!$B$15-U598,MIN(T598-01_因子設定!$B$14,01_因子設定!$B$15-U598))),-1E+030)</f>
        <v>-7.81072635164953</v>
      </c>
      <c r="X598" s="55" t="n">
        <f aca="false">IF(V598,IF(01_因子設定!$B$13="最大化",Q598,IF(01_因子設定!$B$13="最小化",-Q598,-ABS(Q598-01_因子設定!$B$16))),-1E+030)</f>
        <v>41.8547585227273</v>
      </c>
      <c r="Y598" s="55" t="n">
        <f aca="false">W598+ROW()*0.000000001</f>
        <v>-7.81072575364953</v>
      </c>
      <c r="Z598" s="55" t="n">
        <f aca="false">X598+ROW()*0.000000001</f>
        <v>41.8547591207273</v>
      </c>
    </row>
    <row r="599" customFormat="false" ht="15" hidden="false" customHeight="false" outlineLevel="0" collapsed="false">
      <c r="A599" s="0" t="n">
        <v>2</v>
      </c>
      <c r="B599" s="0" t="n">
        <v>0</v>
      </c>
      <c r="C599" s="0" t="n">
        <v>16</v>
      </c>
      <c r="D599" s="0" t="n">
        <f aca="false">-1+A599*0.125</f>
        <v>-0.75</v>
      </c>
      <c r="E599" s="0" t="n">
        <f aca="false">-1+B599*0.125</f>
        <v>-1</v>
      </c>
      <c r="F599" s="0" t="n">
        <f aca="false">-1+C599*0.125</f>
        <v>1</v>
      </c>
      <c r="G599" s="0" t="n">
        <f aca="false">1</f>
        <v>1</v>
      </c>
      <c r="H599" s="0" t="n">
        <f aca="false">D599</f>
        <v>-0.75</v>
      </c>
      <c r="I599" s="0" t="n">
        <f aca="false">E599</f>
        <v>-1</v>
      </c>
      <c r="J599" s="0" t="n">
        <f aca="false">F599</f>
        <v>1</v>
      </c>
      <c r="K599" s="0" t="n">
        <f aca="false">D599*E599</f>
        <v>0.75</v>
      </c>
      <c r="L599" s="0" t="n">
        <f aca="false">D599*F599</f>
        <v>-0.75</v>
      </c>
      <c r="M599" s="0" t="n">
        <f aca="false">E599*F599</f>
        <v>-1</v>
      </c>
      <c r="N599" s="0" t="n">
        <f aca="false">D599*D599</f>
        <v>0.5625</v>
      </c>
      <c r="O599" s="0" t="n">
        <f aca="false">E599*E599</f>
        <v>1</v>
      </c>
      <c r="P599" s="0" t="n">
        <f aca="false">F599*F599</f>
        <v>1</v>
      </c>
      <c r="Q599" s="0" t="n">
        <f aca="false">SUMPRODUCT(G599:P599,_XtX!$B$71:$K$71)</f>
        <v>41.7091477272727</v>
      </c>
      <c r="R599" s="0" t="n">
        <f aca="false">SUMPRODUCT(MMULT(G599:P599,_XtX!$B$58:$K$67),G599:P599)</f>
        <v>0.669886363636364</v>
      </c>
      <c r="S599" s="0" t="n">
        <f aca="false">04_回帰ANOVA!$K$19*04_回帰ANOVA!$K$14*SQRT(1+R599)</f>
        <v>1.20146215423986</v>
      </c>
      <c r="T599" s="0" t="n">
        <f aca="false">Q599-S599</f>
        <v>40.5076855730329</v>
      </c>
      <c r="U599" s="0" t="n">
        <f aca="false">Q599+S599</f>
        <v>42.9106098815126</v>
      </c>
      <c r="V599" s="54" t="b">
        <f aca="false">AND(D599&gt;=01_因子設定!$L$5-0.000000001,D599&lt;=01_因子設定!$M$5+0.000000001,E599&gt;=01_因子設定!$L$6-0.000000001,E599&lt;=01_因子設定!$M$6+0.000000001,F599&gt;=01_因子設定!$L$7-0.000000001,F599&lt;=01_因子設定!$M$7+0.000000001,IF(01_因子設定!$B$20="Box-Behnken",D599^2+E599^2+F599^2&lt;=2+0.000000001,TRUE()))</f>
        <v>1</v>
      </c>
      <c r="W599" s="55" t="n">
        <f aca="false">IF(V599,IF(01_因子設定!$B$13="最大化",T599-01_因子設定!$B$14,IF(01_因子設定!$B$13="最小化",01_因子設定!$B$15-U599,MIN(T599-01_因子設定!$B$14,01_因子設定!$B$15-U599))),-1E+030)</f>
        <v>-7.99231442696712</v>
      </c>
      <c r="X599" s="55" t="n">
        <f aca="false">IF(V599,IF(01_因子設定!$B$13="最大化",Q599,IF(01_因子設定!$B$13="最小化",-Q599,-ABS(Q599-01_因子設定!$B$16))),-1E+030)</f>
        <v>41.7091477272727</v>
      </c>
      <c r="Y599" s="55" t="n">
        <f aca="false">W599+ROW()*0.000000001</f>
        <v>-7.99231382796712</v>
      </c>
      <c r="Z599" s="55" t="n">
        <f aca="false">X599+ROW()*0.000000001</f>
        <v>41.7091483262728</v>
      </c>
    </row>
    <row r="600" customFormat="false" ht="15" hidden="false" customHeight="false" outlineLevel="0" collapsed="false">
      <c r="A600" s="0" t="n">
        <v>2</v>
      </c>
      <c r="B600" s="0" t="n">
        <v>1</v>
      </c>
      <c r="C600" s="0" t="n">
        <v>0</v>
      </c>
      <c r="D600" s="0" t="n">
        <f aca="false">-1+A600*0.125</f>
        <v>-0.75</v>
      </c>
      <c r="E600" s="0" t="n">
        <f aca="false">-1+B600*0.125</f>
        <v>-0.875</v>
      </c>
      <c r="F600" s="0" t="n">
        <f aca="false">-1+C600*0.125</f>
        <v>-1</v>
      </c>
      <c r="G600" s="0" t="n">
        <f aca="false">1</f>
        <v>1</v>
      </c>
      <c r="H600" s="0" t="n">
        <f aca="false">D600</f>
        <v>-0.75</v>
      </c>
      <c r="I600" s="0" t="n">
        <f aca="false">E600</f>
        <v>-0.875</v>
      </c>
      <c r="J600" s="0" t="n">
        <f aca="false">F600</f>
        <v>-1</v>
      </c>
      <c r="K600" s="0" t="n">
        <f aca="false">D600*E600</f>
        <v>0.65625</v>
      </c>
      <c r="L600" s="0" t="n">
        <f aca="false">D600*F600</f>
        <v>0.75</v>
      </c>
      <c r="M600" s="0" t="n">
        <f aca="false">E600*F600</f>
        <v>0.875</v>
      </c>
      <c r="N600" s="0" t="n">
        <f aca="false">D600*D600</f>
        <v>0.5625</v>
      </c>
      <c r="O600" s="0" t="n">
        <f aca="false">E600*E600</f>
        <v>0.765625</v>
      </c>
      <c r="P600" s="0" t="n">
        <f aca="false">F600*F600</f>
        <v>1</v>
      </c>
      <c r="Q600" s="0" t="n">
        <f aca="false">SUMPRODUCT(G600:P600,_XtX!$B$71:$K$71)</f>
        <v>40.1869460227273</v>
      </c>
      <c r="R600" s="0" t="n">
        <f aca="false">SUMPRODUCT(MMULT(G600:P600,_XtX!$B$58:$K$67),G600:P600)</f>
        <v>0.571375621448864</v>
      </c>
      <c r="S600" s="0" t="n">
        <f aca="false">04_回帰ANOVA!$K$19*04_回帰ANOVA!$K$14*SQRT(1+R600)</f>
        <v>1.16548487437682</v>
      </c>
      <c r="T600" s="0" t="n">
        <f aca="false">Q600-S600</f>
        <v>39.0214611483505</v>
      </c>
      <c r="U600" s="0" t="n">
        <f aca="false">Q600+S600</f>
        <v>41.3524308971041</v>
      </c>
      <c r="V600" s="54" t="b">
        <f aca="false">AND(D600&gt;=01_因子設定!$L$5-0.000000001,D600&lt;=01_因子設定!$M$5+0.000000001,E600&gt;=01_因子設定!$L$6-0.000000001,E600&lt;=01_因子設定!$M$6+0.000000001,F600&gt;=01_因子設定!$L$7-0.000000001,F600&lt;=01_因子設定!$M$7+0.000000001,IF(01_因子設定!$B$20="Box-Behnken",D600^2+E600^2+F600^2&lt;=2+0.000000001,TRUE()))</f>
        <v>1</v>
      </c>
      <c r="W600" s="55" t="n">
        <f aca="false">IF(V600,IF(01_因子設定!$B$13="最大化",T600-01_因子設定!$B$14,IF(01_因子設定!$B$13="最小化",01_因子設定!$B$15-U600,MIN(T600-01_因子設定!$B$14,01_因子設定!$B$15-U600))),-1E+030)</f>
        <v>-9.47853885164953</v>
      </c>
      <c r="X600" s="55" t="n">
        <f aca="false">IF(V600,IF(01_因子設定!$B$13="最大化",Q600,IF(01_因子設定!$B$13="最小化",-Q600,-ABS(Q600-01_因子設定!$B$16))),-1E+030)</f>
        <v>40.1869460227273</v>
      </c>
      <c r="Y600" s="55" t="n">
        <f aca="false">W600+ROW()*0.000000001</f>
        <v>-9.47853825164953</v>
      </c>
      <c r="Z600" s="55" t="n">
        <f aca="false">X600+ROW()*0.000000001</f>
        <v>40.1869466227273</v>
      </c>
    </row>
    <row r="601" customFormat="false" ht="15" hidden="false" customHeight="false" outlineLevel="0" collapsed="false">
      <c r="A601" s="0" t="n">
        <v>2</v>
      </c>
      <c r="B601" s="0" t="n">
        <v>1</v>
      </c>
      <c r="C601" s="0" t="n">
        <v>1</v>
      </c>
      <c r="D601" s="0" t="n">
        <f aca="false">-1+A601*0.125</f>
        <v>-0.75</v>
      </c>
      <c r="E601" s="0" t="n">
        <f aca="false">-1+B601*0.125</f>
        <v>-0.875</v>
      </c>
      <c r="F601" s="0" t="n">
        <f aca="false">-1+C601*0.125</f>
        <v>-0.875</v>
      </c>
      <c r="G601" s="0" t="n">
        <f aca="false">1</f>
        <v>1</v>
      </c>
      <c r="H601" s="0" t="n">
        <f aca="false">D601</f>
        <v>-0.75</v>
      </c>
      <c r="I601" s="0" t="n">
        <f aca="false">E601</f>
        <v>-0.875</v>
      </c>
      <c r="J601" s="0" t="n">
        <f aca="false">F601</f>
        <v>-0.875</v>
      </c>
      <c r="K601" s="0" t="n">
        <f aca="false">D601*E601</f>
        <v>0.65625</v>
      </c>
      <c r="L601" s="0" t="n">
        <f aca="false">D601*F601</f>
        <v>0.65625</v>
      </c>
      <c r="M601" s="0" t="n">
        <f aca="false">E601*F601</f>
        <v>0.765625</v>
      </c>
      <c r="N601" s="0" t="n">
        <f aca="false">D601*D601</f>
        <v>0.5625</v>
      </c>
      <c r="O601" s="0" t="n">
        <f aca="false">E601*E601</f>
        <v>0.765625</v>
      </c>
      <c r="P601" s="0" t="n">
        <f aca="false">F601*F601</f>
        <v>0.765625</v>
      </c>
      <c r="Q601" s="0" t="n">
        <f aca="false">SUMPRODUCT(G601:P601,_XtX!$B$71:$K$71)</f>
        <v>40.6002130681818</v>
      </c>
      <c r="R601" s="0" t="n">
        <f aca="false">SUMPRODUCT(MMULT(G601:P601,_XtX!$B$58:$K$67),G601:P601)</f>
        <v>0.464749977805398</v>
      </c>
      <c r="S601" s="0" t="n">
        <f aca="false">04_回帰ANOVA!$K$19*04_回帰ANOVA!$K$14*SQRT(1+R601)</f>
        <v>1.12524835342194</v>
      </c>
      <c r="T601" s="0" t="n">
        <f aca="false">Q601-S601</f>
        <v>39.4749647147599</v>
      </c>
      <c r="U601" s="0" t="n">
        <f aca="false">Q601+S601</f>
        <v>41.7254614216038</v>
      </c>
      <c r="V601" s="54" t="b">
        <f aca="false">AND(D601&gt;=01_因子設定!$L$5-0.000000001,D601&lt;=01_因子設定!$M$5+0.000000001,E601&gt;=01_因子設定!$L$6-0.000000001,E601&lt;=01_因子設定!$M$6+0.000000001,F601&gt;=01_因子設定!$L$7-0.000000001,F601&lt;=01_因子設定!$M$7+0.000000001,IF(01_因子設定!$B$20="Box-Behnken",D601^2+E601^2+F601^2&lt;=2+0.000000001,TRUE()))</f>
        <v>1</v>
      </c>
      <c r="W601" s="55" t="n">
        <f aca="false">IF(V601,IF(01_因子設定!$B$13="最大化",T601-01_因子設定!$B$14,IF(01_因子設定!$B$13="最小化",01_因子設定!$B$15-U601,MIN(T601-01_因子設定!$B$14,01_因子設定!$B$15-U601))),-1E+030)</f>
        <v>-9.02503528524011</v>
      </c>
      <c r="X601" s="55" t="n">
        <f aca="false">IF(V601,IF(01_因子設定!$B$13="最大化",Q601,IF(01_因子設定!$B$13="最小化",-Q601,-ABS(Q601-01_因子設定!$B$16))),-1E+030)</f>
        <v>40.6002130681818</v>
      </c>
      <c r="Y601" s="55" t="n">
        <f aca="false">W601+ROW()*0.000000001</f>
        <v>-9.02503468424011</v>
      </c>
      <c r="Z601" s="55" t="n">
        <f aca="false">X601+ROW()*0.000000001</f>
        <v>40.6002136691818</v>
      </c>
    </row>
    <row r="602" customFormat="false" ht="15" hidden="false" customHeight="false" outlineLevel="0" collapsed="false">
      <c r="A602" s="0" t="n">
        <v>2</v>
      </c>
      <c r="B602" s="0" t="n">
        <v>1</v>
      </c>
      <c r="C602" s="0" t="n">
        <v>2</v>
      </c>
      <c r="D602" s="0" t="n">
        <f aca="false">-1+A602*0.125</f>
        <v>-0.75</v>
      </c>
      <c r="E602" s="0" t="n">
        <f aca="false">-1+B602*0.125</f>
        <v>-0.875</v>
      </c>
      <c r="F602" s="0" t="n">
        <f aca="false">-1+C602*0.125</f>
        <v>-0.75</v>
      </c>
      <c r="G602" s="0" t="n">
        <f aca="false">1</f>
        <v>1</v>
      </c>
      <c r="H602" s="0" t="n">
        <f aca="false">D602</f>
        <v>-0.75</v>
      </c>
      <c r="I602" s="0" t="n">
        <f aca="false">E602</f>
        <v>-0.875</v>
      </c>
      <c r="J602" s="0" t="n">
        <f aca="false">F602</f>
        <v>-0.75</v>
      </c>
      <c r="K602" s="0" t="n">
        <f aca="false">D602*E602</f>
        <v>0.65625</v>
      </c>
      <c r="L602" s="0" t="n">
        <f aca="false">D602*F602</f>
        <v>0.5625</v>
      </c>
      <c r="M602" s="0" t="n">
        <f aca="false">E602*F602</f>
        <v>0.65625</v>
      </c>
      <c r="N602" s="0" t="n">
        <f aca="false">D602*D602</f>
        <v>0.5625</v>
      </c>
      <c r="O602" s="0" t="n">
        <f aca="false">E602*E602</f>
        <v>0.765625</v>
      </c>
      <c r="P602" s="0" t="n">
        <f aca="false">F602*F602</f>
        <v>0.5625</v>
      </c>
      <c r="Q602" s="0" t="n">
        <f aca="false">SUMPRODUCT(G602:P602,_XtX!$B$71:$K$71)</f>
        <v>40.9766903409091</v>
      </c>
      <c r="R602" s="0" t="n">
        <f aca="false">SUMPRODUCT(MMULT(G602:P602,_XtX!$B$58:$K$67),G602:P602)</f>
        <v>0.404656427556818</v>
      </c>
      <c r="S602" s="0" t="n">
        <f aca="false">04_回帰ANOVA!$K$19*04_回帰ANOVA!$K$14*SQRT(1+R602)</f>
        <v>1.10192412515358</v>
      </c>
      <c r="T602" s="0" t="n">
        <f aca="false">Q602-S602</f>
        <v>39.8747662157555</v>
      </c>
      <c r="U602" s="0" t="n">
        <f aca="false">Q602+S602</f>
        <v>42.0786144660627</v>
      </c>
      <c r="V602" s="54" t="b">
        <f aca="false">AND(D602&gt;=01_因子設定!$L$5-0.000000001,D602&lt;=01_因子設定!$M$5+0.000000001,E602&gt;=01_因子設定!$L$6-0.000000001,E602&lt;=01_因子設定!$M$6+0.000000001,F602&gt;=01_因子設定!$L$7-0.000000001,F602&lt;=01_因子設定!$M$7+0.000000001,IF(01_因子設定!$B$20="Box-Behnken",D602^2+E602^2+F602^2&lt;=2+0.000000001,TRUE()))</f>
        <v>1</v>
      </c>
      <c r="W602" s="55" t="n">
        <f aca="false">IF(V602,IF(01_因子設定!$B$13="最大化",T602-01_因子設定!$B$14,IF(01_因子設定!$B$13="最小化",01_因子設定!$B$15-U602,MIN(T602-01_因子設定!$B$14,01_因子設定!$B$15-U602))),-1E+030)</f>
        <v>-8.62523378424448</v>
      </c>
      <c r="X602" s="55" t="n">
        <f aca="false">IF(V602,IF(01_因子設定!$B$13="最大化",Q602,IF(01_因子設定!$B$13="最小化",-Q602,-ABS(Q602-01_因子設定!$B$16))),-1E+030)</f>
        <v>40.9766903409091</v>
      </c>
      <c r="Y602" s="55" t="n">
        <f aca="false">W602+ROW()*0.000000001</f>
        <v>-8.62523318224448</v>
      </c>
      <c r="Z602" s="55" t="n">
        <f aca="false">X602+ROW()*0.000000001</f>
        <v>40.9766909429091</v>
      </c>
    </row>
    <row r="603" customFormat="false" ht="15" hidden="false" customHeight="false" outlineLevel="0" collapsed="false">
      <c r="A603" s="0" t="n">
        <v>2</v>
      </c>
      <c r="B603" s="0" t="n">
        <v>1</v>
      </c>
      <c r="C603" s="0" t="n">
        <v>3</v>
      </c>
      <c r="D603" s="0" t="n">
        <f aca="false">-1+A603*0.125</f>
        <v>-0.75</v>
      </c>
      <c r="E603" s="0" t="n">
        <f aca="false">-1+B603*0.125</f>
        <v>-0.875</v>
      </c>
      <c r="F603" s="0" t="n">
        <f aca="false">-1+C603*0.125</f>
        <v>-0.625</v>
      </c>
      <c r="G603" s="0" t="n">
        <f aca="false">1</f>
        <v>1</v>
      </c>
      <c r="H603" s="0" t="n">
        <f aca="false">D603</f>
        <v>-0.75</v>
      </c>
      <c r="I603" s="0" t="n">
        <f aca="false">E603</f>
        <v>-0.875</v>
      </c>
      <c r="J603" s="0" t="n">
        <f aca="false">F603</f>
        <v>-0.625</v>
      </c>
      <c r="K603" s="0" t="n">
        <f aca="false">D603*E603</f>
        <v>0.65625</v>
      </c>
      <c r="L603" s="0" t="n">
        <f aca="false">D603*F603</f>
        <v>0.46875</v>
      </c>
      <c r="M603" s="0" t="n">
        <f aca="false">E603*F603</f>
        <v>0.546875</v>
      </c>
      <c r="N603" s="0" t="n">
        <f aca="false">D603*D603</f>
        <v>0.5625</v>
      </c>
      <c r="O603" s="0" t="n">
        <f aca="false">E603*E603</f>
        <v>0.765625</v>
      </c>
      <c r="P603" s="0" t="n">
        <f aca="false">F603*F603</f>
        <v>0.390625</v>
      </c>
      <c r="Q603" s="0" t="n">
        <f aca="false">SUMPRODUCT(G603:P603,_XtX!$B$71:$K$71)</f>
        <v>41.3163778409091</v>
      </c>
      <c r="R603" s="0" t="n">
        <f aca="false">SUMPRODUCT(MMULT(G603:P603,_XtX!$B$58:$K$67),G603:P603)</f>
        <v>0.377245538884943</v>
      </c>
      <c r="S603" s="0" t="n">
        <f aca="false">04_回帰ANOVA!$K$19*04_回帰ANOVA!$K$14*SQRT(1+R603)</f>
        <v>1.09111951468927</v>
      </c>
      <c r="T603" s="0" t="n">
        <f aca="false">Q603-S603</f>
        <v>40.2252583262198</v>
      </c>
      <c r="U603" s="0" t="n">
        <f aca="false">Q603+S603</f>
        <v>42.4074973555984</v>
      </c>
      <c r="V603" s="54" t="b">
        <f aca="false">AND(D603&gt;=01_因子設定!$L$5-0.000000001,D603&lt;=01_因子設定!$M$5+0.000000001,E603&gt;=01_因子設定!$L$6-0.000000001,E603&lt;=01_因子設定!$M$6+0.000000001,F603&gt;=01_因子設定!$L$7-0.000000001,F603&lt;=01_因子設定!$M$7+0.000000001,IF(01_因子設定!$B$20="Box-Behnken",D603^2+E603^2+F603^2&lt;=2+0.000000001,TRUE()))</f>
        <v>1</v>
      </c>
      <c r="W603" s="55" t="n">
        <f aca="false">IF(V603,IF(01_因子設定!$B$13="最大化",T603-01_因子設定!$B$14,IF(01_因子設定!$B$13="最小化",01_因子設定!$B$15-U603,MIN(T603-01_因子設定!$B$14,01_因子設定!$B$15-U603))),-1E+030)</f>
        <v>-8.27474167378018</v>
      </c>
      <c r="X603" s="55" t="n">
        <f aca="false">IF(V603,IF(01_因子設定!$B$13="最大化",Q603,IF(01_因子設定!$B$13="最小化",-Q603,-ABS(Q603-01_因子設定!$B$16))),-1E+030)</f>
        <v>41.3163778409091</v>
      </c>
      <c r="Y603" s="55" t="n">
        <f aca="false">W603+ROW()*0.000000001</f>
        <v>-8.27474107078018</v>
      </c>
      <c r="Z603" s="55" t="n">
        <f aca="false">X603+ROW()*0.000000001</f>
        <v>41.3163784439091</v>
      </c>
    </row>
    <row r="604" customFormat="false" ht="15" hidden="false" customHeight="false" outlineLevel="0" collapsed="false">
      <c r="A604" s="0" t="n">
        <v>2</v>
      </c>
      <c r="B604" s="0" t="n">
        <v>1</v>
      </c>
      <c r="C604" s="0" t="n">
        <v>4</v>
      </c>
      <c r="D604" s="0" t="n">
        <f aca="false">-1+A604*0.125</f>
        <v>-0.75</v>
      </c>
      <c r="E604" s="0" t="n">
        <f aca="false">-1+B604*0.125</f>
        <v>-0.875</v>
      </c>
      <c r="F604" s="0" t="n">
        <f aca="false">-1+C604*0.125</f>
        <v>-0.5</v>
      </c>
      <c r="G604" s="0" t="n">
        <f aca="false">1</f>
        <v>1</v>
      </c>
      <c r="H604" s="0" t="n">
        <f aca="false">D604</f>
        <v>-0.75</v>
      </c>
      <c r="I604" s="0" t="n">
        <f aca="false">E604</f>
        <v>-0.875</v>
      </c>
      <c r="J604" s="0" t="n">
        <f aca="false">F604</f>
        <v>-0.5</v>
      </c>
      <c r="K604" s="0" t="n">
        <f aca="false">D604*E604</f>
        <v>0.65625</v>
      </c>
      <c r="L604" s="0" t="n">
        <f aca="false">D604*F604</f>
        <v>0.375</v>
      </c>
      <c r="M604" s="0" t="n">
        <f aca="false">E604*F604</f>
        <v>0.4375</v>
      </c>
      <c r="N604" s="0" t="n">
        <f aca="false">D604*D604</f>
        <v>0.5625</v>
      </c>
      <c r="O604" s="0" t="n">
        <f aca="false">E604*E604</f>
        <v>0.765625</v>
      </c>
      <c r="P604" s="0" t="n">
        <f aca="false">F604*F604</f>
        <v>0.25</v>
      </c>
      <c r="Q604" s="0" t="n">
        <f aca="false">SUMPRODUCT(G604:P604,_XtX!$B$71:$K$71)</f>
        <v>41.6192755681818</v>
      </c>
      <c r="R604" s="0" t="n">
        <f aca="false">SUMPRODUCT(MMULT(G604:P604,_XtX!$B$58:$K$67),G604:P604)</f>
        <v>0.370798561789773</v>
      </c>
      <c r="S604" s="0" t="n">
        <f aca="false">04_回帰ANOVA!$K$19*04_回帰ANOVA!$K$14*SQRT(1+R604)</f>
        <v>1.08856271788237</v>
      </c>
      <c r="T604" s="0" t="n">
        <f aca="false">Q604-S604</f>
        <v>40.5307128502994</v>
      </c>
      <c r="U604" s="0" t="n">
        <f aca="false">Q604+S604</f>
        <v>42.7078382860642</v>
      </c>
      <c r="V604" s="54" t="b">
        <f aca="false">AND(D604&gt;=01_因子設定!$L$5-0.000000001,D604&lt;=01_因子設定!$M$5+0.000000001,E604&gt;=01_因子設定!$L$6-0.000000001,E604&lt;=01_因子設定!$M$6+0.000000001,F604&gt;=01_因子設定!$L$7-0.000000001,F604&lt;=01_因子設定!$M$7+0.000000001,IF(01_因子設定!$B$20="Box-Behnken",D604^2+E604^2+F604^2&lt;=2+0.000000001,TRUE()))</f>
        <v>1</v>
      </c>
      <c r="W604" s="55" t="n">
        <f aca="false">IF(V604,IF(01_因子設定!$B$13="最大化",T604-01_因子設定!$B$14,IF(01_因子設定!$B$13="最小化",01_因子設定!$B$15-U604,MIN(T604-01_因子設定!$B$14,01_因子設定!$B$15-U604))),-1E+030)</f>
        <v>-7.96928714970056</v>
      </c>
      <c r="X604" s="55" t="n">
        <f aca="false">IF(V604,IF(01_因子設定!$B$13="最大化",Q604,IF(01_因子設定!$B$13="最小化",-Q604,-ABS(Q604-01_因子設定!$B$16))),-1E+030)</f>
        <v>41.6192755681818</v>
      </c>
      <c r="Y604" s="55" t="n">
        <f aca="false">W604+ROW()*0.000000001</f>
        <v>-7.96928654570056</v>
      </c>
      <c r="Z604" s="55" t="n">
        <f aca="false">X604+ROW()*0.000000001</f>
        <v>41.6192761721818</v>
      </c>
    </row>
    <row r="605" customFormat="false" ht="15" hidden="false" customHeight="false" outlineLevel="0" collapsed="false">
      <c r="A605" s="0" t="n">
        <v>2</v>
      </c>
      <c r="B605" s="0" t="n">
        <v>1</v>
      </c>
      <c r="C605" s="0" t="n">
        <v>5</v>
      </c>
      <c r="D605" s="0" t="n">
        <f aca="false">-1+A605*0.125</f>
        <v>-0.75</v>
      </c>
      <c r="E605" s="0" t="n">
        <f aca="false">-1+B605*0.125</f>
        <v>-0.875</v>
      </c>
      <c r="F605" s="0" t="n">
        <f aca="false">-1+C605*0.125</f>
        <v>-0.375</v>
      </c>
      <c r="G605" s="0" t="n">
        <f aca="false">1</f>
        <v>1</v>
      </c>
      <c r="H605" s="0" t="n">
        <f aca="false">D605</f>
        <v>-0.75</v>
      </c>
      <c r="I605" s="0" t="n">
        <f aca="false">E605</f>
        <v>-0.875</v>
      </c>
      <c r="J605" s="0" t="n">
        <f aca="false">F605</f>
        <v>-0.375</v>
      </c>
      <c r="K605" s="0" t="n">
        <f aca="false">D605*E605</f>
        <v>0.65625</v>
      </c>
      <c r="L605" s="0" t="n">
        <f aca="false">D605*F605</f>
        <v>0.28125</v>
      </c>
      <c r="M605" s="0" t="n">
        <f aca="false">E605*F605</f>
        <v>0.328125</v>
      </c>
      <c r="N605" s="0" t="n">
        <f aca="false">D605*D605</f>
        <v>0.5625</v>
      </c>
      <c r="O605" s="0" t="n">
        <f aca="false">E605*E605</f>
        <v>0.765625</v>
      </c>
      <c r="P605" s="0" t="n">
        <f aca="false">F605*F605</f>
        <v>0.140625</v>
      </c>
      <c r="Q605" s="0" t="n">
        <f aca="false">SUMPRODUCT(G605:P605,_XtX!$B$71:$K$71)</f>
        <v>41.8853835227273</v>
      </c>
      <c r="R605" s="0" t="n">
        <f aca="false">SUMPRODUCT(MMULT(G605:P605,_XtX!$B$58:$K$67),G605:P605)</f>
        <v>0.375727428089489</v>
      </c>
      <c r="S605" s="0" t="n">
        <f aca="false">04_回帰ANOVA!$K$19*04_回帰ANOVA!$K$14*SQRT(1+R605)</f>
        <v>1.09051798904087</v>
      </c>
      <c r="T605" s="0" t="n">
        <f aca="false">Q605-S605</f>
        <v>40.7948655336864</v>
      </c>
      <c r="U605" s="0" t="n">
        <f aca="false">Q605+S605</f>
        <v>42.9759015117682</v>
      </c>
      <c r="V605" s="54" t="b">
        <f aca="false">AND(D605&gt;=01_因子設定!$L$5-0.000000001,D605&lt;=01_因子設定!$M$5+0.000000001,E605&gt;=01_因子設定!$L$6-0.000000001,E605&lt;=01_因子設定!$M$6+0.000000001,F605&gt;=01_因子設定!$L$7-0.000000001,F605&lt;=01_因子設定!$M$7+0.000000001,IF(01_因子設定!$B$20="Box-Behnken",D605^2+E605^2+F605^2&lt;=2+0.000000001,TRUE()))</f>
        <v>1</v>
      </c>
      <c r="W605" s="55" t="n">
        <f aca="false">IF(V605,IF(01_因子設定!$B$13="最大化",T605-01_因子設定!$B$14,IF(01_因子設定!$B$13="最小化",01_因子設定!$B$15-U605,MIN(T605-01_因子設定!$B$14,01_因子設定!$B$15-U605))),-1E+030)</f>
        <v>-7.7051344663136</v>
      </c>
      <c r="X605" s="55" t="n">
        <f aca="false">IF(V605,IF(01_因子設定!$B$13="最大化",Q605,IF(01_因子設定!$B$13="最小化",-Q605,-ABS(Q605-01_因子設定!$B$16))),-1E+030)</f>
        <v>41.8853835227273</v>
      </c>
      <c r="Y605" s="55" t="n">
        <f aca="false">W605+ROW()*0.000000001</f>
        <v>-7.7051338613136</v>
      </c>
      <c r="Z605" s="55" t="n">
        <f aca="false">X605+ROW()*0.000000001</f>
        <v>41.8853841277273</v>
      </c>
    </row>
    <row r="606" customFormat="false" ht="15" hidden="false" customHeight="false" outlineLevel="0" collapsed="false">
      <c r="A606" s="0" t="n">
        <v>2</v>
      </c>
      <c r="B606" s="0" t="n">
        <v>1</v>
      </c>
      <c r="C606" s="0" t="n">
        <v>6</v>
      </c>
      <c r="D606" s="0" t="n">
        <f aca="false">-1+A606*0.125</f>
        <v>-0.75</v>
      </c>
      <c r="E606" s="0" t="n">
        <f aca="false">-1+B606*0.125</f>
        <v>-0.875</v>
      </c>
      <c r="F606" s="0" t="n">
        <f aca="false">-1+C606*0.125</f>
        <v>-0.25</v>
      </c>
      <c r="G606" s="0" t="n">
        <f aca="false">1</f>
        <v>1</v>
      </c>
      <c r="H606" s="0" t="n">
        <f aca="false">D606</f>
        <v>-0.75</v>
      </c>
      <c r="I606" s="0" t="n">
        <f aca="false">E606</f>
        <v>-0.875</v>
      </c>
      <c r="J606" s="0" t="n">
        <f aca="false">F606</f>
        <v>-0.25</v>
      </c>
      <c r="K606" s="0" t="n">
        <f aca="false">D606*E606</f>
        <v>0.65625</v>
      </c>
      <c r="L606" s="0" t="n">
        <f aca="false">D606*F606</f>
        <v>0.1875</v>
      </c>
      <c r="M606" s="0" t="n">
        <f aca="false">E606*F606</f>
        <v>0.21875</v>
      </c>
      <c r="N606" s="0" t="n">
        <f aca="false">D606*D606</f>
        <v>0.5625</v>
      </c>
      <c r="O606" s="0" t="n">
        <f aca="false">E606*E606</f>
        <v>0.765625</v>
      </c>
      <c r="P606" s="0" t="n">
        <f aca="false">F606*F606</f>
        <v>0.0625</v>
      </c>
      <c r="Q606" s="0" t="n">
        <f aca="false">SUMPRODUCT(G606:P606,_XtX!$B$71:$K$71)</f>
        <v>42.1147017045455</v>
      </c>
      <c r="R606" s="0" t="n">
        <f aca="false">SUMPRODUCT(MMULT(G606:P606,_XtX!$B$58:$K$67),G606:P606)</f>
        <v>0.384574751420455</v>
      </c>
      <c r="S606" s="0" t="n">
        <f aca="false">04_回帰ANOVA!$K$19*04_回帰ANOVA!$K$14*SQRT(1+R606)</f>
        <v>1.0940189380139</v>
      </c>
      <c r="T606" s="0" t="n">
        <f aca="false">Q606-S606</f>
        <v>41.0206827665316</v>
      </c>
      <c r="U606" s="0" t="n">
        <f aca="false">Q606+S606</f>
        <v>43.2087206425594</v>
      </c>
      <c r="V606" s="54" t="b">
        <f aca="false">AND(D606&gt;=01_因子設定!$L$5-0.000000001,D606&lt;=01_因子設定!$M$5+0.000000001,E606&gt;=01_因子設定!$L$6-0.000000001,E606&lt;=01_因子設定!$M$6+0.000000001,F606&gt;=01_因子設定!$L$7-0.000000001,F606&lt;=01_因子設定!$M$7+0.000000001,IF(01_因子設定!$B$20="Box-Behnken",D606^2+E606^2+F606^2&lt;=2+0.000000001,TRUE()))</f>
        <v>1</v>
      </c>
      <c r="W606" s="55" t="n">
        <f aca="false">IF(V606,IF(01_因子設定!$B$13="最大化",T606-01_因子設定!$B$14,IF(01_因子設定!$B$13="最小化",01_因子設定!$B$15-U606,MIN(T606-01_因子設定!$B$14,01_因子設定!$B$15-U606))),-1E+030)</f>
        <v>-7.47931723346845</v>
      </c>
      <c r="X606" s="55" t="n">
        <f aca="false">IF(V606,IF(01_因子設定!$B$13="最大化",Q606,IF(01_因子設定!$B$13="最小化",-Q606,-ABS(Q606-01_因子設定!$B$16))),-1E+030)</f>
        <v>42.1147017045455</v>
      </c>
      <c r="Y606" s="55" t="n">
        <f aca="false">W606+ROW()*0.000000001</f>
        <v>-7.47931662746845</v>
      </c>
      <c r="Z606" s="55" t="n">
        <f aca="false">X606+ROW()*0.000000001</f>
        <v>42.1147023105455</v>
      </c>
    </row>
    <row r="607" customFormat="false" ht="15" hidden="false" customHeight="false" outlineLevel="0" collapsed="false">
      <c r="A607" s="0" t="n">
        <v>2</v>
      </c>
      <c r="B607" s="0" t="n">
        <v>1</v>
      </c>
      <c r="C607" s="0" t="n">
        <v>7</v>
      </c>
      <c r="D607" s="0" t="n">
        <f aca="false">-1+A607*0.125</f>
        <v>-0.75</v>
      </c>
      <c r="E607" s="0" t="n">
        <f aca="false">-1+B607*0.125</f>
        <v>-0.875</v>
      </c>
      <c r="F607" s="0" t="n">
        <f aca="false">-1+C607*0.125</f>
        <v>-0.125</v>
      </c>
      <c r="G607" s="0" t="n">
        <f aca="false">1</f>
        <v>1</v>
      </c>
      <c r="H607" s="0" t="n">
        <f aca="false">D607</f>
        <v>-0.75</v>
      </c>
      <c r="I607" s="0" t="n">
        <f aca="false">E607</f>
        <v>-0.875</v>
      </c>
      <c r="J607" s="0" t="n">
        <f aca="false">F607</f>
        <v>-0.125</v>
      </c>
      <c r="K607" s="0" t="n">
        <f aca="false">D607*E607</f>
        <v>0.65625</v>
      </c>
      <c r="L607" s="0" t="n">
        <f aca="false">D607*F607</f>
        <v>0.09375</v>
      </c>
      <c r="M607" s="0" t="n">
        <f aca="false">E607*F607</f>
        <v>0.109375</v>
      </c>
      <c r="N607" s="0" t="n">
        <f aca="false">D607*D607</f>
        <v>0.5625</v>
      </c>
      <c r="O607" s="0" t="n">
        <f aca="false">E607*E607</f>
        <v>0.765625</v>
      </c>
      <c r="P607" s="0" t="n">
        <f aca="false">F607*F607</f>
        <v>0.015625</v>
      </c>
      <c r="Q607" s="0" t="n">
        <f aca="false">SUMPRODUCT(G607:P607,_XtX!$B$71:$K$71)</f>
        <v>42.3072301136364</v>
      </c>
      <c r="R607" s="0" t="n">
        <f aca="false">SUMPRODUCT(MMULT(G607:P607,_XtX!$B$58:$K$67),G607:P607)</f>
        <v>0.392013827237216</v>
      </c>
      <c r="S607" s="0" t="n">
        <f aca="false">04_回帰ANOVA!$K$19*04_回帰ANOVA!$K$14*SQRT(1+R607)</f>
        <v>1.09695398627251</v>
      </c>
      <c r="T607" s="0" t="n">
        <f aca="false">Q607-S607</f>
        <v>41.2102761273639</v>
      </c>
      <c r="U607" s="0" t="n">
        <f aca="false">Q607+S607</f>
        <v>43.4041840999089</v>
      </c>
      <c r="V607" s="54" t="b">
        <f aca="false">AND(D607&gt;=01_因子設定!$L$5-0.000000001,D607&lt;=01_因子設定!$M$5+0.000000001,E607&gt;=01_因子設定!$L$6-0.000000001,E607&lt;=01_因子設定!$M$6+0.000000001,F607&gt;=01_因子設定!$L$7-0.000000001,F607&lt;=01_因子設定!$M$7+0.000000001,IF(01_因子設定!$B$20="Box-Behnken",D607^2+E607^2+F607^2&lt;=2+0.000000001,TRUE()))</f>
        <v>1</v>
      </c>
      <c r="W607" s="55" t="n">
        <f aca="false">IF(V607,IF(01_因子設定!$B$13="最大化",T607-01_因子設定!$B$14,IF(01_因子設定!$B$13="最小化",01_因子設定!$B$15-U607,MIN(T607-01_因子設定!$B$14,01_因子設定!$B$15-U607))),-1E+030)</f>
        <v>-7.28972387263615</v>
      </c>
      <c r="X607" s="55" t="n">
        <f aca="false">IF(V607,IF(01_因子設定!$B$13="最大化",Q607,IF(01_因子設定!$B$13="最小化",-Q607,-ABS(Q607-01_因子設定!$B$16))),-1E+030)</f>
        <v>42.3072301136364</v>
      </c>
      <c r="Y607" s="55" t="n">
        <f aca="false">W607+ROW()*0.000000001</f>
        <v>-7.28972326563615</v>
      </c>
      <c r="Z607" s="55" t="n">
        <f aca="false">X607+ROW()*0.000000001</f>
        <v>42.3072307206364</v>
      </c>
    </row>
    <row r="608" customFormat="false" ht="15" hidden="false" customHeight="false" outlineLevel="0" collapsed="false">
      <c r="A608" s="0" t="n">
        <v>2</v>
      </c>
      <c r="B608" s="0" t="n">
        <v>1</v>
      </c>
      <c r="C608" s="0" t="n">
        <v>8</v>
      </c>
      <c r="D608" s="0" t="n">
        <f aca="false">-1+A608*0.125</f>
        <v>-0.75</v>
      </c>
      <c r="E608" s="0" t="n">
        <f aca="false">-1+B608*0.125</f>
        <v>-0.875</v>
      </c>
      <c r="F608" s="0" t="n">
        <f aca="false">-1+C608*0.125</f>
        <v>0</v>
      </c>
      <c r="G608" s="0" t="n">
        <f aca="false">1</f>
        <v>1</v>
      </c>
      <c r="H608" s="0" t="n">
        <f aca="false">D608</f>
        <v>-0.75</v>
      </c>
      <c r="I608" s="0" t="n">
        <f aca="false">E608</f>
        <v>-0.875</v>
      </c>
      <c r="J608" s="0" t="n">
        <f aca="false">F608</f>
        <v>0</v>
      </c>
      <c r="K608" s="0" t="n">
        <f aca="false">D608*E608</f>
        <v>0.65625</v>
      </c>
      <c r="L608" s="0" t="n">
        <f aca="false">D608*F608</f>
        <v>-0</v>
      </c>
      <c r="M608" s="0" t="n">
        <f aca="false">E608*F608</f>
        <v>-0</v>
      </c>
      <c r="N608" s="0" t="n">
        <f aca="false">D608*D608</f>
        <v>0.5625</v>
      </c>
      <c r="O608" s="0" t="n">
        <f aca="false">E608*E608</f>
        <v>0.765625</v>
      </c>
      <c r="P608" s="0" t="n">
        <f aca="false">F608*F608</f>
        <v>0</v>
      </c>
      <c r="Q608" s="0" t="n">
        <f aca="false">SUMPRODUCT(G608:P608,_XtX!$B$71:$K$71)</f>
        <v>42.46296875</v>
      </c>
      <c r="R608" s="0" t="n">
        <f aca="false">SUMPRODUCT(MMULT(G608:P608,_XtX!$B$58:$K$67),G608:P608)</f>
        <v>0.3948486328125</v>
      </c>
      <c r="S608" s="0" t="n">
        <f aca="false">04_回帰ANOVA!$K$19*04_回帰ANOVA!$K$14*SQRT(1+R608)</f>
        <v>1.09807037952996</v>
      </c>
      <c r="T608" s="0" t="n">
        <f aca="false">Q608-S608</f>
        <v>41.36489837047</v>
      </c>
      <c r="U608" s="0" t="n">
        <f aca="false">Q608+S608</f>
        <v>43.56103912953</v>
      </c>
      <c r="V608" s="54" t="b">
        <f aca="false">AND(D608&gt;=01_因子設定!$L$5-0.000000001,D608&lt;=01_因子設定!$M$5+0.000000001,E608&gt;=01_因子設定!$L$6-0.000000001,E608&lt;=01_因子設定!$M$6+0.000000001,F608&gt;=01_因子設定!$L$7-0.000000001,F608&lt;=01_因子設定!$M$7+0.000000001,IF(01_因子設定!$B$20="Box-Behnken",D608^2+E608^2+F608^2&lt;=2+0.000000001,TRUE()))</f>
        <v>1</v>
      </c>
      <c r="W608" s="55" t="n">
        <f aca="false">IF(V608,IF(01_因子設定!$B$13="最大化",T608-01_因子設定!$B$14,IF(01_因子設定!$B$13="最小化",01_因子設定!$B$15-U608,MIN(T608-01_因子設定!$B$14,01_因子設定!$B$15-U608))),-1E+030)</f>
        <v>-7.13510162952996</v>
      </c>
      <c r="X608" s="55" t="n">
        <f aca="false">IF(V608,IF(01_因子設定!$B$13="最大化",Q608,IF(01_因子設定!$B$13="最小化",-Q608,-ABS(Q608-01_因子設定!$B$16))),-1E+030)</f>
        <v>42.46296875</v>
      </c>
      <c r="Y608" s="55" t="n">
        <f aca="false">W608+ROW()*0.000000001</f>
        <v>-7.13510102152996</v>
      </c>
      <c r="Z608" s="55" t="n">
        <f aca="false">X608+ROW()*0.000000001</f>
        <v>42.462969358</v>
      </c>
    </row>
    <row r="609" customFormat="false" ht="15" hidden="false" customHeight="false" outlineLevel="0" collapsed="false">
      <c r="A609" s="0" t="n">
        <v>2</v>
      </c>
      <c r="B609" s="0" t="n">
        <v>1</v>
      </c>
      <c r="C609" s="0" t="n">
        <v>9</v>
      </c>
      <c r="D609" s="0" t="n">
        <f aca="false">-1+A609*0.125</f>
        <v>-0.75</v>
      </c>
      <c r="E609" s="0" t="n">
        <f aca="false">-1+B609*0.125</f>
        <v>-0.875</v>
      </c>
      <c r="F609" s="0" t="n">
        <f aca="false">-1+C609*0.125</f>
        <v>0.125</v>
      </c>
      <c r="G609" s="0" t="n">
        <f aca="false">1</f>
        <v>1</v>
      </c>
      <c r="H609" s="0" t="n">
        <f aca="false">D609</f>
        <v>-0.75</v>
      </c>
      <c r="I609" s="0" t="n">
        <f aca="false">E609</f>
        <v>-0.875</v>
      </c>
      <c r="J609" s="0" t="n">
        <f aca="false">F609</f>
        <v>0.125</v>
      </c>
      <c r="K609" s="0" t="n">
        <f aca="false">D609*E609</f>
        <v>0.65625</v>
      </c>
      <c r="L609" s="0" t="n">
        <f aca="false">D609*F609</f>
        <v>-0.09375</v>
      </c>
      <c r="M609" s="0" t="n">
        <f aca="false">E609*F609</f>
        <v>-0.109375</v>
      </c>
      <c r="N609" s="0" t="n">
        <f aca="false">D609*D609</f>
        <v>0.5625</v>
      </c>
      <c r="O609" s="0" t="n">
        <f aca="false">E609*E609</f>
        <v>0.765625</v>
      </c>
      <c r="P609" s="0" t="n">
        <f aca="false">F609*F609</f>
        <v>0.015625</v>
      </c>
      <c r="Q609" s="0" t="n">
        <f aca="false">SUMPRODUCT(G609:P609,_XtX!$B$71:$K$71)</f>
        <v>42.5819176136364</v>
      </c>
      <c r="R609" s="0" t="n">
        <f aca="false">SUMPRODUCT(MMULT(G609:P609,_XtX!$B$58:$K$67),G609:P609)</f>
        <v>0.392013827237216</v>
      </c>
      <c r="S609" s="0" t="n">
        <f aca="false">04_回帰ANOVA!$K$19*04_回帰ANOVA!$K$14*SQRT(1+R609)</f>
        <v>1.09695398627251</v>
      </c>
      <c r="T609" s="0" t="n">
        <f aca="false">Q609-S609</f>
        <v>41.4849636273639</v>
      </c>
      <c r="U609" s="0" t="n">
        <f aca="false">Q609+S609</f>
        <v>43.6788715999089</v>
      </c>
      <c r="V609" s="54" t="b">
        <f aca="false">AND(D609&gt;=01_因子設定!$L$5-0.000000001,D609&lt;=01_因子設定!$M$5+0.000000001,E609&gt;=01_因子設定!$L$6-0.000000001,E609&lt;=01_因子設定!$M$6+0.000000001,F609&gt;=01_因子設定!$L$7-0.000000001,F609&lt;=01_因子設定!$M$7+0.000000001,IF(01_因子設定!$B$20="Box-Behnken",D609^2+E609^2+F609^2&lt;=2+0.000000001,TRUE()))</f>
        <v>1</v>
      </c>
      <c r="W609" s="55" t="n">
        <f aca="false">IF(V609,IF(01_因子設定!$B$13="最大化",T609-01_因子設定!$B$14,IF(01_因子設定!$B$13="最小化",01_因子設定!$B$15-U609,MIN(T609-01_因子設定!$B$14,01_因子設定!$B$15-U609))),-1E+030)</f>
        <v>-7.01503637263615</v>
      </c>
      <c r="X609" s="55" t="n">
        <f aca="false">IF(V609,IF(01_因子設定!$B$13="最大化",Q609,IF(01_因子設定!$B$13="最小化",-Q609,-ABS(Q609-01_因子設定!$B$16))),-1E+030)</f>
        <v>42.5819176136364</v>
      </c>
      <c r="Y609" s="55" t="n">
        <f aca="false">W609+ROW()*0.000000001</f>
        <v>-7.01503576363615</v>
      </c>
      <c r="Z609" s="55" t="n">
        <f aca="false">X609+ROW()*0.000000001</f>
        <v>42.5819182226364</v>
      </c>
    </row>
    <row r="610" customFormat="false" ht="15" hidden="false" customHeight="false" outlineLevel="0" collapsed="false">
      <c r="A610" s="0" t="n">
        <v>2</v>
      </c>
      <c r="B610" s="0" t="n">
        <v>1</v>
      </c>
      <c r="C610" s="0" t="n">
        <v>10</v>
      </c>
      <c r="D610" s="0" t="n">
        <f aca="false">-1+A610*0.125</f>
        <v>-0.75</v>
      </c>
      <c r="E610" s="0" t="n">
        <f aca="false">-1+B610*0.125</f>
        <v>-0.875</v>
      </c>
      <c r="F610" s="0" t="n">
        <f aca="false">-1+C610*0.125</f>
        <v>0.25</v>
      </c>
      <c r="G610" s="0" t="n">
        <f aca="false">1</f>
        <v>1</v>
      </c>
      <c r="H610" s="0" t="n">
        <f aca="false">D610</f>
        <v>-0.75</v>
      </c>
      <c r="I610" s="0" t="n">
        <f aca="false">E610</f>
        <v>-0.875</v>
      </c>
      <c r="J610" s="0" t="n">
        <f aca="false">F610</f>
        <v>0.25</v>
      </c>
      <c r="K610" s="0" t="n">
        <f aca="false">D610*E610</f>
        <v>0.65625</v>
      </c>
      <c r="L610" s="0" t="n">
        <f aca="false">D610*F610</f>
        <v>-0.1875</v>
      </c>
      <c r="M610" s="0" t="n">
        <f aca="false">E610*F610</f>
        <v>-0.21875</v>
      </c>
      <c r="N610" s="0" t="n">
        <f aca="false">D610*D610</f>
        <v>0.5625</v>
      </c>
      <c r="O610" s="0" t="n">
        <f aca="false">E610*E610</f>
        <v>0.765625</v>
      </c>
      <c r="P610" s="0" t="n">
        <f aca="false">F610*F610</f>
        <v>0.0625</v>
      </c>
      <c r="Q610" s="0" t="n">
        <f aca="false">SUMPRODUCT(G610:P610,_XtX!$B$71:$K$71)</f>
        <v>42.6640767045455</v>
      </c>
      <c r="R610" s="0" t="n">
        <f aca="false">SUMPRODUCT(MMULT(G610:P610,_XtX!$B$58:$K$67),G610:P610)</f>
        <v>0.384574751420455</v>
      </c>
      <c r="S610" s="0" t="n">
        <f aca="false">04_回帰ANOVA!$K$19*04_回帰ANOVA!$K$14*SQRT(1+R610)</f>
        <v>1.0940189380139</v>
      </c>
      <c r="T610" s="0" t="n">
        <f aca="false">Q610-S610</f>
        <v>41.5700577665316</v>
      </c>
      <c r="U610" s="0" t="n">
        <f aca="false">Q610+S610</f>
        <v>43.7580956425594</v>
      </c>
      <c r="V610" s="54" t="b">
        <f aca="false">AND(D610&gt;=01_因子設定!$L$5-0.000000001,D610&lt;=01_因子設定!$M$5+0.000000001,E610&gt;=01_因子設定!$L$6-0.000000001,E610&lt;=01_因子設定!$M$6+0.000000001,F610&gt;=01_因子設定!$L$7-0.000000001,F610&lt;=01_因子設定!$M$7+0.000000001,IF(01_因子設定!$B$20="Box-Behnken",D610^2+E610^2+F610^2&lt;=2+0.000000001,TRUE()))</f>
        <v>1</v>
      </c>
      <c r="W610" s="55" t="n">
        <f aca="false">IF(V610,IF(01_因子設定!$B$13="最大化",T610-01_因子設定!$B$14,IF(01_因子設定!$B$13="最小化",01_因子設定!$B$15-U610,MIN(T610-01_因子設定!$B$14,01_因子設定!$B$15-U610))),-1E+030)</f>
        <v>-6.92994223346845</v>
      </c>
      <c r="X610" s="55" t="n">
        <f aca="false">IF(V610,IF(01_因子設定!$B$13="最大化",Q610,IF(01_因子設定!$B$13="最小化",-Q610,-ABS(Q610-01_因子設定!$B$16))),-1E+030)</f>
        <v>42.6640767045455</v>
      </c>
      <c r="Y610" s="55" t="n">
        <f aca="false">W610+ROW()*0.000000001</f>
        <v>-6.92994162346845</v>
      </c>
      <c r="Z610" s="55" t="n">
        <f aca="false">X610+ROW()*0.000000001</f>
        <v>42.6640773145455</v>
      </c>
    </row>
    <row r="611" customFormat="false" ht="15" hidden="false" customHeight="false" outlineLevel="0" collapsed="false">
      <c r="A611" s="0" t="n">
        <v>2</v>
      </c>
      <c r="B611" s="0" t="n">
        <v>1</v>
      </c>
      <c r="C611" s="0" t="n">
        <v>11</v>
      </c>
      <c r="D611" s="0" t="n">
        <f aca="false">-1+A611*0.125</f>
        <v>-0.75</v>
      </c>
      <c r="E611" s="0" t="n">
        <f aca="false">-1+B611*0.125</f>
        <v>-0.875</v>
      </c>
      <c r="F611" s="0" t="n">
        <f aca="false">-1+C611*0.125</f>
        <v>0.375</v>
      </c>
      <c r="G611" s="0" t="n">
        <f aca="false">1</f>
        <v>1</v>
      </c>
      <c r="H611" s="0" t="n">
        <f aca="false">D611</f>
        <v>-0.75</v>
      </c>
      <c r="I611" s="0" t="n">
        <f aca="false">E611</f>
        <v>-0.875</v>
      </c>
      <c r="J611" s="0" t="n">
        <f aca="false">F611</f>
        <v>0.375</v>
      </c>
      <c r="K611" s="0" t="n">
        <f aca="false">D611*E611</f>
        <v>0.65625</v>
      </c>
      <c r="L611" s="0" t="n">
        <f aca="false">D611*F611</f>
        <v>-0.28125</v>
      </c>
      <c r="M611" s="0" t="n">
        <f aca="false">E611*F611</f>
        <v>-0.328125</v>
      </c>
      <c r="N611" s="0" t="n">
        <f aca="false">D611*D611</f>
        <v>0.5625</v>
      </c>
      <c r="O611" s="0" t="n">
        <f aca="false">E611*E611</f>
        <v>0.765625</v>
      </c>
      <c r="P611" s="0" t="n">
        <f aca="false">F611*F611</f>
        <v>0.140625</v>
      </c>
      <c r="Q611" s="0" t="n">
        <f aca="false">SUMPRODUCT(G611:P611,_XtX!$B$71:$K$71)</f>
        <v>42.7094460227273</v>
      </c>
      <c r="R611" s="0" t="n">
        <f aca="false">SUMPRODUCT(MMULT(G611:P611,_XtX!$B$58:$K$67),G611:P611)</f>
        <v>0.375727428089489</v>
      </c>
      <c r="S611" s="0" t="n">
        <f aca="false">04_回帰ANOVA!$K$19*04_回帰ANOVA!$K$14*SQRT(1+R611)</f>
        <v>1.09051798904087</v>
      </c>
      <c r="T611" s="0" t="n">
        <f aca="false">Q611-S611</f>
        <v>41.6189280336864</v>
      </c>
      <c r="U611" s="0" t="n">
        <f aca="false">Q611+S611</f>
        <v>43.7999640117682</v>
      </c>
      <c r="V611" s="54" t="b">
        <f aca="false">AND(D611&gt;=01_因子設定!$L$5-0.000000001,D611&lt;=01_因子設定!$M$5+0.000000001,E611&gt;=01_因子設定!$L$6-0.000000001,E611&lt;=01_因子設定!$M$6+0.000000001,F611&gt;=01_因子設定!$L$7-0.000000001,F611&lt;=01_因子設定!$M$7+0.000000001,IF(01_因子設定!$B$20="Box-Behnken",D611^2+E611^2+F611^2&lt;=2+0.000000001,TRUE()))</f>
        <v>1</v>
      </c>
      <c r="W611" s="55" t="n">
        <f aca="false">IF(V611,IF(01_因子設定!$B$13="最大化",T611-01_因子設定!$B$14,IF(01_因子設定!$B$13="最小化",01_因子設定!$B$15-U611,MIN(T611-01_因子設定!$B$14,01_因子設定!$B$15-U611))),-1E+030)</f>
        <v>-6.88107196631361</v>
      </c>
      <c r="X611" s="55" t="n">
        <f aca="false">IF(V611,IF(01_因子設定!$B$13="最大化",Q611,IF(01_因子設定!$B$13="最小化",-Q611,-ABS(Q611-01_因子設定!$B$16))),-1E+030)</f>
        <v>42.7094460227273</v>
      </c>
      <c r="Y611" s="55" t="n">
        <f aca="false">W611+ROW()*0.000000001</f>
        <v>-6.88107135531361</v>
      </c>
      <c r="Z611" s="55" t="n">
        <f aca="false">X611+ROW()*0.000000001</f>
        <v>42.7094466337273</v>
      </c>
    </row>
    <row r="612" customFormat="false" ht="15" hidden="false" customHeight="false" outlineLevel="0" collapsed="false">
      <c r="A612" s="0" t="n">
        <v>2</v>
      </c>
      <c r="B612" s="0" t="n">
        <v>1</v>
      </c>
      <c r="C612" s="0" t="n">
        <v>12</v>
      </c>
      <c r="D612" s="0" t="n">
        <f aca="false">-1+A612*0.125</f>
        <v>-0.75</v>
      </c>
      <c r="E612" s="0" t="n">
        <f aca="false">-1+B612*0.125</f>
        <v>-0.875</v>
      </c>
      <c r="F612" s="0" t="n">
        <f aca="false">-1+C612*0.125</f>
        <v>0.5</v>
      </c>
      <c r="G612" s="0" t="n">
        <f aca="false">1</f>
        <v>1</v>
      </c>
      <c r="H612" s="0" t="n">
        <f aca="false">D612</f>
        <v>-0.75</v>
      </c>
      <c r="I612" s="0" t="n">
        <f aca="false">E612</f>
        <v>-0.875</v>
      </c>
      <c r="J612" s="0" t="n">
        <f aca="false">F612</f>
        <v>0.5</v>
      </c>
      <c r="K612" s="0" t="n">
        <f aca="false">D612*E612</f>
        <v>0.65625</v>
      </c>
      <c r="L612" s="0" t="n">
        <f aca="false">D612*F612</f>
        <v>-0.375</v>
      </c>
      <c r="M612" s="0" t="n">
        <f aca="false">E612*F612</f>
        <v>-0.4375</v>
      </c>
      <c r="N612" s="0" t="n">
        <f aca="false">D612*D612</f>
        <v>0.5625</v>
      </c>
      <c r="O612" s="0" t="n">
        <f aca="false">E612*E612</f>
        <v>0.765625</v>
      </c>
      <c r="P612" s="0" t="n">
        <f aca="false">F612*F612</f>
        <v>0.25</v>
      </c>
      <c r="Q612" s="0" t="n">
        <f aca="false">SUMPRODUCT(G612:P612,_XtX!$B$71:$K$71)</f>
        <v>42.7180255681818</v>
      </c>
      <c r="R612" s="0" t="n">
        <f aca="false">SUMPRODUCT(MMULT(G612:P612,_XtX!$B$58:$K$67),G612:P612)</f>
        <v>0.370798561789773</v>
      </c>
      <c r="S612" s="0" t="n">
        <f aca="false">04_回帰ANOVA!$K$19*04_回帰ANOVA!$K$14*SQRT(1+R612)</f>
        <v>1.08856271788237</v>
      </c>
      <c r="T612" s="0" t="n">
        <f aca="false">Q612-S612</f>
        <v>41.6294628502995</v>
      </c>
      <c r="U612" s="0" t="n">
        <f aca="false">Q612+S612</f>
        <v>43.8065882860642</v>
      </c>
      <c r="V612" s="54" t="b">
        <f aca="false">AND(D612&gt;=01_因子設定!$L$5-0.000000001,D612&lt;=01_因子設定!$M$5+0.000000001,E612&gt;=01_因子設定!$L$6-0.000000001,E612&lt;=01_因子設定!$M$6+0.000000001,F612&gt;=01_因子設定!$L$7-0.000000001,F612&lt;=01_因子設定!$M$7+0.000000001,IF(01_因子設定!$B$20="Box-Behnken",D612^2+E612^2+F612^2&lt;=2+0.000000001,TRUE()))</f>
        <v>1</v>
      </c>
      <c r="W612" s="55" t="n">
        <f aca="false">IF(V612,IF(01_因子設定!$B$13="最大化",T612-01_因子設定!$B$14,IF(01_因子設定!$B$13="最小化",01_因子設定!$B$15-U612,MIN(T612-01_因子設定!$B$14,01_因子設定!$B$15-U612))),-1E+030)</f>
        <v>-6.87053714970055</v>
      </c>
      <c r="X612" s="55" t="n">
        <f aca="false">IF(V612,IF(01_因子設定!$B$13="最大化",Q612,IF(01_因子設定!$B$13="最小化",-Q612,-ABS(Q612-01_因子設定!$B$16))),-1E+030)</f>
        <v>42.7180255681818</v>
      </c>
      <c r="Y612" s="55" t="n">
        <f aca="false">W612+ROW()*0.000000001</f>
        <v>-6.87053653770055</v>
      </c>
      <c r="Z612" s="55" t="n">
        <f aca="false">X612+ROW()*0.000000001</f>
        <v>42.7180261801818</v>
      </c>
    </row>
    <row r="613" customFormat="false" ht="15" hidden="false" customHeight="false" outlineLevel="0" collapsed="false">
      <c r="A613" s="0" t="n">
        <v>2</v>
      </c>
      <c r="B613" s="0" t="n">
        <v>1</v>
      </c>
      <c r="C613" s="0" t="n">
        <v>13</v>
      </c>
      <c r="D613" s="0" t="n">
        <f aca="false">-1+A613*0.125</f>
        <v>-0.75</v>
      </c>
      <c r="E613" s="0" t="n">
        <f aca="false">-1+B613*0.125</f>
        <v>-0.875</v>
      </c>
      <c r="F613" s="0" t="n">
        <f aca="false">-1+C613*0.125</f>
        <v>0.625</v>
      </c>
      <c r="G613" s="0" t="n">
        <f aca="false">1</f>
        <v>1</v>
      </c>
      <c r="H613" s="0" t="n">
        <f aca="false">D613</f>
        <v>-0.75</v>
      </c>
      <c r="I613" s="0" t="n">
        <f aca="false">E613</f>
        <v>-0.875</v>
      </c>
      <c r="J613" s="0" t="n">
        <f aca="false">F613</f>
        <v>0.625</v>
      </c>
      <c r="K613" s="0" t="n">
        <f aca="false">D613*E613</f>
        <v>0.65625</v>
      </c>
      <c r="L613" s="0" t="n">
        <f aca="false">D613*F613</f>
        <v>-0.46875</v>
      </c>
      <c r="M613" s="0" t="n">
        <f aca="false">E613*F613</f>
        <v>-0.546875</v>
      </c>
      <c r="N613" s="0" t="n">
        <f aca="false">D613*D613</f>
        <v>0.5625</v>
      </c>
      <c r="O613" s="0" t="n">
        <f aca="false">E613*E613</f>
        <v>0.765625</v>
      </c>
      <c r="P613" s="0" t="n">
        <f aca="false">F613*F613</f>
        <v>0.390625</v>
      </c>
      <c r="Q613" s="0" t="n">
        <f aca="false">SUMPRODUCT(G613:P613,_XtX!$B$71:$K$71)</f>
        <v>42.6898153409091</v>
      </c>
      <c r="R613" s="0" t="n">
        <f aca="false">SUMPRODUCT(MMULT(G613:P613,_XtX!$B$58:$K$67),G613:P613)</f>
        <v>0.377245538884943</v>
      </c>
      <c r="S613" s="0" t="n">
        <f aca="false">04_回帰ANOVA!$K$19*04_回帰ANOVA!$K$14*SQRT(1+R613)</f>
        <v>1.09111951468927</v>
      </c>
      <c r="T613" s="0" t="n">
        <f aca="false">Q613-S613</f>
        <v>41.5986958262198</v>
      </c>
      <c r="U613" s="0" t="n">
        <f aca="false">Q613+S613</f>
        <v>43.7809348555984</v>
      </c>
      <c r="V613" s="54" t="b">
        <f aca="false">AND(D613&gt;=01_因子設定!$L$5-0.000000001,D613&lt;=01_因子設定!$M$5+0.000000001,E613&gt;=01_因子設定!$L$6-0.000000001,E613&lt;=01_因子設定!$M$6+0.000000001,F613&gt;=01_因子設定!$L$7-0.000000001,F613&lt;=01_因子設定!$M$7+0.000000001,IF(01_因子設定!$B$20="Box-Behnken",D613^2+E613^2+F613^2&lt;=2+0.000000001,TRUE()))</f>
        <v>1</v>
      </c>
      <c r="W613" s="55" t="n">
        <f aca="false">IF(V613,IF(01_因子設定!$B$13="最大化",T613-01_因子設定!$B$14,IF(01_因子設定!$B$13="最小化",01_因子設定!$B$15-U613,MIN(T613-01_因子設定!$B$14,01_因子設定!$B$15-U613))),-1E+030)</f>
        <v>-6.90130417378018</v>
      </c>
      <c r="X613" s="55" t="n">
        <f aca="false">IF(V613,IF(01_因子設定!$B$13="最大化",Q613,IF(01_因子設定!$B$13="最小化",-Q613,-ABS(Q613-01_因子設定!$B$16))),-1E+030)</f>
        <v>42.6898153409091</v>
      </c>
      <c r="Y613" s="55" t="n">
        <f aca="false">W613+ROW()*0.000000001</f>
        <v>-6.90130356078018</v>
      </c>
      <c r="Z613" s="55" t="n">
        <f aca="false">X613+ROW()*0.000000001</f>
        <v>42.6898159539091</v>
      </c>
    </row>
    <row r="614" customFormat="false" ht="15" hidden="false" customHeight="false" outlineLevel="0" collapsed="false">
      <c r="A614" s="0" t="n">
        <v>2</v>
      </c>
      <c r="B614" s="0" t="n">
        <v>1</v>
      </c>
      <c r="C614" s="0" t="n">
        <v>14</v>
      </c>
      <c r="D614" s="0" t="n">
        <f aca="false">-1+A614*0.125</f>
        <v>-0.75</v>
      </c>
      <c r="E614" s="0" t="n">
        <f aca="false">-1+B614*0.125</f>
        <v>-0.875</v>
      </c>
      <c r="F614" s="0" t="n">
        <f aca="false">-1+C614*0.125</f>
        <v>0.75</v>
      </c>
      <c r="G614" s="0" t="n">
        <f aca="false">1</f>
        <v>1</v>
      </c>
      <c r="H614" s="0" t="n">
        <f aca="false">D614</f>
        <v>-0.75</v>
      </c>
      <c r="I614" s="0" t="n">
        <f aca="false">E614</f>
        <v>-0.875</v>
      </c>
      <c r="J614" s="0" t="n">
        <f aca="false">F614</f>
        <v>0.75</v>
      </c>
      <c r="K614" s="0" t="n">
        <f aca="false">D614*E614</f>
        <v>0.65625</v>
      </c>
      <c r="L614" s="0" t="n">
        <f aca="false">D614*F614</f>
        <v>-0.5625</v>
      </c>
      <c r="M614" s="0" t="n">
        <f aca="false">E614*F614</f>
        <v>-0.65625</v>
      </c>
      <c r="N614" s="0" t="n">
        <f aca="false">D614*D614</f>
        <v>0.5625</v>
      </c>
      <c r="O614" s="0" t="n">
        <f aca="false">E614*E614</f>
        <v>0.765625</v>
      </c>
      <c r="P614" s="0" t="n">
        <f aca="false">F614*F614</f>
        <v>0.5625</v>
      </c>
      <c r="Q614" s="0" t="n">
        <f aca="false">SUMPRODUCT(G614:P614,_XtX!$B$71:$K$71)</f>
        <v>42.6248153409091</v>
      </c>
      <c r="R614" s="0" t="n">
        <f aca="false">SUMPRODUCT(MMULT(G614:P614,_XtX!$B$58:$K$67),G614:P614)</f>
        <v>0.404656427556818</v>
      </c>
      <c r="S614" s="0" t="n">
        <f aca="false">04_回帰ANOVA!$K$19*04_回帰ANOVA!$K$14*SQRT(1+R614)</f>
        <v>1.10192412515358</v>
      </c>
      <c r="T614" s="0" t="n">
        <f aca="false">Q614-S614</f>
        <v>41.5228912157555</v>
      </c>
      <c r="U614" s="0" t="n">
        <f aca="false">Q614+S614</f>
        <v>43.7267394660627</v>
      </c>
      <c r="V614" s="54" t="b">
        <f aca="false">AND(D614&gt;=01_因子設定!$L$5-0.000000001,D614&lt;=01_因子設定!$M$5+0.000000001,E614&gt;=01_因子設定!$L$6-0.000000001,E614&lt;=01_因子設定!$M$6+0.000000001,F614&gt;=01_因子設定!$L$7-0.000000001,F614&lt;=01_因子設定!$M$7+0.000000001,IF(01_因子設定!$B$20="Box-Behnken",D614^2+E614^2+F614^2&lt;=2+0.000000001,TRUE()))</f>
        <v>1</v>
      </c>
      <c r="W614" s="55" t="n">
        <f aca="false">IF(V614,IF(01_因子設定!$B$13="最大化",T614-01_因子設定!$B$14,IF(01_因子設定!$B$13="最小化",01_因子設定!$B$15-U614,MIN(T614-01_因子設定!$B$14,01_因子設定!$B$15-U614))),-1E+030)</f>
        <v>-6.97710878424448</v>
      </c>
      <c r="X614" s="55" t="n">
        <f aca="false">IF(V614,IF(01_因子設定!$B$13="最大化",Q614,IF(01_因子設定!$B$13="最小化",-Q614,-ABS(Q614-01_因子設定!$B$16))),-1E+030)</f>
        <v>42.6248153409091</v>
      </c>
      <c r="Y614" s="55" t="n">
        <f aca="false">W614+ROW()*0.000000001</f>
        <v>-6.97710817024448</v>
      </c>
      <c r="Z614" s="55" t="n">
        <f aca="false">X614+ROW()*0.000000001</f>
        <v>42.6248159549091</v>
      </c>
    </row>
    <row r="615" customFormat="false" ht="15" hidden="false" customHeight="false" outlineLevel="0" collapsed="false">
      <c r="A615" s="0" t="n">
        <v>2</v>
      </c>
      <c r="B615" s="0" t="n">
        <v>1</v>
      </c>
      <c r="C615" s="0" t="n">
        <v>15</v>
      </c>
      <c r="D615" s="0" t="n">
        <f aca="false">-1+A615*0.125</f>
        <v>-0.75</v>
      </c>
      <c r="E615" s="0" t="n">
        <f aca="false">-1+B615*0.125</f>
        <v>-0.875</v>
      </c>
      <c r="F615" s="0" t="n">
        <f aca="false">-1+C615*0.125</f>
        <v>0.875</v>
      </c>
      <c r="G615" s="0" t="n">
        <f aca="false">1</f>
        <v>1</v>
      </c>
      <c r="H615" s="0" t="n">
        <f aca="false">D615</f>
        <v>-0.75</v>
      </c>
      <c r="I615" s="0" t="n">
        <f aca="false">E615</f>
        <v>-0.875</v>
      </c>
      <c r="J615" s="0" t="n">
        <f aca="false">F615</f>
        <v>0.875</v>
      </c>
      <c r="K615" s="0" t="n">
        <f aca="false">D615*E615</f>
        <v>0.65625</v>
      </c>
      <c r="L615" s="0" t="n">
        <f aca="false">D615*F615</f>
        <v>-0.65625</v>
      </c>
      <c r="M615" s="0" t="n">
        <f aca="false">E615*F615</f>
        <v>-0.765625</v>
      </c>
      <c r="N615" s="0" t="n">
        <f aca="false">D615*D615</f>
        <v>0.5625</v>
      </c>
      <c r="O615" s="0" t="n">
        <f aca="false">E615*E615</f>
        <v>0.765625</v>
      </c>
      <c r="P615" s="0" t="n">
        <f aca="false">F615*F615</f>
        <v>0.765625</v>
      </c>
      <c r="Q615" s="0" t="n">
        <f aca="false">SUMPRODUCT(G615:P615,_XtX!$B$71:$K$71)</f>
        <v>42.5230255681818</v>
      </c>
      <c r="R615" s="0" t="n">
        <f aca="false">SUMPRODUCT(MMULT(G615:P615,_XtX!$B$58:$K$67),G615:P615)</f>
        <v>0.464749977805398</v>
      </c>
      <c r="S615" s="0" t="n">
        <f aca="false">04_回帰ANOVA!$K$19*04_回帰ANOVA!$K$14*SQRT(1+R615)</f>
        <v>1.12524835342194</v>
      </c>
      <c r="T615" s="0" t="n">
        <f aca="false">Q615-S615</f>
        <v>41.3977772147599</v>
      </c>
      <c r="U615" s="0" t="n">
        <f aca="false">Q615+S615</f>
        <v>43.6482739216038</v>
      </c>
      <c r="V615" s="54" t="b">
        <f aca="false">AND(D615&gt;=01_因子設定!$L$5-0.000000001,D615&lt;=01_因子設定!$M$5+0.000000001,E615&gt;=01_因子設定!$L$6-0.000000001,E615&lt;=01_因子設定!$M$6+0.000000001,F615&gt;=01_因子設定!$L$7-0.000000001,F615&lt;=01_因子設定!$M$7+0.000000001,IF(01_因子設定!$B$20="Box-Behnken",D615^2+E615^2+F615^2&lt;=2+0.000000001,TRUE()))</f>
        <v>1</v>
      </c>
      <c r="W615" s="55" t="n">
        <f aca="false">IF(V615,IF(01_因子設定!$B$13="最大化",T615-01_因子設定!$B$14,IF(01_因子設定!$B$13="最小化",01_因子設定!$B$15-U615,MIN(T615-01_因子設定!$B$14,01_因子設定!$B$15-U615))),-1E+030)</f>
        <v>-7.10222278524011</v>
      </c>
      <c r="X615" s="55" t="n">
        <f aca="false">IF(V615,IF(01_因子設定!$B$13="最大化",Q615,IF(01_因子設定!$B$13="最小化",-Q615,-ABS(Q615-01_因子設定!$B$16))),-1E+030)</f>
        <v>42.5230255681818</v>
      </c>
      <c r="Y615" s="55" t="n">
        <f aca="false">W615+ROW()*0.000000001</f>
        <v>-7.10222217024011</v>
      </c>
      <c r="Z615" s="55" t="n">
        <f aca="false">X615+ROW()*0.000000001</f>
        <v>42.5230261831818</v>
      </c>
    </row>
    <row r="616" customFormat="false" ht="15" hidden="false" customHeight="false" outlineLevel="0" collapsed="false">
      <c r="A616" s="0" t="n">
        <v>2</v>
      </c>
      <c r="B616" s="0" t="n">
        <v>1</v>
      </c>
      <c r="C616" s="0" t="n">
        <v>16</v>
      </c>
      <c r="D616" s="0" t="n">
        <f aca="false">-1+A616*0.125</f>
        <v>-0.75</v>
      </c>
      <c r="E616" s="0" t="n">
        <f aca="false">-1+B616*0.125</f>
        <v>-0.875</v>
      </c>
      <c r="F616" s="0" t="n">
        <f aca="false">-1+C616*0.125</f>
        <v>1</v>
      </c>
      <c r="G616" s="0" t="n">
        <f aca="false">1</f>
        <v>1</v>
      </c>
      <c r="H616" s="0" t="n">
        <f aca="false">D616</f>
        <v>-0.75</v>
      </c>
      <c r="I616" s="0" t="n">
        <f aca="false">E616</f>
        <v>-0.875</v>
      </c>
      <c r="J616" s="0" t="n">
        <f aca="false">F616</f>
        <v>1</v>
      </c>
      <c r="K616" s="0" t="n">
        <f aca="false">D616*E616</f>
        <v>0.65625</v>
      </c>
      <c r="L616" s="0" t="n">
        <f aca="false">D616*F616</f>
        <v>-0.75</v>
      </c>
      <c r="M616" s="0" t="n">
        <f aca="false">E616*F616</f>
        <v>-0.875</v>
      </c>
      <c r="N616" s="0" t="n">
        <f aca="false">D616*D616</f>
        <v>0.5625</v>
      </c>
      <c r="O616" s="0" t="n">
        <f aca="false">E616*E616</f>
        <v>0.765625</v>
      </c>
      <c r="P616" s="0" t="n">
        <f aca="false">F616*F616</f>
        <v>1</v>
      </c>
      <c r="Q616" s="0" t="n">
        <f aca="false">SUMPRODUCT(G616:P616,_XtX!$B$71:$K$71)</f>
        <v>42.3844460227273</v>
      </c>
      <c r="R616" s="0" t="n">
        <f aca="false">SUMPRODUCT(MMULT(G616:P616,_XtX!$B$58:$K$67),G616:P616)</f>
        <v>0.571375621448864</v>
      </c>
      <c r="S616" s="0" t="n">
        <f aca="false">04_回帰ANOVA!$K$19*04_回帰ANOVA!$K$14*SQRT(1+R616)</f>
        <v>1.16548487437682</v>
      </c>
      <c r="T616" s="0" t="n">
        <f aca="false">Q616-S616</f>
        <v>41.2189611483505</v>
      </c>
      <c r="U616" s="0" t="n">
        <f aca="false">Q616+S616</f>
        <v>43.5499308971041</v>
      </c>
      <c r="V616" s="54" t="b">
        <f aca="false">AND(D616&gt;=01_因子設定!$L$5-0.000000001,D616&lt;=01_因子設定!$M$5+0.000000001,E616&gt;=01_因子設定!$L$6-0.000000001,E616&lt;=01_因子設定!$M$6+0.000000001,F616&gt;=01_因子設定!$L$7-0.000000001,F616&lt;=01_因子設定!$M$7+0.000000001,IF(01_因子設定!$B$20="Box-Behnken",D616^2+E616^2+F616^2&lt;=2+0.000000001,TRUE()))</f>
        <v>1</v>
      </c>
      <c r="W616" s="55" t="n">
        <f aca="false">IF(V616,IF(01_因子設定!$B$13="最大化",T616-01_因子設定!$B$14,IF(01_因子設定!$B$13="最小化",01_因子設定!$B$15-U616,MIN(T616-01_因子設定!$B$14,01_因子設定!$B$15-U616))),-1E+030)</f>
        <v>-7.28103885164953</v>
      </c>
      <c r="X616" s="55" t="n">
        <f aca="false">IF(V616,IF(01_因子設定!$B$13="最大化",Q616,IF(01_因子設定!$B$13="最小化",-Q616,-ABS(Q616-01_因子設定!$B$16))),-1E+030)</f>
        <v>42.3844460227273</v>
      </c>
      <c r="Y616" s="55" t="n">
        <f aca="false">W616+ROW()*0.000000001</f>
        <v>-7.28103823564953</v>
      </c>
      <c r="Z616" s="55" t="n">
        <f aca="false">X616+ROW()*0.000000001</f>
        <v>42.3844466387273</v>
      </c>
    </row>
    <row r="617" customFormat="false" ht="15" hidden="false" customHeight="false" outlineLevel="0" collapsed="false">
      <c r="A617" s="0" t="n">
        <v>2</v>
      </c>
      <c r="B617" s="0" t="n">
        <v>2</v>
      </c>
      <c r="C617" s="0" t="n">
        <v>0</v>
      </c>
      <c r="D617" s="0" t="n">
        <f aca="false">-1+A617*0.125</f>
        <v>-0.75</v>
      </c>
      <c r="E617" s="0" t="n">
        <f aca="false">-1+B617*0.125</f>
        <v>-0.75</v>
      </c>
      <c r="F617" s="0" t="n">
        <f aca="false">-1+C617*0.125</f>
        <v>-1</v>
      </c>
      <c r="G617" s="0" t="n">
        <f aca="false">1</f>
        <v>1</v>
      </c>
      <c r="H617" s="0" t="n">
        <f aca="false">D617</f>
        <v>-0.75</v>
      </c>
      <c r="I617" s="0" t="n">
        <f aca="false">E617</f>
        <v>-0.75</v>
      </c>
      <c r="J617" s="0" t="n">
        <f aca="false">F617</f>
        <v>-1</v>
      </c>
      <c r="K617" s="0" t="n">
        <f aca="false">D617*E617</f>
        <v>0.5625</v>
      </c>
      <c r="L617" s="0" t="n">
        <f aca="false">D617*F617</f>
        <v>0.75</v>
      </c>
      <c r="M617" s="0" t="n">
        <f aca="false">E617*F617</f>
        <v>0.75</v>
      </c>
      <c r="N617" s="0" t="n">
        <f aca="false">D617*D617</f>
        <v>0.5625</v>
      </c>
      <c r="O617" s="0" t="n">
        <f aca="false">E617*E617</f>
        <v>0.5625</v>
      </c>
      <c r="P617" s="0" t="n">
        <f aca="false">F617*F617</f>
        <v>1</v>
      </c>
      <c r="Q617" s="0" t="n">
        <f aca="false">SUMPRODUCT(G617:P617,_XtX!$B$71:$K$71)</f>
        <v>40.6863920454546</v>
      </c>
      <c r="R617" s="0" t="n">
        <f aca="false">SUMPRODUCT(MMULT(G617:P617,_XtX!$B$58:$K$67),G617:P617)</f>
        <v>0.518314985795455</v>
      </c>
      <c r="S617" s="0" t="n">
        <f aca="false">04_回帰ANOVA!$K$19*04_回帰ANOVA!$K$14*SQRT(1+R617)</f>
        <v>1.14563843495971</v>
      </c>
      <c r="T617" s="0" t="n">
        <f aca="false">Q617-S617</f>
        <v>39.5407536104949</v>
      </c>
      <c r="U617" s="0" t="n">
        <f aca="false">Q617+S617</f>
        <v>41.8320304804143</v>
      </c>
      <c r="V617" s="54" t="b">
        <f aca="false">AND(D617&gt;=01_因子設定!$L$5-0.000000001,D617&lt;=01_因子設定!$M$5+0.000000001,E617&gt;=01_因子設定!$L$6-0.000000001,E617&lt;=01_因子設定!$M$6+0.000000001,F617&gt;=01_因子設定!$L$7-0.000000001,F617&lt;=01_因子設定!$M$7+0.000000001,IF(01_因子設定!$B$20="Box-Behnken",D617^2+E617^2+F617^2&lt;=2+0.000000001,TRUE()))</f>
        <v>1</v>
      </c>
      <c r="W617" s="55" t="n">
        <f aca="false">IF(V617,IF(01_因子設定!$B$13="最大化",T617-01_因子設定!$B$14,IF(01_因子設定!$B$13="最小化",01_因子設定!$B$15-U617,MIN(T617-01_因子設定!$B$14,01_因子設定!$B$15-U617))),-1E+030)</f>
        <v>-8.95924638950515</v>
      </c>
      <c r="X617" s="55" t="n">
        <f aca="false">IF(V617,IF(01_因子設定!$B$13="最大化",Q617,IF(01_因子設定!$B$13="最小化",-Q617,-ABS(Q617-01_因子設定!$B$16))),-1E+030)</f>
        <v>40.6863920454546</v>
      </c>
      <c r="Y617" s="55" t="n">
        <f aca="false">W617+ROW()*0.000000001</f>
        <v>-8.95924577250515</v>
      </c>
      <c r="Z617" s="55" t="n">
        <f aca="false">X617+ROW()*0.000000001</f>
        <v>40.6863926624546</v>
      </c>
    </row>
    <row r="618" customFormat="false" ht="15" hidden="false" customHeight="false" outlineLevel="0" collapsed="false">
      <c r="A618" s="0" t="n">
        <v>2</v>
      </c>
      <c r="B618" s="0" t="n">
        <v>2</v>
      </c>
      <c r="C618" s="0" t="n">
        <v>1</v>
      </c>
      <c r="D618" s="0" t="n">
        <f aca="false">-1+A618*0.125</f>
        <v>-0.75</v>
      </c>
      <c r="E618" s="0" t="n">
        <f aca="false">-1+B618*0.125</f>
        <v>-0.75</v>
      </c>
      <c r="F618" s="0" t="n">
        <f aca="false">-1+C618*0.125</f>
        <v>-0.875</v>
      </c>
      <c r="G618" s="0" t="n">
        <f aca="false">1</f>
        <v>1</v>
      </c>
      <c r="H618" s="0" t="n">
        <f aca="false">D618</f>
        <v>-0.75</v>
      </c>
      <c r="I618" s="0" t="n">
        <f aca="false">E618</f>
        <v>-0.75</v>
      </c>
      <c r="J618" s="0" t="n">
        <f aca="false">F618</f>
        <v>-0.875</v>
      </c>
      <c r="K618" s="0" t="n">
        <f aca="false">D618*E618</f>
        <v>0.5625</v>
      </c>
      <c r="L618" s="0" t="n">
        <f aca="false">D618*F618</f>
        <v>0.65625</v>
      </c>
      <c r="M618" s="0" t="n">
        <f aca="false">E618*F618</f>
        <v>0.65625</v>
      </c>
      <c r="N618" s="0" t="n">
        <f aca="false">D618*D618</f>
        <v>0.5625</v>
      </c>
      <c r="O618" s="0" t="n">
        <f aca="false">E618*E618</f>
        <v>0.5625</v>
      </c>
      <c r="P618" s="0" t="n">
        <f aca="false">F618*F618</f>
        <v>0.765625</v>
      </c>
      <c r="Q618" s="0" t="n">
        <f aca="false">SUMPRODUCT(G618:P618,_XtX!$B$71:$K$71)</f>
        <v>41.1066903409091</v>
      </c>
      <c r="R618" s="0" t="n">
        <f aca="false">SUMPRODUCT(MMULT(G618:P618,_XtX!$B$58:$K$67),G618:P618)</f>
        <v>0.404656427556818</v>
      </c>
      <c r="S618" s="0" t="n">
        <f aca="false">04_回帰ANOVA!$K$19*04_回帰ANOVA!$K$14*SQRT(1+R618)</f>
        <v>1.10192412515358</v>
      </c>
      <c r="T618" s="0" t="n">
        <f aca="false">Q618-S618</f>
        <v>40.0047662157555</v>
      </c>
      <c r="U618" s="0" t="n">
        <f aca="false">Q618+S618</f>
        <v>42.2086144660627</v>
      </c>
      <c r="V618" s="54" t="b">
        <f aca="false">AND(D618&gt;=01_因子設定!$L$5-0.000000001,D618&lt;=01_因子設定!$M$5+0.000000001,E618&gt;=01_因子設定!$L$6-0.000000001,E618&lt;=01_因子設定!$M$6+0.000000001,F618&gt;=01_因子設定!$L$7-0.000000001,F618&lt;=01_因子設定!$M$7+0.000000001,IF(01_因子設定!$B$20="Box-Behnken",D618^2+E618^2+F618^2&lt;=2+0.000000001,TRUE()))</f>
        <v>1</v>
      </c>
      <c r="W618" s="55" t="n">
        <f aca="false">IF(V618,IF(01_因子設定!$B$13="最大化",T618-01_因子設定!$B$14,IF(01_因子設定!$B$13="最小化",01_因子設定!$B$15-U618,MIN(T618-01_因子設定!$B$14,01_因子設定!$B$15-U618))),-1E+030)</f>
        <v>-8.49523378424448</v>
      </c>
      <c r="X618" s="55" t="n">
        <f aca="false">IF(V618,IF(01_因子設定!$B$13="最大化",Q618,IF(01_因子設定!$B$13="最小化",-Q618,-ABS(Q618-01_因子設定!$B$16))),-1E+030)</f>
        <v>41.1066903409091</v>
      </c>
      <c r="Y618" s="55" t="n">
        <f aca="false">W618+ROW()*0.000000001</f>
        <v>-8.49523316624448</v>
      </c>
      <c r="Z618" s="55" t="n">
        <f aca="false">X618+ROW()*0.000000001</f>
        <v>41.1066909589091</v>
      </c>
    </row>
    <row r="619" customFormat="false" ht="15" hidden="false" customHeight="false" outlineLevel="0" collapsed="false">
      <c r="A619" s="0" t="n">
        <v>2</v>
      </c>
      <c r="B619" s="0" t="n">
        <v>2</v>
      </c>
      <c r="C619" s="0" t="n">
        <v>2</v>
      </c>
      <c r="D619" s="0" t="n">
        <f aca="false">-1+A619*0.125</f>
        <v>-0.75</v>
      </c>
      <c r="E619" s="0" t="n">
        <f aca="false">-1+B619*0.125</f>
        <v>-0.75</v>
      </c>
      <c r="F619" s="0" t="n">
        <f aca="false">-1+C619*0.125</f>
        <v>-0.75</v>
      </c>
      <c r="G619" s="0" t="n">
        <f aca="false">1</f>
        <v>1</v>
      </c>
      <c r="H619" s="0" t="n">
        <f aca="false">D619</f>
        <v>-0.75</v>
      </c>
      <c r="I619" s="0" t="n">
        <f aca="false">E619</f>
        <v>-0.75</v>
      </c>
      <c r="J619" s="0" t="n">
        <f aca="false">F619</f>
        <v>-0.75</v>
      </c>
      <c r="K619" s="0" t="n">
        <f aca="false">D619*E619</f>
        <v>0.5625</v>
      </c>
      <c r="L619" s="0" t="n">
        <f aca="false">D619*F619</f>
        <v>0.5625</v>
      </c>
      <c r="M619" s="0" t="n">
        <f aca="false">E619*F619</f>
        <v>0.5625</v>
      </c>
      <c r="N619" s="0" t="n">
        <f aca="false">D619*D619</f>
        <v>0.5625</v>
      </c>
      <c r="O619" s="0" t="n">
        <f aca="false">E619*E619</f>
        <v>0.5625</v>
      </c>
      <c r="P619" s="0" t="n">
        <f aca="false">F619*F619</f>
        <v>0.5625</v>
      </c>
      <c r="Q619" s="0" t="n">
        <f aca="false">SUMPRODUCT(G619:P619,_XtX!$B$71:$K$71)</f>
        <v>41.4901988636364</v>
      </c>
      <c r="R619" s="0" t="n">
        <f aca="false">SUMPRODUCT(MMULT(G619:P619,_XtX!$B$58:$K$67),G619:P619)</f>
        <v>0.338467684659091</v>
      </c>
      <c r="S619" s="0" t="n">
        <f aca="false">04_回帰ANOVA!$K$19*04_回帰ANOVA!$K$14*SQRT(1+R619)</f>
        <v>1.07564900835648</v>
      </c>
      <c r="T619" s="0" t="n">
        <f aca="false">Q619-S619</f>
        <v>40.4145498552799</v>
      </c>
      <c r="U619" s="0" t="n">
        <f aca="false">Q619+S619</f>
        <v>42.5658478719929</v>
      </c>
      <c r="V619" s="54" t="b">
        <f aca="false">AND(D619&gt;=01_因子設定!$L$5-0.000000001,D619&lt;=01_因子設定!$M$5+0.000000001,E619&gt;=01_因子設定!$L$6-0.000000001,E619&lt;=01_因子設定!$M$6+0.000000001,F619&gt;=01_因子設定!$L$7-0.000000001,F619&lt;=01_因子設定!$M$7+0.000000001,IF(01_因子設定!$B$20="Box-Behnken",D619^2+E619^2+F619^2&lt;=2+0.000000001,TRUE()))</f>
        <v>1</v>
      </c>
      <c r="W619" s="55" t="n">
        <f aca="false">IF(V619,IF(01_因子設定!$B$13="最大化",T619-01_因子設定!$B$14,IF(01_因子設定!$B$13="最小化",01_因子設定!$B$15-U619,MIN(T619-01_因子設定!$B$14,01_因子設定!$B$15-U619))),-1E+030)</f>
        <v>-8.08545014472011</v>
      </c>
      <c r="X619" s="55" t="n">
        <f aca="false">IF(V619,IF(01_因子設定!$B$13="最大化",Q619,IF(01_因子設定!$B$13="最小化",-Q619,-ABS(Q619-01_因子設定!$B$16))),-1E+030)</f>
        <v>41.4901988636364</v>
      </c>
      <c r="Y619" s="55" t="n">
        <f aca="false">W619+ROW()*0.000000001</f>
        <v>-8.08544952572011</v>
      </c>
      <c r="Z619" s="55" t="n">
        <f aca="false">X619+ROW()*0.000000001</f>
        <v>41.4901994826364</v>
      </c>
    </row>
    <row r="620" customFormat="false" ht="15" hidden="false" customHeight="false" outlineLevel="0" collapsed="false">
      <c r="A620" s="0" t="n">
        <v>2</v>
      </c>
      <c r="B620" s="0" t="n">
        <v>2</v>
      </c>
      <c r="C620" s="0" t="n">
        <v>3</v>
      </c>
      <c r="D620" s="0" t="n">
        <f aca="false">-1+A620*0.125</f>
        <v>-0.75</v>
      </c>
      <c r="E620" s="0" t="n">
        <f aca="false">-1+B620*0.125</f>
        <v>-0.75</v>
      </c>
      <c r="F620" s="0" t="n">
        <f aca="false">-1+C620*0.125</f>
        <v>-0.625</v>
      </c>
      <c r="G620" s="0" t="n">
        <f aca="false">1</f>
        <v>1</v>
      </c>
      <c r="H620" s="0" t="n">
        <f aca="false">D620</f>
        <v>-0.75</v>
      </c>
      <c r="I620" s="0" t="n">
        <f aca="false">E620</f>
        <v>-0.75</v>
      </c>
      <c r="J620" s="0" t="n">
        <f aca="false">F620</f>
        <v>-0.625</v>
      </c>
      <c r="K620" s="0" t="n">
        <f aca="false">D620*E620</f>
        <v>0.5625</v>
      </c>
      <c r="L620" s="0" t="n">
        <f aca="false">D620*F620</f>
        <v>0.46875</v>
      </c>
      <c r="M620" s="0" t="n">
        <f aca="false">E620*F620</f>
        <v>0.46875</v>
      </c>
      <c r="N620" s="0" t="n">
        <f aca="false">D620*D620</f>
        <v>0.5625</v>
      </c>
      <c r="O620" s="0" t="n">
        <f aca="false">E620*E620</f>
        <v>0.5625</v>
      </c>
      <c r="P620" s="0" t="n">
        <f aca="false">F620*F620</f>
        <v>0.390625</v>
      </c>
      <c r="Q620" s="0" t="n">
        <f aca="false">SUMPRODUCT(G620:P620,_XtX!$B$71:$K$71)</f>
        <v>41.8369176136364</v>
      </c>
      <c r="R620" s="0" t="n">
        <f aca="false">SUMPRODUCT(MMULT(G620:P620,_XtX!$B$58:$K$67),G620:P620)</f>
        <v>0.305899325284091</v>
      </c>
      <c r="S620" s="0" t="n">
        <f aca="false">04_回帰ANOVA!$K$19*04_回帰ANOVA!$K$14*SQRT(1+R620)</f>
        <v>1.06248176416816</v>
      </c>
      <c r="T620" s="0" t="n">
        <f aca="false">Q620-S620</f>
        <v>40.7744358494682</v>
      </c>
      <c r="U620" s="0" t="n">
        <f aca="false">Q620+S620</f>
        <v>42.8993993778045</v>
      </c>
      <c r="V620" s="54" t="b">
        <f aca="false">AND(D620&gt;=01_因子設定!$L$5-0.000000001,D620&lt;=01_因子設定!$M$5+0.000000001,E620&gt;=01_因子設定!$L$6-0.000000001,E620&lt;=01_因子設定!$M$6+0.000000001,F620&gt;=01_因子設定!$L$7-0.000000001,F620&lt;=01_因子設定!$M$7+0.000000001,IF(01_因子設定!$B$20="Box-Behnken",D620^2+E620^2+F620^2&lt;=2+0.000000001,TRUE()))</f>
        <v>1</v>
      </c>
      <c r="W620" s="55" t="n">
        <f aca="false">IF(V620,IF(01_因子設定!$B$13="最大化",T620-01_因子設定!$B$14,IF(01_因子設定!$B$13="最小化",01_因子設定!$B$15-U620,MIN(T620-01_因子設定!$B$14,01_因子設定!$B$15-U620))),-1E+030)</f>
        <v>-7.7255641505318</v>
      </c>
      <c r="X620" s="55" t="n">
        <f aca="false">IF(V620,IF(01_因子設定!$B$13="最大化",Q620,IF(01_因子設定!$B$13="最小化",-Q620,-ABS(Q620-01_因子設定!$B$16))),-1E+030)</f>
        <v>41.8369176136364</v>
      </c>
      <c r="Y620" s="55" t="n">
        <f aca="false">W620+ROW()*0.000000001</f>
        <v>-7.7255635305318</v>
      </c>
      <c r="Z620" s="55" t="n">
        <f aca="false">X620+ROW()*0.000000001</f>
        <v>41.8369182336364</v>
      </c>
    </row>
    <row r="621" customFormat="false" ht="15" hidden="false" customHeight="false" outlineLevel="0" collapsed="false">
      <c r="A621" s="0" t="n">
        <v>2</v>
      </c>
      <c r="B621" s="0" t="n">
        <v>2</v>
      </c>
      <c r="C621" s="0" t="n">
        <v>4</v>
      </c>
      <c r="D621" s="0" t="n">
        <f aca="false">-1+A621*0.125</f>
        <v>-0.75</v>
      </c>
      <c r="E621" s="0" t="n">
        <f aca="false">-1+B621*0.125</f>
        <v>-0.75</v>
      </c>
      <c r="F621" s="0" t="n">
        <f aca="false">-1+C621*0.125</f>
        <v>-0.5</v>
      </c>
      <c r="G621" s="0" t="n">
        <f aca="false">1</f>
        <v>1</v>
      </c>
      <c r="H621" s="0" t="n">
        <f aca="false">D621</f>
        <v>-0.75</v>
      </c>
      <c r="I621" s="0" t="n">
        <f aca="false">E621</f>
        <v>-0.75</v>
      </c>
      <c r="J621" s="0" t="n">
        <f aca="false">F621</f>
        <v>-0.5</v>
      </c>
      <c r="K621" s="0" t="n">
        <f aca="false">D621*E621</f>
        <v>0.5625</v>
      </c>
      <c r="L621" s="0" t="n">
        <f aca="false">D621*F621</f>
        <v>0.375</v>
      </c>
      <c r="M621" s="0" t="n">
        <f aca="false">E621*F621</f>
        <v>0.375</v>
      </c>
      <c r="N621" s="0" t="n">
        <f aca="false">D621*D621</f>
        <v>0.5625</v>
      </c>
      <c r="O621" s="0" t="n">
        <f aca="false">E621*E621</f>
        <v>0.5625</v>
      </c>
      <c r="P621" s="0" t="n">
        <f aca="false">F621*F621</f>
        <v>0.25</v>
      </c>
      <c r="Q621" s="0" t="n">
        <f aca="false">SUMPRODUCT(G621:P621,_XtX!$B$71:$K$71)</f>
        <v>42.1468465909091</v>
      </c>
      <c r="R621" s="0" t="n">
        <f aca="false">SUMPRODUCT(MMULT(G621:P621,_XtX!$B$58:$K$67),G621:P621)</f>
        <v>0.295232599431818</v>
      </c>
      <c r="S621" s="0" t="n">
        <f aca="false">04_回帰ANOVA!$K$19*04_回帰ANOVA!$K$14*SQRT(1+R621)</f>
        <v>1.05813363442154</v>
      </c>
      <c r="T621" s="0" t="n">
        <f aca="false">Q621-S621</f>
        <v>41.0887129564876</v>
      </c>
      <c r="U621" s="0" t="n">
        <f aca="false">Q621+S621</f>
        <v>43.2049802253306</v>
      </c>
      <c r="V621" s="54" t="b">
        <f aca="false">AND(D621&gt;=01_因子設定!$L$5-0.000000001,D621&lt;=01_因子設定!$M$5+0.000000001,E621&gt;=01_因子設定!$L$6-0.000000001,E621&lt;=01_因子設定!$M$6+0.000000001,F621&gt;=01_因子設定!$L$7-0.000000001,F621&lt;=01_因子設定!$M$7+0.000000001,IF(01_因子設定!$B$20="Box-Behnken",D621^2+E621^2+F621^2&lt;=2+0.000000001,TRUE()))</f>
        <v>1</v>
      </c>
      <c r="W621" s="55" t="n">
        <f aca="false">IF(V621,IF(01_因子設定!$B$13="最大化",T621-01_因子設定!$B$14,IF(01_因子設定!$B$13="最小化",01_因子設定!$B$15-U621,MIN(T621-01_因子設定!$B$14,01_因子設定!$B$15-U621))),-1E+030)</f>
        <v>-7.41128704351245</v>
      </c>
      <c r="X621" s="55" t="n">
        <f aca="false">IF(V621,IF(01_因子設定!$B$13="最大化",Q621,IF(01_因子設定!$B$13="最小化",-Q621,-ABS(Q621-01_因子設定!$B$16))),-1E+030)</f>
        <v>42.1468465909091</v>
      </c>
      <c r="Y621" s="55" t="n">
        <f aca="false">W621+ROW()*0.000000001</f>
        <v>-7.41128642251245</v>
      </c>
      <c r="Z621" s="55" t="n">
        <f aca="false">X621+ROW()*0.000000001</f>
        <v>42.1468472119091</v>
      </c>
    </row>
    <row r="622" customFormat="false" ht="15" hidden="false" customHeight="false" outlineLevel="0" collapsed="false">
      <c r="A622" s="0" t="n">
        <v>2</v>
      </c>
      <c r="B622" s="0" t="n">
        <v>2</v>
      </c>
      <c r="C622" s="0" t="n">
        <v>5</v>
      </c>
      <c r="D622" s="0" t="n">
        <f aca="false">-1+A622*0.125</f>
        <v>-0.75</v>
      </c>
      <c r="E622" s="0" t="n">
        <f aca="false">-1+B622*0.125</f>
        <v>-0.75</v>
      </c>
      <c r="F622" s="0" t="n">
        <f aca="false">-1+C622*0.125</f>
        <v>-0.375</v>
      </c>
      <c r="G622" s="0" t="n">
        <f aca="false">1</f>
        <v>1</v>
      </c>
      <c r="H622" s="0" t="n">
        <f aca="false">D622</f>
        <v>-0.75</v>
      </c>
      <c r="I622" s="0" t="n">
        <f aca="false">E622</f>
        <v>-0.75</v>
      </c>
      <c r="J622" s="0" t="n">
        <f aca="false">F622</f>
        <v>-0.375</v>
      </c>
      <c r="K622" s="0" t="n">
        <f aca="false">D622*E622</f>
        <v>0.5625</v>
      </c>
      <c r="L622" s="0" t="n">
        <f aca="false">D622*F622</f>
        <v>0.28125</v>
      </c>
      <c r="M622" s="0" t="n">
        <f aca="false">E622*F622</f>
        <v>0.28125</v>
      </c>
      <c r="N622" s="0" t="n">
        <f aca="false">D622*D622</f>
        <v>0.5625</v>
      </c>
      <c r="O622" s="0" t="n">
        <f aca="false">E622*E622</f>
        <v>0.5625</v>
      </c>
      <c r="P622" s="0" t="n">
        <f aca="false">F622*F622</f>
        <v>0.140625</v>
      </c>
      <c r="Q622" s="0" t="n">
        <f aca="false">SUMPRODUCT(G622:P622,_XtX!$B$71:$K$71)</f>
        <v>42.4199857954545</v>
      </c>
      <c r="R622" s="0" t="n">
        <f aca="false">SUMPRODUCT(MMULT(G622:P622,_XtX!$B$58:$K$67),G622:P622)</f>
        <v>0.296879438920455</v>
      </c>
      <c r="S622" s="0" t="n">
        <f aca="false">04_回帰ANOVA!$K$19*04_回帰ANOVA!$K$14*SQRT(1+R622)</f>
        <v>1.05880610927316</v>
      </c>
      <c r="T622" s="0" t="n">
        <f aca="false">Q622-S622</f>
        <v>41.3611796861814</v>
      </c>
      <c r="U622" s="0" t="n">
        <f aca="false">Q622+S622</f>
        <v>43.4787919047277</v>
      </c>
      <c r="V622" s="54" t="b">
        <f aca="false">AND(D622&gt;=01_因子設定!$L$5-0.000000001,D622&lt;=01_因子設定!$M$5+0.000000001,E622&gt;=01_因子設定!$L$6-0.000000001,E622&lt;=01_因子設定!$M$6+0.000000001,F622&gt;=01_因子設定!$L$7-0.000000001,F622&lt;=01_因子設定!$M$7+0.000000001,IF(01_因子設定!$B$20="Box-Behnken",D622^2+E622^2+F622^2&lt;=2+0.000000001,TRUE()))</f>
        <v>1</v>
      </c>
      <c r="W622" s="55" t="n">
        <f aca="false">IF(V622,IF(01_因子設定!$B$13="最大化",T622-01_因子設定!$B$14,IF(01_因子設定!$B$13="最小化",01_因子設定!$B$15-U622,MIN(T622-01_因子設定!$B$14,01_因子設定!$B$15-U622))),-1E+030)</f>
        <v>-7.13882031381862</v>
      </c>
      <c r="X622" s="55" t="n">
        <f aca="false">IF(V622,IF(01_因子設定!$B$13="最大化",Q622,IF(01_因子設定!$B$13="最小化",-Q622,-ABS(Q622-01_因子設定!$B$16))),-1E+030)</f>
        <v>42.4199857954545</v>
      </c>
      <c r="Y622" s="55" t="n">
        <f aca="false">W622+ROW()*0.000000001</f>
        <v>-7.13881969181862</v>
      </c>
      <c r="Z622" s="55" t="n">
        <f aca="false">X622+ROW()*0.000000001</f>
        <v>42.4199864174545</v>
      </c>
    </row>
    <row r="623" customFormat="false" ht="15" hidden="false" customHeight="false" outlineLevel="0" collapsed="false">
      <c r="A623" s="0" t="n">
        <v>2</v>
      </c>
      <c r="B623" s="0" t="n">
        <v>2</v>
      </c>
      <c r="C623" s="0" t="n">
        <v>6</v>
      </c>
      <c r="D623" s="0" t="n">
        <f aca="false">-1+A623*0.125</f>
        <v>-0.75</v>
      </c>
      <c r="E623" s="0" t="n">
        <f aca="false">-1+B623*0.125</f>
        <v>-0.75</v>
      </c>
      <c r="F623" s="0" t="n">
        <f aca="false">-1+C623*0.125</f>
        <v>-0.25</v>
      </c>
      <c r="G623" s="0" t="n">
        <f aca="false">1</f>
        <v>1</v>
      </c>
      <c r="H623" s="0" t="n">
        <f aca="false">D623</f>
        <v>-0.75</v>
      </c>
      <c r="I623" s="0" t="n">
        <f aca="false">E623</f>
        <v>-0.75</v>
      </c>
      <c r="J623" s="0" t="n">
        <f aca="false">F623</f>
        <v>-0.25</v>
      </c>
      <c r="K623" s="0" t="n">
        <f aca="false">D623*E623</f>
        <v>0.5625</v>
      </c>
      <c r="L623" s="0" t="n">
        <f aca="false">D623*F623</f>
        <v>0.1875</v>
      </c>
      <c r="M623" s="0" t="n">
        <f aca="false">E623*F623</f>
        <v>0.1875</v>
      </c>
      <c r="N623" s="0" t="n">
        <f aca="false">D623*D623</f>
        <v>0.5625</v>
      </c>
      <c r="O623" s="0" t="n">
        <f aca="false">E623*E623</f>
        <v>0.5625</v>
      </c>
      <c r="P623" s="0" t="n">
        <f aca="false">F623*F623</f>
        <v>0.0625</v>
      </c>
      <c r="Q623" s="0" t="n">
        <f aca="false">SUMPRODUCT(G623:P623,_XtX!$B$71:$K$71)</f>
        <v>42.6563352272727</v>
      </c>
      <c r="R623" s="0" t="n">
        <f aca="false">SUMPRODUCT(MMULT(G623:P623,_XtX!$B$58:$K$67),G623:P623)</f>
        <v>0.303382457386364</v>
      </c>
      <c r="S623" s="0" t="n">
        <f aca="false">04_回帰ANOVA!$K$19*04_回帰ANOVA!$K$14*SQRT(1+R623)</f>
        <v>1.06145740650883</v>
      </c>
      <c r="T623" s="0" t="n">
        <f aca="false">Q623-S623</f>
        <v>41.5948778207639</v>
      </c>
      <c r="U623" s="0" t="n">
        <f aca="false">Q623+S623</f>
        <v>43.7177926337816</v>
      </c>
      <c r="V623" s="54" t="b">
        <f aca="false">AND(D623&gt;=01_因子設定!$L$5-0.000000001,D623&lt;=01_因子設定!$M$5+0.000000001,E623&gt;=01_因子設定!$L$6-0.000000001,E623&lt;=01_因子設定!$M$6+0.000000001,F623&gt;=01_因子設定!$L$7-0.000000001,F623&lt;=01_因子設定!$M$7+0.000000001,IF(01_因子設定!$B$20="Box-Behnken",D623^2+E623^2+F623^2&lt;=2+0.000000001,TRUE()))</f>
        <v>1</v>
      </c>
      <c r="W623" s="55" t="n">
        <f aca="false">IF(V623,IF(01_因子設定!$B$13="最大化",T623-01_因子設定!$B$14,IF(01_因子設定!$B$13="最小化",01_因子設定!$B$15-U623,MIN(T623-01_因子設定!$B$14,01_因子設定!$B$15-U623))),-1E+030)</f>
        <v>-6.90512217923611</v>
      </c>
      <c r="X623" s="55" t="n">
        <f aca="false">IF(V623,IF(01_因子設定!$B$13="最大化",Q623,IF(01_因子設定!$B$13="最小化",-Q623,-ABS(Q623-01_因子設定!$B$16))),-1E+030)</f>
        <v>42.6563352272727</v>
      </c>
      <c r="Y623" s="55" t="n">
        <f aca="false">W623+ROW()*0.000000001</f>
        <v>-6.90512155623611</v>
      </c>
      <c r="Z623" s="55" t="n">
        <f aca="false">X623+ROW()*0.000000001</f>
        <v>42.6563358502727</v>
      </c>
    </row>
    <row r="624" customFormat="false" ht="15" hidden="false" customHeight="false" outlineLevel="0" collapsed="false">
      <c r="A624" s="0" t="n">
        <v>2</v>
      </c>
      <c r="B624" s="0" t="n">
        <v>2</v>
      </c>
      <c r="C624" s="0" t="n">
        <v>7</v>
      </c>
      <c r="D624" s="0" t="n">
        <f aca="false">-1+A624*0.125</f>
        <v>-0.75</v>
      </c>
      <c r="E624" s="0" t="n">
        <f aca="false">-1+B624*0.125</f>
        <v>-0.75</v>
      </c>
      <c r="F624" s="0" t="n">
        <f aca="false">-1+C624*0.125</f>
        <v>-0.125</v>
      </c>
      <c r="G624" s="0" t="n">
        <f aca="false">1</f>
        <v>1</v>
      </c>
      <c r="H624" s="0" t="n">
        <f aca="false">D624</f>
        <v>-0.75</v>
      </c>
      <c r="I624" s="0" t="n">
        <f aca="false">E624</f>
        <v>-0.75</v>
      </c>
      <c r="J624" s="0" t="n">
        <f aca="false">F624</f>
        <v>-0.125</v>
      </c>
      <c r="K624" s="0" t="n">
        <f aca="false">D624*E624</f>
        <v>0.5625</v>
      </c>
      <c r="L624" s="0" t="n">
        <f aca="false">D624*F624</f>
        <v>0.09375</v>
      </c>
      <c r="M624" s="0" t="n">
        <f aca="false">E624*F624</f>
        <v>0.09375</v>
      </c>
      <c r="N624" s="0" t="n">
        <f aca="false">D624*D624</f>
        <v>0.5625</v>
      </c>
      <c r="O624" s="0" t="n">
        <f aca="false">E624*E624</f>
        <v>0.5625</v>
      </c>
      <c r="P624" s="0" t="n">
        <f aca="false">F624*F624</f>
        <v>0.015625</v>
      </c>
      <c r="Q624" s="0" t="n">
        <f aca="false">SUMPRODUCT(G624:P624,_XtX!$B$71:$K$71)</f>
        <v>42.8558948863636</v>
      </c>
      <c r="R624" s="0" t="n">
        <f aca="false">SUMPRODUCT(MMULT(G624:P624,_XtX!$B$58:$K$67),G624:P624)</f>
        <v>0.309414950284091</v>
      </c>
      <c r="S624" s="0" t="n">
        <f aca="false">04_回帰ANOVA!$K$19*04_回帰ANOVA!$K$14*SQRT(1+R624)</f>
        <v>1.06391096196568</v>
      </c>
      <c r="T624" s="0" t="n">
        <f aca="false">Q624-S624</f>
        <v>41.791983924398</v>
      </c>
      <c r="U624" s="0" t="n">
        <f aca="false">Q624+S624</f>
        <v>43.9198058483293</v>
      </c>
      <c r="V624" s="54" t="b">
        <f aca="false">AND(D624&gt;=01_因子設定!$L$5-0.000000001,D624&lt;=01_因子設定!$M$5+0.000000001,E624&gt;=01_因子設定!$L$6-0.000000001,E624&lt;=01_因子設定!$M$6+0.000000001,F624&gt;=01_因子設定!$L$7-0.000000001,F624&lt;=01_因子設定!$M$7+0.000000001,IF(01_因子設定!$B$20="Box-Behnken",D624^2+E624^2+F624^2&lt;=2+0.000000001,TRUE()))</f>
        <v>1</v>
      </c>
      <c r="W624" s="55" t="n">
        <f aca="false">IF(V624,IF(01_因子設定!$B$13="最大化",T624-01_因子設定!$B$14,IF(01_因子設定!$B$13="最小化",01_因子設定!$B$15-U624,MIN(T624-01_因子設定!$B$14,01_因子設定!$B$15-U624))),-1E+030)</f>
        <v>-6.70801607560204</v>
      </c>
      <c r="X624" s="55" t="n">
        <f aca="false">IF(V624,IF(01_因子設定!$B$13="最大化",Q624,IF(01_因子設定!$B$13="最小化",-Q624,-ABS(Q624-01_因子設定!$B$16))),-1E+030)</f>
        <v>42.8558948863636</v>
      </c>
      <c r="Y624" s="55" t="n">
        <f aca="false">W624+ROW()*0.000000001</f>
        <v>-6.70801545160204</v>
      </c>
      <c r="Z624" s="55" t="n">
        <f aca="false">X624+ROW()*0.000000001</f>
        <v>42.8558955103636</v>
      </c>
    </row>
    <row r="625" customFormat="false" ht="15" hidden="false" customHeight="false" outlineLevel="0" collapsed="false">
      <c r="A625" s="0" t="n">
        <v>2</v>
      </c>
      <c r="B625" s="0" t="n">
        <v>2</v>
      </c>
      <c r="C625" s="0" t="n">
        <v>8</v>
      </c>
      <c r="D625" s="0" t="n">
        <f aca="false">-1+A625*0.125</f>
        <v>-0.75</v>
      </c>
      <c r="E625" s="0" t="n">
        <f aca="false">-1+B625*0.125</f>
        <v>-0.75</v>
      </c>
      <c r="F625" s="0" t="n">
        <f aca="false">-1+C625*0.125</f>
        <v>0</v>
      </c>
      <c r="G625" s="0" t="n">
        <f aca="false">1</f>
        <v>1</v>
      </c>
      <c r="H625" s="0" t="n">
        <f aca="false">D625</f>
        <v>-0.75</v>
      </c>
      <c r="I625" s="0" t="n">
        <f aca="false">E625</f>
        <v>-0.75</v>
      </c>
      <c r="J625" s="0" t="n">
        <f aca="false">F625</f>
        <v>0</v>
      </c>
      <c r="K625" s="0" t="n">
        <f aca="false">D625*E625</f>
        <v>0.5625</v>
      </c>
      <c r="L625" s="0" t="n">
        <f aca="false">D625*F625</f>
        <v>-0</v>
      </c>
      <c r="M625" s="0" t="n">
        <f aca="false">E625*F625</f>
        <v>-0</v>
      </c>
      <c r="N625" s="0" t="n">
        <f aca="false">D625*D625</f>
        <v>0.5625</v>
      </c>
      <c r="O625" s="0" t="n">
        <f aca="false">E625*E625</f>
        <v>0.5625</v>
      </c>
      <c r="P625" s="0" t="n">
        <f aca="false">F625*F625</f>
        <v>0</v>
      </c>
      <c r="Q625" s="0" t="n">
        <f aca="false">SUMPRODUCT(G625:P625,_XtX!$B$71:$K$71)</f>
        <v>43.0186647727273</v>
      </c>
      <c r="R625" s="0" t="n">
        <f aca="false">SUMPRODUCT(MMULT(G625:P625,_XtX!$B$58:$K$67),G625:P625)</f>
        <v>0.311780894886364</v>
      </c>
      <c r="S625" s="0" t="n">
        <f aca="false">04_回帰ANOVA!$K$19*04_回帰ANOVA!$K$14*SQRT(1+R625)</f>
        <v>1.06487170339437</v>
      </c>
      <c r="T625" s="0" t="n">
        <f aca="false">Q625-S625</f>
        <v>41.9537930693329</v>
      </c>
      <c r="U625" s="0" t="n">
        <f aca="false">Q625+S625</f>
        <v>44.0835364761216</v>
      </c>
      <c r="V625" s="54" t="b">
        <f aca="false">AND(D625&gt;=01_因子設定!$L$5-0.000000001,D625&lt;=01_因子設定!$M$5+0.000000001,E625&gt;=01_因子設定!$L$6-0.000000001,E625&lt;=01_因子設定!$M$6+0.000000001,F625&gt;=01_因子設定!$L$7-0.000000001,F625&lt;=01_因子設定!$M$7+0.000000001,IF(01_因子設定!$B$20="Box-Behnken",D625^2+E625^2+F625^2&lt;=2+0.000000001,TRUE()))</f>
        <v>1</v>
      </c>
      <c r="W625" s="55" t="n">
        <f aca="false">IF(V625,IF(01_因子設定!$B$13="最大化",T625-01_因子設定!$B$14,IF(01_因子設定!$B$13="最小化",01_因子設定!$B$15-U625,MIN(T625-01_因子設定!$B$14,01_因子設定!$B$15-U625))),-1E+030)</f>
        <v>-6.5462069306671</v>
      </c>
      <c r="X625" s="55" t="n">
        <f aca="false">IF(V625,IF(01_因子設定!$B$13="最大化",Q625,IF(01_因子設定!$B$13="最小化",-Q625,-ABS(Q625-01_因子設定!$B$16))),-1E+030)</f>
        <v>43.0186647727273</v>
      </c>
      <c r="Y625" s="55" t="n">
        <f aca="false">W625+ROW()*0.000000001</f>
        <v>-6.5462063056671</v>
      </c>
      <c r="Z625" s="55" t="n">
        <f aca="false">X625+ROW()*0.000000001</f>
        <v>43.0186653977273</v>
      </c>
    </row>
    <row r="626" customFormat="false" ht="15" hidden="false" customHeight="false" outlineLevel="0" collapsed="false">
      <c r="A626" s="0" t="n">
        <v>2</v>
      </c>
      <c r="B626" s="0" t="n">
        <v>2</v>
      </c>
      <c r="C626" s="0" t="n">
        <v>9</v>
      </c>
      <c r="D626" s="0" t="n">
        <f aca="false">-1+A626*0.125</f>
        <v>-0.75</v>
      </c>
      <c r="E626" s="0" t="n">
        <f aca="false">-1+B626*0.125</f>
        <v>-0.75</v>
      </c>
      <c r="F626" s="0" t="n">
        <f aca="false">-1+C626*0.125</f>
        <v>0.125</v>
      </c>
      <c r="G626" s="0" t="n">
        <f aca="false">1</f>
        <v>1</v>
      </c>
      <c r="H626" s="0" t="n">
        <f aca="false">D626</f>
        <v>-0.75</v>
      </c>
      <c r="I626" s="0" t="n">
        <f aca="false">E626</f>
        <v>-0.75</v>
      </c>
      <c r="J626" s="0" t="n">
        <f aca="false">F626</f>
        <v>0.125</v>
      </c>
      <c r="K626" s="0" t="n">
        <f aca="false">D626*E626</f>
        <v>0.5625</v>
      </c>
      <c r="L626" s="0" t="n">
        <f aca="false">D626*F626</f>
        <v>-0.09375</v>
      </c>
      <c r="M626" s="0" t="n">
        <f aca="false">E626*F626</f>
        <v>-0.09375</v>
      </c>
      <c r="N626" s="0" t="n">
        <f aca="false">D626*D626</f>
        <v>0.5625</v>
      </c>
      <c r="O626" s="0" t="n">
        <f aca="false">E626*E626</f>
        <v>0.5625</v>
      </c>
      <c r="P626" s="0" t="n">
        <f aca="false">F626*F626</f>
        <v>0.015625</v>
      </c>
      <c r="Q626" s="0" t="n">
        <f aca="false">SUMPRODUCT(G626:P626,_XtX!$B$71:$K$71)</f>
        <v>43.1446448863636</v>
      </c>
      <c r="R626" s="0" t="n">
        <f aca="false">SUMPRODUCT(MMULT(G626:P626,_XtX!$B$58:$K$67),G626:P626)</f>
        <v>0.309414950284091</v>
      </c>
      <c r="S626" s="0" t="n">
        <f aca="false">04_回帰ANOVA!$K$19*04_回帰ANOVA!$K$14*SQRT(1+R626)</f>
        <v>1.06391096196568</v>
      </c>
      <c r="T626" s="0" t="n">
        <f aca="false">Q626-S626</f>
        <v>42.080733924398</v>
      </c>
      <c r="U626" s="0" t="n">
        <f aca="false">Q626+S626</f>
        <v>44.2085558483293</v>
      </c>
      <c r="V626" s="54" t="b">
        <f aca="false">AND(D626&gt;=01_因子設定!$L$5-0.000000001,D626&lt;=01_因子設定!$M$5+0.000000001,E626&gt;=01_因子設定!$L$6-0.000000001,E626&lt;=01_因子設定!$M$6+0.000000001,F626&gt;=01_因子設定!$L$7-0.000000001,F626&lt;=01_因子設定!$M$7+0.000000001,IF(01_因子設定!$B$20="Box-Behnken",D626^2+E626^2+F626^2&lt;=2+0.000000001,TRUE()))</f>
        <v>1</v>
      </c>
      <c r="W626" s="55" t="n">
        <f aca="false">IF(V626,IF(01_因子設定!$B$13="最大化",T626-01_因子設定!$B$14,IF(01_因子設定!$B$13="最小化",01_因子設定!$B$15-U626,MIN(T626-01_因子設定!$B$14,01_因子設定!$B$15-U626))),-1E+030)</f>
        <v>-6.41926607560204</v>
      </c>
      <c r="X626" s="55" t="n">
        <f aca="false">IF(V626,IF(01_因子設定!$B$13="最大化",Q626,IF(01_因子設定!$B$13="最小化",-Q626,-ABS(Q626-01_因子設定!$B$16))),-1E+030)</f>
        <v>43.1446448863636</v>
      </c>
      <c r="Y626" s="55" t="n">
        <f aca="false">W626+ROW()*0.000000001</f>
        <v>-6.41926544960204</v>
      </c>
      <c r="Z626" s="55" t="n">
        <f aca="false">X626+ROW()*0.000000001</f>
        <v>43.1446455123636</v>
      </c>
    </row>
    <row r="627" customFormat="false" ht="15" hidden="false" customHeight="false" outlineLevel="0" collapsed="false">
      <c r="A627" s="0" t="n">
        <v>2</v>
      </c>
      <c r="B627" s="0" t="n">
        <v>2</v>
      </c>
      <c r="C627" s="0" t="n">
        <v>10</v>
      </c>
      <c r="D627" s="0" t="n">
        <f aca="false">-1+A627*0.125</f>
        <v>-0.75</v>
      </c>
      <c r="E627" s="0" t="n">
        <f aca="false">-1+B627*0.125</f>
        <v>-0.75</v>
      </c>
      <c r="F627" s="0" t="n">
        <f aca="false">-1+C627*0.125</f>
        <v>0.25</v>
      </c>
      <c r="G627" s="0" t="n">
        <f aca="false">1</f>
        <v>1</v>
      </c>
      <c r="H627" s="0" t="n">
        <f aca="false">D627</f>
        <v>-0.75</v>
      </c>
      <c r="I627" s="0" t="n">
        <f aca="false">E627</f>
        <v>-0.75</v>
      </c>
      <c r="J627" s="0" t="n">
        <f aca="false">F627</f>
        <v>0.25</v>
      </c>
      <c r="K627" s="0" t="n">
        <f aca="false">D627*E627</f>
        <v>0.5625</v>
      </c>
      <c r="L627" s="0" t="n">
        <f aca="false">D627*F627</f>
        <v>-0.1875</v>
      </c>
      <c r="M627" s="0" t="n">
        <f aca="false">E627*F627</f>
        <v>-0.1875</v>
      </c>
      <c r="N627" s="0" t="n">
        <f aca="false">D627*D627</f>
        <v>0.5625</v>
      </c>
      <c r="O627" s="0" t="n">
        <f aca="false">E627*E627</f>
        <v>0.5625</v>
      </c>
      <c r="P627" s="0" t="n">
        <f aca="false">F627*F627</f>
        <v>0.0625</v>
      </c>
      <c r="Q627" s="0" t="n">
        <f aca="false">SUMPRODUCT(G627:P627,_XtX!$B$71:$K$71)</f>
        <v>43.2338352272727</v>
      </c>
      <c r="R627" s="0" t="n">
        <f aca="false">SUMPRODUCT(MMULT(G627:P627,_XtX!$B$58:$K$67),G627:P627)</f>
        <v>0.303382457386364</v>
      </c>
      <c r="S627" s="0" t="n">
        <f aca="false">04_回帰ANOVA!$K$19*04_回帰ANOVA!$K$14*SQRT(1+R627)</f>
        <v>1.06145740650883</v>
      </c>
      <c r="T627" s="0" t="n">
        <f aca="false">Q627-S627</f>
        <v>42.1723778207639</v>
      </c>
      <c r="U627" s="0" t="n">
        <f aca="false">Q627+S627</f>
        <v>44.2952926337816</v>
      </c>
      <c r="V627" s="54" t="b">
        <f aca="false">AND(D627&gt;=01_因子設定!$L$5-0.000000001,D627&lt;=01_因子設定!$M$5+0.000000001,E627&gt;=01_因子設定!$L$6-0.000000001,E627&lt;=01_因子設定!$M$6+0.000000001,F627&gt;=01_因子設定!$L$7-0.000000001,F627&lt;=01_因子設定!$M$7+0.000000001,IF(01_因子設定!$B$20="Box-Behnken",D627^2+E627^2+F627^2&lt;=2+0.000000001,TRUE()))</f>
        <v>1</v>
      </c>
      <c r="W627" s="55" t="n">
        <f aca="false">IF(V627,IF(01_因子設定!$B$13="最大化",T627-01_因子設定!$B$14,IF(01_因子設定!$B$13="最小化",01_因子設定!$B$15-U627,MIN(T627-01_因子設定!$B$14,01_因子設定!$B$15-U627))),-1E+030)</f>
        <v>-6.32762217923611</v>
      </c>
      <c r="X627" s="55" t="n">
        <f aca="false">IF(V627,IF(01_因子設定!$B$13="最大化",Q627,IF(01_因子設定!$B$13="最小化",-Q627,-ABS(Q627-01_因子設定!$B$16))),-1E+030)</f>
        <v>43.2338352272727</v>
      </c>
      <c r="Y627" s="55" t="n">
        <f aca="false">W627+ROW()*0.000000001</f>
        <v>-6.32762155223611</v>
      </c>
      <c r="Z627" s="55" t="n">
        <f aca="false">X627+ROW()*0.000000001</f>
        <v>43.2338358542727</v>
      </c>
    </row>
    <row r="628" customFormat="false" ht="15" hidden="false" customHeight="false" outlineLevel="0" collapsed="false">
      <c r="A628" s="0" t="n">
        <v>2</v>
      </c>
      <c r="B628" s="0" t="n">
        <v>2</v>
      </c>
      <c r="C628" s="0" t="n">
        <v>11</v>
      </c>
      <c r="D628" s="0" t="n">
        <f aca="false">-1+A628*0.125</f>
        <v>-0.75</v>
      </c>
      <c r="E628" s="0" t="n">
        <f aca="false">-1+B628*0.125</f>
        <v>-0.75</v>
      </c>
      <c r="F628" s="0" t="n">
        <f aca="false">-1+C628*0.125</f>
        <v>0.375</v>
      </c>
      <c r="G628" s="0" t="n">
        <f aca="false">1</f>
        <v>1</v>
      </c>
      <c r="H628" s="0" t="n">
        <f aca="false">D628</f>
        <v>-0.75</v>
      </c>
      <c r="I628" s="0" t="n">
        <f aca="false">E628</f>
        <v>-0.75</v>
      </c>
      <c r="J628" s="0" t="n">
        <f aca="false">F628</f>
        <v>0.375</v>
      </c>
      <c r="K628" s="0" t="n">
        <f aca="false">D628*E628</f>
        <v>0.5625</v>
      </c>
      <c r="L628" s="0" t="n">
        <f aca="false">D628*F628</f>
        <v>-0.28125</v>
      </c>
      <c r="M628" s="0" t="n">
        <f aca="false">E628*F628</f>
        <v>-0.28125</v>
      </c>
      <c r="N628" s="0" t="n">
        <f aca="false">D628*D628</f>
        <v>0.5625</v>
      </c>
      <c r="O628" s="0" t="n">
        <f aca="false">E628*E628</f>
        <v>0.5625</v>
      </c>
      <c r="P628" s="0" t="n">
        <f aca="false">F628*F628</f>
        <v>0.140625</v>
      </c>
      <c r="Q628" s="0" t="n">
        <f aca="false">SUMPRODUCT(G628:P628,_XtX!$B$71:$K$71)</f>
        <v>43.2862357954545</v>
      </c>
      <c r="R628" s="0" t="n">
        <f aca="false">SUMPRODUCT(MMULT(G628:P628,_XtX!$B$58:$K$67),G628:P628)</f>
        <v>0.296879438920455</v>
      </c>
      <c r="S628" s="0" t="n">
        <f aca="false">04_回帰ANOVA!$K$19*04_回帰ANOVA!$K$14*SQRT(1+R628)</f>
        <v>1.05880610927316</v>
      </c>
      <c r="T628" s="0" t="n">
        <f aca="false">Q628-S628</f>
        <v>42.2274296861814</v>
      </c>
      <c r="U628" s="0" t="n">
        <f aca="false">Q628+S628</f>
        <v>44.3450419047277</v>
      </c>
      <c r="V628" s="54" t="b">
        <f aca="false">AND(D628&gt;=01_因子設定!$L$5-0.000000001,D628&lt;=01_因子設定!$M$5+0.000000001,E628&gt;=01_因子設定!$L$6-0.000000001,E628&lt;=01_因子設定!$M$6+0.000000001,F628&gt;=01_因子設定!$L$7-0.000000001,F628&lt;=01_因子設定!$M$7+0.000000001,IF(01_因子設定!$B$20="Box-Behnken",D628^2+E628^2+F628^2&lt;=2+0.000000001,TRUE()))</f>
        <v>1</v>
      </c>
      <c r="W628" s="55" t="n">
        <f aca="false">IF(V628,IF(01_因子設定!$B$13="最大化",T628-01_因子設定!$B$14,IF(01_因子設定!$B$13="最小化",01_因子設定!$B$15-U628,MIN(T628-01_因子設定!$B$14,01_因子設定!$B$15-U628))),-1E+030)</f>
        <v>-6.27257031381862</v>
      </c>
      <c r="X628" s="55" t="n">
        <f aca="false">IF(V628,IF(01_因子設定!$B$13="最大化",Q628,IF(01_因子設定!$B$13="最小化",-Q628,-ABS(Q628-01_因子設定!$B$16))),-1E+030)</f>
        <v>43.2862357954545</v>
      </c>
      <c r="Y628" s="55" t="n">
        <f aca="false">W628+ROW()*0.000000001</f>
        <v>-6.27256968581862</v>
      </c>
      <c r="Z628" s="55" t="n">
        <f aca="false">X628+ROW()*0.000000001</f>
        <v>43.2862364234546</v>
      </c>
    </row>
    <row r="629" customFormat="false" ht="15" hidden="false" customHeight="false" outlineLevel="0" collapsed="false">
      <c r="A629" s="0" t="n">
        <v>2</v>
      </c>
      <c r="B629" s="0" t="n">
        <v>2</v>
      </c>
      <c r="C629" s="0" t="n">
        <v>12</v>
      </c>
      <c r="D629" s="0" t="n">
        <f aca="false">-1+A629*0.125</f>
        <v>-0.75</v>
      </c>
      <c r="E629" s="0" t="n">
        <f aca="false">-1+B629*0.125</f>
        <v>-0.75</v>
      </c>
      <c r="F629" s="0" t="n">
        <f aca="false">-1+C629*0.125</f>
        <v>0.5</v>
      </c>
      <c r="G629" s="0" t="n">
        <f aca="false">1</f>
        <v>1</v>
      </c>
      <c r="H629" s="0" t="n">
        <f aca="false">D629</f>
        <v>-0.75</v>
      </c>
      <c r="I629" s="0" t="n">
        <f aca="false">E629</f>
        <v>-0.75</v>
      </c>
      <c r="J629" s="0" t="n">
        <f aca="false">F629</f>
        <v>0.5</v>
      </c>
      <c r="K629" s="0" t="n">
        <f aca="false">D629*E629</f>
        <v>0.5625</v>
      </c>
      <c r="L629" s="0" t="n">
        <f aca="false">D629*F629</f>
        <v>-0.375</v>
      </c>
      <c r="M629" s="0" t="n">
        <f aca="false">E629*F629</f>
        <v>-0.375</v>
      </c>
      <c r="N629" s="0" t="n">
        <f aca="false">D629*D629</f>
        <v>0.5625</v>
      </c>
      <c r="O629" s="0" t="n">
        <f aca="false">E629*E629</f>
        <v>0.5625</v>
      </c>
      <c r="P629" s="0" t="n">
        <f aca="false">F629*F629</f>
        <v>0.25</v>
      </c>
      <c r="Q629" s="0" t="n">
        <f aca="false">SUMPRODUCT(G629:P629,_XtX!$B$71:$K$71)</f>
        <v>43.3018465909091</v>
      </c>
      <c r="R629" s="0" t="n">
        <f aca="false">SUMPRODUCT(MMULT(G629:P629,_XtX!$B$58:$K$67),G629:P629)</f>
        <v>0.295232599431818</v>
      </c>
      <c r="S629" s="0" t="n">
        <f aca="false">04_回帰ANOVA!$K$19*04_回帰ANOVA!$K$14*SQRT(1+R629)</f>
        <v>1.05813363442154</v>
      </c>
      <c r="T629" s="0" t="n">
        <f aca="false">Q629-S629</f>
        <v>42.2437129564876</v>
      </c>
      <c r="U629" s="0" t="n">
        <f aca="false">Q629+S629</f>
        <v>44.3599802253306</v>
      </c>
      <c r="V629" s="54" t="b">
        <f aca="false">AND(D629&gt;=01_因子設定!$L$5-0.000000001,D629&lt;=01_因子設定!$M$5+0.000000001,E629&gt;=01_因子設定!$L$6-0.000000001,E629&lt;=01_因子設定!$M$6+0.000000001,F629&gt;=01_因子設定!$L$7-0.000000001,F629&lt;=01_因子設定!$M$7+0.000000001,IF(01_因子設定!$B$20="Box-Behnken",D629^2+E629^2+F629^2&lt;=2+0.000000001,TRUE()))</f>
        <v>1</v>
      </c>
      <c r="W629" s="55" t="n">
        <f aca="false">IF(V629,IF(01_因子設定!$B$13="最大化",T629-01_因子設定!$B$14,IF(01_因子設定!$B$13="最小化",01_因子設定!$B$15-U629,MIN(T629-01_因子設定!$B$14,01_因子設定!$B$15-U629))),-1E+030)</f>
        <v>-6.25628704351244</v>
      </c>
      <c r="X629" s="55" t="n">
        <f aca="false">IF(V629,IF(01_因子設定!$B$13="最大化",Q629,IF(01_因子設定!$B$13="最小化",-Q629,-ABS(Q629-01_因子設定!$B$16))),-1E+030)</f>
        <v>43.3018465909091</v>
      </c>
      <c r="Y629" s="55" t="n">
        <f aca="false">W629+ROW()*0.000000001</f>
        <v>-6.25628641451244</v>
      </c>
      <c r="Z629" s="55" t="n">
        <f aca="false">X629+ROW()*0.000000001</f>
        <v>43.3018472199091</v>
      </c>
    </row>
    <row r="630" customFormat="false" ht="15" hidden="false" customHeight="false" outlineLevel="0" collapsed="false">
      <c r="A630" s="0" t="n">
        <v>2</v>
      </c>
      <c r="B630" s="0" t="n">
        <v>2</v>
      </c>
      <c r="C630" s="0" t="n">
        <v>13</v>
      </c>
      <c r="D630" s="0" t="n">
        <f aca="false">-1+A630*0.125</f>
        <v>-0.75</v>
      </c>
      <c r="E630" s="0" t="n">
        <f aca="false">-1+B630*0.125</f>
        <v>-0.75</v>
      </c>
      <c r="F630" s="0" t="n">
        <f aca="false">-1+C630*0.125</f>
        <v>0.625</v>
      </c>
      <c r="G630" s="0" t="n">
        <f aca="false">1</f>
        <v>1</v>
      </c>
      <c r="H630" s="0" t="n">
        <f aca="false">D630</f>
        <v>-0.75</v>
      </c>
      <c r="I630" s="0" t="n">
        <f aca="false">E630</f>
        <v>-0.75</v>
      </c>
      <c r="J630" s="0" t="n">
        <f aca="false">F630</f>
        <v>0.625</v>
      </c>
      <c r="K630" s="0" t="n">
        <f aca="false">D630*E630</f>
        <v>0.5625</v>
      </c>
      <c r="L630" s="0" t="n">
        <f aca="false">D630*F630</f>
        <v>-0.46875</v>
      </c>
      <c r="M630" s="0" t="n">
        <f aca="false">E630*F630</f>
        <v>-0.46875</v>
      </c>
      <c r="N630" s="0" t="n">
        <f aca="false">D630*D630</f>
        <v>0.5625</v>
      </c>
      <c r="O630" s="0" t="n">
        <f aca="false">E630*E630</f>
        <v>0.5625</v>
      </c>
      <c r="P630" s="0" t="n">
        <f aca="false">F630*F630</f>
        <v>0.390625</v>
      </c>
      <c r="Q630" s="0" t="n">
        <f aca="false">SUMPRODUCT(G630:P630,_XtX!$B$71:$K$71)</f>
        <v>43.2806676136364</v>
      </c>
      <c r="R630" s="0" t="n">
        <f aca="false">SUMPRODUCT(MMULT(G630:P630,_XtX!$B$58:$K$67),G630:P630)</f>
        <v>0.305899325284091</v>
      </c>
      <c r="S630" s="0" t="n">
        <f aca="false">04_回帰ANOVA!$K$19*04_回帰ANOVA!$K$14*SQRT(1+R630)</f>
        <v>1.06248176416816</v>
      </c>
      <c r="T630" s="0" t="n">
        <f aca="false">Q630-S630</f>
        <v>42.2181858494682</v>
      </c>
      <c r="U630" s="0" t="n">
        <f aca="false">Q630+S630</f>
        <v>44.3431493778045</v>
      </c>
      <c r="V630" s="54" t="b">
        <f aca="false">AND(D630&gt;=01_因子設定!$L$5-0.000000001,D630&lt;=01_因子設定!$M$5+0.000000001,E630&gt;=01_因子設定!$L$6-0.000000001,E630&lt;=01_因子設定!$M$6+0.000000001,F630&gt;=01_因子設定!$L$7-0.000000001,F630&lt;=01_因子設定!$M$7+0.000000001,IF(01_因子設定!$B$20="Box-Behnken",D630^2+E630^2+F630^2&lt;=2+0.000000001,TRUE()))</f>
        <v>1</v>
      </c>
      <c r="W630" s="55" t="n">
        <f aca="false">IF(V630,IF(01_因子設定!$B$13="最大化",T630-01_因子設定!$B$14,IF(01_因子設定!$B$13="最小化",01_因子設定!$B$15-U630,MIN(T630-01_因子設定!$B$14,01_因子設定!$B$15-U630))),-1E+030)</f>
        <v>-6.28181415053179</v>
      </c>
      <c r="X630" s="55" t="n">
        <f aca="false">IF(V630,IF(01_因子設定!$B$13="最大化",Q630,IF(01_因子設定!$B$13="最小化",-Q630,-ABS(Q630-01_因子設定!$B$16))),-1E+030)</f>
        <v>43.2806676136364</v>
      </c>
      <c r="Y630" s="55" t="n">
        <f aca="false">W630+ROW()*0.000000001</f>
        <v>-6.28181352053179</v>
      </c>
      <c r="Z630" s="55" t="n">
        <f aca="false">X630+ROW()*0.000000001</f>
        <v>43.2806682436364</v>
      </c>
    </row>
    <row r="631" customFormat="false" ht="15" hidden="false" customHeight="false" outlineLevel="0" collapsed="false">
      <c r="A631" s="0" t="n">
        <v>2</v>
      </c>
      <c r="B631" s="0" t="n">
        <v>2</v>
      </c>
      <c r="C631" s="0" t="n">
        <v>14</v>
      </c>
      <c r="D631" s="0" t="n">
        <f aca="false">-1+A631*0.125</f>
        <v>-0.75</v>
      </c>
      <c r="E631" s="0" t="n">
        <f aca="false">-1+B631*0.125</f>
        <v>-0.75</v>
      </c>
      <c r="F631" s="0" t="n">
        <f aca="false">-1+C631*0.125</f>
        <v>0.75</v>
      </c>
      <c r="G631" s="0" t="n">
        <f aca="false">1</f>
        <v>1</v>
      </c>
      <c r="H631" s="0" t="n">
        <f aca="false">D631</f>
        <v>-0.75</v>
      </c>
      <c r="I631" s="0" t="n">
        <f aca="false">E631</f>
        <v>-0.75</v>
      </c>
      <c r="J631" s="0" t="n">
        <f aca="false">F631</f>
        <v>0.75</v>
      </c>
      <c r="K631" s="0" t="n">
        <f aca="false">D631*E631</f>
        <v>0.5625</v>
      </c>
      <c r="L631" s="0" t="n">
        <f aca="false">D631*F631</f>
        <v>-0.5625</v>
      </c>
      <c r="M631" s="0" t="n">
        <f aca="false">E631*F631</f>
        <v>-0.5625</v>
      </c>
      <c r="N631" s="0" t="n">
        <f aca="false">D631*D631</f>
        <v>0.5625</v>
      </c>
      <c r="O631" s="0" t="n">
        <f aca="false">E631*E631</f>
        <v>0.5625</v>
      </c>
      <c r="P631" s="0" t="n">
        <f aca="false">F631*F631</f>
        <v>0.5625</v>
      </c>
      <c r="Q631" s="0" t="n">
        <f aca="false">SUMPRODUCT(G631:P631,_XtX!$B$71:$K$71)</f>
        <v>43.2226988636364</v>
      </c>
      <c r="R631" s="0" t="n">
        <f aca="false">SUMPRODUCT(MMULT(G631:P631,_XtX!$B$58:$K$67),G631:P631)</f>
        <v>0.338467684659091</v>
      </c>
      <c r="S631" s="0" t="n">
        <f aca="false">04_回帰ANOVA!$K$19*04_回帰ANOVA!$K$14*SQRT(1+R631)</f>
        <v>1.07564900835648</v>
      </c>
      <c r="T631" s="0" t="n">
        <f aca="false">Q631-S631</f>
        <v>42.1470498552799</v>
      </c>
      <c r="U631" s="0" t="n">
        <f aca="false">Q631+S631</f>
        <v>44.2983478719929</v>
      </c>
      <c r="V631" s="54" t="b">
        <f aca="false">AND(D631&gt;=01_因子設定!$L$5-0.000000001,D631&lt;=01_因子設定!$M$5+0.000000001,E631&gt;=01_因子設定!$L$6-0.000000001,E631&lt;=01_因子設定!$M$6+0.000000001,F631&gt;=01_因子設定!$L$7-0.000000001,F631&lt;=01_因子設定!$M$7+0.000000001,IF(01_因子設定!$B$20="Box-Behnken",D631^2+E631^2+F631^2&lt;=2+0.000000001,TRUE()))</f>
        <v>1</v>
      </c>
      <c r="W631" s="55" t="n">
        <f aca="false">IF(V631,IF(01_因子設定!$B$13="最大化",T631-01_因子設定!$B$14,IF(01_因子設定!$B$13="最小化",01_因子設定!$B$15-U631,MIN(T631-01_因子設定!$B$14,01_因子設定!$B$15-U631))),-1E+030)</f>
        <v>-6.3529501447201</v>
      </c>
      <c r="X631" s="55" t="n">
        <f aca="false">IF(V631,IF(01_因子設定!$B$13="最大化",Q631,IF(01_因子設定!$B$13="最小化",-Q631,-ABS(Q631-01_因子設定!$B$16))),-1E+030)</f>
        <v>43.2226988636364</v>
      </c>
      <c r="Y631" s="55" t="n">
        <f aca="false">W631+ROW()*0.000000001</f>
        <v>-6.3529495137201</v>
      </c>
      <c r="Z631" s="55" t="n">
        <f aca="false">X631+ROW()*0.000000001</f>
        <v>43.2226994946364</v>
      </c>
    </row>
    <row r="632" customFormat="false" ht="15" hidden="false" customHeight="false" outlineLevel="0" collapsed="false">
      <c r="A632" s="0" t="n">
        <v>2</v>
      </c>
      <c r="B632" s="0" t="n">
        <v>2</v>
      </c>
      <c r="C632" s="0" t="n">
        <v>15</v>
      </c>
      <c r="D632" s="0" t="n">
        <f aca="false">-1+A632*0.125</f>
        <v>-0.75</v>
      </c>
      <c r="E632" s="0" t="n">
        <f aca="false">-1+B632*0.125</f>
        <v>-0.75</v>
      </c>
      <c r="F632" s="0" t="n">
        <f aca="false">-1+C632*0.125</f>
        <v>0.875</v>
      </c>
      <c r="G632" s="0" t="n">
        <f aca="false">1</f>
        <v>1</v>
      </c>
      <c r="H632" s="0" t="n">
        <f aca="false">D632</f>
        <v>-0.75</v>
      </c>
      <c r="I632" s="0" t="n">
        <f aca="false">E632</f>
        <v>-0.75</v>
      </c>
      <c r="J632" s="0" t="n">
        <f aca="false">F632</f>
        <v>0.875</v>
      </c>
      <c r="K632" s="0" t="n">
        <f aca="false">D632*E632</f>
        <v>0.5625</v>
      </c>
      <c r="L632" s="0" t="n">
        <f aca="false">D632*F632</f>
        <v>-0.65625</v>
      </c>
      <c r="M632" s="0" t="n">
        <f aca="false">E632*F632</f>
        <v>-0.65625</v>
      </c>
      <c r="N632" s="0" t="n">
        <f aca="false">D632*D632</f>
        <v>0.5625</v>
      </c>
      <c r="O632" s="0" t="n">
        <f aca="false">E632*E632</f>
        <v>0.5625</v>
      </c>
      <c r="P632" s="0" t="n">
        <f aca="false">F632*F632</f>
        <v>0.765625</v>
      </c>
      <c r="Q632" s="0" t="n">
        <f aca="false">SUMPRODUCT(G632:P632,_XtX!$B$71:$K$71)</f>
        <v>43.1279403409091</v>
      </c>
      <c r="R632" s="0" t="n">
        <f aca="false">SUMPRODUCT(MMULT(G632:P632,_XtX!$B$58:$K$67),G632:P632)</f>
        <v>0.404656427556818</v>
      </c>
      <c r="S632" s="0" t="n">
        <f aca="false">04_回帰ANOVA!$K$19*04_回帰ANOVA!$K$14*SQRT(1+R632)</f>
        <v>1.10192412515358</v>
      </c>
      <c r="T632" s="0" t="n">
        <f aca="false">Q632-S632</f>
        <v>42.0260162157555</v>
      </c>
      <c r="U632" s="0" t="n">
        <f aca="false">Q632+S632</f>
        <v>44.2298644660627</v>
      </c>
      <c r="V632" s="54" t="b">
        <f aca="false">AND(D632&gt;=01_因子設定!$L$5-0.000000001,D632&lt;=01_因子設定!$M$5+0.000000001,E632&gt;=01_因子設定!$L$6-0.000000001,E632&lt;=01_因子設定!$M$6+0.000000001,F632&gt;=01_因子設定!$L$7-0.000000001,F632&lt;=01_因子設定!$M$7+0.000000001,IF(01_因子設定!$B$20="Box-Behnken",D632^2+E632^2+F632^2&lt;=2+0.000000001,TRUE()))</f>
        <v>1</v>
      </c>
      <c r="W632" s="55" t="n">
        <f aca="false">IF(V632,IF(01_因子設定!$B$13="最大化",T632-01_因子設定!$B$14,IF(01_因子設定!$B$13="最小化",01_因子設定!$B$15-U632,MIN(T632-01_因子設定!$B$14,01_因子設定!$B$15-U632))),-1E+030)</f>
        <v>-6.47398378424447</v>
      </c>
      <c r="X632" s="55" t="n">
        <f aca="false">IF(V632,IF(01_因子設定!$B$13="最大化",Q632,IF(01_因子設定!$B$13="最小化",-Q632,-ABS(Q632-01_因子設定!$B$16))),-1E+030)</f>
        <v>43.1279403409091</v>
      </c>
      <c r="Y632" s="55" t="n">
        <f aca="false">W632+ROW()*0.000000001</f>
        <v>-6.47398315224447</v>
      </c>
      <c r="Z632" s="55" t="n">
        <f aca="false">X632+ROW()*0.000000001</f>
        <v>43.1279409729091</v>
      </c>
    </row>
    <row r="633" customFormat="false" ht="15" hidden="false" customHeight="false" outlineLevel="0" collapsed="false">
      <c r="A633" s="0" t="n">
        <v>2</v>
      </c>
      <c r="B633" s="0" t="n">
        <v>2</v>
      </c>
      <c r="C633" s="0" t="n">
        <v>16</v>
      </c>
      <c r="D633" s="0" t="n">
        <f aca="false">-1+A633*0.125</f>
        <v>-0.75</v>
      </c>
      <c r="E633" s="0" t="n">
        <f aca="false">-1+B633*0.125</f>
        <v>-0.75</v>
      </c>
      <c r="F633" s="0" t="n">
        <f aca="false">-1+C633*0.125</f>
        <v>1</v>
      </c>
      <c r="G633" s="0" t="n">
        <f aca="false">1</f>
        <v>1</v>
      </c>
      <c r="H633" s="0" t="n">
        <f aca="false">D633</f>
        <v>-0.75</v>
      </c>
      <c r="I633" s="0" t="n">
        <f aca="false">E633</f>
        <v>-0.75</v>
      </c>
      <c r="J633" s="0" t="n">
        <f aca="false">F633</f>
        <v>1</v>
      </c>
      <c r="K633" s="0" t="n">
        <f aca="false">D633*E633</f>
        <v>0.5625</v>
      </c>
      <c r="L633" s="0" t="n">
        <f aca="false">D633*F633</f>
        <v>-0.75</v>
      </c>
      <c r="M633" s="0" t="n">
        <f aca="false">E633*F633</f>
        <v>-0.75</v>
      </c>
      <c r="N633" s="0" t="n">
        <f aca="false">D633*D633</f>
        <v>0.5625</v>
      </c>
      <c r="O633" s="0" t="n">
        <f aca="false">E633*E633</f>
        <v>0.5625</v>
      </c>
      <c r="P633" s="0" t="n">
        <f aca="false">F633*F633</f>
        <v>1</v>
      </c>
      <c r="Q633" s="0" t="n">
        <f aca="false">SUMPRODUCT(G633:P633,_XtX!$B$71:$K$71)</f>
        <v>42.9963920454546</v>
      </c>
      <c r="R633" s="0" t="n">
        <f aca="false">SUMPRODUCT(MMULT(G633:P633,_XtX!$B$58:$K$67),G633:P633)</f>
        <v>0.518314985795455</v>
      </c>
      <c r="S633" s="0" t="n">
        <f aca="false">04_回帰ANOVA!$K$19*04_回帰ANOVA!$K$14*SQRT(1+R633)</f>
        <v>1.14563843495971</v>
      </c>
      <c r="T633" s="0" t="n">
        <f aca="false">Q633-S633</f>
        <v>41.8507536104949</v>
      </c>
      <c r="U633" s="0" t="n">
        <f aca="false">Q633+S633</f>
        <v>44.1420304804143</v>
      </c>
      <c r="V633" s="54" t="b">
        <f aca="false">AND(D633&gt;=01_因子設定!$L$5-0.000000001,D633&lt;=01_因子設定!$M$5+0.000000001,E633&gt;=01_因子設定!$L$6-0.000000001,E633&lt;=01_因子設定!$M$6+0.000000001,F633&gt;=01_因子設定!$L$7-0.000000001,F633&lt;=01_因子設定!$M$7+0.000000001,IF(01_因子設定!$B$20="Box-Behnken",D633^2+E633^2+F633^2&lt;=2+0.000000001,TRUE()))</f>
        <v>1</v>
      </c>
      <c r="W633" s="55" t="n">
        <f aca="false">IF(V633,IF(01_因子設定!$B$13="最大化",T633-01_因子設定!$B$14,IF(01_因子設定!$B$13="最小化",01_因子設定!$B$15-U633,MIN(T633-01_因子設定!$B$14,01_因子設定!$B$15-U633))),-1E+030)</f>
        <v>-6.64924638950514</v>
      </c>
      <c r="X633" s="55" t="n">
        <f aca="false">IF(V633,IF(01_因子設定!$B$13="最大化",Q633,IF(01_因子設定!$B$13="最小化",-Q633,-ABS(Q633-01_因子設定!$B$16))),-1E+030)</f>
        <v>42.9963920454546</v>
      </c>
      <c r="Y633" s="55" t="n">
        <f aca="false">W633+ROW()*0.000000001</f>
        <v>-6.64924575650514</v>
      </c>
      <c r="Z633" s="55" t="n">
        <f aca="false">X633+ROW()*0.000000001</f>
        <v>42.9963926784546</v>
      </c>
    </row>
    <row r="634" customFormat="false" ht="15" hidden="false" customHeight="false" outlineLevel="0" collapsed="false">
      <c r="A634" s="0" t="n">
        <v>2</v>
      </c>
      <c r="B634" s="0" t="n">
        <v>3</v>
      </c>
      <c r="C634" s="0" t="n">
        <v>0</v>
      </c>
      <c r="D634" s="0" t="n">
        <f aca="false">-1+A634*0.125</f>
        <v>-0.75</v>
      </c>
      <c r="E634" s="0" t="n">
        <f aca="false">-1+B634*0.125</f>
        <v>-0.625</v>
      </c>
      <c r="F634" s="0" t="n">
        <f aca="false">-1+C634*0.125</f>
        <v>-1</v>
      </c>
      <c r="G634" s="0" t="n">
        <f aca="false">1</f>
        <v>1</v>
      </c>
      <c r="H634" s="0" t="n">
        <f aca="false">D634</f>
        <v>-0.75</v>
      </c>
      <c r="I634" s="0" t="n">
        <f aca="false">E634</f>
        <v>-0.625</v>
      </c>
      <c r="J634" s="0" t="n">
        <f aca="false">F634</f>
        <v>-1</v>
      </c>
      <c r="K634" s="0" t="n">
        <f aca="false">D634*E634</f>
        <v>0.46875</v>
      </c>
      <c r="L634" s="0" t="n">
        <f aca="false">D634*F634</f>
        <v>0.75</v>
      </c>
      <c r="M634" s="0" t="n">
        <f aca="false">E634*F634</f>
        <v>0.625</v>
      </c>
      <c r="N634" s="0" t="n">
        <f aca="false">D634*D634</f>
        <v>0.5625</v>
      </c>
      <c r="O634" s="0" t="n">
        <f aca="false">E634*E634</f>
        <v>0.390625</v>
      </c>
      <c r="P634" s="0" t="n">
        <f aca="false">F634*F634</f>
        <v>1</v>
      </c>
      <c r="Q634" s="0" t="n">
        <f aca="false">SUMPRODUCT(G634:P634,_XtX!$B$71:$K$71)</f>
        <v>41.1224857954546</v>
      </c>
      <c r="R634" s="0" t="n">
        <f aca="false">SUMPRODUCT(MMULT(G634:P634,_XtX!$B$58:$K$67),G634:P634)</f>
        <v>0.496855024857955</v>
      </c>
      <c r="S634" s="0" t="n">
        <f aca="false">04_回帰ANOVA!$K$19*04_回帰ANOVA!$K$14*SQRT(1+R634)</f>
        <v>1.1375133593161</v>
      </c>
      <c r="T634" s="0" t="n">
        <f aca="false">Q634-S634</f>
        <v>39.9849724361385</v>
      </c>
      <c r="U634" s="0" t="n">
        <f aca="false">Q634+S634</f>
        <v>42.2599991547707</v>
      </c>
      <c r="V634" s="54" t="b">
        <f aca="false">AND(D634&gt;=01_因子設定!$L$5-0.000000001,D634&lt;=01_因子設定!$M$5+0.000000001,E634&gt;=01_因子設定!$L$6-0.000000001,E634&lt;=01_因子設定!$M$6+0.000000001,F634&gt;=01_因子設定!$L$7-0.000000001,F634&lt;=01_因子設定!$M$7+0.000000001,IF(01_因子設定!$B$20="Box-Behnken",D634^2+E634^2+F634^2&lt;=2+0.000000001,TRUE()))</f>
        <v>1</v>
      </c>
      <c r="W634" s="55" t="n">
        <f aca="false">IF(V634,IF(01_因子設定!$B$13="最大化",T634-01_因子設定!$B$14,IF(01_因子設定!$B$13="最小化",01_因子設定!$B$15-U634,MIN(T634-01_因子設定!$B$14,01_因子設定!$B$15-U634))),-1E+030)</f>
        <v>-8.51502756386154</v>
      </c>
      <c r="X634" s="55" t="n">
        <f aca="false">IF(V634,IF(01_因子設定!$B$13="最大化",Q634,IF(01_因子設定!$B$13="最小化",-Q634,-ABS(Q634-01_因子設定!$B$16))),-1E+030)</f>
        <v>41.1224857954546</v>
      </c>
      <c r="Y634" s="55" t="n">
        <f aca="false">W634+ROW()*0.000000001</f>
        <v>-8.51502692986154</v>
      </c>
      <c r="Z634" s="55" t="n">
        <f aca="false">X634+ROW()*0.000000001</f>
        <v>41.1224864294546</v>
      </c>
    </row>
    <row r="635" customFormat="false" ht="15" hidden="false" customHeight="false" outlineLevel="0" collapsed="false">
      <c r="A635" s="0" t="n">
        <v>2</v>
      </c>
      <c r="B635" s="0" t="n">
        <v>3</v>
      </c>
      <c r="C635" s="0" t="n">
        <v>1</v>
      </c>
      <c r="D635" s="0" t="n">
        <f aca="false">-1+A635*0.125</f>
        <v>-0.75</v>
      </c>
      <c r="E635" s="0" t="n">
        <f aca="false">-1+B635*0.125</f>
        <v>-0.625</v>
      </c>
      <c r="F635" s="0" t="n">
        <f aca="false">-1+C635*0.125</f>
        <v>-0.875</v>
      </c>
      <c r="G635" s="0" t="n">
        <f aca="false">1</f>
        <v>1</v>
      </c>
      <c r="H635" s="0" t="n">
        <f aca="false">D635</f>
        <v>-0.75</v>
      </c>
      <c r="I635" s="0" t="n">
        <f aca="false">E635</f>
        <v>-0.625</v>
      </c>
      <c r="J635" s="0" t="n">
        <f aca="false">F635</f>
        <v>-0.875</v>
      </c>
      <c r="K635" s="0" t="n">
        <f aca="false">D635*E635</f>
        <v>0.46875</v>
      </c>
      <c r="L635" s="0" t="n">
        <f aca="false">D635*F635</f>
        <v>0.65625</v>
      </c>
      <c r="M635" s="0" t="n">
        <f aca="false">E635*F635</f>
        <v>0.546875</v>
      </c>
      <c r="N635" s="0" t="n">
        <f aca="false">D635*D635</f>
        <v>0.5625</v>
      </c>
      <c r="O635" s="0" t="n">
        <f aca="false">E635*E635</f>
        <v>0.390625</v>
      </c>
      <c r="P635" s="0" t="n">
        <f aca="false">F635*F635</f>
        <v>0.765625</v>
      </c>
      <c r="Q635" s="0" t="n">
        <f aca="false">SUMPRODUCT(G635:P635,_XtX!$B$71:$K$71)</f>
        <v>41.5498153409091</v>
      </c>
      <c r="R635" s="0" t="n">
        <f aca="false">SUMPRODUCT(MMULT(G635:P635,_XtX!$B$58:$K$67),G635:P635)</f>
        <v>0.377245538884943</v>
      </c>
      <c r="S635" s="0" t="n">
        <f aca="false">04_回帰ANOVA!$K$19*04_回帰ANOVA!$K$14*SQRT(1+R635)</f>
        <v>1.09111951468927</v>
      </c>
      <c r="T635" s="0" t="n">
        <f aca="false">Q635-S635</f>
        <v>40.4586958262198</v>
      </c>
      <c r="U635" s="0" t="n">
        <f aca="false">Q635+S635</f>
        <v>42.6409348555984</v>
      </c>
      <c r="V635" s="54" t="b">
        <f aca="false">AND(D635&gt;=01_因子設定!$L$5-0.000000001,D635&lt;=01_因子設定!$M$5+0.000000001,E635&gt;=01_因子設定!$L$6-0.000000001,E635&lt;=01_因子設定!$M$6+0.000000001,F635&gt;=01_因子設定!$L$7-0.000000001,F635&lt;=01_因子設定!$M$7+0.000000001,IF(01_因子設定!$B$20="Box-Behnken",D635^2+E635^2+F635^2&lt;=2+0.000000001,TRUE()))</f>
        <v>1</v>
      </c>
      <c r="W635" s="55" t="n">
        <f aca="false">IF(V635,IF(01_因子設定!$B$13="最大化",T635-01_因子設定!$B$14,IF(01_因子設定!$B$13="最小化",01_因子設定!$B$15-U635,MIN(T635-01_因子設定!$B$14,01_因子設定!$B$15-U635))),-1E+030)</f>
        <v>-8.04130417378017</v>
      </c>
      <c r="X635" s="55" t="n">
        <f aca="false">IF(V635,IF(01_因子設定!$B$13="最大化",Q635,IF(01_因子設定!$B$13="最小化",-Q635,-ABS(Q635-01_因子設定!$B$16))),-1E+030)</f>
        <v>41.5498153409091</v>
      </c>
      <c r="Y635" s="55" t="n">
        <f aca="false">W635+ROW()*0.000000001</f>
        <v>-8.04130353878017</v>
      </c>
      <c r="Z635" s="55" t="n">
        <f aca="false">X635+ROW()*0.000000001</f>
        <v>41.5498159759091</v>
      </c>
    </row>
    <row r="636" customFormat="false" ht="15" hidden="false" customHeight="false" outlineLevel="0" collapsed="false">
      <c r="A636" s="0" t="n">
        <v>2</v>
      </c>
      <c r="B636" s="0" t="n">
        <v>3</v>
      </c>
      <c r="C636" s="0" t="n">
        <v>2</v>
      </c>
      <c r="D636" s="0" t="n">
        <f aca="false">-1+A636*0.125</f>
        <v>-0.75</v>
      </c>
      <c r="E636" s="0" t="n">
        <f aca="false">-1+B636*0.125</f>
        <v>-0.625</v>
      </c>
      <c r="F636" s="0" t="n">
        <f aca="false">-1+C636*0.125</f>
        <v>-0.75</v>
      </c>
      <c r="G636" s="0" t="n">
        <f aca="false">1</f>
        <v>1</v>
      </c>
      <c r="H636" s="0" t="n">
        <f aca="false">D636</f>
        <v>-0.75</v>
      </c>
      <c r="I636" s="0" t="n">
        <f aca="false">E636</f>
        <v>-0.625</v>
      </c>
      <c r="J636" s="0" t="n">
        <f aca="false">F636</f>
        <v>-0.75</v>
      </c>
      <c r="K636" s="0" t="n">
        <f aca="false">D636*E636</f>
        <v>0.46875</v>
      </c>
      <c r="L636" s="0" t="n">
        <f aca="false">D636*F636</f>
        <v>0.5625</v>
      </c>
      <c r="M636" s="0" t="n">
        <f aca="false">E636*F636</f>
        <v>0.46875</v>
      </c>
      <c r="N636" s="0" t="n">
        <f aca="false">D636*D636</f>
        <v>0.5625</v>
      </c>
      <c r="O636" s="0" t="n">
        <f aca="false">E636*E636</f>
        <v>0.390625</v>
      </c>
      <c r="P636" s="0" t="n">
        <f aca="false">F636*F636</f>
        <v>0.5625</v>
      </c>
      <c r="Q636" s="0" t="n">
        <f aca="false">SUMPRODUCT(G636:P636,_XtX!$B$71:$K$71)</f>
        <v>41.9403551136364</v>
      </c>
      <c r="R636" s="0" t="n">
        <f aca="false">SUMPRODUCT(MMULT(G636:P636,_XtX!$B$58:$K$67),G636:P636)</f>
        <v>0.305899325284091</v>
      </c>
      <c r="S636" s="0" t="n">
        <f aca="false">04_回帰ANOVA!$K$19*04_回帰ANOVA!$K$14*SQRT(1+R636)</f>
        <v>1.06248176416816</v>
      </c>
      <c r="T636" s="0" t="n">
        <f aca="false">Q636-S636</f>
        <v>40.8778733494682</v>
      </c>
      <c r="U636" s="0" t="n">
        <f aca="false">Q636+S636</f>
        <v>43.0028368778045</v>
      </c>
      <c r="V636" s="54" t="b">
        <f aca="false">AND(D636&gt;=01_因子設定!$L$5-0.000000001,D636&lt;=01_因子設定!$M$5+0.000000001,E636&gt;=01_因子設定!$L$6-0.000000001,E636&lt;=01_因子設定!$M$6+0.000000001,F636&gt;=01_因子設定!$L$7-0.000000001,F636&lt;=01_因子設定!$M$7+0.000000001,IF(01_因子設定!$B$20="Box-Behnken",D636^2+E636^2+F636^2&lt;=2+0.000000001,TRUE()))</f>
        <v>1</v>
      </c>
      <c r="W636" s="55" t="n">
        <f aca="false">IF(V636,IF(01_因子設定!$B$13="最大化",T636-01_因子設定!$B$14,IF(01_因子設定!$B$13="最小化",01_因子設定!$B$15-U636,MIN(T636-01_因子設定!$B$14,01_因子設定!$B$15-U636))),-1E+030)</f>
        <v>-7.62212665053179</v>
      </c>
      <c r="X636" s="55" t="n">
        <f aca="false">IF(V636,IF(01_因子設定!$B$13="最大化",Q636,IF(01_因子設定!$B$13="最小化",-Q636,-ABS(Q636-01_因子設定!$B$16))),-1E+030)</f>
        <v>41.9403551136364</v>
      </c>
      <c r="Y636" s="55" t="n">
        <f aca="false">W636+ROW()*0.000000001</f>
        <v>-7.62212601453179</v>
      </c>
      <c r="Z636" s="55" t="n">
        <f aca="false">X636+ROW()*0.000000001</f>
        <v>41.9403557496364</v>
      </c>
    </row>
    <row r="637" customFormat="false" ht="15" hidden="false" customHeight="false" outlineLevel="0" collapsed="false">
      <c r="A637" s="0" t="n">
        <v>2</v>
      </c>
      <c r="B637" s="0" t="n">
        <v>3</v>
      </c>
      <c r="C637" s="0" t="n">
        <v>3</v>
      </c>
      <c r="D637" s="0" t="n">
        <f aca="false">-1+A637*0.125</f>
        <v>-0.75</v>
      </c>
      <c r="E637" s="0" t="n">
        <f aca="false">-1+B637*0.125</f>
        <v>-0.625</v>
      </c>
      <c r="F637" s="0" t="n">
        <f aca="false">-1+C637*0.125</f>
        <v>-0.625</v>
      </c>
      <c r="G637" s="0" t="n">
        <f aca="false">1</f>
        <v>1</v>
      </c>
      <c r="H637" s="0" t="n">
        <f aca="false">D637</f>
        <v>-0.75</v>
      </c>
      <c r="I637" s="0" t="n">
        <f aca="false">E637</f>
        <v>-0.625</v>
      </c>
      <c r="J637" s="0" t="n">
        <f aca="false">F637</f>
        <v>-0.625</v>
      </c>
      <c r="K637" s="0" t="n">
        <f aca="false">D637*E637</f>
        <v>0.46875</v>
      </c>
      <c r="L637" s="0" t="n">
        <f aca="false">D637*F637</f>
        <v>0.46875</v>
      </c>
      <c r="M637" s="0" t="n">
        <f aca="false">E637*F637</f>
        <v>0.390625</v>
      </c>
      <c r="N637" s="0" t="n">
        <f aca="false">D637*D637</f>
        <v>0.5625</v>
      </c>
      <c r="O637" s="0" t="n">
        <f aca="false">E637*E637</f>
        <v>0.390625</v>
      </c>
      <c r="P637" s="0" t="n">
        <f aca="false">F637*F637</f>
        <v>0.390625</v>
      </c>
      <c r="Q637" s="0" t="n">
        <f aca="false">SUMPRODUCT(G637:P637,_XtX!$B$71:$K$71)</f>
        <v>42.2941051136364</v>
      </c>
      <c r="R637" s="0" t="n">
        <f aca="false">SUMPRODUCT(MMULT(G637:P637,_XtX!$B$58:$K$67),G637:P637)</f>
        <v>0.268966952237216</v>
      </c>
      <c r="S637" s="0" t="n">
        <f aca="false">04_回帰ANOVA!$K$19*04_回帰ANOVA!$K$14*SQRT(1+R637)</f>
        <v>1.04734989137801</v>
      </c>
      <c r="T637" s="0" t="n">
        <f aca="false">Q637-S637</f>
        <v>41.2467552222584</v>
      </c>
      <c r="U637" s="0" t="n">
        <f aca="false">Q637+S637</f>
        <v>43.3414550050144</v>
      </c>
      <c r="V637" s="54" t="b">
        <f aca="false">AND(D637&gt;=01_因子設定!$L$5-0.000000001,D637&lt;=01_因子設定!$M$5+0.000000001,E637&gt;=01_因子設定!$L$6-0.000000001,E637&lt;=01_因子設定!$M$6+0.000000001,F637&gt;=01_因子設定!$L$7-0.000000001,F637&lt;=01_因子設定!$M$7+0.000000001,IF(01_因子設定!$B$20="Box-Behnken",D637^2+E637^2+F637^2&lt;=2+0.000000001,TRUE()))</f>
        <v>1</v>
      </c>
      <c r="W637" s="55" t="n">
        <f aca="false">IF(V637,IF(01_因子設定!$B$13="最大化",T637-01_因子設定!$B$14,IF(01_因子設定!$B$13="最小化",01_因子設定!$B$15-U637,MIN(T637-01_因子設定!$B$14,01_因子設定!$B$15-U637))),-1E+030)</f>
        <v>-7.25324477774164</v>
      </c>
      <c r="X637" s="55" t="n">
        <f aca="false">IF(V637,IF(01_因子設定!$B$13="最大化",Q637,IF(01_因子設定!$B$13="最小化",-Q637,-ABS(Q637-01_因子設定!$B$16))),-1E+030)</f>
        <v>42.2941051136364</v>
      </c>
      <c r="Y637" s="55" t="n">
        <f aca="false">W637+ROW()*0.000000001</f>
        <v>-7.25324414074164</v>
      </c>
      <c r="Z637" s="55" t="n">
        <f aca="false">X637+ROW()*0.000000001</f>
        <v>42.2941057506364</v>
      </c>
    </row>
    <row r="638" customFormat="false" ht="15" hidden="false" customHeight="false" outlineLevel="0" collapsed="false">
      <c r="A638" s="0" t="n">
        <v>2</v>
      </c>
      <c r="B638" s="0" t="n">
        <v>3</v>
      </c>
      <c r="C638" s="0" t="n">
        <v>4</v>
      </c>
      <c r="D638" s="0" t="n">
        <f aca="false">-1+A638*0.125</f>
        <v>-0.75</v>
      </c>
      <c r="E638" s="0" t="n">
        <f aca="false">-1+B638*0.125</f>
        <v>-0.625</v>
      </c>
      <c r="F638" s="0" t="n">
        <f aca="false">-1+C638*0.125</f>
        <v>-0.5</v>
      </c>
      <c r="G638" s="0" t="n">
        <f aca="false">1</f>
        <v>1</v>
      </c>
      <c r="H638" s="0" t="n">
        <f aca="false">D638</f>
        <v>-0.75</v>
      </c>
      <c r="I638" s="0" t="n">
        <f aca="false">E638</f>
        <v>-0.625</v>
      </c>
      <c r="J638" s="0" t="n">
        <f aca="false">F638</f>
        <v>-0.5</v>
      </c>
      <c r="K638" s="0" t="n">
        <f aca="false">D638*E638</f>
        <v>0.46875</v>
      </c>
      <c r="L638" s="0" t="n">
        <f aca="false">D638*F638</f>
        <v>0.375</v>
      </c>
      <c r="M638" s="0" t="n">
        <f aca="false">E638*F638</f>
        <v>0.3125</v>
      </c>
      <c r="N638" s="0" t="n">
        <f aca="false">D638*D638</f>
        <v>0.5625</v>
      </c>
      <c r="O638" s="0" t="n">
        <f aca="false">E638*E638</f>
        <v>0.390625</v>
      </c>
      <c r="P638" s="0" t="n">
        <f aca="false">F638*F638</f>
        <v>0.25</v>
      </c>
      <c r="Q638" s="0" t="n">
        <f aca="false">SUMPRODUCT(G638:P638,_XtX!$B$71:$K$71)</f>
        <v>42.6110653409091</v>
      </c>
      <c r="R638" s="0" t="n">
        <f aca="false">SUMPRODUCT(MMULT(G638:P638,_XtX!$B$58:$K$67),G638:P638)</f>
        <v>0.254729669744318</v>
      </c>
      <c r="S638" s="0" t="n">
        <f aca="false">04_回帰ANOVA!$K$19*04_回帰ANOVA!$K$14*SQRT(1+R638)</f>
        <v>1.04145790281631</v>
      </c>
      <c r="T638" s="0" t="n">
        <f aca="false">Q638-S638</f>
        <v>41.5696074380928</v>
      </c>
      <c r="U638" s="0" t="n">
        <f aca="false">Q638+S638</f>
        <v>43.6525232437254</v>
      </c>
      <c r="V638" s="54" t="b">
        <f aca="false">AND(D638&gt;=01_因子設定!$L$5-0.000000001,D638&lt;=01_因子設定!$M$5+0.000000001,E638&gt;=01_因子設定!$L$6-0.000000001,E638&lt;=01_因子設定!$M$6+0.000000001,F638&gt;=01_因子設定!$L$7-0.000000001,F638&lt;=01_因子設定!$M$7+0.000000001,IF(01_因子設定!$B$20="Box-Behnken",D638^2+E638^2+F638^2&lt;=2+0.000000001,TRUE()))</f>
        <v>1</v>
      </c>
      <c r="W638" s="55" t="n">
        <f aca="false">IF(V638,IF(01_因子設定!$B$13="最大化",T638-01_因子設定!$B$14,IF(01_因子設定!$B$13="最小化",01_因子設定!$B$15-U638,MIN(T638-01_因子設定!$B$14,01_因子設定!$B$15-U638))),-1E+030)</f>
        <v>-6.93039256190722</v>
      </c>
      <c r="X638" s="55" t="n">
        <f aca="false">IF(V638,IF(01_因子設定!$B$13="最大化",Q638,IF(01_因子設定!$B$13="最小化",-Q638,-ABS(Q638-01_因子設定!$B$16))),-1E+030)</f>
        <v>42.6110653409091</v>
      </c>
      <c r="Y638" s="55" t="n">
        <f aca="false">W638+ROW()*0.000000001</f>
        <v>-6.93039192390722</v>
      </c>
      <c r="Z638" s="55" t="n">
        <f aca="false">X638+ROW()*0.000000001</f>
        <v>42.6110659789091</v>
      </c>
    </row>
    <row r="639" customFormat="false" ht="15" hidden="false" customHeight="false" outlineLevel="0" collapsed="false">
      <c r="A639" s="0" t="n">
        <v>2</v>
      </c>
      <c r="B639" s="0" t="n">
        <v>3</v>
      </c>
      <c r="C639" s="0" t="n">
        <v>5</v>
      </c>
      <c r="D639" s="0" t="n">
        <f aca="false">-1+A639*0.125</f>
        <v>-0.75</v>
      </c>
      <c r="E639" s="0" t="n">
        <f aca="false">-1+B639*0.125</f>
        <v>-0.625</v>
      </c>
      <c r="F639" s="0" t="n">
        <f aca="false">-1+C639*0.125</f>
        <v>-0.375</v>
      </c>
      <c r="G639" s="0" t="n">
        <f aca="false">1</f>
        <v>1</v>
      </c>
      <c r="H639" s="0" t="n">
        <f aca="false">D639</f>
        <v>-0.75</v>
      </c>
      <c r="I639" s="0" t="n">
        <f aca="false">E639</f>
        <v>-0.625</v>
      </c>
      <c r="J639" s="0" t="n">
        <f aca="false">F639</f>
        <v>-0.375</v>
      </c>
      <c r="K639" s="0" t="n">
        <f aca="false">D639*E639</f>
        <v>0.46875</v>
      </c>
      <c r="L639" s="0" t="n">
        <f aca="false">D639*F639</f>
        <v>0.28125</v>
      </c>
      <c r="M639" s="0" t="n">
        <f aca="false">E639*F639</f>
        <v>0.234375</v>
      </c>
      <c r="N639" s="0" t="n">
        <f aca="false">D639*D639</f>
        <v>0.5625</v>
      </c>
      <c r="O639" s="0" t="n">
        <f aca="false">E639*E639</f>
        <v>0.390625</v>
      </c>
      <c r="P639" s="0" t="n">
        <f aca="false">F639*F639</f>
        <v>0.140625</v>
      </c>
      <c r="Q639" s="0" t="n">
        <f aca="false">SUMPRODUCT(G639:P639,_XtX!$B$71:$K$71)</f>
        <v>42.8912357954546</v>
      </c>
      <c r="R639" s="0" t="n">
        <f aca="false">SUMPRODUCT(MMULT(G639:P639,_XtX!$B$58:$K$67),G639:P639)</f>
        <v>0.25359940962358</v>
      </c>
      <c r="S639" s="0" t="n">
        <f aca="false">04_回帰ANOVA!$K$19*04_回帰ANOVA!$K$14*SQRT(1+R639)</f>
        <v>1.04098872464599</v>
      </c>
      <c r="T639" s="0" t="n">
        <f aca="false">Q639-S639</f>
        <v>41.8502470708086</v>
      </c>
      <c r="U639" s="0" t="n">
        <f aca="false">Q639+S639</f>
        <v>43.9322245201005</v>
      </c>
      <c r="V639" s="54" t="b">
        <f aca="false">AND(D639&gt;=01_因子設定!$L$5-0.000000001,D639&lt;=01_因子設定!$M$5+0.000000001,E639&gt;=01_因子設定!$L$6-0.000000001,E639&lt;=01_因子設定!$M$6+0.000000001,F639&gt;=01_因子設定!$L$7-0.000000001,F639&lt;=01_因子設定!$M$7+0.000000001,IF(01_因子設定!$B$20="Box-Behnken",D639^2+E639^2+F639^2&lt;=2+0.000000001,TRUE()))</f>
        <v>1</v>
      </c>
      <c r="W639" s="55" t="n">
        <f aca="false">IF(V639,IF(01_因子設定!$B$13="最大化",T639-01_因子設定!$B$14,IF(01_因子設定!$B$13="最小化",01_因子設定!$B$15-U639,MIN(T639-01_因子設定!$B$14,01_因子設定!$B$15-U639))),-1E+030)</f>
        <v>-6.64975292919144</v>
      </c>
      <c r="X639" s="55" t="n">
        <f aca="false">IF(V639,IF(01_因子設定!$B$13="最大化",Q639,IF(01_因子設定!$B$13="最小化",-Q639,-ABS(Q639-01_因子設定!$B$16))),-1E+030)</f>
        <v>42.8912357954546</v>
      </c>
      <c r="Y639" s="55" t="n">
        <f aca="false">W639+ROW()*0.000000001</f>
        <v>-6.64975229019144</v>
      </c>
      <c r="Z639" s="55" t="n">
        <f aca="false">X639+ROW()*0.000000001</f>
        <v>42.8912364344546</v>
      </c>
    </row>
    <row r="640" customFormat="false" ht="15" hidden="false" customHeight="false" outlineLevel="0" collapsed="false">
      <c r="A640" s="0" t="n">
        <v>2</v>
      </c>
      <c r="B640" s="0" t="n">
        <v>3</v>
      </c>
      <c r="C640" s="0" t="n">
        <v>6</v>
      </c>
      <c r="D640" s="0" t="n">
        <f aca="false">-1+A640*0.125</f>
        <v>-0.75</v>
      </c>
      <c r="E640" s="0" t="n">
        <f aca="false">-1+B640*0.125</f>
        <v>-0.625</v>
      </c>
      <c r="F640" s="0" t="n">
        <f aca="false">-1+C640*0.125</f>
        <v>-0.25</v>
      </c>
      <c r="G640" s="0" t="n">
        <f aca="false">1</f>
        <v>1</v>
      </c>
      <c r="H640" s="0" t="n">
        <f aca="false">D640</f>
        <v>-0.75</v>
      </c>
      <c r="I640" s="0" t="n">
        <f aca="false">E640</f>
        <v>-0.625</v>
      </c>
      <c r="J640" s="0" t="n">
        <f aca="false">F640</f>
        <v>-0.25</v>
      </c>
      <c r="K640" s="0" t="n">
        <f aca="false">D640*E640</f>
        <v>0.46875</v>
      </c>
      <c r="L640" s="0" t="n">
        <f aca="false">D640*F640</f>
        <v>0.1875</v>
      </c>
      <c r="M640" s="0" t="n">
        <f aca="false">E640*F640</f>
        <v>0.15625</v>
      </c>
      <c r="N640" s="0" t="n">
        <f aca="false">D640*D640</f>
        <v>0.5625</v>
      </c>
      <c r="O640" s="0" t="n">
        <f aca="false">E640*E640</f>
        <v>0.390625</v>
      </c>
      <c r="P640" s="0" t="n">
        <f aca="false">F640*F640</f>
        <v>0.0625</v>
      </c>
      <c r="Q640" s="0" t="n">
        <f aca="false">SUMPRODUCT(G640:P640,_XtX!$B$71:$K$71)</f>
        <v>43.1346164772727</v>
      </c>
      <c r="R640" s="0" t="n">
        <f aca="false">SUMPRODUCT(MMULT(G640:P640,_XtX!$B$58:$K$67),G640:P640)</f>
        <v>0.258118785511364</v>
      </c>
      <c r="S640" s="0" t="n">
        <f aca="false">04_回帰ANOVA!$K$19*04_回帰ANOVA!$K$14*SQRT(1+R640)</f>
        <v>1.04286348094876</v>
      </c>
      <c r="T640" s="0" t="n">
        <f aca="false">Q640-S640</f>
        <v>42.091752996324</v>
      </c>
      <c r="U640" s="0" t="n">
        <f aca="false">Q640+S640</f>
        <v>44.1774799582215</v>
      </c>
      <c r="V640" s="54" t="b">
        <f aca="false">AND(D640&gt;=01_因子設定!$L$5-0.000000001,D640&lt;=01_因子設定!$M$5+0.000000001,E640&gt;=01_因子設定!$L$6-0.000000001,E640&lt;=01_因子設定!$M$6+0.000000001,F640&gt;=01_因子設定!$L$7-0.000000001,F640&lt;=01_因子設定!$M$7+0.000000001,IF(01_因子設定!$B$20="Box-Behnken",D640^2+E640^2+F640^2&lt;=2+0.000000001,TRUE()))</f>
        <v>1</v>
      </c>
      <c r="W640" s="55" t="n">
        <f aca="false">IF(V640,IF(01_因子設定!$B$13="最大化",T640-01_因子設定!$B$14,IF(01_因子設定!$B$13="最小化",01_因子設定!$B$15-U640,MIN(T640-01_因子設定!$B$14,01_因子設定!$B$15-U640))),-1E+030)</f>
        <v>-6.40824700367603</v>
      </c>
      <c r="X640" s="55" t="n">
        <f aca="false">IF(V640,IF(01_因子設定!$B$13="最大化",Q640,IF(01_因子設定!$B$13="最小化",-Q640,-ABS(Q640-01_因子設定!$B$16))),-1E+030)</f>
        <v>43.1346164772727</v>
      </c>
      <c r="Y640" s="55" t="n">
        <f aca="false">W640+ROW()*0.000000001</f>
        <v>-6.40824636367603</v>
      </c>
      <c r="Z640" s="55" t="n">
        <f aca="false">X640+ROW()*0.000000001</f>
        <v>43.1346171172727</v>
      </c>
    </row>
    <row r="641" customFormat="false" ht="15" hidden="false" customHeight="false" outlineLevel="0" collapsed="false">
      <c r="A641" s="0" t="n">
        <v>2</v>
      </c>
      <c r="B641" s="0" t="n">
        <v>3</v>
      </c>
      <c r="C641" s="0" t="n">
        <v>7</v>
      </c>
      <c r="D641" s="0" t="n">
        <f aca="false">-1+A641*0.125</f>
        <v>-0.75</v>
      </c>
      <c r="E641" s="0" t="n">
        <f aca="false">-1+B641*0.125</f>
        <v>-0.625</v>
      </c>
      <c r="F641" s="0" t="n">
        <f aca="false">-1+C641*0.125</f>
        <v>-0.125</v>
      </c>
      <c r="G641" s="0" t="n">
        <f aca="false">1</f>
        <v>1</v>
      </c>
      <c r="H641" s="0" t="n">
        <f aca="false">D641</f>
        <v>-0.75</v>
      </c>
      <c r="I641" s="0" t="n">
        <f aca="false">E641</f>
        <v>-0.625</v>
      </c>
      <c r="J641" s="0" t="n">
        <f aca="false">F641</f>
        <v>-0.125</v>
      </c>
      <c r="K641" s="0" t="n">
        <f aca="false">D641*E641</f>
        <v>0.46875</v>
      </c>
      <c r="L641" s="0" t="n">
        <f aca="false">D641*F641</f>
        <v>0.09375</v>
      </c>
      <c r="M641" s="0" t="n">
        <f aca="false">E641*F641</f>
        <v>0.078125</v>
      </c>
      <c r="N641" s="0" t="n">
        <f aca="false">D641*D641</f>
        <v>0.5625</v>
      </c>
      <c r="O641" s="0" t="n">
        <f aca="false">E641*E641</f>
        <v>0.390625</v>
      </c>
      <c r="P641" s="0" t="n">
        <f aca="false">F641*F641</f>
        <v>0.015625</v>
      </c>
      <c r="Q641" s="0" t="n">
        <f aca="false">SUMPRODUCT(G641:P641,_XtX!$B$71:$K$71)</f>
        <v>43.3412073863636</v>
      </c>
      <c r="R641" s="0" t="n">
        <f aca="false">SUMPRODUCT(MMULT(G641:P641,_XtX!$B$58:$K$67),G641:P641)</f>
        <v>0.262961092862216</v>
      </c>
      <c r="S641" s="0" t="n">
        <f aca="false">04_回帰ANOVA!$K$19*04_回帰ANOVA!$K$14*SQRT(1+R641)</f>
        <v>1.04486846483649</v>
      </c>
      <c r="T641" s="0" t="n">
        <f aca="false">Q641-S641</f>
        <v>42.2963389215272</v>
      </c>
      <c r="U641" s="0" t="n">
        <f aca="false">Q641+S641</f>
        <v>44.3860758512001</v>
      </c>
      <c r="V641" s="54" t="b">
        <f aca="false">AND(D641&gt;=01_因子設定!$L$5-0.000000001,D641&lt;=01_因子設定!$M$5+0.000000001,E641&gt;=01_因子設定!$L$6-0.000000001,E641&lt;=01_因子設定!$M$6+0.000000001,F641&gt;=01_因子設定!$L$7-0.000000001,F641&lt;=01_因子設定!$M$7+0.000000001,IF(01_因子設定!$B$20="Box-Behnken",D641^2+E641^2+F641^2&lt;=2+0.000000001,TRUE()))</f>
        <v>1</v>
      </c>
      <c r="W641" s="55" t="n">
        <f aca="false">IF(V641,IF(01_因子設定!$B$13="最大化",T641-01_因子設定!$B$14,IF(01_因子設定!$B$13="最小化",01_因子設定!$B$15-U641,MIN(T641-01_因子設定!$B$14,01_因子設定!$B$15-U641))),-1E+030)</f>
        <v>-6.20366107847285</v>
      </c>
      <c r="X641" s="55" t="n">
        <f aca="false">IF(V641,IF(01_因子設定!$B$13="最大化",Q641,IF(01_因子設定!$B$13="最小化",-Q641,-ABS(Q641-01_因子設定!$B$16))),-1E+030)</f>
        <v>43.3412073863636</v>
      </c>
      <c r="Y641" s="55" t="n">
        <f aca="false">W641+ROW()*0.000000001</f>
        <v>-6.20366043747285</v>
      </c>
      <c r="Z641" s="55" t="n">
        <f aca="false">X641+ROW()*0.000000001</f>
        <v>43.3412080273636</v>
      </c>
    </row>
    <row r="642" customFormat="false" ht="15" hidden="false" customHeight="false" outlineLevel="0" collapsed="false">
      <c r="A642" s="0" t="n">
        <v>2</v>
      </c>
      <c r="B642" s="0" t="n">
        <v>3</v>
      </c>
      <c r="C642" s="0" t="n">
        <v>8</v>
      </c>
      <c r="D642" s="0" t="n">
        <f aca="false">-1+A642*0.125</f>
        <v>-0.75</v>
      </c>
      <c r="E642" s="0" t="n">
        <f aca="false">-1+B642*0.125</f>
        <v>-0.625</v>
      </c>
      <c r="F642" s="0" t="n">
        <f aca="false">-1+C642*0.125</f>
        <v>0</v>
      </c>
      <c r="G642" s="0" t="n">
        <f aca="false">1</f>
        <v>1</v>
      </c>
      <c r="H642" s="0" t="n">
        <f aca="false">D642</f>
        <v>-0.75</v>
      </c>
      <c r="I642" s="0" t="n">
        <f aca="false">E642</f>
        <v>-0.625</v>
      </c>
      <c r="J642" s="0" t="n">
        <f aca="false">F642</f>
        <v>0</v>
      </c>
      <c r="K642" s="0" t="n">
        <f aca="false">D642*E642</f>
        <v>0.46875</v>
      </c>
      <c r="L642" s="0" t="n">
        <f aca="false">D642*F642</f>
        <v>-0</v>
      </c>
      <c r="M642" s="0" t="n">
        <f aca="false">E642*F642</f>
        <v>-0</v>
      </c>
      <c r="N642" s="0" t="n">
        <f aca="false">D642*D642</f>
        <v>0.5625</v>
      </c>
      <c r="O642" s="0" t="n">
        <f aca="false">E642*E642</f>
        <v>0.390625</v>
      </c>
      <c r="P642" s="0" t="n">
        <f aca="false">F642*F642</f>
        <v>0</v>
      </c>
      <c r="Q642" s="0" t="n">
        <f aca="false">SUMPRODUCT(G642:P642,_XtX!$B$71:$K$71)</f>
        <v>43.5110085227273</v>
      </c>
      <c r="R642" s="0" t="n">
        <f aca="false">SUMPRODUCT(MMULT(G642:P642,_XtX!$B$58:$K$67),G642:P642)</f>
        <v>0.264930308948864</v>
      </c>
      <c r="S642" s="0" t="n">
        <f aca="false">04_回帰ANOVA!$K$19*04_回帰ANOVA!$K$14*SQRT(1+R642)</f>
        <v>1.04568272997153</v>
      </c>
      <c r="T642" s="0" t="n">
        <f aca="false">Q642-S642</f>
        <v>42.4653257927558</v>
      </c>
      <c r="U642" s="0" t="n">
        <f aca="false">Q642+S642</f>
        <v>44.5566912526988</v>
      </c>
      <c r="V642" s="54" t="b">
        <f aca="false">AND(D642&gt;=01_因子設定!$L$5-0.000000001,D642&lt;=01_因子設定!$M$5+0.000000001,E642&gt;=01_因子設定!$L$6-0.000000001,E642&lt;=01_因子設定!$M$6+0.000000001,F642&gt;=01_因子設定!$L$7-0.000000001,F642&lt;=01_因子設定!$M$7+0.000000001,IF(01_因子設定!$B$20="Box-Behnken",D642^2+E642^2+F642^2&lt;=2+0.000000001,TRUE()))</f>
        <v>1</v>
      </c>
      <c r="W642" s="55" t="n">
        <f aca="false">IF(V642,IF(01_因子設定!$B$13="最大化",T642-01_因子設定!$B$14,IF(01_因子設定!$B$13="最小化",01_因子設定!$B$15-U642,MIN(T642-01_因子設定!$B$14,01_因子設定!$B$15-U642))),-1E+030)</f>
        <v>-6.03467420724425</v>
      </c>
      <c r="X642" s="55" t="n">
        <f aca="false">IF(V642,IF(01_因子設定!$B$13="最大化",Q642,IF(01_因子設定!$B$13="最小化",-Q642,-ABS(Q642-01_因子設定!$B$16))),-1E+030)</f>
        <v>43.5110085227273</v>
      </c>
      <c r="Y642" s="55" t="n">
        <f aca="false">W642+ROW()*0.000000001</f>
        <v>-6.03467356524425</v>
      </c>
      <c r="Z642" s="55" t="n">
        <f aca="false">X642+ROW()*0.000000001</f>
        <v>43.5110091647273</v>
      </c>
    </row>
    <row r="643" customFormat="false" ht="15" hidden="false" customHeight="false" outlineLevel="0" collapsed="false">
      <c r="A643" s="0" t="n">
        <v>2</v>
      </c>
      <c r="B643" s="0" t="n">
        <v>3</v>
      </c>
      <c r="C643" s="0" t="n">
        <v>9</v>
      </c>
      <c r="D643" s="0" t="n">
        <f aca="false">-1+A643*0.125</f>
        <v>-0.75</v>
      </c>
      <c r="E643" s="0" t="n">
        <f aca="false">-1+B643*0.125</f>
        <v>-0.625</v>
      </c>
      <c r="F643" s="0" t="n">
        <f aca="false">-1+C643*0.125</f>
        <v>0.125</v>
      </c>
      <c r="G643" s="0" t="n">
        <f aca="false">1</f>
        <v>1</v>
      </c>
      <c r="H643" s="0" t="n">
        <f aca="false">D643</f>
        <v>-0.75</v>
      </c>
      <c r="I643" s="0" t="n">
        <f aca="false">E643</f>
        <v>-0.625</v>
      </c>
      <c r="J643" s="0" t="n">
        <f aca="false">F643</f>
        <v>0.125</v>
      </c>
      <c r="K643" s="0" t="n">
        <f aca="false">D643*E643</f>
        <v>0.46875</v>
      </c>
      <c r="L643" s="0" t="n">
        <f aca="false">D643*F643</f>
        <v>-0.09375</v>
      </c>
      <c r="M643" s="0" t="n">
        <f aca="false">E643*F643</f>
        <v>-0.078125</v>
      </c>
      <c r="N643" s="0" t="n">
        <f aca="false">D643*D643</f>
        <v>0.5625</v>
      </c>
      <c r="O643" s="0" t="n">
        <f aca="false">E643*E643</f>
        <v>0.390625</v>
      </c>
      <c r="P643" s="0" t="n">
        <f aca="false">F643*F643</f>
        <v>0.015625</v>
      </c>
      <c r="Q643" s="0" t="n">
        <f aca="false">SUMPRODUCT(G643:P643,_XtX!$B$71:$K$71)</f>
        <v>43.6440198863636</v>
      </c>
      <c r="R643" s="0" t="n">
        <f aca="false">SUMPRODUCT(MMULT(G643:P643,_XtX!$B$58:$K$67),G643:P643)</f>
        <v>0.262961092862216</v>
      </c>
      <c r="S643" s="0" t="n">
        <f aca="false">04_回帰ANOVA!$K$19*04_回帰ANOVA!$K$14*SQRT(1+R643)</f>
        <v>1.04486846483649</v>
      </c>
      <c r="T643" s="0" t="n">
        <f aca="false">Q643-S643</f>
        <v>42.5991514215272</v>
      </c>
      <c r="U643" s="0" t="n">
        <f aca="false">Q643+S643</f>
        <v>44.6888883512001</v>
      </c>
      <c r="V643" s="54" t="b">
        <f aca="false">AND(D643&gt;=01_因子設定!$L$5-0.000000001,D643&lt;=01_因子設定!$M$5+0.000000001,E643&gt;=01_因子設定!$L$6-0.000000001,E643&lt;=01_因子設定!$M$6+0.000000001,F643&gt;=01_因子設定!$L$7-0.000000001,F643&lt;=01_因子設定!$M$7+0.000000001,IF(01_因子設定!$B$20="Box-Behnken",D643^2+E643^2+F643^2&lt;=2+0.000000001,TRUE()))</f>
        <v>1</v>
      </c>
      <c r="W643" s="55" t="n">
        <f aca="false">IF(V643,IF(01_因子設定!$B$13="最大化",T643-01_因子設定!$B$14,IF(01_因子設定!$B$13="最小化",01_因子設定!$B$15-U643,MIN(T643-01_因子設定!$B$14,01_因子設定!$B$15-U643))),-1E+030)</f>
        <v>-5.90084857847285</v>
      </c>
      <c r="X643" s="55" t="n">
        <f aca="false">IF(V643,IF(01_因子設定!$B$13="最大化",Q643,IF(01_因子設定!$B$13="最小化",-Q643,-ABS(Q643-01_因子設定!$B$16))),-1E+030)</f>
        <v>43.6440198863636</v>
      </c>
      <c r="Y643" s="55" t="n">
        <f aca="false">W643+ROW()*0.000000001</f>
        <v>-5.90084793547285</v>
      </c>
      <c r="Z643" s="55" t="n">
        <f aca="false">X643+ROW()*0.000000001</f>
        <v>43.6440205293636</v>
      </c>
    </row>
    <row r="644" customFormat="false" ht="15" hidden="false" customHeight="false" outlineLevel="0" collapsed="false">
      <c r="A644" s="0" t="n">
        <v>2</v>
      </c>
      <c r="B644" s="0" t="n">
        <v>3</v>
      </c>
      <c r="C644" s="0" t="n">
        <v>10</v>
      </c>
      <c r="D644" s="0" t="n">
        <f aca="false">-1+A644*0.125</f>
        <v>-0.75</v>
      </c>
      <c r="E644" s="0" t="n">
        <f aca="false">-1+B644*0.125</f>
        <v>-0.625</v>
      </c>
      <c r="F644" s="0" t="n">
        <f aca="false">-1+C644*0.125</f>
        <v>0.25</v>
      </c>
      <c r="G644" s="0" t="n">
        <f aca="false">1</f>
        <v>1</v>
      </c>
      <c r="H644" s="0" t="n">
        <f aca="false">D644</f>
        <v>-0.75</v>
      </c>
      <c r="I644" s="0" t="n">
        <f aca="false">E644</f>
        <v>-0.625</v>
      </c>
      <c r="J644" s="0" t="n">
        <f aca="false">F644</f>
        <v>0.25</v>
      </c>
      <c r="K644" s="0" t="n">
        <f aca="false">D644*E644</f>
        <v>0.46875</v>
      </c>
      <c r="L644" s="0" t="n">
        <f aca="false">D644*F644</f>
        <v>-0.1875</v>
      </c>
      <c r="M644" s="0" t="n">
        <f aca="false">E644*F644</f>
        <v>-0.15625</v>
      </c>
      <c r="N644" s="0" t="n">
        <f aca="false">D644*D644</f>
        <v>0.5625</v>
      </c>
      <c r="O644" s="0" t="n">
        <f aca="false">E644*E644</f>
        <v>0.390625</v>
      </c>
      <c r="P644" s="0" t="n">
        <f aca="false">F644*F644</f>
        <v>0.0625</v>
      </c>
      <c r="Q644" s="0" t="n">
        <f aca="false">SUMPRODUCT(G644:P644,_XtX!$B$71:$K$71)</f>
        <v>43.7402414772727</v>
      </c>
      <c r="R644" s="0" t="n">
        <f aca="false">SUMPRODUCT(MMULT(G644:P644,_XtX!$B$58:$K$67),G644:P644)</f>
        <v>0.258118785511364</v>
      </c>
      <c r="S644" s="0" t="n">
        <f aca="false">04_回帰ANOVA!$K$19*04_回帰ANOVA!$K$14*SQRT(1+R644)</f>
        <v>1.04286348094876</v>
      </c>
      <c r="T644" s="0" t="n">
        <f aca="false">Q644-S644</f>
        <v>42.697377996324</v>
      </c>
      <c r="U644" s="0" t="n">
        <f aca="false">Q644+S644</f>
        <v>44.7831049582215</v>
      </c>
      <c r="V644" s="54" t="b">
        <f aca="false">AND(D644&gt;=01_因子設定!$L$5-0.000000001,D644&lt;=01_因子設定!$M$5+0.000000001,E644&gt;=01_因子設定!$L$6-0.000000001,E644&lt;=01_因子設定!$M$6+0.000000001,F644&gt;=01_因子設定!$L$7-0.000000001,F644&lt;=01_因子設定!$M$7+0.000000001,IF(01_因子設定!$B$20="Box-Behnken",D644^2+E644^2+F644^2&lt;=2+0.000000001,TRUE()))</f>
        <v>1</v>
      </c>
      <c r="W644" s="55" t="n">
        <f aca="false">IF(V644,IF(01_因子設定!$B$13="最大化",T644-01_因子設定!$B$14,IF(01_因子設定!$B$13="最小化",01_因子設定!$B$15-U644,MIN(T644-01_因子設定!$B$14,01_因子設定!$B$15-U644))),-1E+030)</f>
        <v>-5.80262200367604</v>
      </c>
      <c r="X644" s="55" t="n">
        <f aca="false">IF(V644,IF(01_因子設定!$B$13="最大化",Q644,IF(01_因子設定!$B$13="最小化",-Q644,-ABS(Q644-01_因子設定!$B$16))),-1E+030)</f>
        <v>43.7402414772727</v>
      </c>
      <c r="Y644" s="55" t="n">
        <f aca="false">W644+ROW()*0.000000001</f>
        <v>-5.80262135967604</v>
      </c>
      <c r="Z644" s="55" t="n">
        <f aca="false">X644+ROW()*0.000000001</f>
        <v>43.7402421212727</v>
      </c>
    </row>
    <row r="645" customFormat="false" ht="15" hidden="false" customHeight="false" outlineLevel="0" collapsed="false">
      <c r="A645" s="0" t="n">
        <v>2</v>
      </c>
      <c r="B645" s="0" t="n">
        <v>3</v>
      </c>
      <c r="C645" s="0" t="n">
        <v>11</v>
      </c>
      <c r="D645" s="0" t="n">
        <f aca="false">-1+A645*0.125</f>
        <v>-0.75</v>
      </c>
      <c r="E645" s="0" t="n">
        <f aca="false">-1+B645*0.125</f>
        <v>-0.625</v>
      </c>
      <c r="F645" s="0" t="n">
        <f aca="false">-1+C645*0.125</f>
        <v>0.375</v>
      </c>
      <c r="G645" s="0" t="n">
        <f aca="false">1</f>
        <v>1</v>
      </c>
      <c r="H645" s="0" t="n">
        <f aca="false">D645</f>
        <v>-0.75</v>
      </c>
      <c r="I645" s="0" t="n">
        <f aca="false">E645</f>
        <v>-0.625</v>
      </c>
      <c r="J645" s="0" t="n">
        <f aca="false">F645</f>
        <v>0.375</v>
      </c>
      <c r="K645" s="0" t="n">
        <f aca="false">D645*E645</f>
        <v>0.46875</v>
      </c>
      <c r="L645" s="0" t="n">
        <f aca="false">D645*F645</f>
        <v>-0.28125</v>
      </c>
      <c r="M645" s="0" t="n">
        <f aca="false">E645*F645</f>
        <v>-0.234375</v>
      </c>
      <c r="N645" s="0" t="n">
        <f aca="false">D645*D645</f>
        <v>0.5625</v>
      </c>
      <c r="O645" s="0" t="n">
        <f aca="false">E645*E645</f>
        <v>0.390625</v>
      </c>
      <c r="P645" s="0" t="n">
        <f aca="false">F645*F645</f>
        <v>0.140625</v>
      </c>
      <c r="Q645" s="0" t="n">
        <f aca="false">SUMPRODUCT(G645:P645,_XtX!$B$71:$K$71)</f>
        <v>43.7996732954546</v>
      </c>
      <c r="R645" s="0" t="n">
        <f aca="false">SUMPRODUCT(MMULT(G645:P645,_XtX!$B$58:$K$67),G645:P645)</f>
        <v>0.25359940962358</v>
      </c>
      <c r="S645" s="0" t="n">
        <f aca="false">04_回帰ANOVA!$K$19*04_回帰ANOVA!$K$14*SQRT(1+R645)</f>
        <v>1.04098872464599</v>
      </c>
      <c r="T645" s="0" t="n">
        <f aca="false">Q645-S645</f>
        <v>42.7586845708086</v>
      </c>
      <c r="U645" s="0" t="n">
        <f aca="false">Q645+S645</f>
        <v>44.8406620201005</v>
      </c>
      <c r="V645" s="54" t="b">
        <f aca="false">AND(D645&gt;=01_因子設定!$L$5-0.000000001,D645&lt;=01_因子設定!$M$5+0.000000001,E645&gt;=01_因子設定!$L$6-0.000000001,E645&lt;=01_因子設定!$M$6+0.000000001,F645&gt;=01_因子設定!$L$7-0.000000001,F645&lt;=01_因子設定!$M$7+0.000000001,IF(01_因子設定!$B$20="Box-Behnken",D645^2+E645^2+F645^2&lt;=2+0.000000001,TRUE()))</f>
        <v>1</v>
      </c>
      <c r="W645" s="55" t="n">
        <f aca="false">IF(V645,IF(01_因子設定!$B$13="最大化",T645-01_因子設定!$B$14,IF(01_因子設定!$B$13="最小化",01_因子設定!$B$15-U645,MIN(T645-01_因子設定!$B$14,01_因子設定!$B$15-U645))),-1E+030)</f>
        <v>-5.74131542919144</v>
      </c>
      <c r="X645" s="55" t="n">
        <f aca="false">IF(V645,IF(01_因子設定!$B$13="最大化",Q645,IF(01_因子設定!$B$13="最小化",-Q645,-ABS(Q645-01_因子設定!$B$16))),-1E+030)</f>
        <v>43.7996732954546</v>
      </c>
      <c r="Y645" s="55" t="n">
        <f aca="false">W645+ROW()*0.000000001</f>
        <v>-5.74131478419144</v>
      </c>
      <c r="Z645" s="55" t="n">
        <f aca="false">X645+ROW()*0.000000001</f>
        <v>43.7996739404546</v>
      </c>
    </row>
    <row r="646" customFormat="false" ht="15" hidden="false" customHeight="false" outlineLevel="0" collapsed="false">
      <c r="A646" s="0" t="n">
        <v>2</v>
      </c>
      <c r="B646" s="0" t="n">
        <v>3</v>
      </c>
      <c r="C646" s="0" t="n">
        <v>12</v>
      </c>
      <c r="D646" s="0" t="n">
        <f aca="false">-1+A646*0.125</f>
        <v>-0.75</v>
      </c>
      <c r="E646" s="0" t="n">
        <f aca="false">-1+B646*0.125</f>
        <v>-0.625</v>
      </c>
      <c r="F646" s="0" t="n">
        <f aca="false">-1+C646*0.125</f>
        <v>0.5</v>
      </c>
      <c r="G646" s="0" t="n">
        <f aca="false">1</f>
        <v>1</v>
      </c>
      <c r="H646" s="0" t="n">
        <f aca="false">D646</f>
        <v>-0.75</v>
      </c>
      <c r="I646" s="0" t="n">
        <f aca="false">E646</f>
        <v>-0.625</v>
      </c>
      <c r="J646" s="0" t="n">
        <f aca="false">F646</f>
        <v>0.5</v>
      </c>
      <c r="K646" s="0" t="n">
        <f aca="false">D646*E646</f>
        <v>0.46875</v>
      </c>
      <c r="L646" s="0" t="n">
        <f aca="false">D646*F646</f>
        <v>-0.375</v>
      </c>
      <c r="M646" s="0" t="n">
        <f aca="false">E646*F646</f>
        <v>-0.3125</v>
      </c>
      <c r="N646" s="0" t="n">
        <f aca="false">D646*D646</f>
        <v>0.5625</v>
      </c>
      <c r="O646" s="0" t="n">
        <f aca="false">E646*E646</f>
        <v>0.390625</v>
      </c>
      <c r="P646" s="0" t="n">
        <f aca="false">F646*F646</f>
        <v>0.25</v>
      </c>
      <c r="Q646" s="0" t="n">
        <f aca="false">SUMPRODUCT(G646:P646,_XtX!$B$71:$K$71)</f>
        <v>43.8223153409091</v>
      </c>
      <c r="R646" s="0" t="n">
        <f aca="false">SUMPRODUCT(MMULT(G646:P646,_XtX!$B$58:$K$67),G646:P646)</f>
        <v>0.254729669744318</v>
      </c>
      <c r="S646" s="0" t="n">
        <f aca="false">04_回帰ANOVA!$K$19*04_回帰ANOVA!$K$14*SQRT(1+R646)</f>
        <v>1.04145790281631</v>
      </c>
      <c r="T646" s="0" t="n">
        <f aca="false">Q646-S646</f>
        <v>42.7808574380928</v>
      </c>
      <c r="U646" s="0" t="n">
        <f aca="false">Q646+S646</f>
        <v>44.8637732437254</v>
      </c>
      <c r="V646" s="54" t="b">
        <f aca="false">AND(D646&gt;=01_因子設定!$L$5-0.000000001,D646&lt;=01_因子設定!$M$5+0.000000001,E646&gt;=01_因子設定!$L$6-0.000000001,E646&lt;=01_因子設定!$M$6+0.000000001,F646&gt;=01_因子設定!$L$7-0.000000001,F646&lt;=01_因子設定!$M$7+0.000000001,IF(01_因子設定!$B$20="Box-Behnken",D646^2+E646^2+F646^2&lt;=2+0.000000001,TRUE()))</f>
        <v>1</v>
      </c>
      <c r="W646" s="55" t="n">
        <f aca="false">IF(V646,IF(01_因子設定!$B$13="最大化",T646-01_因子設定!$B$14,IF(01_因子設定!$B$13="最小化",01_因子設定!$B$15-U646,MIN(T646-01_因子設定!$B$14,01_因子設定!$B$15-U646))),-1E+030)</f>
        <v>-5.71914256190722</v>
      </c>
      <c r="X646" s="55" t="n">
        <f aca="false">IF(V646,IF(01_因子設定!$B$13="最大化",Q646,IF(01_因子設定!$B$13="最小化",-Q646,-ABS(Q646-01_因子設定!$B$16))),-1E+030)</f>
        <v>43.8223153409091</v>
      </c>
      <c r="Y646" s="55" t="n">
        <f aca="false">W646+ROW()*0.000000001</f>
        <v>-5.71914191590722</v>
      </c>
      <c r="Z646" s="55" t="n">
        <f aca="false">X646+ROW()*0.000000001</f>
        <v>43.8223159869091</v>
      </c>
    </row>
    <row r="647" customFormat="false" ht="15" hidden="false" customHeight="false" outlineLevel="0" collapsed="false">
      <c r="A647" s="0" t="n">
        <v>2</v>
      </c>
      <c r="B647" s="0" t="n">
        <v>3</v>
      </c>
      <c r="C647" s="0" t="n">
        <v>13</v>
      </c>
      <c r="D647" s="0" t="n">
        <f aca="false">-1+A647*0.125</f>
        <v>-0.75</v>
      </c>
      <c r="E647" s="0" t="n">
        <f aca="false">-1+B647*0.125</f>
        <v>-0.625</v>
      </c>
      <c r="F647" s="0" t="n">
        <f aca="false">-1+C647*0.125</f>
        <v>0.625</v>
      </c>
      <c r="G647" s="0" t="n">
        <f aca="false">1</f>
        <v>1</v>
      </c>
      <c r="H647" s="0" t="n">
        <f aca="false">D647</f>
        <v>-0.75</v>
      </c>
      <c r="I647" s="0" t="n">
        <f aca="false">E647</f>
        <v>-0.625</v>
      </c>
      <c r="J647" s="0" t="n">
        <f aca="false">F647</f>
        <v>0.625</v>
      </c>
      <c r="K647" s="0" t="n">
        <f aca="false">D647*E647</f>
        <v>0.46875</v>
      </c>
      <c r="L647" s="0" t="n">
        <f aca="false">D647*F647</f>
        <v>-0.46875</v>
      </c>
      <c r="M647" s="0" t="n">
        <f aca="false">E647*F647</f>
        <v>-0.390625</v>
      </c>
      <c r="N647" s="0" t="n">
        <f aca="false">D647*D647</f>
        <v>0.5625</v>
      </c>
      <c r="O647" s="0" t="n">
        <f aca="false">E647*E647</f>
        <v>0.390625</v>
      </c>
      <c r="P647" s="0" t="n">
        <f aca="false">F647*F647</f>
        <v>0.390625</v>
      </c>
      <c r="Q647" s="0" t="n">
        <f aca="false">SUMPRODUCT(G647:P647,_XtX!$B$71:$K$71)</f>
        <v>43.8081676136364</v>
      </c>
      <c r="R647" s="0" t="n">
        <f aca="false">SUMPRODUCT(MMULT(G647:P647,_XtX!$B$58:$K$67),G647:P647)</f>
        <v>0.268966952237216</v>
      </c>
      <c r="S647" s="0" t="n">
        <f aca="false">04_回帰ANOVA!$K$19*04_回帰ANOVA!$K$14*SQRT(1+R647)</f>
        <v>1.04734989137801</v>
      </c>
      <c r="T647" s="0" t="n">
        <f aca="false">Q647-S647</f>
        <v>42.7608177222584</v>
      </c>
      <c r="U647" s="0" t="n">
        <f aca="false">Q647+S647</f>
        <v>44.8555175050144</v>
      </c>
      <c r="V647" s="54" t="b">
        <f aca="false">AND(D647&gt;=01_因子設定!$L$5-0.000000001,D647&lt;=01_因子設定!$M$5+0.000000001,E647&gt;=01_因子設定!$L$6-0.000000001,E647&lt;=01_因子設定!$M$6+0.000000001,F647&gt;=01_因子設定!$L$7-0.000000001,F647&lt;=01_因子設定!$M$7+0.000000001,IF(01_因子設定!$B$20="Box-Behnken",D647^2+E647^2+F647^2&lt;=2+0.000000001,TRUE()))</f>
        <v>1</v>
      </c>
      <c r="W647" s="55" t="n">
        <f aca="false">IF(V647,IF(01_因子設定!$B$13="最大化",T647-01_因子設定!$B$14,IF(01_因子設定!$B$13="最小化",01_因子設定!$B$15-U647,MIN(T647-01_因子設定!$B$14,01_因子設定!$B$15-U647))),-1E+030)</f>
        <v>-5.73918227774164</v>
      </c>
      <c r="X647" s="55" t="n">
        <f aca="false">IF(V647,IF(01_因子設定!$B$13="最大化",Q647,IF(01_因子設定!$B$13="最小化",-Q647,-ABS(Q647-01_因子設定!$B$16))),-1E+030)</f>
        <v>43.8081676136364</v>
      </c>
      <c r="Y647" s="55" t="n">
        <f aca="false">W647+ROW()*0.000000001</f>
        <v>-5.73918163074164</v>
      </c>
      <c r="Z647" s="55" t="n">
        <f aca="false">X647+ROW()*0.000000001</f>
        <v>43.8081682606364</v>
      </c>
    </row>
    <row r="648" customFormat="false" ht="15" hidden="false" customHeight="false" outlineLevel="0" collapsed="false">
      <c r="A648" s="0" t="n">
        <v>2</v>
      </c>
      <c r="B648" s="0" t="n">
        <v>3</v>
      </c>
      <c r="C648" s="0" t="n">
        <v>14</v>
      </c>
      <c r="D648" s="0" t="n">
        <f aca="false">-1+A648*0.125</f>
        <v>-0.75</v>
      </c>
      <c r="E648" s="0" t="n">
        <f aca="false">-1+B648*0.125</f>
        <v>-0.625</v>
      </c>
      <c r="F648" s="0" t="n">
        <f aca="false">-1+C648*0.125</f>
        <v>0.75</v>
      </c>
      <c r="G648" s="0" t="n">
        <f aca="false">1</f>
        <v>1</v>
      </c>
      <c r="H648" s="0" t="n">
        <f aca="false">D648</f>
        <v>-0.75</v>
      </c>
      <c r="I648" s="0" t="n">
        <f aca="false">E648</f>
        <v>-0.625</v>
      </c>
      <c r="J648" s="0" t="n">
        <f aca="false">F648</f>
        <v>0.75</v>
      </c>
      <c r="K648" s="0" t="n">
        <f aca="false">D648*E648</f>
        <v>0.46875</v>
      </c>
      <c r="L648" s="0" t="n">
        <f aca="false">D648*F648</f>
        <v>-0.5625</v>
      </c>
      <c r="M648" s="0" t="n">
        <f aca="false">E648*F648</f>
        <v>-0.46875</v>
      </c>
      <c r="N648" s="0" t="n">
        <f aca="false">D648*D648</f>
        <v>0.5625</v>
      </c>
      <c r="O648" s="0" t="n">
        <f aca="false">E648*E648</f>
        <v>0.390625</v>
      </c>
      <c r="P648" s="0" t="n">
        <f aca="false">F648*F648</f>
        <v>0.5625</v>
      </c>
      <c r="Q648" s="0" t="n">
        <f aca="false">SUMPRODUCT(G648:P648,_XtX!$B$71:$K$71)</f>
        <v>43.7572301136364</v>
      </c>
      <c r="R648" s="0" t="n">
        <f aca="false">SUMPRODUCT(MMULT(G648:P648,_XtX!$B$58:$K$67),G648:P648)</f>
        <v>0.305899325284091</v>
      </c>
      <c r="S648" s="0" t="n">
        <f aca="false">04_回帰ANOVA!$K$19*04_回帰ANOVA!$K$14*SQRT(1+R648)</f>
        <v>1.06248176416816</v>
      </c>
      <c r="T648" s="0" t="n">
        <f aca="false">Q648-S648</f>
        <v>42.6947483494682</v>
      </c>
      <c r="U648" s="0" t="n">
        <f aca="false">Q648+S648</f>
        <v>44.8197118778045</v>
      </c>
      <c r="V648" s="54" t="b">
        <f aca="false">AND(D648&gt;=01_因子設定!$L$5-0.000000001,D648&lt;=01_因子設定!$M$5+0.000000001,E648&gt;=01_因子設定!$L$6-0.000000001,E648&lt;=01_因子設定!$M$6+0.000000001,F648&gt;=01_因子設定!$L$7-0.000000001,F648&lt;=01_因子設定!$M$7+0.000000001,IF(01_因子設定!$B$20="Box-Behnken",D648^2+E648^2+F648^2&lt;=2+0.000000001,TRUE()))</f>
        <v>1</v>
      </c>
      <c r="W648" s="55" t="n">
        <f aca="false">IF(V648,IF(01_因子設定!$B$13="最大化",T648-01_因子設定!$B$14,IF(01_因子設定!$B$13="最小化",01_因子設定!$B$15-U648,MIN(T648-01_因子設定!$B$14,01_因子設定!$B$15-U648))),-1E+030)</f>
        <v>-5.80525165053179</v>
      </c>
      <c r="X648" s="55" t="n">
        <f aca="false">IF(V648,IF(01_因子設定!$B$13="最大化",Q648,IF(01_因子設定!$B$13="最小化",-Q648,-ABS(Q648-01_因子設定!$B$16))),-1E+030)</f>
        <v>43.7572301136364</v>
      </c>
      <c r="Y648" s="55" t="n">
        <f aca="false">W648+ROW()*0.000000001</f>
        <v>-5.80525100253179</v>
      </c>
      <c r="Z648" s="55" t="n">
        <f aca="false">X648+ROW()*0.000000001</f>
        <v>43.7572307616364</v>
      </c>
    </row>
    <row r="649" customFormat="false" ht="15" hidden="false" customHeight="false" outlineLevel="0" collapsed="false">
      <c r="A649" s="0" t="n">
        <v>2</v>
      </c>
      <c r="B649" s="0" t="n">
        <v>3</v>
      </c>
      <c r="C649" s="0" t="n">
        <v>15</v>
      </c>
      <c r="D649" s="0" t="n">
        <f aca="false">-1+A649*0.125</f>
        <v>-0.75</v>
      </c>
      <c r="E649" s="0" t="n">
        <f aca="false">-1+B649*0.125</f>
        <v>-0.625</v>
      </c>
      <c r="F649" s="0" t="n">
        <f aca="false">-1+C649*0.125</f>
        <v>0.875</v>
      </c>
      <c r="G649" s="0" t="n">
        <f aca="false">1</f>
        <v>1</v>
      </c>
      <c r="H649" s="0" t="n">
        <f aca="false">D649</f>
        <v>-0.75</v>
      </c>
      <c r="I649" s="0" t="n">
        <f aca="false">E649</f>
        <v>-0.625</v>
      </c>
      <c r="J649" s="0" t="n">
        <f aca="false">F649</f>
        <v>0.875</v>
      </c>
      <c r="K649" s="0" t="n">
        <f aca="false">D649*E649</f>
        <v>0.46875</v>
      </c>
      <c r="L649" s="0" t="n">
        <f aca="false">D649*F649</f>
        <v>-0.65625</v>
      </c>
      <c r="M649" s="0" t="n">
        <f aca="false">E649*F649</f>
        <v>-0.546875</v>
      </c>
      <c r="N649" s="0" t="n">
        <f aca="false">D649*D649</f>
        <v>0.5625</v>
      </c>
      <c r="O649" s="0" t="n">
        <f aca="false">E649*E649</f>
        <v>0.390625</v>
      </c>
      <c r="P649" s="0" t="n">
        <f aca="false">F649*F649</f>
        <v>0.765625</v>
      </c>
      <c r="Q649" s="0" t="n">
        <f aca="false">SUMPRODUCT(G649:P649,_XtX!$B$71:$K$71)</f>
        <v>43.6695028409091</v>
      </c>
      <c r="R649" s="0" t="n">
        <f aca="false">SUMPRODUCT(MMULT(G649:P649,_XtX!$B$58:$K$67),G649:P649)</f>
        <v>0.377245538884943</v>
      </c>
      <c r="S649" s="0" t="n">
        <f aca="false">04_回帰ANOVA!$K$19*04_回帰ANOVA!$K$14*SQRT(1+R649)</f>
        <v>1.09111951468927</v>
      </c>
      <c r="T649" s="0" t="n">
        <f aca="false">Q649-S649</f>
        <v>42.5783833262198</v>
      </c>
      <c r="U649" s="0" t="n">
        <f aca="false">Q649+S649</f>
        <v>44.7606223555984</v>
      </c>
      <c r="V649" s="54" t="b">
        <f aca="false">AND(D649&gt;=01_因子設定!$L$5-0.000000001,D649&lt;=01_因子設定!$M$5+0.000000001,E649&gt;=01_因子設定!$L$6-0.000000001,E649&lt;=01_因子設定!$M$6+0.000000001,F649&gt;=01_因子設定!$L$7-0.000000001,F649&lt;=01_因子設定!$M$7+0.000000001,IF(01_因子設定!$B$20="Box-Behnken",D649^2+E649^2+F649^2&lt;=2+0.000000001,TRUE()))</f>
        <v>1</v>
      </c>
      <c r="W649" s="55" t="n">
        <f aca="false">IF(V649,IF(01_因子設定!$B$13="最大化",T649-01_因子設定!$B$14,IF(01_因子設定!$B$13="最小化",01_因子設定!$B$15-U649,MIN(T649-01_因子設定!$B$14,01_因子設定!$B$15-U649))),-1E+030)</f>
        <v>-5.92161667378017</v>
      </c>
      <c r="X649" s="55" t="n">
        <f aca="false">IF(V649,IF(01_因子設定!$B$13="最大化",Q649,IF(01_因子設定!$B$13="最小化",-Q649,-ABS(Q649-01_因子設定!$B$16))),-1E+030)</f>
        <v>43.6695028409091</v>
      </c>
      <c r="Y649" s="55" t="n">
        <f aca="false">W649+ROW()*0.000000001</f>
        <v>-5.92161602478017</v>
      </c>
      <c r="Z649" s="55" t="n">
        <f aca="false">X649+ROW()*0.000000001</f>
        <v>43.6695034899091</v>
      </c>
    </row>
    <row r="650" customFormat="false" ht="15" hidden="false" customHeight="false" outlineLevel="0" collapsed="false">
      <c r="A650" s="0" t="n">
        <v>2</v>
      </c>
      <c r="B650" s="0" t="n">
        <v>3</v>
      </c>
      <c r="C650" s="0" t="n">
        <v>16</v>
      </c>
      <c r="D650" s="0" t="n">
        <f aca="false">-1+A650*0.125</f>
        <v>-0.75</v>
      </c>
      <c r="E650" s="0" t="n">
        <f aca="false">-1+B650*0.125</f>
        <v>-0.625</v>
      </c>
      <c r="F650" s="0" t="n">
        <f aca="false">-1+C650*0.125</f>
        <v>1</v>
      </c>
      <c r="G650" s="0" t="n">
        <f aca="false">1</f>
        <v>1</v>
      </c>
      <c r="H650" s="0" t="n">
        <f aca="false">D650</f>
        <v>-0.75</v>
      </c>
      <c r="I650" s="0" t="n">
        <f aca="false">E650</f>
        <v>-0.625</v>
      </c>
      <c r="J650" s="0" t="n">
        <f aca="false">F650</f>
        <v>1</v>
      </c>
      <c r="K650" s="0" t="n">
        <f aca="false">D650*E650</f>
        <v>0.46875</v>
      </c>
      <c r="L650" s="0" t="n">
        <f aca="false">D650*F650</f>
        <v>-0.75</v>
      </c>
      <c r="M650" s="0" t="n">
        <f aca="false">E650*F650</f>
        <v>-0.625</v>
      </c>
      <c r="N650" s="0" t="n">
        <f aca="false">D650*D650</f>
        <v>0.5625</v>
      </c>
      <c r="O650" s="0" t="n">
        <f aca="false">E650*E650</f>
        <v>0.390625</v>
      </c>
      <c r="P650" s="0" t="n">
        <f aca="false">F650*F650</f>
        <v>1</v>
      </c>
      <c r="Q650" s="0" t="n">
        <f aca="false">SUMPRODUCT(G650:P650,_XtX!$B$71:$K$71)</f>
        <v>43.5449857954546</v>
      </c>
      <c r="R650" s="0" t="n">
        <f aca="false">SUMPRODUCT(MMULT(G650:P650,_XtX!$B$58:$K$67),G650:P650)</f>
        <v>0.496855024857955</v>
      </c>
      <c r="S650" s="0" t="n">
        <f aca="false">04_回帰ANOVA!$K$19*04_回帰ANOVA!$K$14*SQRT(1+R650)</f>
        <v>1.1375133593161</v>
      </c>
      <c r="T650" s="0" t="n">
        <f aca="false">Q650-S650</f>
        <v>42.4074724361385</v>
      </c>
      <c r="U650" s="0" t="n">
        <f aca="false">Q650+S650</f>
        <v>44.6824991547707</v>
      </c>
      <c r="V650" s="54" t="b">
        <f aca="false">AND(D650&gt;=01_因子設定!$L$5-0.000000001,D650&lt;=01_因子設定!$M$5+0.000000001,E650&gt;=01_因子設定!$L$6-0.000000001,E650&lt;=01_因子設定!$M$6+0.000000001,F650&gt;=01_因子設定!$L$7-0.000000001,F650&lt;=01_因子設定!$M$7+0.000000001,IF(01_因子設定!$B$20="Box-Behnken",D650^2+E650^2+F650^2&lt;=2+0.000000001,TRUE()))</f>
        <v>1</v>
      </c>
      <c r="W650" s="55" t="n">
        <f aca="false">IF(V650,IF(01_因子設定!$B$13="最大化",T650-01_因子設定!$B$14,IF(01_因子設定!$B$13="最小化",01_因子設定!$B$15-U650,MIN(T650-01_因子設定!$B$14,01_因子設定!$B$15-U650))),-1E+030)</f>
        <v>-6.09252756386154</v>
      </c>
      <c r="X650" s="55" t="n">
        <f aca="false">IF(V650,IF(01_因子設定!$B$13="最大化",Q650,IF(01_因子設定!$B$13="最小化",-Q650,-ABS(Q650-01_因子設定!$B$16))),-1E+030)</f>
        <v>43.5449857954546</v>
      </c>
      <c r="Y650" s="55" t="n">
        <f aca="false">W650+ROW()*0.000000001</f>
        <v>-6.09252691386154</v>
      </c>
      <c r="Z650" s="55" t="n">
        <f aca="false">X650+ROW()*0.000000001</f>
        <v>43.5449864454546</v>
      </c>
    </row>
    <row r="651" customFormat="false" ht="15" hidden="false" customHeight="false" outlineLevel="0" collapsed="false">
      <c r="A651" s="0" t="n">
        <v>2</v>
      </c>
      <c r="B651" s="0" t="n">
        <v>4</v>
      </c>
      <c r="C651" s="0" t="n">
        <v>0</v>
      </c>
      <c r="D651" s="0" t="n">
        <f aca="false">-1+A651*0.125</f>
        <v>-0.75</v>
      </c>
      <c r="E651" s="0" t="n">
        <f aca="false">-1+B651*0.125</f>
        <v>-0.5</v>
      </c>
      <c r="F651" s="0" t="n">
        <f aca="false">-1+C651*0.125</f>
        <v>-1</v>
      </c>
      <c r="G651" s="0" t="n">
        <f aca="false">1</f>
        <v>1</v>
      </c>
      <c r="H651" s="0" t="n">
        <f aca="false">D651</f>
        <v>-0.75</v>
      </c>
      <c r="I651" s="0" t="n">
        <f aca="false">E651</f>
        <v>-0.5</v>
      </c>
      <c r="J651" s="0" t="n">
        <f aca="false">F651</f>
        <v>-1</v>
      </c>
      <c r="K651" s="0" t="n">
        <f aca="false">D651*E651</f>
        <v>0.375</v>
      </c>
      <c r="L651" s="0" t="n">
        <f aca="false">D651*F651</f>
        <v>0.75</v>
      </c>
      <c r="M651" s="0" t="n">
        <f aca="false">E651*F651</f>
        <v>0.5</v>
      </c>
      <c r="N651" s="0" t="n">
        <f aca="false">D651*D651</f>
        <v>0.5625</v>
      </c>
      <c r="O651" s="0" t="n">
        <f aca="false">E651*E651</f>
        <v>0.25</v>
      </c>
      <c r="P651" s="0" t="n">
        <f aca="false">F651*F651</f>
        <v>1</v>
      </c>
      <c r="Q651" s="0" t="n">
        <f aca="false">SUMPRODUCT(G651:P651,_XtX!$B$71:$K$71)</f>
        <v>41.4952272727273</v>
      </c>
      <c r="R651" s="0" t="n">
        <f aca="false">SUMPRODUCT(MMULT(G651:P651,_XtX!$B$58:$K$67),G651:P651)</f>
        <v>0.495276988636364</v>
      </c>
      <c r="S651" s="0" t="n">
        <f aca="false">04_回帰ANOVA!$K$19*04_回帰ANOVA!$K$14*SQRT(1+R651)</f>
        <v>1.13691359828352</v>
      </c>
      <c r="T651" s="0" t="n">
        <f aca="false">Q651-S651</f>
        <v>40.3583136744438</v>
      </c>
      <c r="U651" s="0" t="n">
        <f aca="false">Q651+S651</f>
        <v>42.6321408710108</v>
      </c>
      <c r="V651" s="54" t="b">
        <f aca="false">AND(D651&gt;=01_因子設定!$L$5-0.000000001,D651&lt;=01_因子設定!$M$5+0.000000001,E651&gt;=01_因子設定!$L$6-0.000000001,E651&lt;=01_因子設定!$M$6+0.000000001,F651&gt;=01_因子設定!$L$7-0.000000001,F651&lt;=01_因子設定!$M$7+0.000000001,IF(01_因子設定!$B$20="Box-Behnken",D651^2+E651^2+F651^2&lt;=2+0.000000001,TRUE()))</f>
        <v>1</v>
      </c>
      <c r="W651" s="55" t="n">
        <f aca="false">IF(V651,IF(01_因子設定!$B$13="最大化",T651-01_因子設定!$B$14,IF(01_因子設定!$B$13="最小化",01_因子設定!$B$15-U651,MIN(T651-01_因子設定!$B$14,01_因子設定!$B$15-U651))),-1E+030)</f>
        <v>-8.14168632555623</v>
      </c>
      <c r="X651" s="55" t="n">
        <f aca="false">IF(V651,IF(01_因子設定!$B$13="最大化",Q651,IF(01_因子設定!$B$13="最小化",-Q651,-ABS(Q651-01_因子設定!$B$16))),-1E+030)</f>
        <v>41.4952272727273</v>
      </c>
      <c r="Y651" s="55" t="n">
        <f aca="false">W651+ROW()*0.000000001</f>
        <v>-8.14168567455623</v>
      </c>
      <c r="Z651" s="55" t="n">
        <f aca="false">X651+ROW()*0.000000001</f>
        <v>41.4952279237273</v>
      </c>
    </row>
    <row r="652" customFormat="false" ht="15" hidden="false" customHeight="false" outlineLevel="0" collapsed="false">
      <c r="A652" s="0" t="n">
        <v>2</v>
      </c>
      <c r="B652" s="0" t="n">
        <v>4</v>
      </c>
      <c r="C652" s="0" t="n">
        <v>1</v>
      </c>
      <c r="D652" s="0" t="n">
        <f aca="false">-1+A652*0.125</f>
        <v>-0.75</v>
      </c>
      <c r="E652" s="0" t="n">
        <f aca="false">-1+B652*0.125</f>
        <v>-0.5</v>
      </c>
      <c r="F652" s="0" t="n">
        <f aca="false">-1+C652*0.125</f>
        <v>-0.875</v>
      </c>
      <c r="G652" s="0" t="n">
        <f aca="false">1</f>
        <v>1</v>
      </c>
      <c r="H652" s="0" t="n">
        <f aca="false">D652</f>
        <v>-0.75</v>
      </c>
      <c r="I652" s="0" t="n">
        <f aca="false">E652</f>
        <v>-0.5</v>
      </c>
      <c r="J652" s="0" t="n">
        <f aca="false">F652</f>
        <v>-0.875</v>
      </c>
      <c r="K652" s="0" t="n">
        <f aca="false">D652*E652</f>
        <v>0.375</v>
      </c>
      <c r="L652" s="0" t="n">
        <f aca="false">D652*F652</f>
        <v>0.65625</v>
      </c>
      <c r="M652" s="0" t="n">
        <f aca="false">E652*F652</f>
        <v>0.4375</v>
      </c>
      <c r="N652" s="0" t="n">
        <f aca="false">D652*D652</f>
        <v>0.5625</v>
      </c>
      <c r="O652" s="0" t="n">
        <f aca="false">E652*E652</f>
        <v>0.25</v>
      </c>
      <c r="P652" s="0" t="n">
        <f aca="false">F652*F652</f>
        <v>0.765625</v>
      </c>
      <c r="Q652" s="0" t="n">
        <f aca="false">SUMPRODUCT(G652:P652,_XtX!$B$71:$K$71)</f>
        <v>41.9295880681818</v>
      </c>
      <c r="R652" s="0" t="n">
        <f aca="false">SUMPRODUCT(MMULT(G652:P652,_XtX!$B$58:$K$67),G652:P652)</f>
        <v>0.370798561789773</v>
      </c>
      <c r="S652" s="0" t="n">
        <f aca="false">04_回帰ANOVA!$K$19*04_回帰ANOVA!$K$14*SQRT(1+R652)</f>
        <v>1.08856271788237</v>
      </c>
      <c r="T652" s="0" t="n">
        <f aca="false">Q652-S652</f>
        <v>40.8410253502995</v>
      </c>
      <c r="U652" s="0" t="n">
        <f aca="false">Q652+S652</f>
        <v>43.0181507860642</v>
      </c>
      <c r="V652" s="54" t="b">
        <f aca="false">AND(D652&gt;=01_因子設定!$L$5-0.000000001,D652&lt;=01_因子設定!$M$5+0.000000001,E652&gt;=01_因子設定!$L$6-0.000000001,E652&lt;=01_因子設定!$M$6+0.000000001,F652&gt;=01_因子設定!$L$7-0.000000001,F652&lt;=01_因子設定!$M$7+0.000000001,IF(01_因子設定!$B$20="Box-Behnken",D652^2+E652^2+F652^2&lt;=2+0.000000001,TRUE()))</f>
        <v>1</v>
      </c>
      <c r="W652" s="55" t="n">
        <f aca="false">IF(V652,IF(01_因子設定!$B$13="最大化",T652-01_因子設定!$B$14,IF(01_因子設定!$B$13="最小化",01_因子設定!$B$15-U652,MIN(T652-01_因子設定!$B$14,01_因子設定!$B$15-U652))),-1E+030)</f>
        <v>-7.65897464970055</v>
      </c>
      <c r="X652" s="55" t="n">
        <f aca="false">IF(V652,IF(01_因子設定!$B$13="最大化",Q652,IF(01_因子設定!$B$13="最小化",-Q652,-ABS(Q652-01_因子設定!$B$16))),-1E+030)</f>
        <v>41.9295880681818</v>
      </c>
      <c r="Y652" s="55" t="n">
        <f aca="false">W652+ROW()*0.000000001</f>
        <v>-7.65897399770055</v>
      </c>
      <c r="Z652" s="55" t="n">
        <f aca="false">X652+ROW()*0.000000001</f>
        <v>41.9295887201818</v>
      </c>
    </row>
    <row r="653" customFormat="false" ht="15" hidden="false" customHeight="false" outlineLevel="0" collapsed="false">
      <c r="A653" s="0" t="n">
        <v>2</v>
      </c>
      <c r="B653" s="0" t="n">
        <v>4</v>
      </c>
      <c r="C653" s="0" t="n">
        <v>2</v>
      </c>
      <c r="D653" s="0" t="n">
        <f aca="false">-1+A653*0.125</f>
        <v>-0.75</v>
      </c>
      <c r="E653" s="0" t="n">
        <f aca="false">-1+B653*0.125</f>
        <v>-0.5</v>
      </c>
      <c r="F653" s="0" t="n">
        <f aca="false">-1+C653*0.125</f>
        <v>-0.75</v>
      </c>
      <c r="G653" s="0" t="n">
        <f aca="false">1</f>
        <v>1</v>
      </c>
      <c r="H653" s="0" t="n">
        <f aca="false">D653</f>
        <v>-0.75</v>
      </c>
      <c r="I653" s="0" t="n">
        <f aca="false">E653</f>
        <v>-0.5</v>
      </c>
      <c r="J653" s="0" t="n">
        <f aca="false">F653</f>
        <v>-0.75</v>
      </c>
      <c r="K653" s="0" t="n">
        <f aca="false">D653*E653</f>
        <v>0.375</v>
      </c>
      <c r="L653" s="0" t="n">
        <f aca="false">D653*F653</f>
        <v>0.5625</v>
      </c>
      <c r="M653" s="0" t="n">
        <f aca="false">E653*F653</f>
        <v>0.375</v>
      </c>
      <c r="N653" s="0" t="n">
        <f aca="false">D653*D653</f>
        <v>0.5625</v>
      </c>
      <c r="O653" s="0" t="n">
        <f aca="false">E653*E653</f>
        <v>0.25</v>
      </c>
      <c r="P653" s="0" t="n">
        <f aca="false">F653*F653</f>
        <v>0.5625</v>
      </c>
      <c r="Q653" s="0" t="n">
        <f aca="false">SUMPRODUCT(G653:P653,_XtX!$B$71:$K$71)</f>
        <v>42.3271590909091</v>
      </c>
      <c r="R653" s="0" t="n">
        <f aca="false">SUMPRODUCT(MMULT(G653:P653,_XtX!$B$58:$K$67),G653:P653)</f>
        <v>0.295232599431818</v>
      </c>
      <c r="S653" s="0" t="n">
        <f aca="false">04_回帰ANOVA!$K$19*04_回帰ANOVA!$K$14*SQRT(1+R653)</f>
        <v>1.05813363442154</v>
      </c>
      <c r="T653" s="0" t="n">
        <f aca="false">Q653-S653</f>
        <v>41.2690254564876</v>
      </c>
      <c r="U653" s="0" t="n">
        <f aca="false">Q653+S653</f>
        <v>43.3852927253306</v>
      </c>
      <c r="V653" s="54" t="b">
        <f aca="false">AND(D653&gt;=01_因子設定!$L$5-0.000000001,D653&lt;=01_因子設定!$M$5+0.000000001,E653&gt;=01_因子設定!$L$6-0.000000001,E653&lt;=01_因子設定!$M$6+0.000000001,F653&gt;=01_因子設定!$L$7-0.000000001,F653&lt;=01_因子設定!$M$7+0.000000001,IF(01_因子設定!$B$20="Box-Behnken",D653^2+E653^2+F653^2&lt;=2+0.000000001,TRUE()))</f>
        <v>1</v>
      </c>
      <c r="W653" s="55" t="n">
        <f aca="false">IF(V653,IF(01_因子設定!$B$13="最大化",T653-01_因子設定!$B$14,IF(01_因子設定!$B$13="最小化",01_因子設定!$B$15-U653,MIN(T653-01_因子設定!$B$14,01_因子設定!$B$15-U653))),-1E+030)</f>
        <v>-7.23097454351244</v>
      </c>
      <c r="X653" s="55" t="n">
        <f aca="false">IF(V653,IF(01_因子設定!$B$13="最大化",Q653,IF(01_因子設定!$B$13="最小化",-Q653,-ABS(Q653-01_因子設定!$B$16))),-1E+030)</f>
        <v>42.3271590909091</v>
      </c>
      <c r="Y653" s="55" t="n">
        <f aca="false">W653+ROW()*0.000000001</f>
        <v>-7.23097389051244</v>
      </c>
      <c r="Z653" s="55" t="n">
        <f aca="false">X653+ROW()*0.000000001</f>
        <v>42.3271597439091</v>
      </c>
    </row>
    <row r="654" customFormat="false" ht="15" hidden="false" customHeight="false" outlineLevel="0" collapsed="false">
      <c r="A654" s="0" t="n">
        <v>2</v>
      </c>
      <c r="B654" s="0" t="n">
        <v>4</v>
      </c>
      <c r="C654" s="0" t="n">
        <v>3</v>
      </c>
      <c r="D654" s="0" t="n">
        <f aca="false">-1+A654*0.125</f>
        <v>-0.75</v>
      </c>
      <c r="E654" s="0" t="n">
        <f aca="false">-1+B654*0.125</f>
        <v>-0.5</v>
      </c>
      <c r="F654" s="0" t="n">
        <f aca="false">-1+C654*0.125</f>
        <v>-0.625</v>
      </c>
      <c r="G654" s="0" t="n">
        <f aca="false">1</f>
        <v>1</v>
      </c>
      <c r="H654" s="0" t="n">
        <f aca="false">D654</f>
        <v>-0.75</v>
      </c>
      <c r="I654" s="0" t="n">
        <f aca="false">E654</f>
        <v>-0.5</v>
      </c>
      <c r="J654" s="0" t="n">
        <f aca="false">F654</f>
        <v>-0.625</v>
      </c>
      <c r="K654" s="0" t="n">
        <f aca="false">D654*E654</f>
        <v>0.375</v>
      </c>
      <c r="L654" s="0" t="n">
        <f aca="false">D654*F654</f>
        <v>0.46875</v>
      </c>
      <c r="M654" s="0" t="n">
        <f aca="false">E654*F654</f>
        <v>0.3125</v>
      </c>
      <c r="N654" s="0" t="n">
        <f aca="false">D654*D654</f>
        <v>0.5625</v>
      </c>
      <c r="O654" s="0" t="n">
        <f aca="false">E654*E654</f>
        <v>0.25</v>
      </c>
      <c r="P654" s="0" t="n">
        <f aca="false">F654*F654</f>
        <v>0.390625</v>
      </c>
      <c r="Q654" s="0" t="n">
        <f aca="false">SUMPRODUCT(G654:P654,_XtX!$B$71:$K$71)</f>
        <v>42.6879403409091</v>
      </c>
      <c r="R654" s="0" t="n">
        <f aca="false">SUMPRODUCT(MMULT(G654:P654,_XtX!$B$58:$K$67),G654:P654)</f>
        <v>0.254729669744318</v>
      </c>
      <c r="S654" s="0" t="n">
        <f aca="false">04_回帰ANOVA!$K$19*04_回帰ANOVA!$K$14*SQRT(1+R654)</f>
        <v>1.04145790281631</v>
      </c>
      <c r="T654" s="0" t="n">
        <f aca="false">Q654-S654</f>
        <v>41.6464824380928</v>
      </c>
      <c r="U654" s="0" t="n">
        <f aca="false">Q654+S654</f>
        <v>43.7293982437254</v>
      </c>
      <c r="V654" s="54" t="b">
        <f aca="false">AND(D654&gt;=01_因子設定!$L$5-0.000000001,D654&lt;=01_因子設定!$M$5+0.000000001,E654&gt;=01_因子設定!$L$6-0.000000001,E654&lt;=01_因子設定!$M$6+0.000000001,F654&gt;=01_因子設定!$L$7-0.000000001,F654&lt;=01_因子設定!$M$7+0.000000001,IF(01_因子設定!$B$20="Box-Behnken",D654^2+E654^2+F654^2&lt;=2+0.000000001,TRUE()))</f>
        <v>1</v>
      </c>
      <c r="W654" s="55" t="n">
        <f aca="false">IF(V654,IF(01_因子設定!$B$13="最大化",T654-01_因子設定!$B$14,IF(01_因子設定!$B$13="最小化",01_因子設定!$B$15-U654,MIN(T654-01_因子設定!$B$14,01_因子設定!$B$15-U654))),-1E+030)</f>
        <v>-6.85351756190722</v>
      </c>
      <c r="X654" s="55" t="n">
        <f aca="false">IF(V654,IF(01_因子設定!$B$13="最大化",Q654,IF(01_因子設定!$B$13="最小化",-Q654,-ABS(Q654-01_因子設定!$B$16))),-1E+030)</f>
        <v>42.6879403409091</v>
      </c>
      <c r="Y654" s="55" t="n">
        <f aca="false">W654+ROW()*0.000000001</f>
        <v>-6.85351690790722</v>
      </c>
      <c r="Z654" s="55" t="n">
        <f aca="false">X654+ROW()*0.000000001</f>
        <v>42.6879409949091</v>
      </c>
    </row>
    <row r="655" customFormat="false" ht="15" hidden="false" customHeight="false" outlineLevel="0" collapsed="false">
      <c r="A655" s="0" t="n">
        <v>2</v>
      </c>
      <c r="B655" s="0" t="n">
        <v>4</v>
      </c>
      <c r="C655" s="0" t="n">
        <v>4</v>
      </c>
      <c r="D655" s="0" t="n">
        <f aca="false">-1+A655*0.125</f>
        <v>-0.75</v>
      </c>
      <c r="E655" s="0" t="n">
        <f aca="false">-1+B655*0.125</f>
        <v>-0.5</v>
      </c>
      <c r="F655" s="0" t="n">
        <f aca="false">-1+C655*0.125</f>
        <v>-0.5</v>
      </c>
      <c r="G655" s="0" t="n">
        <f aca="false">1</f>
        <v>1</v>
      </c>
      <c r="H655" s="0" t="n">
        <f aca="false">D655</f>
        <v>-0.75</v>
      </c>
      <c r="I655" s="0" t="n">
        <f aca="false">E655</f>
        <v>-0.5</v>
      </c>
      <c r="J655" s="0" t="n">
        <f aca="false">F655</f>
        <v>-0.5</v>
      </c>
      <c r="K655" s="0" t="n">
        <f aca="false">D655*E655</f>
        <v>0.375</v>
      </c>
      <c r="L655" s="0" t="n">
        <f aca="false">D655*F655</f>
        <v>0.375</v>
      </c>
      <c r="M655" s="0" t="n">
        <f aca="false">E655*F655</f>
        <v>0.25</v>
      </c>
      <c r="N655" s="0" t="n">
        <f aca="false">D655*D655</f>
        <v>0.5625</v>
      </c>
      <c r="O655" s="0" t="n">
        <f aca="false">E655*E655</f>
        <v>0.25</v>
      </c>
      <c r="P655" s="0" t="n">
        <f aca="false">F655*F655</f>
        <v>0.25</v>
      </c>
      <c r="Q655" s="0" t="n">
        <f aca="false">SUMPRODUCT(G655:P655,_XtX!$B$71:$K$71)</f>
        <v>43.0119318181818</v>
      </c>
      <c r="R655" s="0" t="n">
        <f aca="false">SUMPRODUCT(MMULT(G655:P655,_XtX!$B$58:$K$67),G655:P655)</f>
        <v>0.237571022727273</v>
      </c>
      <c r="S655" s="0" t="n">
        <f aca="false">04_回帰ANOVA!$K$19*04_回帰ANOVA!$K$14*SQRT(1+R655)</f>
        <v>1.0343123302758</v>
      </c>
      <c r="T655" s="0" t="n">
        <f aca="false">Q655-S655</f>
        <v>41.977619487906</v>
      </c>
      <c r="U655" s="0" t="n">
        <f aca="false">Q655+S655</f>
        <v>44.0462441484576</v>
      </c>
      <c r="V655" s="54" t="b">
        <f aca="false">AND(D655&gt;=01_因子設定!$L$5-0.000000001,D655&lt;=01_因子設定!$M$5+0.000000001,E655&gt;=01_因子設定!$L$6-0.000000001,E655&lt;=01_因子設定!$M$6+0.000000001,F655&gt;=01_因子設定!$L$7-0.000000001,F655&lt;=01_因子設定!$M$7+0.000000001,IF(01_因子設定!$B$20="Box-Behnken",D655^2+E655^2+F655^2&lt;=2+0.000000001,TRUE()))</f>
        <v>1</v>
      </c>
      <c r="W655" s="55" t="n">
        <f aca="false">IF(V655,IF(01_因子設定!$B$13="最大化",T655-01_因子設定!$B$14,IF(01_因子設定!$B$13="最小化",01_因子設定!$B$15-U655,MIN(T655-01_因子設定!$B$14,01_因子設定!$B$15-U655))),-1E+030)</f>
        <v>-6.52238051209398</v>
      </c>
      <c r="X655" s="55" t="n">
        <f aca="false">IF(V655,IF(01_因子設定!$B$13="最大化",Q655,IF(01_因子設定!$B$13="最小化",-Q655,-ABS(Q655-01_因子設定!$B$16))),-1E+030)</f>
        <v>43.0119318181818</v>
      </c>
      <c r="Y655" s="55" t="n">
        <f aca="false">W655+ROW()*0.000000001</f>
        <v>-6.52237985709398</v>
      </c>
      <c r="Z655" s="55" t="n">
        <f aca="false">X655+ROW()*0.000000001</f>
        <v>43.0119324731818</v>
      </c>
    </row>
    <row r="656" customFormat="false" ht="15" hidden="false" customHeight="false" outlineLevel="0" collapsed="false">
      <c r="A656" s="0" t="n">
        <v>2</v>
      </c>
      <c r="B656" s="0" t="n">
        <v>4</v>
      </c>
      <c r="C656" s="0" t="n">
        <v>5</v>
      </c>
      <c r="D656" s="0" t="n">
        <f aca="false">-1+A656*0.125</f>
        <v>-0.75</v>
      </c>
      <c r="E656" s="0" t="n">
        <f aca="false">-1+B656*0.125</f>
        <v>-0.5</v>
      </c>
      <c r="F656" s="0" t="n">
        <f aca="false">-1+C656*0.125</f>
        <v>-0.375</v>
      </c>
      <c r="G656" s="0" t="n">
        <f aca="false">1</f>
        <v>1</v>
      </c>
      <c r="H656" s="0" t="n">
        <f aca="false">D656</f>
        <v>-0.75</v>
      </c>
      <c r="I656" s="0" t="n">
        <f aca="false">E656</f>
        <v>-0.5</v>
      </c>
      <c r="J656" s="0" t="n">
        <f aca="false">F656</f>
        <v>-0.375</v>
      </c>
      <c r="K656" s="0" t="n">
        <f aca="false">D656*E656</f>
        <v>0.375</v>
      </c>
      <c r="L656" s="0" t="n">
        <f aca="false">D656*F656</f>
        <v>0.28125</v>
      </c>
      <c r="M656" s="0" t="n">
        <f aca="false">E656*F656</f>
        <v>0.1875</v>
      </c>
      <c r="N656" s="0" t="n">
        <f aca="false">D656*D656</f>
        <v>0.5625</v>
      </c>
      <c r="O656" s="0" t="n">
        <f aca="false">E656*E656</f>
        <v>0.25</v>
      </c>
      <c r="P656" s="0" t="n">
        <f aca="false">F656*F656</f>
        <v>0.140625</v>
      </c>
      <c r="Q656" s="0" t="n">
        <f aca="false">SUMPRODUCT(G656:P656,_XtX!$B$71:$K$71)</f>
        <v>43.2991335227273</v>
      </c>
      <c r="R656" s="0" t="n">
        <f aca="false">SUMPRODUCT(MMULT(G656:P656,_XtX!$B$58:$K$67),G656:P656)</f>
        <v>0.234168590198864</v>
      </c>
      <c r="S656" s="0" t="n">
        <f aca="false">04_回帰ANOVA!$K$19*04_回帰ANOVA!$K$14*SQRT(1+R656)</f>
        <v>1.03288954322488</v>
      </c>
      <c r="T656" s="0" t="n">
        <f aca="false">Q656-S656</f>
        <v>42.2662439795024</v>
      </c>
      <c r="U656" s="0" t="n">
        <f aca="false">Q656+S656</f>
        <v>44.3320230659522</v>
      </c>
      <c r="V656" s="54" t="b">
        <f aca="false">AND(D656&gt;=01_因子設定!$L$5-0.000000001,D656&lt;=01_因子設定!$M$5+0.000000001,E656&gt;=01_因子設定!$L$6-0.000000001,E656&lt;=01_因子設定!$M$6+0.000000001,F656&gt;=01_因子設定!$L$7-0.000000001,F656&lt;=01_因子設定!$M$7+0.000000001,IF(01_因子設定!$B$20="Box-Behnken",D656^2+E656^2+F656^2&lt;=2+0.000000001,TRUE()))</f>
        <v>1</v>
      </c>
      <c r="W656" s="55" t="n">
        <f aca="false">IF(V656,IF(01_因子設定!$B$13="最大化",T656-01_因子設定!$B$14,IF(01_因子設定!$B$13="最小化",01_因子設定!$B$15-U656,MIN(T656-01_因子設定!$B$14,01_因子設定!$B$15-U656))),-1E+030)</f>
        <v>-6.2337560204976</v>
      </c>
      <c r="X656" s="55" t="n">
        <f aca="false">IF(V656,IF(01_因子設定!$B$13="最大化",Q656,IF(01_因子設定!$B$13="最小化",-Q656,-ABS(Q656-01_因子設定!$B$16))),-1E+030)</f>
        <v>43.2991335227273</v>
      </c>
      <c r="Y656" s="55" t="n">
        <f aca="false">W656+ROW()*0.000000001</f>
        <v>-6.2337553644976</v>
      </c>
      <c r="Z656" s="55" t="n">
        <f aca="false">X656+ROW()*0.000000001</f>
        <v>43.2991341787273</v>
      </c>
    </row>
    <row r="657" customFormat="false" ht="15" hidden="false" customHeight="false" outlineLevel="0" collapsed="false">
      <c r="A657" s="0" t="n">
        <v>2</v>
      </c>
      <c r="B657" s="0" t="n">
        <v>4</v>
      </c>
      <c r="C657" s="0" t="n">
        <v>6</v>
      </c>
      <c r="D657" s="0" t="n">
        <f aca="false">-1+A657*0.125</f>
        <v>-0.75</v>
      </c>
      <c r="E657" s="0" t="n">
        <f aca="false">-1+B657*0.125</f>
        <v>-0.5</v>
      </c>
      <c r="F657" s="0" t="n">
        <f aca="false">-1+C657*0.125</f>
        <v>-0.25</v>
      </c>
      <c r="G657" s="0" t="n">
        <f aca="false">1</f>
        <v>1</v>
      </c>
      <c r="H657" s="0" t="n">
        <f aca="false">D657</f>
        <v>-0.75</v>
      </c>
      <c r="I657" s="0" t="n">
        <f aca="false">E657</f>
        <v>-0.5</v>
      </c>
      <c r="J657" s="0" t="n">
        <f aca="false">F657</f>
        <v>-0.25</v>
      </c>
      <c r="K657" s="0" t="n">
        <f aca="false">D657*E657</f>
        <v>0.375</v>
      </c>
      <c r="L657" s="0" t="n">
        <f aca="false">D657*F657</f>
        <v>0.1875</v>
      </c>
      <c r="M657" s="0" t="n">
        <f aca="false">E657*F657</f>
        <v>0.125</v>
      </c>
      <c r="N657" s="0" t="n">
        <f aca="false">D657*D657</f>
        <v>0.5625</v>
      </c>
      <c r="O657" s="0" t="n">
        <f aca="false">E657*E657</f>
        <v>0.25</v>
      </c>
      <c r="P657" s="0" t="n">
        <f aca="false">F657*F657</f>
        <v>0.0625</v>
      </c>
      <c r="Q657" s="0" t="n">
        <f aca="false">SUMPRODUCT(G657:P657,_XtX!$B$71:$K$71)</f>
        <v>43.5495454545455</v>
      </c>
      <c r="R657" s="0" t="n">
        <f aca="false">SUMPRODUCT(MMULT(G657:P657,_XtX!$B$58:$K$67),G657:P657)</f>
        <v>0.237064985795455</v>
      </c>
      <c r="S657" s="0" t="n">
        <f aca="false">04_回帰ANOVA!$K$19*04_回帰ANOVA!$K$14*SQRT(1+R657)</f>
        <v>1.03410084594745</v>
      </c>
      <c r="T657" s="0" t="n">
        <f aca="false">Q657-S657</f>
        <v>42.515444608598</v>
      </c>
      <c r="U657" s="0" t="n">
        <f aca="false">Q657+S657</f>
        <v>44.5836463004929</v>
      </c>
      <c r="V657" s="54" t="b">
        <f aca="false">AND(D657&gt;=01_因子設定!$L$5-0.000000001,D657&lt;=01_因子設定!$M$5+0.000000001,E657&gt;=01_因子設定!$L$6-0.000000001,E657&lt;=01_因子設定!$M$6+0.000000001,F657&gt;=01_因子設定!$L$7-0.000000001,F657&lt;=01_因子設定!$M$7+0.000000001,IF(01_因子設定!$B$20="Box-Behnken",D657^2+E657^2+F657^2&lt;=2+0.000000001,TRUE()))</f>
        <v>1</v>
      </c>
      <c r="W657" s="55" t="n">
        <f aca="false">IF(V657,IF(01_因子設定!$B$13="最大化",T657-01_因子設定!$B$14,IF(01_因子設定!$B$13="最小化",01_因子設定!$B$15-U657,MIN(T657-01_因子設定!$B$14,01_因子設定!$B$15-U657))),-1E+030)</f>
        <v>-5.98455539140199</v>
      </c>
      <c r="X657" s="55" t="n">
        <f aca="false">IF(V657,IF(01_因子設定!$B$13="最大化",Q657,IF(01_因子設定!$B$13="最小化",-Q657,-ABS(Q657-01_因子設定!$B$16))),-1E+030)</f>
        <v>43.5495454545455</v>
      </c>
      <c r="Y657" s="55" t="n">
        <f aca="false">W657+ROW()*0.000000001</f>
        <v>-5.98455473440199</v>
      </c>
      <c r="Z657" s="55" t="n">
        <f aca="false">X657+ROW()*0.000000001</f>
        <v>43.5495461115455</v>
      </c>
    </row>
    <row r="658" customFormat="false" ht="15" hidden="false" customHeight="false" outlineLevel="0" collapsed="false">
      <c r="A658" s="0" t="n">
        <v>2</v>
      </c>
      <c r="B658" s="0" t="n">
        <v>4</v>
      </c>
      <c r="C658" s="0" t="n">
        <v>7</v>
      </c>
      <c r="D658" s="0" t="n">
        <f aca="false">-1+A658*0.125</f>
        <v>-0.75</v>
      </c>
      <c r="E658" s="0" t="n">
        <f aca="false">-1+B658*0.125</f>
        <v>-0.5</v>
      </c>
      <c r="F658" s="0" t="n">
        <f aca="false">-1+C658*0.125</f>
        <v>-0.125</v>
      </c>
      <c r="G658" s="0" t="n">
        <f aca="false">1</f>
        <v>1</v>
      </c>
      <c r="H658" s="0" t="n">
        <f aca="false">D658</f>
        <v>-0.75</v>
      </c>
      <c r="I658" s="0" t="n">
        <f aca="false">E658</f>
        <v>-0.5</v>
      </c>
      <c r="J658" s="0" t="n">
        <f aca="false">F658</f>
        <v>-0.125</v>
      </c>
      <c r="K658" s="0" t="n">
        <f aca="false">D658*E658</f>
        <v>0.375</v>
      </c>
      <c r="L658" s="0" t="n">
        <f aca="false">D658*F658</f>
        <v>0.09375</v>
      </c>
      <c r="M658" s="0" t="n">
        <f aca="false">E658*F658</f>
        <v>0.0625</v>
      </c>
      <c r="N658" s="0" t="n">
        <f aca="false">D658*D658</f>
        <v>0.5625</v>
      </c>
      <c r="O658" s="0" t="n">
        <f aca="false">E658*E658</f>
        <v>0.25</v>
      </c>
      <c r="P658" s="0" t="n">
        <f aca="false">F658*F658</f>
        <v>0.015625</v>
      </c>
      <c r="Q658" s="0" t="n">
        <f aca="false">SUMPRODUCT(G658:P658,_XtX!$B$71:$K$71)</f>
        <v>43.7631676136364</v>
      </c>
      <c r="R658" s="0" t="n">
        <f aca="false">SUMPRODUCT(MMULT(G658:P658,_XtX!$B$58:$K$67),G658:P658)</f>
        <v>0.240933504971591</v>
      </c>
      <c r="S658" s="0" t="n">
        <f aca="false">04_回帰ANOVA!$K$19*04_回帰ANOVA!$K$14*SQRT(1+R658)</f>
        <v>1.03571649118863</v>
      </c>
      <c r="T658" s="0" t="n">
        <f aca="false">Q658-S658</f>
        <v>42.7274511224477</v>
      </c>
      <c r="U658" s="0" t="n">
        <f aca="false">Q658+S658</f>
        <v>44.798884104825</v>
      </c>
      <c r="V658" s="54" t="b">
        <f aca="false">AND(D658&gt;=01_因子設定!$L$5-0.000000001,D658&lt;=01_因子設定!$M$5+0.000000001,E658&gt;=01_因子設定!$L$6-0.000000001,E658&lt;=01_因子設定!$M$6+0.000000001,F658&gt;=01_因子設定!$L$7-0.000000001,F658&lt;=01_因子設定!$M$7+0.000000001,IF(01_因子設定!$B$20="Box-Behnken",D658^2+E658^2+F658^2&lt;=2+0.000000001,TRUE()))</f>
        <v>1</v>
      </c>
      <c r="W658" s="55" t="n">
        <f aca="false">IF(V658,IF(01_因子設定!$B$13="最大化",T658-01_因子設定!$B$14,IF(01_因子設定!$B$13="最小化",01_因子設定!$B$15-U658,MIN(T658-01_因子設定!$B$14,01_因子設定!$B$15-U658))),-1E+030)</f>
        <v>-5.77254887755226</v>
      </c>
      <c r="X658" s="55" t="n">
        <f aca="false">IF(V658,IF(01_因子設定!$B$13="最大化",Q658,IF(01_因子設定!$B$13="最小化",-Q658,-ABS(Q658-01_因子設定!$B$16))),-1E+030)</f>
        <v>43.7631676136364</v>
      </c>
      <c r="Y658" s="55" t="n">
        <f aca="false">W658+ROW()*0.000000001</f>
        <v>-5.77254821955226</v>
      </c>
      <c r="Z658" s="55" t="n">
        <f aca="false">X658+ROW()*0.000000001</f>
        <v>43.7631682716364</v>
      </c>
    </row>
    <row r="659" customFormat="false" ht="15" hidden="false" customHeight="false" outlineLevel="0" collapsed="false">
      <c r="A659" s="0" t="n">
        <v>2</v>
      </c>
      <c r="B659" s="0" t="n">
        <v>4</v>
      </c>
      <c r="C659" s="0" t="n">
        <v>8</v>
      </c>
      <c r="D659" s="0" t="n">
        <f aca="false">-1+A659*0.125</f>
        <v>-0.75</v>
      </c>
      <c r="E659" s="0" t="n">
        <f aca="false">-1+B659*0.125</f>
        <v>-0.5</v>
      </c>
      <c r="F659" s="0" t="n">
        <f aca="false">-1+C659*0.125</f>
        <v>0</v>
      </c>
      <c r="G659" s="0" t="n">
        <f aca="false">1</f>
        <v>1</v>
      </c>
      <c r="H659" s="0" t="n">
        <f aca="false">D659</f>
        <v>-0.75</v>
      </c>
      <c r="I659" s="0" t="n">
        <f aca="false">E659</f>
        <v>-0.5</v>
      </c>
      <c r="J659" s="0" t="n">
        <f aca="false">F659</f>
        <v>0</v>
      </c>
      <c r="K659" s="0" t="n">
        <f aca="false">D659*E659</f>
        <v>0.375</v>
      </c>
      <c r="L659" s="0" t="n">
        <f aca="false">D659*F659</f>
        <v>-0</v>
      </c>
      <c r="M659" s="0" t="n">
        <f aca="false">E659*F659</f>
        <v>-0</v>
      </c>
      <c r="N659" s="0" t="n">
        <f aca="false">D659*D659</f>
        <v>0.5625</v>
      </c>
      <c r="O659" s="0" t="n">
        <f aca="false">E659*E659</f>
        <v>0.25</v>
      </c>
      <c r="P659" s="0" t="n">
        <f aca="false">F659*F659</f>
        <v>0</v>
      </c>
      <c r="Q659" s="0" t="n">
        <f aca="false">SUMPRODUCT(G659:P659,_XtX!$B$71:$K$71)</f>
        <v>43.94</v>
      </c>
      <c r="R659" s="0" t="n">
        <f aca="false">SUMPRODUCT(MMULT(G659:P659,_XtX!$B$58:$K$67),G659:P659)</f>
        <v>0.242578125</v>
      </c>
      <c r="S659" s="0" t="n">
        <f aca="false">04_回帰ANOVA!$K$19*04_回帰ANOVA!$K$14*SQRT(1+R659)</f>
        <v>1.03640258600455</v>
      </c>
      <c r="T659" s="0" t="n">
        <f aca="false">Q659-S659</f>
        <v>42.9035974139955</v>
      </c>
      <c r="U659" s="0" t="n">
        <f aca="false">Q659+S659</f>
        <v>44.9764025860045</v>
      </c>
      <c r="V659" s="54" t="b">
        <f aca="false">AND(D659&gt;=01_因子設定!$L$5-0.000000001,D659&lt;=01_因子設定!$M$5+0.000000001,E659&gt;=01_因子設定!$L$6-0.000000001,E659&lt;=01_因子設定!$M$6+0.000000001,F659&gt;=01_因子設定!$L$7-0.000000001,F659&lt;=01_因子設定!$M$7+0.000000001,IF(01_因子設定!$B$20="Box-Behnken",D659^2+E659^2+F659^2&lt;=2+0.000000001,TRUE()))</f>
        <v>1</v>
      </c>
      <c r="W659" s="55" t="n">
        <f aca="false">IF(V659,IF(01_因子設定!$B$13="最大化",T659-01_因子設定!$B$14,IF(01_因子設定!$B$13="最小化",01_因子設定!$B$15-U659,MIN(T659-01_因子設定!$B$14,01_因子設定!$B$15-U659))),-1E+030)</f>
        <v>-5.59640258600455</v>
      </c>
      <c r="X659" s="55" t="n">
        <f aca="false">IF(V659,IF(01_因子設定!$B$13="最大化",Q659,IF(01_因子設定!$B$13="最小化",-Q659,-ABS(Q659-01_因子設定!$B$16))),-1E+030)</f>
        <v>43.94</v>
      </c>
      <c r="Y659" s="55" t="n">
        <f aca="false">W659+ROW()*0.000000001</f>
        <v>-5.59640192700455</v>
      </c>
      <c r="Z659" s="55" t="n">
        <f aca="false">X659+ROW()*0.000000001</f>
        <v>43.940000659</v>
      </c>
    </row>
    <row r="660" customFormat="false" ht="15" hidden="false" customHeight="false" outlineLevel="0" collapsed="false">
      <c r="A660" s="0" t="n">
        <v>2</v>
      </c>
      <c r="B660" s="0" t="n">
        <v>4</v>
      </c>
      <c r="C660" s="0" t="n">
        <v>9</v>
      </c>
      <c r="D660" s="0" t="n">
        <f aca="false">-1+A660*0.125</f>
        <v>-0.75</v>
      </c>
      <c r="E660" s="0" t="n">
        <f aca="false">-1+B660*0.125</f>
        <v>-0.5</v>
      </c>
      <c r="F660" s="0" t="n">
        <f aca="false">-1+C660*0.125</f>
        <v>0.125</v>
      </c>
      <c r="G660" s="0" t="n">
        <f aca="false">1</f>
        <v>1</v>
      </c>
      <c r="H660" s="0" t="n">
        <f aca="false">D660</f>
        <v>-0.75</v>
      </c>
      <c r="I660" s="0" t="n">
        <f aca="false">E660</f>
        <v>-0.5</v>
      </c>
      <c r="J660" s="0" t="n">
        <f aca="false">F660</f>
        <v>0.125</v>
      </c>
      <c r="K660" s="0" t="n">
        <f aca="false">D660*E660</f>
        <v>0.375</v>
      </c>
      <c r="L660" s="0" t="n">
        <f aca="false">D660*F660</f>
        <v>-0.09375</v>
      </c>
      <c r="M660" s="0" t="n">
        <f aca="false">E660*F660</f>
        <v>-0.0625</v>
      </c>
      <c r="N660" s="0" t="n">
        <f aca="false">D660*D660</f>
        <v>0.5625</v>
      </c>
      <c r="O660" s="0" t="n">
        <f aca="false">E660*E660</f>
        <v>0.25</v>
      </c>
      <c r="P660" s="0" t="n">
        <f aca="false">F660*F660</f>
        <v>0.015625</v>
      </c>
      <c r="Q660" s="0" t="n">
        <f aca="false">SUMPRODUCT(G660:P660,_XtX!$B$71:$K$71)</f>
        <v>44.0800426136364</v>
      </c>
      <c r="R660" s="0" t="n">
        <f aca="false">SUMPRODUCT(MMULT(G660:P660,_XtX!$B$58:$K$67),G660:P660)</f>
        <v>0.240933504971591</v>
      </c>
      <c r="S660" s="0" t="n">
        <f aca="false">04_回帰ANOVA!$K$19*04_回帰ANOVA!$K$14*SQRT(1+R660)</f>
        <v>1.03571649118863</v>
      </c>
      <c r="T660" s="0" t="n">
        <f aca="false">Q660-S660</f>
        <v>43.0443261224477</v>
      </c>
      <c r="U660" s="0" t="n">
        <f aca="false">Q660+S660</f>
        <v>45.115759104825</v>
      </c>
      <c r="V660" s="54" t="b">
        <f aca="false">AND(D660&gt;=01_因子設定!$L$5-0.000000001,D660&lt;=01_因子設定!$M$5+0.000000001,E660&gt;=01_因子設定!$L$6-0.000000001,E660&lt;=01_因子設定!$M$6+0.000000001,F660&gt;=01_因子設定!$L$7-0.000000001,F660&lt;=01_因子設定!$M$7+0.000000001,IF(01_因子設定!$B$20="Box-Behnken",D660^2+E660^2+F660^2&lt;=2+0.000000001,TRUE()))</f>
        <v>1</v>
      </c>
      <c r="W660" s="55" t="n">
        <f aca="false">IF(V660,IF(01_因子設定!$B$13="最大化",T660-01_因子設定!$B$14,IF(01_因子設定!$B$13="最小化",01_因子設定!$B$15-U660,MIN(T660-01_因子設定!$B$14,01_因子設定!$B$15-U660))),-1E+030)</f>
        <v>-5.45567387755227</v>
      </c>
      <c r="X660" s="55" t="n">
        <f aca="false">IF(V660,IF(01_因子設定!$B$13="最大化",Q660,IF(01_因子設定!$B$13="最小化",-Q660,-ABS(Q660-01_因子設定!$B$16))),-1E+030)</f>
        <v>44.0800426136364</v>
      </c>
      <c r="Y660" s="55" t="n">
        <f aca="false">W660+ROW()*0.000000001</f>
        <v>-5.45567321755226</v>
      </c>
      <c r="Z660" s="55" t="n">
        <f aca="false">X660+ROW()*0.000000001</f>
        <v>44.0800432736364</v>
      </c>
    </row>
    <row r="661" customFormat="false" ht="15" hidden="false" customHeight="false" outlineLevel="0" collapsed="false">
      <c r="A661" s="0" t="n">
        <v>2</v>
      </c>
      <c r="B661" s="0" t="n">
        <v>4</v>
      </c>
      <c r="C661" s="0" t="n">
        <v>10</v>
      </c>
      <c r="D661" s="0" t="n">
        <f aca="false">-1+A661*0.125</f>
        <v>-0.75</v>
      </c>
      <c r="E661" s="0" t="n">
        <f aca="false">-1+B661*0.125</f>
        <v>-0.5</v>
      </c>
      <c r="F661" s="0" t="n">
        <f aca="false">-1+C661*0.125</f>
        <v>0.25</v>
      </c>
      <c r="G661" s="0" t="n">
        <f aca="false">1</f>
        <v>1</v>
      </c>
      <c r="H661" s="0" t="n">
        <f aca="false">D661</f>
        <v>-0.75</v>
      </c>
      <c r="I661" s="0" t="n">
        <f aca="false">E661</f>
        <v>-0.5</v>
      </c>
      <c r="J661" s="0" t="n">
        <f aca="false">F661</f>
        <v>0.25</v>
      </c>
      <c r="K661" s="0" t="n">
        <f aca="false">D661*E661</f>
        <v>0.375</v>
      </c>
      <c r="L661" s="0" t="n">
        <f aca="false">D661*F661</f>
        <v>-0.1875</v>
      </c>
      <c r="M661" s="0" t="n">
        <f aca="false">E661*F661</f>
        <v>-0.125</v>
      </c>
      <c r="N661" s="0" t="n">
        <f aca="false">D661*D661</f>
        <v>0.5625</v>
      </c>
      <c r="O661" s="0" t="n">
        <f aca="false">E661*E661</f>
        <v>0.25</v>
      </c>
      <c r="P661" s="0" t="n">
        <f aca="false">F661*F661</f>
        <v>0.0625</v>
      </c>
      <c r="Q661" s="0" t="n">
        <f aca="false">SUMPRODUCT(G661:P661,_XtX!$B$71:$K$71)</f>
        <v>44.1832954545455</v>
      </c>
      <c r="R661" s="0" t="n">
        <f aca="false">SUMPRODUCT(MMULT(G661:P661,_XtX!$B$58:$K$67),G661:P661)</f>
        <v>0.237064985795455</v>
      </c>
      <c r="S661" s="0" t="n">
        <f aca="false">04_回帰ANOVA!$K$19*04_回帰ANOVA!$K$14*SQRT(1+R661)</f>
        <v>1.03410084594745</v>
      </c>
      <c r="T661" s="0" t="n">
        <f aca="false">Q661-S661</f>
        <v>43.149194608598</v>
      </c>
      <c r="U661" s="0" t="n">
        <f aca="false">Q661+S661</f>
        <v>45.2173963004929</v>
      </c>
      <c r="V661" s="54" t="b">
        <f aca="false">AND(D661&gt;=01_因子設定!$L$5-0.000000001,D661&lt;=01_因子設定!$M$5+0.000000001,E661&gt;=01_因子設定!$L$6-0.000000001,E661&lt;=01_因子設定!$M$6+0.000000001,F661&gt;=01_因子設定!$L$7-0.000000001,F661&lt;=01_因子設定!$M$7+0.000000001,IF(01_因子設定!$B$20="Box-Behnken",D661^2+E661^2+F661^2&lt;=2+0.000000001,TRUE()))</f>
        <v>1</v>
      </c>
      <c r="W661" s="55" t="n">
        <f aca="false">IF(V661,IF(01_因子設定!$B$13="最大化",T661-01_因子設定!$B$14,IF(01_因子設定!$B$13="最小化",01_因子設定!$B$15-U661,MIN(T661-01_因子設定!$B$14,01_因子設定!$B$15-U661))),-1E+030)</f>
        <v>-5.35080539140199</v>
      </c>
      <c r="X661" s="55" t="n">
        <f aca="false">IF(V661,IF(01_因子設定!$B$13="最大化",Q661,IF(01_因子設定!$B$13="最小化",-Q661,-ABS(Q661-01_因子設定!$B$16))),-1E+030)</f>
        <v>44.1832954545455</v>
      </c>
      <c r="Y661" s="55" t="n">
        <f aca="false">W661+ROW()*0.000000001</f>
        <v>-5.35080473040199</v>
      </c>
      <c r="Z661" s="55" t="n">
        <f aca="false">X661+ROW()*0.000000001</f>
        <v>44.1832961155455</v>
      </c>
    </row>
    <row r="662" customFormat="false" ht="15" hidden="false" customHeight="false" outlineLevel="0" collapsed="false">
      <c r="A662" s="0" t="n">
        <v>2</v>
      </c>
      <c r="B662" s="0" t="n">
        <v>4</v>
      </c>
      <c r="C662" s="0" t="n">
        <v>11</v>
      </c>
      <c r="D662" s="0" t="n">
        <f aca="false">-1+A662*0.125</f>
        <v>-0.75</v>
      </c>
      <c r="E662" s="0" t="n">
        <f aca="false">-1+B662*0.125</f>
        <v>-0.5</v>
      </c>
      <c r="F662" s="0" t="n">
        <f aca="false">-1+C662*0.125</f>
        <v>0.375</v>
      </c>
      <c r="G662" s="0" t="n">
        <f aca="false">1</f>
        <v>1</v>
      </c>
      <c r="H662" s="0" t="n">
        <f aca="false">D662</f>
        <v>-0.75</v>
      </c>
      <c r="I662" s="0" t="n">
        <f aca="false">E662</f>
        <v>-0.5</v>
      </c>
      <c r="J662" s="0" t="n">
        <f aca="false">F662</f>
        <v>0.375</v>
      </c>
      <c r="K662" s="0" t="n">
        <f aca="false">D662*E662</f>
        <v>0.375</v>
      </c>
      <c r="L662" s="0" t="n">
        <f aca="false">D662*F662</f>
        <v>-0.28125</v>
      </c>
      <c r="M662" s="0" t="n">
        <f aca="false">E662*F662</f>
        <v>-0.1875</v>
      </c>
      <c r="N662" s="0" t="n">
        <f aca="false">D662*D662</f>
        <v>0.5625</v>
      </c>
      <c r="O662" s="0" t="n">
        <f aca="false">E662*E662</f>
        <v>0.25</v>
      </c>
      <c r="P662" s="0" t="n">
        <f aca="false">F662*F662</f>
        <v>0.140625</v>
      </c>
      <c r="Q662" s="0" t="n">
        <f aca="false">SUMPRODUCT(G662:P662,_XtX!$B$71:$K$71)</f>
        <v>44.2497585227273</v>
      </c>
      <c r="R662" s="0" t="n">
        <f aca="false">SUMPRODUCT(MMULT(G662:P662,_XtX!$B$58:$K$67),G662:P662)</f>
        <v>0.234168590198864</v>
      </c>
      <c r="S662" s="0" t="n">
        <f aca="false">04_回帰ANOVA!$K$19*04_回帰ANOVA!$K$14*SQRT(1+R662)</f>
        <v>1.03288954322488</v>
      </c>
      <c r="T662" s="0" t="n">
        <f aca="false">Q662-S662</f>
        <v>43.2168689795024</v>
      </c>
      <c r="U662" s="0" t="n">
        <f aca="false">Q662+S662</f>
        <v>45.2826480659521</v>
      </c>
      <c r="V662" s="54" t="b">
        <f aca="false">AND(D662&gt;=01_因子設定!$L$5-0.000000001,D662&lt;=01_因子設定!$M$5+0.000000001,E662&gt;=01_因子設定!$L$6-0.000000001,E662&lt;=01_因子設定!$M$6+0.000000001,F662&gt;=01_因子設定!$L$7-0.000000001,F662&lt;=01_因子設定!$M$7+0.000000001,IF(01_因子設定!$B$20="Box-Behnken",D662^2+E662^2+F662^2&lt;=2+0.000000001,TRUE()))</f>
        <v>1</v>
      </c>
      <c r="W662" s="55" t="n">
        <f aca="false">IF(V662,IF(01_因子設定!$B$13="最大化",T662-01_因子設定!$B$14,IF(01_因子設定!$B$13="最小化",01_因子設定!$B$15-U662,MIN(T662-01_因子設定!$B$14,01_因子設定!$B$15-U662))),-1E+030)</f>
        <v>-5.28313102049761</v>
      </c>
      <c r="X662" s="55" t="n">
        <f aca="false">IF(V662,IF(01_因子設定!$B$13="最大化",Q662,IF(01_因子設定!$B$13="最小化",-Q662,-ABS(Q662-01_因子設定!$B$16))),-1E+030)</f>
        <v>44.2497585227273</v>
      </c>
      <c r="Y662" s="55" t="n">
        <f aca="false">W662+ROW()*0.000000001</f>
        <v>-5.28313035849761</v>
      </c>
      <c r="Z662" s="55" t="n">
        <f aca="false">X662+ROW()*0.000000001</f>
        <v>44.2497591847273</v>
      </c>
    </row>
    <row r="663" customFormat="false" ht="15" hidden="false" customHeight="false" outlineLevel="0" collapsed="false">
      <c r="A663" s="0" t="n">
        <v>2</v>
      </c>
      <c r="B663" s="0" t="n">
        <v>4</v>
      </c>
      <c r="C663" s="0" t="n">
        <v>12</v>
      </c>
      <c r="D663" s="0" t="n">
        <f aca="false">-1+A663*0.125</f>
        <v>-0.75</v>
      </c>
      <c r="E663" s="0" t="n">
        <f aca="false">-1+B663*0.125</f>
        <v>-0.5</v>
      </c>
      <c r="F663" s="0" t="n">
        <f aca="false">-1+C663*0.125</f>
        <v>0.5</v>
      </c>
      <c r="G663" s="0" t="n">
        <f aca="false">1</f>
        <v>1</v>
      </c>
      <c r="H663" s="0" t="n">
        <f aca="false">D663</f>
        <v>-0.75</v>
      </c>
      <c r="I663" s="0" t="n">
        <f aca="false">E663</f>
        <v>-0.5</v>
      </c>
      <c r="J663" s="0" t="n">
        <f aca="false">F663</f>
        <v>0.5</v>
      </c>
      <c r="K663" s="0" t="n">
        <f aca="false">D663*E663</f>
        <v>0.375</v>
      </c>
      <c r="L663" s="0" t="n">
        <f aca="false">D663*F663</f>
        <v>-0.375</v>
      </c>
      <c r="M663" s="0" t="n">
        <f aca="false">E663*F663</f>
        <v>-0.25</v>
      </c>
      <c r="N663" s="0" t="n">
        <f aca="false">D663*D663</f>
        <v>0.5625</v>
      </c>
      <c r="O663" s="0" t="n">
        <f aca="false">E663*E663</f>
        <v>0.25</v>
      </c>
      <c r="P663" s="0" t="n">
        <f aca="false">F663*F663</f>
        <v>0.25</v>
      </c>
      <c r="Q663" s="0" t="n">
        <f aca="false">SUMPRODUCT(G663:P663,_XtX!$B$71:$K$71)</f>
        <v>44.2794318181818</v>
      </c>
      <c r="R663" s="0" t="n">
        <f aca="false">SUMPRODUCT(MMULT(G663:P663,_XtX!$B$58:$K$67),G663:P663)</f>
        <v>0.237571022727273</v>
      </c>
      <c r="S663" s="0" t="n">
        <f aca="false">04_回帰ANOVA!$K$19*04_回帰ANOVA!$K$14*SQRT(1+R663)</f>
        <v>1.0343123302758</v>
      </c>
      <c r="T663" s="0" t="n">
        <f aca="false">Q663-S663</f>
        <v>43.245119487906</v>
      </c>
      <c r="U663" s="0" t="n">
        <f aca="false">Q663+S663</f>
        <v>45.3137441484576</v>
      </c>
      <c r="V663" s="54" t="b">
        <f aca="false">AND(D663&gt;=01_因子設定!$L$5-0.000000001,D663&lt;=01_因子設定!$M$5+0.000000001,E663&gt;=01_因子設定!$L$6-0.000000001,E663&lt;=01_因子設定!$M$6+0.000000001,F663&gt;=01_因子設定!$L$7-0.000000001,F663&lt;=01_因子設定!$M$7+0.000000001,IF(01_因子設定!$B$20="Box-Behnken",D663^2+E663^2+F663^2&lt;=2+0.000000001,TRUE()))</f>
        <v>1</v>
      </c>
      <c r="W663" s="55" t="n">
        <f aca="false">IF(V663,IF(01_因子設定!$B$13="最大化",T663-01_因子設定!$B$14,IF(01_因子設定!$B$13="最小化",01_因子設定!$B$15-U663,MIN(T663-01_因子設定!$B$14,01_因子設定!$B$15-U663))),-1E+030)</f>
        <v>-5.25488051209398</v>
      </c>
      <c r="X663" s="55" t="n">
        <f aca="false">IF(V663,IF(01_因子設定!$B$13="最大化",Q663,IF(01_因子設定!$B$13="最小化",-Q663,-ABS(Q663-01_因子設定!$B$16))),-1E+030)</f>
        <v>44.2794318181818</v>
      </c>
      <c r="Y663" s="55" t="n">
        <f aca="false">W663+ROW()*0.000000001</f>
        <v>-5.25487984909398</v>
      </c>
      <c r="Z663" s="55" t="n">
        <f aca="false">X663+ROW()*0.000000001</f>
        <v>44.2794324811818</v>
      </c>
    </row>
    <row r="664" customFormat="false" ht="15" hidden="false" customHeight="false" outlineLevel="0" collapsed="false">
      <c r="A664" s="0" t="n">
        <v>2</v>
      </c>
      <c r="B664" s="0" t="n">
        <v>4</v>
      </c>
      <c r="C664" s="0" t="n">
        <v>13</v>
      </c>
      <c r="D664" s="0" t="n">
        <f aca="false">-1+A664*0.125</f>
        <v>-0.75</v>
      </c>
      <c r="E664" s="0" t="n">
        <f aca="false">-1+B664*0.125</f>
        <v>-0.5</v>
      </c>
      <c r="F664" s="0" t="n">
        <f aca="false">-1+C664*0.125</f>
        <v>0.625</v>
      </c>
      <c r="G664" s="0" t="n">
        <f aca="false">1</f>
        <v>1</v>
      </c>
      <c r="H664" s="0" t="n">
        <f aca="false">D664</f>
        <v>-0.75</v>
      </c>
      <c r="I664" s="0" t="n">
        <f aca="false">E664</f>
        <v>-0.5</v>
      </c>
      <c r="J664" s="0" t="n">
        <f aca="false">F664</f>
        <v>0.625</v>
      </c>
      <c r="K664" s="0" t="n">
        <f aca="false">D664*E664</f>
        <v>0.375</v>
      </c>
      <c r="L664" s="0" t="n">
        <f aca="false">D664*F664</f>
        <v>-0.46875</v>
      </c>
      <c r="M664" s="0" t="n">
        <f aca="false">E664*F664</f>
        <v>-0.3125</v>
      </c>
      <c r="N664" s="0" t="n">
        <f aca="false">D664*D664</f>
        <v>0.5625</v>
      </c>
      <c r="O664" s="0" t="n">
        <f aca="false">E664*E664</f>
        <v>0.25</v>
      </c>
      <c r="P664" s="0" t="n">
        <f aca="false">F664*F664</f>
        <v>0.390625</v>
      </c>
      <c r="Q664" s="0" t="n">
        <f aca="false">SUMPRODUCT(G664:P664,_XtX!$B$71:$K$71)</f>
        <v>44.2723153409091</v>
      </c>
      <c r="R664" s="0" t="n">
        <f aca="false">SUMPRODUCT(MMULT(G664:P664,_XtX!$B$58:$K$67),G664:P664)</f>
        <v>0.254729669744318</v>
      </c>
      <c r="S664" s="0" t="n">
        <f aca="false">04_回帰ANOVA!$K$19*04_回帰ANOVA!$K$14*SQRT(1+R664)</f>
        <v>1.04145790281631</v>
      </c>
      <c r="T664" s="0" t="n">
        <f aca="false">Q664-S664</f>
        <v>43.2308574380928</v>
      </c>
      <c r="U664" s="0" t="n">
        <f aca="false">Q664+S664</f>
        <v>45.3137732437254</v>
      </c>
      <c r="V664" s="54" t="b">
        <f aca="false">AND(D664&gt;=01_因子設定!$L$5-0.000000001,D664&lt;=01_因子設定!$M$5+0.000000001,E664&gt;=01_因子設定!$L$6-0.000000001,E664&lt;=01_因子設定!$M$6+0.000000001,F664&gt;=01_因子設定!$L$7-0.000000001,F664&lt;=01_因子設定!$M$7+0.000000001,IF(01_因子設定!$B$20="Box-Behnken",D664^2+E664^2+F664^2&lt;=2+0.000000001,TRUE()))</f>
        <v>1</v>
      </c>
      <c r="W664" s="55" t="n">
        <f aca="false">IF(V664,IF(01_因子設定!$B$13="最大化",T664-01_因子設定!$B$14,IF(01_因子設定!$B$13="最小化",01_因子設定!$B$15-U664,MIN(T664-01_因子設定!$B$14,01_因子設定!$B$15-U664))),-1E+030)</f>
        <v>-5.26914256190722</v>
      </c>
      <c r="X664" s="55" t="n">
        <f aca="false">IF(V664,IF(01_因子設定!$B$13="最大化",Q664,IF(01_因子設定!$B$13="最小化",-Q664,-ABS(Q664-01_因子設定!$B$16))),-1E+030)</f>
        <v>44.2723153409091</v>
      </c>
      <c r="Y664" s="55" t="n">
        <f aca="false">W664+ROW()*0.000000001</f>
        <v>-5.26914189790722</v>
      </c>
      <c r="Z664" s="55" t="n">
        <f aca="false">X664+ROW()*0.000000001</f>
        <v>44.2723160049091</v>
      </c>
    </row>
    <row r="665" customFormat="false" ht="15" hidden="false" customHeight="false" outlineLevel="0" collapsed="false">
      <c r="A665" s="0" t="n">
        <v>2</v>
      </c>
      <c r="B665" s="0" t="n">
        <v>4</v>
      </c>
      <c r="C665" s="0" t="n">
        <v>14</v>
      </c>
      <c r="D665" s="0" t="n">
        <f aca="false">-1+A665*0.125</f>
        <v>-0.75</v>
      </c>
      <c r="E665" s="0" t="n">
        <f aca="false">-1+B665*0.125</f>
        <v>-0.5</v>
      </c>
      <c r="F665" s="0" t="n">
        <f aca="false">-1+C665*0.125</f>
        <v>0.75</v>
      </c>
      <c r="G665" s="0" t="n">
        <f aca="false">1</f>
        <v>1</v>
      </c>
      <c r="H665" s="0" t="n">
        <f aca="false">D665</f>
        <v>-0.75</v>
      </c>
      <c r="I665" s="0" t="n">
        <f aca="false">E665</f>
        <v>-0.5</v>
      </c>
      <c r="J665" s="0" t="n">
        <f aca="false">F665</f>
        <v>0.75</v>
      </c>
      <c r="K665" s="0" t="n">
        <f aca="false">D665*E665</f>
        <v>0.375</v>
      </c>
      <c r="L665" s="0" t="n">
        <f aca="false">D665*F665</f>
        <v>-0.5625</v>
      </c>
      <c r="M665" s="0" t="n">
        <f aca="false">E665*F665</f>
        <v>-0.375</v>
      </c>
      <c r="N665" s="0" t="n">
        <f aca="false">D665*D665</f>
        <v>0.5625</v>
      </c>
      <c r="O665" s="0" t="n">
        <f aca="false">E665*E665</f>
        <v>0.25</v>
      </c>
      <c r="P665" s="0" t="n">
        <f aca="false">F665*F665</f>
        <v>0.5625</v>
      </c>
      <c r="Q665" s="0" t="n">
        <f aca="false">SUMPRODUCT(G665:P665,_XtX!$B$71:$K$71)</f>
        <v>44.2284090909091</v>
      </c>
      <c r="R665" s="0" t="n">
        <f aca="false">SUMPRODUCT(MMULT(G665:P665,_XtX!$B$58:$K$67),G665:P665)</f>
        <v>0.295232599431818</v>
      </c>
      <c r="S665" s="0" t="n">
        <f aca="false">04_回帰ANOVA!$K$19*04_回帰ANOVA!$K$14*SQRT(1+R665)</f>
        <v>1.05813363442154</v>
      </c>
      <c r="T665" s="0" t="n">
        <f aca="false">Q665-S665</f>
        <v>43.1702754564876</v>
      </c>
      <c r="U665" s="0" t="n">
        <f aca="false">Q665+S665</f>
        <v>45.2865427253306</v>
      </c>
      <c r="V665" s="54" t="b">
        <f aca="false">AND(D665&gt;=01_因子設定!$L$5-0.000000001,D665&lt;=01_因子設定!$M$5+0.000000001,E665&gt;=01_因子設定!$L$6-0.000000001,E665&lt;=01_因子設定!$M$6+0.000000001,F665&gt;=01_因子設定!$L$7-0.000000001,F665&lt;=01_因子設定!$M$7+0.000000001,IF(01_因子設定!$B$20="Box-Behnken",D665^2+E665^2+F665^2&lt;=2+0.000000001,TRUE()))</f>
        <v>1</v>
      </c>
      <c r="W665" s="55" t="n">
        <f aca="false">IF(V665,IF(01_因子設定!$B$13="最大化",T665-01_因子設定!$B$14,IF(01_因子設定!$B$13="最小化",01_因子設定!$B$15-U665,MIN(T665-01_因子設定!$B$14,01_因子設定!$B$15-U665))),-1E+030)</f>
        <v>-5.32972454351244</v>
      </c>
      <c r="X665" s="55" t="n">
        <f aca="false">IF(V665,IF(01_因子設定!$B$13="最大化",Q665,IF(01_因子設定!$B$13="最小化",-Q665,-ABS(Q665-01_因子設定!$B$16))),-1E+030)</f>
        <v>44.2284090909091</v>
      </c>
      <c r="Y665" s="55" t="n">
        <f aca="false">W665+ROW()*0.000000001</f>
        <v>-5.32972387851244</v>
      </c>
      <c r="Z665" s="55" t="n">
        <f aca="false">X665+ROW()*0.000000001</f>
        <v>44.2284097559091</v>
      </c>
    </row>
    <row r="666" customFormat="false" ht="15" hidden="false" customHeight="false" outlineLevel="0" collapsed="false">
      <c r="A666" s="0" t="n">
        <v>2</v>
      </c>
      <c r="B666" s="0" t="n">
        <v>4</v>
      </c>
      <c r="C666" s="0" t="n">
        <v>15</v>
      </c>
      <c r="D666" s="0" t="n">
        <f aca="false">-1+A666*0.125</f>
        <v>-0.75</v>
      </c>
      <c r="E666" s="0" t="n">
        <f aca="false">-1+B666*0.125</f>
        <v>-0.5</v>
      </c>
      <c r="F666" s="0" t="n">
        <f aca="false">-1+C666*0.125</f>
        <v>0.875</v>
      </c>
      <c r="G666" s="0" t="n">
        <f aca="false">1</f>
        <v>1</v>
      </c>
      <c r="H666" s="0" t="n">
        <f aca="false">D666</f>
        <v>-0.75</v>
      </c>
      <c r="I666" s="0" t="n">
        <f aca="false">E666</f>
        <v>-0.5</v>
      </c>
      <c r="J666" s="0" t="n">
        <f aca="false">F666</f>
        <v>0.875</v>
      </c>
      <c r="K666" s="0" t="n">
        <f aca="false">D666*E666</f>
        <v>0.375</v>
      </c>
      <c r="L666" s="0" t="n">
        <f aca="false">D666*F666</f>
        <v>-0.65625</v>
      </c>
      <c r="M666" s="0" t="n">
        <f aca="false">E666*F666</f>
        <v>-0.4375</v>
      </c>
      <c r="N666" s="0" t="n">
        <f aca="false">D666*D666</f>
        <v>0.5625</v>
      </c>
      <c r="O666" s="0" t="n">
        <f aca="false">E666*E666</f>
        <v>0.25</v>
      </c>
      <c r="P666" s="0" t="n">
        <f aca="false">F666*F666</f>
        <v>0.765625</v>
      </c>
      <c r="Q666" s="0" t="n">
        <f aca="false">SUMPRODUCT(G666:P666,_XtX!$B$71:$K$71)</f>
        <v>44.1477130681818</v>
      </c>
      <c r="R666" s="0" t="n">
        <f aca="false">SUMPRODUCT(MMULT(G666:P666,_XtX!$B$58:$K$67),G666:P666)</f>
        <v>0.370798561789773</v>
      </c>
      <c r="S666" s="0" t="n">
        <f aca="false">04_回帰ANOVA!$K$19*04_回帰ANOVA!$K$14*SQRT(1+R666)</f>
        <v>1.08856271788237</v>
      </c>
      <c r="T666" s="0" t="n">
        <f aca="false">Q666-S666</f>
        <v>43.0591503502995</v>
      </c>
      <c r="U666" s="0" t="n">
        <f aca="false">Q666+S666</f>
        <v>45.2362757860642</v>
      </c>
      <c r="V666" s="54" t="b">
        <f aca="false">AND(D666&gt;=01_因子設定!$L$5-0.000000001,D666&lt;=01_因子設定!$M$5+0.000000001,E666&gt;=01_因子設定!$L$6-0.000000001,E666&lt;=01_因子設定!$M$6+0.000000001,F666&gt;=01_因子設定!$L$7-0.000000001,F666&lt;=01_因子設定!$M$7+0.000000001,IF(01_因子設定!$B$20="Box-Behnken",D666^2+E666^2+F666^2&lt;=2+0.000000001,TRUE()))</f>
        <v>1</v>
      </c>
      <c r="W666" s="55" t="n">
        <f aca="false">IF(V666,IF(01_因子設定!$B$13="最大化",T666-01_因子設定!$B$14,IF(01_因子設定!$B$13="最小化",01_因子設定!$B$15-U666,MIN(T666-01_因子設定!$B$14,01_因子設定!$B$15-U666))),-1E+030)</f>
        <v>-5.44084964970055</v>
      </c>
      <c r="X666" s="55" t="n">
        <f aca="false">IF(V666,IF(01_因子設定!$B$13="最大化",Q666,IF(01_因子設定!$B$13="最小化",-Q666,-ABS(Q666-01_因子設定!$B$16))),-1E+030)</f>
        <v>44.1477130681818</v>
      </c>
      <c r="Y666" s="55" t="n">
        <f aca="false">W666+ROW()*0.000000001</f>
        <v>-5.44084898370055</v>
      </c>
      <c r="Z666" s="55" t="n">
        <f aca="false">X666+ROW()*0.000000001</f>
        <v>44.1477137341818</v>
      </c>
    </row>
    <row r="667" customFormat="false" ht="15" hidden="false" customHeight="false" outlineLevel="0" collapsed="false">
      <c r="A667" s="0" t="n">
        <v>2</v>
      </c>
      <c r="B667" s="0" t="n">
        <v>4</v>
      </c>
      <c r="C667" s="0" t="n">
        <v>16</v>
      </c>
      <c r="D667" s="0" t="n">
        <f aca="false">-1+A667*0.125</f>
        <v>-0.75</v>
      </c>
      <c r="E667" s="0" t="n">
        <f aca="false">-1+B667*0.125</f>
        <v>-0.5</v>
      </c>
      <c r="F667" s="0" t="n">
        <f aca="false">-1+C667*0.125</f>
        <v>1</v>
      </c>
      <c r="G667" s="0" t="n">
        <f aca="false">1</f>
        <v>1</v>
      </c>
      <c r="H667" s="0" t="n">
        <f aca="false">D667</f>
        <v>-0.75</v>
      </c>
      <c r="I667" s="0" t="n">
        <f aca="false">E667</f>
        <v>-0.5</v>
      </c>
      <c r="J667" s="0" t="n">
        <f aca="false">F667</f>
        <v>1</v>
      </c>
      <c r="K667" s="0" t="n">
        <f aca="false">D667*E667</f>
        <v>0.375</v>
      </c>
      <c r="L667" s="0" t="n">
        <f aca="false">D667*F667</f>
        <v>-0.75</v>
      </c>
      <c r="M667" s="0" t="n">
        <f aca="false">E667*F667</f>
        <v>-0.5</v>
      </c>
      <c r="N667" s="0" t="n">
        <f aca="false">D667*D667</f>
        <v>0.5625</v>
      </c>
      <c r="O667" s="0" t="n">
        <f aca="false">E667*E667</f>
        <v>0.25</v>
      </c>
      <c r="P667" s="0" t="n">
        <f aca="false">F667*F667</f>
        <v>1</v>
      </c>
      <c r="Q667" s="0" t="n">
        <f aca="false">SUMPRODUCT(G667:P667,_XtX!$B$71:$K$71)</f>
        <v>44.0302272727273</v>
      </c>
      <c r="R667" s="0" t="n">
        <f aca="false">SUMPRODUCT(MMULT(G667:P667,_XtX!$B$58:$K$67),G667:P667)</f>
        <v>0.495276988636364</v>
      </c>
      <c r="S667" s="0" t="n">
        <f aca="false">04_回帰ANOVA!$K$19*04_回帰ANOVA!$K$14*SQRT(1+R667)</f>
        <v>1.13691359828352</v>
      </c>
      <c r="T667" s="0" t="n">
        <f aca="false">Q667-S667</f>
        <v>42.8933136744438</v>
      </c>
      <c r="U667" s="0" t="n">
        <f aca="false">Q667+S667</f>
        <v>45.1671408710108</v>
      </c>
      <c r="V667" s="54" t="b">
        <f aca="false">AND(D667&gt;=01_因子設定!$L$5-0.000000001,D667&lt;=01_因子設定!$M$5+0.000000001,E667&gt;=01_因子設定!$L$6-0.000000001,E667&lt;=01_因子設定!$M$6+0.000000001,F667&gt;=01_因子設定!$L$7-0.000000001,F667&lt;=01_因子設定!$M$7+0.000000001,IF(01_因子設定!$B$20="Box-Behnken",D667^2+E667^2+F667^2&lt;=2+0.000000001,TRUE()))</f>
        <v>1</v>
      </c>
      <c r="W667" s="55" t="n">
        <f aca="false">IF(V667,IF(01_因子設定!$B$13="最大化",T667-01_因子設定!$B$14,IF(01_因子設定!$B$13="最小化",01_因子設定!$B$15-U667,MIN(T667-01_因子設定!$B$14,01_因子設定!$B$15-U667))),-1E+030)</f>
        <v>-5.60668632555623</v>
      </c>
      <c r="X667" s="55" t="n">
        <f aca="false">IF(V667,IF(01_因子設定!$B$13="最大化",Q667,IF(01_因子設定!$B$13="最小化",-Q667,-ABS(Q667-01_因子設定!$B$16))),-1E+030)</f>
        <v>44.0302272727273</v>
      </c>
      <c r="Y667" s="55" t="n">
        <f aca="false">W667+ROW()*0.000000001</f>
        <v>-5.60668565855623</v>
      </c>
      <c r="Z667" s="55" t="n">
        <f aca="false">X667+ROW()*0.000000001</f>
        <v>44.0302279397273</v>
      </c>
    </row>
    <row r="668" customFormat="false" ht="15" hidden="false" customHeight="false" outlineLevel="0" collapsed="false">
      <c r="A668" s="0" t="n">
        <v>2</v>
      </c>
      <c r="B668" s="0" t="n">
        <v>5</v>
      </c>
      <c r="C668" s="0" t="n">
        <v>0</v>
      </c>
      <c r="D668" s="0" t="n">
        <f aca="false">-1+A668*0.125</f>
        <v>-0.75</v>
      </c>
      <c r="E668" s="0" t="n">
        <f aca="false">-1+B668*0.125</f>
        <v>-0.375</v>
      </c>
      <c r="F668" s="0" t="n">
        <f aca="false">-1+C668*0.125</f>
        <v>-1</v>
      </c>
      <c r="G668" s="0" t="n">
        <f aca="false">1</f>
        <v>1</v>
      </c>
      <c r="H668" s="0" t="n">
        <f aca="false">D668</f>
        <v>-0.75</v>
      </c>
      <c r="I668" s="0" t="n">
        <f aca="false">E668</f>
        <v>-0.375</v>
      </c>
      <c r="J668" s="0" t="n">
        <f aca="false">F668</f>
        <v>-1</v>
      </c>
      <c r="K668" s="0" t="n">
        <f aca="false">D668*E668</f>
        <v>0.28125</v>
      </c>
      <c r="L668" s="0" t="n">
        <f aca="false">D668*F668</f>
        <v>0.75</v>
      </c>
      <c r="M668" s="0" t="n">
        <f aca="false">E668*F668</f>
        <v>0.375</v>
      </c>
      <c r="N668" s="0" t="n">
        <f aca="false">D668*D668</f>
        <v>0.5625</v>
      </c>
      <c r="O668" s="0" t="n">
        <f aca="false">E668*E668</f>
        <v>0.140625</v>
      </c>
      <c r="P668" s="0" t="n">
        <f aca="false">F668*F668</f>
        <v>1</v>
      </c>
      <c r="Q668" s="0" t="n">
        <f aca="false">SUMPRODUCT(G668:P668,_XtX!$B$71:$K$71)</f>
        <v>41.8046164772727</v>
      </c>
      <c r="R668" s="0" t="n">
        <f aca="false">SUMPRODUCT(MMULT(G668:P668,_XtX!$B$58:$K$67),G668:P668)</f>
        <v>0.503992808948864</v>
      </c>
      <c r="S668" s="0" t="n">
        <f aca="false">04_回帰ANOVA!$K$19*04_回帰ANOVA!$K$14*SQRT(1+R668)</f>
        <v>1.14022226176226</v>
      </c>
      <c r="T668" s="0" t="n">
        <f aca="false">Q668-S668</f>
        <v>40.6643942155105</v>
      </c>
      <c r="U668" s="0" t="n">
        <f aca="false">Q668+S668</f>
        <v>42.944838739035</v>
      </c>
      <c r="V668" s="54" t="b">
        <f aca="false">AND(D668&gt;=01_因子設定!$L$5-0.000000001,D668&lt;=01_因子設定!$M$5+0.000000001,E668&gt;=01_因子設定!$L$6-0.000000001,E668&lt;=01_因子設定!$M$6+0.000000001,F668&gt;=01_因子設定!$L$7-0.000000001,F668&lt;=01_因子設定!$M$7+0.000000001,IF(01_因子設定!$B$20="Box-Behnken",D668^2+E668^2+F668^2&lt;=2+0.000000001,TRUE()))</f>
        <v>1</v>
      </c>
      <c r="W668" s="55" t="n">
        <f aca="false">IF(V668,IF(01_因子設定!$B$13="最大化",T668-01_因子設定!$B$14,IF(01_因子設定!$B$13="最小化",01_因子設定!$B$15-U668,MIN(T668-01_因子設定!$B$14,01_因子設定!$B$15-U668))),-1E+030)</f>
        <v>-7.83560578448952</v>
      </c>
      <c r="X668" s="55" t="n">
        <f aca="false">IF(V668,IF(01_因子設定!$B$13="最大化",Q668,IF(01_因子設定!$B$13="最小化",-Q668,-ABS(Q668-01_因子設定!$B$16))),-1E+030)</f>
        <v>41.8046164772727</v>
      </c>
      <c r="Y668" s="55" t="n">
        <f aca="false">W668+ROW()*0.000000001</f>
        <v>-7.83560511648952</v>
      </c>
      <c r="Z668" s="55" t="n">
        <f aca="false">X668+ROW()*0.000000001</f>
        <v>41.8046171452727</v>
      </c>
    </row>
    <row r="669" customFormat="false" ht="15" hidden="false" customHeight="false" outlineLevel="0" collapsed="false">
      <c r="A669" s="0" t="n">
        <v>2</v>
      </c>
      <c r="B669" s="0" t="n">
        <v>5</v>
      </c>
      <c r="C669" s="0" t="n">
        <v>1</v>
      </c>
      <c r="D669" s="0" t="n">
        <f aca="false">-1+A669*0.125</f>
        <v>-0.75</v>
      </c>
      <c r="E669" s="0" t="n">
        <f aca="false">-1+B669*0.125</f>
        <v>-0.375</v>
      </c>
      <c r="F669" s="0" t="n">
        <f aca="false">-1+C669*0.125</f>
        <v>-0.875</v>
      </c>
      <c r="G669" s="0" t="n">
        <f aca="false">1</f>
        <v>1</v>
      </c>
      <c r="H669" s="0" t="n">
        <f aca="false">D669</f>
        <v>-0.75</v>
      </c>
      <c r="I669" s="0" t="n">
        <f aca="false">E669</f>
        <v>-0.375</v>
      </c>
      <c r="J669" s="0" t="n">
        <f aca="false">F669</f>
        <v>-0.875</v>
      </c>
      <c r="K669" s="0" t="n">
        <f aca="false">D669*E669</f>
        <v>0.28125</v>
      </c>
      <c r="L669" s="0" t="n">
        <f aca="false">D669*F669</f>
        <v>0.65625</v>
      </c>
      <c r="M669" s="0" t="n">
        <f aca="false">E669*F669</f>
        <v>0.328125</v>
      </c>
      <c r="N669" s="0" t="n">
        <f aca="false">D669*D669</f>
        <v>0.5625</v>
      </c>
      <c r="O669" s="0" t="n">
        <f aca="false">E669*E669</f>
        <v>0.140625</v>
      </c>
      <c r="P669" s="0" t="n">
        <f aca="false">F669*F669</f>
        <v>0.765625</v>
      </c>
      <c r="Q669" s="0" t="n">
        <f aca="false">SUMPRODUCT(G669:P669,_XtX!$B$71:$K$71)</f>
        <v>42.2460085227273</v>
      </c>
      <c r="R669" s="0" t="n">
        <f aca="false">SUMPRODUCT(MMULT(G669:P669,_XtX!$B$58:$K$67),G669:P669)</f>
        <v>0.375727428089489</v>
      </c>
      <c r="S669" s="0" t="n">
        <f aca="false">04_回帰ANOVA!$K$19*04_回帰ANOVA!$K$14*SQRT(1+R669)</f>
        <v>1.09051798904087</v>
      </c>
      <c r="T669" s="0" t="n">
        <f aca="false">Q669-S669</f>
        <v>41.1554905336864</v>
      </c>
      <c r="U669" s="0" t="n">
        <f aca="false">Q669+S669</f>
        <v>43.3365265117682</v>
      </c>
      <c r="V669" s="54" t="b">
        <f aca="false">AND(D669&gt;=01_因子設定!$L$5-0.000000001,D669&lt;=01_因子設定!$M$5+0.000000001,E669&gt;=01_因子設定!$L$6-0.000000001,E669&lt;=01_因子設定!$M$6+0.000000001,F669&gt;=01_因子設定!$L$7-0.000000001,F669&lt;=01_因子設定!$M$7+0.000000001,IF(01_因子設定!$B$20="Box-Behnken",D669^2+E669^2+F669^2&lt;=2+0.000000001,TRUE()))</f>
        <v>1</v>
      </c>
      <c r="W669" s="55" t="n">
        <f aca="false">IF(V669,IF(01_因子設定!$B$13="最大化",T669-01_因子設定!$B$14,IF(01_因子設定!$B$13="最小化",01_因子設定!$B$15-U669,MIN(T669-01_因子設定!$B$14,01_因子設定!$B$15-U669))),-1E+030)</f>
        <v>-7.34450946631359</v>
      </c>
      <c r="X669" s="55" t="n">
        <f aca="false">IF(V669,IF(01_因子設定!$B$13="最大化",Q669,IF(01_因子設定!$B$13="最小化",-Q669,-ABS(Q669-01_因子設定!$B$16))),-1E+030)</f>
        <v>42.2460085227273</v>
      </c>
      <c r="Y669" s="55" t="n">
        <f aca="false">W669+ROW()*0.000000001</f>
        <v>-7.34450879731359</v>
      </c>
      <c r="Z669" s="55" t="n">
        <f aca="false">X669+ROW()*0.000000001</f>
        <v>42.2460091917273</v>
      </c>
    </row>
    <row r="670" customFormat="false" ht="15" hidden="false" customHeight="false" outlineLevel="0" collapsed="false">
      <c r="A670" s="0" t="n">
        <v>2</v>
      </c>
      <c r="B670" s="0" t="n">
        <v>5</v>
      </c>
      <c r="C670" s="0" t="n">
        <v>2</v>
      </c>
      <c r="D670" s="0" t="n">
        <f aca="false">-1+A670*0.125</f>
        <v>-0.75</v>
      </c>
      <c r="E670" s="0" t="n">
        <f aca="false">-1+B670*0.125</f>
        <v>-0.375</v>
      </c>
      <c r="F670" s="0" t="n">
        <f aca="false">-1+C670*0.125</f>
        <v>-0.75</v>
      </c>
      <c r="G670" s="0" t="n">
        <f aca="false">1</f>
        <v>1</v>
      </c>
      <c r="H670" s="0" t="n">
        <f aca="false">D670</f>
        <v>-0.75</v>
      </c>
      <c r="I670" s="0" t="n">
        <f aca="false">E670</f>
        <v>-0.375</v>
      </c>
      <c r="J670" s="0" t="n">
        <f aca="false">F670</f>
        <v>-0.75</v>
      </c>
      <c r="K670" s="0" t="n">
        <f aca="false">D670*E670</f>
        <v>0.28125</v>
      </c>
      <c r="L670" s="0" t="n">
        <f aca="false">D670*F670</f>
        <v>0.5625</v>
      </c>
      <c r="M670" s="0" t="n">
        <f aca="false">E670*F670</f>
        <v>0.28125</v>
      </c>
      <c r="N670" s="0" t="n">
        <f aca="false">D670*D670</f>
        <v>0.5625</v>
      </c>
      <c r="O670" s="0" t="n">
        <f aca="false">E670*E670</f>
        <v>0.140625</v>
      </c>
      <c r="P670" s="0" t="n">
        <f aca="false">F670*F670</f>
        <v>0.5625</v>
      </c>
      <c r="Q670" s="0" t="n">
        <f aca="false">SUMPRODUCT(G670:P670,_XtX!$B$71:$K$71)</f>
        <v>42.6506107954546</v>
      </c>
      <c r="R670" s="0" t="n">
        <f aca="false">SUMPRODUCT(MMULT(G670:P670,_XtX!$B$58:$K$67),G670:P670)</f>
        <v>0.296879438920455</v>
      </c>
      <c r="S670" s="0" t="n">
        <f aca="false">04_回帰ANOVA!$K$19*04_回帰ANOVA!$K$14*SQRT(1+R670)</f>
        <v>1.05880610927316</v>
      </c>
      <c r="T670" s="0" t="n">
        <f aca="false">Q670-S670</f>
        <v>41.5918046861814</v>
      </c>
      <c r="U670" s="0" t="n">
        <f aca="false">Q670+S670</f>
        <v>43.7094169047277</v>
      </c>
      <c r="V670" s="54" t="b">
        <f aca="false">AND(D670&gt;=01_因子設定!$L$5-0.000000001,D670&lt;=01_因子設定!$M$5+0.000000001,E670&gt;=01_因子設定!$L$6-0.000000001,E670&lt;=01_因子設定!$M$6+0.000000001,F670&gt;=01_因子設定!$L$7-0.000000001,F670&lt;=01_因子設定!$M$7+0.000000001,IF(01_因子設定!$B$20="Box-Behnken",D670^2+E670^2+F670^2&lt;=2+0.000000001,TRUE()))</f>
        <v>1</v>
      </c>
      <c r="W670" s="55" t="n">
        <f aca="false">IF(V670,IF(01_因子設定!$B$13="最大化",T670-01_因子設定!$B$14,IF(01_因子設定!$B$13="最小化",01_因子設定!$B$15-U670,MIN(T670-01_因子設定!$B$14,01_因子設定!$B$15-U670))),-1E+030)</f>
        <v>-6.90819531381861</v>
      </c>
      <c r="X670" s="55" t="n">
        <f aca="false">IF(V670,IF(01_因子設定!$B$13="最大化",Q670,IF(01_因子設定!$B$13="最小化",-Q670,-ABS(Q670-01_因子設定!$B$16))),-1E+030)</f>
        <v>42.6506107954546</v>
      </c>
      <c r="Y670" s="55" t="n">
        <f aca="false">W670+ROW()*0.000000001</f>
        <v>-6.90819464381861</v>
      </c>
      <c r="Z670" s="55" t="n">
        <f aca="false">X670+ROW()*0.000000001</f>
        <v>42.6506114654546</v>
      </c>
    </row>
    <row r="671" customFormat="false" ht="15" hidden="false" customHeight="false" outlineLevel="0" collapsed="false">
      <c r="A671" s="0" t="n">
        <v>2</v>
      </c>
      <c r="B671" s="0" t="n">
        <v>5</v>
      </c>
      <c r="C671" s="0" t="n">
        <v>3</v>
      </c>
      <c r="D671" s="0" t="n">
        <f aca="false">-1+A671*0.125</f>
        <v>-0.75</v>
      </c>
      <c r="E671" s="0" t="n">
        <f aca="false">-1+B671*0.125</f>
        <v>-0.375</v>
      </c>
      <c r="F671" s="0" t="n">
        <f aca="false">-1+C671*0.125</f>
        <v>-0.625</v>
      </c>
      <c r="G671" s="0" t="n">
        <f aca="false">1</f>
        <v>1</v>
      </c>
      <c r="H671" s="0" t="n">
        <f aca="false">D671</f>
        <v>-0.75</v>
      </c>
      <c r="I671" s="0" t="n">
        <f aca="false">E671</f>
        <v>-0.375</v>
      </c>
      <c r="J671" s="0" t="n">
        <f aca="false">F671</f>
        <v>-0.625</v>
      </c>
      <c r="K671" s="0" t="n">
        <f aca="false">D671*E671</f>
        <v>0.28125</v>
      </c>
      <c r="L671" s="0" t="n">
        <f aca="false">D671*F671</f>
        <v>0.46875</v>
      </c>
      <c r="M671" s="0" t="n">
        <f aca="false">E671*F671</f>
        <v>0.234375</v>
      </c>
      <c r="N671" s="0" t="n">
        <f aca="false">D671*D671</f>
        <v>0.5625</v>
      </c>
      <c r="O671" s="0" t="n">
        <f aca="false">E671*E671</f>
        <v>0.140625</v>
      </c>
      <c r="P671" s="0" t="n">
        <f aca="false">F671*F671</f>
        <v>0.390625</v>
      </c>
      <c r="Q671" s="0" t="n">
        <f aca="false">SUMPRODUCT(G671:P671,_XtX!$B$71:$K$71)</f>
        <v>43.0184232954546</v>
      </c>
      <c r="R671" s="0" t="n">
        <f aca="false">SUMPRODUCT(MMULT(G671:P671,_XtX!$B$58:$K$67),G671:P671)</f>
        <v>0.25359940962358</v>
      </c>
      <c r="S671" s="0" t="n">
        <f aca="false">04_回帰ANOVA!$K$19*04_回帰ANOVA!$K$14*SQRT(1+R671)</f>
        <v>1.04098872464599</v>
      </c>
      <c r="T671" s="0" t="n">
        <f aca="false">Q671-S671</f>
        <v>41.9774345708086</v>
      </c>
      <c r="U671" s="0" t="n">
        <f aca="false">Q671+S671</f>
        <v>44.0594120201005</v>
      </c>
      <c r="V671" s="54" t="b">
        <f aca="false">AND(D671&gt;=01_因子設定!$L$5-0.000000001,D671&lt;=01_因子設定!$M$5+0.000000001,E671&gt;=01_因子設定!$L$6-0.000000001,E671&lt;=01_因子設定!$M$6+0.000000001,F671&gt;=01_因子設定!$L$7-0.000000001,F671&lt;=01_因子設定!$M$7+0.000000001,IF(01_因子設定!$B$20="Box-Behnken",D671^2+E671^2+F671^2&lt;=2+0.000000001,TRUE()))</f>
        <v>1</v>
      </c>
      <c r="W671" s="55" t="n">
        <f aca="false">IF(V671,IF(01_因子設定!$B$13="最大化",T671-01_因子設定!$B$14,IF(01_因子設定!$B$13="最小化",01_因子設定!$B$15-U671,MIN(T671-01_因子設定!$B$14,01_因子設定!$B$15-U671))),-1E+030)</f>
        <v>-6.52256542919144</v>
      </c>
      <c r="X671" s="55" t="n">
        <f aca="false">IF(V671,IF(01_因子設定!$B$13="最大化",Q671,IF(01_因子設定!$B$13="最小化",-Q671,-ABS(Q671-01_因子設定!$B$16))),-1E+030)</f>
        <v>43.0184232954546</v>
      </c>
      <c r="Y671" s="55" t="n">
        <f aca="false">W671+ROW()*0.000000001</f>
        <v>-6.52256475819144</v>
      </c>
      <c r="Z671" s="55" t="n">
        <f aca="false">X671+ROW()*0.000000001</f>
        <v>43.0184239664546</v>
      </c>
    </row>
    <row r="672" customFormat="false" ht="15" hidden="false" customHeight="false" outlineLevel="0" collapsed="false">
      <c r="A672" s="0" t="n">
        <v>2</v>
      </c>
      <c r="B672" s="0" t="n">
        <v>5</v>
      </c>
      <c r="C672" s="0" t="n">
        <v>4</v>
      </c>
      <c r="D672" s="0" t="n">
        <f aca="false">-1+A672*0.125</f>
        <v>-0.75</v>
      </c>
      <c r="E672" s="0" t="n">
        <f aca="false">-1+B672*0.125</f>
        <v>-0.375</v>
      </c>
      <c r="F672" s="0" t="n">
        <f aca="false">-1+C672*0.125</f>
        <v>-0.5</v>
      </c>
      <c r="G672" s="0" t="n">
        <f aca="false">1</f>
        <v>1</v>
      </c>
      <c r="H672" s="0" t="n">
        <f aca="false">D672</f>
        <v>-0.75</v>
      </c>
      <c r="I672" s="0" t="n">
        <f aca="false">E672</f>
        <v>-0.375</v>
      </c>
      <c r="J672" s="0" t="n">
        <f aca="false">F672</f>
        <v>-0.5</v>
      </c>
      <c r="K672" s="0" t="n">
        <f aca="false">D672*E672</f>
        <v>0.28125</v>
      </c>
      <c r="L672" s="0" t="n">
        <f aca="false">D672*F672</f>
        <v>0.375</v>
      </c>
      <c r="M672" s="0" t="n">
        <f aca="false">E672*F672</f>
        <v>0.1875</v>
      </c>
      <c r="N672" s="0" t="n">
        <f aca="false">D672*D672</f>
        <v>0.5625</v>
      </c>
      <c r="O672" s="0" t="n">
        <f aca="false">E672*E672</f>
        <v>0.140625</v>
      </c>
      <c r="P672" s="0" t="n">
        <f aca="false">F672*F672</f>
        <v>0.25</v>
      </c>
      <c r="Q672" s="0" t="n">
        <f aca="false">SUMPRODUCT(G672:P672,_XtX!$B$71:$K$71)</f>
        <v>43.3494460227273</v>
      </c>
      <c r="R672" s="0" t="n">
        <f aca="false">SUMPRODUCT(MMULT(G672:P672,_XtX!$B$58:$K$67),G672:P672)</f>
        <v>0.234168590198864</v>
      </c>
      <c r="S672" s="0" t="n">
        <f aca="false">04_回帰ANOVA!$K$19*04_回帰ANOVA!$K$14*SQRT(1+R672)</f>
        <v>1.03288954322488</v>
      </c>
      <c r="T672" s="0" t="n">
        <f aca="false">Q672-S672</f>
        <v>42.3165564795024</v>
      </c>
      <c r="U672" s="0" t="n">
        <f aca="false">Q672+S672</f>
        <v>44.3823355659522</v>
      </c>
      <c r="V672" s="54" t="b">
        <f aca="false">AND(D672&gt;=01_因子設定!$L$5-0.000000001,D672&lt;=01_因子設定!$M$5+0.000000001,E672&gt;=01_因子設定!$L$6-0.000000001,E672&lt;=01_因子設定!$M$6+0.000000001,F672&gt;=01_因子設定!$L$7-0.000000001,F672&lt;=01_因子設定!$M$7+0.000000001,IF(01_因子設定!$B$20="Box-Behnken",D672^2+E672^2+F672^2&lt;=2+0.000000001,TRUE()))</f>
        <v>1</v>
      </c>
      <c r="W672" s="55" t="n">
        <f aca="false">IF(V672,IF(01_因子設定!$B$13="最大化",T672-01_因子設定!$B$14,IF(01_因子設定!$B$13="最小化",01_因子設定!$B$15-U672,MIN(T672-01_因子設定!$B$14,01_因子設定!$B$15-U672))),-1E+030)</f>
        <v>-6.18344352049761</v>
      </c>
      <c r="X672" s="55" t="n">
        <f aca="false">IF(V672,IF(01_因子設定!$B$13="最大化",Q672,IF(01_因子設定!$B$13="最小化",-Q672,-ABS(Q672-01_因子設定!$B$16))),-1E+030)</f>
        <v>43.3494460227273</v>
      </c>
      <c r="Y672" s="55" t="n">
        <f aca="false">W672+ROW()*0.000000001</f>
        <v>-6.18344284849761</v>
      </c>
      <c r="Z672" s="55" t="n">
        <f aca="false">X672+ROW()*0.000000001</f>
        <v>43.3494466947273</v>
      </c>
    </row>
    <row r="673" customFormat="false" ht="15" hidden="false" customHeight="false" outlineLevel="0" collapsed="false">
      <c r="A673" s="0" t="n">
        <v>2</v>
      </c>
      <c r="B673" s="0" t="n">
        <v>5</v>
      </c>
      <c r="C673" s="0" t="n">
        <v>5</v>
      </c>
      <c r="D673" s="0" t="n">
        <f aca="false">-1+A673*0.125</f>
        <v>-0.75</v>
      </c>
      <c r="E673" s="0" t="n">
        <f aca="false">-1+B673*0.125</f>
        <v>-0.375</v>
      </c>
      <c r="F673" s="0" t="n">
        <f aca="false">-1+C673*0.125</f>
        <v>-0.375</v>
      </c>
      <c r="G673" s="0" t="n">
        <f aca="false">1</f>
        <v>1</v>
      </c>
      <c r="H673" s="0" t="n">
        <f aca="false">D673</f>
        <v>-0.75</v>
      </c>
      <c r="I673" s="0" t="n">
        <f aca="false">E673</f>
        <v>-0.375</v>
      </c>
      <c r="J673" s="0" t="n">
        <f aca="false">F673</f>
        <v>-0.375</v>
      </c>
      <c r="K673" s="0" t="n">
        <f aca="false">D673*E673</f>
        <v>0.28125</v>
      </c>
      <c r="L673" s="0" t="n">
        <f aca="false">D673*F673</f>
        <v>0.28125</v>
      </c>
      <c r="M673" s="0" t="n">
        <f aca="false">E673*F673</f>
        <v>0.140625</v>
      </c>
      <c r="N673" s="0" t="n">
        <f aca="false">D673*D673</f>
        <v>0.5625</v>
      </c>
      <c r="O673" s="0" t="n">
        <f aca="false">E673*E673</f>
        <v>0.140625</v>
      </c>
      <c r="P673" s="0" t="n">
        <f aca="false">F673*F673</f>
        <v>0.140625</v>
      </c>
      <c r="Q673" s="0" t="n">
        <f aca="false">SUMPRODUCT(G673:P673,_XtX!$B$71:$K$71)</f>
        <v>43.6436789772727</v>
      </c>
      <c r="R673" s="0" t="n">
        <f aca="false">SUMPRODUCT(MMULT(G673:P673,_XtX!$B$58:$K$67),G673:P673)</f>
        <v>0.228998912464489</v>
      </c>
      <c r="S673" s="0" t="n">
        <f aca="false">04_回帰ANOVA!$K$19*04_回帰ANOVA!$K$14*SQRT(1+R673)</f>
        <v>1.03072399242813</v>
      </c>
      <c r="T673" s="0" t="n">
        <f aca="false">Q673-S673</f>
        <v>42.6129549848446</v>
      </c>
      <c r="U673" s="0" t="n">
        <f aca="false">Q673+S673</f>
        <v>44.6744029697009</v>
      </c>
      <c r="V673" s="54" t="b">
        <f aca="false">AND(D673&gt;=01_因子設定!$L$5-0.000000001,D673&lt;=01_因子設定!$M$5+0.000000001,E673&gt;=01_因子設定!$L$6-0.000000001,E673&lt;=01_因子設定!$M$6+0.000000001,F673&gt;=01_因子設定!$L$7-0.000000001,F673&lt;=01_因子設定!$M$7+0.000000001,IF(01_因子設定!$B$20="Box-Behnken",D673^2+E673^2+F673^2&lt;=2+0.000000001,TRUE()))</f>
        <v>1</v>
      </c>
      <c r="W673" s="55" t="n">
        <f aca="false">IF(V673,IF(01_因子設定!$B$13="最大化",T673-01_因子設定!$B$14,IF(01_因子設定!$B$13="最小化",01_因子設定!$B$15-U673,MIN(T673-01_因子設定!$B$14,01_因子設定!$B$15-U673))),-1E+030)</f>
        <v>-5.8870450151554</v>
      </c>
      <c r="X673" s="55" t="n">
        <f aca="false">IF(V673,IF(01_因子設定!$B$13="最大化",Q673,IF(01_因子設定!$B$13="最小化",-Q673,-ABS(Q673-01_因子設定!$B$16))),-1E+030)</f>
        <v>43.6436789772727</v>
      </c>
      <c r="Y673" s="55" t="n">
        <f aca="false">W673+ROW()*0.000000001</f>
        <v>-5.8870443421554</v>
      </c>
      <c r="Z673" s="55" t="n">
        <f aca="false">X673+ROW()*0.000000001</f>
        <v>43.6436796502727</v>
      </c>
    </row>
    <row r="674" customFormat="false" ht="15" hidden="false" customHeight="false" outlineLevel="0" collapsed="false">
      <c r="A674" s="0" t="n">
        <v>2</v>
      </c>
      <c r="B674" s="0" t="n">
        <v>5</v>
      </c>
      <c r="C674" s="0" t="n">
        <v>6</v>
      </c>
      <c r="D674" s="0" t="n">
        <f aca="false">-1+A674*0.125</f>
        <v>-0.75</v>
      </c>
      <c r="E674" s="0" t="n">
        <f aca="false">-1+B674*0.125</f>
        <v>-0.375</v>
      </c>
      <c r="F674" s="0" t="n">
        <f aca="false">-1+C674*0.125</f>
        <v>-0.25</v>
      </c>
      <c r="G674" s="0" t="n">
        <f aca="false">1</f>
        <v>1</v>
      </c>
      <c r="H674" s="0" t="n">
        <f aca="false">D674</f>
        <v>-0.75</v>
      </c>
      <c r="I674" s="0" t="n">
        <f aca="false">E674</f>
        <v>-0.375</v>
      </c>
      <c r="J674" s="0" t="n">
        <f aca="false">F674</f>
        <v>-0.25</v>
      </c>
      <c r="K674" s="0" t="n">
        <f aca="false">D674*E674</f>
        <v>0.28125</v>
      </c>
      <c r="L674" s="0" t="n">
        <f aca="false">D674*F674</f>
        <v>0.1875</v>
      </c>
      <c r="M674" s="0" t="n">
        <f aca="false">E674*F674</f>
        <v>0.09375</v>
      </c>
      <c r="N674" s="0" t="n">
        <f aca="false">D674*D674</f>
        <v>0.5625</v>
      </c>
      <c r="O674" s="0" t="n">
        <f aca="false">E674*E674</f>
        <v>0.140625</v>
      </c>
      <c r="P674" s="0" t="n">
        <f aca="false">F674*F674</f>
        <v>0.0625</v>
      </c>
      <c r="Q674" s="0" t="n">
        <f aca="false">SUMPRODUCT(G674:P674,_XtX!$B$71:$K$71)</f>
        <v>43.9011221590909</v>
      </c>
      <c r="R674" s="0" t="n">
        <f aca="false">SUMPRODUCT(MMULT(G674:P674,_XtX!$B$58:$K$67),G674:P674)</f>
        <v>0.230632990056818</v>
      </c>
      <c r="S674" s="0" t="n">
        <f aca="false">04_回帰ANOVA!$K$19*04_回帰ANOVA!$K$14*SQRT(1+R674)</f>
        <v>1.03140899038819</v>
      </c>
      <c r="T674" s="0" t="n">
        <f aca="false">Q674-S674</f>
        <v>42.8697131687027</v>
      </c>
      <c r="U674" s="0" t="n">
        <f aca="false">Q674+S674</f>
        <v>44.9325311494791</v>
      </c>
      <c r="V674" s="54" t="b">
        <f aca="false">AND(D674&gt;=01_因子設定!$L$5-0.000000001,D674&lt;=01_因子設定!$M$5+0.000000001,E674&gt;=01_因子設定!$L$6-0.000000001,E674&lt;=01_因子設定!$M$6+0.000000001,F674&gt;=01_因子設定!$L$7-0.000000001,F674&lt;=01_因子設定!$M$7+0.000000001,IF(01_因子設定!$B$20="Box-Behnken",D674^2+E674^2+F674^2&lt;=2+0.000000001,TRUE()))</f>
        <v>1</v>
      </c>
      <c r="W674" s="55" t="n">
        <f aca="false">IF(V674,IF(01_因子設定!$B$13="最大化",T674-01_因子設定!$B$14,IF(01_因子設定!$B$13="最小化",01_因子設定!$B$15-U674,MIN(T674-01_因子設定!$B$14,01_因子設定!$B$15-U674))),-1E+030)</f>
        <v>-5.63028683129728</v>
      </c>
      <c r="X674" s="55" t="n">
        <f aca="false">IF(V674,IF(01_因子設定!$B$13="最大化",Q674,IF(01_因子設定!$B$13="最小化",-Q674,-ABS(Q674-01_因子設定!$B$16))),-1E+030)</f>
        <v>43.9011221590909</v>
      </c>
      <c r="Y674" s="55" t="n">
        <f aca="false">W674+ROW()*0.000000001</f>
        <v>-5.63028615729728</v>
      </c>
      <c r="Z674" s="55" t="n">
        <f aca="false">X674+ROW()*0.000000001</f>
        <v>43.9011228330909</v>
      </c>
    </row>
    <row r="675" customFormat="false" ht="15" hidden="false" customHeight="false" outlineLevel="0" collapsed="false">
      <c r="A675" s="0" t="n">
        <v>2</v>
      </c>
      <c r="B675" s="0" t="n">
        <v>5</v>
      </c>
      <c r="C675" s="0" t="n">
        <v>7</v>
      </c>
      <c r="D675" s="0" t="n">
        <f aca="false">-1+A675*0.125</f>
        <v>-0.75</v>
      </c>
      <c r="E675" s="0" t="n">
        <f aca="false">-1+B675*0.125</f>
        <v>-0.375</v>
      </c>
      <c r="F675" s="0" t="n">
        <f aca="false">-1+C675*0.125</f>
        <v>-0.125</v>
      </c>
      <c r="G675" s="0" t="n">
        <f aca="false">1</f>
        <v>1</v>
      </c>
      <c r="H675" s="0" t="n">
        <f aca="false">D675</f>
        <v>-0.75</v>
      </c>
      <c r="I675" s="0" t="n">
        <f aca="false">E675</f>
        <v>-0.375</v>
      </c>
      <c r="J675" s="0" t="n">
        <f aca="false">F675</f>
        <v>-0.125</v>
      </c>
      <c r="K675" s="0" t="n">
        <f aca="false">D675*E675</f>
        <v>0.28125</v>
      </c>
      <c r="L675" s="0" t="n">
        <f aca="false">D675*F675</f>
        <v>0.09375</v>
      </c>
      <c r="M675" s="0" t="n">
        <f aca="false">E675*F675</f>
        <v>0.046875</v>
      </c>
      <c r="N675" s="0" t="n">
        <f aca="false">D675*D675</f>
        <v>0.5625</v>
      </c>
      <c r="O675" s="0" t="n">
        <f aca="false">E675*E675</f>
        <v>0.140625</v>
      </c>
      <c r="P675" s="0" t="n">
        <f aca="false">F675*F675</f>
        <v>0.015625</v>
      </c>
      <c r="Q675" s="0" t="n">
        <f aca="false">SUMPRODUCT(G675:P675,_XtX!$B$71:$K$71)</f>
        <v>44.1217755681818</v>
      </c>
      <c r="R675" s="0" t="n">
        <f aca="false">SUMPRODUCT(MMULT(G675:P675,_XtX!$B$58:$K$67),G675:P675)</f>
        <v>0.233744118430398</v>
      </c>
      <c r="S675" s="0" t="n">
        <f aca="false">04_回帰ANOVA!$K$19*04_回帰ANOVA!$K$14*SQRT(1+R675)</f>
        <v>1.0327119053564</v>
      </c>
      <c r="T675" s="0" t="n">
        <f aca="false">Q675-S675</f>
        <v>43.0890636628254</v>
      </c>
      <c r="U675" s="0" t="n">
        <f aca="false">Q675+S675</f>
        <v>45.1544874735382</v>
      </c>
      <c r="V675" s="54" t="b">
        <f aca="false">AND(D675&gt;=01_因子設定!$L$5-0.000000001,D675&lt;=01_因子設定!$M$5+0.000000001,E675&gt;=01_因子設定!$L$6-0.000000001,E675&lt;=01_因子設定!$M$6+0.000000001,F675&gt;=01_因子設定!$L$7-0.000000001,F675&lt;=01_因子設定!$M$7+0.000000001,IF(01_因子設定!$B$20="Box-Behnken",D675^2+E675^2+F675^2&lt;=2+0.000000001,TRUE()))</f>
        <v>1</v>
      </c>
      <c r="W675" s="55" t="n">
        <f aca="false">IF(V675,IF(01_因子設定!$B$13="最大化",T675-01_因子設定!$B$14,IF(01_因子設定!$B$13="最小化",01_因子設定!$B$15-U675,MIN(T675-01_因子設定!$B$14,01_因子設定!$B$15-U675))),-1E+030)</f>
        <v>-5.41093633717458</v>
      </c>
      <c r="X675" s="55" t="n">
        <f aca="false">IF(V675,IF(01_因子設定!$B$13="最大化",Q675,IF(01_因子設定!$B$13="最小化",-Q675,-ABS(Q675-01_因子設定!$B$16))),-1E+030)</f>
        <v>44.1217755681818</v>
      </c>
      <c r="Y675" s="55" t="n">
        <f aca="false">W675+ROW()*0.000000001</f>
        <v>-5.41093566217458</v>
      </c>
      <c r="Z675" s="55" t="n">
        <f aca="false">X675+ROW()*0.000000001</f>
        <v>44.1217762431818</v>
      </c>
    </row>
    <row r="676" customFormat="false" ht="15" hidden="false" customHeight="false" outlineLevel="0" collapsed="false">
      <c r="A676" s="0" t="n">
        <v>2</v>
      </c>
      <c r="B676" s="0" t="n">
        <v>5</v>
      </c>
      <c r="C676" s="0" t="n">
        <v>8</v>
      </c>
      <c r="D676" s="0" t="n">
        <f aca="false">-1+A676*0.125</f>
        <v>-0.75</v>
      </c>
      <c r="E676" s="0" t="n">
        <f aca="false">-1+B676*0.125</f>
        <v>-0.375</v>
      </c>
      <c r="F676" s="0" t="n">
        <f aca="false">-1+C676*0.125</f>
        <v>0</v>
      </c>
      <c r="G676" s="0" t="n">
        <f aca="false">1</f>
        <v>1</v>
      </c>
      <c r="H676" s="0" t="n">
        <f aca="false">D676</f>
        <v>-0.75</v>
      </c>
      <c r="I676" s="0" t="n">
        <f aca="false">E676</f>
        <v>-0.375</v>
      </c>
      <c r="J676" s="0" t="n">
        <f aca="false">F676</f>
        <v>0</v>
      </c>
      <c r="K676" s="0" t="n">
        <f aca="false">D676*E676</f>
        <v>0.28125</v>
      </c>
      <c r="L676" s="0" t="n">
        <f aca="false">D676*F676</f>
        <v>-0</v>
      </c>
      <c r="M676" s="0" t="n">
        <f aca="false">E676*F676</f>
        <v>-0</v>
      </c>
      <c r="N676" s="0" t="n">
        <f aca="false">D676*D676</f>
        <v>0.5625</v>
      </c>
      <c r="O676" s="0" t="n">
        <f aca="false">E676*E676</f>
        <v>0.140625</v>
      </c>
      <c r="P676" s="0" t="n">
        <f aca="false">F676*F676</f>
        <v>0</v>
      </c>
      <c r="Q676" s="0" t="n">
        <f aca="false">SUMPRODUCT(G676:P676,_XtX!$B$71:$K$71)</f>
        <v>44.3056392045455</v>
      </c>
      <c r="R676" s="0" t="n">
        <f aca="false">SUMPRODUCT(MMULT(G676:P676,_XtX!$B$58:$K$67),G676:P676)</f>
        <v>0.235136274857955</v>
      </c>
      <c r="S676" s="0" t="n">
        <f aca="false">04_回帰ANOVA!$K$19*04_回帰ANOVA!$K$14*SQRT(1+R676)</f>
        <v>1.03329439695656</v>
      </c>
      <c r="T676" s="0" t="n">
        <f aca="false">Q676-S676</f>
        <v>43.2723448075889</v>
      </c>
      <c r="U676" s="0" t="n">
        <f aca="false">Q676+S676</f>
        <v>45.338933601502</v>
      </c>
      <c r="V676" s="54" t="b">
        <f aca="false">AND(D676&gt;=01_因子設定!$L$5-0.000000001,D676&lt;=01_因子設定!$M$5+0.000000001,E676&gt;=01_因子設定!$L$6-0.000000001,E676&lt;=01_因子設定!$M$6+0.000000001,F676&gt;=01_因子設定!$L$7-0.000000001,F676&lt;=01_因子設定!$M$7+0.000000001,IF(01_因子設定!$B$20="Box-Behnken",D676^2+E676^2+F676^2&lt;=2+0.000000001,TRUE()))</f>
        <v>1</v>
      </c>
      <c r="W676" s="55" t="n">
        <f aca="false">IF(V676,IF(01_因子設定!$B$13="最大化",T676-01_因子設定!$B$14,IF(01_因子設定!$B$13="最小化",01_因子設定!$B$15-U676,MIN(T676-01_因子設定!$B$14,01_因子設定!$B$15-U676))),-1E+030)</f>
        <v>-5.22765519241111</v>
      </c>
      <c r="X676" s="55" t="n">
        <f aca="false">IF(V676,IF(01_因子設定!$B$13="最大化",Q676,IF(01_因子設定!$B$13="最小化",-Q676,-ABS(Q676-01_因子設定!$B$16))),-1E+030)</f>
        <v>44.3056392045455</v>
      </c>
      <c r="Y676" s="55" t="n">
        <f aca="false">W676+ROW()*0.000000001</f>
        <v>-5.22765451641111</v>
      </c>
      <c r="Z676" s="55" t="n">
        <f aca="false">X676+ROW()*0.000000001</f>
        <v>44.3056398805455</v>
      </c>
    </row>
    <row r="677" customFormat="false" ht="15" hidden="false" customHeight="false" outlineLevel="0" collapsed="false">
      <c r="A677" s="0" t="n">
        <v>2</v>
      </c>
      <c r="B677" s="0" t="n">
        <v>5</v>
      </c>
      <c r="C677" s="0" t="n">
        <v>9</v>
      </c>
      <c r="D677" s="0" t="n">
        <f aca="false">-1+A677*0.125</f>
        <v>-0.75</v>
      </c>
      <c r="E677" s="0" t="n">
        <f aca="false">-1+B677*0.125</f>
        <v>-0.375</v>
      </c>
      <c r="F677" s="0" t="n">
        <f aca="false">-1+C677*0.125</f>
        <v>0.125</v>
      </c>
      <c r="G677" s="0" t="n">
        <f aca="false">1</f>
        <v>1</v>
      </c>
      <c r="H677" s="0" t="n">
        <f aca="false">D677</f>
        <v>-0.75</v>
      </c>
      <c r="I677" s="0" t="n">
        <f aca="false">E677</f>
        <v>-0.375</v>
      </c>
      <c r="J677" s="0" t="n">
        <f aca="false">F677</f>
        <v>0.125</v>
      </c>
      <c r="K677" s="0" t="n">
        <f aca="false">D677*E677</f>
        <v>0.28125</v>
      </c>
      <c r="L677" s="0" t="n">
        <f aca="false">D677*F677</f>
        <v>-0.09375</v>
      </c>
      <c r="M677" s="0" t="n">
        <f aca="false">E677*F677</f>
        <v>-0.046875</v>
      </c>
      <c r="N677" s="0" t="n">
        <f aca="false">D677*D677</f>
        <v>0.5625</v>
      </c>
      <c r="O677" s="0" t="n">
        <f aca="false">E677*E677</f>
        <v>0.140625</v>
      </c>
      <c r="P677" s="0" t="n">
        <f aca="false">F677*F677</f>
        <v>0.015625</v>
      </c>
      <c r="Q677" s="0" t="n">
        <f aca="false">SUMPRODUCT(G677:P677,_XtX!$B$71:$K$71)</f>
        <v>44.4527130681818</v>
      </c>
      <c r="R677" s="0" t="n">
        <f aca="false">SUMPRODUCT(MMULT(G677:P677,_XtX!$B$58:$K$67),G677:P677)</f>
        <v>0.233744118430398</v>
      </c>
      <c r="S677" s="0" t="n">
        <f aca="false">04_回帰ANOVA!$K$19*04_回帰ANOVA!$K$14*SQRT(1+R677)</f>
        <v>1.0327119053564</v>
      </c>
      <c r="T677" s="0" t="n">
        <f aca="false">Q677-S677</f>
        <v>43.4200011628254</v>
      </c>
      <c r="U677" s="0" t="n">
        <f aca="false">Q677+S677</f>
        <v>45.4854249735382</v>
      </c>
      <c r="V677" s="54" t="b">
        <f aca="false">AND(D677&gt;=01_因子設定!$L$5-0.000000001,D677&lt;=01_因子設定!$M$5+0.000000001,E677&gt;=01_因子設定!$L$6-0.000000001,E677&lt;=01_因子設定!$M$6+0.000000001,F677&gt;=01_因子設定!$L$7-0.000000001,F677&lt;=01_因子設定!$M$7+0.000000001,IF(01_因子設定!$B$20="Box-Behnken",D677^2+E677^2+F677^2&lt;=2+0.000000001,TRUE()))</f>
        <v>1</v>
      </c>
      <c r="W677" s="55" t="n">
        <f aca="false">IF(V677,IF(01_因子設定!$B$13="最大化",T677-01_因子設定!$B$14,IF(01_因子設定!$B$13="最小化",01_因子設定!$B$15-U677,MIN(T677-01_因子設定!$B$14,01_因子設定!$B$15-U677))),-1E+030)</f>
        <v>-5.07999883717459</v>
      </c>
      <c r="X677" s="55" t="n">
        <f aca="false">IF(V677,IF(01_因子設定!$B$13="最大化",Q677,IF(01_因子設定!$B$13="最小化",-Q677,-ABS(Q677-01_因子設定!$B$16))),-1E+030)</f>
        <v>44.4527130681818</v>
      </c>
      <c r="Y677" s="55" t="n">
        <f aca="false">W677+ROW()*0.000000001</f>
        <v>-5.07999816017459</v>
      </c>
      <c r="Z677" s="55" t="n">
        <f aca="false">X677+ROW()*0.000000001</f>
        <v>44.4527137451818</v>
      </c>
    </row>
    <row r="678" customFormat="false" ht="15" hidden="false" customHeight="false" outlineLevel="0" collapsed="false">
      <c r="A678" s="0" t="n">
        <v>2</v>
      </c>
      <c r="B678" s="0" t="n">
        <v>5</v>
      </c>
      <c r="C678" s="0" t="n">
        <v>10</v>
      </c>
      <c r="D678" s="0" t="n">
        <f aca="false">-1+A678*0.125</f>
        <v>-0.75</v>
      </c>
      <c r="E678" s="0" t="n">
        <f aca="false">-1+B678*0.125</f>
        <v>-0.375</v>
      </c>
      <c r="F678" s="0" t="n">
        <f aca="false">-1+C678*0.125</f>
        <v>0.25</v>
      </c>
      <c r="G678" s="0" t="n">
        <f aca="false">1</f>
        <v>1</v>
      </c>
      <c r="H678" s="0" t="n">
        <f aca="false">D678</f>
        <v>-0.75</v>
      </c>
      <c r="I678" s="0" t="n">
        <f aca="false">E678</f>
        <v>-0.375</v>
      </c>
      <c r="J678" s="0" t="n">
        <f aca="false">F678</f>
        <v>0.25</v>
      </c>
      <c r="K678" s="0" t="n">
        <f aca="false">D678*E678</f>
        <v>0.28125</v>
      </c>
      <c r="L678" s="0" t="n">
        <f aca="false">D678*F678</f>
        <v>-0.1875</v>
      </c>
      <c r="M678" s="0" t="n">
        <f aca="false">E678*F678</f>
        <v>-0.09375</v>
      </c>
      <c r="N678" s="0" t="n">
        <f aca="false">D678*D678</f>
        <v>0.5625</v>
      </c>
      <c r="O678" s="0" t="n">
        <f aca="false">E678*E678</f>
        <v>0.140625</v>
      </c>
      <c r="P678" s="0" t="n">
        <f aca="false">F678*F678</f>
        <v>0.0625</v>
      </c>
      <c r="Q678" s="0" t="n">
        <f aca="false">SUMPRODUCT(G678:P678,_XtX!$B$71:$K$71)</f>
        <v>44.5629971590909</v>
      </c>
      <c r="R678" s="0" t="n">
        <f aca="false">SUMPRODUCT(MMULT(G678:P678,_XtX!$B$58:$K$67),G678:P678)</f>
        <v>0.230632990056818</v>
      </c>
      <c r="S678" s="0" t="n">
        <f aca="false">04_回帰ANOVA!$K$19*04_回帰ANOVA!$K$14*SQRT(1+R678)</f>
        <v>1.03140899038819</v>
      </c>
      <c r="T678" s="0" t="n">
        <f aca="false">Q678-S678</f>
        <v>43.5315881687027</v>
      </c>
      <c r="U678" s="0" t="n">
        <f aca="false">Q678+S678</f>
        <v>45.5944061494791</v>
      </c>
      <c r="V678" s="54" t="b">
        <f aca="false">AND(D678&gt;=01_因子設定!$L$5-0.000000001,D678&lt;=01_因子設定!$M$5+0.000000001,E678&gt;=01_因子設定!$L$6-0.000000001,E678&lt;=01_因子設定!$M$6+0.000000001,F678&gt;=01_因子設定!$L$7-0.000000001,F678&lt;=01_因子設定!$M$7+0.000000001,IF(01_因子設定!$B$20="Box-Behnken",D678^2+E678^2+F678^2&lt;=2+0.000000001,TRUE()))</f>
        <v>1</v>
      </c>
      <c r="W678" s="55" t="n">
        <f aca="false">IF(V678,IF(01_因子設定!$B$13="最大化",T678-01_因子設定!$B$14,IF(01_因子設定!$B$13="最小化",01_因子設定!$B$15-U678,MIN(T678-01_因子設定!$B$14,01_因子設定!$B$15-U678))),-1E+030)</f>
        <v>-4.96841183129728</v>
      </c>
      <c r="X678" s="55" t="n">
        <f aca="false">IF(V678,IF(01_因子設定!$B$13="最大化",Q678,IF(01_因子設定!$B$13="最小化",-Q678,-ABS(Q678-01_因子設定!$B$16))),-1E+030)</f>
        <v>44.5629971590909</v>
      </c>
      <c r="Y678" s="55" t="n">
        <f aca="false">W678+ROW()*0.000000001</f>
        <v>-4.96841115329728</v>
      </c>
      <c r="Z678" s="55" t="n">
        <f aca="false">X678+ROW()*0.000000001</f>
        <v>44.5629978370909</v>
      </c>
    </row>
    <row r="679" customFormat="false" ht="15" hidden="false" customHeight="false" outlineLevel="0" collapsed="false">
      <c r="A679" s="0" t="n">
        <v>2</v>
      </c>
      <c r="B679" s="0" t="n">
        <v>5</v>
      </c>
      <c r="C679" s="0" t="n">
        <v>11</v>
      </c>
      <c r="D679" s="0" t="n">
        <f aca="false">-1+A679*0.125</f>
        <v>-0.75</v>
      </c>
      <c r="E679" s="0" t="n">
        <f aca="false">-1+B679*0.125</f>
        <v>-0.375</v>
      </c>
      <c r="F679" s="0" t="n">
        <f aca="false">-1+C679*0.125</f>
        <v>0.375</v>
      </c>
      <c r="G679" s="0" t="n">
        <f aca="false">1</f>
        <v>1</v>
      </c>
      <c r="H679" s="0" t="n">
        <f aca="false">D679</f>
        <v>-0.75</v>
      </c>
      <c r="I679" s="0" t="n">
        <f aca="false">E679</f>
        <v>-0.375</v>
      </c>
      <c r="J679" s="0" t="n">
        <f aca="false">F679</f>
        <v>0.375</v>
      </c>
      <c r="K679" s="0" t="n">
        <f aca="false">D679*E679</f>
        <v>0.28125</v>
      </c>
      <c r="L679" s="0" t="n">
        <f aca="false">D679*F679</f>
        <v>-0.28125</v>
      </c>
      <c r="M679" s="0" t="n">
        <f aca="false">E679*F679</f>
        <v>-0.140625</v>
      </c>
      <c r="N679" s="0" t="n">
        <f aca="false">D679*D679</f>
        <v>0.5625</v>
      </c>
      <c r="O679" s="0" t="n">
        <f aca="false">E679*E679</f>
        <v>0.140625</v>
      </c>
      <c r="P679" s="0" t="n">
        <f aca="false">F679*F679</f>
        <v>0.140625</v>
      </c>
      <c r="Q679" s="0" t="n">
        <f aca="false">SUMPRODUCT(G679:P679,_XtX!$B$71:$K$71)</f>
        <v>44.6364914772727</v>
      </c>
      <c r="R679" s="0" t="n">
        <f aca="false">SUMPRODUCT(MMULT(G679:P679,_XtX!$B$58:$K$67),G679:P679)</f>
        <v>0.228998912464489</v>
      </c>
      <c r="S679" s="0" t="n">
        <f aca="false">04_回帰ANOVA!$K$19*04_回帰ANOVA!$K$14*SQRT(1+R679)</f>
        <v>1.03072399242813</v>
      </c>
      <c r="T679" s="0" t="n">
        <f aca="false">Q679-S679</f>
        <v>43.6057674848446</v>
      </c>
      <c r="U679" s="0" t="n">
        <f aca="false">Q679+S679</f>
        <v>45.6672154697009</v>
      </c>
      <c r="V679" s="54" t="b">
        <f aca="false">AND(D679&gt;=01_因子設定!$L$5-0.000000001,D679&lt;=01_因子設定!$M$5+0.000000001,E679&gt;=01_因子設定!$L$6-0.000000001,E679&lt;=01_因子設定!$M$6+0.000000001,F679&gt;=01_因子設定!$L$7-0.000000001,F679&lt;=01_因子設定!$M$7+0.000000001,IF(01_因子設定!$B$20="Box-Behnken",D679^2+E679^2+F679^2&lt;=2+0.000000001,TRUE()))</f>
        <v>1</v>
      </c>
      <c r="W679" s="55" t="n">
        <f aca="false">IF(V679,IF(01_因子設定!$B$13="最大化",T679-01_因子設定!$B$14,IF(01_因子設定!$B$13="最小化",01_因子設定!$B$15-U679,MIN(T679-01_因子設定!$B$14,01_因子設定!$B$15-U679))),-1E+030)</f>
        <v>-4.8942325151554</v>
      </c>
      <c r="X679" s="55" t="n">
        <f aca="false">IF(V679,IF(01_因子設定!$B$13="最大化",Q679,IF(01_因子設定!$B$13="最小化",-Q679,-ABS(Q679-01_因子設定!$B$16))),-1E+030)</f>
        <v>44.6364914772727</v>
      </c>
      <c r="Y679" s="55" t="n">
        <f aca="false">W679+ROW()*0.000000001</f>
        <v>-4.8942318361554</v>
      </c>
      <c r="Z679" s="55" t="n">
        <f aca="false">X679+ROW()*0.000000001</f>
        <v>44.6364921562727</v>
      </c>
    </row>
    <row r="680" customFormat="false" ht="15" hidden="false" customHeight="false" outlineLevel="0" collapsed="false">
      <c r="A680" s="0" t="n">
        <v>2</v>
      </c>
      <c r="B680" s="0" t="n">
        <v>5</v>
      </c>
      <c r="C680" s="0" t="n">
        <v>12</v>
      </c>
      <c r="D680" s="0" t="n">
        <f aca="false">-1+A680*0.125</f>
        <v>-0.75</v>
      </c>
      <c r="E680" s="0" t="n">
        <f aca="false">-1+B680*0.125</f>
        <v>-0.375</v>
      </c>
      <c r="F680" s="0" t="n">
        <f aca="false">-1+C680*0.125</f>
        <v>0.5</v>
      </c>
      <c r="G680" s="0" t="n">
        <f aca="false">1</f>
        <v>1</v>
      </c>
      <c r="H680" s="0" t="n">
        <f aca="false">D680</f>
        <v>-0.75</v>
      </c>
      <c r="I680" s="0" t="n">
        <f aca="false">E680</f>
        <v>-0.375</v>
      </c>
      <c r="J680" s="0" t="n">
        <f aca="false">F680</f>
        <v>0.5</v>
      </c>
      <c r="K680" s="0" t="n">
        <f aca="false">D680*E680</f>
        <v>0.28125</v>
      </c>
      <c r="L680" s="0" t="n">
        <f aca="false">D680*F680</f>
        <v>-0.375</v>
      </c>
      <c r="M680" s="0" t="n">
        <f aca="false">E680*F680</f>
        <v>-0.1875</v>
      </c>
      <c r="N680" s="0" t="n">
        <f aca="false">D680*D680</f>
        <v>0.5625</v>
      </c>
      <c r="O680" s="0" t="n">
        <f aca="false">E680*E680</f>
        <v>0.140625</v>
      </c>
      <c r="P680" s="0" t="n">
        <f aca="false">F680*F680</f>
        <v>0.25</v>
      </c>
      <c r="Q680" s="0" t="n">
        <f aca="false">SUMPRODUCT(G680:P680,_XtX!$B$71:$K$71)</f>
        <v>44.6731960227273</v>
      </c>
      <c r="R680" s="0" t="n">
        <f aca="false">SUMPRODUCT(MMULT(G680:P680,_XtX!$B$58:$K$67),G680:P680)</f>
        <v>0.234168590198864</v>
      </c>
      <c r="S680" s="0" t="n">
        <f aca="false">04_回帰ANOVA!$K$19*04_回帰ANOVA!$K$14*SQRT(1+R680)</f>
        <v>1.03288954322488</v>
      </c>
      <c r="T680" s="0" t="n">
        <f aca="false">Q680-S680</f>
        <v>43.6403064795024</v>
      </c>
      <c r="U680" s="0" t="n">
        <f aca="false">Q680+S680</f>
        <v>45.7060855659522</v>
      </c>
      <c r="V680" s="54" t="b">
        <f aca="false">AND(D680&gt;=01_因子設定!$L$5-0.000000001,D680&lt;=01_因子設定!$M$5+0.000000001,E680&gt;=01_因子設定!$L$6-0.000000001,E680&lt;=01_因子設定!$M$6+0.000000001,F680&gt;=01_因子設定!$L$7-0.000000001,F680&lt;=01_因子設定!$M$7+0.000000001,IF(01_因子設定!$B$20="Box-Behnken",D680^2+E680^2+F680^2&lt;=2+0.000000001,TRUE()))</f>
        <v>1</v>
      </c>
      <c r="W680" s="55" t="n">
        <f aca="false">IF(V680,IF(01_因子設定!$B$13="最大化",T680-01_因子設定!$B$14,IF(01_因子設定!$B$13="最小化",01_因子設定!$B$15-U680,MIN(T680-01_因子設定!$B$14,01_因子設定!$B$15-U680))),-1E+030)</f>
        <v>-4.8596935204976</v>
      </c>
      <c r="X680" s="55" t="n">
        <f aca="false">IF(V680,IF(01_因子設定!$B$13="最大化",Q680,IF(01_因子設定!$B$13="最小化",-Q680,-ABS(Q680-01_因子設定!$B$16))),-1E+030)</f>
        <v>44.6731960227273</v>
      </c>
      <c r="Y680" s="55" t="n">
        <f aca="false">W680+ROW()*0.000000001</f>
        <v>-4.8596928404976</v>
      </c>
      <c r="Z680" s="55" t="n">
        <f aca="false">X680+ROW()*0.000000001</f>
        <v>44.6731967027273</v>
      </c>
    </row>
    <row r="681" customFormat="false" ht="15" hidden="false" customHeight="false" outlineLevel="0" collapsed="false">
      <c r="A681" s="0" t="n">
        <v>2</v>
      </c>
      <c r="B681" s="0" t="n">
        <v>5</v>
      </c>
      <c r="C681" s="0" t="n">
        <v>13</v>
      </c>
      <c r="D681" s="0" t="n">
        <f aca="false">-1+A681*0.125</f>
        <v>-0.75</v>
      </c>
      <c r="E681" s="0" t="n">
        <f aca="false">-1+B681*0.125</f>
        <v>-0.375</v>
      </c>
      <c r="F681" s="0" t="n">
        <f aca="false">-1+C681*0.125</f>
        <v>0.625</v>
      </c>
      <c r="G681" s="0" t="n">
        <f aca="false">1</f>
        <v>1</v>
      </c>
      <c r="H681" s="0" t="n">
        <f aca="false">D681</f>
        <v>-0.75</v>
      </c>
      <c r="I681" s="0" t="n">
        <f aca="false">E681</f>
        <v>-0.375</v>
      </c>
      <c r="J681" s="0" t="n">
        <f aca="false">F681</f>
        <v>0.625</v>
      </c>
      <c r="K681" s="0" t="n">
        <f aca="false">D681*E681</f>
        <v>0.28125</v>
      </c>
      <c r="L681" s="0" t="n">
        <f aca="false">D681*F681</f>
        <v>-0.46875</v>
      </c>
      <c r="M681" s="0" t="n">
        <f aca="false">E681*F681</f>
        <v>-0.234375</v>
      </c>
      <c r="N681" s="0" t="n">
        <f aca="false">D681*D681</f>
        <v>0.5625</v>
      </c>
      <c r="O681" s="0" t="n">
        <f aca="false">E681*E681</f>
        <v>0.140625</v>
      </c>
      <c r="P681" s="0" t="n">
        <f aca="false">F681*F681</f>
        <v>0.390625</v>
      </c>
      <c r="Q681" s="0" t="n">
        <f aca="false">SUMPRODUCT(G681:P681,_XtX!$B$71:$K$71)</f>
        <v>44.6731107954546</v>
      </c>
      <c r="R681" s="0" t="n">
        <f aca="false">SUMPRODUCT(MMULT(G681:P681,_XtX!$B$58:$K$67),G681:P681)</f>
        <v>0.25359940962358</v>
      </c>
      <c r="S681" s="0" t="n">
        <f aca="false">04_回帰ANOVA!$K$19*04_回帰ANOVA!$K$14*SQRT(1+R681)</f>
        <v>1.04098872464599</v>
      </c>
      <c r="T681" s="0" t="n">
        <f aca="false">Q681-S681</f>
        <v>43.6321220708086</v>
      </c>
      <c r="U681" s="0" t="n">
        <f aca="false">Q681+S681</f>
        <v>45.7140995201005</v>
      </c>
      <c r="V681" s="54" t="b">
        <f aca="false">AND(D681&gt;=01_因子設定!$L$5-0.000000001,D681&lt;=01_因子設定!$M$5+0.000000001,E681&gt;=01_因子設定!$L$6-0.000000001,E681&lt;=01_因子設定!$M$6+0.000000001,F681&gt;=01_因子設定!$L$7-0.000000001,F681&lt;=01_因子設定!$M$7+0.000000001,IF(01_因子設定!$B$20="Box-Behnken",D681^2+E681^2+F681^2&lt;=2+0.000000001,TRUE()))</f>
        <v>1</v>
      </c>
      <c r="W681" s="55" t="n">
        <f aca="false">IF(V681,IF(01_因子設定!$B$13="最大化",T681-01_因子設定!$B$14,IF(01_因子設定!$B$13="最小化",01_因子設定!$B$15-U681,MIN(T681-01_因子設定!$B$14,01_因子設定!$B$15-U681))),-1E+030)</f>
        <v>-4.86787792919144</v>
      </c>
      <c r="X681" s="55" t="n">
        <f aca="false">IF(V681,IF(01_因子設定!$B$13="最大化",Q681,IF(01_因子設定!$B$13="最小化",-Q681,-ABS(Q681-01_因子設定!$B$16))),-1E+030)</f>
        <v>44.6731107954546</v>
      </c>
      <c r="Y681" s="55" t="n">
        <f aca="false">W681+ROW()*0.000000001</f>
        <v>-4.86787724819144</v>
      </c>
      <c r="Z681" s="55" t="n">
        <f aca="false">X681+ROW()*0.000000001</f>
        <v>44.6731114764546</v>
      </c>
    </row>
    <row r="682" customFormat="false" ht="15" hidden="false" customHeight="false" outlineLevel="0" collapsed="false">
      <c r="A682" s="0" t="n">
        <v>2</v>
      </c>
      <c r="B682" s="0" t="n">
        <v>5</v>
      </c>
      <c r="C682" s="0" t="n">
        <v>14</v>
      </c>
      <c r="D682" s="0" t="n">
        <f aca="false">-1+A682*0.125</f>
        <v>-0.75</v>
      </c>
      <c r="E682" s="0" t="n">
        <f aca="false">-1+B682*0.125</f>
        <v>-0.375</v>
      </c>
      <c r="F682" s="0" t="n">
        <f aca="false">-1+C682*0.125</f>
        <v>0.75</v>
      </c>
      <c r="G682" s="0" t="n">
        <f aca="false">1</f>
        <v>1</v>
      </c>
      <c r="H682" s="0" t="n">
        <f aca="false">D682</f>
        <v>-0.75</v>
      </c>
      <c r="I682" s="0" t="n">
        <f aca="false">E682</f>
        <v>-0.375</v>
      </c>
      <c r="J682" s="0" t="n">
        <f aca="false">F682</f>
        <v>0.75</v>
      </c>
      <c r="K682" s="0" t="n">
        <f aca="false">D682*E682</f>
        <v>0.28125</v>
      </c>
      <c r="L682" s="0" t="n">
        <f aca="false">D682*F682</f>
        <v>-0.5625</v>
      </c>
      <c r="M682" s="0" t="n">
        <f aca="false">E682*F682</f>
        <v>-0.28125</v>
      </c>
      <c r="N682" s="0" t="n">
        <f aca="false">D682*D682</f>
        <v>0.5625</v>
      </c>
      <c r="O682" s="0" t="n">
        <f aca="false">E682*E682</f>
        <v>0.140625</v>
      </c>
      <c r="P682" s="0" t="n">
        <f aca="false">F682*F682</f>
        <v>0.5625</v>
      </c>
      <c r="Q682" s="0" t="n">
        <f aca="false">SUMPRODUCT(G682:P682,_XtX!$B$71:$K$71)</f>
        <v>44.6362357954546</v>
      </c>
      <c r="R682" s="0" t="n">
        <f aca="false">SUMPRODUCT(MMULT(G682:P682,_XtX!$B$58:$K$67),G682:P682)</f>
        <v>0.296879438920455</v>
      </c>
      <c r="S682" s="0" t="n">
        <f aca="false">04_回帰ANOVA!$K$19*04_回帰ANOVA!$K$14*SQRT(1+R682)</f>
        <v>1.05880610927316</v>
      </c>
      <c r="T682" s="0" t="n">
        <f aca="false">Q682-S682</f>
        <v>43.5774296861814</v>
      </c>
      <c r="U682" s="0" t="n">
        <f aca="false">Q682+S682</f>
        <v>45.6950419047277</v>
      </c>
      <c r="V682" s="54" t="b">
        <f aca="false">AND(D682&gt;=01_因子設定!$L$5-0.000000001,D682&lt;=01_因子設定!$M$5+0.000000001,E682&gt;=01_因子設定!$L$6-0.000000001,E682&lt;=01_因子設定!$M$6+0.000000001,F682&gt;=01_因子設定!$L$7-0.000000001,F682&lt;=01_因子設定!$M$7+0.000000001,IF(01_因子設定!$B$20="Box-Behnken",D682^2+E682^2+F682^2&lt;=2+0.000000001,TRUE()))</f>
        <v>1</v>
      </c>
      <c r="W682" s="55" t="n">
        <f aca="false">IF(V682,IF(01_因子設定!$B$13="最大化",T682-01_因子設定!$B$14,IF(01_因子設定!$B$13="最小化",01_因子設定!$B$15-U682,MIN(T682-01_因子設定!$B$14,01_因子設定!$B$15-U682))),-1E+030)</f>
        <v>-4.92257031381861</v>
      </c>
      <c r="X682" s="55" t="n">
        <f aca="false">IF(V682,IF(01_因子設定!$B$13="最大化",Q682,IF(01_因子設定!$B$13="最小化",-Q682,-ABS(Q682-01_因子設定!$B$16))),-1E+030)</f>
        <v>44.6362357954546</v>
      </c>
      <c r="Y682" s="55" t="n">
        <f aca="false">W682+ROW()*0.000000001</f>
        <v>-4.92256963181861</v>
      </c>
      <c r="Z682" s="55" t="n">
        <f aca="false">X682+ROW()*0.000000001</f>
        <v>44.6362364774546</v>
      </c>
    </row>
    <row r="683" customFormat="false" ht="15" hidden="false" customHeight="false" outlineLevel="0" collapsed="false">
      <c r="A683" s="0" t="n">
        <v>2</v>
      </c>
      <c r="B683" s="0" t="n">
        <v>5</v>
      </c>
      <c r="C683" s="0" t="n">
        <v>15</v>
      </c>
      <c r="D683" s="0" t="n">
        <f aca="false">-1+A683*0.125</f>
        <v>-0.75</v>
      </c>
      <c r="E683" s="0" t="n">
        <f aca="false">-1+B683*0.125</f>
        <v>-0.375</v>
      </c>
      <c r="F683" s="0" t="n">
        <f aca="false">-1+C683*0.125</f>
        <v>0.875</v>
      </c>
      <c r="G683" s="0" t="n">
        <f aca="false">1</f>
        <v>1</v>
      </c>
      <c r="H683" s="0" t="n">
        <f aca="false">D683</f>
        <v>-0.75</v>
      </c>
      <c r="I683" s="0" t="n">
        <f aca="false">E683</f>
        <v>-0.375</v>
      </c>
      <c r="J683" s="0" t="n">
        <f aca="false">F683</f>
        <v>0.875</v>
      </c>
      <c r="K683" s="0" t="n">
        <f aca="false">D683*E683</f>
        <v>0.28125</v>
      </c>
      <c r="L683" s="0" t="n">
        <f aca="false">D683*F683</f>
        <v>-0.65625</v>
      </c>
      <c r="M683" s="0" t="n">
        <f aca="false">E683*F683</f>
        <v>-0.328125</v>
      </c>
      <c r="N683" s="0" t="n">
        <f aca="false">D683*D683</f>
        <v>0.5625</v>
      </c>
      <c r="O683" s="0" t="n">
        <f aca="false">E683*E683</f>
        <v>0.140625</v>
      </c>
      <c r="P683" s="0" t="n">
        <f aca="false">F683*F683</f>
        <v>0.765625</v>
      </c>
      <c r="Q683" s="0" t="n">
        <f aca="false">SUMPRODUCT(G683:P683,_XtX!$B$71:$K$71)</f>
        <v>44.5625710227273</v>
      </c>
      <c r="R683" s="0" t="n">
        <f aca="false">SUMPRODUCT(MMULT(G683:P683,_XtX!$B$58:$K$67),G683:P683)</f>
        <v>0.375727428089489</v>
      </c>
      <c r="S683" s="0" t="n">
        <f aca="false">04_回帰ANOVA!$K$19*04_回帰ANOVA!$K$14*SQRT(1+R683)</f>
        <v>1.09051798904087</v>
      </c>
      <c r="T683" s="0" t="n">
        <f aca="false">Q683-S683</f>
        <v>43.4720530336864</v>
      </c>
      <c r="U683" s="0" t="n">
        <f aca="false">Q683+S683</f>
        <v>45.6530890117682</v>
      </c>
      <c r="V683" s="54" t="b">
        <f aca="false">AND(D683&gt;=01_因子設定!$L$5-0.000000001,D683&lt;=01_因子設定!$M$5+0.000000001,E683&gt;=01_因子設定!$L$6-0.000000001,E683&lt;=01_因子設定!$M$6+0.000000001,F683&gt;=01_因子設定!$L$7-0.000000001,F683&lt;=01_因子設定!$M$7+0.000000001,IF(01_因子設定!$B$20="Box-Behnken",D683^2+E683^2+F683^2&lt;=2+0.000000001,TRUE()))</f>
        <v>1</v>
      </c>
      <c r="W683" s="55" t="n">
        <f aca="false">IF(V683,IF(01_因子設定!$B$13="最大化",T683-01_因子設定!$B$14,IF(01_因子設定!$B$13="最小化",01_因子設定!$B$15-U683,MIN(T683-01_因子設定!$B$14,01_因子設定!$B$15-U683))),-1E+030)</f>
        <v>-5.02794696631359</v>
      </c>
      <c r="X683" s="55" t="n">
        <f aca="false">IF(V683,IF(01_因子設定!$B$13="最大化",Q683,IF(01_因子設定!$B$13="最小化",-Q683,-ABS(Q683-01_因子設定!$B$16))),-1E+030)</f>
        <v>44.5625710227273</v>
      </c>
      <c r="Y683" s="55" t="n">
        <f aca="false">W683+ROW()*0.000000001</f>
        <v>-5.02794628331359</v>
      </c>
      <c r="Z683" s="55" t="n">
        <f aca="false">X683+ROW()*0.000000001</f>
        <v>44.5625717057273</v>
      </c>
    </row>
    <row r="684" customFormat="false" ht="15" hidden="false" customHeight="false" outlineLevel="0" collapsed="false">
      <c r="A684" s="0" t="n">
        <v>2</v>
      </c>
      <c r="B684" s="0" t="n">
        <v>5</v>
      </c>
      <c r="C684" s="0" t="n">
        <v>16</v>
      </c>
      <c r="D684" s="0" t="n">
        <f aca="false">-1+A684*0.125</f>
        <v>-0.75</v>
      </c>
      <c r="E684" s="0" t="n">
        <f aca="false">-1+B684*0.125</f>
        <v>-0.375</v>
      </c>
      <c r="F684" s="0" t="n">
        <f aca="false">-1+C684*0.125</f>
        <v>1</v>
      </c>
      <c r="G684" s="0" t="n">
        <f aca="false">1</f>
        <v>1</v>
      </c>
      <c r="H684" s="0" t="n">
        <f aca="false">D684</f>
        <v>-0.75</v>
      </c>
      <c r="I684" s="0" t="n">
        <f aca="false">E684</f>
        <v>-0.375</v>
      </c>
      <c r="J684" s="0" t="n">
        <f aca="false">F684</f>
        <v>1</v>
      </c>
      <c r="K684" s="0" t="n">
        <f aca="false">D684*E684</f>
        <v>0.28125</v>
      </c>
      <c r="L684" s="0" t="n">
        <f aca="false">D684*F684</f>
        <v>-0.75</v>
      </c>
      <c r="M684" s="0" t="n">
        <f aca="false">E684*F684</f>
        <v>-0.375</v>
      </c>
      <c r="N684" s="0" t="n">
        <f aca="false">D684*D684</f>
        <v>0.5625</v>
      </c>
      <c r="O684" s="0" t="n">
        <f aca="false">E684*E684</f>
        <v>0.140625</v>
      </c>
      <c r="P684" s="0" t="n">
        <f aca="false">F684*F684</f>
        <v>1</v>
      </c>
      <c r="Q684" s="0" t="n">
        <f aca="false">SUMPRODUCT(G684:P684,_XtX!$B$71:$K$71)</f>
        <v>44.4521164772727</v>
      </c>
      <c r="R684" s="0" t="n">
        <f aca="false">SUMPRODUCT(MMULT(G684:P684,_XtX!$B$58:$K$67),G684:P684)</f>
        <v>0.503992808948864</v>
      </c>
      <c r="S684" s="0" t="n">
        <f aca="false">04_回帰ANOVA!$K$19*04_回帰ANOVA!$K$14*SQRT(1+R684)</f>
        <v>1.14022226176226</v>
      </c>
      <c r="T684" s="0" t="n">
        <f aca="false">Q684-S684</f>
        <v>43.3118942155105</v>
      </c>
      <c r="U684" s="0" t="n">
        <f aca="false">Q684+S684</f>
        <v>45.592338739035</v>
      </c>
      <c r="V684" s="54" t="b">
        <f aca="false">AND(D684&gt;=01_因子設定!$L$5-0.000000001,D684&lt;=01_因子設定!$M$5+0.000000001,E684&gt;=01_因子設定!$L$6-0.000000001,E684&lt;=01_因子設定!$M$6+0.000000001,F684&gt;=01_因子設定!$L$7-0.000000001,F684&lt;=01_因子設定!$M$7+0.000000001,IF(01_因子設定!$B$20="Box-Behnken",D684^2+E684^2+F684^2&lt;=2+0.000000001,TRUE()))</f>
        <v>1</v>
      </c>
      <c r="W684" s="55" t="n">
        <f aca="false">IF(V684,IF(01_因子設定!$B$13="最大化",T684-01_因子設定!$B$14,IF(01_因子設定!$B$13="最小化",01_因子設定!$B$15-U684,MIN(T684-01_因子設定!$B$14,01_因子設定!$B$15-U684))),-1E+030)</f>
        <v>-5.18810578448952</v>
      </c>
      <c r="X684" s="55" t="n">
        <f aca="false">IF(V684,IF(01_因子設定!$B$13="最大化",Q684,IF(01_因子設定!$B$13="最小化",-Q684,-ABS(Q684-01_因子設定!$B$16))),-1E+030)</f>
        <v>44.4521164772727</v>
      </c>
      <c r="Y684" s="55" t="n">
        <f aca="false">W684+ROW()*0.000000001</f>
        <v>-5.18810510048952</v>
      </c>
      <c r="Z684" s="55" t="n">
        <f aca="false">X684+ROW()*0.000000001</f>
        <v>44.4521171612727</v>
      </c>
    </row>
    <row r="685" customFormat="false" ht="15" hidden="false" customHeight="false" outlineLevel="0" collapsed="false">
      <c r="A685" s="0" t="n">
        <v>2</v>
      </c>
      <c r="B685" s="0" t="n">
        <v>6</v>
      </c>
      <c r="C685" s="0" t="n">
        <v>0</v>
      </c>
      <c r="D685" s="0" t="n">
        <f aca="false">-1+A685*0.125</f>
        <v>-0.75</v>
      </c>
      <c r="E685" s="0" t="n">
        <f aca="false">-1+B685*0.125</f>
        <v>-0.25</v>
      </c>
      <c r="F685" s="0" t="n">
        <f aca="false">-1+C685*0.125</f>
        <v>-1</v>
      </c>
      <c r="G685" s="0" t="n">
        <f aca="false">1</f>
        <v>1</v>
      </c>
      <c r="H685" s="0" t="n">
        <f aca="false">D685</f>
        <v>-0.75</v>
      </c>
      <c r="I685" s="0" t="n">
        <f aca="false">E685</f>
        <v>-0.25</v>
      </c>
      <c r="J685" s="0" t="n">
        <f aca="false">F685</f>
        <v>-1</v>
      </c>
      <c r="K685" s="0" t="n">
        <f aca="false">D685*E685</f>
        <v>0.1875</v>
      </c>
      <c r="L685" s="0" t="n">
        <f aca="false">D685*F685</f>
        <v>0.75</v>
      </c>
      <c r="M685" s="0" t="n">
        <f aca="false">E685*F685</f>
        <v>0.25</v>
      </c>
      <c r="N685" s="0" t="n">
        <f aca="false">D685*D685</f>
        <v>0.5625</v>
      </c>
      <c r="O685" s="0" t="n">
        <f aca="false">E685*E685</f>
        <v>0.0625</v>
      </c>
      <c r="P685" s="0" t="n">
        <f aca="false">F685*F685</f>
        <v>1</v>
      </c>
      <c r="Q685" s="0" t="n">
        <f aca="false">SUMPRODUCT(G685:P685,_XtX!$B$71:$K$71)</f>
        <v>42.0506534090909</v>
      </c>
      <c r="R685" s="0" t="n">
        <f aca="false">SUMPRODUCT(MMULT(G685:P685,_XtX!$B$58:$K$67),G685:P685)</f>
        <v>0.515545099431818</v>
      </c>
      <c r="S685" s="0" t="n">
        <f aca="false">04_回帰ANOVA!$K$19*04_回帰ANOVA!$K$14*SQRT(1+R685)</f>
        <v>1.14459295464101</v>
      </c>
      <c r="T685" s="0" t="n">
        <f aca="false">Q685-S685</f>
        <v>40.9060604544499</v>
      </c>
      <c r="U685" s="0" t="n">
        <f aca="false">Q685+S685</f>
        <v>43.1952463637319</v>
      </c>
      <c r="V685" s="54" t="b">
        <f aca="false">AND(D685&gt;=01_因子設定!$L$5-0.000000001,D685&lt;=01_因子設定!$M$5+0.000000001,E685&gt;=01_因子設定!$L$6-0.000000001,E685&lt;=01_因子設定!$M$6+0.000000001,F685&gt;=01_因子設定!$L$7-0.000000001,F685&lt;=01_因子設定!$M$7+0.000000001,IF(01_因子設定!$B$20="Box-Behnken",D685^2+E685^2+F685^2&lt;=2+0.000000001,TRUE()))</f>
        <v>1</v>
      </c>
      <c r="W685" s="55" t="n">
        <f aca="false">IF(V685,IF(01_因子設定!$B$13="最大化",T685-01_因子設定!$B$14,IF(01_因子設定!$B$13="最小化",01_因子設定!$B$15-U685,MIN(T685-01_因子設定!$B$14,01_因子設定!$B$15-U685))),-1E+030)</f>
        <v>-7.59393954555009</v>
      </c>
      <c r="X685" s="55" t="n">
        <f aca="false">IF(V685,IF(01_因子設定!$B$13="最大化",Q685,IF(01_因子設定!$B$13="最小化",-Q685,-ABS(Q685-01_因子設定!$B$16))),-1E+030)</f>
        <v>42.0506534090909</v>
      </c>
      <c r="Y685" s="55" t="n">
        <f aca="false">W685+ROW()*0.000000001</f>
        <v>-7.59393886055009</v>
      </c>
      <c r="Z685" s="55" t="n">
        <f aca="false">X685+ROW()*0.000000001</f>
        <v>42.0506540940909</v>
      </c>
    </row>
    <row r="686" customFormat="false" ht="15" hidden="false" customHeight="false" outlineLevel="0" collapsed="false">
      <c r="A686" s="0" t="n">
        <v>2</v>
      </c>
      <c r="B686" s="0" t="n">
        <v>6</v>
      </c>
      <c r="C686" s="0" t="n">
        <v>1</v>
      </c>
      <c r="D686" s="0" t="n">
        <f aca="false">-1+A686*0.125</f>
        <v>-0.75</v>
      </c>
      <c r="E686" s="0" t="n">
        <f aca="false">-1+B686*0.125</f>
        <v>-0.25</v>
      </c>
      <c r="F686" s="0" t="n">
        <f aca="false">-1+C686*0.125</f>
        <v>-0.875</v>
      </c>
      <c r="G686" s="0" t="n">
        <f aca="false">1</f>
        <v>1</v>
      </c>
      <c r="H686" s="0" t="n">
        <f aca="false">D686</f>
        <v>-0.75</v>
      </c>
      <c r="I686" s="0" t="n">
        <f aca="false">E686</f>
        <v>-0.25</v>
      </c>
      <c r="J686" s="0" t="n">
        <f aca="false">F686</f>
        <v>-0.875</v>
      </c>
      <c r="K686" s="0" t="n">
        <f aca="false">D686*E686</f>
        <v>0.1875</v>
      </c>
      <c r="L686" s="0" t="n">
        <f aca="false">D686*F686</f>
        <v>0.65625</v>
      </c>
      <c r="M686" s="0" t="n">
        <f aca="false">E686*F686</f>
        <v>0.21875</v>
      </c>
      <c r="N686" s="0" t="n">
        <f aca="false">D686*D686</f>
        <v>0.5625</v>
      </c>
      <c r="O686" s="0" t="n">
        <f aca="false">E686*E686</f>
        <v>0.0625</v>
      </c>
      <c r="P686" s="0" t="n">
        <f aca="false">F686*F686</f>
        <v>0.765625</v>
      </c>
      <c r="Q686" s="0" t="n">
        <f aca="false">SUMPRODUCT(G686:P686,_XtX!$B$71:$K$71)</f>
        <v>42.4990767045455</v>
      </c>
      <c r="R686" s="0" t="n">
        <f aca="false">SUMPRODUCT(MMULT(G686:P686,_XtX!$B$58:$K$67),G686:P686)</f>
        <v>0.384574751420455</v>
      </c>
      <c r="S686" s="0" t="n">
        <f aca="false">04_回帰ANOVA!$K$19*04_回帰ANOVA!$K$14*SQRT(1+R686)</f>
        <v>1.0940189380139</v>
      </c>
      <c r="T686" s="0" t="n">
        <f aca="false">Q686-S686</f>
        <v>41.4050577665316</v>
      </c>
      <c r="U686" s="0" t="n">
        <f aca="false">Q686+S686</f>
        <v>43.5930956425594</v>
      </c>
      <c r="V686" s="54" t="b">
        <f aca="false">AND(D686&gt;=01_因子設定!$L$5-0.000000001,D686&lt;=01_因子設定!$M$5+0.000000001,E686&gt;=01_因子設定!$L$6-0.000000001,E686&lt;=01_因子設定!$M$6+0.000000001,F686&gt;=01_因子設定!$L$7-0.000000001,F686&lt;=01_因子設定!$M$7+0.000000001,IF(01_因子設定!$B$20="Box-Behnken",D686^2+E686^2+F686^2&lt;=2+0.000000001,TRUE()))</f>
        <v>1</v>
      </c>
      <c r="W686" s="55" t="n">
        <f aca="false">IF(V686,IF(01_因子設定!$B$13="最大化",T686-01_因子設定!$B$14,IF(01_因子設定!$B$13="最小化",01_因子設定!$B$15-U686,MIN(T686-01_因子設定!$B$14,01_因子設定!$B$15-U686))),-1E+030)</f>
        <v>-7.09494223346844</v>
      </c>
      <c r="X686" s="55" t="n">
        <f aca="false">IF(V686,IF(01_因子設定!$B$13="最大化",Q686,IF(01_因子設定!$B$13="最小化",-Q686,-ABS(Q686-01_因子設定!$B$16))),-1E+030)</f>
        <v>42.4990767045455</v>
      </c>
      <c r="Y686" s="55" t="n">
        <f aca="false">W686+ROW()*0.000000001</f>
        <v>-7.09494154746844</v>
      </c>
      <c r="Z686" s="55" t="n">
        <f aca="false">X686+ROW()*0.000000001</f>
        <v>42.4990773905455</v>
      </c>
    </row>
    <row r="687" customFormat="false" ht="15" hidden="false" customHeight="false" outlineLevel="0" collapsed="false">
      <c r="A687" s="0" t="n">
        <v>2</v>
      </c>
      <c r="B687" s="0" t="n">
        <v>6</v>
      </c>
      <c r="C687" s="0" t="n">
        <v>2</v>
      </c>
      <c r="D687" s="0" t="n">
        <f aca="false">-1+A687*0.125</f>
        <v>-0.75</v>
      </c>
      <c r="E687" s="0" t="n">
        <f aca="false">-1+B687*0.125</f>
        <v>-0.25</v>
      </c>
      <c r="F687" s="0" t="n">
        <f aca="false">-1+C687*0.125</f>
        <v>-0.75</v>
      </c>
      <c r="G687" s="0" t="n">
        <f aca="false">1</f>
        <v>1</v>
      </c>
      <c r="H687" s="0" t="n">
        <f aca="false">D687</f>
        <v>-0.75</v>
      </c>
      <c r="I687" s="0" t="n">
        <f aca="false">E687</f>
        <v>-0.25</v>
      </c>
      <c r="J687" s="0" t="n">
        <f aca="false">F687</f>
        <v>-0.75</v>
      </c>
      <c r="K687" s="0" t="n">
        <f aca="false">D687*E687</f>
        <v>0.1875</v>
      </c>
      <c r="L687" s="0" t="n">
        <f aca="false">D687*F687</f>
        <v>0.5625</v>
      </c>
      <c r="M687" s="0" t="n">
        <f aca="false">E687*F687</f>
        <v>0.1875</v>
      </c>
      <c r="N687" s="0" t="n">
        <f aca="false">D687*D687</f>
        <v>0.5625</v>
      </c>
      <c r="O687" s="0" t="n">
        <f aca="false">E687*E687</f>
        <v>0.0625</v>
      </c>
      <c r="P687" s="0" t="n">
        <f aca="false">F687*F687</f>
        <v>0.5625</v>
      </c>
      <c r="Q687" s="0" t="n">
        <f aca="false">SUMPRODUCT(G687:P687,_XtX!$B$71:$K$71)</f>
        <v>42.9107102272727</v>
      </c>
      <c r="R687" s="0" t="n">
        <f aca="false">SUMPRODUCT(MMULT(G687:P687,_XtX!$B$58:$K$67),G687:P687)</f>
        <v>0.303382457386364</v>
      </c>
      <c r="S687" s="0" t="n">
        <f aca="false">04_回帰ANOVA!$K$19*04_回帰ANOVA!$K$14*SQRT(1+R687)</f>
        <v>1.06145740650883</v>
      </c>
      <c r="T687" s="0" t="n">
        <f aca="false">Q687-S687</f>
        <v>41.8492528207639</v>
      </c>
      <c r="U687" s="0" t="n">
        <f aca="false">Q687+S687</f>
        <v>43.9721676337816</v>
      </c>
      <c r="V687" s="54" t="b">
        <f aca="false">AND(D687&gt;=01_因子設定!$L$5-0.000000001,D687&lt;=01_因子設定!$M$5+0.000000001,E687&gt;=01_因子設定!$L$6-0.000000001,E687&lt;=01_因子設定!$M$6+0.000000001,F687&gt;=01_因子設定!$L$7-0.000000001,F687&lt;=01_因子設定!$M$7+0.000000001,IF(01_因子設定!$B$20="Box-Behnken",D687^2+E687^2+F687^2&lt;=2+0.000000001,TRUE()))</f>
        <v>1</v>
      </c>
      <c r="W687" s="55" t="n">
        <f aca="false">IF(V687,IF(01_因子設定!$B$13="最大化",T687-01_因子設定!$B$14,IF(01_因子設定!$B$13="最小化",01_因子設定!$B$15-U687,MIN(T687-01_因子設定!$B$14,01_因子設定!$B$15-U687))),-1E+030)</f>
        <v>-6.6507471792361</v>
      </c>
      <c r="X687" s="55" t="n">
        <f aca="false">IF(V687,IF(01_因子設定!$B$13="最大化",Q687,IF(01_因子設定!$B$13="最小化",-Q687,-ABS(Q687-01_因子設定!$B$16))),-1E+030)</f>
        <v>42.9107102272727</v>
      </c>
      <c r="Y687" s="55" t="n">
        <f aca="false">W687+ROW()*0.000000001</f>
        <v>-6.6507464922361</v>
      </c>
      <c r="Z687" s="55" t="n">
        <f aca="false">X687+ROW()*0.000000001</f>
        <v>42.9107109142727</v>
      </c>
    </row>
    <row r="688" customFormat="false" ht="15" hidden="false" customHeight="false" outlineLevel="0" collapsed="false">
      <c r="A688" s="0" t="n">
        <v>2</v>
      </c>
      <c r="B688" s="0" t="n">
        <v>6</v>
      </c>
      <c r="C688" s="0" t="n">
        <v>3</v>
      </c>
      <c r="D688" s="0" t="n">
        <f aca="false">-1+A688*0.125</f>
        <v>-0.75</v>
      </c>
      <c r="E688" s="0" t="n">
        <f aca="false">-1+B688*0.125</f>
        <v>-0.25</v>
      </c>
      <c r="F688" s="0" t="n">
        <f aca="false">-1+C688*0.125</f>
        <v>-0.625</v>
      </c>
      <c r="G688" s="0" t="n">
        <f aca="false">1</f>
        <v>1</v>
      </c>
      <c r="H688" s="0" t="n">
        <f aca="false">D688</f>
        <v>-0.75</v>
      </c>
      <c r="I688" s="0" t="n">
        <f aca="false">E688</f>
        <v>-0.25</v>
      </c>
      <c r="J688" s="0" t="n">
        <f aca="false">F688</f>
        <v>-0.625</v>
      </c>
      <c r="K688" s="0" t="n">
        <f aca="false">D688*E688</f>
        <v>0.1875</v>
      </c>
      <c r="L688" s="0" t="n">
        <f aca="false">D688*F688</f>
        <v>0.46875</v>
      </c>
      <c r="M688" s="0" t="n">
        <f aca="false">E688*F688</f>
        <v>0.15625</v>
      </c>
      <c r="N688" s="0" t="n">
        <f aca="false">D688*D688</f>
        <v>0.5625</v>
      </c>
      <c r="O688" s="0" t="n">
        <f aca="false">E688*E688</f>
        <v>0.0625</v>
      </c>
      <c r="P688" s="0" t="n">
        <f aca="false">F688*F688</f>
        <v>0.390625</v>
      </c>
      <c r="Q688" s="0" t="n">
        <f aca="false">SUMPRODUCT(G688:P688,_XtX!$B$71:$K$71)</f>
        <v>43.2855539772727</v>
      </c>
      <c r="R688" s="0" t="n">
        <f aca="false">SUMPRODUCT(MMULT(G688:P688,_XtX!$B$58:$K$67),G688:P688)</f>
        <v>0.258118785511364</v>
      </c>
      <c r="S688" s="0" t="n">
        <f aca="false">04_回帰ANOVA!$K$19*04_回帰ANOVA!$K$14*SQRT(1+R688)</f>
        <v>1.04286348094876</v>
      </c>
      <c r="T688" s="0" t="n">
        <f aca="false">Q688-S688</f>
        <v>42.242690496324</v>
      </c>
      <c r="U688" s="0" t="n">
        <f aca="false">Q688+S688</f>
        <v>44.3284174582215</v>
      </c>
      <c r="V688" s="54" t="b">
        <f aca="false">AND(D688&gt;=01_因子設定!$L$5-0.000000001,D688&lt;=01_因子設定!$M$5+0.000000001,E688&gt;=01_因子設定!$L$6-0.000000001,E688&lt;=01_因子設定!$M$6+0.000000001,F688&gt;=01_因子設定!$L$7-0.000000001,F688&lt;=01_因子設定!$M$7+0.000000001,IF(01_因子設定!$B$20="Box-Behnken",D688^2+E688^2+F688^2&lt;=2+0.000000001,TRUE()))</f>
        <v>1</v>
      </c>
      <c r="W688" s="55" t="n">
        <f aca="false">IF(V688,IF(01_因子設定!$B$13="最大化",T688-01_因子設定!$B$14,IF(01_因子設定!$B$13="最小化",01_因子設定!$B$15-U688,MIN(T688-01_因子設定!$B$14,01_因子設定!$B$15-U688))),-1E+030)</f>
        <v>-6.25730950367603</v>
      </c>
      <c r="X688" s="55" t="n">
        <f aca="false">IF(V688,IF(01_因子設定!$B$13="最大化",Q688,IF(01_因子設定!$B$13="最小化",-Q688,-ABS(Q688-01_因子設定!$B$16))),-1E+030)</f>
        <v>43.2855539772727</v>
      </c>
      <c r="Y688" s="55" t="n">
        <f aca="false">W688+ROW()*0.000000001</f>
        <v>-6.25730881567603</v>
      </c>
      <c r="Z688" s="55" t="n">
        <f aca="false">X688+ROW()*0.000000001</f>
        <v>43.2855546652727</v>
      </c>
    </row>
    <row r="689" customFormat="false" ht="15" hidden="false" customHeight="false" outlineLevel="0" collapsed="false">
      <c r="A689" s="0" t="n">
        <v>2</v>
      </c>
      <c r="B689" s="0" t="n">
        <v>6</v>
      </c>
      <c r="C689" s="0" t="n">
        <v>4</v>
      </c>
      <c r="D689" s="0" t="n">
        <f aca="false">-1+A689*0.125</f>
        <v>-0.75</v>
      </c>
      <c r="E689" s="0" t="n">
        <f aca="false">-1+B689*0.125</f>
        <v>-0.25</v>
      </c>
      <c r="F689" s="0" t="n">
        <f aca="false">-1+C689*0.125</f>
        <v>-0.5</v>
      </c>
      <c r="G689" s="0" t="n">
        <f aca="false">1</f>
        <v>1</v>
      </c>
      <c r="H689" s="0" t="n">
        <f aca="false">D689</f>
        <v>-0.75</v>
      </c>
      <c r="I689" s="0" t="n">
        <f aca="false">E689</f>
        <v>-0.25</v>
      </c>
      <c r="J689" s="0" t="n">
        <f aca="false">F689</f>
        <v>-0.5</v>
      </c>
      <c r="K689" s="0" t="n">
        <f aca="false">D689*E689</f>
        <v>0.1875</v>
      </c>
      <c r="L689" s="0" t="n">
        <f aca="false">D689*F689</f>
        <v>0.375</v>
      </c>
      <c r="M689" s="0" t="n">
        <f aca="false">E689*F689</f>
        <v>0.125</v>
      </c>
      <c r="N689" s="0" t="n">
        <f aca="false">D689*D689</f>
        <v>0.5625</v>
      </c>
      <c r="O689" s="0" t="n">
        <f aca="false">E689*E689</f>
        <v>0.0625</v>
      </c>
      <c r="P689" s="0" t="n">
        <f aca="false">F689*F689</f>
        <v>0.25</v>
      </c>
      <c r="Q689" s="0" t="n">
        <f aca="false">SUMPRODUCT(G689:P689,_XtX!$B$71:$K$71)</f>
        <v>43.6236079545455</v>
      </c>
      <c r="R689" s="0" t="n">
        <f aca="false">SUMPRODUCT(MMULT(G689:P689,_XtX!$B$58:$K$67),G689:P689)</f>
        <v>0.237064985795455</v>
      </c>
      <c r="S689" s="0" t="n">
        <f aca="false">04_回帰ANOVA!$K$19*04_回帰ANOVA!$K$14*SQRT(1+R689)</f>
        <v>1.03410084594745</v>
      </c>
      <c r="T689" s="0" t="n">
        <f aca="false">Q689-S689</f>
        <v>42.589507108598</v>
      </c>
      <c r="U689" s="0" t="n">
        <f aca="false">Q689+S689</f>
        <v>44.6577088004929</v>
      </c>
      <c r="V689" s="54" t="b">
        <f aca="false">AND(D689&gt;=01_因子設定!$L$5-0.000000001,D689&lt;=01_因子設定!$M$5+0.000000001,E689&gt;=01_因子設定!$L$6-0.000000001,E689&lt;=01_因子設定!$M$6+0.000000001,F689&gt;=01_因子設定!$L$7-0.000000001,F689&lt;=01_因子設定!$M$7+0.000000001,IF(01_因子設定!$B$20="Box-Behnken",D689^2+E689^2+F689^2&lt;=2+0.000000001,TRUE()))</f>
        <v>1</v>
      </c>
      <c r="W689" s="55" t="n">
        <f aca="false">IF(V689,IF(01_因子設定!$B$13="最大化",T689-01_因子設定!$B$14,IF(01_因子設定!$B$13="最小化",01_因子設定!$B$15-U689,MIN(T689-01_因子設定!$B$14,01_因子設定!$B$15-U689))),-1E+030)</f>
        <v>-5.91049289140199</v>
      </c>
      <c r="X689" s="55" t="n">
        <f aca="false">IF(V689,IF(01_因子設定!$B$13="最大化",Q689,IF(01_因子設定!$B$13="最小化",-Q689,-ABS(Q689-01_因子設定!$B$16))),-1E+030)</f>
        <v>43.6236079545455</v>
      </c>
      <c r="Y689" s="55" t="n">
        <f aca="false">W689+ROW()*0.000000001</f>
        <v>-5.91049220240199</v>
      </c>
      <c r="Z689" s="55" t="n">
        <f aca="false">X689+ROW()*0.000000001</f>
        <v>43.6236086435455</v>
      </c>
    </row>
    <row r="690" customFormat="false" ht="15" hidden="false" customHeight="false" outlineLevel="0" collapsed="false">
      <c r="A690" s="0" t="n">
        <v>2</v>
      </c>
      <c r="B690" s="0" t="n">
        <v>6</v>
      </c>
      <c r="C690" s="0" t="n">
        <v>5</v>
      </c>
      <c r="D690" s="0" t="n">
        <f aca="false">-1+A690*0.125</f>
        <v>-0.75</v>
      </c>
      <c r="E690" s="0" t="n">
        <f aca="false">-1+B690*0.125</f>
        <v>-0.25</v>
      </c>
      <c r="F690" s="0" t="n">
        <f aca="false">-1+C690*0.125</f>
        <v>-0.375</v>
      </c>
      <c r="G690" s="0" t="n">
        <f aca="false">1</f>
        <v>1</v>
      </c>
      <c r="H690" s="0" t="n">
        <f aca="false">D690</f>
        <v>-0.75</v>
      </c>
      <c r="I690" s="0" t="n">
        <f aca="false">E690</f>
        <v>-0.25</v>
      </c>
      <c r="J690" s="0" t="n">
        <f aca="false">F690</f>
        <v>-0.375</v>
      </c>
      <c r="K690" s="0" t="n">
        <f aca="false">D690*E690</f>
        <v>0.1875</v>
      </c>
      <c r="L690" s="0" t="n">
        <f aca="false">D690*F690</f>
        <v>0.28125</v>
      </c>
      <c r="M690" s="0" t="n">
        <f aca="false">E690*F690</f>
        <v>0.09375</v>
      </c>
      <c r="N690" s="0" t="n">
        <f aca="false">D690*D690</f>
        <v>0.5625</v>
      </c>
      <c r="O690" s="0" t="n">
        <f aca="false">E690*E690</f>
        <v>0.0625</v>
      </c>
      <c r="P690" s="0" t="n">
        <f aca="false">F690*F690</f>
        <v>0.140625</v>
      </c>
      <c r="Q690" s="0" t="n">
        <f aca="false">SUMPRODUCT(G690:P690,_XtX!$B$71:$K$71)</f>
        <v>43.9248721590909</v>
      </c>
      <c r="R690" s="0" t="n">
        <f aca="false">SUMPRODUCT(MMULT(G690:P690,_XtX!$B$58:$K$67),G690:P690)</f>
        <v>0.230632990056818</v>
      </c>
      <c r="S690" s="0" t="n">
        <f aca="false">04_回帰ANOVA!$K$19*04_回帰ANOVA!$K$14*SQRT(1+R690)</f>
        <v>1.03140899038819</v>
      </c>
      <c r="T690" s="0" t="n">
        <f aca="false">Q690-S690</f>
        <v>42.8934631687027</v>
      </c>
      <c r="U690" s="0" t="n">
        <f aca="false">Q690+S690</f>
        <v>44.9562811494791</v>
      </c>
      <c r="V690" s="54" t="b">
        <f aca="false">AND(D690&gt;=01_因子設定!$L$5-0.000000001,D690&lt;=01_因子設定!$M$5+0.000000001,E690&gt;=01_因子設定!$L$6-0.000000001,E690&lt;=01_因子設定!$M$6+0.000000001,F690&gt;=01_因子設定!$L$7-0.000000001,F690&lt;=01_因子設定!$M$7+0.000000001,IF(01_因子設定!$B$20="Box-Behnken",D690^2+E690^2+F690^2&lt;=2+0.000000001,TRUE()))</f>
        <v>1</v>
      </c>
      <c r="W690" s="55" t="n">
        <f aca="false">IF(V690,IF(01_因子設定!$B$13="最大化",T690-01_因子設定!$B$14,IF(01_因子設定!$B$13="最小化",01_因子設定!$B$15-U690,MIN(T690-01_因子設定!$B$14,01_因子設定!$B$15-U690))),-1E+030)</f>
        <v>-5.60653683129728</v>
      </c>
      <c r="X690" s="55" t="n">
        <f aca="false">IF(V690,IF(01_因子設定!$B$13="最大化",Q690,IF(01_因子設定!$B$13="最小化",-Q690,-ABS(Q690-01_因子設定!$B$16))),-1E+030)</f>
        <v>43.9248721590909</v>
      </c>
      <c r="Y690" s="55" t="n">
        <f aca="false">W690+ROW()*0.000000001</f>
        <v>-5.60653614129728</v>
      </c>
      <c r="Z690" s="55" t="n">
        <f aca="false">X690+ROW()*0.000000001</f>
        <v>43.9248728490909</v>
      </c>
    </row>
    <row r="691" customFormat="false" ht="15" hidden="false" customHeight="false" outlineLevel="0" collapsed="false">
      <c r="A691" s="0" t="n">
        <v>2</v>
      </c>
      <c r="B691" s="0" t="n">
        <v>6</v>
      </c>
      <c r="C691" s="0" t="n">
        <v>6</v>
      </c>
      <c r="D691" s="0" t="n">
        <f aca="false">-1+A691*0.125</f>
        <v>-0.75</v>
      </c>
      <c r="E691" s="0" t="n">
        <f aca="false">-1+B691*0.125</f>
        <v>-0.25</v>
      </c>
      <c r="F691" s="0" t="n">
        <f aca="false">-1+C691*0.125</f>
        <v>-0.25</v>
      </c>
      <c r="G691" s="0" t="n">
        <f aca="false">1</f>
        <v>1</v>
      </c>
      <c r="H691" s="0" t="n">
        <f aca="false">D691</f>
        <v>-0.75</v>
      </c>
      <c r="I691" s="0" t="n">
        <f aca="false">E691</f>
        <v>-0.25</v>
      </c>
      <c r="J691" s="0" t="n">
        <f aca="false">F691</f>
        <v>-0.25</v>
      </c>
      <c r="K691" s="0" t="n">
        <f aca="false">D691*E691</f>
        <v>0.1875</v>
      </c>
      <c r="L691" s="0" t="n">
        <f aca="false">D691*F691</f>
        <v>0.1875</v>
      </c>
      <c r="M691" s="0" t="n">
        <f aca="false">E691*F691</f>
        <v>0.0625</v>
      </c>
      <c r="N691" s="0" t="n">
        <f aca="false">D691*D691</f>
        <v>0.5625</v>
      </c>
      <c r="O691" s="0" t="n">
        <f aca="false">E691*E691</f>
        <v>0.0625</v>
      </c>
      <c r="P691" s="0" t="n">
        <f aca="false">F691*F691</f>
        <v>0.0625</v>
      </c>
      <c r="Q691" s="0" t="n">
        <f aca="false">SUMPRODUCT(G691:P691,_XtX!$B$71:$K$71)</f>
        <v>44.1893465909091</v>
      </c>
      <c r="R691" s="0" t="n">
        <f aca="false">SUMPRODUCT(MMULT(G691:P691,_XtX!$B$58:$K$67),G691:P691)</f>
        <v>0.231365411931818</v>
      </c>
      <c r="S691" s="0" t="n">
        <f aca="false">04_回帰ANOVA!$K$19*04_回帰ANOVA!$K$14*SQRT(1+R691)</f>
        <v>1.03171587072803</v>
      </c>
      <c r="T691" s="0" t="n">
        <f aca="false">Q691-S691</f>
        <v>43.1576307201811</v>
      </c>
      <c r="U691" s="0" t="n">
        <f aca="false">Q691+S691</f>
        <v>45.2210624616371</v>
      </c>
      <c r="V691" s="54" t="b">
        <f aca="false">AND(D691&gt;=01_因子設定!$L$5-0.000000001,D691&lt;=01_因子設定!$M$5+0.000000001,E691&gt;=01_因子設定!$L$6-0.000000001,E691&lt;=01_因子設定!$M$6+0.000000001,F691&gt;=01_因子設定!$L$7-0.000000001,F691&lt;=01_因子設定!$M$7+0.000000001,IF(01_因子設定!$B$20="Box-Behnken",D691^2+E691^2+F691^2&lt;=2+0.000000001,TRUE()))</f>
        <v>1</v>
      </c>
      <c r="W691" s="55" t="n">
        <f aca="false">IF(V691,IF(01_因子設定!$B$13="最大化",T691-01_因子設定!$B$14,IF(01_因子設定!$B$13="最小化",01_因子設定!$B$15-U691,MIN(T691-01_因子設定!$B$14,01_因子設定!$B$15-U691))),-1E+030)</f>
        <v>-5.34236927981894</v>
      </c>
      <c r="X691" s="55" t="n">
        <f aca="false">IF(V691,IF(01_因子設定!$B$13="最大化",Q691,IF(01_因子設定!$B$13="最小化",-Q691,-ABS(Q691-01_因子設定!$B$16))),-1E+030)</f>
        <v>44.1893465909091</v>
      </c>
      <c r="Y691" s="55" t="n">
        <f aca="false">W691+ROW()*0.000000001</f>
        <v>-5.34236858881894</v>
      </c>
      <c r="Z691" s="55" t="n">
        <f aca="false">X691+ROW()*0.000000001</f>
        <v>44.1893472819091</v>
      </c>
    </row>
    <row r="692" customFormat="false" ht="15" hidden="false" customHeight="false" outlineLevel="0" collapsed="false">
      <c r="A692" s="0" t="n">
        <v>2</v>
      </c>
      <c r="B692" s="0" t="n">
        <v>6</v>
      </c>
      <c r="C692" s="0" t="n">
        <v>7</v>
      </c>
      <c r="D692" s="0" t="n">
        <f aca="false">-1+A692*0.125</f>
        <v>-0.75</v>
      </c>
      <c r="E692" s="0" t="n">
        <f aca="false">-1+B692*0.125</f>
        <v>-0.25</v>
      </c>
      <c r="F692" s="0" t="n">
        <f aca="false">-1+C692*0.125</f>
        <v>-0.125</v>
      </c>
      <c r="G692" s="0" t="n">
        <f aca="false">1</f>
        <v>1</v>
      </c>
      <c r="H692" s="0" t="n">
        <f aca="false">D692</f>
        <v>-0.75</v>
      </c>
      <c r="I692" s="0" t="n">
        <f aca="false">E692</f>
        <v>-0.25</v>
      </c>
      <c r="J692" s="0" t="n">
        <f aca="false">F692</f>
        <v>-0.125</v>
      </c>
      <c r="K692" s="0" t="n">
        <f aca="false">D692*E692</f>
        <v>0.1875</v>
      </c>
      <c r="L692" s="0" t="n">
        <f aca="false">D692*F692</f>
        <v>0.09375</v>
      </c>
      <c r="M692" s="0" t="n">
        <f aca="false">E692*F692</f>
        <v>0.03125</v>
      </c>
      <c r="N692" s="0" t="n">
        <f aca="false">D692*D692</f>
        <v>0.5625</v>
      </c>
      <c r="O692" s="0" t="n">
        <f aca="false">E692*E692</f>
        <v>0.0625</v>
      </c>
      <c r="P692" s="0" t="n">
        <f aca="false">F692*F692</f>
        <v>0.015625</v>
      </c>
      <c r="Q692" s="0" t="n">
        <f aca="false">SUMPRODUCT(G692:P692,_XtX!$B$71:$K$71)</f>
        <v>44.41703125</v>
      </c>
      <c r="R692" s="0" t="n">
        <f aca="false">SUMPRODUCT(MMULT(G692:P692,_XtX!$B$58:$K$67),G692:P692)</f>
        <v>0.233935546875</v>
      </c>
      <c r="S692" s="0" t="n">
        <f aca="false">04_回帰ANOVA!$K$19*04_回帰ANOVA!$K$14*SQRT(1+R692)</f>
        <v>1.03279202033444</v>
      </c>
      <c r="T692" s="0" t="n">
        <f aca="false">Q692-S692</f>
        <v>43.3842392296656</v>
      </c>
      <c r="U692" s="0" t="n">
        <f aca="false">Q692+S692</f>
        <v>45.4498232703344</v>
      </c>
      <c r="V692" s="54" t="b">
        <f aca="false">AND(D692&gt;=01_因子設定!$L$5-0.000000001,D692&lt;=01_因子設定!$M$5+0.000000001,E692&gt;=01_因子設定!$L$6-0.000000001,E692&lt;=01_因子設定!$M$6+0.000000001,F692&gt;=01_因子設定!$L$7-0.000000001,F692&lt;=01_因子設定!$M$7+0.000000001,IF(01_因子設定!$B$20="Box-Behnken",D692^2+E692^2+F692^2&lt;=2+0.000000001,TRUE()))</f>
        <v>1</v>
      </c>
      <c r="W692" s="55" t="n">
        <f aca="false">IF(V692,IF(01_因子設定!$B$13="最大化",T692-01_因子設定!$B$14,IF(01_因子設定!$B$13="最小化",01_因子設定!$B$15-U692,MIN(T692-01_因子設定!$B$14,01_因子設定!$B$15-U692))),-1E+030)</f>
        <v>-5.11576077033445</v>
      </c>
      <c r="X692" s="55" t="n">
        <f aca="false">IF(V692,IF(01_因子設定!$B$13="最大化",Q692,IF(01_因子設定!$B$13="最小化",-Q692,-ABS(Q692-01_因子設定!$B$16))),-1E+030)</f>
        <v>44.41703125</v>
      </c>
      <c r="Y692" s="55" t="n">
        <f aca="false">W692+ROW()*0.000000001</f>
        <v>-5.11576007833445</v>
      </c>
      <c r="Z692" s="55" t="n">
        <f aca="false">X692+ROW()*0.000000001</f>
        <v>44.417031942</v>
      </c>
    </row>
    <row r="693" customFormat="false" ht="15" hidden="false" customHeight="false" outlineLevel="0" collapsed="false">
      <c r="A693" s="0" t="n">
        <v>2</v>
      </c>
      <c r="B693" s="0" t="n">
        <v>6</v>
      </c>
      <c r="C693" s="0" t="n">
        <v>8</v>
      </c>
      <c r="D693" s="0" t="n">
        <f aca="false">-1+A693*0.125</f>
        <v>-0.75</v>
      </c>
      <c r="E693" s="0" t="n">
        <f aca="false">-1+B693*0.125</f>
        <v>-0.25</v>
      </c>
      <c r="F693" s="0" t="n">
        <f aca="false">-1+C693*0.125</f>
        <v>0</v>
      </c>
      <c r="G693" s="0" t="n">
        <f aca="false">1</f>
        <v>1</v>
      </c>
      <c r="H693" s="0" t="n">
        <f aca="false">D693</f>
        <v>-0.75</v>
      </c>
      <c r="I693" s="0" t="n">
        <f aca="false">E693</f>
        <v>-0.25</v>
      </c>
      <c r="J693" s="0" t="n">
        <f aca="false">F693</f>
        <v>0</v>
      </c>
      <c r="K693" s="0" t="n">
        <f aca="false">D693*E693</f>
        <v>0.1875</v>
      </c>
      <c r="L693" s="0" t="n">
        <f aca="false">D693*F693</f>
        <v>-0</v>
      </c>
      <c r="M693" s="0" t="n">
        <f aca="false">E693*F693</f>
        <v>-0</v>
      </c>
      <c r="N693" s="0" t="n">
        <f aca="false">D693*D693</f>
        <v>0.5625</v>
      </c>
      <c r="O693" s="0" t="n">
        <f aca="false">E693*E693</f>
        <v>0.0625</v>
      </c>
      <c r="P693" s="0" t="n">
        <f aca="false">F693*F693</f>
        <v>0</v>
      </c>
      <c r="Q693" s="0" t="n">
        <f aca="false">SUMPRODUCT(G693:P693,_XtX!$B$71:$K$71)</f>
        <v>44.6079261363636</v>
      </c>
      <c r="R693" s="0" t="n">
        <f aca="false">SUMPRODUCT(MMULT(G693:P693,_XtX!$B$58:$K$67),G693:P693)</f>
        <v>0.235147372159091</v>
      </c>
      <c r="S693" s="0" t="n">
        <f aca="false">04_回帰ANOVA!$K$19*04_回帰ANOVA!$K$14*SQRT(1+R693)</f>
        <v>1.03329903885461</v>
      </c>
      <c r="T693" s="0" t="n">
        <f aca="false">Q693-S693</f>
        <v>43.574627097509</v>
      </c>
      <c r="U693" s="0" t="n">
        <f aca="false">Q693+S693</f>
        <v>45.6412251752182</v>
      </c>
      <c r="V693" s="54" t="b">
        <f aca="false">AND(D693&gt;=01_因子設定!$L$5-0.000000001,D693&lt;=01_因子設定!$M$5+0.000000001,E693&gt;=01_因子設定!$L$6-0.000000001,E693&lt;=01_因子設定!$M$6+0.000000001,F693&gt;=01_因子設定!$L$7-0.000000001,F693&lt;=01_因子設定!$M$7+0.000000001,IF(01_因子設定!$B$20="Box-Behnken",D693^2+E693^2+F693^2&lt;=2+0.000000001,TRUE()))</f>
        <v>1</v>
      </c>
      <c r="W693" s="55" t="n">
        <f aca="false">IF(V693,IF(01_因子設定!$B$13="最大化",T693-01_因子設定!$B$14,IF(01_因子設定!$B$13="最小化",01_因子設定!$B$15-U693,MIN(T693-01_因子設定!$B$14,01_因子設定!$B$15-U693))),-1E+030)</f>
        <v>-4.92537290249098</v>
      </c>
      <c r="X693" s="55" t="n">
        <f aca="false">IF(V693,IF(01_因子設定!$B$13="最大化",Q693,IF(01_因子設定!$B$13="最小化",-Q693,-ABS(Q693-01_因子設定!$B$16))),-1E+030)</f>
        <v>44.6079261363636</v>
      </c>
      <c r="Y693" s="55" t="n">
        <f aca="false">W693+ROW()*0.000000001</f>
        <v>-4.92537220949098</v>
      </c>
      <c r="Z693" s="55" t="n">
        <f aca="false">X693+ROW()*0.000000001</f>
        <v>44.6079268293636</v>
      </c>
    </row>
    <row r="694" customFormat="false" ht="15" hidden="false" customHeight="false" outlineLevel="0" collapsed="false">
      <c r="A694" s="0" t="n">
        <v>2</v>
      </c>
      <c r="B694" s="0" t="n">
        <v>6</v>
      </c>
      <c r="C694" s="0" t="n">
        <v>9</v>
      </c>
      <c r="D694" s="0" t="n">
        <f aca="false">-1+A694*0.125</f>
        <v>-0.75</v>
      </c>
      <c r="E694" s="0" t="n">
        <f aca="false">-1+B694*0.125</f>
        <v>-0.25</v>
      </c>
      <c r="F694" s="0" t="n">
        <f aca="false">-1+C694*0.125</f>
        <v>0.125</v>
      </c>
      <c r="G694" s="0" t="n">
        <f aca="false">1</f>
        <v>1</v>
      </c>
      <c r="H694" s="0" t="n">
        <f aca="false">D694</f>
        <v>-0.75</v>
      </c>
      <c r="I694" s="0" t="n">
        <f aca="false">E694</f>
        <v>-0.25</v>
      </c>
      <c r="J694" s="0" t="n">
        <f aca="false">F694</f>
        <v>0.125</v>
      </c>
      <c r="K694" s="0" t="n">
        <f aca="false">D694*E694</f>
        <v>0.1875</v>
      </c>
      <c r="L694" s="0" t="n">
        <f aca="false">D694*F694</f>
        <v>-0.09375</v>
      </c>
      <c r="M694" s="0" t="n">
        <f aca="false">E694*F694</f>
        <v>-0.03125</v>
      </c>
      <c r="N694" s="0" t="n">
        <f aca="false">D694*D694</f>
        <v>0.5625</v>
      </c>
      <c r="O694" s="0" t="n">
        <f aca="false">E694*E694</f>
        <v>0.0625</v>
      </c>
      <c r="P694" s="0" t="n">
        <f aca="false">F694*F694</f>
        <v>0.015625</v>
      </c>
      <c r="Q694" s="0" t="n">
        <f aca="false">SUMPRODUCT(G694:P694,_XtX!$B$71:$K$71)</f>
        <v>44.76203125</v>
      </c>
      <c r="R694" s="0" t="n">
        <f aca="false">SUMPRODUCT(MMULT(G694:P694,_XtX!$B$58:$K$67),G694:P694)</f>
        <v>0.233935546875</v>
      </c>
      <c r="S694" s="0" t="n">
        <f aca="false">04_回帰ANOVA!$K$19*04_回帰ANOVA!$K$14*SQRT(1+R694)</f>
        <v>1.03279202033444</v>
      </c>
      <c r="T694" s="0" t="n">
        <f aca="false">Q694-S694</f>
        <v>43.7292392296656</v>
      </c>
      <c r="U694" s="0" t="n">
        <f aca="false">Q694+S694</f>
        <v>45.7948232703344</v>
      </c>
      <c r="V694" s="54" t="b">
        <f aca="false">AND(D694&gt;=01_因子設定!$L$5-0.000000001,D694&lt;=01_因子設定!$M$5+0.000000001,E694&gt;=01_因子設定!$L$6-0.000000001,E694&lt;=01_因子設定!$M$6+0.000000001,F694&gt;=01_因子設定!$L$7-0.000000001,F694&lt;=01_因子設定!$M$7+0.000000001,IF(01_因子設定!$B$20="Box-Behnken",D694^2+E694^2+F694^2&lt;=2+0.000000001,TRUE()))</f>
        <v>1</v>
      </c>
      <c r="W694" s="55" t="n">
        <f aca="false">IF(V694,IF(01_因子設定!$B$13="最大化",T694-01_因子設定!$B$14,IF(01_因子設定!$B$13="最小化",01_因子設定!$B$15-U694,MIN(T694-01_因子設定!$B$14,01_因子設定!$B$15-U694))),-1E+030)</f>
        <v>-4.77076077033444</v>
      </c>
      <c r="X694" s="55" t="n">
        <f aca="false">IF(V694,IF(01_因子設定!$B$13="最大化",Q694,IF(01_因子設定!$B$13="最小化",-Q694,-ABS(Q694-01_因子設定!$B$16))),-1E+030)</f>
        <v>44.76203125</v>
      </c>
      <c r="Y694" s="55" t="n">
        <f aca="false">W694+ROW()*0.000000001</f>
        <v>-4.77076007633444</v>
      </c>
      <c r="Z694" s="55" t="n">
        <f aca="false">X694+ROW()*0.000000001</f>
        <v>44.762031944</v>
      </c>
    </row>
    <row r="695" customFormat="false" ht="15" hidden="false" customHeight="false" outlineLevel="0" collapsed="false">
      <c r="A695" s="0" t="n">
        <v>2</v>
      </c>
      <c r="B695" s="0" t="n">
        <v>6</v>
      </c>
      <c r="C695" s="0" t="n">
        <v>10</v>
      </c>
      <c r="D695" s="0" t="n">
        <f aca="false">-1+A695*0.125</f>
        <v>-0.75</v>
      </c>
      <c r="E695" s="0" t="n">
        <f aca="false">-1+B695*0.125</f>
        <v>-0.25</v>
      </c>
      <c r="F695" s="0" t="n">
        <f aca="false">-1+C695*0.125</f>
        <v>0.25</v>
      </c>
      <c r="G695" s="0" t="n">
        <f aca="false">1</f>
        <v>1</v>
      </c>
      <c r="H695" s="0" t="n">
        <f aca="false">D695</f>
        <v>-0.75</v>
      </c>
      <c r="I695" s="0" t="n">
        <f aca="false">E695</f>
        <v>-0.25</v>
      </c>
      <c r="J695" s="0" t="n">
        <f aca="false">F695</f>
        <v>0.25</v>
      </c>
      <c r="K695" s="0" t="n">
        <f aca="false">D695*E695</f>
        <v>0.1875</v>
      </c>
      <c r="L695" s="0" t="n">
        <f aca="false">D695*F695</f>
        <v>-0.1875</v>
      </c>
      <c r="M695" s="0" t="n">
        <f aca="false">E695*F695</f>
        <v>-0.0625</v>
      </c>
      <c r="N695" s="0" t="n">
        <f aca="false">D695*D695</f>
        <v>0.5625</v>
      </c>
      <c r="O695" s="0" t="n">
        <f aca="false">E695*E695</f>
        <v>0.0625</v>
      </c>
      <c r="P695" s="0" t="n">
        <f aca="false">F695*F695</f>
        <v>0.0625</v>
      </c>
      <c r="Q695" s="0" t="n">
        <f aca="false">SUMPRODUCT(G695:P695,_XtX!$B$71:$K$71)</f>
        <v>44.8793465909091</v>
      </c>
      <c r="R695" s="0" t="n">
        <f aca="false">SUMPRODUCT(MMULT(G695:P695,_XtX!$B$58:$K$67),G695:P695)</f>
        <v>0.231365411931818</v>
      </c>
      <c r="S695" s="0" t="n">
        <f aca="false">04_回帰ANOVA!$K$19*04_回帰ANOVA!$K$14*SQRT(1+R695)</f>
        <v>1.03171587072803</v>
      </c>
      <c r="T695" s="0" t="n">
        <f aca="false">Q695-S695</f>
        <v>43.8476307201811</v>
      </c>
      <c r="U695" s="0" t="n">
        <f aca="false">Q695+S695</f>
        <v>45.9110624616371</v>
      </c>
      <c r="V695" s="54" t="b">
        <f aca="false">AND(D695&gt;=01_因子設定!$L$5-0.000000001,D695&lt;=01_因子設定!$M$5+0.000000001,E695&gt;=01_因子設定!$L$6-0.000000001,E695&lt;=01_因子設定!$M$6+0.000000001,F695&gt;=01_因子設定!$L$7-0.000000001,F695&lt;=01_因子設定!$M$7+0.000000001,IF(01_因子設定!$B$20="Box-Behnken",D695^2+E695^2+F695^2&lt;=2+0.000000001,TRUE()))</f>
        <v>1</v>
      </c>
      <c r="W695" s="55" t="n">
        <f aca="false">IF(V695,IF(01_因子設定!$B$13="最大化",T695-01_因子設定!$B$14,IF(01_因子設定!$B$13="最小化",01_因子設定!$B$15-U695,MIN(T695-01_因子設定!$B$14,01_因子設定!$B$15-U695))),-1E+030)</f>
        <v>-4.65236927981894</v>
      </c>
      <c r="X695" s="55" t="n">
        <f aca="false">IF(V695,IF(01_因子設定!$B$13="最大化",Q695,IF(01_因子設定!$B$13="最小化",-Q695,-ABS(Q695-01_因子設定!$B$16))),-1E+030)</f>
        <v>44.8793465909091</v>
      </c>
      <c r="Y695" s="55" t="n">
        <f aca="false">W695+ROW()*0.000000001</f>
        <v>-4.65236858481894</v>
      </c>
      <c r="Z695" s="55" t="n">
        <f aca="false">X695+ROW()*0.000000001</f>
        <v>44.8793472859091</v>
      </c>
    </row>
    <row r="696" customFormat="false" ht="15" hidden="false" customHeight="false" outlineLevel="0" collapsed="false">
      <c r="A696" s="0" t="n">
        <v>2</v>
      </c>
      <c r="B696" s="0" t="n">
        <v>6</v>
      </c>
      <c r="C696" s="0" t="n">
        <v>11</v>
      </c>
      <c r="D696" s="0" t="n">
        <f aca="false">-1+A696*0.125</f>
        <v>-0.75</v>
      </c>
      <c r="E696" s="0" t="n">
        <f aca="false">-1+B696*0.125</f>
        <v>-0.25</v>
      </c>
      <c r="F696" s="0" t="n">
        <f aca="false">-1+C696*0.125</f>
        <v>0.375</v>
      </c>
      <c r="G696" s="0" t="n">
        <f aca="false">1</f>
        <v>1</v>
      </c>
      <c r="H696" s="0" t="n">
        <f aca="false">D696</f>
        <v>-0.75</v>
      </c>
      <c r="I696" s="0" t="n">
        <f aca="false">E696</f>
        <v>-0.25</v>
      </c>
      <c r="J696" s="0" t="n">
        <f aca="false">F696</f>
        <v>0.375</v>
      </c>
      <c r="K696" s="0" t="n">
        <f aca="false">D696*E696</f>
        <v>0.1875</v>
      </c>
      <c r="L696" s="0" t="n">
        <f aca="false">D696*F696</f>
        <v>-0.28125</v>
      </c>
      <c r="M696" s="0" t="n">
        <f aca="false">E696*F696</f>
        <v>-0.09375</v>
      </c>
      <c r="N696" s="0" t="n">
        <f aca="false">D696*D696</f>
        <v>0.5625</v>
      </c>
      <c r="O696" s="0" t="n">
        <f aca="false">E696*E696</f>
        <v>0.0625</v>
      </c>
      <c r="P696" s="0" t="n">
        <f aca="false">F696*F696</f>
        <v>0.140625</v>
      </c>
      <c r="Q696" s="0" t="n">
        <f aca="false">SUMPRODUCT(G696:P696,_XtX!$B$71:$K$71)</f>
        <v>44.9598721590909</v>
      </c>
      <c r="R696" s="0" t="n">
        <f aca="false">SUMPRODUCT(MMULT(G696:P696,_XtX!$B$58:$K$67),G696:P696)</f>
        <v>0.230632990056818</v>
      </c>
      <c r="S696" s="0" t="n">
        <f aca="false">04_回帰ANOVA!$K$19*04_回帰ANOVA!$K$14*SQRT(1+R696)</f>
        <v>1.03140899038819</v>
      </c>
      <c r="T696" s="0" t="n">
        <f aca="false">Q696-S696</f>
        <v>43.9284631687027</v>
      </c>
      <c r="U696" s="0" t="n">
        <f aca="false">Q696+S696</f>
        <v>45.9912811494791</v>
      </c>
      <c r="V696" s="54" t="b">
        <f aca="false">AND(D696&gt;=01_因子設定!$L$5-0.000000001,D696&lt;=01_因子設定!$M$5+0.000000001,E696&gt;=01_因子設定!$L$6-0.000000001,E696&lt;=01_因子設定!$M$6+0.000000001,F696&gt;=01_因子設定!$L$7-0.000000001,F696&lt;=01_因子設定!$M$7+0.000000001,IF(01_因子設定!$B$20="Box-Behnken",D696^2+E696^2+F696^2&lt;=2+0.000000001,TRUE()))</f>
        <v>1</v>
      </c>
      <c r="W696" s="55" t="n">
        <f aca="false">IF(V696,IF(01_因子設定!$B$13="最大化",T696-01_因子設定!$B$14,IF(01_因子設定!$B$13="最小化",01_因子設定!$B$15-U696,MIN(T696-01_因子設定!$B$14,01_因子設定!$B$15-U696))),-1E+030)</f>
        <v>-4.57153683129728</v>
      </c>
      <c r="X696" s="55" t="n">
        <f aca="false">IF(V696,IF(01_因子設定!$B$13="最大化",Q696,IF(01_因子設定!$B$13="最小化",-Q696,-ABS(Q696-01_因子設定!$B$16))),-1E+030)</f>
        <v>44.9598721590909</v>
      </c>
      <c r="Y696" s="55" t="n">
        <f aca="false">W696+ROW()*0.000000001</f>
        <v>-4.57153613529728</v>
      </c>
      <c r="Z696" s="55" t="n">
        <f aca="false">X696+ROW()*0.000000001</f>
        <v>44.9598728550909</v>
      </c>
    </row>
    <row r="697" customFormat="false" ht="15" hidden="false" customHeight="false" outlineLevel="0" collapsed="false">
      <c r="A697" s="0" t="n">
        <v>2</v>
      </c>
      <c r="B697" s="0" t="n">
        <v>6</v>
      </c>
      <c r="C697" s="0" t="n">
        <v>12</v>
      </c>
      <c r="D697" s="0" t="n">
        <f aca="false">-1+A697*0.125</f>
        <v>-0.75</v>
      </c>
      <c r="E697" s="0" t="n">
        <f aca="false">-1+B697*0.125</f>
        <v>-0.25</v>
      </c>
      <c r="F697" s="0" t="n">
        <f aca="false">-1+C697*0.125</f>
        <v>0.5</v>
      </c>
      <c r="G697" s="0" t="n">
        <f aca="false">1</f>
        <v>1</v>
      </c>
      <c r="H697" s="0" t="n">
        <f aca="false">D697</f>
        <v>-0.75</v>
      </c>
      <c r="I697" s="0" t="n">
        <f aca="false">E697</f>
        <v>-0.25</v>
      </c>
      <c r="J697" s="0" t="n">
        <f aca="false">F697</f>
        <v>0.5</v>
      </c>
      <c r="K697" s="0" t="n">
        <f aca="false">D697*E697</f>
        <v>0.1875</v>
      </c>
      <c r="L697" s="0" t="n">
        <f aca="false">D697*F697</f>
        <v>-0.375</v>
      </c>
      <c r="M697" s="0" t="n">
        <f aca="false">E697*F697</f>
        <v>-0.125</v>
      </c>
      <c r="N697" s="0" t="n">
        <f aca="false">D697*D697</f>
        <v>0.5625</v>
      </c>
      <c r="O697" s="0" t="n">
        <f aca="false">E697*E697</f>
        <v>0.0625</v>
      </c>
      <c r="P697" s="0" t="n">
        <f aca="false">F697*F697</f>
        <v>0.25</v>
      </c>
      <c r="Q697" s="0" t="n">
        <f aca="false">SUMPRODUCT(G697:P697,_XtX!$B$71:$K$71)</f>
        <v>45.0036079545455</v>
      </c>
      <c r="R697" s="0" t="n">
        <f aca="false">SUMPRODUCT(MMULT(G697:P697,_XtX!$B$58:$K$67),G697:P697)</f>
        <v>0.237064985795455</v>
      </c>
      <c r="S697" s="0" t="n">
        <f aca="false">04_回帰ANOVA!$K$19*04_回帰ANOVA!$K$14*SQRT(1+R697)</f>
        <v>1.03410084594745</v>
      </c>
      <c r="T697" s="0" t="n">
        <f aca="false">Q697-S697</f>
        <v>43.969507108598</v>
      </c>
      <c r="U697" s="0" t="n">
        <f aca="false">Q697+S697</f>
        <v>46.0377088004929</v>
      </c>
      <c r="V697" s="54" t="b">
        <f aca="false">AND(D697&gt;=01_因子設定!$L$5-0.000000001,D697&lt;=01_因子設定!$M$5+0.000000001,E697&gt;=01_因子設定!$L$6-0.000000001,E697&lt;=01_因子設定!$M$6+0.000000001,F697&gt;=01_因子設定!$L$7-0.000000001,F697&lt;=01_因子設定!$M$7+0.000000001,IF(01_因子設定!$B$20="Box-Behnken",D697^2+E697^2+F697^2&lt;=2+0.000000001,TRUE()))</f>
        <v>1</v>
      </c>
      <c r="W697" s="55" t="n">
        <f aca="false">IF(V697,IF(01_因子設定!$B$13="最大化",T697-01_因子設定!$B$14,IF(01_因子設定!$B$13="最小化",01_因子設定!$B$15-U697,MIN(T697-01_因子設定!$B$14,01_因子設定!$B$15-U697))),-1E+030)</f>
        <v>-4.53049289140198</v>
      </c>
      <c r="X697" s="55" t="n">
        <f aca="false">IF(V697,IF(01_因子設定!$B$13="最大化",Q697,IF(01_因子設定!$B$13="最小化",-Q697,-ABS(Q697-01_因子設定!$B$16))),-1E+030)</f>
        <v>45.0036079545455</v>
      </c>
      <c r="Y697" s="55" t="n">
        <f aca="false">W697+ROW()*0.000000001</f>
        <v>-4.53049219440198</v>
      </c>
      <c r="Z697" s="55" t="n">
        <f aca="false">X697+ROW()*0.000000001</f>
        <v>45.0036086515455</v>
      </c>
    </row>
    <row r="698" customFormat="false" ht="15" hidden="false" customHeight="false" outlineLevel="0" collapsed="false">
      <c r="A698" s="0" t="n">
        <v>2</v>
      </c>
      <c r="B698" s="0" t="n">
        <v>6</v>
      </c>
      <c r="C698" s="0" t="n">
        <v>13</v>
      </c>
      <c r="D698" s="0" t="n">
        <f aca="false">-1+A698*0.125</f>
        <v>-0.75</v>
      </c>
      <c r="E698" s="0" t="n">
        <f aca="false">-1+B698*0.125</f>
        <v>-0.25</v>
      </c>
      <c r="F698" s="0" t="n">
        <f aca="false">-1+C698*0.125</f>
        <v>0.625</v>
      </c>
      <c r="G698" s="0" t="n">
        <f aca="false">1</f>
        <v>1</v>
      </c>
      <c r="H698" s="0" t="n">
        <f aca="false">D698</f>
        <v>-0.75</v>
      </c>
      <c r="I698" s="0" t="n">
        <f aca="false">E698</f>
        <v>-0.25</v>
      </c>
      <c r="J698" s="0" t="n">
        <f aca="false">F698</f>
        <v>0.625</v>
      </c>
      <c r="K698" s="0" t="n">
        <f aca="false">D698*E698</f>
        <v>0.1875</v>
      </c>
      <c r="L698" s="0" t="n">
        <f aca="false">D698*F698</f>
        <v>-0.46875</v>
      </c>
      <c r="M698" s="0" t="n">
        <f aca="false">E698*F698</f>
        <v>-0.15625</v>
      </c>
      <c r="N698" s="0" t="n">
        <f aca="false">D698*D698</f>
        <v>0.5625</v>
      </c>
      <c r="O698" s="0" t="n">
        <f aca="false">E698*E698</f>
        <v>0.0625</v>
      </c>
      <c r="P698" s="0" t="n">
        <f aca="false">F698*F698</f>
        <v>0.390625</v>
      </c>
      <c r="Q698" s="0" t="n">
        <f aca="false">SUMPRODUCT(G698:P698,_XtX!$B$71:$K$71)</f>
        <v>45.0105539772727</v>
      </c>
      <c r="R698" s="0" t="n">
        <f aca="false">SUMPRODUCT(MMULT(G698:P698,_XtX!$B$58:$K$67),G698:P698)</f>
        <v>0.258118785511364</v>
      </c>
      <c r="S698" s="0" t="n">
        <f aca="false">04_回帰ANOVA!$K$19*04_回帰ANOVA!$K$14*SQRT(1+R698)</f>
        <v>1.04286348094876</v>
      </c>
      <c r="T698" s="0" t="n">
        <f aca="false">Q698-S698</f>
        <v>43.967690496324</v>
      </c>
      <c r="U698" s="0" t="n">
        <f aca="false">Q698+S698</f>
        <v>46.0534174582215</v>
      </c>
      <c r="V698" s="54" t="b">
        <f aca="false">AND(D698&gt;=01_因子設定!$L$5-0.000000001,D698&lt;=01_因子設定!$M$5+0.000000001,E698&gt;=01_因子設定!$L$6-0.000000001,E698&lt;=01_因子設定!$M$6+0.000000001,F698&gt;=01_因子設定!$L$7-0.000000001,F698&lt;=01_因子設定!$M$7+0.000000001,IF(01_因子設定!$B$20="Box-Behnken",D698^2+E698^2+F698^2&lt;=2+0.000000001,TRUE()))</f>
        <v>1</v>
      </c>
      <c r="W698" s="55" t="n">
        <f aca="false">IF(V698,IF(01_因子設定!$B$13="最大化",T698-01_因子設定!$B$14,IF(01_因子設定!$B$13="最小化",01_因子設定!$B$15-U698,MIN(T698-01_因子設定!$B$14,01_因子設定!$B$15-U698))),-1E+030)</f>
        <v>-4.53230950367603</v>
      </c>
      <c r="X698" s="55" t="n">
        <f aca="false">IF(V698,IF(01_因子設定!$B$13="最大化",Q698,IF(01_因子設定!$B$13="最小化",-Q698,-ABS(Q698-01_因子設定!$B$16))),-1E+030)</f>
        <v>45.0105539772727</v>
      </c>
      <c r="Y698" s="55" t="n">
        <f aca="false">W698+ROW()*0.000000001</f>
        <v>-4.53230880567603</v>
      </c>
      <c r="Z698" s="55" t="n">
        <f aca="false">X698+ROW()*0.000000001</f>
        <v>45.0105546752727</v>
      </c>
    </row>
    <row r="699" customFormat="false" ht="15" hidden="false" customHeight="false" outlineLevel="0" collapsed="false">
      <c r="A699" s="0" t="n">
        <v>2</v>
      </c>
      <c r="B699" s="0" t="n">
        <v>6</v>
      </c>
      <c r="C699" s="0" t="n">
        <v>14</v>
      </c>
      <c r="D699" s="0" t="n">
        <f aca="false">-1+A699*0.125</f>
        <v>-0.75</v>
      </c>
      <c r="E699" s="0" t="n">
        <f aca="false">-1+B699*0.125</f>
        <v>-0.25</v>
      </c>
      <c r="F699" s="0" t="n">
        <f aca="false">-1+C699*0.125</f>
        <v>0.75</v>
      </c>
      <c r="G699" s="0" t="n">
        <f aca="false">1</f>
        <v>1</v>
      </c>
      <c r="H699" s="0" t="n">
        <f aca="false">D699</f>
        <v>-0.75</v>
      </c>
      <c r="I699" s="0" t="n">
        <f aca="false">E699</f>
        <v>-0.25</v>
      </c>
      <c r="J699" s="0" t="n">
        <f aca="false">F699</f>
        <v>0.75</v>
      </c>
      <c r="K699" s="0" t="n">
        <f aca="false">D699*E699</f>
        <v>0.1875</v>
      </c>
      <c r="L699" s="0" t="n">
        <f aca="false">D699*F699</f>
        <v>-0.5625</v>
      </c>
      <c r="M699" s="0" t="n">
        <f aca="false">E699*F699</f>
        <v>-0.1875</v>
      </c>
      <c r="N699" s="0" t="n">
        <f aca="false">D699*D699</f>
        <v>0.5625</v>
      </c>
      <c r="O699" s="0" t="n">
        <f aca="false">E699*E699</f>
        <v>0.0625</v>
      </c>
      <c r="P699" s="0" t="n">
        <f aca="false">F699*F699</f>
        <v>0.5625</v>
      </c>
      <c r="Q699" s="0" t="n">
        <f aca="false">SUMPRODUCT(G699:P699,_XtX!$B$71:$K$71)</f>
        <v>44.9807102272727</v>
      </c>
      <c r="R699" s="0" t="n">
        <f aca="false">SUMPRODUCT(MMULT(G699:P699,_XtX!$B$58:$K$67),G699:P699)</f>
        <v>0.303382457386364</v>
      </c>
      <c r="S699" s="0" t="n">
        <f aca="false">04_回帰ANOVA!$K$19*04_回帰ANOVA!$K$14*SQRT(1+R699)</f>
        <v>1.06145740650883</v>
      </c>
      <c r="T699" s="0" t="n">
        <f aca="false">Q699-S699</f>
        <v>43.9192528207639</v>
      </c>
      <c r="U699" s="0" t="n">
        <f aca="false">Q699+S699</f>
        <v>46.0421676337816</v>
      </c>
      <c r="V699" s="54" t="b">
        <f aca="false">AND(D699&gt;=01_因子設定!$L$5-0.000000001,D699&lt;=01_因子設定!$M$5+0.000000001,E699&gt;=01_因子設定!$L$6-0.000000001,E699&lt;=01_因子設定!$M$6+0.000000001,F699&gt;=01_因子設定!$L$7-0.000000001,F699&lt;=01_因子設定!$M$7+0.000000001,IF(01_因子設定!$B$20="Box-Behnken",D699^2+E699^2+F699^2&lt;=2+0.000000001,TRUE()))</f>
        <v>1</v>
      </c>
      <c r="W699" s="55" t="n">
        <f aca="false">IF(V699,IF(01_因子設定!$B$13="最大化",T699-01_因子設定!$B$14,IF(01_因子設定!$B$13="最小化",01_因子設定!$B$15-U699,MIN(T699-01_因子設定!$B$14,01_因子設定!$B$15-U699))),-1E+030)</f>
        <v>-4.58074717923611</v>
      </c>
      <c r="X699" s="55" t="n">
        <f aca="false">IF(V699,IF(01_因子設定!$B$13="最大化",Q699,IF(01_因子設定!$B$13="最小化",-Q699,-ABS(Q699-01_因子設定!$B$16))),-1E+030)</f>
        <v>44.9807102272727</v>
      </c>
      <c r="Y699" s="55" t="n">
        <f aca="false">W699+ROW()*0.000000001</f>
        <v>-4.58074648023611</v>
      </c>
      <c r="Z699" s="55" t="n">
        <f aca="false">X699+ROW()*0.000000001</f>
        <v>44.9807109262727</v>
      </c>
    </row>
    <row r="700" customFormat="false" ht="15" hidden="false" customHeight="false" outlineLevel="0" collapsed="false">
      <c r="A700" s="0" t="n">
        <v>2</v>
      </c>
      <c r="B700" s="0" t="n">
        <v>6</v>
      </c>
      <c r="C700" s="0" t="n">
        <v>15</v>
      </c>
      <c r="D700" s="0" t="n">
        <f aca="false">-1+A700*0.125</f>
        <v>-0.75</v>
      </c>
      <c r="E700" s="0" t="n">
        <f aca="false">-1+B700*0.125</f>
        <v>-0.25</v>
      </c>
      <c r="F700" s="0" t="n">
        <f aca="false">-1+C700*0.125</f>
        <v>0.875</v>
      </c>
      <c r="G700" s="0" t="n">
        <f aca="false">1</f>
        <v>1</v>
      </c>
      <c r="H700" s="0" t="n">
        <f aca="false">D700</f>
        <v>-0.75</v>
      </c>
      <c r="I700" s="0" t="n">
        <f aca="false">E700</f>
        <v>-0.25</v>
      </c>
      <c r="J700" s="0" t="n">
        <f aca="false">F700</f>
        <v>0.875</v>
      </c>
      <c r="K700" s="0" t="n">
        <f aca="false">D700*E700</f>
        <v>0.1875</v>
      </c>
      <c r="L700" s="0" t="n">
        <f aca="false">D700*F700</f>
        <v>-0.65625</v>
      </c>
      <c r="M700" s="0" t="n">
        <f aca="false">E700*F700</f>
        <v>-0.21875</v>
      </c>
      <c r="N700" s="0" t="n">
        <f aca="false">D700*D700</f>
        <v>0.5625</v>
      </c>
      <c r="O700" s="0" t="n">
        <f aca="false">E700*E700</f>
        <v>0.0625</v>
      </c>
      <c r="P700" s="0" t="n">
        <f aca="false">F700*F700</f>
        <v>0.765625</v>
      </c>
      <c r="Q700" s="0" t="n">
        <f aca="false">SUMPRODUCT(G700:P700,_XtX!$B$71:$K$71)</f>
        <v>44.9140767045455</v>
      </c>
      <c r="R700" s="0" t="n">
        <f aca="false">SUMPRODUCT(MMULT(G700:P700,_XtX!$B$58:$K$67),G700:P700)</f>
        <v>0.384574751420455</v>
      </c>
      <c r="S700" s="0" t="n">
        <f aca="false">04_回帰ANOVA!$K$19*04_回帰ANOVA!$K$14*SQRT(1+R700)</f>
        <v>1.0940189380139</v>
      </c>
      <c r="T700" s="0" t="n">
        <f aca="false">Q700-S700</f>
        <v>43.8200577665316</v>
      </c>
      <c r="U700" s="0" t="n">
        <f aca="false">Q700+S700</f>
        <v>46.0080956425594</v>
      </c>
      <c r="V700" s="54" t="b">
        <f aca="false">AND(D700&gt;=01_因子設定!$L$5-0.000000001,D700&lt;=01_因子設定!$M$5+0.000000001,E700&gt;=01_因子設定!$L$6-0.000000001,E700&lt;=01_因子設定!$M$6+0.000000001,F700&gt;=01_因子設定!$L$7-0.000000001,F700&lt;=01_因子設定!$M$7+0.000000001,IF(01_因子設定!$B$20="Box-Behnken",D700^2+E700^2+F700^2&lt;=2+0.000000001,TRUE()))</f>
        <v>1</v>
      </c>
      <c r="W700" s="55" t="n">
        <f aca="false">IF(V700,IF(01_因子設定!$B$13="最大化",T700-01_因子設定!$B$14,IF(01_因子設定!$B$13="最小化",01_因子設定!$B$15-U700,MIN(T700-01_因子設定!$B$14,01_因子設定!$B$15-U700))),-1E+030)</f>
        <v>-4.67994223346844</v>
      </c>
      <c r="X700" s="55" t="n">
        <f aca="false">IF(V700,IF(01_因子設定!$B$13="最大化",Q700,IF(01_因子設定!$B$13="最小化",-Q700,-ABS(Q700-01_因子設定!$B$16))),-1E+030)</f>
        <v>44.9140767045455</v>
      </c>
      <c r="Y700" s="55" t="n">
        <f aca="false">W700+ROW()*0.000000001</f>
        <v>-4.67994153346844</v>
      </c>
      <c r="Z700" s="55" t="n">
        <f aca="false">X700+ROW()*0.000000001</f>
        <v>44.9140774045455</v>
      </c>
    </row>
    <row r="701" customFormat="false" ht="15" hidden="false" customHeight="false" outlineLevel="0" collapsed="false">
      <c r="A701" s="0" t="n">
        <v>2</v>
      </c>
      <c r="B701" s="0" t="n">
        <v>6</v>
      </c>
      <c r="C701" s="0" t="n">
        <v>16</v>
      </c>
      <c r="D701" s="0" t="n">
        <f aca="false">-1+A701*0.125</f>
        <v>-0.75</v>
      </c>
      <c r="E701" s="0" t="n">
        <f aca="false">-1+B701*0.125</f>
        <v>-0.25</v>
      </c>
      <c r="F701" s="0" t="n">
        <f aca="false">-1+C701*0.125</f>
        <v>1</v>
      </c>
      <c r="G701" s="0" t="n">
        <f aca="false">1</f>
        <v>1</v>
      </c>
      <c r="H701" s="0" t="n">
        <f aca="false">D701</f>
        <v>-0.75</v>
      </c>
      <c r="I701" s="0" t="n">
        <f aca="false">E701</f>
        <v>-0.25</v>
      </c>
      <c r="J701" s="0" t="n">
        <f aca="false">F701</f>
        <v>1</v>
      </c>
      <c r="K701" s="0" t="n">
        <f aca="false">D701*E701</f>
        <v>0.1875</v>
      </c>
      <c r="L701" s="0" t="n">
        <f aca="false">D701*F701</f>
        <v>-0.75</v>
      </c>
      <c r="M701" s="0" t="n">
        <f aca="false">E701*F701</f>
        <v>-0.25</v>
      </c>
      <c r="N701" s="0" t="n">
        <f aca="false">D701*D701</f>
        <v>0.5625</v>
      </c>
      <c r="O701" s="0" t="n">
        <f aca="false">E701*E701</f>
        <v>0.0625</v>
      </c>
      <c r="P701" s="0" t="n">
        <f aca="false">F701*F701</f>
        <v>1</v>
      </c>
      <c r="Q701" s="0" t="n">
        <f aca="false">SUMPRODUCT(G701:P701,_XtX!$B$71:$K$71)</f>
        <v>44.8106534090909</v>
      </c>
      <c r="R701" s="0" t="n">
        <f aca="false">SUMPRODUCT(MMULT(G701:P701,_XtX!$B$58:$K$67),G701:P701)</f>
        <v>0.515545099431818</v>
      </c>
      <c r="S701" s="0" t="n">
        <f aca="false">04_回帰ANOVA!$K$19*04_回帰ANOVA!$K$14*SQRT(1+R701)</f>
        <v>1.14459295464101</v>
      </c>
      <c r="T701" s="0" t="n">
        <f aca="false">Q701-S701</f>
        <v>43.6660604544499</v>
      </c>
      <c r="U701" s="0" t="n">
        <f aca="false">Q701+S701</f>
        <v>45.9552463637319</v>
      </c>
      <c r="V701" s="54" t="b">
        <f aca="false">AND(D701&gt;=01_因子設定!$L$5-0.000000001,D701&lt;=01_因子設定!$M$5+0.000000001,E701&gt;=01_因子設定!$L$6-0.000000001,E701&lt;=01_因子設定!$M$6+0.000000001,F701&gt;=01_因子設定!$L$7-0.000000001,F701&lt;=01_因子設定!$M$7+0.000000001,IF(01_因子設定!$B$20="Box-Behnken",D701^2+E701^2+F701^2&lt;=2+0.000000001,TRUE()))</f>
        <v>1</v>
      </c>
      <c r="W701" s="55" t="n">
        <f aca="false">IF(V701,IF(01_因子設定!$B$13="最大化",T701-01_因子設定!$B$14,IF(01_因子設定!$B$13="最小化",01_因子設定!$B$15-U701,MIN(T701-01_因子設定!$B$14,01_因子設定!$B$15-U701))),-1E+030)</f>
        <v>-4.83393954555009</v>
      </c>
      <c r="X701" s="55" t="n">
        <f aca="false">IF(V701,IF(01_因子設定!$B$13="最大化",Q701,IF(01_因子設定!$B$13="最小化",-Q701,-ABS(Q701-01_因子設定!$B$16))),-1E+030)</f>
        <v>44.8106534090909</v>
      </c>
      <c r="Y701" s="55" t="n">
        <f aca="false">W701+ROW()*0.000000001</f>
        <v>-4.83393884455009</v>
      </c>
      <c r="Z701" s="55" t="n">
        <f aca="false">X701+ROW()*0.000000001</f>
        <v>44.8106541100909</v>
      </c>
    </row>
    <row r="702" customFormat="false" ht="15" hidden="false" customHeight="false" outlineLevel="0" collapsed="false">
      <c r="A702" s="0" t="n">
        <v>2</v>
      </c>
      <c r="B702" s="0" t="n">
        <v>7</v>
      </c>
      <c r="C702" s="0" t="n">
        <v>0</v>
      </c>
      <c r="D702" s="0" t="n">
        <f aca="false">-1+A702*0.125</f>
        <v>-0.75</v>
      </c>
      <c r="E702" s="0" t="n">
        <f aca="false">-1+B702*0.125</f>
        <v>-0.125</v>
      </c>
      <c r="F702" s="0" t="n">
        <f aca="false">-1+C702*0.125</f>
        <v>-1</v>
      </c>
      <c r="G702" s="0" t="n">
        <f aca="false">1</f>
        <v>1</v>
      </c>
      <c r="H702" s="0" t="n">
        <f aca="false">D702</f>
        <v>-0.75</v>
      </c>
      <c r="I702" s="0" t="n">
        <f aca="false">E702</f>
        <v>-0.125</v>
      </c>
      <c r="J702" s="0" t="n">
        <f aca="false">F702</f>
        <v>-1</v>
      </c>
      <c r="K702" s="0" t="n">
        <f aca="false">D702*E702</f>
        <v>0.09375</v>
      </c>
      <c r="L702" s="0" t="n">
        <f aca="false">D702*F702</f>
        <v>0.75</v>
      </c>
      <c r="M702" s="0" t="n">
        <f aca="false">E702*F702</f>
        <v>0.125</v>
      </c>
      <c r="N702" s="0" t="n">
        <f aca="false">D702*D702</f>
        <v>0.5625</v>
      </c>
      <c r="O702" s="0" t="n">
        <f aca="false">E702*E702</f>
        <v>0.015625</v>
      </c>
      <c r="P702" s="0" t="n">
        <f aca="false">F702*F702</f>
        <v>1</v>
      </c>
      <c r="Q702" s="0" t="n">
        <f aca="false">SUMPRODUCT(G702:P702,_XtX!$B$71:$K$71)</f>
        <v>42.2333380681818</v>
      </c>
      <c r="R702" s="0" t="n">
        <f aca="false">SUMPRODUCT(MMULT(G702:P702,_XtX!$B$58:$K$67),G702:P702)</f>
        <v>0.524607155539773</v>
      </c>
      <c r="S702" s="0" t="n">
        <f aca="false">04_回帰ANOVA!$K$19*04_回帰ANOVA!$K$14*SQRT(1+R702)</f>
        <v>1.14800984623412</v>
      </c>
      <c r="T702" s="0" t="n">
        <f aca="false">Q702-S702</f>
        <v>41.0853282219477</v>
      </c>
      <c r="U702" s="0" t="n">
        <f aca="false">Q702+S702</f>
        <v>43.381347914416</v>
      </c>
      <c r="V702" s="54" t="b">
        <f aca="false">AND(D702&gt;=01_因子設定!$L$5-0.000000001,D702&lt;=01_因子設定!$M$5+0.000000001,E702&gt;=01_因子設定!$L$6-0.000000001,E702&lt;=01_因子設定!$M$6+0.000000001,F702&gt;=01_因子設定!$L$7-0.000000001,F702&lt;=01_因子設定!$M$7+0.000000001,IF(01_因子設定!$B$20="Box-Behnken",D702^2+E702^2+F702^2&lt;=2+0.000000001,TRUE()))</f>
        <v>1</v>
      </c>
      <c r="W702" s="55" t="n">
        <f aca="false">IF(V702,IF(01_因子設定!$B$13="最大化",T702-01_因子設定!$B$14,IF(01_因子設定!$B$13="最小化",01_因子設定!$B$15-U702,MIN(T702-01_因子設定!$B$14,01_因子設定!$B$15-U702))),-1E+030)</f>
        <v>-7.41467177805228</v>
      </c>
      <c r="X702" s="55" t="n">
        <f aca="false">IF(V702,IF(01_因子設定!$B$13="最大化",Q702,IF(01_因子設定!$B$13="最小化",-Q702,-ABS(Q702-01_因子設定!$B$16))),-1E+030)</f>
        <v>42.2333380681818</v>
      </c>
      <c r="Y702" s="55" t="n">
        <f aca="false">W702+ROW()*0.000000001</f>
        <v>-7.41467107605228</v>
      </c>
      <c r="Z702" s="55" t="n">
        <f aca="false">X702+ROW()*0.000000001</f>
        <v>42.2333387701818</v>
      </c>
    </row>
    <row r="703" customFormat="false" ht="15" hidden="false" customHeight="false" outlineLevel="0" collapsed="false">
      <c r="A703" s="0" t="n">
        <v>2</v>
      </c>
      <c r="B703" s="0" t="n">
        <v>7</v>
      </c>
      <c r="C703" s="0" t="n">
        <v>1</v>
      </c>
      <c r="D703" s="0" t="n">
        <f aca="false">-1+A703*0.125</f>
        <v>-0.75</v>
      </c>
      <c r="E703" s="0" t="n">
        <f aca="false">-1+B703*0.125</f>
        <v>-0.125</v>
      </c>
      <c r="F703" s="0" t="n">
        <f aca="false">-1+C703*0.125</f>
        <v>-0.875</v>
      </c>
      <c r="G703" s="0" t="n">
        <f aca="false">1</f>
        <v>1</v>
      </c>
      <c r="H703" s="0" t="n">
        <f aca="false">D703</f>
        <v>-0.75</v>
      </c>
      <c r="I703" s="0" t="n">
        <f aca="false">E703</f>
        <v>-0.125</v>
      </c>
      <c r="J703" s="0" t="n">
        <f aca="false">F703</f>
        <v>-0.875</v>
      </c>
      <c r="K703" s="0" t="n">
        <f aca="false">D703*E703</f>
        <v>0.09375</v>
      </c>
      <c r="L703" s="0" t="n">
        <f aca="false">D703*F703</f>
        <v>0.65625</v>
      </c>
      <c r="M703" s="0" t="n">
        <f aca="false">E703*F703</f>
        <v>0.109375</v>
      </c>
      <c r="N703" s="0" t="n">
        <f aca="false">D703*D703</f>
        <v>0.5625</v>
      </c>
      <c r="O703" s="0" t="n">
        <f aca="false">E703*E703</f>
        <v>0.015625</v>
      </c>
      <c r="P703" s="0" t="n">
        <f aca="false">F703*F703</f>
        <v>0.765625</v>
      </c>
      <c r="Q703" s="0" t="n">
        <f aca="false">SUMPRODUCT(G703:P703,_XtX!$B$71:$K$71)</f>
        <v>42.6887926136364</v>
      </c>
      <c r="R703" s="0" t="n">
        <f aca="false">SUMPRODUCT(MMULT(G703:P703,_XtX!$B$58:$K$67),G703:P703)</f>
        <v>0.392013827237216</v>
      </c>
      <c r="S703" s="0" t="n">
        <f aca="false">04_回帰ANOVA!$K$19*04_回帰ANOVA!$K$14*SQRT(1+R703)</f>
        <v>1.09695398627251</v>
      </c>
      <c r="T703" s="0" t="n">
        <f aca="false">Q703-S703</f>
        <v>41.5918386273639</v>
      </c>
      <c r="U703" s="0" t="n">
        <f aca="false">Q703+S703</f>
        <v>43.7857465999089</v>
      </c>
      <c r="V703" s="54" t="b">
        <f aca="false">AND(D703&gt;=01_因子設定!$L$5-0.000000001,D703&lt;=01_因子設定!$M$5+0.000000001,E703&gt;=01_因子設定!$L$6-0.000000001,E703&lt;=01_因子設定!$M$6+0.000000001,F703&gt;=01_因子設定!$L$7-0.000000001,F703&lt;=01_因子設定!$M$7+0.000000001,IF(01_因子設定!$B$20="Box-Behnken",D703^2+E703^2+F703^2&lt;=2+0.000000001,TRUE()))</f>
        <v>1</v>
      </c>
      <c r="W703" s="55" t="n">
        <f aca="false">IF(V703,IF(01_因子設定!$B$13="最大化",T703-01_因子設定!$B$14,IF(01_因子設定!$B$13="最小化",01_因子設定!$B$15-U703,MIN(T703-01_因子設定!$B$14,01_因子設定!$B$15-U703))),-1E+030)</f>
        <v>-6.90816137263614</v>
      </c>
      <c r="X703" s="55" t="n">
        <f aca="false">IF(V703,IF(01_因子設定!$B$13="最大化",Q703,IF(01_因子設定!$B$13="最小化",-Q703,-ABS(Q703-01_因子設定!$B$16))),-1E+030)</f>
        <v>42.6887926136364</v>
      </c>
      <c r="Y703" s="55" t="n">
        <f aca="false">W703+ROW()*0.000000001</f>
        <v>-6.90816066963614</v>
      </c>
      <c r="Z703" s="55" t="n">
        <f aca="false">X703+ROW()*0.000000001</f>
        <v>42.6887933166364</v>
      </c>
    </row>
    <row r="704" customFormat="false" ht="15" hidden="false" customHeight="false" outlineLevel="0" collapsed="false">
      <c r="A704" s="0" t="n">
        <v>2</v>
      </c>
      <c r="B704" s="0" t="n">
        <v>7</v>
      </c>
      <c r="C704" s="0" t="n">
        <v>2</v>
      </c>
      <c r="D704" s="0" t="n">
        <f aca="false">-1+A704*0.125</f>
        <v>-0.75</v>
      </c>
      <c r="E704" s="0" t="n">
        <f aca="false">-1+B704*0.125</f>
        <v>-0.125</v>
      </c>
      <c r="F704" s="0" t="n">
        <f aca="false">-1+C704*0.125</f>
        <v>-0.75</v>
      </c>
      <c r="G704" s="0" t="n">
        <f aca="false">1</f>
        <v>1</v>
      </c>
      <c r="H704" s="0" t="n">
        <f aca="false">D704</f>
        <v>-0.75</v>
      </c>
      <c r="I704" s="0" t="n">
        <f aca="false">E704</f>
        <v>-0.125</v>
      </c>
      <c r="J704" s="0" t="n">
        <f aca="false">F704</f>
        <v>-0.75</v>
      </c>
      <c r="K704" s="0" t="n">
        <f aca="false">D704*E704</f>
        <v>0.09375</v>
      </c>
      <c r="L704" s="0" t="n">
        <f aca="false">D704*F704</f>
        <v>0.5625</v>
      </c>
      <c r="M704" s="0" t="n">
        <f aca="false">E704*F704</f>
        <v>0.09375</v>
      </c>
      <c r="N704" s="0" t="n">
        <f aca="false">D704*D704</f>
        <v>0.5625</v>
      </c>
      <c r="O704" s="0" t="n">
        <f aca="false">E704*E704</f>
        <v>0.015625</v>
      </c>
      <c r="P704" s="0" t="n">
        <f aca="false">F704*F704</f>
        <v>0.5625</v>
      </c>
      <c r="Q704" s="0" t="n">
        <f aca="false">SUMPRODUCT(G704:P704,_XtX!$B$71:$K$71)</f>
        <v>43.1074573863636</v>
      </c>
      <c r="R704" s="0" t="n">
        <f aca="false">SUMPRODUCT(MMULT(G704:P704,_XtX!$B$58:$K$67),G704:P704)</f>
        <v>0.309414950284091</v>
      </c>
      <c r="S704" s="0" t="n">
        <f aca="false">04_回帰ANOVA!$K$19*04_回帰ANOVA!$K$14*SQRT(1+R704)</f>
        <v>1.06391096196568</v>
      </c>
      <c r="T704" s="0" t="n">
        <f aca="false">Q704-S704</f>
        <v>42.043546424398</v>
      </c>
      <c r="U704" s="0" t="n">
        <f aca="false">Q704+S704</f>
        <v>44.1713683483293</v>
      </c>
      <c r="V704" s="54" t="b">
        <f aca="false">AND(D704&gt;=01_因子設定!$L$5-0.000000001,D704&lt;=01_因子設定!$M$5+0.000000001,E704&gt;=01_因子設定!$L$6-0.000000001,E704&lt;=01_因子設定!$M$6+0.000000001,F704&gt;=01_因子設定!$L$7-0.000000001,F704&lt;=01_因子設定!$M$7+0.000000001,IF(01_因子設定!$B$20="Box-Behnken",D704^2+E704^2+F704^2&lt;=2+0.000000001,TRUE()))</f>
        <v>1</v>
      </c>
      <c r="W704" s="55" t="n">
        <f aca="false">IF(V704,IF(01_因子設定!$B$13="最大化",T704-01_因子設定!$B$14,IF(01_因子設定!$B$13="最小化",01_因子設定!$B$15-U704,MIN(T704-01_因子設定!$B$14,01_因子設定!$B$15-U704))),-1E+030)</f>
        <v>-6.45645357560203</v>
      </c>
      <c r="X704" s="55" t="n">
        <f aca="false">IF(V704,IF(01_因子設定!$B$13="最大化",Q704,IF(01_因子設定!$B$13="最小化",-Q704,-ABS(Q704-01_因子設定!$B$16))),-1E+030)</f>
        <v>43.1074573863636</v>
      </c>
      <c r="Y704" s="55" t="n">
        <f aca="false">W704+ROW()*0.000000001</f>
        <v>-6.45645287160203</v>
      </c>
      <c r="Z704" s="55" t="n">
        <f aca="false">X704+ROW()*0.000000001</f>
        <v>43.1074580903636</v>
      </c>
    </row>
    <row r="705" customFormat="false" ht="15" hidden="false" customHeight="false" outlineLevel="0" collapsed="false">
      <c r="A705" s="0" t="n">
        <v>2</v>
      </c>
      <c r="B705" s="0" t="n">
        <v>7</v>
      </c>
      <c r="C705" s="0" t="n">
        <v>3</v>
      </c>
      <c r="D705" s="0" t="n">
        <f aca="false">-1+A705*0.125</f>
        <v>-0.75</v>
      </c>
      <c r="E705" s="0" t="n">
        <f aca="false">-1+B705*0.125</f>
        <v>-0.125</v>
      </c>
      <c r="F705" s="0" t="n">
        <f aca="false">-1+C705*0.125</f>
        <v>-0.625</v>
      </c>
      <c r="G705" s="0" t="n">
        <f aca="false">1</f>
        <v>1</v>
      </c>
      <c r="H705" s="0" t="n">
        <f aca="false">D705</f>
        <v>-0.75</v>
      </c>
      <c r="I705" s="0" t="n">
        <f aca="false">E705</f>
        <v>-0.125</v>
      </c>
      <c r="J705" s="0" t="n">
        <f aca="false">F705</f>
        <v>-0.625</v>
      </c>
      <c r="K705" s="0" t="n">
        <f aca="false">D705*E705</f>
        <v>0.09375</v>
      </c>
      <c r="L705" s="0" t="n">
        <f aca="false">D705*F705</f>
        <v>0.46875</v>
      </c>
      <c r="M705" s="0" t="n">
        <f aca="false">E705*F705</f>
        <v>0.078125</v>
      </c>
      <c r="N705" s="0" t="n">
        <f aca="false">D705*D705</f>
        <v>0.5625</v>
      </c>
      <c r="O705" s="0" t="n">
        <f aca="false">E705*E705</f>
        <v>0.015625</v>
      </c>
      <c r="P705" s="0" t="n">
        <f aca="false">F705*F705</f>
        <v>0.390625</v>
      </c>
      <c r="Q705" s="0" t="n">
        <f aca="false">SUMPRODUCT(G705:P705,_XtX!$B$71:$K$71)</f>
        <v>43.4893323863636</v>
      </c>
      <c r="R705" s="0" t="n">
        <f aca="false">SUMPRODUCT(MMULT(G705:P705,_XtX!$B$58:$K$67),G705:P705)</f>
        <v>0.262961092862216</v>
      </c>
      <c r="S705" s="0" t="n">
        <f aca="false">04_回帰ANOVA!$K$19*04_回帰ANOVA!$K$14*SQRT(1+R705)</f>
        <v>1.04486846483649</v>
      </c>
      <c r="T705" s="0" t="n">
        <f aca="false">Q705-S705</f>
        <v>42.4444639215272</v>
      </c>
      <c r="U705" s="0" t="n">
        <f aca="false">Q705+S705</f>
        <v>44.5342008512001</v>
      </c>
      <c r="V705" s="54" t="b">
        <f aca="false">AND(D705&gt;=01_因子設定!$L$5-0.000000001,D705&lt;=01_因子設定!$M$5+0.000000001,E705&gt;=01_因子設定!$L$6-0.000000001,E705&lt;=01_因子設定!$M$6+0.000000001,F705&gt;=01_因子設定!$L$7-0.000000001,F705&lt;=01_因子設定!$M$7+0.000000001,IF(01_因子設定!$B$20="Box-Behnken",D705^2+E705^2+F705^2&lt;=2+0.000000001,TRUE()))</f>
        <v>1</v>
      </c>
      <c r="W705" s="55" t="n">
        <f aca="false">IF(V705,IF(01_因子設定!$B$13="最大化",T705-01_因子設定!$B$14,IF(01_因子設定!$B$13="最小化",01_因子設定!$B$15-U705,MIN(T705-01_因子設定!$B$14,01_因子設定!$B$15-U705))),-1E+030)</f>
        <v>-6.05553607847284</v>
      </c>
      <c r="X705" s="55" t="n">
        <f aca="false">IF(V705,IF(01_因子設定!$B$13="最大化",Q705,IF(01_因子設定!$B$13="最小化",-Q705,-ABS(Q705-01_因子設定!$B$16))),-1E+030)</f>
        <v>43.4893323863636</v>
      </c>
      <c r="Y705" s="55" t="n">
        <f aca="false">W705+ROW()*0.000000001</f>
        <v>-6.05553537347284</v>
      </c>
      <c r="Z705" s="55" t="n">
        <f aca="false">X705+ROW()*0.000000001</f>
        <v>43.4893330913636</v>
      </c>
    </row>
    <row r="706" customFormat="false" ht="15" hidden="false" customHeight="false" outlineLevel="0" collapsed="false">
      <c r="A706" s="0" t="n">
        <v>2</v>
      </c>
      <c r="B706" s="0" t="n">
        <v>7</v>
      </c>
      <c r="C706" s="0" t="n">
        <v>4</v>
      </c>
      <c r="D706" s="0" t="n">
        <f aca="false">-1+A706*0.125</f>
        <v>-0.75</v>
      </c>
      <c r="E706" s="0" t="n">
        <f aca="false">-1+B706*0.125</f>
        <v>-0.125</v>
      </c>
      <c r="F706" s="0" t="n">
        <f aca="false">-1+C706*0.125</f>
        <v>-0.5</v>
      </c>
      <c r="G706" s="0" t="n">
        <f aca="false">1</f>
        <v>1</v>
      </c>
      <c r="H706" s="0" t="n">
        <f aca="false">D706</f>
        <v>-0.75</v>
      </c>
      <c r="I706" s="0" t="n">
        <f aca="false">E706</f>
        <v>-0.125</v>
      </c>
      <c r="J706" s="0" t="n">
        <f aca="false">F706</f>
        <v>-0.5</v>
      </c>
      <c r="K706" s="0" t="n">
        <f aca="false">D706*E706</f>
        <v>0.09375</v>
      </c>
      <c r="L706" s="0" t="n">
        <f aca="false">D706*F706</f>
        <v>0.375</v>
      </c>
      <c r="M706" s="0" t="n">
        <f aca="false">E706*F706</f>
        <v>0.0625</v>
      </c>
      <c r="N706" s="0" t="n">
        <f aca="false">D706*D706</f>
        <v>0.5625</v>
      </c>
      <c r="O706" s="0" t="n">
        <f aca="false">E706*E706</f>
        <v>0.015625</v>
      </c>
      <c r="P706" s="0" t="n">
        <f aca="false">F706*F706</f>
        <v>0.25</v>
      </c>
      <c r="Q706" s="0" t="n">
        <f aca="false">SUMPRODUCT(G706:P706,_XtX!$B$71:$K$71)</f>
        <v>43.8344176136364</v>
      </c>
      <c r="R706" s="0" t="n">
        <f aca="false">SUMPRODUCT(MMULT(G706:P706,_XtX!$B$58:$K$67),G706:P706)</f>
        <v>0.240933504971591</v>
      </c>
      <c r="S706" s="0" t="n">
        <f aca="false">04_回帰ANOVA!$K$19*04_回帰ANOVA!$K$14*SQRT(1+R706)</f>
        <v>1.03571649118863</v>
      </c>
      <c r="T706" s="0" t="n">
        <f aca="false">Q706-S706</f>
        <v>42.7987011224477</v>
      </c>
      <c r="U706" s="0" t="n">
        <f aca="false">Q706+S706</f>
        <v>44.870134104825</v>
      </c>
      <c r="V706" s="54" t="b">
        <f aca="false">AND(D706&gt;=01_因子設定!$L$5-0.000000001,D706&lt;=01_因子設定!$M$5+0.000000001,E706&gt;=01_因子設定!$L$6-0.000000001,E706&lt;=01_因子設定!$M$6+0.000000001,F706&gt;=01_因子設定!$L$7-0.000000001,F706&lt;=01_因子設定!$M$7+0.000000001,IF(01_因子設定!$B$20="Box-Behnken",D706^2+E706^2+F706^2&lt;=2+0.000000001,TRUE()))</f>
        <v>1</v>
      </c>
      <c r="W706" s="55" t="n">
        <f aca="false">IF(V706,IF(01_因子設定!$B$13="最大化",T706-01_因子設定!$B$14,IF(01_因子設定!$B$13="最小化",01_因子設定!$B$15-U706,MIN(T706-01_因子設定!$B$14,01_因子設定!$B$15-U706))),-1E+030)</f>
        <v>-5.70129887755225</v>
      </c>
      <c r="X706" s="55" t="n">
        <f aca="false">IF(V706,IF(01_因子設定!$B$13="最大化",Q706,IF(01_因子設定!$B$13="最小化",-Q706,-ABS(Q706-01_因子設定!$B$16))),-1E+030)</f>
        <v>43.8344176136364</v>
      </c>
      <c r="Y706" s="55" t="n">
        <f aca="false">W706+ROW()*0.000000001</f>
        <v>-5.70129817155226</v>
      </c>
      <c r="Z706" s="55" t="n">
        <f aca="false">X706+ROW()*0.000000001</f>
        <v>43.8344183196364</v>
      </c>
    </row>
    <row r="707" customFormat="false" ht="15" hidden="false" customHeight="false" outlineLevel="0" collapsed="false">
      <c r="A707" s="0" t="n">
        <v>2</v>
      </c>
      <c r="B707" s="0" t="n">
        <v>7</v>
      </c>
      <c r="C707" s="0" t="n">
        <v>5</v>
      </c>
      <c r="D707" s="0" t="n">
        <f aca="false">-1+A707*0.125</f>
        <v>-0.75</v>
      </c>
      <c r="E707" s="0" t="n">
        <f aca="false">-1+B707*0.125</f>
        <v>-0.125</v>
      </c>
      <c r="F707" s="0" t="n">
        <f aca="false">-1+C707*0.125</f>
        <v>-0.375</v>
      </c>
      <c r="G707" s="0" t="n">
        <f aca="false">1</f>
        <v>1</v>
      </c>
      <c r="H707" s="0" t="n">
        <f aca="false">D707</f>
        <v>-0.75</v>
      </c>
      <c r="I707" s="0" t="n">
        <f aca="false">E707</f>
        <v>-0.125</v>
      </c>
      <c r="J707" s="0" t="n">
        <f aca="false">F707</f>
        <v>-0.375</v>
      </c>
      <c r="K707" s="0" t="n">
        <f aca="false">D707*E707</f>
        <v>0.09375</v>
      </c>
      <c r="L707" s="0" t="n">
        <f aca="false">D707*F707</f>
        <v>0.28125</v>
      </c>
      <c r="M707" s="0" t="n">
        <f aca="false">E707*F707</f>
        <v>0.046875</v>
      </c>
      <c r="N707" s="0" t="n">
        <f aca="false">D707*D707</f>
        <v>0.5625</v>
      </c>
      <c r="O707" s="0" t="n">
        <f aca="false">E707*E707</f>
        <v>0.015625</v>
      </c>
      <c r="P707" s="0" t="n">
        <f aca="false">F707*F707</f>
        <v>0.140625</v>
      </c>
      <c r="Q707" s="0" t="n">
        <f aca="false">SUMPRODUCT(G707:P707,_XtX!$B$71:$K$71)</f>
        <v>44.1427130681818</v>
      </c>
      <c r="R707" s="0" t="n">
        <f aca="false">SUMPRODUCT(MMULT(G707:P707,_XtX!$B$58:$K$67),G707:P707)</f>
        <v>0.233744118430398</v>
      </c>
      <c r="S707" s="0" t="n">
        <f aca="false">04_回帰ANOVA!$K$19*04_回帰ANOVA!$K$14*SQRT(1+R707)</f>
        <v>1.0327119053564</v>
      </c>
      <c r="T707" s="0" t="n">
        <f aca="false">Q707-S707</f>
        <v>43.1100011628254</v>
      </c>
      <c r="U707" s="0" t="n">
        <f aca="false">Q707+S707</f>
        <v>45.1754249735382</v>
      </c>
      <c r="V707" s="54" t="b">
        <f aca="false">AND(D707&gt;=01_因子設定!$L$5-0.000000001,D707&lt;=01_因子設定!$M$5+0.000000001,E707&gt;=01_因子設定!$L$6-0.000000001,E707&lt;=01_因子設定!$M$6+0.000000001,F707&gt;=01_因子設定!$L$7-0.000000001,F707&lt;=01_因子設定!$M$7+0.000000001,IF(01_因子設定!$B$20="Box-Behnken",D707^2+E707^2+F707^2&lt;=2+0.000000001,TRUE()))</f>
        <v>1</v>
      </c>
      <c r="W707" s="55" t="n">
        <f aca="false">IF(V707,IF(01_因子設定!$B$13="最大化",T707-01_因子設定!$B$14,IF(01_因子設定!$B$13="最小化",01_因子設定!$B$15-U707,MIN(T707-01_因子設定!$B$14,01_因子設定!$B$15-U707))),-1E+030)</f>
        <v>-5.38999883717458</v>
      </c>
      <c r="X707" s="55" t="n">
        <f aca="false">IF(V707,IF(01_因子設定!$B$13="最大化",Q707,IF(01_因子設定!$B$13="最小化",-Q707,-ABS(Q707-01_因子設定!$B$16))),-1E+030)</f>
        <v>44.1427130681818</v>
      </c>
      <c r="Y707" s="55" t="n">
        <f aca="false">W707+ROW()*0.000000001</f>
        <v>-5.38999813017458</v>
      </c>
      <c r="Z707" s="55" t="n">
        <f aca="false">X707+ROW()*0.000000001</f>
        <v>44.1427137751818</v>
      </c>
    </row>
    <row r="708" customFormat="false" ht="15" hidden="false" customHeight="false" outlineLevel="0" collapsed="false">
      <c r="A708" s="0" t="n">
        <v>2</v>
      </c>
      <c r="B708" s="0" t="n">
        <v>7</v>
      </c>
      <c r="C708" s="0" t="n">
        <v>6</v>
      </c>
      <c r="D708" s="0" t="n">
        <f aca="false">-1+A708*0.125</f>
        <v>-0.75</v>
      </c>
      <c r="E708" s="0" t="n">
        <f aca="false">-1+B708*0.125</f>
        <v>-0.125</v>
      </c>
      <c r="F708" s="0" t="n">
        <f aca="false">-1+C708*0.125</f>
        <v>-0.25</v>
      </c>
      <c r="G708" s="0" t="n">
        <f aca="false">1</f>
        <v>1</v>
      </c>
      <c r="H708" s="0" t="n">
        <f aca="false">D708</f>
        <v>-0.75</v>
      </c>
      <c r="I708" s="0" t="n">
        <f aca="false">E708</f>
        <v>-0.125</v>
      </c>
      <c r="J708" s="0" t="n">
        <f aca="false">F708</f>
        <v>-0.25</v>
      </c>
      <c r="K708" s="0" t="n">
        <f aca="false">D708*E708</f>
        <v>0.09375</v>
      </c>
      <c r="L708" s="0" t="n">
        <f aca="false">D708*F708</f>
        <v>0.1875</v>
      </c>
      <c r="M708" s="0" t="n">
        <f aca="false">E708*F708</f>
        <v>0.03125</v>
      </c>
      <c r="N708" s="0" t="n">
        <f aca="false">D708*D708</f>
        <v>0.5625</v>
      </c>
      <c r="O708" s="0" t="n">
        <f aca="false">E708*E708</f>
        <v>0.015625</v>
      </c>
      <c r="P708" s="0" t="n">
        <f aca="false">F708*F708</f>
        <v>0.0625</v>
      </c>
      <c r="Q708" s="0" t="n">
        <f aca="false">SUMPRODUCT(G708:P708,_XtX!$B$71:$K$71)</f>
        <v>44.41421875</v>
      </c>
      <c r="R708" s="0" t="n">
        <f aca="false">SUMPRODUCT(MMULT(G708:P708,_XtX!$B$58:$K$67),G708:P708)</f>
        <v>0.233935546875</v>
      </c>
      <c r="S708" s="0" t="n">
        <f aca="false">04_回帰ANOVA!$K$19*04_回帰ANOVA!$K$14*SQRT(1+R708)</f>
        <v>1.03279202033444</v>
      </c>
      <c r="T708" s="0" t="n">
        <f aca="false">Q708-S708</f>
        <v>43.3814267296656</v>
      </c>
      <c r="U708" s="0" t="n">
        <f aca="false">Q708+S708</f>
        <v>45.4470107703344</v>
      </c>
      <c r="V708" s="54" t="b">
        <f aca="false">AND(D708&gt;=01_因子設定!$L$5-0.000000001,D708&lt;=01_因子設定!$M$5+0.000000001,E708&gt;=01_因子設定!$L$6-0.000000001,E708&lt;=01_因子設定!$M$6+0.000000001,F708&gt;=01_因子設定!$L$7-0.000000001,F708&lt;=01_因子設定!$M$7+0.000000001,IF(01_因子設定!$B$20="Box-Behnken",D708^2+E708^2+F708^2&lt;=2+0.000000001,TRUE()))</f>
        <v>1</v>
      </c>
      <c r="W708" s="55" t="n">
        <f aca="false">IF(V708,IF(01_因子設定!$B$13="最大化",T708-01_因子設定!$B$14,IF(01_因子設定!$B$13="最小化",01_因子設定!$B$15-U708,MIN(T708-01_因子設定!$B$14,01_因子設定!$B$15-U708))),-1E+030)</f>
        <v>-5.11857327033444</v>
      </c>
      <c r="X708" s="55" t="n">
        <f aca="false">IF(V708,IF(01_因子設定!$B$13="最大化",Q708,IF(01_因子設定!$B$13="最小化",-Q708,-ABS(Q708-01_因子設定!$B$16))),-1E+030)</f>
        <v>44.41421875</v>
      </c>
      <c r="Y708" s="55" t="n">
        <f aca="false">W708+ROW()*0.000000001</f>
        <v>-5.11857256233444</v>
      </c>
      <c r="Z708" s="55" t="n">
        <f aca="false">X708+ROW()*0.000000001</f>
        <v>44.414219458</v>
      </c>
    </row>
    <row r="709" customFormat="false" ht="15" hidden="false" customHeight="false" outlineLevel="0" collapsed="false">
      <c r="A709" s="0" t="n">
        <v>2</v>
      </c>
      <c r="B709" s="0" t="n">
        <v>7</v>
      </c>
      <c r="C709" s="0" t="n">
        <v>7</v>
      </c>
      <c r="D709" s="0" t="n">
        <f aca="false">-1+A709*0.125</f>
        <v>-0.75</v>
      </c>
      <c r="E709" s="0" t="n">
        <f aca="false">-1+B709*0.125</f>
        <v>-0.125</v>
      </c>
      <c r="F709" s="0" t="n">
        <f aca="false">-1+C709*0.125</f>
        <v>-0.125</v>
      </c>
      <c r="G709" s="0" t="n">
        <f aca="false">1</f>
        <v>1</v>
      </c>
      <c r="H709" s="0" t="n">
        <f aca="false">D709</f>
        <v>-0.75</v>
      </c>
      <c r="I709" s="0" t="n">
        <f aca="false">E709</f>
        <v>-0.125</v>
      </c>
      <c r="J709" s="0" t="n">
        <f aca="false">F709</f>
        <v>-0.125</v>
      </c>
      <c r="K709" s="0" t="n">
        <f aca="false">D709*E709</f>
        <v>0.09375</v>
      </c>
      <c r="L709" s="0" t="n">
        <f aca="false">D709*F709</f>
        <v>0.09375</v>
      </c>
      <c r="M709" s="0" t="n">
        <f aca="false">E709*F709</f>
        <v>0.015625</v>
      </c>
      <c r="N709" s="0" t="n">
        <f aca="false">D709*D709</f>
        <v>0.5625</v>
      </c>
      <c r="O709" s="0" t="n">
        <f aca="false">E709*E709</f>
        <v>0.015625</v>
      </c>
      <c r="P709" s="0" t="n">
        <f aca="false">F709*F709</f>
        <v>0.015625</v>
      </c>
      <c r="Q709" s="0" t="n">
        <f aca="false">SUMPRODUCT(G709:P709,_XtX!$B$71:$K$71)</f>
        <v>44.6489346590909</v>
      </c>
      <c r="R709" s="0" t="n">
        <f aca="false">SUMPRODUCT(MMULT(G709:P709,_XtX!$B$58:$K$67),G709:P709)</f>
        <v>0.236181085759943</v>
      </c>
      <c r="S709" s="0" t="n">
        <f aca="false">04_回帰ANOVA!$K$19*04_回帰ANOVA!$K$14*SQRT(1+R709)</f>
        <v>1.03373134025567</v>
      </c>
      <c r="T709" s="0" t="n">
        <f aca="false">Q709-S709</f>
        <v>43.6152033188352</v>
      </c>
      <c r="U709" s="0" t="n">
        <f aca="false">Q709+S709</f>
        <v>45.6826659993466</v>
      </c>
      <c r="V709" s="54" t="b">
        <f aca="false">AND(D709&gt;=01_因子設定!$L$5-0.000000001,D709&lt;=01_因子設定!$M$5+0.000000001,E709&gt;=01_因子設定!$L$6-0.000000001,E709&lt;=01_因子設定!$M$6+0.000000001,F709&gt;=01_因子設定!$L$7-0.000000001,F709&lt;=01_因子設定!$M$7+0.000000001,IF(01_因子設定!$B$20="Box-Behnken",D709^2+E709^2+F709^2&lt;=2+0.000000001,TRUE()))</f>
        <v>1</v>
      </c>
      <c r="W709" s="55" t="n">
        <f aca="false">IF(V709,IF(01_因子設定!$B$13="最大化",T709-01_因子設定!$B$14,IF(01_因子設定!$B$13="最小化",01_因子設定!$B$15-U709,MIN(T709-01_因子設定!$B$14,01_因子設定!$B$15-U709))),-1E+030)</f>
        <v>-4.88479668116477</v>
      </c>
      <c r="X709" s="55" t="n">
        <f aca="false">IF(V709,IF(01_因子設定!$B$13="最大化",Q709,IF(01_因子設定!$B$13="最小化",-Q709,-ABS(Q709-01_因子設定!$B$16))),-1E+030)</f>
        <v>44.6489346590909</v>
      </c>
      <c r="Y709" s="55" t="n">
        <f aca="false">W709+ROW()*0.000000001</f>
        <v>-4.88479597216477</v>
      </c>
      <c r="Z709" s="55" t="n">
        <f aca="false">X709+ROW()*0.000000001</f>
        <v>44.6489353680909</v>
      </c>
    </row>
    <row r="710" customFormat="false" ht="15" hidden="false" customHeight="false" outlineLevel="0" collapsed="false">
      <c r="A710" s="0" t="n">
        <v>2</v>
      </c>
      <c r="B710" s="0" t="n">
        <v>7</v>
      </c>
      <c r="C710" s="0" t="n">
        <v>8</v>
      </c>
      <c r="D710" s="0" t="n">
        <f aca="false">-1+A710*0.125</f>
        <v>-0.75</v>
      </c>
      <c r="E710" s="0" t="n">
        <f aca="false">-1+B710*0.125</f>
        <v>-0.125</v>
      </c>
      <c r="F710" s="0" t="n">
        <f aca="false">-1+C710*0.125</f>
        <v>0</v>
      </c>
      <c r="G710" s="0" t="n">
        <f aca="false">1</f>
        <v>1</v>
      </c>
      <c r="H710" s="0" t="n">
        <f aca="false">D710</f>
        <v>-0.75</v>
      </c>
      <c r="I710" s="0" t="n">
        <f aca="false">E710</f>
        <v>-0.125</v>
      </c>
      <c r="J710" s="0" t="n">
        <f aca="false">F710</f>
        <v>0</v>
      </c>
      <c r="K710" s="0" t="n">
        <f aca="false">D710*E710</f>
        <v>0.09375</v>
      </c>
      <c r="L710" s="0" t="n">
        <f aca="false">D710*F710</f>
        <v>-0</v>
      </c>
      <c r="M710" s="0" t="n">
        <f aca="false">E710*F710</f>
        <v>-0</v>
      </c>
      <c r="N710" s="0" t="n">
        <f aca="false">D710*D710</f>
        <v>0.5625</v>
      </c>
      <c r="O710" s="0" t="n">
        <f aca="false">E710*E710</f>
        <v>0.015625</v>
      </c>
      <c r="P710" s="0" t="n">
        <f aca="false">F710*F710</f>
        <v>0</v>
      </c>
      <c r="Q710" s="0" t="n">
        <f aca="false">SUMPRODUCT(G710:P710,_XtX!$B$71:$K$71)</f>
        <v>44.8468607954545</v>
      </c>
      <c r="R710" s="0" t="n">
        <f aca="false">SUMPRODUCT(MMULT(G710:P710,_XtX!$B$58:$K$67),G710:P710)</f>
        <v>0.237284712357955</v>
      </c>
      <c r="S710" s="0" t="n">
        <f aca="false">04_回帰ANOVA!$K$19*04_回帰ANOVA!$K$14*SQRT(1+R710)</f>
        <v>1.03419267998124</v>
      </c>
      <c r="T710" s="0" t="n">
        <f aca="false">Q710-S710</f>
        <v>43.8126681154733</v>
      </c>
      <c r="U710" s="0" t="n">
        <f aca="false">Q710+S710</f>
        <v>45.8810534754358</v>
      </c>
      <c r="V710" s="54" t="b">
        <f aca="false">AND(D710&gt;=01_因子設定!$L$5-0.000000001,D710&lt;=01_因子設定!$M$5+0.000000001,E710&gt;=01_因子設定!$L$6-0.000000001,E710&lt;=01_因子設定!$M$6+0.000000001,F710&gt;=01_因子設定!$L$7-0.000000001,F710&lt;=01_因子設定!$M$7+0.000000001,IF(01_因子設定!$B$20="Box-Behnken",D710^2+E710^2+F710^2&lt;=2+0.000000001,TRUE()))</f>
        <v>1</v>
      </c>
      <c r="W710" s="55" t="n">
        <f aca="false">IF(V710,IF(01_因子設定!$B$13="最大化",T710-01_因子設定!$B$14,IF(01_因子設定!$B$13="最小化",01_因子設定!$B$15-U710,MIN(T710-01_因子設定!$B$14,01_因子設定!$B$15-U710))),-1E+030)</f>
        <v>-4.6873318845267</v>
      </c>
      <c r="X710" s="55" t="n">
        <f aca="false">IF(V710,IF(01_因子設定!$B$13="最大化",Q710,IF(01_因子設定!$B$13="最小化",-Q710,-ABS(Q710-01_因子設定!$B$16))),-1E+030)</f>
        <v>44.8468607954545</v>
      </c>
      <c r="Y710" s="55" t="n">
        <f aca="false">W710+ROW()*0.000000001</f>
        <v>-4.6873311745267</v>
      </c>
      <c r="Z710" s="55" t="n">
        <f aca="false">X710+ROW()*0.000000001</f>
        <v>44.8468615054545</v>
      </c>
    </row>
    <row r="711" customFormat="false" ht="15" hidden="false" customHeight="false" outlineLevel="0" collapsed="false">
      <c r="A711" s="0" t="n">
        <v>2</v>
      </c>
      <c r="B711" s="0" t="n">
        <v>7</v>
      </c>
      <c r="C711" s="0" t="n">
        <v>9</v>
      </c>
      <c r="D711" s="0" t="n">
        <f aca="false">-1+A711*0.125</f>
        <v>-0.75</v>
      </c>
      <c r="E711" s="0" t="n">
        <f aca="false">-1+B711*0.125</f>
        <v>-0.125</v>
      </c>
      <c r="F711" s="0" t="n">
        <f aca="false">-1+C711*0.125</f>
        <v>0.125</v>
      </c>
      <c r="G711" s="0" t="n">
        <f aca="false">1</f>
        <v>1</v>
      </c>
      <c r="H711" s="0" t="n">
        <f aca="false">D711</f>
        <v>-0.75</v>
      </c>
      <c r="I711" s="0" t="n">
        <f aca="false">E711</f>
        <v>-0.125</v>
      </c>
      <c r="J711" s="0" t="n">
        <f aca="false">F711</f>
        <v>0.125</v>
      </c>
      <c r="K711" s="0" t="n">
        <f aca="false">D711*E711</f>
        <v>0.09375</v>
      </c>
      <c r="L711" s="0" t="n">
        <f aca="false">D711*F711</f>
        <v>-0.09375</v>
      </c>
      <c r="M711" s="0" t="n">
        <f aca="false">E711*F711</f>
        <v>-0.015625</v>
      </c>
      <c r="N711" s="0" t="n">
        <f aca="false">D711*D711</f>
        <v>0.5625</v>
      </c>
      <c r="O711" s="0" t="n">
        <f aca="false">E711*E711</f>
        <v>0.015625</v>
      </c>
      <c r="P711" s="0" t="n">
        <f aca="false">F711*F711</f>
        <v>0.015625</v>
      </c>
      <c r="Q711" s="0" t="n">
        <f aca="false">SUMPRODUCT(G711:P711,_XtX!$B$71:$K$71)</f>
        <v>45.0079971590909</v>
      </c>
      <c r="R711" s="0" t="n">
        <f aca="false">SUMPRODUCT(MMULT(G711:P711,_XtX!$B$58:$K$67),G711:P711)</f>
        <v>0.236181085759943</v>
      </c>
      <c r="S711" s="0" t="n">
        <f aca="false">04_回帰ANOVA!$K$19*04_回帰ANOVA!$K$14*SQRT(1+R711)</f>
        <v>1.03373134025567</v>
      </c>
      <c r="T711" s="0" t="n">
        <f aca="false">Q711-S711</f>
        <v>43.9742658188352</v>
      </c>
      <c r="U711" s="0" t="n">
        <f aca="false">Q711+S711</f>
        <v>46.0417284993466</v>
      </c>
      <c r="V711" s="54" t="b">
        <f aca="false">AND(D711&gt;=01_因子設定!$L$5-0.000000001,D711&lt;=01_因子設定!$M$5+0.000000001,E711&gt;=01_因子設定!$L$6-0.000000001,E711&lt;=01_因子設定!$M$6+0.000000001,F711&gt;=01_因子設定!$L$7-0.000000001,F711&lt;=01_因子設定!$M$7+0.000000001,IF(01_因子設定!$B$20="Box-Behnken",D711^2+E711^2+F711^2&lt;=2+0.000000001,TRUE()))</f>
        <v>1</v>
      </c>
      <c r="W711" s="55" t="n">
        <f aca="false">IF(V711,IF(01_因子設定!$B$13="最大化",T711-01_因子設定!$B$14,IF(01_因子設定!$B$13="最小化",01_因子設定!$B$15-U711,MIN(T711-01_因子設定!$B$14,01_因子設定!$B$15-U711))),-1E+030)</f>
        <v>-4.52573418116477</v>
      </c>
      <c r="X711" s="55" t="n">
        <f aca="false">IF(V711,IF(01_因子設定!$B$13="最大化",Q711,IF(01_因子設定!$B$13="最小化",-Q711,-ABS(Q711-01_因子設定!$B$16))),-1E+030)</f>
        <v>45.0079971590909</v>
      </c>
      <c r="Y711" s="55" t="n">
        <f aca="false">W711+ROW()*0.000000001</f>
        <v>-4.52573347016477</v>
      </c>
      <c r="Z711" s="55" t="n">
        <f aca="false">X711+ROW()*0.000000001</f>
        <v>45.0079978700909</v>
      </c>
    </row>
    <row r="712" customFormat="false" ht="15" hidden="false" customHeight="false" outlineLevel="0" collapsed="false">
      <c r="A712" s="0" t="n">
        <v>2</v>
      </c>
      <c r="B712" s="0" t="n">
        <v>7</v>
      </c>
      <c r="C712" s="0" t="n">
        <v>10</v>
      </c>
      <c r="D712" s="0" t="n">
        <f aca="false">-1+A712*0.125</f>
        <v>-0.75</v>
      </c>
      <c r="E712" s="0" t="n">
        <f aca="false">-1+B712*0.125</f>
        <v>-0.125</v>
      </c>
      <c r="F712" s="0" t="n">
        <f aca="false">-1+C712*0.125</f>
        <v>0.25</v>
      </c>
      <c r="G712" s="0" t="n">
        <f aca="false">1</f>
        <v>1</v>
      </c>
      <c r="H712" s="0" t="n">
        <f aca="false">D712</f>
        <v>-0.75</v>
      </c>
      <c r="I712" s="0" t="n">
        <f aca="false">E712</f>
        <v>-0.125</v>
      </c>
      <c r="J712" s="0" t="n">
        <f aca="false">F712</f>
        <v>0.25</v>
      </c>
      <c r="K712" s="0" t="n">
        <f aca="false">D712*E712</f>
        <v>0.09375</v>
      </c>
      <c r="L712" s="0" t="n">
        <f aca="false">D712*F712</f>
        <v>-0.1875</v>
      </c>
      <c r="M712" s="0" t="n">
        <f aca="false">E712*F712</f>
        <v>-0.03125</v>
      </c>
      <c r="N712" s="0" t="n">
        <f aca="false">D712*D712</f>
        <v>0.5625</v>
      </c>
      <c r="O712" s="0" t="n">
        <f aca="false">E712*E712</f>
        <v>0.015625</v>
      </c>
      <c r="P712" s="0" t="n">
        <f aca="false">F712*F712</f>
        <v>0.0625</v>
      </c>
      <c r="Q712" s="0" t="n">
        <f aca="false">SUMPRODUCT(G712:P712,_XtX!$B$71:$K$71)</f>
        <v>45.13234375</v>
      </c>
      <c r="R712" s="0" t="n">
        <f aca="false">SUMPRODUCT(MMULT(G712:P712,_XtX!$B$58:$K$67),G712:P712)</f>
        <v>0.233935546875</v>
      </c>
      <c r="S712" s="0" t="n">
        <f aca="false">04_回帰ANOVA!$K$19*04_回帰ANOVA!$K$14*SQRT(1+R712)</f>
        <v>1.03279202033444</v>
      </c>
      <c r="T712" s="0" t="n">
        <f aca="false">Q712-S712</f>
        <v>44.0995517296656</v>
      </c>
      <c r="U712" s="0" t="n">
        <f aca="false">Q712+S712</f>
        <v>46.1651357703344</v>
      </c>
      <c r="V712" s="54" t="b">
        <f aca="false">AND(D712&gt;=01_因子設定!$L$5-0.000000001,D712&lt;=01_因子設定!$M$5+0.000000001,E712&gt;=01_因子設定!$L$6-0.000000001,E712&lt;=01_因子設定!$M$6+0.000000001,F712&gt;=01_因子設定!$L$7-0.000000001,F712&lt;=01_因子設定!$M$7+0.000000001,IF(01_因子設定!$B$20="Box-Behnken",D712^2+E712^2+F712^2&lt;=2+0.000000001,TRUE()))</f>
        <v>1</v>
      </c>
      <c r="W712" s="55" t="n">
        <f aca="false">IF(V712,IF(01_因子設定!$B$13="最大化",T712-01_因子設定!$B$14,IF(01_因子設定!$B$13="最小化",01_因子設定!$B$15-U712,MIN(T712-01_因子設定!$B$14,01_因子設定!$B$15-U712))),-1E+030)</f>
        <v>-4.40044827033444</v>
      </c>
      <c r="X712" s="55" t="n">
        <f aca="false">IF(V712,IF(01_因子設定!$B$13="最大化",Q712,IF(01_因子設定!$B$13="最小化",-Q712,-ABS(Q712-01_因子設定!$B$16))),-1E+030)</f>
        <v>45.13234375</v>
      </c>
      <c r="Y712" s="55" t="n">
        <f aca="false">W712+ROW()*0.000000001</f>
        <v>-4.40044755833444</v>
      </c>
      <c r="Z712" s="55" t="n">
        <f aca="false">X712+ROW()*0.000000001</f>
        <v>45.132344462</v>
      </c>
    </row>
    <row r="713" customFormat="false" ht="15" hidden="false" customHeight="false" outlineLevel="0" collapsed="false">
      <c r="A713" s="0" t="n">
        <v>2</v>
      </c>
      <c r="B713" s="0" t="n">
        <v>7</v>
      </c>
      <c r="C713" s="0" t="n">
        <v>11</v>
      </c>
      <c r="D713" s="0" t="n">
        <f aca="false">-1+A713*0.125</f>
        <v>-0.75</v>
      </c>
      <c r="E713" s="0" t="n">
        <f aca="false">-1+B713*0.125</f>
        <v>-0.125</v>
      </c>
      <c r="F713" s="0" t="n">
        <f aca="false">-1+C713*0.125</f>
        <v>0.375</v>
      </c>
      <c r="G713" s="0" t="n">
        <f aca="false">1</f>
        <v>1</v>
      </c>
      <c r="H713" s="0" t="n">
        <f aca="false">D713</f>
        <v>-0.75</v>
      </c>
      <c r="I713" s="0" t="n">
        <f aca="false">E713</f>
        <v>-0.125</v>
      </c>
      <c r="J713" s="0" t="n">
        <f aca="false">F713</f>
        <v>0.375</v>
      </c>
      <c r="K713" s="0" t="n">
        <f aca="false">D713*E713</f>
        <v>0.09375</v>
      </c>
      <c r="L713" s="0" t="n">
        <f aca="false">D713*F713</f>
        <v>-0.28125</v>
      </c>
      <c r="M713" s="0" t="n">
        <f aca="false">E713*F713</f>
        <v>-0.046875</v>
      </c>
      <c r="N713" s="0" t="n">
        <f aca="false">D713*D713</f>
        <v>0.5625</v>
      </c>
      <c r="O713" s="0" t="n">
        <f aca="false">E713*E713</f>
        <v>0.015625</v>
      </c>
      <c r="P713" s="0" t="n">
        <f aca="false">F713*F713</f>
        <v>0.140625</v>
      </c>
      <c r="Q713" s="0" t="n">
        <f aca="false">SUMPRODUCT(G713:P713,_XtX!$B$71:$K$71)</f>
        <v>45.2199005681818</v>
      </c>
      <c r="R713" s="0" t="n">
        <f aca="false">SUMPRODUCT(MMULT(G713:P713,_XtX!$B$58:$K$67),G713:P713)</f>
        <v>0.233744118430398</v>
      </c>
      <c r="S713" s="0" t="n">
        <f aca="false">04_回帰ANOVA!$K$19*04_回帰ANOVA!$K$14*SQRT(1+R713)</f>
        <v>1.0327119053564</v>
      </c>
      <c r="T713" s="0" t="n">
        <f aca="false">Q713-S713</f>
        <v>44.1871886628254</v>
      </c>
      <c r="U713" s="0" t="n">
        <f aca="false">Q713+S713</f>
        <v>46.2526124735382</v>
      </c>
      <c r="V713" s="54" t="b">
        <f aca="false">AND(D713&gt;=01_因子設定!$L$5-0.000000001,D713&lt;=01_因子設定!$M$5+0.000000001,E713&gt;=01_因子設定!$L$6-0.000000001,E713&lt;=01_因子設定!$M$6+0.000000001,F713&gt;=01_因子設定!$L$7-0.000000001,F713&lt;=01_因子設定!$M$7+0.000000001,IF(01_因子設定!$B$20="Box-Behnken",D713^2+E713^2+F713^2&lt;=2+0.000000001,TRUE()))</f>
        <v>1</v>
      </c>
      <c r="W713" s="55" t="n">
        <f aca="false">IF(V713,IF(01_因子設定!$B$13="最大化",T713-01_因子設定!$B$14,IF(01_因子設定!$B$13="最小化",01_因子設定!$B$15-U713,MIN(T713-01_因子設定!$B$14,01_因子設定!$B$15-U713))),-1E+030)</f>
        <v>-4.31281133717459</v>
      </c>
      <c r="X713" s="55" t="n">
        <f aca="false">IF(V713,IF(01_因子設定!$B$13="最大化",Q713,IF(01_因子設定!$B$13="最小化",-Q713,-ABS(Q713-01_因子設定!$B$16))),-1E+030)</f>
        <v>45.2199005681818</v>
      </c>
      <c r="Y713" s="55" t="n">
        <f aca="false">W713+ROW()*0.000000001</f>
        <v>-4.31281062417459</v>
      </c>
      <c r="Z713" s="55" t="n">
        <f aca="false">X713+ROW()*0.000000001</f>
        <v>45.2199012811818</v>
      </c>
    </row>
    <row r="714" customFormat="false" ht="15" hidden="false" customHeight="false" outlineLevel="0" collapsed="false">
      <c r="A714" s="0" t="n">
        <v>2</v>
      </c>
      <c r="B714" s="0" t="n">
        <v>7</v>
      </c>
      <c r="C714" s="0" t="n">
        <v>12</v>
      </c>
      <c r="D714" s="0" t="n">
        <f aca="false">-1+A714*0.125</f>
        <v>-0.75</v>
      </c>
      <c r="E714" s="0" t="n">
        <f aca="false">-1+B714*0.125</f>
        <v>-0.125</v>
      </c>
      <c r="F714" s="0" t="n">
        <f aca="false">-1+C714*0.125</f>
        <v>0.5</v>
      </c>
      <c r="G714" s="0" t="n">
        <f aca="false">1</f>
        <v>1</v>
      </c>
      <c r="H714" s="0" t="n">
        <f aca="false">D714</f>
        <v>-0.75</v>
      </c>
      <c r="I714" s="0" t="n">
        <f aca="false">E714</f>
        <v>-0.125</v>
      </c>
      <c r="J714" s="0" t="n">
        <f aca="false">F714</f>
        <v>0.5</v>
      </c>
      <c r="K714" s="0" t="n">
        <f aca="false">D714*E714</f>
        <v>0.09375</v>
      </c>
      <c r="L714" s="0" t="n">
        <f aca="false">D714*F714</f>
        <v>-0.375</v>
      </c>
      <c r="M714" s="0" t="n">
        <f aca="false">E714*F714</f>
        <v>-0.0625</v>
      </c>
      <c r="N714" s="0" t="n">
        <f aca="false">D714*D714</f>
        <v>0.5625</v>
      </c>
      <c r="O714" s="0" t="n">
        <f aca="false">E714*E714</f>
        <v>0.015625</v>
      </c>
      <c r="P714" s="0" t="n">
        <f aca="false">F714*F714</f>
        <v>0.25</v>
      </c>
      <c r="Q714" s="0" t="n">
        <f aca="false">SUMPRODUCT(G714:P714,_XtX!$B$71:$K$71)</f>
        <v>45.2706676136364</v>
      </c>
      <c r="R714" s="0" t="n">
        <f aca="false">SUMPRODUCT(MMULT(G714:P714,_XtX!$B$58:$K$67),G714:P714)</f>
        <v>0.240933504971591</v>
      </c>
      <c r="S714" s="0" t="n">
        <f aca="false">04_回帰ANOVA!$K$19*04_回帰ANOVA!$K$14*SQRT(1+R714)</f>
        <v>1.03571649118863</v>
      </c>
      <c r="T714" s="0" t="n">
        <f aca="false">Q714-S714</f>
        <v>44.2349511224477</v>
      </c>
      <c r="U714" s="0" t="n">
        <f aca="false">Q714+S714</f>
        <v>46.306384104825</v>
      </c>
      <c r="V714" s="54" t="b">
        <f aca="false">AND(D714&gt;=01_因子設定!$L$5-0.000000001,D714&lt;=01_因子設定!$M$5+0.000000001,E714&gt;=01_因子設定!$L$6-0.000000001,E714&lt;=01_因子設定!$M$6+0.000000001,F714&gt;=01_因子設定!$L$7-0.000000001,F714&lt;=01_因子設定!$M$7+0.000000001,IF(01_因子設定!$B$20="Box-Behnken",D714^2+E714^2+F714^2&lt;=2+0.000000001,TRUE()))</f>
        <v>1</v>
      </c>
      <c r="W714" s="55" t="n">
        <f aca="false">IF(V714,IF(01_因子設定!$B$13="最大化",T714-01_因子設定!$B$14,IF(01_因子設定!$B$13="最小化",01_因子設定!$B$15-U714,MIN(T714-01_因子設定!$B$14,01_因子設定!$B$15-U714))),-1E+030)</f>
        <v>-4.26504887755226</v>
      </c>
      <c r="X714" s="55" t="n">
        <f aca="false">IF(V714,IF(01_因子設定!$B$13="最大化",Q714,IF(01_因子設定!$B$13="最小化",-Q714,-ABS(Q714-01_因子設定!$B$16))),-1E+030)</f>
        <v>45.2706676136364</v>
      </c>
      <c r="Y714" s="55" t="n">
        <f aca="false">W714+ROW()*0.000000001</f>
        <v>-4.26504816355226</v>
      </c>
      <c r="Z714" s="55" t="n">
        <f aca="false">X714+ROW()*0.000000001</f>
        <v>45.2706683276364</v>
      </c>
    </row>
    <row r="715" customFormat="false" ht="15" hidden="false" customHeight="false" outlineLevel="0" collapsed="false">
      <c r="A715" s="0" t="n">
        <v>2</v>
      </c>
      <c r="B715" s="0" t="n">
        <v>7</v>
      </c>
      <c r="C715" s="0" t="n">
        <v>13</v>
      </c>
      <c r="D715" s="0" t="n">
        <f aca="false">-1+A715*0.125</f>
        <v>-0.75</v>
      </c>
      <c r="E715" s="0" t="n">
        <f aca="false">-1+B715*0.125</f>
        <v>-0.125</v>
      </c>
      <c r="F715" s="0" t="n">
        <f aca="false">-1+C715*0.125</f>
        <v>0.625</v>
      </c>
      <c r="G715" s="0" t="n">
        <f aca="false">1</f>
        <v>1</v>
      </c>
      <c r="H715" s="0" t="n">
        <f aca="false">D715</f>
        <v>-0.75</v>
      </c>
      <c r="I715" s="0" t="n">
        <f aca="false">E715</f>
        <v>-0.125</v>
      </c>
      <c r="J715" s="0" t="n">
        <f aca="false">F715</f>
        <v>0.625</v>
      </c>
      <c r="K715" s="0" t="n">
        <f aca="false">D715*E715</f>
        <v>0.09375</v>
      </c>
      <c r="L715" s="0" t="n">
        <f aca="false">D715*F715</f>
        <v>-0.46875</v>
      </c>
      <c r="M715" s="0" t="n">
        <f aca="false">E715*F715</f>
        <v>-0.078125</v>
      </c>
      <c r="N715" s="0" t="n">
        <f aca="false">D715*D715</f>
        <v>0.5625</v>
      </c>
      <c r="O715" s="0" t="n">
        <f aca="false">E715*E715</f>
        <v>0.015625</v>
      </c>
      <c r="P715" s="0" t="n">
        <f aca="false">F715*F715</f>
        <v>0.390625</v>
      </c>
      <c r="Q715" s="0" t="n">
        <f aca="false">SUMPRODUCT(G715:P715,_XtX!$B$71:$K$71)</f>
        <v>45.2846448863636</v>
      </c>
      <c r="R715" s="0" t="n">
        <f aca="false">SUMPRODUCT(MMULT(G715:P715,_XtX!$B$58:$K$67),G715:P715)</f>
        <v>0.262961092862216</v>
      </c>
      <c r="S715" s="0" t="n">
        <f aca="false">04_回帰ANOVA!$K$19*04_回帰ANOVA!$K$14*SQRT(1+R715)</f>
        <v>1.04486846483649</v>
      </c>
      <c r="T715" s="0" t="n">
        <f aca="false">Q715-S715</f>
        <v>44.2397764215272</v>
      </c>
      <c r="U715" s="0" t="n">
        <f aca="false">Q715+S715</f>
        <v>46.3295133512001</v>
      </c>
      <c r="V715" s="54" t="b">
        <f aca="false">AND(D715&gt;=01_因子設定!$L$5-0.000000001,D715&lt;=01_因子設定!$M$5+0.000000001,E715&gt;=01_因子設定!$L$6-0.000000001,E715&lt;=01_因子設定!$M$6+0.000000001,F715&gt;=01_因子設定!$L$7-0.000000001,F715&lt;=01_因子設定!$M$7+0.000000001,IF(01_因子設定!$B$20="Box-Behnken",D715^2+E715^2+F715^2&lt;=2+0.000000001,TRUE()))</f>
        <v>1</v>
      </c>
      <c r="W715" s="55" t="n">
        <f aca="false">IF(V715,IF(01_因子設定!$B$13="最大化",T715-01_因子設定!$B$14,IF(01_因子設定!$B$13="最小化",01_因子設定!$B$15-U715,MIN(T715-01_因子設定!$B$14,01_因子設定!$B$15-U715))),-1E+030)</f>
        <v>-4.26022357847285</v>
      </c>
      <c r="X715" s="55" t="n">
        <f aca="false">IF(V715,IF(01_因子設定!$B$13="最大化",Q715,IF(01_因子設定!$B$13="最小化",-Q715,-ABS(Q715-01_因子設定!$B$16))),-1E+030)</f>
        <v>45.2846448863636</v>
      </c>
      <c r="Y715" s="55" t="n">
        <f aca="false">W715+ROW()*0.000000001</f>
        <v>-4.26022286347285</v>
      </c>
      <c r="Z715" s="55" t="n">
        <f aca="false">X715+ROW()*0.000000001</f>
        <v>45.2846456013636</v>
      </c>
    </row>
    <row r="716" customFormat="false" ht="15" hidden="false" customHeight="false" outlineLevel="0" collapsed="false">
      <c r="A716" s="0" t="n">
        <v>2</v>
      </c>
      <c r="B716" s="0" t="n">
        <v>7</v>
      </c>
      <c r="C716" s="0" t="n">
        <v>14</v>
      </c>
      <c r="D716" s="0" t="n">
        <f aca="false">-1+A716*0.125</f>
        <v>-0.75</v>
      </c>
      <c r="E716" s="0" t="n">
        <f aca="false">-1+B716*0.125</f>
        <v>-0.125</v>
      </c>
      <c r="F716" s="0" t="n">
        <f aca="false">-1+C716*0.125</f>
        <v>0.75</v>
      </c>
      <c r="G716" s="0" t="n">
        <f aca="false">1</f>
        <v>1</v>
      </c>
      <c r="H716" s="0" t="n">
        <f aca="false">D716</f>
        <v>-0.75</v>
      </c>
      <c r="I716" s="0" t="n">
        <f aca="false">E716</f>
        <v>-0.125</v>
      </c>
      <c r="J716" s="0" t="n">
        <f aca="false">F716</f>
        <v>0.75</v>
      </c>
      <c r="K716" s="0" t="n">
        <f aca="false">D716*E716</f>
        <v>0.09375</v>
      </c>
      <c r="L716" s="0" t="n">
        <f aca="false">D716*F716</f>
        <v>-0.5625</v>
      </c>
      <c r="M716" s="0" t="n">
        <f aca="false">E716*F716</f>
        <v>-0.09375</v>
      </c>
      <c r="N716" s="0" t="n">
        <f aca="false">D716*D716</f>
        <v>0.5625</v>
      </c>
      <c r="O716" s="0" t="n">
        <f aca="false">E716*E716</f>
        <v>0.015625</v>
      </c>
      <c r="P716" s="0" t="n">
        <f aca="false">F716*F716</f>
        <v>0.5625</v>
      </c>
      <c r="Q716" s="0" t="n">
        <f aca="false">SUMPRODUCT(G716:P716,_XtX!$B$71:$K$71)</f>
        <v>45.2618323863636</v>
      </c>
      <c r="R716" s="0" t="n">
        <f aca="false">SUMPRODUCT(MMULT(G716:P716,_XtX!$B$58:$K$67),G716:P716)</f>
        <v>0.309414950284091</v>
      </c>
      <c r="S716" s="0" t="n">
        <f aca="false">04_回帰ANOVA!$K$19*04_回帰ANOVA!$K$14*SQRT(1+R716)</f>
        <v>1.06391096196568</v>
      </c>
      <c r="T716" s="0" t="n">
        <f aca="false">Q716-S716</f>
        <v>44.197921424398</v>
      </c>
      <c r="U716" s="0" t="n">
        <f aca="false">Q716+S716</f>
        <v>46.3257433483293</v>
      </c>
      <c r="V716" s="54" t="b">
        <f aca="false">AND(D716&gt;=01_因子設定!$L$5-0.000000001,D716&lt;=01_因子設定!$M$5+0.000000001,E716&gt;=01_因子設定!$L$6-0.000000001,E716&lt;=01_因子設定!$M$6+0.000000001,F716&gt;=01_因子設定!$L$7-0.000000001,F716&lt;=01_因子設定!$M$7+0.000000001,IF(01_因子設定!$B$20="Box-Behnken",D716^2+E716^2+F716^2&lt;=2+0.000000001,TRUE()))</f>
        <v>1</v>
      </c>
      <c r="W716" s="55" t="n">
        <f aca="false">IF(V716,IF(01_因子設定!$B$13="最大化",T716-01_因子設定!$B$14,IF(01_因子設定!$B$13="最小化",01_因子設定!$B$15-U716,MIN(T716-01_因子設定!$B$14,01_因子設定!$B$15-U716))),-1E+030)</f>
        <v>-4.30207857560203</v>
      </c>
      <c r="X716" s="55" t="n">
        <f aca="false">IF(V716,IF(01_因子設定!$B$13="最大化",Q716,IF(01_因子設定!$B$13="最小化",-Q716,-ABS(Q716-01_因子設定!$B$16))),-1E+030)</f>
        <v>45.2618323863636</v>
      </c>
      <c r="Y716" s="55" t="n">
        <f aca="false">W716+ROW()*0.000000001</f>
        <v>-4.30207785960203</v>
      </c>
      <c r="Z716" s="55" t="n">
        <f aca="false">X716+ROW()*0.000000001</f>
        <v>45.2618331023636</v>
      </c>
    </row>
    <row r="717" customFormat="false" ht="15" hidden="false" customHeight="false" outlineLevel="0" collapsed="false">
      <c r="A717" s="0" t="n">
        <v>2</v>
      </c>
      <c r="B717" s="0" t="n">
        <v>7</v>
      </c>
      <c r="C717" s="0" t="n">
        <v>15</v>
      </c>
      <c r="D717" s="0" t="n">
        <f aca="false">-1+A717*0.125</f>
        <v>-0.75</v>
      </c>
      <c r="E717" s="0" t="n">
        <f aca="false">-1+B717*0.125</f>
        <v>-0.125</v>
      </c>
      <c r="F717" s="0" t="n">
        <f aca="false">-1+C717*0.125</f>
        <v>0.875</v>
      </c>
      <c r="G717" s="0" t="n">
        <f aca="false">1</f>
        <v>1</v>
      </c>
      <c r="H717" s="0" t="n">
        <f aca="false">D717</f>
        <v>-0.75</v>
      </c>
      <c r="I717" s="0" t="n">
        <f aca="false">E717</f>
        <v>-0.125</v>
      </c>
      <c r="J717" s="0" t="n">
        <f aca="false">F717</f>
        <v>0.875</v>
      </c>
      <c r="K717" s="0" t="n">
        <f aca="false">D717*E717</f>
        <v>0.09375</v>
      </c>
      <c r="L717" s="0" t="n">
        <f aca="false">D717*F717</f>
        <v>-0.65625</v>
      </c>
      <c r="M717" s="0" t="n">
        <f aca="false">E717*F717</f>
        <v>-0.109375</v>
      </c>
      <c r="N717" s="0" t="n">
        <f aca="false">D717*D717</f>
        <v>0.5625</v>
      </c>
      <c r="O717" s="0" t="n">
        <f aca="false">E717*E717</f>
        <v>0.015625</v>
      </c>
      <c r="P717" s="0" t="n">
        <f aca="false">F717*F717</f>
        <v>0.765625</v>
      </c>
      <c r="Q717" s="0" t="n">
        <f aca="false">SUMPRODUCT(G717:P717,_XtX!$B$71:$K$71)</f>
        <v>45.2022301136364</v>
      </c>
      <c r="R717" s="0" t="n">
        <f aca="false">SUMPRODUCT(MMULT(G717:P717,_XtX!$B$58:$K$67),G717:P717)</f>
        <v>0.392013827237216</v>
      </c>
      <c r="S717" s="0" t="n">
        <f aca="false">04_回帰ANOVA!$K$19*04_回帰ANOVA!$K$14*SQRT(1+R717)</f>
        <v>1.09695398627251</v>
      </c>
      <c r="T717" s="0" t="n">
        <f aca="false">Q717-S717</f>
        <v>44.1052761273639</v>
      </c>
      <c r="U717" s="0" t="n">
        <f aca="false">Q717+S717</f>
        <v>46.2991840999089</v>
      </c>
      <c r="V717" s="54" t="b">
        <f aca="false">AND(D717&gt;=01_因子設定!$L$5-0.000000001,D717&lt;=01_因子設定!$M$5+0.000000001,E717&gt;=01_因子設定!$L$6-0.000000001,E717&lt;=01_因子設定!$M$6+0.000000001,F717&gt;=01_因子設定!$L$7-0.000000001,F717&lt;=01_因子設定!$M$7+0.000000001,IF(01_因子設定!$B$20="Box-Behnken",D717^2+E717^2+F717^2&lt;=2+0.000000001,TRUE()))</f>
        <v>1</v>
      </c>
      <c r="W717" s="55" t="n">
        <f aca="false">IF(V717,IF(01_因子設定!$B$13="最大化",T717-01_因子設定!$B$14,IF(01_因子設定!$B$13="最小化",01_因子設定!$B$15-U717,MIN(T717-01_因子設定!$B$14,01_因子設定!$B$15-U717))),-1E+030)</f>
        <v>-4.39472387263614</v>
      </c>
      <c r="X717" s="55" t="n">
        <f aca="false">IF(V717,IF(01_因子設定!$B$13="最大化",Q717,IF(01_因子設定!$B$13="最小化",-Q717,-ABS(Q717-01_因子設定!$B$16))),-1E+030)</f>
        <v>45.2022301136364</v>
      </c>
      <c r="Y717" s="55" t="n">
        <f aca="false">W717+ROW()*0.000000001</f>
        <v>-4.39472315563614</v>
      </c>
      <c r="Z717" s="55" t="n">
        <f aca="false">X717+ROW()*0.000000001</f>
        <v>45.2022308306364</v>
      </c>
    </row>
    <row r="718" customFormat="false" ht="15" hidden="false" customHeight="false" outlineLevel="0" collapsed="false">
      <c r="A718" s="0" t="n">
        <v>2</v>
      </c>
      <c r="B718" s="0" t="n">
        <v>7</v>
      </c>
      <c r="C718" s="0" t="n">
        <v>16</v>
      </c>
      <c r="D718" s="0" t="n">
        <f aca="false">-1+A718*0.125</f>
        <v>-0.75</v>
      </c>
      <c r="E718" s="0" t="n">
        <f aca="false">-1+B718*0.125</f>
        <v>-0.125</v>
      </c>
      <c r="F718" s="0" t="n">
        <f aca="false">-1+C718*0.125</f>
        <v>1</v>
      </c>
      <c r="G718" s="0" t="n">
        <f aca="false">1</f>
        <v>1</v>
      </c>
      <c r="H718" s="0" t="n">
        <f aca="false">D718</f>
        <v>-0.75</v>
      </c>
      <c r="I718" s="0" t="n">
        <f aca="false">E718</f>
        <v>-0.125</v>
      </c>
      <c r="J718" s="0" t="n">
        <f aca="false">F718</f>
        <v>1</v>
      </c>
      <c r="K718" s="0" t="n">
        <f aca="false">D718*E718</f>
        <v>0.09375</v>
      </c>
      <c r="L718" s="0" t="n">
        <f aca="false">D718*F718</f>
        <v>-0.75</v>
      </c>
      <c r="M718" s="0" t="n">
        <f aca="false">E718*F718</f>
        <v>-0.125</v>
      </c>
      <c r="N718" s="0" t="n">
        <f aca="false">D718*D718</f>
        <v>0.5625</v>
      </c>
      <c r="O718" s="0" t="n">
        <f aca="false">E718*E718</f>
        <v>0.015625</v>
      </c>
      <c r="P718" s="0" t="n">
        <f aca="false">F718*F718</f>
        <v>1</v>
      </c>
      <c r="Q718" s="0" t="n">
        <f aca="false">SUMPRODUCT(G718:P718,_XtX!$B$71:$K$71)</f>
        <v>45.1058380681818</v>
      </c>
      <c r="R718" s="0" t="n">
        <f aca="false">SUMPRODUCT(MMULT(G718:P718,_XtX!$B$58:$K$67),G718:P718)</f>
        <v>0.524607155539773</v>
      </c>
      <c r="S718" s="0" t="n">
        <f aca="false">04_回帰ANOVA!$K$19*04_回帰ANOVA!$K$14*SQRT(1+R718)</f>
        <v>1.14800984623412</v>
      </c>
      <c r="T718" s="0" t="n">
        <f aca="false">Q718-S718</f>
        <v>43.9578282219477</v>
      </c>
      <c r="U718" s="0" t="n">
        <f aca="false">Q718+S718</f>
        <v>46.253847914416</v>
      </c>
      <c r="V718" s="54" t="b">
        <f aca="false">AND(D718&gt;=01_因子設定!$L$5-0.000000001,D718&lt;=01_因子設定!$M$5+0.000000001,E718&gt;=01_因子設定!$L$6-0.000000001,E718&lt;=01_因子設定!$M$6+0.000000001,F718&gt;=01_因子設定!$L$7-0.000000001,F718&lt;=01_因子設定!$M$7+0.000000001,IF(01_因子設定!$B$20="Box-Behnken",D718^2+E718^2+F718^2&lt;=2+0.000000001,TRUE()))</f>
        <v>1</v>
      </c>
      <c r="W718" s="55" t="n">
        <f aca="false">IF(V718,IF(01_因子設定!$B$13="最大化",T718-01_因子設定!$B$14,IF(01_因子設定!$B$13="最小化",01_因子設定!$B$15-U718,MIN(T718-01_因子設定!$B$14,01_因子設定!$B$15-U718))),-1E+030)</f>
        <v>-4.54217177805229</v>
      </c>
      <c r="X718" s="55" t="n">
        <f aca="false">IF(V718,IF(01_因子設定!$B$13="最大化",Q718,IF(01_因子設定!$B$13="最小化",-Q718,-ABS(Q718-01_因子設定!$B$16))),-1E+030)</f>
        <v>45.1058380681818</v>
      </c>
      <c r="Y718" s="55" t="n">
        <f aca="false">W718+ROW()*0.000000001</f>
        <v>-4.54217106005229</v>
      </c>
      <c r="Z718" s="55" t="n">
        <f aca="false">X718+ROW()*0.000000001</f>
        <v>45.1058387861818</v>
      </c>
    </row>
    <row r="719" customFormat="false" ht="15" hidden="false" customHeight="false" outlineLevel="0" collapsed="false">
      <c r="A719" s="0" t="n">
        <v>2</v>
      </c>
      <c r="B719" s="0" t="n">
        <v>8</v>
      </c>
      <c r="C719" s="0" t="n">
        <v>0</v>
      </c>
      <c r="D719" s="0" t="n">
        <f aca="false">-1+A719*0.125</f>
        <v>-0.75</v>
      </c>
      <c r="E719" s="0" t="n">
        <f aca="false">-1+B719*0.125</f>
        <v>0</v>
      </c>
      <c r="F719" s="0" t="n">
        <f aca="false">-1+C719*0.125</f>
        <v>-1</v>
      </c>
      <c r="G719" s="0" t="n">
        <f aca="false">1</f>
        <v>1</v>
      </c>
      <c r="H719" s="0" t="n">
        <f aca="false">D719</f>
        <v>-0.75</v>
      </c>
      <c r="I719" s="0" t="n">
        <f aca="false">E719</f>
        <v>0</v>
      </c>
      <c r="J719" s="0" t="n">
        <f aca="false">F719</f>
        <v>-1</v>
      </c>
      <c r="K719" s="0" t="n">
        <f aca="false">D719*E719</f>
        <v>-0</v>
      </c>
      <c r="L719" s="0" t="n">
        <f aca="false">D719*F719</f>
        <v>0.75</v>
      </c>
      <c r="M719" s="0" t="n">
        <f aca="false">E719*F719</f>
        <v>-0</v>
      </c>
      <c r="N719" s="0" t="n">
        <f aca="false">D719*D719</f>
        <v>0.5625</v>
      </c>
      <c r="O719" s="0" t="n">
        <f aca="false">E719*E719</f>
        <v>0</v>
      </c>
      <c r="P719" s="0" t="n">
        <f aca="false">F719*F719</f>
        <v>1</v>
      </c>
      <c r="Q719" s="0" t="n">
        <f aca="false">SUMPRODUCT(G719:P719,_XtX!$B$71:$K$71)</f>
        <v>42.3526704545455</v>
      </c>
      <c r="R719" s="0" t="n">
        <f aca="false">SUMPRODUCT(MMULT(G719:P719,_XtX!$B$58:$K$67),G719:P719)</f>
        <v>0.527982954545455</v>
      </c>
      <c r="S719" s="0" t="n">
        <f aca="false">04_回帰ANOVA!$K$19*04_回帰ANOVA!$K$14*SQRT(1+R719)</f>
        <v>1.14928011037747</v>
      </c>
      <c r="T719" s="0" t="n">
        <f aca="false">Q719-S719</f>
        <v>41.203390344168</v>
      </c>
      <c r="U719" s="0" t="n">
        <f aca="false">Q719+S719</f>
        <v>43.5019505649229</v>
      </c>
      <c r="V719" s="54" t="b">
        <f aca="false">AND(D719&gt;=01_因子設定!$L$5-0.000000001,D719&lt;=01_因子設定!$M$5+0.000000001,E719&gt;=01_因子設定!$L$6-0.000000001,E719&lt;=01_因子設定!$M$6+0.000000001,F719&gt;=01_因子設定!$L$7-0.000000001,F719&lt;=01_因子設定!$M$7+0.000000001,IF(01_因子設定!$B$20="Box-Behnken",D719^2+E719^2+F719^2&lt;=2+0.000000001,TRUE()))</f>
        <v>1</v>
      </c>
      <c r="W719" s="55" t="n">
        <f aca="false">IF(V719,IF(01_因子設定!$B$13="最大化",T719-01_因子設定!$B$14,IF(01_因子設定!$B$13="最小化",01_因子設定!$B$15-U719,MIN(T719-01_因子設定!$B$14,01_因子設定!$B$15-U719))),-1E+030)</f>
        <v>-7.29660965583201</v>
      </c>
      <c r="X719" s="55" t="n">
        <f aca="false">IF(V719,IF(01_因子設定!$B$13="最大化",Q719,IF(01_因子設定!$B$13="最小化",-Q719,-ABS(Q719-01_因子設定!$B$16))),-1E+030)</f>
        <v>42.3526704545455</v>
      </c>
      <c r="Y719" s="55" t="n">
        <f aca="false">W719+ROW()*0.000000001</f>
        <v>-7.29660893683201</v>
      </c>
      <c r="Z719" s="55" t="n">
        <f aca="false">X719+ROW()*0.000000001</f>
        <v>42.3526711735455</v>
      </c>
    </row>
    <row r="720" customFormat="false" ht="15" hidden="false" customHeight="false" outlineLevel="0" collapsed="false">
      <c r="A720" s="0" t="n">
        <v>2</v>
      </c>
      <c r="B720" s="0" t="n">
        <v>8</v>
      </c>
      <c r="C720" s="0" t="n">
        <v>1</v>
      </c>
      <c r="D720" s="0" t="n">
        <f aca="false">-1+A720*0.125</f>
        <v>-0.75</v>
      </c>
      <c r="E720" s="0" t="n">
        <f aca="false">-1+B720*0.125</f>
        <v>0</v>
      </c>
      <c r="F720" s="0" t="n">
        <f aca="false">-1+C720*0.125</f>
        <v>-0.875</v>
      </c>
      <c r="G720" s="0" t="n">
        <f aca="false">1</f>
        <v>1</v>
      </c>
      <c r="H720" s="0" t="n">
        <f aca="false">D720</f>
        <v>-0.75</v>
      </c>
      <c r="I720" s="0" t="n">
        <f aca="false">E720</f>
        <v>0</v>
      </c>
      <c r="J720" s="0" t="n">
        <f aca="false">F720</f>
        <v>-0.875</v>
      </c>
      <c r="K720" s="0" t="n">
        <f aca="false">D720*E720</f>
        <v>-0</v>
      </c>
      <c r="L720" s="0" t="n">
        <f aca="false">D720*F720</f>
        <v>0.65625</v>
      </c>
      <c r="M720" s="0" t="n">
        <f aca="false">E720*F720</f>
        <v>-0</v>
      </c>
      <c r="N720" s="0" t="n">
        <f aca="false">D720*D720</f>
        <v>0.5625</v>
      </c>
      <c r="O720" s="0" t="n">
        <f aca="false">E720*E720</f>
        <v>0</v>
      </c>
      <c r="P720" s="0" t="n">
        <f aca="false">F720*F720</f>
        <v>0.765625</v>
      </c>
      <c r="Q720" s="0" t="n">
        <f aca="false">SUMPRODUCT(G720:P720,_XtX!$B$71:$K$71)</f>
        <v>42.81515625</v>
      </c>
      <c r="R720" s="0" t="n">
        <f aca="false">SUMPRODUCT(MMULT(G720:P720,_XtX!$B$58:$K$67),G720:P720)</f>
        <v>0.3948486328125</v>
      </c>
      <c r="S720" s="0" t="n">
        <f aca="false">04_回帰ANOVA!$K$19*04_回帰ANOVA!$K$14*SQRT(1+R720)</f>
        <v>1.09807037952996</v>
      </c>
      <c r="T720" s="0" t="n">
        <f aca="false">Q720-S720</f>
        <v>41.7170858704701</v>
      </c>
      <c r="U720" s="0" t="n">
        <f aca="false">Q720+S720</f>
        <v>43.91322662953</v>
      </c>
      <c r="V720" s="54" t="b">
        <f aca="false">AND(D720&gt;=01_因子設定!$L$5-0.000000001,D720&lt;=01_因子設定!$M$5+0.000000001,E720&gt;=01_因子設定!$L$6-0.000000001,E720&lt;=01_因子設定!$M$6+0.000000001,F720&gt;=01_因子設定!$L$7-0.000000001,F720&lt;=01_因子設定!$M$7+0.000000001,IF(01_因子設定!$B$20="Box-Behnken",D720^2+E720^2+F720^2&lt;=2+0.000000001,TRUE()))</f>
        <v>1</v>
      </c>
      <c r="W720" s="55" t="n">
        <f aca="false">IF(V720,IF(01_因子設定!$B$13="最大化",T720-01_因子設定!$B$14,IF(01_因子設定!$B$13="最小化",01_因子設定!$B$15-U720,MIN(T720-01_因子設定!$B$14,01_因子設定!$B$15-U720))),-1E+030)</f>
        <v>-6.78291412952995</v>
      </c>
      <c r="X720" s="55" t="n">
        <f aca="false">IF(V720,IF(01_因子設定!$B$13="最大化",Q720,IF(01_因子設定!$B$13="最小化",-Q720,-ABS(Q720-01_因子設定!$B$16))),-1E+030)</f>
        <v>42.81515625</v>
      </c>
      <c r="Y720" s="55" t="n">
        <f aca="false">W720+ROW()*0.000000001</f>
        <v>-6.78291340952995</v>
      </c>
      <c r="Z720" s="55" t="n">
        <f aca="false">X720+ROW()*0.000000001</f>
        <v>42.81515697</v>
      </c>
    </row>
    <row r="721" customFormat="false" ht="15" hidden="false" customHeight="false" outlineLevel="0" collapsed="false">
      <c r="A721" s="0" t="n">
        <v>2</v>
      </c>
      <c r="B721" s="0" t="n">
        <v>8</v>
      </c>
      <c r="C721" s="0" t="n">
        <v>2</v>
      </c>
      <c r="D721" s="0" t="n">
        <f aca="false">-1+A721*0.125</f>
        <v>-0.75</v>
      </c>
      <c r="E721" s="0" t="n">
        <f aca="false">-1+B721*0.125</f>
        <v>0</v>
      </c>
      <c r="F721" s="0" t="n">
        <f aca="false">-1+C721*0.125</f>
        <v>-0.75</v>
      </c>
      <c r="G721" s="0" t="n">
        <f aca="false">1</f>
        <v>1</v>
      </c>
      <c r="H721" s="0" t="n">
        <f aca="false">D721</f>
        <v>-0.75</v>
      </c>
      <c r="I721" s="0" t="n">
        <f aca="false">E721</f>
        <v>0</v>
      </c>
      <c r="J721" s="0" t="n">
        <f aca="false">F721</f>
        <v>-0.75</v>
      </c>
      <c r="K721" s="0" t="n">
        <f aca="false">D721*E721</f>
        <v>-0</v>
      </c>
      <c r="L721" s="0" t="n">
        <f aca="false">D721*F721</f>
        <v>0.5625</v>
      </c>
      <c r="M721" s="0" t="n">
        <f aca="false">E721*F721</f>
        <v>-0</v>
      </c>
      <c r="N721" s="0" t="n">
        <f aca="false">D721*D721</f>
        <v>0.5625</v>
      </c>
      <c r="O721" s="0" t="n">
        <f aca="false">E721*E721</f>
        <v>0</v>
      </c>
      <c r="P721" s="0" t="n">
        <f aca="false">F721*F721</f>
        <v>0.5625</v>
      </c>
      <c r="Q721" s="0" t="n">
        <f aca="false">SUMPRODUCT(G721:P721,_XtX!$B$71:$K$71)</f>
        <v>43.2408522727273</v>
      </c>
      <c r="R721" s="0" t="n">
        <f aca="false">SUMPRODUCT(MMULT(G721:P721,_XtX!$B$58:$K$67),G721:P721)</f>
        <v>0.311780894886364</v>
      </c>
      <c r="S721" s="0" t="n">
        <f aca="false">04_回帰ANOVA!$K$19*04_回帰ANOVA!$K$14*SQRT(1+R721)</f>
        <v>1.06487170339437</v>
      </c>
      <c r="T721" s="0" t="n">
        <f aca="false">Q721-S721</f>
        <v>42.1759805693329</v>
      </c>
      <c r="U721" s="0" t="n">
        <f aca="false">Q721+S721</f>
        <v>44.3057239761217</v>
      </c>
      <c r="V721" s="54" t="b">
        <f aca="false">AND(D721&gt;=01_因子設定!$L$5-0.000000001,D721&lt;=01_因子設定!$M$5+0.000000001,E721&gt;=01_因子設定!$L$6-0.000000001,E721&lt;=01_因子設定!$M$6+0.000000001,F721&gt;=01_因子設定!$L$7-0.000000001,F721&lt;=01_因子設定!$M$7+0.000000001,IF(01_因子設定!$B$20="Box-Behnken",D721^2+E721^2+F721^2&lt;=2+0.000000001,TRUE()))</f>
        <v>1</v>
      </c>
      <c r="W721" s="55" t="n">
        <f aca="false">IF(V721,IF(01_因子設定!$B$13="最大化",T721-01_因子設定!$B$14,IF(01_因子設定!$B$13="最小化",01_因子設定!$B$15-U721,MIN(T721-01_因子設定!$B$14,01_因子設定!$B$15-U721))),-1E+030)</f>
        <v>-6.32401943066709</v>
      </c>
      <c r="X721" s="55" t="n">
        <f aca="false">IF(V721,IF(01_因子設定!$B$13="最大化",Q721,IF(01_因子設定!$B$13="最小化",-Q721,-ABS(Q721-01_因子設定!$B$16))),-1E+030)</f>
        <v>43.2408522727273</v>
      </c>
      <c r="Y721" s="55" t="n">
        <f aca="false">W721+ROW()*0.000000001</f>
        <v>-6.32401870966709</v>
      </c>
      <c r="Z721" s="55" t="n">
        <f aca="false">X721+ROW()*0.000000001</f>
        <v>43.2408529937273</v>
      </c>
    </row>
    <row r="722" customFormat="false" ht="15" hidden="false" customHeight="false" outlineLevel="0" collapsed="false">
      <c r="A722" s="0" t="n">
        <v>2</v>
      </c>
      <c r="B722" s="0" t="n">
        <v>8</v>
      </c>
      <c r="C722" s="0" t="n">
        <v>3</v>
      </c>
      <c r="D722" s="0" t="n">
        <f aca="false">-1+A722*0.125</f>
        <v>-0.75</v>
      </c>
      <c r="E722" s="0" t="n">
        <f aca="false">-1+B722*0.125</f>
        <v>0</v>
      </c>
      <c r="F722" s="0" t="n">
        <f aca="false">-1+C722*0.125</f>
        <v>-0.625</v>
      </c>
      <c r="G722" s="0" t="n">
        <f aca="false">1</f>
        <v>1</v>
      </c>
      <c r="H722" s="0" t="n">
        <f aca="false">D722</f>
        <v>-0.75</v>
      </c>
      <c r="I722" s="0" t="n">
        <f aca="false">E722</f>
        <v>0</v>
      </c>
      <c r="J722" s="0" t="n">
        <f aca="false">F722</f>
        <v>-0.625</v>
      </c>
      <c r="K722" s="0" t="n">
        <f aca="false">D722*E722</f>
        <v>-0</v>
      </c>
      <c r="L722" s="0" t="n">
        <f aca="false">D722*F722</f>
        <v>0.46875</v>
      </c>
      <c r="M722" s="0" t="n">
        <f aca="false">E722*F722</f>
        <v>-0</v>
      </c>
      <c r="N722" s="0" t="n">
        <f aca="false">D722*D722</f>
        <v>0.5625</v>
      </c>
      <c r="O722" s="0" t="n">
        <f aca="false">E722*E722</f>
        <v>0</v>
      </c>
      <c r="P722" s="0" t="n">
        <f aca="false">F722*F722</f>
        <v>0.390625</v>
      </c>
      <c r="Q722" s="0" t="n">
        <f aca="false">SUMPRODUCT(G722:P722,_XtX!$B$71:$K$71)</f>
        <v>43.6297585227273</v>
      </c>
      <c r="R722" s="0" t="n">
        <f aca="false">SUMPRODUCT(MMULT(G722:P722,_XtX!$B$58:$K$67),G722:P722)</f>
        <v>0.264930308948864</v>
      </c>
      <c r="S722" s="0" t="n">
        <f aca="false">04_回帰ANOVA!$K$19*04_回帰ANOVA!$K$14*SQRT(1+R722)</f>
        <v>1.04568272997153</v>
      </c>
      <c r="T722" s="0" t="n">
        <f aca="false">Q722-S722</f>
        <v>42.5840757927558</v>
      </c>
      <c r="U722" s="0" t="n">
        <f aca="false">Q722+S722</f>
        <v>44.6754412526988</v>
      </c>
      <c r="V722" s="54" t="b">
        <f aca="false">AND(D722&gt;=01_因子設定!$L$5-0.000000001,D722&lt;=01_因子設定!$M$5+0.000000001,E722&gt;=01_因子設定!$L$6-0.000000001,E722&lt;=01_因子設定!$M$6+0.000000001,F722&gt;=01_因子設定!$L$7-0.000000001,F722&lt;=01_因子設定!$M$7+0.000000001,IF(01_因子設定!$B$20="Box-Behnken",D722^2+E722^2+F722^2&lt;=2+0.000000001,TRUE()))</f>
        <v>1</v>
      </c>
      <c r="W722" s="55" t="n">
        <f aca="false">IF(V722,IF(01_因子設定!$B$13="最大化",T722-01_因子設定!$B$14,IF(01_因子設定!$B$13="最小化",01_因子設定!$B$15-U722,MIN(T722-01_因子設定!$B$14,01_因子設定!$B$15-U722))),-1E+030)</f>
        <v>-5.91592420724425</v>
      </c>
      <c r="X722" s="55" t="n">
        <f aca="false">IF(V722,IF(01_因子設定!$B$13="最大化",Q722,IF(01_因子設定!$B$13="最小化",-Q722,-ABS(Q722-01_因子設定!$B$16))),-1E+030)</f>
        <v>43.6297585227273</v>
      </c>
      <c r="Y722" s="55" t="n">
        <f aca="false">W722+ROW()*0.000000001</f>
        <v>-5.91592348524425</v>
      </c>
      <c r="Z722" s="55" t="n">
        <f aca="false">X722+ROW()*0.000000001</f>
        <v>43.6297592447273</v>
      </c>
    </row>
    <row r="723" customFormat="false" ht="15" hidden="false" customHeight="false" outlineLevel="0" collapsed="false">
      <c r="A723" s="0" t="n">
        <v>2</v>
      </c>
      <c r="B723" s="0" t="n">
        <v>8</v>
      </c>
      <c r="C723" s="0" t="n">
        <v>4</v>
      </c>
      <c r="D723" s="0" t="n">
        <f aca="false">-1+A723*0.125</f>
        <v>-0.75</v>
      </c>
      <c r="E723" s="0" t="n">
        <f aca="false">-1+B723*0.125</f>
        <v>0</v>
      </c>
      <c r="F723" s="0" t="n">
        <f aca="false">-1+C723*0.125</f>
        <v>-0.5</v>
      </c>
      <c r="G723" s="0" t="n">
        <f aca="false">1</f>
        <v>1</v>
      </c>
      <c r="H723" s="0" t="n">
        <f aca="false">D723</f>
        <v>-0.75</v>
      </c>
      <c r="I723" s="0" t="n">
        <f aca="false">E723</f>
        <v>0</v>
      </c>
      <c r="J723" s="0" t="n">
        <f aca="false">F723</f>
        <v>-0.5</v>
      </c>
      <c r="K723" s="0" t="n">
        <f aca="false">D723*E723</f>
        <v>-0</v>
      </c>
      <c r="L723" s="0" t="n">
        <f aca="false">D723*F723</f>
        <v>0.375</v>
      </c>
      <c r="M723" s="0" t="n">
        <f aca="false">E723*F723</f>
        <v>-0</v>
      </c>
      <c r="N723" s="0" t="n">
        <f aca="false">D723*D723</f>
        <v>0.5625</v>
      </c>
      <c r="O723" s="0" t="n">
        <f aca="false">E723*E723</f>
        <v>0</v>
      </c>
      <c r="P723" s="0" t="n">
        <f aca="false">F723*F723</f>
        <v>0.25</v>
      </c>
      <c r="Q723" s="0" t="n">
        <f aca="false">SUMPRODUCT(G723:P723,_XtX!$B$71:$K$71)</f>
        <v>43.981875</v>
      </c>
      <c r="R723" s="0" t="n">
        <f aca="false">SUMPRODUCT(MMULT(G723:P723,_XtX!$B$58:$K$67),G723:P723)</f>
        <v>0.242578125</v>
      </c>
      <c r="S723" s="0" t="n">
        <f aca="false">04_回帰ANOVA!$K$19*04_回帰ANOVA!$K$14*SQRT(1+R723)</f>
        <v>1.03640258600455</v>
      </c>
      <c r="T723" s="0" t="n">
        <f aca="false">Q723-S723</f>
        <v>42.9454724139955</v>
      </c>
      <c r="U723" s="0" t="n">
        <f aca="false">Q723+S723</f>
        <v>45.0182775860046</v>
      </c>
      <c r="V723" s="54" t="b">
        <f aca="false">AND(D723&gt;=01_因子設定!$L$5-0.000000001,D723&lt;=01_因子設定!$M$5+0.000000001,E723&gt;=01_因子設定!$L$6-0.000000001,E723&lt;=01_因子設定!$M$6+0.000000001,F723&gt;=01_因子設定!$L$7-0.000000001,F723&lt;=01_因子設定!$M$7+0.000000001,IF(01_因子設定!$B$20="Box-Behnken",D723^2+E723^2+F723^2&lt;=2+0.000000001,TRUE()))</f>
        <v>1</v>
      </c>
      <c r="W723" s="55" t="n">
        <f aca="false">IF(V723,IF(01_因子設定!$B$13="最大化",T723-01_因子設定!$B$14,IF(01_因子設定!$B$13="最小化",01_因子設定!$B$15-U723,MIN(T723-01_因子設定!$B$14,01_因子設定!$B$15-U723))),-1E+030)</f>
        <v>-5.55452758600455</v>
      </c>
      <c r="X723" s="55" t="n">
        <f aca="false">IF(V723,IF(01_因子設定!$B$13="最大化",Q723,IF(01_因子設定!$B$13="最小化",-Q723,-ABS(Q723-01_因子設定!$B$16))),-1E+030)</f>
        <v>43.981875</v>
      </c>
      <c r="Y723" s="55" t="n">
        <f aca="false">W723+ROW()*0.000000001</f>
        <v>-5.55452686300455</v>
      </c>
      <c r="Z723" s="55" t="n">
        <f aca="false">X723+ROW()*0.000000001</f>
        <v>43.981875723</v>
      </c>
    </row>
    <row r="724" customFormat="false" ht="15" hidden="false" customHeight="false" outlineLevel="0" collapsed="false">
      <c r="A724" s="0" t="n">
        <v>2</v>
      </c>
      <c r="B724" s="0" t="n">
        <v>8</v>
      </c>
      <c r="C724" s="0" t="n">
        <v>5</v>
      </c>
      <c r="D724" s="0" t="n">
        <f aca="false">-1+A724*0.125</f>
        <v>-0.75</v>
      </c>
      <c r="E724" s="0" t="n">
        <f aca="false">-1+B724*0.125</f>
        <v>0</v>
      </c>
      <c r="F724" s="0" t="n">
        <f aca="false">-1+C724*0.125</f>
        <v>-0.375</v>
      </c>
      <c r="G724" s="0" t="n">
        <f aca="false">1</f>
        <v>1</v>
      </c>
      <c r="H724" s="0" t="n">
        <f aca="false">D724</f>
        <v>-0.75</v>
      </c>
      <c r="I724" s="0" t="n">
        <f aca="false">E724</f>
        <v>0</v>
      </c>
      <c r="J724" s="0" t="n">
        <f aca="false">F724</f>
        <v>-0.375</v>
      </c>
      <c r="K724" s="0" t="n">
        <f aca="false">D724*E724</f>
        <v>-0</v>
      </c>
      <c r="L724" s="0" t="n">
        <f aca="false">D724*F724</f>
        <v>0.28125</v>
      </c>
      <c r="M724" s="0" t="n">
        <f aca="false">E724*F724</f>
        <v>-0</v>
      </c>
      <c r="N724" s="0" t="n">
        <f aca="false">D724*D724</f>
        <v>0.5625</v>
      </c>
      <c r="O724" s="0" t="n">
        <f aca="false">E724*E724</f>
        <v>0</v>
      </c>
      <c r="P724" s="0" t="n">
        <f aca="false">F724*F724</f>
        <v>0.140625</v>
      </c>
      <c r="Q724" s="0" t="n">
        <f aca="false">SUMPRODUCT(G724:P724,_XtX!$B$71:$K$71)</f>
        <v>44.2972017045455</v>
      </c>
      <c r="R724" s="0" t="n">
        <f aca="false">SUMPRODUCT(MMULT(G724:P724,_XtX!$B$58:$K$67),G724:P724)</f>
        <v>0.235136274857955</v>
      </c>
      <c r="S724" s="0" t="n">
        <f aca="false">04_回帰ANOVA!$K$19*04_回帰ANOVA!$K$14*SQRT(1+R724)</f>
        <v>1.03329439695656</v>
      </c>
      <c r="T724" s="0" t="n">
        <f aca="false">Q724-S724</f>
        <v>43.2639073075889</v>
      </c>
      <c r="U724" s="0" t="n">
        <f aca="false">Q724+S724</f>
        <v>45.330496101502</v>
      </c>
      <c r="V724" s="54" t="b">
        <f aca="false">AND(D724&gt;=01_因子設定!$L$5-0.000000001,D724&lt;=01_因子設定!$M$5+0.000000001,E724&gt;=01_因子設定!$L$6-0.000000001,E724&lt;=01_因子設定!$M$6+0.000000001,F724&gt;=01_因子設定!$L$7-0.000000001,F724&lt;=01_因子設定!$M$7+0.000000001,IF(01_因子設定!$B$20="Box-Behnken",D724^2+E724^2+F724^2&lt;=2+0.000000001,TRUE()))</f>
        <v>1</v>
      </c>
      <c r="W724" s="55" t="n">
        <f aca="false">IF(V724,IF(01_因子設定!$B$13="最大化",T724-01_因子設定!$B$14,IF(01_因子設定!$B$13="最小化",01_因子設定!$B$15-U724,MIN(T724-01_因子設定!$B$14,01_因子設定!$B$15-U724))),-1E+030)</f>
        <v>-5.23609269241111</v>
      </c>
      <c r="X724" s="55" t="n">
        <f aca="false">IF(V724,IF(01_因子設定!$B$13="最大化",Q724,IF(01_因子設定!$B$13="最小化",-Q724,-ABS(Q724-01_因子設定!$B$16))),-1E+030)</f>
        <v>44.2972017045455</v>
      </c>
      <c r="Y724" s="55" t="n">
        <f aca="false">W724+ROW()*0.000000001</f>
        <v>-5.23609196841111</v>
      </c>
      <c r="Z724" s="55" t="n">
        <f aca="false">X724+ROW()*0.000000001</f>
        <v>44.2972024285455</v>
      </c>
    </row>
    <row r="725" customFormat="false" ht="15" hidden="false" customHeight="false" outlineLevel="0" collapsed="false">
      <c r="A725" s="0" t="n">
        <v>2</v>
      </c>
      <c r="B725" s="0" t="n">
        <v>8</v>
      </c>
      <c r="C725" s="0" t="n">
        <v>6</v>
      </c>
      <c r="D725" s="0" t="n">
        <f aca="false">-1+A725*0.125</f>
        <v>-0.75</v>
      </c>
      <c r="E725" s="0" t="n">
        <f aca="false">-1+B725*0.125</f>
        <v>0</v>
      </c>
      <c r="F725" s="0" t="n">
        <f aca="false">-1+C725*0.125</f>
        <v>-0.25</v>
      </c>
      <c r="G725" s="0" t="n">
        <f aca="false">1</f>
        <v>1</v>
      </c>
      <c r="H725" s="0" t="n">
        <f aca="false">D725</f>
        <v>-0.75</v>
      </c>
      <c r="I725" s="0" t="n">
        <f aca="false">E725</f>
        <v>0</v>
      </c>
      <c r="J725" s="0" t="n">
        <f aca="false">F725</f>
        <v>-0.25</v>
      </c>
      <c r="K725" s="0" t="n">
        <f aca="false">D725*E725</f>
        <v>-0</v>
      </c>
      <c r="L725" s="0" t="n">
        <f aca="false">D725*F725</f>
        <v>0.1875</v>
      </c>
      <c r="M725" s="0" t="n">
        <f aca="false">E725*F725</f>
        <v>-0</v>
      </c>
      <c r="N725" s="0" t="n">
        <f aca="false">D725*D725</f>
        <v>0.5625</v>
      </c>
      <c r="O725" s="0" t="n">
        <f aca="false">E725*E725</f>
        <v>0</v>
      </c>
      <c r="P725" s="0" t="n">
        <f aca="false">F725*F725</f>
        <v>0.0625</v>
      </c>
      <c r="Q725" s="0" t="n">
        <f aca="false">SUMPRODUCT(G725:P725,_XtX!$B$71:$K$71)</f>
        <v>44.5757386363636</v>
      </c>
      <c r="R725" s="0" t="n">
        <f aca="false">SUMPRODUCT(MMULT(G725:P725,_XtX!$B$58:$K$67),G725:P725)</f>
        <v>0.235147372159091</v>
      </c>
      <c r="S725" s="0" t="n">
        <f aca="false">04_回帰ANOVA!$K$19*04_回帰ANOVA!$K$14*SQRT(1+R725)</f>
        <v>1.03329903885461</v>
      </c>
      <c r="T725" s="0" t="n">
        <f aca="false">Q725-S725</f>
        <v>43.542439597509</v>
      </c>
      <c r="U725" s="0" t="n">
        <f aca="false">Q725+S725</f>
        <v>45.6090376752182</v>
      </c>
      <c r="V725" s="54" t="b">
        <f aca="false">AND(D725&gt;=01_因子設定!$L$5-0.000000001,D725&lt;=01_因子設定!$M$5+0.000000001,E725&gt;=01_因子設定!$L$6-0.000000001,E725&lt;=01_因子設定!$M$6+0.000000001,F725&gt;=01_因子設定!$L$7-0.000000001,F725&lt;=01_因子設定!$M$7+0.000000001,IF(01_因子設定!$B$20="Box-Behnken",D725^2+E725^2+F725^2&lt;=2+0.000000001,TRUE()))</f>
        <v>1</v>
      </c>
      <c r="W725" s="55" t="n">
        <f aca="false">IF(V725,IF(01_因子設定!$B$13="最大化",T725-01_因子設定!$B$14,IF(01_因子設定!$B$13="最小化",01_因子設定!$B$15-U725,MIN(T725-01_因子設定!$B$14,01_因子設定!$B$15-U725))),-1E+030)</f>
        <v>-4.95756040249098</v>
      </c>
      <c r="X725" s="55" t="n">
        <f aca="false">IF(V725,IF(01_因子設定!$B$13="最大化",Q725,IF(01_因子設定!$B$13="最小化",-Q725,-ABS(Q725-01_因子設定!$B$16))),-1E+030)</f>
        <v>44.5757386363636</v>
      </c>
      <c r="Y725" s="55" t="n">
        <f aca="false">W725+ROW()*0.000000001</f>
        <v>-4.95755967749098</v>
      </c>
      <c r="Z725" s="55" t="n">
        <f aca="false">X725+ROW()*0.000000001</f>
        <v>44.5757393613636</v>
      </c>
    </row>
    <row r="726" customFormat="false" ht="15" hidden="false" customHeight="false" outlineLevel="0" collapsed="false">
      <c r="A726" s="0" t="n">
        <v>2</v>
      </c>
      <c r="B726" s="0" t="n">
        <v>8</v>
      </c>
      <c r="C726" s="0" t="n">
        <v>7</v>
      </c>
      <c r="D726" s="0" t="n">
        <f aca="false">-1+A726*0.125</f>
        <v>-0.75</v>
      </c>
      <c r="E726" s="0" t="n">
        <f aca="false">-1+B726*0.125</f>
        <v>0</v>
      </c>
      <c r="F726" s="0" t="n">
        <f aca="false">-1+C726*0.125</f>
        <v>-0.125</v>
      </c>
      <c r="G726" s="0" t="n">
        <f aca="false">1</f>
        <v>1</v>
      </c>
      <c r="H726" s="0" t="n">
        <f aca="false">D726</f>
        <v>-0.75</v>
      </c>
      <c r="I726" s="0" t="n">
        <f aca="false">E726</f>
        <v>0</v>
      </c>
      <c r="J726" s="0" t="n">
        <f aca="false">F726</f>
        <v>-0.125</v>
      </c>
      <c r="K726" s="0" t="n">
        <f aca="false">D726*E726</f>
        <v>-0</v>
      </c>
      <c r="L726" s="0" t="n">
        <f aca="false">D726*F726</f>
        <v>0.09375</v>
      </c>
      <c r="M726" s="0" t="n">
        <f aca="false">E726*F726</f>
        <v>-0</v>
      </c>
      <c r="N726" s="0" t="n">
        <f aca="false">D726*D726</f>
        <v>0.5625</v>
      </c>
      <c r="O726" s="0" t="n">
        <f aca="false">E726*E726</f>
        <v>0</v>
      </c>
      <c r="P726" s="0" t="n">
        <f aca="false">F726*F726</f>
        <v>0.015625</v>
      </c>
      <c r="Q726" s="0" t="n">
        <f aca="false">SUMPRODUCT(G726:P726,_XtX!$B$71:$K$71)</f>
        <v>44.8174857954545</v>
      </c>
      <c r="R726" s="0" t="n">
        <f aca="false">SUMPRODUCT(MMULT(G726:P726,_XtX!$B$58:$K$67),G726:P726)</f>
        <v>0.237284712357955</v>
      </c>
      <c r="S726" s="0" t="n">
        <f aca="false">04_回帰ANOVA!$K$19*04_回帰ANOVA!$K$14*SQRT(1+R726)</f>
        <v>1.03419267998124</v>
      </c>
      <c r="T726" s="0" t="n">
        <f aca="false">Q726-S726</f>
        <v>43.7832931154733</v>
      </c>
      <c r="U726" s="0" t="n">
        <f aca="false">Q726+S726</f>
        <v>45.8516784754358</v>
      </c>
      <c r="V726" s="54" t="b">
        <f aca="false">AND(D726&gt;=01_因子設定!$L$5-0.000000001,D726&lt;=01_因子設定!$M$5+0.000000001,E726&gt;=01_因子設定!$L$6-0.000000001,E726&lt;=01_因子設定!$M$6+0.000000001,F726&gt;=01_因子設定!$L$7-0.000000001,F726&lt;=01_因子設定!$M$7+0.000000001,IF(01_因子設定!$B$20="Box-Behnken",D726^2+E726^2+F726^2&lt;=2+0.000000001,TRUE()))</f>
        <v>1</v>
      </c>
      <c r="W726" s="55" t="n">
        <f aca="false">IF(V726,IF(01_因子設定!$B$13="最大化",T726-01_因子設定!$B$14,IF(01_因子設定!$B$13="最小化",01_因子設定!$B$15-U726,MIN(T726-01_因子設定!$B$14,01_因子設定!$B$15-U726))),-1E+030)</f>
        <v>-4.71670688452669</v>
      </c>
      <c r="X726" s="55" t="n">
        <f aca="false">IF(V726,IF(01_因子設定!$B$13="最大化",Q726,IF(01_因子設定!$B$13="最小化",-Q726,-ABS(Q726-01_因子設定!$B$16))),-1E+030)</f>
        <v>44.8174857954545</v>
      </c>
      <c r="Y726" s="55" t="n">
        <f aca="false">W726+ROW()*0.000000001</f>
        <v>-4.71670615852669</v>
      </c>
      <c r="Z726" s="55" t="n">
        <f aca="false">X726+ROW()*0.000000001</f>
        <v>44.8174865214546</v>
      </c>
    </row>
    <row r="727" customFormat="false" ht="15" hidden="false" customHeight="false" outlineLevel="0" collapsed="false">
      <c r="A727" s="0" t="n">
        <v>2</v>
      </c>
      <c r="B727" s="0" t="n">
        <v>8</v>
      </c>
      <c r="C727" s="0" t="n">
        <v>8</v>
      </c>
      <c r="D727" s="0" t="n">
        <f aca="false">-1+A727*0.125</f>
        <v>-0.75</v>
      </c>
      <c r="E727" s="0" t="n">
        <f aca="false">-1+B727*0.125</f>
        <v>0</v>
      </c>
      <c r="F727" s="0" t="n">
        <f aca="false">-1+C727*0.125</f>
        <v>0</v>
      </c>
      <c r="G727" s="0" t="n">
        <f aca="false">1</f>
        <v>1</v>
      </c>
      <c r="H727" s="0" t="n">
        <f aca="false">D727</f>
        <v>-0.75</v>
      </c>
      <c r="I727" s="0" t="n">
        <f aca="false">E727</f>
        <v>0</v>
      </c>
      <c r="J727" s="0" t="n">
        <f aca="false">F727</f>
        <v>0</v>
      </c>
      <c r="K727" s="0" t="n">
        <f aca="false">D727*E727</f>
        <v>-0</v>
      </c>
      <c r="L727" s="0" t="n">
        <f aca="false">D727*F727</f>
        <v>-0</v>
      </c>
      <c r="M727" s="0" t="n">
        <f aca="false">E727*F727</f>
        <v>0</v>
      </c>
      <c r="N727" s="0" t="n">
        <f aca="false">D727*D727</f>
        <v>0.5625</v>
      </c>
      <c r="O727" s="0" t="n">
        <f aca="false">E727*E727</f>
        <v>0</v>
      </c>
      <c r="P727" s="0" t="n">
        <f aca="false">F727*F727</f>
        <v>0</v>
      </c>
      <c r="Q727" s="0" t="n">
        <f aca="false">SUMPRODUCT(G727:P727,_XtX!$B$71:$K$71)</f>
        <v>45.0224431818182</v>
      </c>
      <c r="R727" s="0" t="n">
        <f aca="false">SUMPRODUCT(MMULT(G727:P727,_XtX!$B$58:$K$67),G727:P727)</f>
        <v>0.238352272727273</v>
      </c>
      <c r="S727" s="0" t="n">
        <f aca="false">04_回帰ANOVA!$K$19*04_回帰ANOVA!$K$14*SQRT(1+R727)</f>
        <v>1.03463874751028</v>
      </c>
      <c r="T727" s="0" t="n">
        <f aca="false">Q727-S727</f>
        <v>43.9878044343079</v>
      </c>
      <c r="U727" s="0" t="n">
        <f aca="false">Q727+S727</f>
        <v>46.0570819293285</v>
      </c>
      <c r="V727" s="54" t="b">
        <f aca="false">AND(D727&gt;=01_因子設定!$L$5-0.000000001,D727&lt;=01_因子設定!$M$5+0.000000001,E727&gt;=01_因子設定!$L$6-0.000000001,E727&lt;=01_因子設定!$M$6+0.000000001,F727&gt;=01_因子設定!$L$7-0.000000001,F727&lt;=01_因子設定!$M$7+0.000000001,IF(01_因子設定!$B$20="Box-Behnken",D727^2+E727^2+F727^2&lt;=2+0.000000001,TRUE()))</f>
        <v>1</v>
      </c>
      <c r="W727" s="55" t="n">
        <f aca="false">IF(V727,IF(01_因子設定!$B$13="最大化",T727-01_因子設定!$B$14,IF(01_因子設定!$B$13="最小化",01_因子設定!$B$15-U727,MIN(T727-01_因子設定!$B$14,01_因子設定!$B$15-U727))),-1E+030)</f>
        <v>-4.5121955656921</v>
      </c>
      <c r="X727" s="55" t="n">
        <f aca="false">IF(V727,IF(01_因子設定!$B$13="最大化",Q727,IF(01_因子設定!$B$13="最小化",-Q727,-ABS(Q727-01_因子設定!$B$16))),-1E+030)</f>
        <v>45.0224431818182</v>
      </c>
      <c r="Y727" s="55" t="n">
        <f aca="false">W727+ROW()*0.000000001</f>
        <v>-4.5121948386921</v>
      </c>
      <c r="Z727" s="55" t="n">
        <f aca="false">X727+ROW()*0.000000001</f>
        <v>45.0224439088182</v>
      </c>
    </row>
    <row r="728" customFormat="false" ht="15" hidden="false" customHeight="false" outlineLevel="0" collapsed="false">
      <c r="A728" s="0" t="n">
        <v>2</v>
      </c>
      <c r="B728" s="0" t="n">
        <v>8</v>
      </c>
      <c r="C728" s="0" t="n">
        <v>9</v>
      </c>
      <c r="D728" s="0" t="n">
        <f aca="false">-1+A728*0.125</f>
        <v>-0.75</v>
      </c>
      <c r="E728" s="0" t="n">
        <f aca="false">-1+B728*0.125</f>
        <v>0</v>
      </c>
      <c r="F728" s="0" t="n">
        <f aca="false">-1+C728*0.125</f>
        <v>0.125</v>
      </c>
      <c r="G728" s="0" t="n">
        <f aca="false">1</f>
        <v>1</v>
      </c>
      <c r="H728" s="0" t="n">
        <f aca="false">D728</f>
        <v>-0.75</v>
      </c>
      <c r="I728" s="0" t="n">
        <f aca="false">E728</f>
        <v>0</v>
      </c>
      <c r="J728" s="0" t="n">
        <f aca="false">F728</f>
        <v>0.125</v>
      </c>
      <c r="K728" s="0" t="n">
        <f aca="false">D728*E728</f>
        <v>-0</v>
      </c>
      <c r="L728" s="0" t="n">
        <f aca="false">D728*F728</f>
        <v>-0.09375</v>
      </c>
      <c r="M728" s="0" t="n">
        <f aca="false">E728*F728</f>
        <v>0</v>
      </c>
      <c r="N728" s="0" t="n">
        <f aca="false">D728*D728</f>
        <v>0.5625</v>
      </c>
      <c r="O728" s="0" t="n">
        <f aca="false">E728*E728</f>
        <v>0</v>
      </c>
      <c r="P728" s="0" t="n">
        <f aca="false">F728*F728</f>
        <v>0.015625</v>
      </c>
      <c r="Q728" s="0" t="n">
        <f aca="false">SUMPRODUCT(G728:P728,_XtX!$B$71:$K$71)</f>
        <v>45.1906107954545</v>
      </c>
      <c r="R728" s="0" t="n">
        <f aca="false">SUMPRODUCT(MMULT(G728:P728,_XtX!$B$58:$K$67),G728:P728)</f>
        <v>0.237284712357955</v>
      </c>
      <c r="S728" s="0" t="n">
        <f aca="false">04_回帰ANOVA!$K$19*04_回帰ANOVA!$K$14*SQRT(1+R728)</f>
        <v>1.03419267998124</v>
      </c>
      <c r="T728" s="0" t="n">
        <f aca="false">Q728-S728</f>
        <v>44.1564181154733</v>
      </c>
      <c r="U728" s="0" t="n">
        <f aca="false">Q728+S728</f>
        <v>46.2248034754358</v>
      </c>
      <c r="V728" s="54" t="b">
        <f aca="false">AND(D728&gt;=01_因子設定!$L$5-0.000000001,D728&lt;=01_因子設定!$M$5+0.000000001,E728&gt;=01_因子設定!$L$6-0.000000001,E728&lt;=01_因子設定!$M$6+0.000000001,F728&gt;=01_因子設定!$L$7-0.000000001,F728&lt;=01_因子設定!$M$7+0.000000001,IF(01_因子設定!$B$20="Box-Behnken",D728^2+E728^2+F728^2&lt;=2+0.000000001,TRUE()))</f>
        <v>1</v>
      </c>
      <c r="W728" s="55" t="n">
        <f aca="false">IF(V728,IF(01_因子設定!$B$13="最大化",T728-01_因子設定!$B$14,IF(01_因子設定!$B$13="最小化",01_因子設定!$B$15-U728,MIN(T728-01_因子設定!$B$14,01_因子設定!$B$15-U728))),-1E+030)</f>
        <v>-4.3435818845267</v>
      </c>
      <c r="X728" s="55" t="n">
        <f aca="false">IF(V728,IF(01_因子設定!$B$13="最大化",Q728,IF(01_因子設定!$B$13="最小化",-Q728,-ABS(Q728-01_因子設定!$B$16))),-1E+030)</f>
        <v>45.1906107954545</v>
      </c>
      <c r="Y728" s="55" t="n">
        <f aca="false">W728+ROW()*0.000000001</f>
        <v>-4.3435811565267</v>
      </c>
      <c r="Z728" s="55" t="n">
        <f aca="false">X728+ROW()*0.000000001</f>
        <v>45.1906115234545</v>
      </c>
    </row>
    <row r="729" customFormat="false" ht="15" hidden="false" customHeight="false" outlineLevel="0" collapsed="false">
      <c r="A729" s="0" t="n">
        <v>2</v>
      </c>
      <c r="B729" s="0" t="n">
        <v>8</v>
      </c>
      <c r="C729" s="0" t="n">
        <v>10</v>
      </c>
      <c r="D729" s="0" t="n">
        <f aca="false">-1+A729*0.125</f>
        <v>-0.75</v>
      </c>
      <c r="E729" s="0" t="n">
        <f aca="false">-1+B729*0.125</f>
        <v>0</v>
      </c>
      <c r="F729" s="0" t="n">
        <f aca="false">-1+C729*0.125</f>
        <v>0.25</v>
      </c>
      <c r="G729" s="0" t="n">
        <f aca="false">1</f>
        <v>1</v>
      </c>
      <c r="H729" s="0" t="n">
        <f aca="false">D729</f>
        <v>-0.75</v>
      </c>
      <c r="I729" s="0" t="n">
        <f aca="false">E729</f>
        <v>0</v>
      </c>
      <c r="J729" s="0" t="n">
        <f aca="false">F729</f>
        <v>0.25</v>
      </c>
      <c r="K729" s="0" t="n">
        <f aca="false">D729*E729</f>
        <v>-0</v>
      </c>
      <c r="L729" s="0" t="n">
        <f aca="false">D729*F729</f>
        <v>-0.1875</v>
      </c>
      <c r="M729" s="0" t="n">
        <f aca="false">E729*F729</f>
        <v>0</v>
      </c>
      <c r="N729" s="0" t="n">
        <f aca="false">D729*D729</f>
        <v>0.5625</v>
      </c>
      <c r="O729" s="0" t="n">
        <f aca="false">E729*E729</f>
        <v>0</v>
      </c>
      <c r="P729" s="0" t="n">
        <f aca="false">F729*F729</f>
        <v>0.0625</v>
      </c>
      <c r="Q729" s="0" t="n">
        <f aca="false">SUMPRODUCT(G729:P729,_XtX!$B$71:$K$71)</f>
        <v>45.3219886363636</v>
      </c>
      <c r="R729" s="0" t="n">
        <f aca="false">SUMPRODUCT(MMULT(G729:P729,_XtX!$B$58:$K$67),G729:P729)</f>
        <v>0.235147372159091</v>
      </c>
      <c r="S729" s="0" t="n">
        <f aca="false">04_回帰ANOVA!$K$19*04_回帰ANOVA!$K$14*SQRT(1+R729)</f>
        <v>1.03329903885461</v>
      </c>
      <c r="T729" s="0" t="n">
        <f aca="false">Q729-S729</f>
        <v>44.288689597509</v>
      </c>
      <c r="U729" s="0" t="n">
        <f aca="false">Q729+S729</f>
        <v>46.3552876752182</v>
      </c>
      <c r="V729" s="54" t="b">
        <f aca="false">AND(D729&gt;=01_因子設定!$L$5-0.000000001,D729&lt;=01_因子設定!$M$5+0.000000001,E729&gt;=01_因子設定!$L$6-0.000000001,E729&lt;=01_因子設定!$M$6+0.000000001,F729&gt;=01_因子設定!$L$7-0.000000001,F729&lt;=01_因子設定!$M$7+0.000000001,IF(01_因子設定!$B$20="Box-Behnken",D729^2+E729^2+F729^2&lt;=2+0.000000001,TRUE()))</f>
        <v>1</v>
      </c>
      <c r="W729" s="55" t="n">
        <f aca="false">IF(V729,IF(01_因子設定!$B$13="最大化",T729-01_因子設定!$B$14,IF(01_因子設定!$B$13="最小化",01_因子設定!$B$15-U729,MIN(T729-01_因子設定!$B$14,01_因子設定!$B$15-U729))),-1E+030)</f>
        <v>-4.21131040249097</v>
      </c>
      <c r="X729" s="55" t="n">
        <f aca="false">IF(V729,IF(01_因子設定!$B$13="最大化",Q729,IF(01_因子設定!$B$13="最小化",-Q729,-ABS(Q729-01_因子設定!$B$16))),-1E+030)</f>
        <v>45.3219886363636</v>
      </c>
      <c r="Y729" s="55" t="n">
        <f aca="false">W729+ROW()*0.000000001</f>
        <v>-4.21130967349097</v>
      </c>
      <c r="Z729" s="55" t="n">
        <f aca="false">X729+ROW()*0.000000001</f>
        <v>45.3219893653636</v>
      </c>
    </row>
    <row r="730" customFormat="false" ht="15" hidden="false" customHeight="false" outlineLevel="0" collapsed="false">
      <c r="A730" s="0" t="n">
        <v>2</v>
      </c>
      <c r="B730" s="0" t="n">
        <v>8</v>
      </c>
      <c r="C730" s="0" t="n">
        <v>11</v>
      </c>
      <c r="D730" s="0" t="n">
        <f aca="false">-1+A730*0.125</f>
        <v>-0.75</v>
      </c>
      <c r="E730" s="0" t="n">
        <f aca="false">-1+B730*0.125</f>
        <v>0</v>
      </c>
      <c r="F730" s="0" t="n">
        <f aca="false">-1+C730*0.125</f>
        <v>0.375</v>
      </c>
      <c r="G730" s="0" t="n">
        <f aca="false">1</f>
        <v>1</v>
      </c>
      <c r="H730" s="0" t="n">
        <f aca="false">D730</f>
        <v>-0.75</v>
      </c>
      <c r="I730" s="0" t="n">
        <f aca="false">E730</f>
        <v>0</v>
      </c>
      <c r="J730" s="0" t="n">
        <f aca="false">F730</f>
        <v>0.375</v>
      </c>
      <c r="K730" s="0" t="n">
        <f aca="false">D730*E730</f>
        <v>-0</v>
      </c>
      <c r="L730" s="0" t="n">
        <f aca="false">D730*F730</f>
        <v>-0.28125</v>
      </c>
      <c r="M730" s="0" t="n">
        <f aca="false">E730*F730</f>
        <v>0</v>
      </c>
      <c r="N730" s="0" t="n">
        <f aca="false">D730*D730</f>
        <v>0.5625</v>
      </c>
      <c r="O730" s="0" t="n">
        <f aca="false">E730*E730</f>
        <v>0</v>
      </c>
      <c r="P730" s="0" t="n">
        <f aca="false">F730*F730</f>
        <v>0.140625</v>
      </c>
      <c r="Q730" s="0" t="n">
        <f aca="false">SUMPRODUCT(G730:P730,_XtX!$B$71:$K$71)</f>
        <v>45.4165767045455</v>
      </c>
      <c r="R730" s="0" t="n">
        <f aca="false">SUMPRODUCT(MMULT(G730:P730,_XtX!$B$58:$K$67),G730:P730)</f>
        <v>0.235136274857955</v>
      </c>
      <c r="S730" s="0" t="n">
        <f aca="false">04_回帰ANOVA!$K$19*04_回帰ANOVA!$K$14*SQRT(1+R730)</f>
        <v>1.03329439695656</v>
      </c>
      <c r="T730" s="0" t="n">
        <f aca="false">Q730-S730</f>
        <v>44.3832823075889</v>
      </c>
      <c r="U730" s="0" t="n">
        <f aca="false">Q730+S730</f>
        <v>46.449871101502</v>
      </c>
      <c r="V730" s="54" t="b">
        <f aca="false">AND(D730&gt;=01_因子設定!$L$5-0.000000001,D730&lt;=01_因子設定!$M$5+0.000000001,E730&gt;=01_因子設定!$L$6-0.000000001,E730&lt;=01_因子設定!$M$6+0.000000001,F730&gt;=01_因子設定!$L$7-0.000000001,F730&lt;=01_因子設定!$M$7+0.000000001,IF(01_因子設定!$B$20="Box-Behnken",D730^2+E730^2+F730^2&lt;=2+0.000000001,TRUE()))</f>
        <v>1</v>
      </c>
      <c r="W730" s="55" t="n">
        <f aca="false">IF(V730,IF(01_因子設定!$B$13="最大化",T730-01_因子設定!$B$14,IF(01_因子設定!$B$13="最小化",01_因子設定!$B$15-U730,MIN(T730-01_因子設定!$B$14,01_因子設定!$B$15-U730))),-1E+030)</f>
        <v>-4.1167176924111</v>
      </c>
      <c r="X730" s="55" t="n">
        <f aca="false">IF(V730,IF(01_因子設定!$B$13="最大化",Q730,IF(01_因子設定!$B$13="最小化",-Q730,-ABS(Q730-01_因子設定!$B$16))),-1E+030)</f>
        <v>45.4165767045455</v>
      </c>
      <c r="Y730" s="55" t="n">
        <f aca="false">W730+ROW()*0.000000001</f>
        <v>-4.1167169624111</v>
      </c>
      <c r="Z730" s="55" t="n">
        <f aca="false">X730+ROW()*0.000000001</f>
        <v>45.4165774345455</v>
      </c>
    </row>
    <row r="731" customFormat="false" ht="15" hidden="false" customHeight="false" outlineLevel="0" collapsed="false">
      <c r="A731" s="0" t="n">
        <v>2</v>
      </c>
      <c r="B731" s="0" t="n">
        <v>8</v>
      </c>
      <c r="C731" s="0" t="n">
        <v>12</v>
      </c>
      <c r="D731" s="0" t="n">
        <f aca="false">-1+A731*0.125</f>
        <v>-0.75</v>
      </c>
      <c r="E731" s="0" t="n">
        <f aca="false">-1+B731*0.125</f>
        <v>0</v>
      </c>
      <c r="F731" s="0" t="n">
        <f aca="false">-1+C731*0.125</f>
        <v>0.5</v>
      </c>
      <c r="G731" s="0" t="n">
        <f aca="false">1</f>
        <v>1</v>
      </c>
      <c r="H731" s="0" t="n">
        <f aca="false">D731</f>
        <v>-0.75</v>
      </c>
      <c r="I731" s="0" t="n">
        <f aca="false">E731</f>
        <v>0</v>
      </c>
      <c r="J731" s="0" t="n">
        <f aca="false">F731</f>
        <v>0.5</v>
      </c>
      <c r="K731" s="0" t="n">
        <f aca="false">D731*E731</f>
        <v>-0</v>
      </c>
      <c r="L731" s="0" t="n">
        <f aca="false">D731*F731</f>
        <v>-0.375</v>
      </c>
      <c r="M731" s="0" t="n">
        <f aca="false">E731*F731</f>
        <v>0</v>
      </c>
      <c r="N731" s="0" t="n">
        <f aca="false">D731*D731</f>
        <v>0.5625</v>
      </c>
      <c r="O731" s="0" t="n">
        <f aca="false">E731*E731</f>
        <v>0</v>
      </c>
      <c r="P731" s="0" t="n">
        <f aca="false">F731*F731</f>
        <v>0.25</v>
      </c>
      <c r="Q731" s="0" t="n">
        <f aca="false">SUMPRODUCT(G731:P731,_XtX!$B$71:$K$71)</f>
        <v>45.474375</v>
      </c>
      <c r="R731" s="0" t="n">
        <f aca="false">SUMPRODUCT(MMULT(G731:P731,_XtX!$B$58:$K$67),G731:P731)</f>
        <v>0.242578125</v>
      </c>
      <c r="S731" s="0" t="n">
        <f aca="false">04_回帰ANOVA!$K$19*04_回帰ANOVA!$K$14*SQRT(1+R731)</f>
        <v>1.03640258600455</v>
      </c>
      <c r="T731" s="0" t="n">
        <f aca="false">Q731-S731</f>
        <v>44.4379724139955</v>
      </c>
      <c r="U731" s="0" t="n">
        <f aca="false">Q731+S731</f>
        <v>46.5107775860046</v>
      </c>
      <c r="V731" s="54" t="b">
        <f aca="false">AND(D731&gt;=01_因子設定!$L$5-0.000000001,D731&lt;=01_因子設定!$M$5+0.000000001,E731&gt;=01_因子設定!$L$6-0.000000001,E731&lt;=01_因子設定!$M$6+0.000000001,F731&gt;=01_因子設定!$L$7-0.000000001,F731&lt;=01_因子設定!$M$7+0.000000001,IF(01_因子設定!$B$20="Box-Behnken",D731^2+E731^2+F731^2&lt;=2+0.000000001,TRUE()))</f>
        <v>1</v>
      </c>
      <c r="W731" s="55" t="n">
        <f aca="false">IF(V731,IF(01_因子設定!$B$13="最大化",T731-01_因子設定!$B$14,IF(01_因子設定!$B$13="最小化",01_因子設定!$B$15-U731,MIN(T731-01_因子設定!$B$14,01_因子設定!$B$15-U731))),-1E+030)</f>
        <v>-4.06202758600455</v>
      </c>
      <c r="X731" s="55" t="n">
        <f aca="false">IF(V731,IF(01_因子設定!$B$13="最大化",Q731,IF(01_因子設定!$B$13="最小化",-Q731,-ABS(Q731-01_因子設定!$B$16))),-1E+030)</f>
        <v>45.474375</v>
      </c>
      <c r="Y731" s="55" t="n">
        <f aca="false">W731+ROW()*0.000000001</f>
        <v>-4.06202685500455</v>
      </c>
      <c r="Z731" s="55" t="n">
        <f aca="false">X731+ROW()*0.000000001</f>
        <v>45.474375731</v>
      </c>
    </row>
    <row r="732" customFormat="false" ht="15" hidden="false" customHeight="false" outlineLevel="0" collapsed="false">
      <c r="A732" s="0" t="n">
        <v>2</v>
      </c>
      <c r="B732" s="0" t="n">
        <v>8</v>
      </c>
      <c r="C732" s="0" t="n">
        <v>13</v>
      </c>
      <c r="D732" s="0" t="n">
        <f aca="false">-1+A732*0.125</f>
        <v>-0.75</v>
      </c>
      <c r="E732" s="0" t="n">
        <f aca="false">-1+B732*0.125</f>
        <v>0</v>
      </c>
      <c r="F732" s="0" t="n">
        <f aca="false">-1+C732*0.125</f>
        <v>0.625</v>
      </c>
      <c r="G732" s="0" t="n">
        <f aca="false">1</f>
        <v>1</v>
      </c>
      <c r="H732" s="0" t="n">
        <f aca="false">D732</f>
        <v>-0.75</v>
      </c>
      <c r="I732" s="0" t="n">
        <f aca="false">E732</f>
        <v>0</v>
      </c>
      <c r="J732" s="0" t="n">
        <f aca="false">F732</f>
        <v>0.625</v>
      </c>
      <c r="K732" s="0" t="n">
        <f aca="false">D732*E732</f>
        <v>-0</v>
      </c>
      <c r="L732" s="0" t="n">
        <f aca="false">D732*F732</f>
        <v>-0.46875</v>
      </c>
      <c r="M732" s="0" t="n">
        <f aca="false">E732*F732</f>
        <v>0</v>
      </c>
      <c r="N732" s="0" t="n">
        <f aca="false">D732*D732</f>
        <v>0.5625</v>
      </c>
      <c r="O732" s="0" t="n">
        <f aca="false">E732*E732</f>
        <v>0</v>
      </c>
      <c r="P732" s="0" t="n">
        <f aca="false">F732*F732</f>
        <v>0.390625</v>
      </c>
      <c r="Q732" s="0" t="n">
        <f aca="false">SUMPRODUCT(G732:P732,_XtX!$B$71:$K$71)</f>
        <v>45.4953835227273</v>
      </c>
      <c r="R732" s="0" t="n">
        <f aca="false">SUMPRODUCT(MMULT(G732:P732,_XtX!$B$58:$K$67),G732:P732)</f>
        <v>0.264930308948864</v>
      </c>
      <c r="S732" s="0" t="n">
        <f aca="false">04_回帰ANOVA!$K$19*04_回帰ANOVA!$K$14*SQRT(1+R732)</f>
        <v>1.04568272997153</v>
      </c>
      <c r="T732" s="0" t="n">
        <f aca="false">Q732-S732</f>
        <v>44.4497007927558</v>
      </c>
      <c r="U732" s="0" t="n">
        <f aca="false">Q732+S732</f>
        <v>46.5410662526988</v>
      </c>
      <c r="V732" s="54" t="b">
        <f aca="false">AND(D732&gt;=01_因子設定!$L$5-0.000000001,D732&lt;=01_因子設定!$M$5+0.000000001,E732&gt;=01_因子設定!$L$6-0.000000001,E732&lt;=01_因子設定!$M$6+0.000000001,F732&gt;=01_因子設定!$L$7-0.000000001,F732&lt;=01_因子設定!$M$7+0.000000001,IF(01_因子設定!$B$20="Box-Behnken",D732^2+E732^2+F732^2&lt;=2+0.000000001,TRUE()))</f>
        <v>1</v>
      </c>
      <c r="W732" s="55" t="n">
        <f aca="false">IF(V732,IF(01_因子設定!$B$13="最大化",T732-01_因子設定!$B$14,IF(01_因子設定!$B$13="最小化",01_因子設定!$B$15-U732,MIN(T732-01_因子設定!$B$14,01_因子設定!$B$15-U732))),-1E+030)</f>
        <v>-4.05029920724425</v>
      </c>
      <c r="X732" s="55" t="n">
        <f aca="false">IF(V732,IF(01_因子設定!$B$13="最大化",Q732,IF(01_因子設定!$B$13="最小化",-Q732,-ABS(Q732-01_因子設定!$B$16))),-1E+030)</f>
        <v>45.4953835227273</v>
      </c>
      <c r="Y732" s="55" t="n">
        <f aca="false">W732+ROW()*0.000000001</f>
        <v>-4.05029847524425</v>
      </c>
      <c r="Z732" s="55" t="n">
        <f aca="false">X732+ROW()*0.000000001</f>
        <v>45.4953842547273</v>
      </c>
    </row>
    <row r="733" customFormat="false" ht="15" hidden="false" customHeight="false" outlineLevel="0" collapsed="false">
      <c r="A733" s="0" t="n">
        <v>2</v>
      </c>
      <c r="B733" s="0" t="n">
        <v>8</v>
      </c>
      <c r="C733" s="0" t="n">
        <v>14</v>
      </c>
      <c r="D733" s="0" t="n">
        <f aca="false">-1+A733*0.125</f>
        <v>-0.75</v>
      </c>
      <c r="E733" s="0" t="n">
        <f aca="false">-1+B733*0.125</f>
        <v>0</v>
      </c>
      <c r="F733" s="0" t="n">
        <f aca="false">-1+C733*0.125</f>
        <v>0.75</v>
      </c>
      <c r="G733" s="0" t="n">
        <f aca="false">1</f>
        <v>1</v>
      </c>
      <c r="H733" s="0" t="n">
        <f aca="false">D733</f>
        <v>-0.75</v>
      </c>
      <c r="I733" s="0" t="n">
        <f aca="false">E733</f>
        <v>0</v>
      </c>
      <c r="J733" s="0" t="n">
        <f aca="false">F733</f>
        <v>0.75</v>
      </c>
      <c r="K733" s="0" t="n">
        <f aca="false">D733*E733</f>
        <v>-0</v>
      </c>
      <c r="L733" s="0" t="n">
        <f aca="false">D733*F733</f>
        <v>-0.5625</v>
      </c>
      <c r="M733" s="0" t="n">
        <f aca="false">E733*F733</f>
        <v>0</v>
      </c>
      <c r="N733" s="0" t="n">
        <f aca="false">D733*D733</f>
        <v>0.5625</v>
      </c>
      <c r="O733" s="0" t="n">
        <f aca="false">E733*E733</f>
        <v>0</v>
      </c>
      <c r="P733" s="0" t="n">
        <f aca="false">F733*F733</f>
        <v>0.5625</v>
      </c>
      <c r="Q733" s="0" t="n">
        <f aca="false">SUMPRODUCT(G733:P733,_XtX!$B$71:$K$71)</f>
        <v>45.4796022727273</v>
      </c>
      <c r="R733" s="0" t="n">
        <f aca="false">SUMPRODUCT(MMULT(G733:P733,_XtX!$B$58:$K$67),G733:P733)</f>
        <v>0.311780894886364</v>
      </c>
      <c r="S733" s="0" t="n">
        <f aca="false">04_回帰ANOVA!$K$19*04_回帰ANOVA!$K$14*SQRT(1+R733)</f>
        <v>1.06487170339437</v>
      </c>
      <c r="T733" s="0" t="n">
        <f aca="false">Q733-S733</f>
        <v>44.4147305693329</v>
      </c>
      <c r="U733" s="0" t="n">
        <f aca="false">Q733+S733</f>
        <v>46.5444739761217</v>
      </c>
      <c r="V733" s="54" t="b">
        <f aca="false">AND(D733&gt;=01_因子設定!$L$5-0.000000001,D733&lt;=01_因子設定!$M$5+0.000000001,E733&gt;=01_因子設定!$L$6-0.000000001,E733&lt;=01_因子設定!$M$6+0.000000001,F733&gt;=01_因子設定!$L$7-0.000000001,F733&lt;=01_因子設定!$M$7+0.000000001,IF(01_因子設定!$B$20="Box-Behnken",D733^2+E733^2+F733^2&lt;=2+0.000000001,TRUE()))</f>
        <v>1</v>
      </c>
      <c r="W733" s="55" t="n">
        <f aca="false">IF(V733,IF(01_因子設定!$B$13="最大化",T733-01_因子設定!$B$14,IF(01_因子設定!$B$13="最小化",01_因子設定!$B$15-U733,MIN(T733-01_因子設定!$B$14,01_因子設定!$B$15-U733))),-1E+030)</f>
        <v>-4.0852694306671</v>
      </c>
      <c r="X733" s="55" t="n">
        <f aca="false">IF(V733,IF(01_因子設定!$B$13="最大化",Q733,IF(01_因子設定!$B$13="最小化",-Q733,-ABS(Q733-01_因子設定!$B$16))),-1E+030)</f>
        <v>45.4796022727273</v>
      </c>
      <c r="Y733" s="55" t="n">
        <f aca="false">W733+ROW()*0.000000001</f>
        <v>-4.0852686976671</v>
      </c>
      <c r="Z733" s="55" t="n">
        <f aca="false">X733+ROW()*0.000000001</f>
        <v>45.4796030057273</v>
      </c>
    </row>
    <row r="734" customFormat="false" ht="15" hidden="false" customHeight="false" outlineLevel="0" collapsed="false">
      <c r="A734" s="0" t="n">
        <v>2</v>
      </c>
      <c r="B734" s="0" t="n">
        <v>8</v>
      </c>
      <c r="C734" s="0" t="n">
        <v>15</v>
      </c>
      <c r="D734" s="0" t="n">
        <f aca="false">-1+A734*0.125</f>
        <v>-0.75</v>
      </c>
      <c r="E734" s="0" t="n">
        <f aca="false">-1+B734*0.125</f>
        <v>0</v>
      </c>
      <c r="F734" s="0" t="n">
        <f aca="false">-1+C734*0.125</f>
        <v>0.875</v>
      </c>
      <c r="G734" s="0" t="n">
        <f aca="false">1</f>
        <v>1</v>
      </c>
      <c r="H734" s="0" t="n">
        <f aca="false">D734</f>
        <v>-0.75</v>
      </c>
      <c r="I734" s="0" t="n">
        <f aca="false">E734</f>
        <v>0</v>
      </c>
      <c r="J734" s="0" t="n">
        <f aca="false">F734</f>
        <v>0.875</v>
      </c>
      <c r="K734" s="0" t="n">
        <f aca="false">D734*E734</f>
        <v>-0</v>
      </c>
      <c r="L734" s="0" t="n">
        <f aca="false">D734*F734</f>
        <v>-0.65625</v>
      </c>
      <c r="M734" s="0" t="n">
        <f aca="false">E734*F734</f>
        <v>0</v>
      </c>
      <c r="N734" s="0" t="n">
        <f aca="false">D734*D734</f>
        <v>0.5625</v>
      </c>
      <c r="O734" s="0" t="n">
        <f aca="false">E734*E734</f>
        <v>0</v>
      </c>
      <c r="P734" s="0" t="n">
        <f aca="false">F734*F734</f>
        <v>0.765625</v>
      </c>
      <c r="Q734" s="0" t="n">
        <f aca="false">SUMPRODUCT(G734:P734,_XtX!$B$71:$K$71)</f>
        <v>45.42703125</v>
      </c>
      <c r="R734" s="0" t="n">
        <f aca="false">SUMPRODUCT(MMULT(G734:P734,_XtX!$B$58:$K$67),G734:P734)</f>
        <v>0.3948486328125</v>
      </c>
      <c r="S734" s="0" t="n">
        <f aca="false">04_回帰ANOVA!$K$19*04_回帰ANOVA!$K$14*SQRT(1+R734)</f>
        <v>1.09807037952996</v>
      </c>
      <c r="T734" s="0" t="n">
        <f aca="false">Q734-S734</f>
        <v>44.3289608704701</v>
      </c>
      <c r="U734" s="0" t="n">
        <f aca="false">Q734+S734</f>
        <v>46.52510162953</v>
      </c>
      <c r="V734" s="54" t="b">
        <f aca="false">AND(D734&gt;=01_因子設定!$L$5-0.000000001,D734&lt;=01_因子設定!$M$5+0.000000001,E734&gt;=01_因子設定!$L$6-0.000000001,E734&lt;=01_因子設定!$M$6+0.000000001,F734&gt;=01_因子設定!$L$7-0.000000001,F734&lt;=01_因子設定!$M$7+0.000000001,IF(01_因子設定!$B$20="Box-Behnken",D734^2+E734^2+F734^2&lt;=2+0.000000001,TRUE()))</f>
        <v>1</v>
      </c>
      <c r="W734" s="55" t="n">
        <f aca="false">IF(V734,IF(01_因子設定!$B$13="最大化",T734-01_因子設定!$B$14,IF(01_因子設定!$B$13="最小化",01_因子設定!$B$15-U734,MIN(T734-01_因子設定!$B$14,01_因子設定!$B$15-U734))),-1E+030)</f>
        <v>-4.17103912952994</v>
      </c>
      <c r="X734" s="55" t="n">
        <f aca="false">IF(V734,IF(01_因子設定!$B$13="最大化",Q734,IF(01_因子設定!$B$13="最小化",-Q734,-ABS(Q734-01_因子設定!$B$16))),-1E+030)</f>
        <v>45.42703125</v>
      </c>
      <c r="Y734" s="55" t="n">
        <f aca="false">W734+ROW()*0.000000001</f>
        <v>-4.17103839552994</v>
      </c>
      <c r="Z734" s="55" t="n">
        <f aca="false">X734+ROW()*0.000000001</f>
        <v>45.427031984</v>
      </c>
    </row>
    <row r="735" customFormat="false" ht="15" hidden="false" customHeight="false" outlineLevel="0" collapsed="false">
      <c r="A735" s="0" t="n">
        <v>2</v>
      </c>
      <c r="B735" s="0" t="n">
        <v>8</v>
      </c>
      <c r="C735" s="0" t="n">
        <v>16</v>
      </c>
      <c r="D735" s="0" t="n">
        <f aca="false">-1+A735*0.125</f>
        <v>-0.75</v>
      </c>
      <c r="E735" s="0" t="n">
        <f aca="false">-1+B735*0.125</f>
        <v>0</v>
      </c>
      <c r="F735" s="0" t="n">
        <f aca="false">-1+C735*0.125</f>
        <v>1</v>
      </c>
      <c r="G735" s="0" t="n">
        <f aca="false">1</f>
        <v>1</v>
      </c>
      <c r="H735" s="0" t="n">
        <f aca="false">D735</f>
        <v>-0.75</v>
      </c>
      <c r="I735" s="0" t="n">
        <f aca="false">E735</f>
        <v>0</v>
      </c>
      <c r="J735" s="0" t="n">
        <f aca="false">F735</f>
        <v>1</v>
      </c>
      <c r="K735" s="0" t="n">
        <f aca="false">D735*E735</f>
        <v>-0</v>
      </c>
      <c r="L735" s="0" t="n">
        <f aca="false">D735*F735</f>
        <v>-0.75</v>
      </c>
      <c r="M735" s="0" t="n">
        <f aca="false">E735*F735</f>
        <v>0</v>
      </c>
      <c r="N735" s="0" t="n">
        <f aca="false">D735*D735</f>
        <v>0.5625</v>
      </c>
      <c r="O735" s="0" t="n">
        <f aca="false">E735*E735</f>
        <v>0</v>
      </c>
      <c r="P735" s="0" t="n">
        <f aca="false">F735*F735</f>
        <v>1</v>
      </c>
      <c r="Q735" s="0" t="n">
        <f aca="false">SUMPRODUCT(G735:P735,_XtX!$B$71:$K$71)</f>
        <v>45.3376704545455</v>
      </c>
      <c r="R735" s="0" t="n">
        <f aca="false">SUMPRODUCT(MMULT(G735:P735,_XtX!$B$58:$K$67),G735:P735)</f>
        <v>0.527982954545455</v>
      </c>
      <c r="S735" s="0" t="n">
        <f aca="false">04_回帰ANOVA!$K$19*04_回帰ANOVA!$K$14*SQRT(1+R735)</f>
        <v>1.14928011037747</v>
      </c>
      <c r="T735" s="0" t="n">
        <f aca="false">Q735-S735</f>
        <v>44.188390344168</v>
      </c>
      <c r="U735" s="0" t="n">
        <f aca="false">Q735+S735</f>
        <v>46.4869505649229</v>
      </c>
      <c r="V735" s="54" t="b">
        <f aca="false">AND(D735&gt;=01_因子設定!$L$5-0.000000001,D735&lt;=01_因子設定!$M$5+0.000000001,E735&gt;=01_因子設定!$L$6-0.000000001,E735&lt;=01_因子設定!$M$6+0.000000001,F735&gt;=01_因子設定!$L$7-0.000000001,F735&lt;=01_因子設定!$M$7+0.000000001,IF(01_因子設定!$B$20="Box-Behnken",D735^2+E735^2+F735^2&lt;=2+0.000000001,TRUE()))</f>
        <v>1</v>
      </c>
      <c r="W735" s="55" t="n">
        <f aca="false">IF(V735,IF(01_因子設定!$B$13="最大化",T735-01_因子設定!$B$14,IF(01_因子設定!$B$13="最小化",01_因子設定!$B$15-U735,MIN(T735-01_因子設定!$B$14,01_因子設定!$B$15-U735))),-1E+030)</f>
        <v>-4.31160965583201</v>
      </c>
      <c r="X735" s="55" t="n">
        <f aca="false">IF(V735,IF(01_因子設定!$B$13="最大化",Q735,IF(01_因子設定!$B$13="最小化",-Q735,-ABS(Q735-01_因子設定!$B$16))),-1E+030)</f>
        <v>45.3376704545455</v>
      </c>
      <c r="Y735" s="55" t="n">
        <f aca="false">W735+ROW()*0.000000001</f>
        <v>-4.31160892083201</v>
      </c>
      <c r="Z735" s="55" t="n">
        <f aca="false">X735+ROW()*0.000000001</f>
        <v>45.3376711895455</v>
      </c>
    </row>
    <row r="736" customFormat="false" ht="15" hidden="false" customHeight="false" outlineLevel="0" collapsed="false">
      <c r="A736" s="0" t="n">
        <v>2</v>
      </c>
      <c r="B736" s="0" t="n">
        <v>9</v>
      </c>
      <c r="C736" s="0" t="n">
        <v>0</v>
      </c>
      <c r="D736" s="0" t="n">
        <f aca="false">-1+A736*0.125</f>
        <v>-0.75</v>
      </c>
      <c r="E736" s="0" t="n">
        <f aca="false">-1+B736*0.125</f>
        <v>0.125</v>
      </c>
      <c r="F736" s="0" t="n">
        <f aca="false">-1+C736*0.125</f>
        <v>-1</v>
      </c>
      <c r="G736" s="0" t="n">
        <f aca="false">1</f>
        <v>1</v>
      </c>
      <c r="H736" s="0" t="n">
        <f aca="false">D736</f>
        <v>-0.75</v>
      </c>
      <c r="I736" s="0" t="n">
        <f aca="false">E736</f>
        <v>0.125</v>
      </c>
      <c r="J736" s="0" t="n">
        <f aca="false">F736</f>
        <v>-1</v>
      </c>
      <c r="K736" s="0" t="n">
        <f aca="false">D736*E736</f>
        <v>-0.09375</v>
      </c>
      <c r="L736" s="0" t="n">
        <f aca="false">D736*F736</f>
        <v>0.75</v>
      </c>
      <c r="M736" s="0" t="n">
        <f aca="false">E736*F736</f>
        <v>-0.125</v>
      </c>
      <c r="N736" s="0" t="n">
        <f aca="false">D736*D736</f>
        <v>0.5625</v>
      </c>
      <c r="O736" s="0" t="n">
        <f aca="false">E736*E736</f>
        <v>0.015625</v>
      </c>
      <c r="P736" s="0" t="n">
        <f aca="false">F736*F736</f>
        <v>1</v>
      </c>
      <c r="Q736" s="0" t="n">
        <f aca="false">SUMPRODUCT(G736:P736,_XtX!$B$71:$K$71)</f>
        <v>42.4086505681818</v>
      </c>
      <c r="R736" s="0" t="n">
        <f aca="false">SUMPRODUCT(MMULT(G736:P736,_XtX!$B$58:$K$67),G736:P736)</f>
        <v>0.524607155539773</v>
      </c>
      <c r="S736" s="0" t="n">
        <f aca="false">04_回帰ANOVA!$K$19*04_回帰ANOVA!$K$14*SQRT(1+R736)</f>
        <v>1.14800984623412</v>
      </c>
      <c r="T736" s="0" t="n">
        <f aca="false">Q736-S736</f>
        <v>41.2606407219477</v>
      </c>
      <c r="U736" s="0" t="n">
        <f aca="false">Q736+S736</f>
        <v>43.556660414416</v>
      </c>
      <c r="V736" s="54" t="b">
        <f aca="false">AND(D736&gt;=01_因子設定!$L$5-0.000000001,D736&lt;=01_因子設定!$M$5+0.000000001,E736&gt;=01_因子設定!$L$6-0.000000001,E736&lt;=01_因子設定!$M$6+0.000000001,F736&gt;=01_因子設定!$L$7-0.000000001,F736&lt;=01_因子設定!$M$7+0.000000001,IF(01_因子設定!$B$20="Box-Behnken",D736^2+E736^2+F736^2&lt;=2+0.000000001,TRUE()))</f>
        <v>1</v>
      </c>
      <c r="W736" s="55" t="n">
        <f aca="false">IF(V736,IF(01_因子設定!$B$13="最大化",T736-01_因子設定!$B$14,IF(01_因子設定!$B$13="最小化",01_因子設定!$B$15-U736,MIN(T736-01_因子設定!$B$14,01_因子設定!$B$15-U736))),-1E+030)</f>
        <v>-7.23935927805228</v>
      </c>
      <c r="X736" s="55" t="n">
        <f aca="false">IF(V736,IF(01_因子設定!$B$13="最大化",Q736,IF(01_因子設定!$B$13="最小化",-Q736,-ABS(Q736-01_因子設定!$B$16))),-1E+030)</f>
        <v>42.4086505681818</v>
      </c>
      <c r="Y736" s="55" t="n">
        <f aca="false">W736+ROW()*0.000000001</f>
        <v>-7.23935854205228</v>
      </c>
      <c r="Z736" s="55" t="n">
        <f aca="false">X736+ROW()*0.000000001</f>
        <v>42.4086513041818</v>
      </c>
    </row>
    <row r="737" customFormat="false" ht="15" hidden="false" customHeight="false" outlineLevel="0" collapsed="false">
      <c r="A737" s="0" t="n">
        <v>2</v>
      </c>
      <c r="B737" s="0" t="n">
        <v>9</v>
      </c>
      <c r="C737" s="0" t="n">
        <v>1</v>
      </c>
      <c r="D737" s="0" t="n">
        <f aca="false">-1+A737*0.125</f>
        <v>-0.75</v>
      </c>
      <c r="E737" s="0" t="n">
        <f aca="false">-1+B737*0.125</f>
        <v>0.125</v>
      </c>
      <c r="F737" s="0" t="n">
        <f aca="false">-1+C737*0.125</f>
        <v>-0.875</v>
      </c>
      <c r="G737" s="0" t="n">
        <f aca="false">1</f>
        <v>1</v>
      </c>
      <c r="H737" s="0" t="n">
        <f aca="false">D737</f>
        <v>-0.75</v>
      </c>
      <c r="I737" s="0" t="n">
        <f aca="false">E737</f>
        <v>0.125</v>
      </c>
      <c r="J737" s="0" t="n">
        <f aca="false">F737</f>
        <v>-0.875</v>
      </c>
      <c r="K737" s="0" t="n">
        <f aca="false">D737*E737</f>
        <v>-0.09375</v>
      </c>
      <c r="L737" s="0" t="n">
        <f aca="false">D737*F737</f>
        <v>0.65625</v>
      </c>
      <c r="M737" s="0" t="n">
        <f aca="false">E737*F737</f>
        <v>-0.109375</v>
      </c>
      <c r="N737" s="0" t="n">
        <f aca="false">D737*D737</f>
        <v>0.5625</v>
      </c>
      <c r="O737" s="0" t="n">
        <f aca="false">E737*E737</f>
        <v>0.015625</v>
      </c>
      <c r="P737" s="0" t="n">
        <f aca="false">F737*F737</f>
        <v>0.765625</v>
      </c>
      <c r="Q737" s="0" t="n">
        <f aca="false">SUMPRODUCT(G737:P737,_XtX!$B$71:$K$71)</f>
        <v>42.8781676136364</v>
      </c>
      <c r="R737" s="0" t="n">
        <f aca="false">SUMPRODUCT(MMULT(G737:P737,_XtX!$B$58:$K$67),G737:P737)</f>
        <v>0.392013827237216</v>
      </c>
      <c r="S737" s="0" t="n">
        <f aca="false">04_回帰ANOVA!$K$19*04_回帰ANOVA!$K$14*SQRT(1+R737)</f>
        <v>1.09695398627251</v>
      </c>
      <c r="T737" s="0" t="n">
        <f aca="false">Q737-S737</f>
        <v>41.7812136273639</v>
      </c>
      <c r="U737" s="0" t="n">
        <f aca="false">Q737+S737</f>
        <v>43.9751215999089</v>
      </c>
      <c r="V737" s="54" t="b">
        <f aca="false">AND(D737&gt;=01_因子設定!$L$5-0.000000001,D737&lt;=01_因子設定!$M$5+0.000000001,E737&gt;=01_因子設定!$L$6-0.000000001,E737&lt;=01_因子設定!$M$6+0.000000001,F737&gt;=01_因子設定!$L$7-0.000000001,F737&lt;=01_因子設定!$M$7+0.000000001,IF(01_因子設定!$B$20="Box-Behnken",D737^2+E737^2+F737^2&lt;=2+0.000000001,TRUE()))</f>
        <v>1</v>
      </c>
      <c r="W737" s="55" t="n">
        <f aca="false">IF(V737,IF(01_因子設定!$B$13="最大化",T737-01_因子設定!$B$14,IF(01_因子設定!$B$13="最小化",01_因子設定!$B$15-U737,MIN(T737-01_因子設定!$B$14,01_因子設定!$B$15-U737))),-1E+030)</f>
        <v>-6.71878637263613</v>
      </c>
      <c r="X737" s="55" t="n">
        <f aca="false">IF(V737,IF(01_因子設定!$B$13="最大化",Q737,IF(01_因子設定!$B$13="最小化",-Q737,-ABS(Q737-01_因子設定!$B$16))),-1E+030)</f>
        <v>42.8781676136364</v>
      </c>
      <c r="Y737" s="55" t="n">
        <f aca="false">W737+ROW()*0.000000001</f>
        <v>-6.71878563563613</v>
      </c>
      <c r="Z737" s="55" t="n">
        <f aca="false">X737+ROW()*0.000000001</f>
        <v>42.8781683506364</v>
      </c>
    </row>
    <row r="738" customFormat="false" ht="15" hidden="false" customHeight="false" outlineLevel="0" collapsed="false">
      <c r="A738" s="0" t="n">
        <v>2</v>
      </c>
      <c r="B738" s="0" t="n">
        <v>9</v>
      </c>
      <c r="C738" s="0" t="n">
        <v>2</v>
      </c>
      <c r="D738" s="0" t="n">
        <f aca="false">-1+A738*0.125</f>
        <v>-0.75</v>
      </c>
      <c r="E738" s="0" t="n">
        <f aca="false">-1+B738*0.125</f>
        <v>0.125</v>
      </c>
      <c r="F738" s="0" t="n">
        <f aca="false">-1+C738*0.125</f>
        <v>-0.75</v>
      </c>
      <c r="G738" s="0" t="n">
        <f aca="false">1</f>
        <v>1</v>
      </c>
      <c r="H738" s="0" t="n">
        <f aca="false">D738</f>
        <v>-0.75</v>
      </c>
      <c r="I738" s="0" t="n">
        <f aca="false">E738</f>
        <v>0.125</v>
      </c>
      <c r="J738" s="0" t="n">
        <f aca="false">F738</f>
        <v>-0.75</v>
      </c>
      <c r="K738" s="0" t="n">
        <f aca="false">D738*E738</f>
        <v>-0.09375</v>
      </c>
      <c r="L738" s="0" t="n">
        <f aca="false">D738*F738</f>
        <v>0.5625</v>
      </c>
      <c r="M738" s="0" t="n">
        <f aca="false">E738*F738</f>
        <v>-0.09375</v>
      </c>
      <c r="N738" s="0" t="n">
        <f aca="false">D738*D738</f>
        <v>0.5625</v>
      </c>
      <c r="O738" s="0" t="n">
        <f aca="false">E738*E738</f>
        <v>0.015625</v>
      </c>
      <c r="P738" s="0" t="n">
        <f aca="false">F738*F738</f>
        <v>0.5625</v>
      </c>
      <c r="Q738" s="0" t="n">
        <f aca="false">SUMPRODUCT(G738:P738,_XtX!$B$71:$K$71)</f>
        <v>43.3108948863636</v>
      </c>
      <c r="R738" s="0" t="n">
        <f aca="false">SUMPRODUCT(MMULT(G738:P738,_XtX!$B$58:$K$67),G738:P738)</f>
        <v>0.309414950284091</v>
      </c>
      <c r="S738" s="0" t="n">
        <f aca="false">04_回帰ANOVA!$K$19*04_回帰ANOVA!$K$14*SQRT(1+R738)</f>
        <v>1.06391096196568</v>
      </c>
      <c r="T738" s="0" t="n">
        <f aca="false">Q738-S738</f>
        <v>42.246983924398</v>
      </c>
      <c r="U738" s="0" t="n">
        <f aca="false">Q738+S738</f>
        <v>44.3748058483293</v>
      </c>
      <c r="V738" s="54" t="b">
        <f aca="false">AND(D738&gt;=01_因子設定!$L$5-0.000000001,D738&lt;=01_因子設定!$M$5+0.000000001,E738&gt;=01_因子設定!$L$6-0.000000001,E738&lt;=01_因子設定!$M$6+0.000000001,F738&gt;=01_因子設定!$L$7-0.000000001,F738&lt;=01_因子設定!$M$7+0.000000001,IF(01_因子設定!$B$20="Box-Behnken",D738^2+E738^2+F738^2&lt;=2+0.000000001,TRUE()))</f>
        <v>1</v>
      </c>
      <c r="W738" s="55" t="n">
        <f aca="false">IF(V738,IF(01_因子設定!$B$13="最大化",T738-01_因子設定!$B$14,IF(01_因子設定!$B$13="最小化",01_因子設定!$B$15-U738,MIN(T738-01_因子設定!$B$14,01_因子設定!$B$15-U738))),-1E+030)</f>
        <v>-6.25301607560203</v>
      </c>
      <c r="X738" s="55" t="n">
        <f aca="false">IF(V738,IF(01_因子設定!$B$13="最大化",Q738,IF(01_因子設定!$B$13="最小化",-Q738,-ABS(Q738-01_因子設定!$B$16))),-1E+030)</f>
        <v>43.3108948863636</v>
      </c>
      <c r="Y738" s="55" t="n">
        <f aca="false">W738+ROW()*0.000000001</f>
        <v>-6.25301533760203</v>
      </c>
      <c r="Z738" s="55" t="n">
        <f aca="false">X738+ROW()*0.000000001</f>
        <v>43.3108956243636</v>
      </c>
    </row>
    <row r="739" customFormat="false" ht="15" hidden="false" customHeight="false" outlineLevel="0" collapsed="false">
      <c r="A739" s="0" t="n">
        <v>2</v>
      </c>
      <c r="B739" s="0" t="n">
        <v>9</v>
      </c>
      <c r="C739" s="0" t="n">
        <v>3</v>
      </c>
      <c r="D739" s="0" t="n">
        <f aca="false">-1+A739*0.125</f>
        <v>-0.75</v>
      </c>
      <c r="E739" s="0" t="n">
        <f aca="false">-1+B739*0.125</f>
        <v>0.125</v>
      </c>
      <c r="F739" s="0" t="n">
        <f aca="false">-1+C739*0.125</f>
        <v>-0.625</v>
      </c>
      <c r="G739" s="0" t="n">
        <f aca="false">1</f>
        <v>1</v>
      </c>
      <c r="H739" s="0" t="n">
        <f aca="false">D739</f>
        <v>-0.75</v>
      </c>
      <c r="I739" s="0" t="n">
        <f aca="false">E739</f>
        <v>0.125</v>
      </c>
      <c r="J739" s="0" t="n">
        <f aca="false">F739</f>
        <v>-0.625</v>
      </c>
      <c r="K739" s="0" t="n">
        <f aca="false">D739*E739</f>
        <v>-0.09375</v>
      </c>
      <c r="L739" s="0" t="n">
        <f aca="false">D739*F739</f>
        <v>0.46875</v>
      </c>
      <c r="M739" s="0" t="n">
        <f aca="false">E739*F739</f>
        <v>-0.078125</v>
      </c>
      <c r="N739" s="0" t="n">
        <f aca="false">D739*D739</f>
        <v>0.5625</v>
      </c>
      <c r="O739" s="0" t="n">
        <f aca="false">E739*E739</f>
        <v>0.015625</v>
      </c>
      <c r="P739" s="0" t="n">
        <f aca="false">F739*F739</f>
        <v>0.390625</v>
      </c>
      <c r="Q739" s="0" t="n">
        <f aca="false">SUMPRODUCT(G739:P739,_XtX!$B$71:$K$71)</f>
        <v>43.7068323863636</v>
      </c>
      <c r="R739" s="0" t="n">
        <f aca="false">SUMPRODUCT(MMULT(G739:P739,_XtX!$B$58:$K$67),G739:P739)</f>
        <v>0.262961092862216</v>
      </c>
      <c r="S739" s="0" t="n">
        <f aca="false">04_回帰ANOVA!$K$19*04_回帰ANOVA!$K$14*SQRT(1+R739)</f>
        <v>1.04486846483649</v>
      </c>
      <c r="T739" s="0" t="n">
        <f aca="false">Q739-S739</f>
        <v>42.6619639215272</v>
      </c>
      <c r="U739" s="0" t="n">
        <f aca="false">Q739+S739</f>
        <v>44.7517008512001</v>
      </c>
      <c r="V739" s="54" t="b">
        <f aca="false">AND(D739&gt;=01_因子設定!$L$5-0.000000001,D739&lt;=01_因子設定!$M$5+0.000000001,E739&gt;=01_因子設定!$L$6-0.000000001,E739&lt;=01_因子設定!$M$6+0.000000001,F739&gt;=01_因子設定!$L$7-0.000000001,F739&lt;=01_因子設定!$M$7+0.000000001,IF(01_因子設定!$B$20="Box-Behnken",D739^2+E739^2+F739^2&lt;=2+0.000000001,TRUE()))</f>
        <v>1</v>
      </c>
      <c r="W739" s="55" t="n">
        <f aca="false">IF(V739,IF(01_因子設定!$B$13="最大化",T739-01_因子設定!$B$14,IF(01_因子設定!$B$13="最小化",01_因子設定!$B$15-U739,MIN(T739-01_因子設定!$B$14,01_因子設定!$B$15-U739))),-1E+030)</f>
        <v>-5.83803607847284</v>
      </c>
      <c r="X739" s="55" t="n">
        <f aca="false">IF(V739,IF(01_因子設定!$B$13="最大化",Q739,IF(01_因子設定!$B$13="最小化",-Q739,-ABS(Q739-01_因子設定!$B$16))),-1E+030)</f>
        <v>43.7068323863636</v>
      </c>
      <c r="Y739" s="55" t="n">
        <f aca="false">W739+ROW()*0.000000001</f>
        <v>-5.83803533947284</v>
      </c>
      <c r="Z739" s="55" t="n">
        <f aca="false">X739+ROW()*0.000000001</f>
        <v>43.7068331253636</v>
      </c>
    </row>
    <row r="740" customFormat="false" ht="15" hidden="false" customHeight="false" outlineLevel="0" collapsed="false">
      <c r="A740" s="0" t="n">
        <v>2</v>
      </c>
      <c r="B740" s="0" t="n">
        <v>9</v>
      </c>
      <c r="C740" s="0" t="n">
        <v>4</v>
      </c>
      <c r="D740" s="0" t="n">
        <f aca="false">-1+A740*0.125</f>
        <v>-0.75</v>
      </c>
      <c r="E740" s="0" t="n">
        <f aca="false">-1+B740*0.125</f>
        <v>0.125</v>
      </c>
      <c r="F740" s="0" t="n">
        <f aca="false">-1+C740*0.125</f>
        <v>-0.5</v>
      </c>
      <c r="G740" s="0" t="n">
        <f aca="false">1</f>
        <v>1</v>
      </c>
      <c r="H740" s="0" t="n">
        <f aca="false">D740</f>
        <v>-0.75</v>
      </c>
      <c r="I740" s="0" t="n">
        <f aca="false">E740</f>
        <v>0.125</v>
      </c>
      <c r="J740" s="0" t="n">
        <f aca="false">F740</f>
        <v>-0.5</v>
      </c>
      <c r="K740" s="0" t="n">
        <f aca="false">D740*E740</f>
        <v>-0.09375</v>
      </c>
      <c r="L740" s="0" t="n">
        <f aca="false">D740*F740</f>
        <v>0.375</v>
      </c>
      <c r="M740" s="0" t="n">
        <f aca="false">E740*F740</f>
        <v>-0.0625</v>
      </c>
      <c r="N740" s="0" t="n">
        <f aca="false">D740*D740</f>
        <v>0.5625</v>
      </c>
      <c r="O740" s="0" t="n">
        <f aca="false">E740*E740</f>
        <v>0.015625</v>
      </c>
      <c r="P740" s="0" t="n">
        <f aca="false">F740*F740</f>
        <v>0.25</v>
      </c>
      <c r="Q740" s="0" t="n">
        <f aca="false">SUMPRODUCT(G740:P740,_XtX!$B$71:$K$71)</f>
        <v>44.0659801136364</v>
      </c>
      <c r="R740" s="0" t="n">
        <f aca="false">SUMPRODUCT(MMULT(G740:P740,_XtX!$B$58:$K$67),G740:P740)</f>
        <v>0.240933504971591</v>
      </c>
      <c r="S740" s="0" t="n">
        <f aca="false">04_回帰ANOVA!$K$19*04_回帰ANOVA!$K$14*SQRT(1+R740)</f>
        <v>1.03571649118863</v>
      </c>
      <c r="T740" s="0" t="n">
        <f aca="false">Q740-S740</f>
        <v>43.0302636224477</v>
      </c>
      <c r="U740" s="0" t="n">
        <f aca="false">Q740+S740</f>
        <v>45.101696604825</v>
      </c>
      <c r="V740" s="54" t="b">
        <f aca="false">AND(D740&gt;=01_因子設定!$L$5-0.000000001,D740&lt;=01_因子設定!$M$5+0.000000001,E740&gt;=01_因子設定!$L$6-0.000000001,E740&lt;=01_因子設定!$M$6+0.000000001,F740&gt;=01_因子設定!$L$7-0.000000001,F740&lt;=01_因子設定!$M$7+0.000000001,IF(01_因子設定!$B$20="Box-Behnken",D740^2+E740^2+F740^2&lt;=2+0.000000001,TRUE()))</f>
        <v>1</v>
      </c>
      <c r="W740" s="55" t="n">
        <f aca="false">IF(V740,IF(01_因子設定!$B$13="最大化",T740-01_因子設定!$B$14,IF(01_因子設定!$B$13="最小化",01_因子設定!$B$15-U740,MIN(T740-01_因子設定!$B$14,01_因子設定!$B$15-U740))),-1E+030)</f>
        <v>-5.46973637755226</v>
      </c>
      <c r="X740" s="55" t="n">
        <f aca="false">IF(V740,IF(01_因子設定!$B$13="最大化",Q740,IF(01_因子設定!$B$13="最小化",-Q740,-ABS(Q740-01_因子設定!$B$16))),-1E+030)</f>
        <v>44.0659801136364</v>
      </c>
      <c r="Y740" s="55" t="n">
        <f aca="false">W740+ROW()*0.000000001</f>
        <v>-5.46973563755226</v>
      </c>
      <c r="Z740" s="55" t="n">
        <f aca="false">X740+ROW()*0.000000001</f>
        <v>44.0659808536364</v>
      </c>
    </row>
    <row r="741" customFormat="false" ht="15" hidden="false" customHeight="false" outlineLevel="0" collapsed="false">
      <c r="A741" s="0" t="n">
        <v>2</v>
      </c>
      <c r="B741" s="0" t="n">
        <v>9</v>
      </c>
      <c r="C741" s="0" t="n">
        <v>5</v>
      </c>
      <c r="D741" s="0" t="n">
        <f aca="false">-1+A741*0.125</f>
        <v>-0.75</v>
      </c>
      <c r="E741" s="0" t="n">
        <f aca="false">-1+B741*0.125</f>
        <v>0.125</v>
      </c>
      <c r="F741" s="0" t="n">
        <f aca="false">-1+C741*0.125</f>
        <v>-0.375</v>
      </c>
      <c r="G741" s="0" t="n">
        <f aca="false">1</f>
        <v>1</v>
      </c>
      <c r="H741" s="0" t="n">
        <f aca="false">D741</f>
        <v>-0.75</v>
      </c>
      <c r="I741" s="0" t="n">
        <f aca="false">E741</f>
        <v>0.125</v>
      </c>
      <c r="J741" s="0" t="n">
        <f aca="false">F741</f>
        <v>-0.375</v>
      </c>
      <c r="K741" s="0" t="n">
        <f aca="false">D741*E741</f>
        <v>-0.09375</v>
      </c>
      <c r="L741" s="0" t="n">
        <f aca="false">D741*F741</f>
        <v>0.28125</v>
      </c>
      <c r="M741" s="0" t="n">
        <f aca="false">E741*F741</f>
        <v>-0.046875</v>
      </c>
      <c r="N741" s="0" t="n">
        <f aca="false">D741*D741</f>
        <v>0.5625</v>
      </c>
      <c r="O741" s="0" t="n">
        <f aca="false">E741*E741</f>
        <v>0.015625</v>
      </c>
      <c r="P741" s="0" t="n">
        <f aca="false">F741*F741</f>
        <v>0.140625</v>
      </c>
      <c r="Q741" s="0" t="n">
        <f aca="false">SUMPRODUCT(G741:P741,_XtX!$B$71:$K$71)</f>
        <v>44.3883380681818</v>
      </c>
      <c r="R741" s="0" t="n">
        <f aca="false">SUMPRODUCT(MMULT(G741:P741,_XtX!$B$58:$K$67),G741:P741)</f>
        <v>0.233744118430398</v>
      </c>
      <c r="S741" s="0" t="n">
        <f aca="false">04_回帰ANOVA!$K$19*04_回帰ANOVA!$K$14*SQRT(1+R741)</f>
        <v>1.0327119053564</v>
      </c>
      <c r="T741" s="0" t="n">
        <f aca="false">Q741-S741</f>
        <v>43.3556261628254</v>
      </c>
      <c r="U741" s="0" t="n">
        <f aca="false">Q741+S741</f>
        <v>45.4210499735382</v>
      </c>
      <c r="V741" s="54" t="b">
        <f aca="false">AND(D741&gt;=01_因子設定!$L$5-0.000000001,D741&lt;=01_因子設定!$M$5+0.000000001,E741&gt;=01_因子設定!$L$6-0.000000001,E741&lt;=01_因子設定!$M$6+0.000000001,F741&gt;=01_因子設定!$L$7-0.000000001,F741&lt;=01_因子設定!$M$7+0.000000001,IF(01_因子設定!$B$20="Box-Behnken",D741^2+E741^2+F741^2&lt;=2+0.000000001,TRUE()))</f>
        <v>1</v>
      </c>
      <c r="W741" s="55" t="n">
        <f aca="false">IF(V741,IF(01_因子設定!$B$13="最大化",T741-01_因子設定!$B$14,IF(01_因子設定!$B$13="最小化",01_因子設定!$B$15-U741,MIN(T741-01_因子設定!$B$14,01_因子設定!$B$15-U741))),-1E+030)</f>
        <v>-5.14437383717458</v>
      </c>
      <c r="X741" s="55" t="n">
        <f aca="false">IF(V741,IF(01_因子設定!$B$13="最大化",Q741,IF(01_因子設定!$B$13="最小化",-Q741,-ABS(Q741-01_因子設定!$B$16))),-1E+030)</f>
        <v>44.3883380681818</v>
      </c>
      <c r="Y741" s="55" t="n">
        <f aca="false">W741+ROW()*0.000000001</f>
        <v>-5.14437309617458</v>
      </c>
      <c r="Z741" s="55" t="n">
        <f aca="false">X741+ROW()*0.000000001</f>
        <v>44.3883388091818</v>
      </c>
    </row>
    <row r="742" customFormat="false" ht="15" hidden="false" customHeight="false" outlineLevel="0" collapsed="false">
      <c r="A742" s="0" t="n">
        <v>2</v>
      </c>
      <c r="B742" s="0" t="n">
        <v>9</v>
      </c>
      <c r="C742" s="0" t="n">
        <v>6</v>
      </c>
      <c r="D742" s="0" t="n">
        <f aca="false">-1+A742*0.125</f>
        <v>-0.75</v>
      </c>
      <c r="E742" s="0" t="n">
        <f aca="false">-1+B742*0.125</f>
        <v>0.125</v>
      </c>
      <c r="F742" s="0" t="n">
        <f aca="false">-1+C742*0.125</f>
        <v>-0.25</v>
      </c>
      <c r="G742" s="0" t="n">
        <f aca="false">1</f>
        <v>1</v>
      </c>
      <c r="H742" s="0" t="n">
        <f aca="false">D742</f>
        <v>-0.75</v>
      </c>
      <c r="I742" s="0" t="n">
        <f aca="false">E742</f>
        <v>0.125</v>
      </c>
      <c r="J742" s="0" t="n">
        <f aca="false">F742</f>
        <v>-0.25</v>
      </c>
      <c r="K742" s="0" t="n">
        <f aca="false">D742*E742</f>
        <v>-0.09375</v>
      </c>
      <c r="L742" s="0" t="n">
        <f aca="false">D742*F742</f>
        <v>0.1875</v>
      </c>
      <c r="M742" s="0" t="n">
        <f aca="false">E742*F742</f>
        <v>-0.03125</v>
      </c>
      <c r="N742" s="0" t="n">
        <f aca="false">D742*D742</f>
        <v>0.5625</v>
      </c>
      <c r="O742" s="0" t="n">
        <f aca="false">E742*E742</f>
        <v>0.015625</v>
      </c>
      <c r="P742" s="0" t="n">
        <f aca="false">F742*F742</f>
        <v>0.0625</v>
      </c>
      <c r="Q742" s="0" t="n">
        <f aca="false">SUMPRODUCT(G742:P742,_XtX!$B$71:$K$71)</f>
        <v>44.67390625</v>
      </c>
      <c r="R742" s="0" t="n">
        <f aca="false">SUMPRODUCT(MMULT(G742:P742,_XtX!$B$58:$K$67),G742:P742)</f>
        <v>0.233935546875</v>
      </c>
      <c r="S742" s="0" t="n">
        <f aca="false">04_回帰ANOVA!$K$19*04_回帰ANOVA!$K$14*SQRT(1+R742)</f>
        <v>1.03279202033444</v>
      </c>
      <c r="T742" s="0" t="n">
        <f aca="false">Q742-S742</f>
        <v>43.6411142296656</v>
      </c>
      <c r="U742" s="0" t="n">
        <f aca="false">Q742+S742</f>
        <v>45.7066982703344</v>
      </c>
      <c r="V742" s="54" t="b">
        <f aca="false">AND(D742&gt;=01_因子設定!$L$5-0.000000001,D742&lt;=01_因子設定!$M$5+0.000000001,E742&gt;=01_因子設定!$L$6-0.000000001,E742&lt;=01_因子設定!$M$6+0.000000001,F742&gt;=01_因子設定!$L$7-0.000000001,F742&lt;=01_因子設定!$M$7+0.000000001,IF(01_因子設定!$B$20="Box-Behnken",D742^2+E742^2+F742^2&lt;=2+0.000000001,TRUE()))</f>
        <v>1</v>
      </c>
      <c r="W742" s="55" t="n">
        <f aca="false">IF(V742,IF(01_因子設定!$B$13="最大化",T742-01_因子設定!$B$14,IF(01_因子設定!$B$13="最小化",01_因子設定!$B$15-U742,MIN(T742-01_因子設定!$B$14,01_因子設定!$B$15-U742))),-1E+030)</f>
        <v>-4.85888577033445</v>
      </c>
      <c r="X742" s="55" t="n">
        <f aca="false">IF(V742,IF(01_因子設定!$B$13="最大化",Q742,IF(01_因子設定!$B$13="最小化",-Q742,-ABS(Q742-01_因子設定!$B$16))),-1E+030)</f>
        <v>44.67390625</v>
      </c>
      <c r="Y742" s="55" t="n">
        <f aca="false">W742+ROW()*0.000000001</f>
        <v>-4.85888502833445</v>
      </c>
      <c r="Z742" s="55" t="n">
        <f aca="false">X742+ROW()*0.000000001</f>
        <v>44.673906992</v>
      </c>
    </row>
    <row r="743" customFormat="false" ht="15" hidden="false" customHeight="false" outlineLevel="0" collapsed="false">
      <c r="A743" s="0" t="n">
        <v>2</v>
      </c>
      <c r="B743" s="0" t="n">
        <v>9</v>
      </c>
      <c r="C743" s="0" t="n">
        <v>7</v>
      </c>
      <c r="D743" s="0" t="n">
        <f aca="false">-1+A743*0.125</f>
        <v>-0.75</v>
      </c>
      <c r="E743" s="0" t="n">
        <f aca="false">-1+B743*0.125</f>
        <v>0.125</v>
      </c>
      <c r="F743" s="0" t="n">
        <f aca="false">-1+C743*0.125</f>
        <v>-0.125</v>
      </c>
      <c r="G743" s="0" t="n">
        <f aca="false">1</f>
        <v>1</v>
      </c>
      <c r="H743" s="0" t="n">
        <f aca="false">D743</f>
        <v>-0.75</v>
      </c>
      <c r="I743" s="0" t="n">
        <f aca="false">E743</f>
        <v>0.125</v>
      </c>
      <c r="J743" s="0" t="n">
        <f aca="false">F743</f>
        <v>-0.125</v>
      </c>
      <c r="K743" s="0" t="n">
        <f aca="false">D743*E743</f>
        <v>-0.09375</v>
      </c>
      <c r="L743" s="0" t="n">
        <f aca="false">D743*F743</f>
        <v>0.09375</v>
      </c>
      <c r="M743" s="0" t="n">
        <f aca="false">E743*F743</f>
        <v>-0.015625</v>
      </c>
      <c r="N743" s="0" t="n">
        <f aca="false">D743*D743</f>
        <v>0.5625</v>
      </c>
      <c r="O743" s="0" t="n">
        <f aca="false">E743*E743</f>
        <v>0.015625</v>
      </c>
      <c r="P743" s="0" t="n">
        <f aca="false">F743*F743</f>
        <v>0.015625</v>
      </c>
      <c r="Q743" s="0" t="n">
        <f aca="false">SUMPRODUCT(G743:P743,_XtX!$B$71:$K$71)</f>
        <v>44.9226846590909</v>
      </c>
      <c r="R743" s="0" t="n">
        <f aca="false">SUMPRODUCT(MMULT(G743:P743,_XtX!$B$58:$K$67),G743:P743)</f>
        <v>0.236181085759943</v>
      </c>
      <c r="S743" s="0" t="n">
        <f aca="false">04_回帰ANOVA!$K$19*04_回帰ANOVA!$K$14*SQRT(1+R743)</f>
        <v>1.03373134025567</v>
      </c>
      <c r="T743" s="0" t="n">
        <f aca="false">Q743-S743</f>
        <v>43.8889533188352</v>
      </c>
      <c r="U743" s="0" t="n">
        <f aca="false">Q743+S743</f>
        <v>45.9564159993466</v>
      </c>
      <c r="V743" s="54" t="b">
        <f aca="false">AND(D743&gt;=01_因子設定!$L$5-0.000000001,D743&lt;=01_因子設定!$M$5+0.000000001,E743&gt;=01_因子設定!$L$6-0.000000001,E743&lt;=01_因子設定!$M$6+0.000000001,F743&gt;=01_因子設定!$L$7-0.000000001,F743&lt;=01_因子設定!$M$7+0.000000001,IF(01_因子設定!$B$20="Box-Behnken",D743^2+E743^2+F743^2&lt;=2+0.000000001,TRUE()))</f>
        <v>1</v>
      </c>
      <c r="W743" s="55" t="n">
        <f aca="false">IF(V743,IF(01_因子設定!$B$13="最大化",T743-01_因子設定!$B$14,IF(01_因子設定!$B$13="最小化",01_因子設定!$B$15-U743,MIN(T743-01_因子設定!$B$14,01_因子設定!$B$15-U743))),-1E+030)</f>
        <v>-4.61104668116477</v>
      </c>
      <c r="X743" s="55" t="n">
        <f aca="false">IF(V743,IF(01_因子設定!$B$13="最大化",Q743,IF(01_因子設定!$B$13="最小化",-Q743,-ABS(Q743-01_因子設定!$B$16))),-1E+030)</f>
        <v>44.9226846590909</v>
      </c>
      <c r="Y743" s="55" t="n">
        <f aca="false">W743+ROW()*0.000000001</f>
        <v>-4.61104593816477</v>
      </c>
      <c r="Z743" s="55" t="n">
        <f aca="false">X743+ROW()*0.000000001</f>
        <v>44.9226854020909</v>
      </c>
    </row>
    <row r="744" customFormat="false" ht="15" hidden="false" customHeight="false" outlineLevel="0" collapsed="false">
      <c r="A744" s="0" t="n">
        <v>2</v>
      </c>
      <c r="B744" s="0" t="n">
        <v>9</v>
      </c>
      <c r="C744" s="0" t="n">
        <v>8</v>
      </c>
      <c r="D744" s="0" t="n">
        <f aca="false">-1+A744*0.125</f>
        <v>-0.75</v>
      </c>
      <c r="E744" s="0" t="n">
        <f aca="false">-1+B744*0.125</f>
        <v>0.125</v>
      </c>
      <c r="F744" s="0" t="n">
        <f aca="false">-1+C744*0.125</f>
        <v>0</v>
      </c>
      <c r="G744" s="0" t="n">
        <f aca="false">1</f>
        <v>1</v>
      </c>
      <c r="H744" s="0" t="n">
        <f aca="false">D744</f>
        <v>-0.75</v>
      </c>
      <c r="I744" s="0" t="n">
        <f aca="false">E744</f>
        <v>0.125</v>
      </c>
      <c r="J744" s="0" t="n">
        <f aca="false">F744</f>
        <v>0</v>
      </c>
      <c r="K744" s="0" t="n">
        <f aca="false">D744*E744</f>
        <v>-0.09375</v>
      </c>
      <c r="L744" s="0" t="n">
        <f aca="false">D744*F744</f>
        <v>-0</v>
      </c>
      <c r="M744" s="0" t="n">
        <f aca="false">E744*F744</f>
        <v>0</v>
      </c>
      <c r="N744" s="0" t="n">
        <f aca="false">D744*D744</f>
        <v>0.5625</v>
      </c>
      <c r="O744" s="0" t="n">
        <f aca="false">E744*E744</f>
        <v>0.015625</v>
      </c>
      <c r="P744" s="0" t="n">
        <f aca="false">F744*F744</f>
        <v>0</v>
      </c>
      <c r="Q744" s="0" t="n">
        <f aca="false">SUMPRODUCT(G744:P744,_XtX!$B$71:$K$71)</f>
        <v>45.1346732954545</v>
      </c>
      <c r="R744" s="0" t="n">
        <f aca="false">SUMPRODUCT(MMULT(G744:P744,_XtX!$B$58:$K$67),G744:P744)</f>
        <v>0.237284712357955</v>
      </c>
      <c r="S744" s="0" t="n">
        <f aca="false">04_回帰ANOVA!$K$19*04_回帰ANOVA!$K$14*SQRT(1+R744)</f>
        <v>1.03419267998124</v>
      </c>
      <c r="T744" s="0" t="n">
        <f aca="false">Q744-S744</f>
        <v>44.1004806154733</v>
      </c>
      <c r="U744" s="0" t="n">
        <f aca="false">Q744+S744</f>
        <v>46.1688659754358</v>
      </c>
      <c r="V744" s="54" t="b">
        <f aca="false">AND(D744&gt;=01_因子設定!$L$5-0.000000001,D744&lt;=01_因子設定!$M$5+0.000000001,E744&gt;=01_因子設定!$L$6-0.000000001,E744&lt;=01_因子設定!$M$6+0.000000001,F744&gt;=01_因子設定!$L$7-0.000000001,F744&lt;=01_因子設定!$M$7+0.000000001,IF(01_因子設定!$B$20="Box-Behnken",D744^2+E744^2+F744^2&lt;=2+0.000000001,TRUE()))</f>
        <v>1</v>
      </c>
      <c r="W744" s="55" t="n">
        <f aca="false">IF(V744,IF(01_因子設定!$B$13="最大化",T744-01_因子設定!$B$14,IF(01_因子設定!$B$13="最小化",01_因子設定!$B$15-U744,MIN(T744-01_因子設定!$B$14,01_因子設定!$B$15-U744))),-1E+030)</f>
        <v>-4.3995193845267</v>
      </c>
      <c r="X744" s="55" t="n">
        <f aca="false">IF(V744,IF(01_因子設定!$B$13="最大化",Q744,IF(01_因子設定!$B$13="最小化",-Q744,-ABS(Q744-01_因子設定!$B$16))),-1E+030)</f>
        <v>45.1346732954545</v>
      </c>
      <c r="Y744" s="55" t="n">
        <f aca="false">W744+ROW()*0.000000001</f>
        <v>-4.3995186405267</v>
      </c>
      <c r="Z744" s="55" t="n">
        <f aca="false">X744+ROW()*0.000000001</f>
        <v>45.1346740394545</v>
      </c>
    </row>
    <row r="745" customFormat="false" ht="15" hidden="false" customHeight="false" outlineLevel="0" collapsed="false">
      <c r="A745" s="0" t="n">
        <v>2</v>
      </c>
      <c r="B745" s="0" t="n">
        <v>9</v>
      </c>
      <c r="C745" s="0" t="n">
        <v>9</v>
      </c>
      <c r="D745" s="0" t="n">
        <f aca="false">-1+A745*0.125</f>
        <v>-0.75</v>
      </c>
      <c r="E745" s="0" t="n">
        <f aca="false">-1+B745*0.125</f>
        <v>0.125</v>
      </c>
      <c r="F745" s="0" t="n">
        <f aca="false">-1+C745*0.125</f>
        <v>0.125</v>
      </c>
      <c r="G745" s="0" t="n">
        <f aca="false">1</f>
        <v>1</v>
      </c>
      <c r="H745" s="0" t="n">
        <f aca="false">D745</f>
        <v>-0.75</v>
      </c>
      <c r="I745" s="0" t="n">
        <f aca="false">E745</f>
        <v>0.125</v>
      </c>
      <c r="J745" s="0" t="n">
        <f aca="false">F745</f>
        <v>0.125</v>
      </c>
      <c r="K745" s="0" t="n">
        <f aca="false">D745*E745</f>
        <v>-0.09375</v>
      </c>
      <c r="L745" s="0" t="n">
        <f aca="false">D745*F745</f>
        <v>-0.09375</v>
      </c>
      <c r="M745" s="0" t="n">
        <f aca="false">E745*F745</f>
        <v>0.015625</v>
      </c>
      <c r="N745" s="0" t="n">
        <f aca="false">D745*D745</f>
        <v>0.5625</v>
      </c>
      <c r="O745" s="0" t="n">
        <f aca="false">E745*E745</f>
        <v>0.015625</v>
      </c>
      <c r="P745" s="0" t="n">
        <f aca="false">F745*F745</f>
        <v>0.015625</v>
      </c>
      <c r="Q745" s="0" t="n">
        <f aca="false">SUMPRODUCT(G745:P745,_XtX!$B$71:$K$71)</f>
        <v>45.3098721590909</v>
      </c>
      <c r="R745" s="0" t="n">
        <f aca="false">SUMPRODUCT(MMULT(G745:P745,_XtX!$B$58:$K$67),G745:P745)</f>
        <v>0.236181085759943</v>
      </c>
      <c r="S745" s="0" t="n">
        <f aca="false">04_回帰ANOVA!$K$19*04_回帰ANOVA!$K$14*SQRT(1+R745)</f>
        <v>1.03373134025567</v>
      </c>
      <c r="T745" s="0" t="n">
        <f aca="false">Q745-S745</f>
        <v>44.2761408188352</v>
      </c>
      <c r="U745" s="0" t="n">
        <f aca="false">Q745+S745</f>
        <v>46.3436034993466</v>
      </c>
      <c r="V745" s="54" t="b">
        <f aca="false">AND(D745&gt;=01_因子設定!$L$5-0.000000001,D745&lt;=01_因子設定!$M$5+0.000000001,E745&gt;=01_因子設定!$L$6-0.000000001,E745&lt;=01_因子設定!$M$6+0.000000001,F745&gt;=01_因子設定!$L$7-0.000000001,F745&lt;=01_因子設定!$M$7+0.000000001,IF(01_因子設定!$B$20="Box-Behnken",D745^2+E745^2+F745^2&lt;=2+0.000000001,TRUE()))</f>
        <v>1</v>
      </c>
      <c r="W745" s="55" t="n">
        <f aca="false">IF(V745,IF(01_因子設定!$B$13="最大化",T745-01_因子設定!$B$14,IF(01_因子設定!$B$13="最小化",01_因子設定!$B$15-U745,MIN(T745-01_因子設定!$B$14,01_因子設定!$B$15-U745))),-1E+030)</f>
        <v>-4.22385918116477</v>
      </c>
      <c r="X745" s="55" t="n">
        <f aca="false">IF(V745,IF(01_因子設定!$B$13="最大化",Q745,IF(01_因子設定!$B$13="最小化",-Q745,-ABS(Q745-01_因子設定!$B$16))),-1E+030)</f>
        <v>45.3098721590909</v>
      </c>
      <c r="Y745" s="55" t="n">
        <f aca="false">W745+ROW()*0.000000001</f>
        <v>-4.22385843616477</v>
      </c>
      <c r="Z745" s="55" t="n">
        <f aca="false">X745+ROW()*0.000000001</f>
        <v>45.3098729040909</v>
      </c>
    </row>
    <row r="746" customFormat="false" ht="15" hidden="false" customHeight="false" outlineLevel="0" collapsed="false">
      <c r="A746" s="0" t="n">
        <v>2</v>
      </c>
      <c r="B746" s="0" t="n">
        <v>9</v>
      </c>
      <c r="C746" s="0" t="n">
        <v>10</v>
      </c>
      <c r="D746" s="0" t="n">
        <f aca="false">-1+A746*0.125</f>
        <v>-0.75</v>
      </c>
      <c r="E746" s="0" t="n">
        <f aca="false">-1+B746*0.125</f>
        <v>0.125</v>
      </c>
      <c r="F746" s="0" t="n">
        <f aca="false">-1+C746*0.125</f>
        <v>0.25</v>
      </c>
      <c r="G746" s="0" t="n">
        <f aca="false">1</f>
        <v>1</v>
      </c>
      <c r="H746" s="0" t="n">
        <f aca="false">D746</f>
        <v>-0.75</v>
      </c>
      <c r="I746" s="0" t="n">
        <f aca="false">E746</f>
        <v>0.125</v>
      </c>
      <c r="J746" s="0" t="n">
        <f aca="false">F746</f>
        <v>0.25</v>
      </c>
      <c r="K746" s="0" t="n">
        <f aca="false">D746*E746</f>
        <v>-0.09375</v>
      </c>
      <c r="L746" s="0" t="n">
        <f aca="false">D746*F746</f>
        <v>-0.1875</v>
      </c>
      <c r="M746" s="0" t="n">
        <f aca="false">E746*F746</f>
        <v>0.03125</v>
      </c>
      <c r="N746" s="0" t="n">
        <f aca="false">D746*D746</f>
        <v>0.5625</v>
      </c>
      <c r="O746" s="0" t="n">
        <f aca="false">E746*E746</f>
        <v>0.015625</v>
      </c>
      <c r="P746" s="0" t="n">
        <f aca="false">F746*F746</f>
        <v>0.0625</v>
      </c>
      <c r="Q746" s="0" t="n">
        <f aca="false">SUMPRODUCT(G746:P746,_XtX!$B$71:$K$71)</f>
        <v>45.44828125</v>
      </c>
      <c r="R746" s="0" t="n">
        <f aca="false">SUMPRODUCT(MMULT(G746:P746,_XtX!$B$58:$K$67),G746:P746)</f>
        <v>0.233935546875</v>
      </c>
      <c r="S746" s="0" t="n">
        <f aca="false">04_回帰ANOVA!$K$19*04_回帰ANOVA!$K$14*SQRT(1+R746)</f>
        <v>1.03279202033444</v>
      </c>
      <c r="T746" s="0" t="n">
        <f aca="false">Q746-S746</f>
        <v>44.4154892296656</v>
      </c>
      <c r="U746" s="0" t="n">
        <f aca="false">Q746+S746</f>
        <v>46.4810732703344</v>
      </c>
      <c r="V746" s="54" t="b">
        <f aca="false">AND(D746&gt;=01_因子設定!$L$5-0.000000001,D746&lt;=01_因子設定!$M$5+0.000000001,E746&gt;=01_因子設定!$L$6-0.000000001,E746&lt;=01_因子設定!$M$6+0.000000001,F746&gt;=01_因子設定!$L$7-0.000000001,F746&lt;=01_因子設定!$M$7+0.000000001,IF(01_因子設定!$B$20="Box-Behnken",D746^2+E746^2+F746^2&lt;=2+0.000000001,TRUE()))</f>
        <v>1</v>
      </c>
      <c r="W746" s="55" t="n">
        <f aca="false">IF(V746,IF(01_因子設定!$B$13="最大化",T746-01_因子設定!$B$14,IF(01_因子設定!$B$13="最小化",01_因子設定!$B$15-U746,MIN(T746-01_因子設定!$B$14,01_因子設定!$B$15-U746))),-1E+030)</f>
        <v>-4.08451077033444</v>
      </c>
      <c r="X746" s="55" t="n">
        <f aca="false">IF(V746,IF(01_因子設定!$B$13="最大化",Q746,IF(01_因子設定!$B$13="最小化",-Q746,-ABS(Q746-01_因子設定!$B$16))),-1E+030)</f>
        <v>45.44828125</v>
      </c>
      <c r="Y746" s="55" t="n">
        <f aca="false">W746+ROW()*0.000000001</f>
        <v>-4.08451002433444</v>
      </c>
      <c r="Z746" s="55" t="n">
        <f aca="false">X746+ROW()*0.000000001</f>
        <v>45.448281996</v>
      </c>
    </row>
    <row r="747" customFormat="false" ht="15" hidden="false" customHeight="false" outlineLevel="0" collapsed="false">
      <c r="A747" s="0" t="n">
        <v>2</v>
      </c>
      <c r="B747" s="0" t="n">
        <v>9</v>
      </c>
      <c r="C747" s="0" t="n">
        <v>11</v>
      </c>
      <c r="D747" s="0" t="n">
        <f aca="false">-1+A747*0.125</f>
        <v>-0.75</v>
      </c>
      <c r="E747" s="0" t="n">
        <f aca="false">-1+B747*0.125</f>
        <v>0.125</v>
      </c>
      <c r="F747" s="0" t="n">
        <f aca="false">-1+C747*0.125</f>
        <v>0.375</v>
      </c>
      <c r="G747" s="0" t="n">
        <f aca="false">1</f>
        <v>1</v>
      </c>
      <c r="H747" s="0" t="n">
        <f aca="false">D747</f>
        <v>-0.75</v>
      </c>
      <c r="I747" s="0" t="n">
        <f aca="false">E747</f>
        <v>0.125</v>
      </c>
      <c r="J747" s="0" t="n">
        <f aca="false">F747</f>
        <v>0.375</v>
      </c>
      <c r="K747" s="0" t="n">
        <f aca="false">D747*E747</f>
        <v>-0.09375</v>
      </c>
      <c r="L747" s="0" t="n">
        <f aca="false">D747*F747</f>
        <v>-0.28125</v>
      </c>
      <c r="M747" s="0" t="n">
        <f aca="false">E747*F747</f>
        <v>0.046875</v>
      </c>
      <c r="N747" s="0" t="n">
        <f aca="false">D747*D747</f>
        <v>0.5625</v>
      </c>
      <c r="O747" s="0" t="n">
        <f aca="false">E747*E747</f>
        <v>0.015625</v>
      </c>
      <c r="P747" s="0" t="n">
        <f aca="false">F747*F747</f>
        <v>0.140625</v>
      </c>
      <c r="Q747" s="0" t="n">
        <f aca="false">SUMPRODUCT(G747:P747,_XtX!$B$71:$K$71)</f>
        <v>45.5499005681818</v>
      </c>
      <c r="R747" s="0" t="n">
        <f aca="false">SUMPRODUCT(MMULT(G747:P747,_XtX!$B$58:$K$67),G747:P747)</f>
        <v>0.233744118430398</v>
      </c>
      <c r="S747" s="0" t="n">
        <f aca="false">04_回帰ANOVA!$K$19*04_回帰ANOVA!$K$14*SQRT(1+R747)</f>
        <v>1.0327119053564</v>
      </c>
      <c r="T747" s="0" t="n">
        <f aca="false">Q747-S747</f>
        <v>44.5171886628254</v>
      </c>
      <c r="U747" s="0" t="n">
        <f aca="false">Q747+S747</f>
        <v>46.5826124735382</v>
      </c>
      <c r="V747" s="54" t="b">
        <f aca="false">AND(D747&gt;=01_因子設定!$L$5-0.000000001,D747&lt;=01_因子設定!$M$5+0.000000001,E747&gt;=01_因子設定!$L$6-0.000000001,E747&lt;=01_因子設定!$M$6+0.000000001,F747&gt;=01_因子設定!$L$7-0.000000001,F747&lt;=01_因子設定!$M$7+0.000000001,IF(01_因子設定!$B$20="Box-Behnken",D747^2+E747^2+F747^2&lt;=2+0.000000001,TRUE()))</f>
        <v>1</v>
      </c>
      <c r="W747" s="55" t="n">
        <f aca="false">IF(V747,IF(01_因子設定!$B$13="最大化",T747-01_因子設定!$B$14,IF(01_因子設定!$B$13="最小化",01_因子設定!$B$15-U747,MIN(T747-01_因子設定!$B$14,01_因子設定!$B$15-U747))),-1E+030)</f>
        <v>-3.98281133717458</v>
      </c>
      <c r="X747" s="55" t="n">
        <f aca="false">IF(V747,IF(01_因子設定!$B$13="最大化",Q747,IF(01_因子設定!$B$13="最小化",-Q747,-ABS(Q747-01_因子設定!$B$16))),-1E+030)</f>
        <v>45.5499005681818</v>
      </c>
      <c r="Y747" s="55" t="n">
        <f aca="false">W747+ROW()*0.000000001</f>
        <v>-3.98281059017458</v>
      </c>
      <c r="Z747" s="55" t="n">
        <f aca="false">X747+ROW()*0.000000001</f>
        <v>45.5499013151818</v>
      </c>
    </row>
    <row r="748" customFormat="false" ht="15" hidden="false" customHeight="false" outlineLevel="0" collapsed="false">
      <c r="A748" s="0" t="n">
        <v>2</v>
      </c>
      <c r="B748" s="0" t="n">
        <v>9</v>
      </c>
      <c r="C748" s="0" t="n">
        <v>12</v>
      </c>
      <c r="D748" s="0" t="n">
        <f aca="false">-1+A748*0.125</f>
        <v>-0.75</v>
      </c>
      <c r="E748" s="0" t="n">
        <f aca="false">-1+B748*0.125</f>
        <v>0.125</v>
      </c>
      <c r="F748" s="0" t="n">
        <f aca="false">-1+C748*0.125</f>
        <v>0.5</v>
      </c>
      <c r="G748" s="0" t="n">
        <f aca="false">1</f>
        <v>1</v>
      </c>
      <c r="H748" s="0" t="n">
        <f aca="false">D748</f>
        <v>-0.75</v>
      </c>
      <c r="I748" s="0" t="n">
        <f aca="false">E748</f>
        <v>0.125</v>
      </c>
      <c r="J748" s="0" t="n">
        <f aca="false">F748</f>
        <v>0.5</v>
      </c>
      <c r="K748" s="0" t="n">
        <f aca="false">D748*E748</f>
        <v>-0.09375</v>
      </c>
      <c r="L748" s="0" t="n">
        <f aca="false">D748*F748</f>
        <v>-0.375</v>
      </c>
      <c r="M748" s="0" t="n">
        <f aca="false">E748*F748</f>
        <v>0.0625</v>
      </c>
      <c r="N748" s="0" t="n">
        <f aca="false">D748*D748</f>
        <v>0.5625</v>
      </c>
      <c r="O748" s="0" t="n">
        <f aca="false">E748*E748</f>
        <v>0.015625</v>
      </c>
      <c r="P748" s="0" t="n">
        <f aca="false">F748*F748</f>
        <v>0.25</v>
      </c>
      <c r="Q748" s="0" t="n">
        <f aca="false">SUMPRODUCT(G748:P748,_XtX!$B$71:$K$71)</f>
        <v>45.6147301136364</v>
      </c>
      <c r="R748" s="0" t="n">
        <f aca="false">SUMPRODUCT(MMULT(G748:P748,_XtX!$B$58:$K$67),G748:P748)</f>
        <v>0.240933504971591</v>
      </c>
      <c r="S748" s="0" t="n">
        <f aca="false">04_回帰ANOVA!$K$19*04_回帰ANOVA!$K$14*SQRT(1+R748)</f>
        <v>1.03571649118863</v>
      </c>
      <c r="T748" s="0" t="n">
        <f aca="false">Q748-S748</f>
        <v>44.5790136224477</v>
      </c>
      <c r="U748" s="0" t="n">
        <f aca="false">Q748+S748</f>
        <v>46.650446604825</v>
      </c>
      <c r="V748" s="54" t="b">
        <f aca="false">AND(D748&gt;=01_因子設定!$L$5-0.000000001,D748&lt;=01_因子設定!$M$5+0.000000001,E748&gt;=01_因子設定!$L$6-0.000000001,E748&lt;=01_因子設定!$M$6+0.000000001,F748&gt;=01_因子設定!$L$7-0.000000001,F748&lt;=01_因子設定!$M$7+0.000000001,IF(01_因子設定!$B$20="Box-Behnken",D748^2+E748^2+F748^2&lt;=2+0.000000001,TRUE()))</f>
        <v>1</v>
      </c>
      <c r="W748" s="55" t="n">
        <f aca="false">IF(V748,IF(01_因子設定!$B$13="最大化",T748-01_因子設定!$B$14,IF(01_因子設定!$B$13="最小化",01_因子設定!$B$15-U748,MIN(T748-01_因子設定!$B$14,01_因子設定!$B$15-U748))),-1E+030)</f>
        <v>-3.92098637755226</v>
      </c>
      <c r="X748" s="55" t="n">
        <f aca="false">IF(V748,IF(01_因子設定!$B$13="最大化",Q748,IF(01_因子設定!$B$13="最小化",-Q748,-ABS(Q748-01_因子設定!$B$16))),-1E+030)</f>
        <v>45.6147301136364</v>
      </c>
      <c r="Y748" s="55" t="n">
        <f aca="false">W748+ROW()*0.000000001</f>
        <v>-3.92098562955226</v>
      </c>
      <c r="Z748" s="55" t="n">
        <f aca="false">X748+ROW()*0.000000001</f>
        <v>45.6147308616364</v>
      </c>
    </row>
    <row r="749" customFormat="false" ht="15" hidden="false" customHeight="false" outlineLevel="0" collapsed="false">
      <c r="A749" s="0" t="n">
        <v>2</v>
      </c>
      <c r="B749" s="0" t="n">
        <v>9</v>
      </c>
      <c r="C749" s="0" t="n">
        <v>13</v>
      </c>
      <c r="D749" s="0" t="n">
        <f aca="false">-1+A749*0.125</f>
        <v>-0.75</v>
      </c>
      <c r="E749" s="0" t="n">
        <f aca="false">-1+B749*0.125</f>
        <v>0.125</v>
      </c>
      <c r="F749" s="0" t="n">
        <f aca="false">-1+C749*0.125</f>
        <v>0.625</v>
      </c>
      <c r="G749" s="0" t="n">
        <f aca="false">1</f>
        <v>1</v>
      </c>
      <c r="H749" s="0" t="n">
        <f aca="false">D749</f>
        <v>-0.75</v>
      </c>
      <c r="I749" s="0" t="n">
        <f aca="false">E749</f>
        <v>0.125</v>
      </c>
      <c r="J749" s="0" t="n">
        <f aca="false">F749</f>
        <v>0.625</v>
      </c>
      <c r="K749" s="0" t="n">
        <f aca="false">D749*E749</f>
        <v>-0.09375</v>
      </c>
      <c r="L749" s="0" t="n">
        <f aca="false">D749*F749</f>
        <v>-0.46875</v>
      </c>
      <c r="M749" s="0" t="n">
        <f aca="false">E749*F749</f>
        <v>0.078125</v>
      </c>
      <c r="N749" s="0" t="n">
        <f aca="false">D749*D749</f>
        <v>0.5625</v>
      </c>
      <c r="O749" s="0" t="n">
        <f aca="false">E749*E749</f>
        <v>0.015625</v>
      </c>
      <c r="P749" s="0" t="n">
        <f aca="false">F749*F749</f>
        <v>0.390625</v>
      </c>
      <c r="Q749" s="0" t="n">
        <f aca="false">SUMPRODUCT(G749:P749,_XtX!$B$71:$K$71)</f>
        <v>45.6427698863636</v>
      </c>
      <c r="R749" s="0" t="n">
        <f aca="false">SUMPRODUCT(MMULT(G749:P749,_XtX!$B$58:$K$67),G749:P749)</f>
        <v>0.262961092862216</v>
      </c>
      <c r="S749" s="0" t="n">
        <f aca="false">04_回帰ANOVA!$K$19*04_回帰ANOVA!$K$14*SQRT(1+R749)</f>
        <v>1.04486846483649</v>
      </c>
      <c r="T749" s="0" t="n">
        <f aca="false">Q749-S749</f>
        <v>44.5979014215272</v>
      </c>
      <c r="U749" s="0" t="n">
        <f aca="false">Q749+S749</f>
        <v>46.6876383512001</v>
      </c>
      <c r="V749" s="54" t="b">
        <f aca="false">AND(D749&gt;=01_因子設定!$L$5-0.000000001,D749&lt;=01_因子設定!$M$5+0.000000001,E749&gt;=01_因子設定!$L$6-0.000000001,E749&lt;=01_因子設定!$M$6+0.000000001,F749&gt;=01_因子設定!$L$7-0.000000001,F749&lt;=01_因子設定!$M$7+0.000000001,IF(01_因子設定!$B$20="Box-Behnken",D749^2+E749^2+F749^2&lt;=2+0.000000001,TRUE()))</f>
        <v>1</v>
      </c>
      <c r="W749" s="55" t="n">
        <f aca="false">IF(V749,IF(01_因子設定!$B$13="最大化",T749-01_因子設定!$B$14,IF(01_因子設定!$B$13="最小化",01_因子設定!$B$15-U749,MIN(T749-01_因子設定!$B$14,01_因子設定!$B$15-U749))),-1E+030)</f>
        <v>-3.90209857847285</v>
      </c>
      <c r="X749" s="55" t="n">
        <f aca="false">IF(V749,IF(01_因子設定!$B$13="最大化",Q749,IF(01_因子設定!$B$13="最小化",-Q749,-ABS(Q749-01_因子設定!$B$16))),-1E+030)</f>
        <v>45.6427698863636</v>
      </c>
      <c r="Y749" s="55" t="n">
        <f aca="false">W749+ROW()*0.000000001</f>
        <v>-3.90209782947285</v>
      </c>
      <c r="Z749" s="55" t="n">
        <f aca="false">X749+ROW()*0.000000001</f>
        <v>45.6427706353636</v>
      </c>
    </row>
    <row r="750" customFormat="false" ht="15" hidden="false" customHeight="false" outlineLevel="0" collapsed="false">
      <c r="A750" s="0" t="n">
        <v>2</v>
      </c>
      <c r="B750" s="0" t="n">
        <v>9</v>
      </c>
      <c r="C750" s="0" t="n">
        <v>14</v>
      </c>
      <c r="D750" s="0" t="n">
        <f aca="false">-1+A750*0.125</f>
        <v>-0.75</v>
      </c>
      <c r="E750" s="0" t="n">
        <f aca="false">-1+B750*0.125</f>
        <v>0.125</v>
      </c>
      <c r="F750" s="0" t="n">
        <f aca="false">-1+C750*0.125</f>
        <v>0.75</v>
      </c>
      <c r="G750" s="0" t="n">
        <f aca="false">1</f>
        <v>1</v>
      </c>
      <c r="H750" s="0" t="n">
        <f aca="false">D750</f>
        <v>-0.75</v>
      </c>
      <c r="I750" s="0" t="n">
        <f aca="false">E750</f>
        <v>0.125</v>
      </c>
      <c r="J750" s="0" t="n">
        <f aca="false">F750</f>
        <v>0.75</v>
      </c>
      <c r="K750" s="0" t="n">
        <f aca="false">D750*E750</f>
        <v>-0.09375</v>
      </c>
      <c r="L750" s="0" t="n">
        <f aca="false">D750*F750</f>
        <v>-0.5625</v>
      </c>
      <c r="M750" s="0" t="n">
        <f aca="false">E750*F750</f>
        <v>0.09375</v>
      </c>
      <c r="N750" s="0" t="n">
        <f aca="false">D750*D750</f>
        <v>0.5625</v>
      </c>
      <c r="O750" s="0" t="n">
        <f aca="false">E750*E750</f>
        <v>0.015625</v>
      </c>
      <c r="P750" s="0" t="n">
        <f aca="false">F750*F750</f>
        <v>0.5625</v>
      </c>
      <c r="Q750" s="0" t="n">
        <f aca="false">SUMPRODUCT(G750:P750,_XtX!$B$71:$K$71)</f>
        <v>45.6340198863636</v>
      </c>
      <c r="R750" s="0" t="n">
        <f aca="false">SUMPRODUCT(MMULT(G750:P750,_XtX!$B$58:$K$67),G750:P750)</f>
        <v>0.309414950284091</v>
      </c>
      <c r="S750" s="0" t="n">
        <f aca="false">04_回帰ANOVA!$K$19*04_回帰ANOVA!$K$14*SQRT(1+R750)</f>
        <v>1.06391096196568</v>
      </c>
      <c r="T750" s="0" t="n">
        <f aca="false">Q750-S750</f>
        <v>44.570108924398</v>
      </c>
      <c r="U750" s="0" t="n">
        <f aca="false">Q750+S750</f>
        <v>46.6979308483293</v>
      </c>
      <c r="V750" s="54" t="b">
        <f aca="false">AND(D750&gt;=01_因子設定!$L$5-0.000000001,D750&lt;=01_因子設定!$M$5+0.000000001,E750&gt;=01_因子設定!$L$6-0.000000001,E750&lt;=01_因子設定!$M$6+0.000000001,F750&gt;=01_因子設定!$L$7-0.000000001,F750&lt;=01_因子設定!$M$7+0.000000001,IF(01_因子設定!$B$20="Box-Behnken",D750^2+E750^2+F750^2&lt;=2+0.000000001,TRUE()))</f>
        <v>1</v>
      </c>
      <c r="W750" s="55" t="n">
        <f aca="false">IF(V750,IF(01_因子設定!$B$13="最大化",T750-01_因子設定!$B$14,IF(01_因子設定!$B$13="最小化",01_因子設定!$B$15-U750,MIN(T750-01_因子設定!$B$14,01_因子設定!$B$15-U750))),-1E+030)</f>
        <v>-3.92989107560203</v>
      </c>
      <c r="X750" s="55" t="n">
        <f aca="false">IF(V750,IF(01_因子設定!$B$13="最大化",Q750,IF(01_因子設定!$B$13="最小化",-Q750,-ABS(Q750-01_因子設定!$B$16))),-1E+030)</f>
        <v>45.6340198863636</v>
      </c>
      <c r="Y750" s="55" t="n">
        <f aca="false">W750+ROW()*0.000000001</f>
        <v>-3.92989032560203</v>
      </c>
      <c r="Z750" s="55" t="n">
        <f aca="false">X750+ROW()*0.000000001</f>
        <v>45.6340206363636</v>
      </c>
    </row>
    <row r="751" customFormat="false" ht="15" hidden="false" customHeight="false" outlineLevel="0" collapsed="false">
      <c r="A751" s="0" t="n">
        <v>2</v>
      </c>
      <c r="B751" s="0" t="n">
        <v>9</v>
      </c>
      <c r="C751" s="0" t="n">
        <v>15</v>
      </c>
      <c r="D751" s="0" t="n">
        <f aca="false">-1+A751*0.125</f>
        <v>-0.75</v>
      </c>
      <c r="E751" s="0" t="n">
        <f aca="false">-1+B751*0.125</f>
        <v>0.125</v>
      </c>
      <c r="F751" s="0" t="n">
        <f aca="false">-1+C751*0.125</f>
        <v>0.875</v>
      </c>
      <c r="G751" s="0" t="n">
        <f aca="false">1</f>
        <v>1</v>
      </c>
      <c r="H751" s="0" t="n">
        <f aca="false">D751</f>
        <v>-0.75</v>
      </c>
      <c r="I751" s="0" t="n">
        <f aca="false">E751</f>
        <v>0.125</v>
      </c>
      <c r="J751" s="0" t="n">
        <f aca="false">F751</f>
        <v>0.875</v>
      </c>
      <c r="K751" s="0" t="n">
        <f aca="false">D751*E751</f>
        <v>-0.09375</v>
      </c>
      <c r="L751" s="0" t="n">
        <f aca="false">D751*F751</f>
        <v>-0.65625</v>
      </c>
      <c r="M751" s="0" t="n">
        <f aca="false">E751*F751</f>
        <v>0.109375</v>
      </c>
      <c r="N751" s="0" t="n">
        <f aca="false">D751*D751</f>
        <v>0.5625</v>
      </c>
      <c r="O751" s="0" t="n">
        <f aca="false">E751*E751</f>
        <v>0.015625</v>
      </c>
      <c r="P751" s="0" t="n">
        <f aca="false">F751*F751</f>
        <v>0.765625</v>
      </c>
      <c r="Q751" s="0" t="n">
        <f aca="false">SUMPRODUCT(G751:P751,_XtX!$B$71:$K$71)</f>
        <v>45.5884801136364</v>
      </c>
      <c r="R751" s="0" t="n">
        <f aca="false">SUMPRODUCT(MMULT(G751:P751,_XtX!$B$58:$K$67),G751:P751)</f>
        <v>0.392013827237216</v>
      </c>
      <c r="S751" s="0" t="n">
        <f aca="false">04_回帰ANOVA!$K$19*04_回帰ANOVA!$K$14*SQRT(1+R751)</f>
        <v>1.09695398627251</v>
      </c>
      <c r="T751" s="0" t="n">
        <f aca="false">Q751-S751</f>
        <v>44.4915261273639</v>
      </c>
      <c r="U751" s="0" t="n">
        <f aca="false">Q751+S751</f>
        <v>46.6854340999089</v>
      </c>
      <c r="V751" s="54" t="b">
        <f aca="false">AND(D751&gt;=01_因子設定!$L$5-0.000000001,D751&lt;=01_因子設定!$M$5+0.000000001,E751&gt;=01_因子設定!$L$6-0.000000001,E751&lt;=01_因子設定!$M$6+0.000000001,F751&gt;=01_因子設定!$L$7-0.000000001,F751&lt;=01_因子設定!$M$7+0.000000001,IF(01_因子設定!$B$20="Box-Behnken",D751^2+E751^2+F751^2&lt;=2+0.000000001,TRUE()))</f>
        <v>1</v>
      </c>
      <c r="W751" s="55" t="n">
        <f aca="false">IF(V751,IF(01_因子設定!$B$13="最大化",T751-01_因子設定!$B$14,IF(01_因子設定!$B$13="最小化",01_因子設定!$B$15-U751,MIN(T751-01_因子設定!$B$14,01_因子設定!$B$15-U751))),-1E+030)</f>
        <v>-4.00847387263614</v>
      </c>
      <c r="X751" s="55" t="n">
        <f aca="false">IF(V751,IF(01_因子設定!$B$13="最大化",Q751,IF(01_因子設定!$B$13="最小化",-Q751,-ABS(Q751-01_因子設定!$B$16))),-1E+030)</f>
        <v>45.5884801136364</v>
      </c>
      <c r="Y751" s="55" t="n">
        <f aca="false">W751+ROW()*0.000000001</f>
        <v>-4.00847312163614</v>
      </c>
      <c r="Z751" s="55" t="n">
        <f aca="false">X751+ROW()*0.000000001</f>
        <v>45.5884808646364</v>
      </c>
    </row>
    <row r="752" customFormat="false" ht="15" hidden="false" customHeight="false" outlineLevel="0" collapsed="false">
      <c r="A752" s="0" t="n">
        <v>2</v>
      </c>
      <c r="B752" s="0" t="n">
        <v>9</v>
      </c>
      <c r="C752" s="0" t="n">
        <v>16</v>
      </c>
      <c r="D752" s="0" t="n">
        <f aca="false">-1+A752*0.125</f>
        <v>-0.75</v>
      </c>
      <c r="E752" s="0" t="n">
        <f aca="false">-1+B752*0.125</f>
        <v>0.125</v>
      </c>
      <c r="F752" s="0" t="n">
        <f aca="false">-1+C752*0.125</f>
        <v>1</v>
      </c>
      <c r="G752" s="0" t="n">
        <f aca="false">1</f>
        <v>1</v>
      </c>
      <c r="H752" s="0" t="n">
        <f aca="false">D752</f>
        <v>-0.75</v>
      </c>
      <c r="I752" s="0" t="n">
        <f aca="false">E752</f>
        <v>0.125</v>
      </c>
      <c r="J752" s="0" t="n">
        <f aca="false">F752</f>
        <v>1</v>
      </c>
      <c r="K752" s="0" t="n">
        <f aca="false">D752*E752</f>
        <v>-0.09375</v>
      </c>
      <c r="L752" s="0" t="n">
        <f aca="false">D752*F752</f>
        <v>-0.75</v>
      </c>
      <c r="M752" s="0" t="n">
        <f aca="false">E752*F752</f>
        <v>0.125</v>
      </c>
      <c r="N752" s="0" t="n">
        <f aca="false">D752*D752</f>
        <v>0.5625</v>
      </c>
      <c r="O752" s="0" t="n">
        <f aca="false">E752*E752</f>
        <v>0.015625</v>
      </c>
      <c r="P752" s="0" t="n">
        <f aca="false">F752*F752</f>
        <v>1</v>
      </c>
      <c r="Q752" s="0" t="n">
        <f aca="false">SUMPRODUCT(G752:P752,_XtX!$B$71:$K$71)</f>
        <v>45.5061505681818</v>
      </c>
      <c r="R752" s="0" t="n">
        <f aca="false">SUMPRODUCT(MMULT(G752:P752,_XtX!$B$58:$K$67),G752:P752)</f>
        <v>0.524607155539773</v>
      </c>
      <c r="S752" s="0" t="n">
        <f aca="false">04_回帰ANOVA!$K$19*04_回帰ANOVA!$K$14*SQRT(1+R752)</f>
        <v>1.14800984623412</v>
      </c>
      <c r="T752" s="0" t="n">
        <f aca="false">Q752-S752</f>
        <v>44.3581407219477</v>
      </c>
      <c r="U752" s="0" t="n">
        <f aca="false">Q752+S752</f>
        <v>46.654160414416</v>
      </c>
      <c r="V752" s="54" t="b">
        <f aca="false">AND(D752&gt;=01_因子設定!$L$5-0.000000001,D752&lt;=01_因子設定!$M$5+0.000000001,E752&gt;=01_因子設定!$L$6-0.000000001,E752&lt;=01_因子設定!$M$6+0.000000001,F752&gt;=01_因子設定!$L$7-0.000000001,F752&lt;=01_因子設定!$M$7+0.000000001,IF(01_因子設定!$B$20="Box-Behnken",D752^2+E752^2+F752^2&lt;=2+0.000000001,TRUE()))</f>
        <v>1</v>
      </c>
      <c r="W752" s="55" t="n">
        <f aca="false">IF(V752,IF(01_因子設定!$B$13="最大化",T752-01_因子設定!$B$14,IF(01_因子設定!$B$13="最小化",01_因子設定!$B$15-U752,MIN(T752-01_因子設定!$B$14,01_因子設定!$B$15-U752))),-1E+030)</f>
        <v>-4.14185927805229</v>
      </c>
      <c r="X752" s="55" t="n">
        <f aca="false">IF(V752,IF(01_因子設定!$B$13="最大化",Q752,IF(01_因子設定!$B$13="最小化",-Q752,-ABS(Q752-01_因子設定!$B$16))),-1E+030)</f>
        <v>45.5061505681818</v>
      </c>
      <c r="Y752" s="55" t="n">
        <f aca="false">W752+ROW()*0.000000001</f>
        <v>-4.14185852605229</v>
      </c>
      <c r="Z752" s="55" t="n">
        <f aca="false">X752+ROW()*0.000000001</f>
        <v>45.5061513201818</v>
      </c>
    </row>
    <row r="753" customFormat="false" ht="15" hidden="false" customHeight="false" outlineLevel="0" collapsed="false">
      <c r="A753" s="0" t="n">
        <v>2</v>
      </c>
      <c r="B753" s="0" t="n">
        <v>10</v>
      </c>
      <c r="C753" s="0" t="n">
        <v>0</v>
      </c>
      <c r="D753" s="0" t="n">
        <f aca="false">-1+A753*0.125</f>
        <v>-0.75</v>
      </c>
      <c r="E753" s="0" t="n">
        <f aca="false">-1+B753*0.125</f>
        <v>0.25</v>
      </c>
      <c r="F753" s="0" t="n">
        <f aca="false">-1+C753*0.125</f>
        <v>-1</v>
      </c>
      <c r="G753" s="0" t="n">
        <f aca="false">1</f>
        <v>1</v>
      </c>
      <c r="H753" s="0" t="n">
        <f aca="false">D753</f>
        <v>-0.75</v>
      </c>
      <c r="I753" s="0" t="n">
        <f aca="false">E753</f>
        <v>0.25</v>
      </c>
      <c r="J753" s="0" t="n">
        <f aca="false">F753</f>
        <v>-1</v>
      </c>
      <c r="K753" s="0" t="n">
        <f aca="false">D753*E753</f>
        <v>-0.1875</v>
      </c>
      <c r="L753" s="0" t="n">
        <f aca="false">D753*F753</f>
        <v>0.75</v>
      </c>
      <c r="M753" s="0" t="n">
        <f aca="false">E753*F753</f>
        <v>-0.25</v>
      </c>
      <c r="N753" s="0" t="n">
        <f aca="false">D753*D753</f>
        <v>0.5625</v>
      </c>
      <c r="O753" s="0" t="n">
        <f aca="false">E753*E753</f>
        <v>0.0625</v>
      </c>
      <c r="P753" s="0" t="n">
        <f aca="false">F753*F753</f>
        <v>1</v>
      </c>
      <c r="Q753" s="0" t="n">
        <f aca="false">SUMPRODUCT(G753:P753,_XtX!$B$71:$K$71)</f>
        <v>42.4012784090909</v>
      </c>
      <c r="R753" s="0" t="n">
        <f aca="false">SUMPRODUCT(MMULT(G753:P753,_XtX!$B$58:$K$67),G753:P753)</f>
        <v>0.515545099431818</v>
      </c>
      <c r="S753" s="0" t="n">
        <f aca="false">04_回帰ANOVA!$K$19*04_回帰ANOVA!$K$14*SQRT(1+R753)</f>
        <v>1.14459295464101</v>
      </c>
      <c r="T753" s="0" t="n">
        <f aca="false">Q753-S753</f>
        <v>41.2566854544499</v>
      </c>
      <c r="U753" s="0" t="n">
        <f aca="false">Q753+S753</f>
        <v>43.5458713637319</v>
      </c>
      <c r="V753" s="54" t="b">
        <f aca="false">AND(D753&gt;=01_因子設定!$L$5-0.000000001,D753&lt;=01_因子設定!$M$5+0.000000001,E753&gt;=01_因子設定!$L$6-0.000000001,E753&lt;=01_因子設定!$M$6+0.000000001,F753&gt;=01_因子設定!$L$7-0.000000001,F753&lt;=01_因子設定!$M$7+0.000000001,IF(01_因子設定!$B$20="Box-Behnken",D753^2+E753^2+F753^2&lt;=2+0.000000001,TRUE()))</f>
        <v>1</v>
      </c>
      <c r="W753" s="55" t="n">
        <f aca="false">IF(V753,IF(01_因子設定!$B$13="最大化",T753-01_因子設定!$B$14,IF(01_因子設定!$B$13="最小化",01_因子設定!$B$15-U753,MIN(T753-01_因子設定!$B$14,01_因子設定!$B$15-U753))),-1E+030)</f>
        <v>-7.24331454555009</v>
      </c>
      <c r="X753" s="55" t="n">
        <f aca="false">IF(V753,IF(01_因子設定!$B$13="最大化",Q753,IF(01_因子設定!$B$13="最小化",-Q753,-ABS(Q753-01_因子設定!$B$16))),-1E+030)</f>
        <v>42.4012784090909</v>
      </c>
      <c r="Y753" s="55" t="n">
        <f aca="false">W753+ROW()*0.000000001</f>
        <v>-7.24331379255009</v>
      </c>
      <c r="Z753" s="55" t="n">
        <f aca="false">X753+ROW()*0.000000001</f>
        <v>42.4012791620909</v>
      </c>
    </row>
    <row r="754" customFormat="false" ht="15" hidden="false" customHeight="false" outlineLevel="0" collapsed="false">
      <c r="A754" s="0" t="n">
        <v>2</v>
      </c>
      <c r="B754" s="0" t="n">
        <v>10</v>
      </c>
      <c r="C754" s="0" t="n">
        <v>1</v>
      </c>
      <c r="D754" s="0" t="n">
        <f aca="false">-1+A754*0.125</f>
        <v>-0.75</v>
      </c>
      <c r="E754" s="0" t="n">
        <f aca="false">-1+B754*0.125</f>
        <v>0.25</v>
      </c>
      <c r="F754" s="0" t="n">
        <f aca="false">-1+C754*0.125</f>
        <v>-0.875</v>
      </c>
      <c r="G754" s="0" t="n">
        <f aca="false">1</f>
        <v>1</v>
      </c>
      <c r="H754" s="0" t="n">
        <f aca="false">D754</f>
        <v>-0.75</v>
      </c>
      <c r="I754" s="0" t="n">
        <f aca="false">E754</f>
        <v>0.25</v>
      </c>
      <c r="J754" s="0" t="n">
        <f aca="false">F754</f>
        <v>-0.875</v>
      </c>
      <c r="K754" s="0" t="n">
        <f aca="false">D754*E754</f>
        <v>-0.1875</v>
      </c>
      <c r="L754" s="0" t="n">
        <f aca="false">D754*F754</f>
        <v>0.65625</v>
      </c>
      <c r="M754" s="0" t="n">
        <f aca="false">E754*F754</f>
        <v>-0.21875</v>
      </c>
      <c r="N754" s="0" t="n">
        <f aca="false">D754*D754</f>
        <v>0.5625</v>
      </c>
      <c r="O754" s="0" t="n">
        <f aca="false">E754*E754</f>
        <v>0.0625</v>
      </c>
      <c r="P754" s="0" t="n">
        <f aca="false">F754*F754</f>
        <v>0.765625</v>
      </c>
      <c r="Q754" s="0" t="n">
        <f aca="false">SUMPRODUCT(G754:P754,_XtX!$B$71:$K$71)</f>
        <v>42.8778267045455</v>
      </c>
      <c r="R754" s="0" t="n">
        <f aca="false">SUMPRODUCT(MMULT(G754:P754,_XtX!$B$58:$K$67),G754:P754)</f>
        <v>0.384574751420455</v>
      </c>
      <c r="S754" s="0" t="n">
        <f aca="false">04_回帰ANOVA!$K$19*04_回帰ANOVA!$K$14*SQRT(1+R754)</f>
        <v>1.0940189380139</v>
      </c>
      <c r="T754" s="0" t="n">
        <f aca="false">Q754-S754</f>
        <v>41.7838077665316</v>
      </c>
      <c r="U754" s="0" t="n">
        <f aca="false">Q754+S754</f>
        <v>43.9718456425594</v>
      </c>
      <c r="V754" s="54" t="b">
        <f aca="false">AND(D754&gt;=01_因子設定!$L$5-0.000000001,D754&lt;=01_因子設定!$M$5+0.000000001,E754&gt;=01_因子設定!$L$6-0.000000001,E754&lt;=01_因子設定!$M$6+0.000000001,F754&gt;=01_因子設定!$L$7-0.000000001,F754&lt;=01_因子設定!$M$7+0.000000001,IF(01_因子設定!$B$20="Box-Behnken",D754^2+E754^2+F754^2&lt;=2+0.000000001,TRUE()))</f>
        <v>1</v>
      </c>
      <c r="W754" s="55" t="n">
        <f aca="false">IF(V754,IF(01_因子設定!$B$13="最大化",T754-01_因子設定!$B$14,IF(01_因子設定!$B$13="最小化",01_因子設定!$B$15-U754,MIN(T754-01_因子設定!$B$14,01_因子設定!$B$15-U754))),-1E+030)</f>
        <v>-6.71619223346843</v>
      </c>
      <c r="X754" s="55" t="n">
        <f aca="false">IF(V754,IF(01_因子設定!$B$13="最大化",Q754,IF(01_因子設定!$B$13="最小化",-Q754,-ABS(Q754-01_因子設定!$B$16))),-1E+030)</f>
        <v>42.8778267045455</v>
      </c>
      <c r="Y754" s="55" t="n">
        <f aca="false">W754+ROW()*0.000000001</f>
        <v>-6.71619147946843</v>
      </c>
      <c r="Z754" s="55" t="n">
        <f aca="false">X754+ROW()*0.000000001</f>
        <v>42.8778274585455</v>
      </c>
    </row>
    <row r="755" customFormat="false" ht="15" hidden="false" customHeight="false" outlineLevel="0" collapsed="false">
      <c r="A755" s="0" t="n">
        <v>2</v>
      </c>
      <c r="B755" s="0" t="n">
        <v>10</v>
      </c>
      <c r="C755" s="0" t="n">
        <v>2</v>
      </c>
      <c r="D755" s="0" t="n">
        <f aca="false">-1+A755*0.125</f>
        <v>-0.75</v>
      </c>
      <c r="E755" s="0" t="n">
        <f aca="false">-1+B755*0.125</f>
        <v>0.25</v>
      </c>
      <c r="F755" s="0" t="n">
        <f aca="false">-1+C755*0.125</f>
        <v>-0.75</v>
      </c>
      <c r="G755" s="0" t="n">
        <f aca="false">1</f>
        <v>1</v>
      </c>
      <c r="H755" s="0" t="n">
        <f aca="false">D755</f>
        <v>-0.75</v>
      </c>
      <c r="I755" s="0" t="n">
        <f aca="false">E755</f>
        <v>0.25</v>
      </c>
      <c r="J755" s="0" t="n">
        <f aca="false">F755</f>
        <v>-0.75</v>
      </c>
      <c r="K755" s="0" t="n">
        <f aca="false">D755*E755</f>
        <v>-0.1875</v>
      </c>
      <c r="L755" s="0" t="n">
        <f aca="false">D755*F755</f>
        <v>0.5625</v>
      </c>
      <c r="M755" s="0" t="n">
        <f aca="false">E755*F755</f>
        <v>-0.1875</v>
      </c>
      <c r="N755" s="0" t="n">
        <f aca="false">D755*D755</f>
        <v>0.5625</v>
      </c>
      <c r="O755" s="0" t="n">
        <f aca="false">E755*E755</f>
        <v>0.0625</v>
      </c>
      <c r="P755" s="0" t="n">
        <f aca="false">F755*F755</f>
        <v>0.5625</v>
      </c>
      <c r="Q755" s="0" t="n">
        <f aca="false">SUMPRODUCT(G755:P755,_XtX!$B$71:$K$71)</f>
        <v>43.3175852272727</v>
      </c>
      <c r="R755" s="0" t="n">
        <f aca="false">SUMPRODUCT(MMULT(G755:P755,_XtX!$B$58:$K$67),G755:P755)</f>
        <v>0.303382457386364</v>
      </c>
      <c r="S755" s="0" t="n">
        <f aca="false">04_回帰ANOVA!$K$19*04_回帰ANOVA!$K$14*SQRT(1+R755)</f>
        <v>1.06145740650883</v>
      </c>
      <c r="T755" s="0" t="n">
        <f aca="false">Q755-S755</f>
        <v>42.2561278207639</v>
      </c>
      <c r="U755" s="0" t="n">
        <f aca="false">Q755+S755</f>
        <v>44.3790426337816</v>
      </c>
      <c r="V755" s="54" t="b">
        <f aca="false">AND(D755&gt;=01_因子設定!$L$5-0.000000001,D755&lt;=01_因子設定!$M$5+0.000000001,E755&gt;=01_因子設定!$L$6-0.000000001,E755&lt;=01_因子設定!$M$6+0.000000001,F755&gt;=01_因子設定!$L$7-0.000000001,F755&lt;=01_因子設定!$M$7+0.000000001,IF(01_因子設定!$B$20="Box-Behnken",D755^2+E755^2+F755^2&lt;=2+0.000000001,TRUE()))</f>
        <v>1</v>
      </c>
      <c r="W755" s="55" t="n">
        <f aca="false">IF(V755,IF(01_因子設定!$B$13="最大化",T755-01_因子設定!$B$14,IF(01_因子設定!$B$13="最小化",01_因子設定!$B$15-U755,MIN(T755-01_因子設定!$B$14,01_因子設定!$B$15-U755))),-1E+030)</f>
        <v>-6.2438721792361</v>
      </c>
      <c r="X755" s="55" t="n">
        <f aca="false">IF(V755,IF(01_因子設定!$B$13="最大化",Q755,IF(01_因子設定!$B$13="最小化",-Q755,-ABS(Q755-01_因子設定!$B$16))),-1E+030)</f>
        <v>43.3175852272727</v>
      </c>
      <c r="Y755" s="55" t="n">
        <f aca="false">W755+ROW()*0.000000001</f>
        <v>-6.2438714242361</v>
      </c>
      <c r="Z755" s="55" t="n">
        <f aca="false">X755+ROW()*0.000000001</f>
        <v>43.3175859822727</v>
      </c>
    </row>
    <row r="756" customFormat="false" ht="15" hidden="false" customHeight="false" outlineLevel="0" collapsed="false">
      <c r="A756" s="0" t="n">
        <v>2</v>
      </c>
      <c r="B756" s="0" t="n">
        <v>10</v>
      </c>
      <c r="C756" s="0" t="n">
        <v>3</v>
      </c>
      <c r="D756" s="0" t="n">
        <f aca="false">-1+A756*0.125</f>
        <v>-0.75</v>
      </c>
      <c r="E756" s="0" t="n">
        <f aca="false">-1+B756*0.125</f>
        <v>0.25</v>
      </c>
      <c r="F756" s="0" t="n">
        <f aca="false">-1+C756*0.125</f>
        <v>-0.625</v>
      </c>
      <c r="G756" s="0" t="n">
        <f aca="false">1</f>
        <v>1</v>
      </c>
      <c r="H756" s="0" t="n">
        <f aca="false">D756</f>
        <v>-0.75</v>
      </c>
      <c r="I756" s="0" t="n">
        <f aca="false">E756</f>
        <v>0.25</v>
      </c>
      <c r="J756" s="0" t="n">
        <f aca="false">F756</f>
        <v>-0.625</v>
      </c>
      <c r="K756" s="0" t="n">
        <f aca="false">D756*E756</f>
        <v>-0.1875</v>
      </c>
      <c r="L756" s="0" t="n">
        <f aca="false">D756*F756</f>
        <v>0.46875</v>
      </c>
      <c r="M756" s="0" t="n">
        <f aca="false">E756*F756</f>
        <v>-0.15625</v>
      </c>
      <c r="N756" s="0" t="n">
        <f aca="false">D756*D756</f>
        <v>0.5625</v>
      </c>
      <c r="O756" s="0" t="n">
        <f aca="false">E756*E756</f>
        <v>0.0625</v>
      </c>
      <c r="P756" s="0" t="n">
        <f aca="false">F756*F756</f>
        <v>0.390625</v>
      </c>
      <c r="Q756" s="0" t="n">
        <f aca="false">SUMPRODUCT(G756:P756,_XtX!$B$71:$K$71)</f>
        <v>43.7205539772727</v>
      </c>
      <c r="R756" s="0" t="n">
        <f aca="false">SUMPRODUCT(MMULT(G756:P756,_XtX!$B$58:$K$67),G756:P756)</f>
        <v>0.258118785511364</v>
      </c>
      <c r="S756" s="0" t="n">
        <f aca="false">04_回帰ANOVA!$K$19*04_回帰ANOVA!$K$14*SQRT(1+R756)</f>
        <v>1.04286348094876</v>
      </c>
      <c r="T756" s="0" t="n">
        <f aca="false">Q756-S756</f>
        <v>42.677690496324</v>
      </c>
      <c r="U756" s="0" t="n">
        <f aca="false">Q756+S756</f>
        <v>44.7634174582215</v>
      </c>
      <c r="V756" s="54" t="b">
        <f aca="false">AND(D756&gt;=01_因子設定!$L$5-0.000000001,D756&lt;=01_因子設定!$M$5+0.000000001,E756&gt;=01_因子設定!$L$6-0.000000001,E756&lt;=01_因子設定!$M$6+0.000000001,F756&gt;=01_因子設定!$L$7-0.000000001,F756&lt;=01_因子設定!$M$7+0.000000001,IF(01_因子設定!$B$20="Box-Behnken",D756^2+E756^2+F756^2&lt;=2+0.000000001,TRUE()))</f>
        <v>1</v>
      </c>
      <c r="W756" s="55" t="n">
        <f aca="false">IF(V756,IF(01_因子設定!$B$13="最大化",T756-01_因子設定!$B$14,IF(01_因子設定!$B$13="最小化",01_因子設定!$B$15-U756,MIN(T756-01_因子設定!$B$14,01_因子設定!$B$15-U756))),-1E+030)</f>
        <v>-5.82230950367603</v>
      </c>
      <c r="X756" s="55" t="n">
        <f aca="false">IF(V756,IF(01_因子設定!$B$13="最大化",Q756,IF(01_因子設定!$B$13="最小化",-Q756,-ABS(Q756-01_因子設定!$B$16))),-1E+030)</f>
        <v>43.7205539772727</v>
      </c>
      <c r="Y756" s="55" t="n">
        <f aca="false">W756+ROW()*0.000000001</f>
        <v>-5.82230874767603</v>
      </c>
      <c r="Z756" s="55" t="n">
        <f aca="false">X756+ROW()*0.000000001</f>
        <v>43.7205547332727</v>
      </c>
    </row>
    <row r="757" customFormat="false" ht="15" hidden="false" customHeight="false" outlineLevel="0" collapsed="false">
      <c r="A757" s="0" t="n">
        <v>2</v>
      </c>
      <c r="B757" s="0" t="n">
        <v>10</v>
      </c>
      <c r="C757" s="0" t="n">
        <v>4</v>
      </c>
      <c r="D757" s="0" t="n">
        <f aca="false">-1+A757*0.125</f>
        <v>-0.75</v>
      </c>
      <c r="E757" s="0" t="n">
        <f aca="false">-1+B757*0.125</f>
        <v>0.25</v>
      </c>
      <c r="F757" s="0" t="n">
        <f aca="false">-1+C757*0.125</f>
        <v>-0.5</v>
      </c>
      <c r="G757" s="0" t="n">
        <f aca="false">1</f>
        <v>1</v>
      </c>
      <c r="H757" s="0" t="n">
        <f aca="false">D757</f>
        <v>-0.75</v>
      </c>
      <c r="I757" s="0" t="n">
        <f aca="false">E757</f>
        <v>0.25</v>
      </c>
      <c r="J757" s="0" t="n">
        <f aca="false">F757</f>
        <v>-0.5</v>
      </c>
      <c r="K757" s="0" t="n">
        <f aca="false">D757*E757</f>
        <v>-0.1875</v>
      </c>
      <c r="L757" s="0" t="n">
        <f aca="false">D757*F757</f>
        <v>0.375</v>
      </c>
      <c r="M757" s="0" t="n">
        <f aca="false">E757*F757</f>
        <v>-0.125</v>
      </c>
      <c r="N757" s="0" t="n">
        <f aca="false">D757*D757</f>
        <v>0.5625</v>
      </c>
      <c r="O757" s="0" t="n">
        <f aca="false">E757*E757</f>
        <v>0.0625</v>
      </c>
      <c r="P757" s="0" t="n">
        <f aca="false">F757*F757</f>
        <v>0.25</v>
      </c>
      <c r="Q757" s="0" t="n">
        <f aca="false">SUMPRODUCT(G757:P757,_XtX!$B$71:$K$71)</f>
        <v>44.0867329545455</v>
      </c>
      <c r="R757" s="0" t="n">
        <f aca="false">SUMPRODUCT(MMULT(G757:P757,_XtX!$B$58:$K$67),G757:P757)</f>
        <v>0.237064985795455</v>
      </c>
      <c r="S757" s="0" t="n">
        <f aca="false">04_回帰ANOVA!$K$19*04_回帰ANOVA!$K$14*SQRT(1+R757)</f>
        <v>1.03410084594745</v>
      </c>
      <c r="T757" s="0" t="n">
        <f aca="false">Q757-S757</f>
        <v>43.052632108598</v>
      </c>
      <c r="U757" s="0" t="n">
        <f aca="false">Q757+S757</f>
        <v>45.1208338004929</v>
      </c>
      <c r="V757" s="54" t="b">
        <f aca="false">AND(D757&gt;=01_因子設定!$L$5-0.000000001,D757&lt;=01_因子設定!$M$5+0.000000001,E757&gt;=01_因子設定!$L$6-0.000000001,E757&lt;=01_因子設定!$M$6+0.000000001,F757&gt;=01_因子設定!$L$7-0.000000001,F757&lt;=01_因子設定!$M$7+0.000000001,IF(01_因子設定!$B$20="Box-Behnken",D757^2+E757^2+F757^2&lt;=2+0.000000001,TRUE()))</f>
        <v>1</v>
      </c>
      <c r="W757" s="55" t="n">
        <f aca="false">IF(V757,IF(01_因子設定!$B$13="最大化",T757-01_因子設定!$B$14,IF(01_因子設定!$B$13="最小化",01_因子設定!$B$15-U757,MIN(T757-01_因子設定!$B$14,01_因子設定!$B$15-U757))),-1E+030)</f>
        <v>-5.44736789140199</v>
      </c>
      <c r="X757" s="55" t="n">
        <f aca="false">IF(V757,IF(01_因子設定!$B$13="最大化",Q757,IF(01_因子設定!$B$13="最小化",-Q757,-ABS(Q757-01_因子設定!$B$16))),-1E+030)</f>
        <v>44.0867329545455</v>
      </c>
      <c r="Y757" s="55" t="n">
        <f aca="false">W757+ROW()*0.000000001</f>
        <v>-5.44736713440199</v>
      </c>
      <c r="Z757" s="55" t="n">
        <f aca="false">X757+ROW()*0.000000001</f>
        <v>44.0867337115455</v>
      </c>
    </row>
    <row r="758" customFormat="false" ht="15" hidden="false" customHeight="false" outlineLevel="0" collapsed="false">
      <c r="A758" s="0" t="n">
        <v>2</v>
      </c>
      <c r="B758" s="0" t="n">
        <v>10</v>
      </c>
      <c r="C758" s="0" t="n">
        <v>5</v>
      </c>
      <c r="D758" s="0" t="n">
        <f aca="false">-1+A758*0.125</f>
        <v>-0.75</v>
      </c>
      <c r="E758" s="0" t="n">
        <f aca="false">-1+B758*0.125</f>
        <v>0.25</v>
      </c>
      <c r="F758" s="0" t="n">
        <f aca="false">-1+C758*0.125</f>
        <v>-0.375</v>
      </c>
      <c r="G758" s="0" t="n">
        <f aca="false">1</f>
        <v>1</v>
      </c>
      <c r="H758" s="0" t="n">
        <f aca="false">D758</f>
        <v>-0.75</v>
      </c>
      <c r="I758" s="0" t="n">
        <f aca="false">E758</f>
        <v>0.25</v>
      </c>
      <c r="J758" s="0" t="n">
        <f aca="false">F758</f>
        <v>-0.375</v>
      </c>
      <c r="K758" s="0" t="n">
        <f aca="false">D758*E758</f>
        <v>-0.1875</v>
      </c>
      <c r="L758" s="0" t="n">
        <f aca="false">D758*F758</f>
        <v>0.28125</v>
      </c>
      <c r="M758" s="0" t="n">
        <f aca="false">E758*F758</f>
        <v>-0.09375</v>
      </c>
      <c r="N758" s="0" t="n">
        <f aca="false">D758*D758</f>
        <v>0.5625</v>
      </c>
      <c r="O758" s="0" t="n">
        <f aca="false">E758*E758</f>
        <v>0.0625</v>
      </c>
      <c r="P758" s="0" t="n">
        <f aca="false">F758*F758</f>
        <v>0.140625</v>
      </c>
      <c r="Q758" s="0" t="n">
        <f aca="false">SUMPRODUCT(G758:P758,_XtX!$B$71:$K$71)</f>
        <v>44.4161221590909</v>
      </c>
      <c r="R758" s="0" t="n">
        <f aca="false">SUMPRODUCT(MMULT(G758:P758,_XtX!$B$58:$K$67),G758:P758)</f>
        <v>0.230632990056818</v>
      </c>
      <c r="S758" s="0" t="n">
        <f aca="false">04_回帰ANOVA!$K$19*04_回帰ANOVA!$K$14*SQRT(1+R758)</f>
        <v>1.03140899038819</v>
      </c>
      <c r="T758" s="0" t="n">
        <f aca="false">Q758-S758</f>
        <v>43.3847131687027</v>
      </c>
      <c r="U758" s="0" t="n">
        <f aca="false">Q758+S758</f>
        <v>45.4475311494791</v>
      </c>
      <c r="V758" s="54" t="b">
        <f aca="false">AND(D758&gt;=01_因子設定!$L$5-0.000000001,D758&lt;=01_因子設定!$M$5+0.000000001,E758&gt;=01_因子設定!$L$6-0.000000001,E758&lt;=01_因子設定!$M$6+0.000000001,F758&gt;=01_因子設定!$L$7-0.000000001,F758&lt;=01_因子設定!$M$7+0.000000001,IF(01_因子設定!$B$20="Box-Behnken",D758^2+E758^2+F758^2&lt;=2+0.000000001,TRUE()))</f>
        <v>1</v>
      </c>
      <c r="W758" s="55" t="n">
        <f aca="false">IF(V758,IF(01_因子設定!$B$13="最大化",T758-01_因子設定!$B$14,IF(01_因子設定!$B$13="最小化",01_因子設定!$B$15-U758,MIN(T758-01_因子設定!$B$14,01_因子設定!$B$15-U758))),-1E+030)</f>
        <v>-5.11528683129728</v>
      </c>
      <c r="X758" s="55" t="n">
        <f aca="false">IF(V758,IF(01_因子設定!$B$13="最大化",Q758,IF(01_因子設定!$B$13="最小化",-Q758,-ABS(Q758-01_因子設定!$B$16))),-1E+030)</f>
        <v>44.4161221590909</v>
      </c>
      <c r="Y758" s="55" t="n">
        <f aca="false">W758+ROW()*0.000000001</f>
        <v>-5.11528607329728</v>
      </c>
      <c r="Z758" s="55" t="n">
        <f aca="false">X758+ROW()*0.000000001</f>
        <v>44.4161229170909</v>
      </c>
    </row>
    <row r="759" customFormat="false" ht="15" hidden="false" customHeight="false" outlineLevel="0" collapsed="false">
      <c r="A759" s="0" t="n">
        <v>2</v>
      </c>
      <c r="B759" s="0" t="n">
        <v>10</v>
      </c>
      <c r="C759" s="0" t="n">
        <v>6</v>
      </c>
      <c r="D759" s="0" t="n">
        <f aca="false">-1+A759*0.125</f>
        <v>-0.75</v>
      </c>
      <c r="E759" s="0" t="n">
        <f aca="false">-1+B759*0.125</f>
        <v>0.25</v>
      </c>
      <c r="F759" s="0" t="n">
        <f aca="false">-1+C759*0.125</f>
        <v>-0.25</v>
      </c>
      <c r="G759" s="0" t="n">
        <f aca="false">1</f>
        <v>1</v>
      </c>
      <c r="H759" s="0" t="n">
        <f aca="false">D759</f>
        <v>-0.75</v>
      </c>
      <c r="I759" s="0" t="n">
        <f aca="false">E759</f>
        <v>0.25</v>
      </c>
      <c r="J759" s="0" t="n">
        <f aca="false">F759</f>
        <v>-0.25</v>
      </c>
      <c r="K759" s="0" t="n">
        <f aca="false">D759*E759</f>
        <v>-0.1875</v>
      </c>
      <c r="L759" s="0" t="n">
        <f aca="false">D759*F759</f>
        <v>0.1875</v>
      </c>
      <c r="M759" s="0" t="n">
        <f aca="false">E759*F759</f>
        <v>-0.0625</v>
      </c>
      <c r="N759" s="0" t="n">
        <f aca="false">D759*D759</f>
        <v>0.5625</v>
      </c>
      <c r="O759" s="0" t="n">
        <f aca="false">E759*E759</f>
        <v>0.0625</v>
      </c>
      <c r="P759" s="0" t="n">
        <f aca="false">F759*F759</f>
        <v>0.0625</v>
      </c>
      <c r="Q759" s="0" t="n">
        <f aca="false">SUMPRODUCT(G759:P759,_XtX!$B$71:$K$71)</f>
        <v>44.7087215909091</v>
      </c>
      <c r="R759" s="0" t="n">
        <f aca="false">SUMPRODUCT(MMULT(G759:P759,_XtX!$B$58:$K$67),G759:P759)</f>
        <v>0.231365411931818</v>
      </c>
      <c r="S759" s="0" t="n">
        <f aca="false">04_回帰ANOVA!$K$19*04_回帰ANOVA!$K$14*SQRT(1+R759)</f>
        <v>1.03171587072803</v>
      </c>
      <c r="T759" s="0" t="n">
        <f aca="false">Q759-S759</f>
        <v>43.6770057201811</v>
      </c>
      <c r="U759" s="0" t="n">
        <f aca="false">Q759+S759</f>
        <v>45.7404374616371</v>
      </c>
      <c r="V759" s="54" t="b">
        <f aca="false">AND(D759&gt;=01_因子設定!$L$5-0.000000001,D759&lt;=01_因子設定!$M$5+0.000000001,E759&gt;=01_因子設定!$L$6-0.000000001,E759&lt;=01_因子設定!$M$6+0.000000001,F759&gt;=01_因子設定!$L$7-0.000000001,F759&lt;=01_因子設定!$M$7+0.000000001,IF(01_因子設定!$B$20="Box-Behnken",D759^2+E759^2+F759^2&lt;=2+0.000000001,TRUE()))</f>
        <v>1</v>
      </c>
      <c r="W759" s="55" t="n">
        <f aca="false">IF(V759,IF(01_因子設定!$B$13="最大化",T759-01_因子設定!$B$14,IF(01_因子設定!$B$13="最小化",01_因子設定!$B$15-U759,MIN(T759-01_因子設定!$B$14,01_因子設定!$B$15-U759))),-1E+030)</f>
        <v>-4.82299427981894</v>
      </c>
      <c r="X759" s="55" t="n">
        <f aca="false">IF(V759,IF(01_因子設定!$B$13="最大化",Q759,IF(01_因子設定!$B$13="最小化",-Q759,-ABS(Q759-01_因子設定!$B$16))),-1E+030)</f>
        <v>44.7087215909091</v>
      </c>
      <c r="Y759" s="55" t="n">
        <f aca="false">W759+ROW()*0.000000001</f>
        <v>-4.82299352081894</v>
      </c>
      <c r="Z759" s="55" t="n">
        <f aca="false">X759+ROW()*0.000000001</f>
        <v>44.7087223499091</v>
      </c>
    </row>
    <row r="760" customFormat="false" ht="15" hidden="false" customHeight="false" outlineLevel="0" collapsed="false">
      <c r="A760" s="0" t="n">
        <v>2</v>
      </c>
      <c r="B760" s="0" t="n">
        <v>10</v>
      </c>
      <c r="C760" s="0" t="n">
        <v>7</v>
      </c>
      <c r="D760" s="0" t="n">
        <f aca="false">-1+A760*0.125</f>
        <v>-0.75</v>
      </c>
      <c r="E760" s="0" t="n">
        <f aca="false">-1+B760*0.125</f>
        <v>0.25</v>
      </c>
      <c r="F760" s="0" t="n">
        <f aca="false">-1+C760*0.125</f>
        <v>-0.125</v>
      </c>
      <c r="G760" s="0" t="n">
        <f aca="false">1</f>
        <v>1</v>
      </c>
      <c r="H760" s="0" t="n">
        <f aca="false">D760</f>
        <v>-0.75</v>
      </c>
      <c r="I760" s="0" t="n">
        <f aca="false">E760</f>
        <v>0.25</v>
      </c>
      <c r="J760" s="0" t="n">
        <f aca="false">F760</f>
        <v>-0.125</v>
      </c>
      <c r="K760" s="0" t="n">
        <f aca="false">D760*E760</f>
        <v>-0.1875</v>
      </c>
      <c r="L760" s="0" t="n">
        <f aca="false">D760*F760</f>
        <v>0.09375</v>
      </c>
      <c r="M760" s="0" t="n">
        <f aca="false">E760*F760</f>
        <v>-0.03125</v>
      </c>
      <c r="N760" s="0" t="n">
        <f aca="false">D760*D760</f>
        <v>0.5625</v>
      </c>
      <c r="O760" s="0" t="n">
        <f aca="false">E760*E760</f>
        <v>0.0625</v>
      </c>
      <c r="P760" s="0" t="n">
        <f aca="false">F760*F760</f>
        <v>0.015625</v>
      </c>
      <c r="Q760" s="0" t="n">
        <f aca="false">SUMPRODUCT(G760:P760,_XtX!$B$71:$K$71)</f>
        <v>44.96453125</v>
      </c>
      <c r="R760" s="0" t="n">
        <f aca="false">SUMPRODUCT(MMULT(G760:P760,_XtX!$B$58:$K$67),G760:P760)</f>
        <v>0.233935546875</v>
      </c>
      <c r="S760" s="0" t="n">
        <f aca="false">04_回帰ANOVA!$K$19*04_回帰ANOVA!$K$14*SQRT(1+R760)</f>
        <v>1.03279202033444</v>
      </c>
      <c r="T760" s="0" t="n">
        <f aca="false">Q760-S760</f>
        <v>43.9317392296656</v>
      </c>
      <c r="U760" s="0" t="n">
        <f aca="false">Q760+S760</f>
        <v>45.9973232703344</v>
      </c>
      <c r="V760" s="54" t="b">
        <f aca="false">AND(D760&gt;=01_因子設定!$L$5-0.000000001,D760&lt;=01_因子設定!$M$5+0.000000001,E760&gt;=01_因子設定!$L$6-0.000000001,E760&lt;=01_因子設定!$M$6+0.000000001,F760&gt;=01_因子設定!$L$7-0.000000001,F760&lt;=01_因子設定!$M$7+0.000000001,IF(01_因子設定!$B$20="Box-Behnken",D760^2+E760^2+F760^2&lt;=2+0.000000001,TRUE()))</f>
        <v>1</v>
      </c>
      <c r="W760" s="55" t="n">
        <f aca="false">IF(V760,IF(01_因子設定!$B$13="最大化",T760-01_因子設定!$B$14,IF(01_因子設定!$B$13="最小化",01_因子設定!$B$15-U760,MIN(T760-01_因子設定!$B$14,01_因子設定!$B$15-U760))),-1E+030)</f>
        <v>-4.56826077033444</v>
      </c>
      <c r="X760" s="55" t="n">
        <f aca="false">IF(V760,IF(01_因子設定!$B$13="最大化",Q760,IF(01_因子設定!$B$13="最小化",-Q760,-ABS(Q760-01_因子設定!$B$16))),-1E+030)</f>
        <v>44.96453125</v>
      </c>
      <c r="Y760" s="55" t="n">
        <f aca="false">W760+ROW()*0.000000001</f>
        <v>-4.56826001033444</v>
      </c>
      <c r="Z760" s="55" t="n">
        <f aca="false">X760+ROW()*0.000000001</f>
        <v>44.96453201</v>
      </c>
    </row>
    <row r="761" customFormat="false" ht="15" hidden="false" customHeight="false" outlineLevel="0" collapsed="false">
      <c r="A761" s="0" t="n">
        <v>2</v>
      </c>
      <c r="B761" s="0" t="n">
        <v>10</v>
      </c>
      <c r="C761" s="0" t="n">
        <v>8</v>
      </c>
      <c r="D761" s="0" t="n">
        <f aca="false">-1+A761*0.125</f>
        <v>-0.75</v>
      </c>
      <c r="E761" s="0" t="n">
        <f aca="false">-1+B761*0.125</f>
        <v>0.25</v>
      </c>
      <c r="F761" s="0" t="n">
        <f aca="false">-1+C761*0.125</f>
        <v>0</v>
      </c>
      <c r="G761" s="0" t="n">
        <f aca="false">1</f>
        <v>1</v>
      </c>
      <c r="H761" s="0" t="n">
        <f aca="false">D761</f>
        <v>-0.75</v>
      </c>
      <c r="I761" s="0" t="n">
        <f aca="false">E761</f>
        <v>0.25</v>
      </c>
      <c r="J761" s="0" t="n">
        <f aca="false">F761</f>
        <v>0</v>
      </c>
      <c r="K761" s="0" t="n">
        <f aca="false">D761*E761</f>
        <v>-0.1875</v>
      </c>
      <c r="L761" s="0" t="n">
        <f aca="false">D761*F761</f>
        <v>-0</v>
      </c>
      <c r="M761" s="0" t="n">
        <f aca="false">E761*F761</f>
        <v>0</v>
      </c>
      <c r="N761" s="0" t="n">
        <f aca="false">D761*D761</f>
        <v>0.5625</v>
      </c>
      <c r="O761" s="0" t="n">
        <f aca="false">E761*E761</f>
        <v>0.0625</v>
      </c>
      <c r="P761" s="0" t="n">
        <f aca="false">F761*F761</f>
        <v>0</v>
      </c>
      <c r="Q761" s="0" t="n">
        <f aca="false">SUMPRODUCT(G761:P761,_XtX!$B$71:$K$71)</f>
        <v>45.1835511363636</v>
      </c>
      <c r="R761" s="0" t="n">
        <f aca="false">SUMPRODUCT(MMULT(G761:P761,_XtX!$B$58:$K$67),G761:P761)</f>
        <v>0.235147372159091</v>
      </c>
      <c r="S761" s="0" t="n">
        <f aca="false">04_回帰ANOVA!$K$19*04_回帰ANOVA!$K$14*SQRT(1+R761)</f>
        <v>1.03329903885461</v>
      </c>
      <c r="T761" s="0" t="n">
        <f aca="false">Q761-S761</f>
        <v>44.150252097509</v>
      </c>
      <c r="U761" s="0" t="n">
        <f aca="false">Q761+S761</f>
        <v>46.2168501752182</v>
      </c>
      <c r="V761" s="54" t="b">
        <f aca="false">AND(D761&gt;=01_因子設定!$L$5-0.000000001,D761&lt;=01_因子設定!$M$5+0.000000001,E761&gt;=01_因子設定!$L$6-0.000000001,E761&lt;=01_因子設定!$M$6+0.000000001,F761&gt;=01_因子設定!$L$7-0.000000001,F761&lt;=01_因子設定!$M$7+0.000000001,IF(01_因子設定!$B$20="Box-Behnken",D761^2+E761^2+F761^2&lt;=2+0.000000001,TRUE()))</f>
        <v>1</v>
      </c>
      <c r="W761" s="55" t="n">
        <f aca="false">IF(V761,IF(01_因子設定!$B$13="最大化",T761-01_因子設定!$B$14,IF(01_因子設定!$B$13="最小化",01_因子設定!$B$15-U761,MIN(T761-01_因子設定!$B$14,01_因子設定!$B$15-U761))),-1E+030)</f>
        <v>-4.34974790249098</v>
      </c>
      <c r="X761" s="55" t="n">
        <f aca="false">IF(V761,IF(01_因子設定!$B$13="最大化",Q761,IF(01_因子設定!$B$13="最小化",-Q761,-ABS(Q761-01_因子設定!$B$16))),-1E+030)</f>
        <v>45.1835511363636</v>
      </c>
      <c r="Y761" s="55" t="n">
        <f aca="false">W761+ROW()*0.000000001</f>
        <v>-4.34974714149098</v>
      </c>
      <c r="Z761" s="55" t="n">
        <f aca="false">X761+ROW()*0.000000001</f>
        <v>45.1835518973636</v>
      </c>
    </row>
    <row r="762" customFormat="false" ht="15" hidden="false" customHeight="false" outlineLevel="0" collapsed="false">
      <c r="A762" s="0" t="n">
        <v>2</v>
      </c>
      <c r="B762" s="0" t="n">
        <v>10</v>
      </c>
      <c r="C762" s="0" t="n">
        <v>9</v>
      </c>
      <c r="D762" s="0" t="n">
        <f aca="false">-1+A762*0.125</f>
        <v>-0.75</v>
      </c>
      <c r="E762" s="0" t="n">
        <f aca="false">-1+B762*0.125</f>
        <v>0.25</v>
      </c>
      <c r="F762" s="0" t="n">
        <f aca="false">-1+C762*0.125</f>
        <v>0.125</v>
      </c>
      <c r="G762" s="0" t="n">
        <f aca="false">1</f>
        <v>1</v>
      </c>
      <c r="H762" s="0" t="n">
        <f aca="false">D762</f>
        <v>-0.75</v>
      </c>
      <c r="I762" s="0" t="n">
        <f aca="false">E762</f>
        <v>0.25</v>
      </c>
      <c r="J762" s="0" t="n">
        <f aca="false">F762</f>
        <v>0.125</v>
      </c>
      <c r="K762" s="0" t="n">
        <f aca="false">D762*E762</f>
        <v>-0.1875</v>
      </c>
      <c r="L762" s="0" t="n">
        <f aca="false">D762*F762</f>
        <v>-0.09375</v>
      </c>
      <c r="M762" s="0" t="n">
        <f aca="false">E762*F762</f>
        <v>0.03125</v>
      </c>
      <c r="N762" s="0" t="n">
        <f aca="false">D762*D762</f>
        <v>0.5625</v>
      </c>
      <c r="O762" s="0" t="n">
        <f aca="false">E762*E762</f>
        <v>0.0625</v>
      </c>
      <c r="P762" s="0" t="n">
        <f aca="false">F762*F762</f>
        <v>0.015625</v>
      </c>
      <c r="Q762" s="0" t="n">
        <f aca="false">SUMPRODUCT(G762:P762,_XtX!$B$71:$K$71)</f>
        <v>45.36578125</v>
      </c>
      <c r="R762" s="0" t="n">
        <f aca="false">SUMPRODUCT(MMULT(G762:P762,_XtX!$B$58:$K$67),G762:P762)</f>
        <v>0.233935546875</v>
      </c>
      <c r="S762" s="0" t="n">
        <f aca="false">04_回帰ANOVA!$K$19*04_回帰ANOVA!$K$14*SQRT(1+R762)</f>
        <v>1.03279202033444</v>
      </c>
      <c r="T762" s="0" t="n">
        <f aca="false">Q762-S762</f>
        <v>44.3329892296656</v>
      </c>
      <c r="U762" s="0" t="n">
        <f aca="false">Q762+S762</f>
        <v>46.3985732703344</v>
      </c>
      <c r="V762" s="54" t="b">
        <f aca="false">AND(D762&gt;=01_因子設定!$L$5-0.000000001,D762&lt;=01_因子設定!$M$5+0.000000001,E762&gt;=01_因子設定!$L$6-0.000000001,E762&lt;=01_因子設定!$M$6+0.000000001,F762&gt;=01_因子設定!$L$7-0.000000001,F762&lt;=01_因子設定!$M$7+0.000000001,IF(01_因子設定!$B$20="Box-Behnken",D762^2+E762^2+F762^2&lt;=2+0.000000001,TRUE()))</f>
        <v>1</v>
      </c>
      <c r="W762" s="55" t="n">
        <f aca="false">IF(V762,IF(01_因子設定!$B$13="最大化",T762-01_因子設定!$B$14,IF(01_因子設定!$B$13="最小化",01_因子設定!$B$15-U762,MIN(T762-01_因子設定!$B$14,01_因子設定!$B$15-U762))),-1E+030)</f>
        <v>-4.16701077033444</v>
      </c>
      <c r="X762" s="55" t="n">
        <f aca="false">IF(V762,IF(01_因子設定!$B$13="最大化",Q762,IF(01_因子設定!$B$13="最小化",-Q762,-ABS(Q762-01_因子設定!$B$16))),-1E+030)</f>
        <v>45.36578125</v>
      </c>
      <c r="Y762" s="55" t="n">
        <f aca="false">W762+ROW()*0.000000001</f>
        <v>-4.16701000833444</v>
      </c>
      <c r="Z762" s="55" t="n">
        <f aca="false">X762+ROW()*0.000000001</f>
        <v>45.365782012</v>
      </c>
    </row>
    <row r="763" customFormat="false" ht="15" hidden="false" customHeight="false" outlineLevel="0" collapsed="false">
      <c r="A763" s="0" t="n">
        <v>2</v>
      </c>
      <c r="B763" s="0" t="n">
        <v>10</v>
      </c>
      <c r="C763" s="0" t="n">
        <v>10</v>
      </c>
      <c r="D763" s="0" t="n">
        <f aca="false">-1+A763*0.125</f>
        <v>-0.75</v>
      </c>
      <c r="E763" s="0" t="n">
        <f aca="false">-1+B763*0.125</f>
        <v>0.25</v>
      </c>
      <c r="F763" s="0" t="n">
        <f aca="false">-1+C763*0.125</f>
        <v>0.25</v>
      </c>
      <c r="G763" s="0" t="n">
        <f aca="false">1</f>
        <v>1</v>
      </c>
      <c r="H763" s="0" t="n">
        <f aca="false">D763</f>
        <v>-0.75</v>
      </c>
      <c r="I763" s="0" t="n">
        <f aca="false">E763</f>
        <v>0.25</v>
      </c>
      <c r="J763" s="0" t="n">
        <f aca="false">F763</f>
        <v>0.25</v>
      </c>
      <c r="K763" s="0" t="n">
        <f aca="false">D763*E763</f>
        <v>-0.1875</v>
      </c>
      <c r="L763" s="0" t="n">
        <f aca="false">D763*F763</f>
        <v>-0.1875</v>
      </c>
      <c r="M763" s="0" t="n">
        <f aca="false">E763*F763</f>
        <v>0.0625</v>
      </c>
      <c r="N763" s="0" t="n">
        <f aca="false">D763*D763</f>
        <v>0.5625</v>
      </c>
      <c r="O763" s="0" t="n">
        <f aca="false">E763*E763</f>
        <v>0.0625</v>
      </c>
      <c r="P763" s="0" t="n">
        <f aca="false">F763*F763</f>
        <v>0.0625</v>
      </c>
      <c r="Q763" s="0" t="n">
        <f aca="false">SUMPRODUCT(G763:P763,_XtX!$B$71:$K$71)</f>
        <v>45.5112215909091</v>
      </c>
      <c r="R763" s="0" t="n">
        <f aca="false">SUMPRODUCT(MMULT(G763:P763,_XtX!$B$58:$K$67),G763:P763)</f>
        <v>0.231365411931818</v>
      </c>
      <c r="S763" s="0" t="n">
        <f aca="false">04_回帰ANOVA!$K$19*04_回帰ANOVA!$K$14*SQRT(1+R763)</f>
        <v>1.03171587072803</v>
      </c>
      <c r="T763" s="0" t="n">
        <f aca="false">Q763-S763</f>
        <v>44.4795057201811</v>
      </c>
      <c r="U763" s="0" t="n">
        <f aca="false">Q763+S763</f>
        <v>46.5429374616371</v>
      </c>
      <c r="V763" s="54" t="b">
        <f aca="false">AND(D763&gt;=01_因子設定!$L$5-0.000000001,D763&lt;=01_因子設定!$M$5+0.000000001,E763&gt;=01_因子設定!$L$6-0.000000001,E763&lt;=01_因子設定!$M$6+0.000000001,F763&gt;=01_因子設定!$L$7-0.000000001,F763&lt;=01_因子設定!$M$7+0.000000001,IF(01_因子設定!$B$20="Box-Behnken",D763^2+E763^2+F763^2&lt;=2+0.000000001,TRUE()))</f>
        <v>1</v>
      </c>
      <c r="W763" s="55" t="n">
        <f aca="false">IF(V763,IF(01_因子設定!$B$13="最大化",T763-01_因子設定!$B$14,IF(01_因子設定!$B$13="最小化",01_因子設定!$B$15-U763,MIN(T763-01_因子設定!$B$14,01_因子設定!$B$15-U763))),-1E+030)</f>
        <v>-4.02049427981894</v>
      </c>
      <c r="X763" s="55" t="n">
        <f aca="false">IF(V763,IF(01_因子設定!$B$13="最大化",Q763,IF(01_因子設定!$B$13="最小化",-Q763,-ABS(Q763-01_因子設定!$B$16))),-1E+030)</f>
        <v>45.5112215909091</v>
      </c>
      <c r="Y763" s="55" t="n">
        <f aca="false">W763+ROW()*0.000000001</f>
        <v>-4.02049351681894</v>
      </c>
      <c r="Z763" s="55" t="n">
        <f aca="false">X763+ROW()*0.000000001</f>
        <v>45.5112223539091</v>
      </c>
    </row>
    <row r="764" customFormat="false" ht="15" hidden="false" customHeight="false" outlineLevel="0" collapsed="false">
      <c r="A764" s="0" t="n">
        <v>2</v>
      </c>
      <c r="B764" s="0" t="n">
        <v>10</v>
      </c>
      <c r="C764" s="0" t="n">
        <v>11</v>
      </c>
      <c r="D764" s="0" t="n">
        <f aca="false">-1+A764*0.125</f>
        <v>-0.75</v>
      </c>
      <c r="E764" s="0" t="n">
        <f aca="false">-1+B764*0.125</f>
        <v>0.25</v>
      </c>
      <c r="F764" s="0" t="n">
        <f aca="false">-1+C764*0.125</f>
        <v>0.375</v>
      </c>
      <c r="G764" s="0" t="n">
        <f aca="false">1</f>
        <v>1</v>
      </c>
      <c r="H764" s="0" t="n">
        <f aca="false">D764</f>
        <v>-0.75</v>
      </c>
      <c r="I764" s="0" t="n">
        <f aca="false">E764</f>
        <v>0.25</v>
      </c>
      <c r="J764" s="0" t="n">
        <f aca="false">F764</f>
        <v>0.375</v>
      </c>
      <c r="K764" s="0" t="n">
        <f aca="false">D764*E764</f>
        <v>-0.1875</v>
      </c>
      <c r="L764" s="0" t="n">
        <f aca="false">D764*F764</f>
        <v>-0.28125</v>
      </c>
      <c r="M764" s="0" t="n">
        <f aca="false">E764*F764</f>
        <v>0.09375</v>
      </c>
      <c r="N764" s="0" t="n">
        <f aca="false">D764*D764</f>
        <v>0.5625</v>
      </c>
      <c r="O764" s="0" t="n">
        <f aca="false">E764*E764</f>
        <v>0.0625</v>
      </c>
      <c r="P764" s="0" t="n">
        <f aca="false">F764*F764</f>
        <v>0.140625</v>
      </c>
      <c r="Q764" s="0" t="n">
        <f aca="false">SUMPRODUCT(G764:P764,_XtX!$B$71:$K$71)</f>
        <v>45.6198721590909</v>
      </c>
      <c r="R764" s="0" t="n">
        <f aca="false">SUMPRODUCT(MMULT(G764:P764,_XtX!$B$58:$K$67),G764:P764)</f>
        <v>0.230632990056818</v>
      </c>
      <c r="S764" s="0" t="n">
        <f aca="false">04_回帰ANOVA!$K$19*04_回帰ANOVA!$K$14*SQRT(1+R764)</f>
        <v>1.03140899038819</v>
      </c>
      <c r="T764" s="0" t="n">
        <f aca="false">Q764-S764</f>
        <v>44.5884631687027</v>
      </c>
      <c r="U764" s="0" t="n">
        <f aca="false">Q764+S764</f>
        <v>46.6512811494791</v>
      </c>
      <c r="V764" s="54" t="b">
        <f aca="false">AND(D764&gt;=01_因子設定!$L$5-0.000000001,D764&lt;=01_因子設定!$M$5+0.000000001,E764&gt;=01_因子設定!$L$6-0.000000001,E764&lt;=01_因子設定!$M$6+0.000000001,F764&gt;=01_因子設定!$L$7-0.000000001,F764&lt;=01_因子設定!$M$7+0.000000001,IF(01_因子設定!$B$20="Box-Behnken",D764^2+E764^2+F764^2&lt;=2+0.000000001,TRUE()))</f>
        <v>1</v>
      </c>
      <c r="W764" s="55" t="n">
        <f aca="false">IF(V764,IF(01_因子設定!$B$13="最大化",T764-01_因子設定!$B$14,IF(01_因子設定!$B$13="最小化",01_因子設定!$B$15-U764,MIN(T764-01_因子設定!$B$14,01_因子設定!$B$15-U764))),-1E+030)</f>
        <v>-3.91153683129728</v>
      </c>
      <c r="X764" s="55" t="n">
        <f aca="false">IF(V764,IF(01_因子設定!$B$13="最大化",Q764,IF(01_因子設定!$B$13="最小化",-Q764,-ABS(Q764-01_因子設定!$B$16))),-1E+030)</f>
        <v>45.6198721590909</v>
      </c>
      <c r="Y764" s="55" t="n">
        <f aca="false">W764+ROW()*0.000000001</f>
        <v>-3.91153606729728</v>
      </c>
      <c r="Z764" s="55" t="n">
        <f aca="false">X764+ROW()*0.000000001</f>
        <v>45.6198729230909</v>
      </c>
    </row>
    <row r="765" customFormat="false" ht="15" hidden="false" customHeight="false" outlineLevel="0" collapsed="false">
      <c r="A765" s="0" t="n">
        <v>2</v>
      </c>
      <c r="B765" s="0" t="n">
        <v>10</v>
      </c>
      <c r="C765" s="0" t="n">
        <v>12</v>
      </c>
      <c r="D765" s="0" t="n">
        <f aca="false">-1+A765*0.125</f>
        <v>-0.75</v>
      </c>
      <c r="E765" s="0" t="n">
        <f aca="false">-1+B765*0.125</f>
        <v>0.25</v>
      </c>
      <c r="F765" s="0" t="n">
        <f aca="false">-1+C765*0.125</f>
        <v>0.5</v>
      </c>
      <c r="G765" s="0" t="n">
        <f aca="false">1</f>
        <v>1</v>
      </c>
      <c r="H765" s="0" t="n">
        <f aca="false">D765</f>
        <v>-0.75</v>
      </c>
      <c r="I765" s="0" t="n">
        <f aca="false">E765</f>
        <v>0.25</v>
      </c>
      <c r="J765" s="0" t="n">
        <f aca="false">F765</f>
        <v>0.5</v>
      </c>
      <c r="K765" s="0" t="n">
        <f aca="false">D765*E765</f>
        <v>-0.1875</v>
      </c>
      <c r="L765" s="0" t="n">
        <f aca="false">D765*F765</f>
        <v>-0.375</v>
      </c>
      <c r="M765" s="0" t="n">
        <f aca="false">E765*F765</f>
        <v>0.125</v>
      </c>
      <c r="N765" s="0" t="n">
        <f aca="false">D765*D765</f>
        <v>0.5625</v>
      </c>
      <c r="O765" s="0" t="n">
        <f aca="false">E765*E765</f>
        <v>0.0625</v>
      </c>
      <c r="P765" s="0" t="n">
        <f aca="false">F765*F765</f>
        <v>0.25</v>
      </c>
      <c r="Q765" s="0" t="n">
        <f aca="false">SUMPRODUCT(G765:P765,_XtX!$B$71:$K$71)</f>
        <v>45.6917329545455</v>
      </c>
      <c r="R765" s="0" t="n">
        <f aca="false">SUMPRODUCT(MMULT(G765:P765,_XtX!$B$58:$K$67),G765:P765)</f>
        <v>0.237064985795455</v>
      </c>
      <c r="S765" s="0" t="n">
        <f aca="false">04_回帰ANOVA!$K$19*04_回帰ANOVA!$K$14*SQRT(1+R765)</f>
        <v>1.03410084594745</v>
      </c>
      <c r="T765" s="0" t="n">
        <f aca="false">Q765-S765</f>
        <v>44.657632108598</v>
      </c>
      <c r="U765" s="0" t="n">
        <f aca="false">Q765+S765</f>
        <v>46.7258338004929</v>
      </c>
      <c r="V765" s="54" t="b">
        <f aca="false">AND(D765&gt;=01_因子設定!$L$5-0.000000001,D765&lt;=01_因子設定!$M$5+0.000000001,E765&gt;=01_因子設定!$L$6-0.000000001,E765&lt;=01_因子設定!$M$6+0.000000001,F765&gt;=01_因子設定!$L$7-0.000000001,F765&lt;=01_因子設定!$M$7+0.000000001,IF(01_因子設定!$B$20="Box-Behnken",D765^2+E765^2+F765^2&lt;=2+0.000000001,TRUE()))</f>
        <v>1</v>
      </c>
      <c r="W765" s="55" t="n">
        <f aca="false">IF(V765,IF(01_因子設定!$B$13="最大化",T765-01_因子設定!$B$14,IF(01_因子設定!$B$13="最小化",01_因子設定!$B$15-U765,MIN(T765-01_因子設定!$B$14,01_因子設定!$B$15-U765))),-1E+030)</f>
        <v>-3.84236789140198</v>
      </c>
      <c r="X765" s="55" t="n">
        <f aca="false">IF(V765,IF(01_因子設定!$B$13="最大化",Q765,IF(01_因子設定!$B$13="最小化",-Q765,-ABS(Q765-01_因子設定!$B$16))),-1E+030)</f>
        <v>45.6917329545455</v>
      </c>
      <c r="Y765" s="55" t="n">
        <f aca="false">W765+ROW()*0.000000001</f>
        <v>-3.84236712640198</v>
      </c>
      <c r="Z765" s="55" t="n">
        <f aca="false">X765+ROW()*0.000000001</f>
        <v>45.6917337195455</v>
      </c>
    </row>
    <row r="766" customFormat="false" ht="15" hidden="false" customHeight="false" outlineLevel="0" collapsed="false">
      <c r="A766" s="0" t="n">
        <v>2</v>
      </c>
      <c r="B766" s="0" t="n">
        <v>10</v>
      </c>
      <c r="C766" s="0" t="n">
        <v>13</v>
      </c>
      <c r="D766" s="0" t="n">
        <f aca="false">-1+A766*0.125</f>
        <v>-0.75</v>
      </c>
      <c r="E766" s="0" t="n">
        <f aca="false">-1+B766*0.125</f>
        <v>0.25</v>
      </c>
      <c r="F766" s="0" t="n">
        <f aca="false">-1+C766*0.125</f>
        <v>0.625</v>
      </c>
      <c r="G766" s="0" t="n">
        <f aca="false">1</f>
        <v>1</v>
      </c>
      <c r="H766" s="0" t="n">
        <f aca="false">D766</f>
        <v>-0.75</v>
      </c>
      <c r="I766" s="0" t="n">
        <f aca="false">E766</f>
        <v>0.25</v>
      </c>
      <c r="J766" s="0" t="n">
        <f aca="false">F766</f>
        <v>0.625</v>
      </c>
      <c r="K766" s="0" t="n">
        <f aca="false">D766*E766</f>
        <v>-0.1875</v>
      </c>
      <c r="L766" s="0" t="n">
        <f aca="false">D766*F766</f>
        <v>-0.46875</v>
      </c>
      <c r="M766" s="0" t="n">
        <f aca="false">E766*F766</f>
        <v>0.15625</v>
      </c>
      <c r="N766" s="0" t="n">
        <f aca="false">D766*D766</f>
        <v>0.5625</v>
      </c>
      <c r="O766" s="0" t="n">
        <f aca="false">E766*E766</f>
        <v>0.0625</v>
      </c>
      <c r="P766" s="0" t="n">
        <f aca="false">F766*F766</f>
        <v>0.390625</v>
      </c>
      <c r="Q766" s="0" t="n">
        <f aca="false">SUMPRODUCT(G766:P766,_XtX!$B$71:$K$71)</f>
        <v>45.7268039772727</v>
      </c>
      <c r="R766" s="0" t="n">
        <f aca="false">SUMPRODUCT(MMULT(G766:P766,_XtX!$B$58:$K$67),G766:P766)</f>
        <v>0.258118785511364</v>
      </c>
      <c r="S766" s="0" t="n">
        <f aca="false">04_回帰ANOVA!$K$19*04_回帰ANOVA!$K$14*SQRT(1+R766)</f>
        <v>1.04286348094876</v>
      </c>
      <c r="T766" s="0" t="n">
        <f aca="false">Q766-S766</f>
        <v>44.683940496324</v>
      </c>
      <c r="U766" s="0" t="n">
        <f aca="false">Q766+S766</f>
        <v>46.7696674582215</v>
      </c>
      <c r="V766" s="54" t="b">
        <f aca="false">AND(D766&gt;=01_因子設定!$L$5-0.000000001,D766&lt;=01_因子設定!$M$5+0.000000001,E766&gt;=01_因子設定!$L$6-0.000000001,E766&lt;=01_因子設定!$M$6+0.000000001,F766&gt;=01_因子設定!$L$7-0.000000001,F766&lt;=01_因子設定!$M$7+0.000000001,IF(01_因子設定!$B$20="Box-Behnken",D766^2+E766^2+F766^2&lt;=2+0.000000001,TRUE()))</f>
        <v>1</v>
      </c>
      <c r="W766" s="55" t="n">
        <f aca="false">IF(V766,IF(01_因子設定!$B$13="最大化",T766-01_因子設定!$B$14,IF(01_因子設定!$B$13="最小化",01_因子設定!$B$15-U766,MIN(T766-01_因子設定!$B$14,01_因子設定!$B$15-U766))),-1E+030)</f>
        <v>-3.81605950367603</v>
      </c>
      <c r="X766" s="55" t="n">
        <f aca="false">IF(V766,IF(01_因子設定!$B$13="最大化",Q766,IF(01_因子設定!$B$13="最小化",-Q766,-ABS(Q766-01_因子設定!$B$16))),-1E+030)</f>
        <v>45.7268039772727</v>
      </c>
      <c r="Y766" s="55" t="n">
        <f aca="false">W766+ROW()*0.000000001</f>
        <v>-3.81605873767603</v>
      </c>
      <c r="Z766" s="55" t="n">
        <f aca="false">X766+ROW()*0.000000001</f>
        <v>45.7268047432727</v>
      </c>
    </row>
    <row r="767" customFormat="false" ht="15" hidden="false" customHeight="false" outlineLevel="0" collapsed="false">
      <c r="A767" s="0" t="n">
        <v>2</v>
      </c>
      <c r="B767" s="0" t="n">
        <v>10</v>
      </c>
      <c r="C767" s="0" t="n">
        <v>14</v>
      </c>
      <c r="D767" s="0" t="n">
        <f aca="false">-1+A767*0.125</f>
        <v>-0.75</v>
      </c>
      <c r="E767" s="0" t="n">
        <f aca="false">-1+B767*0.125</f>
        <v>0.25</v>
      </c>
      <c r="F767" s="0" t="n">
        <f aca="false">-1+C767*0.125</f>
        <v>0.75</v>
      </c>
      <c r="G767" s="0" t="n">
        <f aca="false">1</f>
        <v>1</v>
      </c>
      <c r="H767" s="0" t="n">
        <f aca="false">D767</f>
        <v>-0.75</v>
      </c>
      <c r="I767" s="0" t="n">
        <f aca="false">E767</f>
        <v>0.25</v>
      </c>
      <c r="J767" s="0" t="n">
        <f aca="false">F767</f>
        <v>0.75</v>
      </c>
      <c r="K767" s="0" t="n">
        <f aca="false">D767*E767</f>
        <v>-0.1875</v>
      </c>
      <c r="L767" s="0" t="n">
        <f aca="false">D767*F767</f>
        <v>-0.5625</v>
      </c>
      <c r="M767" s="0" t="n">
        <f aca="false">E767*F767</f>
        <v>0.1875</v>
      </c>
      <c r="N767" s="0" t="n">
        <f aca="false">D767*D767</f>
        <v>0.5625</v>
      </c>
      <c r="O767" s="0" t="n">
        <f aca="false">E767*E767</f>
        <v>0.0625</v>
      </c>
      <c r="P767" s="0" t="n">
        <f aca="false">F767*F767</f>
        <v>0.5625</v>
      </c>
      <c r="Q767" s="0" t="n">
        <f aca="false">SUMPRODUCT(G767:P767,_XtX!$B$71:$K$71)</f>
        <v>45.7250852272727</v>
      </c>
      <c r="R767" s="0" t="n">
        <f aca="false">SUMPRODUCT(MMULT(G767:P767,_XtX!$B$58:$K$67),G767:P767)</f>
        <v>0.303382457386364</v>
      </c>
      <c r="S767" s="0" t="n">
        <f aca="false">04_回帰ANOVA!$K$19*04_回帰ANOVA!$K$14*SQRT(1+R767)</f>
        <v>1.06145740650883</v>
      </c>
      <c r="T767" s="0" t="n">
        <f aca="false">Q767-S767</f>
        <v>44.6636278207639</v>
      </c>
      <c r="U767" s="0" t="n">
        <f aca="false">Q767+S767</f>
        <v>46.7865426337816</v>
      </c>
      <c r="V767" s="54" t="b">
        <f aca="false">AND(D767&gt;=01_因子設定!$L$5-0.000000001,D767&lt;=01_因子設定!$M$5+0.000000001,E767&gt;=01_因子設定!$L$6-0.000000001,E767&lt;=01_因子設定!$M$6+0.000000001,F767&gt;=01_因子設定!$L$7-0.000000001,F767&lt;=01_因子設定!$M$7+0.000000001,IF(01_因子設定!$B$20="Box-Behnken",D767^2+E767^2+F767^2&lt;=2+0.000000001,TRUE()))</f>
        <v>1</v>
      </c>
      <c r="W767" s="55" t="n">
        <f aca="false">IF(V767,IF(01_因子設定!$B$13="最大化",T767-01_因子設定!$B$14,IF(01_因子設定!$B$13="最小化",01_因子設定!$B$15-U767,MIN(T767-01_因子設定!$B$14,01_因子設定!$B$15-U767))),-1E+030)</f>
        <v>-3.8363721792361</v>
      </c>
      <c r="X767" s="55" t="n">
        <f aca="false">IF(V767,IF(01_因子設定!$B$13="最大化",Q767,IF(01_因子設定!$B$13="最小化",-Q767,-ABS(Q767-01_因子設定!$B$16))),-1E+030)</f>
        <v>45.7250852272727</v>
      </c>
      <c r="Y767" s="55" t="n">
        <f aca="false">W767+ROW()*0.000000001</f>
        <v>-3.8363714122361</v>
      </c>
      <c r="Z767" s="55" t="n">
        <f aca="false">X767+ROW()*0.000000001</f>
        <v>45.7250859942727</v>
      </c>
    </row>
    <row r="768" customFormat="false" ht="15" hidden="false" customHeight="false" outlineLevel="0" collapsed="false">
      <c r="A768" s="0" t="n">
        <v>2</v>
      </c>
      <c r="B768" s="0" t="n">
        <v>10</v>
      </c>
      <c r="C768" s="0" t="n">
        <v>15</v>
      </c>
      <c r="D768" s="0" t="n">
        <f aca="false">-1+A768*0.125</f>
        <v>-0.75</v>
      </c>
      <c r="E768" s="0" t="n">
        <f aca="false">-1+B768*0.125</f>
        <v>0.25</v>
      </c>
      <c r="F768" s="0" t="n">
        <f aca="false">-1+C768*0.125</f>
        <v>0.875</v>
      </c>
      <c r="G768" s="0" t="n">
        <f aca="false">1</f>
        <v>1</v>
      </c>
      <c r="H768" s="0" t="n">
        <f aca="false">D768</f>
        <v>-0.75</v>
      </c>
      <c r="I768" s="0" t="n">
        <f aca="false">E768</f>
        <v>0.25</v>
      </c>
      <c r="J768" s="0" t="n">
        <f aca="false">F768</f>
        <v>0.875</v>
      </c>
      <c r="K768" s="0" t="n">
        <f aca="false">D768*E768</f>
        <v>-0.1875</v>
      </c>
      <c r="L768" s="0" t="n">
        <f aca="false">D768*F768</f>
        <v>-0.65625</v>
      </c>
      <c r="M768" s="0" t="n">
        <f aca="false">E768*F768</f>
        <v>0.21875</v>
      </c>
      <c r="N768" s="0" t="n">
        <f aca="false">D768*D768</f>
        <v>0.5625</v>
      </c>
      <c r="O768" s="0" t="n">
        <f aca="false">E768*E768</f>
        <v>0.0625</v>
      </c>
      <c r="P768" s="0" t="n">
        <f aca="false">F768*F768</f>
        <v>0.765625</v>
      </c>
      <c r="Q768" s="0" t="n">
        <f aca="false">SUMPRODUCT(G768:P768,_XtX!$B$71:$K$71)</f>
        <v>45.6865767045455</v>
      </c>
      <c r="R768" s="0" t="n">
        <f aca="false">SUMPRODUCT(MMULT(G768:P768,_XtX!$B$58:$K$67),G768:P768)</f>
        <v>0.384574751420455</v>
      </c>
      <c r="S768" s="0" t="n">
        <f aca="false">04_回帰ANOVA!$K$19*04_回帰ANOVA!$K$14*SQRT(1+R768)</f>
        <v>1.0940189380139</v>
      </c>
      <c r="T768" s="0" t="n">
        <f aca="false">Q768-S768</f>
        <v>44.5925577665316</v>
      </c>
      <c r="U768" s="0" t="n">
        <f aca="false">Q768+S768</f>
        <v>46.7805956425594</v>
      </c>
      <c r="V768" s="54" t="b">
        <f aca="false">AND(D768&gt;=01_因子設定!$L$5-0.000000001,D768&lt;=01_因子設定!$M$5+0.000000001,E768&gt;=01_因子設定!$L$6-0.000000001,E768&lt;=01_因子設定!$M$6+0.000000001,F768&gt;=01_因子設定!$L$7-0.000000001,F768&lt;=01_因子設定!$M$7+0.000000001,IF(01_因子設定!$B$20="Box-Behnken",D768^2+E768^2+F768^2&lt;=2+0.000000001,TRUE()))</f>
        <v>1</v>
      </c>
      <c r="W768" s="55" t="n">
        <f aca="false">IF(V768,IF(01_因子設定!$B$13="最大化",T768-01_因子設定!$B$14,IF(01_因子設定!$B$13="最小化",01_因子設定!$B$15-U768,MIN(T768-01_因子設定!$B$14,01_因子設定!$B$15-U768))),-1E+030)</f>
        <v>-3.90744223346844</v>
      </c>
      <c r="X768" s="55" t="n">
        <f aca="false">IF(V768,IF(01_因子設定!$B$13="最大化",Q768,IF(01_因子設定!$B$13="最小化",-Q768,-ABS(Q768-01_因子設定!$B$16))),-1E+030)</f>
        <v>45.6865767045455</v>
      </c>
      <c r="Y768" s="55" t="n">
        <f aca="false">W768+ROW()*0.000000001</f>
        <v>-3.90744146546844</v>
      </c>
      <c r="Z768" s="55" t="n">
        <f aca="false">X768+ROW()*0.000000001</f>
        <v>45.6865774725455</v>
      </c>
    </row>
    <row r="769" customFormat="false" ht="15" hidden="false" customHeight="false" outlineLevel="0" collapsed="false">
      <c r="A769" s="0" t="n">
        <v>2</v>
      </c>
      <c r="B769" s="0" t="n">
        <v>10</v>
      </c>
      <c r="C769" s="0" t="n">
        <v>16</v>
      </c>
      <c r="D769" s="0" t="n">
        <f aca="false">-1+A769*0.125</f>
        <v>-0.75</v>
      </c>
      <c r="E769" s="0" t="n">
        <f aca="false">-1+B769*0.125</f>
        <v>0.25</v>
      </c>
      <c r="F769" s="0" t="n">
        <f aca="false">-1+C769*0.125</f>
        <v>1</v>
      </c>
      <c r="G769" s="0" t="n">
        <f aca="false">1</f>
        <v>1</v>
      </c>
      <c r="H769" s="0" t="n">
        <f aca="false">D769</f>
        <v>-0.75</v>
      </c>
      <c r="I769" s="0" t="n">
        <f aca="false">E769</f>
        <v>0.25</v>
      </c>
      <c r="J769" s="0" t="n">
        <f aca="false">F769</f>
        <v>1</v>
      </c>
      <c r="K769" s="0" t="n">
        <f aca="false">D769*E769</f>
        <v>-0.1875</v>
      </c>
      <c r="L769" s="0" t="n">
        <f aca="false">D769*F769</f>
        <v>-0.75</v>
      </c>
      <c r="M769" s="0" t="n">
        <f aca="false">E769*F769</f>
        <v>0.25</v>
      </c>
      <c r="N769" s="0" t="n">
        <f aca="false">D769*D769</f>
        <v>0.5625</v>
      </c>
      <c r="O769" s="0" t="n">
        <f aca="false">E769*E769</f>
        <v>0.0625</v>
      </c>
      <c r="P769" s="0" t="n">
        <f aca="false">F769*F769</f>
        <v>1</v>
      </c>
      <c r="Q769" s="0" t="n">
        <f aca="false">SUMPRODUCT(G769:P769,_XtX!$B$71:$K$71)</f>
        <v>45.6112784090909</v>
      </c>
      <c r="R769" s="0" t="n">
        <f aca="false">SUMPRODUCT(MMULT(G769:P769,_XtX!$B$58:$K$67),G769:P769)</f>
        <v>0.515545099431818</v>
      </c>
      <c r="S769" s="0" t="n">
        <f aca="false">04_回帰ANOVA!$K$19*04_回帰ANOVA!$K$14*SQRT(1+R769)</f>
        <v>1.14459295464101</v>
      </c>
      <c r="T769" s="0" t="n">
        <f aca="false">Q769-S769</f>
        <v>44.4666854544499</v>
      </c>
      <c r="U769" s="0" t="n">
        <f aca="false">Q769+S769</f>
        <v>46.7558713637319</v>
      </c>
      <c r="V769" s="54" t="b">
        <f aca="false">AND(D769&gt;=01_因子設定!$L$5-0.000000001,D769&lt;=01_因子設定!$M$5+0.000000001,E769&gt;=01_因子設定!$L$6-0.000000001,E769&lt;=01_因子設定!$M$6+0.000000001,F769&gt;=01_因子設定!$L$7-0.000000001,F769&lt;=01_因子設定!$M$7+0.000000001,IF(01_因子設定!$B$20="Box-Behnken",D769^2+E769^2+F769^2&lt;=2+0.000000001,TRUE()))</f>
        <v>1</v>
      </c>
      <c r="W769" s="55" t="n">
        <f aca="false">IF(V769,IF(01_因子設定!$B$13="最大化",T769-01_因子設定!$B$14,IF(01_因子設定!$B$13="最小化",01_因子設定!$B$15-U769,MIN(T769-01_因子設定!$B$14,01_因子設定!$B$15-U769))),-1E+030)</f>
        <v>-4.03331454555009</v>
      </c>
      <c r="X769" s="55" t="n">
        <f aca="false">IF(V769,IF(01_因子設定!$B$13="最大化",Q769,IF(01_因子設定!$B$13="最小化",-Q769,-ABS(Q769-01_因子設定!$B$16))),-1E+030)</f>
        <v>45.6112784090909</v>
      </c>
      <c r="Y769" s="55" t="n">
        <f aca="false">W769+ROW()*0.000000001</f>
        <v>-4.03331377655009</v>
      </c>
      <c r="Z769" s="55" t="n">
        <f aca="false">X769+ROW()*0.000000001</f>
        <v>45.6112791780909</v>
      </c>
    </row>
    <row r="770" customFormat="false" ht="15" hidden="false" customHeight="false" outlineLevel="0" collapsed="false">
      <c r="A770" s="0" t="n">
        <v>2</v>
      </c>
      <c r="B770" s="0" t="n">
        <v>11</v>
      </c>
      <c r="C770" s="0" t="n">
        <v>0</v>
      </c>
      <c r="D770" s="0" t="n">
        <f aca="false">-1+A770*0.125</f>
        <v>-0.75</v>
      </c>
      <c r="E770" s="0" t="n">
        <f aca="false">-1+B770*0.125</f>
        <v>0.375</v>
      </c>
      <c r="F770" s="0" t="n">
        <f aca="false">-1+C770*0.125</f>
        <v>-1</v>
      </c>
      <c r="G770" s="0" t="n">
        <f aca="false">1</f>
        <v>1</v>
      </c>
      <c r="H770" s="0" t="n">
        <f aca="false">D770</f>
        <v>-0.75</v>
      </c>
      <c r="I770" s="0" t="n">
        <f aca="false">E770</f>
        <v>0.375</v>
      </c>
      <c r="J770" s="0" t="n">
        <f aca="false">F770</f>
        <v>-1</v>
      </c>
      <c r="K770" s="0" t="n">
        <f aca="false">D770*E770</f>
        <v>-0.28125</v>
      </c>
      <c r="L770" s="0" t="n">
        <f aca="false">D770*F770</f>
        <v>0.75</v>
      </c>
      <c r="M770" s="0" t="n">
        <f aca="false">E770*F770</f>
        <v>-0.375</v>
      </c>
      <c r="N770" s="0" t="n">
        <f aca="false">D770*D770</f>
        <v>0.5625</v>
      </c>
      <c r="O770" s="0" t="n">
        <f aca="false">E770*E770</f>
        <v>0.140625</v>
      </c>
      <c r="P770" s="0" t="n">
        <f aca="false">F770*F770</f>
        <v>1</v>
      </c>
      <c r="Q770" s="0" t="n">
        <f aca="false">SUMPRODUCT(G770:P770,_XtX!$B$71:$K$71)</f>
        <v>42.3305539772727</v>
      </c>
      <c r="R770" s="0" t="n">
        <f aca="false">SUMPRODUCT(MMULT(G770:P770,_XtX!$B$58:$K$67),G770:P770)</f>
        <v>0.503992808948864</v>
      </c>
      <c r="S770" s="0" t="n">
        <f aca="false">04_回帰ANOVA!$K$19*04_回帰ANOVA!$K$14*SQRT(1+R770)</f>
        <v>1.14022226176226</v>
      </c>
      <c r="T770" s="0" t="n">
        <f aca="false">Q770-S770</f>
        <v>41.1903317155105</v>
      </c>
      <c r="U770" s="0" t="n">
        <f aca="false">Q770+S770</f>
        <v>43.470776239035</v>
      </c>
      <c r="V770" s="54" t="b">
        <f aca="false">AND(D770&gt;=01_因子設定!$L$5-0.000000001,D770&lt;=01_因子設定!$M$5+0.000000001,E770&gt;=01_因子設定!$L$6-0.000000001,E770&lt;=01_因子設定!$M$6+0.000000001,F770&gt;=01_因子設定!$L$7-0.000000001,F770&lt;=01_因子設定!$M$7+0.000000001,IF(01_因子設定!$B$20="Box-Behnken",D770^2+E770^2+F770^2&lt;=2+0.000000001,TRUE()))</f>
        <v>1</v>
      </c>
      <c r="W770" s="55" t="n">
        <f aca="false">IF(V770,IF(01_因子設定!$B$13="最大化",T770-01_因子設定!$B$14,IF(01_因子設定!$B$13="最小化",01_因子設定!$B$15-U770,MIN(T770-01_因子設定!$B$14,01_因子設定!$B$15-U770))),-1E+030)</f>
        <v>-7.30966828448952</v>
      </c>
      <c r="X770" s="55" t="n">
        <f aca="false">IF(V770,IF(01_因子設定!$B$13="最大化",Q770,IF(01_因子設定!$B$13="最小化",-Q770,-ABS(Q770-01_因子設定!$B$16))),-1E+030)</f>
        <v>42.3305539772727</v>
      </c>
      <c r="Y770" s="55" t="n">
        <f aca="false">W770+ROW()*0.000000001</f>
        <v>-7.30966751448952</v>
      </c>
      <c r="Z770" s="55" t="n">
        <f aca="false">X770+ROW()*0.000000001</f>
        <v>42.3305547472727</v>
      </c>
    </row>
    <row r="771" customFormat="false" ht="15" hidden="false" customHeight="false" outlineLevel="0" collapsed="false">
      <c r="A771" s="0" t="n">
        <v>2</v>
      </c>
      <c r="B771" s="0" t="n">
        <v>11</v>
      </c>
      <c r="C771" s="0" t="n">
        <v>1</v>
      </c>
      <c r="D771" s="0" t="n">
        <f aca="false">-1+A771*0.125</f>
        <v>-0.75</v>
      </c>
      <c r="E771" s="0" t="n">
        <f aca="false">-1+B771*0.125</f>
        <v>0.375</v>
      </c>
      <c r="F771" s="0" t="n">
        <f aca="false">-1+C771*0.125</f>
        <v>-0.875</v>
      </c>
      <c r="G771" s="0" t="n">
        <f aca="false">1</f>
        <v>1</v>
      </c>
      <c r="H771" s="0" t="n">
        <f aca="false">D771</f>
        <v>-0.75</v>
      </c>
      <c r="I771" s="0" t="n">
        <f aca="false">E771</f>
        <v>0.375</v>
      </c>
      <c r="J771" s="0" t="n">
        <f aca="false">F771</f>
        <v>-0.875</v>
      </c>
      <c r="K771" s="0" t="n">
        <f aca="false">D771*E771</f>
        <v>-0.28125</v>
      </c>
      <c r="L771" s="0" t="n">
        <f aca="false">D771*F771</f>
        <v>0.65625</v>
      </c>
      <c r="M771" s="0" t="n">
        <f aca="false">E771*F771</f>
        <v>-0.328125</v>
      </c>
      <c r="N771" s="0" t="n">
        <f aca="false">D771*D771</f>
        <v>0.5625</v>
      </c>
      <c r="O771" s="0" t="n">
        <f aca="false">E771*E771</f>
        <v>0.140625</v>
      </c>
      <c r="P771" s="0" t="n">
        <f aca="false">F771*F771</f>
        <v>0.765625</v>
      </c>
      <c r="Q771" s="0" t="n">
        <f aca="false">SUMPRODUCT(G771:P771,_XtX!$B$71:$K$71)</f>
        <v>42.8141335227273</v>
      </c>
      <c r="R771" s="0" t="n">
        <f aca="false">SUMPRODUCT(MMULT(G771:P771,_XtX!$B$58:$K$67),G771:P771)</f>
        <v>0.375727428089489</v>
      </c>
      <c r="S771" s="0" t="n">
        <f aca="false">04_回帰ANOVA!$K$19*04_回帰ANOVA!$K$14*SQRT(1+R771)</f>
        <v>1.09051798904087</v>
      </c>
      <c r="T771" s="0" t="n">
        <f aca="false">Q771-S771</f>
        <v>41.7236155336864</v>
      </c>
      <c r="U771" s="0" t="n">
        <f aca="false">Q771+S771</f>
        <v>43.9046515117682</v>
      </c>
      <c r="V771" s="54" t="b">
        <f aca="false">AND(D771&gt;=01_因子設定!$L$5-0.000000001,D771&lt;=01_因子設定!$M$5+0.000000001,E771&gt;=01_因子設定!$L$6-0.000000001,E771&lt;=01_因子設定!$M$6+0.000000001,F771&gt;=01_因子設定!$L$7-0.000000001,F771&lt;=01_因子設定!$M$7+0.000000001,IF(01_因子設定!$B$20="Box-Behnken",D771^2+E771^2+F771^2&lt;=2+0.000000001,TRUE()))</f>
        <v>1</v>
      </c>
      <c r="W771" s="55" t="n">
        <f aca="false">IF(V771,IF(01_因子設定!$B$13="最大化",T771-01_因子設定!$B$14,IF(01_因子設定!$B$13="最小化",01_因子設定!$B$15-U771,MIN(T771-01_因子設定!$B$14,01_因子設定!$B$15-U771))),-1E+030)</f>
        <v>-6.77638446631359</v>
      </c>
      <c r="X771" s="55" t="n">
        <f aca="false">IF(V771,IF(01_因子設定!$B$13="最大化",Q771,IF(01_因子設定!$B$13="最小化",-Q771,-ABS(Q771-01_因子設定!$B$16))),-1E+030)</f>
        <v>42.8141335227273</v>
      </c>
      <c r="Y771" s="55" t="n">
        <f aca="false">W771+ROW()*0.000000001</f>
        <v>-6.77638369531359</v>
      </c>
      <c r="Z771" s="55" t="n">
        <f aca="false">X771+ROW()*0.000000001</f>
        <v>42.8141342937273</v>
      </c>
    </row>
    <row r="772" customFormat="false" ht="15" hidden="false" customHeight="false" outlineLevel="0" collapsed="false">
      <c r="A772" s="0" t="n">
        <v>2</v>
      </c>
      <c r="B772" s="0" t="n">
        <v>11</v>
      </c>
      <c r="C772" s="0" t="n">
        <v>2</v>
      </c>
      <c r="D772" s="0" t="n">
        <f aca="false">-1+A772*0.125</f>
        <v>-0.75</v>
      </c>
      <c r="E772" s="0" t="n">
        <f aca="false">-1+B772*0.125</f>
        <v>0.375</v>
      </c>
      <c r="F772" s="0" t="n">
        <f aca="false">-1+C772*0.125</f>
        <v>-0.75</v>
      </c>
      <c r="G772" s="0" t="n">
        <f aca="false">1</f>
        <v>1</v>
      </c>
      <c r="H772" s="0" t="n">
        <f aca="false">D772</f>
        <v>-0.75</v>
      </c>
      <c r="I772" s="0" t="n">
        <f aca="false">E772</f>
        <v>0.375</v>
      </c>
      <c r="J772" s="0" t="n">
        <f aca="false">F772</f>
        <v>-0.75</v>
      </c>
      <c r="K772" s="0" t="n">
        <f aca="false">D772*E772</f>
        <v>-0.28125</v>
      </c>
      <c r="L772" s="0" t="n">
        <f aca="false">D772*F772</f>
        <v>0.5625</v>
      </c>
      <c r="M772" s="0" t="n">
        <f aca="false">E772*F772</f>
        <v>-0.28125</v>
      </c>
      <c r="N772" s="0" t="n">
        <f aca="false">D772*D772</f>
        <v>0.5625</v>
      </c>
      <c r="O772" s="0" t="n">
        <f aca="false">E772*E772</f>
        <v>0.140625</v>
      </c>
      <c r="P772" s="0" t="n">
        <f aca="false">F772*F772</f>
        <v>0.5625</v>
      </c>
      <c r="Q772" s="0" t="n">
        <f aca="false">SUMPRODUCT(G772:P772,_XtX!$B$71:$K$71)</f>
        <v>43.2609232954546</v>
      </c>
      <c r="R772" s="0" t="n">
        <f aca="false">SUMPRODUCT(MMULT(G772:P772,_XtX!$B$58:$K$67),G772:P772)</f>
        <v>0.296879438920455</v>
      </c>
      <c r="S772" s="0" t="n">
        <f aca="false">04_回帰ANOVA!$K$19*04_回帰ANOVA!$K$14*SQRT(1+R772)</f>
        <v>1.05880610927316</v>
      </c>
      <c r="T772" s="0" t="n">
        <f aca="false">Q772-S772</f>
        <v>42.2021171861814</v>
      </c>
      <c r="U772" s="0" t="n">
        <f aca="false">Q772+S772</f>
        <v>44.3197294047277</v>
      </c>
      <c r="V772" s="54" t="b">
        <f aca="false">AND(D772&gt;=01_因子設定!$L$5-0.000000001,D772&lt;=01_因子設定!$M$5+0.000000001,E772&gt;=01_因子設定!$L$6-0.000000001,E772&lt;=01_因子設定!$M$6+0.000000001,F772&gt;=01_因子設定!$L$7-0.000000001,F772&lt;=01_因子設定!$M$7+0.000000001,IF(01_因子設定!$B$20="Box-Behnken",D772^2+E772^2+F772^2&lt;=2+0.000000001,TRUE()))</f>
        <v>1</v>
      </c>
      <c r="W772" s="55" t="n">
        <f aca="false">IF(V772,IF(01_因子設定!$B$13="最大化",T772-01_因子設定!$B$14,IF(01_因子設定!$B$13="最小化",01_因子設定!$B$15-U772,MIN(T772-01_因子設定!$B$14,01_因子設定!$B$15-U772))),-1E+030)</f>
        <v>-6.29788281381861</v>
      </c>
      <c r="X772" s="55" t="n">
        <f aca="false">IF(V772,IF(01_因子設定!$B$13="最大化",Q772,IF(01_因子設定!$B$13="最小化",-Q772,-ABS(Q772-01_因子設定!$B$16))),-1E+030)</f>
        <v>43.2609232954546</v>
      </c>
      <c r="Y772" s="55" t="n">
        <f aca="false">W772+ROW()*0.000000001</f>
        <v>-6.29788204181861</v>
      </c>
      <c r="Z772" s="55" t="n">
        <f aca="false">X772+ROW()*0.000000001</f>
        <v>43.2609240674546</v>
      </c>
    </row>
    <row r="773" customFormat="false" ht="15" hidden="false" customHeight="false" outlineLevel="0" collapsed="false">
      <c r="A773" s="0" t="n">
        <v>2</v>
      </c>
      <c r="B773" s="0" t="n">
        <v>11</v>
      </c>
      <c r="C773" s="0" t="n">
        <v>3</v>
      </c>
      <c r="D773" s="0" t="n">
        <f aca="false">-1+A773*0.125</f>
        <v>-0.75</v>
      </c>
      <c r="E773" s="0" t="n">
        <f aca="false">-1+B773*0.125</f>
        <v>0.375</v>
      </c>
      <c r="F773" s="0" t="n">
        <f aca="false">-1+C773*0.125</f>
        <v>-0.625</v>
      </c>
      <c r="G773" s="0" t="n">
        <f aca="false">1</f>
        <v>1</v>
      </c>
      <c r="H773" s="0" t="n">
        <f aca="false">D773</f>
        <v>-0.75</v>
      </c>
      <c r="I773" s="0" t="n">
        <f aca="false">E773</f>
        <v>0.375</v>
      </c>
      <c r="J773" s="0" t="n">
        <f aca="false">F773</f>
        <v>-0.625</v>
      </c>
      <c r="K773" s="0" t="n">
        <f aca="false">D773*E773</f>
        <v>-0.28125</v>
      </c>
      <c r="L773" s="0" t="n">
        <f aca="false">D773*F773</f>
        <v>0.46875</v>
      </c>
      <c r="M773" s="0" t="n">
        <f aca="false">E773*F773</f>
        <v>-0.234375</v>
      </c>
      <c r="N773" s="0" t="n">
        <f aca="false">D773*D773</f>
        <v>0.5625</v>
      </c>
      <c r="O773" s="0" t="n">
        <f aca="false">E773*E773</f>
        <v>0.140625</v>
      </c>
      <c r="P773" s="0" t="n">
        <f aca="false">F773*F773</f>
        <v>0.390625</v>
      </c>
      <c r="Q773" s="0" t="n">
        <f aca="false">SUMPRODUCT(G773:P773,_XtX!$B$71:$K$71)</f>
        <v>43.6709232954546</v>
      </c>
      <c r="R773" s="0" t="n">
        <f aca="false">SUMPRODUCT(MMULT(G773:P773,_XtX!$B$58:$K$67),G773:P773)</f>
        <v>0.25359940962358</v>
      </c>
      <c r="S773" s="0" t="n">
        <f aca="false">04_回帰ANOVA!$K$19*04_回帰ANOVA!$K$14*SQRT(1+R773)</f>
        <v>1.04098872464599</v>
      </c>
      <c r="T773" s="0" t="n">
        <f aca="false">Q773-S773</f>
        <v>42.6299345708086</v>
      </c>
      <c r="U773" s="0" t="n">
        <f aca="false">Q773+S773</f>
        <v>44.7119120201005</v>
      </c>
      <c r="V773" s="54" t="b">
        <f aca="false">AND(D773&gt;=01_因子設定!$L$5-0.000000001,D773&lt;=01_因子設定!$M$5+0.000000001,E773&gt;=01_因子設定!$L$6-0.000000001,E773&lt;=01_因子設定!$M$6+0.000000001,F773&gt;=01_因子設定!$L$7-0.000000001,F773&lt;=01_因子設定!$M$7+0.000000001,IF(01_因子設定!$B$20="Box-Behnken",D773^2+E773^2+F773^2&lt;=2+0.000000001,TRUE()))</f>
        <v>1</v>
      </c>
      <c r="W773" s="55" t="n">
        <f aca="false">IF(V773,IF(01_因子設定!$B$13="最大化",T773-01_因子設定!$B$14,IF(01_因子設定!$B$13="最小化",01_因子設定!$B$15-U773,MIN(T773-01_因子設定!$B$14,01_因子設定!$B$15-U773))),-1E+030)</f>
        <v>-5.87006542919144</v>
      </c>
      <c r="X773" s="55" t="n">
        <f aca="false">IF(V773,IF(01_因子設定!$B$13="最大化",Q773,IF(01_因子設定!$B$13="最小化",-Q773,-ABS(Q773-01_因子設定!$B$16))),-1E+030)</f>
        <v>43.6709232954546</v>
      </c>
      <c r="Y773" s="55" t="n">
        <f aca="false">W773+ROW()*0.000000001</f>
        <v>-5.87006465619144</v>
      </c>
      <c r="Z773" s="55" t="n">
        <f aca="false">X773+ROW()*0.000000001</f>
        <v>43.6709240684545</v>
      </c>
    </row>
    <row r="774" customFormat="false" ht="15" hidden="false" customHeight="false" outlineLevel="0" collapsed="false">
      <c r="A774" s="0" t="n">
        <v>2</v>
      </c>
      <c r="B774" s="0" t="n">
        <v>11</v>
      </c>
      <c r="C774" s="0" t="n">
        <v>4</v>
      </c>
      <c r="D774" s="0" t="n">
        <f aca="false">-1+A774*0.125</f>
        <v>-0.75</v>
      </c>
      <c r="E774" s="0" t="n">
        <f aca="false">-1+B774*0.125</f>
        <v>0.375</v>
      </c>
      <c r="F774" s="0" t="n">
        <f aca="false">-1+C774*0.125</f>
        <v>-0.5</v>
      </c>
      <c r="G774" s="0" t="n">
        <f aca="false">1</f>
        <v>1</v>
      </c>
      <c r="H774" s="0" t="n">
        <f aca="false">D774</f>
        <v>-0.75</v>
      </c>
      <c r="I774" s="0" t="n">
        <f aca="false">E774</f>
        <v>0.375</v>
      </c>
      <c r="J774" s="0" t="n">
        <f aca="false">F774</f>
        <v>-0.5</v>
      </c>
      <c r="K774" s="0" t="n">
        <f aca="false">D774*E774</f>
        <v>-0.28125</v>
      </c>
      <c r="L774" s="0" t="n">
        <f aca="false">D774*F774</f>
        <v>0.375</v>
      </c>
      <c r="M774" s="0" t="n">
        <f aca="false">E774*F774</f>
        <v>-0.1875</v>
      </c>
      <c r="N774" s="0" t="n">
        <f aca="false">D774*D774</f>
        <v>0.5625</v>
      </c>
      <c r="O774" s="0" t="n">
        <f aca="false">E774*E774</f>
        <v>0.140625</v>
      </c>
      <c r="P774" s="0" t="n">
        <f aca="false">F774*F774</f>
        <v>0.25</v>
      </c>
      <c r="Q774" s="0" t="n">
        <f aca="false">SUMPRODUCT(G774:P774,_XtX!$B$71:$K$71)</f>
        <v>44.0441335227273</v>
      </c>
      <c r="R774" s="0" t="n">
        <f aca="false">SUMPRODUCT(MMULT(G774:P774,_XtX!$B$58:$K$67),G774:P774)</f>
        <v>0.234168590198864</v>
      </c>
      <c r="S774" s="0" t="n">
        <f aca="false">04_回帰ANOVA!$K$19*04_回帰ANOVA!$K$14*SQRT(1+R774)</f>
        <v>1.03288954322488</v>
      </c>
      <c r="T774" s="0" t="n">
        <f aca="false">Q774-S774</f>
        <v>43.0112439795024</v>
      </c>
      <c r="U774" s="0" t="n">
        <f aca="false">Q774+S774</f>
        <v>45.0770230659522</v>
      </c>
      <c r="V774" s="54" t="b">
        <f aca="false">AND(D774&gt;=01_因子設定!$L$5-0.000000001,D774&lt;=01_因子設定!$M$5+0.000000001,E774&gt;=01_因子設定!$L$6-0.000000001,E774&lt;=01_因子設定!$M$6+0.000000001,F774&gt;=01_因子設定!$L$7-0.000000001,F774&lt;=01_因子設定!$M$7+0.000000001,IF(01_因子設定!$B$20="Box-Behnken",D774^2+E774^2+F774^2&lt;=2+0.000000001,TRUE()))</f>
        <v>1</v>
      </c>
      <c r="W774" s="55" t="n">
        <f aca="false">IF(V774,IF(01_因子設定!$B$13="最大化",T774-01_因子設定!$B$14,IF(01_因子設定!$B$13="最小化",01_因子設定!$B$15-U774,MIN(T774-01_因子設定!$B$14,01_因子設定!$B$15-U774))),-1E+030)</f>
        <v>-5.4887560204976</v>
      </c>
      <c r="X774" s="55" t="n">
        <f aca="false">IF(V774,IF(01_因子設定!$B$13="最大化",Q774,IF(01_因子設定!$B$13="最小化",-Q774,-ABS(Q774-01_因子設定!$B$16))),-1E+030)</f>
        <v>44.0441335227273</v>
      </c>
      <c r="Y774" s="55" t="n">
        <f aca="false">W774+ROW()*0.000000001</f>
        <v>-5.4887552464976</v>
      </c>
      <c r="Z774" s="55" t="n">
        <f aca="false">X774+ROW()*0.000000001</f>
        <v>44.0441342967273</v>
      </c>
    </row>
    <row r="775" customFormat="false" ht="15" hidden="false" customHeight="false" outlineLevel="0" collapsed="false">
      <c r="A775" s="0" t="n">
        <v>2</v>
      </c>
      <c r="B775" s="0" t="n">
        <v>11</v>
      </c>
      <c r="C775" s="0" t="n">
        <v>5</v>
      </c>
      <c r="D775" s="0" t="n">
        <f aca="false">-1+A775*0.125</f>
        <v>-0.75</v>
      </c>
      <c r="E775" s="0" t="n">
        <f aca="false">-1+B775*0.125</f>
        <v>0.375</v>
      </c>
      <c r="F775" s="0" t="n">
        <f aca="false">-1+C775*0.125</f>
        <v>-0.375</v>
      </c>
      <c r="G775" s="0" t="n">
        <f aca="false">1</f>
        <v>1</v>
      </c>
      <c r="H775" s="0" t="n">
        <f aca="false">D775</f>
        <v>-0.75</v>
      </c>
      <c r="I775" s="0" t="n">
        <f aca="false">E775</f>
        <v>0.375</v>
      </c>
      <c r="J775" s="0" t="n">
        <f aca="false">F775</f>
        <v>-0.375</v>
      </c>
      <c r="K775" s="0" t="n">
        <f aca="false">D775*E775</f>
        <v>-0.28125</v>
      </c>
      <c r="L775" s="0" t="n">
        <f aca="false">D775*F775</f>
        <v>0.28125</v>
      </c>
      <c r="M775" s="0" t="n">
        <f aca="false">E775*F775</f>
        <v>-0.140625</v>
      </c>
      <c r="N775" s="0" t="n">
        <f aca="false">D775*D775</f>
        <v>0.5625</v>
      </c>
      <c r="O775" s="0" t="n">
        <f aca="false">E775*E775</f>
        <v>0.140625</v>
      </c>
      <c r="P775" s="0" t="n">
        <f aca="false">F775*F775</f>
        <v>0.140625</v>
      </c>
      <c r="Q775" s="0" t="n">
        <f aca="false">SUMPRODUCT(G775:P775,_XtX!$B$71:$K$71)</f>
        <v>44.3805539772727</v>
      </c>
      <c r="R775" s="0" t="n">
        <f aca="false">SUMPRODUCT(MMULT(G775:P775,_XtX!$B$58:$K$67),G775:P775)</f>
        <v>0.228998912464489</v>
      </c>
      <c r="S775" s="0" t="n">
        <f aca="false">04_回帰ANOVA!$K$19*04_回帰ANOVA!$K$14*SQRT(1+R775)</f>
        <v>1.03072399242813</v>
      </c>
      <c r="T775" s="0" t="n">
        <f aca="false">Q775-S775</f>
        <v>43.3498299848446</v>
      </c>
      <c r="U775" s="0" t="n">
        <f aca="false">Q775+S775</f>
        <v>45.4112779697009</v>
      </c>
      <c r="V775" s="54" t="b">
        <f aca="false">AND(D775&gt;=01_因子設定!$L$5-0.000000001,D775&lt;=01_因子設定!$M$5+0.000000001,E775&gt;=01_因子設定!$L$6-0.000000001,E775&lt;=01_因子設定!$M$6+0.000000001,F775&gt;=01_因子設定!$L$7-0.000000001,F775&lt;=01_因子設定!$M$7+0.000000001,IF(01_因子設定!$B$20="Box-Behnken",D775^2+E775^2+F775^2&lt;=2+0.000000001,TRUE()))</f>
        <v>1</v>
      </c>
      <c r="W775" s="55" t="n">
        <f aca="false">IF(V775,IF(01_因子設定!$B$13="最大化",T775-01_因子設定!$B$14,IF(01_因子設定!$B$13="最小化",01_因子設定!$B$15-U775,MIN(T775-01_因子設定!$B$14,01_因子設定!$B$15-U775))),-1E+030)</f>
        <v>-5.1501700151554</v>
      </c>
      <c r="X775" s="55" t="n">
        <f aca="false">IF(V775,IF(01_因子設定!$B$13="最大化",Q775,IF(01_因子設定!$B$13="最小化",-Q775,-ABS(Q775-01_因子設定!$B$16))),-1E+030)</f>
        <v>44.3805539772727</v>
      </c>
      <c r="Y775" s="55" t="n">
        <f aca="false">W775+ROW()*0.000000001</f>
        <v>-5.1501692401554</v>
      </c>
      <c r="Z775" s="55" t="n">
        <f aca="false">X775+ROW()*0.000000001</f>
        <v>44.3805547522727</v>
      </c>
    </row>
    <row r="776" customFormat="false" ht="15" hidden="false" customHeight="false" outlineLevel="0" collapsed="false">
      <c r="A776" s="0" t="n">
        <v>2</v>
      </c>
      <c r="B776" s="0" t="n">
        <v>11</v>
      </c>
      <c r="C776" s="0" t="n">
        <v>6</v>
      </c>
      <c r="D776" s="0" t="n">
        <f aca="false">-1+A776*0.125</f>
        <v>-0.75</v>
      </c>
      <c r="E776" s="0" t="n">
        <f aca="false">-1+B776*0.125</f>
        <v>0.375</v>
      </c>
      <c r="F776" s="0" t="n">
        <f aca="false">-1+C776*0.125</f>
        <v>-0.25</v>
      </c>
      <c r="G776" s="0" t="n">
        <f aca="false">1</f>
        <v>1</v>
      </c>
      <c r="H776" s="0" t="n">
        <f aca="false">D776</f>
        <v>-0.75</v>
      </c>
      <c r="I776" s="0" t="n">
        <f aca="false">E776</f>
        <v>0.375</v>
      </c>
      <c r="J776" s="0" t="n">
        <f aca="false">F776</f>
        <v>-0.25</v>
      </c>
      <c r="K776" s="0" t="n">
        <f aca="false">D776*E776</f>
        <v>-0.28125</v>
      </c>
      <c r="L776" s="0" t="n">
        <f aca="false">D776*F776</f>
        <v>0.1875</v>
      </c>
      <c r="M776" s="0" t="n">
        <f aca="false">E776*F776</f>
        <v>-0.09375</v>
      </c>
      <c r="N776" s="0" t="n">
        <f aca="false">D776*D776</f>
        <v>0.5625</v>
      </c>
      <c r="O776" s="0" t="n">
        <f aca="false">E776*E776</f>
        <v>0.140625</v>
      </c>
      <c r="P776" s="0" t="n">
        <f aca="false">F776*F776</f>
        <v>0.0625</v>
      </c>
      <c r="Q776" s="0" t="n">
        <f aca="false">SUMPRODUCT(G776:P776,_XtX!$B$71:$K$71)</f>
        <v>44.6801846590909</v>
      </c>
      <c r="R776" s="0" t="n">
        <f aca="false">SUMPRODUCT(MMULT(G776:P776,_XtX!$B$58:$K$67),G776:P776)</f>
        <v>0.230632990056818</v>
      </c>
      <c r="S776" s="0" t="n">
        <f aca="false">04_回帰ANOVA!$K$19*04_回帰ANOVA!$K$14*SQRT(1+R776)</f>
        <v>1.03140899038819</v>
      </c>
      <c r="T776" s="0" t="n">
        <f aca="false">Q776-S776</f>
        <v>43.6487756687027</v>
      </c>
      <c r="U776" s="0" t="n">
        <f aca="false">Q776+S776</f>
        <v>45.7115936494791</v>
      </c>
      <c r="V776" s="54" t="b">
        <f aca="false">AND(D776&gt;=01_因子設定!$L$5-0.000000001,D776&lt;=01_因子設定!$M$5+0.000000001,E776&gt;=01_因子設定!$L$6-0.000000001,E776&lt;=01_因子設定!$M$6+0.000000001,F776&gt;=01_因子設定!$L$7-0.000000001,F776&lt;=01_因子設定!$M$7+0.000000001,IF(01_因子設定!$B$20="Box-Behnken",D776^2+E776^2+F776^2&lt;=2+0.000000001,TRUE()))</f>
        <v>1</v>
      </c>
      <c r="W776" s="55" t="n">
        <f aca="false">IF(V776,IF(01_因子設定!$B$13="最大化",T776-01_因子設定!$B$14,IF(01_因子設定!$B$13="最小化",01_因子設定!$B$15-U776,MIN(T776-01_因子設定!$B$14,01_因子設定!$B$15-U776))),-1E+030)</f>
        <v>-4.85122433129728</v>
      </c>
      <c r="X776" s="55" t="n">
        <f aca="false">IF(V776,IF(01_因子設定!$B$13="最大化",Q776,IF(01_因子設定!$B$13="最小化",-Q776,-ABS(Q776-01_因子設定!$B$16))),-1E+030)</f>
        <v>44.6801846590909</v>
      </c>
      <c r="Y776" s="55" t="n">
        <f aca="false">W776+ROW()*0.000000001</f>
        <v>-4.85122355529728</v>
      </c>
      <c r="Z776" s="55" t="n">
        <f aca="false">X776+ROW()*0.000000001</f>
        <v>44.6801854350909</v>
      </c>
    </row>
    <row r="777" customFormat="false" ht="15" hidden="false" customHeight="false" outlineLevel="0" collapsed="false">
      <c r="A777" s="0" t="n">
        <v>2</v>
      </c>
      <c r="B777" s="0" t="n">
        <v>11</v>
      </c>
      <c r="C777" s="0" t="n">
        <v>7</v>
      </c>
      <c r="D777" s="0" t="n">
        <f aca="false">-1+A777*0.125</f>
        <v>-0.75</v>
      </c>
      <c r="E777" s="0" t="n">
        <f aca="false">-1+B777*0.125</f>
        <v>0.375</v>
      </c>
      <c r="F777" s="0" t="n">
        <f aca="false">-1+C777*0.125</f>
        <v>-0.125</v>
      </c>
      <c r="G777" s="0" t="n">
        <f aca="false">1</f>
        <v>1</v>
      </c>
      <c r="H777" s="0" t="n">
        <f aca="false">D777</f>
        <v>-0.75</v>
      </c>
      <c r="I777" s="0" t="n">
        <f aca="false">E777</f>
        <v>0.375</v>
      </c>
      <c r="J777" s="0" t="n">
        <f aca="false">F777</f>
        <v>-0.125</v>
      </c>
      <c r="K777" s="0" t="n">
        <f aca="false">D777*E777</f>
        <v>-0.28125</v>
      </c>
      <c r="L777" s="0" t="n">
        <f aca="false">D777*F777</f>
        <v>0.09375</v>
      </c>
      <c r="M777" s="0" t="n">
        <f aca="false">E777*F777</f>
        <v>-0.046875</v>
      </c>
      <c r="N777" s="0" t="n">
        <f aca="false">D777*D777</f>
        <v>0.5625</v>
      </c>
      <c r="O777" s="0" t="n">
        <f aca="false">E777*E777</f>
        <v>0.140625</v>
      </c>
      <c r="P777" s="0" t="n">
        <f aca="false">F777*F777</f>
        <v>0.015625</v>
      </c>
      <c r="Q777" s="0" t="n">
        <f aca="false">SUMPRODUCT(G777:P777,_XtX!$B$71:$K$71)</f>
        <v>44.9430255681818</v>
      </c>
      <c r="R777" s="0" t="n">
        <f aca="false">SUMPRODUCT(MMULT(G777:P777,_XtX!$B$58:$K$67),G777:P777)</f>
        <v>0.233744118430398</v>
      </c>
      <c r="S777" s="0" t="n">
        <f aca="false">04_回帰ANOVA!$K$19*04_回帰ANOVA!$K$14*SQRT(1+R777)</f>
        <v>1.0327119053564</v>
      </c>
      <c r="T777" s="0" t="n">
        <f aca="false">Q777-S777</f>
        <v>43.9103136628254</v>
      </c>
      <c r="U777" s="0" t="n">
        <f aca="false">Q777+S777</f>
        <v>45.9757374735382</v>
      </c>
      <c r="V777" s="54" t="b">
        <f aca="false">AND(D777&gt;=01_因子設定!$L$5-0.000000001,D777&lt;=01_因子設定!$M$5+0.000000001,E777&gt;=01_因子設定!$L$6-0.000000001,E777&lt;=01_因子設定!$M$6+0.000000001,F777&gt;=01_因子設定!$L$7-0.000000001,F777&lt;=01_因子設定!$M$7+0.000000001,IF(01_因子設定!$B$20="Box-Behnken",D777^2+E777^2+F777^2&lt;=2+0.000000001,TRUE()))</f>
        <v>1</v>
      </c>
      <c r="W777" s="55" t="n">
        <f aca="false">IF(V777,IF(01_因子設定!$B$13="最大化",T777-01_因子設定!$B$14,IF(01_因子設定!$B$13="最小化",01_因子設定!$B$15-U777,MIN(T777-01_因子設定!$B$14,01_因子設定!$B$15-U777))),-1E+030)</f>
        <v>-4.58968633717458</v>
      </c>
      <c r="X777" s="55" t="n">
        <f aca="false">IF(V777,IF(01_因子設定!$B$13="最大化",Q777,IF(01_因子設定!$B$13="最小化",-Q777,-ABS(Q777-01_因子設定!$B$16))),-1E+030)</f>
        <v>44.9430255681818</v>
      </c>
      <c r="Y777" s="55" t="n">
        <f aca="false">W777+ROW()*0.000000001</f>
        <v>-4.58968556017458</v>
      </c>
      <c r="Z777" s="55" t="n">
        <f aca="false">X777+ROW()*0.000000001</f>
        <v>44.9430263451818</v>
      </c>
    </row>
    <row r="778" customFormat="false" ht="15" hidden="false" customHeight="false" outlineLevel="0" collapsed="false">
      <c r="A778" s="0" t="n">
        <v>2</v>
      </c>
      <c r="B778" s="0" t="n">
        <v>11</v>
      </c>
      <c r="C778" s="0" t="n">
        <v>8</v>
      </c>
      <c r="D778" s="0" t="n">
        <f aca="false">-1+A778*0.125</f>
        <v>-0.75</v>
      </c>
      <c r="E778" s="0" t="n">
        <f aca="false">-1+B778*0.125</f>
        <v>0.375</v>
      </c>
      <c r="F778" s="0" t="n">
        <f aca="false">-1+C778*0.125</f>
        <v>0</v>
      </c>
      <c r="G778" s="0" t="n">
        <f aca="false">1</f>
        <v>1</v>
      </c>
      <c r="H778" s="0" t="n">
        <f aca="false">D778</f>
        <v>-0.75</v>
      </c>
      <c r="I778" s="0" t="n">
        <f aca="false">E778</f>
        <v>0.375</v>
      </c>
      <c r="J778" s="0" t="n">
        <f aca="false">F778</f>
        <v>0</v>
      </c>
      <c r="K778" s="0" t="n">
        <f aca="false">D778*E778</f>
        <v>-0.28125</v>
      </c>
      <c r="L778" s="0" t="n">
        <f aca="false">D778*F778</f>
        <v>-0</v>
      </c>
      <c r="M778" s="0" t="n">
        <f aca="false">E778*F778</f>
        <v>0</v>
      </c>
      <c r="N778" s="0" t="n">
        <f aca="false">D778*D778</f>
        <v>0.5625</v>
      </c>
      <c r="O778" s="0" t="n">
        <f aca="false">E778*E778</f>
        <v>0.140625</v>
      </c>
      <c r="P778" s="0" t="n">
        <f aca="false">F778*F778</f>
        <v>0</v>
      </c>
      <c r="Q778" s="0" t="n">
        <f aca="false">SUMPRODUCT(G778:P778,_XtX!$B$71:$K$71)</f>
        <v>45.1690767045455</v>
      </c>
      <c r="R778" s="0" t="n">
        <f aca="false">SUMPRODUCT(MMULT(G778:P778,_XtX!$B$58:$K$67),G778:P778)</f>
        <v>0.235136274857955</v>
      </c>
      <c r="S778" s="0" t="n">
        <f aca="false">04_回帰ANOVA!$K$19*04_回帰ANOVA!$K$14*SQRT(1+R778)</f>
        <v>1.03329439695656</v>
      </c>
      <c r="T778" s="0" t="n">
        <f aca="false">Q778-S778</f>
        <v>44.1357823075889</v>
      </c>
      <c r="U778" s="0" t="n">
        <f aca="false">Q778+S778</f>
        <v>46.202371101502</v>
      </c>
      <c r="V778" s="54" t="b">
        <f aca="false">AND(D778&gt;=01_因子設定!$L$5-0.000000001,D778&lt;=01_因子設定!$M$5+0.000000001,E778&gt;=01_因子設定!$L$6-0.000000001,E778&lt;=01_因子設定!$M$6+0.000000001,F778&gt;=01_因子設定!$L$7-0.000000001,F778&lt;=01_因子設定!$M$7+0.000000001,IF(01_因子設定!$B$20="Box-Behnken",D778^2+E778^2+F778^2&lt;=2+0.000000001,TRUE()))</f>
        <v>1</v>
      </c>
      <c r="W778" s="55" t="n">
        <f aca="false">IF(V778,IF(01_因子設定!$B$13="最大化",T778-01_因子設定!$B$14,IF(01_因子設定!$B$13="最小化",01_因子設定!$B$15-U778,MIN(T778-01_因子設定!$B$14,01_因子設定!$B$15-U778))),-1E+030)</f>
        <v>-4.3642176924111</v>
      </c>
      <c r="X778" s="55" t="n">
        <f aca="false">IF(V778,IF(01_因子設定!$B$13="最大化",Q778,IF(01_因子設定!$B$13="最小化",-Q778,-ABS(Q778-01_因子設定!$B$16))),-1E+030)</f>
        <v>45.1690767045455</v>
      </c>
      <c r="Y778" s="55" t="n">
        <f aca="false">W778+ROW()*0.000000001</f>
        <v>-4.3642169144111</v>
      </c>
      <c r="Z778" s="55" t="n">
        <f aca="false">X778+ROW()*0.000000001</f>
        <v>45.1690774825455</v>
      </c>
    </row>
    <row r="779" customFormat="false" ht="15" hidden="false" customHeight="false" outlineLevel="0" collapsed="false">
      <c r="A779" s="0" t="n">
        <v>2</v>
      </c>
      <c r="B779" s="0" t="n">
        <v>11</v>
      </c>
      <c r="C779" s="0" t="n">
        <v>9</v>
      </c>
      <c r="D779" s="0" t="n">
        <f aca="false">-1+A779*0.125</f>
        <v>-0.75</v>
      </c>
      <c r="E779" s="0" t="n">
        <f aca="false">-1+B779*0.125</f>
        <v>0.375</v>
      </c>
      <c r="F779" s="0" t="n">
        <f aca="false">-1+C779*0.125</f>
        <v>0.125</v>
      </c>
      <c r="G779" s="0" t="n">
        <f aca="false">1</f>
        <v>1</v>
      </c>
      <c r="H779" s="0" t="n">
        <f aca="false">D779</f>
        <v>-0.75</v>
      </c>
      <c r="I779" s="0" t="n">
        <f aca="false">E779</f>
        <v>0.375</v>
      </c>
      <c r="J779" s="0" t="n">
        <f aca="false">F779</f>
        <v>0.125</v>
      </c>
      <c r="K779" s="0" t="n">
        <f aca="false">D779*E779</f>
        <v>-0.28125</v>
      </c>
      <c r="L779" s="0" t="n">
        <f aca="false">D779*F779</f>
        <v>-0.09375</v>
      </c>
      <c r="M779" s="0" t="n">
        <f aca="false">E779*F779</f>
        <v>0.046875</v>
      </c>
      <c r="N779" s="0" t="n">
        <f aca="false">D779*D779</f>
        <v>0.5625</v>
      </c>
      <c r="O779" s="0" t="n">
        <f aca="false">E779*E779</f>
        <v>0.140625</v>
      </c>
      <c r="P779" s="0" t="n">
        <f aca="false">F779*F779</f>
        <v>0.015625</v>
      </c>
      <c r="Q779" s="0" t="n">
        <f aca="false">SUMPRODUCT(G779:P779,_XtX!$B$71:$K$71)</f>
        <v>45.3583380681818</v>
      </c>
      <c r="R779" s="0" t="n">
        <f aca="false">SUMPRODUCT(MMULT(G779:P779,_XtX!$B$58:$K$67),G779:P779)</f>
        <v>0.233744118430398</v>
      </c>
      <c r="S779" s="0" t="n">
        <f aca="false">04_回帰ANOVA!$K$19*04_回帰ANOVA!$K$14*SQRT(1+R779)</f>
        <v>1.0327119053564</v>
      </c>
      <c r="T779" s="0" t="n">
        <f aca="false">Q779-S779</f>
        <v>44.3256261628254</v>
      </c>
      <c r="U779" s="0" t="n">
        <f aca="false">Q779+S779</f>
        <v>46.3910499735382</v>
      </c>
      <c r="V779" s="54" t="b">
        <f aca="false">AND(D779&gt;=01_因子設定!$L$5-0.000000001,D779&lt;=01_因子設定!$M$5+0.000000001,E779&gt;=01_因子設定!$L$6-0.000000001,E779&lt;=01_因子設定!$M$6+0.000000001,F779&gt;=01_因子設定!$L$7-0.000000001,F779&lt;=01_因子設定!$M$7+0.000000001,IF(01_因子設定!$B$20="Box-Behnken",D779^2+E779^2+F779^2&lt;=2+0.000000001,TRUE()))</f>
        <v>1</v>
      </c>
      <c r="W779" s="55" t="n">
        <f aca="false">IF(V779,IF(01_因子設定!$B$13="最大化",T779-01_因子設定!$B$14,IF(01_因子設定!$B$13="最小化",01_因子設定!$B$15-U779,MIN(T779-01_因子設定!$B$14,01_因子設定!$B$15-U779))),-1E+030)</f>
        <v>-4.17437383717459</v>
      </c>
      <c r="X779" s="55" t="n">
        <f aca="false">IF(V779,IF(01_因子設定!$B$13="最大化",Q779,IF(01_因子設定!$B$13="最小化",-Q779,-ABS(Q779-01_因子設定!$B$16))),-1E+030)</f>
        <v>45.3583380681818</v>
      </c>
      <c r="Y779" s="55" t="n">
        <f aca="false">W779+ROW()*0.000000001</f>
        <v>-4.17437305817459</v>
      </c>
      <c r="Z779" s="55" t="n">
        <f aca="false">X779+ROW()*0.000000001</f>
        <v>45.3583388471818</v>
      </c>
    </row>
    <row r="780" customFormat="false" ht="15" hidden="false" customHeight="false" outlineLevel="0" collapsed="false">
      <c r="A780" s="0" t="n">
        <v>2</v>
      </c>
      <c r="B780" s="0" t="n">
        <v>11</v>
      </c>
      <c r="C780" s="0" t="n">
        <v>10</v>
      </c>
      <c r="D780" s="0" t="n">
        <f aca="false">-1+A780*0.125</f>
        <v>-0.75</v>
      </c>
      <c r="E780" s="0" t="n">
        <f aca="false">-1+B780*0.125</f>
        <v>0.375</v>
      </c>
      <c r="F780" s="0" t="n">
        <f aca="false">-1+C780*0.125</f>
        <v>0.25</v>
      </c>
      <c r="G780" s="0" t="n">
        <f aca="false">1</f>
        <v>1</v>
      </c>
      <c r="H780" s="0" t="n">
        <f aca="false">D780</f>
        <v>-0.75</v>
      </c>
      <c r="I780" s="0" t="n">
        <f aca="false">E780</f>
        <v>0.375</v>
      </c>
      <c r="J780" s="0" t="n">
        <f aca="false">F780</f>
        <v>0.25</v>
      </c>
      <c r="K780" s="0" t="n">
        <f aca="false">D780*E780</f>
        <v>-0.28125</v>
      </c>
      <c r="L780" s="0" t="n">
        <f aca="false">D780*F780</f>
        <v>-0.1875</v>
      </c>
      <c r="M780" s="0" t="n">
        <f aca="false">E780*F780</f>
        <v>0.09375</v>
      </c>
      <c r="N780" s="0" t="n">
        <f aca="false">D780*D780</f>
        <v>0.5625</v>
      </c>
      <c r="O780" s="0" t="n">
        <f aca="false">E780*E780</f>
        <v>0.140625</v>
      </c>
      <c r="P780" s="0" t="n">
        <f aca="false">F780*F780</f>
        <v>0.0625</v>
      </c>
      <c r="Q780" s="0" t="n">
        <f aca="false">SUMPRODUCT(G780:P780,_XtX!$B$71:$K$71)</f>
        <v>45.5108096590909</v>
      </c>
      <c r="R780" s="0" t="n">
        <f aca="false">SUMPRODUCT(MMULT(G780:P780,_XtX!$B$58:$K$67),G780:P780)</f>
        <v>0.230632990056818</v>
      </c>
      <c r="S780" s="0" t="n">
        <f aca="false">04_回帰ANOVA!$K$19*04_回帰ANOVA!$K$14*SQRT(1+R780)</f>
        <v>1.03140899038819</v>
      </c>
      <c r="T780" s="0" t="n">
        <f aca="false">Q780-S780</f>
        <v>44.4794006687027</v>
      </c>
      <c r="U780" s="0" t="n">
        <f aca="false">Q780+S780</f>
        <v>46.5422186494791</v>
      </c>
      <c r="V780" s="54" t="b">
        <f aca="false">AND(D780&gt;=01_因子設定!$L$5-0.000000001,D780&lt;=01_因子設定!$M$5+0.000000001,E780&gt;=01_因子設定!$L$6-0.000000001,E780&lt;=01_因子設定!$M$6+0.000000001,F780&gt;=01_因子設定!$L$7-0.000000001,F780&lt;=01_因子設定!$M$7+0.000000001,IF(01_因子設定!$B$20="Box-Behnken",D780^2+E780^2+F780^2&lt;=2+0.000000001,TRUE()))</f>
        <v>1</v>
      </c>
      <c r="W780" s="55" t="n">
        <f aca="false">IF(V780,IF(01_因子設定!$B$13="最大化",T780-01_因子設定!$B$14,IF(01_因子設定!$B$13="最小化",01_因子設定!$B$15-U780,MIN(T780-01_因子設定!$B$14,01_因子設定!$B$15-U780))),-1E+030)</f>
        <v>-4.02059933129728</v>
      </c>
      <c r="X780" s="55" t="n">
        <f aca="false">IF(V780,IF(01_因子設定!$B$13="最大化",Q780,IF(01_因子設定!$B$13="最小化",-Q780,-ABS(Q780-01_因子設定!$B$16))),-1E+030)</f>
        <v>45.5108096590909</v>
      </c>
      <c r="Y780" s="55" t="n">
        <f aca="false">W780+ROW()*0.000000001</f>
        <v>-4.02059855129728</v>
      </c>
      <c r="Z780" s="55" t="n">
        <f aca="false">X780+ROW()*0.000000001</f>
        <v>45.5108104390909</v>
      </c>
    </row>
    <row r="781" customFormat="false" ht="15" hidden="false" customHeight="false" outlineLevel="0" collapsed="false">
      <c r="A781" s="0" t="n">
        <v>2</v>
      </c>
      <c r="B781" s="0" t="n">
        <v>11</v>
      </c>
      <c r="C781" s="0" t="n">
        <v>11</v>
      </c>
      <c r="D781" s="0" t="n">
        <f aca="false">-1+A781*0.125</f>
        <v>-0.75</v>
      </c>
      <c r="E781" s="0" t="n">
        <f aca="false">-1+B781*0.125</f>
        <v>0.375</v>
      </c>
      <c r="F781" s="0" t="n">
        <f aca="false">-1+C781*0.125</f>
        <v>0.375</v>
      </c>
      <c r="G781" s="0" t="n">
        <f aca="false">1</f>
        <v>1</v>
      </c>
      <c r="H781" s="0" t="n">
        <f aca="false">D781</f>
        <v>-0.75</v>
      </c>
      <c r="I781" s="0" t="n">
        <f aca="false">E781</f>
        <v>0.375</v>
      </c>
      <c r="J781" s="0" t="n">
        <f aca="false">F781</f>
        <v>0.375</v>
      </c>
      <c r="K781" s="0" t="n">
        <f aca="false">D781*E781</f>
        <v>-0.28125</v>
      </c>
      <c r="L781" s="0" t="n">
        <f aca="false">D781*F781</f>
        <v>-0.28125</v>
      </c>
      <c r="M781" s="0" t="n">
        <f aca="false">E781*F781</f>
        <v>0.140625</v>
      </c>
      <c r="N781" s="0" t="n">
        <f aca="false">D781*D781</f>
        <v>0.5625</v>
      </c>
      <c r="O781" s="0" t="n">
        <f aca="false">E781*E781</f>
        <v>0.140625</v>
      </c>
      <c r="P781" s="0" t="n">
        <f aca="false">F781*F781</f>
        <v>0.140625</v>
      </c>
      <c r="Q781" s="0" t="n">
        <f aca="false">SUMPRODUCT(G781:P781,_XtX!$B$71:$K$71)</f>
        <v>45.6264914772727</v>
      </c>
      <c r="R781" s="0" t="n">
        <f aca="false">SUMPRODUCT(MMULT(G781:P781,_XtX!$B$58:$K$67),G781:P781)</f>
        <v>0.228998912464489</v>
      </c>
      <c r="S781" s="0" t="n">
        <f aca="false">04_回帰ANOVA!$K$19*04_回帰ANOVA!$K$14*SQRT(1+R781)</f>
        <v>1.03072399242813</v>
      </c>
      <c r="T781" s="0" t="n">
        <f aca="false">Q781-S781</f>
        <v>44.5957674848446</v>
      </c>
      <c r="U781" s="0" t="n">
        <f aca="false">Q781+S781</f>
        <v>46.6572154697009</v>
      </c>
      <c r="V781" s="54" t="b">
        <f aca="false">AND(D781&gt;=01_因子設定!$L$5-0.000000001,D781&lt;=01_因子設定!$M$5+0.000000001,E781&gt;=01_因子設定!$L$6-0.000000001,E781&lt;=01_因子設定!$M$6+0.000000001,F781&gt;=01_因子設定!$L$7-0.000000001,F781&lt;=01_因子設定!$M$7+0.000000001,IF(01_因子設定!$B$20="Box-Behnken",D781^2+E781^2+F781^2&lt;=2+0.000000001,TRUE()))</f>
        <v>1</v>
      </c>
      <c r="W781" s="55" t="n">
        <f aca="false">IF(V781,IF(01_因子設定!$B$13="最大化",T781-01_因子設定!$B$14,IF(01_因子設定!$B$13="最小化",01_因子設定!$B$15-U781,MIN(T781-01_因子設定!$B$14,01_因子設定!$B$15-U781))),-1E+030)</f>
        <v>-3.9042325151554</v>
      </c>
      <c r="X781" s="55" t="n">
        <f aca="false">IF(V781,IF(01_因子設定!$B$13="最大化",Q781,IF(01_因子設定!$B$13="最小化",-Q781,-ABS(Q781-01_因子設定!$B$16))),-1E+030)</f>
        <v>45.6264914772727</v>
      </c>
      <c r="Y781" s="55" t="n">
        <f aca="false">W781+ROW()*0.000000001</f>
        <v>-3.9042317341554</v>
      </c>
      <c r="Z781" s="55" t="n">
        <f aca="false">X781+ROW()*0.000000001</f>
        <v>45.6264922582727</v>
      </c>
    </row>
    <row r="782" customFormat="false" ht="15" hidden="false" customHeight="false" outlineLevel="0" collapsed="false">
      <c r="A782" s="0" t="n">
        <v>2</v>
      </c>
      <c r="B782" s="0" t="n">
        <v>11</v>
      </c>
      <c r="C782" s="0" t="n">
        <v>12</v>
      </c>
      <c r="D782" s="0" t="n">
        <f aca="false">-1+A782*0.125</f>
        <v>-0.75</v>
      </c>
      <c r="E782" s="0" t="n">
        <f aca="false">-1+B782*0.125</f>
        <v>0.375</v>
      </c>
      <c r="F782" s="0" t="n">
        <f aca="false">-1+C782*0.125</f>
        <v>0.5</v>
      </c>
      <c r="G782" s="0" t="n">
        <f aca="false">1</f>
        <v>1</v>
      </c>
      <c r="H782" s="0" t="n">
        <f aca="false">D782</f>
        <v>-0.75</v>
      </c>
      <c r="I782" s="0" t="n">
        <f aca="false">E782</f>
        <v>0.375</v>
      </c>
      <c r="J782" s="0" t="n">
        <f aca="false">F782</f>
        <v>0.5</v>
      </c>
      <c r="K782" s="0" t="n">
        <f aca="false">D782*E782</f>
        <v>-0.28125</v>
      </c>
      <c r="L782" s="0" t="n">
        <f aca="false">D782*F782</f>
        <v>-0.375</v>
      </c>
      <c r="M782" s="0" t="n">
        <f aca="false">E782*F782</f>
        <v>0.1875</v>
      </c>
      <c r="N782" s="0" t="n">
        <f aca="false">D782*D782</f>
        <v>0.5625</v>
      </c>
      <c r="O782" s="0" t="n">
        <f aca="false">E782*E782</f>
        <v>0.140625</v>
      </c>
      <c r="P782" s="0" t="n">
        <f aca="false">F782*F782</f>
        <v>0.25</v>
      </c>
      <c r="Q782" s="0" t="n">
        <f aca="false">SUMPRODUCT(G782:P782,_XtX!$B$71:$K$71)</f>
        <v>45.7053835227273</v>
      </c>
      <c r="R782" s="0" t="n">
        <f aca="false">SUMPRODUCT(MMULT(G782:P782,_XtX!$B$58:$K$67),G782:P782)</f>
        <v>0.234168590198864</v>
      </c>
      <c r="S782" s="0" t="n">
        <f aca="false">04_回帰ANOVA!$K$19*04_回帰ANOVA!$K$14*SQRT(1+R782)</f>
        <v>1.03288954322488</v>
      </c>
      <c r="T782" s="0" t="n">
        <f aca="false">Q782-S782</f>
        <v>44.6724939795024</v>
      </c>
      <c r="U782" s="0" t="n">
        <f aca="false">Q782+S782</f>
        <v>46.7382730659522</v>
      </c>
      <c r="V782" s="54" t="b">
        <f aca="false">AND(D782&gt;=01_因子設定!$L$5-0.000000001,D782&lt;=01_因子設定!$M$5+0.000000001,E782&gt;=01_因子設定!$L$6-0.000000001,E782&lt;=01_因子設定!$M$6+0.000000001,F782&gt;=01_因子設定!$L$7-0.000000001,F782&lt;=01_因子設定!$M$7+0.000000001,IF(01_因子設定!$B$20="Box-Behnken",D782^2+E782^2+F782^2&lt;=2+0.000000001,TRUE()))</f>
        <v>1</v>
      </c>
      <c r="W782" s="55" t="n">
        <f aca="false">IF(V782,IF(01_因子設定!$B$13="最大化",T782-01_因子設定!$B$14,IF(01_因子設定!$B$13="最小化",01_因子設定!$B$15-U782,MIN(T782-01_因子設定!$B$14,01_因子設定!$B$15-U782))),-1E+030)</f>
        <v>-3.8275060204976</v>
      </c>
      <c r="X782" s="55" t="n">
        <f aca="false">IF(V782,IF(01_因子設定!$B$13="最大化",Q782,IF(01_因子設定!$B$13="最小化",-Q782,-ABS(Q782-01_因子設定!$B$16))),-1E+030)</f>
        <v>45.7053835227273</v>
      </c>
      <c r="Y782" s="55" t="n">
        <f aca="false">W782+ROW()*0.000000001</f>
        <v>-3.8275052384976</v>
      </c>
      <c r="Z782" s="55" t="n">
        <f aca="false">X782+ROW()*0.000000001</f>
        <v>45.7053843047273</v>
      </c>
    </row>
    <row r="783" customFormat="false" ht="15" hidden="false" customHeight="false" outlineLevel="0" collapsed="false">
      <c r="A783" s="0" t="n">
        <v>2</v>
      </c>
      <c r="B783" s="0" t="n">
        <v>11</v>
      </c>
      <c r="C783" s="0" t="n">
        <v>13</v>
      </c>
      <c r="D783" s="0" t="n">
        <f aca="false">-1+A783*0.125</f>
        <v>-0.75</v>
      </c>
      <c r="E783" s="0" t="n">
        <f aca="false">-1+B783*0.125</f>
        <v>0.375</v>
      </c>
      <c r="F783" s="0" t="n">
        <f aca="false">-1+C783*0.125</f>
        <v>0.625</v>
      </c>
      <c r="G783" s="0" t="n">
        <f aca="false">1</f>
        <v>1</v>
      </c>
      <c r="H783" s="0" t="n">
        <f aca="false">D783</f>
        <v>-0.75</v>
      </c>
      <c r="I783" s="0" t="n">
        <f aca="false">E783</f>
        <v>0.375</v>
      </c>
      <c r="J783" s="0" t="n">
        <f aca="false">F783</f>
        <v>0.625</v>
      </c>
      <c r="K783" s="0" t="n">
        <f aca="false">D783*E783</f>
        <v>-0.28125</v>
      </c>
      <c r="L783" s="0" t="n">
        <f aca="false">D783*F783</f>
        <v>-0.46875</v>
      </c>
      <c r="M783" s="0" t="n">
        <f aca="false">E783*F783</f>
        <v>0.234375</v>
      </c>
      <c r="N783" s="0" t="n">
        <f aca="false">D783*D783</f>
        <v>0.5625</v>
      </c>
      <c r="O783" s="0" t="n">
        <f aca="false">E783*E783</f>
        <v>0.140625</v>
      </c>
      <c r="P783" s="0" t="n">
        <f aca="false">F783*F783</f>
        <v>0.390625</v>
      </c>
      <c r="Q783" s="0" t="n">
        <f aca="false">SUMPRODUCT(G783:P783,_XtX!$B$71:$K$71)</f>
        <v>45.7474857954546</v>
      </c>
      <c r="R783" s="0" t="n">
        <f aca="false">SUMPRODUCT(MMULT(G783:P783,_XtX!$B$58:$K$67),G783:P783)</f>
        <v>0.25359940962358</v>
      </c>
      <c r="S783" s="0" t="n">
        <f aca="false">04_回帰ANOVA!$K$19*04_回帰ANOVA!$K$14*SQRT(1+R783)</f>
        <v>1.04098872464599</v>
      </c>
      <c r="T783" s="0" t="n">
        <f aca="false">Q783-S783</f>
        <v>44.7064970708086</v>
      </c>
      <c r="U783" s="0" t="n">
        <f aca="false">Q783+S783</f>
        <v>46.7884745201005</v>
      </c>
      <c r="V783" s="54" t="b">
        <f aca="false">AND(D783&gt;=01_因子設定!$L$5-0.000000001,D783&lt;=01_因子設定!$M$5+0.000000001,E783&gt;=01_因子設定!$L$6-0.000000001,E783&lt;=01_因子設定!$M$6+0.000000001,F783&gt;=01_因子設定!$L$7-0.000000001,F783&lt;=01_因子設定!$M$7+0.000000001,IF(01_因子設定!$B$20="Box-Behnken",D783^2+E783^2+F783^2&lt;=2+0.000000001,TRUE()))</f>
        <v>1</v>
      </c>
      <c r="W783" s="55" t="n">
        <f aca="false">IF(V783,IF(01_因子設定!$B$13="最大化",T783-01_因子設定!$B$14,IF(01_因子設定!$B$13="最小化",01_因子設定!$B$15-U783,MIN(T783-01_因子設定!$B$14,01_因子設定!$B$15-U783))),-1E+030)</f>
        <v>-3.79350292919143</v>
      </c>
      <c r="X783" s="55" t="n">
        <f aca="false">IF(V783,IF(01_因子設定!$B$13="最大化",Q783,IF(01_因子設定!$B$13="最小化",-Q783,-ABS(Q783-01_因子設定!$B$16))),-1E+030)</f>
        <v>45.7474857954546</v>
      </c>
      <c r="Y783" s="55" t="n">
        <f aca="false">W783+ROW()*0.000000001</f>
        <v>-3.79350214619143</v>
      </c>
      <c r="Z783" s="55" t="n">
        <f aca="false">X783+ROW()*0.000000001</f>
        <v>45.7474865784546</v>
      </c>
    </row>
    <row r="784" customFormat="false" ht="15" hidden="false" customHeight="false" outlineLevel="0" collapsed="false">
      <c r="A784" s="0" t="n">
        <v>2</v>
      </c>
      <c r="B784" s="0" t="n">
        <v>11</v>
      </c>
      <c r="C784" s="0" t="n">
        <v>14</v>
      </c>
      <c r="D784" s="0" t="n">
        <f aca="false">-1+A784*0.125</f>
        <v>-0.75</v>
      </c>
      <c r="E784" s="0" t="n">
        <f aca="false">-1+B784*0.125</f>
        <v>0.375</v>
      </c>
      <c r="F784" s="0" t="n">
        <f aca="false">-1+C784*0.125</f>
        <v>0.75</v>
      </c>
      <c r="G784" s="0" t="n">
        <f aca="false">1</f>
        <v>1</v>
      </c>
      <c r="H784" s="0" t="n">
        <f aca="false">D784</f>
        <v>-0.75</v>
      </c>
      <c r="I784" s="0" t="n">
        <f aca="false">E784</f>
        <v>0.375</v>
      </c>
      <c r="J784" s="0" t="n">
        <f aca="false">F784</f>
        <v>0.75</v>
      </c>
      <c r="K784" s="0" t="n">
        <f aca="false">D784*E784</f>
        <v>-0.28125</v>
      </c>
      <c r="L784" s="0" t="n">
        <f aca="false">D784*F784</f>
        <v>-0.5625</v>
      </c>
      <c r="M784" s="0" t="n">
        <f aca="false">E784*F784</f>
        <v>0.28125</v>
      </c>
      <c r="N784" s="0" t="n">
        <f aca="false">D784*D784</f>
        <v>0.5625</v>
      </c>
      <c r="O784" s="0" t="n">
        <f aca="false">E784*E784</f>
        <v>0.140625</v>
      </c>
      <c r="P784" s="0" t="n">
        <f aca="false">F784*F784</f>
        <v>0.5625</v>
      </c>
      <c r="Q784" s="0" t="n">
        <f aca="false">SUMPRODUCT(G784:P784,_XtX!$B$71:$K$71)</f>
        <v>45.7527982954546</v>
      </c>
      <c r="R784" s="0" t="n">
        <f aca="false">SUMPRODUCT(MMULT(G784:P784,_XtX!$B$58:$K$67),G784:P784)</f>
        <v>0.296879438920455</v>
      </c>
      <c r="S784" s="0" t="n">
        <f aca="false">04_回帰ANOVA!$K$19*04_回帰ANOVA!$K$14*SQRT(1+R784)</f>
        <v>1.05880610927316</v>
      </c>
      <c r="T784" s="0" t="n">
        <f aca="false">Q784-S784</f>
        <v>44.6939921861814</v>
      </c>
      <c r="U784" s="0" t="n">
        <f aca="false">Q784+S784</f>
        <v>46.8116044047277</v>
      </c>
      <c r="V784" s="54" t="b">
        <f aca="false">AND(D784&gt;=01_因子設定!$L$5-0.000000001,D784&lt;=01_因子設定!$M$5+0.000000001,E784&gt;=01_因子設定!$L$6-0.000000001,E784&lt;=01_因子設定!$M$6+0.000000001,F784&gt;=01_因子設定!$L$7-0.000000001,F784&lt;=01_因子設定!$M$7+0.000000001,IF(01_因子設定!$B$20="Box-Behnken",D784^2+E784^2+F784^2&lt;=2+0.000000001,TRUE()))</f>
        <v>1</v>
      </c>
      <c r="W784" s="55" t="n">
        <f aca="false">IF(V784,IF(01_因子設定!$B$13="最大化",T784-01_因子設定!$B$14,IF(01_因子設定!$B$13="最小化",01_因子設定!$B$15-U784,MIN(T784-01_因子設定!$B$14,01_因子設定!$B$15-U784))),-1E+030)</f>
        <v>-3.80600781381861</v>
      </c>
      <c r="X784" s="55" t="n">
        <f aca="false">IF(V784,IF(01_因子設定!$B$13="最大化",Q784,IF(01_因子設定!$B$13="最小化",-Q784,-ABS(Q784-01_因子設定!$B$16))),-1E+030)</f>
        <v>45.7527982954546</v>
      </c>
      <c r="Y784" s="55" t="n">
        <f aca="false">W784+ROW()*0.000000001</f>
        <v>-3.80600702981861</v>
      </c>
      <c r="Z784" s="55" t="n">
        <f aca="false">X784+ROW()*0.000000001</f>
        <v>45.7527990794546</v>
      </c>
    </row>
    <row r="785" customFormat="false" ht="15" hidden="false" customHeight="false" outlineLevel="0" collapsed="false">
      <c r="A785" s="0" t="n">
        <v>2</v>
      </c>
      <c r="B785" s="0" t="n">
        <v>11</v>
      </c>
      <c r="C785" s="0" t="n">
        <v>15</v>
      </c>
      <c r="D785" s="0" t="n">
        <f aca="false">-1+A785*0.125</f>
        <v>-0.75</v>
      </c>
      <c r="E785" s="0" t="n">
        <f aca="false">-1+B785*0.125</f>
        <v>0.375</v>
      </c>
      <c r="F785" s="0" t="n">
        <f aca="false">-1+C785*0.125</f>
        <v>0.875</v>
      </c>
      <c r="G785" s="0" t="n">
        <f aca="false">1</f>
        <v>1</v>
      </c>
      <c r="H785" s="0" t="n">
        <f aca="false">D785</f>
        <v>-0.75</v>
      </c>
      <c r="I785" s="0" t="n">
        <f aca="false">E785</f>
        <v>0.375</v>
      </c>
      <c r="J785" s="0" t="n">
        <f aca="false">F785</f>
        <v>0.875</v>
      </c>
      <c r="K785" s="0" t="n">
        <f aca="false">D785*E785</f>
        <v>-0.28125</v>
      </c>
      <c r="L785" s="0" t="n">
        <f aca="false">D785*F785</f>
        <v>-0.65625</v>
      </c>
      <c r="M785" s="0" t="n">
        <f aca="false">E785*F785</f>
        <v>0.328125</v>
      </c>
      <c r="N785" s="0" t="n">
        <f aca="false">D785*D785</f>
        <v>0.5625</v>
      </c>
      <c r="O785" s="0" t="n">
        <f aca="false">E785*E785</f>
        <v>0.140625</v>
      </c>
      <c r="P785" s="0" t="n">
        <f aca="false">F785*F785</f>
        <v>0.765625</v>
      </c>
      <c r="Q785" s="0" t="n">
        <f aca="false">SUMPRODUCT(G785:P785,_XtX!$B$71:$K$71)</f>
        <v>45.7213210227273</v>
      </c>
      <c r="R785" s="0" t="n">
        <f aca="false">SUMPRODUCT(MMULT(G785:P785,_XtX!$B$58:$K$67),G785:P785)</f>
        <v>0.375727428089489</v>
      </c>
      <c r="S785" s="0" t="n">
        <f aca="false">04_回帰ANOVA!$K$19*04_回帰ANOVA!$K$14*SQRT(1+R785)</f>
        <v>1.09051798904087</v>
      </c>
      <c r="T785" s="0" t="n">
        <f aca="false">Q785-S785</f>
        <v>44.6308030336864</v>
      </c>
      <c r="U785" s="0" t="n">
        <f aca="false">Q785+S785</f>
        <v>46.8118390117682</v>
      </c>
      <c r="V785" s="54" t="b">
        <f aca="false">AND(D785&gt;=01_因子設定!$L$5-0.000000001,D785&lt;=01_因子設定!$M$5+0.000000001,E785&gt;=01_因子設定!$L$6-0.000000001,E785&lt;=01_因子設定!$M$6+0.000000001,F785&gt;=01_因子設定!$L$7-0.000000001,F785&lt;=01_因子設定!$M$7+0.000000001,IF(01_因子設定!$B$20="Box-Behnken",D785^2+E785^2+F785^2&lt;=2+0.000000001,TRUE()))</f>
        <v>1</v>
      </c>
      <c r="W785" s="55" t="n">
        <f aca="false">IF(V785,IF(01_因子設定!$B$13="最大化",T785-01_因子設定!$B$14,IF(01_因子設定!$B$13="最小化",01_因子設定!$B$15-U785,MIN(T785-01_因子設定!$B$14,01_因子設定!$B$15-U785))),-1E+030)</f>
        <v>-3.8691969663136</v>
      </c>
      <c r="X785" s="55" t="n">
        <f aca="false">IF(V785,IF(01_因子設定!$B$13="最大化",Q785,IF(01_因子設定!$B$13="最小化",-Q785,-ABS(Q785-01_因子設定!$B$16))),-1E+030)</f>
        <v>45.7213210227273</v>
      </c>
      <c r="Y785" s="55" t="n">
        <f aca="false">W785+ROW()*0.000000001</f>
        <v>-3.8691961813136</v>
      </c>
      <c r="Z785" s="55" t="n">
        <f aca="false">X785+ROW()*0.000000001</f>
        <v>45.7213218077273</v>
      </c>
    </row>
    <row r="786" customFormat="false" ht="15" hidden="false" customHeight="false" outlineLevel="0" collapsed="false">
      <c r="A786" s="0" t="n">
        <v>2</v>
      </c>
      <c r="B786" s="0" t="n">
        <v>11</v>
      </c>
      <c r="C786" s="0" t="n">
        <v>16</v>
      </c>
      <c r="D786" s="0" t="n">
        <f aca="false">-1+A786*0.125</f>
        <v>-0.75</v>
      </c>
      <c r="E786" s="0" t="n">
        <f aca="false">-1+B786*0.125</f>
        <v>0.375</v>
      </c>
      <c r="F786" s="0" t="n">
        <f aca="false">-1+C786*0.125</f>
        <v>1</v>
      </c>
      <c r="G786" s="0" t="n">
        <f aca="false">1</f>
        <v>1</v>
      </c>
      <c r="H786" s="0" t="n">
        <f aca="false">D786</f>
        <v>-0.75</v>
      </c>
      <c r="I786" s="0" t="n">
        <f aca="false">E786</f>
        <v>0.375</v>
      </c>
      <c r="J786" s="0" t="n">
        <f aca="false">F786</f>
        <v>1</v>
      </c>
      <c r="K786" s="0" t="n">
        <f aca="false">D786*E786</f>
        <v>-0.28125</v>
      </c>
      <c r="L786" s="0" t="n">
        <f aca="false">D786*F786</f>
        <v>-0.75</v>
      </c>
      <c r="M786" s="0" t="n">
        <f aca="false">E786*F786</f>
        <v>0.375</v>
      </c>
      <c r="N786" s="0" t="n">
        <f aca="false">D786*D786</f>
        <v>0.5625</v>
      </c>
      <c r="O786" s="0" t="n">
        <f aca="false">E786*E786</f>
        <v>0.140625</v>
      </c>
      <c r="P786" s="0" t="n">
        <f aca="false">F786*F786</f>
        <v>1</v>
      </c>
      <c r="Q786" s="0" t="n">
        <f aca="false">SUMPRODUCT(G786:P786,_XtX!$B$71:$K$71)</f>
        <v>45.6530539772727</v>
      </c>
      <c r="R786" s="0" t="n">
        <f aca="false">SUMPRODUCT(MMULT(G786:P786,_XtX!$B$58:$K$67),G786:P786)</f>
        <v>0.503992808948864</v>
      </c>
      <c r="S786" s="0" t="n">
        <f aca="false">04_回帰ANOVA!$K$19*04_回帰ANOVA!$K$14*SQRT(1+R786)</f>
        <v>1.14022226176226</v>
      </c>
      <c r="T786" s="0" t="n">
        <f aca="false">Q786-S786</f>
        <v>44.5128317155105</v>
      </c>
      <c r="U786" s="0" t="n">
        <f aca="false">Q786+S786</f>
        <v>46.793276239035</v>
      </c>
      <c r="V786" s="54" t="b">
        <f aca="false">AND(D786&gt;=01_因子設定!$L$5-0.000000001,D786&lt;=01_因子設定!$M$5+0.000000001,E786&gt;=01_因子設定!$L$6-0.000000001,E786&lt;=01_因子設定!$M$6+0.000000001,F786&gt;=01_因子設定!$L$7-0.000000001,F786&lt;=01_因子設定!$M$7+0.000000001,IF(01_因子設定!$B$20="Box-Behnken",D786^2+E786^2+F786^2&lt;=2+0.000000001,TRUE()))</f>
        <v>1</v>
      </c>
      <c r="W786" s="55" t="n">
        <f aca="false">IF(V786,IF(01_因子設定!$B$13="最大化",T786-01_因子設定!$B$14,IF(01_因子設定!$B$13="最小化",01_因子設定!$B$15-U786,MIN(T786-01_因子設定!$B$14,01_因子設定!$B$15-U786))),-1E+030)</f>
        <v>-3.98716828448952</v>
      </c>
      <c r="X786" s="55" t="n">
        <f aca="false">IF(V786,IF(01_因子設定!$B$13="最大化",Q786,IF(01_因子設定!$B$13="最小化",-Q786,-ABS(Q786-01_因子設定!$B$16))),-1E+030)</f>
        <v>45.6530539772727</v>
      </c>
      <c r="Y786" s="55" t="n">
        <f aca="false">W786+ROW()*0.000000001</f>
        <v>-3.98716749848952</v>
      </c>
      <c r="Z786" s="55" t="n">
        <f aca="false">X786+ROW()*0.000000001</f>
        <v>45.6530547632727</v>
      </c>
    </row>
    <row r="787" customFormat="false" ht="15" hidden="false" customHeight="false" outlineLevel="0" collapsed="false">
      <c r="A787" s="0" t="n">
        <v>2</v>
      </c>
      <c r="B787" s="0" t="n">
        <v>12</v>
      </c>
      <c r="C787" s="0" t="n">
        <v>0</v>
      </c>
      <c r="D787" s="0" t="n">
        <f aca="false">-1+A787*0.125</f>
        <v>-0.75</v>
      </c>
      <c r="E787" s="0" t="n">
        <f aca="false">-1+B787*0.125</f>
        <v>0.5</v>
      </c>
      <c r="F787" s="0" t="n">
        <f aca="false">-1+C787*0.125</f>
        <v>-1</v>
      </c>
      <c r="G787" s="0" t="n">
        <f aca="false">1</f>
        <v>1</v>
      </c>
      <c r="H787" s="0" t="n">
        <f aca="false">D787</f>
        <v>-0.75</v>
      </c>
      <c r="I787" s="0" t="n">
        <f aca="false">E787</f>
        <v>0.5</v>
      </c>
      <c r="J787" s="0" t="n">
        <f aca="false">F787</f>
        <v>-1</v>
      </c>
      <c r="K787" s="0" t="n">
        <f aca="false">D787*E787</f>
        <v>-0.375</v>
      </c>
      <c r="L787" s="0" t="n">
        <f aca="false">D787*F787</f>
        <v>0.75</v>
      </c>
      <c r="M787" s="0" t="n">
        <f aca="false">E787*F787</f>
        <v>-0.5</v>
      </c>
      <c r="N787" s="0" t="n">
        <f aca="false">D787*D787</f>
        <v>0.5625</v>
      </c>
      <c r="O787" s="0" t="n">
        <f aca="false">E787*E787</f>
        <v>0.25</v>
      </c>
      <c r="P787" s="0" t="n">
        <f aca="false">F787*F787</f>
        <v>1</v>
      </c>
      <c r="Q787" s="0" t="n">
        <f aca="false">SUMPRODUCT(G787:P787,_XtX!$B$71:$K$71)</f>
        <v>42.1964772727273</v>
      </c>
      <c r="R787" s="0" t="n">
        <f aca="false">SUMPRODUCT(MMULT(G787:P787,_XtX!$B$58:$K$67),G787:P787)</f>
        <v>0.495276988636364</v>
      </c>
      <c r="S787" s="0" t="n">
        <f aca="false">04_回帰ANOVA!$K$19*04_回帰ANOVA!$K$14*SQRT(1+R787)</f>
        <v>1.13691359828352</v>
      </c>
      <c r="T787" s="0" t="n">
        <f aca="false">Q787-S787</f>
        <v>41.0595636744438</v>
      </c>
      <c r="U787" s="0" t="n">
        <f aca="false">Q787+S787</f>
        <v>43.3333908710108</v>
      </c>
      <c r="V787" s="54" t="b">
        <f aca="false">AND(D787&gt;=01_因子設定!$L$5-0.000000001,D787&lt;=01_因子設定!$M$5+0.000000001,E787&gt;=01_因子設定!$L$6-0.000000001,E787&lt;=01_因子設定!$M$6+0.000000001,F787&gt;=01_因子設定!$L$7-0.000000001,F787&lt;=01_因子設定!$M$7+0.000000001,IF(01_因子設定!$B$20="Box-Behnken",D787^2+E787^2+F787^2&lt;=2+0.000000001,TRUE()))</f>
        <v>1</v>
      </c>
      <c r="W787" s="55" t="n">
        <f aca="false">IF(V787,IF(01_因子設定!$B$13="最大化",T787-01_因子設定!$B$14,IF(01_因子設定!$B$13="最小化",01_因子設定!$B$15-U787,MIN(T787-01_因子設定!$B$14,01_因子設定!$B$15-U787))),-1E+030)</f>
        <v>-7.44043632555623</v>
      </c>
      <c r="X787" s="55" t="n">
        <f aca="false">IF(V787,IF(01_因子設定!$B$13="最大化",Q787,IF(01_因子設定!$B$13="最小化",-Q787,-ABS(Q787-01_因子設定!$B$16))),-1E+030)</f>
        <v>42.1964772727273</v>
      </c>
      <c r="Y787" s="55" t="n">
        <f aca="false">W787+ROW()*0.000000001</f>
        <v>-7.44043553855623</v>
      </c>
      <c r="Z787" s="55" t="n">
        <f aca="false">X787+ROW()*0.000000001</f>
        <v>42.1964780597273</v>
      </c>
    </row>
    <row r="788" customFormat="false" ht="15" hidden="false" customHeight="false" outlineLevel="0" collapsed="false">
      <c r="A788" s="0" t="n">
        <v>2</v>
      </c>
      <c r="B788" s="0" t="n">
        <v>12</v>
      </c>
      <c r="C788" s="0" t="n">
        <v>1</v>
      </c>
      <c r="D788" s="0" t="n">
        <f aca="false">-1+A788*0.125</f>
        <v>-0.75</v>
      </c>
      <c r="E788" s="0" t="n">
        <f aca="false">-1+B788*0.125</f>
        <v>0.5</v>
      </c>
      <c r="F788" s="0" t="n">
        <f aca="false">-1+C788*0.125</f>
        <v>-0.875</v>
      </c>
      <c r="G788" s="0" t="n">
        <f aca="false">1</f>
        <v>1</v>
      </c>
      <c r="H788" s="0" t="n">
        <f aca="false">D788</f>
        <v>-0.75</v>
      </c>
      <c r="I788" s="0" t="n">
        <f aca="false">E788</f>
        <v>0.5</v>
      </c>
      <c r="J788" s="0" t="n">
        <f aca="false">F788</f>
        <v>-0.875</v>
      </c>
      <c r="K788" s="0" t="n">
        <f aca="false">D788*E788</f>
        <v>-0.375</v>
      </c>
      <c r="L788" s="0" t="n">
        <f aca="false">D788*F788</f>
        <v>0.65625</v>
      </c>
      <c r="M788" s="0" t="n">
        <f aca="false">E788*F788</f>
        <v>-0.4375</v>
      </c>
      <c r="N788" s="0" t="n">
        <f aca="false">D788*D788</f>
        <v>0.5625</v>
      </c>
      <c r="O788" s="0" t="n">
        <f aca="false">E788*E788</f>
        <v>0.25</v>
      </c>
      <c r="P788" s="0" t="n">
        <f aca="false">F788*F788</f>
        <v>0.765625</v>
      </c>
      <c r="Q788" s="0" t="n">
        <f aca="false">SUMPRODUCT(G788:P788,_XtX!$B$71:$K$71)</f>
        <v>42.6870880681818</v>
      </c>
      <c r="R788" s="0" t="n">
        <f aca="false">SUMPRODUCT(MMULT(G788:P788,_XtX!$B$58:$K$67),G788:P788)</f>
        <v>0.370798561789773</v>
      </c>
      <c r="S788" s="0" t="n">
        <f aca="false">04_回帰ANOVA!$K$19*04_回帰ANOVA!$K$14*SQRT(1+R788)</f>
        <v>1.08856271788237</v>
      </c>
      <c r="T788" s="0" t="n">
        <f aca="false">Q788-S788</f>
        <v>41.5985253502995</v>
      </c>
      <c r="U788" s="0" t="n">
        <f aca="false">Q788+S788</f>
        <v>43.7756507860642</v>
      </c>
      <c r="V788" s="54" t="b">
        <f aca="false">AND(D788&gt;=01_因子設定!$L$5-0.000000001,D788&lt;=01_因子設定!$M$5+0.000000001,E788&gt;=01_因子設定!$L$6-0.000000001,E788&lt;=01_因子設定!$M$6+0.000000001,F788&gt;=01_因子設定!$L$7-0.000000001,F788&lt;=01_因子設定!$M$7+0.000000001,IF(01_因子設定!$B$20="Box-Behnken",D788^2+E788^2+F788^2&lt;=2+0.000000001,TRUE()))</f>
        <v>1</v>
      </c>
      <c r="W788" s="55" t="n">
        <f aca="false">IF(V788,IF(01_因子設定!$B$13="最大化",T788-01_因子設定!$B$14,IF(01_因子設定!$B$13="最小化",01_因子設定!$B$15-U788,MIN(T788-01_因子設定!$B$14,01_因子設定!$B$15-U788))),-1E+030)</f>
        <v>-6.90147464970055</v>
      </c>
      <c r="X788" s="55" t="n">
        <f aca="false">IF(V788,IF(01_因子設定!$B$13="最大化",Q788,IF(01_因子設定!$B$13="最小化",-Q788,-ABS(Q788-01_因子設定!$B$16))),-1E+030)</f>
        <v>42.6870880681818</v>
      </c>
      <c r="Y788" s="55" t="n">
        <f aca="false">W788+ROW()*0.000000001</f>
        <v>-6.90147386170055</v>
      </c>
      <c r="Z788" s="55" t="n">
        <f aca="false">X788+ROW()*0.000000001</f>
        <v>42.6870888561818</v>
      </c>
    </row>
    <row r="789" customFormat="false" ht="15" hidden="false" customHeight="false" outlineLevel="0" collapsed="false">
      <c r="A789" s="0" t="n">
        <v>2</v>
      </c>
      <c r="B789" s="0" t="n">
        <v>12</v>
      </c>
      <c r="C789" s="0" t="n">
        <v>2</v>
      </c>
      <c r="D789" s="0" t="n">
        <f aca="false">-1+A789*0.125</f>
        <v>-0.75</v>
      </c>
      <c r="E789" s="0" t="n">
        <f aca="false">-1+B789*0.125</f>
        <v>0.5</v>
      </c>
      <c r="F789" s="0" t="n">
        <f aca="false">-1+C789*0.125</f>
        <v>-0.75</v>
      </c>
      <c r="G789" s="0" t="n">
        <f aca="false">1</f>
        <v>1</v>
      </c>
      <c r="H789" s="0" t="n">
        <f aca="false">D789</f>
        <v>-0.75</v>
      </c>
      <c r="I789" s="0" t="n">
        <f aca="false">E789</f>
        <v>0.5</v>
      </c>
      <c r="J789" s="0" t="n">
        <f aca="false">F789</f>
        <v>-0.75</v>
      </c>
      <c r="K789" s="0" t="n">
        <f aca="false">D789*E789</f>
        <v>-0.375</v>
      </c>
      <c r="L789" s="0" t="n">
        <f aca="false">D789*F789</f>
        <v>0.5625</v>
      </c>
      <c r="M789" s="0" t="n">
        <f aca="false">E789*F789</f>
        <v>-0.375</v>
      </c>
      <c r="N789" s="0" t="n">
        <f aca="false">D789*D789</f>
        <v>0.5625</v>
      </c>
      <c r="O789" s="0" t="n">
        <f aca="false">E789*E789</f>
        <v>0.25</v>
      </c>
      <c r="P789" s="0" t="n">
        <f aca="false">F789*F789</f>
        <v>0.5625</v>
      </c>
      <c r="Q789" s="0" t="n">
        <f aca="false">SUMPRODUCT(G789:P789,_XtX!$B$71:$K$71)</f>
        <v>43.1409090909091</v>
      </c>
      <c r="R789" s="0" t="n">
        <f aca="false">SUMPRODUCT(MMULT(G789:P789,_XtX!$B$58:$K$67),G789:P789)</f>
        <v>0.295232599431818</v>
      </c>
      <c r="S789" s="0" t="n">
        <f aca="false">04_回帰ANOVA!$K$19*04_回帰ANOVA!$K$14*SQRT(1+R789)</f>
        <v>1.05813363442154</v>
      </c>
      <c r="T789" s="0" t="n">
        <f aca="false">Q789-S789</f>
        <v>42.0827754564876</v>
      </c>
      <c r="U789" s="0" t="n">
        <f aca="false">Q789+S789</f>
        <v>44.1990427253306</v>
      </c>
      <c r="V789" s="54" t="b">
        <f aca="false">AND(D789&gt;=01_因子設定!$L$5-0.000000001,D789&lt;=01_因子設定!$M$5+0.000000001,E789&gt;=01_因子設定!$L$6-0.000000001,E789&lt;=01_因子設定!$M$6+0.000000001,F789&gt;=01_因子設定!$L$7-0.000000001,F789&lt;=01_因子設定!$M$7+0.000000001,IF(01_因子設定!$B$20="Box-Behnken",D789^2+E789^2+F789^2&lt;=2+0.000000001,TRUE()))</f>
        <v>1</v>
      </c>
      <c r="W789" s="55" t="n">
        <f aca="false">IF(V789,IF(01_因子設定!$B$13="最大化",T789-01_因子設定!$B$14,IF(01_因子設定!$B$13="最小化",01_因子設定!$B$15-U789,MIN(T789-01_因子設定!$B$14,01_因子設定!$B$15-U789))),-1E+030)</f>
        <v>-6.41722454351244</v>
      </c>
      <c r="X789" s="55" t="n">
        <f aca="false">IF(V789,IF(01_因子設定!$B$13="最大化",Q789,IF(01_因子設定!$B$13="最小化",-Q789,-ABS(Q789-01_因子設定!$B$16))),-1E+030)</f>
        <v>43.1409090909091</v>
      </c>
      <c r="Y789" s="55" t="n">
        <f aca="false">W789+ROW()*0.000000001</f>
        <v>-6.41722375451244</v>
      </c>
      <c r="Z789" s="55" t="n">
        <f aca="false">X789+ROW()*0.000000001</f>
        <v>43.1409098799091</v>
      </c>
    </row>
    <row r="790" customFormat="false" ht="15" hidden="false" customHeight="false" outlineLevel="0" collapsed="false">
      <c r="A790" s="0" t="n">
        <v>2</v>
      </c>
      <c r="B790" s="0" t="n">
        <v>12</v>
      </c>
      <c r="C790" s="0" t="n">
        <v>3</v>
      </c>
      <c r="D790" s="0" t="n">
        <f aca="false">-1+A790*0.125</f>
        <v>-0.75</v>
      </c>
      <c r="E790" s="0" t="n">
        <f aca="false">-1+B790*0.125</f>
        <v>0.5</v>
      </c>
      <c r="F790" s="0" t="n">
        <f aca="false">-1+C790*0.125</f>
        <v>-0.625</v>
      </c>
      <c r="G790" s="0" t="n">
        <f aca="false">1</f>
        <v>1</v>
      </c>
      <c r="H790" s="0" t="n">
        <f aca="false">D790</f>
        <v>-0.75</v>
      </c>
      <c r="I790" s="0" t="n">
        <f aca="false">E790</f>
        <v>0.5</v>
      </c>
      <c r="J790" s="0" t="n">
        <f aca="false">F790</f>
        <v>-0.625</v>
      </c>
      <c r="K790" s="0" t="n">
        <f aca="false">D790*E790</f>
        <v>-0.375</v>
      </c>
      <c r="L790" s="0" t="n">
        <f aca="false">D790*F790</f>
        <v>0.46875</v>
      </c>
      <c r="M790" s="0" t="n">
        <f aca="false">E790*F790</f>
        <v>-0.3125</v>
      </c>
      <c r="N790" s="0" t="n">
        <f aca="false">D790*D790</f>
        <v>0.5625</v>
      </c>
      <c r="O790" s="0" t="n">
        <f aca="false">E790*E790</f>
        <v>0.25</v>
      </c>
      <c r="P790" s="0" t="n">
        <f aca="false">F790*F790</f>
        <v>0.390625</v>
      </c>
      <c r="Q790" s="0" t="n">
        <f aca="false">SUMPRODUCT(G790:P790,_XtX!$B$71:$K$71)</f>
        <v>43.5579403409091</v>
      </c>
      <c r="R790" s="0" t="n">
        <f aca="false">SUMPRODUCT(MMULT(G790:P790,_XtX!$B$58:$K$67),G790:P790)</f>
        <v>0.254729669744318</v>
      </c>
      <c r="S790" s="0" t="n">
        <f aca="false">04_回帰ANOVA!$K$19*04_回帰ANOVA!$K$14*SQRT(1+R790)</f>
        <v>1.04145790281631</v>
      </c>
      <c r="T790" s="0" t="n">
        <f aca="false">Q790-S790</f>
        <v>42.5164824380928</v>
      </c>
      <c r="U790" s="0" t="n">
        <f aca="false">Q790+S790</f>
        <v>44.5993982437254</v>
      </c>
      <c r="V790" s="54" t="b">
        <f aca="false">AND(D790&gt;=01_因子設定!$L$5-0.000000001,D790&lt;=01_因子設定!$M$5+0.000000001,E790&gt;=01_因子設定!$L$6-0.000000001,E790&lt;=01_因子設定!$M$6+0.000000001,F790&gt;=01_因子設定!$L$7-0.000000001,F790&lt;=01_因子設定!$M$7+0.000000001,IF(01_因子設定!$B$20="Box-Behnken",D790^2+E790^2+F790^2&lt;=2+0.000000001,TRUE()))</f>
        <v>1</v>
      </c>
      <c r="W790" s="55" t="n">
        <f aca="false">IF(V790,IF(01_因子設定!$B$13="最大化",T790-01_因子設定!$B$14,IF(01_因子設定!$B$13="最小化",01_因子設定!$B$15-U790,MIN(T790-01_因子設定!$B$14,01_因子設定!$B$15-U790))),-1E+030)</f>
        <v>-5.98351756190721</v>
      </c>
      <c r="X790" s="55" t="n">
        <f aca="false">IF(V790,IF(01_因子設定!$B$13="最大化",Q790,IF(01_因子設定!$B$13="最小化",-Q790,-ABS(Q790-01_因子設定!$B$16))),-1E+030)</f>
        <v>43.5579403409091</v>
      </c>
      <c r="Y790" s="55" t="n">
        <f aca="false">W790+ROW()*0.000000001</f>
        <v>-5.98351677190721</v>
      </c>
      <c r="Z790" s="55" t="n">
        <f aca="false">X790+ROW()*0.000000001</f>
        <v>43.5579411309091</v>
      </c>
    </row>
    <row r="791" customFormat="false" ht="15" hidden="false" customHeight="false" outlineLevel="0" collapsed="false">
      <c r="A791" s="0" t="n">
        <v>2</v>
      </c>
      <c r="B791" s="0" t="n">
        <v>12</v>
      </c>
      <c r="C791" s="0" t="n">
        <v>4</v>
      </c>
      <c r="D791" s="0" t="n">
        <f aca="false">-1+A791*0.125</f>
        <v>-0.75</v>
      </c>
      <c r="E791" s="0" t="n">
        <f aca="false">-1+B791*0.125</f>
        <v>0.5</v>
      </c>
      <c r="F791" s="0" t="n">
        <f aca="false">-1+C791*0.125</f>
        <v>-0.5</v>
      </c>
      <c r="G791" s="0" t="n">
        <f aca="false">1</f>
        <v>1</v>
      </c>
      <c r="H791" s="0" t="n">
        <f aca="false">D791</f>
        <v>-0.75</v>
      </c>
      <c r="I791" s="0" t="n">
        <f aca="false">E791</f>
        <v>0.5</v>
      </c>
      <c r="J791" s="0" t="n">
        <f aca="false">F791</f>
        <v>-0.5</v>
      </c>
      <c r="K791" s="0" t="n">
        <f aca="false">D791*E791</f>
        <v>-0.375</v>
      </c>
      <c r="L791" s="0" t="n">
        <f aca="false">D791*F791</f>
        <v>0.375</v>
      </c>
      <c r="M791" s="0" t="n">
        <f aca="false">E791*F791</f>
        <v>-0.25</v>
      </c>
      <c r="N791" s="0" t="n">
        <f aca="false">D791*D791</f>
        <v>0.5625</v>
      </c>
      <c r="O791" s="0" t="n">
        <f aca="false">E791*E791</f>
        <v>0.25</v>
      </c>
      <c r="P791" s="0" t="n">
        <f aca="false">F791*F791</f>
        <v>0.25</v>
      </c>
      <c r="Q791" s="0" t="n">
        <f aca="false">SUMPRODUCT(G791:P791,_XtX!$B$71:$K$71)</f>
        <v>43.9381818181818</v>
      </c>
      <c r="R791" s="0" t="n">
        <f aca="false">SUMPRODUCT(MMULT(G791:P791,_XtX!$B$58:$K$67),G791:P791)</f>
        <v>0.237571022727273</v>
      </c>
      <c r="S791" s="0" t="n">
        <f aca="false">04_回帰ANOVA!$K$19*04_回帰ANOVA!$K$14*SQRT(1+R791)</f>
        <v>1.0343123302758</v>
      </c>
      <c r="T791" s="0" t="n">
        <f aca="false">Q791-S791</f>
        <v>42.903869487906</v>
      </c>
      <c r="U791" s="0" t="n">
        <f aca="false">Q791+S791</f>
        <v>44.9724941484576</v>
      </c>
      <c r="V791" s="54" t="b">
        <f aca="false">AND(D791&gt;=01_因子設定!$L$5-0.000000001,D791&lt;=01_因子設定!$M$5+0.000000001,E791&gt;=01_因子設定!$L$6-0.000000001,E791&lt;=01_因子設定!$M$6+0.000000001,F791&gt;=01_因子設定!$L$7-0.000000001,F791&lt;=01_因子設定!$M$7+0.000000001,IF(01_因子設定!$B$20="Box-Behnken",D791^2+E791^2+F791^2&lt;=2+0.000000001,TRUE()))</f>
        <v>1</v>
      </c>
      <c r="W791" s="55" t="n">
        <f aca="false">IF(V791,IF(01_因子設定!$B$13="最大化",T791-01_因子設定!$B$14,IF(01_因子設定!$B$13="最小化",01_因子設定!$B$15-U791,MIN(T791-01_因子設定!$B$14,01_因子設定!$B$15-U791))),-1E+030)</f>
        <v>-5.59613051209399</v>
      </c>
      <c r="X791" s="55" t="n">
        <f aca="false">IF(V791,IF(01_因子設定!$B$13="最大化",Q791,IF(01_因子設定!$B$13="最小化",-Q791,-ABS(Q791-01_因子設定!$B$16))),-1E+030)</f>
        <v>43.9381818181818</v>
      </c>
      <c r="Y791" s="55" t="n">
        <f aca="false">W791+ROW()*0.000000001</f>
        <v>-5.59612972109399</v>
      </c>
      <c r="Z791" s="55" t="n">
        <f aca="false">X791+ROW()*0.000000001</f>
        <v>43.9381826091818</v>
      </c>
    </row>
    <row r="792" customFormat="false" ht="15" hidden="false" customHeight="false" outlineLevel="0" collapsed="false">
      <c r="A792" s="0" t="n">
        <v>2</v>
      </c>
      <c r="B792" s="0" t="n">
        <v>12</v>
      </c>
      <c r="C792" s="0" t="n">
        <v>5</v>
      </c>
      <c r="D792" s="0" t="n">
        <f aca="false">-1+A792*0.125</f>
        <v>-0.75</v>
      </c>
      <c r="E792" s="0" t="n">
        <f aca="false">-1+B792*0.125</f>
        <v>0.5</v>
      </c>
      <c r="F792" s="0" t="n">
        <f aca="false">-1+C792*0.125</f>
        <v>-0.375</v>
      </c>
      <c r="G792" s="0" t="n">
        <f aca="false">1</f>
        <v>1</v>
      </c>
      <c r="H792" s="0" t="n">
        <f aca="false">D792</f>
        <v>-0.75</v>
      </c>
      <c r="I792" s="0" t="n">
        <f aca="false">E792</f>
        <v>0.5</v>
      </c>
      <c r="J792" s="0" t="n">
        <f aca="false">F792</f>
        <v>-0.375</v>
      </c>
      <c r="K792" s="0" t="n">
        <f aca="false">D792*E792</f>
        <v>-0.375</v>
      </c>
      <c r="L792" s="0" t="n">
        <f aca="false">D792*F792</f>
        <v>0.28125</v>
      </c>
      <c r="M792" s="0" t="n">
        <f aca="false">E792*F792</f>
        <v>-0.1875</v>
      </c>
      <c r="N792" s="0" t="n">
        <f aca="false">D792*D792</f>
        <v>0.5625</v>
      </c>
      <c r="O792" s="0" t="n">
        <f aca="false">E792*E792</f>
        <v>0.25</v>
      </c>
      <c r="P792" s="0" t="n">
        <f aca="false">F792*F792</f>
        <v>0.140625</v>
      </c>
      <c r="Q792" s="0" t="n">
        <f aca="false">SUMPRODUCT(G792:P792,_XtX!$B$71:$K$71)</f>
        <v>44.2816335227273</v>
      </c>
      <c r="R792" s="0" t="n">
        <f aca="false">SUMPRODUCT(MMULT(G792:P792,_XtX!$B$58:$K$67),G792:P792)</f>
        <v>0.234168590198864</v>
      </c>
      <c r="S792" s="0" t="n">
        <f aca="false">04_回帰ANOVA!$K$19*04_回帰ANOVA!$K$14*SQRT(1+R792)</f>
        <v>1.03288954322488</v>
      </c>
      <c r="T792" s="0" t="n">
        <f aca="false">Q792-S792</f>
        <v>43.2487439795024</v>
      </c>
      <c r="U792" s="0" t="n">
        <f aca="false">Q792+S792</f>
        <v>45.3145230659522</v>
      </c>
      <c r="V792" s="54" t="b">
        <f aca="false">AND(D792&gt;=01_因子設定!$L$5-0.000000001,D792&lt;=01_因子設定!$M$5+0.000000001,E792&gt;=01_因子設定!$L$6-0.000000001,E792&lt;=01_因子設定!$M$6+0.000000001,F792&gt;=01_因子設定!$L$7-0.000000001,F792&lt;=01_因子設定!$M$7+0.000000001,IF(01_因子設定!$B$20="Box-Behnken",D792^2+E792^2+F792^2&lt;=2+0.000000001,TRUE()))</f>
        <v>1</v>
      </c>
      <c r="W792" s="55" t="n">
        <f aca="false">IF(V792,IF(01_因子設定!$B$13="最大化",T792-01_因子設定!$B$14,IF(01_因子設定!$B$13="最小化",01_因子設定!$B$15-U792,MIN(T792-01_因子設定!$B$14,01_因子設定!$B$15-U792))),-1E+030)</f>
        <v>-5.2512560204976</v>
      </c>
      <c r="X792" s="55" t="n">
        <f aca="false">IF(V792,IF(01_因子設定!$B$13="最大化",Q792,IF(01_因子設定!$B$13="最小化",-Q792,-ABS(Q792-01_因子設定!$B$16))),-1E+030)</f>
        <v>44.2816335227273</v>
      </c>
      <c r="Y792" s="55" t="n">
        <f aca="false">W792+ROW()*0.000000001</f>
        <v>-5.2512552284976</v>
      </c>
      <c r="Z792" s="55" t="n">
        <f aca="false">X792+ROW()*0.000000001</f>
        <v>44.2816343147273</v>
      </c>
    </row>
    <row r="793" customFormat="false" ht="15" hidden="false" customHeight="false" outlineLevel="0" collapsed="false">
      <c r="A793" s="0" t="n">
        <v>2</v>
      </c>
      <c r="B793" s="0" t="n">
        <v>12</v>
      </c>
      <c r="C793" s="0" t="n">
        <v>6</v>
      </c>
      <c r="D793" s="0" t="n">
        <f aca="false">-1+A793*0.125</f>
        <v>-0.75</v>
      </c>
      <c r="E793" s="0" t="n">
        <f aca="false">-1+B793*0.125</f>
        <v>0.5</v>
      </c>
      <c r="F793" s="0" t="n">
        <f aca="false">-1+C793*0.125</f>
        <v>-0.25</v>
      </c>
      <c r="G793" s="0" t="n">
        <f aca="false">1</f>
        <v>1</v>
      </c>
      <c r="H793" s="0" t="n">
        <f aca="false">D793</f>
        <v>-0.75</v>
      </c>
      <c r="I793" s="0" t="n">
        <f aca="false">E793</f>
        <v>0.5</v>
      </c>
      <c r="J793" s="0" t="n">
        <f aca="false">F793</f>
        <v>-0.25</v>
      </c>
      <c r="K793" s="0" t="n">
        <f aca="false">D793*E793</f>
        <v>-0.375</v>
      </c>
      <c r="L793" s="0" t="n">
        <f aca="false">D793*F793</f>
        <v>0.1875</v>
      </c>
      <c r="M793" s="0" t="n">
        <f aca="false">E793*F793</f>
        <v>-0.125</v>
      </c>
      <c r="N793" s="0" t="n">
        <f aca="false">D793*D793</f>
        <v>0.5625</v>
      </c>
      <c r="O793" s="0" t="n">
        <f aca="false">E793*E793</f>
        <v>0.25</v>
      </c>
      <c r="P793" s="0" t="n">
        <f aca="false">F793*F793</f>
        <v>0.0625</v>
      </c>
      <c r="Q793" s="0" t="n">
        <f aca="false">SUMPRODUCT(G793:P793,_XtX!$B$71:$K$71)</f>
        <v>44.5882954545455</v>
      </c>
      <c r="R793" s="0" t="n">
        <f aca="false">SUMPRODUCT(MMULT(G793:P793,_XtX!$B$58:$K$67),G793:P793)</f>
        <v>0.237064985795455</v>
      </c>
      <c r="S793" s="0" t="n">
        <f aca="false">04_回帰ANOVA!$K$19*04_回帰ANOVA!$K$14*SQRT(1+R793)</f>
        <v>1.03410084594745</v>
      </c>
      <c r="T793" s="0" t="n">
        <f aca="false">Q793-S793</f>
        <v>43.554194608598</v>
      </c>
      <c r="U793" s="0" t="n">
        <f aca="false">Q793+S793</f>
        <v>45.6223963004929</v>
      </c>
      <c r="V793" s="54" t="b">
        <f aca="false">AND(D793&gt;=01_因子設定!$L$5-0.000000001,D793&lt;=01_因子設定!$M$5+0.000000001,E793&gt;=01_因子設定!$L$6-0.000000001,E793&lt;=01_因子設定!$M$6+0.000000001,F793&gt;=01_因子設定!$L$7-0.000000001,F793&lt;=01_因子設定!$M$7+0.000000001,IF(01_因子設定!$B$20="Box-Behnken",D793^2+E793^2+F793^2&lt;=2+0.000000001,TRUE()))</f>
        <v>1</v>
      </c>
      <c r="W793" s="55" t="n">
        <f aca="false">IF(V793,IF(01_因子設定!$B$13="最大化",T793-01_因子設定!$B$14,IF(01_因子設定!$B$13="最小化",01_因子設定!$B$15-U793,MIN(T793-01_因子設定!$B$14,01_因子設定!$B$15-U793))),-1E+030)</f>
        <v>-4.94580539140199</v>
      </c>
      <c r="X793" s="55" t="n">
        <f aca="false">IF(V793,IF(01_因子設定!$B$13="最大化",Q793,IF(01_因子設定!$B$13="最小化",-Q793,-ABS(Q793-01_因子設定!$B$16))),-1E+030)</f>
        <v>44.5882954545455</v>
      </c>
      <c r="Y793" s="55" t="n">
        <f aca="false">W793+ROW()*0.000000001</f>
        <v>-4.94580459840199</v>
      </c>
      <c r="Z793" s="55" t="n">
        <f aca="false">X793+ROW()*0.000000001</f>
        <v>44.5882962475455</v>
      </c>
    </row>
    <row r="794" customFormat="false" ht="15" hidden="false" customHeight="false" outlineLevel="0" collapsed="false">
      <c r="A794" s="0" t="n">
        <v>2</v>
      </c>
      <c r="B794" s="0" t="n">
        <v>12</v>
      </c>
      <c r="C794" s="0" t="n">
        <v>7</v>
      </c>
      <c r="D794" s="0" t="n">
        <f aca="false">-1+A794*0.125</f>
        <v>-0.75</v>
      </c>
      <c r="E794" s="0" t="n">
        <f aca="false">-1+B794*0.125</f>
        <v>0.5</v>
      </c>
      <c r="F794" s="0" t="n">
        <f aca="false">-1+C794*0.125</f>
        <v>-0.125</v>
      </c>
      <c r="G794" s="0" t="n">
        <f aca="false">1</f>
        <v>1</v>
      </c>
      <c r="H794" s="0" t="n">
        <f aca="false">D794</f>
        <v>-0.75</v>
      </c>
      <c r="I794" s="0" t="n">
        <f aca="false">E794</f>
        <v>0.5</v>
      </c>
      <c r="J794" s="0" t="n">
        <f aca="false">F794</f>
        <v>-0.125</v>
      </c>
      <c r="K794" s="0" t="n">
        <f aca="false">D794*E794</f>
        <v>-0.375</v>
      </c>
      <c r="L794" s="0" t="n">
        <f aca="false">D794*F794</f>
        <v>0.09375</v>
      </c>
      <c r="M794" s="0" t="n">
        <f aca="false">E794*F794</f>
        <v>-0.0625</v>
      </c>
      <c r="N794" s="0" t="n">
        <f aca="false">D794*D794</f>
        <v>0.5625</v>
      </c>
      <c r="O794" s="0" t="n">
        <f aca="false">E794*E794</f>
        <v>0.25</v>
      </c>
      <c r="P794" s="0" t="n">
        <f aca="false">F794*F794</f>
        <v>0.015625</v>
      </c>
      <c r="Q794" s="0" t="n">
        <f aca="false">SUMPRODUCT(G794:P794,_XtX!$B$71:$K$71)</f>
        <v>44.8581676136364</v>
      </c>
      <c r="R794" s="0" t="n">
        <f aca="false">SUMPRODUCT(MMULT(G794:P794,_XtX!$B$58:$K$67),G794:P794)</f>
        <v>0.240933504971591</v>
      </c>
      <c r="S794" s="0" t="n">
        <f aca="false">04_回帰ANOVA!$K$19*04_回帰ANOVA!$K$14*SQRT(1+R794)</f>
        <v>1.03571649118863</v>
      </c>
      <c r="T794" s="0" t="n">
        <f aca="false">Q794-S794</f>
        <v>43.8224511224477</v>
      </c>
      <c r="U794" s="0" t="n">
        <f aca="false">Q794+S794</f>
        <v>45.893884104825</v>
      </c>
      <c r="V794" s="54" t="b">
        <f aca="false">AND(D794&gt;=01_因子設定!$L$5-0.000000001,D794&lt;=01_因子設定!$M$5+0.000000001,E794&gt;=01_因子設定!$L$6-0.000000001,E794&lt;=01_因子設定!$M$6+0.000000001,F794&gt;=01_因子設定!$L$7-0.000000001,F794&lt;=01_因子設定!$M$7+0.000000001,IF(01_因子設定!$B$20="Box-Behnken",D794^2+E794^2+F794^2&lt;=2+0.000000001,TRUE()))</f>
        <v>1</v>
      </c>
      <c r="W794" s="55" t="n">
        <f aca="false">IF(V794,IF(01_因子設定!$B$13="最大化",T794-01_因子設定!$B$14,IF(01_因子設定!$B$13="最小化",01_因子設定!$B$15-U794,MIN(T794-01_因子設定!$B$14,01_因子設定!$B$15-U794))),-1E+030)</f>
        <v>-4.67754887755226</v>
      </c>
      <c r="X794" s="55" t="n">
        <f aca="false">IF(V794,IF(01_因子設定!$B$13="最大化",Q794,IF(01_因子設定!$B$13="最小化",-Q794,-ABS(Q794-01_因子設定!$B$16))),-1E+030)</f>
        <v>44.8581676136364</v>
      </c>
      <c r="Y794" s="55" t="n">
        <f aca="false">W794+ROW()*0.000000001</f>
        <v>-4.67754808355226</v>
      </c>
      <c r="Z794" s="55" t="n">
        <f aca="false">X794+ROW()*0.000000001</f>
        <v>44.8581684076364</v>
      </c>
    </row>
    <row r="795" customFormat="false" ht="15" hidden="false" customHeight="false" outlineLevel="0" collapsed="false">
      <c r="A795" s="0" t="n">
        <v>2</v>
      </c>
      <c r="B795" s="0" t="n">
        <v>12</v>
      </c>
      <c r="C795" s="0" t="n">
        <v>8</v>
      </c>
      <c r="D795" s="0" t="n">
        <f aca="false">-1+A795*0.125</f>
        <v>-0.75</v>
      </c>
      <c r="E795" s="0" t="n">
        <f aca="false">-1+B795*0.125</f>
        <v>0.5</v>
      </c>
      <c r="F795" s="0" t="n">
        <f aca="false">-1+C795*0.125</f>
        <v>0</v>
      </c>
      <c r="G795" s="0" t="n">
        <f aca="false">1</f>
        <v>1</v>
      </c>
      <c r="H795" s="0" t="n">
        <f aca="false">D795</f>
        <v>-0.75</v>
      </c>
      <c r="I795" s="0" t="n">
        <f aca="false">E795</f>
        <v>0.5</v>
      </c>
      <c r="J795" s="0" t="n">
        <f aca="false">F795</f>
        <v>0</v>
      </c>
      <c r="K795" s="0" t="n">
        <f aca="false">D795*E795</f>
        <v>-0.375</v>
      </c>
      <c r="L795" s="0" t="n">
        <f aca="false">D795*F795</f>
        <v>-0</v>
      </c>
      <c r="M795" s="0" t="n">
        <f aca="false">E795*F795</f>
        <v>0</v>
      </c>
      <c r="N795" s="0" t="n">
        <f aca="false">D795*D795</f>
        <v>0.5625</v>
      </c>
      <c r="O795" s="0" t="n">
        <f aca="false">E795*E795</f>
        <v>0.25</v>
      </c>
      <c r="P795" s="0" t="n">
        <f aca="false">F795*F795</f>
        <v>0</v>
      </c>
      <c r="Q795" s="0" t="n">
        <f aca="false">SUMPRODUCT(G795:P795,_XtX!$B$71:$K$71)</f>
        <v>45.09125</v>
      </c>
      <c r="R795" s="0" t="n">
        <f aca="false">SUMPRODUCT(MMULT(G795:P795,_XtX!$B$58:$K$67),G795:P795)</f>
        <v>0.242578125</v>
      </c>
      <c r="S795" s="0" t="n">
        <f aca="false">04_回帰ANOVA!$K$19*04_回帰ANOVA!$K$14*SQRT(1+R795)</f>
        <v>1.03640258600455</v>
      </c>
      <c r="T795" s="0" t="n">
        <f aca="false">Q795-S795</f>
        <v>44.0548474139955</v>
      </c>
      <c r="U795" s="0" t="n">
        <f aca="false">Q795+S795</f>
        <v>46.1276525860045</v>
      </c>
      <c r="V795" s="54" t="b">
        <f aca="false">AND(D795&gt;=01_因子設定!$L$5-0.000000001,D795&lt;=01_因子設定!$M$5+0.000000001,E795&gt;=01_因子設定!$L$6-0.000000001,E795&lt;=01_因子設定!$M$6+0.000000001,F795&gt;=01_因子設定!$L$7-0.000000001,F795&lt;=01_因子設定!$M$7+0.000000001,IF(01_因子設定!$B$20="Box-Behnken",D795^2+E795^2+F795^2&lt;=2+0.000000001,TRUE()))</f>
        <v>1</v>
      </c>
      <c r="W795" s="55" t="n">
        <f aca="false">IF(V795,IF(01_因子設定!$B$13="最大化",T795-01_因子設定!$B$14,IF(01_因子設定!$B$13="最小化",01_因子設定!$B$15-U795,MIN(T795-01_因子設定!$B$14,01_因子設定!$B$15-U795))),-1E+030)</f>
        <v>-4.44515258600455</v>
      </c>
      <c r="X795" s="55" t="n">
        <f aca="false">IF(V795,IF(01_因子設定!$B$13="最大化",Q795,IF(01_因子設定!$B$13="最小化",-Q795,-ABS(Q795-01_因子設定!$B$16))),-1E+030)</f>
        <v>45.09125</v>
      </c>
      <c r="Y795" s="55" t="n">
        <f aca="false">W795+ROW()*0.000000001</f>
        <v>-4.44515179100455</v>
      </c>
      <c r="Z795" s="55" t="n">
        <f aca="false">X795+ROW()*0.000000001</f>
        <v>45.091250795</v>
      </c>
    </row>
    <row r="796" customFormat="false" ht="15" hidden="false" customHeight="false" outlineLevel="0" collapsed="false">
      <c r="A796" s="0" t="n">
        <v>2</v>
      </c>
      <c r="B796" s="0" t="n">
        <v>12</v>
      </c>
      <c r="C796" s="0" t="n">
        <v>9</v>
      </c>
      <c r="D796" s="0" t="n">
        <f aca="false">-1+A796*0.125</f>
        <v>-0.75</v>
      </c>
      <c r="E796" s="0" t="n">
        <f aca="false">-1+B796*0.125</f>
        <v>0.5</v>
      </c>
      <c r="F796" s="0" t="n">
        <f aca="false">-1+C796*0.125</f>
        <v>0.125</v>
      </c>
      <c r="G796" s="0" t="n">
        <f aca="false">1</f>
        <v>1</v>
      </c>
      <c r="H796" s="0" t="n">
        <f aca="false">D796</f>
        <v>-0.75</v>
      </c>
      <c r="I796" s="0" t="n">
        <f aca="false">E796</f>
        <v>0.5</v>
      </c>
      <c r="J796" s="0" t="n">
        <f aca="false">F796</f>
        <v>0.125</v>
      </c>
      <c r="K796" s="0" t="n">
        <f aca="false">D796*E796</f>
        <v>-0.375</v>
      </c>
      <c r="L796" s="0" t="n">
        <f aca="false">D796*F796</f>
        <v>-0.09375</v>
      </c>
      <c r="M796" s="0" t="n">
        <f aca="false">E796*F796</f>
        <v>0.0625</v>
      </c>
      <c r="N796" s="0" t="n">
        <f aca="false">D796*D796</f>
        <v>0.5625</v>
      </c>
      <c r="O796" s="0" t="n">
        <f aca="false">E796*E796</f>
        <v>0.25</v>
      </c>
      <c r="P796" s="0" t="n">
        <f aca="false">F796*F796</f>
        <v>0.015625</v>
      </c>
      <c r="Q796" s="0" t="n">
        <f aca="false">SUMPRODUCT(G796:P796,_XtX!$B$71:$K$71)</f>
        <v>45.2875426136364</v>
      </c>
      <c r="R796" s="0" t="n">
        <f aca="false">SUMPRODUCT(MMULT(G796:P796,_XtX!$B$58:$K$67),G796:P796)</f>
        <v>0.240933504971591</v>
      </c>
      <c r="S796" s="0" t="n">
        <f aca="false">04_回帰ANOVA!$K$19*04_回帰ANOVA!$K$14*SQRT(1+R796)</f>
        <v>1.03571649118863</v>
      </c>
      <c r="T796" s="0" t="n">
        <f aca="false">Q796-S796</f>
        <v>44.2518261224477</v>
      </c>
      <c r="U796" s="0" t="n">
        <f aca="false">Q796+S796</f>
        <v>46.323259104825</v>
      </c>
      <c r="V796" s="54" t="b">
        <f aca="false">AND(D796&gt;=01_因子設定!$L$5-0.000000001,D796&lt;=01_因子設定!$M$5+0.000000001,E796&gt;=01_因子設定!$L$6-0.000000001,E796&lt;=01_因子設定!$M$6+0.000000001,F796&gt;=01_因子設定!$L$7-0.000000001,F796&lt;=01_因子設定!$M$7+0.000000001,IF(01_因子設定!$B$20="Box-Behnken",D796^2+E796^2+F796^2&lt;=2+0.000000001,TRUE()))</f>
        <v>1</v>
      </c>
      <c r="W796" s="55" t="n">
        <f aca="false">IF(V796,IF(01_因子設定!$B$13="最大化",T796-01_因子設定!$B$14,IF(01_因子設定!$B$13="最小化",01_因子設定!$B$15-U796,MIN(T796-01_因子設定!$B$14,01_因子設定!$B$15-U796))),-1E+030)</f>
        <v>-4.24817387755226</v>
      </c>
      <c r="X796" s="55" t="n">
        <f aca="false">IF(V796,IF(01_因子設定!$B$13="最大化",Q796,IF(01_因子設定!$B$13="最小化",-Q796,-ABS(Q796-01_因子設定!$B$16))),-1E+030)</f>
        <v>45.2875426136364</v>
      </c>
      <c r="Y796" s="55" t="n">
        <f aca="false">W796+ROW()*0.000000001</f>
        <v>-4.24817308155226</v>
      </c>
      <c r="Z796" s="55" t="n">
        <f aca="false">X796+ROW()*0.000000001</f>
        <v>45.2875434096364</v>
      </c>
    </row>
    <row r="797" customFormat="false" ht="15" hidden="false" customHeight="false" outlineLevel="0" collapsed="false">
      <c r="A797" s="0" t="n">
        <v>2</v>
      </c>
      <c r="B797" s="0" t="n">
        <v>12</v>
      </c>
      <c r="C797" s="0" t="n">
        <v>10</v>
      </c>
      <c r="D797" s="0" t="n">
        <f aca="false">-1+A797*0.125</f>
        <v>-0.75</v>
      </c>
      <c r="E797" s="0" t="n">
        <f aca="false">-1+B797*0.125</f>
        <v>0.5</v>
      </c>
      <c r="F797" s="0" t="n">
        <f aca="false">-1+C797*0.125</f>
        <v>0.25</v>
      </c>
      <c r="G797" s="0" t="n">
        <f aca="false">1</f>
        <v>1</v>
      </c>
      <c r="H797" s="0" t="n">
        <f aca="false">D797</f>
        <v>-0.75</v>
      </c>
      <c r="I797" s="0" t="n">
        <f aca="false">E797</f>
        <v>0.5</v>
      </c>
      <c r="J797" s="0" t="n">
        <f aca="false">F797</f>
        <v>0.25</v>
      </c>
      <c r="K797" s="0" t="n">
        <f aca="false">D797*E797</f>
        <v>-0.375</v>
      </c>
      <c r="L797" s="0" t="n">
        <f aca="false">D797*F797</f>
        <v>-0.1875</v>
      </c>
      <c r="M797" s="0" t="n">
        <f aca="false">E797*F797</f>
        <v>0.125</v>
      </c>
      <c r="N797" s="0" t="n">
        <f aca="false">D797*D797</f>
        <v>0.5625</v>
      </c>
      <c r="O797" s="0" t="n">
        <f aca="false">E797*E797</f>
        <v>0.25</v>
      </c>
      <c r="P797" s="0" t="n">
        <f aca="false">F797*F797</f>
        <v>0.0625</v>
      </c>
      <c r="Q797" s="0" t="n">
        <f aca="false">SUMPRODUCT(G797:P797,_XtX!$B$71:$K$71)</f>
        <v>45.4470454545455</v>
      </c>
      <c r="R797" s="0" t="n">
        <f aca="false">SUMPRODUCT(MMULT(G797:P797,_XtX!$B$58:$K$67),G797:P797)</f>
        <v>0.237064985795455</v>
      </c>
      <c r="S797" s="0" t="n">
        <f aca="false">04_回帰ANOVA!$K$19*04_回帰ANOVA!$K$14*SQRT(1+R797)</f>
        <v>1.03410084594745</v>
      </c>
      <c r="T797" s="0" t="n">
        <f aca="false">Q797-S797</f>
        <v>44.412944608598</v>
      </c>
      <c r="U797" s="0" t="n">
        <f aca="false">Q797+S797</f>
        <v>46.4811463004929</v>
      </c>
      <c r="V797" s="54" t="b">
        <f aca="false">AND(D797&gt;=01_因子設定!$L$5-0.000000001,D797&lt;=01_因子設定!$M$5+0.000000001,E797&gt;=01_因子設定!$L$6-0.000000001,E797&lt;=01_因子設定!$M$6+0.000000001,F797&gt;=01_因子設定!$L$7-0.000000001,F797&lt;=01_因子設定!$M$7+0.000000001,IF(01_因子設定!$B$20="Box-Behnken",D797^2+E797^2+F797^2&lt;=2+0.000000001,TRUE()))</f>
        <v>1</v>
      </c>
      <c r="W797" s="55" t="n">
        <f aca="false">IF(V797,IF(01_因子設定!$B$13="最大化",T797-01_因子設定!$B$14,IF(01_因子設定!$B$13="最小化",01_因子設定!$B$15-U797,MIN(T797-01_因子設定!$B$14,01_因子設定!$B$15-U797))),-1E+030)</f>
        <v>-4.08705539140199</v>
      </c>
      <c r="X797" s="55" t="n">
        <f aca="false">IF(V797,IF(01_因子設定!$B$13="最大化",Q797,IF(01_因子設定!$B$13="最小化",-Q797,-ABS(Q797-01_因子設定!$B$16))),-1E+030)</f>
        <v>45.4470454545455</v>
      </c>
      <c r="Y797" s="55" t="n">
        <f aca="false">W797+ROW()*0.000000001</f>
        <v>-4.08705459440199</v>
      </c>
      <c r="Z797" s="55" t="n">
        <f aca="false">X797+ROW()*0.000000001</f>
        <v>45.4470462515455</v>
      </c>
    </row>
    <row r="798" customFormat="false" ht="15" hidden="false" customHeight="false" outlineLevel="0" collapsed="false">
      <c r="A798" s="0" t="n">
        <v>2</v>
      </c>
      <c r="B798" s="0" t="n">
        <v>12</v>
      </c>
      <c r="C798" s="0" t="n">
        <v>11</v>
      </c>
      <c r="D798" s="0" t="n">
        <f aca="false">-1+A798*0.125</f>
        <v>-0.75</v>
      </c>
      <c r="E798" s="0" t="n">
        <f aca="false">-1+B798*0.125</f>
        <v>0.5</v>
      </c>
      <c r="F798" s="0" t="n">
        <f aca="false">-1+C798*0.125</f>
        <v>0.375</v>
      </c>
      <c r="G798" s="0" t="n">
        <f aca="false">1</f>
        <v>1</v>
      </c>
      <c r="H798" s="0" t="n">
        <f aca="false">D798</f>
        <v>-0.75</v>
      </c>
      <c r="I798" s="0" t="n">
        <f aca="false">E798</f>
        <v>0.5</v>
      </c>
      <c r="J798" s="0" t="n">
        <f aca="false">F798</f>
        <v>0.375</v>
      </c>
      <c r="K798" s="0" t="n">
        <f aca="false">D798*E798</f>
        <v>-0.375</v>
      </c>
      <c r="L798" s="0" t="n">
        <f aca="false">D798*F798</f>
        <v>-0.28125</v>
      </c>
      <c r="M798" s="0" t="n">
        <f aca="false">E798*F798</f>
        <v>0.1875</v>
      </c>
      <c r="N798" s="0" t="n">
        <f aca="false">D798*D798</f>
        <v>0.5625</v>
      </c>
      <c r="O798" s="0" t="n">
        <f aca="false">E798*E798</f>
        <v>0.25</v>
      </c>
      <c r="P798" s="0" t="n">
        <f aca="false">F798*F798</f>
        <v>0.140625</v>
      </c>
      <c r="Q798" s="0" t="n">
        <f aca="false">SUMPRODUCT(G798:P798,_XtX!$B$71:$K$71)</f>
        <v>45.5697585227273</v>
      </c>
      <c r="R798" s="0" t="n">
        <f aca="false">SUMPRODUCT(MMULT(G798:P798,_XtX!$B$58:$K$67),G798:P798)</f>
        <v>0.234168590198864</v>
      </c>
      <c r="S798" s="0" t="n">
        <f aca="false">04_回帰ANOVA!$K$19*04_回帰ANOVA!$K$14*SQRT(1+R798)</f>
        <v>1.03288954322488</v>
      </c>
      <c r="T798" s="0" t="n">
        <f aca="false">Q798-S798</f>
        <v>44.5368689795024</v>
      </c>
      <c r="U798" s="0" t="n">
        <f aca="false">Q798+S798</f>
        <v>46.6026480659521</v>
      </c>
      <c r="V798" s="54" t="b">
        <f aca="false">AND(D798&gt;=01_因子設定!$L$5-0.000000001,D798&lt;=01_因子設定!$M$5+0.000000001,E798&gt;=01_因子設定!$L$6-0.000000001,E798&lt;=01_因子設定!$M$6+0.000000001,F798&gt;=01_因子設定!$L$7-0.000000001,F798&lt;=01_因子設定!$M$7+0.000000001,IF(01_因子設定!$B$20="Box-Behnken",D798^2+E798^2+F798^2&lt;=2+0.000000001,TRUE()))</f>
        <v>1</v>
      </c>
      <c r="W798" s="55" t="n">
        <f aca="false">IF(V798,IF(01_因子設定!$B$13="最大化",T798-01_因子設定!$B$14,IF(01_因子設定!$B$13="最小化",01_因子設定!$B$15-U798,MIN(T798-01_因子設定!$B$14,01_因子設定!$B$15-U798))),-1E+030)</f>
        <v>-3.96313102049761</v>
      </c>
      <c r="X798" s="55" t="n">
        <f aca="false">IF(V798,IF(01_因子設定!$B$13="最大化",Q798,IF(01_因子設定!$B$13="最小化",-Q798,-ABS(Q798-01_因子設定!$B$16))),-1E+030)</f>
        <v>45.5697585227273</v>
      </c>
      <c r="Y798" s="55" t="n">
        <f aca="false">W798+ROW()*0.000000001</f>
        <v>-3.96313022249761</v>
      </c>
      <c r="Z798" s="55" t="n">
        <f aca="false">X798+ROW()*0.000000001</f>
        <v>45.5697593207273</v>
      </c>
    </row>
    <row r="799" customFormat="false" ht="15" hidden="false" customHeight="false" outlineLevel="0" collapsed="false">
      <c r="A799" s="0" t="n">
        <v>2</v>
      </c>
      <c r="B799" s="0" t="n">
        <v>12</v>
      </c>
      <c r="C799" s="0" t="n">
        <v>12</v>
      </c>
      <c r="D799" s="0" t="n">
        <f aca="false">-1+A799*0.125</f>
        <v>-0.75</v>
      </c>
      <c r="E799" s="0" t="n">
        <f aca="false">-1+B799*0.125</f>
        <v>0.5</v>
      </c>
      <c r="F799" s="0" t="n">
        <f aca="false">-1+C799*0.125</f>
        <v>0.5</v>
      </c>
      <c r="G799" s="0" t="n">
        <f aca="false">1</f>
        <v>1</v>
      </c>
      <c r="H799" s="0" t="n">
        <f aca="false">D799</f>
        <v>-0.75</v>
      </c>
      <c r="I799" s="0" t="n">
        <f aca="false">E799</f>
        <v>0.5</v>
      </c>
      <c r="J799" s="0" t="n">
        <f aca="false">F799</f>
        <v>0.5</v>
      </c>
      <c r="K799" s="0" t="n">
        <f aca="false">D799*E799</f>
        <v>-0.375</v>
      </c>
      <c r="L799" s="0" t="n">
        <f aca="false">D799*F799</f>
        <v>-0.375</v>
      </c>
      <c r="M799" s="0" t="n">
        <f aca="false">E799*F799</f>
        <v>0.25</v>
      </c>
      <c r="N799" s="0" t="n">
        <f aca="false">D799*D799</f>
        <v>0.5625</v>
      </c>
      <c r="O799" s="0" t="n">
        <f aca="false">E799*E799</f>
        <v>0.25</v>
      </c>
      <c r="P799" s="0" t="n">
        <f aca="false">F799*F799</f>
        <v>0.25</v>
      </c>
      <c r="Q799" s="0" t="n">
        <f aca="false">SUMPRODUCT(G799:P799,_XtX!$B$71:$K$71)</f>
        <v>45.6556818181818</v>
      </c>
      <c r="R799" s="0" t="n">
        <f aca="false">SUMPRODUCT(MMULT(G799:P799,_XtX!$B$58:$K$67),G799:P799)</f>
        <v>0.237571022727273</v>
      </c>
      <c r="S799" s="0" t="n">
        <f aca="false">04_回帰ANOVA!$K$19*04_回帰ANOVA!$K$14*SQRT(1+R799)</f>
        <v>1.0343123302758</v>
      </c>
      <c r="T799" s="0" t="n">
        <f aca="false">Q799-S799</f>
        <v>44.621369487906</v>
      </c>
      <c r="U799" s="0" t="n">
        <f aca="false">Q799+S799</f>
        <v>46.6899941484576</v>
      </c>
      <c r="V799" s="54" t="b">
        <f aca="false">AND(D799&gt;=01_因子設定!$L$5-0.000000001,D799&lt;=01_因子設定!$M$5+0.000000001,E799&gt;=01_因子設定!$L$6-0.000000001,E799&lt;=01_因子設定!$M$6+0.000000001,F799&gt;=01_因子設定!$L$7-0.000000001,F799&lt;=01_因子設定!$M$7+0.000000001,IF(01_因子設定!$B$20="Box-Behnken",D799^2+E799^2+F799^2&lt;=2+0.000000001,TRUE()))</f>
        <v>1</v>
      </c>
      <c r="W799" s="55" t="n">
        <f aca="false">IF(V799,IF(01_因子設定!$B$13="最大化",T799-01_因子設定!$B$14,IF(01_因子設定!$B$13="最小化",01_因子設定!$B$15-U799,MIN(T799-01_因子設定!$B$14,01_因子設定!$B$15-U799))),-1E+030)</f>
        <v>-3.87863051209398</v>
      </c>
      <c r="X799" s="55" t="n">
        <f aca="false">IF(V799,IF(01_因子設定!$B$13="最大化",Q799,IF(01_因子設定!$B$13="最小化",-Q799,-ABS(Q799-01_因子設定!$B$16))),-1E+030)</f>
        <v>45.6556818181818</v>
      </c>
      <c r="Y799" s="55" t="n">
        <f aca="false">W799+ROW()*0.000000001</f>
        <v>-3.87862971309398</v>
      </c>
      <c r="Z799" s="55" t="n">
        <f aca="false">X799+ROW()*0.000000001</f>
        <v>45.6556826171818</v>
      </c>
    </row>
    <row r="800" customFormat="false" ht="15" hidden="false" customHeight="false" outlineLevel="0" collapsed="false">
      <c r="A800" s="0" t="n">
        <v>2</v>
      </c>
      <c r="B800" s="0" t="n">
        <v>12</v>
      </c>
      <c r="C800" s="0" t="n">
        <v>13</v>
      </c>
      <c r="D800" s="0" t="n">
        <f aca="false">-1+A800*0.125</f>
        <v>-0.75</v>
      </c>
      <c r="E800" s="0" t="n">
        <f aca="false">-1+B800*0.125</f>
        <v>0.5</v>
      </c>
      <c r="F800" s="0" t="n">
        <f aca="false">-1+C800*0.125</f>
        <v>0.625</v>
      </c>
      <c r="G800" s="0" t="n">
        <f aca="false">1</f>
        <v>1</v>
      </c>
      <c r="H800" s="0" t="n">
        <f aca="false">D800</f>
        <v>-0.75</v>
      </c>
      <c r="I800" s="0" t="n">
        <f aca="false">E800</f>
        <v>0.5</v>
      </c>
      <c r="J800" s="0" t="n">
        <f aca="false">F800</f>
        <v>0.625</v>
      </c>
      <c r="K800" s="0" t="n">
        <f aca="false">D800*E800</f>
        <v>-0.375</v>
      </c>
      <c r="L800" s="0" t="n">
        <f aca="false">D800*F800</f>
        <v>-0.46875</v>
      </c>
      <c r="M800" s="0" t="n">
        <f aca="false">E800*F800</f>
        <v>0.3125</v>
      </c>
      <c r="N800" s="0" t="n">
        <f aca="false">D800*D800</f>
        <v>0.5625</v>
      </c>
      <c r="O800" s="0" t="n">
        <f aca="false">E800*E800</f>
        <v>0.25</v>
      </c>
      <c r="P800" s="0" t="n">
        <f aca="false">F800*F800</f>
        <v>0.390625</v>
      </c>
      <c r="Q800" s="0" t="n">
        <f aca="false">SUMPRODUCT(G800:P800,_XtX!$B$71:$K$71)</f>
        <v>45.7048153409091</v>
      </c>
      <c r="R800" s="0" t="n">
        <f aca="false">SUMPRODUCT(MMULT(G800:P800,_XtX!$B$58:$K$67),G800:P800)</f>
        <v>0.254729669744318</v>
      </c>
      <c r="S800" s="0" t="n">
        <f aca="false">04_回帰ANOVA!$K$19*04_回帰ANOVA!$K$14*SQRT(1+R800)</f>
        <v>1.04145790281631</v>
      </c>
      <c r="T800" s="0" t="n">
        <f aca="false">Q800-S800</f>
        <v>44.6633574380928</v>
      </c>
      <c r="U800" s="0" t="n">
        <f aca="false">Q800+S800</f>
        <v>46.7462732437254</v>
      </c>
      <c r="V800" s="54" t="b">
        <f aca="false">AND(D800&gt;=01_因子設定!$L$5-0.000000001,D800&lt;=01_因子設定!$M$5+0.000000001,E800&gt;=01_因子設定!$L$6-0.000000001,E800&lt;=01_因子設定!$M$6+0.000000001,F800&gt;=01_因子設定!$L$7-0.000000001,F800&lt;=01_因子設定!$M$7+0.000000001,IF(01_因子設定!$B$20="Box-Behnken",D800^2+E800^2+F800^2&lt;=2+0.000000001,TRUE()))</f>
        <v>1</v>
      </c>
      <c r="W800" s="55" t="n">
        <f aca="false">IF(V800,IF(01_因子設定!$B$13="最大化",T800-01_因子設定!$B$14,IF(01_因子設定!$B$13="最小化",01_因子設定!$B$15-U800,MIN(T800-01_因子設定!$B$14,01_因子設定!$B$15-U800))),-1E+030)</f>
        <v>-3.83664256190722</v>
      </c>
      <c r="X800" s="55" t="n">
        <f aca="false">IF(V800,IF(01_因子設定!$B$13="最大化",Q800,IF(01_因子設定!$B$13="最小化",-Q800,-ABS(Q800-01_因子設定!$B$16))),-1E+030)</f>
        <v>45.7048153409091</v>
      </c>
      <c r="Y800" s="55" t="n">
        <f aca="false">W800+ROW()*0.000000001</f>
        <v>-3.83664176190722</v>
      </c>
      <c r="Z800" s="55" t="n">
        <f aca="false">X800+ROW()*0.000000001</f>
        <v>45.7048161409091</v>
      </c>
    </row>
    <row r="801" customFormat="false" ht="15" hidden="false" customHeight="false" outlineLevel="0" collapsed="false">
      <c r="A801" s="0" t="n">
        <v>2</v>
      </c>
      <c r="B801" s="0" t="n">
        <v>12</v>
      </c>
      <c r="C801" s="0" t="n">
        <v>14</v>
      </c>
      <c r="D801" s="0" t="n">
        <f aca="false">-1+A801*0.125</f>
        <v>-0.75</v>
      </c>
      <c r="E801" s="0" t="n">
        <f aca="false">-1+B801*0.125</f>
        <v>0.5</v>
      </c>
      <c r="F801" s="0" t="n">
        <f aca="false">-1+C801*0.125</f>
        <v>0.75</v>
      </c>
      <c r="G801" s="0" t="n">
        <f aca="false">1</f>
        <v>1</v>
      </c>
      <c r="H801" s="0" t="n">
        <f aca="false">D801</f>
        <v>-0.75</v>
      </c>
      <c r="I801" s="0" t="n">
        <f aca="false">E801</f>
        <v>0.5</v>
      </c>
      <c r="J801" s="0" t="n">
        <f aca="false">F801</f>
        <v>0.75</v>
      </c>
      <c r="K801" s="0" t="n">
        <f aca="false">D801*E801</f>
        <v>-0.375</v>
      </c>
      <c r="L801" s="0" t="n">
        <f aca="false">D801*F801</f>
        <v>-0.5625</v>
      </c>
      <c r="M801" s="0" t="n">
        <f aca="false">E801*F801</f>
        <v>0.375</v>
      </c>
      <c r="N801" s="0" t="n">
        <f aca="false">D801*D801</f>
        <v>0.5625</v>
      </c>
      <c r="O801" s="0" t="n">
        <f aca="false">E801*E801</f>
        <v>0.25</v>
      </c>
      <c r="P801" s="0" t="n">
        <f aca="false">F801*F801</f>
        <v>0.5625</v>
      </c>
      <c r="Q801" s="0" t="n">
        <f aca="false">SUMPRODUCT(G801:P801,_XtX!$B$71:$K$71)</f>
        <v>45.7171590909091</v>
      </c>
      <c r="R801" s="0" t="n">
        <f aca="false">SUMPRODUCT(MMULT(G801:P801,_XtX!$B$58:$K$67),G801:P801)</f>
        <v>0.295232599431818</v>
      </c>
      <c r="S801" s="0" t="n">
        <f aca="false">04_回帰ANOVA!$K$19*04_回帰ANOVA!$K$14*SQRT(1+R801)</f>
        <v>1.05813363442154</v>
      </c>
      <c r="T801" s="0" t="n">
        <f aca="false">Q801-S801</f>
        <v>44.6590254564876</v>
      </c>
      <c r="U801" s="0" t="n">
        <f aca="false">Q801+S801</f>
        <v>46.7752927253306</v>
      </c>
      <c r="V801" s="54" t="b">
        <f aca="false">AND(D801&gt;=01_因子設定!$L$5-0.000000001,D801&lt;=01_因子設定!$M$5+0.000000001,E801&gt;=01_因子設定!$L$6-0.000000001,E801&lt;=01_因子設定!$M$6+0.000000001,F801&gt;=01_因子設定!$L$7-0.000000001,F801&lt;=01_因子設定!$M$7+0.000000001,IF(01_因子設定!$B$20="Box-Behnken",D801^2+E801^2+F801^2&lt;=2+0.000000001,TRUE()))</f>
        <v>1</v>
      </c>
      <c r="W801" s="55" t="n">
        <f aca="false">IF(V801,IF(01_因子設定!$B$13="最大化",T801-01_因子設定!$B$14,IF(01_因子設定!$B$13="最小化",01_因子設定!$B$15-U801,MIN(T801-01_因子設定!$B$14,01_因子設定!$B$15-U801))),-1E+030)</f>
        <v>-3.84097454351244</v>
      </c>
      <c r="X801" s="55" t="n">
        <f aca="false">IF(V801,IF(01_因子設定!$B$13="最大化",Q801,IF(01_因子設定!$B$13="最小化",-Q801,-ABS(Q801-01_因子設定!$B$16))),-1E+030)</f>
        <v>45.7171590909091</v>
      </c>
      <c r="Y801" s="55" t="n">
        <f aca="false">W801+ROW()*0.000000001</f>
        <v>-3.84097374251244</v>
      </c>
      <c r="Z801" s="55" t="n">
        <f aca="false">X801+ROW()*0.000000001</f>
        <v>45.7171598919091</v>
      </c>
    </row>
    <row r="802" customFormat="false" ht="15" hidden="false" customHeight="false" outlineLevel="0" collapsed="false">
      <c r="A802" s="0" t="n">
        <v>2</v>
      </c>
      <c r="B802" s="0" t="n">
        <v>12</v>
      </c>
      <c r="C802" s="0" t="n">
        <v>15</v>
      </c>
      <c r="D802" s="0" t="n">
        <f aca="false">-1+A802*0.125</f>
        <v>-0.75</v>
      </c>
      <c r="E802" s="0" t="n">
        <f aca="false">-1+B802*0.125</f>
        <v>0.5</v>
      </c>
      <c r="F802" s="0" t="n">
        <f aca="false">-1+C802*0.125</f>
        <v>0.875</v>
      </c>
      <c r="G802" s="0" t="n">
        <f aca="false">1</f>
        <v>1</v>
      </c>
      <c r="H802" s="0" t="n">
        <f aca="false">D802</f>
        <v>-0.75</v>
      </c>
      <c r="I802" s="0" t="n">
        <f aca="false">E802</f>
        <v>0.5</v>
      </c>
      <c r="J802" s="0" t="n">
        <f aca="false">F802</f>
        <v>0.875</v>
      </c>
      <c r="K802" s="0" t="n">
        <f aca="false">D802*E802</f>
        <v>-0.375</v>
      </c>
      <c r="L802" s="0" t="n">
        <f aca="false">D802*F802</f>
        <v>-0.65625</v>
      </c>
      <c r="M802" s="0" t="n">
        <f aca="false">E802*F802</f>
        <v>0.4375</v>
      </c>
      <c r="N802" s="0" t="n">
        <f aca="false">D802*D802</f>
        <v>0.5625</v>
      </c>
      <c r="O802" s="0" t="n">
        <f aca="false">E802*E802</f>
        <v>0.25</v>
      </c>
      <c r="P802" s="0" t="n">
        <f aca="false">F802*F802</f>
        <v>0.765625</v>
      </c>
      <c r="Q802" s="0" t="n">
        <f aca="false">SUMPRODUCT(G802:P802,_XtX!$B$71:$K$71)</f>
        <v>45.6927130681818</v>
      </c>
      <c r="R802" s="0" t="n">
        <f aca="false">SUMPRODUCT(MMULT(G802:P802,_XtX!$B$58:$K$67),G802:P802)</f>
        <v>0.370798561789773</v>
      </c>
      <c r="S802" s="0" t="n">
        <f aca="false">04_回帰ANOVA!$K$19*04_回帰ANOVA!$K$14*SQRT(1+R802)</f>
        <v>1.08856271788237</v>
      </c>
      <c r="T802" s="0" t="n">
        <f aca="false">Q802-S802</f>
        <v>44.6041503502995</v>
      </c>
      <c r="U802" s="0" t="n">
        <f aca="false">Q802+S802</f>
        <v>46.7812757860642</v>
      </c>
      <c r="V802" s="54" t="b">
        <f aca="false">AND(D802&gt;=01_因子設定!$L$5-0.000000001,D802&lt;=01_因子設定!$M$5+0.000000001,E802&gt;=01_因子設定!$L$6-0.000000001,E802&lt;=01_因子設定!$M$6+0.000000001,F802&gt;=01_因子設定!$L$7-0.000000001,F802&lt;=01_因子設定!$M$7+0.000000001,IF(01_因子設定!$B$20="Box-Behnken",D802^2+E802^2+F802^2&lt;=2+0.000000001,TRUE()))</f>
        <v>1</v>
      </c>
      <c r="W802" s="55" t="n">
        <f aca="false">IF(V802,IF(01_因子設定!$B$13="最大化",T802-01_因子設定!$B$14,IF(01_因子設定!$B$13="最小化",01_因子設定!$B$15-U802,MIN(T802-01_因子設定!$B$14,01_因子設定!$B$15-U802))),-1E+030)</f>
        <v>-3.89584964970054</v>
      </c>
      <c r="X802" s="55" t="n">
        <f aca="false">IF(V802,IF(01_因子設定!$B$13="最大化",Q802,IF(01_因子設定!$B$13="最小化",-Q802,-ABS(Q802-01_因子設定!$B$16))),-1E+030)</f>
        <v>45.6927130681818</v>
      </c>
      <c r="Y802" s="55" t="n">
        <f aca="false">W802+ROW()*0.000000001</f>
        <v>-3.89584884770054</v>
      </c>
      <c r="Z802" s="55" t="n">
        <f aca="false">X802+ROW()*0.000000001</f>
        <v>45.6927138701818</v>
      </c>
    </row>
    <row r="803" customFormat="false" ht="15" hidden="false" customHeight="false" outlineLevel="0" collapsed="false">
      <c r="A803" s="0" t="n">
        <v>2</v>
      </c>
      <c r="B803" s="0" t="n">
        <v>12</v>
      </c>
      <c r="C803" s="0" t="n">
        <v>16</v>
      </c>
      <c r="D803" s="0" t="n">
        <f aca="false">-1+A803*0.125</f>
        <v>-0.75</v>
      </c>
      <c r="E803" s="0" t="n">
        <f aca="false">-1+B803*0.125</f>
        <v>0.5</v>
      </c>
      <c r="F803" s="0" t="n">
        <f aca="false">-1+C803*0.125</f>
        <v>1</v>
      </c>
      <c r="G803" s="0" t="n">
        <f aca="false">1</f>
        <v>1</v>
      </c>
      <c r="H803" s="0" t="n">
        <f aca="false">D803</f>
        <v>-0.75</v>
      </c>
      <c r="I803" s="0" t="n">
        <f aca="false">E803</f>
        <v>0.5</v>
      </c>
      <c r="J803" s="0" t="n">
        <f aca="false">F803</f>
        <v>1</v>
      </c>
      <c r="K803" s="0" t="n">
        <f aca="false">D803*E803</f>
        <v>-0.375</v>
      </c>
      <c r="L803" s="0" t="n">
        <f aca="false">D803*F803</f>
        <v>-0.75</v>
      </c>
      <c r="M803" s="0" t="n">
        <f aca="false">E803*F803</f>
        <v>0.5</v>
      </c>
      <c r="N803" s="0" t="n">
        <f aca="false">D803*D803</f>
        <v>0.5625</v>
      </c>
      <c r="O803" s="0" t="n">
        <f aca="false">E803*E803</f>
        <v>0.25</v>
      </c>
      <c r="P803" s="0" t="n">
        <f aca="false">F803*F803</f>
        <v>1</v>
      </c>
      <c r="Q803" s="0" t="n">
        <f aca="false">SUMPRODUCT(G803:P803,_XtX!$B$71:$K$71)</f>
        <v>45.6314772727273</v>
      </c>
      <c r="R803" s="0" t="n">
        <f aca="false">SUMPRODUCT(MMULT(G803:P803,_XtX!$B$58:$K$67),G803:P803)</f>
        <v>0.495276988636364</v>
      </c>
      <c r="S803" s="0" t="n">
        <f aca="false">04_回帰ANOVA!$K$19*04_回帰ANOVA!$K$14*SQRT(1+R803)</f>
        <v>1.13691359828352</v>
      </c>
      <c r="T803" s="0" t="n">
        <f aca="false">Q803-S803</f>
        <v>44.4945636744438</v>
      </c>
      <c r="U803" s="0" t="n">
        <f aca="false">Q803+S803</f>
        <v>46.7683908710108</v>
      </c>
      <c r="V803" s="54" t="b">
        <f aca="false">AND(D803&gt;=01_因子設定!$L$5-0.000000001,D803&lt;=01_因子設定!$M$5+0.000000001,E803&gt;=01_因子設定!$L$6-0.000000001,E803&lt;=01_因子設定!$M$6+0.000000001,F803&gt;=01_因子設定!$L$7-0.000000001,F803&lt;=01_因子設定!$M$7+0.000000001,IF(01_因子設定!$B$20="Box-Behnken",D803^2+E803^2+F803^2&lt;=2+0.000000001,TRUE()))</f>
        <v>1</v>
      </c>
      <c r="W803" s="55" t="n">
        <f aca="false">IF(V803,IF(01_因子設定!$B$13="最大化",T803-01_因子設定!$B$14,IF(01_因子設定!$B$13="最小化",01_因子設定!$B$15-U803,MIN(T803-01_因子設定!$B$14,01_因子設定!$B$15-U803))),-1E+030)</f>
        <v>-4.00543632555623</v>
      </c>
      <c r="X803" s="55" t="n">
        <f aca="false">IF(V803,IF(01_因子設定!$B$13="最大化",Q803,IF(01_因子設定!$B$13="最小化",-Q803,-ABS(Q803-01_因子設定!$B$16))),-1E+030)</f>
        <v>45.6314772727273</v>
      </c>
      <c r="Y803" s="55" t="n">
        <f aca="false">W803+ROW()*0.000000001</f>
        <v>-4.00543552255623</v>
      </c>
      <c r="Z803" s="55" t="n">
        <f aca="false">X803+ROW()*0.000000001</f>
        <v>45.6314780757273</v>
      </c>
    </row>
    <row r="804" customFormat="false" ht="15" hidden="false" customHeight="false" outlineLevel="0" collapsed="false">
      <c r="A804" s="0" t="n">
        <v>2</v>
      </c>
      <c r="B804" s="0" t="n">
        <v>13</v>
      </c>
      <c r="C804" s="0" t="n">
        <v>0</v>
      </c>
      <c r="D804" s="0" t="n">
        <f aca="false">-1+A804*0.125</f>
        <v>-0.75</v>
      </c>
      <c r="E804" s="0" t="n">
        <f aca="false">-1+B804*0.125</f>
        <v>0.625</v>
      </c>
      <c r="F804" s="0" t="n">
        <f aca="false">-1+C804*0.125</f>
        <v>-1</v>
      </c>
      <c r="G804" s="0" t="n">
        <f aca="false">1</f>
        <v>1</v>
      </c>
      <c r="H804" s="0" t="n">
        <f aca="false">D804</f>
        <v>-0.75</v>
      </c>
      <c r="I804" s="0" t="n">
        <f aca="false">E804</f>
        <v>0.625</v>
      </c>
      <c r="J804" s="0" t="n">
        <f aca="false">F804</f>
        <v>-1</v>
      </c>
      <c r="K804" s="0" t="n">
        <f aca="false">D804*E804</f>
        <v>-0.46875</v>
      </c>
      <c r="L804" s="0" t="n">
        <f aca="false">D804*F804</f>
        <v>0.75</v>
      </c>
      <c r="M804" s="0" t="n">
        <f aca="false">E804*F804</f>
        <v>-0.625</v>
      </c>
      <c r="N804" s="0" t="n">
        <f aca="false">D804*D804</f>
        <v>0.5625</v>
      </c>
      <c r="O804" s="0" t="n">
        <f aca="false">E804*E804</f>
        <v>0.390625</v>
      </c>
      <c r="P804" s="0" t="n">
        <f aca="false">F804*F804</f>
        <v>1</v>
      </c>
      <c r="Q804" s="0" t="n">
        <f aca="false">SUMPRODUCT(G804:P804,_XtX!$B$71:$K$71)</f>
        <v>41.9990482954546</v>
      </c>
      <c r="R804" s="0" t="n">
        <f aca="false">SUMPRODUCT(MMULT(G804:P804,_XtX!$B$58:$K$67),G804:P804)</f>
        <v>0.496855024857955</v>
      </c>
      <c r="S804" s="0" t="n">
        <f aca="false">04_回帰ANOVA!$K$19*04_回帰ANOVA!$K$14*SQRT(1+R804)</f>
        <v>1.1375133593161</v>
      </c>
      <c r="T804" s="0" t="n">
        <f aca="false">Q804-S804</f>
        <v>40.8615349361385</v>
      </c>
      <c r="U804" s="0" t="n">
        <f aca="false">Q804+S804</f>
        <v>43.1365616547707</v>
      </c>
      <c r="V804" s="54" t="b">
        <f aca="false">AND(D804&gt;=01_因子設定!$L$5-0.000000001,D804&lt;=01_因子設定!$M$5+0.000000001,E804&gt;=01_因子設定!$L$6-0.000000001,E804&lt;=01_因子設定!$M$6+0.000000001,F804&gt;=01_因子設定!$L$7-0.000000001,F804&lt;=01_因子設定!$M$7+0.000000001,IF(01_因子設定!$B$20="Box-Behnken",D804^2+E804^2+F804^2&lt;=2+0.000000001,TRUE()))</f>
        <v>1</v>
      </c>
      <c r="W804" s="55" t="n">
        <f aca="false">IF(V804,IF(01_因子設定!$B$13="最大化",T804-01_因子設定!$B$14,IF(01_因子設定!$B$13="最小化",01_因子設定!$B$15-U804,MIN(T804-01_因子設定!$B$14,01_因子設定!$B$15-U804))),-1E+030)</f>
        <v>-7.63846506386153</v>
      </c>
      <c r="X804" s="55" t="n">
        <f aca="false">IF(V804,IF(01_因子設定!$B$13="最大化",Q804,IF(01_因子設定!$B$13="最小化",-Q804,-ABS(Q804-01_因子設定!$B$16))),-1E+030)</f>
        <v>41.9990482954546</v>
      </c>
      <c r="Y804" s="55" t="n">
        <f aca="false">W804+ROW()*0.000000001</f>
        <v>-7.63846425986153</v>
      </c>
      <c r="Z804" s="55" t="n">
        <f aca="false">X804+ROW()*0.000000001</f>
        <v>41.9990490994546</v>
      </c>
    </row>
    <row r="805" customFormat="false" ht="15" hidden="false" customHeight="false" outlineLevel="0" collapsed="false">
      <c r="A805" s="0" t="n">
        <v>2</v>
      </c>
      <c r="B805" s="0" t="n">
        <v>13</v>
      </c>
      <c r="C805" s="0" t="n">
        <v>1</v>
      </c>
      <c r="D805" s="0" t="n">
        <f aca="false">-1+A805*0.125</f>
        <v>-0.75</v>
      </c>
      <c r="E805" s="0" t="n">
        <f aca="false">-1+B805*0.125</f>
        <v>0.625</v>
      </c>
      <c r="F805" s="0" t="n">
        <f aca="false">-1+C805*0.125</f>
        <v>-0.875</v>
      </c>
      <c r="G805" s="0" t="n">
        <f aca="false">1</f>
        <v>1</v>
      </c>
      <c r="H805" s="0" t="n">
        <f aca="false">D805</f>
        <v>-0.75</v>
      </c>
      <c r="I805" s="0" t="n">
        <f aca="false">E805</f>
        <v>0.625</v>
      </c>
      <c r="J805" s="0" t="n">
        <f aca="false">F805</f>
        <v>-0.875</v>
      </c>
      <c r="K805" s="0" t="n">
        <f aca="false">D805*E805</f>
        <v>-0.46875</v>
      </c>
      <c r="L805" s="0" t="n">
        <f aca="false">D805*F805</f>
        <v>0.65625</v>
      </c>
      <c r="M805" s="0" t="n">
        <f aca="false">E805*F805</f>
        <v>-0.546875</v>
      </c>
      <c r="N805" s="0" t="n">
        <f aca="false">D805*D805</f>
        <v>0.5625</v>
      </c>
      <c r="O805" s="0" t="n">
        <f aca="false">E805*E805</f>
        <v>0.390625</v>
      </c>
      <c r="P805" s="0" t="n">
        <f aca="false">F805*F805</f>
        <v>0.765625</v>
      </c>
      <c r="Q805" s="0" t="n">
        <f aca="false">SUMPRODUCT(G805:P805,_XtX!$B$71:$K$71)</f>
        <v>42.4966903409091</v>
      </c>
      <c r="R805" s="0" t="n">
        <f aca="false">SUMPRODUCT(MMULT(G805:P805,_XtX!$B$58:$K$67),G805:P805)</f>
        <v>0.377245538884943</v>
      </c>
      <c r="S805" s="0" t="n">
        <f aca="false">04_回帰ANOVA!$K$19*04_回帰ANOVA!$K$14*SQRT(1+R805)</f>
        <v>1.09111951468927</v>
      </c>
      <c r="T805" s="0" t="n">
        <f aca="false">Q805-S805</f>
        <v>41.4055708262198</v>
      </c>
      <c r="U805" s="0" t="n">
        <f aca="false">Q805+S805</f>
        <v>43.5878098555984</v>
      </c>
      <c r="V805" s="54" t="b">
        <f aca="false">AND(D805&gt;=01_因子設定!$L$5-0.000000001,D805&lt;=01_因子設定!$M$5+0.000000001,E805&gt;=01_因子設定!$L$6-0.000000001,E805&lt;=01_因子設定!$M$6+0.000000001,F805&gt;=01_因子設定!$L$7-0.000000001,F805&lt;=01_因子設定!$M$7+0.000000001,IF(01_因子設定!$B$20="Box-Behnken",D805^2+E805^2+F805^2&lt;=2+0.000000001,TRUE()))</f>
        <v>1</v>
      </c>
      <c r="W805" s="55" t="n">
        <f aca="false">IF(V805,IF(01_因子設定!$B$13="最大化",T805-01_因子設定!$B$14,IF(01_因子設定!$B$13="最小化",01_因子設定!$B$15-U805,MIN(T805-01_因子設定!$B$14,01_因子設定!$B$15-U805))),-1E+030)</f>
        <v>-7.09442917378017</v>
      </c>
      <c r="X805" s="55" t="n">
        <f aca="false">IF(V805,IF(01_因子設定!$B$13="最大化",Q805,IF(01_因子設定!$B$13="最小化",-Q805,-ABS(Q805-01_因子設定!$B$16))),-1E+030)</f>
        <v>42.4966903409091</v>
      </c>
      <c r="Y805" s="55" t="n">
        <f aca="false">W805+ROW()*0.000000001</f>
        <v>-7.09442836878017</v>
      </c>
      <c r="Z805" s="55" t="n">
        <f aca="false">X805+ROW()*0.000000001</f>
        <v>42.4966911459091</v>
      </c>
    </row>
    <row r="806" customFormat="false" ht="15" hidden="false" customHeight="false" outlineLevel="0" collapsed="false">
      <c r="A806" s="0" t="n">
        <v>2</v>
      </c>
      <c r="B806" s="0" t="n">
        <v>13</v>
      </c>
      <c r="C806" s="0" t="n">
        <v>2</v>
      </c>
      <c r="D806" s="0" t="n">
        <f aca="false">-1+A806*0.125</f>
        <v>-0.75</v>
      </c>
      <c r="E806" s="0" t="n">
        <f aca="false">-1+B806*0.125</f>
        <v>0.625</v>
      </c>
      <c r="F806" s="0" t="n">
        <f aca="false">-1+C806*0.125</f>
        <v>-0.75</v>
      </c>
      <c r="G806" s="0" t="n">
        <f aca="false">1</f>
        <v>1</v>
      </c>
      <c r="H806" s="0" t="n">
        <f aca="false">D806</f>
        <v>-0.75</v>
      </c>
      <c r="I806" s="0" t="n">
        <f aca="false">E806</f>
        <v>0.625</v>
      </c>
      <c r="J806" s="0" t="n">
        <f aca="false">F806</f>
        <v>-0.75</v>
      </c>
      <c r="K806" s="0" t="n">
        <f aca="false">D806*E806</f>
        <v>-0.46875</v>
      </c>
      <c r="L806" s="0" t="n">
        <f aca="false">D806*F806</f>
        <v>0.5625</v>
      </c>
      <c r="M806" s="0" t="n">
        <f aca="false">E806*F806</f>
        <v>-0.46875</v>
      </c>
      <c r="N806" s="0" t="n">
        <f aca="false">D806*D806</f>
        <v>0.5625</v>
      </c>
      <c r="O806" s="0" t="n">
        <f aca="false">E806*E806</f>
        <v>0.390625</v>
      </c>
      <c r="P806" s="0" t="n">
        <f aca="false">F806*F806</f>
        <v>0.5625</v>
      </c>
      <c r="Q806" s="0" t="n">
        <f aca="false">SUMPRODUCT(G806:P806,_XtX!$B$71:$K$71)</f>
        <v>42.9575426136364</v>
      </c>
      <c r="R806" s="0" t="n">
        <f aca="false">SUMPRODUCT(MMULT(G806:P806,_XtX!$B$58:$K$67),G806:P806)</f>
        <v>0.305899325284091</v>
      </c>
      <c r="S806" s="0" t="n">
        <f aca="false">04_回帰ANOVA!$K$19*04_回帰ANOVA!$K$14*SQRT(1+R806)</f>
        <v>1.06248176416816</v>
      </c>
      <c r="T806" s="0" t="n">
        <f aca="false">Q806-S806</f>
        <v>41.8950608494682</v>
      </c>
      <c r="U806" s="0" t="n">
        <f aca="false">Q806+S806</f>
        <v>44.0200243778045</v>
      </c>
      <c r="V806" s="54" t="b">
        <f aca="false">AND(D806&gt;=01_因子設定!$L$5-0.000000001,D806&lt;=01_因子設定!$M$5+0.000000001,E806&gt;=01_因子設定!$L$6-0.000000001,E806&lt;=01_因子設定!$M$6+0.000000001,F806&gt;=01_因子設定!$L$7-0.000000001,F806&lt;=01_因子設定!$M$7+0.000000001,IF(01_因子設定!$B$20="Box-Behnken",D806^2+E806^2+F806^2&lt;=2+0.000000001,TRUE()))</f>
        <v>1</v>
      </c>
      <c r="W806" s="55" t="n">
        <f aca="false">IF(V806,IF(01_因子設定!$B$13="最大化",T806-01_因子設定!$B$14,IF(01_因子設定!$B$13="最小化",01_因子設定!$B$15-U806,MIN(T806-01_因子設定!$B$14,01_因子設定!$B$15-U806))),-1E+030)</f>
        <v>-6.60493915053179</v>
      </c>
      <c r="X806" s="55" t="n">
        <f aca="false">IF(V806,IF(01_因子設定!$B$13="最大化",Q806,IF(01_因子設定!$B$13="最小化",-Q806,-ABS(Q806-01_因子設定!$B$16))),-1E+030)</f>
        <v>42.9575426136364</v>
      </c>
      <c r="Y806" s="55" t="n">
        <f aca="false">W806+ROW()*0.000000001</f>
        <v>-6.60493834453179</v>
      </c>
      <c r="Z806" s="55" t="n">
        <f aca="false">X806+ROW()*0.000000001</f>
        <v>42.9575434196364</v>
      </c>
    </row>
    <row r="807" customFormat="false" ht="15" hidden="false" customHeight="false" outlineLevel="0" collapsed="false">
      <c r="A807" s="0" t="n">
        <v>2</v>
      </c>
      <c r="B807" s="0" t="n">
        <v>13</v>
      </c>
      <c r="C807" s="0" t="n">
        <v>3</v>
      </c>
      <c r="D807" s="0" t="n">
        <f aca="false">-1+A807*0.125</f>
        <v>-0.75</v>
      </c>
      <c r="E807" s="0" t="n">
        <f aca="false">-1+B807*0.125</f>
        <v>0.625</v>
      </c>
      <c r="F807" s="0" t="n">
        <f aca="false">-1+C807*0.125</f>
        <v>-0.625</v>
      </c>
      <c r="G807" s="0" t="n">
        <f aca="false">1</f>
        <v>1</v>
      </c>
      <c r="H807" s="0" t="n">
        <f aca="false">D807</f>
        <v>-0.75</v>
      </c>
      <c r="I807" s="0" t="n">
        <f aca="false">E807</f>
        <v>0.625</v>
      </c>
      <c r="J807" s="0" t="n">
        <f aca="false">F807</f>
        <v>-0.625</v>
      </c>
      <c r="K807" s="0" t="n">
        <f aca="false">D807*E807</f>
        <v>-0.46875</v>
      </c>
      <c r="L807" s="0" t="n">
        <f aca="false">D807*F807</f>
        <v>0.46875</v>
      </c>
      <c r="M807" s="0" t="n">
        <f aca="false">E807*F807</f>
        <v>-0.390625</v>
      </c>
      <c r="N807" s="0" t="n">
        <f aca="false">D807*D807</f>
        <v>0.5625</v>
      </c>
      <c r="O807" s="0" t="n">
        <f aca="false">E807*E807</f>
        <v>0.390625</v>
      </c>
      <c r="P807" s="0" t="n">
        <f aca="false">F807*F807</f>
        <v>0.390625</v>
      </c>
      <c r="Q807" s="0" t="n">
        <f aca="false">SUMPRODUCT(G807:P807,_XtX!$B$71:$K$71)</f>
        <v>43.3816051136364</v>
      </c>
      <c r="R807" s="0" t="n">
        <f aca="false">SUMPRODUCT(MMULT(G807:P807,_XtX!$B$58:$K$67),G807:P807)</f>
        <v>0.268966952237216</v>
      </c>
      <c r="S807" s="0" t="n">
        <f aca="false">04_回帰ANOVA!$K$19*04_回帰ANOVA!$K$14*SQRT(1+R807)</f>
        <v>1.04734989137801</v>
      </c>
      <c r="T807" s="0" t="n">
        <f aca="false">Q807-S807</f>
        <v>42.3342552222584</v>
      </c>
      <c r="U807" s="0" t="n">
        <f aca="false">Q807+S807</f>
        <v>44.4289550050144</v>
      </c>
      <c r="V807" s="54" t="b">
        <f aca="false">AND(D807&gt;=01_因子設定!$L$5-0.000000001,D807&lt;=01_因子設定!$M$5+0.000000001,E807&gt;=01_因子設定!$L$6-0.000000001,E807&lt;=01_因子設定!$M$6+0.000000001,F807&gt;=01_因子設定!$L$7-0.000000001,F807&lt;=01_因子設定!$M$7+0.000000001,IF(01_因子設定!$B$20="Box-Behnken",D807^2+E807^2+F807^2&lt;=2+0.000000001,TRUE()))</f>
        <v>1</v>
      </c>
      <c r="W807" s="55" t="n">
        <f aca="false">IF(V807,IF(01_因子設定!$B$13="最大化",T807-01_因子設定!$B$14,IF(01_因子設定!$B$13="最小化",01_因子設定!$B$15-U807,MIN(T807-01_因子設定!$B$14,01_因子設定!$B$15-U807))),-1E+030)</f>
        <v>-6.16574477774164</v>
      </c>
      <c r="X807" s="55" t="n">
        <f aca="false">IF(V807,IF(01_因子設定!$B$13="最大化",Q807,IF(01_因子設定!$B$13="最小化",-Q807,-ABS(Q807-01_因子設定!$B$16))),-1E+030)</f>
        <v>43.3816051136364</v>
      </c>
      <c r="Y807" s="55" t="n">
        <f aca="false">W807+ROW()*0.000000001</f>
        <v>-6.16574397074164</v>
      </c>
      <c r="Z807" s="55" t="n">
        <f aca="false">X807+ROW()*0.000000001</f>
        <v>43.3816059206364</v>
      </c>
    </row>
    <row r="808" customFormat="false" ht="15" hidden="false" customHeight="false" outlineLevel="0" collapsed="false">
      <c r="A808" s="0" t="n">
        <v>2</v>
      </c>
      <c r="B808" s="0" t="n">
        <v>13</v>
      </c>
      <c r="C808" s="0" t="n">
        <v>4</v>
      </c>
      <c r="D808" s="0" t="n">
        <f aca="false">-1+A808*0.125</f>
        <v>-0.75</v>
      </c>
      <c r="E808" s="0" t="n">
        <f aca="false">-1+B808*0.125</f>
        <v>0.625</v>
      </c>
      <c r="F808" s="0" t="n">
        <f aca="false">-1+C808*0.125</f>
        <v>-0.5</v>
      </c>
      <c r="G808" s="0" t="n">
        <f aca="false">1</f>
        <v>1</v>
      </c>
      <c r="H808" s="0" t="n">
        <f aca="false">D808</f>
        <v>-0.75</v>
      </c>
      <c r="I808" s="0" t="n">
        <f aca="false">E808</f>
        <v>0.625</v>
      </c>
      <c r="J808" s="0" t="n">
        <f aca="false">F808</f>
        <v>-0.5</v>
      </c>
      <c r="K808" s="0" t="n">
        <f aca="false">D808*E808</f>
        <v>-0.46875</v>
      </c>
      <c r="L808" s="0" t="n">
        <f aca="false">D808*F808</f>
        <v>0.375</v>
      </c>
      <c r="M808" s="0" t="n">
        <f aca="false">E808*F808</f>
        <v>-0.3125</v>
      </c>
      <c r="N808" s="0" t="n">
        <f aca="false">D808*D808</f>
        <v>0.5625</v>
      </c>
      <c r="O808" s="0" t="n">
        <f aca="false">E808*E808</f>
        <v>0.390625</v>
      </c>
      <c r="P808" s="0" t="n">
        <f aca="false">F808*F808</f>
        <v>0.25</v>
      </c>
      <c r="Q808" s="0" t="n">
        <f aca="false">SUMPRODUCT(G808:P808,_XtX!$B$71:$K$71)</f>
        <v>43.7688778409091</v>
      </c>
      <c r="R808" s="0" t="n">
        <f aca="false">SUMPRODUCT(MMULT(G808:P808,_XtX!$B$58:$K$67),G808:P808)</f>
        <v>0.254729669744318</v>
      </c>
      <c r="S808" s="0" t="n">
        <f aca="false">04_回帰ANOVA!$K$19*04_回帰ANOVA!$K$14*SQRT(1+R808)</f>
        <v>1.04145790281631</v>
      </c>
      <c r="T808" s="0" t="n">
        <f aca="false">Q808-S808</f>
        <v>42.7274199380928</v>
      </c>
      <c r="U808" s="0" t="n">
        <f aca="false">Q808+S808</f>
        <v>44.8103357437254</v>
      </c>
      <c r="V808" s="54" t="b">
        <f aca="false">AND(D808&gt;=01_因子設定!$L$5-0.000000001,D808&lt;=01_因子設定!$M$5+0.000000001,E808&gt;=01_因子設定!$L$6-0.000000001,E808&lt;=01_因子設定!$M$6+0.000000001,F808&gt;=01_因子設定!$L$7-0.000000001,F808&lt;=01_因子設定!$M$7+0.000000001,IF(01_因子設定!$B$20="Box-Behnken",D808^2+E808^2+F808^2&lt;=2+0.000000001,TRUE()))</f>
        <v>1</v>
      </c>
      <c r="W808" s="55" t="n">
        <f aca="false">IF(V808,IF(01_因子設定!$B$13="最大化",T808-01_因子設定!$B$14,IF(01_因子設定!$B$13="最小化",01_因子設定!$B$15-U808,MIN(T808-01_因子設定!$B$14,01_因子設定!$B$15-U808))),-1E+030)</f>
        <v>-5.77258006190722</v>
      </c>
      <c r="X808" s="55" t="n">
        <f aca="false">IF(V808,IF(01_因子設定!$B$13="最大化",Q808,IF(01_因子設定!$B$13="最小化",-Q808,-ABS(Q808-01_因子設定!$B$16))),-1E+030)</f>
        <v>43.7688778409091</v>
      </c>
      <c r="Y808" s="55" t="n">
        <f aca="false">W808+ROW()*0.000000001</f>
        <v>-5.77257925390722</v>
      </c>
      <c r="Z808" s="55" t="n">
        <f aca="false">X808+ROW()*0.000000001</f>
        <v>43.7688786489091</v>
      </c>
    </row>
    <row r="809" customFormat="false" ht="15" hidden="false" customHeight="false" outlineLevel="0" collapsed="false">
      <c r="A809" s="0" t="n">
        <v>2</v>
      </c>
      <c r="B809" s="0" t="n">
        <v>13</v>
      </c>
      <c r="C809" s="0" t="n">
        <v>5</v>
      </c>
      <c r="D809" s="0" t="n">
        <f aca="false">-1+A809*0.125</f>
        <v>-0.75</v>
      </c>
      <c r="E809" s="0" t="n">
        <f aca="false">-1+B809*0.125</f>
        <v>0.625</v>
      </c>
      <c r="F809" s="0" t="n">
        <f aca="false">-1+C809*0.125</f>
        <v>-0.375</v>
      </c>
      <c r="G809" s="0" t="n">
        <f aca="false">1</f>
        <v>1</v>
      </c>
      <c r="H809" s="0" t="n">
        <f aca="false">D809</f>
        <v>-0.75</v>
      </c>
      <c r="I809" s="0" t="n">
        <f aca="false">E809</f>
        <v>0.625</v>
      </c>
      <c r="J809" s="0" t="n">
        <f aca="false">F809</f>
        <v>-0.375</v>
      </c>
      <c r="K809" s="0" t="n">
        <f aca="false">D809*E809</f>
        <v>-0.46875</v>
      </c>
      <c r="L809" s="0" t="n">
        <f aca="false">D809*F809</f>
        <v>0.28125</v>
      </c>
      <c r="M809" s="0" t="n">
        <f aca="false">E809*F809</f>
        <v>-0.234375</v>
      </c>
      <c r="N809" s="0" t="n">
        <f aca="false">D809*D809</f>
        <v>0.5625</v>
      </c>
      <c r="O809" s="0" t="n">
        <f aca="false">E809*E809</f>
        <v>0.390625</v>
      </c>
      <c r="P809" s="0" t="n">
        <f aca="false">F809*F809</f>
        <v>0.140625</v>
      </c>
      <c r="Q809" s="0" t="n">
        <f aca="false">SUMPRODUCT(G809:P809,_XtX!$B$71:$K$71)</f>
        <v>44.1193607954546</v>
      </c>
      <c r="R809" s="0" t="n">
        <f aca="false">SUMPRODUCT(MMULT(G809:P809,_XtX!$B$58:$K$67),G809:P809)</f>
        <v>0.25359940962358</v>
      </c>
      <c r="S809" s="0" t="n">
        <f aca="false">04_回帰ANOVA!$K$19*04_回帰ANOVA!$K$14*SQRT(1+R809)</f>
        <v>1.04098872464599</v>
      </c>
      <c r="T809" s="0" t="n">
        <f aca="false">Q809-S809</f>
        <v>43.0783720708086</v>
      </c>
      <c r="U809" s="0" t="n">
        <f aca="false">Q809+S809</f>
        <v>45.1603495201005</v>
      </c>
      <c r="V809" s="54" t="b">
        <f aca="false">AND(D809&gt;=01_因子設定!$L$5-0.000000001,D809&lt;=01_因子設定!$M$5+0.000000001,E809&gt;=01_因子設定!$L$6-0.000000001,E809&lt;=01_因子設定!$M$6+0.000000001,F809&gt;=01_因子設定!$L$7-0.000000001,F809&lt;=01_因子設定!$M$7+0.000000001,IF(01_因子設定!$B$20="Box-Behnken",D809^2+E809^2+F809^2&lt;=2+0.000000001,TRUE()))</f>
        <v>1</v>
      </c>
      <c r="W809" s="55" t="n">
        <f aca="false">IF(V809,IF(01_因子設定!$B$13="最大化",T809-01_因子設定!$B$14,IF(01_因子設定!$B$13="最小化",01_因子設定!$B$15-U809,MIN(T809-01_因子設定!$B$14,01_因子設定!$B$15-U809))),-1E+030)</f>
        <v>-5.42162792919144</v>
      </c>
      <c r="X809" s="55" t="n">
        <f aca="false">IF(V809,IF(01_因子設定!$B$13="最大化",Q809,IF(01_因子設定!$B$13="最小化",-Q809,-ABS(Q809-01_因子設定!$B$16))),-1E+030)</f>
        <v>44.1193607954546</v>
      </c>
      <c r="Y809" s="55" t="n">
        <f aca="false">W809+ROW()*0.000000001</f>
        <v>-5.42162712019144</v>
      </c>
      <c r="Z809" s="55" t="n">
        <f aca="false">X809+ROW()*0.000000001</f>
        <v>44.1193616044546</v>
      </c>
    </row>
    <row r="810" customFormat="false" ht="15" hidden="false" customHeight="false" outlineLevel="0" collapsed="false">
      <c r="A810" s="0" t="n">
        <v>2</v>
      </c>
      <c r="B810" s="0" t="n">
        <v>13</v>
      </c>
      <c r="C810" s="0" t="n">
        <v>6</v>
      </c>
      <c r="D810" s="0" t="n">
        <f aca="false">-1+A810*0.125</f>
        <v>-0.75</v>
      </c>
      <c r="E810" s="0" t="n">
        <f aca="false">-1+B810*0.125</f>
        <v>0.625</v>
      </c>
      <c r="F810" s="0" t="n">
        <f aca="false">-1+C810*0.125</f>
        <v>-0.25</v>
      </c>
      <c r="G810" s="0" t="n">
        <f aca="false">1</f>
        <v>1</v>
      </c>
      <c r="H810" s="0" t="n">
        <f aca="false">D810</f>
        <v>-0.75</v>
      </c>
      <c r="I810" s="0" t="n">
        <f aca="false">E810</f>
        <v>0.625</v>
      </c>
      <c r="J810" s="0" t="n">
        <f aca="false">F810</f>
        <v>-0.25</v>
      </c>
      <c r="K810" s="0" t="n">
        <f aca="false">D810*E810</f>
        <v>-0.46875</v>
      </c>
      <c r="L810" s="0" t="n">
        <f aca="false">D810*F810</f>
        <v>0.1875</v>
      </c>
      <c r="M810" s="0" t="n">
        <f aca="false">E810*F810</f>
        <v>-0.15625</v>
      </c>
      <c r="N810" s="0" t="n">
        <f aca="false">D810*D810</f>
        <v>0.5625</v>
      </c>
      <c r="O810" s="0" t="n">
        <f aca="false">E810*E810</f>
        <v>0.390625</v>
      </c>
      <c r="P810" s="0" t="n">
        <f aca="false">F810*F810</f>
        <v>0.0625</v>
      </c>
      <c r="Q810" s="0" t="n">
        <f aca="false">SUMPRODUCT(G810:P810,_XtX!$B$71:$K$71)</f>
        <v>44.4330539772727</v>
      </c>
      <c r="R810" s="0" t="n">
        <f aca="false">SUMPRODUCT(MMULT(G810:P810,_XtX!$B$58:$K$67),G810:P810)</f>
        <v>0.258118785511364</v>
      </c>
      <c r="S810" s="0" t="n">
        <f aca="false">04_回帰ANOVA!$K$19*04_回帰ANOVA!$K$14*SQRT(1+R810)</f>
        <v>1.04286348094876</v>
      </c>
      <c r="T810" s="0" t="n">
        <f aca="false">Q810-S810</f>
        <v>43.390190496324</v>
      </c>
      <c r="U810" s="0" t="n">
        <f aca="false">Q810+S810</f>
        <v>45.4759174582215</v>
      </c>
      <c r="V810" s="54" t="b">
        <f aca="false">AND(D810&gt;=01_因子設定!$L$5-0.000000001,D810&lt;=01_因子設定!$M$5+0.000000001,E810&gt;=01_因子設定!$L$6-0.000000001,E810&lt;=01_因子設定!$M$6+0.000000001,F810&gt;=01_因子設定!$L$7-0.000000001,F810&lt;=01_因子設定!$M$7+0.000000001,IF(01_因子設定!$B$20="Box-Behnken",D810^2+E810^2+F810^2&lt;=2+0.000000001,TRUE()))</f>
        <v>1</v>
      </c>
      <c r="W810" s="55" t="n">
        <f aca="false">IF(V810,IF(01_因子設定!$B$13="最大化",T810-01_因子設定!$B$14,IF(01_因子設定!$B$13="最小化",01_因子設定!$B$15-U810,MIN(T810-01_因子設定!$B$14,01_因子設定!$B$15-U810))),-1E+030)</f>
        <v>-5.10980950367603</v>
      </c>
      <c r="X810" s="55" t="n">
        <f aca="false">IF(V810,IF(01_因子設定!$B$13="最大化",Q810,IF(01_因子設定!$B$13="最小化",-Q810,-ABS(Q810-01_因子設定!$B$16))),-1E+030)</f>
        <v>44.4330539772727</v>
      </c>
      <c r="Y810" s="55" t="n">
        <f aca="false">W810+ROW()*0.000000001</f>
        <v>-5.10980869367603</v>
      </c>
      <c r="Z810" s="55" t="n">
        <f aca="false">X810+ROW()*0.000000001</f>
        <v>44.4330547872727</v>
      </c>
    </row>
    <row r="811" customFormat="false" ht="15" hidden="false" customHeight="false" outlineLevel="0" collapsed="false">
      <c r="A811" s="0" t="n">
        <v>2</v>
      </c>
      <c r="B811" s="0" t="n">
        <v>13</v>
      </c>
      <c r="C811" s="0" t="n">
        <v>7</v>
      </c>
      <c r="D811" s="0" t="n">
        <f aca="false">-1+A811*0.125</f>
        <v>-0.75</v>
      </c>
      <c r="E811" s="0" t="n">
        <f aca="false">-1+B811*0.125</f>
        <v>0.625</v>
      </c>
      <c r="F811" s="0" t="n">
        <f aca="false">-1+C811*0.125</f>
        <v>-0.125</v>
      </c>
      <c r="G811" s="0" t="n">
        <f aca="false">1</f>
        <v>1</v>
      </c>
      <c r="H811" s="0" t="n">
        <f aca="false">D811</f>
        <v>-0.75</v>
      </c>
      <c r="I811" s="0" t="n">
        <f aca="false">E811</f>
        <v>0.625</v>
      </c>
      <c r="J811" s="0" t="n">
        <f aca="false">F811</f>
        <v>-0.125</v>
      </c>
      <c r="K811" s="0" t="n">
        <f aca="false">D811*E811</f>
        <v>-0.46875</v>
      </c>
      <c r="L811" s="0" t="n">
        <f aca="false">D811*F811</f>
        <v>0.09375</v>
      </c>
      <c r="M811" s="0" t="n">
        <f aca="false">E811*F811</f>
        <v>-0.078125</v>
      </c>
      <c r="N811" s="0" t="n">
        <f aca="false">D811*D811</f>
        <v>0.5625</v>
      </c>
      <c r="O811" s="0" t="n">
        <f aca="false">E811*E811</f>
        <v>0.390625</v>
      </c>
      <c r="P811" s="0" t="n">
        <f aca="false">F811*F811</f>
        <v>0.015625</v>
      </c>
      <c r="Q811" s="0" t="n">
        <f aca="false">SUMPRODUCT(G811:P811,_XtX!$B$71:$K$71)</f>
        <v>44.7099573863636</v>
      </c>
      <c r="R811" s="0" t="n">
        <f aca="false">SUMPRODUCT(MMULT(G811:P811,_XtX!$B$58:$K$67),G811:P811)</f>
        <v>0.262961092862216</v>
      </c>
      <c r="S811" s="0" t="n">
        <f aca="false">04_回帰ANOVA!$K$19*04_回帰ANOVA!$K$14*SQRT(1+R811)</f>
        <v>1.04486846483649</v>
      </c>
      <c r="T811" s="0" t="n">
        <f aca="false">Q811-S811</f>
        <v>43.6650889215272</v>
      </c>
      <c r="U811" s="0" t="n">
        <f aca="false">Q811+S811</f>
        <v>45.7548258512001</v>
      </c>
      <c r="V811" s="54" t="b">
        <f aca="false">AND(D811&gt;=01_因子設定!$L$5-0.000000001,D811&lt;=01_因子設定!$M$5+0.000000001,E811&gt;=01_因子設定!$L$6-0.000000001,E811&lt;=01_因子設定!$M$6+0.000000001,F811&gt;=01_因子設定!$L$7-0.000000001,F811&lt;=01_因子設定!$M$7+0.000000001,IF(01_因子設定!$B$20="Box-Behnken",D811^2+E811^2+F811^2&lt;=2+0.000000001,TRUE()))</f>
        <v>1</v>
      </c>
      <c r="W811" s="55" t="n">
        <f aca="false">IF(V811,IF(01_因子設定!$B$13="最大化",T811-01_因子設定!$B$14,IF(01_因子設定!$B$13="最小化",01_因子設定!$B$15-U811,MIN(T811-01_因子設定!$B$14,01_因子設定!$B$15-U811))),-1E+030)</f>
        <v>-4.83491107847285</v>
      </c>
      <c r="X811" s="55" t="n">
        <f aca="false">IF(V811,IF(01_因子設定!$B$13="最大化",Q811,IF(01_因子設定!$B$13="最小化",-Q811,-ABS(Q811-01_因子設定!$B$16))),-1E+030)</f>
        <v>44.7099573863636</v>
      </c>
      <c r="Y811" s="55" t="n">
        <f aca="false">W811+ROW()*0.000000001</f>
        <v>-4.83491026747285</v>
      </c>
      <c r="Z811" s="55" t="n">
        <f aca="false">X811+ROW()*0.000000001</f>
        <v>44.7099581973636</v>
      </c>
    </row>
    <row r="812" customFormat="false" ht="15" hidden="false" customHeight="false" outlineLevel="0" collapsed="false">
      <c r="A812" s="0" t="n">
        <v>2</v>
      </c>
      <c r="B812" s="0" t="n">
        <v>13</v>
      </c>
      <c r="C812" s="0" t="n">
        <v>8</v>
      </c>
      <c r="D812" s="0" t="n">
        <f aca="false">-1+A812*0.125</f>
        <v>-0.75</v>
      </c>
      <c r="E812" s="0" t="n">
        <f aca="false">-1+B812*0.125</f>
        <v>0.625</v>
      </c>
      <c r="F812" s="0" t="n">
        <f aca="false">-1+C812*0.125</f>
        <v>0</v>
      </c>
      <c r="G812" s="0" t="n">
        <f aca="false">1</f>
        <v>1</v>
      </c>
      <c r="H812" s="0" t="n">
        <f aca="false">D812</f>
        <v>-0.75</v>
      </c>
      <c r="I812" s="0" t="n">
        <f aca="false">E812</f>
        <v>0.625</v>
      </c>
      <c r="J812" s="0" t="n">
        <f aca="false">F812</f>
        <v>0</v>
      </c>
      <c r="K812" s="0" t="n">
        <f aca="false">D812*E812</f>
        <v>-0.46875</v>
      </c>
      <c r="L812" s="0" t="n">
        <f aca="false">D812*F812</f>
        <v>-0</v>
      </c>
      <c r="M812" s="0" t="n">
        <f aca="false">E812*F812</f>
        <v>0</v>
      </c>
      <c r="N812" s="0" t="n">
        <f aca="false">D812*D812</f>
        <v>0.5625</v>
      </c>
      <c r="O812" s="0" t="n">
        <f aca="false">E812*E812</f>
        <v>0.390625</v>
      </c>
      <c r="P812" s="0" t="n">
        <f aca="false">F812*F812</f>
        <v>0</v>
      </c>
      <c r="Q812" s="0" t="n">
        <f aca="false">SUMPRODUCT(G812:P812,_XtX!$B$71:$K$71)</f>
        <v>44.9500710227273</v>
      </c>
      <c r="R812" s="0" t="n">
        <f aca="false">SUMPRODUCT(MMULT(G812:P812,_XtX!$B$58:$K$67),G812:P812)</f>
        <v>0.264930308948864</v>
      </c>
      <c r="S812" s="0" t="n">
        <f aca="false">04_回帰ANOVA!$K$19*04_回帰ANOVA!$K$14*SQRT(1+R812)</f>
        <v>1.04568272997153</v>
      </c>
      <c r="T812" s="0" t="n">
        <f aca="false">Q812-S812</f>
        <v>43.9043882927558</v>
      </c>
      <c r="U812" s="0" t="n">
        <f aca="false">Q812+S812</f>
        <v>45.9957537526988</v>
      </c>
      <c r="V812" s="54" t="b">
        <f aca="false">AND(D812&gt;=01_因子設定!$L$5-0.000000001,D812&lt;=01_因子設定!$M$5+0.000000001,E812&gt;=01_因子設定!$L$6-0.000000001,E812&lt;=01_因子設定!$M$6+0.000000001,F812&gt;=01_因子設定!$L$7-0.000000001,F812&lt;=01_因子設定!$M$7+0.000000001,IF(01_因子設定!$B$20="Box-Behnken",D812^2+E812^2+F812^2&lt;=2+0.000000001,TRUE()))</f>
        <v>1</v>
      </c>
      <c r="W812" s="55" t="n">
        <f aca="false">IF(V812,IF(01_因子設定!$B$13="最大化",T812-01_因子設定!$B$14,IF(01_因子設定!$B$13="最小化",01_因子設定!$B$15-U812,MIN(T812-01_因子設定!$B$14,01_因子設定!$B$15-U812))),-1E+030)</f>
        <v>-4.59561170724425</v>
      </c>
      <c r="X812" s="55" t="n">
        <f aca="false">IF(V812,IF(01_因子設定!$B$13="最大化",Q812,IF(01_因子設定!$B$13="最小化",-Q812,-ABS(Q812-01_因子設定!$B$16))),-1E+030)</f>
        <v>44.9500710227273</v>
      </c>
      <c r="Y812" s="55" t="n">
        <f aca="false">W812+ROW()*0.000000001</f>
        <v>-4.59561089524425</v>
      </c>
      <c r="Z812" s="55" t="n">
        <f aca="false">X812+ROW()*0.000000001</f>
        <v>44.9500718347273</v>
      </c>
    </row>
    <row r="813" customFormat="false" ht="15" hidden="false" customHeight="false" outlineLevel="0" collapsed="false">
      <c r="A813" s="0" t="n">
        <v>2</v>
      </c>
      <c r="B813" s="0" t="n">
        <v>13</v>
      </c>
      <c r="C813" s="0" t="n">
        <v>9</v>
      </c>
      <c r="D813" s="0" t="n">
        <f aca="false">-1+A813*0.125</f>
        <v>-0.75</v>
      </c>
      <c r="E813" s="0" t="n">
        <f aca="false">-1+B813*0.125</f>
        <v>0.625</v>
      </c>
      <c r="F813" s="0" t="n">
        <f aca="false">-1+C813*0.125</f>
        <v>0.125</v>
      </c>
      <c r="G813" s="0" t="n">
        <f aca="false">1</f>
        <v>1</v>
      </c>
      <c r="H813" s="0" t="n">
        <f aca="false">D813</f>
        <v>-0.75</v>
      </c>
      <c r="I813" s="0" t="n">
        <f aca="false">E813</f>
        <v>0.625</v>
      </c>
      <c r="J813" s="0" t="n">
        <f aca="false">F813</f>
        <v>0.125</v>
      </c>
      <c r="K813" s="0" t="n">
        <f aca="false">D813*E813</f>
        <v>-0.46875</v>
      </c>
      <c r="L813" s="0" t="n">
        <f aca="false">D813*F813</f>
        <v>-0.09375</v>
      </c>
      <c r="M813" s="0" t="n">
        <f aca="false">E813*F813</f>
        <v>0.078125</v>
      </c>
      <c r="N813" s="0" t="n">
        <f aca="false">D813*D813</f>
        <v>0.5625</v>
      </c>
      <c r="O813" s="0" t="n">
        <f aca="false">E813*E813</f>
        <v>0.390625</v>
      </c>
      <c r="P813" s="0" t="n">
        <f aca="false">F813*F813</f>
        <v>0.015625</v>
      </c>
      <c r="Q813" s="0" t="n">
        <f aca="false">SUMPRODUCT(G813:P813,_XtX!$B$71:$K$71)</f>
        <v>45.1533948863636</v>
      </c>
      <c r="R813" s="0" t="n">
        <f aca="false">SUMPRODUCT(MMULT(G813:P813,_XtX!$B$58:$K$67),G813:P813)</f>
        <v>0.262961092862216</v>
      </c>
      <c r="S813" s="0" t="n">
        <f aca="false">04_回帰ANOVA!$K$19*04_回帰ANOVA!$K$14*SQRT(1+R813)</f>
        <v>1.04486846483649</v>
      </c>
      <c r="T813" s="0" t="n">
        <f aca="false">Q813-S813</f>
        <v>44.1085264215272</v>
      </c>
      <c r="U813" s="0" t="n">
        <f aca="false">Q813+S813</f>
        <v>46.1982633512001</v>
      </c>
      <c r="V813" s="54" t="b">
        <f aca="false">AND(D813&gt;=01_因子設定!$L$5-0.000000001,D813&lt;=01_因子設定!$M$5+0.000000001,E813&gt;=01_因子設定!$L$6-0.000000001,E813&lt;=01_因子設定!$M$6+0.000000001,F813&gt;=01_因子設定!$L$7-0.000000001,F813&lt;=01_因子設定!$M$7+0.000000001,IF(01_因子設定!$B$20="Box-Behnken",D813^2+E813^2+F813^2&lt;=2+0.000000001,TRUE()))</f>
        <v>1</v>
      </c>
      <c r="W813" s="55" t="n">
        <f aca="false">IF(V813,IF(01_因子設定!$B$13="最大化",T813-01_因子設定!$B$14,IF(01_因子設定!$B$13="最小化",01_因子設定!$B$15-U813,MIN(T813-01_因子設定!$B$14,01_因子設定!$B$15-U813))),-1E+030)</f>
        <v>-4.39147357847285</v>
      </c>
      <c r="X813" s="55" t="n">
        <f aca="false">IF(V813,IF(01_因子設定!$B$13="最大化",Q813,IF(01_因子設定!$B$13="最小化",-Q813,-ABS(Q813-01_因子設定!$B$16))),-1E+030)</f>
        <v>45.1533948863636</v>
      </c>
      <c r="Y813" s="55" t="n">
        <f aca="false">W813+ROW()*0.000000001</f>
        <v>-4.39147276547285</v>
      </c>
      <c r="Z813" s="55" t="n">
        <f aca="false">X813+ROW()*0.000000001</f>
        <v>45.1533956993636</v>
      </c>
    </row>
    <row r="814" customFormat="false" ht="15" hidden="false" customHeight="false" outlineLevel="0" collapsed="false">
      <c r="A814" s="0" t="n">
        <v>2</v>
      </c>
      <c r="B814" s="0" t="n">
        <v>13</v>
      </c>
      <c r="C814" s="0" t="n">
        <v>10</v>
      </c>
      <c r="D814" s="0" t="n">
        <f aca="false">-1+A814*0.125</f>
        <v>-0.75</v>
      </c>
      <c r="E814" s="0" t="n">
        <f aca="false">-1+B814*0.125</f>
        <v>0.625</v>
      </c>
      <c r="F814" s="0" t="n">
        <f aca="false">-1+C814*0.125</f>
        <v>0.25</v>
      </c>
      <c r="G814" s="0" t="n">
        <f aca="false">1</f>
        <v>1</v>
      </c>
      <c r="H814" s="0" t="n">
        <f aca="false">D814</f>
        <v>-0.75</v>
      </c>
      <c r="I814" s="0" t="n">
        <f aca="false">E814</f>
        <v>0.625</v>
      </c>
      <c r="J814" s="0" t="n">
        <f aca="false">F814</f>
        <v>0.25</v>
      </c>
      <c r="K814" s="0" t="n">
        <f aca="false">D814*E814</f>
        <v>-0.46875</v>
      </c>
      <c r="L814" s="0" t="n">
        <f aca="false">D814*F814</f>
        <v>-0.1875</v>
      </c>
      <c r="M814" s="0" t="n">
        <f aca="false">E814*F814</f>
        <v>0.15625</v>
      </c>
      <c r="N814" s="0" t="n">
        <f aca="false">D814*D814</f>
        <v>0.5625</v>
      </c>
      <c r="O814" s="0" t="n">
        <f aca="false">E814*E814</f>
        <v>0.390625</v>
      </c>
      <c r="P814" s="0" t="n">
        <f aca="false">F814*F814</f>
        <v>0.0625</v>
      </c>
      <c r="Q814" s="0" t="n">
        <f aca="false">SUMPRODUCT(G814:P814,_XtX!$B$71:$K$71)</f>
        <v>45.3199289772727</v>
      </c>
      <c r="R814" s="0" t="n">
        <f aca="false">SUMPRODUCT(MMULT(G814:P814,_XtX!$B$58:$K$67),G814:P814)</f>
        <v>0.258118785511364</v>
      </c>
      <c r="S814" s="0" t="n">
        <f aca="false">04_回帰ANOVA!$K$19*04_回帰ANOVA!$K$14*SQRT(1+R814)</f>
        <v>1.04286348094876</v>
      </c>
      <c r="T814" s="0" t="n">
        <f aca="false">Q814-S814</f>
        <v>44.277065496324</v>
      </c>
      <c r="U814" s="0" t="n">
        <f aca="false">Q814+S814</f>
        <v>46.3627924582215</v>
      </c>
      <c r="V814" s="54" t="b">
        <f aca="false">AND(D814&gt;=01_因子設定!$L$5-0.000000001,D814&lt;=01_因子設定!$M$5+0.000000001,E814&gt;=01_因子設定!$L$6-0.000000001,E814&lt;=01_因子設定!$M$6+0.000000001,F814&gt;=01_因子設定!$L$7-0.000000001,F814&lt;=01_因子設定!$M$7+0.000000001,IF(01_因子設定!$B$20="Box-Behnken",D814^2+E814^2+F814^2&lt;=2+0.000000001,TRUE()))</f>
        <v>1</v>
      </c>
      <c r="W814" s="55" t="n">
        <f aca="false">IF(V814,IF(01_因子設定!$B$13="最大化",T814-01_因子設定!$B$14,IF(01_因子設定!$B$13="最小化",01_因子設定!$B$15-U814,MIN(T814-01_因子設定!$B$14,01_因子設定!$B$15-U814))),-1E+030)</f>
        <v>-4.22293450367604</v>
      </c>
      <c r="X814" s="55" t="n">
        <f aca="false">IF(V814,IF(01_因子設定!$B$13="最大化",Q814,IF(01_因子設定!$B$13="最小化",-Q814,-ABS(Q814-01_因子設定!$B$16))),-1E+030)</f>
        <v>45.3199289772727</v>
      </c>
      <c r="Y814" s="55" t="n">
        <f aca="false">W814+ROW()*0.000000001</f>
        <v>-4.22293368967604</v>
      </c>
      <c r="Z814" s="55" t="n">
        <f aca="false">X814+ROW()*0.000000001</f>
        <v>45.3199297912727</v>
      </c>
    </row>
    <row r="815" customFormat="false" ht="15" hidden="false" customHeight="false" outlineLevel="0" collapsed="false">
      <c r="A815" s="0" t="n">
        <v>2</v>
      </c>
      <c r="B815" s="0" t="n">
        <v>13</v>
      </c>
      <c r="C815" s="0" t="n">
        <v>11</v>
      </c>
      <c r="D815" s="0" t="n">
        <f aca="false">-1+A815*0.125</f>
        <v>-0.75</v>
      </c>
      <c r="E815" s="0" t="n">
        <f aca="false">-1+B815*0.125</f>
        <v>0.625</v>
      </c>
      <c r="F815" s="0" t="n">
        <f aca="false">-1+C815*0.125</f>
        <v>0.375</v>
      </c>
      <c r="G815" s="0" t="n">
        <f aca="false">1</f>
        <v>1</v>
      </c>
      <c r="H815" s="0" t="n">
        <f aca="false">D815</f>
        <v>-0.75</v>
      </c>
      <c r="I815" s="0" t="n">
        <f aca="false">E815</f>
        <v>0.625</v>
      </c>
      <c r="J815" s="0" t="n">
        <f aca="false">F815</f>
        <v>0.375</v>
      </c>
      <c r="K815" s="0" t="n">
        <f aca="false">D815*E815</f>
        <v>-0.46875</v>
      </c>
      <c r="L815" s="0" t="n">
        <f aca="false">D815*F815</f>
        <v>-0.28125</v>
      </c>
      <c r="M815" s="0" t="n">
        <f aca="false">E815*F815</f>
        <v>0.234375</v>
      </c>
      <c r="N815" s="0" t="n">
        <f aca="false">D815*D815</f>
        <v>0.5625</v>
      </c>
      <c r="O815" s="0" t="n">
        <f aca="false">E815*E815</f>
        <v>0.390625</v>
      </c>
      <c r="P815" s="0" t="n">
        <f aca="false">F815*F815</f>
        <v>0.140625</v>
      </c>
      <c r="Q815" s="0" t="n">
        <f aca="false">SUMPRODUCT(G815:P815,_XtX!$B$71:$K$71)</f>
        <v>45.4496732954545</v>
      </c>
      <c r="R815" s="0" t="n">
        <f aca="false">SUMPRODUCT(MMULT(G815:P815,_XtX!$B$58:$K$67),G815:P815)</f>
        <v>0.25359940962358</v>
      </c>
      <c r="S815" s="0" t="n">
        <f aca="false">04_回帰ANOVA!$K$19*04_回帰ANOVA!$K$14*SQRT(1+R815)</f>
        <v>1.04098872464599</v>
      </c>
      <c r="T815" s="0" t="n">
        <f aca="false">Q815-S815</f>
        <v>44.4086845708086</v>
      </c>
      <c r="U815" s="0" t="n">
        <f aca="false">Q815+S815</f>
        <v>46.4906620201005</v>
      </c>
      <c r="V815" s="54" t="b">
        <f aca="false">AND(D815&gt;=01_因子設定!$L$5-0.000000001,D815&lt;=01_因子設定!$M$5+0.000000001,E815&gt;=01_因子設定!$L$6-0.000000001,E815&lt;=01_因子設定!$M$6+0.000000001,F815&gt;=01_因子設定!$L$7-0.000000001,F815&lt;=01_因子設定!$M$7+0.000000001,IF(01_因子設定!$B$20="Box-Behnken",D815^2+E815^2+F815^2&lt;=2+0.000000001,TRUE()))</f>
        <v>1</v>
      </c>
      <c r="W815" s="55" t="n">
        <f aca="false">IF(V815,IF(01_因子設定!$B$13="最大化",T815-01_因子設定!$B$14,IF(01_因子設定!$B$13="最小化",01_因子設定!$B$15-U815,MIN(T815-01_因子設定!$B$14,01_因子設定!$B$15-U815))),-1E+030)</f>
        <v>-4.09131542919144</v>
      </c>
      <c r="X815" s="55" t="n">
        <f aca="false">IF(V815,IF(01_因子設定!$B$13="最大化",Q815,IF(01_因子設定!$B$13="最小化",-Q815,-ABS(Q815-01_因子設定!$B$16))),-1E+030)</f>
        <v>45.4496732954545</v>
      </c>
      <c r="Y815" s="55" t="n">
        <f aca="false">W815+ROW()*0.000000001</f>
        <v>-4.09131461419144</v>
      </c>
      <c r="Z815" s="55" t="n">
        <f aca="false">X815+ROW()*0.000000001</f>
        <v>45.4496741104545</v>
      </c>
    </row>
    <row r="816" customFormat="false" ht="15" hidden="false" customHeight="false" outlineLevel="0" collapsed="false">
      <c r="A816" s="0" t="n">
        <v>2</v>
      </c>
      <c r="B816" s="0" t="n">
        <v>13</v>
      </c>
      <c r="C816" s="0" t="n">
        <v>12</v>
      </c>
      <c r="D816" s="0" t="n">
        <f aca="false">-1+A816*0.125</f>
        <v>-0.75</v>
      </c>
      <c r="E816" s="0" t="n">
        <f aca="false">-1+B816*0.125</f>
        <v>0.625</v>
      </c>
      <c r="F816" s="0" t="n">
        <f aca="false">-1+C816*0.125</f>
        <v>0.5</v>
      </c>
      <c r="G816" s="0" t="n">
        <f aca="false">1</f>
        <v>1</v>
      </c>
      <c r="H816" s="0" t="n">
        <f aca="false">D816</f>
        <v>-0.75</v>
      </c>
      <c r="I816" s="0" t="n">
        <f aca="false">E816</f>
        <v>0.625</v>
      </c>
      <c r="J816" s="0" t="n">
        <f aca="false">F816</f>
        <v>0.5</v>
      </c>
      <c r="K816" s="0" t="n">
        <f aca="false">D816*E816</f>
        <v>-0.46875</v>
      </c>
      <c r="L816" s="0" t="n">
        <f aca="false">D816*F816</f>
        <v>-0.375</v>
      </c>
      <c r="M816" s="0" t="n">
        <f aca="false">E816*F816</f>
        <v>0.3125</v>
      </c>
      <c r="N816" s="0" t="n">
        <f aca="false">D816*D816</f>
        <v>0.5625</v>
      </c>
      <c r="O816" s="0" t="n">
        <f aca="false">E816*E816</f>
        <v>0.390625</v>
      </c>
      <c r="P816" s="0" t="n">
        <f aca="false">F816*F816</f>
        <v>0.25</v>
      </c>
      <c r="Q816" s="0" t="n">
        <f aca="false">SUMPRODUCT(G816:P816,_XtX!$B$71:$K$71)</f>
        <v>45.5426278409091</v>
      </c>
      <c r="R816" s="0" t="n">
        <f aca="false">SUMPRODUCT(MMULT(G816:P816,_XtX!$B$58:$K$67),G816:P816)</f>
        <v>0.254729669744318</v>
      </c>
      <c r="S816" s="0" t="n">
        <f aca="false">04_回帰ANOVA!$K$19*04_回帰ANOVA!$K$14*SQRT(1+R816)</f>
        <v>1.04145790281631</v>
      </c>
      <c r="T816" s="0" t="n">
        <f aca="false">Q816-S816</f>
        <v>44.5011699380928</v>
      </c>
      <c r="U816" s="0" t="n">
        <f aca="false">Q816+S816</f>
        <v>46.5840857437254</v>
      </c>
      <c r="V816" s="54" t="b">
        <f aca="false">AND(D816&gt;=01_因子設定!$L$5-0.000000001,D816&lt;=01_因子設定!$M$5+0.000000001,E816&gt;=01_因子設定!$L$6-0.000000001,E816&lt;=01_因子設定!$M$6+0.000000001,F816&gt;=01_因子設定!$L$7-0.000000001,F816&lt;=01_因子設定!$M$7+0.000000001,IF(01_因子設定!$B$20="Box-Behnken",D816^2+E816^2+F816^2&lt;=2+0.000000001,TRUE()))</f>
        <v>1</v>
      </c>
      <c r="W816" s="55" t="n">
        <f aca="false">IF(V816,IF(01_因子設定!$B$13="最大化",T816-01_因子設定!$B$14,IF(01_因子設定!$B$13="最小化",01_因子設定!$B$15-U816,MIN(T816-01_因子設定!$B$14,01_因子設定!$B$15-U816))),-1E+030)</f>
        <v>-3.99883006190722</v>
      </c>
      <c r="X816" s="55" t="n">
        <f aca="false">IF(V816,IF(01_因子設定!$B$13="最大化",Q816,IF(01_因子設定!$B$13="最小化",-Q816,-ABS(Q816-01_因子設定!$B$16))),-1E+030)</f>
        <v>45.5426278409091</v>
      </c>
      <c r="Y816" s="55" t="n">
        <f aca="false">W816+ROW()*0.000000001</f>
        <v>-3.99882924590722</v>
      </c>
      <c r="Z816" s="55" t="n">
        <f aca="false">X816+ROW()*0.000000001</f>
        <v>45.5426286569091</v>
      </c>
    </row>
    <row r="817" customFormat="false" ht="15" hidden="false" customHeight="false" outlineLevel="0" collapsed="false">
      <c r="A817" s="0" t="n">
        <v>2</v>
      </c>
      <c r="B817" s="0" t="n">
        <v>13</v>
      </c>
      <c r="C817" s="0" t="n">
        <v>13</v>
      </c>
      <c r="D817" s="0" t="n">
        <f aca="false">-1+A817*0.125</f>
        <v>-0.75</v>
      </c>
      <c r="E817" s="0" t="n">
        <f aca="false">-1+B817*0.125</f>
        <v>0.625</v>
      </c>
      <c r="F817" s="0" t="n">
        <f aca="false">-1+C817*0.125</f>
        <v>0.625</v>
      </c>
      <c r="G817" s="0" t="n">
        <f aca="false">1</f>
        <v>1</v>
      </c>
      <c r="H817" s="0" t="n">
        <f aca="false">D817</f>
        <v>-0.75</v>
      </c>
      <c r="I817" s="0" t="n">
        <f aca="false">E817</f>
        <v>0.625</v>
      </c>
      <c r="J817" s="0" t="n">
        <f aca="false">F817</f>
        <v>0.625</v>
      </c>
      <c r="K817" s="0" t="n">
        <f aca="false">D817*E817</f>
        <v>-0.46875</v>
      </c>
      <c r="L817" s="0" t="n">
        <f aca="false">D817*F817</f>
        <v>-0.46875</v>
      </c>
      <c r="M817" s="0" t="n">
        <f aca="false">E817*F817</f>
        <v>0.390625</v>
      </c>
      <c r="N817" s="0" t="n">
        <f aca="false">D817*D817</f>
        <v>0.5625</v>
      </c>
      <c r="O817" s="0" t="n">
        <f aca="false">E817*E817</f>
        <v>0.390625</v>
      </c>
      <c r="P817" s="0" t="n">
        <f aca="false">F817*F817</f>
        <v>0.390625</v>
      </c>
      <c r="Q817" s="0" t="n">
        <f aca="false">SUMPRODUCT(G817:P817,_XtX!$B$71:$K$71)</f>
        <v>45.5987926136364</v>
      </c>
      <c r="R817" s="0" t="n">
        <f aca="false">SUMPRODUCT(MMULT(G817:P817,_XtX!$B$58:$K$67),G817:P817)</f>
        <v>0.268966952237216</v>
      </c>
      <c r="S817" s="0" t="n">
        <f aca="false">04_回帰ANOVA!$K$19*04_回帰ANOVA!$K$14*SQRT(1+R817)</f>
        <v>1.04734989137801</v>
      </c>
      <c r="T817" s="0" t="n">
        <f aca="false">Q817-S817</f>
        <v>44.5514427222584</v>
      </c>
      <c r="U817" s="0" t="n">
        <f aca="false">Q817+S817</f>
        <v>46.6461425050144</v>
      </c>
      <c r="V817" s="54" t="b">
        <f aca="false">AND(D817&gt;=01_因子設定!$L$5-0.000000001,D817&lt;=01_因子設定!$M$5+0.000000001,E817&gt;=01_因子設定!$L$6-0.000000001,E817&lt;=01_因子設定!$M$6+0.000000001,F817&gt;=01_因子設定!$L$7-0.000000001,F817&lt;=01_因子設定!$M$7+0.000000001,IF(01_因子設定!$B$20="Box-Behnken",D817^2+E817^2+F817^2&lt;=2+0.000000001,TRUE()))</f>
        <v>1</v>
      </c>
      <c r="W817" s="55" t="n">
        <f aca="false">IF(V817,IF(01_因子設定!$B$13="最大化",T817-01_因子設定!$B$14,IF(01_因子設定!$B$13="最小化",01_因子設定!$B$15-U817,MIN(T817-01_因子設定!$B$14,01_因子設定!$B$15-U817))),-1E+030)</f>
        <v>-3.94855727774164</v>
      </c>
      <c r="X817" s="55" t="n">
        <f aca="false">IF(V817,IF(01_因子設定!$B$13="最大化",Q817,IF(01_因子設定!$B$13="最小化",-Q817,-ABS(Q817-01_因子設定!$B$16))),-1E+030)</f>
        <v>45.5987926136364</v>
      </c>
      <c r="Y817" s="55" t="n">
        <f aca="false">W817+ROW()*0.000000001</f>
        <v>-3.94855646074164</v>
      </c>
      <c r="Z817" s="55" t="n">
        <f aca="false">X817+ROW()*0.000000001</f>
        <v>45.5987934306364</v>
      </c>
    </row>
    <row r="818" customFormat="false" ht="15" hidden="false" customHeight="false" outlineLevel="0" collapsed="false">
      <c r="A818" s="0" t="n">
        <v>2</v>
      </c>
      <c r="B818" s="0" t="n">
        <v>13</v>
      </c>
      <c r="C818" s="0" t="n">
        <v>14</v>
      </c>
      <c r="D818" s="0" t="n">
        <f aca="false">-1+A818*0.125</f>
        <v>-0.75</v>
      </c>
      <c r="E818" s="0" t="n">
        <f aca="false">-1+B818*0.125</f>
        <v>0.625</v>
      </c>
      <c r="F818" s="0" t="n">
        <f aca="false">-1+C818*0.125</f>
        <v>0.75</v>
      </c>
      <c r="G818" s="0" t="n">
        <f aca="false">1</f>
        <v>1</v>
      </c>
      <c r="H818" s="0" t="n">
        <f aca="false">D818</f>
        <v>-0.75</v>
      </c>
      <c r="I818" s="0" t="n">
        <f aca="false">E818</f>
        <v>0.625</v>
      </c>
      <c r="J818" s="0" t="n">
        <f aca="false">F818</f>
        <v>0.75</v>
      </c>
      <c r="K818" s="0" t="n">
        <f aca="false">D818*E818</f>
        <v>-0.46875</v>
      </c>
      <c r="L818" s="0" t="n">
        <f aca="false">D818*F818</f>
        <v>-0.5625</v>
      </c>
      <c r="M818" s="0" t="n">
        <f aca="false">E818*F818</f>
        <v>0.46875</v>
      </c>
      <c r="N818" s="0" t="n">
        <f aca="false">D818*D818</f>
        <v>0.5625</v>
      </c>
      <c r="O818" s="0" t="n">
        <f aca="false">E818*E818</f>
        <v>0.390625</v>
      </c>
      <c r="P818" s="0" t="n">
        <f aca="false">F818*F818</f>
        <v>0.5625</v>
      </c>
      <c r="Q818" s="0" t="n">
        <f aca="false">SUMPRODUCT(G818:P818,_XtX!$B$71:$K$71)</f>
        <v>45.6181676136364</v>
      </c>
      <c r="R818" s="0" t="n">
        <f aca="false">SUMPRODUCT(MMULT(G818:P818,_XtX!$B$58:$K$67),G818:P818)</f>
        <v>0.305899325284091</v>
      </c>
      <c r="S818" s="0" t="n">
        <f aca="false">04_回帰ANOVA!$K$19*04_回帰ANOVA!$K$14*SQRT(1+R818)</f>
        <v>1.06248176416816</v>
      </c>
      <c r="T818" s="0" t="n">
        <f aca="false">Q818-S818</f>
        <v>44.5556858494682</v>
      </c>
      <c r="U818" s="0" t="n">
        <f aca="false">Q818+S818</f>
        <v>46.6806493778045</v>
      </c>
      <c r="V818" s="54" t="b">
        <f aca="false">AND(D818&gt;=01_因子設定!$L$5-0.000000001,D818&lt;=01_因子設定!$M$5+0.000000001,E818&gt;=01_因子設定!$L$6-0.000000001,E818&lt;=01_因子設定!$M$6+0.000000001,F818&gt;=01_因子設定!$L$7-0.000000001,F818&lt;=01_因子設定!$M$7+0.000000001,IF(01_因子設定!$B$20="Box-Behnken",D818^2+E818^2+F818^2&lt;=2+0.000000001,TRUE()))</f>
        <v>1</v>
      </c>
      <c r="W818" s="55" t="n">
        <f aca="false">IF(V818,IF(01_因子設定!$B$13="最大化",T818-01_因子設定!$B$14,IF(01_因子設定!$B$13="最小化",01_因子設定!$B$15-U818,MIN(T818-01_因子設定!$B$14,01_因子設定!$B$15-U818))),-1E+030)</f>
        <v>-3.94431415053179</v>
      </c>
      <c r="X818" s="55" t="n">
        <f aca="false">IF(V818,IF(01_因子設定!$B$13="最大化",Q818,IF(01_因子設定!$B$13="最小化",-Q818,-ABS(Q818-01_因子設定!$B$16))),-1E+030)</f>
        <v>45.6181676136364</v>
      </c>
      <c r="Y818" s="55" t="n">
        <f aca="false">W818+ROW()*0.000000001</f>
        <v>-3.94431333253179</v>
      </c>
      <c r="Z818" s="55" t="n">
        <f aca="false">X818+ROW()*0.000000001</f>
        <v>45.6181684316364</v>
      </c>
    </row>
    <row r="819" customFormat="false" ht="15" hidden="false" customHeight="false" outlineLevel="0" collapsed="false">
      <c r="A819" s="0" t="n">
        <v>2</v>
      </c>
      <c r="B819" s="0" t="n">
        <v>13</v>
      </c>
      <c r="C819" s="0" t="n">
        <v>15</v>
      </c>
      <c r="D819" s="0" t="n">
        <f aca="false">-1+A819*0.125</f>
        <v>-0.75</v>
      </c>
      <c r="E819" s="0" t="n">
        <f aca="false">-1+B819*0.125</f>
        <v>0.625</v>
      </c>
      <c r="F819" s="0" t="n">
        <f aca="false">-1+C819*0.125</f>
        <v>0.875</v>
      </c>
      <c r="G819" s="0" t="n">
        <f aca="false">1</f>
        <v>1</v>
      </c>
      <c r="H819" s="0" t="n">
        <f aca="false">D819</f>
        <v>-0.75</v>
      </c>
      <c r="I819" s="0" t="n">
        <f aca="false">E819</f>
        <v>0.625</v>
      </c>
      <c r="J819" s="0" t="n">
        <f aca="false">F819</f>
        <v>0.875</v>
      </c>
      <c r="K819" s="0" t="n">
        <f aca="false">D819*E819</f>
        <v>-0.46875</v>
      </c>
      <c r="L819" s="0" t="n">
        <f aca="false">D819*F819</f>
        <v>-0.65625</v>
      </c>
      <c r="M819" s="0" t="n">
        <f aca="false">E819*F819</f>
        <v>0.546875</v>
      </c>
      <c r="N819" s="0" t="n">
        <f aca="false">D819*D819</f>
        <v>0.5625</v>
      </c>
      <c r="O819" s="0" t="n">
        <f aca="false">E819*E819</f>
        <v>0.390625</v>
      </c>
      <c r="P819" s="0" t="n">
        <f aca="false">F819*F819</f>
        <v>0.765625</v>
      </c>
      <c r="Q819" s="0" t="n">
        <f aca="false">SUMPRODUCT(G819:P819,_XtX!$B$71:$K$71)</f>
        <v>45.6007528409091</v>
      </c>
      <c r="R819" s="0" t="n">
        <f aca="false">SUMPRODUCT(MMULT(G819:P819,_XtX!$B$58:$K$67),G819:P819)</f>
        <v>0.377245538884943</v>
      </c>
      <c r="S819" s="0" t="n">
        <f aca="false">04_回帰ANOVA!$K$19*04_回帰ANOVA!$K$14*SQRT(1+R819)</f>
        <v>1.09111951468927</v>
      </c>
      <c r="T819" s="0" t="n">
        <f aca="false">Q819-S819</f>
        <v>44.5096333262198</v>
      </c>
      <c r="U819" s="0" t="n">
        <f aca="false">Q819+S819</f>
        <v>46.6918723555984</v>
      </c>
      <c r="V819" s="54" t="b">
        <f aca="false">AND(D819&gt;=01_因子設定!$L$5-0.000000001,D819&lt;=01_因子設定!$M$5+0.000000001,E819&gt;=01_因子設定!$L$6-0.000000001,E819&lt;=01_因子設定!$M$6+0.000000001,F819&gt;=01_因子設定!$L$7-0.000000001,F819&lt;=01_因子設定!$M$7+0.000000001,IF(01_因子設定!$B$20="Box-Behnken",D819^2+E819^2+F819^2&lt;=2+0.000000001,TRUE()))</f>
        <v>1</v>
      </c>
      <c r="W819" s="55" t="n">
        <f aca="false">IF(V819,IF(01_因子設定!$B$13="最大化",T819-01_因子設定!$B$14,IF(01_因子設定!$B$13="最小化",01_因子設定!$B$15-U819,MIN(T819-01_因子設定!$B$14,01_因子設定!$B$15-U819))),-1E+030)</f>
        <v>-3.99036667378017</v>
      </c>
      <c r="X819" s="55" t="n">
        <f aca="false">IF(V819,IF(01_因子設定!$B$13="最大化",Q819,IF(01_因子設定!$B$13="最小化",-Q819,-ABS(Q819-01_因子設定!$B$16))),-1E+030)</f>
        <v>45.6007528409091</v>
      </c>
      <c r="Y819" s="55" t="n">
        <f aca="false">W819+ROW()*0.000000001</f>
        <v>-3.99036585478017</v>
      </c>
      <c r="Z819" s="55" t="n">
        <f aca="false">X819+ROW()*0.000000001</f>
        <v>45.6007536599091</v>
      </c>
    </row>
    <row r="820" customFormat="false" ht="15" hidden="false" customHeight="false" outlineLevel="0" collapsed="false">
      <c r="A820" s="0" t="n">
        <v>2</v>
      </c>
      <c r="B820" s="0" t="n">
        <v>13</v>
      </c>
      <c r="C820" s="0" t="n">
        <v>16</v>
      </c>
      <c r="D820" s="0" t="n">
        <f aca="false">-1+A820*0.125</f>
        <v>-0.75</v>
      </c>
      <c r="E820" s="0" t="n">
        <f aca="false">-1+B820*0.125</f>
        <v>0.625</v>
      </c>
      <c r="F820" s="0" t="n">
        <f aca="false">-1+C820*0.125</f>
        <v>1</v>
      </c>
      <c r="G820" s="0" t="n">
        <f aca="false">1</f>
        <v>1</v>
      </c>
      <c r="H820" s="0" t="n">
        <f aca="false">D820</f>
        <v>-0.75</v>
      </c>
      <c r="I820" s="0" t="n">
        <f aca="false">E820</f>
        <v>0.625</v>
      </c>
      <c r="J820" s="0" t="n">
        <f aca="false">F820</f>
        <v>1</v>
      </c>
      <c r="K820" s="0" t="n">
        <f aca="false">D820*E820</f>
        <v>-0.46875</v>
      </c>
      <c r="L820" s="0" t="n">
        <f aca="false">D820*F820</f>
        <v>-0.75</v>
      </c>
      <c r="M820" s="0" t="n">
        <f aca="false">E820*F820</f>
        <v>0.625</v>
      </c>
      <c r="N820" s="0" t="n">
        <f aca="false">D820*D820</f>
        <v>0.5625</v>
      </c>
      <c r="O820" s="0" t="n">
        <f aca="false">E820*E820</f>
        <v>0.390625</v>
      </c>
      <c r="P820" s="0" t="n">
        <f aca="false">F820*F820</f>
        <v>1</v>
      </c>
      <c r="Q820" s="0" t="n">
        <f aca="false">SUMPRODUCT(G820:P820,_XtX!$B$71:$K$71)</f>
        <v>45.5465482954546</v>
      </c>
      <c r="R820" s="0" t="n">
        <f aca="false">SUMPRODUCT(MMULT(G820:P820,_XtX!$B$58:$K$67),G820:P820)</f>
        <v>0.496855024857955</v>
      </c>
      <c r="S820" s="0" t="n">
        <f aca="false">04_回帰ANOVA!$K$19*04_回帰ANOVA!$K$14*SQRT(1+R820)</f>
        <v>1.1375133593161</v>
      </c>
      <c r="T820" s="0" t="n">
        <f aca="false">Q820-S820</f>
        <v>44.4090349361385</v>
      </c>
      <c r="U820" s="0" t="n">
        <f aca="false">Q820+S820</f>
        <v>46.6840616547707</v>
      </c>
      <c r="V820" s="54" t="b">
        <f aca="false">AND(D820&gt;=01_因子設定!$L$5-0.000000001,D820&lt;=01_因子設定!$M$5+0.000000001,E820&gt;=01_因子設定!$L$6-0.000000001,E820&lt;=01_因子設定!$M$6+0.000000001,F820&gt;=01_因子設定!$L$7-0.000000001,F820&lt;=01_因子設定!$M$7+0.000000001,IF(01_因子設定!$B$20="Box-Behnken",D820^2+E820^2+F820^2&lt;=2+0.000000001,TRUE()))</f>
        <v>1</v>
      </c>
      <c r="W820" s="55" t="n">
        <f aca="false">IF(V820,IF(01_因子設定!$B$13="最大化",T820-01_因子設定!$B$14,IF(01_因子設定!$B$13="最小化",01_因子設定!$B$15-U820,MIN(T820-01_因子設定!$B$14,01_因子設定!$B$15-U820))),-1E+030)</f>
        <v>-4.09096506386153</v>
      </c>
      <c r="X820" s="55" t="n">
        <f aca="false">IF(V820,IF(01_因子設定!$B$13="最大化",Q820,IF(01_因子設定!$B$13="最小化",-Q820,-ABS(Q820-01_因子設定!$B$16))),-1E+030)</f>
        <v>45.5465482954546</v>
      </c>
      <c r="Y820" s="55" t="n">
        <f aca="false">W820+ROW()*0.000000001</f>
        <v>-4.09096424386153</v>
      </c>
      <c r="Z820" s="55" t="n">
        <f aca="false">X820+ROW()*0.000000001</f>
        <v>45.5465491154546</v>
      </c>
    </row>
    <row r="821" customFormat="false" ht="15" hidden="false" customHeight="false" outlineLevel="0" collapsed="false">
      <c r="A821" s="0" t="n">
        <v>2</v>
      </c>
      <c r="B821" s="0" t="n">
        <v>14</v>
      </c>
      <c r="C821" s="0" t="n">
        <v>0</v>
      </c>
      <c r="D821" s="0" t="n">
        <f aca="false">-1+A821*0.125</f>
        <v>-0.75</v>
      </c>
      <c r="E821" s="0" t="n">
        <f aca="false">-1+B821*0.125</f>
        <v>0.75</v>
      </c>
      <c r="F821" s="0" t="n">
        <f aca="false">-1+C821*0.125</f>
        <v>-1</v>
      </c>
      <c r="G821" s="0" t="n">
        <f aca="false">1</f>
        <v>1</v>
      </c>
      <c r="H821" s="0" t="n">
        <f aca="false">D821</f>
        <v>-0.75</v>
      </c>
      <c r="I821" s="0" t="n">
        <f aca="false">E821</f>
        <v>0.75</v>
      </c>
      <c r="J821" s="0" t="n">
        <f aca="false">F821</f>
        <v>-1</v>
      </c>
      <c r="K821" s="0" t="n">
        <f aca="false">D821*E821</f>
        <v>-0.5625</v>
      </c>
      <c r="L821" s="0" t="n">
        <f aca="false">D821*F821</f>
        <v>0.75</v>
      </c>
      <c r="M821" s="0" t="n">
        <f aca="false">E821*F821</f>
        <v>-0.75</v>
      </c>
      <c r="N821" s="0" t="n">
        <f aca="false">D821*D821</f>
        <v>0.5625</v>
      </c>
      <c r="O821" s="0" t="n">
        <f aca="false">E821*E821</f>
        <v>0.5625</v>
      </c>
      <c r="P821" s="0" t="n">
        <f aca="false">F821*F821</f>
        <v>1</v>
      </c>
      <c r="Q821" s="0" t="n">
        <f aca="false">SUMPRODUCT(G821:P821,_XtX!$B$71:$K$71)</f>
        <v>41.7382670454546</v>
      </c>
      <c r="R821" s="0" t="n">
        <f aca="false">SUMPRODUCT(MMULT(G821:P821,_XtX!$B$58:$K$67),G821:P821)</f>
        <v>0.518314985795455</v>
      </c>
      <c r="S821" s="0" t="n">
        <f aca="false">04_回帰ANOVA!$K$19*04_回帰ANOVA!$K$14*SQRT(1+R821)</f>
        <v>1.14563843495971</v>
      </c>
      <c r="T821" s="0" t="n">
        <f aca="false">Q821-S821</f>
        <v>40.5926286104949</v>
      </c>
      <c r="U821" s="0" t="n">
        <f aca="false">Q821+S821</f>
        <v>42.8839054804143</v>
      </c>
      <c r="V821" s="54" t="b">
        <f aca="false">AND(D821&gt;=01_因子設定!$L$5-0.000000001,D821&lt;=01_因子設定!$M$5+0.000000001,E821&gt;=01_因子設定!$L$6-0.000000001,E821&lt;=01_因子設定!$M$6+0.000000001,F821&gt;=01_因子設定!$L$7-0.000000001,F821&lt;=01_因子設定!$M$7+0.000000001,IF(01_因子設定!$B$20="Box-Behnken",D821^2+E821^2+F821^2&lt;=2+0.000000001,TRUE()))</f>
        <v>1</v>
      </c>
      <c r="W821" s="55" t="n">
        <f aca="false">IF(V821,IF(01_因子設定!$B$13="最大化",T821-01_因子設定!$B$14,IF(01_因子設定!$B$13="最小化",01_因子設定!$B$15-U821,MIN(T821-01_因子設定!$B$14,01_因子設定!$B$15-U821))),-1E+030)</f>
        <v>-7.90737138950514</v>
      </c>
      <c r="X821" s="55" t="n">
        <f aca="false">IF(V821,IF(01_因子設定!$B$13="最大化",Q821,IF(01_因子設定!$B$13="最小化",-Q821,-ABS(Q821-01_因子設定!$B$16))),-1E+030)</f>
        <v>41.7382670454546</v>
      </c>
      <c r="Y821" s="55" t="n">
        <f aca="false">W821+ROW()*0.000000001</f>
        <v>-7.90737056850514</v>
      </c>
      <c r="Z821" s="55" t="n">
        <f aca="false">X821+ROW()*0.000000001</f>
        <v>41.7382678664546</v>
      </c>
    </row>
    <row r="822" customFormat="false" ht="15" hidden="false" customHeight="false" outlineLevel="0" collapsed="false">
      <c r="A822" s="0" t="n">
        <v>2</v>
      </c>
      <c r="B822" s="0" t="n">
        <v>14</v>
      </c>
      <c r="C822" s="0" t="n">
        <v>1</v>
      </c>
      <c r="D822" s="0" t="n">
        <f aca="false">-1+A822*0.125</f>
        <v>-0.75</v>
      </c>
      <c r="E822" s="0" t="n">
        <f aca="false">-1+B822*0.125</f>
        <v>0.75</v>
      </c>
      <c r="F822" s="0" t="n">
        <f aca="false">-1+C822*0.125</f>
        <v>-0.875</v>
      </c>
      <c r="G822" s="0" t="n">
        <f aca="false">1</f>
        <v>1</v>
      </c>
      <c r="H822" s="0" t="n">
        <f aca="false">D822</f>
        <v>-0.75</v>
      </c>
      <c r="I822" s="0" t="n">
        <f aca="false">E822</f>
        <v>0.75</v>
      </c>
      <c r="J822" s="0" t="n">
        <f aca="false">F822</f>
        <v>-0.875</v>
      </c>
      <c r="K822" s="0" t="n">
        <f aca="false">D822*E822</f>
        <v>-0.5625</v>
      </c>
      <c r="L822" s="0" t="n">
        <f aca="false">D822*F822</f>
        <v>0.65625</v>
      </c>
      <c r="M822" s="0" t="n">
        <f aca="false">E822*F822</f>
        <v>-0.65625</v>
      </c>
      <c r="N822" s="0" t="n">
        <f aca="false">D822*D822</f>
        <v>0.5625</v>
      </c>
      <c r="O822" s="0" t="n">
        <f aca="false">E822*E822</f>
        <v>0.5625</v>
      </c>
      <c r="P822" s="0" t="n">
        <f aca="false">F822*F822</f>
        <v>0.765625</v>
      </c>
      <c r="Q822" s="0" t="n">
        <f aca="false">SUMPRODUCT(G822:P822,_XtX!$B$71:$K$71)</f>
        <v>42.2429403409091</v>
      </c>
      <c r="R822" s="0" t="n">
        <f aca="false">SUMPRODUCT(MMULT(G822:P822,_XtX!$B$58:$K$67),G822:P822)</f>
        <v>0.404656427556818</v>
      </c>
      <c r="S822" s="0" t="n">
        <f aca="false">04_回帰ANOVA!$K$19*04_回帰ANOVA!$K$14*SQRT(1+R822)</f>
        <v>1.10192412515358</v>
      </c>
      <c r="T822" s="0" t="n">
        <f aca="false">Q822-S822</f>
        <v>41.1410162157555</v>
      </c>
      <c r="U822" s="0" t="n">
        <f aca="false">Q822+S822</f>
        <v>43.3448644660627</v>
      </c>
      <c r="V822" s="54" t="b">
        <f aca="false">AND(D822&gt;=01_因子設定!$L$5-0.000000001,D822&lt;=01_因子設定!$M$5+0.000000001,E822&gt;=01_因子設定!$L$6-0.000000001,E822&lt;=01_因子設定!$M$6+0.000000001,F822&gt;=01_因子設定!$L$7-0.000000001,F822&lt;=01_因子設定!$M$7+0.000000001,IF(01_因子設定!$B$20="Box-Behnken",D822^2+E822^2+F822^2&lt;=2+0.000000001,TRUE()))</f>
        <v>1</v>
      </c>
      <c r="W822" s="55" t="n">
        <f aca="false">IF(V822,IF(01_因子設定!$B$13="最大化",T822-01_因子設定!$B$14,IF(01_因子設定!$B$13="最小化",01_因子設定!$B$15-U822,MIN(T822-01_因子設定!$B$14,01_因子設定!$B$15-U822))),-1E+030)</f>
        <v>-7.35898378424447</v>
      </c>
      <c r="X822" s="55" t="n">
        <f aca="false">IF(V822,IF(01_因子設定!$B$13="最大化",Q822,IF(01_因子設定!$B$13="最小化",-Q822,-ABS(Q822-01_因子設定!$B$16))),-1E+030)</f>
        <v>42.2429403409091</v>
      </c>
      <c r="Y822" s="55" t="n">
        <f aca="false">W822+ROW()*0.000000001</f>
        <v>-7.35898296224447</v>
      </c>
      <c r="Z822" s="55" t="n">
        <f aca="false">X822+ROW()*0.000000001</f>
        <v>42.2429411629091</v>
      </c>
    </row>
    <row r="823" customFormat="false" ht="15" hidden="false" customHeight="false" outlineLevel="0" collapsed="false">
      <c r="A823" s="0" t="n">
        <v>2</v>
      </c>
      <c r="B823" s="0" t="n">
        <v>14</v>
      </c>
      <c r="C823" s="0" t="n">
        <v>2</v>
      </c>
      <c r="D823" s="0" t="n">
        <f aca="false">-1+A823*0.125</f>
        <v>-0.75</v>
      </c>
      <c r="E823" s="0" t="n">
        <f aca="false">-1+B823*0.125</f>
        <v>0.75</v>
      </c>
      <c r="F823" s="0" t="n">
        <f aca="false">-1+C823*0.125</f>
        <v>-0.75</v>
      </c>
      <c r="G823" s="0" t="n">
        <f aca="false">1</f>
        <v>1</v>
      </c>
      <c r="H823" s="0" t="n">
        <f aca="false">D823</f>
        <v>-0.75</v>
      </c>
      <c r="I823" s="0" t="n">
        <f aca="false">E823</f>
        <v>0.75</v>
      </c>
      <c r="J823" s="0" t="n">
        <f aca="false">F823</f>
        <v>-0.75</v>
      </c>
      <c r="K823" s="0" t="n">
        <f aca="false">D823*E823</f>
        <v>-0.5625</v>
      </c>
      <c r="L823" s="0" t="n">
        <f aca="false">D823*F823</f>
        <v>0.5625</v>
      </c>
      <c r="M823" s="0" t="n">
        <f aca="false">E823*F823</f>
        <v>-0.5625</v>
      </c>
      <c r="N823" s="0" t="n">
        <f aca="false">D823*D823</f>
        <v>0.5625</v>
      </c>
      <c r="O823" s="0" t="n">
        <f aca="false">E823*E823</f>
        <v>0.5625</v>
      </c>
      <c r="P823" s="0" t="n">
        <f aca="false">F823*F823</f>
        <v>0.5625</v>
      </c>
      <c r="Q823" s="0" t="n">
        <f aca="false">SUMPRODUCT(G823:P823,_XtX!$B$71:$K$71)</f>
        <v>42.7108238636364</v>
      </c>
      <c r="R823" s="0" t="n">
        <f aca="false">SUMPRODUCT(MMULT(G823:P823,_XtX!$B$58:$K$67),G823:P823)</f>
        <v>0.338467684659091</v>
      </c>
      <c r="S823" s="0" t="n">
        <f aca="false">04_回帰ANOVA!$K$19*04_回帰ANOVA!$K$14*SQRT(1+R823)</f>
        <v>1.07564900835648</v>
      </c>
      <c r="T823" s="0" t="n">
        <f aca="false">Q823-S823</f>
        <v>41.6351748552799</v>
      </c>
      <c r="U823" s="0" t="n">
        <f aca="false">Q823+S823</f>
        <v>43.7864728719929</v>
      </c>
      <c r="V823" s="54" t="b">
        <f aca="false">AND(D823&gt;=01_因子設定!$L$5-0.000000001,D823&lt;=01_因子設定!$M$5+0.000000001,E823&gt;=01_因子設定!$L$6-0.000000001,E823&lt;=01_因子設定!$M$6+0.000000001,F823&gt;=01_因子設定!$L$7-0.000000001,F823&lt;=01_因子設定!$M$7+0.000000001,IF(01_因子設定!$B$20="Box-Behnken",D823^2+E823^2+F823^2&lt;=2+0.000000001,TRUE()))</f>
        <v>1</v>
      </c>
      <c r="W823" s="55" t="n">
        <f aca="false">IF(V823,IF(01_因子設定!$B$13="最大化",T823-01_因子設定!$B$14,IF(01_因子設定!$B$13="最小化",01_因子設定!$B$15-U823,MIN(T823-01_因子設定!$B$14,01_因子設定!$B$15-U823))),-1E+030)</f>
        <v>-6.86482514472011</v>
      </c>
      <c r="X823" s="55" t="n">
        <f aca="false">IF(V823,IF(01_因子設定!$B$13="最大化",Q823,IF(01_因子設定!$B$13="最小化",-Q823,-ABS(Q823-01_因子設定!$B$16))),-1E+030)</f>
        <v>42.7108238636364</v>
      </c>
      <c r="Y823" s="55" t="n">
        <f aca="false">W823+ROW()*0.000000001</f>
        <v>-6.86482432172011</v>
      </c>
      <c r="Z823" s="55" t="n">
        <f aca="false">X823+ROW()*0.000000001</f>
        <v>42.7108246866364</v>
      </c>
    </row>
    <row r="824" customFormat="false" ht="15" hidden="false" customHeight="false" outlineLevel="0" collapsed="false">
      <c r="A824" s="0" t="n">
        <v>2</v>
      </c>
      <c r="B824" s="0" t="n">
        <v>14</v>
      </c>
      <c r="C824" s="0" t="n">
        <v>3</v>
      </c>
      <c r="D824" s="0" t="n">
        <f aca="false">-1+A824*0.125</f>
        <v>-0.75</v>
      </c>
      <c r="E824" s="0" t="n">
        <f aca="false">-1+B824*0.125</f>
        <v>0.75</v>
      </c>
      <c r="F824" s="0" t="n">
        <f aca="false">-1+C824*0.125</f>
        <v>-0.625</v>
      </c>
      <c r="G824" s="0" t="n">
        <f aca="false">1</f>
        <v>1</v>
      </c>
      <c r="H824" s="0" t="n">
        <f aca="false">D824</f>
        <v>-0.75</v>
      </c>
      <c r="I824" s="0" t="n">
        <f aca="false">E824</f>
        <v>0.75</v>
      </c>
      <c r="J824" s="0" t="n">
        <f aca="false">F824</f>
        <v>-0.625</v>
      </c>
      <c r="K824" s="0" t="n">
        <f aca="false">D824*E824</f>
        <v>-0.5625</v>
      </c>
      <c r="L824" s="0" t="n">
        <f aca="false">D824*F824</f>
        <v>0.46875</v>
      </c>
      <c r="M824" s="0" t="n">
        <f aca="false">E824*F824</f>
        <v>-0.46875</v>
      </c>
      <c r="N824" s="0" t="n">
        <f aca="false">D824*D824</f>
        <v>0.5625</v>
      </c>
      <c r="O824" s="0" t="n">
        <f aca="false">E824*E824</f>
        <v>0.5625</v>
      </c>
      <c r="P824" s="0" t="n">
        <f aca="false">F824*F824</f>
        <v>0.390625</v>
      </c>
      <c r="Q824" s="0" t="n">
        <f aca="false">SUMPRODUCT(G824:P824,_XtX!$B$71:$K$71)</f>
        <v>43.1419176136364</v>
      </c>
      <c r="R824" s="0" t="n">
        <f aca="false">SUMPRODUCT(MMULT(G824:P824,_XtX!$B$58:$K$67),G824:P824)</f>
        <v>0.305899325284091</v>
      </c>
      <c r="S824" s="0" t="n">
        <f aca="false">04_回帰ANOVA!$K$19*04_回帰ANOVA!$K$14*SQRT(1+R824)</f>
        <v>1.06248176416816</v>
      </c>
      <c r="T824" s="0" t="n">
        <f aca="false">Q824-S824</f>
        <v>42.0794358494682</v>
      </c>
      <c r="U824" s="0" t="n">
        <f aca="false">Q824+S824</f>
        <v>44.2043993778045</v>
      </c>
      <c r="V824" s="54" t="b">
        <f aca="false">AND(D824&gt;=01_因子設定!$L$5-0.000000001,D824&lt;=01_因子設定!$M$5+0.000000001,E824&gt;=01_因子設定!$L$6-0.000000001,E824&lt;=01_因子設定!$M$6+0.000000001,F824&gt;=01_因子設定!$L$7-0.000000001,F824&lt;=01_因子設定!$M$7+0.000000001,IF(01_因子設定!$B$20="Box-Behnken",D824^2+E824^2+F824^2&lt;=2+0.000000001,TRUE()))</f>
        <v>1</v>
      </c>
      <c r="W824" s="55" t="n">
        <f aca="false">IF(V824,IF(01_因子設定!$B$13="最大化",T824-01_因子設定!$B$14,IF(01_因子設定!$B$13="最小化",01_因子設定!$B$15-U824,MIN(T824-01_因子設定!$B$14,01_因子設定!$B$15-U824))),-1E+030)</f>
        <v>-6.42056415053179</v>
      </c>
      <c r="X824" s="55" t="n">
        <f aca="false">IF(V824,IF(01_因子設定!$B$13="最大化",Q824,IF(01_因子設定!$B$13="最小化",-Q824,-ABS(Q824-01_因子設定!$B$16))),-1E+030)</f>
        <v>43.1419176136364</v>
      </c>
      <c r="Y824" s="55" t="n">
        <f aca="false">W824+ROW()*0.000000001</f>
        <v>-6.42056332653179</v>
      </c>
      <c r="Z824" s="55" t="n">
        <f aca="false">X824+ROW()*0.000000001</f>
        <v>43.1419184376364</v>
      </c>
    </row>
    <row r="825" customFormat="false" ht="15" hidden="false" customHeight="false" outlineLevel="0" collapsed="false">
      <c r="A825" s="0" t="n">
        <v>2</v>
      </c>
      <c r="B825" s="0" t="n">
        <v>14</v>
      </c>
      <c r="C825" s="0" t="n">
        <v>4</v>
      </c>
      <c r="D825" s="0" t="n">
        <f aca="false">-1+A825*0.125</f>
        <v>-0.75</v>
      </c>
      <c r="E825" s="0" t="n">
        <f aca="false">-1+B825*0.125</f>
        <v>0.75</v>
      </c>
      <c r="F825" s="0" t="n">
        <f aca="false">-1+C825*0.125</f>
        <v>-0.5</v>
      </c>
      <c r="G825" s="0" t="n">
        <f aca="false">1</f>
        <v>1</v>
      </c>
      <c r="H825" s="0" t="n">
        <f aca="false">D825</f>
        <v>-0.75</v>
      </c>
      <c r="I825" s="0" t="n">
        <f aca="false">E825</f>
        <v>0.75</v>
      </c>
      <c r="J825" s="0" t="n">
        <f aca="false">F825</f>
        <v>-0.5</v>
      </c>
      <c r="K825" s="0" t="n">
        <f aca="false">D825*E825</f>
        <v>-0.5625</v>
      </c>
      <c r="L825" s="0" t="n">
        <f aca="false">D825*F825</f>
        <v>0.375</v>
      </c>
      <c r="M825" s="0" t="n">
        <f aca="false">E825*F825</f>
        <v>-0.375</v>
      </c>
      <c r="N825" s="0" t="n">
        <f aca="false">D825*D825</f>
        <v>0.5625</v>
      </c>
      <c r="O825" s="0" t="n">
        <f aca="false">E825*E825</f>
        <v>0.5625</v>
      </c>
      <c r="P825" s="0" t="n">
        <f aca="false">F825*F825</f>
        <v>0.25</v>
      </c>
      <c r="Q825" s="0" t="n">
        <f aca="false">SUMPRODUCT(G825:P825,_XtX!$B$71:$K$71)</f>
        <v>43.5362215909091</v>
      </c>
      <c r="R825" s="0" t="n">
        <f aca="false">SUMPRODUCT(MMULT(G825:P825,_XtX!$B$58:$K$67),G825:P825)</f>
        <v>0.295232599431818</v>
      </c>
      <c r="S825" s="0" t="n">
        <f aca="false">04_回帰ANOVA!$K$19*04_回帰ANOVA!$K$14*SQRT(1+R825)</f>
        <v>1.05813363442154</v>
      </c>
      <c r="T825" s="0" t="n">
        <f aca="false">Q825-S825</f>
        <v>42.4780879564876</v>
      </c>
      <c r="U825" s="0" t="n">
        <f aca="false">Q825+S825</f>
        <v>44.5943552253306</v>
      </c>
      <c r="V825" s="54" t="b">
        <f aca="false">AND(D825&gt;=01_因子設定!$L$5-0.000000001,D825&lt;=01_因子設定!$M$5+0.000000001,E825&gt;=01_因子設定!$L$6-0.000000001,E825&lt;=01_因子設定!$M$6+0.000000001,F825&gt;=01_因子設定!$L$7-0.000000001,F825&lt;=01_因子設定!$M$7+0.000000001,IF(01_因子設定!$B$20="Box-Behnken",D825^2+E825^2+F825^2&lt;=2+0.000000001,TRUE()))</f>
        <v>1</v>
      </c>
      <c r="W825" s="55" t="n">
        <f aca="false">IF(V825,IF(01_因子設定!$B$13="最大化",T825-01_因子設定!$B$14,IF(01_因子設定!$B$13="最小化",01_因子設定!$B$15-U825,MIN(T825-01_因子設定!$B$14,01_因子設定!$B$15-U825))),-1E+030)</f>
        <v>-6.02191204351244</v>
      </c>
      <c r="X825" s="55" t="n">
        <f aca="false">IF(V825,IF(01_因子設定!$B$13="最大化",Q825,IF(01_因子設定!$B$13="最小化",-Q825,-ABS(Q825-01_因子設定!$B$16))),-1E+030)</f>
        <v>43.5362215909091</v>
      </c>
      <c r="Y825" s="55" t="n">
        <f aca="false">W825+ROW()*0.000000001</f>
        <v>-6.02191121851244</v>
      </c>
      <c r="Z825" s="55" t="n">
        <f aca="false">X825+ROW()*0.000000001</f>
        <v>43.5362224159091</v>
      </c>
    </row>
    <row r="826" customFormat="false" ht="15" hidden="false" customHeight="false" outlineLevel="0" collapsed="false">
      <c r="A826" s="0" t="n">
        <v>2</v>
      </c>
      <c r="B826" s="0" t="n">
        <v>14</v>
      </c>
      <c r="C826" s="0" t="n">
        <v>5</v>
      </c>
      <c r="D826" s="0" t="n">
        <f aca="false">-1+A826*0.125</f>
        <v>-0.75</v>
      </c>
      <c r="E826" s="0" t="n">
        <f aca="false">-1+B826*0.125</f>
        <v>0.75</v>
      </c>
      <c r="F826" s="0" t="n">
        <f aca="false">-1+C826*0.125</f>
        <v>-0.375</v>
      </c>
      <c r="G826" s="0" t="n">
        <f aca="false">1</f>
        <v>1</v>
      </c>
      <c r="H826" s="0" t="n">
        <f aca="false">D826</f>
        <v>-0.75</v>
      </c>
      <c r="I826" s="0" t="n">
        <f aca="false">E826</f>
        <v>0.75</v>
      </c>
      <c r="J826" s="0" t="n">
        <f aca="false">F826</f>
        <v>-0.375</v>
      </c>
      <c r="K826" s="0" t="n">
        <f aca="false">D826*E826</f>
        <v>-0.5625</v>
      </c>
      <c r="L826" s="0" t="n">
        <f aca="false">D826*F826</f>
        <v>0.28125</v>
      </c>
      <c r="M826" s="0" t="n">
        <f aca="false">E826*F826</f>
        <v>-0.28125</v>
      </c>
      <c r="N826" s="0" t="n">
        <f aca="false">D826*D826</f>
        <v>0.5625</v>
      </c>
      <c r="O826" s="0" t="n">
        <f aca="false">E826*E826</f>
        <v>0.5625</v>
      </c>
      <c r="P826" s="0" t="n">
        <f aca="false">F826*F826</f>
        <v>0.140625</v>
      </c>
      <c r="Q826" s="0" t="n">
        <f aca="false">SUMPRODUCT(G826:P826,_XtX!$B$71:$K$71)</f>
        <v>43.8937357954545</v>
      </c>
      <c r="R826" s="0" t="n">
        <f aca="false">SUMPRODUCT(MMULT(G826:P826,_XtX!$B$58:$K$67),G826:P826)</f>
        <v>0.296879438920455</v>
      </c>
      <c r="S826" s="0" t="n">
        <f aca="false">04_回帰ANOVA!$K$19*04_回帰ANOVA!$K$14*SQRT(1+R826)</f>
        <v>1.05880610927316</v>
      </c>
      <c r="T826" s="0" t="n">
        <f aca="false">Q826-S826</f>
        <v>42.8349296861814</v>
      </c>
      <c r="U826" s="0" t="n">
        <f aca="false">Q826+S826</f>
        <v>44.9525419047277</v>
      </c>
      <c r="V826" s="54" t="b">
        <f aca="false">AND(D826&gt;=01_因子設定!$L$5-0.000000001,D826&lt;=01_因子設定!$M$5+0.000000001,E826&gt;=01_因子設定!$L$6-0.000000001,E826&lt;=01_因子設定!$M$6+0.000000001,F826&gt;=01_因子設定!$L$7-0.000000001,F826&lt;=01_因子設定!$M$7+0.000000001,IF(01_因子設定!$B$20="Box-Behnken",D826^2+E826^2+F826^2&lt;=2+0.000000001,TRUE()))</f>
        <v>1</v>
      </c>
      <c r="W826" s="55" t="n">
        <f aca="false">IF(V826,IF(01_因子設定!$B$13="最大化",T826-01_因子設定!$B$14,IF(01_因子設定!$B$13="最小化",01_因子設定!$B$15-U826,MIN(T826-01_因子設定!$B$14,01_因子設定!$B$15-U826))),-1E+030)</f>
        <v>-5.66507031381862</v>
      </c>
      <c r="X826" s="55" t="n">
        <f aca="false">IF(V826,IF(01_因子設定!$B$13="最大化",Q826,IF(01_因子設定!$B$13="最小化",-Q826,-ABS(Q826-01_因子設定!$B$16))),-1E+030)</f>
        <v>43.8937357954545</v>
      </c>
      <c r="Y826" s="55" t="n">
        <f aca="false">W826+ROW()*0.000000001</f>
        <v>-5.66506948781862</v>
      </c>
      <c r="Z826" s="55" t="n">
        <f aca="false">X826+ROW()*0.000000001</f>
        <v>43.8937366214545</v>
      </c>
    </row>
    <row r="827" customFormat="false" ht="15" hidden="false" customHeight="false" outlineLevel="0" collapsed="false">
      <c r="A827" s="0" t="n">
        <v>2</v>
      </c>
      <c r="B827" s="0" t="n">
        <v>14</v>
      </c>
      <c r="C827" s="0" t="n">
        <v>6</v>
      </c>
      <c r="D827" s="0" t="n">
        <f aca="false">-1+A827*0.125</f>
        <v>-0.75</v>
      </c>
      <c r="E827" s="0" t="n">
        <f aca="false">-1+B827*0.125</f>
        <v>0.75</v>
      </c>
      <c r="F827" s="0" t="n">
        <f aca="false">-1+C827*0.125</f>
        <v>-0.25</v>
      </c>
      <c r="G827" s="0" t="n">
        <f aca="false">1</f>
        <v>1</v>
      </c>
      <c r="H827" s="0" t="n">
        <f aca="false">D827</f>
        <v>-0.75</v>
      </c>
      <c r="I827" s="0" t="n">
        <f aca="false">E827</f>
        <v>0.75</v>
      </c>
      <c r="J827" s="0" t="n">
        <f aca="false">F827</f>
        <v>-0.25</v>
      </c>
      <c r="K827" s="0" t="n">
        <f aca="false">D827*E827</f>
        <v>-0.5625</v>
      </c>
      <c r="L827" s="0" t="n">
        <f aca="false">D827*F827</f>
        <v>0.1875</v>
      </c>
      <c r="M827" s="0" t="n">
        <f aca="false">E827*F827</f>
        <v>-0.1875</v>
      </c>
      <c r="N827" s="0" t="n">
        <f aca="false">D827*D827</f>
        <v>0.5625</v>
      </c>
      <c r="O827" s="0" t="n">
        <f aca="false">E827*E827</f>
        <v>0.5625</v>
      </c>
      <c r="P827" s="0" t="n">
        <f aca="false">F827*F827</f>
        <v>0.0625</v>
      </c>
      <c r="Q827" s="0" t="n">
        <f aca="false">SUMPRODUCT(G827:P827,_XtX!$B$71:$K$71)</f>
        <v>44.2144602272727</v>
      </c>
      <c r="R827" s="0" t="n">
        <f aca="false">SUMPRODUCT(MMULT(G827:P827,_XtX!$B$58:$K$67),G827:P827)</f>
        <v>0.303382457386364</v>
      </c>
      <c r="S827" s="0" t="n">
        <f aca="false">04_回帰ANOVA!$K$19*04_回帰ANOVA!$K$14*SQRT(1+R827)</f>
        <v>1.06145740650883</v>
      </c>
      <c r="T827" s="0" t="n">
        <f aca="false">Q827-S827</f>
        <v>43.1530028207639</v>
      </c>
      <c r="U827" s="0" t="n">
        <f aca="false">Q827+S827</f>
        <v>45.2759176337816</v>
      </c>
      <c r="V827" s="54" t="b">
        <f aca="false">AND(D827&gt;=01_因子設定!$L$5-0.000000001,D827&lt;=01_因子設定!$M$5+0.000000001,E827&gt;=01_因子設定!$L$6-0.000000001,E827&lt;=01_因子設定!$M$6+0.000000001,F827&gt;=01_因子設定!$L$7-0.000000001,F827&lt;=01_因子設定!$M$7+0.000000001,IF(01_因子設定!$B$20="Box-Behnken",D827^2+E827^2+F827^2&lt;=2+0.000000001,TRUE()))</f>
        <v>1</v>
      </c>
      <c r="W827" s="55" t="n">
        <f aca="false">IF(V827,IF(01_因子設定!$B$13="最大化",T827-01_因子設定!$B$14,IF(01_因子設定!$B$13="最小化",01_因子設定!$B$15-U827,MIN(T827-01_因子設定!$B$14,01_因子設定!$B$15-U827))),-1E+030)</f>
        <v>-5.34699717923611</v>
      </c>
      <c r="X827" s="55" t="n">
        <f aca="false">IF(V827,IF(01_因子設定!$B$13="最大化",Q827,IF(01_因子設定!$B$13="最小化",-Q827,-ABS(Q827-01_因子設定!$B$16))),-1E+030)</f>
        <v>44.2144602272727</v>
      </c>
      <c r="Y827" s="55" t="n">
        <f aca="false">W827+ROW()*0.000000001</f>
        <v>-5.34699635223611</v>
      </c>
      <c r="Z827" s="55" t="n">
        <f aca="false">X827+ROW()*0.000000001</f>
        <v>44.2144610542727</v>
      </c>
    </row>
    <row r="828" customFormat="false" ht="15" hidden="false" customHeight="false" outlineLevel="0" collapsed="false">
      <c r="A828" s="0" t="n">
        <v>2</v>
      </c>
      <c r="B828" s="0" t="n">
        <v>14</v>
      </c>
      <c r="C828" s="0" t="n">
        <v>7</v>
      </c>
      <c r="D828" s="0" t="n">
        <f aca="false">-1+A828*0.125</f>
        <v>-0.75</v>
      </c>
      <c r="E828" s="0" t="n">
        <f aca="false">-1+B828*0.125</f>
        <v>0.75</v>
      </c>
      <c r="F828" s="0" t="n">
        <f aca="false">-1+C828*0.125</f>
        <v>-0.125</v>
      </c>
      <c r="G828" s="0" t="n">
        <f aca="false">1</f>
        <v>1</v>
      </c>
      <c r="H828" s="0" t="n">
        <f aca="false">D828</f>
        <v>-0.75</v>
      </c>
      <c r="I828" s="0" t="n">
        <f aca="false">E828</f>
        <v>0.75</v>
      </c>
      <c r="J828" s="0" t="n">
        <f aca="false">F828</f>
        <v>-0.125</v>
      </c>
      <c r="K828" s="0" t="n">
        <f aca="false">D828*E828</f>
        <v>-0.5625</v>
      </c>
      <c r="L828" s="0" t="n">
        <f aca="false">D828*F828</f>
        <v>0.09375</v>
      </c>
      <c r="M828" s="0" t="n">
        <f aca="false">E828*F828</f>
        <v>-0.09375</v>
      </c>
      <c r="N828" s="0" t="n">
        <f aca="false">D828*D828</f>
        <v>0.5625</v>
      </c>
      <c r="O828" s="0" t="n">
        <f aca="false">E828*E828</f>
        <v>0.5625</v>
      </c>
      <c r="P828" s="0" t="n">
        <f aca="false">F828*F828</f>
        <v>0.015625</v>
      </c>
      <c r="Q828" s="0" t="n">
        <f aca="false">SUMPRODUCT(G828:P828,_XtX!$B$71:$K$71)</f>
        <v>44.4983948863636</v>
      </c>
      <c r="R828" s="0" t="n">
        <f aca="false">SUMPRODUCT(MMULT(G828:P828,_XtX!$B$58:$K$67),G828:P828)</f>
        <v>0.309414950284091</v>
      </c>
      <c r="S828" s="0" t="n">
        <f aca="false">04_回帰ANOVA!$K$19*04_回帰ANOVA!$K$14*SQRT(1+R828)</f>
        <v>1.06391096196568</v>
      </c>
      <c r="T828" s="0" t="n">
        <f aca="false">Q828-S828</f>
        <v>43.434483924398</v>
      </c>
      <c r="U828" s="0" t="n">
        <f aca="false">Q828+S828</f>
        <v>45.5623058483293</v>
      </c>
      <c r="V828" s="54" t="b">
        <f aca="false">AND(D828&gt;=01_因子設定!$L$5-0.000000001,D828&lt;=01_因子設定!$M$5+0.000000001,E828&gt;=01_因子設定!$L$6-0.000000001,E828&lt;=01_因子設定!$M$6+0.000000001,F828&gt;=01_因子設定!$L$7-0.000000001,F828&lt;=01_因子設定!$M$7+0.000000001,IF(01_因子設定!$B$20="Box-Behnken",D828^2+E828^2+F828^2&lt;=2+0.000000001,TRUE()))</f>
        <v>1</v>
      </c>
      <c r="W828" s="55" t="n">
        <f aca="false">IF(V828,IF(01_因子設定!$B$13="最大化",T828-01_因子設定!$B$14,IF(01_因子設定!$B$13="最小化",01_因子設定!$B$15-U828,MIN(T828-01_因子設定!$B$14,01_因子設定!$B$15-U828))),-1E+030)</f>
        <v>-5.06551607560204</v>
      </c>
      <c r="X828" s="55" t="n">
        <f aca="false">IF(V828,IF(01_因子設定!$B$13="最大化",Q828,IF(01_因子設定!$B$13="最小化",-Q828,-ABS(Q828-01_因子設定!$B$16))),-1E+030)</f>
        <v>44.4983948863636</v>
      </c>
      <c r="Y828" s="55" t="n">
        <f aca="false">W828+ROW()*0.000000001</f>
        <v>-5.06551524760204</v>
      </c>
      <c r="Z828" s="55" t="n">
        <f aca="false">X828+ROW()*0.000000001</f>
        <v>44.4983957143636</v>
      </c>
    </row>
    <row r="829" customFormat="false" ht="15" hidden="false" customHeight="false" outlineLevel="0" collapsed="false">
      <c r="A829" s="0" t="n">
        <v>2</v>
      </c>
      <c r="B829" s="0" t="n">
        <v>14</v>
      </c>
      <c r="C829" s="0" t="n">
        <v>8</v>
      </c>
      <c r="D829" s="0" t="n">
        <f aca="false">-1+A829*0.125</f>
        <v>-0.75</v>
      </c>
      <c r="E829" s="0" t="n">
        <f aca="false">-1+B829*0.125</f>
        <v>0.75</v>
      </c>
      <c r="F829" s="0" t="n">
        <f aca="false">-1+C829*0.125</f>
        <v>0</v>
      </c>
      <c r="G829" s="0" t="n">
        <f aca="false">1</f>
        <v>1</v>
      </c>
      <c r="H829" s="0" t="n">
        <f aca="false">D829</f>
        <v>-0.75</v>
      </c>
      <c r="I829" s="0" t="n">
        <f aca="false">E829</f>
        <v>0.75</v>
      </c>
      <c r="J829" s="0" t="n">
        <f aca="false">F829</f>
        <v>0</v>
      </c>
      <c r="K829" s="0" t="n">
        <f aca="false">D829*E829</f>
        <v>-0.5625</v>
      </c>
      <c r="L829" s="0" t="n">
        <f aca="false">D829*F829</f>
        <v>-0</v>
      </c>
      <c r="M829" s="0" t="n">
        <f aca="false">E829*F829</f>
        <v>0</v>
      </c>
      <c r="N829" s="0" t="n">
        <f aca="false">D829*D829</f>
        <v>0.5625</v>
      </c>
      <c r="O829" s="0" t="n">
        <f aca="false">E829*E829</f>
        <v>0.5625</v>
      </c>
      <c r="P829" s="0" t="n">
        <f aca="false">F829*F829</f>
        <v>0</v>
      </c>
      <c r="Q829" s="0" t="n">
        <f aca="false">SUMPRODUCT(G829:P829,_XtX!$B$71:$K$71)</f>
        <v>44.7455397727273</v>
      </c>
      <c r="R829" s="0" t="n">
        <f aca="false">SUMPRODUCT(MMULT(G829:P829,_XtX!$B$58:$K$67),G829:P829)</f>
        <v>0.311780894886364</v>
      </c>
      <c r="S829" s="0" t="n">
        <f aca="false">04_回帰ANOVA!$K$19*04_回帰ANOVA!$K$14*SQRT(1+R829)</f>
        <v>1.06487170339437</v>
      </c>
      <c r="T829" s="0" t="n">
        <f aca="false">Q829-S829</f>
        <v>43.6806680693329</v>
      </c>
      <c r="U829" s="0" t="n">
        <f aca="false">Q829+S829</f>
        <v>45.8104114761216</v>
      </c>
      <c r="V829" s="54" t="b">
        <f aca="false">AND(D829&gt;=01_因子設定!$L$5-0.000000001,D829&lt;=01_因子設定!$M$5+0.000000001,E829&gt;=01_因子設定!$L$6-0.000000001,E829&lt;=01_因子設定!$M$6+0.000000001,F829&gt;=01_因子設定!$L$7-0.000000001,F829&lt;=01_因子設定!$M$7+0.000000001,IF(01_因子設定!$B$20="Box-Behnken",D829^2+E829^2+F829^2&lt;=2+0.000000001,TRUE()))</f>
        <v>1</v>
      </c>
      <c r="W829" s="55" t="n">
        <f aca="false">IF(V829,IF(01_因子設定!$B$13="最大化",T829-01_因子設定!$B$14,IF(01_因子設定!$B$13="最小化",01_因子設定!$B$15-U829,MIN(T829-01_因子設定!$B$14,01_因子設定!$B$15-U829))),-1E+030)</f>
        <v>-4.8193319306671</v>
      </c>
      <c r="X829" s="55" t="n">
        <f aca="false">IF(V829,IF(01_因子設定!$B$13="最大化",Q829,IF(01_因子設定!$B$13="最小化",-Q829,-ABS(Q829-01_因子設定!$B$16))),-1E+030)</f>
        <v>44.7455397727273</v>
      </c>
      <c r="Y829" s="55" t="n">
        <f aca="false">W829+ROW()*0.000000001</f>
        <v>-4.8193311016671</v>
      </c>
      <c r="Z829" s="55" t="n">
        <f aca="false">X829+ROW()*0.000000001</f>
        <v>44.7455406017273</v>
      </c>
    </row>
    <row r="830" customFormat="false" ht="15" hidden="false" customHeight="false" outlineLevel="0" collapsed="false">
      <c r="A830" s="0" t="n">
        <v>2</v>
      </c>
      <c r="B830" s="0" t="n">
        <v>14</v>
      </c>
      <c r="C830" s="0" t="n">
        <v>9</v>
      </c>
      <c r="D830" s="0" t="n">
        <f aca="false">-1+A830*0.125</f>
        <v>-0.75</v>
      </c>
      <c r="E830" s="0" t="n">
        <f aca="false">-1+B830*0.125</f>
        <v>0.75</v>
      </c>
      <c r="F830" s="0" t="n">
        <f aca="false">-1+C830*0.125</f>
        <v>0.125</v>
      </c>
      <c r="G830" s="0" t="n">
        <f aca="false">1</f>
        <v>1</v>
      </c>
      <c r="H830" s="0" t="n">
        <f aca="false">D830</f>
        <v>-0.75</v>
      </c>
      <c r="I830" s="0" t="n">
        <f aca="false">E830</f>
        <v>0.75</v>
      </c>
      <c r="J830" s="0" t="n">
        <f aca="false">F830</f>
        <v>0.125</v>
      </c>
      <c r="K830" s="0" t="n">
        <f aca="false">D830*E830</f>
        <v>-0.5625</v>
      </c>
      <c r="L830" s="0" t="n">
        <f aca="false">D830*F830</f>
        <v>-0.09375</v>
      </c>
      <c r="M830" s="0" t="n">
        <f aca="false">E830*F830</f>
        <v>0.09375</v>
      </c>
      <c r="N830" s="0" t="n">
        <f aca="false">D830*D830</f>
        <v>0.5625</v>
      </c>
      <c r="O830" s="0" t="n">
        <f aca="false">E830*E830</f>
        <v>0.5625</v>
      </c>
      <c r="P830" s="0" t="n">
        <f aca="false">F830*F830</f>
        <v>0.015625</v>
      </c>
      <c r="Q830" s="0" t="n">
        <f aca="false">SUMPRODUCT(G830:P830,_XtX!$B$71:$K$71)</f>
        <v>44.9558948863636</v>
      </c>
      <c r="R830" s="0" t="n">
        <f aca="false">SUMPRODUCT(MMULT(G830:P830,_XtX!$B$58:$K$67),G830:P830)</f>
        <v>0.309414950284091</v>
      </c>
      <c r="S830" s="0" t="n">
        <f aca="false">04_回帰ANOVA!$K$19*04_回帰ANOVA!$K$14*SQRT(1+R830)</f>
        <v>1.06391096196568</v>
      </c>
      <c r="T830" s="0" t="n">
        <f aca="false">Q830-S830</f>
        <v>43.891983924398</v>
      </c>
      <c r="U830" s="0" t="n">
        <f aca="false">Q830+S830</f>
        <v>46.0198058483293</v>
      </c>
      <c r="V830" s="54" t="b">
        <f aca="false">AND(D830&gt;=01_因子設定!$L$5-0.000000001,D830&lt;=01_因子設定!$M$5+0.000000001,E830&gt;=01_因子設定!$L$6-0.000000001,E830&lt;=01_因子設定!$M$6+0.000000001,F830&gt;=01_因子設定!$L$7-0.000000001,F830&lt;=01_因子設定!$M$7+0.000000001,IF(01_因子設定!$B$20="Box-Behnken",D830^2+E830^2+F830^2&lt;=2+0.000000001,TRUE()))</f>
        <v>1</v>
      </c>
      <c r="W830" s="55" t="n">
        <f aca="false">IF(V830,IF(01_因子設定!$B$13="最大化",T830-01_因子設定!$B$14,IF(01_因子設定!$B$13="最小化",01_因子設定!$B$15-U830,MIN(T830-01_因子設定!$B$14,01_因子設定!$B$15-U830))),-1E+030)</f>
        <v>-4.60801607560204</v>
      </c>
      <c r="X830" s="55" t="n">
        <f aca="false">IF(V830,IF(01_因子設定!$B$13="最大化",Q830,IF(01_因子設定!$B$13="最小化",-Q830,-ABS(Q830-01_因子設定!$B$16))),-1E+030)</f>
        <v>44.9558948863636</v>
      </c>
      <c r="Y830" s="55" t="n">
        <f aca="false">W830+ROW()*0.000000001</f>
        <v>-4.60801524560204</v>
      </c>
      <c r="Z830" s="55" t="n">
        <f aca="false">X830+ROW()*0.000000001</f>
        <v>44.9558957163636</v>
      </c>
    </row>
    <row r="831" customFormat="false" ht="15" hidden="false" customHeight="false" outlineLevel="0" collapsed="false">
      <c r="A831" s="0" t="n">
        <v>2</v>
      </c>
      <c r="B831" s="0" t="n">
        <v>14</v>
      </c>
      <c r="C831" s="0" t="n">
        <v>10</v>
      </c>
      <c r="D831" s="0" t="n">
        <f aca="false">-1+A831*0.125</f>
        <v>-0.75</v>
      </c>
      <c r="E831" s="0" t="n">
        <f aca="false">-1+B831*0.125</f>
        <v>0.75</v>
      </c>
      <c r="F831" s="0" t="n">
        <f aca="false">-1+C831*0.125</f>
        <v>0.25</v>
      </c>
      <c r="G831" s="0" t="n">
        <f aca="false">1</f>
        <v>1</v>
      </c>
      <c r="H831" s="0" t="n">
        <f aca="false">D831</f>
        <v>-0.75</v>
      </c>
      <c r="I831" s="0" t="n">
        <f aca="false">E831</f>
        <v>0.75</v>
      </c>
      <c r="J831" s="0" t="n">
        <f aca="false">F831</f>
        <v>0.25</v>
      </c>
      <c r="K831" s="0" t="n">
        <f aca="false">D831*E831</f>
        <v>-0.5625</v>
      </c>
      <c r="L831" s="0" t="n">
        <f aca="false">D831*F831</f>
        <v>-0.1875</v>
      </c>
      <c r="M831" s="0" t="n">
        <f aca="false">E831*F831</f>
        <v>0.1875</v>
      </c>
      <c r="N831" s="0" t="n">
        <f aca="false">D831*D831</f>
        <v>0.5625</v>
      </c>
      <c r="O831" s="0" t="n">
        <f aca="false">E831*E831</f>
        <v>0.5625</v>
      </c>
      <c r="P831" s="0" t="n">
        <f aca="false">F831*F831</f>
        <v>0.0625</v>
      </c>
      <c r="Q831" s="0" t="n">
        <f aca="false">SUMPRODUCT(G831:P831,_XtX!$B$71:$K$71)</f>
        <v>45.1294602272727</v>
      </c>
      <c r="R831" s="0" t="n">
        <f aca="false">SUMPRODUCT(MMULT(G831:P831,_XtX!$B$58:$K$67),G831:P831)</f>
        <v>0.303382457386364</v>
      </c>
      <c r="S831" s="0" t="n">
        <f aca="false">04_回帰ANOVA!$K$19*04_回帰ANOVA!$K$14*SQRT(1+R831)</f>
        <v>1.06145740650883</v>
      </c>
      <c r="T831" s="0" t="n">
        <f aca="false">Q831-S831</f>
        <v>44.0680028207639</v>
      </c>
      <c r="U831" s="0" t="n">
        <f aca="false">Q831+S831</f>
        <v>46.1909176337816</v>
      </c>
      <c r="V831" s="54" t="b">
        <f aca="false">AND(D831&gt;=01_因子設定!$L$5-0.000000001,D831&lt;=01_因子設定!$M$5+0.000000001,E831&gt;=01_因子設定!$L$6-0.000000001,E831&lt;=01_因子設定!$M$6+0.000000001,F831&gt;=01_因子設定!$L$7-0.000000001,F831&lt;=01_因子設定!$M$7+0.000000001,IF(01_因子設定!$B$20="Box-Behnken",D831^2+E831^2+F831^2&lt;=2+0.000000001,TRUE()))</f>
        <v>1</v>
      </c>
      <c r="W831" s="55" t="n">
        <f aca="false">IF(V831,IF(01_因子設定!$B$13="最大化",T831-01_因子設定!$B$14,IF(01_因子設定!$B$13="最小化",01_因子設定!$B$15-U831,MIN(T831-01_因子設定!$B$14,01_因子設定!$B$15-U831))),-1E+030)</f>
        <v>-4.43199717923611</v>
      </c>
      <c r="X831" s="55" t="n">
        <f aca="false">IF(V831,IF(01_因子設定!$B$13="最大化",Q831,IF(01_因子設定!$B$13="最小化",-Q831,-ABS(Q831-01_因子設定!$B$16))),-1E+030)</f>
        <v>45.1294602272727</v>
      </c>
      <c r="Y831" s="55" t="n">
        <f aca="false">W831+ROW()*0.000000001</f>
        <v>-4.43199634823611</v>
      </c>
      <c r="Z831" s="55" t="n">
        <f aca="false">X831+ROW()*0.000000001</f>
        <v>45.1294610582727</v>
      </c>
    </row>
    <row r="832" customFormat="false" ht="15" hidden="false" customHeight="false" outlineLevel="0" collapsed="false">
      <c r="A832" s="0" t="n">
        <v>2</v>
      </c>
      <c r="B832" s="0" t="n">
        <v>14</v>
      </c>
      <c r="C832" s="0" t="n">
        <v>11</v>
      </c>
      <c r="D832" s="0" t="n">
        <f aca="false">-1+A832*0.125</f>
        <v>-0.75</v>
      </c>
      <c r="E832" s="0" t="n">
        <f aca="false">-1+B832*0.125</f>
        <v>0.75</v>
      </c>
      <c r="F832" s="0" t="n">
        <f aca="false">-1+C832*0.125</f>
        <v>0.375</v>
      </c>
      <c r="G832" s="0" t="n">
        <f aca="false">1</f>
        <v>1</v>
      </c>
      <c r="H832" s="0" t="n">
        <f aca="false">D832</f>
        <v>-0.75</v>
      </c>
      <c r="I832" s="0" t="n">
        <f aca="false">E832</f>
        <v>0.75</v>
      </c>
      <c r="J832" s="0" t="n">
        <f aca="false">F832</f>
        <v>0.375</v>
      </c>
      <c r="K832" s="0" t="n">
        <f aca="false">D832*E832</f>
        <v>-0.5625</v>
      </c>
      <c r="L832" s="0" t="n">
        <f aca="false">D832*F832</f>
        <v>-0.28125</v>
      </c>
      <c r="M832" s="0" t="n">
        <f aca="false">E832*F832</f>
        <v>0.28125</v>
      </c>
      <c r="N832" s="0" t="n">
        <f aca="false">D832*D832</f>
        <v>0.5625</v>
      </c>
      <c r="O832" s="0" t="n">
        <f aca="false">E832*E832</f>
        <v>0.5625</v>
      </c>
      <c r="P832" s="0" t="n">
        <f aca="false">F832*F832</f>
        <v>0.140625</v>
      </c>
      <c r="Q832" s="0" t="n">
        <f aca="false">SUMPRODUCT(G832:P832,_XtX!$B$71:$K$71)</f>
        <v>45.2662357954546</v>
      </c>
      <c r="R832" s="0" t="n">
        <f aca="false">SUMPRODUCT(MMULT(G832:P832,_XtX!$B$58:$K$67),G832:P832)</f>
        <v>0.296879438920455</v>
      </c>
      <c r="S832" s="0" t="n">
        <f aca="false">04_回帰ANOVA!$K$19*04_回帰ANOVA!$K$14*SQRT(1+R832)</f>
        <v>1.05880610927316</v>
      </c>
      <c r="T832" s="0" t="n">
        <f aca="false">Q832-S832</f>
        <v>44.2074296861814</v>
      </c>
      <c r="U832" s="0" t="n">
        <f aca="false">Q832+S832</f>
        <v>46.3250419047277</v>
      </c>
      <c r="V832" s="54" t="b">
        <f aca="false">AND(D832&gt;=01_因子設定!$L$5-0.000000001,D832&lt;=01_因子設定!$M$5+0.000000001,E832&gt;=01_因子設定!$L$6-0.000000001,E832&lt;=01_因子設定!$M$6+0.000000001,F832&gt;=01_因子設定!$L$7-0.000000001,F832&lt;=01_因子設定!$M$7+0.000000001,IF(01_因子設定!$B$20="Box-Behnken",D832^2+E832^2+F832^2&lt;=2+0.000000001,TRUE()))</f>
        <v>1</v>
      </c>
      <c r="W832" s="55" t="n">
        <f aca="false">IF(V832,IF(01_因子設定!$B$13="最大化",T832-01_因子設定!$B$14,IF(01_因子設定!$B$13="最小化",01_因子設定!$B$15-U832,MIN(T832-01_因子設定!$B$14,01_因子設定!$B$15-U832))),-1E+030)</f>
        <v>-4.29257031381862</v>
      </c>
      <c r="X832" s="55" t="n">
        <f aca="false">IF(V832,IF(01_因子設定!$B$13="最大化",Q832,IF(01_因子設定!$B$13="最小化",-Q832,-ABS(Q832-01_因子設定!$B$16))),-1E+030)</f>
        <v>45.2662357954546</v>
      </c>
      <c r="Y832" s="55" t="n">
        <f aca="false">W832+ROW()*0.000000001</f>
        <v>-4.29256948181862</v>
      </c>
      <c r="Z832" s="55" t="n">
        <f aca="false">X832+ROW()*0.000000001</f>
        <v>45.2662366274545</v>
      </c>
    </row>
    <row r="833" customFormat="false" ht="15" hidden="false" customHeight="false" outlineLevel="0" collapsed="false">
      <c r="A833" s="0" t="n">
        <v>2</v>
      </c>
      <c r="B833" s="0" t="n">
        <v>14</v>
      </c>
      <c r="C833" s="0" t="n">
        <v>12</v>
      </c>
      <c r="D833" s="0" t="n">
        <f aca="false">-1+A833*0.125</f>
        <v>-0.75</v>
      </c>
      <c r="E833" s="0" t="n">
        <f aca="false">-1+B833*0.125</f>
        <v>0.75</v>
      </c>
      <c r="F833" s="0" t="n">
        <f aca="false">-1+C833*0.125</f>
        <v>0.5</v>
      </c>
      <c r="G833" s="0" t="n">
        <f aca="false">1</f>
        <v>1</v>
      </c>
      <c r="H833" s="0" t="n">
        <f aca="false">D833</f>
        <v>-0.75</v>
      </c>
      <c r="I833" s="0" t="n">
        <f aca="false">E833</f>
        <v>0.75</v>
      </c>
      <c r="J833" s="0" t="n">
        <f aca="false">F833</f>
        <v>0.5</v>
      </c>
      <c r="K833" s="0" t="n">
        <f aca="false">D833*E833</f>
        <v>-0.5625</v>
      </c>
      <c r="L833" s="0" t="n">
        <f aca="false">D833*F833</f>
        <v>-0.375</v>
      </c>
      <c r="M833" s="0" t="n">
        <f aca="false">E833*F833</f>
        <v>0.375</v>
      </c>
      <c r="N833" s="0" t="n">
        <f aca="false">D833*D833</f>
        <v>0.5625</v>
      </c>
      <c r="O833" s="0" t="n">
        <f aca="false">E833*E833</f>
        <v>0.5625</v>
      </c>
      <c r="P833" s="0" t="n">
        <f aca="false">F833*F833</f>
        <v>0.25</v>
      </c>
      <c r="Q833" s="0" t="n">
        <f aca="false">SUMPRODUCT(G833:P833,_XtX!$B$71:$K$71)</f>
        <v>45.3662215909091</v>
      </c>
      <c r="R833" s="0" t="n">
        <f aca="false">SUMPRODUCT(MMULT(G833:P833,_XtX!$B$58:$K$67),G833:P833)</f>
        <v>0.295232599431818</v>
      </c>
      <c r="S833" s="0" t="n">
        <f aca="false">04_回帰ANOVA!$K$19*04_回帰ANOVA!$K$14*SQRT(1+R833)</f>
        <v>1.05813363442154</v>
      </c>
      <c r="T833" s="0" t="n">
        <f aca="false">Q833-S833</f>
        <v>44.3080879564876</v>
      </c>
      <c r="U833" s="0" t="n">
        <f aca="false">Q833+S833</f>
        <v>46.4243552253306</v>
      </c>
      <c r="V833" s="54" t="b">
        <f aca="false">AND(D833&gt;=01_因子設定!$L$5-0.000000001,D833&lt;=01_因子設定!$M$5+0.000000001,E833&gt;=01_因子設定!$L$6-0.000000001,E833&lt;=01_因子設定!$M$6+0.000000001,F833&gt;=01_因子設定!$L$7-0.000000001,F833&lt;=01_因子設定!$M$7+0.000000001,IF(01_因子設定!$B$20="Box-Behnken",D833^2+E833^2+F833^2&lt;=2+0.000000001,TRUE()))</f>
        <v>1</v>
      </c>
      <c r="W833" s="55" t="n">
        <f aca="false">IF(V833,IF(01_因子設定!$B$13="最大化",T833-01_因子設定!$B$14,IF(01_因子設定!$B$13="最小化",01_因子設定!$B$15-U833,MIN(T833-01_因子設定!$B$14,01_因子設定!$B$15-U833))),-1E+030)</f>
        <v>-4.19191204351245</v>
      </c>
      <c r="X833" s="55" t="n">
        <f aca="false">IF(V833,IF(01_因子設定!$B$13="最大化",Q833,IF(01_因子設定!$B$13="最小化",-Q833,-ABS(Q833-01_因子設定!$B$16))),-1E+030)</f>
        <v>45.3662215909091</v>
      </c>
      <c r="Y833" s="55" t="n">
        <f aca="false">W833+ROW()*0.000000001</f>
        <v>-4.19191121051245</v>
      </c>
      <c r="Z833" s="55" t="n">
        <f aca="false">X833+ROW()*0.000000001</f>
        <v>45.3662224239091</v>
      </c>
    </row>
    <row r="834" customFormat="false" ht="15" hidden="false" customHeight="false" outlineLevel="0" collapsed="false">
      <c r="A834" s="0" t="n">
        <v>2</v>
      </c>
      <c r="B834" s="0" t="n">
        <v>14</v>
      </c>
      <c r="C834" s="0" t="n">
        <v>13</v>
      </c>
      <c r="D834" s="0" t="n">
        <f aca="false">-1+A834*0.125</f>
        <v>-0.75</v>
      </c>
      <c r="E834" s="0" t="n">
        <f aca="false">-1+B834*0.125</f>
        <v>0.75</v>
      </c>
      <c r="F834" s="0" t="n">
        <f aca="false">-1+C834*0.125</f>
        <v>0.625</v>
      </c>
      <c r="G834" s="0" t="n">
        <f aca="false">1</f>
        <v>1</v>
      </c>
      <c r="H834" s="0" t="n">
        <f aca="false">D834</f>
        <v>-0.75</v>
      </c>
      <c r="I834" s="0" t="n">
        <f aca="false">E834</f>
        <v>0.75</v>
      </c>
      <c r="J834" s="0" t="n">
        <f aca="false">F834</f>
        <v>0.625</v>
      </c>
      <c r="K834" s="0" t="n">
        <f aca="false">D834*E834</f>
        <v>-0.5625</v>
      </c>
      <c r="L834" s="0" t="n">
        <f aca="false">D834*F834</f>
        <v>-0.46875</v>
      </c>
      <c r="M834" s="0" t="n">
        <f aca="false">E834*F834</f>
        <v>0.46875</v>
      </c>
      <c r="N834" s="0" t="n">
        <f aca="false">D834*D834</f>
        <v>0.5625</v>
      </c>
      <c r="O834" s="0" t="n">
        <f aca="false">E834*E834</f>
        <v>0.5625</v>
      </c>
      <c r="P834" s="0" t="n">
        <f aca="false">F834*F834</f>
        <v>0.390625</v>
      </c>
      <c r="Q834" s="0" t="n">
        <f aca="false">SUMPRODUCT(G834:P834,_XtX!$B$71:$K$71)</f>
        <v>45.4294176136364</v>
      </c>
      <c r="R834" s="0" t="n">
        <f aca="false">SUMPRODUCT(MMULT(G834:P834,_XtX!$B$58:$K$67),G834:P834)</f>
        <v>0.305899325284091</v>
      </c>
      <c r="S834" s="0" t="n">
        <f aca="false">04_回帰ANOVA!$K$19*04_回帰ANOVA!$K$14*SQRT(1+R834)</f>
        <v>1.06248176416816</v>
      </c>
      <c r="T834" s="0" t="n">
        <f aca="false">Q834-S834</f>
        <v>44.3669358494682</v>
      </c>
      <c r="U834" s="0" t="n">
        <f aca="false">Q834+S834</f>
        <v>46.4918993778045</v>
      </c>
      <c r="V834" s="54" t="b">
        <f aca="false">AND(D834&gt;=01_因子設定!$L$5-0.000000001,D834&lt;=01_因子設定!$M$5+0.000000001,E834&gt;=01_因子設定!$L$6-0.000000001,E834&lt;=01_因子設定!$M$6+0.000000001,F834&gt;=01_因子設定!$L$7-0.000000001,F834&lt;=01_因子設定!$M$7+0.000000001,IF(01_因子設定!$B$20="Box-Behnken",D834^2+E834^2+F834^2&lt;=2+0.000000001,TRUE()))</f>
        <v>1</v>
      </c>
      <c r="W834" s="55" t="n">
        <f aca="false">IF(V834,IF(01_因子設定!$B$13="最大化",T834-01_因子設定!$B$14,IF(01_因子設定!$B$13="最小化",01_因子設定!$B$15-U834,MIN(T834-01_因子設定!$B$14,01_因子設定!$B$15-U834))),-1E+030)</f>
        <v>-4.13306415053179</v>
      </c>
      <c r="X834" s="55" t="n">
        <f aca="false">IF(V834,IF(01_因子設定!$B$13="最大化",Q834,IF(01_因子設定!$B$13="最小化",-Q834,-ABS(Q834-01_因子設定!$B$16))),-1E+030)</f>
        <v>45.4294176136364</v>
      </c>
      <c r="Y834" s="55" t="n">
        <f aca="false">W834+ROW()*0.000000001</f>
        <v>-4.13306331653179</v>
      </c>
      <c r="Z834" s="55" t="n">
        <f aca="false">X834+ROW()*0.000000001</f>
        <v>45.4294184476364</v>
      </c>
    </row>
    <row r="835" customFormat="false" ht="15" hidden="false" customHeight="false" outlineLevel="0" collapsed="false">
      <c r="A835" s="0" t="n">
        <v>2</v>
      </c>
      <c r="B835" s="0" t="n">
        <v>14</v>
      </c>
      <c r="C835" s="0" t="n">
        <v>14</v>
      </c>
      <c r="D835" s="0" t="n">
        <f aca="false">-1+A835*0.125</f>
        <v>-0.75</v>
      </c>
      <c r="E835" s="0" t="n">
        <f aca="false">-1+B835*0.125</f>
        <v>0.75</v>
      </c>
      <c r="F835" s="0" t="n">
        <f aca="false">-1+C835*0.125</f>
        <v>0.75</v>
      </c>
      <c r="G835" s="0" t="n">
        <f aca="false">1</f>
        <v>1</v>
      </c>
      <c r="H835" s="0" t="n">
        <f aca="false">D835</f>
        <v>-0.75</v>
      </c>
      <c r="I835" s="0" t="n">
        <f aca="false">E835</f>
        <v>0.75</v>
      </c>
      <c r="J835" s="0" t="n">
        <f aca="false">F835</f>
        <v>0.75</v>
      </c>
      <c r="K835" s="0" t="n">
        <f aca="false">D835*E835</f>
        <v>-0.5625</v>
      </c>
      <c r="L835" s="0" t="n">
        <f aca="false">D835*F835</f>
        <v>-0.5625</v>
      </c>
      <c r="M835" s="0" t="n">
        <f aca="false">E835*F835</f>
        <v>0.5625</v>
      </c>
      <c r="N835" s="0" t="n">
        <f aca="false">D835*D835</f>
        <v>0.5625</v>
      </c>
      <c r="O835" s="0" t="n">
        <f aca="false">E835*E835</f>
        <v>0.5625</v>
      </c>
      <c r="P835" s="0" t="n">
        <f aca="false">F835*F835</f>
        <v>0.5625</v>
      </c>
      <c r="Q835" s="0" t="n">
        <f aca="false">SUMPRODUCT(G835:P835,_XtX!$B$71:$K$71)</f>
        <v>45.4558238636364</v>
      </c>
      <c r="R835" s="0" t="n">
        <f aca="false">SUMPRODUCT(MMULT(G835:P835,_XtX!$B$58:$K$67),G835:P835)</f>
        <v>0.338467684659091</v>
      </c>
      <c r="S835" s="0" t="n">
        <f aca="false">04_回帰ANOVA!$K$19*04_回帰ANOVA!$K$14*SQRT(1+R835)</f>
        <v>1.07564900835648</v>
      </c>
      <c r="T835" s="0" t="n">
        <f aca="false">Q835-S835</f>
        <v>44.3801748552799</v>
      </c>
      <c r="U835" s="0" t="n">
        <f aca="false">Q835+S835</f>
        <v>46.5314728719929</v>
      </c>
      <c r="V835" s="54" t="b">
        <f aca="false">AND(D835&gt;=01_因子設定!$L$5-0.000000001,D835&lt;=01_因子設定!$M$5+0.000000001,E835&gt;=01_因子設定!$L$6-0.000000001,E835&lt;=01_因子設定!$M$6+0.000000001,F835&gt;=01_因子設定!$L$7-0.000000001,F835&lt;=01_因子設定!$M$7+0.000000001,IF(01_因子設定!$B$20="Box-Behnken",D835^2+E835^2+F835^2&lt;=2+0.000000001,TRUE()))</f>
        <v>1</v>
      </c>
      <c r="W835" s="55" t="n">
        <f aca="false">IF(V835,IF(01_因子設定!$B$13="最大化",T835-01_因子設定!$B$14,IF(01_因子設定!$B$13="最小化",01_因子設定!$B$15-U835,MIN(T835-01_因子設定!$B$14,01_因子設定!$B$15-U835))),-1E+030)</f>
        <v>-4.1198251447201</v>
      </c>
      <c r="X835" s="55" t="n">
        <f aca="false">IF(V835,IF(01_因子設定!$B$13="最大化",Q835,IF(01_因子設定!$B$13="最小化",-Q835,-ABS(Q835-01_因子設定!$B$16))),-1E+030)</f>
        <v>45.4558238636364</v>
      </c>
      <c r="Y835" s="55" t="n">
        <f aca="false">W835+ROW()*0.000000001</f>
        <v>-4.1198243097201</v>
      </c>
      <c r="Z835" s="55" t="n">
        <f aca="false">X835+ROW()*0.000000001</f>
        <v>45.4558246986364</v>
      </c>
    </row>
    <row r="836" customFormat="false" ht="15" hidden="false" customHeight="false" outlineLevel="0" collapsed="false">
      <c r="A836" s="0" t="n">
        <v>2</v>
      </c>
      <c r="B836" s="0" t="n">
        <v>14</v>
      </c>
      <c r="C836" s="0" t="n">
        <v>15</v>
      </c>
      <c r="D836" s="0" t="n">
        <f aca="false">-1+A836*0.125</f>
        <v>-0.75</v>
      </c>
      <c r="E836" s="0" t="n">
        <f aca="false">-1+B836*0.125</f>
        <v>0.75</v>
      </c>
      <c r="F836" s="0" t="n">
        <f aca="false">-1+C836*0.125</f>
        <v>0.875</v>
      </c>
      <c r="G836" s="0" t="n">
        <f aca="false">1</f>
        <v>1</v>
      </c>
      <c r="H836" s="0" t="n">
        <f aca="false">D836</f>
        <v>-0.75</v>
      </c>
      <c r="I836" s="0" t="n">
        <f aca="false">E836</f>
        <v>0.75</v>
      </c>
      <c r="J836" s="0" t="n">
        <f aca="false">F836</f>
        <v>0.875</v>
      </c>
      <c r="K836" s="0" t="n">
        <f aca="false">D836*E836</f>
        <v>-0.5625</v>
      </c>
      <c r="L836" s="0" t="n">
        <f aca="false">D836*F836</f>
        <v>-0.65625</v>
      </c>
      <c r="M836" s="0" t="n">
        <f aca="false">E836*F836</f>
        <v>0.65625</v>
      </c>
      <c r="N836" s="0" t="n">
        <f aca="false">D836*D836</f>
        <v>0.5625</v>
      </c>
      <c r="O836" s="0" t="n">
        <f aca="false">E836*E836</f>
        <v>0.5625</v>
      </c>
      <c r="P836" s="0" t="n">
        <f aca="false">F836*F836</f>
        <v>0.765625</v>
      </c>
      <c r="Q836" s="0" t="n">
        <f aca="false">SUMPRODUCT(G836:P836,_XtX!$B$71:$K$71)</f>
        <v>45.4454403409091</v>
      </c>
      <c r="R836" s="0" t="n">
        <f aca="false">SUMPRODUCT(MMULT(G836:P836,_XtX!$B$58:$K$67),G836:P836)</f>
        <v>0.404656427556818</v>
      </c>
      <c r="S836" s="0" t="n">
        <f aca="false">04_回帰ANOVA!$K$19*04_回帰ANOVA!$K$14*SQRT(1+R836)</f>
        <v>1.10192412515358</v>
      </c>
      <c r="T836" s="0" t="n">
        <f aca="false">Q836-S836</f>
        <v>44.3435162157555</v>
      </c>
      <c r="U836" s="0" t="n">
        <f aca="false">Q836+S836</f>
        <v>46.5473644660627</v>
      </c>
      <c r="V836" s="54" t="b">
        <f aca="false">AND(D836&gt;=01_因子設定!$L$5-0.000000001,D836&lt;=01_因子設定!$M$5+0.000000001,E836&gt;=01_因子設定!$L$6-0.000000001,E836&lt;=01_因子設定!$M$6+0.000000001,F836&gt;=01_因子設定!$L$7-0.000000001,F836&lt;=01_因子設定!$M$7+0.000000001,IF(01_因子設定!$B$20="Box-Behnken",D836^2+E836^2+F836^2&lt;=2+0.000000001,TRUE()))</f>
        <v>1</v>
      </c>
      <c r="W836" s="55" t="n">
        <f aca="false">IF(V836,IF(01_因子設定!$B$13="最大化",T836-01_因子設定!$B$14,IF(01_因子設定!$B$13="最小化",01_因子設定!$B$15-U836,MIN(T836-01_因子設定!$B$14,01_因子設定!$B$15-U836))),-1E+030)</f>
        <v>-4.15648378424448</v>
      </c>
      <c r="X836" s="55" t="n">
        <f aca="false">IF(V836,IF(01_因子設定!$B$13="最大化",Q836,IF(01_因子設定!$B$13="最小化",-Q836,-ABS(Q836-01_因子設定!$B$16))),-1E+030)</f>
        <v>45.4454403409091</v>
      </c>
      <c r="Y836" s="55" t="n">
        <f aca="false">W836+ROW()*0.000000001</f>
        <v>-4.15648294824448</v>
      </c>
      <c r="Z836" s="55" t="n">
        <f aca="false">X836+ROW()*0.000000001</f>
        <v>45.4454411769091</v>
      </c>
    </row>
    <row r="837" customFormat="false" ht="15" hidden="false" customHeight="false" outlineLevel="0" collapsed="false">
      <c r="A837" s="0" t="n">
        <v>2</v>
      </c>
      <c r="B837" s="0" t="n">
        <v>14</v>
      </c>
      <c r="C837" s="0" t="n">
        <v>16</v>
      </c>
      <c r="D837" s="0" t="n">
        <f aca="false">-1+A837*0.125</f>
        <v>-0.75</v>
      </c>
      <c r="E837" s="0" t="n">
        <f aca="false">-1+B837*0.125</f>
        <v>0.75</v>
      </c>
      <c r="F837" s="0" t="n">
        <f aca="false">-1+C837*0.125</f>
        <v>1</v>
      </c>
      <c r="G837" s="0" t="n">
        <f aca="false">1</f>
        <v>1</v>
      </c>
      <c r="H837" s="0" t="n">
        <f aca="false">D837</f>
        <v>-0.75</v>
      </c>
      <c r="I837" s="0" t="n">
        <f aca="false">E837</f>
        <v>0.75</v>
      </c>
      <c r="J837" s="0" t="n">
        <f aca="false">F837</f>
        <v>1</v>
      </c>
      <c r="K837" s="0" t="n">
        <f aca="false">D837*E837</f>
        <v>-0.5625</v>
      </c>
      <c r="L837" s="0" t="n">
        <f aca="false">D837*F837</f>
        <v>-0.75</v>
      </c>
      <c r="M837" s="0" t="n">
        <f aca="false">E837*F837</f>
        <v>0.75</v>
      </c>
      <c r="N837" s="0" t="n">
        <f aca="false">D837*D837</f>
        <v>0.5625</v>
      </c>
      <c r="O837" s="0" t="n">
        <f aca="false">E837*E837</f>
        <v>0.5625</v>
      </c>
      <c r="P837" s="0" t="n">
        <f aca="false">F837*F837</f>
        <v>1</v>
      </c>
      <c r="Q837" s="0" t="n">
        <f aca="false">SUMPRODUCT(G837:P837,_XtX!$B$71:$K$71)</f>
        <v>45.3982670454546</v>
      </c>
      <c r="R837" s="0" t="n">
        <f aca="false">SUMPRODUCT(MMULT(G837:P837,_XtX!$B$58:$K$67),G837:P837)</f>
        <v>0.518314985795455</v>
      </c>
      <c r="S837" s="0" t="n">
        <f aca="false">04_回帰ANOVA!$K$19*04_回帰ANOVA!$K$14*SQRT(1+R837)</f>
        <v>1.14563843495971</v>
      </c>
      <c r="T837" s="0" t="n">
        <f aca="false">Q837-S837</f>
        <v>44.2526286104949</v>
      </c>
      <c r="U837" s="0" t="n">
        <f aca="false">Q837+S837</f>
        <v>46.5439054804143</v>
      </c>
      <c r="V837" s="54" t="b">
        <f aca="false">AND(D837&gt;=01_因子設定!$L$5-0.000000001,D837&lt;=01_因子設定!$M$5+0.000000001,E837&gt;=01_因子設定!$L$6-0.000000001,E837&lt;=01_因子設定!$M$6+0.000000001,F837&gt;=01_因子設定!$L$7-0.000000001,F837&lt;=01_因子設定!$M$7+0.000000001,IF(01_因子設定!$B$20="Box-Behnken",D837^2+E837^2+F837^2&lt;=2+0.000000001,TRUE()))</f>
        <v>1</v>
      </c>
      <c r="W837" s="55" t="n">
        <f aca="false">IF(V837,IF(01_因子設定!$B$13="最大化",T837-01_因子設定!$B$14,IF(01_因子設定!$B$13="最小化",01_因子設定!$B$15-U837,MIN(T837-01_因子設定!$B$14,01_因子設定!$B$15-U837))),-1E+030)</f>
        <v>-4.24737138950515</v>
      </c>
      <c r="X837" s="55" t="n">
        <f aca="false">IF(V837,IF(01_因子設定!$B$13="最大化",Q837,IF(01_因子設定!$B$13="最小化",-Q837,-ABS(Q837-01_因子設定!$B$16))),-1E+030)</f>
        <v>45.3982670454546</v>
      </c>
      <c r="Y837" s="55" t="n">
        <f aca="false">W837+ROW()*0.000000001</f>
        <v>-4.24737055250515</v>
      </c>
      <c r="Z837" s="55" t="n">
        <f aca="false">X837+ROW()*0.000000001</f>
        <v>45.3982678824546</v>
      </c>
    </row>
    <row r="838" customFormat="false" ht="15" hidden="false" customHeight="false" outlineLevel="0" collapsed="false">
      <c r="A838" s="0" t="n">
        <v>2</v>
      </c>
      <c r="B838" s="0" t="n">
        <v>15</v>
      </c>
      <c r="C838" s="0" t="n">
        <v>0</v>
      </c>
      <c r="D838" s="0" t="n">
        <f aca="false">-1+A838*0.125</f>
        <v>-0.75</v>
      </c>
      <c r="E838" s="0" t="n">
        <f aca="false">-1+B838*0.125</f>
        <v>0.875</v>
      </c>
      <c r="F838" s="0" t="n">
        <f aca="false">-1+C838*0.125</f>
        <v>-1</v>
      </c>
      <c r="G838" s="0" t="n">
        <f aca="false">1</f>
        <v>1</v>
      </c>
      <c r="H838" s="0" t="n">
        <f aca="false">D838</f>
        <v>-0.75</v>
      </c>
      <c r="I838" s="0" t="n">
        <f aca="false">E838</f>
        <v>0.875</v>
      </c>
      <c r="J838" s="0" t="n">
        <f aca="false">F838</f>
        <v>-1</v>
      </c>
      <c r="K838" s="0" t="n">
        <f aca="false">D838*E838</f>
        <v>-0.65625</v>
      </c>
      <c r="L838" s="0" t="n">
        <f aca="false">D838*F838</f>
        <v>0.75</v>
      </c>
      <c r="M838" s="0" t="n">
        <f aca="false">E838*F838</f>
        <v>-0.875</v>
      </c>
      <c r="N838" s="0" t="n">
        <f aca="false">D838*D838</f>
        <v>0.5625</v>
      </c>
      <c r="O838" s="0" t="n">
        <f aca="false">E838*E838</f>
        <v>0.765625</v>
      </c>
      <c r="P838" s="0" t="n">
        <f aca="false">F838*F838</f>
        <v>1</v>
      </c>
      <c r="Q838" s="0" t="n">
        <f aca="false">SUMPRODUCT(G838:P838,_XtX!$B$71:$K$71)</f>
        <v>41.4141335227273</v>
      </c>
      <c r="R838" s="0" t="n">
        <f aca="false">SUMPRODUCT(MMULT(G838:P838,_XtX!$B$58:$K$67),G838:P838)</f>
        <v>0.571375621448864</v>
      </c>
      <c r="S838" s="0" t="n">
        <f aca="false">04_回帰ANOVA!$K$19*04_回帰ANOVA!$K$14*SQRT(1+R838)</f>
        <v>1.16548487437682</v>
      </c>
      <c r="T838" s="0" t="n">
        <f aca="false">Q838-S838</f>
        <v>40.2486486483505</v>
      </c>
      <c r="U838" s="0" t="n">
        <f aca="false">Q838+S838</f>
        <v>42.5796183971041</v>
      </c>
      <c r="V838" s="54" t="b">
        <f aca="false">AND(D838&gt;=01_因子設定!$L$5-0.000000001,D838&lt;=01_因子設定!$M$5+0.000000001,E838&gt;=01_因子設定!$L$6-0.000000001,E838&lt;=01_因子設定!$M$6+0.000000001,F838&gt;=01_因子設定!$L$7-0.000000001,F838&lt;=01_因子設定!$M$7+0.000000001,IF(01_因子設定!$B$20="Box-Behnken",D838^2+E838^2+F838^2&lt;=2+0.000000001,TRUE()))</f>
        <v>1</v>
      </c>
      <c r="W838" s="55" t="n">
        <f aca="false">IF(V838,IF(01_因子設定!$B$13="最大化",T838-01_因子設定!$B$14,IF(01_因子設定!$B$13="最小化",01_因子設定!$B$15-U838,MIN(T838-01_因子設定!$B$14,01_因子設定!$B$15-U838))),-1E+030)</f>
        <v>-8.25135135164953</v>
      </c>
      <c r="X838" s="55" t="n">
        <f aca="false">IF(V838,IF(01_因子設定!$B$13="最大化",Q838,IF(01_因子設定!$B$13="最小化",-Q838,-ABS(Q838-01_因子設定!$B$16))),-1E+030)</f>
        <v>41.4141335227273</v>
      </c>
      <c r="Y838" s="55" t="n">
        <f aca="false">W838+ROW()*0.000000001</f>
        <v>-8.25135051364953</v>
      </c>
      <c r="Z838" s="55" t="n">
        <f aca="false">X838+ROW()*0.000000001</f>
        <v>41.4141343607273</v>
      </c>
    </row>
    <row r="839" customFormat="false" ht="15" hidden="false" customHeight="false" outlineLevel="0" collapsed="false">
      <c r="A839" s="0" t="n">
        <v>2</v>
      </c>
      <c r="B839" s="0" t="n">
        <v>15</v>
      </c>
      <c r="C839" s="0" t="n">
        <v>1</v>
      </c>
      <c r="D839" s="0" t="n">
        <f aca="false">-1+A839*0.125</f>
        <v>-0.75</v>
      </c>
      <c r="E839" s="0" t="n">
        <f aca="false">-1+B839*0.125</f>
        <v>0.875</v>
      </c>
      <c r="F839" s="0" t="n">
        <f aca="false">-1+C839*0.125</f>
        <v>-0.875</v>
      </c>
      <c r="G839" s="0" t="n">
        <f aca="false">1</f>
        <v>1</v>
      </c>
      <c r="H839" s="0" t="n">
        <f aca="false">D839</f>
        <v>-0.75</v>
      </c>
      <c r="I839" s="0" t="n">
        <f aca="false">E839</f>
        <v>0.875</v>
      </c>
      <c r="J839" s="0" t="n">
        <f aca="false">F839</f>
        <v>-0.875</v>
      </c>
      <c r="K839" s="0" t="n">
        <f aca="false">D839*E839</f>
        <v>-0.65625</v>
      </c>
      <c r="L839" s="0" t="n">
        <f aca="false">D839*F839</f>
        <v>0.65625</v>
      </c>
      <c r="M839" s="0" t="n">
        <f aca="false">E839*F839</f>
        <v>-0.765625</v>
      </c>
      <c r="N839" s="0" t="n">
        <f aca="false">D839*D839</f>
        <v>0.5625</v>
      </c>
      <c r="O839" s="0" t="n">
        <f aca="false">E839*E839</f>
        <v>0.765625</v>
      </c>
      <c r="P839" s="0" t="n">
        <f aca="false">F839*F839</f>
        <v>0.765625</v>
      </c>
      <c r="Q839" s="0" t="n">
        <f aca="false">SUMPRODUCT(G839:P839,_XtX!$B$71:$K$71)</f>
        <v>41.9258380681818</v>
      </c>
      <c r="R839" s="0" t="n">
        <f aca="false">SUMPRODUCT(MMULT(G839:P839,_XtX!$B$58:$K$67),G839:P839)</f>
        <v>0.464749977805398</v>
      </c>
      <c r="S839" s="0" t="n">
        <f aca="false">04_回帰ANOVA!$K$19*04_回帰ANOVA!$K$14*SQRT(1+R839)</f>
        <v>1.12524835342194</v>
      </c>
      <c r="T839" s="0" t="n">
        <f aca="false">Q839-S839</f>
        <v>40.8005897147599</v>
      </c>
      <c r="U839" s="0" t="n">
        <f aca="false">Q839+S839</f>
        <v>43.0510864216038</v>
      </c>
      <c r="V839" s="54" t="b">
        <f aca="false">AND(D839&gt;=01_因子設定!$L$5-0.000000001,D839&lt;=01_因子設定!$M$5+0.000000001,E839&gt;=01_因子設定!$L$6-0.000000001,E839&lt;=01_因子設定!$M$6+0.000000001,F839&gt;=01_因子設定!$L$7-0.000000001,F839&lt;=01_因子設定!$M$7+0.000000001,IF(01_因子設定!$B$20="Box-Behnken",D839^2+E839^2+F839^2&lt;=2+0.000000001,TRUE()))</f>
        <v>1</v>
      </c>
      <c r="W839" s="55" t="n">
        <f aca="false">IF(V839,IF(01_因子設定!$B$13="最大化",T839-01_因子設定!$B$14,IF(01_因子設定!$B$13="最小化",01_因子設定!$B$15-U839,MIN(T839-01_因子設定!$B$14,01_因子設定!$B$15-U839))),-1E+030)</f>
        <v>-7.69941028524011</v>
      </c>
      <c r="X839" s="55" t="n">
        <f aca="false">IF(V839,IF(01_因子設定!$B$13="最大化",Q839,IF(01_因子設定!$B$13="最小化",-Q839,-ABS(Q839-01_因子設定!$B$16))),-1E+030)</f>
        <v>41.9258380681818</v>
      </c>
      <c r="Y839" s="55" t="n">
        <f aca="false">W839+ROW()*0.000000001</f>
        <v>-7.69940944624011</v>
      </c>
      <c r="Z839" s="55" t="n">
        <f aca="false">X839+ROW()*0.000000001</f>
        <v>41.9258389071818</v>
      </c>
    </row>
    <row r="840" customFormat="false" ht="15" hidden="false" customHeight="false" outlineLevel="0" collapsed="false">
      <c r="A840" s="0" t="n">
        <v>2</v>
      </c>
      <c r="B840" s="0" t="n">
        <v>15</v>
      </c>
      <c r="C840" s="0" t="n">
        <v>2</v>
      </c>
      <c r="D840" s="0" t="n">
        <f aca="false">-1+A840*0.125</f>
        <v>-0.75</v>
      </c>
      <c r="E840" s="0" t="n">
        <f aca="false">-1+B840*0.125</f>
        <v>0.875</v>
      </c>
      <c r="F840" s="0" t="n">
        <f aca="false">-1+C840*0.125</f>
        <v>-0.75</v>
      </c>
      <c r="G840" s="0" t="n">
        <f aca="false">1</f>
        <v>1</v>
      </c>
      <c r="H840" s="0" t="n">
        <f aca="false">D840</f>
        <v>-0.75</v>
      </c>
      <c r="I840" s="0" t="n">
        <f aca="false">E840</f>
        <v>0.875</v>
      </c>
      <c r="J840" s="0" t="n">
        <f aca="false">F840</f>
        <v>-0.75</v>
      </c>
      <c r="K840" s="0" t="n">
        <f aca="false">D840*E840</f>
        <v>-0.65625</v>
      </c>
      <c r="L840" s="0" t="n">
        <f aca="false">D840*F840</f>
        <v>0.5625</v>
      </c>
      <c r="M840" s="0" t="n">
        <f aca="false">E840*F840</f>
        <v>-0.65625</v>
      </c>
      <c r="N840" s="0" t="n">
        <f aca="false">D840*D840</f>
        <v>0.5625</v>
      </c>
      <c r="O840" s="0" t="n">
        <f aca="false">E840*E840</f>
        <v>0.765625</v>
      </c>
      <c r="P840" s="0" t="n">
        <f aca="false">F840*F840</f>
        <v>0.5625</v>
      </c>
      <c r="Q840" s="0" t="n">
        <f aca="false">SUMPRODUCT(G840:P840,_XtX!$B$71:$K$71)</f>
        <v>42.4007528409091</v>
      </c>
      <c r="R840" s="0" t="n">
        <f aca="false">SUMPRODUCT(MMULT(G840:P840,_XtX!$B$58:$K$67),G840:P840)</f>
        <v>0.404656427556818</v>
      </c>
      <c r="S840" s="0" t="n">
        <f aca="false">04_回帰ANOVA!$K$19*04_回帰ANOVA!$K$14*SQRT(1+R840)</f>
        <v>1.10192412515358</v>
      </c>
      <c r="T840" s="0" t="n">
        <f aca="false">Q840-S840</f>
        <v>41.2988287157555</v>
      </c>
      <c r="U840" s="0" t="n">
        <f aca="false">Q840+S840</f>
        <v>43.5026769660627</v>
      </c>
      <c r="V840" s="54" t="b">
        <f aca="false">AND(D840&gt;=01_因子設定!$L$5-0.000000001,D840&lt;=01_因子設定!$M$5+0.000000001,E840&gt;=01_因子設定!$L$6-0.000000001,E840&lt;=01_因子設定!$M$6+0.000000001,F840&gt;=01_因子設定!$L$7-0.000000001,F840&lt;=01_因子設定!$M$7+0.000000001,IF(01_因子設定!$B$20="Box-Behnken",D840^2+E840^2+F840^2&lt;=2+0.000000001,TRUE()))</f>
        <v>1</v>
      </c>
      <c r="W840" s="55" t="n">
        <f aca="false">IF(V840,IF(01_因子設定!$B$13="最大化",T840-01_因子設定!$B$14,IF(01_因子設定!$B$13="最小化",01_因子設定!$B$15-U840,MIN(T840-01_因子設定!$B$14,01_因子設定!$B$15-U840))),-1E+030)</f>
        <v>-7.20117128424448</v>
      </c>
      <c r="X840" s="55" t="n">
        <f aca="false">IF(V840,IF(01_因子設定!$B$13="最大化",Q840,IF(01_因子設定!$B$13="最小化",-Q840,-ABS(Q840-01_因子設定!$B$16))),-1E+030)</f>
        <v>42.4007528409091</v>
      </c>
      <c r="Y840" s="55" t="n">
        <f aca="false">W840+ROW()*0.000000001</f>
        <v>-7.20117044424448</v>
      </c>
      <c r="Z840" s="55" t="n">
        <f aca="false">X840+ROW()*0.000000001</f>
        <v>42.4007536809091</v>
      </c>
    </row>
    <row r="841" customFormat="false" ht="15" hidden="false" customHeight="false" outlineLevel="0" collapsed="false">
      <c r="A841" s="0" t="n">
        <v>2</v>
      </c>
      <c r="B841" s="0" t="n">
        <v>15</v>
      </c>
      <c r="C841" s="0" t="n">
        <v>3</v>
      </c>
      <c r="D841" s="0" t="n">
        <f aca="false">-1+A841*0.125</f>
        <v>-0.75</v>
      </c>
      <c r="E841" s="0" t="n">
        <f aca="false">-1+B841*0.125</f>
        <v>0.875</v>
      </c>
      <c r="F841" s="0" t="n">
        <f aca="false">-1+C841*0.125</f>
        <v>-0.625</v>
      </c>
      <c r="G841" s="0" t="n">
        <f aca="false">1</f>
        <v>1</v>
      </c>
      <c r="H841" s="0" t="n">
        <f aca="false">D841</f>
        <v>-0.75</v>
      </c>
      <c r="I841" s="0" t="n">
        <f aca="false">E841</f>
        <v>0.875</v>
      </c>
      <c r="J841" s="0" t="n">
        <f aca="false">F841</f>
        <v>-0.625</v>
      </c>
      <c r="K841" s="0" t="n">
        <f aca="false">D841*E841</f>
        <v>-0.65625</v>
      </c>
      <c r="L841" s="0" t="n">
        <f aca="false">D841*F841</f>
        <v>0.46875</v>
      </c>
      <c r="M841" s="0" t="n">
        <f aca="false">E841*F841</f>
        <v>-0.546875</v>
      </c>
      <c r="N841" s="0" t="n">
        <f aca="false">D841*D841</f>
        <v>0.5625</v>
      </c>
      <c r="O841" s="0" t="n">
        <f aca="false">E841*E841</f>
        <v>0.765625</v>
      </c>
      <c r="P841" s="0" t="n">
        <f aca="false">F841*F841</f>
        <v>0.390625</v>
      </c>
      <c r="Q841" s="0" t="n">
        <f aca="false">SUMPRODUCT(G841:P841,_XtX!$B$71:$K$71)</f>
        <v>42.8388778409091</v>
      </c>
      <c r="R841" s="0" t="n">
        <f aca="false">SUMPRODUCT(MMULT(G841:P841,_XtX!$B$58:$K$67),G841:P841)</f>
        <v>0.377245538884943</v>
      </c>
      <c r="S841" s="0" t="n">
        <f aca="false">04_回帰ANOVA!$K$19*04_回帰ANOVA!$K$14*SQRT(1+R841)</f>
        <v>1.09111951468927</v>
      </c>
      <c r="T841" s="0" t="n">
        <f aca="false">Q841-S841</f>
        <v>41.7477583262198</v>
      </c>
      <c r="U841" s="0" t="n">
        <f aca="false">Q841+S841</f>
        <v>43.9299973555984</v>
      </c>
      <c r="V841" s="54" t="b">
        <f aca="false">AND(D841&gt;=01_因子設定!$L$5-0.000000001,D841&lt;=01_因子設定!$M$5+0.000000001,E841&gt;=01_因子設定!$L$6-0.000000001,E841&lt;=01_因子設定!$M$6+0.000000001,F841&gt;=01_因子設定!$L$7-0.000000001,F841&lt;=01_因子設定!$M$7+0.000000001,IF(01_因子設定!$B$20="Box-Behnken",D841^2+E841^2+F841^2&lt;=2+0.000000001,TRUE()))</f>
        <v>1</v>
      </c>
      <c r="W841" s="55" t="n">
        <f aca="false">IF(V841,IF(01_因子設定!$B$13="最大化",T841-01_因子設定!$B$14,IF(01_因子設定!$B$13="最小化",01_因子設定!$B$15-U841,MIN(T841-01_因子設定!$B$14,01_因子設定!$B$15-U841))),-1E+030)</f>
        <v>-6.75224167378018</v>
      </c>
      <c r="X841" s="55" t="n">
        <f aca="false">IF(V841,IF(01_因子設定!$B$13="最大化",Q841,IF(01_因子設定!$B$13="最小化",-Q841,-ABS(Q841-01_因子設定!$B$16))),-1E+030)</f>
        <v>42.8388778409091</v>
      </c>
      <c r="Y841" s="55" t="n">
        <f aca="false">W841+ROW()*0.000000001</f>
        <v>-6.75224083278018</v>
      </c>
      <c r="Z841" s="55" t="n">
        <f aca="false">X841+ROW()*0.000000001</f>
        <v>42.8388786819091</v>
      </c>
    </row>
    <row r="842" customFormat="false" ht="15" hidden="false" customHeight="false" outlineLevel="0" collapsed="false">
      <c r="A842" s="0" t="n">
        <v>2</v>
      </c>
      <c r="B842" s="0" t="n">
        <v>15</v>
      </c>
      <c r="C842" s="0" t="n">
        <v>4</v>
      </c>
      <c r="D842" s="0" t="n">
        <f aca="false">-1+A842*0.125</f>
        <v>-0.75</v>
      </c>
      <c r="E842" s="0" t="n">
        <f aca="false">-1+B842*0.125</f>
        <v>0.875</v>
      </c>
      <c r="F842" s="0" t="n">
        <f aca="false">-1+C842*0.125</f>
        <v>-0.5</v>
      </c>
      <c r="G842" s="0" t="n">
        <f aca="false">1</f>
        <v>1</v>
      </c>
      <c r="H842" s="0" t="n">
        <f aca="false">D842</f>
        <v>-0.75</v>
      </c>
      <c r="I842" s="0" t="n">
        <f aca="false">E842</f>
        <v>0.875</v>
      </c>
      <c r="J842" s="0" t="n">
        <f aca="false">F842</f>
        <v>-0.5</v>
      </c>
      <c r="K842" s="0" t="n">
        <f aca="false">D842*E842</f>
        <v>-0.65625</v>
      </c>
      <c r="L842" s="0" t="n">
        <f aca="false">D842*F842</f>
        <v>0.375</v>
      </c>
      <c r="M842" s="0" t="n">
        <f aca="false">E842*F842</f>
        <v>-0.4375</v>
      </c>
      <c r="N842" s="0" t="n">
        <f aca="false">D842*D842</f>
        <v>0.5625</v>
      </c>
      <c r="O842" s="0" t="n">
        <f aca="false">E842*E842</f>
        <v>0.765625</v>
      </c>
      <c r="P842" s="0" t="n">
        <f aca="false">F842*F842</f>
        <v>0.25</v>
      </c>
      <c r="Q842" s="0" t="n">
        <f aca="false">SUMPRODUCT(G842:P842,_XtX!$B$71:$K$71)</f>
        <v>43.2402130681818</v>
      </c>
      <c r="R842" s="0" t="n">
        <f aca="false">SUMPRODUCT(MMULT(G842:P842,_XtX!$B$58:$K$67),G842:P842)</f>
        <v>0.370798561789773</v>
      </c>
      <c r="S842" s="0" t="n">
        <f aca="false">04_回帰ANOVA!$K$19*04_回帰ANOVA!$K$14*SQRT(1+R842)</f>
        <v>1.08856271788237</v>
      </c>
      <c r="T842" s="0" t="n">
        <f aca="false">Q842-S842</f>
        <v>42.1516503502995</v>
      </c>
      <c r="U842" s="0" t="n">
        <f aca="false">Q842+S842</f>
        <v>44.3287757860642</v>
      </c>
      <c r="V842" s="54" t="b">
        <f aca="false">AND(D842&gt;=01_因子設定!$L$5-0.000000001,D842&lt;=01_因子設定!$M$5+0.000000001,E842&gt;=01_因子設定!$L$6-0.000000001,E842&lt;=01_因子設定!$M$6+0.000000001,F842&gt;=01_因子設定!$L$7-0.000000001,F842&lt;=01_因子設定!$M$7+0.000000001,IF(01_因子設定!$B$20="Box-Behnken",D842^2+E842^2+F842^2&lt;=2+0.000000001,TRUE()))</f>
        <v>1</v>
      </c>
      <c r="W842" s="55" t="n">
        <f aca="false">IF(V842,IF(01_因子設定!$B$13="最大化",T842-01_因子設定!$B$14,IF(01_因子設定!$B$13="最小化",01_因子設定!$B$15-U842,MIN(T842-01_因子設定!$B$14,01_因子設定!$B$15-U842))),-1E+030)</f>
        <v>-6.34834964970055</v>
      </c>
      <c r="X842" s="55" t="n">
        <f aca="false">IF(V842,IF(01_因子設定!$B$13="最大化",Q842,IF(01_因子設定!$B$13="最小化",-Q842,-ABS(Q842-01_因子設定!$B$16))),-1E+030)</f>
        <v>43.2402130681818</v>
      </c>
      <c r="Y842" s="55" t="n">
        <f aca="false">W842+ROW()*0.000000001</f>
        <v>-6.34834880770055</v>
      </c>
      <c r="Z842" s="55" t="n">
        <f aca="false">X842+ROW()*0.000000001</f>
        <v>43.2402139101818</v>
      </c>
    </row>
    <row r="843" customFormat="false" ht="15" hidden="false" customHeight="false" outlineLevel="0" collapsed="false">
      <c r="A843" s="0" t="n">
        <v>2</v>
      </c>
      <c r="B843" s="0" t="n">
        <v>15</v>
      </c>
      <c r="C843" s="0" t="n">
        <v>5</v>
      </c>
      <c r="D843" s="0" t="n">
        <f aca="false">-1+A843*0.125</f>
        <v>-0.75</v>
      </c>
      <c r="E843" s="0" t="n">
        <f aca="false">-1+B843*0.125</f>
        <v>0.875</v>
      </c>
      <c r="F843" s="0" t="n">
        <f aca="false">-1+C843*0.125</f>
        <v>-0.375</v>
      </c>
      <c r="G843" s="0" t="n">
        <f aca="false">1</f>
        <v>1</v>
      </c>
      <c r="H843" s="0" t="n">
        <f aca="false">D843</f>
        <v>-0.75</v>
      </c>
      <c r="I843" s="0" t="n">
        <f aca="false">E843</f>
        <v>0.875</v>
      </c>
      <c r="J843" s="0" t="n">
        <f aca="false">F843</f>
        <v>-0.375</v>
      </c>
      <c r="K843" s="0" t="n">
        <f aca="false">D843*E843</f>
        <v>-0.65625</v>
      </c>
      <c r="L843" s="0" t="n">
        <f aca="false">D843*F843</f>
        <v>0.28125</v>
      </c>
      <c r="M843" s="0" t="n">
        <f aca="false">E843*F843</f>
        <v>-0.328125</v>
      </c>
      <c r="N843" s="0" t="n">
        <f aca="false">D843*D843</f>
        <v>0.5625</v>
      </c>
      <c r="O843" s="0" t="n">
        <f aca="false">E843*E843</f>
        <v>0.765625</v>
      </c>
      <c r="P843" s="0" t="n">
        <f aca="false">F843*F843</f>
        <v>0.140625</v>
      </c>
      <c r="Q843" s="0" t="n">
        <f aca="false">SUMPRODUCT(G843:P843,_XtX!$B$71:$K$71)</f>
        <v>43.6047585227273</v>
      </c>
      <c r="R843" s="0" t="n">
        <f aca="false">SUMPRODUCT(MMULT(G843:P843,_XtX!$B$58:$K$67),G843:P843)</f>
        <v>0.375727428089489</v>
      </c>
      <c r="S843" s="0" t="n">
        <f aca="false">04_回帰ANOVA!$K$19*04_回帰ANOVA!$K$14*SQRT(1+R843)</f>
        <v>1.09051798904087</v>
      </c>
      <c r="T843" s="0" t="n">
        <f aca="false">Q843-S843</f>
        <v>42.5142405336864</v>
      </c>
      <c r="U843" s="0" t="n">
        <f aca="false">Q843+S843</f>
        <v>44.6952765117682</v>
      </c>
      <c r="V843" s="54" t="b">
        <f aca="false">AND(D843&gt;=01_因子設定!$L$5-0.000000001,D843&lt;=01_因子設定!$M$5+0.000000001,E843&gt;=01_因子設定!$L$6-0.000000001,E843&lt;=01_因子設定!$M$6+0.000000001,F843&gt;=01_因子設定!$L$7-0.000000001,F843&lt;=01_因子設定!$M$7+0.000000001,IF(01_因子設定!$B$20="Box-Behnken",D843^2+E843^2+F843^2&lt;=2+0.000000001,TRUE()))</f>
        <v>1</v>
      </c>
      <c r="W843" s="55" t="n">
        <f aca="false">IF(V843,IF(01_因子設定!$B$13="最大化",T843-01_因子設定!$B$14,IF(01_因子設定!$B$13="最小化",01_因子設定!$B$15-U843,MIN(T843-01_因子設定!$B$14,01_因子設定!$B$15-U843))),-1E+030)</f>
        <v>-5.9857594663136</v>
      </c>
      <c r="X843" s="55" t="n">
        <f aca="false">IF(V843,IF(01_因子設定!$B$13="最大化",Q843,IF(01_因子設定!$B$13="最小化",-Q843,-ABS(Q843-01_因子設定!$B$16))),-1E+030)</f>
        <v>43.6047585227273</v>
      </c>
      <c r="Y843" s="55" t="n">
        <f aca="false">W843+ROW()*0.000000001</f>
        <v>-5.9857586233136</v>
      </c>
      <c r="Z843" s="55" t="n">
        <f aca="false">X843+ROW()*0.000000001</f>
        <v>43.6047593657273</v>
      </c>
    </row>
    <row r="844" customFormat="false" ht="15" hidden="false" customHeight="false" outlineLevel="0" collapsed="false">
      <c r="A844" s="0" t="n">
        <v>2</v>
      </c>
      <c r="B844" s="0" t="n">
        <v>15</v>
      </c>
      <c r="C844" s="0" t="n">
        <v>6</v>
      </c>
      <c r="D844" s="0" t="n">
        <f aca="false">-1+A844*0.125</f>
        <v>-0.75</v>
      </c>
      <c r="E844" s="0" t="n">
        <f aca="false">-1+B844*0.125</f>
        <v>0.875</v>
      </c>
      <c r="F844" s="0" t="n">
        <f aca="false">-1+C844*0.125</f>
        <v>-0.25</v>
      </c>
      <c r="G844" s="0" t="n">
        <f aca="false">1</f>
        <v>1</v>
      </c>
      <c r="H844" s="0" t="n">
        <f aca="false">D844</f>
        <v>-0.75</v>
      </c>
      <c r="I844" s="0" t="n">
        <f aca="false">E844</f>
        <v>0.875</v>
      </c>
      <c r="J844" s="0" t="n">
        <f aca="false">F844</f>
        <v>-0.25</v>
      </c>
      <c r="K844" s="0" t="n">
        <f aca="false">D844*E844</f>
        <v>-0.65625</v>
      </c>
      <c r="L844" s="0" t="n">
        <f aca="false">D844*F844</f>
        <v>0.1875</v>
      </c>
      <c r="M844" s="0" t="n">
        <f aca="false">E844*F844</f>
        <v>-0.21875</v>
      </c>
      <c r="N844" s="0" t="n">
        <f aca="false">D844*D844</f>
        <v>0.5625</v>
      </c>
      <c r="O844" s="0" t="n">
        <f aca="false">E844*E844</f>
        <v>0.765625</v>
      </c>
      <c r="P844" s="0" t="n">
        <f aca="false">F844*F844</f>
        <v>0.0625</v>
      </c>
      <c r="Q844" s="0" t="n">
        <f aca="false">SUMPRODUCT(G844:P844,_XtX!$B$71:$K$71)</f>
        <v>43.9325142045455</v>
      </c>
      <c r="R844" s="0" t="n">
        <f aca="false">SUMPRODUCT(MMULT(G844:P844,_XtX!$B$58:$K$67),G844:P844)</f>
        <v>0.384574751420455</v>
      </c>
      <c r="S844" s="0" t="n">
        <f aca="false">04_回帰ANOVA!$K$19*04_回帰ANOVA!$K$14*SQRT(1+R844)</f>
        <v>1.0940189380139</v>
      </c>
      <c r="T844" s="0" t="n">
        <f aca="false">Q844-S844</f>
        <v>42.8384952665316</v>
      </c>
      <c r="U844" s="0" t="n">
        <f aca="false">Q844+S844</f>
        <v>45.0265331425594</v>
      </c>
      <c r="V844" s="54" t="b">
        <f aca="false">AND(D844&gt;=01_因子設定!$L$5-0.000000001,D844&lt;=01_因子設定!$M$5+0.000000001,E844&gt;=01_因子設定!$L$6-0.000000001,E844&lt;=01_因子設定!$M$6+0.000000001,F844&gt;=01_因子設定!$L$7-0.000000001,F844&lt;=01_因子設定!$M$7+0.000000001,IF(01_因子設定!$B$20="Box-Behnken",D844^2+E844^2+F844^2&lt;=2+0.000000001,TRUE()))</f>
        <v>1</v>
      </c>
      <c r="W844" s="55" t="n">
        <f aca="false">IF(V844,IF(01_因子設定!$B$13="最大化",T844-01_因子設定!$B$14,IF(01_因子設定!$B$13="最小化",01_因子設定!$B$15-U844,MIN(T844-01_因子設定!$B$14,01_因子設定!$B$15-U844))),-1E+030)</f>
        <v>-5.66150473346845</v>
      </c>
      <c r="X844" s="55" t="n">
        <f aca="false">IF(V844,IF(01_因子設定!$B$13="最大化",Q844,IF(01_因子設定!$B$13="最小化",-Q844,-ABS(Q844-01_因子設定!$B$16))),-1E+030)</f>
        <v>43.9325142045455</v>
      </c>
      <c r="Y844" s="55" t="n">
        <f aca="false">W844+ROW()*0.000000001</f>
        <v>-5.66150388946845</v>
      </c>
      <c r="Z844" s="55" t="n">
        <f aca="false">X844+ROW()*0.000000001</f>
        <v>43.9325150485455</v>
      </c>
    </row>
    <row r="845" customFormat="false" ht="15" hidden="false" customHeight="false" outlineLevel="0" collapsed="false">
      <c r="A845" s="0" t="n">
        <v>2</v>
      </c>
      <c r="B845" s="0" t="n">
        <v>15</v>
      </c>
      <c r="C845" s="0" t="n">
        <v>7</v>
      </c>
      <c r="D845" s="0" t="n">
        <f aca="false">-1+A845*0.125</f>
        <v>-0.75</v>
      </c>
      <c r="E845" s="0" t="n">
        <f aca="false">-1+B845*0.125</f>
        <v>0.875</v>
      </c>
      <c r="F845" s="0" t="n">
        <f aca="false">-1+C845*0.125</f>
        <v>-0.125</v>
      </c>
      <c r="G845" s="0" t="n">
        <f aca="false">1</f>
        <v>1</v>
      </c>
      <c r="H845" s="0" t="n">
        <f aca="false">D845</f>
        <v>-0.75</v>
      </c>
      <c r="I845" s="0" t="n">
        <f aca="false">E845</f>
        <v>0.875</v>
      </c>
      <c r="J845" s="0" t="n">
        <f aca="false">F845</f>
        <v>-0.125</v>
      </c>
      <c r="K845" s="0" t="n">
        <f aca="false">D845*E845</f>
        <v>-0.65625</v>
      </c>
      <c r="L845" s="0" t="n">
        <f aca="false">D845*F845</f>
        <v>0.09375</v>
      </c>
      <c r="M845" s="0" t="n">
        <f aca="false">E845*F845</f>
        <v>-0.109375</v>
      </c>
      <c r="N845" s="0" t="n">
        <f aca="false">D845*D845</f>
        <v>0.5625</v>
      </c>
      <c r="O845" s="0" t="n">
        <f aca="false">E845*E845</f>
        <v>0.765625</v>
      </c>
      <c r="P845" s="0" t="n">
        <f aca="false">F845*F845</f>
        <v>0.015625</v>
      </c>
      <c r="Q845" s="0" t="n">
        <f aca="false">SUMPRODUCT(G845:P845,_XtX!$B$71:$K$71)</f>
        <v>44.2234801136364</v>
      </c>
      <c r="R845" s="0" t="n">
        <f aca="false">SUMPRODUCT(MMULT(G845:P845,_XtX!$B$58:$K$67),G845:P845)</f>
        <v>0.392013827237216</v>
      </c>
      <c r="S845" s="0" t="n">
        <f aca="false">04_回帰ANOVA!$K$19*04_回帰ANOVA!$K$14*SQRT(1+R845)</f>
        <v>1.09695398627251</v>
      </c>
      <c r="T845" s="0" t="n">
        <f aca="false">Q845-S845</f>
        <v>43.1265261273639</v>
      </c>
      <c r="U845" s="0" t="n">
        <f aca="false">Q845+S845</f>
        <v>45.3204340999089</v>
      </c>
      <c r="V845" s="54" t="b">
        <f aca="false">AND(D845&gt;=01_因子設定!$L$5-0.000000001,D845&lt;=01_因子設定!$M$5+0.000000001,E845&gt;=01_因子設定!$L$6-0.000000001,E845&lt;=01_因子設定!$M$6+0.000000001,F845&gt;=01_因子設定!$L$7-0.000000001,F845&lt;=01_因子設定!$M$7+0.000000001,IF(01_因子設定!$B$20="Box-Behnken",D845^2+E845^2+F845^2&lt;=2+0.000000001,TRUE()))</f>
        <v>1</v>
      </c>
      <c r="W845" s="55" t="n">
        <f aca="false">IF(V845,IF(01_因子設定!$B$13="最大化",T845-01_因子設定!$B$14,IF(01_因子設定!$B$13="最小化",01_因子設定!$B$15-U845,MIN(T845-01_因子設定!$B$14,01_因子設定!$B$15-U845))),-1E+030)</f>
        <v>-5.37347387263615</v>
      </c>
      <c r="X845" s="55" t="n">
        <f aca="false">IF(V845,IF(01_因子設定!$B$13="最大化",Q845,IF(01_因子設定!$B$13="最小化",-Q845,-ABS(Q845-01_因子設定!$B$16))),-1E+030)</f>
        <v>44.2234801136364</v>
      </c>
      <c r="Y845" s="55" t="n">
        <f aca="false">W845+ROW()*0.000000001</f>
        <v>-5.37347302763615</v>
      </c>
      <c r="Z845" s="55" t="n">
        <f aca="false">X845+ROW()*0.000000001</f>
        <v>44.2234809586364</v>
      </c>
    </row>
    <row r="846" customFormat="false" ht="15" hidden="false" customHeight="false" outlineLevel="0" collapsed="false">
      <c r="A846" s="0" t="n">
        <v>2</v>
      </c>
      <c r="B846" s="0" t="n">
        <v>15</v>
      </c>
      <c r="C846" s="0" t="n">
        <v>8</v>
      </c>
      <c r="D846" s="0" t="n">
        <f aca="false">-1+A846*0.125</f>
        <v>-0.75</v>
      </c>
      <c r="E846" s="0" t="n">
        <f aca="false">-1+B846*0.125</f>
        <v>0.875</v>
      </c>
      <c r="F846" s="0" t="n">
        <f aca="false">-1+C846*0.125</f>
        <v>0</v>
      </c>
      <c r="G846" s="0" t="n">
        <f aca="false">1</f>
        <v>1</v>
      </c>
      <c r="H846" s="0" t="n">
        <f aca="false">D846</f>
        <v>-0.75</v>
      </c>
      <c r="I846" s="0" t="n">
        <f aca="false">E846</f>
        <v>0.875</v>
      </c>
      <c r="J846" s="0" t="n">
        <f aca="false">F846</f>
        <v>0</v>
      </c>
      <c r="K846" s="0" t="n">
        <f aca="false">D846*E846</f>
        <v>-0.65625</v>
      </c>
      <c r="L846" s="0" t="n">
        <f aca="false">D846*F846</f>
        <v>-0</v>
      </c>
      <c r="M846" s="0" t="n">
        <f aca="false">E846*F846</f>
        <v>0</v>
      </c>
      <c r="N846" s="0" t="n">
        <f aca="false">D846*D846</f>
        <v>0.5625</v>
      </c>
      <c r="O846" s="0" t="n">
        <f aca="false">E846*E846</f>
        <v>0.765625</v>
      </c>
      <c r="P846" s="0" t="n">
        <f aca="false">F846*F846</f>
        <v>0</v>
      </c>
      <c r="Q846" s="0" t="n">
        <f aca="false">SUMPRODUCT(G846:P846,_XtX!$B$71:$K$71)</f>
        <v>44.47765625</v>
      </c>
      <c r="R846" s="0" t="n">
        <f aca="false">SUMPRODUCT(MMULT(G846:P846,_XtX!$B$58:$K$67),G846:P846)</f>
        <v>0.3948486328125</v>
      </c>
      <c r="S846" s="0" t="n">
        <f aca="false">04_回帰ANOVA!$K$19*04_回帰ANOVA!$K$14*SQRT(1+R846)</f>
        <v>1.09807037952996</v>
      </c>
      <c r="T846" s="0" t="n">
        <f aca="false">Q846-S846</f>
        <v>43.37958587047</v>
      </c>
      <c r="U846" s="0" t="n">
        <f aca="false">Q846+S846</f>
        <v>45.57572662953</v>
      </c>
      <c r="V846" s="54" t="b">
        <f aca="false">AND(D846&gt;=01_因子設定!$L$5-0.000000001,D846&lt;=01_因子設定!$M$5+0.000000001,E846&gt;=01_因子設定!$L$6-0.000000001,E846&lt;=01_因子設定!$M$6+0.000000001,F846&gt;=01_因子設定!$L$7-0.000000001,F846&lt;=01_因子設定!$M$7+0.000000001,IF(01_因子設定!$B$20="Box-Behnken",D846^2+E846^2+F846^2&lt;=2+0.000000001,TRUE()))</f>
        <v>1</v>
      </c>
      <c r="W846" s="55" t="n">
        <f aca="false">IF(V846,IF(01_因子設定!$B$13="最大化",T846-01_因子設定!$B$14,IF(01_因子設定!$B$13="最小化",01_因子設定!$B$15-U846,MIN(T846-01_因子設定!$B$14,01_因子設定!$B$15-U846))),-1E+030)</f>
        <v>-5.12041412952996</v>
      </c>
      <c r="X846" s="55" t="n">
        <f aca="false">IF(V846,IF(01_因子設定!$B$13="最大化",Q846,IF(01_因子設定!$B$13="最小化",-Q846,-ABS(Q846-01_因子設定!$B$16))),-1E+030)</f>
        <v>44.47765625</v>
      </c>
      <c r="Y846" s="55" t="n">
        <f aca="false">W846+ROW()*0.000000001</f>
        <v>-5.12041328352996</v>
      </c>
      <c r="Z846" s="55" t="n">
        <f aca="false">X846+ROW()*0.000000001</f>
        <v>44.477657096</v>
      </c>
    </row>
    <row r="847" customFormat="false" ht="15" hidden="false" customHeight="false" outlineLevel="0" collapsed="false">
      <c r="A847" s="0" t="n">
        <v>2</v>
      </c>
      <c r="B847" s="0" t="n">
        <v>15</v>
      </c>
      <c r="C847" s="0" t="n">
        <v>9</v>
      </c>
      <c r="D847" s="0" t="n">
        <f aca="false">-1+A847*0.125</f>
        <v>-0.75</v>
      </c>
      <c r="E847" s="0" t="n">
        <f aca="false">-1+B847*0.125</f>
        <v>0.875</v>
      </c>
      <c r="F847" s="0" t="n">
        <f aca="false">-1+C847*0.125</f>
        <v>0.125</v>
      </c>
      <c r="G847" s="0" t="n">
        <f aca="false">1</f>
        <v>1</v>
      </c>
      <c r="H847" s="0" t="n">
        <f aca="false">D847</f>
        <v>-0.75</v>
      </c>
      <c r="I847" s="0" t="n">
        <f aca="false">E847</f>
        <v>0.875</v>
      </c>
      <c r="J847" s="0" t="n">
        <f aca="false">F847</f>
        <v>0.125</v>
      </c>
      <c r="K847" s="0" t="n">
        <f aca="false">D847*E847</f>
        <v>-0.65625</v>
      </c>
      <c r="L847" s="0" t="n">
        <f aca="false">D847*F847</f>
        <v>-0.09375</v>
      </c>
      <c r="M847" s="0" t="n">
        <f aca="false">E847*F847</f>
        <v>0.109375</v>
      </c>
      <c r="N847" s="0" t="n">
        <f aca="false">D847*D847</f>
        <v>0.5625</v>
      </c>
      <c r="O847" s="0" t="n">
        <f aca="false">E847*E847</f>
        <v>0.765625</v>
      </c>
      <c r="P847" s="0" t="n">
        <f aca="false">F847*F847</f>
        <v>0.015625</v>
      </c>
      <c r="Q847" s="0" t="n">
        <f aca="false">SUMPRODUCT(G847:P847,_XtX!$B$71:$K$71)</f>
        <v>44.6950426136364</v>
      </c>
      <c r="R847" s="0" t="n">
        <f aca="false">SUMPRODUCT(MMULT(G847:P847,_XtX!$B$58:$K$67),G847:P847)</f>
        <v>0.392013827237216</v>
      </c>
      <c r="S847" s="0" t="n">
        <f aca="false">04_回帰ANOVA!$K$19*04_回帰ANOVA!$K$14*SQRT(1+R847)</f>
        <v>1.09695398627251</v>
      </c>
      <c r="T847" s="0" t="n">
        <f aca="false">Q847-S847</f>
        <v>43.5980886273639</v>
      </c>
      <c r="U847" s="0" t="n">
        <f aca="false">Q847+S847</f>
        <v>45.7919965999089</v>
      </c>
      <c r="V847" s="54" t="b">
        <f aca="false">AND(D847&gt;=01_因子設定!$L$5-0.000000001,D847&lt;=01_因子設定!$M$5+0.000000001,E847&gt;=01_因子設定!$L$6-0.000000001,E847&lt;=01_因子設定!$M$6+0.000000001,F847&gt;=01_因子設定!$L$7-0.000000001,F847&lt;=01_因子設定!$M$7+0.000000001,IF(01_因子設定!$B$20="Box-Behnken",D847^2+E847^2+F847^2&lt;=2+0.000000001,TRUE()))</f>
        <v>1</v>
      </c>
      <c r="W847" s="55" t="n">
        <f aca="false">IF(V847,IF(01_因子設定!$B$13="最大化",T847-01_因子設定!$B$14,IF(01_因子設定!$B$13="最小化",01_因子設定!$B$15-U847,MIN(T847-01_因子設定!$B$14,01_因子設定!$B$15-U847))),-1E+030)</f>
        <v>-4.90191137263615</v>
      </c>
      <c r="X847" s="55" t="n">
        <f aca="false">IF(V847,IF(01_因子設定!$B$13="最大化",Q847,IF(01_因子設定!$B$13="最小化",-Q847,-ABS(Q847-01_因子設定!$B$16))),-1E+030)</f>
        <v>44.6950426136364</v>
      </c>
      <c r="Y847" s="55" t="n">
        <f aca="false">W847+ROW()*0.000000001</f>
        <v>-4.90191052563615</v>
      </c>
      <c r="Z847" s="55" t="n">
        <f aca="false">X847+ROW()*0.000000001</f>
        <v>44.6950434606364</v>
      </c>
    </row>
    <row r="848" customFormat="false" ht="15" hidden="false" customHeight="false" outlineLevel="0" collapsed="false">
      <c r="A848" s="0" t="n">
        <v>2</v>
      </c>
      <c r="B848" s="0" t="n">
        <v>15</v>
      </c>
      <c r="C848" s="0" t="n">
        <v>10</v>
      </c>
      <c r="D848" s="0" t="n">
        <f aca="false">-1+A848*0.125</f>
        <v>-0.75</v>
      </c>
      <c r="E848" s="0" t="n">
        <f aca="false">-1+B848*0.125</f>
        <v>0.875</v>
      </c>
      <c r="F848" s="0" t="n">
        <f aca="false">-1+C848*0.125</f>
        <v>0.25</v>
      </c>
      <c r="G848" s="0" t="n">
        <f aca="false">1</f>
        <v>1</v>
      </c>
      <c r="H848" s="0" t="n">
        <f aca="false">D848</f>
        <v>-0.75</v>
      </c>
      <c r="I848" s="0" t="n">
        <f aca="false">E848</f>
        <v>0.875</v>
      </c>
      <c r="J848" s="0" t="n">
        <f aca="false">F848</f>
        <v>0.25</v>
      </c>
      <c r="K848" s="0" t="n">
        <f aca="false">D848*E848</f>
        <v>-0.65625</v>
      </c>
      <c r="L848" s="0" t="n">
        <f aca="false">D848*F848</f>
        <v>-0.1875</v>
      </c>
      <c r="M848" s="0" t="n">
        <f aca="false">E848*F848</f>
        <v>0.21875</v>
      </c>
      <c r="N848" s="0" t="n">
        <f aca="false">D848*D848</f>
        <v>0.5625</v>
      </c>
      <c r="O848" s="0" t="n">
        <f aca="false">E848*E848</f>
        <v>0.765625</v>
      </c>
      <c r="P848" s="0" t="n">
        <f aca="false">F848*F848</f>
        <v>0.0625</v>
      </c>
      <c r="Q848" s="0" t="n">
        <f aca="false">SUMPRODUCT(G848:P848,_XtX!$B$71:$K$71)</f>
        <v>44.8756392045455</v>
      </c>
      <c r="R848" s="0" t="n">
        <f aca="false">SUMPRODUCT(MMULT(G848:P848,_XtX!$B$58:$K$67),G848:P848)</f>
        <v>0.384574751420455</v>
      </c>
      <c r="S848" s="0" t="n">
        <f aca="false">04_回帰ANOVA!$K$19*04_回帰ANOVA!$K$14*SQRT(1+R848)</f>
        <v>1.0940189380139</v>
      </c>
      <c r="T848" s="0" t="n">
        <f aca="false">Q848-S848</f>
        <v>43.7816202665316</v>
      </c>
      <c r="U848" s="0" t="n">
        <f aca="false">Q848+S848</f>
        <v>45.9696581425594</v>
      </c>
      <c r="V848" s="54" t="b">
        <f aca="false">AND(D848&gt;=01_因子設定!$L$5-0.000000001,D848&lt;=01_因子設定!$M$5+0.000000001,E848&gt;=01_因子設定!$L$6-0.000000001,E848&lt;=01_因子設定!$M$6+0.000000001,F848&gt;=01_因子設定!$L$7-0.000000001,F848&lt;=01_因子設定!$M$7+0.000000001,IF(01_因子設定!$B$20="Box-Behnken",D848^2+E848^2+F848^2&lt;=2+0.000000001,TRUE()))</f>
        <v>1</v>
      </c>
      <c r="W848" s="55" t="n">
        <f aca="false">IF(V848,IF(01_因子設定!$B$13="最大化",T848-01_因子設定!$B$14,IF(01_因子設定!$B$13="最小化",01_因子設定!$B$15-U848,MIN(T848-01_因子設定!$B$14,01_因子設定!$B$15-U848))),-1E+030)</f>
        <v>-4.71837973346845</v>
      </c>
      <c r="X848" s="55" t="n">
        <f aca="false">IF(V848,IF(01_因子設定!$B$13="最大化",Q848,IF(01_因子設定!$B$13="最小化",-Q848,-ABS(Q848-01_因子設定!$B$16))),-1E+030)</f>
        <v>44.8756392045455</v>
      </c>
      <c r="Y848" s="55" t="n">
        <f aca="false">W848+ROW()*0.000000001</f>
        <v>-4.71837888546845</v>
      </c>
      <c r="Z848" s="55" t="n">
        <f aca="false">X848+ROW()*0.000000001</f>
        <v>44.8756400525455</v>
      </c>
    </row>
    <row r="849" customFormat="false" ht="15" hidden="false" customHeight="false" outlineLevel="0" collapsed="false">
      <c r="A849" s="0" t="n">
        <v>2</v>
      </c>
      <c r="B849" s="0" t="n">
        <v>15</v>
      </c>
      <c r="C849" s="0" t="n">
        <v>11</v>
      </c>
      <c r="D849" s="0" t="n">
        <f aca="false">-1+A849*0.125</f>
        <v>-0.75</v>
      </c>
      <c r="E849" s="0" t="n">
        <f aca="false">-1+B849*0.125</f>
        <v>0.875</v>
      </c>
      <c r="F849" s="0" t="n">
        <f aca="false">-1+C849*0.125</f>
        <v>0.375</v>
      </c>
      <c r="G849" s="0" t="n">
        <f aca="false">1</f>
        <v>1</v>
      </c>
      <c r="H849" s="0" t="n">
        <f aca="false">D849</f>
        <v>-0.75</v>
      </c>
      <c r="I849" s="0" t="n">
        <f aca="false">E849</f>
        <v>0.875</v>
      </c>
      <c r="J849" s="0" t="n">
        <f aca="false">F849</f>
        <v>0.375</v>
      </c>
      <c r="K849" s="0" t="n">
        <f aca="false">D849*E849</f>
        <v>-0.65625</v>
      </c>
      <c r="L849" s="0" t="n">
        <f aca="false">D849*F849</f>
        <v>-0.28125</v>
      </c>
      <c r="M849" s="0" t="n">
        <f aca="false">E849*F849</f>
        <v>0.328125</v>
      </c>
      <c r="N849" s="0" t="n">
        <f aca="false">D849*D849</f>
        <v>0.5625</v>
      </c>
      <c r="O849" s="0" t="n">
        <f aca="false">E849*E849</f>
        <v>0.765625</v>
      </c>
      <c r="P849" s="0" t="n">
        <f aca="false">F849*F849</f>
        <v>0.140625</v>
      </c>
      <c r="Q849" s="0" t="n">
        <f aca="false">SUMPRODUCT(G849:P849,_XtX!$B$71:$K$71)</f>
        <v>45.0194460227273</v>
      </c>
      <c r="R849" s="0" t="n">
        <f aca="false">SUMPRODUCT(MMULT(G849:P849,_XtX!$B$58:$K$67),G849:P849)</f>
        <v>0.375727428089489</v>
      </c>
      <c r="S849" s="0" t="n">
        <f aca="false">04_回帰ANOVA!$K$19*04_回帰ANOVA!$K$14*SQRT(1+R849)</f>
        <v>1.09051798904087</v>
      </c>
      <c r="T849" s="0" t="n">
        <f aca="false">Q849-S849</f>
        <v>43.9289280336864</v>
      </c>
      <c r="U849" s="0" t="n">
        <f aca="false">Q849+S849</f>
        <v>46.1099640117682</v>
      </c>
      <c r="V849" s="54" t="b">
        <f aca="false">AND(D849&gt;=01_因子設定!$L$5-0.000000001,D849&lt;=01_因子設定!$M$5+0.000000001,E849&gt;=01_因子設定!$L$6-0.000000001,E849&lt;=01_因子設定!$M$6+0.000000001,F849&gt;=01_因子設定!$L$7-0.000000001,F849&lt;=01_因子設定!$M$7+0.000000001,IF(01_因子設定!$B$20="Box-Behnken",D849^2+E849^2+F849^2&lt;=2+0.000000001,TRUE()))</f>
        <v>1</v>
      </c>
      <c r="W849" s="55" t="n">
        <f aca="false">IF(V849,IF(01_因子設定!$B$13="最大化",T849-01_因子設定!$B$14,IF(01_因子設定!$B$13="最小化",01_因子設定!$B$15-U849,MIN(T849-01_因子設定!$B$14,01_因子設定!$B$15-U849))),-1E+030)</f>
        <v>-4.5710719663136</v>
      </c>
      <c r="X849" s="55" t="n">
        <f aca="false">IF(V849,IF(01_因子設定!$B$13="最大化",Q849,IF(01_因子設定!$B$13="最小化",-Q849,-ABS(Q849-01_因子設定!$B$16))),-1E+030)</f>
        <v>45.0194460227273</v>
      </c>
      <c r="Y849" s="55" t="n">
        <f aca="false">W849+ROW()*0.000000001</f>
        <v>-4.5710711173136</v>
      </c>
      <c r="Z849" s="55" t="n">
        <f aca="false">X849+ROW()*0.000000001</f>
        <v>45.0194468717273</v>
      </c>
    </row>
    <row r="850" customFormat="false" ht="15" hidden="false" customHeight="false" outlineLevel="0" collapsed="false">
      <c r="A850" s="0" t="n">
        <v>2</v>
      </c>
      <c r="B850" s="0" t="n">
        <v>15</v>
      </c>
      <c r="C850" s="0" t="n">
        <v>12</v>
      </c>
      <c r="D850" s="0" t="n">
        <f aca="false">-1+A850*0.125</f>
        <v>-0.75</v>
      </c>
      <c r="E850" s="0" t="n">
        <f aca="false">-1+B850*0.125</f>
        <v>0.875</v>
      </c>
      <c r="F850" s="0" t="n">
        <f aca="false">-1+C850*0.125</f>
        <v>0.5</v>
      </c>
      <c r="G850" s="0" t="n">
        <f aca="false">1</f>
        <v>1</v>
      </c>
      <c r="H850" s="0" t="n">
        <f aca="false">D850</f>
        <v>-0.75</v>
      </c>
      <c r="I850" s="0" t="n">
        <f aca="false">E850</f>
        <v>0.875</v>
      </c>
      <c r="J850" s="0" t="n">
        <f aca="false">F850</f>
        <v>0.5</v>
      </c>
      <c r="K850" s="0" t="n">
        <f aca="false">D850*E850</f>
        <v>-0.65625</v>
      </c>
      <c r="L850" s="0" t="n">
        <f aca="false">D850*F850</f>
        <v>-0.375</v>
      </c>
      <c r="M850" s="0" t="n">
        <f aca="false">E850*F850</f>
        <v>0.4375</v>
      </c>
      <c r="N850" s="0" t="n">
        <f aca="false">D850*D850</f>
        <v>0.5625</v>
      </c>
      <c r="O850" s="0" t="n">
        <f aca="false">E850*E850</f>
        <v>0.765625</v>
      </c>
      <c r="P850" s="0" t="n">
        <f aca="false">F850*F850</f>
        <v>0.25</v>
      </c>
      <c r="Q850" s="0" t="n">
        <f aca="false">SUMPRODUCT(G850:P850,_XtX!$B$71:$K$71)</f>
        <v>45.1264630681818</v>
      </c>
      <c r="R850" s="0" t="n">
        <f aca="false">SUMPRODUCT(MMULT(G850:P850,_XtX!$B$58:$K$67),G850:P850)</f>
        <v>0.370798561789773</v>
      </c>
      <c r="S850" s="0" t="n">
        <f aca="false">04_回帰ANOVA!$K$19*04_回帰ANOVA!$K$14*SQRT(1+R850)</f>
        <v>1.08856271788237</v>
      </c>
      <c r="T850" s="0" t="n">
        <f aca="false">Q850-S850</f>
        <v>44.0379003502994</v>
      </c>
      <c r="U850" s="0" t="n">
        <f aca="false">Q850+S850</f>
        <v>46.2150257860642</v>
      </c>
      <c r="V850" s="54" t="b">
        <f aca="false">AND(D850&gt;=01_因子設定!$L$5-0.000000001,D850&lt;=01_因子設定!$M$5+0.000000001,E850&gt;=01_因子設定!$L$6-0.000000001,E850&lt;=01_因子設定!$M$6+0.000000001,F850&gt;=01_因子設定!$L$7-0.000000001,F850&lt;=01_因子設定!$M$7+0.000000001,IF(01_因子設定!$B$20="Box-Behnken",D850^2+E850^2+F850^2&lt;=2+0.000000001,TRUE()))</f>
        <v>1</v>
      </c>
      <c r="W850" s="55" t="n">
        <f aca="false">IF(V850,IF(01_因子設定!$B$13="最大化",T850-01_因子設定!$B$14,IF(01_因子設定!$B$13="最小化",01_因子設定!$B$15-U850,MIN(T850-01_因子設定!$B$14,01_因子設定!$B$15-U850))),-1E+030)</f>
        <v>-4.46209964970056</v>
      </c>
      <c r="X850" s="55" t="n">
        <f aca="false">IF(V850,IF(01_因子設定!$B$13="最大化",Q850,IF(01_因子設定!$B$13="最小化",-Q850,-ABS(Q850-01_因子設定!$B$16))),-1E+030)</f>
        <v>45.1264630681818</v>
      </c>
      <c r="Y850" s="55" t="n">
        <f aca="false">W850+ROW()*0.000000001</f>
        <v>-4.46209879970056</v>
      </c>
      <c r="Z850" s="55" t="n">
        <f aca="false">X850+ROW()*0.000000001</f>
        <v>45.1264639181818</v>
      </c>
    </row>
    <row r="851" customFormat="false" ht="15" hidden="false" customHeight="false" outlineLevel="0" collapsed="false">
      <c r="A851" s="0" t="n">
        <v>2</v>
      </c>
      <c r="B851" s="0" t="n">
        <v>15</v>
      </c>
      <c r="C851" s="0" t="n">
        <v>13</v>
      </c>
      <c r="D851" s="0" t="n">
        <f aca="false">-1+A851*0.125</f>
        <v>-0.75</v>
      </c>
      <c r="E851" s="0" t="n">
        <f aca="false">-1+B851*0.125</f>
        <v>0.875</v>
      </c>
      <c r="F851" s="0" t="n">
        <f aca="false">-1+C851*0.125</f>
        <v>0.625</v>
      </c>
      <c r="G851" s="0" t="n">
        <f aca="false">1</f>
        <v>1</v>
      </c>
      <c r="H851" s="0" t="n">
        <f aca="false">D851</f>
        <v>-0.75</v>
      </c>
      <c r="I851" s="0" t="n">
        <f aca="false">E851</f>
        <v>0.875</v>
      </c>
      <c r="J851" s="0" t="n">
        <f aca="false">F851</f>
        <v>0.625</v>
      </c>
      <c r="K851" s="0" t="n">
        <f aca="false">D851*E851</f>
        <v>-0.65625</v>
      </c>
      <c r="L851" s="0" t="n">
        <f aca="false">D851*F851</f>
        <v>-0.46875</v>
      </c>
      <c r="M851" s="0" t="n">
        <f aca="false">E851*F851</f>
        <v>0.546875</v>
      </c>
      <c r="N851" s="0" t="n">
        <f aca="false">D851*D851</f>
        <v>0.5625</v>
      </c>
      <c r="O851" s="0" t="n">
        <f aca="false">E851*E851</f>
        <v>0.765625</v>
      </c>
      <c r="P851" s="0" t="n">
        <f aca="false">F851*F851</f>
        <v>0.390625</v>
      </c>
      <c r="Q851" s="0" t="n">
        <f aca="false">SUMPRODUCT(G851:P851,_XtX!$B$71:$K$71)</f>
        <v>45.1966903409091</v>
      </c>
      <c r="R851" s="0" t="n">
        <f aca="false">SUMPRODUCT(MMULT(G851:P851,_XtX!$B$58:$K$67),G851:P851)</f>
        <v>0.377245538884943</v>
      </c>
      <c r="S851" s="0" t="n">
        <f aca="false">04_回帰ANOVA!$K$19*04_回帰ANOVA!$K$14*SQRT(1+R851)</f>
        <v>1.09111951468927</v>
      </c>
      <c r="T851" s="0" t="n">
        <f aca="false">Q851-S851</f>
        <v>44.1055708262198</v>
      </c>
      <c r="U851" s="0" t="n">
        <f aca="false">Q851+S851</f>
        <v>46.2878098555984</v>
      </c>
      <c r="V851" s="54" t="b">
        <f aca="false">AND(D851&gt;=01_因子設定!$L$5-0.000000001,D851&lt;=01_因子設定!$M$5+0.000000001,E851&gt;=01_因子設定!$L$6-0.000000001,E851&lt;=01_因子設定!$M$6+0.000000001,F851&gt;=01_因子設定!$L$7-0.000000001,F851&lt;=01_因子設定!$M$7+0.000000001,IF(01_因子設定!$B$20="Box-Behnken",D851^2+E851^2+F851^2&lt;=2+0.000000001,TRUE()))</f>
        <v>1</v>
      </c>
      <c r="W851" s="55" t="n">
        <f aca="false">IF(V851,IF(01_因子設定!$B$13="最大化",T851-01_因子設定!$B$14,IF(01_因子設定!$B$13="最小化",01_因子設定!$B$15-U851,MIN(T851-01_因子設定!$B$14,01_因子設定!$B$15-U851))),-1E+030)</f>
        <v>-4.39442917378018</v>
      </c>
      <c r="X851" s="55" t="n">
        <f aca="false">IF(V851,IF(01_因子設定!$B$13="最大化",Q851,IF(01_因子設定!$B$13="最小化",-Q851,-ABS(Q851-01_因子設定!$B$16))),-1E+030)</f>
        <v>45.1966903409091</v>
      </c>
      <c r="Y851" s="55" t="n">
        <f aca="false">W851+ROW()*0.000000001</f>
        <v>-4.39442832278018</v>
      </c>
      <c r="Z851" s="55" t="n">
        <f aca="false">X851+ROW()*0.000000001</f>
        <v>45.1966911919091</v>
      </c>
    </row>
    <row r="852" customFormat="false" ht="15" hidden="false" customHeight="false" outlineLevel="0" collapsed="false">
      <c r="A852" s="0" t="n">
        <v>2</v>
      </c>
      <c r="B852" s="0" t="n">
        <v>15</v>
      </c>
      <c r="C852" s="0" t="n">
        <v>14</v>
      </c>
      <c r="D852" s="0" t="n">
        <f aca="false">-1+A852*0.125</f>
        <v>-0.75</v>
      </c>
      <c r="E852" s="0" t="n">
        <f aca="false">-1+B852*0.125</f>
        <v>0.875</v>
      </c>
      <c r="F852" s="0" t="n">
        <f aca="false">-1+C852*0.125</f>
        <v>0.75</v>
      </c>
      <c r="G852" s="0" t="n">
        <f aca="false">1</f>
        <v>1</v>
      </c>
      <c r="H852" s="0" t="n">
        <f aca="false">D852</f>
        <v>-0.75</v>
      </c>
      <c r="I852" s="0" t="n">
        <f aca="false">E852</f>
        <v>0.875</v>
      </c>
      <c r="J852" s="0" t="n">
        <f aca="false">F852</f>
        <v>0.75</v>
      </c>
      <c r="K852" s="0" t="n">
        <f aca="false">D852*E852</f>
        <v>-0.65625</v>
      </c>
      <c r="L852" s="0" t="n">
        <f aca="false">D852*F852</f>
        <v>-0.5625</v>
      </c>
      <c r="M852" s="0" t="n">
        <f aca="false">E852*F852</f>
        <v>0.65625</v>
      </c>
      <c r="N852" s="0" t="n">
        <f aca="false">D852*D852</f>
        <v>0.5625</v>
      </c>
      <c r="O852" s="0" t="n">
        <f aca="false">E852*E852</f>
        <v>0.765625</v>
      </c>
      <c r="P852" s="0" t="n">
        <f aca="false">F852*F852</f>
        <v>0.5625</v>
      </c>
      <c r="Q852" s="0" t="n">
        <f aca="false">SUMPRODUCT(G852:P852,_XtX!$B$71:$K$71)</f>
        <v>45.2301278409091</v>
      </c>
      <c r="R852" s="0" t="n">
        <f aca="false">SUMPRODUCT(MMULT(G852:P852,_XtX!$B$58:$K$67),G852:P852)</f>
        <v>0.404656427556818</v>
      </c>
      <c r="S852" s="0" t="n">
        <f aca="false">04_回帰ANOVA!$K$19*04_回帰ANOVA!$K$14*SQRT(1+R852)</f>
        <v>1.10192412515358</v>
      </c>
      <c r="T852" s="0" t="n">
        <f aca="false">Q852-S852</f>
        <v>44.1282037157555</v>
      </c>
      <c r="U852" s="0" t="n">
        <f aca="false">Q852+S852</f>
        <v>46.3320519660627</v>
      </c>
      <c r="V852" s="54" t="b">
        <f aca="false">AND(D852&gt;=01_因子設定!$L$5-0.000000001,D852&lt;=01_因子設定!$M$5+0.000000001,E852&gt;=01_因子設定!$L$6-0.000000001,E852&lt;=01_因子設定!$M$6+0.000000001,F852&gt;=01_因子設定!$L$7-0.000000001,F852&lt;=01_因子設定!$M$7+0.000000001,IF(01_因子設定!$B$20="Box-Behnken",D852^2+E852^2+F852^2&lt;=2+0.000000001,TRUE()))</f>
        <v>1</v>
      </c>
      <c r="W852" s="55" t="n">
        <f aca="false">IF(V852,IF(01_因子設定!$B$13="最大化",T852-01_因子設定!$B$14,IF(01_因子設定!$B$13="最小化",01_因子設定!$B$15-U852,MIN(T852-01_因子設定!$B$14,01_因子設定!$B$15-U852))),-1E+030)</f>
        <v>-4.37179628424448</v>
      </c>
      <c r="X852" s="55" t="n">
        <f aca="false">IF(V852,IF(01_因子設定!$B$13="最大化",Q852,IF(01_因子設定!$B$13="最小化",-Q852,-ABS(Q852-01_因子設定!$B$16))),-1E+030)</f>
        <v>45.2301278409091</v>
      </c>
      <c r="Y852" s="55" t="n">
        <f aca="false">W852+ROW()*0.000000001</f>
        <v>-4.37179543224448</v>
      </c>
      <c r="Z852" s="55" t="n">
        <f aca="false">X852+ROW()*0.000000001</f>
        <v>45.2301286929091</v>
      </c>
    </row>
    <row r="853" customFormat="false" ht="15" hidden="false" customHeight="false" outlineLevel="0" collapsed="false">
      <c r="A853" s="0" t="n">
        <v>2</v>
      </c>
      <c r="B853" s="0" t="n">
        <v>15</v>
      </c>
      <c r="C853" s="0" t="n">
        <v>15</v>
      </c>
      <c r="D853" s="0" t="n">
        <f aca="false">-1+A853*0.125</f>
        <v>-0.75</v>
      </c>
      <c r="E853" s="0" t="n">
        <f aca="false">-1+B853*0.125</f>
        <v>0.875</v>
      </c>
      <c r="F853" s="0" t="n">
        <f aca="false">-1+C853*0.125</f>
        <v>0.875</v>
      </c>
      <c r="G853" s="0" t="n">
        <f aca="false">1</f>
        <v>1</v>
      </c>
      <c r="H853" s="0" t="n">
        <f aca="false">D853</f>
        <v>-0.75</v>
      </c>
      <c r="I853" s="0" t="n">
        <f aca="false">E853</f>
        <v>0.875</v>
      </c>
      <c r="J853" s="0" t="n">
        <f aca="false">F853</f>
        <v>0.875</v>
      </c>
      <c r="K853" s="0" t="n">
        <f aca="false">D853*E853</f>
        <v>-0.65625</v>
      </c>
      <c r="L853" s="0" t="n">
        <f aca="false">D853*F853</f>
        <v>-0.65625</v>
      </c>
      <c r="M853" s="0" t="n">
        <f aca="false">E853*F853</f>
        <v>0.765625</v>
      </c>
      <c r="N853" s="0" t="n">
        <f aca="false">D853*D853</f>
        <v>0.5625</v>
      </c>
      <c r="O853" s="0" t="n">
        <f aca="false">E853*E853</f>
        <v>0.765625</v>
      </c>
      <c r="P853" s="0" t="n">
        <f aca="false">F853*F853</f>
        <v>0.765625</v>
      </c>
      <c r="Q853" s="0" t="n">
        <f aca="false">SUMPRODUCT(G853:P853,_XtX!$B$71:$K$71)</f>
        <v>45.2267755681818</v>
      </c>
      <c r="R853" s="0" t="n">
        <f aca="false">SUMPRODUCT(MMULT(G853:P853,_XtX!$B$58:$K$67),G853:P853)</f>
        <v>0.464749977805398</v>
      </c>
      <c r="S853" s="0" t="n">
        <f aca="false">04_回帰ANOVA!$K$19*04_回帰ANOVA!$K$14*SQRT(1+R853)</f>
        <v>1.12524835342194</v>
      </c>
      <c r="T853" s="0" t="n">
        <f aca="false">Q853-S853</f>
        <v>44.1015272147599</v>
      </c>
      <c r="U853" s="0" t="n">
        <f aca="false">Q853+S853</f>
        <v>46.3520239216038</v>
      </c>
      <c r="V853" s="54" t="b">
        <f aca="false">AND(D853&gt;=01_因子設定!$L$5-0.000000001,D853&lt;=01_因子設定!$M$5+0.000000001,E853&gt;=01_因子設定!$L$6-0.000000001,E853&lt;=01_因子設定!$M$6+0.000000001,F853&gt;=01_因子設定!$L$7-0.000000001,F853&lt;=01_因子設定!$M$7+0.000000001,IF(01_因子設定!$B$20="Box-Behnken",D853^2+E853^2+F853^2&lt;=2+0.000000001,TRUE()))</f>
        <v>1</v>
      </c>
      <c r="W853" s="55" t="n">
        <f aca="false">IF(V853,IF(01_因子設定!$B$13="最大化",T853-01_因子設定!$B$14,IF(01_因子設定!$B$13="最小化",01_因子設定!$B$15-U853,MIN(T853-01_因子設定!$B$14,01_因子設定!$B$15-U853))),-1E+030)</f>
        <v>-4.3984727852401</v>
      </c>
      <c r="X853" s="55" t="n">
        <f aca="false">IF(V853,IF(01_因子設定!$B$13="最大化",Q853,IF(01_因子設定!$B$13="最小化",-Q853,-ABS(Q853-01_因子設定!$B$16))),-1E+030)</f>
        <v>45.2267755681818</v>
      </c>
      <c r="Y853" s="55" t="n">
        <f aca="false">W853+ROW()*0.000000001</f>
        <v>-4.3984719322401</v>
      </c>
      <c r="Z853" s="55" t="n">
        <f aca="false">X853+ROW()*0.000000001</f>
        <v>45.2267764211818</v>
      </c>
    </row>
    <row r="854" customFormat="false" ht="15" hidden="false" customHeight="false" outlineLevel="0" collapsed="false">
      <c r="A854" s="0" t="n">
        <v>2</v>
      </c>
      <c r="B854" s="0" t="n">
        <v>15</v>
      </c>
      <c r="C854" s="0" t="n">
        <v>16</v>
      </c>
      <c r="D854" s="0" t="n">
        <f aca="false">-1+A854*0.125</f>
        <v>-0.75</v>
      </c>
      <c r="E854" s="0" t="n">
        <f aca="false">-1+B854*0.125</f>
        <v>0.875</v>
      </c>
      <c r="F854" s="0" t="n">
        <f aca="false">-1+C854*0.125</f>
        <v>1</v>
      </c>
      <c r="G854" s="0" t="n">
        <f aca="false">1</f>
        <v>1</v>
      </c>
      <c r="H854" s="0" t="n">
        <f aca="false">D854</f>
        <v>-0.75</v>
      </c>
      <c r="I854" s="0" t="n">
        <f aca="false">E854</f>
        <v>0.875</v>
      </c>
      <c r="J854" s="0" t="n">
        <f aca="false">F854</f>
        <v>1</v>
      </c>
      <c r="K854" s="0" t="n">
        <f aca="false">D854*E854</f>
        <v>-0.65625</v>
      </c>
      <c r="L854" s="0" t="n">
        <f aca="false">D854*F854</f>
        <v>-0.75</v>
      </c>
      <c r="M854" s="0" t="n">
        <f aca="false">E854*F854</f>
        <v>0.875</v>
      </c>
      <c r="N854" s="0" t="n">
        <f aca="false">D854*D854</f>
        <v>0.5625</v>
      </c>
      <c r="O854" s="0" t="n">
        <f aca="false">E854*E854</f>
        <v>0.765625</v>
      </c>
      <c r="P854" s="0" t="n">
        <f aca="false">F854*F854</f>
        <v>1</v>
      </c>
      <c r="Q854" s="0" t="n">
        <f aca="false">SUMPRODUCT(G854:P854,_XtX!$B$71:$K$71)</f>
        <v>45.1866335227273</v>
      </c>
      <c r="R854" s="0" t="n">
        <f aca="false">SUMPRODUCT(MMULT(G854:P854,_XtX!$B$58:$K$67),G854:P854)</f>
        <v>0.571375621448864</v>
      </c>
      <c r="S854" s="0" t="n">
        <f aca="false">04_回帰ANOVA!$K$19*04_回帰ANOVA!$K$14*SQRT(1+R854)</f>
        <v>1.16548487437682</v>
      </c>
      <c r="T854" s="0" t="n">
        <f aca="false">Q854-S854</f>
        <v>44.0211486483505</v>
      </c>
      <c r="U854" s="0" t="n">
        <f aca="false">Q854+S854</f>
        <v>46.3521183971041</v>
      </c>
      <c r="V854" s="54" t="b">
        <f aca="false">AND(D854&gt;=01_因子設定!$L$5-0.000000001,D854&lt;=01_因子設定!$M$5+0.000000001,E854&gt;=01_因子設定!$L$6-0.000000001,E854&lt;=01_因子設定!$M$6+0.000000001,F854&gt;=01_因子設定!$L$7-0.000000001,F854&lt;=01_因子設定!$M$7+0.000000001,IF(01_因子設定!$B$20="Box-Behnken",D854^2+E854^2+F854^2&lt;=2+0.000000001,TRUE()))</f>
        <v>1</v>
      </c>
      <c r="W854" s="55" t="n">
        <f aca="false">IF(V854,IF(01_因子設定!$B$13="最大化",T854-01_因子設定!$B$14,IF(01_因子設定!$B$13="最小化",01_因子設定!$B$15-U854,MIN(T854-01_因子設定!$B$14,01_因子設定!$B$15-U854))),-1E+030)</f>
        <v>-4.47885135164952</v>
      </c>
      <c r="X854" s="55" t="n">
        <f aca="false">IF(V854,IF(01_因子設定!$B$13="最大化",Q854,IF(01_因子設定!$B$13="最小化",-Q854,-ABS(Q854-01_因子設定!$B$16))),-1E+030)</f>
        <v>45.1866335227273</v>
      </c>
      <c r="Y854" s="55" t="n">
        <f aca="false">W854+ROW()*0.000000001</f>
        <v>-4.47885049764953</v>
      </c>
      <c r="Z854" s="55" t="n">
        <f aca="false">X854+ROW()*0.000000001</f>
        <v>45.1866343767273</v>
      </c>
    </row>
    <row r="855" customFormat="false" ht="15" hidden="false" customHeight="false" outlineLevel="0" collapsed="false">
      <c r="A855" s="0" t="n">
        <v>2</v>
      </c>
      <c r="B855" s="0" t="n">
        <v>16</v>
      </c>
      <c r="C855" s="0" t="n">
        <v>0</v>
      </c>
      <c r="D855" s="0" t="n">
        <f aca="false">-1+A855*0.125</f>
        <v>-0.75</v>
      </c>
      <c r="E855" s="0" t="n">
        <f aca="false">-1+B855*0.125</f>
        <v>1</v>
      </c>
      <c r="F855" s="0" t="n">
        <f aca="false">-1+C855*0.125</f>
        <v>-1</v>
      </c>
      <c r="G855" s="0" t="n">
        <f aca="false">1</f>
        <v>1</v>
      </c>
      <c r="H855" s="0" t="n">
        <f aca="false">D855</f>
        <v>-0.75</v>
      </c>
      <c r="I855" s="0" t="n">
        <f aca="false">E855</f>
        <v>1</v>
      </c>
      <c r="J855" s="0" t="n">
        <f aca="false">F855</f>
        <v>-1</v>
      </c>
      <c r="K855" s="0" t="n">
        <f aca="false">D855*E855</f>
        <v>-0.75</v>
      </c>
      <c r="L855" s="0" t="n">
        <f aca="false">D855*F855</f>
        <v>0.75</v>
      </c>
      <c r="M855" s="0" t="n">
        <f aca="false">E855*F855</f>
        <v>-1</v>
      </c>
      <c r="N855" s="0" t="n">
        <f aca="false">D855*D855</f>
        <v>0.5625</v>
      </c>
      <c r="O855" s="0" t="n">
        <f aca="false">E855*E855</f>
        <v>1</v>
      </c>
      <c r="P855" s="0" t="n">
        <f aca="false">F855*F855</f>
        <v>1</v>
      </c>
      <c r="Q855" s="0" t="n">
        <f aca="false">SUMPRODUCT(G855:P855,_XtX!$B$71:$K$71)</f>
        <v>41.0266477272727</v>
      </c>
      <c r="R855" s="0" t="n">
        <f aca="false">SUMPRODUCT(MMULT(G855:P855,_XtX!$B$58:$K$67),G855:P855)</f>
        <v>0.669886363636364</v>
      </c>
      <c r="S855" s="0" t="n">
        <f aca="false">04_回帰ANOVA!$K$19*04_回帰ANOVA!$K$14*SQRT(1+R855)</f>
        <v>1.20146215423986</v>
      </c>
      <c r="T855" s="0" t="n">
        <f aca="false">Q855-S855</f>
        <v>39.8251855730329</v>
      </c>
      <c r="U855" s="0" t="n">
        <f aca="false">Q855+S855</f>
        <v>42.2281098815126</v>
      </c>
      <c r="V855" s="54" t="b">
        <f aca="false">AND(D855&gt;=01_因子設定!$L$5-0.000000001,D855&lt;=01_因子設定!$M$5+0.000000001,E855&gt;=01_因子設定!$L$6-0.000000001,E855&lt;=01_因子設定!$M$6+0.000000001,F855&gt;=01_因子設定!$L$7-0.000000001,F855&lt;=01_因子設定!$M$7+0.000000001,IF(01_因子設定!$B$20="Box-Behnken",D855^2+E855^2+F855^2&lt;=2+0.000000001,TRUE()))</f>
        <v>1</v>
      </c>
      <c r="W855" s="55" t="n">
        <f aca="false">IF(V855,IF(01_因子設定!$B$13="最大化",T855-01_因子設定!$B$14,IF(01_因子設定!$B$13="最小化",01_因子設定!$B$15-U855,MIN(T855-01_因子設定!$B$14,01_因子設定!$B$15-U855))),-1E+030)</f>
        <v>-8.67481442696712</v>
      </c>
      <c r="X855" s="55" t="n">
        <f aca="false">IF(V855,IF(01_因子設定!$B$13="最大化",Q855,IF(01_因子設定!$B$13="最小化",-Q855,-ABS(Q855-01_因子設定!$B$16))),-1E+030)</f>
        <v>41.0266477272727</v>
      </c>
      <c r="Y855" s="55" t="n">
        <f aca="false">W855+ROW()*0.000000001</f>
        <v>-8.67481357196712</v>
      </c>
      <c r="Z855" s="55" t="n">
        <f aca="false">X855+ROW()*0.000000001</f>
        <v>41.0266485822728</v>
      </c>
    </row>
    <row r="856" customFormat="false" ht="15" hidden="false" customHeight="false" outlineLevel="0" collapsed="false">
      <c r="A856" s="0" t="n">
        <v>2</v>
      </c>
      <c r="B856" s="0" t="n">
        <v>16</v>
      </c>
      <c r="C856" s="0" t="n">
        <v>1</v>
      </c>
      <c r="D856" s="0" t="n">
        <f aca="false">-1+A856*0.125</f>
        <v>-0.75</v>
      </c>
      <c r="E856" s="0" t="n">
        <f aca="false">-1+B856*0.125</f>
        <v>1</v>
      </c>
      <c r="F856" s="0" t="n">
        <f aca="false">-1+C856*0.125</f>
        <v>-0.875</v>
      </c>
      <c r="G856" s="0" t="n">
        <f aca="false">1</f>
        <v>1</v>
      </c>
      <c r="H856" s="0" t="n">
        <f aca="false">D856</f>
        <v>-0.75</v>
      </c>
      <c r="I856" s="0" t="n">
        <f aca="false">E856</f>
        <v>1</v>
      </c>
      <c r="J856" s="0" t="n">
        <f aca="false">F856</f>
        <v>-0.875</v>
      </c>
      <c r="K856" s="0" t="n">
        <f aca="false">D856*E856</f>
        <v>-0.75</v>
      </c>
      <c r="L856" s="0" t="n">
        <f aca="false">D856*F856</f>
        <v>0.65625</v>
      </c>
      <c r="M856" s="0" t="n">
        <f aca="false">E856*F856</f>
        <v>-0.875</v>
      </c>
      <c r="N856" s="0" t="n">
        <f aca="false">D856*D856</f>
        <v>0.5625</v>
      </c>
      <c r="O856" s="0" t="n">
        <f aca="false">E856*E856</f>
        <v>1</v>
      </c>
      <c r="P856" s="0" t="n">
        <f aca="false">F856*F856</f>
        <v>0.765625</v>
      </c>
      <c r="Q856" s="0" t="n">
        <f aca="false">SUMPRODUCT(G856:P856,_XtX!$B$71:$K$71)</f>
        <v>41.5453835227273</v>
      </c>
      <c r="R856" s="0" t="n">
        <f aca="false">SUMPRODUCT(MMULT(G856:P856,_XtX!$B$58:$K$67),G856:P856)</f>
        <v>0.571375621448864</v>
      </c>
      <c r="S856" s="0" t="n">
        <f aca="false">04_回帰ANOVA!$K$19*04_回帰ANOVA!$K$14*SQRT(1+R856)</f>
        <v>1.16548487437682</v>
      </c>
      <c r="T856" s="0" t="n">
        <f aca="false">Q856-S856</f>
        <v>40.3798986483505</v>
      </c>
      <c r="U856" s="0" t="n">
        <f aca="false">Q856+S856</f>
        <v>42.7108683971041</v>
      </c>
      <c r="V856" s="54" t="b">
        <f aca="false">AND(D856&gt;=01_因子設定!$L$5-0.000000001,D856&lt;=01_因子設定!$M$5+0.000000001,E856&gt;=01_因子設定!$L$6-0.000000001,E856&lt;=01_因子設定!$M$6+0.000000001,F856&gt;=01_因子設定!$L$7-0.000000001,F856&lt;=01_因子設定!$M$7+0.000000001,IF(01_因子設定!$B$20="Box-Behnken",D856^2+E856^2+F856^2&lt;=2+0.000000001,TRUE()))</f>
        <v>1</v>
      </c>
      <c r="W856" s="55" t="n">
        <f aca="false">IF(V856,IF(01_因子設定!$B$13="最大化",T856-01_因子設定!$B$14,IF(01_因子設定!$B$13="最小化",01_因子設定!$B$15-U856,MIN(T856-01_因子設定!$B$14,01_因子設定!$B$15-U856))),-1E+030)</f>
        <v>-8.12010135164953</v>
      </c>
      <c r="X856" s="55" t="n">
        <f aca="false">IF(V856,IF(01_因子設定!$B$13="最大化",Q856,IF(01_因子設定!$B$13="最小化",-Q856,-ABS(Q856-01_因子設定!$B$16))),-1E+030)</f>
        <v>41.5453835227273</v>
      </c>
      <c r="Y856" s="55" t="n">
        <f aca="false">W856+ROW()*0.000000001</f>
        <v>-8.12010049564953</v>
      </c>
      <c r="Z856" s="55" t="n">
        <f aca="false">X856+ROW()*0.000000001</f>
        <v>41.5453843787273</v>
      </c>
    </row>
    <row r="857" customFormat="false" ht="15" hidden="false" customHeight="false" outlineLevel="0" collapsed="false">
      <c r="A857" s="0" t="n">
        <v>2</v>
      </c>
      <c r="B857" s="0" t="n">
        <v>16</v>
      </c>
      <c r="C857" s="0" t="n">
        <v>2</v>
      </c>
      <c r="D857" s="0" t="n">
        <f aca="false">-1+A857*0.125</f>
        <v>-0.75</v>
      </c>
      <c r="E857" s="0" t="n">
        <f aca="false">-1+B857*0.125</f>
        <v>1</v>
      </c>
      <c r="F857" s="0" t="n">
        <f aca="false">-1+C857*0.125</f>
        <v>-0.75</v>
      </c>
      <c r="G857" s="0" t="n">
        <f aca="false">1</f>
        <v>1</v>
      </c>
      <c r="H857" s="0" t="n">
        <f aca="false">D857</f>
        <v>-0.75</v>
      </c>
      <c r="I857" s="0" t="n">
        <f aca="false">E857</f>
        <v>1</v>
      </c>
      <c r="J857" s="0" t="n">
        <f aca="false">F857</f>
        <v>-0.75</v>
      </c>
      <c r="K857" s="0" t="n">
        <f aca="false">D857*E857</f>
        <v>-0.75</v>
      </c>
      <c r="L857" s="0" t="n">
        <f aca="false">D857*F857</f>
        <v>0.5625</v>
      </c>
      <c r="M857" s="0" t="n">
        <f aca="false">E857*F857</f>
        <v>-0.75</v>
      </c>
      <c r="N857" s="0" t="n">
        <f aca="false">D857*D857</f>
        <v>0.5625</v>
      </c>
      <c r="O857" s="0" t="n">
        <f aca="false">E857*E857</f>
        <v>1</v>
      </c>
      <c r="P857" s="0" t="n">
        <f aca="false">F857*F857</f>
        <v>0.5625</v>
      </c>
      <c r="Q857" s="0" t="n">
        <f aca="false">SUMPRODUCT(G857:P857,_XtX!$B$71:$K$71)</f>
        <v>42.0273295454546</v>
      </c>
      <c r="R857" s="0" t="n">
        <f aca="false">SUMPRODUCT(MMULT(G857:P857,_XtX!$B$58:$K$67),G857:P857)</f>
        <v>0.518314985795455</v>
      </c>
      <c r="S857" s="0" t="n">
        <f aca="false">04_回帰ANOVA!$K$19*04_回帰ANOVA!$K$14*SQRT(1+R857)</f>
        <v>1.14563843495971</v>
      </c>
      <c r="T857" s="0" t="n">
        <f aca="false">Q857-S857</f>
        <v>40.8816911104949</v>
      </c>
      <c r="U857" s="0" t="n">
        <f aca="false">Q857+S857</f>
        <v>43.1729679804143</v>
      </c>
      <c r="V857" s="54" t="b">
        <f aca="false">AND(D857&gt;=01_因子設定!$L$5-0.000000001,D857&lt;=01_因子設定!$M$5+0.000000001,E857&gt;=01_因子設定!$L$6-0.000000001,E857&lt;=01_因子設定!$M$6+0.000000001,F857&gt;=01_因子設定!$L$7-0.000000001,F857&lt;=01_因子設定!$M$7+0.000000001,IF(01_因子設定!$B$20="Box-Behnken",D857^2+E857^2+F857^2&lt;=2+0.000000001,TRUE()))</f>
        <v>1</v>
      </c>
      <c r="W857" s="55" t="n">
        <f aca="false">IF(V857,IF(01_因子設定!$B$13="最大化",T857-01_因子設定!$B$14,IF(01_因子設定!$B$13="最小化",01_因子設定!$B$15-U857,MIN(T857-01_因子設定!$B$14,01_因子設定!$B$15-U857))),-1E+030)</f>
        <v>-7.61830888950515</v>
      </c>
      <c r="X857" s="55" t="n">
        <f aca="false">IF(V857,IF(01_因子設定!$B$13="最大化",Q857,IF(01_因子設定!$B$13="最小化",-Q857,-ABS(Q857-01_因子設定!$B$16))),-1E+030)</f>
        <v>42.0273295454546</v>
      </c>
      <c r="Y857" s="55" t="n">
        <f aca="false">W857+ROW()*0.000000001</f>
        <v>-7.61830803250515</v>
      </c>
      <c r="Z857" s="55" t="n">
        <f aca="false">X857+ROW()*0.000000001</f>
        <v>42.0273304024546</v>
      </c>
    </row>
    <row r="858" customFormat="false" ht="15" hidden="false" customHeight="false" outlineLevel="0" collapsed="false">
      <c r="A858" s="0" t="n">
        <v>2</v>
      </c>
      <c r="B858" s="0" t="n">
        <v>16</v>
      </c>
      <c r="C858" s="0" t="n">
        <v>3</v>
      </c>
      <c r="D858" s="0" t="n">
        <f aca="false">-1+A858*0.125</f>
        <v>-0.75</v>
      </c>
      <c r="E858" s="0" t="n">
        <f aca="false">-1+B858*0.125</f>
        <v>1</v>
      </c>
      <c r="F858" s="0" t="n">
        <f aca="false">-1+C858*0.125</f>
        <v>-0.625</v>
      </c>
      <c r="G858" s="0" t="n">
        <f aca="false">1</f>
        <v>1</v>
      </c>
      <c r="H858" s="0" t="n">
        <f aca="false">D858</f>
        <v>-0.75</v>
      </c>
      <c r="I858" s="0" t="n">
        <f aca="false">E858</f>
        <v>1</v>
      </c>
      <c r="J858" s="0" t="n">
        <f aca="false">F858</f>
        <v>-0.625</v>
      </c>
      <c r="K858" s="0" t="n">
        <f aca="false">D858*E858</f>
        <v>-0.75</v>
      </c>
      <c r="L858" s="0" t="n">
        <f aca="false">D858*F858</f>
        <v>0.46875</v>
      </c>
      <c r="M858" s="0" t="n">
        <f aca="false">E858*F858</f>
        <v>-0.625</v>
      </c>
      <c r="N858" s="0" t="n">
        <f aca="false">D858*D858</f>
        <v>0.5625</v>
      </c>
      <c r="O858" s="0" t="n">
        <f aca="false">E858*E858</f>
        <v>1</v>
      </c>
      <c r="P858" s="0" t="n">
        <f aca="false">F858*F858</f>
        <v>0.390625</v>
      </c>
      <c r="Q858" s="0" t="n">
        <f aca="false">SUMPRODUCT(G858:P858,_XtX!$B$71:$K$71)</f>
        <v>42.4724857954546</v>
      </c>
      <c r="R858" s="0" t="n">
        <f aca="false">SUMPRODUCT(MMULT(G858:P858,_XtX!$B$58:$K$67),G858:P858)</f>
        <v>0.496855024857955</v>
      </c>
      <c r="S858" s="0" t="n">
        <f aca="false">04_回帰ANOVA!$K$19*04_回帰ANOVA!$K$14*SQRT(1+R858)</f>
        <v>1.1375133593161</v>
      </c>
      <c r="T858" s="0" t="n">
        <f aca="false">Q858-S858</f>
        <v>41.3349724361385</v>
      </c>
      <c r="U858" s="0" t="n">
        <f aca="false">Q858+S858</f>
        <v>43.6099991547707</v>
      </c>
      <c r="V858" s="54" t="b">
        <f aca="false">AND(D858&gt;=01_因子設定!$L$5-0.000000001,D858&lt;=01_因子設定!$M$5+0.000000001,E858&gt;=01_因子設定!$L$6-0.000000001,E858&lt;=01_因子設定!$M$6+0.000000001,F858&gt;=01_因子設定!$L$7-0.000000001,F858&lt;=01_因子設定!$M$7+0.000000001,IF(01_因子設定!$B$20="Box-Behnken",D858^2+E858^2+F858^2&lt;=2+0.000000001,TRUE()))</f>
        <v>1</v>
      </c>
      <c r="W858" s="55" t="n">
        <f aca="false">IF(V858,IF(01_因子設定!$B$13="最大化",T858-01_因子設定!$B$14,IF(01_因子設定!$B$13="最小化",01_因子設定!$B$15-U858,MIN(T858-01_因子設定!$B$14,01_因子設定!$B$15-U858))),-1E+030)</f>
        <v>-7.16502756386154</v>
      </c>
      <c r="X858" s="55" t="n">
        <f aca="false">IF(V858,IF(01_因子設定!$B$13="最大化",Q858,IF(01_因子設定!$B$13="最小化",-Q858,-ABS(Q858-01_因子設定!$B$16))),-1E+030)</f>
        <v>42.4724857954546</v>
      </c>
      <c r="Y858" s="55" t="n">
        <f aca="false">W858+ROW()*0.000000001</f>
        <v>-7.16502670586154</v>
      </c>
      <c r="Z858" s="55" t="n">
        <f aca="false">X858+ROW()*0.000000001</f>
        <v>42.4724866534546</v>
      </c>
    </row>
    <row r="859" customFormat="false" ht="15" hidden="false" customHeight="false" outlineLevel="0" collapsed="false">
      <c r="A859" s="0" t="n">
        <v>2</v>
      </c>
      <c r="B859" s="0" t="n">
        <v>16</v>
      </c>
      <c r="C859" s="0" t="n">
        <v>4</v>
      </c>
      <c r="D859" s="0" t="n">
        <f aca="false">-1+A859*0.125</f>
        <v>-0.75</v>
      </c>
      <c r="E859" s="0" t="n">
        <f aca="false">-1+B859*0.125</f>
        <v>1</v>
      </c>
      <c r="F859" s="0" t="n">
        <f aca="false">-1+C859*0.125</f>
        <v>-0.5</v>
      </c>
      <c r="G859" s="0" t="n">
        <f aca="false">1</f>
        <v>1</v>
      </c>
      <c r="H859" s="0" t="n">
        <f aca="false">D859</f>
        <v>-0.75</v>
      </c>
      <c r="I859" s="0" t="n">
        <f aca="false">E859</f>
        <v>1</v>
      </c>
      <c r="J859" s="0" t="n">
        <f aca="false">F859</f>
        <v>-0.5</v>
      </c>
      <c r="K859" s="0" t="n">
        <f aca="false">D859*E859</f>
        <v>-0.75</v>
      </c>
      <c r="L859" s="0" t="n">
        <f aca="false">D859*F859</f>
        <v>0.375</v>
      </c>
      <c r="M859" s="0" t="n">
        <f aca="false">E859*F859</f>
        <v>-0.5</v>
      </c>
      <c r="N859" s="0" t="n">
        <f aca="false">D859*D859</f>
        <v>0.5625</v>
      </c>
      <c r="O859" s="0" t="n">
        <f aca="false">E859*E859</f>
        <v>1</v>
      </c>
      <c r="P859" s="0" t="n">
        <f aca="false">F859*F859</f>
        <v>0.25</v>
      </c>
      <c r="Q859" s="0" t="n">
        <f aca="false">SUMPRODUCT(G859:P859,_XtX!$B$71:$K$71)</f>
        <v>42.8808522727273</v>
      </c>
      <c r="R859" s="0" t="n">
        <f aca="false">SUMPRODUCT(MMULT(G859:P859,_XtX!$B$58:$K$67),G859:P859)</f>
        <v>0.495276988636364</v>
      </c>
      <c r="S859" s="0" t="n">
        <f aca="false">04_回帰ANOVA!$K$19*04_回帰ANOVA!$K$14*SQRT(1+R859)</f>
        <v>1.13691359828352</v>
      </c>
      <c r="T859" s="0" t="n">
        <f aca="false">Q859-S859</f>
        <v>41.7439386744438</v>
      </c>
      <c r="U859" s="0" t="n">
        <f aca="false">Q859+S859</f>
        <v>44.0177658710108</v>
      </c>
      <c r="V859" s="54" t="b">
        <f aca="false">AND(D859&gt;=01_因子設定!$L$5-0.000000001,D859&lt;=01_因子設定!$M$5+0.000000001,E859&gt;=01_因子設定!$L$6-0.000000001,E859&lt;=01_因子設定!$M$6+0.000000001,F859&gt;=01_因子設定!$L$7-0.000000001,F859&lt;=01_因子設定!$M$7+0.000000001,IF(01_因子設定!$B$20="Box-Behnken",D859^2+E859^2+F859^2&lt;=2+0.000000001,TRUE()))</f>
        <v>1</v>
      </c>
      <c r="W859" s="55" t="n">
        <f aca="false">IF(V859,IF(01_因子設定!$B$13="最大化",T859-01_因子設定!$B$14,IF(01_因子設定!$B$13="最小化",01_因子設定!$B$15-U859,MIN(T859-01_因子設定!$B$14,01_因子設定!$B$15-U859))),-1E+030)</f>
        <v>-6.75606132555624</v>
      </c>
      <c r="X859" s="55" t="n">
        <f aca="false">IF(V859,IF(01_因子設定!$B$13="最大化",Q859,IF(01_因子設定!$B$13="最小化",-Q859,-ABS(Q859-01_因子設定!$B$16))),-1E+030)</f>
        <v>42.8808522727273</v>
      </c>
      <c r="Y859" s="55" t="n">
        <f aca="false">W859+ROW()*0.000000001</f>
        <v>-6.75606046655624</v>
      </c>
      <c r="Z859" s="55" t="n">
        <f aca="false">X859+ROW()*0.000000001</f>
        <v>42.8808531317273</v>
      </c>
    </row>
    <row r="860" customFormat="false" ht="15" hidden="false" customHeight="false" outlineLevel="0" collapsed="false">
      <c r="A860" s="0" t="n">
        <v>2</v>
      </c>
      <c r="B860" s="0" t="n">
        <v>16</v>
      </c>
      <c r="C860" s="0" t="n">
        <v>5</v>
      </c>
      <c r="D860" s="0" t="n">
        <f aca="false">-1+A860*0.125</f>
        <v>-0.75</v>
      </c>
      <c r="E860" s="0" t="n">
        <f aca="false">-1+B860*0.125</f>
        <v>1</v>
      </c>
      <c r="F860" s="0" t="n">
        <f aca="false">-1+C860*0.125</f>
        <v>-0.375</v>
      </c>
      <c r="G860" s="0" t="n">
        <f aca="false">1</f>
        <v>1</v>
      </c>
      <c r="H860" s="0" t="n">
        <f aca="false">D860</f>
        <v>-0.75</v>
      </c>
      <c r="I860" s="0" t="n">
        <f aca="false">E860</f>
        <v>1</v>
      </c>
      <c r="J860" s="0" t="n">
        <f aca="false">F860</f>
        <v>-0.375</v>
      </c>
      <c r="K860" s="0" t="n">
        <f aca="false">D860*E860</f>
        <v>-0.75</v>
      </c>
      <c r="L860" s="0" t="n">
        <f aca="false">D860*F860</f>
        <v>0.28125</v>
      </c>
      <c r="M860" s="0" t="n">
        <f aca="false">E860*F860</f>
        <v>-0.375</v>
      </c>
      <c r="N860" s="0" t="n">
        <f aca="false">D860*D860</f>
        <v>0.5625</v>
      </c>
      <c r="O860" s="0" t="n">
        <f aca="false">E860*E860</f>
        <v>1</v>
      </c>
      <c r="P860" s="0" t="n">
        <f aca="false">F860*F860</f>
        <v>0.140625</v>
      </c>
      <c r="Q860" s="0" t="n">
        <f aca="false">SUMPRODUCT(G860:P860,_XtX!$B$71:$K$71)</f>
        <v>43.2524289772727</v>
      </c>
      <c r="R860" s="0" t="n">
        <f aca="false">SUMPRODUCT(MMULT(G860:P860,_XtX!$B$58:$K$67),G860:P860)</f>
        <v>0.503992808948864</v>
      </c>
      <c r="S860" s="0" t="n">
        <f aca="false">04_回帰ANOVA!$K$19*04_回帰ANOVA!$K$14*SQRT(1+R860)</f>
        <v>1.14022226176226</v>
      </c>
      <c r="T860" s="0" t="n">
        <f aca="false">Q860-S860</f>
        <v>42.1122067155105</v>
      </c>
      <c r="U860" s="0" t="n">
        <f aca="false">Q860+S860</f>
        <v>44.392651239035</v>
      </c>
      <c r="V860" s="54" t="b">
        <f aca="false">AND(D860&gt;=01_因子設定!$L$5-0.000000001,D860&lt;=01_因子設定!$M$5+0.000000001,E860&gt;=01_因子設定!$L$6-0.000000001,E860&lt;=01_因子設定!$M$6+0.000000001,F860&gt;=01_因子設定!$L$7-0.000000001,F860&lt;=01_因子設定!$M$7+0.000000001,IF(01_因子設定!$B$20="Box-Behnken",D860^2+E860^2+F860^2&lt;=2+0.000000001,TRUE()))</f>
        <v>1</v>
      </c>
      <c r="W860" s="55" t="n">
        <f aca="false">IF(V860,IF(01_因子設定!$B$13="最大化",T860-01_因子設定!$B$14,IF(01_因子設定!$B$13="最小化",01_因子設定!$B$15-U860,MIN(T860-01_因子設定!$B$14,01_因子設定!$B$15-U860))),-1E+030)</f>
        <v>-6.38779328448953</v>
      </c>
      <c r="X860" s="55" t="n">
        <f aca="false">IF(V860,IF(01_因子設定!$B$13="最大化",Q860,IF(01_因子設定!$B$13="最小化",-Q860,-ABS(Q860-01_因子設定!$B$16))),-1E+030)</f>
        <v>43.2524289772727</v>
      </c>
      <c r="Y860" s="55" t="n">
        <f aca="false">W860+ROW()*0.000000001</f>
        <v>-6.38779242448953</v>
      </c>
      <c r="Z860" s="55" t="n">
        <f aca="false">X860+ROW()*0.000000001</f>
        <v>43.2524298372727</v>
      </c>
    </row>
    <row r="861" customFormat="false" ht="15" hidden="false" customHeight="false" outlineLevel="0" collapsed="false">
      <c r="A861" s="0" t="n">
        <v>2</v>
      </c>
      <c r="B861" s="0" t="n">
        <v>16</v>
      </c>
      <c r="C861" s="0" t="n">
        <v>6</v>
      </c>
      <c r="D861" s="0" t="n">
        <f aca="false">-1+A861*0.125</f>
        <v>-0.75</v>
      </c>
      <c r="E861" s="0" t="n">
        <f aca="false">-1+B861*0.125</f>
        <v>1</v>
      </c>
      <c r="F861" s="0" t="n">
        <f aca="false">-1+C861*0.125</f>
        <v>-0.25</v>
      </c>
      <c r="G861" s="0" t="n">
        <f aca="false">1</f>
        <v>1</v>
      </c>
      <c r="H861" s="0" t="n">
        <f aca="false">D861</f>
        <v>-0.75</v>
      </c>
      <c r="I861" s="0" t="n">
        <f aca="false">E861</f>
        <v>1</v>
      </c>
      <c r="J861" s="0" t="n">
        <f aca="false">F861</f>
        <v>-0.25</v>
      </c>
      <c r="K861" s="0" t="n">
        <f aca="false">D861*E861</f>
        <v>-0.75</v>
      </c>
      <c r="L861" s="0" t="n">
        <f aca="false">D861*F861</f>
        <v>0.1875</v>
      </c>
      <c r="M861" s="0" t="n">
        <f aca="false">E861*F861</f>
        <v>-0.25</v>
      </c>
      <c r="N861" s="0" t="n">
        <f aca="false">D861*D861</f>
        <v>0.5625</v>
      </c>
      <c r="O861" s="0" t="n">
        <f aca="false">E861*E861</f>
        <v>1</v>
      </c>
      <c r="P861" s="0" t="n">
        <f aca="false">F861*F861</f>
        <v>0.0625</v>
      </c>
      <c r="Q861" s="0" t="n">
        <f aca="false">SUMPRODUCT(G861:P861,_XtX!$B$71:$K$71)</f>
        <v>43.5872159090909</v>
      </c>
      <c r="R861" s="0" t="n">
        <f aca="false">SUMPRODUCT(MMULT(G861:P861,_XtX!$B$58:$K$67),G861:P861)</f>
        <v>0.515545099431818</v>
      </c>
      <c r="S861" s="0" t="n">
        <f aca="false">04_回帰ANOVA!$K$19*04_回帰ANOVA!$K$14*SQRT(1+R861)</f>
        <v>1.14459295464101</v>
      </c>
      <c r="T861" s="0" t="n">
        <f aca="false">Q861-S861</f>
        <v>42.4426229544499</v>
      </c>
      <c r="U861" s="0" t="n">
        <f aca="false">Q861+S861</f>
        <v>44.7318088637319</v>
      </c>
      <c r="V861" s="54" t="b">
        <f aca="false">AND(D861&gt;=01_因子設定!$L$5-0.000000001,D861&lt;=01_因子設定!$M$5+0.000000001,E861&gt;=01_因子設定!$L$6-0.000000001,E861&lt;=01_因子設定!$M$6+0.000000001,F861&gt;=01_因子設定!$L$7-0.000000001,F861&lt;=01_因子設定!$M$7+0.000000001,IF(01_因子設定!$B$20="Box-Behnken",D861^2+E861^2+F861^2&lt;=2+0.000000001,TRUE()))</f>
        <v>1</v>
      </c>
      <c r="W861" s="55" t="n">
        <f aca="false">IF(V861,IF(01_因子設定!$B$13="最大化",T861-01_因子設定!$B$14,IF(01_因子設定!$B$13="最小化",01_因子設定!$B$15-U861,MIN(T861-01_因子設定!$B$14,01_因子設定!$B$15-U861))),-1E+030)</f>
        <v>-6.05737704555011</v>
      </c>
      <c r="X861" s="55" t="n">
        <f aca="false">IF(V861,IF(01_因子設定!$B$13="最大化",Q861,IF(01_因子設定!$B$13="最小化",-Q861,-ABS(Q861-01_因子設定!$B$16))),-1E+030)</f>
        <v>43.5872159090909</v>
      </c>
      <c r="Y861" s="55" t="n">
        <f aca="false">W861+ROW()*0.000000001</f>
        <v>-6.05737618455011</v>
      </c>
      <c r="Z861" s="55" t="n">
        <f aca="false">X861+ROW()*0.000000001</f>
        <v>43.5872167700909</v>
      </c>
    </row>
    <row r="862" customFormat="false" ht="15" hidden="false" customHeight="false" outlineLevel="0" collapsed="false">
      <c r="A862" s="0" t="n">
        <v>2</v>
      </c>
      <c r="B862" s="0" t="n">
        <v>16</v>
      </c>
      <c r="C862" s="0" t="n">
        <v>7</v>
      </c>
      <c r="D862" s="0" t="n">
        <f aca="false">-1+A862*0.125</f>
        <v>-0.75</v>
      </c>
      <c r="E862" s="0" t="n">
        <f aca="false">-1+B862*0.125</f>
        <v>1</v>
      </c>
      <c r="F862" s="0" t="n">
        <f aca="false">-1+C862*0.125</f>
        <v>-0.125</v>
      </c>
      <c r="G862" s="0" t="n">
        <f aca="false">1</f>
        <v>1</v>
      </c>
      <c r="H862" s="0" t="n">
        <f aca="false">D862</f>
        <v>-0.75</v>
      </c>
      <c r="I862" s="0" t="n">
        <f aca="false">E862</f>
        <v>1</v>
      </c>
      <c r="J862" s="0" t="n">
        <f aca="false">F862</f>
        <v>-0.125</v>
      </c>
      <c r="K862" s="0" t="n">
        <f aca="false">D862*E862</f>
        <v>-0.75</v>
      </c>
      <c r="L862" s="0" t="n">
        <f aca="false">D862*F862</f>
        <v>0.09375</v>
      </c>
      <c r="M862" s="0" t="n">
        <f aca="false">E862*F862</f>
        <v>-0.125</v>
      </c>
      <c r="N862" s="0" t="n">
        <f aca="false">D862*D862</f>
        <v>0.5625</v>
      </c>
      <c r="O862" s="0" t="n">
        <f aca="false">E862*E862</f>
        <v>1</v>
      </c>
      <c r="P862" s="0" t="n">
        <f aca="false">F862*F862</f>
        <v>0.015625</v>
      </c>
      <c r="Q862" s="0" t="n">
        <f aca="false">SUMPRODUCT(G862:P862,_XtX!$B$71:$K$71)</f>
        <v>43.8852130681818</v>
      </c>
      <c r="R862" s="0" t="n">
        <f aca="false">SUMPRODUCT(MMULT(G862:P862,_XtX!$B$58:$K$67),G862:P862)</f>
        <v>0.524607155539773</v>
      </c>
      <c r="S862" s="0" t="n">
        <f aca="false">04_回帰ANOVA!$K$19*04_回帰ANOVA!$K$14*SQRT(1+R862)</f>
        <v>1.14800984623412</v>
      </c>
      <c r="T862" s="0" t="n">
        <f aca="false">Q862-S862</f>
        <v>42.7372032219477</v>
      </c>
      <c r="U862" s="0" t="n">
        <f aca="false">Q862+S862</f>
        <v>45.0332229144159</v>
      </c>
      <c r="V862" s="54" t="b">
        <f aca="false">AND(D862&gt;=01_因子設定!$L$5-0.000000001,D862&lt;=01_因子設定!$M$5+0.000000001,E862&gt;=01_因子設定!$L$6-0.000000001,E862&lt;=01_因子設定!$M$6+0.000000001,F862&gt;=01_因子設定!$L$7-0.000000001,F862&lt;=01_因子設定!$M$7+0.000000001,IF(01_因子設定!$B$20="Box-Behnken",D862^2+E862^2+F862^2&lt;=2+0.000000001,TRUE()))</f>
        <v>1</v>
      </c>
      <c r="W862" s="55" t="n">
        <f aca="false">IF(V862,IF(01_因子設定!$B$13="最大化",T862-01_因子設定!$B$14,IF(01_因子設定!$B$13="最小化",01_因子設定!$B$15-U862,MIN(T862-01_因子設定!$B$14,01_因子設定!$B$15-U862))),-1E+030)</f>
        <v>-5.7627967780523</v>
      </c>
      <c r="X862" s="55" t="n">
        <f aca="false">IF(V862,IF(01_因子設定!$B$13="最大化",Q862,IF(01_因子設定!$B$13="最小化",-Q862,-ABS(Q862-01_因子設定!$B$16))),-1E+030)</f>
        <v>43.8852130681818</v>
      </c>
      <c r="Y862" s="55" t="n">
        <f aca="false">W862+ROW()*0.000000001</f>
        <v>-5.7627959160523</v>
      </c>
      <c r="Z862" s="55" t="n">
        <f aca="false">X862+ROW()*0.000000001</f>
        <v>43.8852139301818</v>
      </c>
    </row>
    <row r="863" customFormat="false" ht="15" hidden="false" customHeight="false" outlineLevel="0" collapsed="false">
      <c r="A863" s="0" t="n">
        <v>2</v>
      </c>
      <c r="B863" s="0" t="n">
        <v>16</v>
      </c>
      <c r="C863" s="0" t="n">
        <v>8</v>
      </c>
      <c r="D863" s="0" t="n">
        <f aca="false">-1+A863*0.125</f>
        <v>-0.75</v>
      </c>
      <c r="E863" s="0" t="n">
        <f aca="false">-1+B863*0.125</f>
        <v>1</v>
      </c>
      <c r="F863" s="0" t="n">
        <f aca="false">-1+C863*0.125</f>
        <v>0</v>
      </c>
      <c r="G863" s="0" t="n">
        <f aca="false">1</f>
        <v>1</v>
      </c>
      <c r="H863" s="0" t="n">
        <f aca="false">D863</f>
        <v>-0.75</v>
      </c>
      <c r="I863" s="0" t="n">
        <f aca="false">E863</f>
        <v>1</v>
      </c>
      <c r="J863" s="0" t="n">
        <f aca="false">F863</f>
        <v>0</v>
      </c>
      <c r="K863" s="0" t="n">
        <f aca="false">D863*E863</f>
        <v>-0.75</v>
      </c>
      <c r="L863" s="0" t="n">
        <f aca="false">D863*F863</f>
        <v>-0</v>
      </c>
      <c r="M863" s="0" t="n">
        <f aca="false">E863*F863</f>
        <v>0</v>
      </c>
      <c r="N863" s="0" t="n">
        <f aca="false">D863*D863</f>
        <v>0.5625</v>
      </c>
      <c r="O863" s="0" t="n">
        <f aca="false">E863*E863</f>
        <v>1</v>
      </c>
      <c r="P863" s="0" t="n">
        <f aca="false">F863*F863</f>
        <v>0</v>
      </c>
      <c r="Q863" s="0" t="n">
        <f aca="false">SUMPRODUCT(G863:P863,_XtX!$B$71:$K$71)</f>
        <v>44.1464204545455</v>
      </c>
      <c r="R863" s="0" t="n">
        <f aca="false">SUMPRODUCT(MMULT(G863:P863,_XtX!$B$58:$K$67),G863:P863)</f>
        <v>0.527982954545455</v>
      </c>
      <c r="S863" s="0" t="n">
        <f aca="false">04_回帰ANOVA!$K$19*04_回帰ANOVA!$K$14*SQRT(1+R863)</f>
        <v>1.14928011037747</v>
      </c>
      <c r="T863" s="0" t="n">
        <f aca="false">Q863-S863</f>
        <v>42.997140344168</v>
      </c>
      <c r="U863" s="0" t="n">
        <f aca="false">Q863+S863</f>
        <v>45.2957005649229</v>
      </c>
      <c r="V863" s="54" t="b">
        <f aca="false">AND(D863&gt;=01_因子設定!$L$5-0.000000001,D863&lt;=01_因子設定!$M$5+0.000000001,E863&gt;=01_因子設定!$L$6-0.000000001,E863&lt;=01_因子設定!$M$6+0.000000001,F863&gt;=01_因子設定!$L$7-0.000000001,F863&lt;=01_因子設定!$M$7+0.000000001,IF(01_因子設定!$B$20="Box-Behnken",D863^2+E863^2+F863^2&lt;=2+0.000000001,TRUE()))</f>
        <v>1</v>
      </c>
      <c r="W863" s="55" t="n">
        <f aca="false">IF(V863,IF(01_因子設定!$B$13="最大化",T863-01_因子設定!$B$14,IF(01_因子設定!$B$13="最小化",01_因子設定!$B$15-U863,MIN(T863-01_因子設定!$B$14,01_因子設定!$B$15-U863))),-1E+030)</f>
        <v>-5.50285965583202</v>
      </c>
      <c r="X863" s="55" t="n">
        <f aca="false">IF(V863,IF(01_因子設定!$B$13="最大化",Q863,IF(01_因子設定!$B$13="最小化",-Q863,-ABS(Q863-01_因子設定!$B$16))),-1E+030)</f>
        <v>44.1464204545455</v>
      </c>
      <c r="Y863" s="55" t="n">
        <f aca="false">W863+ROW()*0.000000001</f>
        <v>-5.50285879283202</v>
      </c>
      <c r="Z863" s="55" t="n">
        <f aca="false">X863+ROW()*0.000000001</f>
        <v>44.1464213175455</v>
      </c>
    </row>
    <row r="864" customFormat="false" ht="15" hidden="false" customHeight="false" outlineLevel="0" collapsed="false">
      <c r="A864" s="0" t="n">
        <v>2</v>
      </c>
      <c r="B864" s="0" t="n">
        <v>16</v>
      </c>
      <c r="C864" s="0" t="n">
        <v>9</v>
      </c>
      <c r="D864" s="0" t="n">
        <f aca="false">-1+A864*0.125</f>
        <v>-0.75</v>
      </c>
      <c r="E864" s="0" t="n">
        <f aca="false">-1+B864*0.125</f>
        <v>1</v>
      </c>
      <c r="F864" s="0" t="n">
        <f aca="false">-1+C864*0.125</f>
        <v>0.125</v>
      </c>
      <c r="G864" s="0" t="n">
        <f aca="false">1</f>
        <v>1</v>
      </c>
      <c r="H864" s="0" t="n">
        <f aca="false">D864</f>
        <v>-0.75</v>
      </c>
      <c r="I864" s="0" t="n">
        <f aca="false">E864</f>
        <v>1</v>
      </c>
      <c r="J864" s="0" t="n">
        <f aca="false">F864</f>
        <v>0.125</v>
      </c>
      <c r="K864" s="0" t="n">
        <f aca="false">D864*E864</f>
        <v>-0.75</v>
      </c>
      <c r="L864" s="0" t="n">
        <f aca="false">D864*F864</f>
        <v>-0.09375</v>
      </c>
      <c r="M864" s="0" t="n">
        <f aca="false">E864*F864</f>
        <v>0.125</v>
      </c>
      <c r="N864" s="0" t="n">
        <f aca="false">D864*D864</f>
        <v>0.5625</v>
      </c>
      <c r="O864" s="0" t="n">
        <f aca="false">E864*E864</f>
        <v>1</v>
      </c>
      <c r="P864" s="0" t="n">
        <f aca="false">F864*F864</f>
        <v>0.015625</v>
      </c>
      <c r="Q864" s="0" t="n">
        <f aca="false">SUMPRODUCT(G864:P864,_XtX!$B$71:$K$71)</f>
        <v>44.3708380681818</v>
      </c>
      <c r="R864" s="0" t="n">
        <f aca="false">SUMPRODUCT(MMULT(G864:P864,_XtX!$B$58:$K$67),G864:P864)</f>
        <v>0.524607155539773</v>
      </c>
      <c r="S864" s="0" t="n">
        <f aca="false">04_回帰ANOVA!$K$19*04_回帰ANOVA!$K$14*SQRT(1+R864)</f>
        <v>1.14800984623412</v>
      </c>
      <c r="T864" s="0" t="n">
        <f aca="false">Q864-S864</f>
        <v>43.2228282219477</v>
      </c>
      <c r="U864" s="0" t="n">
        <f aca="false">Q864+S864</f>
        <v>45.5188479144159</v>
      </c>
      <c r="V864" s="54" t="b">
        <f aca="false">AND(D864&gt;=01_因子設定!$L$5-0.000000001,D864&lt;=01_因子設定!$M$5+0.000000001,E864&gt;=01_因子設定!$L$6-0.000000001,E864&lt;=01_因子設定!$M$6+0.000000001,F864&gt;=01_因子設定!$L$7-0.000000001,F864&lt;=01_因子設定!$M$7+0.000000001,IF(01_因子設定!$B$20="Box-Behnken",D864^2+E864^2+F864^2&lt;=2+0.000000001,TRUE()))</f>
        <v>1</v>
      </c>
      <c r="W864" s="55" t="n">
        <f aca="false">IF(V864,IF(01_因子設定!$B$13="最大化",T864-01_因子設定!$B$14,IF(01_因子設定!$B$13="最小化",01_因子設定!$B$15-U864,MIN(T864-01_因子設定!$B$14,01_因子設定!$B$15-U864))),-1E+030)</f>
        <v>-5.2771717780523</v>
      </c>
      <c r="X864" s="55" t="n">
        <f aca="false">IF(V864,IF(01_因子設定!$B$13="最大化",Q864,IF(01_因子設定!$B$13="最小化",-Q864,-ABS(Q864-01_因子設定!$B$16))),-1E+030)</f>
        <v>44.3708380681818</v>
      </c>
      <c r="Y864" s="55" t="n">
        <f aca="false">W864+ROW()*0.000000001</f>
        <v>-5.2771709140523</v>
      </c>
      <c r="Z864" s="55" t="n">
        <f aca="false">X864+ROW()*0.000000001</f>
        <v>44.3708389321818</v>
      </c>
    </row>
    <row r="865" customFormat="false" ht="15" hidden="false" customHeight="false" outlineLevel="0" collapsed="false">
      <c r="A865" s="0" t="n">
        <v>2</v>
      </c>
      <c r="B865" s="0" t="n">
        <v>16</v>
      </c>
      <c r="C865" s="0" t="n">
        <v>10</v>
      </c>
      <c r="D865" s="0" t="n">
        <f aca="false">-1+A865*0.125</f>
        <v>-0.75</v>
      </c>
      <c r="E865" s="0" t="n">
        <f aca="false">-1+B865*0.125</f>
        <v>1</v>
      </c>
      <c r="F865" s="0" t="n">
        <f aca="false">-1+C865*0.125</f>
        <v>0.25</v>
      </c>
      <c r="G865" s="0" t="n">
        <f aca="false">1</f>
        <v>1</v>
      </c>
      <c r="H865" s="0" t="n">
        <f aca="false">D865</f>
        <v>-0.75</v>
      </c>
      <c r="I865" s="0" t="n">
        <f aca="false">E865</f>
        <v>1</v>
      </c>
      <c r="J865" s="0" t="n">
        <f aca="false">F865</f>
        <v>0.25</v>
      </c>
      <c r="K865" s="0" t="n">
        <f aca="false">D865*E865</f>
        <v>-0.75</v>
      </c>
      <c r="L865" s="0" t="n">
        <f aca="false">D865*F865</f>
        <v>-0.1875</v>
      </c>
      <c r="M865" s="0" t="n">
        <f aca="false">E865*F865</f>
        <v>0.25</v>
      </c>
      <c r="N865" s="0" t="n">
        <f aca="false">D865*D865</f>
        <v>0.5625</v>
      </c>
      <c r="O865" s="0" t="n">
        <f aca="false">E865*E865</f>
        <v>1</v>
      </c>
      <c r="P865" s="0" t="n">
        <f aca="false">F865*F865</f>
        <v>0.0625</v>
      </c>
      <c r="Q865" s="0" t="n">
        <f aca="false">SUMPRODUCT(G865:P865,_XtX!$B$71:$K$71)</f>
        <v>44.5584659090909</v>
      </c>
      <c r="R865" s="0" t="n">
        <f aca="false">SUMPRODUCT(MMULT(G865:P865,_XtX!$B$58:$K$67),G865:P865)</f>
        <v>0.515545099431818</v>
      </c>
      <c r="S865" s="0" t="n">
        <f aca="false">04_回帰ANOVA!$K$19*04_回帰ANOVA!$K$14*SQRT(1+R865)</f>
        <v>1.14459295464101</v>
      </c>
      <c r="T865" s="0" t="n">
        <f aca="false">Q865-S865</f>
        <v>43.4138729544499</v>
      </c>
      <c r="U865" s="0" t="n">
        <f aca="false">Q865+S865</f>
        <v>45.7030588637319</v>
      </c>
      <c r="V865" s="54" t="b">
        <f aca="false">AND(D865&gt;=01_因子設定!$L$5-0.000000001,D865&lt;=01_因子設定!$M$5+0.000000001,E865&gt;=01_因子設定!$L$6-0.000000001,E865&lt;=01_因子設定!$M$6+0.000000001,F865&gt;=01_因子設定!$L$7-0.000000001,F865&lt;=01_因子設定!$M$7+0.000000001,IF(01_因子設定!$B$20="Box-Behnken",D865^2+E865^2+F865^2&lt;=2+0.000000001,TRUE()))</f>
        <v>1</v>
      </c>
      <c r="W865" s="55" t="n">
        <f aca="false">IF(V865,IF(01_因子設定!$B$13="最大化",T865-01_因子設定!$B$14,IF(01_因子設定!$B$13="最小化",01_因子設定!$B$15-U865,MIN(T865-01_因子設定!$B$14,01_因子設定!$B$15-U865))),-1E+030)</f>
        <v>-5.0861270455501</v>
      </c>
      <c r="X865" s="55" t="n">
        <f aca="false">IF(V865,IF(01_因子設定!$B$13="最大化",Q865,IF(01_因子設定!$B$13="最小化",-Q865,-ABS(Q865-01_因子設定!$B$16))),-1E+030)</f>
        <v>44.5584659090909</v>
      </c>
      <c r="Y865" s="55" t="n">
        <f aca="false">W865+ROW()*0.000000001</f>
        <v>-5.0861261805501</v>
      </c>
      <c r="Z865" s="55" t="n">
        <f aca="false">X865+ROW()*0.000000001</f>
        <v>44.5584667740909</v>
      </c>
    </row>
    <row r="866" customFormat="false" ht="15" hidden="false" customHeight="false" outlineLevel="0" collapsed="false">
      <c r="A866" s="0" t="n">
        <v>2</v>
      </c>
      <c r="B866" s="0" t="n">
        <v>16</v>
      </c>
      <c r="C866" s="0" t="n">
        <v>11</v>
      </c>
      <c r="D866" s="0" t="n">
        <f aca="false">-1+A866*0.125</f>
        <v>-0.75</v>
      </c>
      <c r="E866" s="0" t="n">
        <f aca="false">-1+B866*0.125</f>
        <v>1</v>
      </c>
      <c r="F866" s="0" t="n">
        <f aca="false">-1+C866*0.125</f>
        <v>0.375</v>
      </c>
      <c r="G866" s="0" t="n">
        <f aca="false">1</f>
        <v>1</v>
      </c>
      <c r="H866" s="0" t="n">
        <f aca="false">D866</f>
        <v>-0.75</v>
      </c>
      <c r="I866" s="0" t="n">
        <f aca="false">E866</f>
        <v>1</v>
      </c>
      <c r="J866" s="0" t="n">
        <f aca="false">F866</f>
        <v>0.375</v>
      </c>
      <c r="K866" s="0" t="n">
        <f aca="false">D866*E866</f>
        <v>-0.75</v>
      </c>
      <c r="L866" s="0" t="n">
        <f aca="false">D866*F866</f>
        <v>-0.28125</v>
      </c>
      <c r="M866" s="0" t="n">
        <f aca="false">E866*F866</f>
        <v>0.375</v>
      </c>
      <c r="N866" s="0" t="n">
        <f aca="false">D866*D866</f>
        <v>0.5625</v>
      </c>
      <c r="O866" s="0" t="n">
        <f aca="false">E866*E866</f>
        <v>1</v>
      </c>
      <c r="P866" s="0" t="n">
        <f aca="false">F866*F866</f>
        <v>0.140625</v>
      </c>
      <c r="Q866" s="0" t="n">
        <f aca="false">SUMPRODUCT(G866:P866,_XtX!$B$71:$K$71)</f>
        <v>44.7093039772727</v>
      </c>
      <c r="R866" s="0" t="n">
        <f aca="false">SUMPRODUCT(MMULT(G866:P866,_XtX!$B$58:$K$67),G866:P866)</f>
        <v>0.503992808948864</v>
      </c>
      <c r="S866" s="0" t="n">
        <f aca="false">04_回帰ANOVA!$K$19*04_回帰ANOVA!$K$14*SQRT(1+R866)</f>
        <v>1.14022226176226</v>
      </c>
      <c r="T866" s="0" t="n">
        <f aca="false">Q866-S866</f>
        <v>43.5690817155105</v>
      </c>
      <c r="U866" s="0" t="n">
        <f aca="false">Q866+S866</f>
        <v>45.849526239035</v>
      </c>
      <c r="V866" s="54" t="b">
        <f aca="false">AND(D866&gt;=01_因子設定!$L$5-0.000000001,D866&lt;=01_因子設定!$M$5+0.000000001,E866&gt;=01_因子設定!$L$6-0.000000001,E866&lt;=01_因子設定!$M$6+0.000000001,F866&gt;=01_因子設定!$L$7-0.000000001,F866&lt;=01_因子設定!$M$7+0.000000001,IF(01_因子設定!$B$20="Box-Behnken",D866^2+E866^2+F866^2&lt;=2+0.000000001,TRUE()))</f>
        <v>1</v>
      </c>
      <c r="W866" s="55" t="n">
        <f aca="false">IF(V866,IF(01_因子設定!$B$13="最大化",T866-01_因子設定!$B$14,IF(01_因子設定!$B$13="最小化",01_因子設定!$B$15-U866,MIN(T866-01_因子設定!$B$14,01_因子設定!$B$15-U866))),-1E+030)</f>
        <v>-4.93091828448953</v>
      </c>
      <c r="X866" s="55" t="n">
        <f aca="false">IF(V866,IF(01_因子設定!$B$13="最大化",Q866,IF(01_因子設定!$B$13="最小化",-Q866,-ABS(Q866-01_因子設定!$B$16))),-1E+030)</f>
        <v>44.7093039772727</v>
      </c>
      <c r="Y866" s="55" t="n">
        <f aca="false">W866+ROW()*0.000000001</f>
        <v>-4.93091741848953</v>
      </c>
      <c r="Z866" s="55" t="n">
        <f aca="false">X866+ROW()*0.000000001</f>
        <v>44.7093048432727</v>
      </c>
    </row>
    <row r="867" customFormat="false" ht="15" hidden="false" customHeight="false" outlineLevel="0" collapsed="false">
      <c r="A867" s="0" t="n">
        <v>2</v>
      </c>
      <c r="B867" s="0" t="n">
        <v>16</v>
      </c>
      <c r="C867" s="0" t="n">
        <v>12</v>
      </c>
      <c r="D867" s="0" t="n">
        <f aca="false">-1+A867*0.125</f>
        <v>-0.75</v>
      </c>
      <c r="E867" s="0" t="n">
        <f aca="false">-1+B867*0.125</f>
        <v>1</v>
      </c>
      <c r="F867" s="0" t="n">
        <f aca="false">-1+C867*0.125</f>
        <v>0.5</v>
      </c>
      <c r="G867" s="0" t="n">
        <f aca="false">1</f>
        <v>1</v>
      </c>
      <c r="H867" s="0" t="n">
        <f aca="false">D867</f>
        <v>-0.75</v>
      </c>
      <c r="I867" s="0" t="n">
        <f aca="false">E867</f>
        <v>1</v>
      </c>
      <c r="J867" s="0" t="n">
        <f aca="false">F867</f>
        <v>0.5</v>
      </c>
      <c r="K867" s="0" t="n">
        <f aca="false">D867*E867</f>
        <v>-0.75</v>
      </c>
      <c r="L867" s="0" t="n">
        <f aca="false">D867*F867</f>
        <v>-0.375</v>
      </c>
      <c r="M867" s="0" t="n">
        <f aca="false">E867*F867</f>
        <v>0.5</v>
      </c>
      <c r="N867" s="0" t="n">
        <f aca="false">D867*D867</f>
        <v>0.5625</v>
      </c>
      <c r="O867" s="0" t="n">
        <f aca="false">E867*E867</f>
        <v>1</v>
      </c>
      <c r="P867" s="0" t="n">
        <f aca="false">F867*F867</f>
        <v>0.25</v>
      </c>
      <c r="Q867" s="0" t="n">
        <f aca="false">SUMPRODUCT(G867:P867,_XtX!$B$71:$K$71)</f>
        <v>44.8233522727273</v>
      </c>
      <c r="R867" s="0" t="n">
        <f aca="false">SUMPRODUCT(MMULT(G867:P867,_XtX!$B$58:$K$67),G867:P867)</f>
        <v>0.495276988636364</v>
      </c>
      <c r="S867" s="0" t="n">
        <f aca="false">04_回帰ANOVA!$K$19*04_回帰ANOVA!$K$14*SQRT(1+R867)</f>
        <v>1.13691359828352</v>
      </c>
      <c r="T867" s="0" t="n">
        <f aca="false">Q867-S867</f>
        <v>43.6864386744438</v>
      </c>
      <c r="U867" s="0" t="n">
        <f aca="false">Q867+S867</f>
        <v>45.9602658710108</v>
      </c>
      <c r="V867" s="54" t="b">
        <f aca="false">AND(D867&gt;=01_因子設定!$L$5-0.000000001,D867&lt;=01_因子設定!$M$5+0.000000001,E867&gt;=01_因子設定!$L$6-0.000000001,E867&lt;=01_因子設定!$M$6+0.000000001,F867&gt;=01_因子設定!$L$7-0.000000001,F867&lt;=01_因子設定!$M$7+0.000000001,IF(01_因子設定!$B$20="Box-Behnken",D867^2+E867^2+F867^2&lt;=2+0.000000001,TRUE()))</f>
        <v>1</v>
      </c>
      <c r="W867" s="55" t="n">
        <f aca="false">IF(V867,IF(01_因子設定!$B$13="最大化",T867-01_因子設定!$B$14,IF(01_因子設定!$B$13="最小化",01_因子設定!$B$15-U867,MIN(T867-01_因子設定!$B$14,01_因子設定!$B$15-U867))),-1E+030)</f>
        <v>-4.81356132555624</v>
      </c>
      <c r="X867" s="55" t="n">
        <f aca="false">IF(V867,IF(01_因子設定!$B$13="最大化",Q867,IF(01_因子設定!$B$13="最小化",-Q867,-ABS(Q867-01_因子設定!$B$16))),-1E+030)</f>
        <v>44.8233522727273</v>
      </c>
      <c r="Y867" s="55" t="n">
        <f aca="false">W867+ROW()*0.000000001</f>
        <v>-4.81356045855624</v>
      </c>
      <c r="Z867" s="55" t="n">
        <f aca="false">X867+ROW()*0.000000001</f>
        <v>44.8233531397273</v>
      </c>
    </row>
    <row r="868" customFormat="false" ht="15" hidden="false" customHeight="false" outlineLevel="0" collapsed="false">
      <c r="A868" s="0" t="n">
        <v>2</v>
      </c>
      <c r="B868" s="0" t="n">
        <v>16</v>
      </c>
      <c r="C868" s="0" t="n">
        <v>13</v>
      </c>
      <c r="D868" s="0" t="n">
        <f aca="false">-1+A868*0.125</f>
        <v>-0.75</v>
      </c>
      <c r="E868" s="0" t="n">
        <f aca="false">-1+B868*0.125</f>
        <v>1</v>
      </c>
      <c r="F868" s="0" t="n">
        <f aca="false">-1+C868*0.125</f>
        <v>0.625</v>
      </c>
      <c r="G868" s="0" t="n">
        <f aca="false">1</f>
        <v>1</v>
      </c>
      <c r="H868" s="0" t="n">
        <f aca="false">D868</f>
        <v>-0.75</v>
      </c>
      <c r="I868" s="0" t="n">
        <f aca="false">E868</f>
        <v>1</v>
      </c>
      <c r="J868" s="0" t="n">
        <f aca="false">F868</f>
        <v>0.625</v>
      </c>
      <c r="K868" s="0" t="n">
        <f aca="false">D868*E868</f>
        <v>-0.75</v>
      </c>
      <c r="L868" s="0" t="n">
        <f aca="false">D868*F868</f>
        <v>-0.46875</v>
      </c>
      <c r="M868" s="0" t="n">
        <f aca="false">E868*F868</f>
        <v>0.625</v>
      </c>
      <c r="N868" s="0" t="n">
        <f aca="false">D868*D868</f>
        <v>0.5625</v>
      </c>
      <c r="O868" s="0" t="n">
        <f aca="false">E868*E868</f>
        <v>1</v>
      </c>
      <c r="P868" s="0" t="n">
        <f aca="false">F868*F868</f>
        <v>0.390625</v>
      </c>
      <c r="Q868" s="0" t="n">
        <f aca="false">SUMPRODUCT(G868:P868,_XtX!$B$71:$K$71)</f>
        <v>44.9006107954546</v>
      </c>
      <c r="R868" s="0" t="n">
        <f aca="false">SUMPRODUCT(MMULT(G868:P868,_XtX!$B$58:$K$67),G868:P868)</f>
        <v>0.496855024857955</v>
      </c>
      <c r="S868" s="0" t="n">
        <f aca="false">04_回帰ANOVA!$K$19*04_回帰ANOVA!$K$14*SQRT(1+R868)</f>
        <v>1.1375133593161</v>
      </c>
      <c r="T868" s="0" t="n">
        <f aca="false">Q868-S868</f>
        <v>43.7630974361385</v>
      </c>
      <c r="U868" s="0" t="n">
        <f aca="false">Q868+S868</f>
        <v>46.0381241547707</v>
      </c>
      <c r="V868" s="54" t="b">
        <f aca="false">AND(D868&gt;=01_因子設定!$L$5-0.000000001,D868&lt;=01_因子設定!$M$5+0.000000001,E868&gt;=01_因子設定!$L$6-0.000000001,E868&lt;=01_因子設定!$M$6+0.000000001,F868&gt;=01_因子設定!$L$7-0.000000001,F868&lt;=01_因子設定!$M$7+0.000000001,IF(01_因子設定!$B$20="Box-Behnken",D868^2+E868^2+F868^2&lt;=2+0.000000001,TRUE()))</f>
        <v>1</v>
      </c>
      <c r="W868" s="55" t="n">
        <f aca="false">IF(V868,IF(01_因子設定!$B$13="最大化",T868-01_因子設定!$B$14,IF(01_因子設定!$B$13="最小化",01_因子設定!$B$15-U868,MIN(T868-01_因子設定!$B$14,01_因子設定!$B$15-U868))),-1E+030)</f>
        <v>-4.73690256386155</v>
      </c>
      <c r="X868" s="55" t="n">
        <f aca="false">IF(V868,IF(01_因子設定!$B$13="最大化",Q868,IF(01_因子設定!$B$13="最小化",-Q868,-ABS(Q868-01_因子設定!$B$16))),-1E+030)</f>
        <v>44.9006107954546</v>
      </c>
      <c r="Y868" s="55" t="n">
        <f aca="false">W868+ROW()*0.000000001</f>
        <v>-4.73690169586155</v>
      </c>
      <c r="Z868" s="55" t="n">
        <f aca="false">X868+ROW()*0.000000001</f>
        <v>44.9006116634546</v>
      </c>
    </row>
    <row r="869" customFormat="false" ht="15" hidden="false" customHeight="false" outlineLevel="0" collapsed="false">
      <c r="A869" s="0" t="n">
        <v>2</v>
      </c>
      <c r="B869" s="0" t="n">
        <v>16</v>
      </c>
      <c r="C869" s="0" t="n">
        <v>14</v>
      </c>
      <c r="D869" s="0" t="n">
        <f aca="false">-1+A869*0.125</f>
        <v>-0.75</v>
      </c>
      <c r="E869" s="0" t="n">
        <f aca="false">-1+B869*0.125</f>
        <v>1</v>
      </c>
      <c r="F869" s="0" t="n">
        <f aca="false">-1+C869*0.125</f>
        <v>0.75</v>
      </c>
      <c r="G869" s="0" t="n">
        <f aca="false">1</f>
        <v>1</v>
      </c>
      <c r="H869" s="0" t="n">
        <f aca="false">D869</f>
        <v>-0.75</v>
      </c>
      <c r="I869" s="0" t="n">
        <f aca="false">E869</f>
        <v>1</v>
      </c>
      <c r="J869" s="0" t="n">
        <f aca="false">F869</f>
        <v>0.75</v>
      </c>
      <c r="K869" s="0" t="n">
        <f aca="false">D869*E869</f>
        <v>-0.75</v>
      </c>
      <c r="L869" s="0" t="n">
        <f aca="false">D869*F869</f>
        <v>-0.5625</v>
      </c>
      <c r="M869" s="0" t="n">
        <f aca="false">E869*F869</f>
        <v>0.75</v>
      </c>
      <c r="N869" s="0" t="n">
        <f aca="false">D869*D869</f>
        <v>0.5625</v>
      </c>
      <c r="O869" s="0" t="n">
        <f aca="false">E869*E869</f>
        <v>1</v>
      </c>
      <c r="P869" s="0" t="n">
        <f aca="false">F869*F869</f>
        <v>0.5625</v>
      </c>
      <c r="Q869" s="0" t="n">
        <f aca="false">SUMPRODUCT(G869:P869,_XtX!$B$71:$K$71)</f>
        <v>44.9410795454546</v>
      </c>
      <c r="R869" s="0" t="n">
        <f aca="false">SUMPRODUCT(MMULT(G869:P869,_XtX!$B$58:$K$67),G869:P869)</f>
        <v>0.518314985795455</v>
      </c>
      <c r="S869" s="0" t="n">
        <f aca="false">04_回帰ANOVA!$K$19*04_回帰ANOVA!$K$14*SQRT(1+R869)</f>
        <v>1.14563843495971</v>
      </c>
      <c r="T869" s="0" t="n">
        <f aca="false">Q869-S869</f>
        <v>43.7954411104949</v>
      </c>
      <c r="U869" s="0" t="n">
        <f aca="false">Q869+S869</f>
        <v>46.0867179804143</v>
      </c>
      <c r="V869" s="54" t="b">
        <f aca="false">AND(D869&gt;=01_因子設定!$L$5-0.000000001,D869&lt;=01_因子設定!$M$5+0.000000001,E869&gt;=01_因子設定!$L$6-0.000000001,E869&lt;=01_因子設定!$M$6+0.000000001,F869&gt;=01_因子設定!$L$7-0.000000001,F869&lt;=01_因子設定!$M$7+0.000000001,IF(01_因子設定!$B$20="Box-Behnken",D869^2+E869^2+F869^2&lt;=2+0.000000001,TRUE()))</f>
        <v>1</v>
      </c>
      <c r="W869" s="55" t="n">
        <f aca="false">IF(V869,IF(01_因子設定!$B$13="最大化",T869-01_因子設定!$B$14,IF(01_因子設定!$B$13="最小化",01_因子設定!$B$15-U869,MIN(T869-01_因子設定!$B$14,01_因子設定!$B$15-U869))),-1E+030)</f>
        <v>-4.70455888950515</v>
      </c>
      <c r="X869" s="55" t="n">
        <f aca="false">IF(V869,IF(01_因子設定!$B$13="最大化",Q869,IF(01_因子設定!$B$13="最小化",-Q869,-ABS(Q869-01_因子設定!$B$16))),-1E+030)</f>
        <v>44.9410795454546</v>
      </c>
      <c r="Y869" s="55" t="n">
        <f aca="false">W869+ROW()*0.000000001</f>
        <v>-4.70455802050515</v>
      </c>
      <c r="Z869" s="55" t="n">
        <f aca="false">X869+ROW()*0.000000001</f>
        <v>44.9410804144546</v>
      </c>
    </row>
    <row r="870" customFormat="false" ht="15" hidden="false" customHeight="false" outlineLevel="0" collapsed="false">
      <c r="A870" s="0" t="n">
        <v>2</v>
      </c>
      <c r="B870" s="0" t="n">
        <v>16</v>
      </c>
      <c r="C870" s="0" t="n">
        <v>15</v>
      </c>
      <c r="D870" s="0" t="n">
        <f aca="false">-1+A870*0.125</f>
        <v>-0.75</v>
      </c>
      <c r="E870" s="0" t="n">
        <f aca="false">-1+B870*0.125</f>
        <v>1</v>
      </c>
      <c r="F870" s="0" t="n">
        <f aca="false">-1+C870*0.125</f>
        <v>0.875</v>
      </c>
      <c r="G870" s="0" t="n">
        <f aca="false">1</f>
        <v>1</v>
      </c>
      <c r="H870" s="0" t="n">
        <f aca="false">D870</f>
        <v>-0.75</v>
      </c>
      <c r="I870" s="0" t="n">
        <f aca="false">E870</f>
        <v>1</v>
      </c>
      <c r="J870" s="0" t="n">
        <f aca="false">F870</f>
        <v>0.875</v>
      </c>
      <c r="K870" s="0" t="n">
        <f aca="false">D870*E870</f>
        <v>-0.75</v>
      </c>
      <c r="L870" s="0" t="n">
        <f aca="false">D870*F870</f>
        <v>-0.65625</v>
      </c>
      <c r="M870" s="0" t="n">
        <f aca="false">E870*F870</f>
        <v>0.875</v>
      </c>
      <c r="N870" s="0" t="n">
        <f aca="false">D870*D870</f>
        <v>0.5625</v>
      </c>
      <c r="O870" s="0" t="n">
        <f aca="false">E870*E870</f>
        <v>1</v>
      </c>
      <c r="P870" s="0" t="n">
        <f aca="false">F870*F870</f>
        <v>0.765625</v>
      </c>
      <c r="Q870" s="0" t="n">
        <f aca="false">SUMPRODUCT(G870:P870,_XtX!$B$71:$K$71)</f>
        <v>44.9447585227273</v>
      </c>
      <c r="R870" s="0" t="n">
        <f aca="false">SUMPRODUCT(MMULT(G870:P870,_XtX!$B$58:$K$67),G870:P870)</f>
        <v>0.571375621448864</v>
      </c>
      <c r="S870" s="0" t="n">
        <f aca="false">04_回帰ANOVA!$K$19*04_回帰ANOVA!$K$14*SQRT(1+R870)</f>
        <v>1.16548487437682</v>
      </c>
      <c r="T870" s="0" t="n">
        <f aca="false">Q870-S870</f>
        <v>43.7792736483505</v>
      </c>
      <c r="U870" s="0" t="n">
        <f aca="false">Q870+S870</f>
        <v>46.1102433971041</v>
      </c>
      <c r="V870" s="54" t="b">
        <f aca="false">AND(D870&gt;=01_因子設定!$L$5-0.000000001,D870&lt;=01_因子設定!$M$5+0.000000001,E870&gt;=01_因子設定!$L$6-0.000000001,E870&lt;=01_因子設定!$M$6+0.000000001,F870&gt;=01_因子設定!$L$7-0.000000001,F870&lt;=01_因子設定!$M$7+0.000000001,IF(01_因子設定!$B$20="Box-Behnken",D870^2+E870^2+F870^2&lt;=2+0.000000001,TRUE()))</f>
        <v>1</v>
      </c>
      <c r="W870" s="55" t="n">
        <f aca="false">IF(V870,IF(01_因子設定!$B$13="最大化",T870-01_因子設定!$B$14,IF(01_因子設定!$B$13="最小化",01_因子設定!$B$15-U870,MIN(T870-01_因子設定!$B$14,01_因子設定!$B$15-U870))),-1E+030)</f>
        <v>-4.72072635164953</v>
      </c>
      <c r="X870" s="55" t="n">
        <f aca="false">IF(V870,IF(01_因子設定!$B$13="最大化",Q870,IF(01_因子設定!$B$13="最小化",-Q870,-ABS(Q870-01_因子設定!$B$16))),-1E+030)</f>
        <v>44.9447585227273</v>
      </c>
      <c r="Y870" s="55" t="n">
        <f aca="false">W870+ROW()*0.000000001</f>
        <v>-4.72072548164952</v>
      </c>
      <c r="Z870" s="55" t="n">
        <f aca="false">X870+ROW()*0.000000001</f>
        <v>44.9447593927273</v>
      </c>
    </row>
    <row r="871" customFormat="false" ht="15" hidden="false" customHeight="false" outlineLevel="0" collapsed="false">
      <c r="A871" s="0" t="n">
        <v>2</v>
      </c>
      <c r="B871" s="0" t="n">
        <v>16</v>
      </c>
      <c r="C871" s="0" t="n">
        <v>16</v>
      </c>
      <c r="D871" s="0" t="n">
        <f aca="false">-1+A871*0.125</f>
        <v>-0.75</v>
      </c>
      <c r="E871" s="0" t="n">
        <f aca="false">-1+B871*0.125</f>
        <v>1</v>
      </c>
      <c r="F871" s="0" t="n">
        <f aca="false">-1+C871*0.125</f>
        <v>1</v>
      </c>
      <c r="G871" s="0" t="n">
        <f aca="false">1</f>
        <v>1</v>
      </c>
      <c r="H871" s="0" t="n">
        <f aca="false">D871</f>
        <v>-0.75</v>
      </c>
      <c r="I871" s="0" t="n">
        <f aca="false">E871</f>
        <v>1</v>
      </c>
      <c r="J871" s="0" t="n">
        <f aca="false">F871</f>
        <v>1</v>
      </c>
      <c r="K871" s="0" t="n">
        <f aca="false">D871*E871</f>
        <v>-0.75</v>
      </c>
      <c r="L871" s="0" t="n">
        <f aca="false">D871*F871</f>
        <v>-0.75</v>
      </c>
      <c r="M871" s="0" t="n">
        <f aca="false">E871*F871</f>
        <v>1</v>
      </c>
      <c r="N871" s="0" t="n">
        <f aca="false">D871*D871</f>
        <v>0.5625</v>
      </c>
      <c r="O871" s="0" t="n">
        <f aca="false">E871*E871</f>
        <v>1</v>
      </c>
      <c r="P871" s="0" t="n">
        <f aca="false">F871*F871</f>
        <v>1</v>
      </c>
      <c r="Q871" s="0" t="n">
        <f aca="false">SUMPRODUCT(G871:P871,_XtX!$B$71:$K$71)</f>
        <v>44.9116477272727</v>
      </c>
      <c r="R871" s="0" t="n">
        <f aca="false">SUMPRODUCT(MMULT(G871:P871,_XtX!$B$58:$K$67),G871:P871)</f>
        <v>0.669886363636364</v>
      </c>
      <c r="S871" s="0" t="n">
        <f aca="false">04_回帰ANOVA!$K$19*04_回帰ANOVA!$K$14*SQRT(1+R871)</f>
        <v>1.20146215423986</v>
      </c>
      <c r="T871" s="0" t="n">
        <f aca="false">Q871-S871</f>
        <v>43.7101855730329</v>
      </c>
      <c r="U871" s="0" t="n">
        <f aca="false">Q871+S871</f>
        <v>46.1131098815126</v>
      </c>
      <c r="V871" s="54" t="b">
        <f aca="false">AND(D871&gt;=01_因子設定!$L$5-0.000000001,D871&lt;=01_因子設定!$M$5+0.000000001,E871&gt;=01_因子設定!$L$6-0.000000001,E871&lt;=01_因子設定!$M$6+0.000000001,F871&gt;=01_因子設定!$L$7-0.000000001,F871&lt;=01_因子設定!$M$7+0.000000001,IF(01_因子設定!$B$20="Box-Behnken",D871^2+E871^2+F871^2&lt;=2+0.000000001,TRUE()))</f>
        <v>1</v>
      </c>
      <c r="W871" s="55" t="n">
        <f aca="false">IF(V871,IF(01_因子設定!$B$13="最大化",T871-01_因子設定!$B$14,IF(01_因子設定!$B$13="最小化",01_因子設定!$B$15-U871,MIN(T871-01_因子設定!$B$14,01_因子設定!$B$15-U871))),-1E+030)</f>
        <v>-4.78981442696712</v>
      </c>
      <c r="X871" s="55" t="n">
        <f aca="false">IF(V871,IF(01_因子設定!$B$13="最大化",Q871,IF(01_因子設定!$B$13="最小化",-Q871,-ABS(Q871-01_因子設定!$B$16))),-1E+030)</f>
        <v>44.9116477272727</v>
      </c>
      <c r="Y871" s="55" t="n">
        <f aca="false">W871+ROW()*0.000000001</f>
        <v>-4.78981355596712</v>
      </c>
      <c r="Z871" s="55" t="n">
        <f aca="false">X871+ROW()*0.000000001</f>
        <v>44.9116485982727</v>
      </c>
    </row>
    <row r="872" customFormat="false" ht="15" hidden="false" customHeight="false" outlineLevel="0" collapsed="false">
      <c r="A872" s="0" t="n">
        <v>3</v>
      </c>
      <c r="B872" s="0" t="n">
        <v>0</v>
      </c>
      <c r="C872" s="0" t="n">
        <v>0</v>
      </c>
      <c r="D872" s="0" t="n">
        <f aca="false">-1+A872*0.125</f>
        <v>-0.625</v>
      </c>
      <c r="E872" s="0" t="n">
        <f aca="false">-1+B872*0.125</f>
        <v>-1</v>
      </c>
      <c r="F872" s="0" t="n">
        <f aca="false">-1+C872*0.125</f>
        <v>-1</v>
      </c>
      <c r="G872" s="0" t="n">
        <f aca="false">1</f>
        <v>1</v>
      </c>
      <c r="H872" s="0" t="n">
        <f aca="false">D872</f>
        <v>-0.625</v>
      </c>
      <c r="I872" s="0" t="n">
        <f aca="false">E872</f>
        <v>-1</v>
      </c>
      <c r="J872" s="0" t="n">
        <f aca="false">F872</f>
        <v>-1</v>
      </c>
      <c r="K872" s="0" t="n">
        <f aca="false">D872*E872</f>
        <v>0.625</v>
      </c>
      <c r="L872" s="0" t="n">
        <f aca="false">D872*F872</f>
        <v>0.625</v>
      </c>
      <c r="M872" s="0" t="n">
        <f aca="false">E872*F872</f>
        <v>1</v>
      </c>
      <c r="N872" s="0" t="n">
        <f aca="false">D872*D872</f>
        <v>0.390625</v>
      </c>
      <c r="O872" s="0" t="n">
        <f aca="false">E872*E872</f>
        <v>1</v>
      </c>
      <c r="P872" s="0" t="n">
        <f aca="false">F872*F872</f>
        <v>1</v>
      </c>
      <c r="Q872" s="0" t="n">
        <f aca="false">SUMPRODUCT(G872:P872,_XtX!$B$71:$K$71)</f>
        <v>40.2430539772728</v>
      </c>
      <c r="R872" s="0" t="n">
        <f aca="false">SUMPRODUCT(MMULT(G872:P872,_XtX!$B$58:$K$67),G872:P872)</f>
        <v>0.659534801136364</v>
      </c>
      <c r="S872" s="0" t="n">
        <f aca="false">04_回帰ANOVA!$K$19*04_回帰ANOVA!$K$14*SQRT(1+R872)</f>
        <v>1.19773245593097</v>
      </c>
      <c r="T872" s="0" t="n">
        <f aca="false">Q872-S872</f>
        <v>39.0453215213418</v>
      </c>
      <c r="U872" s="0" t="n">
        <f aca="false">Q872+S872</f>
        <v>41.4407864332037</v>
      </c>
      <c r="V872" s="54" t="b">
        <f aca="false">AND(D872&gt;=01_因子設定!$L$5-0.000000001,D872&lt;=01_因子設定!$M$5+0.000000001,E872&gt;=01_因子設定!$L$6-0.000000001,E872&lt;=01_因子設定!$M$6+0.000000001,F872&gt;=01_因子設定!$L$7-0.000000001,F872&lt;=01_因子設定!$M$7+0.000000001,IF(01_因子設定!$B$20="Box-Behnken",D872^2+E872^2+F872^2&lt;=2+0.000000001,TRUE()))</f>
        <v>1</v>
      </c>
      <c r="W872" s="55" t="n">
        <f aca="false">IF(V872,IF(01_因子設定!$B$13="最大化",T872-01_因子設定!$B$14,IF(01_因子設定!$B$13="最小化",01_因子設定!$B$15-U872,MIN(T872-01_因子設定!$B$14,01_因子設定!$B$15-U872))),-1E+030)</f>
        <v>-9.45467847865822</v>
      </c>
      <c r="X872" s="55" t="n">
        <f aca="false">IF(V872,IF(01_因子設定!$B$13="最大化",Q872,IF(01_因子設定!$B$13="最小化",-Q872,-ABS(Q872-01_因子設定!$B$16))),-1E+030)</f>
        <v>40.2430539772728</v>
      </c>
      <c r="Y872" s="55" t="n">
        <f aca="false">W872+ROW()*0.000000001</f>
        <v>-9.45467760665822</v>
      </c>
      <c r="Z872" s="55" t="n">
        <f aca="false">X872+ROW()*0.000000001</f>
        <v>40.2430548492728</v>
      </c>
    </row>
    <row r="873" customFormat="false" ht="15" hidden="false" customHeight="false" outlineLevel="0" collapsed="false">
      <c r="A873" s="0" t="n">
        <v>3</v>
      </c>
      <c r="B873" s="0" t="n">
        <v>0</v>
      </c>
      <c r="C873" s="0" t="n">
        <v>1</v>
      </c>
      <c r="D873" s="0" t="n">
        <f aca="false">-1+A873*0.125</f>
        <v>-0.625</v>
      </c>
      <c r="E873" s="0" t="n">
        <f aca="false">-1+B873*0.125</f>
        <v>-1</v>
      </c>
      <c r="F873" s="0" t="n">
        <f aca="false">-1+C873*0.125</f>
        <v>-0.875</v>
      </c>
      <c r="G873" s="0" t="n">
        <f aca="false">1</f>
        <v>1</v>
      </c>
      <c r="H873" s="0" t="n">
        <f aca="false">D873</f>
        <v>-0.625</v>
      </c>
      <c r="I873" s="0" t="n">
        <f aca="false">E873</f>
        <v>-1</v>
      </c>
      <c r="J873" s="0" t="n">
        <f aca="false">F873</f>
        <v>-0.875</v>
      </c>
      <c r="K873" s="0" t="n">
        <f aca="false">D873*E873</f>
        <v>0.625</v>
      </c>
      <c r="L873" s="0" t="n">
        <f aca="false">D873*F873</f>
        <v>0.546875</v>
      </c>
      <c r="M873" s="0" t="n">
        <f aca="false">E873*F873</f>
        <v>0.875</v>
      </c>
      <c r="N873" s="0" t="n">
        <f aca="false">D873*D873</f>
        <v>0.390625</v>
      </c>
      <c r="O873" s="0" t="n">
        <f aca="false">E873*E873</f>
        <v>1</v>
      </c>
      <c r="P873" s="0" t="n">
        <f aca="false">F873*F873</f>
        <v>0.765625</v>
      </c>
      <c r="Q873" s="0" t="n">
        <f aca="false">SUMPRODUCT(G873:P873,_XtX!$B$71:$K$71)</f>
        <v>40.6469460227273</v>
      </c>
      <c r="R873" s="0" t="n">
        <f aca="false">SUMPRODUCT(MMULT(G873:P873,_XtX!$B$58:$K$67),G873:P873)</f>
        <v>0.555073131214489</v>
      </c>
      <c r="S873" s="0" t="n">
        <f aca="false">04_回帰ANOVA!$K$19*04_回帰ANOVA!$K$14*SQRT(1+R873)</f>
        <v>1.15942335628341</v>
      </c>
      <c r="T873" s="0" t="n">
        <f aca="false">Q873-S873</f>
        <v>39.4875226664439</v>
      </c>
      <c r="U873" s="0" t="n">
        <f aca="false">Q873+S873</f>
        <v>41.8063693790107</v>
      </c>
      <c r="V873" s="54" t="b">
        <f aca="false">AND(D873&gt;=01_因子設定!$L$5-0.000000001,D873&lt;=01_因子設定!$M$5+0.000000001,E873&gt;=01_因子設定!$L$6-0.000000001,E873&lt;=01_因子設定!$M$6+0.000000001,F873&gt;=01_因子設定!$L$7-0.000000001,F873&lt;=01_因子設定!$M$7+0.000000001,IF(01_因子設定!$B$20="Box-Behnken",D873^2+E873^2+F873^2&lt;=2+0.000000001,TRUE()))</f>
        <v>1</v>
      </c>
      <c r="W873" s="55" t="n">
        <f aca="false">IF(V873,IF(01_因子設定!$B$13="最大化",T873-01_因子設定!$B$14,IF(01_因子設定!$B$13="最小化",01_因子設定!$B$15-U873,MIN(T873-01_因子設定!$B$14,01_因子設定!$B$15-U873))),-1E+030)</f>
        <v>-9.01247733355611</v>
      </c>
      <c r="X873" s="55" t="n">
        <f aca="false">IF(V873,IF(01_因子設定!$B$13="最大化",Q873,IF(01_因子設定!$B$13="最小化",-Q873,-ABS(Q873-01_因子設定!$B$16))),-1E+030)</f>
        <v>40.6469460227273</v>
      </c>
      <c r="Y873" s="55" t="n">
        <f aca="false">W873+ROW()*0.000000001</f>
        <v>-9.01247646055611</v>
      </c>
      <c r="Z873" s="55" t="n">
        <f aca="false">X873+ROW()*0.000000001</f>
        <v>40.6469468957273</v>
      </c>
    </row>
    <row r="874" customFormat="false" ht="15" hidden="false" customHeight="false" outlineLevel="0" collapsed="false">
      <c r="A874" s="0" t="n">
        <v>3</v>
      </c>
      <c r="B874" s="0" t="n">
        <v>0</v>
      </c>
      <c r="C874" s="0" t="n">
        <v>2</v>
      </c>
      <c r="D874" s="0" t="n">
        <f aca="false">-1+A874*0.125</f>
        <v>-0.625</v>
      </c>
      <c r="E874" s="0" t="n">
        <f aca="false">-1+B874*0.125</f>
        <v>-1</v>
      </c>
      <c r="F874" s="0" t="n">
        <f aca="false">-1+C874*0.125</f>
        <v>-0.75</v>
      </c>
      <c r="G874" s="0" t="n">
        <f aca="false">1</f>
        <v>1</v>
      </c>
      <c r="H874" s="0" t="n">
        <f aca="false">D874</f>
        <v>-0.625</v>
      </c>
      <c r="I874" s="0" t="n">
        <f aca="false">E874</f>
        <v>-1</v>
      </c>
      <c r="J874" s="0" t="n">
        <f aca="false">F874</f>
        <v>-0.75</v>
      </c>
      <c r="K874" s="0" t="n">
        <f aca="false">D874*E874</f>
        <v>0.625</v>
      </c>
      <c r="L874" s="0" t="n">
        <f aca="false">D874*F874</f>
        <v>0.46875</v>
      </c>
      <c r="M874" s="0" t="n">
        <f aca="false">E874*F874</f>
        <v>0.75</v>
      </c>
      <c r="N874" s="0" t="n">
        <f aca="false">D874*D874</f>
        <v>0.390625</v>
      </c>
      <c r="O874" s="0" t="n">
        <f aca="false">E874*E874</f>
        <v>1</v>
      </c>
      <c r="P874" s="0" t="n">
        <f aca="false">F874*F874</f>
        <v>0.5625</v>
      </c>
      <c r="Q874" s="0" t="n">
        <f aca="false">SUMPRODUCT(G874:P874,_XtX!$B$71:$K$71)</f>
        <v>41.0140482954546</v>
      </c>
      <c r="R874" s="0" t="n">
        <f aca="false">SUMPRODUCT(MMULT(G874:P874,_XtX!$B$58:$K$67),G874:P874)</f>
        <v>0.496855024857955</v>
      </c>
      <c r="S874" s="0" t="n">
        <f aca="false">04_回帰ANOVA!$K$19*04_回帰ANOVA!$K$14*SQRT(1+R874)</f>
        <v>1.1375133593161</v>
      </c>
      <c r="T874" s="0" t="n">
        <f aca="false">Q874-S874</f>
        <v>39.8765349361385</v>
      </c>
      <c r="U874" s="0" t="n">
        <f aca="false">Q874+S874</f>
        <v>42.1515616547707</v>
      </c>
      <c r="V874" s="54" t="b">
        <f aca="false">AND(D874&gt;=01_因子設定!$L$5-0.000000001,D874&lt;=01_因子設定!$M$5+0.000000001,E874&gt;=01_因子設定!$L$6-0.000000001,E874&lt;=01_因子設定!$M$6+0.000000001,F874&gt;=01_因子設定!$L$7-0.000000001,F874&lt;=01_因子設定!$M$7+0.000000001,IF(01_因子設定!$B$20="Box-Behnken",D874^2+E874^2+F874^2&lt;=2+0.000000001,TRUE()))</f>
        <v>1</v>
      </c>
      <c r="W874" s="55" t="n">
        <f aca="false">IF(V874,IF(01_因子設定!$B$13="最大化",T874-01_因子設定!$B$14,IF(01_因子設定!$B$13="最小化",01_因子設定!$B$15-U874,MIN(T874-01_因子設定!$B$14,01_因子設定!$B$15-U874))),-1E+030)</f>
        <v>-8.62346506386155</v>
      </c>
      <c r="X874" s="55" t="n">
        <f aca="false">IF(V874,IF(01_因子設定!$B$13="最大化",Q874,IF(01_因子設定!$B$13="最小化",-Q874,-ABS(Q874-01_因子設定!$B$16))),-1E+030)</f>
        <v>41.0140482954546</v>
      </c>
      <c r="Y874" s="55" t="n">
        <f aca="false">W874+ROW()*0.000000001</f>
        <v>-8.62346418986155</v>
      </c>
      <c r="Z874" s="55" t="n">
        <f aca="false">X874+ROW()*0.000000001</f>
        <v>41.0140491694546</v>
      </c>
    </row>
    <row r="875" customFormat="false" ht="15" hidden="false" customHeight="false" outlineLevel="0" collapsed="false">
      <c r="A875" s="0" t="n">
        <v>3</v>
      </c>
      <c r="B875" s="0" t="n">
        <v>0</v>
      </c>
      <c r="C875" s="0" t="n">
        <v>3</v>
      </c>
      <c r="D875" s="0" t="n">
        <f aca="false">-1+A875*0.125</f>
        <v>-0.625</v>
      </c>
      <c r="E875" s="0" t="n">
        <f aca="false">-1+B875*0.125</f>
        <v>-1</v>
      </c>
      <c r="F875" s="0" t="n">
        <f aca="false">-1+C875*0.125</f>
        <v>-0.625</v>
      </c>
      <c r="G875" s="0" t="n">
        <f aca="false">1</f>
        <v>1</v>
      </c>
      <c r="H875" s="0" t="n">
        <f aca="false">D875</f>
        <v>-0.625</v>
      </c>
      <c r="I875" s="0" t="n">
        <f aca="false">E875</f>
        <v>-1</v>
      </c>
      <c r="J875" s="0" t="n">
        <f aca="false">F875</f>
        <v>-0.625</v>
      </c>
      <c r="K875" s="0" t="n">
        <f aca="false">D875*E875</f>
        <v>0.625</v>
      </c>
      <c r="L875" s="0" t="n">
        <f aca="false">D875*F875</f>
        <v>0.390625</v>
      </c>
      <c r="M875" s="0" t="n">
        <f aca="false">E875*F875</f>
        <v>0.625</v>
      </c>
      <c r="N875" s="0" t="n">
        <f aca="false">D875*D875</f>
        <v>0.390625</v>
      </c>
      <c r="O875" s="0" t="n">
        <f aca="false">E875*E875</f>
        <v>1</v>
      </c>
      <c r="P875" s="0" t="n">
        <f aca="false">F875*F875</f>
        <v>0.390625</v>
      </c>
      <c r="Q875" s="0" t="n">
        <f aca="false">SUMPRODUCT(G875:P875,_XtX!$B$71:$K$71)</f>
        <v>41.3443607954546</v>
      </c>
      <c r="R875" s="0" t="n">
        <f aca="false">SUMPRODUCT(MMULT(G875:P875,_XtX!$B$58:$K$67),G875:P875)</f>
        <v>0.47103105024858</v>
      </c>
      <c r="S875" s="0" t="n">
        <f aca="false">04_回帰ANOVA!$K$19*04_回帰ANOVA!$K$14*SQRT(1+R875)</f>
        <v>1.1276583912499</v>
      </c>
      <c r="T875" s="0" t="n">
        <f aca="false">Q875-S875</f>
        <v>40.2167024042047</v>
      </c>
      <c r="U875" s="0" t="n">
        <f aca="false">Q875+S875</f>
        <v>42.4720191867045</v>
      </c>
      <c r="V875" s="54" t="b">
        <f aca="false">AND(D875&gt;=01_因子設定!$L$5-0.000000001,D875&lt;=01_因子設定!$M$5+0.000000001,E875&gt;=01_因子設定!$L$6-0.000000001,E875&lt;=01_因子設定!$M$6+0.000000001,F875&gt;=01_因子設定!$L$7-0.000000001,F875&lt;=01_因子設定!$M$7+0.000000001,IF(01_因子設定!$B$20="Box-Behnken",D875^2+E875^2+F875^2&lt;=2+0.000000001,TRUE()))</f>
        <v>1</v>
      </c>
      <c r="W875" s="55" t="n">
        <f aca="false">IF(V875,IF(01_因子設定!$B$13="最大化",T875-01_因子設定!$B$14,IF(01_因子設定!$B$13="最小化",01_因子設定!$B$15-U875,MIN(T875-01_因子設定!$B$14,01_因子設定!$B$15-U875))),-1E+030)</f>
        <v>-8.28329759579535</v>
      </c>
      <c r="X875" s="55" t="n">
        <f aca="false">IF(V875,IF(01_因子設定!$B$13="最大化",Q875,IF(01_因子設定!$B$13="最小化",-Q875,-ABS(Q875-01_因子設定!$B$16))),-1E+030)</f>
        <v>41.3443607954546</v>
      </c>
      <c r="Y875" s="55" t="n">
        <f aca="false">W875+ROW()*0.000000001</f>
        <v>-8.28329672079535</v>
      </c>
      <c r="Z875" s="55" t="n">
        <f aca="false">X875+ROW()*0.000000001</f>
        <v>41.3443616704546</v>
      </c>
    </row>
    <row r="876" customFormat="false" ht="15" hidden="false" customHeight="false" outlineLevel="0" collapsed="false">
      <c r="A876" s="0" t="n">
        <v>3</v>
      </c>
      <c r="B876" s="0" t="n">
        <v>0</v>
      </c>
      <c r="C876" s="0" t="n">
        <v>4</v>
      </c>
      <c r="D876" s="0" t="n">
        <f aca="false">-1+A876*0.125</f>
        <v>-0.625</v>
      </c>
      <c r="E876" s="0" t="n">
        <f aca="false">-1+B876*0.125</f>
        <v>-1</v>
      </c>
      <c r="F876" s="0" t="n">
        <f aca="false">-1+C876*0.125</f>
        <v>-0.5</v>
      </c>
      <c r="G876" s="0" t="n">
        <f aca="false">1</f>
        <v>1</v>
      </c>
      <c r="H876" s="0" t="n">
        <f aca="false">D876</f>
        <v>-0.625</v>
      </c>
      <c r="I876" s="0" t="n">
        <f aca="false">E876</f>
        <v>-1</v>
      </c>
      <c r="J876" s="0" t="n">
        <f aca="false">F876</f>
        <v>-0.5</v>
      </c>
      <c r="K876" s="0" t="n">
        <f aca="false">D876*E876</f>
        <v>0.625</v>
      </c>
      <c r="L876" s="0" t="n">
        <f aca="false">D876*F876</f>
        <v>0.3125</v>
      </c>
      <c r="M876" s="0" t="n">
        <f aca="false">E876*F876</f>
        <v>0.5</v>
      </c>
      <c r="N876" s="0" t="n">
        <f aca="false">D876*D876</f>
        <v>0.390625</v>
      </c>
      <c r="O876" s="0" t="n">
        <f aca="false">E876*E876</f>
        <v>1</v>
      </c>
      <c r="P876" s="0" t="n">
        <f aca="false">F876*F876</f>
        <v>0.25</v>
      </c>
      <c r="Q876" s="0" t="n">
        <f aca="false">SUMPRODUCT(G876:P876,_XtX!$B$71:$K$71)</f>
        <v>41.6378835227273</v>
      </c>
      <c r="R876" s="0" t="n">
        <f aca="false">SUMPRODUCT(MMULT(G876:P876,_XtX!$B$58:$K$67),G876:P876)</f>
        <v>0.465882457386364</v>
      </c>
      <c r="S876" s="0" t="n">
        <f aca="false">04_回帰ANOVA!$K$19*04_回帰ANOVA!$K$14*SQRT(1+R876)</f>
        <v>1.12568326538173</v>
      </c>
      <c r="T876" s="0" t="n">
        <f aca="false">Q876-S876</f>
        <v>40.5122002573456</v>
      </c>
      <c r="U876" s="0" t="n">
        <f aca="false">Q876+S876</f>
        <v>42.763566788109</v>
      </c>
      <c r="V876" s="54" t="b">
        <f aca="false">AND(D876&gt;=01_因子設定!$L$5-0.000000001,D876&lt;=01_因子設定!$M$5+0.000000001,E876&gt;=01_因子設定!$L$6-0.000000001,E876&lt;=01_因子設定!$M$6+0.000000001,F876&gt;=01_因子設定!$L$7-0.000000001,F876&lt;=01_因子設定!$M$7+0.000000001,IF(01_因子設定!$B$20="Box-Behnken",D876^2+E876^2+F876^2&lt;=2+0.000000001,TRUE()))</f>
        <v>1</v>
      </c>
      <c r="W876" s="55" t="n">
        <f aca="false">IF(V876,IF(01_因子設定!$B$13="最大化",T876-01_因子設定!$B$14,IF(01_因子設定!$B$13="最小化",01_因子設定!$B$15-U876,MIN(T876-01_因子設定!$B$14,01_因子設定!$B$15-U876))),-1E+030)</f>
        <v>-7.98779974265445</v>
      </c>
      <c r="X876" s="55" t="n">
        <f aca="false">IF(V876,IF(01_因子設定!$B$13="最大化",Q876,IF(01_因子設定!$B$13="最小化",-Q876,-ABS(Q876-01_因子設定!$B$16))),-1E+030)</f>
        <v>41.6378835227273</v>
      </c>
      <c r="Y876" s="55" t="n">
        <f aca="false">W876+ROW()*0.000000001</f>
        <v>-7.98779886665445</v>
      </c>
      <c r="Z876" s="55" t="n">
        <f aca="false">X876+ROW()*0.000000001</f>
        <v>41.6378843987273</v>
      </c>
    </row>
    <row r="877" customFormat="false" ht="15" hidden="false" customHeight="false" outlineLevel="0" collapsed="false">
      <c r="A877" s="0" t="n">
        <v>3</v>
      </c>
      <c r="B877" s="0" t="n">
        <v>0</v>
      </c>
      <c r="C877" s="0" t="n">
        <v>5</v>
      </c>
      <c r="D877" s="0" t="n">
        <f aca="false">-1+A877*0.125</f>
        <v>-0.625</v>
      </c>
      <c r="E877" s="0" t="n">
        <f aca="false">-1+B877*0.125</f>
        <v>-1</v>
      </c>
      <c r="F877" s="0" t="n">
        <f aca="false">-1+C877*0.125</f>
        <v>-0.375</v>
      </c>
      <c r="G877" s="0" t="n">
        <f aca="false">1</f>
        <v>1</v>
      </c>
      <c r="H877" s="0" t="n">
        <f aca="false">D877</f>
        <v>-0.625</v>
      </c>
      <c r="I877" s="0" t="n">
        <f aca="false">E877</f>
        <v>-1</v>
      </c>
      <c r="J877" s="0" t="n">
        <f aca="false">F877</f>
        <v>-0.375</v>
      </c>
      <c r="K877" s="0" t="n">
        <f aca="false">D877*E877</f>
        <v>0.625</v>
      </c>
      <c r="L877" s="0" t="n">
        <f aca="false">D877*F877</f>
        <v>0.234375</v>
      </c>
      <c r="M877" s="0" t="n">
        <f aca="false">E877*F877</f>
        <v>0.375</v>
      </c>
      <c r="N877" s="0" t="n">
        <f aca="false">D877*D877</f>
        <v>0.390625</v>
      </c>
      <c r="O877" s="0" t="n">
        <f aca="false">E877*E877</f>
        <v>1</v>
      </c>
      <c r="P877" s="0" t="n">
        <f aca="false">F877*F877</f>
        <v>0.140625</v>
      </c>
      <c r="Q877" s="0" t="n">
        <f aca="false">SUMPRODUCT(G877:P877,_XtX!$B$71:$K$71)</f>
        <v>41.8946164772727</v>
      </c>
      <c r="R877" s="0" t="n">
        <f aca="false">SUMPRODUCT(MMULT(G877:P877,_XtX!$B$58:$K$67),G877:P877)</f>
        <v>0.471821178089489</v>
      </c>
      <c r="S877" s="0" t="n">
        <f aca="false">04_回帰ANOVA!$K$19*04_回帰ANOVA!$K$14*SQRT(1+R877)</f>
        <v>1.12796119746125</v>
      </c>
      <c r="T877" s="0" t="n">
        <f aca="false">Q877-S877</f>
        <v>40.7666552798115</v>
      </c>
      <c r="U877" s="0" t="n">
        <f aca="false">Q877+S877</f>
        <v>43.022577674734</v>
      </c>
      <c r="V877" s="54" t="b">
        <f aca="false">AND(D877&gt;=01_因子設定!$L$5-0.000000001,D877&lt;=01_因子設定!$M$5+0.000000001,E877&gt;=01_因子設定!$L$6-0.000000001,E877&lt;=01_因子設定!$M$6+0.000000001,F877&gt;=01_因子設定!$L$7-0.000000001,F877&lt;=01_因子設定!$M$7+0.000000001,IF(01_因子設定!$B$20="Box-Behnken",D877^2+E877^2+F877^2&lt;=2+0.000000001,TRUE()))</f>
        <v>1</v>
      </c>
      <c r="W877" s="55" t="n">
        <f aca="false">IF(V877,IF(01_因子設定!$B$13="最大化",T877-01_因子設定!$B$14,IF(01_因子設定!$B$13="最小化",01_因子設定!$B$15-U877,MIN(T877-01_因子設定!$B$14,01_因子設定!$B$15-U877))),-1E+030)</f>
        <v>-7.73334472018852</v>
      </c>
      <c r="X877" s="55" t="n">
        <f aca="false">IF(V877,IF(01_因子設定!$B$13="最大化",Q877,IF(01_因子設定!$B$13="最小化",-Q877,-ABS(Q877-01_因子設定!$B$16))),-1E+030)</f>
        <v>41.8946164772727</v>
      </c>
      <c r="Y877" s="55" t="n">
        <f aca="false">W877+ROW()*0.000000001</f>
        <v>-7.73334384318852</v>
      </c>
      <c r="Z877" s="55" t="n">
        <f aca="false">X877+ROW()*0.000000001</f>
        <v>41.8946173542727</v>
      </c>
    </row>
    <row r="878" customFormat="false" ht="15" hidden="false" customHeight="false" outlineLevel="0" collapsed="false">
      <c r="A878" s="0" t="n">
        <v>3</v>
      </c>
      <c r="B878" s="0" t="n">
        <v>0</v>
      </c>
      <c r="C878" s="0" t="n">
        <v>6</v>
      </c>
      <c r="D878" s="0" t="n">
        <f aca="false">-1+A878*0.125</f>
        <v>-0.625</v>
      </c>
      <c r="E878" s="0" t="n">
        <f aca="false">-1+B878*0.125</f>
        <v>-1</v>
      </c>
      <c r="F878" s="0" t="n">
        <f aca="false">-1+C878*0.125</f>
        <v>-0.25</v>
      </c>
      <c r="G878" s="0" t="n">
        <f aca="false">1</f>
        <v>1</v>
      </c>
      <c r="H878" s="0" t="n">
        <f aca="false">D878</f>
        <v>-0.625</v>
      </c>
      <c r="I878" s="0" t="n">
        <f aca="false">E878</f>
        <v>-1</v>
      </c>
      <c r="J878" s="0" t="n">
        <f aca="false">F878</f>
        <v>-0.25</v>
      </c>
      <c r="K878" s="0" t="n">
        <f aca="false">D878*E878</f>
        <v>0.625</v>
      </c>
      <c r="L878" s="0" t="n">
        <f aca="false">D878*F878</f>
        <v>0.15625</v>
      </c>
      <c r="M878" s="0" t="n">
        <f aca="false">E878*F878</f>
        <v>0.25</v>
      </c>
      <c r="N878" s="0" t="n">
        <f aca="false">D878*D878</f>
        <v>0.390625</v>
      </c>
      <c r="O878" s="0" t="n">
        <f aca="false">E878*E878</f>
        <v>1</v>
      </c>
      <c r="P878" s="0" t="n">
        <f aca="false">F878*F878</f>
        <v>0.0625</v>
      </c>
      <c r="Q878" s="0" t="n">
        <f aca="false">SUMPRODUCT(G878:P878,_XtX!$B$71:$K$71)</f>
        <v>42.1145596590909</v>
      </c>
      <c r="R878" s="0" t="n">
        <f aca="false">SUMPRODUCT(MMULT(G878:P878,_XtX!$B$58:$K$67),G878:P878)</f>
        <v>0.481389825994318</v>
      </c>
      <c r="S878" s="0" t="n">
        <f aca="false">04_回帰ANOVA!$K$19*04_回帰ANOVA!$K$14*SQRT(1+R878)</f>
        <v>1.13162182500693</v>
      </c>
      <c r="T878" s="0" t="n">
        <f aca="false">Q878-S878</f>
        <v>40.982937834084</v>
      </c>
      <c r="U878" s="0" t="n">
        <f aca="false">Q878+S878</f>
        <v>43.2461814840978</v>
      </c>
      <c r="V878" s="54" t="b">
        <f aca="false">AND(D878&gt;=01_因子設定!$L$5-0.000000001,D878&lt;=01_因子設定!$M$5+0.000000001,E878&gt;=01_因子設定!$L$6-0.000000001,E878&lt;=01_因子設定!$M$6+0.000000001,F878&gt;=01_因子設定!$L$7-0.000000001,F878&lt;=01_因子設定!$M$7+0.000000001,IF(01_因子設定!$B$20="Box-Behnken",D878^2+E878^2+F878^2&lt;=2+0.000000001,TRUE()))</f>
        <v>1</v>
      </c>
      <c r="W878" s="55" t="n">
        <f aca="false">IF(V878,IF(01_因子設定!$B$13="最大化",T878-01_因子設定!$B$14,IF(01_因子設定!$B$13="最小化",01_因子設定!$B$15-U878,MIN(T878-01_因子設定!$B$14,01_因子設定!$B$15-U878))),-1E+030)</f>
        <v>-7.51706216591601</v>
      </c>
      <c r="X878" s="55" t="n">
        <f aca="false">IF(V878,IF(01_因子設定!$B$13="最大化",Q878,IF(01_因子設定!$B$13="最小化",-Q878,-ABS(Q878-01_因子設定!$B$16))),-1E+030)</f>
        <v>42.1145596590909</v>
      </c>
      <c r="Y878" s="55" t="n">
        <f aca="false">W878+ROW()*0.000000001</f>
        <v>-7.51706128791601</v>
      </c>
      <c r="Z878" s="55" t="n">
        <f aca="false">X878+ROW()*0.000000001</f>
        <v>42.1145605370909</v>
      </c>
    </row>
    <row r="879" customFormat="false" ht="15" hidden="false" customHeight="false" outlineLevel="0" collapsed="false">
      <c r="A879" s="0" t="n">
        <v>3</v>
      </c>
      <c r="B879" s="0" t="n">
        <v>0</v>
      </c>
      <c r="C879" s="0" t="n">
        <v>7</v>
      </c>
      <c r="D879" s="0" t="n">
        <f aca="false">-1+A879*0.125</f>
        <v>-0.625</v>
      </c>
      <c r="E879" s="0" t="n">
        <f aca="false">-1+B879*0.125</f>
        <v>-1</v>
      </c>
      <c r="F879" s="0" t="n">
        <f aca="false">-1+C879*0.125</f>
        <v>-0.125</v>
      </c>
      <c r="G879" s="0" t="n">
        <f aca="false">1</f>
        <v>1</v>
      </c>
      <c r="H879" s="0" t="n">
        <f aca="false">D879</f>
        <v>-0.625</v>
      </c>
      <c r="I879" s="0" t="n">
        <f aca="false">E879</f>
        <v>-1</v>
      </c>
      <c r="J879" s="0" t="n">
        <f aca="false">F879</f>
        <v>-0.125</v>
      </c>
      <c r="K879" s="0" t="n">
        <f aca="false">D879*E879</f>
        <v>0.625</v>
      </c>
      <c r="L879" s="0" t="n">
        <f aca="false">D879*F879</f>
        <v>0.078125</v>
      </c>
      <c r="M879" s="0" t="n">
        <f aca="false">E879*F879</f>
        <v>0.125</v>
      </c>
      <c r="N879" s="0" t="n">
        <f aca="false">D879*D879</f>
        <v>0.390625</v>
      </c>
      <c r="O879" s="0" t="n">
        <f aca="false">E879*E879</f>
        <v>1</v>
      </c>
      <c r="P879" s="0" t="n">
        <f aca="false">F879*F879</f>
        <v>0.015625</v>
      </c>
      <c r="Q879" s="0" t="n">
        <f aca="false">SUMPRODUCT(G879:P879,_XtX!$B$71:$K$71)</f>
        <v>42.2977130681818</v>
      </c>
      <c r="R879" s="0" t="n">
        <f aca="false">SUMPRODUCT(MMULT(G879:P879,_XtX!$B$58:$K$67),G879:P879)</f>
        <v>0.489261696555398</v>
      </c>
      <c r="S879" s="0" t="n">
        <f aca="false">04_回帰ANOVA!$K$19*04_回帰ANOVA!$K$14*SQRT(1+R879)</f>
        <v>1.13462447083763</v>
      </c>
      <c r="T879" s="0" t="n">
        <f aca="false">Q879-S879</f>
        <v>41.1630885973442</v>
      </c>
      <c r="U879" s="0" t="n">
        <f aca="false">Q879+S879</f>
        <v>43.4323375390195</v>
      </c>
      <c r="V879" s="54" t="b">
        <f aca="false">AND(D879&gt;=01_因子設定!$L$5-0.000000001,D879&lt;=01_因子設定!$M$5+0.000000001,E879&gt;=01_因子設定!$L$6-0.000000001,E879&lt;=01_因子設定!$M$6+0.000000001,F879&gt;=01_因子設定!$L$7-0.000000001,F879&lt;=01_因子設定!$M$7+0.000000001,IF(01_因子設定!$B$20="Box-Behnken",D879^2+E879^2+F879^2&lt;=2+0.000000001,TRUE()))</f>
        <v>1</v>
      </c>
      <c r="W879" s="55" t="n">
        <f aca="false">IF(V879,IF(01_因子設定!$B$13="最大化",T879-01_因子設定!$B$14,IF(01_因子設定!$B$13="最小化",01_因子設定!$B$15-U879,MIN(T879-01_因子設定!$B$14,01_因子設定!$B$15-U879))),-1E+030)</f>
        <v>-7.33691140265582</v>
      </c>
      <c r="X879" s="55" t="n">
        <f aca="false">IF(V879,IF(01_因子設定!$B$13="最大化",Q879,IF(01_因子設定!$B$13="最小化",-Q879,-ABS(Q879-01_因子設定!$B$16))),-1E+030)</f>
        <v>42.2977130681818</v>
      </c>
      <c r="Y879" s="55" t="n">
        <f aca="false">W879+ROW()*0.000000001</f>
        <v>-7.33691052365582</v>
      </c>
      <c r="Z879" s="55" t="n">
        <f aca="false">X879+ROW()*0.000000001</f>
        <v>42.2977139471818</v>
      </c>
    </row>
    <row r="880" customFormat="false" ht="15" hidden="false" customHeight="false" outlineLevel="0" collapsed="false">
      <c r="A880" s="0" t="n">
        <v>3</v>
      </c>
      <c r="B880" s="0" t="n">
        <v>0</v>
      </c>
      <c r="C880" s="0" t="n">
        <v>8</v>
      </c>
      <c r="D880" s="0" t="n">
        <f aca="false">-1+A880*0.125</f>
        <v>-0.625</v>
      </c>
      <c r="E880" s="0" t="n">
        <f aca="false">-1+B880*0.125</f>
        <v>-1</v>
      </c>
      <c r="F880" s="0" t="n">
        <f aca="false">-1+C880*0.125</f>
        <v>0</v>
      </c>
      <c r="G880" s="0" t="n">
        <f aca="false">1</f>
        <v>1</v>
      </c>
      <c r="H880" s="0" t="n">
        <f aca="false">D880</f>
        <v>-0.625</v>
      </c>
      <c r="I880" s="0" t="n">
        <f aca="false">E880</f>
        <v>-1</v>
      </c>
      <c r="J880" s="0" t="n">
        <f aca="false">F880</f>
        <v>0</v>
      </c>
      <c r="K880" s="0" t="n">
        <f aca="false">D880*E880</f>
        <v>0.625</v>
      </c>
      <c r="L880" s="0" t="n">
        <f aca="false">D880*F880</f>
        <v>-0</v>
      </c>
      <c r="M880" s="0" t="n">
        <f aca="false">E880*F880</f>
        <v>-0</v>
      </c>
      <c r="N880" s="0" t="n">
        <f aca="false">D880*D880</f>
        <v>0.390625</v>
      </c>
      <c r="O880" s="0" t="n">
        <f aca="false">E880*E880</f>
        <v>1</v>
      </c>
      <c r="P880" s="0" t="n">
        <f aca="false">F880*F880</f>
        <v>0</v>
      </c>
      <c r="Q880" s="0" t="n">
        <f aca="false">SUMPRODUCT(G880:P880,_XtX!$B$71:$K$71)</f>
        <v>42.4440767045455</v>
      </c>
      <c r="R880" s="0" t="n">
        <f aca="false">SUMPRODUCT(MMULT(G880:P880,_XtX!$B$58:$K$67),G880:P880)</f>
        <v>0.492240767045455</v>
      </c>
      <c r="S880" s="0" t="n">
        <f aca="false">04_回帰ANOVA!$K$19*04_回帰ANOVA!$K$14*SQRT(1+R880)</f>
        <v>1.13575873676322</v>
      </c>
      <c r="T880" s="0" t="n">
        <f aca="false">Q880-S880</f>
        <v>41.3083179677822</v>
      </c>
      <c r="U880" s="0" t="n">
        <f aca="false">Q880+S880</f>
        <v>43.5798354413087</v>
      </c>
      <c r="V880" s="54" t="b">
        <f aca="false">AND(D880&gt;=01_因子設定!$L$5-0.000000001,D880&lt;=01_因子設定!$M$5+0.000000001,E880&gt;=01_因子設定!$L$6-0.000000001,E880&lt;=01_因子設定!$M$6+0.000000001,F880&gt;=01_因子設定!$L$7-0.000000001,F880&lt;=01_因子設定!$M$7+0.000000001,IF(01_因子設定!$B$20="Box-Behnken",D880^2+E880^2+F880^2&lt;=2+0.000000001,TRUE()))</f>
        <v>1</v>
      </c>
      <c r="W880" s="55" t="n">
        <f aca="false">IF(V880,IF(01_因子設定!$B$13="最大化",T880-01_因子設定!$B$14,IF(01_因子設定!$B$13="最小化",01_因子設定!$B$15-U880,MIN(T880-01_因子設定!$B$14,01_因子設定!$B$15-U880))),-1E+030)</f>
        <v>-7.19168203221776</v>
      </c>
      <c r="X880" s="55" t="n">
        <f aca="false">IF(V880,IF(01_因子設定!$B$13="最大化",Q880,IF(01_因子設定!$B$13="最小化",-Q880,-ABS(Q880-01_因子設定!$B$16))),-1E+030)</f>
        <v>42.4440767045455</v>
      </c>
      <c r="Y880" s="55" t="n">
        <f aca="false">W880+ROW()*0.000000001</f>
        <v>-7.19168115221776</v>
      </c>
      <c r="Z880" s="55" t="n">
        <f aca="false">X880+ROW()*0.000000001</f>
        <v>42.4440775845455</v>
      </c>
    </row>
    <row r="881" customFormat="false" ht="15" hidden="false" customHeight="false" outlineLevel="0" collapsed="false">
      <c r="A881" s="0" t="n">
        <v>3</v>
      </c>
      <c r="B881" s="0" t="n">
        <v>0</v>
      </c>
      <c r="C881" s="0" t="n">
        <v>9</v>
      </c>
      <c r="D881" s="0" t="n">
        <f aca="false">-1+A881*0.125</f>
        <v>-0.625</v>
      </c>
      <c r="E881" s="0" t="n">
        <f aca="false">-1+B881*0.125</f>
        <v>-1</v>
      </c>
      <c r="F881" s="0" t="n">
        <f aca="false">-1+C881*0.125</f>
        <v>0.125</v>
      </c>
      <c r="G881" s="0" t="n">
        <f aca="false">1</f>
        <v>1</v>
      </c>
      <c r="H881" s="0" t="n">
        <f aca="false">D881</f>
        <v>-0.625</v>
      </c>
      <c r="I881" s="0" t="n">
        <f aca="false">E881</f>
        <v>-1</v>
      </c>
      <c r="J881" s="0" t="n">
        <f aca="false">F881</f>
        <v>0.125</v>
      </c>
      <c r="K881" s="0" t="n">
        <f aca="false">D881*E881</f>
        <v>0.625</v>
      </c>
      <c r="L881" s="0" t="n">
        <f aca="false">D881*F881</f>
        <v>-0.078125</v>
      </c>
      <c r="M881" s="0" t="n">
        <f aca="false">E881*F881</f>
        <v>-0.125</v>
      </c>
      <c r="N881" s="0" t="n">
        <f aca="false">D881*D881</f>
        <v>0.390625</v>
      </c>
      <c r="O881" s="0" t="n">
        <f aca="false">E881*E881</f>
        <v>1</v>
      </c>
      <c r="P881" s="0" t="n">
        <f aca="false">F881*F881</f>
        <v>0.015625</v>
      </c>
      <c r="Q881" s="0" t="n">
        <f aca="false">SUMPRODUCT(G881:P881,_XtX!$B$71:$K$71)</f>
        <v>42.5536505681818</v>
      </c>
      <c r="R881" s="0" t="n">
        <f aca="false">SUMPRODUCT(MMULT(G881:P881,_XtX!$B$58:$K$67),G881:P881)</f>
        <v>0.489261696555398</v>
      </c>
      <c r="S881" s="0" t="n">
        <f aca="false">04_回帰ANOVA!$K$19*04_回帰ANOVA!$K$14*SQRT(1+R881)</f>
        <v>1.13462447083763</v>
      </c>
      <c r="T881" s="0" t="n">
        <f aca="false">Q881-S881</f>
        <v>41.4190260973442</v>
      </c>
      <c r="U881" s="0" t="n">
        <f aca="false">Q881+S881</f>
        <v>43.6882750390195</v>
      </c>
      <c r="V881" s="54" t="b">
        <f aca="false">AND(D881&gt;=01_因子設定!$L$5-0.000000001,D881&lt;=01_因子設定!$M$5+0.000000001,E881&gt;=01_因子設定!$L$6-0.000000001,E881&lt;=01_因子設定!$M$6+0.000000001,F881&gt;=01_因子設定!$L$7-0.000000001,F881&lt;=01_因子設定!$M$7+0.000000001,IF(01_因子設定!$B$20="Box-Behnken",D881^2+E881^2+F881^2&lt;=2+0.000000001,TRUE()))</f>
        <v>1</v>
      </c>
      <c r="W881" s="55" t="n">
        <f aca="false">IF(V881,IF(01_因子設定!$B$13="最大化",T881-01_因子設定!$B$14,IF(01_因子設定!$B$13="最小化",01_因子設定!$B$15-U881,MIN(T881-01_因子設定!$B$14,01_因子設定!$B$15-U881))),-1E+030)</f>
        <v>-7.08097390265581</v>
      </c>
      <c r="X881" s="55" t="n">
        <f aca="false">IF(V881,IF(01_因子設定!$B$13="最大化",Q881,IF(01_因子設定!$B$13="最小化",-Q881,-ABS(Q881-01_因子設定!$B$16))),-1E+030)</f>
        <v>42.5536505681818</v>
      </c>
      <c r="Y881" s="55" t="n">
        <f aca="false">W881+ROW()*0.000000001</f>
        <v>-7.08097302165581</v>
      </c>
      <c r="Z881" s="55" t="n">
        <f aca="false">X881+ROW()*0.000000001</f>
        <v>42.5536514491818</v>
      </c>
    </row>
    <row r="882" customFormat="false" ht="15" hidden="false" customHeight="false" outlineLevel="0" collapsed="false">
      <c r="A882" s="0" t="n">
        <v>3</v>
      </c>
      <c r="B882" s="0" t="n">
        <v>0</v>
      </c>
      <c r="C882" s="0" t="n">
        <v>10</v>
      </c>
      <c r="D882" s="0" t="n">
        <f aca="false">-1+A882*0.125</f>
        <v>-0.625</v>
      </c>
      <c r="E882" s="0" t="n">
        <f aca="false">-1+B882*0.125</f>
        <v>-1</v>
      </c>
      <c r="F882" s="0" t="n">
        <f aca="false">-1+C882*0.125</f>
        <v>0.25</v>
      </c>
      <c r="G882" s="0" t="n">
        <f aca="false">1</f>
        <v>1</v>
      </c>
      <c r="H882" s="0" t="n">
        <f aca="false">D882</f>
        <v>-0.625</v>
      </c>
      <c r="I882" s="0" t="n">
        <f aca="false">E882</f>
        <v>-1</v>
      </c>
      <c r="J882" s="0" t="n">
        <f aca="false">F882</f>
        <v>0.25</v>
      </c>
      <c r="K882" s="0" t="n">
        <f aca="false">D882*E882</f>
        <v>0.625</v>
      </c>
      <c r="L882" s="0" t="n">
        <f aca="false">D882*F882</f>
        <v>-0.15625</v>
      </c>
      <c r="M882" s="0" t="n">
        <f aca="false">E882*F882</f>
        <v>-0.25</v>
      </c>
      <c r="N882" s="0" t="n">
        <f aca="false">D882*D882</f>
        <v>0.390625</v>
      </c>
      <c r="O882" s="0" t="n">
        <f aca="false">E882*E882</f>
        <v>1</v>
      </c>
      <c r="P882" s="0" t="n">
        <f aca="false">F882*F882</f>
        <v>0.0625</v>
      </c>
      <c r="Q882" s="0" t="n">
        <f aca="false">SUMPRODUCT(G882:P882,_XtX!$B$71:$K$71)</f>
        <v>42.6264346590909</v>
      </c>
      <c r="R882" s="0" t="n">
        <f aca="false">SUMPRODUCT(MMULT(G882:P882,_XtX!$B$58:$K$67),G882:P882)</f>
        <v>0.481389825994318</v>
      </c>
      <c r="S882" s="0" t="n">
        <f aca="false">04_回帰ANOVA!$K$19*04_回帰ANOVA!$K$14*SQRT(1+R882)</f>
        <v>1.13162182500693</v>
      </c>
      <c r="T882" s="0" t="n">
        <f aca="false">Q882-S882</f>
        <v>41.494812834084</v>
      </c>
      <c r="U882" s="0" t="n">
        <f aca="false">Q882+S882</f>
        <v>43.7580564840978</v>
      </c>
      <c r="V882" s="54" t="b">
        <f aca="false">AND(D882&gt;=01_因子設定!$L$5-0.000000001,D882&lt;=01_因子設定!$M$5+0.000000001,E882&gt;=01_因子設定!$L$6-0.000000001,E882&lt;=01_因子設定!$M$6+0.000000001,F882&gt;=01_因子設定!$L$7-0.000000001,F882&lt;=01_因子設定!$M$7+0.000000001,IF(01_因子設定!$B$20="Box-Behnken",D882^2+E882^2+F882^2&lt;=2+0.000000001,TRUE()))</f>
        <v>1</v>
      </c>
      <c r="W882" s="55" t="n">
        <f aca="false">IF(V882,IF(01_因子設定!$B$13="最大化",T882-01_因子設定!$B$14,IF(01_因子設定!$B$13="最小化",01_因子設定!$B$15-U882,MIN(T882-01_因子設定!$B$14,01_因子設定!$B$15-U882))),-1E+030)</f>
        <v>-7.00518716591601</v>
      </c>
      <c r="X882" s="55" t="n">
        <f aca="false">IF(V882,IF(01_因子設定!$B$13="最大化",Q882,IF(01_因子設定!$B$13="最小化",-Q882,-ABS(Q882-01_因子設定!$B$16))),-1E+030)</f>
        <v>42.6264346590909</v>
      </c>
      <c r="Y882" s="55" t="n">
        <f aca="false">W882+ROW()*0.000000001</f>
        <v>-7.00518628391601</v>
      </c>
      <c r="Z882" s="55" t="n">
        <f aca="false">X882+ROW()*0.000000001</f>
        <v>42.6264355410909</v>
      </c>
    </row>
    <row r="883" customFormat="false" ht="15" hidden="false" customHeight="false" outlineLevel="0" collapsed="false">
      <c r="A883" s="0" t="n">
        <v>3</v>
      </c>
      <c r="B883" s="0" t="n">
        <v>0</v>
      </c>
      <c r="C883" s="0" t="n">
        <v>11</v>
      </c>
      <c r="D883" s="0" t="n">
        <f aca="false">-1+A883*0.125</f>
        <v>-0.625</v>
      </c>
      <c r="E883" s="0" t="n">
        <f aca="false">-1+B883*0.125</f>
        <v>-1</v>
      </c>
      <c r="F883" s="0" t="n">
        <f aca="false">-1+C883*0.125</f>
        <v>0.375</v>
      </c>
      <c r="G883" s="0" t="n">
        <f aca="false">1</f>
        <v>1</v>
      </c>
      <c r="H883" s="0" t="n">
        <f aca="false">D883</f>
        <v>-0.625</v>
      </c>
      <c r="I883" s="0" t="n">
        <f aca="false">E883</f>
        <v>-1</v>
      </c>
      <c r="J883" s="0" t="n">
        <f aca="false">F883</f>
        <v>0.375</v>
      </c>
      <c r="K883" s="0" t="n">
        <f aca="false">D883*E883</f>
        <v>0.625</v>
      </c>
      <c r="L883" s="0" t="n">
        <f aca="false">D883*F883</f>
        <v>-0.234375</v>
      </c>
      <c r="M883" s="0" t="n">
        <f aca="false">E883*F883</f>
        <v>-0.375</v>
      </c>
      <c r="N883" s="0" t="n">
        <f aca="false">D883*D883</f>
        <v>0.390625</v>
      </c>
      <c r="O883" s="0" t="n">
        <f aca="false">E883*E883</f>
        <v>1</v>
      </c>
      <c r="P883" s="0" t="n">
        <f aca="false">F883*F883</f>
        <v>0.140625</v>
      </c>
      <c r="Q883" s="0" t="n">
        <f aca="false">SUMPRODUCT(G883:P883,_XtX!$B$71:$K$71)</f>
        <v>42.6624289772727</v>
      </c>
      <c r="R883" s="0" t="n">
        <f aca="false">SUMPRODUCT(MMULT(G883:P883,_XtX!$B$58:$K$67),G883:P883)</f>
        <v>0.471821178089489</v>
      </c>
      <c r="S883" s="0" t="n">
        <f aca="false">04_回帰ANOVA!$K$19*04_回帰ANOVA!$K$14*SQRT(1+R883)</f>
        <v>1.12796119746125</v>
      </c>
      <c r="T883" s="0" t="n">
        <f aca="false">Q883-S883</f>
        <v>41.5344677798115</v>
      </c>
      <c r="U883" s="0" t="n">
        <f aca="false">Q883+S883</f>
        <v>43.790390174734</v>
      </c>
      <c r="V883" s="54" t="b">
        <f aca="false">AND(D883&gt;=01_因子設定!$L$5-0.000000001,D883&lt;=01_因子設定!$M$5+0.000000001,E883&gt;=01_因子設定!$L$6-0.000000001,E883&lt;=01_因子設定!$M$6+0.000000001,F883&gt;=01_因子設定!$L$7-0.000000001,F883&lt;=01_因子設定!$M$7+0.000000001,IF(01_因子設定!$B$20="Box-Behnken",D883^2+E883^2+F883^2&lt;=2+0.000000001,TRUE()))</f>
        <v>1</v>
      </c>
      <c r="W883" s="55" t="n">
        <f aca="false">IF(V883,IF(01_因子設定!$B$13="最大化",T883-01_因子設定!$B$14,IF(01_因子設定!$B$13="最小化",01_因子設定!$B$15-U883,MIN(T883-01_因子設定!$B$14,01_因子設定!$B$15-U883))),-1E+030)</f>
        <v>-6.96553222018852</v>
      </c>
      <c r="X883" s="55" t="n">
        <f aca="false">IF(V883,IF(01_因子設定!$B$13="最大化",Q883,IF(01_因子設定!$B$13="最小化",-Q883,-ABS(Q883-01_因子設定!$B$16))),-1E+030)</f>
        <v>42.6624289772727</v>
      </c>
      <c r="Y883" s="55" t="n">
        <f aca="false">W883+ROW()*0.000000001</f>
        <v>-6.96553133718852</v>
      </c>
      <c r="Z883" s="55" t="n">
        <f aca="false">X883+ROW()*0.000000001</f>
        <v>42.6624298602727</v>
      </c>
    </row>
    <row r="884" customFormat="false" ht="15" hidden="false" customHeight="false" outlineLevel="0" collapsed="false">
      <c r="A884" s="0" t="n">
        <v>3</v>
      </c>
      <c r="B884" s="0" t="n">
        <v>0</v>
      </c>
      <c r="C884" s="0" t="n">
        <v>12</v>
      </c>
      <c r="D884" s="0" t="n">
        <f aca="false">-1+A884*0.125</f>
        <v>-0.625</v>
      </c>
      <c r="E884" s="0" t="n">
        <f aca="false">-1+B884*0.125</f>
        <v>-1</v>
      </c>
      <c r="F884" s="0" t="n">
        <f aca="false">-1+C884*0.125</f>
        <v>0.5</v>
      </c>
      <c r="G884" s="0" t="n">
        <f aca="false">1</f>
        <v>1</v>
      </c>
      <c r="H884" s="0" t="n">
        <f aca="false">D884</f>
        <v>-0.625</v>
      </c>
      <c r="I884" s="0" t="n">
        <f aca="false">E884</f>
        <v>-1</v>
      </c>
      <c r="J884" s="0" t="n">
        <f aca="false">F884</f>
        <v>0.5</v>
      </c>
      <c r="K884" s="0" t="n">
        <f aca="false">D884*E884</f>
        <v>0.625</v>
      </c>
      <c r="L884" s="0" t="n">
        <f aca="false">D884*F884</f>
        <v>-0.3125</v>
      </c>
      <c r="M884" s="0" t="n">
        <f aca="false">E884*F884</f>
        <v>-0.5</v>
      </c>
      <c r="N884" s="0" t="n">
        <f aca="false">D884*D884</f>
        <v>0.390625</v>
      </c>
      <c r="O884" s="0" t="n">
        <f aca="false">E884*E884</f>
        <v>1</v>
      </c>
      <c r="P884" s="0" t="n">
        <f aca="false">F884*F884</f>
        <v>0.25</v>
      </c>
      <c r="Q884" s="0" t="n">
        <f aca="false">SUMPRODUCT(G884:P884,_XtX!$B$71:$K$71)</f>
        <v>42.6616335227273</v>
      </c>
      <c r="R884" s="0" t="n">
        <f aca="false">SUMPRODUCT(MMULT(G884:P884,_XtX!$B$58:$K$67),G884:P884)</f>
        <v>0.465882457386364</v>
      </c>
      <c r="S884" s="0" t="n">
        <f aca="false">04_回帰ANOVA!$K$19*04_回帰ANOVA!$K$14*SQRT(1+R884)</f>
        <v>1.12568326538173</v>
      </c>
      <c r="T884" s="0" t="n">
        <f aca="false">Q884-S884</f>
        <v>41.5359502573456</v>
      </c>
      <c r="U884" s="0" t="n">
        <f aca="false">Q884+S884</f>
        <v>43.787316788109</v>
      </c>
      <c r="V884" s="54" t="b">
        <f aca="false">AND(D884&gt;=01_因子設定!$L$5-0.000000001,D884&lt;=01_因子設定!$M$5+0.000000001,E884&gt;=01_因子設定!$L$6-0.000000001,E884&lt;=01_因子設定!$M$6+0.000000001,F884&gt;=01_因子設定!$L$7-0.000000001,F884&lt;=01_因子設定!$M$7+0.000000001,IF(01_因子設定!$B$20="Box-Behnken",D884^2+E884^2+F884^2&lt;=2+0.000000001,TRUE()))</f>
        <v>1</v>
      </c>
      <c r="W884" s="55" t="n">
        <f aca="false">IF(V884,IF(01_因子設定!$B$13="最大化",T884-01_因子設定!$B$14,IF(01_因子設定!$B$13="最小化",01_因子設定!$B$15-U884,MIN(T884-01_因子設定!$B$14,01_因子設定!$B$15-U884))),-1E+030)</f>
        <v>-6.96404974265445</v>
      </c>
      <c r="X884" s="55" t="n">
        <f aca="false">IF(V884,IF(01_因子設定!$B$13="最大化",Q884,IF(01_因子設定!$B$13="最小化",-Q884,-ABS(Q884-01_因子設定!$B$16))),-1E+030)</f>
        <v>42.6616335227273</v>
      </c>
      <c r="Y884" s="55" t="n">
        <f aca="false">W884+ROW()*0.000000001</f>
        <v>-6.96404885865445</v>
      </c>
      <c r="Z884" s="55" t="n">
        <f aca="false">X884+ROW()*0.000000001</f>
        <v>42.6616344067273</v>
      </c>
    </row>
    <row r="885" customFormat="false" ht="15" hidden="false" customHeight="false" outlineLevel="0" collapsed="false">
      <c r="A885" s="0" t="n">
        <v>3</v>
      </c>
      <c r="B885" s="0" t="n">
        <v>0</v>
      </c>
      <c r="C885" s="0" t="n">
        <v>13</v>
      </c>
      <c r="D885" s="0" t="n">
        <f aca="false">-1+A885*0.125</f>
        <v>-0.625</v>
      </c>
      <c r="E885" s="0" t="n">
        <f aca="false">-1+B885*0.125</f>
        <v>-1</v>
      </c>
      <c r="F885" s="0" t="n">
        <f aca="false">-1+C885*0.125</f>
        <v>0.625</v>
      </c>
      <c r="G885" s="0" t="n">
        <f aca="false">1</f>
        <v>1</v>
      </c>
      <c r="H885" s="0" t="n">
        <f aca="false">D885</f>
        <v>-0.625</v>
      </c>
      <c r="I885" s="0" t="n">
        <f aca="false">E885</f>
        <v>-1</v>
      </c>
      <c r="J885" s="0" t="n">
        <f aca="false">F885</f>
        <v>0.625</v>
      </c>
      <c r="K885" s="0" t="n">
        <f aca="false">D885*E885</f>
        <v>0.625</v>
      </c>
      <c r="L885" s="0" t="n">
        <f aca="false">D885*F885</f>
        <v>-0.390625</v>
      </c>
      <c r="M885" s="0" t="n">
        <f aca="false">E885*F885</f>
        <v>-0.625</v>
      </c>
      <c r="N885" s="0" t="n">
        <f aca="false">D885*D885</f>
        <v>0.390625</v>
      </c>
      <c r="O885" s="0" t="n">
        <f aca="false">E885*E885</f>
        <v>1</v>
      </c>
      <c r="P885" s="0" t="n">
        <f aca="false">F885*F885</f>
        <v>0.390625</v>
      </c>
      <c r="Q885" s="0" t="n">
        <f aca="false">SUMPRODUCT(G885:P885,_XtX!$B$71:$K$71)</f>
        <v>42.6240482954546</v>
      </c>
      <c r="R885" s="0" t="n">
        <f aca="false">SUMPRODUCT(MMULT(G885:P885,_XtX!$B$58:$K$67),G885:P885)</f>
        <v>0.47103105024858</v>
      </c>
      <c r="S885" s="0" t="n">
        <f aca="false">04_回帰ANOVA!$K$19*04_回帰ANOVA!$K$14*SQRT(1+R885)</f>
        <v>1.1276583912499</v>
      </c>
      <c r="T885" s="0" t="n">
        <f aca="false">Q885-S885</f>
        <v>41.4963899042047</v>
      </c>
      <c r="U885" s="0" t="n">
        <f aca="false">Q885+S885</f>
        <v>43.7517066867045</v>
      </c>
      <c r="V885" s="54" t="b">
        <f aca="false">AND(D885&gt;=01_因子設定!$L$5-0.000000001,D885&lt;=01_因子設定!$M$5+0.000000001,E885&gt;=01_因子設定!$L$6-0.000000001,E885&lt;=01_因子設定!$M$6+0.000000001,F885&gt;=01_因子設定!$L$7-0.000000001,F885&lt;=01_因子設定!$M$7+0.000000001,IF(01_因子設定!$B$20="Box-Behnken",D885^2+E885^2+F885^2&lt;=2+0.000000001,TRUE()))</f>
        <v>1</v>
      </c>
      <c r="W885" s="55" t="n">
        <f aca="false">IF(V885,IF(01_因子設定!$B$13="最大化",T885-01_因子設定!$B$14,IF(01_因子設定!$B$13="最小化",01_因子設定!$B$15-U885,MIN(T885-01_因子設定!$B$14,01_因子設定!$B$15-U885))),-1E+030)</f>
        <v>-7.00361009579535</v>
      </c>
      <c r="X885" s="55" t="n">
        <f aca="false">IF(V885,IF(01_因子設定!$B$13="最大化",Q885,IF(01_因子設定!$B$13="最小化",-Q885,-ABS(Q885-01_因子設定!$B$16))),-1E+030)</f>
        <v>42.6240482954546</v>
      </c>
      <c r="Y885" s="55" t="n">
        <f aca="false">W885+ROW()*0.000000001</f>
        <v>-7.00360921079535</v>
      </c>
      <c r="Z885" s="55" t="n">
        <f aca="false">X885+ROW()*0.000000001</f>
        <v>42.6240491804546</v>
      </c>
    </row>
    <row r="886" customFormat="false" ht="15" hidden="false" customHeight="false" outlineLevel="0" collapsed="false">
      <c r="A886" s="0" t="n">
        <v>3</v>
      </c>
      <c r="B886" s="0" t="n">
        <v>0</v>
      </c>
      <c r="C886" s="0" t="n">
        <v>14</v>
      </c>
      <c r="D886" s="0" t="n">
        <f aca="false">-1+A886*0.125</f>
        <v>-0.625</v>
      </c>
      <c r="E886" s="0" t="n">
        <f aca="false">-1+B886*0.125</f>
        <v>-1</v>
      </c>
      <c r="F886" s="0" t="n">
        <f aca="false">-1+C886*0.125</f>
        <v>0.75</v>
      </c>
      <c r="G886" s="0" t="n">
        <f aca="false">1</f>
        <v>1</v>
      </c>
      <c r="H886" s="0" t="n">
        <f aca="false">D886</f>
        <v>-0.625</v>
      </c>
      <c r="I886" s="0" t="n">
        <f aca="false">E886</f>
        <v>-1</v>
      </c>
      <c r="J886" s="0" t="n">
        <f aca="false">F886</f>
        <v>0.75</v>
      </c>
      <c r="K886" s="0" t="n">
        <f aca="false">D886*E886</f>
        <v>0.625</v>
      </c>
      <c r="L886" s="0" t="n">
        <f aca="false">D886*F886</f>
        <v>-0.46875</v>
      </c>
      <c r="M886" s="0" t="n">
        <f aca="false">E886*F886</f>
        <v>-0.75</v>
      </c>
      <c r="N886" s="0" t="n">
        <f aca="false">D886*D886</f>
        <v>0.390625</v>
      </c>
      <c r="O886" s="0" t="n">
        <f aca="false">E886*E886</f>
        <v>1</v>
      </c>
      <c r="P886" s="0" t="n">
        <f aca="false">F886*F886</f>
        <v>0.5625</v>
      </c>
      <c r="Q886" s="0" t="n">
        <f aca="false">SUMPRODUCT(G886:P886,_XtX!$B$71:$K$71)</f>
        <v>42.5496732954546</v>
      </c>
      <c r="R886" s="0" t="n">
        <f aca="false">SUMPRODUCT(MMULT(G886:P886,_XtX!$B$58:$K$67),G886:P886)</f>
        <v>0.496855024857955</v>
      </c>
      <c r="S886" s="0" t="n">
        <f aca="false">04_回帰ANOVA!$K$19*04_回帰ANOVA!$K$14*SQRT(1+R886)</f>
        <v>1.1375133593161</v>
      </c>
      <c r="T886" s="0" t="n">
        <f aca="false">Q886-S886</f>
        <v>41.4121599361385</v>
      </c>
      <c r="U886" s="0" t="n">
        <f aca="false">Q886+S886</f>
        <v>43.6871866547707</v>
      </c>
      <c r="V886" s="54" t="b">
        <f aca="false">AND(D886&gt;=01_因子設定!$L$5-0.000000001,D886&lt;=01_因子設定!$M$5+0.000000001,E886&gt;=01_因子設定!$L$6-0.000000001,E886&lt;=01_因子設定!$M$6+0.000000001,F886&gt;=01_因子設定!$L$7-0.000000001,F886&lt;=01_因子設定!$M$7+0.000000001,IF(01_因子設定!$B$20="Box-Behnken",D886^2+E886^2+F886^2&lt;=2+0.000000001,TRUE()))</f>
        <v>1</v>
      </c>
      <c r="W886" s="55" t="n">
        <f aca="false">IF(V886,IF(01_因子設定!$B$13="最大化",T886-01_因子設定!$B$14,IF(01_因子設定!$B$13="最小化",01_因子設定!$B$15-U886,MIN(T886-01_因子設定!$B$14,01_因子設定!$B$15-U886))),-1E+030)</f>
        <v>-7.08784006386154</v>
      </c>
      <c r="X886" s="55" t="n">
        <f aca="false">IF(V886,IF(01_因子設定!$B$13="最大化",Q886,IF(01_因子設定!$B$13="最小化",-Q886,-ABS(Q886-01_因子設定!$B$16))),-1E+030)</f>
        <v>42.5496732954546</v>
      </c>
      <c r="Y886" s="55" t="n">
        <f aca="false">W886+ROW()*0.000000001</f>
        <v>-7.08783917786154</v>
      </c>
      <c r="Z886" s="55" t="n">
        <f aca="false">X886+ROW()*0.000000001</f>
        <v>42.5496741814546</v>
      </c>
    </row>
    <row r="887" customFormat="false" ht="15" hidden="false" customHeight="false" outlineLevel="0" collapsed="false">
      <c r="A887" s="0" t="n">
        <v>3</v>
      </c>
      <c r="B887" s="0" t="n">
        <v>0</v>
      </c>
      <c r="C887" s="0" t="n">
        <v>15</v>
      </c>
      <c r="D887" s="0" t="n">
        <f aca="false">-1+A887*0.125</f>
        <v>-0.625</v>
      </c>
      <c r="E887" s="0" t="n">
        <f aca="false">-1+B887*0.125</f>
        <v>-1</v>
      </c>
      <c r="F887" s="0" t="n">
        <f aca="false">-1+C887*0.125</f>
        <v>0.875</v>
      </c>
      <c r="G887" s="0" t="n">
        <f aca="false">1</f>
        <v>1</v>
      </c>
      <c r="H887" s="0" t="n">
        <f aca="false">D887</f>
        <v>-0.625</v>
      </c>
      <c r="I887" s="0" t="n">
        <f aca="false">E887</f>
        <v>-1</v>
      </c>
      <c r="J887" s="0" t="n">
        <f aca="false">F887</f>
        <v>0.875</v>
      </c>
      <c r="K887" s="0" t="n">
        <f aca="false">D887*E887</f>
        <v>0.625</v>
      </c>
      <c r="L887" s="0" t="n">
        <f aca="false">D887*F887</f>
        <v>-0.546875</v>
      </c>
      <c r="M887" s="0" t="n">
        <f aca="false">E887*F887</f>
        <v>-0.875</v>
      </c>
      <c r="N887" s="0" t="n">
        <f aca="false">D887*D887</f>
        <v>0.390625</v>
      </c>
      <c r="O887" s="0" t="n">
        <f aca="false">E887*E887</f>
        <v>1</v>
      </c>
      <c r="P887" s="0" t="n">
        <f aca="false">F887*F887</f>
        <v>0.765625</v>
      </c>
      <c r="Q887" s="0" t="n">
        <f aca="false">SUMPRODUCT(G887:P887,_XtX!$B$71:$K$71)</f>
        <v>42.4385085227273</v>
      </c>
      <c r="R887" s="0" t="n">
        <f aca="false">SUMPRODUCT(MMULT(G887:P887,_XtX!$B$58:$K$67),G887:P887)</f>
        <v>0.555073131214489</v>
      </c>
      <c r="S887" s="0" t="n">
        <f aca="false">04_回帰ANOVA!$K$19*04_回帰ANOVA!$K$14*SQRT(1+R887)</f>
        <v>1.15942335628341</v>
      </c>
      <c r="T887" s="0" t="n">
        <f aca="false">Q887-S887</f>
        <v>41.2790851664439</v>
      </c>
      <c r="U887" s="0" t="n">
        <f aca="false">Q887+S887</f>
        <v>43.5979318790107</v>
      </c>
      <c r="V887" s="54" t="b">
        <f aca="false">AND(D887&gt;=01_因子設定!$L$5-0.000000001,D887&lt;=01_因子設定!$M$5+0.000000001,E887&gt;=01_因子設定!$L$6-0.000000001,E887&lt;=01_因子設定!$M$6+0.000000001,F887&gt;=01_因子設定!$L$7-0.000000001,F887&lt;=01_因子設定!$M$7+0.000000001,IF(01_因子設定!$B$20="Box-Behnken",D887^2+E887^2+F887^2&lt;=2+0.000000001,TRUE()))</f>
        <v>1</v>
      </c>
      <c r="W887" s="55" t="n">
        <f aca="false">IF(V887,IF(01_因子設定!$B$13="最大化",T887-01_因子設定!$B$14,IF(01_因子設定!$B$13="最小化",01_因子設定!$B$15-U887,MIN(T887-01_因子設定!$B$14,01_因子設定!$B$15-U887))),-1E+030)</f>
        <v>-7.22091483355612</v>
      </c>
      <c r="X887" s="55" t="n">
        <f aca="false">IF(V887,IF(01_因子設定!$B$13="最大化",Q887,IF(01_因子設定!$B$13="最小化",-Q887,-ABS(Q887-01_因子設定!$B$16))),-1E+030)</f>
        <v>42.4385085227273</v>
      </c>
      <c r="Y887" s="55" t="n">
        <f aca="false">W887+ROW()*0.000000001</f>
        <v>-7.22091394655612</v>
      </c>
      <c r="Z887" s="55" t="n">
        <f aca="false">X887+ROW()*0.000000001</f>
        <v>42.4385094097273</v>
      </c>
    </row>
    <row r="888" customFormat="false" ht="15" hidden="false" customHeight="false" outlineLevel="0" collapsed="false">
      <c r="A888" s="0" t="n">
        <v>3</v>
      </c>
      <c r="B888" s="0" t="n">
        <v>0</v>
      </c>
      <c r="C888" s="0" t="n">
        <v>16</v>
      </c>
      <c r="D888" s="0" t="n">
        <f aca="false">-1+A888*0.125</f>
        <v>-0.625</v>
      </c>
      <c r="E888" s="0" t="n">
        <f aca="false">-1+B888*0.125</f>
        <v>-1</v>
      </c>
      <c r="F888" s="0" t="n">
        <f aca="false">-1+C888*0.125</f>
        <v>1</v>
      </c>
      <c r="G888" s="0" t="n">
        <f aca="false">1</f>
        <v>1</v>
      </c>
      <c r="H888" s="0" t="n">
        <f aca="false">D888</f>
        <v>-0.625</v>
      </c>
      <c r="I888" s="0" t="n">
        <f aca="false">E888</f>
        <v>-1</v>
      </c>
      <c r="J888" s="0" t="n">
        <f aca="false">F888</f>
        <v>1</v>
      </c>
      <c r="K888" s="0" t="n">
        <f aca="false">D888*E888</f>
        <v>0.625</v>
      </c>
      <c r="L888" s="0" t="n">
        <f aca="false">D888*F888</f>
        <v>-0.625</v>
      </c>
      <c r="M888" s="0" t="n">
        <f aca="false">E888*F888</f>
        <v>-1</v>
      </c>
      <c r="N888" s="0" t="n">
        <f aca="false">D888*D888</f>
        <v>0.390625</v>
      </c>
      <c r="O888" s="0" t="n">
        <f aca="false">E888*E888</f>
        <v>1</v>
      </c>
      <c r="P888" s="0" t="n">
        <f aca="false">F888*F888</f>
        <v>1</v>
      </c>
      <c r="Q888" s="0" t="n">
        <f aca="false">SUMPRODUCT(G888:P888,_XtX!$B$71:$K$71)</f>
        <v>42.2905539772728</v>
      </c>
      <c r="R888" s="0" t="n">
        <f aca="false">SUMPRODUCT(MMULT(G888:P888,_XtX!$B$58:$K$67),G888:P888)</f>
        <v>0.659534801136364</v>
      </c>
      <c r="S888" s="0" t="n">
        <f aca="false">04_回帰ANOVA!$K$19*04_回帰ANOVA!$K$14*SQRT(1+R888)</f>
        <v>1.19773245593097</v>
      </c>
      <c r="T888" s="0" t="n">
        <f aca="false">Q888-S888</f>
        <v>41.0928215213418</v>
      </c>
      <c r="U888" s="0" t="n">
        <f aca="false">Q888+S888</f>
        <v>43.4882864332037</v>
      </c>
      <c r="V888" s="54" t="b">
        <f aca="false">AND(D888&gt;=01_因子設定!$L$5-0.000000001,D888&lt;=01_因子設定!$M$5+0.000000001,E888&gt;=01_因子設定!$L$6-0.000000001,E888&lt;=01_因子設定!$M$6+0.000000001,F888&gt;=01_因子設定!$L$7-0.000000001,F888&lt;=01_因子設定!$M$7+0.000000001,IF(01_因子設定!$B$20="Box-Behnken",D888^2+E888^2+F888^2&lt;=2+0.000000001,TRUE()))</f>
        <v>1</v>
      </c>
      <c r="W888" s="55" t="n">
        <f aca="false">IF(V888,IF(01_因子設定!$B$13="最大化",T888-01_因子設定!$B$14,IF(01_因子設定!$B$13="最小化",01_因子設定!$B$15-U888,MIN(T888-01_因子設定!$B$14,01_因子設定!$B$15-U888))),-1E+030)</f>
        <v>-7.40717847865822</v>
      </c>
      <c r="X888" s="55" t="n">
        <f aca="false">IF(V888,IF(01_因子設定!$B$13="最大化",Q888,IF(01_因子設定!$B$13="最小化",-Q888,-ABS(Q888-01_因子設定!$B$16))),-1E+030)</f>
        <v>42.2905539772728</v>
      </c>
      <c r="Y888" s="55" t="n">
        <f aca="false">W888+ROW()*0.000000001</f>
        <v>-7.40717759065822</v>
      </c>
      <c r="Z888" s="55" t="n">
        <f aca="false">X888+ROW()*0.000000001</f>
        <v>42.2905548652728</v>
      </c>
    </row>
    <row r="889" customFormat="false" ht="15" hidden="false" customHeight="false" outlineLevel="0" collapsed="false">
      <c r="A889" s="0" t="n">
        <v>3</v>
      </c>
      <c r="B889" s="0" t="n">
        <v>1</v>
      </c>
      <c r="C889" s="0" t="n">
        <v>0</v>
      </c>
      <c r="D889" s="0" t="n">
        <f aca="false">-1+A889*0.125</f>
        <v>-0.625</v>
      </c>
      <c r="E889" s="0" t="n">
        <f aca="false">-1+B889*0.125</f>
        <v>-0.875</v>
      </c>
      <c r="F889" s="0" t="n">
        <f aca="false">-1+C889*0.125</f>
        <v>-1</v>
      </c>
      <c r="G889" s="0" t="n">
        <f aca="false">1</f>
        <v>1</v>
      </c>
      <c r="H889" s="0" t="n">
        <f aca="false">D889</f>
        <v>-0.625</v>
      </c>
      <c r="I889" s="0" t="n">
        <f aca="false">E889</f>
        <v>-0.875</v>
      </c>
      <c r="J889" s="0" t="n">
        <f aca="false">F889</f>
        <v>-1</v>
      </c>
      <c r="K889" s="0" t="n">
        <f aca="false">D889*E889</f>
        <v>0.546875</v>
      </c>
      <c r="L889" s="0" t="n">
        <f aca="false">D889*F889</f>
        <v>0.625</v>
      </c>
      <c r="M889" s="0" t="n">
        <f aca="false">E889*F889</f>
        <v>0.875</v>
      </c>
      <c r="N889" s="0" t="n">
        <f aca="false">D889*D889</f>
        <v>0.390625</v>
      </c>
      <c r="O889" s="0" t="n">
        <f aca="false">E889*E889</f>
        <v>0.765625</v>
      </c>
      <c r="P889" s="0" t="n">
        <f aca="false">F889*F889</f>
        <v>1</v>
      </c>
      <c r="Q889" s="0" t="n">
        <f aca="false">SUMPRODUCT(G889:P889,_XtX!$B$71:$K$71)</f>
        <v>40.8249928977273</v>
      </c>
      <c r="R889" s="0" t="n">
        <f aca="false">SUMPRODUCT(MMULT(G889:P889,_XtX!$B$58:$K$67),G889:P889)</f>
        <v>0.555073131214489</v>
      </c>
      <c r="S889" s="0" t="n">
        <f aca="false">04_回帰ANOVA!$K$19*04_回帰ANOVA!$K$14*SQRT(1+R889)</f>
        <v>1.15942335628341</v>
      </c>
      <c r="T889" s="0" t="n">
        <f aca="false">Q889-S889</f>
        <v>39.6655695414439</v>
      </c>
      <c r="U889" s="0" t="n">
        <f aca="false">Q889+S889</f>
        <v>41.9844162540107</v>
      </c>
      <c r="V889" s="54" t="b">
        <f aca="false">AND(D889&gt;=01_因子設定!$L$5-0.000000001,D889&lt;=01_因子設定!$M$5+0.000000001,E889&gt;=01_因子設定!$L$6-0.000000001,E889&lt;=01_因子設定!$M$6+0.000000001,F889&gt;=01_因子設定!$L$7-0.000000001,F889&lt;=01_因子設定!$M$7+0.000000001,IF(01_因子設定!$B$20="Box-Behnken",D889^2+E889^2+F889^2&lt;=2+0.000000001,TRUE()))</f>
        <v>1</v>
      </c>
      <c r="W889" s="55" t="n">
        <f aca="false">IF(V889,IF(01_因子設定!$B$13="最大化",T889-01_因子設定!$B$14,IF(01_因子設定!$B$13="最小化",01_因子設定!$B$15-U889,MIN(T889-01_因子設定!$B$14,01_因子設定!$B$15-U889))),-1E+030)</f>
        <v>-8.83443045855611</v>
      </c>
      <c r="X889" s="55" t="n">
        <f aca="false">IF(V889,IF(01_因子設定!$B$13="最大化",Q889,IF(01_因子設定!$B$13="最小化",-Q889,-ABS(Q889-01_因子設定!$B$16))),-1E+030)</f>
        <v>40.8249928977273</v>
      </c>
      <c r="Y889" s="55" t="n">
        <f aca="false">W889+ROW()*0.000000001</f>
        <v>-8.83442956955611</v>
      </c>
      <c r="Z889" s="55" t="n">
        <f aca="false">X889+ROW()*0.000000001</f>
        <v>40.8249937867273</v>
      </c>
    </row>
    <row r="890" customFormat="false" ht="15" hidden="false" customHeight="false" outlineLevel="0" collapsed="false">
      <c r="A890" s="0" t="n">
        <v>3</v>
      </c>
      <c r="B890" s="0" t="n">
        <v>1</v>
      </c>
      <c r="C890" s="0" t="n">
        <v>1</v>
      </c>
      <c r="D890" s="0" t="n">
        <f aca="false">-1+A890*0.125</f>
        <v>-0.625</v>
      </c>
      <c r="E890" s="0" t="n">
        <f aca="false">-1+B890*0.125</f>
        <v>-0.875</v>
      </c>
      <c r="F890" s="0" t="n">
        <f aca="false">-1+C890*0.125</f>
        <v>-0.875</v>
      </c>
      <c r="G890" s="0" t="n">
        <f aca="false">1</f>
        <v>1</v>
      </c>
      <c r="H890" s="0" t="n">
        <f aca="false">D890</f>
        <v>-0.625</v>
      </c>
      <c r="I890" s="0" t="n">
        <f aca="false">E890</f>
        <v>-0.875</v>
      </c>
      <c r="J890" s="0" t="n">
        <f aca="false">F890</f>
        <v>-0.875</v>
      </c>
      <c r="K890" s="0" t="n">
        <f aca="false">D890*E890</f>
        <v>0.546875</v>
      </c>
      <c r="L890" s="0" t="n">
        <f aca="false">D890*F890</f>
        <v>0.546875</v>
      </c>
      <c r="M890" s="0" t="n">
        <f aca="false">E890*F890</f>
        <v>0.765625</v>
      </c>
      <c r="N890" s="0" t="n">
        <f aca="false">D890*D890</f>
        <v>0.390625</v>
      </c>
      <c r="O890" s="0" t="n">
        <f aca="false">E890*E890</f>
        <v>0.765625</v>
      </c>
      <c r="P890" s="0" t="n">
        <f aca="false">F890*F890</f>
        <v>0.765625</v>
      </c>
      <c r="Q890" s="0" t="n">
        <f aca="false">SUMPRODUCT(G890:P890,_XtX!$B$71:$K$71)</f>
        <v>41.2359161931818</v>
      </c>
      <c r="R890" s="0" t="n">
        <f aca="false">SUMPRODUCT(MMULT(G890:P890,_XtX!$B$58:$K$67),G890:P890)</f>
        <v>0.442496559836648</v>
      </c>
      <c r="S890" s="0" t="n">
        <f aca="false">04_回帰ANOVA!$K$19*04_回帰ANOVA!$K$14*SQRT(1+R890)</f>
        <v>1.11666789259284</v>
      </c>
      <c r="T890" s="0" t="n">
        <f aca="false">Q890-S890</f>
        <v>40.119248300589</v>
      </c>
      <c r="U890" s="0" t="n">
        <f aca="false">Q890+S890</f>
        <v>42.3525840857747</v>
      </c>
      <c r="V890" s="54" t="b">
        <f aca="false">AND(D890&gt;=01_因子設定!$L$5-0.000000001,D890&lt;=01_因子設定!$M$5+0.000000001,E890&gt;=01_因子設定!$L$6-0.000000001,E890&lt;=01_因子設定!$M$6+0.000000001,F890&gt;=01_因子設定!$L$7-0.000000001,F890&lt;=01_因子設定!$M$7+0.000000001,IF(01_因子設定!$B$20="Box-Behnken",D890^2+E890^2+F890^2&lt;=2+0.000000001,TRUE()))</f>
        <v>1</v>
      </c>
      <c r="W890" s="55" t="n">
        <f aca="false">IF(V890,IF(01_因子設定!$B$13="最大化",T890-01_因子設定!$B$14,IF(01_因子設定!$B$13="最小化",01_因子設定!$B$15-U890,MIN(T890-01_因子設定!$B$14,01_因子設定!$B$15-U890))),-1E+030)</f>
        <v>-8.38075169941101</v>
      </c>
      <c r="X890" s="55" t="n">
        <f aca="false">IF(V890,IF(01_因子設定!$B$13="最大化",Q890,IF(01_因子設定!$B$13="最小化",-Q890,-ABS(Q890-01_因子設定!$B$16))),-1E+030)</f>
        <v>41.2359161931818</v>
      </c>
      <c r="Y890" s="55" t="n">
        <f aca="false">W890+ROW()*0.000000001</f>
        <v>-8.38075080941101</v>
      </c>
      <c r="Z890" s="55" t="n">
        <f aca="false">X890+ROW()*0.000000001</f>
        <v>41.2359170831818</v>
      </c>
    </row>
    <row r="891" customFormat="false" ht="15" hidden="false" customHeight="false" outlineLevel="0" collapsed="false">
      <c r="A891" s="0" t="n">
        <v>3</v>
      </c>
      <c r="B891" s="0" t="n">
        <v>1</v>
      </c>
      <c r="C891" s="0" t="n">
        <v>2</v>
      </c>
      <c r="D891" s="0" t="n">
        <f aca="false">-1+A891*0.125</f>
        <v>-0.625</v>
      </c>
      <c r="E891" s="0" t="n">
        <f aca="false">-1+B891*0.125</f>
        <v>-0.875</v>
      </c>
      <c r="F891" s="0" t="n">
        <f aca="false">-1+C891*0.125</f>
        <v>-0.75</v>
      </c>
      <c r="G891" s="0" t="n">
        <f aca="false">1</f>
        <v>1</v>
      </c>
      <c r="H891" s="0" t="n">
        <f aca="false">D891</f>
        <v>-0.625</v>
      </c>
      <c r="I891" s="0" t="n">
        <f aca="false">E891</f>
        <v>-0.875</v>
      </c>
      <c r="J891" s="0" t="n">
        <f aca="false">F891</f>
        <v>-0.75</v>
      </c>
      <c r="K891" s="0" t="n">
        <f aca="false">D891*E891</f>
        <v>0.546875</v>
      </c>
      <c r="L891" s="0" t="n">
        <f aca="false">D891*F891</f>
        <v>0.46875</v>
      </c>
      <c r="M891" s="0" t="n">
        <f aca="false">E891*F891</f>
        <v>0.65625</v>
      </c>
      <c r="N891" s="0" t="n">
        <f aca="false">D891*D891</f>
        <v>0.390625</v>
      </c>
      <c r="O891" s="0" t="n">
        <f aca="false">E891*E891</f>
        <v>0.765625</v>
      </c>
      <c r="P891" s="0" t="n">
        <f aca="false">F891*F891</f>
        <v>0.5625</v>
      </c>
      <c r="Q891" s="0" t="n">
        <f aca="false">SUMPRODUCT(G891:P891,_XtX!$B$71:$K$71)</f>
        <v>41.6100497159091</v>
      </c>
      <c r="R891" s="0" t="n">
        <f aca="false">SUMPRODUCT(MMULT(G891:P891,_XtX!$B$58:$K$67),G891:P891)</f>
        <v>0.377245538884943</v>
      </c>
      <c r="S891" s="0" t="n">
        <f aca="false">04_回帰ANOVA!$K$19*04_回帰ANOVA!$K$14*SQRT(1+R891)</f>
        <v>1.09111951468927</v>
      </c>
      <c r="T891" s="0" t="n">
        <f aca="false">Q891-S891</f>
        <v>40.5189302012198</v>
      </c>
      <c r="U891" s="0" t="n">
        <f aca="false">Q891+S891</f>
        <v>42.7011692305984</v>
      </c>
      <c r="V891" s="54" t="b">
        <f aca="false">AND(D891&gt;=01_因子設定!$L$5-0.000000001,D891&lt;=01_因子設定!$M$5+0.000000001,E891&gt;=01_因子設定!$L$6-0.000000001,E891&lt;=01_因子設定!$M$6+0.000000001,F891&gt;=01_因子設定!$L$7-0.000000001,F891&lt;=01_因子設定!$M$7+0.000000001,IF(01_因子設定!$B$20="Box-Behnken",D891^2+E891^2+F891^2&lt;=2+0.000000001,TRUE()))</f>
        <v>1</v>
      </c>
      <c r="W891" s="55" t="n">
        <f aca="false">IF(V891,IF(01_因子設定!$B$13="最大化",T891-01_因子設定!$B$14,IF(01_因子設定!$B$13="最小化",01_因子設定!$B$15-U891,MIN(T891-01_因子設定!$B$14,01_因子設定!$B$15-U891))),-1E+030)</f>
        <v>-7.98106979878017</v>
      </c>
      <c r="X891" s="55" t="n">
        <f aca="false">IF(V891,IF(01_因子設定!$B$13="最大化",Q891,IF(01_因子設定!$B$13="最小化",-Q891,-ABS(Q891-01_因子設定!$B$16))),-1E+030)</f>
        <v>41.6100497159091</v>
      </c>
      <c r="Y891" s="55" t="n">
        <f aca="false">W891+ROW()*0.000000001</f>
        <v>-7.98106890778017</v>
      </c>
      <c r="Z891" s="55" t="n">
        <f aca="false">X891+ROW()*0.000000001</f>
        <v>41.6100506069091</v>
      </c>
    </row>
    <row r="892" customFormat="false" ht="15" hidden="false" customHeight="false" outlineLevel="0" collapsed="false">
      <c r="A892" s="0" t="n">
        <v>3</v>
      </c>
      <c r="B892" s="0" t="n">
        <v>1</v>
      </c>
      <c r="C892" s="0" t="n">
        <v>3</v>
      </c>
      <c r="D892" s="0" t="n">
        <f aca="false">-1+A892*0.125</f>
        <v>-0.625</v>
      </c>
      <c r="E892" s="0" t="n">
        <f aca="false">-1+B892*0.125</f>
        <v>-0.875</v>
      </c>
      <c r="F892" s="0" t="n">
        <f aca="false">-1+C892*0.125</f>
        <v>-0.625</v>
      </c>
      <c r="G892" s="0" t="n">
        <f aca="false">1</f>
        <v>1</v>
      </c>
      <c r="H892" s="0" t="n">
        <f aca="false">D892</f>
        <v>-0.625</v>
      </c>
      <c r="I892" s="0" t="n">
        <f aca="false">E892</f>
        <v>-0.875</v>
      </c>
      <c r="J892" s="0" t="n">
        <f aca="false">F892</f>
        <v>-0.625</v>
      </c>
      <c r="K892" s="0" t="n">
        <f aca="false">D892*E892</f>
        <v>0.546875</v>
      </c>
      <c r="L892" s="0" t="n">
        <f aca="false">D892*F892</f>
        <v>0.390625</v>
      </c>
      <c r="M892" s="0" t="n">
        <f aca="false">E892*F892</f>
        <v>0.546875</v>
      </c>
      <c r="N892" s="0" t="n">
        <f aca="false">D892*D892</f>
        <v>0.390625</v>
      </c>
      <c r="O892" s="0" t="n">
        <f aca="false">E892*E892</f>
        <v>0.765625</v>
      </c>
      <c r="P892" s="0" t="n">
        <f aca="false">F892*F892</f>
        <v>0.390625</v>
      </c>
      <c r="Q892" s="0" t="n">
        <f aca="false">SUMPRODUCT(G892:P892,_XtX!$B$71:$K$71)</f>
        <v>41.9473934659091</v>
      </c>
      <c r="R892" s="0" t="n">
        <f aca="false">SUMPRODUCT(MMULT(G892:P892,_XtX!$B$58:$K$67),G892:P892)</f>
        <v>0.345470636541193</v>
      </c>
      <c r="S892" s="0" t="n">
        <f aca="false">04_回帰ANOVA!$K$19*04_回帰ANOVA!$K$14*SQRT(1+R892)</f>
        <v>1.07845927083227</v>
      </c>
      <c r="T892" s="0" t="n">
        <f aca="false">Q892-S892</f>
        <v>40.8689341950768</v>
      </c>
      <c r="U892" s="0" t="n">
        <f aca="false">Q892+S892</f>
        <v>43.0258527367414</v>
      </c>
      <c r="V892" s="54" t="b">
        <f aca="false">AND(D892&gt;=01_因子設定!$L$5-0.000000001,D892&lt;=01_因子設定!$M$5+0.000000001,E892&gt;=01_因子設定!$L$6-0.000000001,E892&lt;=01_因子設定!$M$6+0.000000001,F892&gt;=01_因子設定!$L$7-0.000000001,F892&lt;=01_因子設定!$M$7+0.000000001,IF(01_因子設定!$B$20="Box-Behnken",D892^2+E892^2+F892^2&lt;=2+0.000000001,TRUE()))</f>
        <v>1</v>
      </c>
      <c r="W892" s="55" t="n">
        <f aca="false">IF(V892,IF(01_因子設定!$B$13="最大化",T892-01_因子設定!$B$14,IF(01_因子設定!$B$13="最小化",01_因子設定!$B$15-U892,MIN(T892-01_因子設定!$B$14,01_因子設定!$B$15-U892))),-1E+030)</f>
        <v>-7.63106580492317</v>
      </c>
      <c r="X892" s="55" t="n">
        <f aca="false">IF(V892,IF(01_因子設定!$B$13="最大化",Q892,IF(01_因子設定!$B$13="最小化",-Q892,-ABS(Q892-01_因子設定!$B$16))),-1E+030)</f>
        <v>41.9473934659091</v>
      </c>
      <c r="Y892" s="55" t="n">
        <f aca="false">W892+ROW()*0.000000001</f>
        <v>-7.63106491292317</v>
      </c>
      <c r="Z892" s="55" t="n">
        <f aca="false">X892+ROW()*0.000000001</f>
        <v>41.9473943579091</v>
      </c>
    </row>
    <row r="893" customFormat="false" ht="15" hidden="false" customHeight="false" outlineLevel="0" collapsed="false">
      <c r="A893" s="0" t="n">
        <v>3</v>
      </c>
      <c r="B893" s="0" t="n">
        <v>1</v>
      </c>
      <c r="C893" s="0" t="n">
        <v>4</v>
      </c>
      <c r="D893" s="0" t="n">
        <f aca="false">-1+A893*0.125</f>
        <v>-0.625</v>
      </c>
      <c r="E893" s="0" t="n">
        <f aca="false">-1+B893*0.125</f>
        <v>-0.875</v>
      </c>
      <c r="F893" s="0" t="n">
        <f aca="false">-1+C893*0.125</f>
        <v>-0.5</v>
      </c>
      <c r="G893" s="0" t="n">
        <f aca="false">1</f>
        <v>1</v>
      </c>
      <c r="H893" s="0" t="n">
        <f aca="false">D893</f>
        <v>-0.625</v>
      </c>
      <c r="I893" s="0" t="n">
        <f aca="false">E893</f>
        <v>-0.875</v>
      </c>
      <c r="J893" s="0" t="n">
        <f aca="false">F893</f>
        <v>-0.5</v>
      </c>
      <c r="K893" s="0" t="n">
        <f aca="false">D893*E893</f>
        <v>0.546875</v>
      </c>
      <c r="L893" s="0" t="n">
        <f aca="false">D893*F893</f>
        <v>0.3125</v>
      </c>
      <c r="M893" s="0" t="n">
        <f aca="false">E893*F893</f>
        <v>0.4375</v>
      </c>
      <c r="N893" s="0" t="n">
        <f aca="false">D893*D893</f>
        <v>0.390625</v>
      </c>
      <c r="O893" s="0" t="n">
        <f aca="false">E893*E893</f>
        <v>0.765625</v>
      </c>
      <c r="P893" s="0" t="n">
        <f aca="false">F893*F893</f>
        <v>0.25</v>
      </c>
      <c r="Q893" s="0" t="n">
        <f aca="false">SUMPRODUCT(G893:P893,_XtX!$B$71:$K$71)</f>
        <v>42.2479474431818</v>
      </c>
      <c r="R893" s="0" t="n">
        <f aca="false">SUMPRODUCT(MMULT(G893:P893,_XtX!$B$58:$K$67),G893:P893)</f>
        <v>0.335453102805398</v>
      </c>
      <c r="S893" s="0" t="n">
        <f aca="false">04_回帰ANOVA!$K$19*04_回帰ANOVA!$K$14*SQRT(1+R893)</f>
        <v>1.07443700305628</v>
      </c>
      <c r="T893" s="0" t="n">
        <f aca="false">Q893-S893</f>
        <v>41.1735104401256</v>
      </c>
      <c r="U893" s="0" t="n">
        <f aca="false">Q893+S893</f>
        <v>43.3223844462381</v>
      </c>
      <c r="V893" s="54" t="b">
        <f aca="false">AND(D893&gt;=01_因子設定!$L$5-0.000000001,D893&lt;=01_因子設定!$M$5+0.000000001,E893&gt;=01_因子設定!$L$6-0.000000001,E893&lt;=01_因子設定!$M$6+0.000000001,F893&gt;=01_因子設定!$L$7-0.000000001,F893&lt;=01_因子設定!$M$7+0.000000001,IF(01_因子設定!$B$20="Box-Behnken",D893^2+E893^2+F893^2&lt;=2+0.000000001,TRUE()))</f>
        <v>1</v>
      </c>
      <c r="W893" s="55" t="n">
        <f aca="false">IF(V893,IF(01_因子設定!$B$13="最大化",T893-01_因子設定!$B$14,IF(01_因子設定!$B$13="最小化",01_因子設定!$B$15-U893,MIN(T893-01_因子設定!$B$14,01_因子設定!$B$15-U893))),-1E+030)</f>
        <v>-7.32648955987445</v>
      </c>
      <c r="X893" s="55" t="n">
        <f aca="false">IF(V893,IF(01_因子設定!$B$13="最大化",Q893,IF(01_因子設定!$B$13="最小化",-Q893,-ABS(Q893-01_因子設定!$B$16))),-1E+030)</f>
        <v>42.2479474431818</v>
      </c>
      <c r="Y893" s="55" t="n">
        <f aca="false">W893+ROW()*0.000000001</f>
        <v>-7.32648866687445</v>
      </c>
      <c r="Z893" s="55" t="n">
        <f aca="false">X893+ROW()*0.000000001</f>
        <v>42.2479483361818</v>
      </c>
    </row>
    <row r="894" customFormat="false" ht="15" hidden="false" customHeight="false" outlineLevel="0" collapsed="false">
      <c r="A894" s="0" t="n">
        <v>3</v>
      </c>
      <c r="B894" s="0" t="n">
        <v>1</v>
      </c>
      <c r="C894" s="0" t="n">
        <v>5</v>
      </c>
      <c r="D894" s="0" t="n">
        <f aca="false">-1+A894*0.125</f>
        <v>-0.625</v>
      </c>
      <c r="E894" s="0" t="n">
        <f aca="false">-1+B894*0.125</f>
        <v>-0.875</v>
      </c>
      <c r="F894" s="0" t="n">
        <f aca="false">-1+C894*0.125</f>
        <v>-0.375</v>
      </c>
      <c r="G894" s="0" t="n">
        <f aca="false">1</f>
        <v>1</v>
      </c>
      <c r="H894" s="0" t="n">
        <f aca="false">D894</f>
        <v>-0.625</v>
      </c>
      <c r="I894" s="0" t="n">
        <f aca="false">E894</f>
        <v>-0.875</v>
      </c>
      <c r="J894" s="0" t="n">
        <f aca="false">F894</f>
        <v>-0.375</v>
      </c>
      <c r="K894" s="0" t="n">
        <f aca="false">D894*E894</f>
        <v>0.546875</v>
      </c>
      <c r="L894" s="0" t="n">
        <f aca="false">D894*F894</f>
        <v>0.234375</v>
      </c>
      <c r="M894" s="0" t="n">
        <f aca="false">E894*F894</f>
        <v>0.328125</v>
      </c>
      <c r="N894" s="0" t="n">
        <f aca="false">D894*D894</f>
        <v>0.390625</v>
      </c>
      <c r="O894" s="0" t="n">
        <f aca="false">E894*E894</f>
        <v>0.765625</v>
      </c>
      <c r="P894" s="0" t="n">
        <f aca="false">F894*F894</f>
        <v>0.140625</v>
      </c>
      <c r="Q894" s="0" t="n">
        <f aca="false">SUMPRODUCT(G894:P894,_XtX!$B$71:$K$71)</f>
        <v>42.5117116477273</v>
      </c>
      <c r="R894" s="0" t="n">
        <f aca="false">SUMPRODUCT(MMULT(G894:P894,_XtX!$B$58:$K$67),G894:P894)</f>
        <v>0.337604869495739</v>
      </c>
      <c r="S894" s="0" t="n">
        <f aca="false">04_回帰ANOVA!$K$19*04_回帰ANOVA!$K$14*SQRT(1+R894)</f>
        <v>1.07530225516193</v>
      </c>
      <c r="T894" s="0" t="n">
        <f aca="false">Q894-S894</f>
        <v>41.4364093925654</v>
      </c>
      <c r="U894" s="0" t="n">
        <f aca="false">Q894+S894</f>
        <v>43.5870139028892</v>
      </c>
      <c r="V894" s="54" t="b">
        <f aca="false">AND(D894&gt;=01_因子設定!$L$5-0.000000001,D894&lt;=01_因子設定!$M$5+0.000000001,E894&gt;=01_因子設定!$L$6-0.000000001,E894&lt;=01_因子設定!$M$6+0.000000001,F894&gt;=01_因子設定!$L$7-0.000000001,F894&lt;=01_因子設定!$M$7+0.000000001,IF(01_因子設定!$B$20="Box-Behnken",D894^2+E894^2+F894^2&lt;=2+0.000000001,TRUE()))</f>
        <v>1</v>
      </c>
      <c r="W894" s="55" t="n">
        <f aca="false">IF(V894,IF(01_因子設定!$B$13="最大化",T894-01_因子設定!$B$14,IF(01_因子設定!$B$13="最小化",01_因子設定!$B$15-U894,MIN(T894-01_因子設定!$B$14,01_因子設定!$B$15-U894))),-1E+030)</f>
        <v>-7.06359060743465</v>
      </c>
      <c r="X894" s="55" t="n">
        <f aca="false">IF(V894,IF(01_因子設定!$B$13="最大化",Q894,IF(01_因子設定!$B$13="最小化",-Q894,-ABS(Q894-01_因子設定!$B$16))),-1E+030)</f>
        <v>42.5117116477273</v>
      </c>
      <c r="Y894" s="55" t="n">
        <f aca="false">W894+ROW()*0.000000001</f>
        <v>-7.06358971343465</v>
      </c>
      <c r="Z894" s="55" t="n">
        <f aca="false">X894+ROW()*0.000000001</f>
        <v>42.5117125417273</v>
      </c>
    </row>
    <row r="895" customFormat="false" ht="15" hidden="false" customHeight="false" outlineLevel="0" collapsed="false">
      <c r="A895" s="0" t="n">
        <v>3</v>
      </c>
      <c r="B895" s="0" t="n">
        <v>1</v>
      </c>
      <c r="C895" s="0" t="n">
        <v>6</v>
      </c>
      <c r="D895" s="0" t="n">
        <f aca="false">-1+A895*0.125</f>
        <v>-0.625</v>
      </c>
      <c r="E895" s="0" t="n">
        <f aca="false">-1+B895*0.125</f>
        <v>-0.875</v>
      </c>
      <c r="F895" s="0" t="n">
        <f aca="false">-1+C895*0.125</f>
        <v>-0.25</v>
      </c>
      <c r="G895" s="0" t="n">
        <f aca="false">1</f>
        <v>1</v>
      </c>
      <c r="H895" s="0" t="n">
        <f aca="false">D895</f>
        <v>-0.625</v>
      </c>
      <c r="I895" s="0" t="n">
        <f aca="false">E895</f>
        <v>-0.875</v>
      </c>
      <c r="J895" s="0" t="n">
        <f aca="false">F895</f>
        <v>-0.25</v>
      </c>
      <c r="K895" s="0" t="n">
        <f aca="false">D895*E895</f>
        <v>0.546875</v>
      </c>
      <c r="L895" s="0" t="n">
        <f aca="false">D895*F895</f>
        <v>0.15625</v>
      </c>
      <c r="M895" s="0" t="n">
        <f aca="false">E895*F895</f>
        <v>0.21875</v>
      </c>
      <c r="N895" s="0" t="n">
        <f aca="false">D895*D895</f>
        <v>0.390625</v>
      </c>
      <c r="O895" s="0" t="n">
        <f aca="false">E895*E895</f>
        <v>0.765625</v>
      </c>
      <c r="P895" s="0" t="n">
        <f aca="false">F895*F895</f>
        <v>0.0625</v>
      </c>
      <c r="Q895" s="0" t="n">
        <f aca="false">SUMPRODUCT(G895:P895,_XtX!$B$71:$K$71)</f>
        <v>42.7386860795455</v>
      </c>
      <c r="R895" s="0" t="n">
        <f aca="false">SUMPRODUCT(MMULT(G895:P895,_XtX!$B$58:$K$67),G895:P895)</f>
        <v>0.34446855024858</v>
      </c>
      <c r="S895" s="0" t="n">
        <f aca="false">04_回帰ANOVA!$K$19*04_回帰ANOVA!$K$14*SQRT(1+R895)</f>
        <v>1.07805758590432</v>
      </c>
      <c r="T895" s="0" t="n">
        <f aca="false">Q895-S895</f>
        <v>41.6606284936411</v>
      </c>
      <c r="U895" s="0" t="n">
        <f aca="false">Q895+S895</f>
        <v>43.8167436654498</v>
      </c>
      <c r="V895" s="54" t="b">
        <f aca="false">AND(D895&gt;=01_因子設定!$L$5-0.000000001,D895&lt;=01_因子設定!$M$5+0.000000001,E895&gt;=01_因子設定!$L$6-0.000000001,E895&lt;=01_因子設定!$M$6+0.000000001,F895&gt;=01_因子設定!$L$7-0.000000001,F895&lt;=01_因子設定!$M$7+0.000000001,IF(01_因子設定!$B$20="Box-Behnken",D895^2+E895^2+F895^2&lt;=2+0.000000001,TRUE()))</f>
        <v>1</v>
      </c>
      <c r="W895" s="55" t="n">
        <f aca="false">IF(V895,IF(01_因子設定!$B$13="最大化",T895-01_因子設定!$B$14,IF(01_因子設定!$B$13="最小化",01_因子設定!$B$15-U895,MIN(T895-01_因子設定!$B$14,01_因子設定!$B$15-U895))),-1E+030)</f>
        <v>-6.83937150635886</v>
      </c>
      <c r="X895" s="55" t="n">
        <f aca="false">IF(V895,IF(01_因子設定!$B$13="最大化",Q895,IF(01_因子設定!$B$13="最小化",-Q895,-ABS(Q895-01_因子設定!$B$16))),-1E+030)</f>
        <v>42.7386860795455</v>
      </c>
      <c r="Y895" s="55" t="n">
        <f aca="false">W895+ROW()*0.000000001</f>
        <v>-6.83937061135886</v>
      </c>
      <c r="Z895" s="55" t="n">
        <f aca="false">X895+ROW()*0.000000001</f>
        <v>42.7386869745455</v>
      </c>
    </row>
    <row r="896" customFormat="false" ht="15" hidden="false" customHeight="false" outlineLevel="0" collapsed="false">
      <c r="A896" s="0" t="n">
        <v>3</v>
      </c>
      <c r="B896" s="0" t="n">
        <v>1</v>
      </c>
      <c r="C896" s="0" t="n">
        <v>7</v>
      </c>
      <c r="D896" s="0" t="n">
        <f aca="false">-1+A896*0.125</f>
        <v>-0.625</v>
      </c>
      <c r="E896" s="0" t="n">
        <f aca="false">-1+B896*0.125</f>
        <v>-0.875</v>
      </c>
      <c r="F896" s="0" t="n">
        <f aca="false">-1+C896*0.125</f>
        <v>-0.125</v>
      </c>
      <c r="G896" s="0" t="n">
        <f aca="false">1</f>
        <v>1</v>
      </c>
      <c r="H896" s="0" t="n">
        <f aca="false">D896</f>
        <v>-0.625</v>
      </c>
      <c r="I896" s="0" t="n">
        <f aca="false">E896</f>
        <v>-0.875</v>
      </c>
      <c r="J896" s="0" t="n">
        <f aca="false">F896</f>
        <v>-0.125</v>
      </c>
      <c r="K896" s="0" t="n">
        <f aca="false">D896*E896</f>
        <v>0.546875</v>
      </c>
      <c r="L896" s="0" t="n">
        <f aca="false">D896*F896</f>
        <v>0.078125</v>
      </c>
      <c r="M896" s="0" t="n">
        <f aca="false">E896*F896</f>
        <v>0.109375</v>
      </c>
      <c r="N896" s="0" t="n">
        <f aca="false">D896*D896</f>
        <v>0.390625</v>
      </c>
      <c r="O896" s="0" t="n">
        <f aca="false">E896*E896</f>
        <v>0.765625</v>
      </c>
      <c r="P896" s="0" t="n">
        <f aca="false">F896*F896</f>
        <v>0.015625</v>
      </c>
      <c r="Q896" s="0" t="n">
        <f aca="false">SUMPRODUCT(G896:P896,_XtX!$B$71:$K$71)</f>
        <v>42.9288707386364</v>
      </c>
      <c r="R896" s="0" t="n">
        <f aca="false">SUMPRODUCT(MMULT(G896:P896,_XtX!$B$58:$K$67),G896:P896)</f>
        <v>0.350717440518466</v>
      </c>
      <c r="S896" s="0" t="n">
        <f aca="false">04_回帰ANOVA!$K$19*04_回帰ANOVA!$K$14*SQRT(1+R896)</f>
        <v>1.08056000737898</v>
      </c>
      <c r="T896" s="0" t="n">
        <f aca="false">Q896-S896</f>
        <v>41.8483107312574</v>
      </c>
      <c r="U896" s="0" t="n">
        <f aca="false">Q896+S896</f>
        <v>44.0094307460154</v>
      </c>
      <c r="V896" s="54" t="b">
        <f aca="false">AND(D896&gt;=01_因子設定!$L$5-0.000000001,D896&lt;=01_因子設定!$M$5+0.000000001,E896&gt;=01_因子設定!$L$6-0.000000001,E896&lt;=01_因子設定!$M$6+0.000000001,F896&gt;=01_因子設定!$L$7-0.000000001,F896&lt;=01_因子設定!$M$7+0.000000001,IF(01_因子設定!$B$20="Box-Behnken",D896^2+E896^2+F896^2&lt;=2+0.000000001,TRUE()))</f>
        <v>1</v>
      </c>
      <c r="W896" s="55" t="n">
        <f aca="false">IF(V896,IF(01_因子設定!$B$13="最大化",T896-01_因子設定!$B$14,IF(01_因子設定!$B$13="最小化",01_因子設定!$B$15-U896,MIN(T896-01_因子設定!$B$14,01_因子設定!$B$15-U896))),-1E+030)</f>
        <v>-6.65168926874261</v>
      </c>
      <c r="X896" s="55" t="n">
        <f aca="false">IF(V896,IF(01_因子設定!$B$13="最大化",Q896,IF(01_因子設定!$B$13="最小化",-Q896,-ABS(Q896-01_因子設定!$B$16))),-1E+030)</f>
        <v>42.9288707386364</v>
      </c>
      <c r="Y896" s="55" t="n">
        <f aca="false">W896+ROW()*0.000000001</f>
        <v>-6.65168837274261</v>
      </c>
      <c r="Z896" s="55" t="n">
        <f aca="false">X896+ROW()*0.000000001</f>
        <v>42.9288716346364</v>
      </c>
    </row>
    <row r="897" customFormat="false" ht="15" hidden="false" customHeight="false" outlineLevel="0" collapsed="false">
      <c r="A897" s="0" t="n">
        <v>3</v>
      </c>
      <c r="B897" s="0" t="n">
        <v>1</v>
      </c>
      <c r="C897" s="0" t="n">
        <v>8</v>
      </c>
      <c r="D897" s="0" t="n">
        <f aca="false">-1+A897*0.125</f>
        <v>-0.625</v>
      </c>
      <c r="E897" s="0" t="n">
        <f aca="false">-1+B897*0.125</f>
        <v>-0.875</v>
      </c>
      <c r="F897" s="0" t="n">
        <f aca="false">-1+C897*0.125</f>
        <v>0</v>
      </c>
      <c r="G897" s="0" t="n">
        <f aca="false">1</f>
        <v>1</v>
      </c>
      <c r="H897" s="0" t="n">
        <f aca="false">D897</f>
        <v>-0.625</v>
      </c>
      <c r="I897" s="0" t="n">
        <f aca="false">E897</f>
        <v>-0.875</v>
      </c>
      <c r="J897" s="0" t="n">
        <f aca="false">F897</f>
        <v>0</v>
      </c>
      <c r="K897" s="0" t="n">
        <f aca="false">D897*E897</f>
        <v>0.546875</v>
      </c>
      <c r="L897" s="0" t="n">
        <f aca="false">D897*F897</f>
        <v>-0</v>
      </c>
      <c r="M897" s="0" t="n">
        <f aca="false">E897*F897</f>
        <v>-0</v>
      </c>
      <c r="N897" s="0" t="n">
        <f aca="false">D897*D897</f>
        <v>0.390625</v>
      </c>
      <c r="O897" s="0" t="n">
        <f aca="false">E897*E897</f>
        <v>0.765625</v>
      </c>
      <c r="P897" s="0" t="n">
        <f aca="false">F897*F897</f>
        <v>0</v>
      </c>
      <c r="Q897" s="0" t="n">
        <f aca="false">SUMPRODUCT(G897:P897,_XtX!$B$71:$K$71)</f>
        <v>43.082265625</v>
      </c>
      <c r="R897" s="0" t="n">
        <f aca="false">SUMPRODUCT(MMULT(G897:P897,_XtX!$B$58:$K$67),G897:P897)</f>
        <v>0.353155517578125</v>
      </c>
      <c r="S897" s="0" t="n">
        <f aca="false">04_回帰ANOVA!$K$19*04_回帰ANOVA!$K$14*SQRT(1+R897)</f>
        <v>1.08153478594098</v>
      </c>
      <c r="T897" s="0" t="n">
        <f aca="false">Q897-S897</f>
        <v>42.000730839059</v>
      </c>
      <c r="U897" s="0" t="n">
        <f aca="false">Q897+S897</f>
        <v>44.163800410941</v>
      </c>
      <c r="V897" s="54" t="b">
        <f aca="false">AND(D897&gt;=01_因子設定!$L$5-0.000000001,D897&lt;=01_因子設定!$M$5+0.000000001,E897&gt;=01_因子設定!$L$6-0.000000001,E897&lt;=01_因子設定!$M$6+0.000000001,F897&gt;=01_因子設定!$L$7-0.000000001,F897&lt;=01_因子設定!$M$7+0.000000001,IF(01_因子設定!$B$20="Box-Behnken",D897^2+E897^2+F897^2&lt;=2+0.000000001,TRUE()))</f>
        <v>1</v>
      </c>
      <c r="W897" s="55" t="n">
        <f aca="false">IF(V897,IF(01_因子設定!$B$13="最大化",T897-01_因子設定!$B$14,IF(01_因子設定!$B$13="最小化",01_因子設定!$B$15-U897,MIN(T897-01_因子設定!$B$14,01_因子設定!$B$15-U897))),-1E+030)</f>
        <v>-6.49926916094098</v>
      </c>
      <c r="X897" s="55" t="n">
        <f aca="false">IF(V897,IF(01_因子設定!$B$13="最大化",Q897,IF(01_因子設定!$B$13="最小化",-Q897,-ABS(Q897-01_因子設定!$B$16))),-1E+030)</f>
        <v>43.082265625</v>
      </c>
      <c r="Y897" s="55" t="n">
        <f aca="false">W897+ROW()*0.000000001</f>
        <v>-6.49926826394098</v>
      </c>
      <c r="Z897" s="55" t="n">
        <f aca="false">X897+ROW()*0.000000001</f>
        <v>43.082266522</v>
      </c>
    </row>
    <row r="898" customFormat="false" ht="15" hidden="false" customHeight="false" outlineLevel="0" collapsed="false">
      <c r="A898" s="0" t="n">
        <v>3</v>
      </c>
      <c r="B898" s="0" t="n">
        <v>1</v>
      </c>
      <c r="C898" s="0" t="n">
        <v>9</v>
      </c>
      <c r="D898" s="0" t="n">
        <f aca="false">-1+A898*0.125</f>
        <v>-0.625</v>
      </c>
      <c r="E898" s="0" t="n">
        <f aca="false">-1+B898*0.125</f>
        <v>-0.875</v>
      </c>
      <c r="F898" s="0" t="n">
        <f aca="false">-1+C898*0.125</f>
        <v>0.125</v>
      </c>
      <c r="G898" s="0" t="n">
        <f aca="false">1</f>
        <v>1</v>
      </c>
      <c r="H898" s="0" t="n">
        <f aca="false">D898</f>
        <v>-0.625</v>
      </c>
      <c r="I898" s="0" t="n">
        <f aca="false">E898</f>
        <v>-0.875</v>
      </c>
      <c r="J898" s="0" t="n">
        <f aca="false">F898</f>
        <v>0.125</v>
      </c>
      <c r="K898" s="0" t="n">
        <f aca="false">D898*E898</f>
        <v>0.546875</v>
      </c>
      <c r="L898" s="0" t="n">
        <f aca="false">D898*F898</f>
        <v>-0.078125</v>
      </c>
      <c r="M898" s="0" t="n">
        <f aca="false">E898*F898</f>
        <v>-0.109375</v>
      </c>
      <c r="N898" s="0" t="n">
        <f aca="false">D898*D898</f>
        <v>0.390625</v>
      </c>
      <c r="O898" s="0" t="n">
        <f aca="false">E898*E898</f>
        <v>0.765625</v>
      </c>
      <c r="P898" s="0" t="n">
        <f aca="false">F898*F898</f>
        <v>0.015625</v>
      </c>
      <c r="Q898" s="0" t="n">
        <f aca="false">SUMPRODUCT(G898:P898,_XtX!$B$71:$K$71)</f>
        <v>43.1988707386364</v>
      </c>
      <c r="R898" s="0" t="n">
        <f aca="false">SUMPRODUCT(MMULT(G898:P898,_XtX!$B$58:$K$67),G898:P898)</f>
        <v>0.350717440518466</v>
      </c>
      <c r="S898" s="0" t="n">
        <f aca="false">04_回帰ANOVA!$K$19*04_回帰ANOVA!$K$14*SQRT(1+R898)</f>
        <v>1.08056000737898</v>
      </c>
      <c r="T898" s="0" t="n">
        <f aca="false">Q898-S898</f>
        <v>42.1183107312574</v>
      </c>
      <c r="U898" s="0" t="n">
        <f aca="false">Q898+S898</f>
        <v>44.2794307460153</v>
      </c>
      <c r="V898" s="54" t="b">
        <f aca="false">AND(D898&gt;=01_因子設定!$L$5-0.000000001,D898&lt;=01_因子設定!$M$5+0.000000001,E898&gt;=01_因子設定!$L$6-0.000000001,E898&lt;=01_因子設定!$M$6+0.000000001,F898&gt;=01_因子設定!$L$7-0.000000001,F898&lt;=01_因子設定!$M$7+0.000000001,IF(01_因子設定!$B$20="Box-Behnken",D898^2+E898^2+F898^2&lt;=2+0.000000001,TRUE()))</f>
        <v>1</v>
      </c>
      <c r="W898" s="55" t="n">
        <f aca="false">IF(V898,IF(01_因子設定!$B$13="最大化",T898-01_因子設定!$B$14,IF(01_因子設定!$B$13="最小化",01_因子設定!$B$15-U898,MIN(T898-01_因子設定!$B$14,01_因子設定!$B$15-U898))),-1E+030)</f>
        <v>-6.38168926874261</v>
      </c>
      <c r="X898" s="55" t="n">
        <f aca="false">IF(V898,IF(01_因子設定!$B$13="最大化",Q898,IF(01_因子設定!$B$13="最小化",-Q898,-ABS(Q898-01_因子設定!$B$16))),-1E+030)</f>
        <v>43.1988707386364</v>
      </c>
      <c r="Y898" s="55" t="n">
        <f aca="false">W898+ROW()*0.000000001</f>
        <v>-6.38168837074261</v>
      </c>
      <c r="Z898" s="55" t="n">
        <f aca="false">X898+ROW()*0.000000001</f>
        <v>43.1988716366364</v>
      </c>
    </row>
    <row r="899" customFormat="false" ht="15" hidden="false" customHeight="false" outlineLevel="0" collapsed="false">
      <c r="A899" s="0" t="n">
        <v>3</v>
      </c>
      <c r="B899" s="0" t="n">
        <v>1</v>
      </c>
      <c r="C899" s="0" t="n">
        <v>10</v>
      </c>
      <c r="D899" s="0" t="n">
        <f aca="false">-1+A899*0.125</f>
        <v>-0.625</v>
      </c>
      <c r="E899" s="0" t="n">
        <f aca="false">-1+B899*0.125</f>
        <v>-0.875</v>
      </c>
      <c r="F899" s="0" t="n">
        <f aca="false">-1+C899*0.125</f>
        <v>0.25</v>
      </c>
      <c r="G899" s="0" t="n">
        <f aca="false">1</f>
        <v>1</v>
      </c>
      <c r="H899" s="0" t="n">
        <f aca="false">D899</f>
        <v>-0.625</v>
      </c>
      <c r="I899" s="0" t="n">
        <f aca="false">E899</f>
        <v>-0.875</v>
      </c>
      <c r="J899" s="0" t="n">
        <f aca="false">F899</f>
        <v>0.25</v>
      </c>
      <c r="K899" s="0" t="n">
        <f aca="false">D899*E899</f>
        <v>0.546875</v>
      </c>
      <c r="L899" s="0" t="n">
        <f aca="false">D899*F899</f>
        <v>-0.15625</v>
      </c>
      <c r="M899" s="0" t="n">
        <f aca="false">E899*F899</f>
        <v>-0.21875</v>
      </c>
      <c r="N899" s="0" t="n">
        <f aca="false">D899*D899</f>
        <v>0.390625</v>
      </c>
      <c r="O899" s="0" t="n">
        <f aca="false">E899*E899</f>
        <v>0.765625</v>
      </c>
      <c r="P899" s="0" t="n">
        <f aca="false">F899*F899</f>
        <v>0.0625</v>
      </c>
      <c r="Q899" s="0" t="n">
        <f aca="false">SUMPRODUCT(G899:P899,_XtX!$B$71:$K$71)</f>
        <v>43.2786860795455</v>
      </c>
      <c r="R899" s="0" t="n">
        <f aca="false">SUMPRODUCT(MMULT(G899:P899,_XtX!$B$58:$K$67),G899:P899)</f>
        <v>0.34446855024858</v>
      </c>
      <c r="S899" s="0" t="n">
        <f aca="false">04_回帰ANOVA!$K$19*04_回帰ANOVA!$K$14*SQRT(1+R899)</f>
        <v>1.07805758590432</v>
      </c>
      <c r="T899" s="0" t="n">
        <f aca="false">Q899-S899</f>
        <v>42.2006284936411</v>
      </c>
      <c r="U899" s="0" t="n">
        <f aca="false">Q899+S899</f>
        <v>44.3567436654498</v>
      </c>
      <c r="V899" s="54" t="b">
        <f aca="false">AND(D899&gt;=01_因子設定!$L$5-0.000000001,D899&lt;=01_因子設定!$M$5+0.000000001,E899&gt;=01_因子設定!$L$6-0.000000001,E899&lt;=01_因子設定!$M$6+0.000000001,F899&gt;=01_因子設定!$L$7-0.000000001,F899&lt;=01_因子設定!$M$7+0.000000001,IF(01_因子設定!$B$20="Box-Behnken",D899^2+E899^2+F899^2&lt;=2+0.000000001,TRUE()))</f>
        <v>1</v>
      </c>
      <c r="W899" s="55" t="n">
        <f aca="false">IF(V899,IF(01_因子設定!$B$13="最大化",T899-01_因子設定!$B$14,IF(01_因子設定!$B$13="最小化",01_因子設定!$B$15-U899,MIN(T899-01_因子設定!$B$14,01_因子設定!$B$15-U899))),-1E+030)</f>
        <v>-6.29937150635886</v>
      </c>
      <c r="X899" s="55" t="n">
        <f aca="false">IF(V899,IF(01_因子設定!$B$13="最大化",Q899,IF(01_因子設定!$B$13="最小化",-Q899,-ABS(Q899-01_因子設定!$B$16))),-1E+030)</f>
        <v>43.2786860795455</v>
      </c>
      <c r="Y899" s="55" t="n">
        <f aca="false">W899+ROW()*0.000000001</f>
        <v>-6.29937060735886</v>
      </c>
      <c r="Z899" s="55" t="n">
        <f aca="false">X899+ROW()*0.000000001</f>
        <v>43.2786869785455</v>
      </c>
    </row>
    <row r="900" customFormat="false" ht="15" hidden="false" customHeight="false" outlineLevel="0" collapsed="false">
      <c r="A900" s="0" t="n">
        <v>3</v>
      </c>
      <c r="B900" s="0" t="n">
        <v>1</v>
      </c>
      <c r="C900" s="0" t="n">
        <v>11</v>
      </c>
      <c r="D900" s="0" t="n">
        <f aca="false">-1+A900*0.125</f>
        <v>-0.625</v>
      </c>
      <c r="E900" s="0" t="n">
        <f aca="false">-1+B900*0.125</f>
        <v>-0.875</v>
      </c>
      <c r="F900" s="0" t="n">
        <f aca="false">-1+C900*0.125</f>
        <v>0.375</v>
      </c>
      <c r="G900" s="0" t="n">
        <f aca="false">1</f>
        <v>1</v>
      </c>
      <c r="H900" s="0" t="n">
        <f aca="false">D900</f>
        <v>-0.625</v>
      </c>
      <c r="I900" s="0" t="n">
        <f aca="false">E900</f>
        <v>-0.875</v>
      </c>
      <c r="J900" s="0" t="n">
        <f aca="false">F900</f>
        <v>0.375</v>
      </c>
      <c r="K900" s="0" t="n">
        <f aca="false">D900*E900</f>
        <v>0.546875</v>
      </c>
      <c r="L900" s="0" t="n">
        <f aca="false">D900*F900</f>
        <v>-0.234375</v>
      </c>
      <c r="M900" s="0" t="n">
        <f aca="false">E900*F900</f>
        <v>-0.328125</v>
      </c>
      <c r="N900" s="0" t="n">
        <f aca="false">D900*D900</f>
        <v>0.390625</v>
      </c>
      <c r="O900" s="0" t="n">
        <f aca="false">E900*E900</f>
        <v>0.765625</v>
      </c>
      <c r="P900" s="0" t="n">
        <f aca="false">F900*F900</f>
        <v>0.140625</v>
      </c>
      <c r="Q900" s="0" t="n">
        <f aca="false">SUMPRODUCT(G900:P900,_XtX!$B$71:$K$71)</f>
        <v>43.3217116477273</v>
      </c>
      <c r="R900" s="0" t="n">
        <f aca="false">SUMPRODUCT(MMULT(G900:P900,_XtX!$B$58:$K$67),G900:P900)</f>
        <v>0.337604869495739</v>
      </c>
      <c r="S900" s="0" t="n">
        <f aca="false">04_回帰ANOVA!$K$19*04_回帰ANOVA!$K$14*SQRT(1+R900)</f>
        <v>1.07530225516193</v>
      </c>
      <c r="T900" s="0" t="n">
        <f aca="false">Q900-S900</f>
        <v>42.2464093925654</v>
      </c>
      <c r="U900" s="0" t="n">
        <f aca="false">Q900+S900</f>
        <v>44.3970139028892</v>
      </c>
      <c r="V900" s="54" t="b">
        <f aca="false">AND(D900&gt;=01_因子設定!$L$5-0.000000001,D900&lt;=01_因子設定!$M$5+0.000000001,E900&gt;=01_因子設定!$L$6-0.000000001,E900&lt;=01_因子設定!$M$6+0.000000001,F900&gt;=01_因子設定!$L$7-0.000000001,F900&lt;=01_因子設定!$M$7+0.000000001,IF(01_因子設定!$B$20="Box-Behnken",D900^2+E900^2+F900^2&lt;=2+0.000000001,TRUE()))</f>
        <v>1</v>
      </c>
      <c r="W900" s="55" t="n">
        <f aca="false">IF(V900,IF(01_因子設定!$B$13="最大化",T900-01_因子設定!$B$14,IF(01_因子設定!$B$13="最小化",01_因子設定!$B$15-U900,MIN(T900-01_因子設定!$B$14,01_因子設定!$B$15-U900))),-1E+030)</f>
        <v>-6.25359060743465</v>
      </c>
      <c r="X900" s="55" t="n">
        <f aca="false">IF(V900,IF(01_因子設定!$B$13="最大化",Q900,IF(01_因子設定!$B$13="最小化",-Q900,-ABS(Q900-01_因子設定!$B$16))),-1E+030)</f>
        <v>43.3217116477273</v>
      </c>
      <c r="Y900" s="55" t="n">
        <f aca="false">W900+ROW()*0.000000001</f>
        <v>-6.25358970743465</v>
      </c>
      <c r="Z900" s="55" t="n">
        <f aca="false">X900+ROW()*0.000000001</f>
        <v>43.3217125477273</v>
      </c>
    </row>
    <row r="901" customFormat="false" ht="15" hidden="false" customHeight="false" outlineLevel="0" collapsed="false">
      <c r="A901" s="0" t="n">
        <v>3</v>
      </c>
      <c r="B901" s="0" t="n">
        <v>1</v>
      </c>
      <c r="C901" s="0" t="n">
        <v>12</v>
      </c>
      <c r="D901" s="0" t="n">
        <f aca="false">-1+A901*0.125</f>
        <v>-0.625</v>
      </c>
      <c r="E901" s="0" t="n">
        <f aca="false">-1+B901*0.125</f>
        <v>-0.875</v>
      </c>
      <c r="F901" s="0" t="n">
        <f aca="false">-1+C901*0.125</f>
        <v>0.5</v>
      </c>
      <c r="G901" s="0" t="n">
        <f aca="false">1</f>
        <v>1</v>
      </c>
      <c r="H901" s="0" t="n">
        <f aca="false">D901</f>
        <v>-0.625</v>
      </c>
      <c r="I901" s="0" t="n">
        <f aca="false">E901</f>
        <v>-0.875</v>
      </c>
      <c r="J901" s="0" t="n">
        <f aca="false">F901</f>
        <v>0.5</v>
      </c>
      <c r="K901" s="0" t="n">
        <f aca="false">D901*E901</f>
        <v>0.546875</v>
      </c>
      <c r="L901" s="0" t="n">
        <f aca="false">D901*F901</f>
        <v>-0.3125</v>
      </c>
      <c r="M901" s="0" t="n">
        <f aca="false">E901*F901</f>
        <v>-0.4375</v>
      </c>
      <c r="N901" s="0" t="n">
        <f aca="false">D901*D901</f>
        <v>0.390625</v>
      </c>
      <c r="O901" s="0" t="n">
        <f aca="false">E901*E901</f>
        <v>0.765625</v>
      </c>
      <c r="P901" s="0" t="n">
        <f aca="false">F901*F901</f>
        <v>0.25</v>
      </c>
      <c r="Q901" s="0" t="n">
        <f aca="false">SUMPRODUCT(G901:P901,_XtX!$B$71:$K$71)</f>
        <v>43.3279474431818</v>
      </c>
      <c r="R901" s="0" t="n">
        <f aca="false">SUMPRODUCT(MMULT(G901:P901,_XtX!$B$58:$K$67),G901:P901)</f>
        <v>0.335453102805398</v>
      </c>
      <c r="S901" s="0" t="n">
        <f aca="false">04_回帰ANOVA!$K$19*04_回帰ANOVA!$K$14*SQRT(1+R901)</f>
        <v>1.07443700305628</v>
      </c>
      <c r="T901" s="0" t="n">
        <f aca="false">Q901-S901</f>
        <v>42.2535104401256</v>
      </c>
      <c r="U901" s="0" t="n">
        <f aca="false">Q901+S901</f>
        <v>44.4023844462381</v>
      </c>
      <c r="V901" s="54" t="b">
        <f aca="false">AND(D901&gt;=01_因子設定!$L$5-0.000000001,D901&lt;=01_因子設定!$M$5+0.000000001,E901&gt;=01_因子設定!$L$6-0.000000001,E901&lt;=01_因子設定!$M$6+0.000000001,F901&gt;=01_因子設定!$L$7-0.000000001,F901&lt;=01_因子設定!$M$7+0.000000001,IF(01_因子設定!$B$20="Box-Behnken",D901^2+E901^2+F901^2&lt;=2+0.000000001,TRUE()))</f>
        <v>1</v>
      </c>
      <c r="W901" s="55" t="n">
        <f aca="false">IF(V901,IF(01_因子設定!$B$13="最大化",T901-01_因子設定!$B$14,IF(01_因子設定!$B$13="最小化",01_因子設定!$B$15-U901,MIN(T901-01_因子設定!$B$14,01_因子設定!$B$15-U901))),-1E+030)</f>
        <v>-6.24648955987445</v>
      </c>
      <c r="X901" s="55" t="n">
        <f aca="false">IF(V901,IF(01_因子設定!$B$13="最大化",Q901,IF(01_因子設定!$B$13="最小化",-Q901,-ABS(Q901-01_因子設定!$B$16))),-1E+030)</f>
        <v>43.3279474431818</v>
      </c>
      <c r="Y901" s="55" t="n">
        <f aca="false">W901+ROW()*0.000000001</f>
        <v>-6.24648865887445</v>
      </c>
      <c r="Z901" s="55" t="n">
        <f aca="false">X901+ROW()*0.000000001</f>
        <v>43.3279483441818</v>
      </c>
    </row>
    <row r="902" customFormat="false" ht="15" hidden="false" customHeight="false" outlineLevel="0" collapsed="false">
      <c r="A902" s="0" t="n">
        <v>3</v>
      </c>
      <c r="B902" s="0" t="n">
        <v>1</v>
      </c>
      <c r="C902" s="0" t="n">
        <v>13</v>
      </c>
      <c r="D902" s="0" t="n">
        <f aca="false">-1+A902*0.125</f>
        <v>-0.625</v>
      </c>
      <c r="E902" s="0" t="n">
        <f aca="false">-1+B902*0.125</f>
        <v>-0.875</v>
      </c>
      <c r="F902" s="0" t="n">
        <f aca="false">-1+C902*0.125</f>
        <v>0.625</v>
      </c>
      <c r="G902" s="0" t="n">
        <f aca="false">1</f>
        <v>1</v>
      </c>
      <c r="H902" s="0" t="n">
        <f aca="false">D902</f>
        <v>-0.625</v>
      </c>
      <c r="I902" s="0" t="n">
        <f aca="false">E902</f>
        <v>-0.875</v>
      </c>
      <c r="J902" s="0" t="n">
        <f aca="false">F902</f>
        <v>0.625</v>
      </c>
      <c r="K902" s="0" t="n">
        <f aca="false">D902*E902</f>
        <v>0.546875</v>
      </c>
      <c r="L902" s="0" t="n">
        <f aca="false">D902*F902</f>
        <v>-0.390625</v>
      </c>
      <c r="M902" s="0" t="n">
        <f aca="false">E902*F902</f>
        <v>-0.546875</v>
      </c>
      <c r="N902" s="0" t="n">
        <f aca="false">D902*D902</f>
        <v>0.390625</v>
      </c>
      <c r="O902" s="0" t="n">
        <f aca="false">E902*E902</f>
        <v>0.765625</v>
      </c>
      <c r="P902" s="0" t="n">
        <f aca="false">F902*F902</f>
        <v>0.390625</v>
      </c>
      <c r="Q902" s="0" t="n">
        <f aca="false">SUMPRODUCT(G902:P902,_XtX!$B$71:$K$71)</f>
        <v>43.2973934659091</v>
      </c>
      <c r="R902" s="0" t="n">
        <f aca="false">SUMPRODUCT(MMULT(G902:P902,_XtX!$B$58:$K$67),G902:P902)</f>
        <v>0.345470636541193</v>
      </c>
      <c r="S902" s="0" t="n">
        <f aca="false">04_回帰ANOVA!$K$19*04_回帰ANOVA!$K$14*SQRT(1+R902)</f>
        <v>1.07845927083227</v>
      </c>
      <c r="T902" s="0" t="n">
        <f aca="false">Q902-S902</f>
        <v>42.2189341950768</v>
      </c>
      <c r="U902" s="0" t="n">
        <f aca="false">Q902+S902</f>
        <v>44.3758527367414</v>
      </c>
      <c r="V902" s="54" t="b">
        <f aca="false">AND(D902&gt;=01_因子設定!$L$5-0.000000001,D902&lt;=01_因子設定!$M$5+0.000000001,E902&gt;=01_因子設定!$L$6-0.000000001,E902&lt;=01_因子設定!$M$6+0.000000001,F902&gt;=01_因子設定!$L$7-0.000000001,F902&lt;=01_因子設定!$M$7+0.000000001,IF(01_因子設定!$B$20="Box-Behnken",D902^2+E902^2+F902^2&lt;=2+0.000000001,TRUE()))</f>
        <v>1</v>
      </c>
      <c r="W902" s="55" t="n">
        <f aca="false">IF(V902,IF(01_因子設定!$B$13="最大化",T902-01_因子設定!$B$14,IF(01_因子設定!$B$13="最小化",01_因子設定!$B$15-U902,MIN(T902-01_因子設定!$B$14,01_因子設定!$B$15-U902))),-1E+030)</f>
        <v>-6.28106580492317</v>
      </c>
      <c r="X902" s="55" t="n">
        <f aca="false">IF(V902,IF(01_因子設定!$B$13="最大化",Q902,IF(01_因子設定!$B$13="最小化",-Q902,-ABS(Q902-01_因子設定!$B$16))),-1E+030)</f>
        <v>43.2973934659091</v>
      </c>
      <c r="Y902" s="55" t="n">
        <f aca="false">W902+ROW()*0.000000001</f>
        <v>-6.28106490292317</v>
      </c>
      <c r="Z902" s="55" t="n">
        <f aca="false">X902+ROW()*0.000000001</f>
        <v>43.2973943679091</v>
      </c>
    </row>
    <row r="903" customFormat="false" ht="15" hidden="false" customHeight="false" outlineLevel="0" collapsed="false">
      <c r="A903" s="0" t="n">
        <v>3</v>
      </c>
      <c r="B903" s="0" t="n">
        <v>1</v>
      </c>
      <c r="C903" s="0" t="n">
        <v>14</v>
      </c>
      <c r="D903" s="0" t="n">
        <f aca="false">-1+A903*0.125</f>
        <v>-0.625</v>
      </c>
      <c r="E903" s="0" t="n">
        <f aca="false">-1+B903*0.125</f>
        <v>-0.875</v>
      </c>
      <c r="F903" s="0" t="n">
        <f aca="false">-1+C903*0.125</f>
        <v>0.75</v>
      </c>
      <c r="G903" s="0" t="n">
        <f aca="false">1</f>
        <v>1</v>
      </c>
      <c r="H903" s="0" t="n">
        <f aca="false">D903</f>
        <v>-0.625</v>
      </c>
      <c r="I903" s="0" t="n">
        <f aca="false">E903</f>
        <v>-0.875</v>
      </c>
      <c r="J903" s="0" t="n">
        <f aca="false">F903</f>
        <v>0.75</v>
      </c>
      <c r="K903" s="0" t="n">
        <f aca="false">D903*E903</f>
        <v>0.546875</v>
      </c>
      <c r="L903" s="0" t="n">
        <f aca="false">D903*F903</f>
        <v>-0.46875</v>
      </c>
      <c r="M903" s="0" t="n">
        <f aca="false">E903*F903</f>
        <v>-0.65625</v>
      </c>
      <c r="N903" s="0" t="n">
        <f aca="false">D903*D903</f>
        <v>0.390625</v>
      </c>
      <c r="O903" s="0" t="n">
        <f aca="false">E903*E903</f>
        <v>0.765625</v>
      </c>
      <c r="P903" s="0" t="n">
        <f aca="false">F903*F903</f>
        <v>0.5625</v>
      </c>
      <c r="Q903" s="0" t="n">
        <f aca="false">SUMPRODUCT(G903:P903,_XtX!$B$71:$K$71)</f>
        <v>43.2300497159091</v>
      </c>
      <c r="R903" s="0" t="n">
        <f aca="false">SUMPRODUCT(MMULT(G903:P903,_XtX!$B$58:$K$67),G903:P903)</f>
        <v>0.377245538884943</v>
      </c>
      <c r="S903" s="0" t="n">
        <f aca="false">04_回帰ANOVA!$K$19*04_回帰ANOVA!$K$14*SQRT(1+R903)</f>
        <v>1.09111951468927</v>
      </c>
      <c r="T903" s="0" t="n">
        <f aca="false">Q903-S903</f>
        <v>42.1389302012198</v>
      </c>
      <c r="U903" s="0" t="n">
        <f aca="false">Q903+S903</f>
        <v>44.3211692305984</v>
      </c>
      <c r="V903" s="54" t="b">
        <f aca="false">AND(D903&gt;=01_因子設定!$L$5-0.000000001,D903&lt;=01_因子設定!$M$5+0.000000001,E903&gt;=01_因子設定!$L$6-0.000000001,E903&lt;=01_因子設定!$M$6+0.000000001,F903&gt;=01_因子設定!$L$7-0.000000001,F903&lt;=01_因子設定!$M$7+0.000000001,IF(01_因子設定!$B$20="Box-Behnken",D903^2+E903^2+F903^2&lt;=2+0.000000001,TRUE()))</f>
        <v>1</v>
      </c>
      <c r="W903" s="55" t="n">
        <f aca="false">IF(V903,IF(01_因子設定!$B$13="最大化",T903-01_因子設定!$B$14,IF(01_因子設定!$B$13="最小化",01_因子設定!$B$15-U903,MIN(T903-01_因子設定!$B$14,01_因子設定!$B$15-U903))),-1E+030)</f>
        <v>-6.36106979878017</v>
      </c>
      <c r="X903" s="55" t="n">
        <f aca="false">IF(V903,IF(01_因子設定!$B$13="最大化",Q903,IF(01_因子設定!$B$13="最小化",-Q903,-ABS(Q903-01_因子設定!$B$16))),-1E+030)</f>
        <v>43.2300497159091</v>
      </c>
      <c r="Y903" s="55" t="n">
        <f aca="false">W903+ROW()*0.000000001</f>
        <v>-6.36106889578017</v>
      </c>
      <c r="Z903" s="55" t="n">
        <f aca="false">X903+ROW()*0.000000001</f>
        <v>43.2300506189091</v>
      </c>
    </row>
    <row r="904" customFormat="false" ht="15" hidden="false" customHeight="false" outlineLevel="0" collapsed="false">
      <c r="A904" s="0" t="n">
        <v>3</v>
      </c>
      <c r="B904" s="0" t="n">
        <v>1</v>
      </c>
      <c r="C904" s="0" t="n">
        <v>15</v>
      </c>
      <c r="D904" s="0" t="n">
        <f aca="false">-1+A904*0.125</f>
        <v>-0.625</v>
      </c>
      <c r="E904" s="0" t="n">
        <f aca="false">-1+B904*0.125</f>
        <v>-0.875</v>
      </c>
      <c r="F904" s="0" t="n">
        <f aca="false">-1+C904*0.125</f>
        <v>0.875</v>
      </c>
      <c r="G904" s="0" t="n">
        <f aca="false">1</f>
        <v>1</v>
      </c>
      <c r="H904" s="0" t="n">
        <f aca="false">D904</f>
        <v>-0.625</v>
      </c>
      <c r="I904" s="0" t="n">
        <f aca="false">E904</f>
        <v>-0.875</v>
      </c>
      <c r="J904" s="0" t="n">
        <f aca="false">F904</f>
        <v>0.875</v>
      </c>
      <c r="K904" s="0" t="n">
        <f aca="false">D904*E904</f>
        <v>0.546875</v>
      </c>
      <c r="L904" s="0" t="n">
        <f aca="false">D904*F904</f>
        <v>-0.546875</v>
      </c>
      <c r="M904" s="0" t="n">
        <f aca="false">E904*F904</f>
        <v>-0.765625</v>
      </c>
      <c r="N904" s="0" t="n">
        <f aca="false">D904*D904</f>
        <v>0.390625</v>
      </c>
      <c r="O904" s="0" t="n">
        <f aca="false">E904*E904</f>
        <v>0.765625</v>
      </c>
      <c r="P904" s="0" t="n">
        <f aca="false">F904*F904</f>
        <v>0.765625</v>
      </c>
      <c r="Q904" s="0" t="n">
        <f aca="false">SUMPRODUCT(G904:P904,_XtX!$B$71:$K$71)</f>
        <v>43.1259161931818</v>
      </c>
      <c r="R904" s="0" t="n">
        <f aca="false">SUMPRODUCT(MMULT(G904:P904,_XtX!$B$58:$K$67),G904:P904)</f>
        <v>0.442496559836648</v>
      </c>
      <c r="S904" s="0" t="n">
        <f aca="false">04_回帰ANOVA!$K$19*04_回帰ANOVA!$K$14*SQRT(1+R904)</f>
        <v>1.11666789259284</v>
      </c>
      <c r="T904" s="0" t="n">
        <f aca="false">Q904-S904</f>
        <v>42.009248300589</v>
      </c>
      <c r="U904" s="0" t="n">
        <f aca="false">Q904+S904</f>
        <v>44.2425840857747</v>
      </c>
      <c r="V904" s="54" t="b">
        <f aca="false">AND(D904&gt;=01_因子設定!$L$5-0.000000001,D904&lt;=01_因子設定!$M$5+0.000000001,E904&gt;=01_因子設定!$L$6-0.000000001,E904&lt;=01_因子設定!$M$6+0.000000001,F904&gt;=01_因子設定!$L$7-0.000000001,F904&lt;=01_因子設定!$M$7+0.000000001,IF(01_因子設定!$B$20="Box-Behnken",D904^2+E904^2+F904^2&lt;=2+0.000000001,TRUE()))</f>
        <v>1</v>
      </c>
      <c r="W904" s="55" t="n">
        <f aca="false">IF(V904,IF(01_因子設定!$B$13="最大化",T904-01_因子設定!$B$14,IF(01_因子設定!$B$13="最小化",01_因子設定!$B$15-U904,MIN(T904-01_因子設定!$B$14,01_因子設定!$B$15-U904))),-1E+030)</f>
        <v>-6.49075169941101</v>
      </c>
      <c r="X904" s="55" t="n">
        <f aca="false">IF(V904,IF(01_因子設定!$B$13="最大化",Q904,IF(01_因子設定!$B$13="最小化",-Q904,-ABS(Q904-01_因子設定!$B$16))),-1E+030)</f>
        <v>43.1259161931818</v>
      </c>
      <c r="Y904" s="55" t="n">
        <f aca="false">W904+ROW()*0.000000001</f>
        <v>-6.49075079541101</v>
      </c>
      <c r="Z904" s="55" t="n">
        <f aca="false">X904+ROW()*0.000000001</f>
        <v>43.1259170971818</v>
      </c>
    </row>
    <row r="905" customFormat="false" ht="15" hidden="false" customHeight="false" outlineLevel="0" collapsed="false">
      <c r="A905" s="0" t="n">
        <v>3</v>
      </c>
      <c r="B905" s="0" t="n">
        <v>1</v>
      </c>
      <c r="C905" s="0" t="n">
        <v>16</v>
      </c>
      <c r="D905" s="0" t="n">
        <f aca="false">-1+A905*0.125</f>
        <v>-0.625</v>
      </c>
      <c r="E905" s="0" t="n">
        <f aca="false">-1+B905*0.125</f>
        <v>-0.875</v>
      </c>
      <c r="F905" s="0" t="n">
        <f aca="false">-1+C905*0.125</f>
        <v>1</v>
      </c>
      <c r="G905" s="0" t="n">
        <f aca="false">1</f>
        <v>1</v>
      </c>
      <c r="H905" s="0" t="n">
        <f aca="false">D905</f>
        <v>-0.625</v>
      </c>
      <c r="I905" s="0" t="n">
        <f aca="false">E905</f>
        <v>-0.875</v>
      </c>
      <c r="J905" s="0" t="n">
        <f aca="false">F905</f>
        <v>1</v>
      </c>
      <c r="K905" s="0" t="n">
        <f aca="false">D905*E905</f>
        <v>0.546875</v>
      </c>
      <c r="L905" s="0" t="n">
        <f aca="false">D905*F905</f>
        <v>-0.625</v>
      </c>
      <c r="M905" s="0" t="n">
        <f aca="false">E905*F905</f>
        <v>-0.875</v>
      </c>
      <c r="N905" s="0" t="n">
        <f aca="false">D905*D905</f>
        <v>0.390625</v>
      </c>
      <c r="O905" s="0" t="n">
        <f aca="false">E905*E905</f>
        <v>0.765625</v>
      </c>
      <c r="P905" s="0" t="n">
        <f aca="false">F905*F905</f>
        <v>1</v>
      </c>
      <c r="Q905" s="0" t="n">
        <f aca="false">SUMPRODUCT(G905:P905,_XtX!$B$71:$K$71)</f>
        <v>42.9849928977273</v>
      </c>
      <c r="R905" s="0" t="n">
        <f aca="false">SUMPRODUCT(MMULT(G905:P905,_XtX!$B$58:$K$67),G905:P905)</f>
        <v>0.555073131214489</v>
      </c>
      <c r="S905" s="0" t="n">
        <f aca="false">04_回帰ANOVA!$K$19*04_回帰ANOVA!$K$14*SQRT(1+R905)</f>
        <v>1.15942335628341</v>
      </c>
      <c r="T905" s="0" t="n">
        <f aca="false">Q905-S905</f>
        <v>41.8255695414439</v>
      </c>
      <c r="U905" s="0" t="n">
        <f aca="false">Q905+S905</f>
        <v>44.1444162540107</v>
      </c>
      <c r="V905" s="54" t="b">
        <f aca="false">AND(D905&gt;=01_因子設定!$L$5-0.000000001,D905&lt;=01_因子設定!$M$5+0.000000001,E905&gt;=01_因子設定!$L$6-0.000000001,E905&lt;=01_因子設定!$M$6+0.000000001,F905&gt;=01_因子設定!$L$7-0.000000001,F905&lt;=01_因子設定!$M$7+0.000000001,IF(01_因子設定!$B$20="Box-Behnken",D905^2+E905^2+F905^2&lt;=2+0.000000001,TRUE()))</f>
        <v>1</v>
      </c>
      <c r="W905" s="55" t="n">
        <f aca="false">IF(V905,IF(01_因子設定!$B$13="最大化",T905-01_因子設定!$B$14,IF(01_因子設定!$B$13="最小化",01_因子設定!$B$15-U905,MIN(T905-01_因子設定!$B$14,01_因子設定!$B$15-U905))),-1E+030)</f>
        <v>-6.67443045855611</v>
      </c>
      <c r="X905" s="55" t="n">
        <f aca="false">IF(V905,IF(01_因子設定!$B$13="最大化",Q905,IF(01_因子設定!$B$13="最小化",-Q905,-ABS(Q905-01_因子設定!$B$16))),-1E+030)</f>
        <v>42.9849928977273</v>
      </c>
      <c r="Y905" s="55" t="n">
        <f aca="false">W905+ROW()*0.000000001</f>
        <v>-6.67442955355611</v>
      </c>
      <c r="Z905" s="55" t="n">
        <f aca="false">X905+ROW()*0.000000001</f>
        <v>42.9849938027273</v>
      </c>
    </row>
    <row r="906" customFormat="false" ht="15" hidden="false" customHeight="false" outlineLevel="0" collapsed="false">
      <c r="A906" s="0" t="n">
        <v>3</v>
      </c>
      <c r="B906" s="0" t="n">
        <v>2</v>
      </c>
      <c r="C906" s="0" t="n">
        <v>0</v>
      </c>
      <c r="D906" s="0" t="n">
        <f aca="false">-1+A906*0.125</f>
        <v>-0.625</v>
      </c>
      <c r="E906" s="0" t="n">
        <f aca="false">-1+B906*0.125</f>
        <v>-0.75</v>
      </c>
      <c r="F906" s="0" t="n">
        <f aca="false">-1+C906*0.125</f>
        <v>-1</v>
      </c>
      <c r="G906" s="0" t="n">
        <f aca="false">1</f>
        <v>1</v>
      </c>
      <c r="H906" s="0" t="n">
        <f aca="false">D906</f>
        <v>-0.625</v>
      </c>
      <c r="I906" s="0" t="n">
        <f aca="false">E906</f>
        <v>-0.75</v>
      </c>
      <c r="J906" s="0" t="n">
        <f aca="false">F906</f>
        <v>-1</v>
      </c>
      <c r="K906" s="0" t="n">
        <f aca="false">D906*E906</f>
        <v>0.46875</v>
      </c>
      <c r="L906" s="0" t="n">
        <f aca="false">D906*F906</f>
        <v>0.625</v>
      </c>
      <c r="M906" s="0" t="n">
        <f aca="false">E906*F906</f>
        <v>0.75</v>
      </c>
      <c r="N906" s="0" t="n">
        <f aca="false">D906*D906</f>
        <v>0.390625</v>
      </c>
      <c r="O906" s="0" t="n">
        <f aca="false">E906*E906</f>
        <v>0.5625</v>
      </c>
      <c r="P906" s="0" t="n">
        <f aca="false">F906*F906</f>
        <v>1</v>
      </c>
      <c r="Q906" s="0" t="n">
        <f aca="false">SUMPRODUCT(G906:P906,_XtX!$B$71:$K$71)</f>
        <v>41.3435795454546</v>
      </c>
      <c r="R906" s="0" t="n">
        <f aca="false">SUMPRODUCT(MMULT(G906:P906,_XtX!$B$58:$K$67),G906:P906)</f>
        <v>0.496855024857955</v>
      </c>
      <c r="S906" s="0" t="n">
        <f aca="false">04_回帰ANOVA!$K$19*04_回帰ANOVA!$K$14*SQRT(1+R906)</f>
        <v>1.1375133593161</v>
      </c>
      <c r="T906" s="0" t="n">
        <f aca="false">Q906-S906</f>
        <v>40.2060661861385</v>
      </c>
      <c r="U906" s="0" t="n">
        <f aca="false">Q906+S906</f>
        <v>42.4810929047707</v>
      </c>
      <c r="V906" s="54" t="b">
        <f aca="false">AND(D906&gt;=01_因子設定!$L$5-0.000000001,D906&lt;=01_因子設定!$M$5+0.000000001,E906&gt;=01_因子設定!$L$6-0.000000001,E906&lt;=01_因子設定!$M$6+0.000000001,F906&gt;=01_因子設定!$L$7-0.000000001,F906&lt;=01_因子設定!$M$7+0.000000001,IF(01_因子設定!$B$20="Box-Behnken",D906^2+E906^2+F906^2&lt;=2+0.000000001,TRUE()))</f>
        <v>1</v>
      </c>
      <c r="W906" s="55" t="n">
        <f aca="false">IF(V906,IF(01_因子設定!$B$13="最大化",T906-01_因子設定!$B$14,IF(01_因子設定!$B$13="最小化",01_因子設定!$B$15-U906,MIN(T906-01_因子設定!$B$14,01_因子設定!$B$15-U906))),-1E+030)</f>
        <v>-8.29393381386153</v>
      </c>
      <c r="X906" s="55" t="n">
        <f aca="false">IF(V906,IF(01_因子設定!$B$13="最大化",Q906,IF(01_因子設定!$B$13="最小化",-Q906,-ABS(Q906-01_因子設定!$B$16))),-1E+030)</f>
        <v>41.3435795454546</v>
      </c>
      <c r="Y906" s="55" t="n">
        <f aca="false">W906+ROW()*0.000000001</f>
        <v>-8.29393290786153</v>
      </c>
      <c r="Z906" s="55" t="n">
        <f aca="false">X906+ROW()*0.000000001</f>
        <v>41.3435804514546</v>
      </c>
    </row>
    <row r="907" customFormat="false" ht="15" hidden="false" customHeight="false" outlineLevel="0" collapsed="false">
      <c r="A907" s="0" t="n">
        <v>3</v>
      </c>
      <c r="B907" s="0" t="n">
        <v>2</v>
      </c>
      <c r="C907" s="0" t="n">
        <v>1</v>
      </c>
      <c r="D907" s="0" t="n">
        <f aca="false">-1+A907*0.125</f>
        <v>-0.625</v>
      </c>
      <c r="E907" s="0" t="n">
        <f aca="false">-1+B907*0.125</f>
        <v>-0.75</v>
      </c>
      <c r="F907" s="0" t="n">
        <f aca="false">-1+C907*0.125</f>
        <v>-0.875</v>
      </c>
      <c r="G907" s="0" t="n">
        <f aca="false">1</f>
        <v>1</v>
      </c>
      <c r="H907" s="0" t="n">
        <f aca="false">D907</f>
        <v>-0.625</v>
      </c>
      <c r="I907" s="0" t="n">
        <f aca="false">E907</f>
        <v>-0.75</v>
      </c>
      <c r="J907" s="0" t="n">
        <f aca="false">F907</f>
        <v>-0.875</v>
      </c>
      <c r="K907" s="0" t="n">
        <f aca="false">D907*E907</f>
        <v>0.46875</v>
      </c>
      <c r="L907" s="0" t="n">
        <f aca="false">D907*F907</f>
        <v>0.546875</v>
      </c>
      <c r="M907" s="0" t="n">
        <f aca="false">E907*F907</f>
        <v>0.65625</v>
      </c>
      <c r="N907" s="0" t="n">
        <f aca="false">D907*D907</f>
        <v>0.390625</v>
      </c>
      <c r="O907" s="0" t="n">
        <f aca="false">E907*E907</f>
        <v>0.5625</v>
      </c>
      <c r="P907" s="0" t="n">
        <f aca="false">F907*F907</f>
        <v>0.765625</v>
      </c>
      <c r="Q907" s="0" t="n">
        <f aca="false">SUMPRODUCT(G907:P907,_XtX!$B$71:$K$71)</f>
        <v>41.7615340909091</v>
      </c>
      <c r="R907" s="0" t="n">
        <f aca="false">SUMPRODUCT(MMULT(G907:P907,_XtX!$B$58:$K$67),G907:P907)</f>
        <v>0.377245538884943</v>
      </c>
      <c r="S907" s="0" t="n">
        <f aca="false">04_回帰ANOVA!$K$19*04_回帰ANOVA!$K$14*SQRT(1+R907)</f>
        <v>1.09111951468927</v>
      </c>
      <c r="T907" s="0" t="n">
        <f aca="false">Q907-S907</f>
        <v>40.6704145762198</v>
      </c>
      <c r="U907" s="0" t="n">
        <f aca="false">Q907+S907</f>
        <v>42.8526536055984</v>
      </c>
      <c r="V907" s="54" t="b">
        <f aca="false">AND(D907&gt;=01_因子設定!$L$5-0.000000001,D907&lt;=01_因子設定!$M$5+0.000000001,E907&gt;=01_因子設定!$L$6-0.000000001,E907&lt;=01_因子設定!$M$6+0.000000001,F907&gt;=01_因子設定!$L$7-0.000000001,F907&lt;=01_因子設定!$M$7+0.000000001,IF(01_因子設定!$B$20="Box-Behnken",D907^2+E907^2+F907^2&lt;=2+0.000000001,TRUE()))</f>
        <v>1</v>
      </c>
      <c r="W907" s="55" t="n">
        <f aca="false">IF(V907,IF(01_因子設定!$B$13="最大化",T907-01_因子設定!$B$14,IF(01_因子設定!$B$13="最小化",01_因子設定!$B$15-U907,MIN(T907-01_因子設定!$B$14,01_因子設定!$B$15-U907))),-1E+030)</f>
        <v>-7.82958542378017</v>
      </c>
      <c r="X907" s="55" t="n">
        <f aca="false">IF(V907,IF(01_因子設定!$B$13="最大化",Q907,IF(01_因子設定!$B$13="最小化",-Q907,-ABS(Q907-01_因子設定!$B$16))),-1E+030)</f>
        <v>41.7615340909091</v>
      </c>
      <c r="Y907" s="55" t="n">
        <f aca="false">W907+ROW()*0.000000001</f>
        <v>-7.82958451678017</v>
      </c>
      <c r="Z907" s="55" t="n">
        <f aca="false">X907+ROW()*0.000000001</f>
        <v>41.7615349979091</v>
      </c>
    </row>
    <row r="908" customFormat="false" ht="15" hidden="false" customHeight="false" outlineLevel="0" collapsed="false">
      <c r="A908" s="0" t="n">
        <v>3</v>
      </c>
      <c r="B908" s="0" t="n">
        <v>2</v>
      </c>
      <c r="C908" s="0" t="n">
        <v>2</v>
      </c>
      <c r="D908" s="0" t="n">
        <f aca="false">-1+A908*0.125</f>
        <v>-0.625</v>
      </c>
      <c r="E908" s="0" t="n">
        <f aca="false">-1+B908*0.125</f>
        <v>-0.75</v>
      </c>
      <c r="F908" s="0" t="n">
        <f aca="false">-1+C908*0.125</f>
        <v>-0.75</v>
      </c>
      <c r="G908" s="0" t="n">
        <f aca="false">1</f>
        <v>1</v>
      </c>
      <c r="H908" s="0" t="n">
        <f aca="false">D908</f>
        <v>-0.625</v>
      </c>
      <c r="I908" s="0" t="n">
        <f aca="false">E908</f>
        <v>-0.75</v>
      </c>
      <c r="J908" s="0" t="n">
        <f aca="false">F908</f>
        <v>-0.75</v>
      </c>
      <c r="K908" s="0" t="n">
        <f aca="false">D908*E908</f>
        <v>0.46875</v>
      </c>
      <c r="L908" s="0" t="n">
        <f aca="false">D908*F908</f>
        <v>0.46875</v>
      </c>
      <c r="M908" s="0" t="n">
        <f aca="false">E908*F908</f>
        <v>0.5625</v>
      </c>
      <c r="N908" s="0" t="n">
        <f aca="false">D908*D908</f>
        <v>0.390625</v>
      </c>
      <c r="O908" s="0" t="n">
        <f aca="false">E908*E908</f>
        <v>0.5625</v>
      </c>
      <c r="P908" s="0" t="n">
        <f aca="false">F908*F908</f>
        <v>0.5625</v>
      </c>
      <c r="Q908" s="0" t="n">
        <f aca="false">SUMPRODUCT(G908:P908,_XtX!$B$71:$K$71)</f>
        <v>42.1426988636364</v>
      </c>
      <c r="R908" s="0" t="n">
        <f aca="false">SUMPRODUCT(MMULT(G908:P908,_XtX!$B$58:$K$67),G908:P908)</f>
        <v>0.305899325284091</v>
      </c>
      <c r="S908" s="0" t="n">
        <f aca="false">04_回帰ANOVA!$K$19*04_回帰ANOVA!$K$14*SQRT(1+R908)</f>
        <v>1.06248176416816</v>
      </c>
      <c r="T908" s="0" t="n">
        <f aca="false">Q908-S908</f>
        <v>41.0802170994682</v>
      </c>
      <c r="U908" s="0" t="n">
        <f aca="false">Q908+S908</f>
        <v>43.2051806278045</v>
      </c>
      <c r="V908" s="54" t="b">
        <f aca="false">AND(D908&gt;=01_因子設定!$L$5-0.000000001,D908&lt;=01_因子設定!$M$5+0.000000001,E908&gt;=01_因子設定!$L$6-0.000000001,E908&lt;=01_因子設定!$M$6+0.000000001,F908&gt;=01_因子設定!$L$7-0.000000001,F908&lt;=01_因子設定!$M$7+0.000000001,IF(01_因子設定!$B$20="Box-Behnken",D908^2+E908^2+F908^2&lt;=2+0.000000001,TRUE()))</f>
        <v>1</v>
      </c>
      <c r="W908" s="55" t="n">
        <f aca="false">IF(V908,IF(01_因子設定!$B$13="最大化",T908-01_因子設定!$B$14,IF(01_因子設定!$B$13="最小化",01_因子設定!$B$15-U908,MIN(T908-01_因子設定!$B$14,01_因子設定!$B$15-U908))),-1E+030)</f>
        <v>-7.41978290053179</v>
      </c>
      <c r="X908" s="55" t="n">
        <f aca="false">IF(V908,IF(01_因子設定!$B$13="最大化",Q908,IF(01_因子設定!$B$13="最小化",-Q908,-ABS(Q908-01_因子設定!$B$16))),-1E+030)</f>
        <v>42.1426988636364</v>
      </c>
      <c r="Y908" s="55" t="n">
        <f aca="false">W908+ROW()*0.000000001</f>
        <v>-7.41978199253179</v>
      </c>
      <c r="Z908" s="55" t="n">
        <f aca="false">X908+ROW()*0.000000001</f>
        <v>42.1426997716364</v>
      </c>
    </row>
    <row r="909" customFormat="false" ht="15" hidden="false" customHeight="false" outlineLevel="0" collapsed="false">
      <c r="A909" s="0" t="n">
        <v>3</v>
      </c>
      <c r="B909" s="0" t="n">
        <v>2</v>
      </c>
      <c r="C909" s="0" t="n">
        <v>3</v>
      </c>
      <c r="D909" s="0" t="n">
        <f aca="false">-1+A909*0.125</f>
        <v>-0.625</v>
      </c>
      <c r="E909" s="0" t="n">
        <f aca="false">-1+B909*0.125</f>
        <v>-0.75</v>
      </c>
      <c r="F909" s="0" t="n">
        <f aca="false">-1+C909*0.125</f>
        <v>-0.625</v>
      </c>
      <c r="G909" s="0" t="n">
        <f aca="false">1</f>
        <v>1</v>
      </c>
      <c r="H909" s="0" t="n">
        <f aca="false">D909</f>
        <v>-0.625</v>
      </c>
      <c r="I909" s="0" t="n">
        <f aca="false">E909</f>
        <v>-0.75</v>
      </c>
      <c r="J909" s="0" t="n">
        <f aca="false">F909</f>
        <v>-0.625</v>
      </c>
      <c r="K909" s="0" t="n">
        <f aca="false">D909*E909</f>
        <v>0.46875</v>
      </c>
      <c r="L909" s="0" t="n">
        <f aca="false">D909*F909</f>
        <v>0.390625</v>
      </c>
      <c r="M909" s="0" t="n">
        <f aca="false">E909*F909</f>
        <v>0.46875</v>
      </c>
      <c r="N909" s="0" t="n">
        <f aca="false">D909*D909</f>
        <v>0.390625</v>
      </c>
      <c r="O909" s="0" t="n">
        <f aca="false">E909*E909</f>
        <v>0.5625</v>
      </c>
      <c r="P909" s="0" t="n">
        <f aca="false">F909*F909</f>
        <v>0.390625</v>
      </c>
      <c r="Q909" s="0" t="n">
        <f aca="false">SUMPRODUCT(G909:P909,_XtX!$B$71:$K$71)</f>
        <v>42.4870738636364</v>
      </c>
      <c r="R909" s="0" t="n">
        <f aca="false">SUMPRODUCT(MMULT(G909:P909,_XtX!$B$58:$K$67),G909:P909)</f>
        <v>0.268966952237216</v>
      </c>
      <c r="S909" s="0" t="n">
        <f aca="false">04_回帰ANOVA!$K$19*04_回帰ANOVA!$K$14*SQRT(1+R909)</f>
        <v>1.04734989137801</v>
      </c>
      <c r="T909" s="0" t="n">
        <f aca="false">Q909-S909</f>
        <v>41.4397239722584</v>
      </c>
      <c r="U909" s="0" t="n">
        <f aca="false">Q909+S909</f>
        <v>43.5344237550144</v>
      </c>
      <c r="V909" s="54" t="b">
        <f aca="false">AND(D909&gt;=01_因子設定!$L$5-0.000000001,D909&lt;=01_因子設定!$M$5+0.000000001,E909&gt;=01_因子設定!$L$6-0.000000001,E909&lt;=01_因子設定!$M$6+0.000000001,F909&gt;=01_因子設定!$L$7-0.000000001,F909&lt;=01_因子設定!$M$7+0.000000001,IF(01_因子設定!$B$20="Box-Behnken",D909^2+E909^2+F909^2&lt;=2+0.000000001,TRUE()))</f>
        <v>1</v>
      </c>
      <c r="W909" s="55" t="n">
        <f aca="false">IF(V909,IF(01_因子設定!$B$13="最大化",T909-01_因子設定!$B$14,IF(01_因子設定!$B$13="最小化",01_因子設定!$B$15-U909,MIN(T909-01_因子設定!$B$14,01_因子設定!$B$15-U909))),-1E+030)</f>
        <v>-7.06027602774164</v>
      </c>
      <c r="X909" s="55" t="n">
        <f aca="false">IF(V909,IF(01_因子設定!$B$13="最大化",Q909,IF(01_因子設定!$B$13="最小化",-Q909,-ABS(Q909-01_因子設定!$B$16))),-1E+030)</f>
        <v>42.4870738636364</v>
      </c>
      <c r="Y909" s="55" t="n">
        <f aca="false">W909+ROW()*0.000000001</f>
        <v>-7.06027511874164</v>
      </c>
      <c r="Z909" s="55" t="n">
        <f aca="false">X909+ROW()*0.000000001</f>
        <v>42.4870747726364</v>
      </c>
    </row>
    <row r="910" customFormat="false" ht="15" hidden="false" customHeight="false" outlineLevel="0" collapsed="false">
      <c r="A910" s="0" t="n">
        <v>3</v>
      </c>
      <c r="B910" s="0" t="n">
        <v>2</v>
      </c>
      <c r="C910" s="0" t="n">
        <v>4</v>
      </c>
      <c r="D910" s="0" t="n">
        <f aca="false">-1+A910*0.125</f>
        <v>-0.625</v>
      </c>
      <c r="E910" s="0" t="n">
        <f aca="false">-1+B910*0.125</f>
        <v>-0.75</v>
      </c>
      <c r="F910" s="0" t="n">
        <f aca="false">-1+C910*0.125</f>
        <v>-0.5</v>
      </c>
      <c r="G910" s="0" t="n">
        <f aca="false">1</f>
        <v>1</v>
      </c>
      <c r="H910" s="0" t="n">
        <f aca="false">D910</f>
        <v>-0.625</v>
      </c>
      <c r="I910" s="0" t="n">
        <f aca="false">E910</f>
        <v>-0.75</v>
      </c>
      <c r="J910" s="0" t="n">
        <f aca="false">F910</f>
        <v>-0.5</v>
      </c>
      <c r="K910" s="0" t="n">
        <f aca="false">D910*E910</f>
        <v>0.46875</v>
      </c>
      <c r="L910" s="0" t="n">
        <f aca="false">D910*F910</f>
        <v>0.3125</v>
      </c>
      <c r="M910" s="0" t="n">
        <f aca="false">E910*F910</f>
        <v>0.375</v>
      </c>
      <c r="N910" s="0" t="n">
        <f aca="false">D910*D910</f>
        <v>0.390625</v>
      </c>
      <c r="O910" s="0" t="n">
        <f aca="false">E910*E910</f>
        <v>0.5625</v>
      </c>
      <c r="P910" s="0" t="n">
        <f aca="false">F910*F910</f>
        <v>0.25</v>
      </c>
      <c r="Q910" s="0" t="n">
        <f aca="false">SUMPRODUCT(G910:P910,_XtX!$B$71:$K$71)</f>
        <v>42.7946590909091</v>
      </c>
      <c r="R910" s="0" t="n">
        <f aca="false">SUMPRODUCT(MMULT(G910:P910,_XtX!$B$58:$K$67),G910:P910)</f>
        <v>0.254729669744318</v>
      </c>
      <c r="S910" s="0" t="n">
        <f aca="false">04_回帰ANOVA!$K$19*04_回帰ANOVA!$K$14*SQRT(1+R910)</f>
        <v>1.04145790281631</v>
      </c>
      <c r="T910" s="0" t="n">
        <f aca="false">Q910-S910</f>
        <v>41.7532011880928</v>
      </c>
      <c r="U910" s="0" t="n">
        <f aca="false">Q910+S910</f>
        <v>43.8361169937254</v>
      </c>
      <c r="V910" s="54" t="b">
        <f aca="false">AND(D910&gt;=01_因子設定!$L$5-0.000000001,D910&lt;=01_因子設定!$M$5+0.000000001,E910&gt;=01_因子設定!$L$6-0.000000001,E910&lt;=01_因子設定!$M$6+0.000000001,F910&gt;=01_因子設定!$L$7-0.000000001,F910&lt;=01_因子設定!$M$7+0.000000001,IF(01_因子設定!$B$20="Box-Behnken",D910^2+E910^2+F910^2&lt;=2+0.000000001,TRUE()))</f>
        <v>1</v>
      </c>
      <c r="W910" s="55" t="n">
        <f aca="false">IF(V910,IF(01_因子設定!$B$13="最大化",T910-01_因子設定!$B$14,IF(01_因子設定!$B$13="最小化",01_因子設定!$B$15-U910,MIN(T910-01_因子設定!$B$14,01_因子設定!$B$15-U910))),-1E+030)</f>
        <v>-6.74679881190721</v>
      </c>
      <c r="X910" s="55" t="n">
        <f aca="false">IF(V910,IF(01_因子設定!$B$13="最大化",Q910,IF(01_因子設定!$B$13="最小化",-Q910,-ABS(Q910-01_因子設定!$B$16))),-1E+030)</f>
        <v>42.7946590909091</v>
      </c>
      <c r="Y910" s="55" t="n">
        <f aca="false">W910+ROW()*0.000000001</f>
        <v>-6.74679790190721</v>
      </c>
      <c r="Z910" s="55" t="n">
        <f aca="false">X910+ROW()*0.000000001</f>
        <v>42.7946600009091</v>
      </c>
    </row>
    <row r="911" customFormat="false" ht="15" hidden="false" customHeight="false" outlineLevel="0" collapsed="false">
      <c r="A911" s="0" t="n">
        <v>3</v>
      </c>
      <c r="B911" s="0" t="n">
        <v>2</v>
      </c>
      <c r="C911" s="0" t="n">
        <v>5</v>
      </c>
      <c r="D911" s="0" t="n">
        <f aca="false">-1+A911*0.125</f>
        <v>-0.625</v>
      </c>
      <c r="E911" s="0" t="n">
        <f aca="false">-1+B911*0.125</f>
        <v>-0.75</v>
      </c>
      <c r="F911" s="0" t="n">
        <f aca="false">-1+C911*0.125</f>
        <v>-0.375</v>
      </c>
      <c r="G911" s="0" t="n">
        <f aca="false">1</f>
        <v>1</v>
      </c>
      <c r="H911" s="0" t="n">
        <f aca="false">D911</f>
        <v>-0.625</v>
      </c>
      <c r="I911" s="0" t="n">
        <f aca="false">E911</f>
        <v>-0.75</v>
      </c>
      <c r="J911" s="0" t="n">
        <f aca="false">F911</f>
        <v>-0.375</v>
      </c>
      <c r="K911" s="0" t="n">
        <f aca="false">D911*E911</f>
        <v>0.46875</v>
      </c>
      <c r="L911" s="0" t="n">
        <f aca="false">D911*F911</f>
        <v>0.234375</v>
      </c>
      <c r="M911" s="0" t="n">
        <f aca="false">E911*F911</f>
        <v>0.28125</v>
      </c>
      <c r="N911" s="0" t="n">
        <f aca="false">D911*D911</f>
        <v>0.390625</v>
      </c>
      <c r="O911" s="0" t="n">
        <f aca="false">E911*E911</f>
        <v>0.5625</v>
      </c>
      <c r="P911" s="0" t="n">
        <f aca="false">F911*F911</f>
        <v>0.140625</v>
      </c>
      <c r="Q911" s="0" t="n">
        <f aca="false">SUMPRODUCT(G911:P911,_XtX!$B$71:$K$71)</f>
        <v>43.0654545454546</v>
      </c>
      <c r="R911" s="0" t="n">
        <f aca="false">SUMPRODUCT(MMULT(G911:P911,_XtX!$B$58:$K$67),G911:P911)</f>
        <v>0.25359940962358</v>
      </c>
      <c r="S911" s="0" t="n">
        <f aca="false">04_回帰ANOVA!$K$19*04_回帰ANOVA!$K$14*SQRT(1+R911)</f>
        <v>1.04098872464599</v>
      </c>
      <c r="T911" s="0" t="n">
        <f aca="false">Q911-S911</f>
        <v>42.0244658208086</v>
      </c>
      <c r="U911" s="0" t="n">
        <f aca="false">Q911+S911</f>
        <v>44.1064432701005</v>
      </c>
      <c r="V911" s="54" t="b">
        <f aca="false">AND(D911&gt;=01_因子設定!$L$5-0.000000001,D911&lt;=01_因子設定!$M$5+0.000000001,E911&gt;=01_因子設定!$L$6-0.000000001,E911&lt;=01_因子設定!$M$6+0.000000001,F911&gt;=01_因子設定!$L$7-0.000000001,F911&lt;=01_因子設定!$M$7+0.000000001,IF(01_因子設定!$B$20="Box-Behnken",D911^2+E911^2+F911^2&lt;=2+0.000000001,TRUE()))</f>
        <v>1</v>
      </c>
      <c r="W911" s="55" t="n">
        <f aca="false">IF(V911,IF(01_因子設定!$B$13="最大化",T911-01_因子設定!$B$14,IF(01_因子設定!$B$13="最小化",01_因子設定!$B$15-U911,MIN(T911-01_因子設定!$B$14,01_因子設定!$B$15-U911))),-1E+030)</f>
        <v>-6.47553417919144</v>
      </c>
      <c r="X911" s="55" t="n">
        <f aca="false">IF(V911,IF(01_因子設定!$B$13="最大化",Q911,IF(01_因子設定!$B$13="最小化",-Q911,-ABS(Q911-01_因子設定!$B$16))),-1E+030)</f>
        <v>43.0654545454546</v>
      </c>
      <c r="Y911" s="55" t="n">
        <f aca="false">W911+ROW()*0.000000001</f>
        <v>-6.47553326819144</v>
      </c>
      <c r="Z911" s="55" t="n">
        <f aca="false">X911+ROW()*0.000000001</f>
        <v>43.0654554564546</v>
      </c>
    </row>
    <row r="912" customFormat="false" ht="15" hidden="false" customHeight="false" outlineLevel="0" collapsed="false">
      <c r="A912" s="0" t="n">
        <v>3</v>
      </c>
      <c r="B912" s="0" t="n">
        <v>2</v>
      </c>
      <c r="C912" s="0" t="n">
        <v>6</v>
      </c>
      <c r="D912" s="0" t="n">
        <f aca="false">-1+A912*0.125</f>
        <v>-0.625</v>
      </c>
      <c r="E912" s="0" t="n">
        <f aca="false">-1+B912*0.125</f>
        <v>-0.75</v>
      </c>
      <c r="F912" s="0" t="n">
        <f aca="false">-1+C912*0.125</f>
        <v>-0.25</v>
      </c>
      <c r="G912" s="0" t="n">
        <f aca="false">1</f>
        <v>1</v>
      </c>
      <c r="H912" s="0" t="n">
        <f aca="false">D912</f>
        <v>-0.625</v>
      </c>
      <c r="I912" s="0" t="n">
        <f aca="false">E912</f>
        <v>-0.75</v>
      </c>
      <c r="J912" s="0" t="n">
        <f aca="false">F912</f>
        <v>-0.25</v>
      </c>
      <c r="K912" s="0" t="n">
        <f aca="false">D912*E912</f>
        <v>0.46875</v>
      </c>
      <c r="L912" s="0" t="n">
        <f aca="false">D912*F912</f>
        <v>0.15625</v>
      </c>
      <c r="M912" s="0" t="n">
        <f aca="false">E912*F912</f>
        <v>0.1875</v>
      </c>
      <c r="N912" s="0" t="n">
        <f aca="false">D912*D912</f>
        <v>0.390625</v>
      </c>
      <c r="O912" s="0" t="n">
        <f aca="false">E912*E912</f>
        <v>0.5625</v>
      </c>
      <c r="P912" s="0" t="n">
        <f aca="false">F912*F912</f>
        <v>0.0625</v>
      </c>
      <c r="Q912" s="0" t="n">
        <f aca="false">SUMPRODUCT(G912:P912,_XtX!$B$71:$K$71)</f>
        <v>43.2994602272727</v>
      </c>
      <c r="R912" s="0" t="n">
        <f aca="false">SUMPRODUCT(MMULT(G912:P912,_XtX!$B$58:$K$67),G912:P912)</f>
        <v>0.258118785511364</v>
      </c>
      <c r="S912" s="0" t="n">
        <f aca="false">04_回帰ANOVA!$K$19*04_回帰ANOVA!$K$14*SQRT(1+R912)</f>
        <v>1.04286348094876</v>
      </c>
      <c r="T912" s="0" t="n">
        <f aca="false">Q912-S912</f>
        <v>42.256596746324</v>
      </c>
      <c r="U912" s="0" t="n">
        <f aca="false">Q912+S912</f>
        <v>44.3423237082215</v>
      </c>
      <c r="V912" s="54" t="b">
        <f aca="false">AND(D912&gt;=01_因子設定!$L$5-0.000000001,D912&lt;=01_因子設定!$M$5+0.000000001,E912&gt;=01_因子設定!$L$6-0.000000001,E912&lt;=01_因子設定!$M$6+0.000000001,F912&gt;=01_因子設定!$L$7-0.000000001,F912&lt;=01_因子設定!$M$7+0.000000001,IF(01_因子設定!$B$20="Box-Behnken",D912^2+E912^2+F912^2&lt;=2+0.000000001,TRUE()))</f>
        <v>1</v>
      </c>
      <c r="W912" s="55" t="n">
        <f aca="false">IF(V912,IF(01_因子設定!$B$13="最大化",T912-01_因子設定!$B$14,IF(01_因子設定!$B$13="最小化",01_因子設定!$B$15-U912,MIN(T912-01_因子設定!$B$14,01_因子設定!$B$15-U912))),-1E+030)</f>
        <v>-6.24340325367603</v>
      </c>
      <c r="X912" s="55" t="n">
        <f aca="false">IF(V912,IF(01_因子設定!$B$13="最大化",Q912,IF(01_因子設定!$B$13="最小化",-Q912,-ABS(Q912-01_因子設定!$B$16))),-1E+030)</f>
        <v>43.2994602272727</v>
      </c>
      <c r="Y912" s="55" t="n">
        <f aca="false">W912+ROW()*0.000000001</f>
        <v>-6.24340234167603</v>
      </c>
      <c r="Z912" s="55" t="n">
        <f aca="false">X912+ROW()*0.000000001</f>
        <v>43.2994611392727</v>
      </c>
    </row>
    <row r="913" customFormat="false" ht="15" hidden="false" customHeight="false" outlineLevel="0" collapsed="false">
      <c r="A913" s="0" t="n">
        <v>3</v>
      </c>
      <c r="B913" s="0" t="n">
        <v>2</v>
      </c>
      <c r="C913" s="0" t="n">
        <v>7</v>
      </c>
      <c r="D913" s="0" t="n">
        <f aca="false">-1+A913*0.125</f>
        <v>-0.625</v>
      </c>
      <c r="E913" s="0" t="n">
        <f aca="false">-1+B913*0.125</f>
        <v>-0.75</v>
      </c>
      <c r="F913" s="0" t="n">
        <f aca="false">-1+C913*0.125</f>
        <v>-0.125</v>
      </c>
      <c r="G913" s="0" t="n">
        <f aca="false">1</f>
        <v>1</v>
      </c>
      <c r="H913" s="0" t="n">
        <f aca="false">D913</f>
        <v>-0.625</v>
      </c>
      <c r="I913" s="0" t="n">
        <f aca="false">E913</f>
        <v>-0.75</v>
      </c>
      <c r="J913" s="0" t="n">
        <f aca="false">F913</f>
        <v>-0.125</v>
      </c>
      <c r="K913" s="0" t="n">
        <f aca="false">D913*E913</f>
        <v>0.46875</v>
      </c>
      <c r="L913" s="0" t="n">
        <f aca="false">D913*F913</f>
        <v>0.078125</v>
      </c>
      <c r="M913" s="0" t="n">
        <f aca="false">E913*F913</f>
        <v>0.09375</v>
      </c>
      <c r="N913" s="0" t="n">
        <f aca="false">D913*D913</f>
        <v>0.390625</v>
      </c>
      <c r="O913" s="0" t="n">
        <f aca="false">E913*E913</f>
        <v>0.5625</v>
      </c>
      <c r="P913" s="0" t="n">
        <f aca="false">F913*F913</f>
        <v>0.015625</v>
      </c>
      <c r="Q913" s="0" t="n">
        <f aca="false">SUMPRODUCT(G913:P913,_XtX!$B$71:$K$71)</f>
        <v>43.4966761363636</v>
      </c>
      <c r="R913" s="0" t="n">
        <f aca="false">SUMPRODUCT(MMULT(G913:P913,_XtX!$B$58:$K$67),G913:P913)</f>
        <v>0.262961092862216</v>
      </c>
      <c r="S913" s="0" t="n">
        <f aca="false">04_回帰ANOVA!$K$19*04_回帰ANOVA!$K$14*SQRT(1+R913)</f>
        <v>1.04486846483649</v>
      </c>
      <c r="T913" s="0" t="n">
        <f aca="false">Q913-S913</f>
        <v>42.4518076715272</v>
      </c>
      <c r="U913" s="0" t="n">
        <f aca="false">Q913+S913</f>
        <v>44.5415446012001</v>
      </c>
      <c r="V913" s="54" t="b">
        <f aca="false">AND(D913&gt;=01_因子設定!$L$5-0.000000001,D913&lt;=01_因子設定!$M$5+0.000000001,E913&gt;=01_因子設定!$L$6-0.000000001,E913&lt;=01_因子設定!$M$6+0.000000001,F913&gt;=01_因子設定!$L$7-0.000000001,F913&lt;=01_因子設定!$M$7+0.000000001,IF(01_因子設定!$B$20="Box-Behnken",D913^2+E913^2+F913^2&lt;=2+0.000000001,TRUE()))</f>
        <v>1</v>
      </c>
      <c r="W913" s="55" t="n">
        <f aca="false">IF(V913,IF(01_因子設定!$B$13="最大化",T913-01_因子設定!$B$14,IF(01_因子設定!$B$13="最小化",01_因子設定!$B$15-U913,MIN(T913-01_因子設定!$B$14,01_因子設定!$B$15-U913))),-1E+030)</f>
        <v>-6.04819232847284</v>
      </c>
      <c r="X913" s="55" t="n">
        <f aca="false">IF(V913,IF(01_因子設定!$B$13="最大化",Q913,IF(01_因子設定!$B$13="最小化",-Q913,-ABS(Q913-01_因子設定!$B$16))),-1E+030)</f>
        <v>43.4966761363636</v>
      </c>
      <c r="Y913" s="55" t="n">
        <f aca="false">W913+ROW()*0.000000001</f>
        <v>-6.04819141547284</v>
      </c>
      <c r="Z913" s="55" t="n">
        <f aca="false">X913+ROW()*0.000000001</f>
        <v>43.4966770493636</v>
      </c>
    </row>
    <row r="914" customFormat="false" ht="15" hidden="false" customHeight="false" outlineLevel="0" collapsed="false">
      <c r="A914" s="0" t="n">
        <v>3</v>
      </c>
      <c r="B914" s="0" t="n">
        <v>2</v>
      </c>
      <c r="C914" s="0" t="n">
        <v>8</v>
      </c>
      <c r="D914" s="0" t="n">
        <f aca="false">-1+A914*0.125</f>
        <v>-0.625</v>
      </c>
      <c r="E914" s="0" t="n">
        <f aca="false">-1+B914*0.125</f>
        <v>-0.75</v>
      </c>
      <c r="F914" s="0" t="n">
        <f aca="false">-1+C914*0.125</f>
        <v>0</v>
      </c>
      <c r="G914" s="0" t="n">
        <f aca="false">1</f>
        <v>1</v>
      </c>
      <c r="H914" s="0" t="n">
        <f aca="false">D914</f>
        <v>-0.625</v>
      </c>
      <c r="I914" s="0" t="n">
        <f aca="false">E914</f>
        <v>-0.75</v>
      </c>
      <c r="J914" s="0" t="n">
        <f aca="false">F914</f>
        <v>0</v>
      </c>
      <c r="K914" s="0" t="n">
        <f aca="false">D914*E914</f>
        <v>0.46875</v>
      </c>
      <c r="L914" s="0" t="n">
        <f aca="false">D914*F914</f>
        <v>-0</v>
      </c>
      <c r="M914" s="0" t="n">
        <f aca="false">E914*F914</f>
        <v>-0</v>
      </c>
      <c r="N914" s="0" t="n">
        <f aca="false">D914*D914</f>
        <v>0.390625</v>
      </c>
      <c r="O914" s="0" t="n">
        <f aca="false">E914*E914</f>
        <v>0.5625</v>
      </c>
      <c r="P914" s="0" t="n">
        <f aca="false">F914*F914</f>
        <v>0</v>
      </c>
      <c r="Q914" s="0" t="n">
        <f aca="false">SUMPRODUCT(G914:P914,_XtX!$B$71:$K$71)</f>
        <v>43.6571022727273</v>
      </c>
      <c r="R914" s="0" t="n">
        <f aca="false">SUMPRODUCT(MMULT(G914:P914,_XtX!$B$58:$K$67),G914:P914)</f>
        <v>0.264930308948864</v>
      </c>
      <c r="S914" s="0" t="n">
        <f aca="false">04_回帰ANOVA!$K$19*04_回帰ANOVA!$K$14*SQRT(1+R914)</f>
        <v>1.04568272997153</v>
      </c>
      <c r="T914" s="0" t="n">
        <f aca="false">Q914-S914</f>
        <v>42.6114195427558</v>
      </c>
      <c r="U914" s="0" t="n">
        <f aca="false">Q914+S914</f>
        <v>44.7027850026988</v>
      </c>
      <c r="V914" s="54" t="b">
        <f aca="false">AND(D914&gt;=01_因子設定!$L$5-0.000000001,D914&lt;=01_因子設定!$M$5+0.000000001,E914&gt;=01_因子設定!$L$6-0.000000001,E914&lt;=01_因子設定!$M$6+0.000000001,F914&gt;=01_因子設定!$L$7-0.000000001,F914&lt;=01_因子設定!$M$7+0.000000001,IF(01_因子設定!$B$20="Box-Behnken",D914^2+E914^2+F914^2&lt;=2+0.000000001,TRUE()))</f>
        <v>1</v>
      </c>
      <c r="W914" s="55" t="n">
        <f aca="false">IF(V914,IF(01_因子設定!$B$13="最大化",T914-01_因子設定!$B$14,IF(01_因子設定!$B$13="最小化",01_因子設定!$B$15-U914,MIN(T914-01_因子設定!$B$14,01_因子設定!$B$15-U914))),-1E+030)</f>
        <v>-5.88858045724425</v>
      </c>
      <c r="X914" s="55" t="n">
        <f aca="false">IF(V914,IF(01_因子設定!$B$13="最大化",Q914,IF(01_因子設定!$B$13="最小化",-Q914,-ABS(Q914-01_因子設定!$B$16))),-1E+030)</f>
        <v>43.6571022727273</v>
      </c>
      <c r="Y914" s="55" t="n">
        <f aca="false">W914+ROW()*0.000000001</f>
        <v>-5.88857954324425</v>
      </c>
      <c r="Z914" s="55" t="n">
        <f aca="false">X914+ROW()*0.000000001</f>
        <v>43.6571031867273</v>
      </c>
    </row>
    <row r="915" customFormat="false" ht="15" hidden="false" customHeight="false" outlineLevel="0" collapsed="false">
      <c r="A915" s="0" t="n">
        <v>3</v>
      </c>
      <c r="B915" s="0" t="n">
        <v>2</v>
      </c>
      <c r="C915" s="0" t="n">
        <v>9</v>
      </c>
      <c r="D915" s="0" t="n">
        <f aca="false">-1+A915*0.125</f>
        <v>-0.625</v>
      </c>
      <c r="E915" s="0" t="n">
        <f aca="false">-1+B915*0.125</f>
        <v>-0.75</v>
      </c>
      <c r="F915" s="0" t="n">
        <f aca="false">-1+C915*0.125</f>
        <v>0.125</v>
      </c>
      <c r="G915" s="0" t="n">
        <f aca="false">1</f>
        <v>1</v>
      </c>
      <c r="H915" s="0" t="n">
        <f aca="false">D915</f>
        <v>-0.625</v>
      </c>
      <c r="I915" s="0" t="n">
        <f aca="false">E915</f>
        <v>-0.75</v>
      </c>
      <c r="J915" s="0" t="n">
        <f aca="false">F915</f>
        <v>0.125</v>
      </c>
      <c r="K915" s="0" t="n">
        <f aca="false">D915*E915</f>
        <v>0.46875</v>
      </c>
      <c r="L915" s="0" t="n">
        <f aca="false">D915*F915</f>
        <v>-0.078125</v>
      </c>
      <c r="M915" s="0" t="n">
        <f aca="false">E915*F915</f>
        <v>-0.09375</v>
      </c>
      <c r="N915" s="0" t="n">
        <f aca="false">D915*D915</f>
        <v>0.390625</v>
      </c>
      <c r="O915" s="0" t="n">
        <f aca="false">E915*E915</f>
        <v>0.5625</v>
      </c>
      <c r="P915" s="0" t="n">
        <f aca="false">F915*F915</f>
        <v>0.015625</v>
      </c>
      <c r="Q915" s="0" t="n">
        <f aca="false">SUMPRODUCT(G915:P915,_XtX!$B$71:$K$71)</f>
        <v>43.7807386363636</v>
      </c>
      <c r="R915" s="0" t="n">
        <f aca="false">SUMPRODUCT(MMULT(G915:P915,_XtX!$B$58:$K$67),G915:P915)</f>
        <v>0.262961092862216</v>
      </c>
      <c r="S915" s="0" t="n">
        <f aca="false">04_回帰ANOVA!$K$19*04_回帰ANOVA!$K$14*SQRT(1+R915)</f>
        <v>1.04486846483649</v>
      </c>
      <c r="T915" s="0" t="n">
        <f aca="false">Q915-S915</f>
        <v>42.7358701715272</v>
      </c>
      <c r="U915" s="0" t="n">
        <f aca="false">Q915+S915</f>
        <v>44.8256071012001</v>
      </c>
      <c r="V915" s="54" t="b">
        <f aca="false">AND(D915&gt;=01_因子設定!$L$5-0.000000001,D915&lt;=01_因子設定!$M$5+0.000000001,E915&gt;=01_因子設定!$L$6-0.000000001,E915&lt;=01_因子設定!$M$6+0.000000001,F915&gt;=01_因子設定!$L$7-0.000000001,F915&lt;=01_因子設定!$M$7+0.000000001,IF(01_因子設定!$B$20="Box-Behnken",D915^2+E915^2+F915^2&lt;=2+0.000000001,TRUE()))</f>
        <v>1</v>
      </c>
      <c r="W915" s="55" t="n">
        <f aca="false">IF(V915,IF(01_因子設定!$B$13="最大化",T915-01_因子設定!$B$14,IF(01_因子設定!$B$13="最小化",01_因子設定!$B$15-U915,MIN(T915-01_因子設定!$B$14,01_因子設定!$B$15-U915))),-1E+030)</f>
        <v>-5.76412982847285</v>
      </c>
      <c r="X915" s="55" t="n">
        <f aca="false">IF(V915,IF(01_因子設定!$B$13="最大化",Q915,IF(01_因子設定!$B$13="最小化",-Q915,-ABS(Q915-01_因子設定!$B$16))),-1E+030)</f>
        <v>43.7807386363636</v>
      </c>
      <c r="Y915" s="55" t="n">
        <f aca="false">W915+ROW()*0.000000001</f>
        <v>-5.76412891347285</v>
      </c>
      <c r="Z915" s="55" t="n">
        <f aca="false">X915+ROW()*0.000000001</f>
        <v>43.7807395513636</v>
      </c>
    </row>
    <row r="916" customFormat="false" ht="15" hidden="false" customHeight="false" outlineLevel="0" collapsed="false">
      <c r="A916" s="0" t="n">
        <v>3</v>
      </c>
      <c r="B916" s="0" t="n">
        <v>2</v>
      </c>
      <c r="C916" s="0" t="n">
        <v>10</v>
      </c>
      <c r="D916" s="0" t="n">
        <f aca="false">-1+A916*0.125</f>
        <v>-0.625</v>
      </c>
      <c r="E916" s="0" t="n">
        <f aca="false">-1+B916*0.125</f>
        <v>-0.75</v>
      </c>
      <c r="F916" s="0" t="n">
        <f aca="false">-1+C916*0.125</f>
        <v>0.25</v>
      </c>
      <c r="G916" s="0" t="n">
        <f aca="false">1</f>
        <v>1</v>
      </c>
      <c r="H916" s="0" t="n">
        <f aca="false">D916</f>
        <v>-0.625</v>
      </c>
      <c r="I916" s="0" t="n">
        <f aca="false">E916</f>
        <v>-0.75</v>
      </c>
      <c r="J916" s="0" t="n">
        <f aca="false">F916</f>
        <v>0.25</v>
      </c>
      <c r="K916" s="0" t="n">
        <f aca="false">D916*E916</f>
        <v>0.46875</v>
      </c>
      <c r="L916" s="0" t="n">
        <f aca="false">D916*F916</f>
        <v>-0.15625</v>
      </c>
      <c r="M916" s="0" t="n">
        <f aca="false">E916*F916</f>
        <v>-0.1875</v>
      </c>
      <c r="N916" s="0" t="n">
        <f aca="false">D916*D916</f>
        <v>0.390625</v>
      </c>
      <c r="O916" s="0" t="n">
        <f aca="false">E916*E916</f>
        <v>0.5625</v>
      </c>
      <c r="P916" s="0" t="n">
        <f aca="false">F916*F916</f>
        <v>0.0625</v>
      </c>
      <c r="Q916" s="0" t="n">
        <f aca="false">SUMPRODUCT(G916:P916,_XtX!$B$71:$K$71)</f>
        <v>43.8675852272727</v>
      </c>
      <c r="R916" s="0" t="n">
        <f aca="false">SUMPRODUCT(MMULT(G916:P916,_XtX!$B$58:$K$67),G916:P916)</f>
        <v>0.258118785511364</v>
      </c>
      <c r="S916" s="0" t="n">
        <f aca="false">04_回帰ANOVA!$K$19*04_回帰ANOVA!$K$14*SQRT(1+R916)</f>
        <v>1.04286348094876</v>
      </c>
      <c r="T916" s="0" t="n">
        <f aca="false">Q916-S916</f>
        <v>42.824721746324</v>
      </c>
      <c r="U916" s="0" t="n">
        <f aca="false">Q916+S916</f>
        <v>44.9104487082215</v>
      </c>
      <c r="V916" s="54" t="b">
        <f aca="false">AND(D916&gt;=01_因子設定!$L$5-0.000000001,D916&lt;=01_因子設定!$M$5+0.000000001,E916&gt;=01_因子設定!$L$6-0.000000001,E916&lt;=01_因子設定!$M$6+0.000000001,F916&gt;=01_因子設定!$L$7-0.000000001,F916&lt;=01_因子設定!$M$7+0.000000001,IF(01_因子設定!$B$20="Box-Behnken",D916^2+E916^2+F916^2&lt;=2+0.000000001,TRUE()))</f>
        <v>1</v>
      </c>
      <c r="W916" s="55" t="n">
        <f aca="false">IF(V916,IF(01_因子設定!$B$13="最大化",T916-01_因子設定!$B$14,IF(01_因子設定!$B$13="最小化",01_因子設定!$B$15-U916,MIN(T916-01_因子設定!$B$14,01_因子設定!$B$15-U916))),-1E+030)</f>
        <v>-5.67527825367603</v>
      </c>
      <c r="X916" s="55" t="n">
        <f aca="false">IF(V916,IF(01_因子設定!$B$13="最大化",Q916,IF(01_因子設定!$B$13="最小化",-Q916,-ABS(Q916-01_因子設定!$B$16))),-1E+030)</f>
        <v>43.8675852272727</v>
      </c>
      <c r="Y916" s="55" t="n">
        <f aca="false">W916+ROW()*0.000000001</f>
        <v>-5.67527733767603</v>
      </c>
      <c r="Z916" s="55" t="n">
        <f aca="false">X916+ROW()*0.000000001</f>
        <v>43.8675861432727</v>
      </c>
    </row>
    <row r="917" customFormat="false" ht="15" hidden="false" customHeight="false" outlineLevel="0" collapsed="false">
      <c r="A917" s="0" t="n">
        <v>3</v>
      </c>
      <c r="B917" s="0" t="n">
        <v>2</v>
      </c>
      <c r="C917" s="0" t="n">
        <v>11</v>
      </c>
      <c r="D917" s="0" t="n">
        <f aca="false">-1+A917*0.125</f>
        <v>-0.625</v>
      </c>
      <c r="E917" s="0" t="n">
        <f aca="false">-1+B917*0.125</f>
        <v>-0.75</v>
      </c>
      <c r="F917" s="0" t="n">
        <f aca="false">-1+C917*0.125</f>
        <v>0.375</v>
      </c>
      <c r="G917" s="0" t="n">
        <f aca="false">1</f>
        <v>1</v>
      </c>
      <c r="H917" s="0" t="n">
        <f aca="false">D917</f>
        <v>-0.625</v>
      </c>
      <c r="I917" s="0" t="n">
        <f aca="false">E917</f>
        <v>-0.75</v>
      </c>
      <c r="J917" s="0" t="n">
        <f aca="false">F917</f>
        <v>0.375</v>
      </c>
      <c r="K917" s="0" t="n">
        <f aca="false">D917*E917</f>
        <v>0.46875</v>
      </c>
      <c r="L917" s="0" t="n">
        <f aca="false">D917*F917</f>
        <v>-0.234375</v>
      </c>
      <c r="M917" s="0" t="n">
        <f aca="false">E917*F917</f>
        <v>-0.28125</v>
      </c>
      <c r="N917" s="0" t="n">
        <f aca="false">D917*D917</f>
        <v>0.390625</v>
      </c>
      <c r="O917" s="0" t="n">
        <f aca="false">E917*E917</f>
        <v>0.5625</v>
      </c>
      <c r="P917" s="0" t="n">
        <f aca="false">F917*F917</f>
        <v>0.140625</v>
      </c>
      <c r="Q917" s="0" t="n">
        <f aca="false">SUMPRODUCT(G917:P917,_XtX!$B$71:$K$71)</f>
        <v>43.9176420454546</v>
      </c>
      <c r="R917" s="0" t="n">
        <f aca="false">SUMPRODUCT(MMULT(G917:P917,_XtX!$B$58:$K$67),G917:P917)</f>
        <v>0.25359940962358</v>
      </c>
      <c r="S917" s="0" t="n">
        <f aca="false">04_回帰ANOVA!$K$19*04_回帰ANOVA!$K$14*SQRT(1+R917)</f>
        <v>1.04098872464599</v>
      </c>
      <c r="T917" s="0" t="n">
        <f aca="false">Q917-S917</f>
        <v>42.8766533208086</v>
      </c>
      <c r="U917" s="0" t="n">
        <f aca="false">Q917+S917</f>
        <v>44.9586307701005</v>
      </c>
      <c r="V917" s="54" t="b">
        <f aca="false">AND(D917&gt;=01_因子設定!$L$5-0.000000001,D917&lt;=01_因子設定!$M$5+0.000000001,E917&gt;=01_因子設定!$L$6-0.000000001,E917&lt;=01_因子設定!$M$6+0.000000001,F917&gt;=01_因子設定!$L$7-0.000000001,F917&lt;=01_因子設定!$M$7+0.000000001,IF(01_因子設定!$B$20="Box-Behnken",D917^2+E917^2+F917^2&lt;=2+0.000000001,TRUE()))</f>
        <v>1</v>
      </c>
      <c r="W917" s="55" t="n">
        <f aca="false">IF(V917,IF(01_因子設定!$B$13="最大化",T917-01_因子設定!$B$14,IF(01_因子設定!$B$13="最小化",01_因子設定!$B$15-U917,MIN(T917-01_因子設定!$B$14,01_因子設定!$B$15-U917))),-1E+030)</f>
        <v>-5.62334667919144</v>
      </c>
      <c r="X917" s="55" t="n">
        <f aca="false">IF(V917,IF(01_因子設定!$B$13="最大化",Q917,IF(01_因子設定!$B$13="最小化",-Q917,-ABS(Q917-01_因子設定!$B$16))),-1E+030)</f>
        <v>43.9176420454546</v>
      </c>
      <c r="Y917" s="55" t="n">
        <f aca="false">W917+ROW()*0.000000001</f>
        <v>-5.62334576219144</v>
      </c>
      <c r="Z917" s="55" t="n">
        <f aca="false">X917+ROW()*0.000000001</f>
        <v>43.9176429624546</v>
      </c>
    </row>
    <row r="918" customFormat="false" ht="15" hidden="false" customHeight="false" outlineLevel="0" collapsed="false">
      <c r="A918" s="0" t="n">
        <v>3</v>
      </c>
      <c r="B918" s="0" t="n">
        <v>2</v>
      </c>
      <c r="C918" s="0" t="n">
        <v>12</v>
      </c>
      <c r="D918" s="0" t="n">
        <f aca="false">-1+A918*0.125</f>
        <v>-0.625</v>
      </c>
      <c r="E918" s="0" t="n">
        <f aca="false">-1+B918*0.125</f>
        <v>-0.75</v>
      </c>
      <c r="F918" s="0" t="n">
        <f aca="false">-1+C918*0.125</f>
        <v>0.5</v>
      </c>
      <c r="G918" s="0" t="n">
        <f aca="false">1</f>
        <v>1</v>
      </c>
      <c r="H918" s="0" t="n">
        <f aca="false">D918</f>
        <v>-0.625</v>
      </c>
      <c r="I918" s="0" t="n">
        <f aca="false">E918</f>
        <v>-0.75</v>
      </c>
      <c r="J918" s="0" t="n">
        <f aca="false">F918</f>
        <v>0.5</v>
      </c>
      <c r="K918" s="0" t="n">
        <f aca="false">D918*E918</f>
        <v>0.46875</v>
      </c>
      <c r="L918" s="0" t="n">
        <f aca="false">D918*F918</f>
        <v>-0.3125</v>
      </c>
      <c r="M918" s="0" t="n">
        <f aca="false">E918*F918</f>
        <v>-0.375</v>
      </c>
      <c r="N918" s="0" t="n">
        <f aca="false">D918*D918</f>
        <v>0.390625</v>
      </c>
      <c r="O918" s="0" t="n">
        <f aca="false">E918*E918</f>
        <v>0.5625</v>
      </c>
      <c r="P918" s="0" t="n">
        <f aca="false">F918*F918</f>
        <v>0.25</v>
      </c>
      <c r="Q918" s="0" t="n">
        <f aca="false">SUMPRODUCT(G918:P918,_XtX!$B$71:$K$71)</f>
        <v>43.9309090909091</v>
      </c>
      <c r="R918" s="0" t="n">
        <f aca="false">SUMPRODUCT(MMULT(G918:P918,_XtX!$B$58:$K$67),G918:P918)</f>
        <v>0.254729669744318</v>
      </c>
      <c r="S918" s="0" t="n">
        <f aca="false">04_回帰ANOVA!$K$19*04_回帰ANOVA!$K$14*SQRT(1+R918)</f>
        <v>1.04145790281631</v>
      </c>
      <c r="T918" s="0" t="n">
        <f aca="false">Q918-S918</f>
        <v>42.8894511880928</v>
      </c>
      <c r="U918" s="0" t="n">
        <f aca="false">Q918+S918</f>
        <v>44.9723669937254</v>
      </c>
      <c r="V918" s="54" t="b">
        <f aca="false">AND(D918&gt;=01_因子設定!$L$5-0.000000001,D918&lt;=01_因子設定!$M$5+0.000000001,E918&gt;=01_因子設定!$L$6-0.000000001,E918&lt;=01_因子設定!$M$6+0.000000001,F918&gt;=01_因子設定!$L$7-0.000000001,F918&lt;=01_因子設定!$M$7+0.000000001,IF(01_因子設定!$B$20="Box-Behnken",D918^2+E918^2+F918^2&lt;=2+0.000000001,TRUE()))</f>
        <v>1</v>
      </c>
      <c r="W918" s="55" t="n">
        <f aca="false">IF(V918,IF(01_因子設定!$B$13="最大化",T918-01_因子設定!$B$14,IF(01_因子設定!$B$13="最小化",01_因子設定!$B$15-U918,MIN(T918-01_因子設定!$B$14,01_因子設定!$B$15-U918))),-1E+030)</f>
        <v>-5.61054881190722</v>
      </c>
      <c r="X918" s="55" t="n">
        <f aca="false">IF(V918,IF(01_因子設定!$B$13="最大化",Q918,IF(01_因子設定!$B$13="最小化",-Q918,-ABS(Q918-01_因子設定!$B$16))),-1E+030)</f>
        <v>43.9309090909091</v>
      </c>
      <c r="Y918" s="55" t="n">
        <f aca="false">W918+ROW()*0.000000001</f>
        <v>-5.61054789390722</v>
      </c>
      <c r="Z918" s="55" t="n">
        <f aca="false">X918+ROW()*0.000000001</f>
        <v>43.9309100089091</v>
      </c>
    </row>
    <row r="919" customFormat="false" ht="15" hidden="false" customHeight="false" outlineLevel="0" collapsed="false">
      <c r="A919" s="0" t="n">
        <v>3</v>
      </c>
      <c r="B919" s="0" t="n">
        <v>2</v>
      </c>
      <c r="C919" s="0" t="n">
        <v>13</v>
      </c>
      <c r="D919" s="0" t="n">
        <f aca="false">-1+A919*0.125</f>
        <v>-0.625</v>
      </c>
      <c r="E919" s="0" t="n">
        <f aca="false">-1+B919*0.125</f>
        <v>-0.75</v>
      </c>
      <c r="F919" s="0" t="n">
        <f aca="false">-1+C919*0.125</f>
        <v>0.625</v>
      </c>
      <c r="G919" s="0" t="n">
        <f aca="false">1</f>
        <v>1</v>
      </c>
      <c r="H919" s="0" t="n">
        <f aca="false">D919</f>
        <v>-0.625</v>
      </c>
      <c r="I919" s="0" t="n">
        <f aca="false">E919</f>
        <v>-0.75</v>
      </c>
      <c r="J919" s="0" t="n">
        <f aca="false">F919</f>
        <v>0.625</v>
      </c>
      <c r="K919" s="0" t="n">
        <f aca="false">D919*E919</f>
        <v>0.46875</v>
      </c>
      <c r="L919" s="0" t="n">
        <f aca="false">D919*F919</f>
        <v>-0.390625</v>
      </c>
      <c r="M919" s="0" t="n">
        <f aca="false">E919*F919</f>
        <v>-0.46875</v>
      </c>
      <c r="N919" s="0" t="n">
        <f aca="false">D919*D919</f>
        <v>0.390625</v>
      </c>
      <c r="O919" s="0" t="n">
        <f aca="false">E919*E919</f>
        <v>0.5625</v>
      </c>
      <c r="P919" s="0" t="n">
        <f aca="false">F919*F919</f>
        <v>0.390625</v>
      </c>
      <c r="Q919" s="0" t="n">
        <f aca="false">SUMPRODUCT(G919:P919,_XtX!$B$71:$K$71)</f>
        <v>43.9073863636364</v>
      </c>
      <c r="R919" s="0" t="n">
        <f aca="false">SUMPRODUCT(MMULT(G919:P919,_XtX!$B$58:$K$67),G919:P919)</f>
        <v>0.268966952237216</v>
      </c>
      <c r="S919" s="0" t="n">
        <f aca="false">04_回帰ANOVA!$K$19*04_回帰ANOVA!$K$14*SQRT(1+R919)</f>
        <v>1.04734989137801</v>
      </c>
      <c r="T919" s="0" t="n">
        <f aca="false">Q919-S919</f>
        <v>42.8600364722584</v>
      </c>
      <c r="U919" s="0" t="n">
        <f aca="false">Q919+S919</f>
        <v>44.9547362550144</v>
      </c>
      <c r="V919" s="54" t="b">
        <f aca="false">AND(D919&gt;=01_因子設定!$L$5-0.000000001,D919&lt;=01_因子設定!$M$5+0.000000001,E919&gt;=01_因子設定!$L$6-0.000000001,E919&lt;=01_因子設定!$M$6+0.000000001,F919&gt;=01_因子設定!$L$7-0.000000001,F919&lt;=01_因子設定!$M$7+0.000000001,IF(01_因子設定!$B$20="Box-Behnken",D919^2+E919^2+F919^2&lt;=2+0.000000001,TRUE()))</f>
        <v>1</v>
      </c>
      <c r="W919" s="55" t="n">
        <f aca="false">IF(V919,IF(01_因子設定!$B$13="最大化",T919-01_因子設定!$B$14,IF(01_因子設定!$B$13="最小化",01_因子設定!$B$15-U919,MIN(T919-01_因子設定!$B$14,01_因子設定!$B$15-U919))),-1E+030)</f>
        <v>-5.63996352774164</v>
      </c>
      <c r="X919" s="55" t="n">
        <f aca="false">IF(V919,IF(01_因子設定!$B$13="最大化",Q919,IF(01_因子設定!$B$13="最小化",-Q919,-ABS(Q919-01_因子設定!$B$16))),-1E+030)</f>
        <v>43.9073863636364</v>
      </c>
      <c r="Y919" s="55" t="n">
        <f aca="false">W919+ROW()*0.000000001</f>
        <v>-5.63996260874164</v>
      </c>
      <c r="Z919" s="55" t="n">
        <f aca="false">X919+ROW()*0.000000001</f>
        <v>43.9073872826364</v>
      </c>
    </row>
    <row r="920" customFormat="false" ht="15" hidden="false" customHeight="false" outlineLevel="0" collapsed="false">
      <c r="A920" s="0" t="n">
        <v>3</v>
      </c>
      <c r="B920" s="0" t="n">
        <v>2</v>
      </c>
      <c r="C920" s="0" t="n">
        <v>14</v>
      </c>
      <c r="D920" s="0" t="n">
        <f aca="false">-1+A920*0.125</f>
        <v>-0.625</v>
      </c>
      <c r="E920" s="0" t="n">
        <f aca="false">-1+B920*0.125</f>
        <v>-0.75</v>
      </c>
      <c r="F920" s="0" t="n">
        <f aca="false">-1+C920*0.125</f>
        <v>0.75</v>
      </c>
      <c r="G920" s="0" t="n">
        <f aca="false">1</f>
        <v>1</v>
      </c>
      <c r="H920" s="0" t="n">
        <f aca="false">D920</f>
        <v>-0.625</v>
      </c>
      <c r="I920" s="0" t="n">
        <f aca="false">E920</f>
        <v>-0.75</v>
      </c>
      <c r="J920" s="0" t="n">
        <f aca="false">F920</f>
        <v>0.75</v>
      </c>
      <c r="K920" s="0" t="n">
        <f aca="false">D920*E920</f>
        <v>0.46875</v>
      </c>
      <c r="L920" s="0" t="n">
        <f aca="false">D920*F920</f>
        <v>-0.46875</v>
      </c>
      <c r="M920" s="0" t="n">
        <f aca="false">E920*F920</f>
        <v>-0.5625</v>
      </c>
      <c r="N920" s="0" t="n">
        <f aca="false">D920*D920</f>
        <v>0.390625</v>
      </c>
      <c r="O920" s="0" t="n">
        <f aca="false">E920*E920</f>
        <v>0.5625</v>
      </c>
      <c r="P920" s="0" t="n">
        <f aca="false">F920*F920</f>
        <v>0.5625</v>
      </c>
      <c r="Q920" s="0" t="n">
        <f aca="false">SUMPRODUCT(G920:P920,_XtX!$B$71:$K$71)</f>
        <v>43.8470738636364</v>
      </c>
      <c r="R920" s="0" t="n">
        <f aca="false">SUMPRODUCT(MMULT(G920:P920,_XtX!$B$58:$K$67),G920:P920)</f>
        <v>0.305899325284091</v>
      </c>
      <c r="S920" s="0" t="n">
        <f aca="false">04_回帰ANOVA!$K$19*04_回帰ANOVA!$K$14*SQRT(1+R920)</f>
        <v>1.06248176416816</v>
      </c>
      <c r="T920" s="0" t="n">
        <f aca="false">Q920-S920</f>
        <v>42.7845920994682</v>
      </c>
      <c r="U920" s="0" t="n">
        <f aca="false">Q920+S920</f>
        <v>44.9095556278045</v>
      </c>
      <c r="V920" s="54" t="b">
        <f aca="false">AND(D920&gt;=01_因子設定!$L$5-0.000000001,D920&lt;=01_因子設定!$M$5+0.000000001,E920&gt;=01_因子設定!$L$6-0.000000001,E920&lt;=01_因子設定!$M$6+0.000000001,F920&gt;=01_因子設定!$L$7-0.000000001,F920&lt;=01_因子設定!$M$7+0.000000001,IF(01_因子設定!$B$20="Box-Behnken",D920^2+E920^2+F920^2&lt;=2+0.000000001,TRUE()))</f>
        <v>1</v>
      </c>
      <c r="W920" s="55" t="n">
        <f aca="false">IF(V920,IF(01_因子設定!$B$13="最大化",T920-01_因子設定!$B$14,IF(01_因子設定!$B$13="最小化",01_因子設定!$B$15-U920,MIN(T920-01_因子設定!$B$14,01_因子設定!$B$15-U920))),-1E+030)</f>
        <v>-5.71540790053179</v>
      </c>
      <c r="X920" s="55" t="n">
        <f aca="false">IF(V920,IF(01_因子設定!$B$13="最大化",Q920,IF(01_因子設定!$B$13="最小化",-Q920,-ABS(Q920-01_因子設定!$B$16))),-1E+030)</f>
        <v>43.8470738636364</v>
      </c>
      <c r="Y920" s="55" t="n">
        <f aca="false">W920+ROW()*0.000000001</f>
        <v>-5.71540698053179</v>
      </c>
      <c r="Z920" s="55" t="n">
        <f aca="false">X920+ROW()*0.000000001</f>
        <v>43.8470747836364</v>
      </c>
    </row>
    <row r="921" customFormat="false" ht="15" hidden="false" customHeight="false" outlineLevel="0" collapsed="false">
      <c r="A921" s="0" t="n">
        <v>3</v>
      </c>
      <c r="B921" s="0" t="n">
        <v>2</v>
      </c>
      <c r="C921" s="0" t="n">
        <v>15</v>
      </c>
      <c r="D921" s="0" t="n">
        <f aca="false">-1+A921*0.125</f>
        <v>-0.625</v>
      </c>
      <c r="E921" s="0" t="n">
        <f aca="false">-1+B921*0.125</f>
        <v>-0.75</v>
      </c>
      <c r="F921" s="0" t="n">
        <f aca="false">-1+C921*0.125</f>
        <v>0.875</v>
      </c>
      <c r="G921" s="0" t="n">
        <f aca="false">1</f>
        <v>1</v>
      </c>
      <c r="H921" s="0" t="n">
        <f aca="false">D921</f>
        <v>-0.625</v>
      </c>
      <c r="I921" s="0" t="n">
        <f aca="false">E921</f>
        <v>-0.75</v>
      </c>
      <c r="J921" s="0" t="n">
        <f aca="false">F921</f>
        <v>0.875</v>
      </c>
      <c r="K921" s="0" t="n">
        <f aca="false">D921*E921</f>
        <v>0.46875</v>
      </c>
      <c r="L921" s="0" t="n">
        <f aca="false">D921*F921</f>
        <v>-0.546875</v>
      </c>
      <c r="M921" s="0" t="n">
        <f aca="false">E921*F921</f>
        <v>-0.65625</v>
      </c>
      <c r="N921" s="0" t="n">
        <f aca="false">D921*D921</f>
        <v>0.390625</v>
      </c>
      <c r="O921" s="0" t="n">
        <f aca="false">E921*E921</f>
        <v>0.5625</v>
      </c>
      <c r="P921" s="0" t="n">
        <f aca="false">F921*F921</f>
        <v>0.765625</v>
      </c>
      <c r="Q921" s="0" t="n">
        <f aca="false">SUMPRODUCT(G921:P921,_XtX!$B$71:$K$71)</f>
        <v>43.7499715909091</v>
      </c>
      <c r="R921" s="0" t="n">
        <f aca="false">SUMPRODUCT(MMULT(G921:P921,_XtX!$B$58:$K$67),G921:P921)</f>
        <v>0.377245538884943</v>
      </c>
      <c r="S921" s="0" t="n">
        <f aca="false">04_回帰ANOVA!$K$19*04_回帰ANOVA!$K$14*SQRT(1+R921)</f>
        <v>1.09111951468927</v>
      </c>
      <c r="T921" s="0" t="n">
        <f aca="false">Q921-S921</f>
        <v>42.6588520762198</v>
      </c>
      <c r="U921" s="0" t="n">
        <f aca="false">Q921+S921</f>
        <v>44.8410911055984</v>
      </c>
      <c r="V921" s="54" t="b">
        <f aca="false">AND(D921&gt;=01_因子設定!$L$5-0.000000001,D921&lt;=01_因子設定!$M$5+0.000000001,E921&gt;=01_因子設定!$L$6-0.000000001,E921&lt;=01_因子設定!$M$6+0.000000001,F921&gt;=01_因子設定!$L$7-0.000000001,F921&lt;=01_因子設定!$M$7+0.000000001,IF(01_因子設定!$B$20="Box-Behnken",D921^2+E921^2+F921^2&lt;=2+0.000000001,TRUE()))</f>
        <v>1</v>
      </c>
      <c r="W921" s="55" t="n">
        <f aca="false">IF(V921,IF(01_因子設定!$B$13="最大化",T921-01_因子設定!$B$14,IF(01_因子設定!$B$13="最小化",01_因子設定!$B$15-U921,MIN(T921-01_因子設定!$B$14,01_因子設定!$B$15-U921))),-1E+030)</f>
        <v>-5.84114792378017</v>
      </c>
      <c r="X921" s="55" t="n">
        <f aca="false">IF(V921,IF(01_因子設定!$B$13="最大化",Q921,IF(01_因子設定!$B$13="最小化",-Q921,-ABS(Q921-01_因子設定!$B$16))),-1E+030)</f>
        <v>43.7499715909091</v>
      </c>
      <c r="Y921" s="55" t="n">
        <f aca="false">W921+ROW()*0.000000001</f>
        <v>-5.84114700278017</v>
      </c>
      <c r="Z921" s="55" t="n">
        <f aca="false">X921+ROW()*0.000000001</f>
        <v>43.7499725119091</v>
      </c>
    </row>
    <row r="922" customFormat="false" ht="15" hidden="false" customHeight="false" outlineLevel="0" collapsed="false">
      <c r="A922" s="0" t="n">
        <v>3</v>
      </c>
      <c r="B922" s="0" t="n">
        <v>2</v>
      </c>
      <c r="C922" s="0" t="n">
        <v>16</v>
      </c>
      <c r="D922" s="0" t="n">
        <f aca="false">-1+A922*0.125</f>
        <v>-0.625</v>
      </c>
      <c r="E922" s="0" t="n">
        <f aca="false">-1+B922*0.125</f>
        <v>-0.75</v>
      </c>
      <c r="F922" s="0" t="n">
        <f aca="false">-1+C922*0.125</f>
        <v>1</v>
      </c>
      <c r="G922" s="0" t="n">
        <f aca="false">1</f>
        <v>1</v>
      </c>
      <c r="H922" s="0" t="n">
        <f aca="false">D922</f>
        <v>-0.625</v>
      </c>
      <c r="I922" s="0" t="n">
        <f aca="false">E922</f>
        <v>-0.75</v>
      </c>
      <c r="J922" s="0" t="n">
        <f aca="false">F922</f>
        <v>1</v>
      </c>
      <c r="K922" s="0" t="n">
        <f aca="false">D922*E922</f>
        <v>0.46875</v>
      </c>
      <c r="L922" s="0" t="n">
        <f aca="false">D922*F922</f>
        <v>-0.625</v>
      </c>
      <c r="M922" s="0" t="n">
        <f aca="false">E922*F922</f>
        <v>-0.75</v>
      </c>
      <c r="N922" s="0" t="n">
        <f aca="false">D922*D922</f>
        <v>0.390625</v>
      </c>
      <c r="O922" s="0" t="n">
        <f aca="false">E922*E922</f>
        <v>0.5625</v>
      </c>
      <c r="P922" s="0" t="n">
        <f aca="false">F922*F922</f>
        <v>1</v>
      </c>
      <c r="Q922" s="0" t="n">
        <f aca="false">SUMPRODUCT(G922:P922,_XtX!$B$71:$K$71)</f>
        <v>43.6160795454546</v>
      </c>
      <c r="R922" s="0" t="n">
        <f aca="false">SUMPRODUCT(MMULT(G922:P922,_XtX!$B$58:$K$67),G922:P922)</f>
        <v>0.496855024857955</v>
      </c>
      <c r="S922" s="0" t="n">
        <f aca="false">04_回帰ANOVA!$K$19*04_回帰ANOVA!$K$14*SQRT(1+R922)</f>
        <v>1.1375133593161</v>
      </c>
      <c r="T922" s="0" t="n">
        <f aca="false">Q922-S922</f>
        <v>42.4785661861385</v>
      </c>
      <c r="U922" s="0" t="n">
        <f aca="false">Q922+S922</f>
        <v>44.7535929047707</v>
      </c>
      <c r="V922" s="54" t="b">
        <f aca="false">AND(D922&gt;=01_因子設定!$L$5-0.000000001,D922&lt;=01_因子設定!$M$5+0.000000001,E922&gt;=01_因子設定!$L$6-0.000000001,E922&lt;=01_因子設定!$M$6+0.000000001,F922&gt;=01_因子設定!$L$7-0.000000001,F922&lt;=01_因子設定!$M$7+0.000000001,IF(01_因子設定!$B$20="Box-Behnken",D922^2+E922^2+F922^2&lt;=2+0.000000001,TRUE()))</f>
        <v>1</v>
      </c>
      <c r="W922" s="55" t="n">
        <f aca="false">IF(V922,IF(01_因子設定!$B$13="最大化",T922-01_因子設定!$B$14,IF(01_因子設定!$B$13="最小化",01_因子設定!$B$15-U922,MIN(T922-01_因子設定!$B$14,01_因子設定!$B$15-U922))),-1E+030)</f>
        <v>-6.02143381386154</v>
      </c>
      <c r="X922" s="55" t="n">
        <f aca="false">IF(V922,IF(01_因子設定!$B$13="最大化",Q922,IF(01_因子設定!$B$13="最小化",-Q922,-ABS(Q922-01_因子設定!$B$16))),-1E+030)</f>
        <v>43.6160795454546</v>
      </c>
      <c r="Y922" s="55" t="n">
        <f aca="false">W922+ROW()*0.000000001</f>
        <v>-6.02143289186154</v>
      </c>
      <c r="Z922" s="55" t="n">
        <f aca="false">X922+ROW()*0.000000001</f>
        <v>43.6160804674546</v>
      </c>
    </row>
    <row r="923" customFormat="false" ht="15" hidden="false" customHeight="false" outlineLevel="0" collapsed="false">
      <c r="A923" s="0" t="n">
        <v>3</v>
      </c>
      <c r="B923" s="0" t="n">
        <v>3</v>
      </c>
      <c r="C923" s="0" t="n">
        <v>0</v>
      </c>
      <c r="D923" s="0" t="n">
        <f aca="false">-1+A923*0.125</f>
        <v>-0.625</v>
      </c>
      <c r="E923" s="0" t="n">
        <f aca="false">-1+B923*0.125</f>
        <v>-0.625</v>
      </c>
      <c r="F923" s="0" t="n">
        <f aca="false">-1+C923*0.125</f>
        <v>-1</v>
      </c>
      <c r="G923" s="0" t="n">
        <f aca="false">1</f>
        <v>1</v>
      </c>
      <c r="H923" s="0" t="n">
        <f aca="false">D923</f>
        <v>-0.625</v>
      </c>
      <c r="I923" s="0" t="n">
        <f aca="false">E923</f>
        <v>-0.625</v>
      </c>
      <c r="J923" s="0" t="n">
        <f aca="false">F923</f>
        <v>-1</v>
      </c>
      <c r="K923" s="0" t="n">
        <f aca="false">D923*E923</f>
        <v>0.390625</v>
      </c>
      <c r="L923" s="0" t="n">
        <f aca="false">D923*F923</f>
        <v>0.625</v>
      </c>
      <c r="M923" s="0" t="n">
        <f aca="false">E923*F923</f>
        <v>0.625</v>
      </c>
      <c r="N923" s="0" t="n">
        <f aca="false">D923*D923</f>
        <v>0.390625</v>
      </c>
      <c r="O923" s="0" t="n">
        <f aca="false">E923*E923</f>
        <v>0.390625</v>
      </c>
      <c r="P923" s="0" t="n">
        <f aca="false">F923*F923</f>
        <v>1</v>
      </c>
      <c r="Q923" s="0" t="n">
        <f aca="false">SUMPRODUCT(G923:P923,_XtX!$B$71:$K$71)</f>
        <v>41.7988139204546</v>
      </c>
      <c r="R923" s="0" t="n">
        <f aca="false">SUMPRODUCT(MMULT(G923:P923,_XtX!$B$58:$K$67),G923:P923)</f>
        <v>0.47103105024858</v>
      </c>
      <c r="S923" s="0" t="n">
        <f aca="false">04_回帰ANOVA!$K$19*04_回帰ANOVA!$K$14*SQRT(1+R923)</f>
        <v>1.1276583912499</v>
      </c>
      <c r="T923" s="0" t="n">
        <f aca="false">Q923-S923</f>
        <v>40.6711555292047</v>
      </c>
      <c r="U923" s="0" t="n">
        <f aca="false">Q923+S923</f>
        <v>42.9264723117045</v>
      </c>
      <c r="V923" s="54" t="b">
        <f aca="false">AND(D923&gt;=01_因子設定!$L$5-0.000000001,D923&lt;=01_因子設定!$M$5+0.000000001,E923&gt;=01_因子設定!$L$6-0.000000001,E923&lt;=01_因子設定!$M$6+0.000000001,F923&gt;=01_因子設定!$L$7-0.000000001,F923&lt;=01_因子設定!$M$7+0.000000001,IF(01_因子設定!$B$20="Box-Behnken",D923^2+E923^2+F923^2&lt;=2+0.000000001,TRUE()))</f>
        <v>1</v>
      </c>
      <c r="W923" s="55" t="n">
        <f aca="false">IF(V923,IF(01_因子設定!$B$13="最大化",T923-01_因子設定!$B$14,IF(01_因子設定!$B$13="最小化",01_因子設定!$B$15-U923,MIN(T923-01_因子設定!$B$14,01_因子設定!$B$15-U923))),-1E+030)</f>
        <v>-7.82884447079534</v>
      </c>
      <c r="X923" s="55" t="n">
        <f aca="false">IF(V923,IF(01_因子設定!$B$13="最大化",Q923,IF(01_因子設定!$B$13="最小化",-Q923,-ABS(Q923-01_因子設定!$B$16))),-1E+030)</f>
        <v>41.7988139204546</v>
      </c>
      <c r="Y923" s="55" t="n">
        <f aca="false">W923+ROW()*0.000000001</f>
        <v>-7.82884354779534</v>
      </c>
      <c r="Z923" s="55" t="n">
        <f aca="false">X923+ROW()*0.000000001</f>
        <v>41.7988148434546</v>
      </c>
    </row>
    <row r="924" customFormat="false" ht="15" hidden="false" customHeight="false" outlineLevel="0" collapsed="false">
      <c r="A924" s="0" t="n">
        <v>3</v>
      </c>
      <c r="B924" s="0" t="n">
        <v>3</v>
      </c>
      <c r="C924" s="0" t="n">
        <v>1</v>
      </c>
      <c r="D924" s="0" t="n">
        <f aca="false">-1+A924*0.125</f>
        <v>-0.625</v>
      </c>
      <c r="E924" s="0" t="n">
        <f aca="false">-1+B924*0.125</f>
        <v>-0.625</v>
      </c>
      <c r="F924" s="0" t="n">
        <f aca="false">-1+C924*0.125</f>
        <v>-0.875</v>
      </c>
      <c r="G924" s="0" t="n">
        <f aca="false">1</f>
        <v>1</v>
      </c>
      <c r="H924" s="0" t="n">
        <f aca="false">D924</f>
        <v>-0.625</v>
      </c>
      <c r="I924" s="0" t="n">
        <f aca="false">E924</f>
        <v>-0.625</v>
      </c>
      <c r="J924" s="0" t="n">
        <f aca="false">F924</f>
        <v>-0.875</v>
      </c>
      <c r="K924" s="0" t="n">
        <f aca="false">D924*E924</f>
        <v>0.390625</v>
      </c>
      <c r="L924" s="0" t="n">
        <f aca="false">D924*F924</f>
        <v>0.546875</v>
      </c>
      <c r="M924" s="0" t="n">
        <f aca="false">E924*F924</f>
        <v>0.546875</v>
      </c>
      <c r="N924" s="0" t="n">
        <f aca="false">D924*D924</f>
        <v>0.390625</v>
      </c>
      <c r="O924" s="0" t="n">
        <f aca="false">E924*E924</f>
        <v>0.390625</v>
      </c>
      <c r="P924" s="0" t="n">
        <f aca="false">F924*F924</f>
        <v>0.765625</v>
      </c>
      <c r="Q924" s="0" t="n">
        <f aca="false">SUMPRODUCT(G924:P924,_XtX!$B$71:$K$71)</f>
        <v>42.2237997159091</v>
      </c>
      <c r="R924" s="0" t="n">
        <f aca="false">SUMPRODUCT(MMULT(G924:P924,_XtX!$B$58:$K$67),G924:P924)</f>
        <v>0.345470636541193</v>
      </c>
      <c r="S924" s="0" t="n">
        <f aca="false">04_回帰ANOVA!$K$19*04_回帰ANOVA!$K$14*SQRT(1+R924)</f>
        <v>1.07845927083227</v>
      </c>
      <c r="T924" s="0" t="n">
        <f aca="false">Q924-S924</f>
        <v>41.1453404450768</v>
      </c>
      <c r="U924" s="0" t="n">
        <f aca="false">Q924+S924</f>
        <v>43.3022589867414</v>
      </c>
      <c r="V924" s="54" t="b">
        <f aca="false">AND(D924&gt;=01_因子設定!$L$5-0.000000001,D924&lt;=01_因子設定!$M$5+0.000000001,E924&gt;=01_因子設定!$L$6-0.000000001,E924&lt;=01_因子設定!$M$6+0.000000001,F924&gt;=01_因子設定!$L$7-0.000000001,F924&lt;=01_因子設定!$M$7+0.000000001,IF(01_因子設定!$B$20="Box-Behnken",D924^2+E924^2+F924^2&lt;=2+0.000000001,TRUE()))</f>
        <v>1</v>
      </c>
      <c r="W924" s="55" t="n">
        <f aca="false">IF(V924,IF(01_因子設定!$B$13="最大化",T924-01_因子設定!$B$14,IF(01_因子設定!$B$13="最小化",01_因子設定!$B$15-U924,MIN(T924-01_因子設定!$B$14,01_因子設定!$B$15-U924))),-1E+030)</f>
        <v>-7.35465955492316</v>
      </c>
      <c r="X924" s="55" t="n">
        <f aca="false">IF(V924,IF(01_因子設定!$B$13="最大化",Q924,IF(01_因子設定!$B$13="最小化",-Q924,-ABS(Q924-01_因子設定!$B$16))),-1E+030)</f>
        <v>42.2237997159091</v>
      </c>
      <c r="Y924" s="55" t="n">
        <f aca="false">W924+ROW()*0.000000001</f>
        <v>-7.35465863092316</v>
      </c>
      <c r="Z924" s="55" t="n">
        <f aca="false">X924+ROW()*0.000000001</f>
        <v>42.2238006399091</v>
      </c>
    </row>
    <row r="925" customFormat="false" ht="15" hidden="false" customHeight="false" outlineLevel="0" collapsed="false">
      <c r="A925" s="0" t="n">
        <v>3</v>
      </c>
      <c r="B925" s="0" t="n">
        <v>3</v>
      </c>
      <c r="C925" s="0" t="n">
        <v>2</v>
      </c>
      <c r="D925" s="0" t="n">
        <f aca="false">-1+A925*0.125</f>
        <v>-0.625</v>
      </c>
      <c r="E925" s="0" t="n">
        <f aca="false">-1+B925*0.125</f>
        <v>-0.625</v>
      </c>
      <c r="F925" s="0" t="n">
        <f aca="false">-1+C925*0.125</f>
        <v>-0.75</v>
      </c>
      <c r="G925" s="0" t="n">
        <f aca="false">1</f>
        <v>1</v>
      </c>
      <c r="H925" s="0" t="n">
        <f aca="false">D925</f>
        <v>-0.625</v>
      </c>
      <c r="I925" s="0" t="n">
        <f aca="false">E925</f>
        <v>-0.625</v>
      </c>
      <c r="J925" s="0" t="n">
        <f aca="false">F925</f>
        <v>-0.75</v>
      </c>
      <c r="K925" s="0" t="n">
        <f aca="false">D925*E925</f>
        <v>0.390625</v>
      </c>
      <c r="L925" s="0" t="n">
        <f aca="false">D925*F925</f>
        <v>0.46875</v>
      </c>
      <c r="M925" s="0" t="n">
        <f aca="false">E925*F925</f>
        <v>0.46875</v>
      </c>
      <c r="N925" s="0" t="n">
        <f aca="false">D925*D925</f>
        <v>0.390625</v>
      </c>
      <c r="O925" s="0" t="n">
        <f aca="false">E925*E925</f>
        <v>0.390625</v>
      </c>
      <c r="P925" s="0" t="n">
        <f aca="false">F925*F925</f>
        <v>0.5625</v>
      </c>
      <c r="Q925" s="0" t="n">
        <f aca="false">SUMPRODUCT(G925:P925,_XtX!$B$71:$K$71)</f>
        <v>42.6119957386364</v>
      </c>
      <c r="R925" s="0" t="n">
        <f aca="false">SUMPRODUCT(MMULT(G925:P925,_XtX!$B$58:$K$67),G925:P925)</f>
        <v>0.268966952237216</v>
      </c>
      <c r="S925" s="0" t="n">
        <f aca="false">04_回帰ANOVA!$K$19*04_回帰ANOVA!$K$14*SQRT(1+R925)</f>
        <v>1.04734989137801</v>
      </c>
      <c r="T925" s="0" t="n">
        <f aca="false">Q925-S925</f>
        <v>41.5646458472584</v>
      </c>
      <c r="U925" s="0" t="n">
        <f aca="false">Q925+S925</f>
        <v>43.6593456300144</v>
      </c>
      <c r="V925" s="54" t="b">
        <f aca="false">AND(D925&gt;=01_因子設定!$L$5-0.000000001,D925&lt;=01_因子設定!$M$5+0.000000001,E925&gt;=01_因子設定!$L$6-0.000000001,E925&lt;=01_因子設定!$M$6+0.000000001,F925&gt;=01_因子設定!$L$7-0.000000001,F925&lt;=01_因子設定!$M$7+0.000000001,IF(01_因子設定!$B$20="Box-Behnken",D925^2+E925^2+F925^2&lt;=2+0.000000001,TRUE()))</f>
        <v>1</v>
      </c>
      <c r="W925" s="55" t="n">
        <f aca="false">IF(V925,IF(01_因子設定!$B$13="最大化",T925-01_因子設定!$B$14,IF(01_因子設定!$B$13="最小化",01_因子設定!$B$15-U925,MIN(T925-01_因子設定!$B$14,01_因子設定!$B$15-U925))),-1E+030)</f>
        <v>-6.93535415274164</v>
      </c>
      <c r="X925" s="55" t="n">
        <f aca="false">IF(V925,IF(01_因子設定!$B$13="最大化",Q925,IF(01_因子設定!$B$13="最小化",-Q925,-ABS(Q925-01_因子設定!$B$16))),-1E+030)</f>
        <v>42.6119957386364</v>
      </c>
      <c r="Y925" s="55" t="n">
        <f aca="false">W925+ROW()*0.000000001</f>
        <v>-6.93535322774164</v>
      </c>
      <c r="Z925" s="55" t="n">
        <f aca="false">X925+ROW()*0.000000001</f>
        <v>42.6119966636364</v>
      </c>
    </row>
    <row r="926" customFormat="false" ht="15" hidden="false" customHeight="false" outlineLevel="0" collapsed="false">
      <c r="A926" s="0" t="n">
        <v>3</v>
      </c>
      <c r="B926" s="0" t="n">
        <v>3</v>
      </c>
      <c r="C926" s="0" t="n">
        <v>3</v>
      </c>
      <c r="D926" s="0" t="n">
        <f aca="false">-1+A926*0.125</f>
        <v>-0.625</v>
      </c>
      <c r="E926" s="0" t="n">
        <f aca="false">-1+B926*0.125</f>
        <v>-0.625</v>
      </c>
      <c r="F926" s="0" t="n">
        <f aca="false">-1+C926*0.125</f>
        <v>-0.625</v>
      </c>
      <c r="G926" s="0" t="n">
        <f aca="false">1</f>
        <v>1</v>
      </c>
      <c r="H926" s="0" t="n">
        <f aca="false">D926</f>
        <v>-0.625</v>
      </c>
      <c r="I926" s="0" t="n">
        <f aca="false">E926</f>
        <v>-0.625</v>
      </c>
      <c r="J926" s="0" t="n">
        <f aca="false">F926</f>
        <v>-0.625</v>
      </c>
      <c r="K926" s="0" t="n">
        <f aca="false">D926*E926</f>
        <v>0.390625</v>
      </c>
      <c r="L926" s="0" t="n">
        <f aca="false">D926*F926</f>
        <v>0.390625</v>
      </c>
      <c r="M926" s="0" t="n">
        <f aca="false">E926*F926</f>
        <v>0.390625</v>
      </c>
      <c r="N926" s="0" t="n">
        <f aca="false">D926*D926</f>
        <v>0.390625</v>
      </c>
      <c r="O926" s="0" t="n">
        <f aca="false">E926*E926</f>
        <v>0.390625</v>
      </c>
      <c r="P926" s="0" t="n">
        <f aca="false">F926*F926</f>
        <v>0.390625</v>
      </c>
      <c r="Q926" s="0" t="n">
        <f aca="false">SUMPRODUCT(G926:P926,_XtX!$B$71:$K$71)</f>
        <v>42.9634019886364</v>
      </c>
      <c r="R926" s="0" t="n">
        <f aca="false">SUMPRODUCT(MMULT(G926:P926,_XtX!$B$58:$K$67),G926:P926)</f>
        <v>0.227670565518466</v>
      </c>
      <c r="S926" s="0" t="n">
        <f aca="false">04_回帰ANOVA!$K$19*04_回帰ANOVA!$K$14*SQRT(1+R926)</f>
        <v>1.03016681975165</v>
      </c>
      <c r="T926" s="0" t="n">
        <f aca="false">Q926-S926</f>
        <v>41.9332351688847</v>
      </c>
      <c r="U926" s="0" t="n">
        <f aca="false">Q926+S926</f>
        <v>43.993568808388</v>
      </c>
      <c r="V926" s="54" t="b">
        <f aca="false">AND(D926&gt;=01_因子設定!$L$5-0.000000001,D926&lt;=01_因子設定!$M$5+0.000000001,E926&gt;=01_因子設定!$L$6-0.000000001,E926&lt;=01_因子設定!$M$6+0.000000001,F926&gt;=01_因子設定!$L$7-0.000000001,F926&lt;=01_因子設定!$M$7+0.000000001,IF(01_因子設定!$B$20="Box-Behnken",D926^2+E926^2+F926^2&lt;=2+0.000000001,TRUE()))</f>
        <v>1</v>
      </c>
      <c r="W926" s="55" t="n">
        <f aca="false">IF(V926,IF(01_因子設定!$B$13="最大化",T926-01_因子設定!$B$14,IF(01_因子設定!$B$13="最小化",01_因子設定!$B$15-U926,MIN(T926-01_因子設定!$B$14,01_因子設定!$B$15-U926))),-1E+030)</f>
        <v>-6.56676483111528</v>
      </c>
      <c r="X926" s="55" t="n">
        <f aca="false">IF(V926,IF(01_因子設定!$B$13="最大化",Q926,IF(01_因子設定!$B$13="最小化",-Q926,-ABS(Q926-01_因子設定!$B$16))),-1E+030)</f>
        <v>42.9634019886364</v>
      </c>
      <c r="Y926" s="55" t="n">
        <f aca="false">W926+ROW()*0.000000001</f>
        <v>-6.56676390511528</v>
      </c>
      <c r="Z926" s="55" t="n">
        <f aca="false">X926+ROW()*0.000000001</f>
        <v>42.9634029146364</v>
      </c>
    </row>
    <row r="927" customFormat="false" ht="15" hidden="false" customHeight="false" outlineLevel="0" collapsed="false">
      <c r="A927" s="0" t="n">
        <v>3</v>
      </c>
      <c r="B927" s="0" t="n">
        <v>3</v>
      </c>
      <c r="C927" s="0" t="n">
        <v>4</v>
      </c>
      <c r="D927" s="0" t="n">
        <f aca="false">-1+A927*0.125</f>
        <v>-0.625</v>
      </c>
      <c r="E927" s="0" t="n">
        <f aca="false">-1+B927*0.125</f>
        <v>-0.625</v>
      </c>
      <c r="F927" s="0" t="n">
        <f aca="false">-1+C927*0.125</f>
        <v>-0.5</v>
      </c>
      <c r="G927" s="0" t="n">
        <f aca="false">1</f>
        <v>1</v>
      </c>
      <c r="H927" s="0" t="n">
        <f aca="false">D927</f>
        <v>-0.625</v>
      </c>
      <c r="I927" s="0" t="n">
        <f aca="false">E927</f>
        <v>-0.625</v>
      </c>
      <c r="J927" s="0" t="n">
        <f aca="false">F927</f>
        <v>-0.5</v>
      </c>
      <c r="K927" s="0" t="n">
        <f aca="false">D927*E927</f>
        <v>0.390625</v>
      </c>
      <c r="L927" s="0" t="n">
        <f aca="false">D927*F927</f>
        <v>0.3125</v>
      </c>
      <c r="M927" s="0" t="n">
        <f aca="false">E927*F927</f>
        <v>0.3125</v>
      </c>
      <c r="N927" s="0" t="n">
        <f aca="false">D927*D927</f>
        <v>0.390625</v>
      </c>
      <c r="O927" s="0" t="n">
        <f aca="false">E927*E927</f>
        <v>0.390625</v>
      </c>
      <c r="P927" s="0" t="n">
        <f aca="false">F927*F927</f>
        <v>0.25</v>
      </c>
      <c r="Q927" s="0" t="n">
        <f aca="false">SUMPRODUCT(G927:P927,_XtX!$B$71:$K$71)</f>
        <v>43.2780184659091</v>
      </c>
      <c r="R927" s="0" t="n">
        <f aca="false">SUMPRODUCT(MMULT(G927:P927,_XtX!$B$58:$K$67),G927:P927)</f>
        <v>0.209862726384943</v>
      </c>
      <c r="S927" s="0" t="n">
        <f aca="false">04_回帰ANOVA!$K$19*04_回帰ANOVA!$K$14*SQRT(1+R927)</f>
        <v>1.0226680420112</v>
      </c>
      <c r="T927" s="0" t="n">
        <f aca="false">Q927-S927</f>
        <v>42.2553504238979</v>
      </c>
      <c r="U927" s="0" t="n">
        <f aca="false">Q927+S927</f>
        <v>44.3006865079203</v>
      </c>
      <c r="V927" s="54" t="b">
        <f aca="false">AND(D927&gt;=01_因子設定!$L$5-0.000000001,D927&lt;=01_因子設定!$M$5+0.000000001,E927&gt;=01_因子設定!$L$6-0.000000001,E927&lt;=01_因子設定!$M$6+0.000000001,F927&gt;=01_因子設定!$L$7-0.000000001,F927&lt;=01_因子設定!$M$7+0.000000001,IF(01_因子設定!$B$20="Box-Behnken",D927^2+E927^2+F927^2&lt;=2+0.000000001,TRUE()))</f>
        <v>1</v>
      </c>
      <c r="W927" s="55" t="n">
        <f aca="false">IF(V927,IF(01_因子設定!$B$13="最大化",T927-01_因子設定!$B$14,IF(01_因子設定!$B$13="最小化",01_因子設定!$B$15-U927,MIN(T927-01_因子設定!$B$14,01_因子設定!$B$15-U927))),-1E+030)</f>
        <v>-6.2446495761021</v>
      </c>
      <c r="X927" s="55" t="n">
        <f aca="false">IF(V927,IF(01_因子設定!$B$13="最大化",Q927,IF(01_因子設定!$B$13="最小化",-Q927,-ABS(Q927-01_因子設定!$B$16))),-1E+030)</f>
        <v>43.2780184659091</v>
      </c>
      <c r="Y927" s="55" t="n">
        <f aca="false">W927+ROW()*0.000000001</f>
        <v>-6.2446486491021</v>
      </c>
      <c r="Z927" s="55" t="n">
        <f aca="false">X927+ROW()*0.000000001</f>
        <v>43.2780193929091</v>
      </c>
    </row>
    <row r="928" customFormat="false" ht="15" hidden="false" customHeight="false" outlineLevel="0" collapsed="false">
      <c r="A928" s="0" t="n">
        <v>3</v>
      </c>
      <c r="B928" s="0" t="n">
        <v>3</v>
      </c>
      <c r="C928" s="0" t="n">
        <v>5</v>
      </c>
      <c r="D928" s="0" t="n">
        <f aca="false">-1+A928*0.125</f>
        <v>-0.625</v>
      </c>
      <c r="E928" s="0" t="n">
        <f aca="false">-1+B928*0.125</f>
        <v>-0.625</v>
      </c>
      <c r="F928" s="0" t="n">
        <f aca="false">-1+C928*0.125</f>
        <v>-0.375</v>
      </c>
      <c r="G928" s="0" t="n">
        <f aca="false">1</f>
        <v>1</v>
      </c>
      <c r="H928" s="0" t="n">
        <f aca="false">D928</f>
        <v>-0.625</v>
      </c>
      <c r="I928" s="0" t="n">
        <f aca="false">E928</f>
        <v>-0.625</v>
      </c>
      <c r="J928" s="0" t="n">
        <f aca="false">F928</f>
        <v>-0.375</v>
      </c>
      <c r="K928" s="0" t="n">
        <f aca="false">D928*E928</f>
        <v>0.390625</v>
      </c>
      <c r="L928" s="0" t="n">
        <f aca="false">D928*F928</f>
        <v>0.234375</v>
      </c>
      <c r="M928" s="0" t="n">
        <f aca="false">E928*F928</f>
        <v>0.234375</v>
      </c>
      <c r="N928" s="0" t="n">
        <f aca="false">D928*D928</f>
        <v>0.390625</v>
      </c>
      <c r="O928" s="0" t="n">
        <f aca="false">E928*E928</f>
        <v>0.390625</v>
      </c>
      <c r="P928" s="0" t="n">
        <f aca="false">F928*F928</f>
        <v>0.140625</v>
      </c>
      <c r="Q928" s="0" t="n">
        <f aca="false">SUMPRODUCT(G928:P928,_XtX!$B$71:$K$71)</f>
        <v>43.5558451704545</v>
      </c>
      <c r="R928" s="0" t="n">
        <f aca="false">SUMPRODUCT(MMULT(G928:P928,_XtX!$B$58:$K$67),G928:P928)</f>
        <v>0.20595536665483</v>
      </c>
      <c r="S928" s="0" t="n">
        <f aca="false">04_回帰ANOVA!$K$19*04_回帰ANOVA!$K$14*SQRT(1+R928)</f>
        <v>1.02101530762963</v>
      </c>
      <c r="T928" s="0" t="n">
        <f aca="false">Q928-S928</f>
        <v>42.5348298628249</v>
      </c>
      <c r="U928" s="0" t="n">
        <f aca="false">Q928+S928</f>
        <v>44.5768604780842</v>
      </c>
      <c r="V928" s="54" t="b">
        <f aca="false">AND(D928&gt;=01_因子設定!$L$5-0.000000001,D928&lt;=01_因子設定!$M$5+0.000000001,E928&gt;=01_因子設定!$L$6-0.000000001,E928&lt;=01_因子設定!$M$6+0.000000001,F928&gt;=01_因子設定!$L$7-0.000000001,F928&lt;=01_因子設定!$M$7+0.000000001,IF(01_因子設定!$B$20="Box-Behnken",D928^2+E928^2+F928^2&lt;=2+0.000000001,TRUE()))</f>
        <v>1</v>
      </c>
      <c r="W928" s="55" t="n">
        <f aca="false">IF(V928,IF(01_因子設定!$B$13="最大化",T928-01_因子設定!$B$14,IF(01_因子設定!$B$13="最小化",01_因子設定!$B$15-U928,MIN(T928-01_因子設定!$B$14,01_因子設定!$B$15-U928))),-1E+030)</f>
        <v>-5.96517013717508</v>
      </c>
      <c r="X928" s="55" t="n">
        <f aca="false">IF(V928,IF(01_因子設定!$B$13="最大化",Q928,IF(01_因子設定!$B$13="最小化",-Q928,-ABS(Q928-01_因子設定!$B$16))),-1E+030)</f>
        <v>43.5558451704545</v>
      </c>
      <c r="Y928" s="55" t="n">
        <f aca="false">W928+ROW()*0.000000001</f>
        <v>-5.96516920917508</v>
      </c>
      <c r="Z928" s="55" t="n">
        <f aca="false">X928+ROW()*0.000000001</f>
        <v>43.5558460984545</v>
      </c>
    </row>
    <row r="929" customFormat="false" ht="15" hidden="false" customHeight="false" outlineLevel="0" collapsed="false">
      <c r="A929" s="0" t="n">
        <v>3</v>
      </c>
      <c r="B929" s="0" t="n">
        <v>3</v>
      </c>
      <c r="C929" s="0" t="n">
        <v>6</v>
      </c>
      <c r="D929" s="0" t="n">
        <f aca="false">-1+A929*0.125</f>
        <v>-0.625</v>
      </c>
      <c r="E929" s="0" t="n">
        <f aca="false">-1+B929*0.125</f>
        <v>-0.625</v>
      </c>
      <c r="F929" s="0" t="n">
        <f aca="false">-1+C929*0.125</f>
        <v>-0.25</v>
      </c>
      <c r="G929" s="0" t="n">
        <f aca="false">1</f>
        <v>1</v>
      </c>
      <c r="H929" s="0" t="n">
        <f aca="false">D929</f>
        <v>-0.625</v>
      </c>
      <c r="I929" s="0" t="n">
        <f aca="false">E929</f>
        <v>-0.625</v>
      </c>
      <c r="J929" s="0" t="n">
        <f aca="false">F929</f>
        <v>-0.25</v>
      </c>
      <c r="K929" s="0" t="n">
        <f aca="false">D929*E929</f>
        <v>0.390625</v>
      </c>
      <c r="L929" s="0" t="n">
        <f aca="false">D929*F929</f>
        <v>0.15625</v>
      </c>
      <c r="M929" s="0" t="n">
        <f aca="false">E929*F929</f>
        <v>0.15625</v>
      </c>
      <c r="N929" s="0" t="n">
        <f aca="false">D929*D929</f>
        <v>0.390625</v>
      </c>
      <c r="O929" s="0" t="n">
        <f aca="false">E929*E929</f>
        <v>0.390625</v>
      </c>
      <c r="P929" s="0" t="n">
        <f aca="false">F929*F929</f>
        <v>0.0625</v>
      </c>
      <c r="Q929" s="0" t="n">
        <f aca="false">SUMPRODUCT(G929:P929,_XtX!$B$71:$K$71)</f>
        <v>43.7968821022727</v>
      </c>
      <c r="R929" s="0" t="n">
        <f aca="false">SUMPRODUCT(MMULT(G929:P929,_XtX!$B$58:$K$67),G929:P929)</f>
        <v>0.208491099964489</v>
      </c>
      <c r="S929" s="0" t="n">
        <f aca="false">04_回帰ANOVA!$K$19*04_回帰ANOVA!$K$14*SQRT(1+R929)</f>
        <v>1.02208817610259</v>
      </c>
      <c r="T929" s="0" t="n">
        <f aca="false">Q929-S929</f>
        <v>42.7747939261702</v>
      </c>
      <c r="U929" s="0" t="n">
        <f aca="false">Q929+S929</f>
        <v>44.8189702783753</v>
      </c>
      <c r="V929" s="54" t="b">
        <f aca="false">AND(D929&gt;=01_因子設定!$L$5-0.000000001,D929&lt;=01_因子設定!$M$5+0.000000001,E929&gt;=01_因子設定!$L$6-0.000000001,E929&lt;=01_因子設定!$M$6+0.000000001,F929&gt;=01_因子設定!$L$7-0.000000001,F929&lt;=01_因子設定!$M$7+0.000000001,IF(01_因子設定!$B$20="Box-Behnken",D929^2+E929^2+F929^2&lt;=2+0.000000001,TRUE()))</f>
        <v>1</v>
      </c>
      <c r="W929" s="55" t="n">
        <f aca="false">IF(V929,IF(01_因子設定!$B$13="最大化",T929-01_因子設定!$B$14,IF(01_因子設定!$B$13="最小化",01_因子設定!$B$15-U929,MIN(T929-01_因子設定!$B$14,01_因子設定!$B$15-U929))),-1E+030)</f>
        <v>-5.72520607382985</v>
      </c>
      <c r="X929" s="55" t="n">
        <f aca="false">IF(V929,IF(01_因子設定!$B$13="最大化",Q929,IF(01_因子設定!$B$13="最小化",-Q929,-ABS(Q929-01_因子設定!$B$16))),-1E+030)</f>
        <v>43.7968821022727</v>
      </c>
      <c r="Y929" s="55" t="n">
        <f aca="false">W929+ROW()*0.000000001</f>
        <v>-5.72520514482985</v>
      </c>
      <c r="Z929" s="55" t="n">
        <f aca="false">X929+ROW()*0.000000001</f>
        <v>43.7968830312727</v>
      </c>
    </row>
    <row r="930" customFormat="false" ht="15" hidden="false" customHeight="false" outlineLevel="0" collapsed="false">
      <c r="A930" s="0" t="n">
        <v>3</v>
      </c>
      <c r="B930" s="0" t="n">
        <v>3</v>
      </c>
      <c r="C930" s="0" t="n">
        <v>7</v>
      </c>
      <c r="D930" s="0" t="n">
        <f aca="false">-1+A930*0.125</f>
        <v>-0.625</v>
      </c>
      <c r="E930" s="0" t="n">
        <f aca="false">-1+B930*0.125</f>
        <v>-0.625</v>
      </c>
      <c r="F930" s="0" t="n">
        <f aca="false">-1+C930*0.125</f>
        <v>-0.125</v>
      </c>
      <c r="G930" s="0" t="n">
        <f aca="false">1</f>
        <v>1</v>
      </c>
      <c r="H930" s="0" t="n">
        <f aca="false">D930</f>
        <v>-0.625</v>
      </c>
      <c r="I930" s="0" t="n">
        <f aca="false">E930</f>
        <v>-0.625</v>
      </c>
      <c r="J930" s="0" t="n">
        <f aca="false">F930</f>
        <v>-0.125</v>
      </c>
      <c r="K930" s="0" t="n">
        <f aca="false">D930*E930</f>
        <v>0.390625</v>
      </c>
      <c r="L930" s="0" t="n">
        <f aca="false">D930*F930</f>
        <v>0.078125</v>
      </c>
      <c r="M930" s="0" t="n">
        <f aca="false">E930*F930</f>
        <v>0.078125</v>
      </c>
      <c r="N930" s="0" t="n">
        <f aca="false">D930*D930</f>
        <v>0.390625</v>
      </c>
      <c r="O930" s="0" t="n">
        <f aca="false">E930*E930</f>
        <v>0.390625</v>
      </c>
      <c r="P930" s="0" t="n">
        <f aca="false">F930*F930</f>
        <v>0.015625</v>
      </c>
      <c r="Q930" s="0" t="n">
        <f aca="false">SUMPRODUCT(G930:P930,_XtX!$B$71:$K$71)</f>
        <v>44.0011292613636</v>
      </c>
      <c r="R930" s="0" t="n">
        <f aca="false">SUMPRODUCT(MMULT(G930:P930,_XtX!$B$58:$K$67),G930:P930)</f>
        <v>0.212143221768466</v>
      </c>
      <c r="S930" s="0" t="n">
        <f aca="false">04_回帰ANOVA!$K$19*04_回帰ANOVA!$K$14*SQRT(1+R930)</f>
        <v>1.02363141237304</v>
      </c>
      <c r="T930" s="0" t="n">
        <f aca="false">Q930-S930</f>
        <v>42.9774978489906</v>
      </c>
      <c r="U930" s="0" t="n">
        <f aca="false">Q930+S930</f>
        <v>45.0247606737367</v>
      </c>
      <c r="V930" s="54" t="b">
        <f aca="false">AND(D930&gt;=01_因子設定!$L$5-0.000000001,D930&lt;=01_因子設定!$M$5+0.000000001,E930&gt;=01_因子設定!$L$6-0.000000001,E930&lt;=01_因子設定!$M$6+0.000000001,F930&gt;=01_因子設定!$L$7-0.000000001,F930&lt;=01_因子設定!$M$7+0.000000001,IF(01_因子設定!$B$20="Box-Behnken",D930^2+E930^2+F930^2&lt;=2+0.000000001,TRUE()))</f>
        <v>1</v>
      </c>
      <c r="W930" s="55" t="n">
        <f aca="false">IF(V930,IF(01_因子設定!$B$13="最大化",T930-01_因子設定!$B$14,IF(01_因子設定!$B$13="最小化",01_因子設定!$B$15-U930,MIN(T930-01_因子設定!$B$14,01_因子設定!$B$15-U930))),-1E+030)</f>
        <v>-5.52250215100941</v>
      </c>
      <c r="X930" s="55" t="n">
        <f aca="false">IF(V930,IF(01_因子設定!$B$13="最大化",Q930,IF(01_因子設定!$B$13="最小化",-Q930,-ABS(Q930-01_因子設定!$B$16))),-1E+030)</f>
        <v>44.0011292613636</v>
      </c>
      <c r="Y930" s="55" t="n">
        <f aca="false">W930+ROW()*0.000000001</f>
        <v>-5.52250122100941</v>
      </c>
      <c r="Z930" s="55" t="n">
        <f aca="false">X930+ROW()*0.000000001</f>
        <v>44.0011301913636</v>
      </c>
    </row>
    <row r="931" customFormat="false" ht="15" hidden="false" customHeight="false" outlineLevel="0" collapsed="false">
      <c r="A931" s="0" t="n">
        <v>3</v>
      </c>
      <c r="B931" s="0" t="n">
        <v>3</v>
      </c>
      <c r="C931" s="0" t="n">
        <v>8</v>
      </c>
      <c r="D931" s="0" t="n">
        <f aca="false">-1+A931*0.125</f>
        <v>-0.625</v>
      </c>
      <c r="E931" s="0" t="n">
        <f aca="false">-1+B931*0.125</f>
        <v>-0.625</v>
      </c>
      <c r="F931" s="0" t="n">
        <f aca="false">-1+C931*0.125</f>
        <v>0</v>
      </c>
      <c r="G931" s="0" t="n">
        <f aca="false">1</f>
        <v>1</v>
      </c>
      <c r="H931" s="0" t="n">
        <f aca="false">D931</f>
        <v>-0.625</v>
      </c>
      <c r="I931" s="0" t="n">
        <f aca="false">E931</f>
        <v>-0.625</v>
      </c>
      <c r="J931" s="0" t="n">
        <f aca="false">F931</f>
        <v>0</v>
      </c>
      <c r="K931" s="0" t="n">
        <f aca="false">D931*E931</f>
        <v>0.390625</v>
      </c>
      <c r="L931" s="0" t="n">
        <f aca="false">D931*F931</f>
        <v>-0</v>
      </c>
      <c r="M931" s="0" t="n">
        <f aca="false">E931*F931</f>
        <v>-0</v>
      </c>
      <c r="N931" s="0" t="n">
        <f aca="false">D931*D931</f>
        <v>0.390625</v>
      </c>
      <c r="O931" s="0" t="n">
        <f aca="false">E931*E931</f>
        <v>0.390625</v>
      </c>
      <c r="P931" s="0" t="n">
        <f aca="false">F931*F931</f>
        <v>0</v>
      </c>
      <c r="Q931" s="0" t="n">
        <f aca="false">SUMPRODUCT(G931:P931,_XtX!$B$71:$K$71)</f>
        <v>44.1685866477273</v>
      </c>
      <c r="R931" s="0" t="n">
        <f aca="false">SUMPRODUCT(MMULT(G931:P931,_XtX!$B$58:$K$67),G931:P931)</f>
        <v>0.213715709339489</v>
      </c>
      <c r="S931" s="0" t="n">
        <f aca="false">04_回帰ANOVA!$K$19*04_回帰ANOVA!$K$14*SQRT(1+R931)</f>
        <v>1.02429516478377</v>
      </c>
      <c r="T931" s="0" t="n">
        <f aca="false">Q931-S931</f>
        <v>43.1442914829435</v>
      </c>
      <c r="U931" s="0" t="n">
        <f aca="false">Q931+S931</f>
        <v>45.1928818125111</v>
      </c>
      <c r="V931" s="54" t="b">
        <f aca="false">AND(D931&gt;=01_因子設定!$L$5-0.000000001,D931&lt;=01_因子設定!$M$5+0.000000001,E931&gt;=01_因子設定!$L$6-0.000000001,E931&lt;=01_因子設定!$M$6+0.000000001,F931&gt;=01_因子設定!$L$7-0.000000001,F931&lt;=01_因子設定!$M$7+0.000000001,IF(01_因子設定!$B$20="Box-Behnken",D931^2+E931^2+F931^2&lt;=2+0.000000001,TRUE()))</f>
        <v>1</v>
      </c>
      <c r="W931" s="55" t="n">
        <f aca="false">IF(V931,IF(01_因子設定!$B$13="最大化",T931-01_因子設定!$B$14,IF(01_因子設定!$B$13="最小化",01_因子設定!$B$15-U931,MIN(T931-01_因子設定!$B$14,01_因子設定!$B$15-U931))),-1E+030)</f>
        <v>-5.3557085170565</v>
      </c>
      <c r="X931" s="55" t="n">
        <f aca="false">IF(V931,IF(01_因子設定!$B$13="最大化",Q931,IF(01_因子設定!$B$13="最小化",-Q931,-ABS(Q931-01_因子設定!$B$16))),-1E+030)</f>
        <v>44.1685866477273</v>
      </c>
      <c r="Y931" s="55" t="n">
        <f aca="false">W931+ROW()*0.000000001</f>
        <v>-5.3557075860565</v>
      </c>
      <c r="Z931" s="55" t="n">
        <f aca="false">X931+ROW()*0.000000001</f>
        <v>44.1685875787273</v>
      </c>
    </row>
    <row r="932" customFormat="false" ht="15" hidden="false" customHeight="false" outlineLevel="0" collapsed="false">
      <c r="A932" s="0" t="n">
        <v>3</v>
      </c>
      <c r="B932" s="0" t="n">
        <v>3</v>
      </c>
      <c r="C932" s="0" t="n">
        <v>9</v>
      </c>
      <c r="D932" s="0" t="n">
        <f aca="false">-1+A932*0.125</f>
        <v>-0.625</v>
      </c>
      <c r="E932" s="0" t="n">
        <f aca="false">-1+B932*0.125</f>
        <v>-0.625</v>
      </c>
      <c r="F932" s="0" t="n">
        <f aca="false">-1+C932*0.125</f>
        <v>0.125</v>
      </c>
      <c r="G932" s="0" t="n">
        <f aca="false">1</f>
        <v>1</v>
      </c>
      <c r="H932" s="0" t="n">
        <f aca="false">D932</f>
        <v>-0.625</v>
      </c>
      <c r="I932" s="0" t="n">
        <f aca="false">E932</f>
        <v>-0.625</v>
      </c>
      <c r="J932" s="0" t="n">
        <f aca="false">F932</f>
        <v>0.125</v>
      </c>
      <c r="K932" s="0" t="n">
        <f aca="false">D932*E932</f>
        <v>0.390625</v>
      </c>
      <c r="L932" s="0" t="n">
        <f aca="false">D932*F932</f>
        <v>-0.078125</v>
      </c>
      <c r="M932" s="0" t="n">
        <f aca="false">E932*F932</f>
        <v>-0.078125</v>
      </c>
      <c r="N932" s="0" t="n">
        <f aca="false">D932*D932</f>
        <v>0.390625</v>
      </c>
      <c r="O932" s="0" t="n">
        <f aca="false">E932*E932</f>
        <v>0.390625</v>
      </c>
      <c r="P932" s="0" t="n">
        <f aca="false">F932*F932</f>
        <v>0.015625</v>
      </c>
      <c r="Q932" s="0" t="n">
        <f aca="false">SUMPRODUCT(G932:P932,_XtX!$B$71:$K$71)</f>
        <v>44.2992542613636</v>
      </c>
      <c r="R932" s="0" t="n">
        <f aca="false">SUMPRODUCT(MMULT(G932:P932,_XtX!$B$58:$K$67),G932:P932)</f>
        <v>0.212143221768466</v>
      </c>
      <c r="S932" s="0" t="n">
        <f aca="false">04_回帰ANOVA!$K$19*04_回帰ANOVA!$K$14*SQRT(1+R932)</f>
        <v>1.02363141237304</v>
      </c>
      <c r="T932" s="0" t="n">
        <f aca="false">Q932-S932</f>
        <v>43.2756228489906</v>
      </c>
      <c r="U932" s="0" t="n">
        <f aca="false">Q932+S932</f>
        <v>45.3228856737367</v>
      </c>
      <c r="V932" s="54" t="b">
        <f aca="false">AND(D932&gt;=01_因子設定!$L$5-0.000000001,D932&lt;=01_因子設定!$M$5+0.000000001,E932&gt;=01_因子設定!$L$6-0.000000001,E932&lt;=01_因子設定!$M$6+0.000000001,F932&gt;=01_因子設定!$L$7-0.000000001,F932&lt;=01_因子設定!$M$7+0.000000001,IF(01_因子設定!$B$20="Box-Behnken",D932^2+E932^2+F932^2&lt;=2+0.000000001,TRUE()))</f>
        <v>1</v>
      </c>
      <c r="W932" s="55" t="n">
        <f aca="false">IF(V932,IF(01_因子設定!$B$13="最大化",T932-01_因子設定!$B$14,IF(01_因子設定!$B$13="最小化",01_因子設定!$B$15-U932,MIN(T932-01_因子設定!$B$14,01_因子設定!$B$15-U932))),-1E+030)</f>
        <v>-5.22437715100941</v>
      </c>
      <c r="X932" s="55" t="n">
        <f aca="false">IF(V932,IF(01_因子設定!$B$13="最大化",Q932,IF(01_因子設定!$B$13="最小化",-Q932,-ABS(Q932-01_因子設定!$B$16))),-1E+030)</f>
        <v>44.2992542613636</v>
      </c>
      <c r="Y932" s="55" t="n">
        <f aca="false">W932+ROW()*0.000000001</f>
        <v>-5.22437621900941</v>
      </c>
      <c r="Z932" s="55" t="n">
        <f aca="false">X932+ROW()*0.000000001</f>
        <v>44.2992551933636</v>
      </c>
    </row>
    <row r="933" customFormat="false" ht="15" hidden="false" customHeight="false" outlineLevel="0" collapsed="false">
      <c r="A933" s="0" t="n">
        <v>3</v>
      </c>
      <c r="B933" s="0" t="n">
        <v>3</v>
      </c>
      <c r="C933" s="0" t="n">
        <v>10</v>
      </c>
      <c r="D933" s="0" t="n">
        <f aca="false">-1+A933*0.125</f>
        <v>-0.625</v>
      </c>
      <c r="E933" s="0" t="n">
        <f aca="false">-1+B933*0.125</f>
        <v>-0.625</v>
      </c>
      <c r="F933" s="0" t="n">
        <f aca="false">-1+C933*0.125</f>
        <v>0.25</v>
      </c>
      <c r="G933" s="0" t="n">
        <f aca="false">1</f>
        <v>1</v>
      </c>
      <c r="H933" s="0" t="n">
        <f aca="false">D933</f>
        <v>-0.625</v>
      </c>
      <c r="I933" s="0" t="n">
        <f aca="false">E933</f>
        <v>-0.625</v>
      </c>
      <c r="J933" s="0" t="n">
        <f aca="false">F933</f>
        <v>0.25</v>
      </c>
      <c r="K933" s="0" t="n">
        <f aca="false">D933*E933</f>
        <v>0.390625</v>
      </c>
      <c r="L933" s="0" t="n">
        <f aca="false">D933*F933</f>
        <v>-0.15625</v>
      </c>
      <c r="M933" s="0" t="n">
        <f aca="false">E933*F933</f>
        <v>-0.15625</v>
      </c>
      <c r="N933" s="0" t="n">
        <f aca="false">D933*D933</f>
        <v>0.390625</v>
      </c>
      <c r="O933" s="0" t="n">
        <f aca="false">E933*E933</f>
        <v>0.390625</v>
      </c>
      <c r="P933" s="0" t="n">
        <f aca="false">F933*F933</f>
        <v>0.0625</v>
      </c>
      <c r="Q933" s="0" t="n">
        <f aca="false">SUMPRODUCT(G933:P933,_XtX!$B$71:$K$71)</f>
        <v>44.3931321022727</v>
      </c>
      <c r="R933" s="0" t="n">
        <f aca="false">SUMPRODUCT(MMULT(G933:P933,_XtX!$B$58:$K$67),G933:P933)</f>
        <v>0.208491099964489</v>
      </c>
      <c r="S933" s="0" t="n">
        <f aca="false">04_回帰ANOVA!$K$19*04_回帰ANOVA!$K$14*SQRT(1+R933)</f>
        <v>1.02208817610259</v>
      </c>
      <c r="T933" s="0" t="n">
        <f aca="false">Q933-S933</f>
        <v>43.3710439261701</v>
      </c>
      <c r="U933" s="0" t="n">
        <f aca="false">Q933+S933</f>
        <v>45.4152202783753</v>
      </c>
      <c r="V933" s="54" t="b">
        <f aca="false">AND(D933&gt;=01_因子設定!$L$5-0.000000001,D933&lt;=01_因子設定!$M$5+0.000000001,E933&gt;=01_因子設定!$L$6-0.000000001,E933&lt;=01_因子設定!$M$6+0.000000001,F933&gt;=01_因子設定!$L$7-0.000000001,F933&lt;=01_因子設定!$M$7+0.000000001,IF(01_因子設定!$B$20="Box-Behnken",D933^2+E933^2+F933^2&lt;=2+0.000000001,TRUE()))</f>
        <v>1</v>
      </c>
      <c r="W933" s="55" t="n">
        <f aca="false">IF(V933,IF(01_因子設定!$B$13="最大化",T933-01_因子設定!$B$14,IF(01_因子設定!$B$13="最小化",01_因子設定!$B$15-U933,MIN(T933-01_因子設定!$B$14,01_因子設定!$B$15-U933))),-1E+030)</f>
        <v>-5.12895607382986</v>
      </c>
      <c r="X933" s="55" t="n">
        <f aca="false">IF(V933,IF(01_因子設定!$B$13="最大化",Q933,IF(01_因子設定!$B$13="最小化",-Q933,-ABS(Q933-01_因子設定!$B$16))),-1E+030)</f>
        <v>44.3931321022727</v>
      </c>
      <c r="Y933" s="55" t="n">
        <f aca="false">W933+ROW()*0.000000001</f>
        <v>-5.12895514082986</v>
      </c>
      <c r="Z933" s="55" t="n">
        <f aca="false">X933+ROW()*0.000000001</f>
        <v>44.3931330352727</v>
      </c>
    </row>
    <row r="934" customFormat="false" ht="15" hidden="false" customHeight="false" outlineLevel="0" collapsed="false">
      <c r="A934" s="0" t="n">
        <v>3</v>
      </c>
      <c r="B934" s="0" t="n">
        <v>3</v>
      </c>
      <c r="C934" s="0" t="n">
        <v>11</v>
      </c>
      <c r="D934" s="0" t="n">
        <f aca="false">-1+A934*0.125</f>
        <v>-0.625</v>
      </c>
      <c r="E934" s="0" t="n">
        <f aca="false">-1+B934*0.125</f>
        <v>-0.625</v>
      </c>
      <c r="F934" s="0" t="n">
        <f aca="false">-1+C934*0.125</f>
        <v>0.375</v>
      </c>
      <c r="G934" s="0" t="n">
        <f aca="false">1</f>
        <v>1</v>
      </c>
      <c r="H934" s="0" t="n">
        <f aca="false">D934</f>
        <v>-0.625</v>
      </c>
      <c r="I934" s="0" t="n">
        <f aca="false">E934</f>
        <v>-0.625</v>
      </c>
      <c r="J934" s="0" t="n">
        <f aca="false">F934</f>
        <v>0.375</v>
      </c>
      <c r="K934" s="0" t="n">
        <f aca="false">D934*E934</f>
        <v>0.390625</v>
      </c>
      <c r="L934" s="0" t="n">
        <f aca="false">D934*F934</f>
        <v>-0.234375</v>
      </c>
      <c r="M934" s="0" t="n">
        <f aca="false">E934*F934</f>
        <v>-0.234375</v>
      </c>
      <c r="N934" s="0" t="n">
        <f aca="false">D934*D934</f>
        <v>0.390625</v>
      </c>
      <c r="O934" s="0" t="n">
        <f aca="false">E934*E934</f>
        <v>0.390625</v>
      </c>
      <c r="P934" s="0" t="n">
        <f aca="false">F934*F934</f>
        <v>0.140625</v>
      </c>
      <c r="Q934" s="0" t="n">
        <f aca="false">SUMPRODUCT(G934:P934,_XtX!$B$71:$K$71)</f>
        <v>44.4502201704546</v>
      </c>
      <c r="R934" s="0" t="n">
        <f aca="false">SUMPRODUCT(MMULT(G934:P934,_XtX!$B$58:$K$67),G934:P934)</f>
        <v>0.20595536665483</v>
      </c>
      <c r="S934" s="0" t="n">
        <f aca="false">04_回帰ANOVA!$K$19*04_回帰ANOVA!$K$14*SQRT(1+R934)</f>
        <v>1.02101530762963</v>
      </c>
      <c r="T934" s="0" t="n">
        <f aca="false">Q934-S934</f>
        <v>43.4292048628249</v>
      </c>
      <c r="U934" s="0" t="n">
        <f aca="false">Q934+S934</f>
        <v>45.4712354780842</v>
      </c>
      <c r="V934" s="54" t="b">
        <f aca="false">AND(D934&gt;=01_因子設定!$L$5-0.000000001,D934&lt;=01_因子設定!$M$5+0.000000001,E934&gt;=01_因子設定!$L$6-0.000000001,E934&lt;=01_因子設定!$M$6+0.000000001,F934&gt;=01_因子設定!$L$7-0.000000001,F934&lt;=01_因子設定!$M$7+0.000000001,IF(01_因子設定!$B$20="Box-Behnken",D934^2+E934^2+F934^2&lt;=2+0.000000001,TRUE()))</f>
        <v>1</v>
      </c>
      <c r="W934" s="55" t="n">
        <f aca="false">IF(V934,IF(01_因子設定!$B$13="最大化",T934-01_因子設定!$B$14,IF(01_因子設定!$B$13="最小化",01_因子設定!$B$15-U934,MIN(T934-01_因子設定!$B$14,01_因子設定!$B$15-U934))),-1E+030)</f>
        <v>-5.07079513717508</v>
      </c>
      <c r="X934" s="55" t="n">
        <f aca="false">IF(V934,IF(01_因子設定!$B$13="最大化",Q934,IF(01_因子設定!$B$13="最小化",-Q934,-ABS(Q934-01_因子設定!$B$16))),-1E+030)</f>
        <v>44.4502201704546</v>
      </c>
      <c r="Y934" s="55" t="n">
        <f aca="false">W934+ROW()*0.000000001</f>
        <v>-5.07079420317508</v>
      </c>
      <c r="Z934" s="55" t="n">
        <f aca="false">X934+ROW()*0.000000001</f>
        <v>44.4502211044546</v>
      </c>
    </row>
    <row r="935" customFormat="false" ht="15" hidden="false" customHeight="false" outlineLevel="0" collapsed="false">
      <c r="A935" s="0" t="n">
        <v>3</v>
      </c>
      <c r="B935" s="0" t="n">
        <v>3</v>
      </c>
      <c r="C935" s="0" t="n">
        <v>12</v>
      </c>
      <c r="D935" s="0" t="n">
        <f aca="false">-1+A935*0.125</f>
        <v>-0.625</v>
      </c>
      <c r="E935" s="0" t="n">
        <f aca="false">-1+B935*0.125</f>
        <v>-0.625</v>
      </c>
      <c r="F935" s="0" t="n">
        <f aca="false">-1+C935*0.125</f>
        <v>0.5</v>
      </c>
      <c r="G935" s="0" t="n">
        <f aca="false">1</f>
        <v>1</v>
      </c>
      <c r="H935" s="0" t="n">
        <f aca="false">D935</f>
        <v>-0.625</v>
      </c>
      <c r="I935" s="0" t="n">
        <f aca="false">E935</f>
        <v>-0.625</v>
      </c>
      <c r="J935" s="0" t="n">
        <f aca="false">F935</f>
        <v>0.5</v>
      </c>
      <c r="K935" s="0" t="n">
        <f aca="false">D935*E935</f>
        <v>0.390625</v>
      </c>
      <c r="L935" s="0" t="n">
        <f aca="false">D935*F935</f>
        <v>-0.3125</v>
      </c>
      <c r="M935" s="0" t="n">
        <f aca="false">E935*F935</f>
        <v>-0.3125</v>
      </c>
      <c r="N935" s="0" t="n">
        <f aca="false">D935*D935</f>
        <v>0.390625</v>
      </c>
      <c r="O935" s="0" t="n">
        <f aca="false">E935*E935</f>
        <v>0.390625</v>
      </c>
      <c r="P935" s="0" t="n">
        <f aca="false">F935*F935</f>
        <v>0.25</v>
      </c>
      <c r="Q935" s="0" t="n">
        <f aca="false">SUMPRODUCT(G935:P935,_XtX!$B$71:$K$71)</f>
        <v>44.4705184659091</v>
      </c>
      <c r="R935" s="0" t="n">
        <f aca="false">SUMPRODUCT(MMULT(G935:P935,_XtX!$B$58:$K$67),G935:P935)</f>
        <v>0.209862726384943</v>
      </c>
      <c r="S935" s="0" t="n">
        <f aca="false">04_回帰ANOVA!$K$19*04_回帰ANOVA!$K$14*SQRT(1+R935)</f>
        <v>1.0226680420112</v>
      </c>
      <c r="T935" s="0" t="n">
        <f aca="false">Q935-S935</f>
        <v>43.4478504238979</v>
      </c>
      <c r="U935" s="0" t="n">
        <f aca="false">Q935+S935</f>
        <v>45.4931865079203</v>
      </c>
      <c r="V935" s="54" t="b">
        <f aca="false">AND(D935&gt;=01_因子設定!$L$5-0.000000001,D935&lt;=01_因子設定!$M$5+0.000000001,E935&gt;=01_因子設定!$L$6-0.000000001,E935&lt;=01_因子設定!$M$6+0.000000001,F935&gt;=01_因子設定!$L$7-0.000000001,F935&lt;=01_因子設定!$M$7+0.000000001,IF(01_因子設定!$B$20="Box-Behnken",D935^2+E935^2+F935^2&lt;=2+0.000000001,TRUE()))</f>
        <v>1</v>
      </c>
      <c r="W935" s="55" t="n">
        <f aca="false">IF(V935,IF(01_因子設定!$B$13="最大化",T935-01_因子設定!$B$14,IF(01_因子設定!$B$13="最小化",01_因子設定!$B$15-U935,MIN(T935-01_因子設定!$B$14,01_因子設定!$B$15-U935))),-1E+030)</f>
        <v>-5.0521495761021</v>
      </c>
      <c r="X935" s="55" t="n">
        <f aca="false">IF(V935,IF(01_因子設定!$B$13="最大化",Q935,IF(01_因子設定!$B$13="最小化",-Q935,-ABS(Q935-01_因子設定!$B$16))),-1E+030)</f>
        <v>44.4705184659091</v>
      </c>
      <c r="Y935" s="55" t="n">
        <f aca="false">W935+ROW()*0.000000001</f>
        <v>-5.0521486411021</v>
      </c>
      <c r="Z935" s="55" t="n">
        <f aca="false">X935+ROW()*0.000000001</f>
        <v>44.4705194009091</v>
      </c>
    </row>
    <row r="936" customFormat="false" ht="15" hidden="false" customHeight="false" outlineLevel="0" collapsed="false">
      <c r="A936" s="0" t="n">
        <v>3</v>
      </c>
      <c r="B936" s="0" t="n">
        <v>3</v>
      </c>
      <c r="C936" s="0" t="n">
        <v>13</v>
      </c>
      <c r="D936" s="0" t="n">
        <f aca="false">-1+A936*0.125</f>
        <v>-0.625</v>
      </c>
      <c r="E936" s="0" t="n">
        <f aca="false">-1+B936*0.125</f>
        <v>-0.625</v>
      </c>
      <c r="F936" s="0" t="n">
        <f aca="false">-1+C936*0.125</f>
        <v>0.625</v>
      </c>
      <c r="G936" s="0" t="n">
        <f aca="false">1</f>
        <v>1</v>
      </c>
      <c r="H936" s="0" t="n">
        <f aca="false">D936</f>
        <v>-0.625</v>
      </c>
      <c r="I936" s="0" t="n">
        <f aca="false">E936</f>
        <v>-0.625</v>
      </c>
      <c r="J936" s="0" t="n">
        <f aca="false">F936</f>
        <v>0.625</v>
      </c>
      <c r="K936" s="0" t="n">
        <f aca="false">D936*E936</f>
        <v>0.390625</v>
      </c>
      <c r="L936" s="0" t="n">
        <f aca="false">D936*F936</f>
        <v>-0.390625</v>
      </c>
      <c r="M936" s="0" t="n">
        <f aca="false">E936*F936</f>
        <v>-0.390625</v>
      </c>
      <c r="N936" s="0" t="n">
        <f aca="false">D936*D936</f>
        <v>0.390625</v>
      </c>
      <c r="O936" s="0" t="n">
        <f aca="false">E936*E936</f>
        <v>0.390625</v>
      </c>
      <c r="P936" s="0" t="n">
        <f aca="false">F936*F936</f>
        <v>0.390625</v>
      </c>
      <c r="Q936" s="0" t="n">
        <f aca="false">SUMPRODUCT(G936:P936,_XtX!$B$71:$K$71)</f>
        <v>44.4540269886364</v>
      </c>
      <c r="R936" s="0" t="n">
        <f aca="false">SUMPRODUCT(MMULT(G936:P936,_XtX!$B$58:$K$67),G936:P936)</f>
        <v>0.227670565518466</v>
      </c>
      <c r="S936" s="0" t="n">
        <f aca="false">04_回帰ANOVA!$K$19*04_回帰ANOVA!$K$14*SQRT(1+R936)</f>
        <v>1.03016681975165</v>
      </c>
      <c r="T936" s="0" t="n">
        <f aca="false">Q936-S936</f>
        <v>43.4238601688847</v>
      </c>
      <c r="U936" s="0" t="n">
        <f aca="false">Q936+S936</f>
        <v>45.484193808388</v>
      </c>
      <c r="V936" s="54" t="b">
        <f aca="false">AND(D936&gt;=01_因子設定!$L$5-0.000000001,D936&lt;=01_因子設定!$M$5+0.000000001,E936&gt;=01_因子設定!$L$6-0.000000001,E936&lt;=01_因子設定!$M$6+0.000000001,F936&gt;=01_因子設定!$L$7-0.000000001,F936&lt;=01_因子設定!$M$7+0.000000001,IF(01_因子設定!$B$20="Box-Behnken",D936^2+E936^2+F936^2&lt;=2+0.000000001,TRUE()))</f>
        <v>1</v>
      </c>
      <c r="W936" s="55" t="n">
        <f aca="false">IF(V936,IF(01_因子設定!$B$13="最大化",T936-01_因子設定!$B$14,IF(01_因子設定!$B$13="最小化",01_因子設定!$B$15-U936,MIN(T936-01_因子設定!$B$14,01_因子設定!$B$15-U936))),-1E+030)</f>
        <v>-5.07613983111528</v>
      </c>
      <c r="X936" s="55" t="n">
        <f aca="false">IF(V936,IF(01_因子設定!$B$13="最大化",Q936,IF(01_因子設定!$B$13="最小化",-Q936,-ABS(Q936-01_因子設定!$B$16))),-1E+030)</f>
        <v>44.4540269886364</v>
      </c>
      <c r="Y936" s="55" t="n">
        <f aca="false">W936+ROW()*0.000000001</f>
        <v>-5.07613889511528</v>
      </c>
      <c r="Z936" s="55" t="n">
        <f aca="false">X936+ROW()*0.000000001</f>
        <v>44.4540279246364</v>
      </c>
    </row>
    <row r="937" customFormat="false" ht="15" hidden="false" customHeight="false" outlineLevel="0" collapsed="false">
      <c r="A937" s="0" t="n">
        <v>3</v>
      </c>
      <c r="B937" s="0" t="n">
        <v>3</v>
      </c>
      <c r="C937" s="0" t="n">
        <v>14</v>
      </c>
      <c r="D937" s="0" t="n">
        <f aca="false">-1+A937*0.125</f>
        <v>-0.625</v>
      </c>
      <c r="E937" s="0" t="n">
        <f aca="false">-1+B937*0.125</f>
        <v>-0.625</v>
      </c>
      <c r="F937" s="0" t="n">
        <f aca="false">-1+C937*0.125</f>
        <v>0.75</v>
      </c>
      <c r="G937" s="0" t="n">
        <f aca="false">1</f>
        <v>1</v>
      </c>
      <c r="H937" s="0" t="n">
        <f aca="false">D937</f>
        <v>-0.625</v>
      </c>
      <c r="I937" s="0" t="n">
        <f aca="false">E937</f>
        <v>-0.625</v>
      </c>
      <c r="J937" s="0" t="n">
        <f aca="false">F937</f>
        <v>0.75</v>
      </c>
      <c r="K937" s="0" t="n">
        <f aca="false">D937*E937</f>
        <v>0.390625</v>
      </c>
      <c r="L937" s="0" t="n">
        <f aca="false">D937*F937</f>
        <v>-0.46875</v>
      </c>
      <c r="M937" s="0" t="n">
        <f aca="false">E937*F937</f>
        <v>-0.46875</v>
      </c>
      <c r="N937" s="0" t="n">
        <f aca="false">D937*D937</f>
        <v>0.390625</v>
      </c>
      <c r="O937" s="0" t="n">
        <f aca="false">E937*E937</f>
        <v>0.390625</v>
      </c>
      <c r="P937" s="0" t="n">
        <f aca="false">F937*F937</f>
        <v>0.5625</v>
      </c>
      <c r="Q937" s="0" t="n">
        <f aca="false">SUMPRODUCT(G937:P937,_XtX!$B$71:$K$71)</f>
        <v>44.4007457386364</v>
      </c>
      <c r="R937" s="0" t="n">
        <f aca="false">SUMPRODUCT(MMULT(G937:P937,_XtX!$B$58:$K$67),G937:P937)</f>
        <v>0.268966952237216</v>
      </c>
      <c r="S937" s="0" t="n">
        <f aca="false">04_回帰ANOVA!$K$19*04_回帰ANOVA!$K$14*SQRT(1+R937)</f>
        <v>1.04734989137801</v>
      </c>
      <c r="T937" s="0" t="n">
        <f aca="false">Q937-S937</f>
        <v>43.3533958472584</v>
      </c>
      <c r="U937" s="0" t="n">
        <f aca="false">Q937+S937</f>
        <v>45.4480956300144</v>
      </c>
      <c r="V937" s="54" t="b">
        <f aca="false">AND(D937&gt;=01_因子設定!$L$5-0.000000001,D937&lt;=01_因子設定!$M$5+0.000000001,E937&gt;=01_因子設定!$L$6-0.000000001,E937&lt;=01_因子設定!$M$6+0.000000001,F937&gt;=01_因子設定!$L$7-0.000000001,F937&lt;=01_因子設定!$M$7+0.000000001,IF(01_因子設定!$B$20="Box-Behnken",D937^2+E937^2+F937^2&lt;=2+0.000000001,TRUE()))</f>
        <v>1</v>
      </c>
      <c r="W937" s="55" t="n">
        <f aca="false">IF(V937,IF(01_因子設定!$B$13="最大化",T937-01_因子設定!$B$14,IF(01_因子設定!$B$13="最小化",01_因子設定!$B$15-U937,MIN(T937-01_因子設定!$B$14,01_因子設定!$B$15-U937))),-1E+030)</f>
        <v>-5.14660415274164</v>
      </c>
      <c r="X937" s="55" t="n">
        <f aca="false">IF(V937,IF(01_因子設定!$B$13="最大化",Q937,IF(01_因子設定!$B$13="最小化",-Q937,-ABS(Q937-01_因子設定!$B$16))),-1E+030)</f>
        <v>44.4007457386364</v>
      </c>
      <c r="Y937" s="55" t="n">
        <f aca="false">W937+ROW()*0.000000001</f>
        <v>-5.14660321574164</v>
      </c>
      <c r="Z937" s="55" t="n">
        <f aca="false">X937+ROW()*0.000000001</f>
        <v>44.4007466756364</v>
      </c>
    </row>
    <row r="938" customFormat="false" ht="15" hidden="false" customHeight="false" outlineLevel="0" collapsed="false">
      <c r="A938" s="0" t="n">
        <v>3</v>
      </c>
      <c r="B938" s="0" t="n">
        <v>3</v>
      </c>
      <c r="C938" s="0" t="n">
        <v>15</v>
      </c>
      <c r="D938" s="0" t="n">
        <f aca="false">-1+A938*0.125</f>
        <v>-0.625</v>
      </c>
      <c r="E938" s="0" t="n">
        <f aca="false">-1+B938*0.125</f>
        <v>-0.625</v>
      </c>
      <c r="F938" s="0" t="n">
        <f aca="false">-1+C938*0.125</f>
        <v>0.875</v>
      </c>
      <c r="G938" s="0" t="n">
        <f aca="false">1</f>
        <v>1</v>
      </c>
      <c r="H938" s="0" t="n">
        <f aca="false">D938</f>
        <v>-0.625</v>
      </c>
      <c r="I938" s="0" t="n">
        <f aca="false">E938</f>
        <v>-0.625</v>
      </c>
      <c r="J938" s="0" t="n">
        <f aca="false">F938</f>
        <v>0.875</v>
      </c>
      <c r="K938" s="0" t="n">
        <f aca="false">D938*E938</f>
        <v>0.390625</v>
      </c>
      <c r="L938" s="0" t="n">
        <f aca="false">D938*F938</f>
        <v>-0.546875</v>
      </c>
      <c r="M938" s="0" t="n">
        <f aca="false">E938*F938</f>
        <v>-0.546875</v>
      </c>
      <c r="N938" s="0" t="n">
        <f aca="false">D938*D938</f>
        <v>0.390625</v>
      </c>
      <c r="O938" s="0" t="n">
        <f aca="false">E938*E938</f>
        <v>0.390625</v>
      </c>
      <c r="P938" s="0" t="n">
        <f aca="false">F938*F938</f>
        <v>0.765625</v>
      </c>
      <c r="Q938" s="0" t="n">
        <f aca="false">SUMPRODUCT(G938:P938,_XtX!$B$71:$K$71)</f>
        <v>44.3106747159091</v>
      </c>
      <c r="R938" s="0" t="n">
        <f aca="false">SUMPRODUCT(MMULT(G938:P938,_XtX!$B$58:$K$67),G938:P938)</f>
        <v>0.345470636541193</v>
      </c>
      <c r="S938" s="0" t="n">
        <f aca="false">04_回帰ANOVA!$K$19*04_回帰ANOVA!$K$14*SQRT(1+R938)</f>
        <v>1.07845927083227</v>
      </c>
      <c r="T938" s="0" t="n">
        <f aca="false">Q938-S938</f>
        <v>43.2322154450768</v>
      </c>
      <c r="U938" s="0" t="n">
        <f aca="false">Q938+S938</f>
        <v>45.3891339867414</v>
      </c>
      <c r="V938" s="54" t="b">
        <f aca="false">AND(D938&gt;=01_因子設定!$L$5-0.000000001,D938&lt;=01_因子設定!$M$5+0.000000001,E938&gt;=01_因子設定!$L$6-0.000000001,E938&lt;=01_因子設定!$M$6+0.000000001,F938&gt;=01_因子設定!$L$7-0.000000001,F938&lt;=01_因子設定!$M$7+0.000000001,IF(01_因子設定!$B$20="Box-Behnken",D938^2+E938^2+F938^2&lt;=2+0.000000001,TRUE()))</f>
        <v>1</v>
      </c>
      <c r="W938" s="55" t="n">
        <f aca="false">IF(V938,IF(01_因子設定!$B$13="最大化",T938-01_因子設定!$B$14,IF(01_因子設定!$B$13="最小化",01_因子設定!$B$15-U938,MIN(T938-01_因子設定!$B$14,01_因子設定!$B$15-U938))),-1E+030)</f>
        <v>-5.26778455492316</v>
      </c>
      <c r="X938" s="55" t="n">
        <f aca="false">IF(V938,IF(01_因子設定!$B$13="最大化",Q938,IF(01_因子設定!$B$13="最小化",-Q938,-ABS(Q938-01_因子設定!$B$16))),-1E+030)</f>
        <v>44.3106747159091</v>
      </c>
      <c r="Y938" s="55" t="n">
        <f aca="false">W938+ROW()*0.000000001</f>
        <v>-5.26778361692316</v>
      </c>
      <c r="Z938" s="55" t="n">
        <f aca="false">X938+ROW()*0.000000001</f>
        <v>44.3106756539091</v>
      </c>
    </row>
    <row r="939" customFormat="false" ht="15" hidden="false" customHeight="false" outlineLevel="0" collapsed="false">
      <c r="A939" s="0" t="n">
        <v>3</v>
      </c>
      <c r="B939" s="0" t="n">
        <v>3</v>
      </c>
      <c r="C939" s="0" t="n">
        <v>16</v>
      </c>
      <c r="D939" s="0" t="n">
        <f aca="false">-1+A939*0.125</f>
        <v>-0.625</v>
      </c>
      <c r="E939" s="0" t="n">
        <f aca="false">-1+B939*0.125</f>
        <v>-0.625</v>
      </c>
      <c r="F939" s="0" t="n">
        <f aca="false">-1+C939*0.125</f>
        <v>1</v>
      </c>
      <c r="G939" s="0" t="n">
        <f aca="false">1</f>
        <v>1</v>
      </c>
      <c r="H939" s="0" t="n">
        <f aca="false">D939</f>
        <v>-0.625</v>
      </c>
      <c r="I939" s="0" t="n">
        <f aca="false">E939</f>
        <v>-0.625</v>
      </c>
      <c r="J939" s="0" t="n">
        <f aca="false">F939</f>
        <v>1</v>
      </c>
      <c r="K939" s="0" t="n">
        <f aca="false">D939*E939</f>
        <v>0.390625</v>
      </c>
      <c r="L939" s="0" t="n">
        <f aca="false">D939*F939</f>
        <v>-0.625</v>
      </c>
      <c r="M939" s="0" t="n">
        <f aca="false">E939*F939</f>
        <v>-0.625</v>
      </c>
      <c r="N939" s="0" t="n">
        <f aca="false">D939*D939</f>
        <v>0.390625</v>
      </c>
      <c r="O939" s="0" t="n">
        <f aca="false">E939*E939</f>
        <v>0.390625</v>
      </c>
      <c r="P939" s="0" t="n">
        <f aca="false">F939*F939</f>
        <v>1</v>
      </c>
      <c r="Q939" s="0" t="n">
        <f aca="false">SUMPRODUCT(G939:P939,_XtX!$B$71:$K$71)</f>
        <v>44.1838139204546</v>
      </c>
      <c r="R939" s="0" t="n">
        <f aca="false">SUMPRODUCT(MMULT(G939:P939,_XtX!$B$58:$K$67),G939:P939)</f>
        <v>0.47103105024858</v>
      </c>
      <c r="S939" s="0" t="n">
        <f aca="false">04_回帰ANOVA!$K$19*04_回帰ANOVA!$K$14*SQRT(1+R939)</f>
        <v>1.1276583912499</v>
      </c>
      <c r="T939" s="0" t="n">
        <f aca="false">Q939-S939</f>
        <v>43.0561555292047</v>
      </c>
      <c r="U939" s="0" t="n">
        <f aca="false">Q939+S939</f>
        <v>45.3114723117045</v>
      </c>
      <c r="V939" s="54" t="b">
        <f aca="false">AND(D939&gt;=01_因子設定!$L$5-0.000000001,D939&lt;=01_因子設定!$M$5+0.000000001,E939&gt;=01_因子設定!$L$6-0.000000001,E939&lt;=01_因子設定!$M$6+0.000000001,F939&gt;=01_因子設定!$L$7-0.000000001,F939&lt;=01_因子設定!$M$7+0.000000001,IF(01_因子設定!$B$20="Box-Behnken",D939^2+E939^2+F939^2&lt;=2+0.000000001,TRUE()))</f>
        <v>1</v>
      </c>
      <c r="W939" s="55" t="n">
        <f aca="false">IF(V939,IF(01_因子設定!$B$13="最大化",T939-01_因子設定!$B$14,IF(01_因子設定!$B$13="最小化",01_因子設定!$B$15-U939,MIN(T939-01_因子設定!$B$14,01_因子設定!$B$15-U939))),-1E+030)</f>
        <v>-5.44384447079533</v>
      </c>
      <c r="X939" s="55" t="n">
        <f aca="false">IF(V939,IF(01_因子設定!$B$13="最大化",Q939,IF(01_因子設定!$B$13="最小化",-Q939,-ABS(Q939-01_因子設定!$B$16))),-1E+030)</f>
        <v>44.1838139204546</v>
      </c>
      <c r="Y939" s="55" t="n">
        <f aca="false">W939+ROW()*0.000000001</f>
        <v>-5.44384353179533</v>
      </c>
      <c r="Z939" s="55" t="n">
        <f aca="false">X939+ROW()*0.000000001</f>
        <v>44.1838148594546</v>
      </c>
    </row>
    <row r="940" customFormat="false" ht="15" hidden="false" customHeight="false" outlineLevel="0" collapsed="false">
      <c r="A940" s="0" t="n">
        <v>3</v>
      </c>
      <c r="B940" s="0" t="n">
        <v>4</v>
      </c>
      <c r="C940" s="0" t="n">
        <v>0</v>
      </c>
      <c r="D940" s="0" t="n">
        <f aca="false">-1+A940*0.125</f>
        <v>-0.625</v>
      </c>
      <c r="E940" s="0" t="n">
        <f aca="false">-1+B940*0.125</f>
        <v>-0.5</v>
      </c>
      <c r="F940" s="0" t="n">
        <f aca="false">-1+C940*0.125</f>
        <v>-1</v>
      </c>
      <c r="G940" s="0" t="n">
        <f aca="false">1</f>
        <v>1</v>
      </c>
      <c r="H940" s="0" t="n">
        <f aca="false">D940</f>
        <v>-0.625</v>
      </c>
      <c r="I940" s="0" t="n">
        <f aca="false">E940</f>
        <v>-0.5</v>
      </c>
      <c r="J940" s="0" t="n">
        <f aca="false">F940</f>
        <v>-1</v>
      </c>
      <c r="K940" s="0" t="n">
        <f aca="false">D940*E940</f>
        <v>0.3125</v>
      </c>
      <c r="L940" s="0" t="n">
        <f aca="false">D940*F940</f>
        <v>0.625</v>
      </c>
      <c r="M940" s="0" t="n">
        <f aca="false">E940*F940</f>
        <v>0.5</v>
      </c>
      <c r="N940" s="0" t="n">
        <f aca="false">D940*D940</f>
        <v>0.390625</v>
      </c>
      <c r="O940" s="0" t="n">
        <f aca="false">E940*E940</f>
        <v>0.25</v>
      </c>
      <c r="P940" s="0" t="n">
        <f aca="false">F940*F940</f>
        <v>1</v>
      </c>
      <c r="Q940" s="0" t="n">
        <f aca="false">SUMPRODUCT(G940:P940,_XtX!$B$71:$K$71)</f>
        <v>42.1906960227273</v>
      </c>
      <c r="R940" s="0" t="n">
        <f aca="false">SUMPRODUCT(MMULT(G940:P940,_XtX!$B$58:$K$67),G940:P940)</f>
        <v>0.465882457386364</v>
      </c>
      <c r="S940" s="0" t="n">
        <f aca="false">04_回帰ANOVA!$K$19*04_回帰ANOVA!$K$14*SQRT(1+R940)</f>
        <v>1.12568326538173</v>
      </c>
      <c r="T940" s="0" t="n">
        <f aca="false">Q940-S940</f>
        <v>41.0650127573456</v>
      </c>
      <c r="U940" s="0" t="n">
        <f aca="false">Q940+S940</f>
        <v>43.316379288109</v>
      </c>
      <c r="V940" s="54" t="b">
        <f aca="false">AND(D940&gt;=01_因子設定!$L$5-0.000000001,D940&lt;=01_因子設定!$M$5+0.000000001,E940&gt;=01_因子設定!$L$6-0.000000001,E940&lt;=01_因子設定!$M$6+0.000000001,F940&gt;=01_因子設定!$L$7-0.000000001,F940&lt;=01_因子設定!$M$7+0.000000001,IF(01_因子設定!$B$20="Box-Behnken",D940^2+E940^2+F940^2&lt;=2+0.000000001,TRUE()))</f>
        <v>1</v>
      </c>
      <c r="W940" s="55" t="n">
        <f aca="false">IF(V940,IF(01_因子設定!$B$13="最大化",T940-01_因子設定!$B$14,IF(01_因子設定!$B$13="最小化",01_因子設定!$B$15-U940,MIN(T940-01_因子設定!$B$14,01_因子設定!$B$15-U940))),-1E+030)</f>
        <v>-7.43498724265443</v>
      </c>
      <c r="X940" s="55" t="n">
        <f aca="false">IF(V940,IF(01_因子設定!$B$13="最大化",Q940,IF(01_因子設定!$B$13="最小化",-Q940,-ABS(Q940-01_因子設定!$B$16))),-1E+030)</f>
        <v>42.1906960227273</v>
      </c>
      <c r="Y940" s="55" t="n">
        <f aca="false">W940+ROW()*0.000000001</f>
        <v>-7.43498630265443</v>
      </c>
      <c r="Z940" s="55" t="n">
        <f aca="false">X940+ROW()*0.000000001</f>
        <v>42.1906969627273</v>
      </c>
    </row>
    <row r="941" customFormat="false" ht="15" hidden="false" customHeight="false" outlineLevel="0" collapsed="false">
      <c r="A941" s="0" t="n">
        <v>3</v>
      </c>
      <c r="B941" s="0" t="n">
        <v>4</v>
      </c>
      <c r="C941" s="0" t="n">
        <v>1</v>
      </c>
      <c r="D941" s="0" t="n">
        <f aca="false">-1+A941*0.125</f>
        <v>-0.625</v>
      </c>
      <c r="E941" s="0" t="n">
        <f aca="false">-1+B941*0.125</f>
        <v>-0.5</v>
      </c>
      <c r="F941" s="0" t="n">
        <f aca="false">-1+C941*0.125</f>
        <v>-0.875</v>
      </c>
      <c r="G941" s="0" t="n">
        <f aca="false">1</f>
        <v>1</v>
      </c>
      <c r="H941" s="0" t="n">
        <f aca="false">D941</f>
        <v>-0.625</v>
      </c>
      <c r="I941" s="0" t="n">
        <f aca="false">E941</f>
        <v>-0.5</v>
      </c>
      <c r="J941" s="0" t="n">
        <f aca="false">F941</f>
        <v>-0.875</v>
      </c>
      <c r="K941" s="0" t="n">
        <f aca="false">D941*E941</f>
        <v>0.3125</v>
      </c>
      <c r="L941" s="0" t="n">
        <f aca="false">D941*F941</f>
        <v>0.546875</v>
      </c>
      <c r="M941" s="0" t="n">
        <f aca="false">E941*F941</f>
        <v>0.4375</v>
      </c>
      <c r="N941" s="0" t="n">
        <f aca="false">D941*D941</f>
        <v>0.390625</v>
      </c>
      <c r="O941" s="0" t="n">
        <f aca="false">E941*E941</f>
        <v>0.25</v>
      </c>
      <c r="P941" s="0" t="n">
        <f aca="false">F941*F941</f>
        <v>0.765625</v>
      </c>
      <c r="Q941" s="0" t="n">
        <f aca="false">SUMPRODUCT(G941:P941,_XtX!$B$71:$K$71)</f>
        <v>42.6227130681818</v>
      </c>
      <c r="R941" s="0" t="n">
        <f aca="false">SUMPRODUCT(MMULT(G941:P941,_XtX!$B$58:$K$67),G941:P941)</f>
        <v>0.335453102805398</v>
      </c>
      <c r="S941" s="0" t="n">
        <f aca="false">04_回帰ANOVA!$K$19*04_回帰ANOVA!$K$14*SQRT(1+R941)</f>
        <v>1.07443700305628</v>
      </c>
      <c r="T941" s="0" t="n">
        <f aca="false">Q941-S941</f>
        <v>41.5482760651256</v>
      </c>
      <c r="U941" s="0" t="n">
        <f aca="false">Q941+S941</f>
        <v>43.6971500712381</v>
      </c>
      <c r="V941" s="54" t="b">
        <f aca="false">AND(D941&gt;=01_因子設定!$L$5-0.000000001,D941&lt;=01_因子設定!$M$5+0.000000001,E941&gt;=01_因子設定!$L$6-0.000000001,E941&lt;=01_因子設定!$M$6+0.000000001,F941&gt;=01_因子設定!$L$7-0.000000001,F941&lt;=01_因子設定!$M$7+0.000000001,IF(01_因子設定!$B$20="Box-Behnken",D941^2+E941^2+F941^2&lt;=2+0.000000001,TRUE()))</f>
        <v>1</v>
      </c>
      <c r="W941" s="55" t="n">
        <f aca="false">IF(V941,IF(01_因子設定!$B$13="最大化",T941-01_因子設定!$B$14,IF(01_因子設定!$B$13="最小化",01_因子設定!$B$15-U941,MIN(T941-01_因子設定!$B$14,01_因子設定!$B$15-U941))),-1E+030)</f>
        <v>-6.95172393487444</v>
      </c>
      <c r="X941" s="55" t="n">
        <f aca="false">IF(V941,IF(01_因子設定!$B$13="最大化",Q941,IF(01_因子設定!$B$13="最小化",-Q941,-ABS(Q941-01_因子設定!$B$16))),-1E+030)</f>
        <v>42.6227130681818</v>
      </c>
      <c r="Y941" s="55" t="n">
        <f aca="false">W941+ROW()*0.000000001</f>
        <v>-6.95172299387444</v>
      </c>
      <c r="Z941" s="55" t="n">
        <f aca="false">X941+ROW()*0.000000001</f>
        <v>42.6227140091818</v>
      </c>
    </row>
    <row r="942" customFormat="false" ht="15" hidden="false" customHeight="false" outlineLevel="0" collapsed="false">
      <c r="A942" s="0" t="n">
        <v>3</v>
      </c>
      <c r="B942" s="0" t="n">
        <v>4</v>
      </c>
      <c r="C942" s="0" t="n">
        <v>2</v>
      </c>
      <c r="D942" s="0" t="n">
        <f aca="false">-1+A942*0.125</f>
        <v>-0.625</v>
      </c>
      <c r="E942" s="0" t="n">
        <f aca="false">-1+B942*0.125</f>
        <v>-0.5</v>
      </c>
      <c r="F942" s="0" t="n">
        <f aca="false">-1+C942*0.125</f>
        <v>-0.75</v>
      </c>
      <c r="G942" s="0" t="n">
        <f aca="false">1</f>
        <v>1</v>
      </c>
      <c r="H942" s="0" t="n">
        <f aca="false">D942</f>
        <v>-0.625</v>
      </c>
      <c r="I942" s="0" t="n">
        <f aca="false">E942</f>
        <v>-0.5</v>
      </c>
      <c r="J942" s="0" t="n">
        <f aca="false">F942</f>
        <v>-0.75</v>
      </c>
      <c r="K942" s="0" t="n">
        <f aca="false">D942*E942</f>
        <v>0.3125</v>
      </c>
      <c r="L942" s="0" t="n">
        <f aca="false">D942*F942</f>
        <v>0.46875</v>
      </c>
      <c r="M942" s="0" t="n">
        <f aca="false">E942*F942</f>
        <v>0.375</v>
      </c>
      <c r="N942" s="0" t="n">
        <f aca="false">D942*D942</f>
        <v>0.390625</v>
      </c>
      <c r="O942" s="0" t="n">
        <f aca="false">E942*E942</f>
        <v>0.25</v>
      </c>
      <c r="P942" s="0" t="n">
        <f aca="false">F942*F942</f>
        <v>0.5625</v>
      </c>
      <c r="Q942" s="0" t="n">
        <f aca="false">SUMPRODUCT(G942:P942,_XtX!$B$71:$K$71)</f>
        <v>43.0179403409091</v>
      </c>
      <c r="R942" s="0" t="n">
        <f aca="false">SUMPRODUCT(MMULT(G942:P942,_XtX!$B$58:$K$67),G942:P942)</f>
        <v>0.254729669744318</v>
      </c>
      <c r="S942" s="0" t="n">
        <f aca="false">04_回帰ANOVA!$K$19*04_回帰ANOVA!$K$14*SQRT(1+R942)</f>
        <v>1.04145790281631</v>
      </c>
      <c r="T942" s="0" t="n">
        <f aca="false">Q942-S942</f>
        <v>41.9764824380928</v>
      </c>
      <c r="U942" s="0" t="n">
        <f aca="false">Q942+S942</f>
        <v>44.0593982437254</v>
      </c>
      <c r="V942" s="54" t="b">
        <f aca="false">AND(D942&gt;=01_因子設定!$L$5-0.000000001,D942&lt;=01_因子設定!$M$5+0.000000001,E942&gt;=01_因子設定!$L$6-0.000000001,E942&lt;=01_因子設定!$M$6+0.000000001,F942&gt;=01_因子設定!$L$7-0.000000001,F942&lt;=01_因子設定!$M$7+0.000000001,IF(01_因子設定!$B$20="Box-Behnken",D942^2+E942^2+F942^2&lt;=2+0.000000001,TRUE()))</f>
        <v>1</v>
      </c>
      <c r="W942" s="55" t="n">
        <f aca="false">IF(V942,IF(01_因子設定!$B$13="最大化",T942-01_因子設定!$B$14,IF(01_因子設定!$B$13="最小化",01_因子設定!$B$15-U942,MIN(T942-01_因子設定!$B$14,01_因子設定!$B$15-U942))),-1E+030)</f>
        <v>-6.52351756190721</v>
      </c>
      <c r="X942" s="55" t="n">
        <f aca="false">IF(V942,IF(01_因子設定!$B$13="最大化",Q942,IF(01_因子設定!$B$13="最小化",-Q942,-ABS(Q942-01_因子設定!$B$16))),-1E+030)</f>
        <v>43.0179403409091</v>
      </c>
      <c r="Y942" s="55" t="n">
        <f aca="false">W942+ROW()*0.000000001</f>
        <v>-6.52351661990721</v>
      </c>
      <c r="Z942" s="55" t="n">
        <f aca="false">X942+ROW()*0.000000001</f>
        <v>43.0179412829091</v>
      </c>
    </row>
    <row r="943" customFormat="false" ht="15" hidden="false" customHeight="false" outlineLevel="0" collapsed="false">
      <c r="A943" s="0" t="n">
        <v>3</v>
      </c>
      <c r="B943" s="0" t="n">
        <v>4</v>
      </c>
      <c r="C943" s="0" t="n">
        <v>3</v>
      </c>
      <c r="D943" s="0" t="n">
        <f aca="false">-1+A943*0.125</f>
        <v>-0.625</v>
      </c>
      <c r="E943" s="0" t="n">
        <f aca="false">-1+B943*0.125</f>
        <v>-0.5</v>
      </c>
      <c r="F943" s="0" t="n">
        <f aca="false">-1+C943*0.125</f>
        <v>-0.625</v>
      </c>
      <c r="G943" s="0" t="n">
        <f aca="false">1</f>
        <v>1</v>
      </c>
      <c r="H943" s="0" t="n">
        <f aca="false">D943</f>
        <v>-0.625</v>
      </c>
      <c r="I943" s="0" t="n">
        <f aca="false">E943</f>
        <v>-0.5</v>
      </c>
      <c r="J943" s="0" t="n">
        <f aca="false">F943</f>
        <v>-0.625</v>
      </c>
      <c r="K943" s="0" t="n">
        <f aca="false">D943*E943</f>
        <v>0.3125</v>
      </c>
      <c r="L943" s="0" t="n">
        <f aca="false">D943*F943</f>
        <v>0.390625</v>
      </c>
      <c r="M943" s="0" t="n">
        <f aca="false">E943*F943</f>
        <v>0.3125</v>
      </c>
      <c r="N943" s="0" t="n">
        <f aca="false">D943*D943</f>
        <v>0.390625</v>
      </c>
      <c r="O943" s="0" t="n">
        <f aca="false">E943*E943</f>
        <v>0.25</v>
      </c>
      <c r="P943" s="0" t="n">
        <f aca="false">F943*F943</f>
        <v>0.390625</v>
      </c>
      <c r="Q943" s="0" t="n">
        <f aca="false">SUMPRODUCT(G943:P943,_XtX!$B$71:$K$71)</f>
        <v>43.3763778409091</v>
      </c>
      <c r="R943" s="0" t="n">
        <f aca="false">SUMPRODUCT(MMULT(G943:P943,_XtX!$B$58:$K$67),G943:P943)</f>
        <v>0.209862726384943</v>
      </c>
      <c r="S943" s="0" t="n">
        <f aca="false">04_回帰ANOVA!$K$19*04_回帰ANOVA!$K$14*SQRT(1+R943)</f>
        <v>1.0226680420112</v>
      </c>
      <c r="T943" s="0" t="n">
        <f aca="false">Q943-S943</f>
        <v>42.3537097988979</v>
      </c>
      <c r="U943" s="0" t="n">
        <f aca="false">Q943+S943</f>
        <v>44.3990458829203</v>
      </c>
      <c r="V943" s="54" t="b">
        <f aca="false">AND(D943&gt;=01_因子設定!$L$5-0.000000001,D943&lt;=01_因子設定!$M$5+0.000000001,E943&gt;=01_因子設定!$L$6-0.000000001,E943&lt;=01_因子設定!$M$6+0.000000001,F943&gt;=01_因子設定!$L$7-0.000000001,F943&lt;=01_因子設定!$M$7+0.000000001,IF(01_因子設定!$B$20="Box-Behnken",D943^2+E943^2+F943^2&lt;=2+0.000000001,TRUE()))</f>
        <v>1</v>
      </c>
      <c r="W943" s="55" t="n">
        <f aca="false">IF(V943,IF(01_因子設定!$B$13="最大化",T943-01_因子設定!$B$14,IF(01_因子設定!$B$13="最小化",01_因子設定!$B$15-U943,MIN(T943-01_因子設定!$B$14,01_因子設定!$B$15-U943))),-1E+030)</f>
        <v>-6.1462902011021</v>
      </c>
      <c r="X943" s="55" t="n">
        <f aca="false">IF(V943,IF(01_因子設定!$B$13="最大化",Q943,IF(01_因子設定!$B$13="最小化",-Q943,-ABS(Q943-01_因子設定!$B$16))),-1E+030)</f>
        <v>43.3763778409091</v>
      </c>
      <c r="Y943" s="55" t="n">
        <f aca="false">W943+ROW()*0.000000001</f>
        <v>-6.1462892581021</v>
      </c>
      <c r="Z943" s="55" t="n">
        <f aca="false">X943+ROW()*0.000000001</f>
        <v>43.3763787839091</v>
      </c>
    </row>
    <row r="944" customFormat="false" ht="15" hidden="false" customHeight="false" outlineLevel="0" collapsed="false">
      <c r="A944" s="0" t="n">
        <v>3</v>
      </c>
      <c r="B944" s="0" t="n">
        <v>4</v>
      </c>
      <c r="C944" s="0" t="n">
        <v>4</v>
      </c>
      <c r="D944" s="0" t="n">
        <f aca="false">-1+A944*0.125</f>
        <v>-0.625</v>
      </c>
      <c r="E944" s="0" t="n">
        <f aca="false">-1+B944*0.125</f>
        <v>-0.5</v>
      </c>
      <c r="F944" s="0" t="n">
        <f aca="false">-1+C944*0.125</f>
        <v>-0.5</v>
      </c>
      <c r="G944" s="0" t="n">
        <f aca="false">1</f>
        <v>1</v>
      </c>
      <c r="H944" s="0" t="n">
        <f aca="false">D944</f>
        <v>-0.625</v>
      </c>
      <c r="I944" s="0" t="n">
        <f aca="false">E944</f>
        <v>-0.5</v>
      </c>
      <c r="J944" s="0" t="n">
        <f aca="false">F944</f>
        <v>-0.5</v>
      </c>
      <c r="K944" s="0" t="n">
        <f aca="false">D944*E944</f>
        <v>0.3125</v>
      </c>
      <c r="L944" s="0" t="n">
        <f aca="false">D944*F944</f>
        <v>0.3125</v>
      </c>
      <c r="M944" s="0" t="n">
        <f aca="false">E944*F944</f>
        <v>0.25</v>
      </c>
      <c r="N944" s="0" t="n">
        <f aca="false">D944*D944</f>
        <v>0.390625</v>
      </c>
      <c r="O944" s="0" t="n">
        <f aca="false">E944*E944</f>
        <v>0.25</v>
      </c>
      <c r="P944" s="0" t="n">
        <f aca="false">F944*F944</f>
        <v>0.25</v>
      </c>
      <c r="Q944" s="0" t="n">
        <f aca="false">SUMPRODUCT(G944:P944,_XtX!$B$71:$K$71)</f>
        <v>43.6980255681818</v>
      </c>
      <c r="R944" s="0" t="n">
        <f aca="false">SUMPRODUCT(MMULT(G944:P944,_XtX!$B$58:$K$67),G944:P944)</f>
        <v>0.189133522727273</v>
      </c>
      <c r="S944" s="0" t="n">
        <f aca="false">04_回帰ANOVA!$K$19*04_回帰ANOVA!$K$14*SQRT(1+R944)</f>
        <v>1.0138692404042</v>
      </c>
      <c r="T944" s="0" t="n">
        <f aca="false">Q944-S944</f>
        <v>42.6841563277776</v>
      </c>
      <c r="U944" s="0" t="n">
        <f aca="false">Q944+S944</f>
        <v>44.711894808586</v>
      </c>
      <c r="V944" s="54" t="b">
        <f aca="false">AND(D944&gt;=01_因子設定!$L$5-0.000000001,D944&lt;=01_因子設定!$M$5+0.000000001,E944&gt;=01_因子設定!$L$6-0.000000001,E944&lt;=01_因子設定!$M$6+0.000000001,F944&gt;=01_因子設定!$L$7-0.000000001,F944&lt;=01_因子設定!$M$7+0.000000001,IF(01_因子設定!$B$20="Box-Behnken",D944^2+E944^2+F944^2&lt;=2+0.000000001,TRUE()))</f>
        <v>1</v>
      </c>
      <c r="W944" s="55" t="n">
        <f aca="false">IF(V944,IF(01_因子設定!$B$13="最大化",T944-01_因子設定!$B$14,IF(01_因子設定!$B$13="最小化",01_因子設定!$B$15-U944,MIN(T944-01_因子設定!$B$14,01_因子設定!$B$15-U944))),-1E+030)</f>
        <v>-5.81584367222237</v>
      </c>
      <c r="X944" s="55" t="n">
        <f aca="false">IF(V944,IF(01_因子設定!$B$13="最大化",Q944,IF(01_因子設定!$B$13="最小化",-Q944,-ABS(Q944-01_因子設定!$B$16))),-1E+030)</f>
        <v>43.6980255681818</v>
      </c>
      <c r="Y944" s="55" t="n">
        <f aca="false">W944+ROW()*0.000000001</f>
        <v>-5.81584272822237</v>
      </c>
      <c r="Z944" s="55" t="n">
        <f aca="false">X944+ROW()*0.000000001</f>
        <v>43.6980265121818</v>
      </c>
    </row>
    <row r="945" customFormat="false" ht="15" hidden="false" customHeight="false" outlineLevel="0" collapsed="false">
      <c r="A945" s="0" t="n">
        <v>3</v>
      </c>
      <c r="B945" s="0" t="n">
        <v>4</v>
      </c>
      <c r="C945" s="0" t="n">
        <v>5</v>
      </c>
      <c r="D945" s="0" t="n">
        <f aca="false">-1+A945*0.125</f>
        <v>-0.625</v>
      </c>
      <c r="E945" s="0" t="n">
        <f aca="false">-1+B945*0.125</f>
        <v>-0.5</v>
      </c>
      <c r="F945" s="0" t="n">
        <f aca="false">-1+C945*0.125</f>
        <v>-0.375</v>
      </c>
      <c r="G945" s="0" t="n">
        <f aca="false">1</f>
        <v>1</v>
      </c>
      <c r="H945" s="0" t="n">
        <f aca="false">D945</f>
        <v>-0.625</v>
      </c>
      <c r="I945" s="0" t="n">
        <f aca="false">E945</f>
        <v>-0.5</v>
      </c>
      <c r="J945" s="0" t="n">
        <f aca="false">F945</f>
        <v>-0.375</v>
      </c>
      <c r="K945" s="0" t="n">
        <f aca="false">D945*E945</f>
        <v>0.3125</v>
      </c>
      <c r="L945" s="0" t="n">
        <f aca="false">D945*F945</f>
        <v>0.234375</v>
      </c>
      <c r="M945" s="0" t="n">
        <f aca="false">E945*F945</f>
        <v>0.1875</v>
      </c>
      <c r="N945" s="0" t="n">
        <f aca="false">D945*D945</f>
        <v>0.390625</v>
      </c>
      <c r="O945" s="0" t="n">
        <f aca="false">E945*E945</f>
        <v>0.25</v>
      </c>
      <c r="P945" s="0" t="n">
        <f aca="false">F945*F945</f>
        <v>0.140625</v>
      </c>
      <c r="Q945" s="0" t="n">
        <f aca="false">SUMPRODUCT(G945:P945,_XtX!$B$71:$K$71)</f>
        <v>43.9828835227273</v>
      </c>
      <c r="R945" s="0" t="n">
        <f aca="false">SUMPRODUCT(MMULT(G945:P945,_XtX!$B$58:$K$67),G945:P945)</f>
        <v>0.182953990589489</v>
      </c>
      <c r="S945" s="0" t="n">
        <f aca="false">04_回帰ANOVA!$K$19*04_回帰ANOVA!$K$14*SQRT(1+R945)</f>
        <v>1.01123143807044</v>
      </c>
      <c r="T945" s="0" t="n">
        <f aca="false">Q945-S945</f>
        <v>42.9716520846568</v>
      </c>
      <c r="U945" s="0" t="n">
        <f aca="false">Q945+S945</f>
        <v>44.9941149607977</v>
      </c>
      <c r="V945" s="54" t="b">
        <f aca="false">AND(D945&gt;=01_因子設定!$L$5-0.000000001,D945&lt;=01_因子設定!$M$5+0.000000001,E945&gt;=01_因子設定!$L$6-0.000000001,E945&lt;=01_因子設定!$M$6+0.000000001,F945&gt;=01_因子設定!$L$7-0.000000001,F945&lt;=01_因子設定!$M$7+0.000000001,IF(01_因子設定!$B$20="Box-Behnken",D945^2+E945^2+F945^2&lt;=2+0.000000001,TRUE()))</f>
        <v>1</v>
      </c>
      <c r="W945" s="55" t="n">
        <f aca="false">IF(V945,IF(01_因子設定!$B$13="最大化",T945-01_因子設定!$B$14,IF(01_因子設定!$B$13="最小化",01_因子設定!$B$15-U945,MIN(T945-01_因子設定!$B$14,01_因子設定!$B$15-U945))),-1E+030)</f>
        <v>-5.52834791534316</v>
      </c>
      <c r="X945" s="55" t="n">
        <f aca="false">IF(V945,IF(01_因子設定!$B$13="最大化",Q945,IF(01_因子設定!$B$13="最小化",-Q945,-ABS(Q945-01_因子設定!$B$16))),-1E+030)</f>
        <v>43.9828835227273</v>
      </c>
      <c r="Y945" s="55" t="n">
        <f aca="false">W945+ROW()*0.000000001</f>
        <v>-5.52834697034316</v>
      </c>
      <c r="Z945" s="55" t="n">
        <f aca="false">X945+ROW()*0.000000001</f>
        <v>43.9828844677273</v>
      </c>
    </row>
    <row r="946" customFormat="false" ht="15" hidden="false" customHeight="false" outlineLevel="0" collapsed="false">
      <c r="A946" s="0" t="n">
        <v>3</v>
      </c>
      <c r="B946" s="0" t="n">
        <v>4</v>
      </c>
      <c r="C946" s="0" t="n">
        <v>6</v>
      </c>
      <c r="D946" s="0" t="n">
        <f aca="false">-1+A946*0.125</f>
        <v>-0.625</v>
      </c>
      <c r="E946" s="0" t="n">
        <f aca="false">-1+B946*0.125</f>
        <v>-0.5</v>
      </c>
      <c r="F946" s="0" t="n">
        <f aca="false">-1+C946*0.125</f>
        <v>-0.25</v>
      </c>
      <c r="G946" s="0" t="n">
        <f aca="false">1</f>
        <v>1</v>
      </c>
      <c r="H946" s="0" t="n">
        <f aca="false">D946</f>
        <v>-0.625</v>
      </c>
      <c r="I946" s="0" t="n">
        <f aca="false">E946</f>
        <v>-0.5</v>
      </c>
      <c r="J946" s="0" t="n">
        <f aca="false">F946</f>
        <v>-0.25</v>
      </c>
      <c r="K946" s="0" t="n">
        <f aca="false">D946*E946</f>
        <v>0.3125</v>
      </c>
      <c r="L946" s="0" t="n">
        <f aca="false">D946*F946</f>
        <v>0.15625</v>
      </c>
      <c r="M946" s="0" t="n">
        <f aca="false">E946*F946</f>
        <v>0.125</v>
      </c>
      <c r="N946" s="0" t="n">
        <f aca="false">D946*D946</f>
        <v>0.390625</v>
      </c>
      <c r="O946" s="0" t="n">
        <f aca="false">E946*E946</f>
        <v>0.25</v>
      </c>
      <c r="P946" s="0" t="n">
        <f aca="false">F946*F946</f>
        <v>0.0625</v>
      </c>
      <c r="Q946" s="0" t="n">
        <f aca="false">SUMPRODUCT(G946:P946,_XtX!$B$71:$K$71)</f>
        <v>44.2309517045455</v>
      </c>
      <c r="R946" s="0" t="n">
        <f aca="false">SUMPRODUCT(MMULT(G946:P946,_XtX!$B$58:$K$67),G946:P946)</f>
        <v>0.183866743607955</v>
      </c>
      <c r="S946" s="0" t="n">
        <f aca="false">04_回帰ANOVA!$K$19*04_回帰ANOVA!$K$14*SQRT(1+R946)</f>
        <v>1.01162148983013</v>
      </c>
      <c r="T946" s="0" t="n">
        <f aca="false">Q946-S946</f>
        <v>43.2193302147153</v>
      </c>
      <c r="U946" s="0" t="n">
        <f aca="false">Q946+S946</f>
        <v>45.2425731943756</v>
      </c>
      <c r="V946" s="54" t="b">
        <f aca="false">AND(D946&gt;=01_因子設定!$L$5-0.000000001,D946&lt;=01_因子設定!$M$5+0.000000001,E946&gt;=01_因子設定!$L$6-0.000000001,E946&lt;=01_因子設定!$M$6+0.000000001,F946&gt;=01_因子設定!$L$7-0.000000001,F946&lt;=01_因子設定!$M$7+0.000000001,IF(01_因子設定!$B$20="Box-Behnken",D946^2+E946^2+F946^2&lt;=2+0.000000001,TRUE()))</f>
        <v>1</v>
      </c>
      <c r="W946" s="55" t="n">
        <f aca="false">IF(V946,IF(01_因子設定!$B$13="最大化",T946-01_因子設定!$B$14,IF(01_因子設定!$B$13="最小化",01_因子設定!$B$15-U946,MIN(T946-01_因子設定!$B$14,01_因子設定!$B$15-U946))),-1E+030)</f>
        <v>-5.28066978528468</v>
      </c>
      <c r="X946" s="55" t="n">
        <f aca="false">IF(V946,IF(01_因子設定!$B$13="最大化",Q946,IF(01_因子設定!$B$13="最小化",-Q946,-ABS(Q946-01_因子設定!$B$16))),-1E+030)</f>
        <v>44.2309517045455</v>
      </c>
      <c r="Y946" s="55" t="n">
        <f aca="false">W946+ROW()*0.000000001</f>
        <v>-5.28066883928468</v>
      </c>
      <c r="Z946" s="55" t="n">
        <f aca="false">X946+ROW()*0.000000001</f>
        <v>44.2309526505455</v>
      </c>
    </row>
    <row r="947" customFormat="false" ht="15" hidden="false" customHeight="false" outlineLevel="0" collapsed="false">
      <c r="A947" s="0" t="n">
        <v>3</v>
      </c>
      <c r="B947" s="0" t="n">
        <v>4</v>
      </c>
      <c r="C947" s="0" t="n">
        <v>7</v>
      </c>
      <c r="D947" s="0" t="n">
        <f aca="false">-1+A947*0.125</f>
        <v>-0.625</v>
      </c>
      <c r="E947" s="0" t="n">
        <f aca="false">-1+B947*0.125</f>
        <v>-0.5</v>
      </c>
      <c r="F947" s="0" t="n">
        <f aca="false">-1+C947*0.125</f>
        <v>-0.125</v>
      </c>
      <c r="G947" s="0" t="n">
        <f aca="false">1</f>
        <v>1</v>
      </c>
      <c r="H947" s="0" t="n">
        <f aca="false">D947</f>
        <v>-0.625</v>
      </c>
      <c r="I947" s="0" t="n">
        <f aca="false">E947</f>
        <v>-0.5</v>
      </c>
      <c r="J947" s="0" t="n">
        <f aca="false">F947</f>
        <v>-0.125</v>
      </c>
      <c r="K947" s="0" t="n">
        <f aca="false">D947*E947</f>
        <v>0.3125</v>
      </c>
      <c r="L947" s="0" t="n">
        <f aca="false">D947*F947</f>
        <v>0.078125</v>
      </c>
      <c r="M947" s="0" t="n">
        <f aca="false">E947*F947</f>
        <v>0.0625</v>
      </c>
      <c r="N947" s="0" t="n">
        <f aca="false">D947*D947</f>
        <v>0.390625</v>
      </c>
      <c r="O947" s="0" t="n">
        <f aca="false">E947*E947</f>
        <v>0.25</v>
      </c>
      <c r="P947" s="0" t="n">
        <f aca="false">F947*F947</f>
        <v>0.015625</v>
      </c>
      <c r="Q947" s="0" t="n">
        <f aca="false">SUMPRODUCT(G947:P947,_XtX!$B$71:$K$71)</f>
        <v>44.4422301136364</v>
      </c>
      <c r="R947" s="0" t="n">
        <f aca="false">SUMPRODUCT(MMULT(G947:P947,_XtX!$B$58:$K$67),G947:P947)</f>
        <v>0.186545077237216</v>
      </c>
      <c r="S947" s="0" t="n">
        <f aca="false">04_回帰ANOVA!$K$19*04_回帰ANOVA!$K$14*SQRT(1+R947)</f>
        <v>1.01276516970713</v>
      </c>
      <c r="T947" s="0" t="n">
        <f aca="false">Q947-S947</f>
        <v>43.4294649439292</v>
      </c>
      <c r="U947" s="0" t="n">
        <f aca="false">Q947+S947</f>
        <v>45.4549952833435</v>
      </c>
      <c r="V947" s="54" t="b">
        <f aca="false">AND(D947&gt;=01_因子設定!$L$5-0.000000001,D947&lt;=01_因子設定!$M$5+0.000000001,E947&gt;=01_因子設定!$L$6-0.000000001,E947&lt;=01_因子設定!$M$6+0.000000001,F947&gt;=01_因子設定!$L$7-0.000000001,F947&lt;=01_因子設定!$M$7+0.000000001,IF(01_因子設定!$B$20="Box-Behnken",D947^2+E947^2+F947^2&lt;=2+0.000000001,TRUE()))</f>
        <v>1</v>
      </c>
      <c r="W947" s="55" t="n">
        <f aca="false">IF(V947,IF(01_因子設定!$B$13="最大化",T947-01_因子設定!$B$14,IF(01_因子設定!$B$13="最小化",01_因子設定!$B$15-U947,MIN(T947-01_因子設定!$B$14,01_因子設定!$B$15-U947))),-1E+030)</f>
        <v>-5.07053505607077</v>
      </c>
      <c r="X947" s="55" t="n">
        <f aca="false">IF(V947,IF(01_因子設定!$B$13="最大化",Q947,IF(01_因子設定!$B$13="最小化",-Q947,-ABS(Q947-01_因子設定!$B$16))),-1E+030)</f>
        <v>44.4422301136364</v>
      </c>
      <c r="Y947" s="55" t="n">
        <f aca="false">W947+ROW()*0.000000001</f>
        <v>-5.07053410907077</v>
      </c>
      <c r="Z947" s="55" t="n">
        <f aca="false">X947+ROW()*0.000000001</f>
        <v>44.4422310606364</v>
      </c>
    </row>
    <row r="948" customFormat="false" ht="15" hidden="false" customHeight="false" outlineLevel="0" collapsed="false">
      <c r="A948" s="0" t="n">
        <v>3</v>
      </c>
      <c r="B948" s="0" t="n">
        <v>4</v>
      </c>
      <c r="C948" s="0" t="n">
        <v>8</v>
      </c>
      <c r="D948" s="0" t="n">
        <f aca="false">-1+A948*0.125</f>
        <v>-0.625</v>
      </c>
      <c r="E948" s="0" t="n">
        <f aca="false">-1+B948*0.125</f>
        <v>-0.5</v>
      </c>
      <c r="F948" s="0" t="n">
        <f aca="false">-1+C948*0.125</f>
        <v>0</v>
      </c>
      <c r="G948" s="0" t="n">
        <f aca="false">1</f>
        <v>1</v>
      </c>
      <c r="H948" s="0" t="n">
        <f aca="false">D948</f>
        <v>-0.625</v>
      </c>
      <c r="I948" s="0" t="n">
        <f aca="false">E948</f>
        <v>-0.5</v>
      </c>
      <c r="J948" s="0" t="n">
        <f aca="false">F948</f>
        <v>0</v>
      </c>
      <c r="K948" s="0" t="n">
        <f aca="false">D948*E948</f>
        <v>0.3125</v>
      </c>
      <c r="L948" s="0" t="n">
        <f aca="false">D948*F948</f>
        <v>-0</v>
      </c>
      <c r="M948" s="0" t="n">
        <f aca="false">E948*F948</f>
        <v>-0</v>
      </c>
      <c r="N948" s="0" t="n">
        <f aca="false">D948*D948</f>
        <v>0.390625</v>
      </c>
      <c r="O948" s="0" t="n">
        <f aca="false">E948*E948</f>
        <v>0.25</v>
      </c>
      <c r="P948" s="0" t="n">
        <f aca="false">F948*F948</f>
        <v>0</v>
      </c>
      <c r="Q948" s="0" t="n">
        <f aca="false">SUMPRODUCT(G948:P948,_XtX!$B$71:$K$71)</f>
        <v>44.61671875</v>
      </c>
      <c r="R948" s="0" t="n">
        <f aca="false">SUMPRODUCT(MMULT(G948:P948,_XtX!$B$58:$K$67),G948:P948)</f>
        <v>0.18779296875</v>
      </c>
      <c r="S948" s="0" t="n">
        <f aca="false">04_回帰ANOVA!$K$19*04_回帰ANOVA!$K$14*SQRT(1+R948)</f>
        <v>1.01329759319777</v>
      </c>
      <c r="T948" s="0" t="n">
        <f aca="false">Q948-S948</f>
        <v>43.6034211568022</v>
      </c>
      <c r="U948" s="0" t="n">
        <f aca="false">Q948+S948</f>
        <v>45.6300163431978</v>
      </c>
      <c r="V948" s="54" t="b">
        <f aca="false">AND(D948&gt;=01_因子設定!$L$5-0.000000001,D948&lt;=01_因子設定!$M$5+0.000000001,E948&gt;=01_因子設定!$L$6-0.000000001,E948&lt;=01_因子設定!$M$6+0.000000001,F948&gt;=01_因子設定!$L$7-0.000000001,F948&lt;=01_因子設定!$M$7+0.000000001,IF(01_因子設定!$B$20="Box-Behnken",D948^2+E948^2+F948^2&lt;=2+0.000000001,TRUE()))</f>
        <v>1</v>
      </c>
      <c r="W948" s="55" t="n">
        <f aca="false">IF(V948,IF(01_因子設定!$B$13="最大化",T948-01_因子設定!$B$14,IF(01_因子設定!$B$13="最小化",01_因子設定!$B$15-U948,MIN(T948-01_因子設定!$B$14,01_因子設定!$B$15-U948))),-1E+030)</f>
        <v>-4.89657884319777</v>
      </c>
      <c r="X948" s="55" t="n">
        <f aca="false">IF(V948,IF(01_因子設定!$B$13="最大化",Q948,IF(01_因子設定!$B$13="最小化",-Q948,-ABS(Q948-01_因子設定!$B$16))),-1E+030)</f>
        <v>44.61671875</v>
      </c>
      <c r="Y948" s="55" t="n">
        <f aca="false">W948+ROW()*0.000000001</f>
        <v>-4.89657789519777</v>
      </c>
      <c r="Z948" s="55" t="n">
        <f aca="false">X948+ROW()*0.000000001</f>
        <v>44.616719698</v>
      </c>
    </row>
    <row r="949" customFormat="false" ht="15" hidden="false" customHeight="false" outlineLevel="0" collapsed="false">
      <c r="A949" s="0" t="n">
        <v>3</v>
      </c>
      <c r="B949" s="0" t="n">
        <v>4</v>
      </c>
      <c r="C949" s="0" t="n">
        <v>9</v>
      </c>
      <c r="D949" s="0" t="n">
        <f aca="false">-1+A949*0.125</f>
        <v>-0.625</v>
      </c>
      <c r="E949" s="0" t="n">
        <f aca="false">-1+B949*0.125</f>
        <v>-0.5</v>
      </c>
      <c r="F949" s="0" t="n">
        <f aca="false">-1+C949*0.125</f>
        <v>0.125</v>
      </c>
      <c r="G949" s="0" t="n">
        <f aca="false">1</f>
        <v>1</v>
      </c>
      <c r="H949" s="0" t="n">
        <f aca="false">D949</f>
        <v>-0.625</v>
      </c>
      <c r="I949" s="0" t="n">
        <f aca="false">E949</f>
        <v>-0.5</v>
      </c>
      <c r="J949" s="0" t="n">
        <f aca="false">F949</f>
        <v>0.125</v>
      </c>
      <c r="K949" s="0" t="n">
        <f aca="false">D949*E949</f>
        <v>0.3125</v>
      </c>
      <c r="L949" s="0" t="n">
        <f aca="false">D949*F949</f>
        <v>-0.078125</v>
      </c>
      <c r="M949" s="0" t="n">
        <f aca="false">E949*F949</f>
        <v>-0.0625</v>
      </c>
      <c r="N949" s="0" t="n">
        <f aca="false">D949*D949</f>
        <v>0.390625</v>
      </c>
      <c r="O949" s="0" t="n">
        <f aca="false">E949*E949</f>
        <v>0.25</v>
      </c>
      <c r="P949" s="0" t="n">
        <f aca="false">F949*F949</f>
        <v>0.015625</v>
      </c>
      <c r="Q949" s="0" t="n">
        <f aca="false">SUMPRODUCT(G949:P949,_XtX!$B$71:$K$71)</f>
        <v>44.7544176136364</v>
      </c>
      <c r="R949" s="0" t="n">
        <f aca="false">SUMPRODUCT(MMULT(G949:P949,_XtX!$B$58:$K$67),G949:P949)</f>
        <v>0.186545077237216</v>
      </c>
      <c r="S949" s="0" t="n">
        <f aca="false">04_回帰ANOVA!$K$19*04_回帰ANOVA!$K$14*SQRT(1+R949)</f>
        <v>1.01276516970713</v>
      </c>
      <c r="T949" s="0" t="n">
        <f aca="false">Q949-S949</f>
        <v>43.7416524439292</v>
      </c>
      <c r="U949" s="0" t="n">
        <f aca="false">Q949+S949</f>
        <v>45.7671827833435</v>
      </c>
      <c r="V949" s="54" t="b">
        <f aca="false">AND(D949&gt;=01_因子設定!$L$5-0.000000001,D949&lt;=01_因子設定!$M$5+0.000000001,E949&gt;=01_因子設定!$L$6-0.000000001,E949&lt;=01_因子設定!$M$6+0.000000001,F949&gt;=01_因子設定!$L$7-0.000000001,F949&lt;=01_因子設定!$M$7+0.000000001,IF(01_因子設定!$B$20="Box-Behnken",D949^2+E949^2+F949^2&lt;=2+0.000000001,TRUE()))</f>
        <v>1</v>
      </c>
      <c r="W949" s="55" t="n">
        <f aca="false">IF(V949,IF(01_因子設定!$B$13="最大化",T949-01_因子設定!$B$14,IF(01_因子設定!$B$13="最小化",01_因子設定!$B$15-U949,MIN(T949-01_因子設定!$B$14,01_因子設定!$B$15-U949))),-1E+030)</f>
        <v>-4.75834755607077</v>
      </c>
      <c r="X949" s="55" t="n">
        <f aca="false">IF(V949,IF(01_因子設定!$B$13="最大化",Q949,IF(01_因子設定!$B$13="最小化",-Q949,-ABS(Q949-01_因子設定!$B$16))),-1E+030)</f>
        <v>44.7544176136364</v>
      </c>
      <c r="Y949" s="55" t="n">
        <f aca="false">W949+ROW()*0.000000001</f>
        <v>-4.75834660707077</v>
      </c>
      <c r="Z949" s="55" t="n">
        <f aca="false">X949+ROW()*0.000000001</f>
        <v>44.7544185626364</v>
      </c>
    </row>
    <row r="950" customFormat="false" ht="15" hidden="false" customHeight="false" outlineLevel="0" collapsed="false">
      <c r="A950" s="0" t="n">
        <v>3</v>
      </c>
      <c r="B950" s="0" t="n">
        <v>4</v>
      </c>
      <c r="C950" s="0" t="n">
        <v>10</v>
      </c>
      <c r="D950" s="0" t="n">
        <f aca="false">-1+A950*0.125</f>
        <v>-0.625</v>
      </c>
      <c r="E950" s="0" t="n">
        <f aca="false">-1+B950*0.125</f>
        <v>-0.5</v>
      </c>
      <c r="F950" s="0" t="n">
        <f aca="false">-1+C950*0.125</f>
        <v>0.25</v>
      </c>
      <c r="G950" s="0" t="n">
        <f aca="false">1</f>
        <v>1</v>
      </c>
      <c r="H950" s="0" t="n">
        <f aca="false">D950</f>
        <v>-0.625</v>
      </c>
      <c r="I950" s="0" t="n">
        <f aca="false">E950</f>
        <v>-0.5</v>
      </c>
      <c r="J950" s="0" t="n">
        <f aca="false">F950</f>
        <v>0.25</v>
      </c>
      <c r="K950" s="0" t="n">
        <f aca="false">D950*E950</f>
        <v>0.3125</v>
      </c>
      <c r="L950" s="0" t="n">
        <f aca="false">D950*F950</f>
        <v>-0.15625</v>
      </c>
      <c r="M950" s="0" t="n">
        <f aca="false">E950*F950</f>
        <v>-0.125</v>
      </c>
      <c r="N950" s="0" t="n">
        <f aca="false">D950*D950</f>
        <v>0.390625</v>
      </c>
      <c r="O950" s="0" t="n">
        <f aca="false">E950*E950</f>
        <v>0.25</v>
      </c>
      <c r="P950" s="0" t="n">
        <f aca="false">F950*F950</f>
        <v>0.0625</v>
      </c>
      <c r="Q950" s="0" t="n">
        <f aca="false">SUMPRODUCT(G950:P950,_XtX!$B$71:$K$71)</f>
        <v>44.8553267045455</v>
      </c>
      <c r="R950" s="0" t="n">
        <f aca="false">SUMPRODUCT(MMULT(G950:P950,_XtX!$B$58:$K$67),G950:P950)</f>
        <v>0.183866743607955</v>
      </c>
      <c r="S950" s="0" t="n">
        <f aca="false">04_回帰ANOVA!$K$19*04_回帰ANOVA!$K$14*SQRT(1+R950)</f>
        <v>1.01162148983013</v>
      </c>
      <c r="T950" s="0" t="n">
        <f aca="false">Q950-S950</f>
        <v>43.8437052147153</v>
      </c>
      <c r="U950" s="0" t="n">
        <f aca="false">Q950+S950</f>
        <v>45.8669481943756</v>
      </c>
      <c r="V950" s="54" t="b">
        <f aca="false">AND(D950&gt;=01_因子設定!$L$5-0.000000001,D950&lt;=01_因子設定!$M$5+0.000000001,E950&gt;=01_因子設定!$L$6-0.000000001,E950&lt;=01_因子設定!$M$6+0.000000001,F950&gt;=01_因子設定!$L$7-0.000000001,F950&lt;=01_因子設定!$M$7+0.000000001,IF(01_因子設定!$B$20="Box-Behnken",D950^2+E950^2+F950^2&lt;=2+0.000000001,TRUE()))</f>
        <v>1</v>
      </c>
      <c r="W950" s="55" t="n">
        <f aca="false">IF(V950,IF(01_因子設定!$B$13="最大化",T950-01_因子設定!$B$14,IF(01_因子設定!$B$13="最小化",01_因子設定!$B$15-U950,MIN(T950-01_因子設定!$B$14,01_因子設定!$B$15-U950))),-1E+030)</f>
        <v>-4.65629478528468</v>
      </c>
      <c r="X950" s="55" t="n">
        <f aca="false">IF(V950,IF(01_因子設定!$B$13="最大化",Q950,IF(01_因子設定!$B$13="最小化",-Q950,-ABS(Q950-01_因子設定!$B$16))),-1E+030)</f>
        <v>44.8553267045455</v>
      </c>
      <c r="Y950" s="55" t="n">
        <f aca="false">W950+ROW()*0.000000001</f>
        <v>-4.65629383528468</v>
      </c>
      <c r="Z950" s="55" t="n">
        <f aca="false">X950+ROW()*0.000000001</f>
        <v>44.8553276545455</v>
      </c>
    </row>
    <row r="951" customFormat="false" ht="15" hidden="false" customHeight="false" outlineLevel="0" collapsed="false">
      <c r="A951" s="0" t="n">
        <v>3</v>
      </c>
      <c r="B951" s="0" t="n">
        <v>4</v>
      </c>
      <c r="C951" s="0" t="n">
        <v>11</v>
      </c>
      <c r="D951" s="0" t="n">
        <f aca="false">-1+A951*0.125</f>
        <v>-0.625</v>
      </c>
      <c r="E951" s="0" t="n">
        <f aca="false">-1+B951*0.125</f>
        <v>-0.5</v>
      </c>
      <c r="F951" s="0" t="n">
        <f aca="false">-1+C951*0.125</f>
        <v>0.375</v>
      </c>
      <c r="G951" s="0" t="n">
        <f aca="false">1</f>
        <v>1</v>
      </c>
      <c r="H951" s="0" t="n">
        <f aca="false">D951</f>
        <v>-0.625</v>
      </c>
      <c r="I951" s="0" t="n">
        <f aca="false">E951</f>
        <v>-0.5</v>
      </c>
      <c r="J951" s="0" t="n">
        <f aca="false">F951</f>
        <v>0.375</v>
      </c>
      <c r="K951" s="0" t="n">
        <f aca="false">D951*E951</f>
        <v>0.3125</v>
      </c>
      <c r="L951" s="0" t="n">
        <f aca="false">D951*F951</f>
        <v>-0.234375</v>
      </c>
      <c r="M951" s="0" t="n">
        <f aca="false">E951*F951</f>
        <v>-0.1875</v>
      </c>
      <c r="N951" s="0" t="n">
        <f aca="false">D951*D951</f>
        <v>0.390625</v>
      </c>
      <c r="O951" s="0" t="n">
        <f aca="false">E951*E951</f>
        <v>0.25</v>
      </c>
      <c r="P951" s="0" t="n">
        <f aca="false">F951*F951</f>
        <v>0.140625</v>
      </c>
      <c r="Q951" s="0" t="n">
        <f aca="false">SUMPRODUCT(G951:P951,_XtX!$B$71:$K$71)</f>
        <v>44.9194460227273</v>
      </c>
      <c r="R951" s="0" t="n">
        <f aca="false">SUMPRODUCT(MMULT(G951:P951,_XtX!$B$58:$K$67),G951:P951)</f>
        <v>0.182953990589489</v>
      </c>
      <c r="S951" s="0" t="n">
        <f aca="false">04_回帰ANOVA!$K$19*04_回帰ANOVA!$K$14*SQRT(1+R951)</f>
        <v>1.01123143807044</v>
      </c>
      <c r="T951" s="0" t="n">
        <f aca="false">Q951-S951</f>
        <v>43.9082145846568</v>
      </c>
      <c r="U951" s="0" t="n">
        <f aca="false">Q951+S951</f>
        <v>45.9306774607977</v>
      </c>
      <c r="V951" s="54" t="b">
        <f aca="false">AND(D951&gt;=01_因子設定!$L$5-0.000000001,D951&lt;=01_因子設定!$M$5+0.000000001,E951&gt;=01_因子設定!$L$6-0.000000001,E951&lt;=01_因子設定!$M$6+0.000000001,F951&gt;=01_因子設定!$L$7-0.000000001,F951&lt;=01_因子設定!$M$7+0.000000001,IF(01_因子設定!$B$20="Box-Behnken",D951^2+E951^2+F951^2&lt;=2+0.000000001,TRUE()))</f>
        <v>1</v>
      </c>
      <c r="W951" s="55" t="n">
        <f aca="false">IF(V951,IF(01_因子設定!$B$13="最大化",T951-01_因子設定!$B$14,IF(01_因子設定!$B$13="最小化",01_因子設定!$B$15-U951,MIN(T951-01_因子設定!$B$14,01_因子設定!$B$15-U951))),-1E+030)</f>
        <v>-4.59178541534316</v>
      </c>
      <c r="X951" s="55" t="n">
        <f aca="false">IF(V951,IF(01_因子設定!$B$13="最大化",Q951,IF(01_因子設定!$B$13="最小化",-Q951,-ABS(Q951-01_因子設定!$B$16))),-1E+030)</f>
        <v>44.9194460227273</v>
      </c>
      <c r="Y951" s="55" t="n">
        <f aca="false">W951+ROW()*0.000000001</f>
        <v>-4.59178446434316</v>
      </c>
      <c r="Z951" s="55" t="n">
        <f aca="false">X951+ROW()*0.000000001</f>
        <v>44.9194469737273</v>
      </c>
    </row>
    <row r="952" customFormat="false" ht="15" hidden="false" customHeight="false" outlineLevel="0" collapsed="false">
      <c r="A952" s="0" t="n">
        <v>3</v>
      </c>
      <c r="B952" s="0" t="n">
        <v>4</v>
      </c>
      <c r="C952" s="0" t="n">
        <v>12</v>
      </c>
      <c r="D952" s="0" t="n">
        <f aca="false">-1+A952*0.125</f>
        <v>-0.625</v>
      </c>
      <c r="E952" s="0" t="n">
        <f aca="false">-1+B952*0.125</f>
        <v>-0.5</v>
      </c>
      <c r="F952" s="0" t="n">
        <f aca="false">-1+C952*0.125</f>
        <v>0.5</v>
      </c>
      <c r="G952" s="0" t="n">
        <f aca="false">1</f>
        <v>1</v>
      </c>
      <c r="H952" s="0" t="n">
        <f aca="false">D952</f>
        <v>-0.625</v>
      </c>
      <c r="I952" s="0" t="n">
        <f aca="false">E952</f>
        <v>-0.5</v>
      </c>
      <c r="J952" s="0" t="n">
        <f aca="false">F952</f>
        <v>0.5</v>
      </c>
      <c r="K952" s="0" t="n">
        <f aca="false">D952*E952</f>
        <v>0.3125</v>
      </c>
      <c r="L952" s="0" t="n">
        <f aca="false">D952*F952</f>
        <v>-0.3125</v>
      </c>
      <c r="M952" s="0" t="n">
        <f aca="false">E952*F952</f>
        <v>-0.25</v>
      </c>
      <c r="N952" s="0" t="n">
        <f aca="false">D952*D952</f>
        <v>0.390625</v>
      </c>
      <c r="O952" s="0" t="n">
        <f aca="false">E952*E952</f>
        <v>0.25</v>
      </c>
      <c r="P952" s="0" t="n">
        <f aca="false">F952*F952</f>
        <v>0.25</v>
      </c>
      <c r="Q952" s="0" t="n">
        <f aca="false">SUMPRODUCT(G952:P952,_XtX!$B$71:$K$71)</f>
        <v>44.9467755681818</v>
      </c>
      <c r="R952" s="0" t="n">
        <f aca="false">SUMPRODUCT(MMULT(G952:P952,_XtX!$B$58:$K$67),G952:P952)</f>
        <v>0.189133522727273</v>
      </c>
      <c r="S952" s="0" t="n">
        <f aca="false">04_回帰ANOVA!$K$19*04_回帰ANOVA!$K$14*SQRT(1+R952)</f>
        <v>1.0138692404042</v>
      </c>
      <c r="T952" s="0" t="n">
        <f aca="false">Q952-S952</f>
        <v>43.9329063277776</v>
      </c>
      <c r="U952" s="0" t="n">
        <f aca="false">Q952+S952</f>
        <v>45.960644808586</v>
      </c>
      <c r="V952" s="54" t="b">
        <f aca="false">AND(D952&gt;=01_因子設定!$L$5-0.000000001,D952&lt;=01_因子設定!$M$5+0.000000001,E952&gt;=01_因子設定!$L$6-0.000000001,E952&lt;=01_因子設定!$M$6+0.000000001,F952&gt;=01_因子設定!$L$7-0.000000001,F952&lt;=01_因子設定!$M$7+0.000000001,IF(01_因子設定!$B$20="Box-Behnken",D952^2+E952^2+F952^2&lt;=2+0.000000001,TRUE()))</f>
        <v>1</v>
      </c>
      <c r="W952" s="55" t="n">
        <f aca="false">IF(V952,IF(01_因子設定!$B$13="最大化",T952-01_因子設定!$B$14,IF(01_因子設定!$B$13="最小化",01_因子設定!$B$15-U952,MIN(T952-01_因子設定!$B$14,01_因子設定!$B$15-U952))),-1E+030)</f>
        <v>-4.56709367222238</v>
      </c>
      <c r="X952" s="55" t="n">
        <f aca="false">IF(V952,IF(01_因子設定!$B$13="最大化",Q952,IF(01_因子設定!$B$13="最小化",-Q952,-ABS(Q952-01_因子設定!$B$16))),-1E+030)</f>
        <v>44.9467755681818</v>
      </c>
      <c r="Y952" s="55" t="n">
        <f aca="false">W952+ROW()*0.000000001</f>
        <v>-4.56709272022238</v>
      </c>
      <c r="Z952" s="55" t="n">
        <f aca="false">X952+ROW()*0.000000001</f>
        <v>44.9467765201818</v>
      </c>
    </row>
    <row r="953" customFormat="false" ht="15" hidden="false" customHeight="false" outlineLevel="0" collapsed="false">
      <c r="A953" s="0" t="n">
        <v>3</v>
      </c>
      <c r="B953" s="0" t="n">
        <v>4</v>
      </c>
      <c r="C953" s="0" t="n">
        <v>13</v>
      </c>
      <c r="D953" s="0" t="n">
        <f aca="false">-1+A953*0.125</f>
        <v>-0.625</v>
      </c>
      <c r="E953" s="0" t="n">
        <f aca="false">-1+B953*0.125</f>
        <v>-0.5</v>
      </c>
      <c r="F953" s="0" t="n">
        <f aca="false">-1+C953*0.125</f>
        <v>0.625</v>
      </c>
      <c r="G953" s="0" t="n">
        <f aca="false">1</f>
        <v>1</v>
      </c>
      <c r="H953" s="0" t="n">
        <f aca="false">D953</f>
        <v>-0.625</v>
      </c>
      <c r="I953" s="0" t="n">
        <f aca="false">E953</f>
        <v>-0.5</v>
      </c>
      <c r="J953" s="0" t="n">
        <f aca="false">F953</f>
        <v>0.625</v>
      </c>
      <c r="K953" s="0" t="n">
        <f aca="false">D953*E953</f>
        <v>0.3125</v>
      </c>
      <c r="L953" s="0" t="n">
        <f aca="false">D953*F953</f>
        <v>-0.390625</v>
      </c>
      <c r="M953" s="0" t="n">
        <f aca="false">E953*F953</f>
        <v>-0.3125</v>
      </c>
      <c r="N953" s="0" t="n">
        <f aca="false">D953*D953</f>
        <v>0.390625</v>
      </c>
      <c r="O953" s="0" t="n">
        <f aca="false">E953*E953</f>
        <v>0.25</v>
      </c>
      <c r="P953" s="0" t="n">
        <f aca="false">F953*F953</f>
        <v>0.390625</v>
      </c>
      <c r="Q953" s="0" t="n">
        <f aca="false">SUMPRODUCT(G953:P953,_XtX!$B$71:$K$71)</f>
        <v>44.9373153409091</v>
      </c>
      <c r="R953" s="0" t="n">
        <f aca="false">SUMPRODUCT(MMULT(G953:P953,_XtX!$B$58:$K$67),G953:P953)</f>
        <v>0.209862726384943</v>
      </c>
      <c r="S953" s="0" t="n">
        <f aca="false">04_回帰ANOVA!$K$19*04_回帰ANOVA!$K$14*SQRT(1+R953)</f>
        <v>1.0226680420112</v>
      </c>
      <c r="T953" s="0" t="n">
        <f aca="false">Q953-S953</f>
        <v>43.9146472988979</v>
      </c>
      <c r="U953" s="0" t="n">
        <f aca="false">Q953+S953</f>
        <v>45.9599833829203</v>
      </c>
      <c r="V953" s="54" t="b">
        <f aca="false">AND(D953&gt;=01_因子設定!$L$5-0.000000001,D953&lt;=01_因子設定!$M$5+0.000000001,E953&gt;=01_因子設定!$L$6-0.000000001,E953&lt;=01_因子設定!$M$6+0.000000001,F953&gt;=01_因子設定!$L$7-0.000000001,F953&lt;=01_因子設定!$M$7+0.000000001,IF(01_因子設定!$B$20="Box-Behnken",D953^2+E953^2+F953^2&lt;=2+0.000000001,TRUE()))</f>
        <v>1</v>
      </c>
      <c r="W953" s="55" t="n">
        <f aca="false">IF(V953,IF(01_因子設定!$B$13="最大化",T953-01_因子設定!$B$14,IF(01_因子設定!$B$13="最小化",01_因子設定!$B$15-U953,MIN(T953-01_因子設定!$B$14,01_因子設定!$B$15-U953))),-1E+030)</f>
        <v>-4.5853527011021</v>
      </c>
      <c r="X953" s="55" t="n">
        <f aca="false">IF(V953,IF(01_因子設定!$B$13="最大化",Q953,IF(01_因子設定!$B$13="最小化",-Q953,-ABS(Q953-01_因子設定!$B$16))),-1E+030)</f>
        <v>44.9373153409091</v>
      </c>
      <c r="Y953" s="55" t="n">
        <f aca="false">W953+ROW()*0.000000001</f>
        <v>-4.5853517481021</v>
      </c>
      <c r="Z953" s="55" t="n">
        <f aca="false">X953+ROW()*0.000000001</f>
        <v>44.9373162939091</v>
      </c>
    </row>
    <row r="954" customFormat="false" ht="15" hidden="false" customHeight="false" outlineLevel="0" collapsed="false">
      <c r="A954" s="0" t="n">
        <v>3</v>
      </c>
      <c r="B954" s="0" t="n">
        <v>4</v>
      </c>
      <c r="C954" s="0" t="n">
        <v>14</v>
      </c>
      <c r="D954" s="0" t="n">
        <f aca="false">-1+A954*0.125</f>
        <v>-0.625</v>
      </c>
      <c r="E954" s="0" t="n">
        <f aca="false">-1+B954*0.125</f>
        <v>-0.5</v>
      </c>
      <c r="F954" s="0" t="n">
        <f aca="false">-1+C954*0.125</f>
        <v>0.75</v>
      </c>
      <c r="G954" s="0" t="n">
        <f aca="false">1</f>
        <v>1</v>
      </c>
      <c r="H954" s="0" t="n">
        <f aca="false">D954</f>
        <v>-0.625</v>
      </c>
      <c r="I954" s="0" t="n">
        <f aca="false">E954</f>
        <v>-0.5</v>
      </c>
      <c r="J954" s="0" t="n">
        <f aca="false">F954</f>
        <v>0.75</v>
      </c>
      <c r="K954" s="0" t="n">
        <f aca="false">D954*E954</f>
        <v>0.3125</v>
      </c>
      <c r="L954" s="0" t="n">
        <f aca="false">D954*F954</f>
        <v>-0.46875</v>
      </c>
      <c r="M954" s="0" t="n">
        <f aca="false">E954*F954</f>
        <v>-0.375</v>
      </c>
      <c r="N954" s="0" t="n">
        <f aca="false">D954*D954</f>
        <v>0.390625</v>
      </c>
      <c r="O954" s="0" t="n">
        <f aca="false">E954*E954</f>
        <v>0.25</v>
      </c>
      <c r="P954" s="0" t="n">
        <f aca="false">F954*F954</f>
        <v>0.5625</v>
      </c>
      <c r="Q954" s="0" t="n">
        <f aca="false">SUMPRODUCT(G954:P954,_XtX!$B$71:$K$71)</f>
        <v>44.8910653409091</v>
      </c>
      <c r="R954" s="0" t="n">
        <f aca="false">SUMPRODUCT(MMULT(G954:P954,_XtX!$B$58:$K$67),G954:P954)</f>
        <v>0.254729669744318</v>
      </c>
      <c r="S954" s="0" t="n">
        <f aca="false">04_回帰ANOVA!$K$19*04_回帰ANOVA!$K$14*SQRT(1+R954)</f>
        <v>1.04145790281631</v>
      </c>
      <c r="T954" s="0" t="n">
        <f aca="false">Q954-S954</f>
        <v>43.8496074380928</v>
      </c>
      <c r="U954" s="0" t="n">
        <f aca="false">Q954+S954</f>
        <v>45.9325232437254</v>
      </c>
      <c r="V954" s="54" t="b">
        <f aca="false">AND(D954&gt;=01_因子設定!$L$5-0.000000001,D954&lt;=01_因子設定!$M$5+0.000000001,E954&gt;=01_因子設定!$L$6-0.000000001,E954&lt;=01_因子設定!$M$6+0.000000001,F954&gt;=01_因子設定!$L$7-0.000000001,F954&lt;=01_因子設定!$M$7+0.000000001,IF(01_因子設定!$B$20="Box-Behnken",D954^2+E954^2+F954^2&lt;=2+0.000000001,TRUE()))</f>
        <v>1</v>
      </c>
      <c r="W954" s="55" t="n">
        <f aca="false">IF(V954,IF(01_因子設定!$B$13="最大化",T954-01_因子設定!$B$14,IF(01_因子設定!$B$13="最小化",01_因子設定!$B$15-U954,MIN(T954-01_因子設定!$B$14,01_因子設定!$B$15-U954))),-1E+030)</f>
        <v>-4.65039256190721</v>
      </c>
      <c r="X954" s="55" t="n">
        <f aca="false">IF(V954,IF(01_因子設定!$B$13="最大化",Q954,IF(01_因子設定!$B$13="最小化",-Q954,-ABS(Q954-01_因子設定!$B$16))),-1E+030)</f>
        <v>44.8910653409091</v>
      </c>
      <c r="Y954" s="55" t="n">
        <f aca="false">W954+ROW()*0.000000001</f>
        <v>-4.65039160790721</v>
      </c>
      <c r="Z954" s="55" t="n">
        <f aca="false">X954+ROW()*0.000000001</f>
        <v>44.8910662949091</v>
      </c>
    </row>
    <row r="955" customFormat="false" ht="15" hidden="false" customHeight="false" outlineLevel="0" collapsed="false">
      <c r="A955" s="0" t="n">
        <v>3</v>
      </c>
      <c r="B955" s="0" t="n">
        <v>4</v>
      </c>
      <c r="C955" s="0" t="n">
        <v>15</v>
      </c>
      <c r="D955" s="0" t="n">
        <f aca="false">-1+A955*0.125</f>
        <v>-0.625</v>
      </c>
      <c r="E955" s="0" t="n">
        <f aca="false">-1+B955*0.125</f>
        <v>-0.5</v>
      </c>
      <c r="F955" s="0" t="n">
        <f aca="false">-1+C955*0.125</f>
        <v>0.875</v>
      </c>
      <c r="G955" s="0" t="n">
        <f aca="false">1</f>
        <v>1</v>
      </c>
      <c r="H955" s="0" t="n">
        <f aca="false">D955</f>
        <v>-0.625</v>
      </c>
      <c r="I955" s="0" t="n">
        <f aca="false">E955</f>
        <v>-0.5</v>
      </c>
      <c r="J955" s="0" t="n">
        <f aca="false">F955</f>
        <v>0.875</v>
      </c>
      <c r="K955" s="0" t="n">
        <f aca="false">D955*E955</f>
        <v>0.3125</v>
      </c>
      <c r="L955" s="0" t="n">
        <f aca="false">D955*F955</f>
        <v>-0.546875</v>
      </c>
      <c r="M955" s="0" t="n">
        <f aca="false">E955*F955</f>
        <v>-0.4375</v>
      </c>
      <c r="N955" s="0" t="n">
        <f aca="false">D955*D955</f>
        <v>0.390625</v>
      </c>
      <c r="O955" s="0" t="n">
        <f aca="false">E955*E955</f>
        <v>0.25</v>
      </c>
      <c r="P955" s="0" t="n">
        <f aca="false">F955*F955</f>
        <v>0.765625</v>
      </c>
      <c r="Q955" s="0" t="n">
        <f aca="false">SUMPRODUCT(G955:P955,_XtX!$B$71:$K$71)</f>
        <v>44.8080255681818</v>
      </c>
      <c r="R955" s="0" t="n">
        <f aca="false">SUMPRODUCT(MMULT(G955:P955,_XtX!$B$58:$K$67),G955:P955)</f>
        <v>0.335453102805398</v>
      </c>
      <c r="S955" s="0" t="n">
        <f aca="false">04_回帰ANOVA!$K$19*04_回帰ANOVA!$K$14*SQRT(1+R955)</f>
        <v>1.07443700305628</v>
      </c>
      <c r="T955" s="0" t="n">
        <f aca="false">Q955-S955</f>
        <v>43.7335885651256</v>
      </c>
      <c r="U955" s="0" t="n">
        <f aca="false">Q955+S955</f>
        <v>45.8824625712381</v>
      </c>
      <c r="V955" s="54" t="b">
        <f aca="false">AND(D955&gt;=01_因子設定!$L$5-0.000000001,D955&lt;=01_因子設定!$M$5+0.000000001,E955&gt;=01_因子設定!$L$6-0.000000001,E955&lt;=01_因子設定!$M$6+0.000000001,F955&gt;=01_因子設定!$L$7-0.000000001,F955&lt;=01_因子設定!$M$7+0.000000001,IF(01_因子設定!$B$20="Box-Behnken",D955^2+E955^2+F955^2&lt;=2+0.000000001,TRUE()))</f>
        <v>1</v>
      </c>
      <c r="W955" s="55" t="n">
        <f aca="false">IF(V955,IF(01_因子設定!$B$13="最大化",T955-01_因子設定!$B$14,IF(01_因子設定!$B$13="最小化",01_因子設定!$B$15-U955,MIN(T955-01_因子設定!$B$14,01_因子設定!$B$15-U955))),-1E+030)</f>
        <v>-4.76641143487444</v>
      </c>
      <c r="X955" s="55" t="n">
        <f aca="false">IF(V955,IF(01_因子設定!$B$13="最大化",Q955,IF(01_因子設定!$B$13="最小化",-Q955,-ABS(Q955-01_因子設定!$B$16))),-1E+030)</f>
        <v>44.8080255681818</v>
      </c>
      <c r="Y955" s="55" t="n">
        <f aca="false">W955+ROW()*0.000000001</f>
        <v>-4.76641047987444</v>
      </c>
      <c r="Z955" s="55" t="n">
        <f aca="false">X955+ROW()*0.000000001</f>
        <v>44.8080265231818</v>
      </c>
    </row>
    <row r="956" customFormat="false" ht="15" hidden="false" customHeight="false" outlineLevel="0" collapsed="false">
      <c r="A956" s="0" t="n">
        <v>3</v>
      </c>
      <c r="B956" s="0" t="n">
        <v>4</v>
      </c>
      <c r="C956" s="0" t="n">
        <v>16</v>
      </c>
      <c r="D956" s="0" t="n">
        <f aca="false">-1+A956*0.125</f>
        <v>-0.625</v>
      </c>
      <c r="E956" s="0" t="n">
        <f aca="false">-1+B956*0.125</f>
        <v>-0.5</v>
      </c>
      <c r="F956" s="0" t="n">
        <f aca="false">-1+C956*0.125</f>
        <v>1</v>
      </c>
      <c r="G956" s="0" t="n">
        <f aca="false">1</f>
        <v>1</v>
      </c>
      <c r="H956" s="0" t="n">
        <f aca="false">D956</f>
        <v>-0.625</v>
      </c>
      <c r="I956" s="0" t="n">
        <f aca="false">E956</f>
        <v>-0.5</v>
      </c>
      <c r="J956" s="0" t="n">
        <f aca="false">F956</f>
        <v>1</v>
      </c>
      <c r="K956" s="0" t="n">
        <f aca="false">D956*E956</f>
        <v>0.3125</v>
      </c>
      <c r="L956" s="0" t="n">
        <f aca="false">D956*F956</f>
        <v>-0.625</v>
      </c>
      <c r="M956" s="0" t="n">
        <f aca="false">E956*F956</f>
        <v>-0.5</v>
      </c>
      <c r="N956" s="0" t="n">
        <f aca="false">D956*D956</f>
        <v>0.390625</v>
      </c>
      <c r="O956" s="0" t="n">
        <f aca="false">E956*E956</f>
        <v>0.25</v>
      </c>
      <c r="P956" s="0" t="n">
        <f aca="false">F956*F956</f>
        <v>1</v>
      </c>
      <c r="Q956" s="0" t="n">
        <f aca="false">SUMPRODUCT(G956:P956,_XtX!$B$71:$K$71)</f>
        <v>44.6881960227273</v>
      </c>
      <c r="R956" s="0" t="n">
        <f aca="false">SUMPRODUCT(MMULT(G956:P956,_XtX!$B$58:$K$67),G956:P956)</f>
        <v>0.465882457386364</v>
      </c>
      <c r="S956" s="0" t="n">
        <f aca="false">04_回帰ANOVA!$K$19*04_回帰ANOVA!$K$14*SQRT(1+R956)</f>
        <v>1.12568326538173</v>
      </c>
      <c r="T956" s="0" t="n">
        <f aca="false">Q956-S956</f>
        <v>43.5625127573456</v>
      </c>
      <c r="U956" s="0" t="n">
        <f aca="false">Q956+S956</f>
        <v>45.813879288109</v>
      </c>
      <c r="V956" s="54" t="b">
        <f aca="false">AND(D956&gt;=01_因子設定!$L$5-0.000000001,D956&lt;=01_因子設定!$M$5+0.000000001,E956&gt;=01_因子設定!$L$6-0.000000001,E956&lt;=01_因子設定!$M$6+0.000000001,F956&gt;=01_因子設定!$L$7-0.000000001,F956&lt;=01_因子設定!$M$7+0.000000001,IF(01_因子設定!$B$20="Box-Behnken",D956^2+E956^2+F956^2&lt;=2+0.000000001,TRUE()))</f>
        <v>1</v>
      </c>
      <c r="W956" s="55" t="n">
        <f aca="false">IF(V956,IF(01_因子設定!$B$13="最大化",T956-01_因子設定!$B$14,IF(01_因子設定!$B$13="最小化",01_因子設定!$B$15-U956,MIN(T956-01_因子設定!$B$14,01_因子設定!$B$15-U956))),-1E+030)</f>
        <v>-4.93748724265443</v>
      </c>
      <c r="X956" s="55" t="n">
        <f aca="false">IF(V956,IF(01_因子設定!$B$13="最大化",Q956,IF(01_因子設定!$B$13="最小化",-Q956,-ABS(Q956-01_因子設定!$B$16))),-1E+030)</f>
        <v>44.6881960227273</v>
      </c>
      <c r="Y956" s="55" t="n">
        <f aca="false">W956+ROW()*0.000000001</f>
        <v>-4.93748628665443</v>
      </c>
      <c r="Z956" s="55" t="n">
        <f aca="false">X956+ROW()*0.000000001</f>
        <v>44.6881969787273</v>
      </c>
    </row>
    <row r="957" customFormat="false" ht="15" hidden="false" customHeight="false" outlineLevel="0" collapsed="false">
      <c r="A957" s="0" t="n">
        <v>3</v>
      </c>
      <c r="B957" s="0" t="n">
        <v>5</v>
      </c>
      <c r="C957" s="0" t="n">
        <v>0</v>
      </c>
      <c r="D957" s="0" t="n">
        <f aca="false">-1+A957*0.125</f>
        <v>-0.625</v>
      </c>
      <c r="E957" s="0" t="n">
        <f aca="false">-1+B957*0.125</f>
        <v>-0.375</v>
      </c>
      <c r="F957" s="0" t="n">
        <f aca="false">-1+C957*0.125</f>
        <v>-1</v>
      </c>
      <c r="G957" s="0" t="n">
        <f aca="false">1</f>
        <v>1</v>
      </c>
      <c r="H957" s="0" t="n">
        <f aca="false">D957</f>
        <v>-0.625</v>
      </c>
      <c r="I957" s="0" t="n">
        <f aca="false">E957</f>
        <v>-0.375</v>
      </c>
      <c r="J957" s="0" t="n">
        <f aca="false">F957</f>
        <v>-1</v>
      </c>
      <c r="K957" s="0" t="n">
        <f aca="false">D957*E957</f>
        <v>0.234375</v>
      </c>
      <c r="L957" s="0" t="n">
        <f aca="false">D957*F957</f>
        <v>0.625</v>
      </c>
      <c r="M957" s="0" t="n">
        <f aca="false">E957*F957</f>
        <v>0.375</v>
      </c>
      <c r="N957" s="0" t="n">
        <f aca="false">D957*D957</f>
        <v>0.390625</v>
      </c>
      <c r="O957" s="0" t="n">
        <f aca="false">E957*E957</f>
        <v>0.140625</v>
      </c>
      <c r="P957" s="0" t="n">
        <f aca="false">F957*F957</f>
        <v>1</v>
      </c>
      <c r="Q957" s="0" t="n">
        <f aca="false">SUMPRODUCT(G957:P957,_XtX!$B$71:$K$71)</f>
        <v>42.5192258522728</v>
      </c>
      <c r="R957" s="0" t="n">
        <f aca="false">SUMPRODUCT(MMULT(G957:P957,_XtX!$B$58:$K$67),G957:P957)</f>
        <v>0.471821178089489</v>
      </c>
      <c r="S957" s="0" t="n">
        <f aca="false">04_回帰ANOVA!$K$19*04_回帰ANOVA!$K$14*SQRT(1+R957)</f>
        <v>1.12796119746125</v>
      </c>
      <c r="T957" s="0" t="n">
        <f aca="false">Q957-S957</f>
        <v>41.3912646548115</v>
      </c>
      <c r="U957" s="0" t="n">
        <f aca="false">Q957+S957</f>
        <v>43.647187049734</v>
      </c>
      <c r="V957" s="54" t="b">
        <f aca="false">AND(D957&gt;=01_因子設定!$L$5-0.000000001,D957&lt;=01_因子設定!$M$5+0.000000001,E957&gt;=01_因子設定!$L$6-0.000000001,E957&lt;=01_因子設定!$M$6+0.000000001,F957&gt;=01_因子設定!$L$7-0.000000001,F957&lt;=01_因子設定!$M$7+0.000000001,IF(01_因子設定!$B$20="Box-Behnken",D957^2+E957^2+F957^2&lt;=2+0.000000001,TRUE()))</f>
        <v>1</v>
      </c>
      <c r="W957" s="55" t="n">
        <f aca="false">IF(V957,IF(01_因子設定!$B$13="最大化",T957-01_因子設定!$B$14,IF(01_因子設定!$B$13="最小化",01_因子設定!$B$15-U957,MIN(T957-01_因子設定!$B$14,01_因子設定!$B$15-U957))),-1E+030)</f>
        <v>-7.10873534518851</v>
      </c>
      <c r="X957" s="55" t="n">
        <f aca="false">IF(V957,IF(01_因子設定!$B$13="最大化",Q957,IF(01_因子設定!$B$13="最小化",-Q957,-ABS(Q957-01_因子設定!$B$16))),-1E+030)</f>
        <v>42.5192258522728</v>
      </c>
      <c r="Y957" s="55" t="n">
        <f aca="false">W957+ROW()*0.000000001</f>
        <v>-7.10873438818851</v>
      </c>
      <c r="Z957" s="55" t="n">
        <f aca="false">X957+ROW()*0.000000001</f>
        <v>42.5192268092727</v>
      </c>
    </row>
    <row r="958" customFormat="false" ht="15" hidden="false" customHeight="false" outlineLevel="0" collapsed="false">
      <c r="A958" s="0" t="n">
        <v>3</v>
      </c>
      <c r="B958" s="0" t="n">
        <v>5</v>
      </c>
      <c r="C958" s="0" t="n">
        <v>1</v>
      </c>
      <c r="D958" s="0" t="n">
        <f aca="false">-1+A958*0.125</f>
        <v>-0.625</v>
      </c>
      <c r="E958" s="0" t="n">
        <f aca="false">-1+B958*0.125</f>
        <v>-0.375</v>
      </c>
      <c r="F958" s="0" t="n">
        <f aca="false">-1+C958*0.125</f>
        <v>-0.875</v>
      </c>
      <c r="G958" s="0" t="n">
        <f aca="false">1</f>
        <v>1</v>
      </c>
      <c r="H958" s="0" t="n">
        <f aca="false">D958</f>
        <v>-0.625</v>
      </c>
      <c r="I958" s="0" t="n">
        <f aca="false">E958</f>
        <v>-0.375</v>
      </c>
      <c r="J958" s="0" t="n">
        <f aca="false">F958</f>
        <v>-0.875</v>
      </c>
      <c r="K958" s="0" t="n">
        <f aca="false">D958*E958</f>
        <v>0.234375</v>
      </c>
      <c r="L958" s="0" t="n">
        <f aca="false">D958*F958</f>
        <v>0.546875</v>
      </c>
      <c r="M958" s="0" t="n">
        <f aca="false">E958*F958</f>
        <v>0.328125</v>
      </c>
      <c r="N958" s="0" t="n">
        <f aca="false">D958*D958</f>
        <v>0.390625</v>
      </c>
      <c r="O958" s="0" t="n">
        <f aca="false">E958*E958</f>
        <v>0.140625</v>
      </c>
      <c r="P958" s="0" t="n">
        <f aca="false">F958*F958</f>
        <v>0.765625</v>
      </c>
      <c r="Q958" s="0" t="n">
        <f aca="false">SUMPRODUCT(G958:P958,_XtX!$B$71:$K$71)</f>
        <v>42.9582741477273</v>
      </c>
      <c r="R958" s="0" t="n">
        <f aca="false">SUMPRODUCT(MMULT(G958:P958,_XtX!$B$58:$K$67),G958:P958)</f>
        <v>0.337604869495739</v>
      </c>
      <c r="S958" s="0" t="n">
        <f aca="false">04_回帰ANOVA!$K$19*04_回帰ANOVA!$K$14*SQRT(1+R958)</f>
        <v>1.07530225516193</v>
      </c>
      <c r="T958" s="0" t="n">
        <f aca="false">Q958-S958</f>
        <v>41.8829718925654</v>
      </c>
      <c r="U958" s="0" t="n">
        <f aca="false">Q958+S958</f>
        <v>44.0335764028892</v>
      </c>
      <c r="V958" s="54" t="b">
        <f aca="false">AND(D958&gt;=01_因子設定!$L$5-0.000000001,D958&lt;=01_因子設定!$M$5+0.000000001,E958&gt;=01_因子設定!$L$6-0.000000001,E958&lt;=01_因子設定!$M$6+0.000000001,F958&gt;=01_因子設定!$L$7-0.000000001,F958&lt;=01_因子設定!$M$7+0.000000001,IF(01_因子設定!$B$20="Box-Behnken",D958^2+E958^2+F958^2&lt;=2+0.000000001,TRUE()))</f>
        <v>1</v>
      </c>
      <c r="W958" s="55" t="n">
        <f aca="false">IF(V958,IF(01_因子設定!$B$13="最大化",T958-01_因子設定!$B$14,IF(01_因子設定!$B$13="最小化",01_因子設定!$B$15-U958,MIN(T958-01_因子設定!$B$14,01_因子設定!$B$15-U958))),-1E+030)</f>
        <v>-6.61702810743464</v>
      </c>
      <c r="X958" s="55" t="n">
        <f aca="false">IF(V958,IF(01_因子設定!$B$13="最大化",Q958,IF(01_因子設定!$B$13="最小化",-Q958,-ABS(Q958-01_因子設定!$B$16))),-1E+030)</f>
        <v>42.9582741477273</v>
      </c>
      <c r="Y958" s="55" t="n">
        <f aca="false">W958+ROW()*0.000000001</f>
        <v>-6.61702714943464</v>
      </c>
      <c r="Z958" s="55" t="n">
        <f aca="false">X958+ROW()*0.000000001</f>
        <v>42.9582751057273</v>
      </c>
    </row>
    <row r="959" customFormat="false" ht="15" hidden="false" customHeight="false" outlineLevel="0" collapsed="false">
      <c r="A959" s="0" t="n">
        <v>3</v>
      </c>
      <c r="B959" s="0" t="n">
        <v>5</v>
      </c>
      <c r="C959" s="0" t="n">
        <v>2</v>
      </c>
      <c r="D959" s="0" t="n">
        <f aca="false">-1+A959*0.125</f>
        <v>-0.625</v>
      </c>
      <c r="E959" s="0" t="n">
        <f aca="false">-1+B959*0.125</f>
        <v>-0.375</v>
      </c>
      <c r="F959" s="0" t="n">
        <f aca="false">-1+C959*0.125</f>
        <v>-0.75</v>
      </c>
      <c r="G959" s="0" t="n">
        <f aca="false">1</f>
        <v>1</v>
      </c>
      <c r="H959" s="0" t="n">
        <f aca="false">D959</f>
        <v>-0.625</v>
      </c>
      <c r="I959" s="0" t="n">
        <f aca="false">E959</f>
        <v>-0.375</v>
      </c>
      <c r="J959" s="0" t="n">
        <f aca="false">F959</f>
        <v>-0.75</v>
      </c>
      <c r="K959" s="0" t="n">
        <f aca="false">D959*E959</f>
        <v>0.234375</v>
      </c>
      <c r="L959" s="0" t="n">
        <f aca="false">D959*F959</f>
        <v>0.46875</v>
      </c>
      <c r="M959" s="0" t="n">
        <f aca="false">E959*F959</f>
        <v>0.28125</v>
      </c>
      <c r="N959" s="0" t="n">
        <f aca="false">D959*D959</f>
        <v>0.390625</v>
      </c>
      <c r="O959" s="0" t="n">
        <f aca="false">E959*E959</f>
        <v>0.140625</v>
      </c>
      <c r="P959" s="0" t="n">
        <f aca="false">F959*F959</f>
        <v>0.5625</v>
      </c>
      <c r="Q959" s="0" t="n">
        <f aca="false">SUMPRODUCT(G959:P959,_XtX!$B$71:$K$71)</f>
        <v>43.3605326704546</v>
      </c>
      <c r="R959" s="0" t="n">
        <f aca="false">SUMPRODUCT(MMULT(G959:P959,_XtX!$B$58:$K$67),G959:P959)</f>
        <v>0.25359940962358</v>
      </c>
      <c r="S959" s="0" t="n">
        <f aca="false">04_回帰ANOVA!$K$19*04_回帰ANOVA!$K$14*SQRT(1+R959)</f>
        <v>1.04098872464599</v>
      </c>
      <c r="T959" s="0" t="n">
        <f aca="false">Q959-S959</f>
        <v>42.3195439458086</v>
      </c>
      <c r="U959" s="0" t="n">
        <f aca="false">Q959+S959</f>
        <v>44.4015213951005</v>
      </c>
      <c r="V959" s="54" t="b">
        <f aca="false">AND(D959&gt;=01_因子設定!$L$5-0.000000001,D959&lt;=01_因子設定!$M$5+0.000000001,E959&gt;=01_因子設定!$L$6-0.000000001,E959&lt;=01_因子設定!$M$6+0.000000001,F959&gt;=01_因子設定!$L$7-0.000000001,F959&lt;=01_因子設定!$M$7+0.000000001,IF(01_因子設定!$B$20="Box-Behnken",D959^2+E959^2+F959^2&lt;=2+0.000000001,TRUE()))</f>
        <v>1</v>
      </c>
      <c r="W959" s="55" t="n">
        <f aca="false">IF(V959,IF(01_因子設定!$B$13="最大化",T959-01_因子設定!$B$14,IF(01_因子設定!$B$13="最小化",01_因子設定!$B$15-U959,MIN(T959-01_因子設定!$B$14,01_因子設定!$B$15-U959))),-1E+030)</f>
        <v>-6.18045605419142</v>
      </c>
      <c r="X959" s="55" t="n">
        <f aca="false">IF(V959,IF(01_因子設定!$B$13="最大化",Q959,IF(01_因子設定!$B$13="最小化",-Q959,-ABS(Q959-01_因子設定!$B$16))),-1E+030)</f>
        <v>43.3605326704546</v>
      </c>
      <c r="Y959" s="55" t="n">
        <f aca="false">W959+ROW()*0.000000001</f>
        <v>-6.18045509519142</v>
      </c>
      <c r="Z959" s="55" t="n">
        <f aca="false">X959+ROW()*0.000000001</f>
        <v>43.3605336294546</v>
      </c>
    </row>
    <row r="960" customFormat="false" ht="15" hidden="false" customHeight="false" outlineLevel="0" collapsed="false">
      <c r="A960" s="0" t="n">
        <v>3</v>
      </c>
      <c r="B960" s="0" t="n">
        <v>5</v>
      </c>
      <c r="C960" s="0" t="n">
        <v>3</v>
      </c>
      <c r="D960" s="0" t="n">
        <f aca="false">-1+A960*0.125</f>
        <v>-0.625</v>
      </c>
      <c r="E960" s="0" t="n">
        <f aca="false">-1+B960*0.125</f>
        <v>-0.375</v>
      </c>
      <c r="F960" s="0" t="n">
        <f aca="false">-1+C960*0.125</f>
        <v>-0.625</v>
      </c>
      <c r="G960" s="0" t="n">
        <f aca="false">1</f>
        <v>1</v>
      </c>
      <c r="H960" s="0" t="n">
        <f aca="false">D960</f>
        <v>-0.625</v>
      </c>
      <c r="I960" s="0" t="n">
        <f aca="false">E960</f>
        <v>-0.375</v>
      </c>
      <c r="J960" s="0" t="n">
        <f aca="false">F960</f>
        <v>-0.625</v>
      </c>
      <c r="K960" s="0" t="n">
        <f aca="false">D960*E960</f>
        <v>0.234375</v>
      </c>
      <c r="L960" s="0" t="n">
        <f aca="false">D960*F960</f>
        <v>0.390625</v>
      </c>
      <c r="M960" s="0" t="n">
        <f aca="false">E960*F960</f>
        <v>0.234375</v>
      </c>
      <c r="N960" s="0" t="n">
        <f aca="false">D960*D960</f>
        <v>0.390625</v>
      </c>
      <c r="O960" s="0" t="n">
        <f aca="false">E960*E960</f>
        <v>0.140625</v>
      </c>
      <c r="P960" s="0" t="n">
        <f aca="false">F960*F960</f>
        <v>0.390625</v>
      </c>
      <c r="Q960" s="0" t="n">
        <f aca="false">SUMPRODUCT(G960:P960,_XtX!$B$71:$K$71)</f>
        <v>43.7260014204546</v>
      </c>
      <c r="R960" s="0" t="n">
        <f aca="false">SUMPRODUCT(MMULT(G960:P960,_XtX!$B$58:$K$67),G960:P960)</f>
        <v>0.20595536665483</v>
      </c>
      <c r="S960" s="0" t="n">
        <f aca="false">04_回帰ANOVA!$K$19*04_回帰ANOVA!$K$14*SQRT(1+R960)</f>
        <v>1.02101530762963</v>
      </c>
      <c r="T960" s="0" t="n">
        <f aca="false">Q960-S960</f>
        <v>42.7049861128249</v>
      </c>
      <c r="U960" s="0" t="n">
        <f aca="false">Q960+S960</f>
        <v>44.7470167280842</v>
      </c>
      <c r="V960" s="54" t="b">
        <f aca="false">AND(D960&gt;=01_因子設定!$L$5-0.000000001,D960&lt;=01_因子設定!$M$5+0.000000001,E960&gt;=01_因子設定!$L$6-0.000000001,E960&lt;=01_因子設定!$M$6+0.000000001,F960&gt;=01_因子設定!$L$7-0.000000001,F960&lt;=01_因子設定!$M$7+0.000000001,IF(01_因子設定!$B$20="Box-Behnken",D960^2+E960^2+F960^2&lt;=2+0.000000001,TRUE()))</f>
        <v>1</v>
      </c>
      <c r="W960" s="55" t="n">
        <f aca="false">IF(V960,IF(01_因子設定!$B$13="最大化",T960-01_因子設定!$B$14,IF(01_因子設定!$B$13="最小化",01_因子設定!$B$15-U960,MIN(T960-01_因子設定!$B$14,01_因子設定!$B$15-U960))),-1E+030)</f>
        <v>-5.79501388717507</v>
      </c>
      <c r="X960" s="55" t="n">
        <f aca="false">IF(V960,IF(01_因子設定!$B$13="最大化",Q960,IF(01_因子設定!$B$13="最小化",-Q960,-ABS(Q960-01_因子設定!$B$16))),-1E+030)</f>
        <v>43.7260014204546</v>
      </c>
      <c r="Y960" s="55" t="n">
        <f aca="false">W960+ROW()*0.000000001</f>
        <v>-5.79501292717507</v>
      </c>
      <c r="Z960" s="55" t="n">
        <f aca="false">X960+ROW()*0.000000001</f>
        <v>43.7260023804546</v>
      </c>
    </row>
    <row r="961" customFormat="false" ht="15" hidden="false" customHeight="false" outlineLevel="0" collapsed="false">
      <c r="A961" s="0" t="n">
        <v>3</v>
      </c>
      <c r="B961" s="0" t="n">
        <v>5</v>
      </c>
      <c r="C961" s="0" t="n">
        <v>4</v>
      </c>
      <c r="D961" s="0" t="n">
        <f aca="false">-1+A961*0.125</f>
        <v>-0.625</v>
      </c>
      <c r="E961" s="0" t="n">
        <f aca="false">-1+B961*0.125</f>
        <v>-0.375</v>
      </c>
      <c r="F961" s="0" t="n">
        <f aca="false">-1+C961*0.125</f>
        <v>-0.5</v>
      </c>
      <c r="G961" s="0" t="n">
        <f aca="false">1</f>
        <v>1</v>
      </c>
      <c r="H961" s="0" t="n">
        <f aca="false">D961</f>
        <v>-0.625</v>
      </c>
      <c r="I961" s="0" t="n">
        <f aca="false">E961</f>
        <v>-0.375</v>
      </c>
      <c r="J961" s="0" t="n">
        <f aca="false">F961</f>
        <v>-0.5</v>
      </c>
      <c r="K961" s="0" t="n">
        <f aca="false">D961*E961</f>
        <v>0.234375</v>
      </c>
      <c r="L961" s="0" t="n">
        <f aca="false">D961*F961</f>
        <v>0.3125</v>
      </c>
      <c r="M961" s="0" t="n">
        <f aca="false">E961*F961</f>
        <v>0.1875</v>
      </c>
      <c r="N961" s="0" t="n">
        <f aca="false">D961*D961</f>
        <v>0.390625</v>
      </c>
      <c r="O961" s="0" t="n">
        <f aca="false">E961*E961</f>
        <v>0.140625</v>
      </c>
      <c r="P961" s="0" t="n">
        <f aca="false">F961*F961</f>
        <v>0.25</v>
      </c>
      <c r="Q961" s="0" t="n">
        <f aca="false">SUMPRODUCT(G961:P961,_XtX!$B$71:$K$71)</f>
        <v>44.0546803977273</v>
      </c>
      <c r="R961" s="0" t="n">
        <f aca="false">SUMPRODUCT(MMULT(G961:P961,_XtX!$B$58:$K$67),G961:P961)</f>
        <v>0.182953990589489</v>
      </c>
      <c r="S961" s="0" t="n">
        <f aca="false">04_回帰ANOVA!$K$19*04_回帰ANOVA!$K$14*SQRT(1+R961)</f>
        <v>1.01123143807044</v>
      </c>
      <c r="T961" s="0" t="n">
        <f aca="false">Q961-S961</f>
        <v>43.0434489596568</v>
      </c>
      <c r="U961" s="0" t="n">
        <f aca="false">Q961+S961</f>
        <v>45.0659118357977</v>
      </c>
      <c r="V961" s="54" t="b">
        <f aca="false">AND(D961&gt;=01_因子設定!$L$5-0.000000001,D961&lt;=01_因子設定!$M$5+0.000000001,E961&gt;=01_因子設定!$L$6-0.000000001,E961&lt;=01_因子設定!$M$6+0.000000001,F961&gt;=01_因子設定!$L$7-0.000000001,F961&lt;=01_因子設定!$M$7+0.000000001,IF(01_因子設定!$B$20="Box-Behnken",D961^2+E961^2+F961^2&lt;=2+0.000000001,TRUE()))</f>
        <v>1</v>
      </c>
      <c r="W961" s="55" t="n">
        <f aca="false">IF(V961,IF(01_因子設定!$B$13="最大化",T961-01_因子設定!$B$14,IF(01_因子設定!$B$13="最小化",01_因子設定!$B$15-U961,MIN(T961-01_因子設定!$B$14,01_因子設定!$B$15-U961))),-1E+030)</f>
        <v>-5.45655104034316</v>
      </c>
      <c r="X961" s="55" t="n">
        <f aca="false">IF(V961,IF(01_因子設定!$B$13="最大化",Q961,IF(01_因子設定!$B$13="最小化",-Q961,-ABS(Q961-01_因子設定!$B$16))),-1E+030)</f>
        <v>44.0546803977273</v>
      </c>
      <c r="Y961" s="55" t="n">
        <f aca="false">W961+ROW()*0.000000001</f>
        <v>-5.45655007934316</v>
      </c>
      <c r="Z961" s="55" t="n">
        <f aca="false">X961+ROW()*0.000000001</f>
        <v>44.0546813587273</v>
      </c>
    </row>
    <row r="962" customFormat="false" ht="15" hidden="false" customHeight="false" outlineLevel="0" collapsed="false">
      <c r="A962" s="0" t="n">
        <v>3</v>
      </c>
      <c r="B962" s="0" t="n">
        <v>5</v>
      </c>
      <c r="C962" s="0" t="n">
        <v>5</v>
      </c>
      <c r="D962" s="0" t="n">
        <f aca="false">-1+A962*0.125</f>
        <v>-0.625</v>
      </c>
      <c r="E962" s="0" t="n">
        <f aca="false">-1+B962*0.125</f>
        <v>-0.375</v>
      </c>
      <c r="F962" s="0" t="n">
        <f aca="false">-1+C962*0.125</f>
        <v>-0.375</v>
      </c>
      <c r="G962" s="0" t="n">
        <f aca="false">1</f>
        <v>1</v>
      </c>
      <c r="H962" s="0" t="n">
        <f aca="false">D962</f>
        <v>-0.625</v>
      </c>
      <c r="I962" s="0" t="n">
        <f aca="false">E962</f>
        <v>-0.375</v>
      </c>
      <c r="J962" s="0" t="n">
        <f aca="false">F962</f>
        <v>-0.375</v>
      </c>
      <c r="K962" s="0" t="n">
        <f aca="false">D962*E962</f>
        <v>0.234375</v>
      </c>
      <c r="L962" s="0" t="n">
        <f aca="false">D962*F962</f>
        <v>0.234375</v>
      </c>
      <c r="M962" s="0" t="n">
        <f aca="false">E962*F962</f>
        <v>0.140625</v>
      </c>
      <c r="N962" s="0" t="n">
        <f aca="false">D962*D962</f>
        <v>0.390625</v>
      </c>
      <c r="O962" s="0" t="n">
        <f aca="false">E962*E962</f>
        <v>0.140625</v>
      </c>
      <c r="P962" s="0" t="n">
        <f aca="false">F962*F962</f>
        <v>0.140625</v>
      </c>
      <c r="Q962" s="0" t="n">
        <f aca="false">SUMPRODUCT(G962:P962,_XtX!$B$71:$K$71)</f>
        <v>44.3465696022727</v>
      </c>
      <c r="R962" s="0" t="n">
        <f aca="false">SUMPRODUCT(MMULT(G962:P962,_XtX!$B$58:$K$67),G962:P962)</f>
        <v>0.175007213245739</v>
      </c>
      <c r="S962" s="0" t="n">
        <f aca="false">04_回帰ANOVA!$K$19*04_回帰ANOVA!$K$14*SQRT(1+R962)</f>
        <v>1.0078291195273</v>
      </c>
      <c r="T962" s="0" t="n">
        <f aca="false">Q962-S962</f>
        <v>43.3387404827454</v>
      </c>
      <c r="U962" s="0" t="n">
        <f aca="false">Q962+S962</f>
        <v>45.3543987218</v>
      </c>
      <c r="V962" s="54" t="b">
        <f aca="false">AND(D962&gt;=01_因子設定!$L$5-0.000000001,D962&lt;=01_因子設定!$M$5+0.000000001,E962&gt;=01_因子設定!$L$6-0.000000001,E962&lt;=01_因子設定!$M$6+0.000000001,F962&gt;=01_因子設定!$L$7-0.000000001,F962&lt;=01_因子設定!$M$7+0.000000001,IF(01_因子設定!$B$20="Box-Behnken",D962^2+E962^2+F962^2&lt;=2+0.000000001,TRUE()))</f>
        <v>1</v>
      </c>
      <c r="W962" s="55" t="n">
        <f aca="false">IF(V962,IF(01_因子設定!$B$13="最大化",T962-01_因子設定!$B$14,IF(01_因子設定!$B$13="最小化",01_因子設定!$B$15-U962,MIN(T962-01_因子設定!$B$14,01_因子設定!$B$15-U962))),-1E+030)</f>
        <v>-5.16125951725457</v>
      </c>
      <c r="X962" s="55" t="n">
        <f aca="false">IF(V962,IF(01_因子設定!$B$13="最大化",Q962,IF(01_因子設定!$B$13="最小化",-Q962,-ABS(Q962-01_因子設定!$B$16))),-1E+030)</f>
        <v>44.3465696022727</v>
      </c>
      <c r="Y962" s="55" t="n">
        <f aca="false">W962+ROW()*0.000000001</f>
        <v>-5.16125855525457</v>
      </c>
      <c r="Z962" s="55" t="n">
        <f aca="false">X962+ROW()*0.000000001</f>
        <v>44.3465705642727</v>
      </c>
    </row>
    <row r="963" customFormat="false" ht="15" hidden="false" customHeight="false" outlineLevel="0" collapsed="false">
      <c r="A963" s="0" t="n">
        <v>3</v>
      </c>
      <c r="B963" s="0" t="n">
        <v>5</v>
      </c>
      <c r="C963" s="0" t="n">
        <v>6</v>
      </c>
      <c r="D963" s="0" t="n">
        <f aca="false">-1+A963*0.125</f>
        <v>-0.625</v>
      </c>
      <c r="E963" s="0" t="n">
        <f aca="false">-1+B963*0.125</f>
        <v>-0.375</v>
      </c>
      <c r="F963" s="0" t="n">
        <f aca="false">-1+C963*0.125</f>
        <v>-0.25</v>
      </c>
      <c r="G963" s="0" t="n">
        <f aca="false">1</f>
        <v>1</v>
      </c>
      <c r="H963" s="0" t="n">
        <f aca="false">D963</f>
        <v>-0.625</v>
      </c>
      <c r="I963" s="0" t="n">
        <f aca="false">E963</f>
        <v>-0.375</v>
      </c>
      <c r="J963" s="0" t="n">
        <f aca="false">F963</f>
        <v>-0.25</v>
      </c>
      <c r="K963" s="0" t="n">
        <f aca="false">D963*E963</f>
        <v>0.234375</v>
      </c>
      <c r="L963" s="0" t="n">
        <f aca="false">D963*F963</f>
        <v>0.15625</v>
      </c>
      <c r="M963" s="0" t="n">
        <f aca="false">E963*F963</f>
        <v>0.09375</v>
      </c>
      <c r="N963" s="0" t="n">
        <f aca="false">D963*D963</f>
        <v>0.390625</v>
      </c>
      <c r="O963" s="0" t="n">
        <f aca="false">E963*E963</f>
        <v>0.140625</v>
      </c>
      <c r="P963" s="0" t="n">
        <f aca="false">F963*F963</f>
        <v>0.0625</v>
      </c>
      <c r="Q963" s="0" t="n">
        <f aca="false">SUMPRODUCT(G963:P963,_XtX!$B$71:$K$71)</f>
        <v>44.6016690340909</v>
      </c>
      <c r="R963" s="0" t="n">
        <f aca="false">SUMPRODUCT(MMULT(G963:P963,_XtX!$B$58:$K$67),G963:P963)</f>
        <v>0.174657648259943</v>
      </c>
      <c r="S963" s="0" t="n">
        <f aca="false">04_回帰ANOVA!$K$19*04_回帰ANOVA!$K$14*SQRT(1+R963)</f>
        <v>1.00767919364845</v>
      </c>
      <c r="T963" s="0" t="n">
        <f aca="false">Q963-S963</f>
        <v>43.5939898404425</v>
      </c>
      <c r="U963" s="0" t="n">
        <f aca="false">Q963+S963</f>
        <v>45.6093482277394</v>
      </c>
      <c r="V963" s="54" t="b">
        <f aca="false">AND(D963&gt;=01_因子設定!$L$5-0.000000001,D963&lt;=01_因子設定!$M$5+0.000000001,E963&gt;=01_因子設定!$L$6-0.000000001,E963&lt;=01_因子設定!$M$6+0.000000001,F963&gt;=01_因子設定!$L$7-0.000000001,F963&lt;=01_因子設定!$M$7+0.000000001,IF(01_因子設定!$B$20="Box-Behnken",D963^2+E963^2+F963^2&lt;=2+0.000000001,TRUE()))</f>
        <v>1</v>
      </c>
      <c r="W963" s="55" t="n">
        <f aca="false">IF(V963,IF(01_因子設定!$B$13="最大化",T963-01_因子設定!$B$14,IF(01_因子設定!$B$13="最小化",01_因子設定!$B$15-U963,MIN(T963-01_因子設定!$B$14,01_因子設定!$B$15-U963))),-1E+030)</f>
        <v>-4.90601015955753</v>
      </c>
      <c r="X963" s="55" t="n">
        <f aca="false">IF(V963,IF(01_因子設定!$B$13="最大化",Q963,IF(01_因子設定!$B$13="最小化",-Q963,-ABS(Q963-01_因子設定!$B$16))),-1E+030)</f>
        <v>44.6016690340909</v>
      </c>
      <c r="Y963" s="55" t="n">
        <f aca="false">W963+ROW()*0.000000001</f>
        <v>-4.90600919655753</v>
      </c>
      <c r="Z963" s="55" t="n">
        <f aca="false">X963+ROW()*0.000000001</f>
        <v>44.6016699970909</v>
      </c>
    </row>
    <row r="964" customFormat="false" ht="15" hidden="false" customHeight="false" outlineLevel="0" collapsed="false">
      <c r="A964" s="0" t="n">
        <v>3</v>
      </c>
      <c r="B964" s="0" t="n">
        <v>5</v>
      </c>
      <c r="C964" s="0" t="n">
        <v>7</v>
      </c>
      <c r="D964" s="0" t="n">
        <f aca="false">-1+A964*0.125</f>
        <v>-0.625</v>
      </c>
      <c r="E964" s="0" t="n">
        <f aca="false">-1+B964*0.125</f>
        <v>-0.375</v>
      </c>
      <c r="F964" s="0" t="n">
        <f aca="false">-1+C964*0.125</f>
        <v>-0.125</v>
      </c>
      <c r="G964" s="0" t="n">
        <f aca="false">1</f>
        <v>1</v>
      </c>
      <c r="H964" s="0" t="n">
        <f aca="false">D964</f>
        <v>-0.625</v>
      </c>
      <c r="I964" s="0" t="n">
        <f aca="false">E964</f>
        <v>-0.375</v>
      </c>
      <c r="J964" s="0" t="n">
        <f aca="false">F964</f>
        <v>-0.125</v>
      </c>
      <c r="K964" s="0" t="n">
        <f aca="false">D964*E964</f>
        <v>0.234375</v>
      </c>
      <c r="L964" s="0" t="n">
        <f aca="false">D964*F964</f>
        <v>0.078125</v>
      </c>
      <c r="M964" s="0" t="n">
        <f aca="false">E964*F964</f>
        <v>0.046875</v>
      </c>
      <c r="N964" s="0" t="n">
        <f aca="false">D964*D964</f>
        <v>0.390625</v>
      </c>
      <c r="O964" s="0" t="n">
        <f aca="false">E964*E964</f>
        <v>0.140625</v>
      </c>
      <c r="P964" s="0" t="n">
        <f aca="false">F964*F964</f>
        <v>0.015625</v>
      </c>
      <c r="Q964" s="0" t="n">
        <f aca="false">SUMPRODUCT(G964:P964,_XtX!$B$71:$K$71)</f>
        <v>44.8199786931818</v>
      </c>
      <c r="R964" s="0" t="n">
        <f aca="false">SUMPRODUCT(MMULT(G964:P964,_XtX!$B$58:$K$67),G964:P964)</f>
        <v>0.176578591086648</v>
      </c>
      <c r="S964" s="0" t="n">
        <f aca="false">04_回帰ANOVA!$K$19*04_回帰ANOVA!$K$14*SQRT(1+R964)</f>
        <v>1.00850279676269</v>
      </c>
      <c r="T964" s="0" t="n">
        <f aca="false">Q964-S964</f>
        <v>43.8114758964191</v>
      </c>
      <c r="U964" s="0" t="n">
        <f aca="false">Q964+S964</f>
        <v>45.8284814899445</v>
      </c>
      <c r="V964" s="54" t="b">
        <f aca="false">AND(D964&gt;=01_因子設定!$L$5-0.000000001,D964&lt;=01_因子設定!$M$5+0.000000001,E964&gt;=01_因子設定!$L$6-0.000000001,E964&lt;=01_因子設定!$M$6+0.000000001,F964&gt;=01_因子設定!$L$7-0.000000001,F964&lt;=01_因子設定!$M$7+0.000000001,IF(01_因子設定!$B$20="Box-Behnken",D964^2+E964^2+F964^2&lt;=2+0.000000001,TRUE()))</f>
        <v>1</v>
      </c>
      <c r="W964" s="55" t="n">
        <f aca="false">IF(V964,IF(01_因子設定!$B$13="最大化",T964-01_因子設定!$B$14,IF(01_因子設定!$B$13="最小化",01_因子設定!$B$15-U964,MIN(T964-01_因子設定!$B$14,01_因子設定!$B$15-U964))),-1E+030)</f>
        <v>-4.68852410358088</v>
      </c>
      <c r="X964" s="55" t="n">
        <f aca="false">IF(V964,IF(01_因子設定!$B$13="最大化",Q964,IF(01_因子設定!$B$13="最小化",-Q964,-ABS(Q964-01_因子設定!$B$16))),-1E+030)</f>
        <v>44.8199786931818</v>
      </c>
      <c r="Y964" s="55" t="n">
        <f aca="false">W964+ROW()*0.000000001</f>
        <v>-4.68852313958088</v>
      </c>
      <c r="Z964" s="55" t="n">
        <f aca="false">X964+ROW()*0.000000001</f>
        <v>44.8199796571818</v>
      </c>
    </row>
    <row r="965" customFormat="false" ht="15" hidden="false" customHeight="false" outlineLevel="0" collapsed="false">
      <c r="A965" s="0" t="n">
        <v>3</v>
      </c>
      <c r="B965" s="0" t="n">
        <v>5</v>
      </c>
      <c r="C965" s="0" t="n">
        <v>8</v>
      </c>
      <c r="D965" s="0" t="n">
        <f aca="false">-1+A965*0.125</f>
        <v>-0.625</v>
      </c>
      <c r="E965" s="0" t="n">
        <f aca="false">-1+B965*0.125</f>
        <v>-0.375</v>
      </c>
      <c r="F965" s="0" t="n">
        <f aca="false">-1+C965*0.125</f>
        <v>0</v>
      </c>
      <c r="G965" s="0" t="n">
        <f aca="false">1</f>
        <v>1</v>
      </c>
      <c r="H965" s="0" t="n">
        <f aca="false">D965</f>
        <v>-0.625</v>
      </c>
      <c r="I965" s="0" t="n">
        <f aca="false">E965</f>
        <v>-0.375</v>
      </c>
      <c r="J965" s="0" t="n">
        <f aca="false">F965</f>
        <v>0</v>
      </c>
      <c r="K965" s="0" t="n">
        <f aca="false">D965*E965</f>
        <v>0.234375</v>
      </c>
      <c r="L965" s="0" t="n">
        <f aca="false">D965*F965</f>
        <v>-0</v>
      </c>
      <c r="M965" s="0" t="n">
        <f aca="false">E965*F965</f>
        <v>-0</v>
      </c>
      <c r="N965" s="0" t="n">
        <f aca="false">D965*D965</f>
        <v>0.390625</v>
      </c>
      <c r="O965" s="0" t="n">
        <f aca="false">E965*E965</f>
        <v>0.140625</v>
      </c>
      <c r="P965" s="0" t="n">
        <f aca="false">F965*F965</f>
        <v>0</v>
      </c>
      <c r="Q965" s="0" t="n">
        <f aca="false">SUMPRODUCT(G965:P965,_XtX!$B$71:$K$71)</f>
        <v>45.0014985795455</v>
      </c>
      <c r="R965" s="0" t="n">
        <f aca="false">SUMPRODUCT(MMULT(G965:P965,_XtX!$B$58:$K$67),G965:P965)</f>
        <v>0.17757401899858</v>
      </c>
      <c r="S965" s="0" t="n">
        <f aca="false">04_回帰ANOVA!$K$19*04_回帰ANOVA!$K$14*SQRT(1+R965)</f>
        <v>1.00892932143276</v>
      </c>
      <c r="T965" s="0" t="n">
        <f aca="false">Q965-S965</f>
        <v>43.9925692581127</v>
      </c>
      <c r="U965" s="0" t="n">
        <f aca="false">Q965+S965</f>
        <v>46.0104279009782</v>
      </c>
      <c r="V965" s="54" t="b">
        <f aca="false">AND(D965&gt;=01_因子設定!$L$5-0.000000001,D965&lt;=01_因子設定!$M$5+0.000000001,E965&gt;=01_因子設定!$L$6-0.000000001,E965&lt;=01_因子設定!$M$6+0.000000001,F965&gt;=01_因子設定!$L$7-0.000000001,F965&lt;=01_因子設定!$M$7+0.000000001,IF(01_因子設定!$B$20="Box-Behnken",D965^2+E965^2+F965^2&lt;=2+0.000000001,TRUE()))</f>
        <v>1</v>
      </c>
      <c r="W965" s="55" t="n">
        <f aca="false">IF(V965,IF(01_因子設定!$B$13="最大化",T965-01_因子設定!$B$14,IF(01_因子設定!$B$13="最小化",01_因子設定!$B$15-U965,MIN(T965-01_因子設定!$B$14,01_因子設定!$B$15-U965))),-1E+030)</f>
        <v>-4.50743074188731</v>
      </c>
      <c r="X965" s="55" t="n">
        <f aca="false">IF(V965,IF(01_因子設定!$B$13="最大化",Q965,IF(01_因子設定!$B$13="最小化",-Q965,-ABS(Q965-01_因子設定!$B$16))),-1E+030)</f>
        <v>45.0014985795455</v>
      </c>
      <c r="Y965" s="55" t="n">
        <f aca="false">W965+ROW()*0.000000001</f>
        <v>-4.50742977688731</v>
      </c>
      <c r="Z965" s="55" t="n">
        <f aca="false">X965+ROW()*0.000000001</f>
        <v>45.0014995445455</v>
      </c>
    </row>
    <row r="966" customFormat="false" ht="15" hidden="false" customHeight="false" outlineLevel="0" collapsed="false">
      <c r="A966" s="0" t="n">
        <v>3</v>
      </c>
      <c r="B966" s="0" t="n">
        <v>5</v>
      </c>
      <c r="C966" s="0" t="n">
        <v>9</v>
      </c>
      <c r="D966" s="0" t="n">
        <f aca="false">-1+A966*0.125</f>
        <v>-0.625</v>
      </c>
      <c r="E966" s="0" t="n">
        <f aca="false">-1+B966*0.125</f>
        <v>-0.375</v>
      </c>
      <c r="F966" s="0" t="n">
        <f aca="false">-1+C966*0.125</f>
        <v>0.125</v>
      </c>
      <c r="G966" s="0" t="n">
        <f aca="false">1</f>
        <v>1</v>
      </c>
      <c r="H966" s="0" t="n">
        <f aca="false">D966</f>
        <v>-0.625</v>
      </c>
      <c r="I966" s="0" t="n">
        <f aca="false">E966</f>
        <v>-0.375</v>
      </c>
      <c r="J966" s="0" t="n">
        <f aca="false">F966</f>
        <v>0.125</v>
      </c>
      <c r="K966" s="0" t="n">
        <f aca="false">D966*E966</f>
        <v>0.234375</v>
      </c>
      <c r="L966" s="0" t="n">
        <f aca="false">D966*F966</f>
        <v>-0.078125</v>
      </c>
      <c r="M966" s="0" t="n">
        <f aca="false">E966*F966</f>
        <v>-0.046875</v>
      </c>
      <c r="N966" s="0" t="n">
        <f aca="false">D966*D966</f>
        <v>0.390625</v>
      </c>
      <c r="O966" s="0" t="n">
        <f aca="false">E966*E966</f>
        <v>0.140625</v>
      </c>
      <c r="P966" s="0" t="n">
        <f aca="false">F966*F966</f>
        <v>0.015625</v>
      </c>
      <c r="Q966" s="0" t="n">
        <f aca="false">SUMPRODUCT(G966:P966,_XtX!$B$71:$K$71)</f>
        <v>45.1462286931818</v>
      </c>
      <c r="R966" s="0" t="n">
        <f aca="false">SUMPRODUCT(MMULT(G966:P966,_XtX!$B$58:$K$67),G966:P966)</f>
        <v>0.176578591086648</v>
      </c>
      <c r="S966" s="0" t="n">
        <f aca="false">04_回帰ANOVA!$K$19*04_回帰ANOVA!$K$14*SQRT(1+R966)</f>
        <v>1.00850279676269</v>
      </c>
      <c r="T966" s="0" t="n">
        <f aca="false">Q966-S966</f>
        <v>44.1377258964191</v>
      </c>
      <c r="U966" s="0" t="n">
        <f aca="false">Q966+S966</f>
        <v>46.1547314899445</v>
      </c>
      <c r="V966" s="54" t="b">
        <f aca="false">AND(D966&gt;=01_因子設定!$L$5-0.000000001,D966&lt;=01_因子設定!$M$5+0.000000001,E966&gt;=01_因子設定!$L$6-0.000000001,E966&lt;=01_因子設定!$M$6+0.000000001,F966&gt;=01_因子設定!$L$7-0.000000001,F966&lt;=01_因子設定!$M$7+0.000000001,IF(01_因子設定!$B$20="Box-Behnken",D966^2+E966^2+F966^2&lt;=2+0.000000001,TRUE()))</f>
        <v>1</v>
      </c>
      <c r="W966" s="55" t="n">
        <f aca="false">IF(V966,IF(01_因子設定!$B$13="最大化",T966-01_因子設定!$B$14,IF(01_因子設定!$B$13="最小化",01_因子設定!$B$15-U966,MIN(T966-01_因子設定!$B$14,01_因子設定!$B$15-U966))),-1E+030)</f>
        <v>-4.36227410358087</v>
      </c>
      <c r="X966" s="55" t="n">
        <f aca="false">IF(V966,IF(01_因子設定!$B$13="最大化",Q966,IF(01_因子設定!$B$13="最小化",-Q966,-ABS(Q966-01_因子設定!$B$16))),-1E+030)</f>
        <v>45.1462286931818</v>
      </c>
      <c r="Y966" s="55" t="n">
        <f aca="false">W966+ROW()*0.000000001</f>
        <v>-4.36227313758087</v>
      </c>
      <c r="Z966" s="55" t="n">
        <f aca="false">X966+ROW()*0.000000001</f>
        <v>45.1462296591818</v>
      </c>
    </row>
    <row r="967" customFormat="false" ht="15" hidden="false" customHeight="false" outlineLevel="0" collapsed="false">
      <c r="A967" s="0" t="n">
        <v>3</v>
      </c>
      <c r="B967" s="0" t="n">
        <v>5</v>
      </c>
      <c r="C967" s="0" t="n">
        <v>10</v>
      </c>
      <c r="D967" s="0" t="n">
        <f aca="false">-1+A967*0.125</f>
        <v>-0.625</v>
      </c>
      <c r="E967" s="0" t="n">
        <f aca="false">-1+B967*0.125</f>
        <v>-0.375</v>
      </c>
      <c r="F967" s="0" t="n">
        <f aca="false">-1+C967*0.125</f>
        <v>0.25</v>
      </c>
      <c r="G967" s="0" t="n">
        <f aca="false">1</f>
        <v>1</v>
      </c>
      <c r="H967" s="0" t="n">
        <f aca="false">D967</f>
        <v>-0.625</v>
      </c>
      <c r="I967" s="0" t="n">
        <f aca="false">E967</f>
        <v>-0.375</v>
      </c>
      <c r="J967" s="0" t="n">
        <f aca="false">F967</f>
        <v>0.25</v>
      </c>
      <c r="K967" s="0" t="n">
        <f aca="false">D967*E967</f>
        <v>0.234375</v>
      </c>
      <c r="L967" s="0" t="n">
        <f aca="false">D967*F967</f>
        <v>-0.15625</v>
      </c>
      <c r="M967" s="0" t="n">
        <f aca="false">E967*F967</f>
        <v>-0.09375</v>
      </c>
      <c r="N967" s="0" t="n">
        <f aca="false">D967*D967</f>
        <v>0.390625</v>
      </c>
      <c r="O967" s="0" t="n">
        <f aca="false">E967*E967</f>
        <v>0.140625</v>
      </c>
      <c r="P967" s="0" t="n">
        <f aca="false">F967*F967</f>
        <v>0.0625</v>
      </c>
      <c r="Q967" s="0" t="n">
        <f aca="false">SUMPRODUCT(G967:P967,_XtX!$B$71:$K$71)</f>
        <v>45.2541690340909</v>
      </c>
      <c r="R967" s="0" t="n">
        <f aca="false">SUMPRODUCT(MMULT(G967:P967,_XtX!$B$58:$K$67),G967:P967)</f>
        <v>0.174657648259943</v>
      </c>
      <c r="S967" s="0" t="n">
        <f aca="false">04_回帰ANOVA!$K$19*04_回帰ANOVA!$K$14*SQRT(1+R967)</f>
        <v>1.00767919364845</v>
      </c>
      <c r="T967" s="0" t="n">
        <f aca="false">Q967-S967</f>
        <v>44.2464898404425</v>
      </c>
      <c r="U967" s="0" t="n">
        <f aca="false">Q967+S967</f>
        <v>46.2618482277394</v>
      </c>
      <c r="V967" s="54" t="b">
        <f aca="false">AND(D967&gt;=01_因子設定!$L$5-0.000000001,D967&lt;=01_因子設定!$M$5+0.000000001,E967&gt;=01_因子設定!$L$6-0.000000001,E967&lt;=01_因子設定!$M$6+0.000000001,F967&gt;=01_因子設定!$L$7-0.000000001,F967&lt;=01_因子設定!$M$7+0.000000001,IF(01_因子設定!$B$20="Box-Behnken",D967^2+E967^2+F967^2&lt;=2+0.000000001,TRUE()))</f>
        <v>1</v>
      </c>
      <c r="W967" s="55" t="n">
        <f aca="false">IF(V967,IF(01_因子設定!$B$13="最大化",T967-01_因子設定!$B$14,IF(01_因子設定!$B$13="最小化",01_因子設定!$B$15-U967,MIN(T967-01_因子設定!$B$14,01_因子設定!$B$15-U967))),-1E+030)</f>
        <v>-4.25351015955754</v>
      </c>
      <c r="X967" s="55" t="n">
        <f aca="false">IF(V967,IF(01_因子設定!$B$13="最大化",Q967,IF(01_因子設定!$B$13="最小化",-Q967,-ABS(Q967-01_因子設定!$B$16))),-1E+030)</f>
        <v>45.2541690340909</v>
      </c>
      <c r="Y967" s="55" t="n">
        <f aca="false">W967+ROW()*0.000000001</f>
        <v>-4.25350919255754</v>
      </c>
      <c r="Z967" s="55" t="n">
        <f aca="false">X967+ROW()*0.000000001</f>
        <v>45.2541700010909</v>
      </c>
    </row>
    <row r="968" customFormat="false" ht="15" hidden="false" customHeight="false" outlineLevel="0" collapsed="false">
      <c r="A968" s="0" t="n">
        <v>3</v>
      </c>
      <c r="B968" s="0" t="n">
        <v>5</v>
      </c>
      <c r="C968" s="0" t="n">
        <v>11</v>
      </c>
      <c r="D968" s="0" t="n">
        <f aca="false">-1+A968*0.125</f>
        <v>-0.625</v>
      </c>
      <c r="E968" s="0" t="n">
        <f aca="false">-1+B968*0.125</f>
        <v>-0.375</v>
      </c>
      <c r="F968" s="0" t="n">
        <f aca="false">-1+C968*0.125</f>
        <v>0.375</v>
      </c>
      <c r="G968" s="0" t="n">
        <f aca="false">1</f>
        <v>1</v>
      </c>
      <c r="H968" s="0" t="n">
        <f aca="false">D968</f>
        <v>-0.625</v>
      </c>
      <c r="I968" s="0" t="n">
        <f aca="false">E968</f>
        <v>-0.375</v>
      </c>
      <c r="J968" s="0" t="n">
        <f aca="false">F968</f>
        <v>0.375</v>
      </c>
      <c r="K968" s="0" t="n">
        <f aca="false">D968*E968</f>
        <v>0.234375</v>
      </c>
      <c r="L968" s="0" t="n">
        <f aca="false">D968*F968</f>
        <v>-0.234375</v>
      </c>
      <c r="M968" s="0" t="n">
        <f aca="false">E968*F968</f>
        <v>-0.140625</v>
      </c>
      <c r="N968" s="0" t="n">
        <f aca="false">D968*D968</f>
        <v>0.390625</v>
      </c>
      <c r="O968" s="0" t="n">
        <f aca="false">E968*E968</f>
        <v>0.140625</v>
      </c>
      <c r="P968" s="0" t="n">
        <f aca="false">F968*F968</f>
        <v>0.140625</v>
      </c>
      <c r="Q968" s="0" t="n">
        <f aca="false">SUMPRODUCT(G968:P968,_XtX!$B$71:$K$71)</f>
        <v>45.3253196022727</v>
      </c>
      <c r="R968" s="0" t="n">
        <f aca="false">SUMPRODUCT(MMULT(G968:P968,_XtX!$B$58:$K$67),G968:P968)</f>
        <v>0.175007213245739</v>
      </c>
      <c r="S968" s="0" t="n">
        <f aca="false">04_回帰ANOVA!$K$19*04_回帰ANOVA!$K$14*SQRT(1+R968)</f>
        <v>1.0078291195273</v>
      </c>
      <c r="T968" s="0" t="n">
        <f aca="false">Q968-S968</f>
        <v>44.3174904827454</v>
      </c>
      <c r="U968" s="0" t="n">
        <f aca="false">Q968+S968</f>
        <v>46.3331487218</v>
      </c>
      <c r="V968" s="54" t="b">
        <f aca="false">AND(D968&gt;=01_因子設定!$L$5-0.000000001,D968&lt;=01_因子設定!$M$5+0.000000001,E968&gt;=01_因子設定!$L$6-0.000000001,E968&lt;=01_因子設定!$M$6+0.000000001,F968&gt;=01_因子設定!$L$7-0.000000001,F968&lt;=01_因子設定!$M$7+0.000000001,IF(01_因子設定!$B$20="Box-Behnken",D968^2+E968^2+F968^2&lt;=2+0.000000001,TRUE()))</f>
        <v>1</v>
      </c>
      <c r="W968" s="55" t="n">
        <f aca="false">IF(V968,IF(01_因子設定!$B$13="最大化",T968-01_因子設定!$B$14,IF(01_因子設定!$B$13="最小化",01_因子設定!$B$15-U968,MIN(T968-01_因子設定!$B$14,01_因子設定!$B$15-U968))),-1E+030)</f>
        <v>-4.18250951725457</v>
      </c>
      <c r="X968" s="55" t="n">
        <f aca="false">IF(V968,IF(01_因子設定!$B$13="最大化",Q968,IF(01_因子設定!$B$13="最小化",-Q968,-ABS(Q968-01_因子設定!$B$16))),-1E+030)</f>
        <v>45.3253196022727</v>
      </c>
      <c r="Y968" s="55" t="n">
        <f aca="false">W968+ROW()*0.000000001</f>
        <v>-4.18250854925457</v>
      </c>
      <c r="Z968" s="55" t="n">
        <f aca="false">X968+ROW()*0.000000001</f>
        <v>45.3253205702727</v>
      </c>
    </row>
    <row r="969" customFormat="false" ht="15" hidden="false" customHeight="false" outlineLevel="0" collapsed="false">
      <c r="A969" s="0" t="n">
        <v>3</v>
      </c>
      <c r="B969" s="0" t="n">
        <v>5</v>
      </c>
      <c r="C969" s="0" t="n">
        <v>12</v>
      </c>
      <c r="D969" s="0" t="n">
        <f aca="false">-1+A969*0.125</f>
        <v>-0.625</v>
      </c>
      <c r="E969" s="0" t="n">
        <f aca="false">-1+B969*0.125</f>
        <v>-0.375</v>
      </c>
      <c r="F969" s="0" t="n">
        <f aca="false">-1+C969*0.125</f>
        <v>0.5</v>
      </c>
      <c r="G969" s="0" t="n">
        <f aca="false">1</f>
        <v>1</v>
      </c>
      <c r="H969" s="0" t="n">
        <f aca="false">D969</f>
        <v>-0.625</v>
      </c>
      <c r="I969" s="0" t="n">
        <f aca="false">E969</f>
        <v>-0.375</v>
      </c>
      <c r="J969" s="0" t="n">
        <f aca="false">F969</f>
        <v>0.5</v>
      </c>
      <c r="K969" s="0" t="n">
        <f aca="false">D969*E969</f>
        <v>0.234375</v>
      </c>
      <c r="L969" s="0" t="n">
        <f aca="false">D969*F969</f>
        <v>-0.3125</v>
      </c>
      <c r="M969" s="0" t="n">
        <f aca="false">E969*F969</f>
        <v>-0.1875</v>
      </c>
      <c r="N969" s="0" t="n">
        <f aca="false">D969*D969</f>
        <v>0.390625</v>
      </c>
      <c r="O969" s="0" t="n">
        <f aca="false">E969*E969</f>
        <v>0.140625</v>
      </c>
      <c r="P969" s="0" t="n">
        <f aca="false">F969*F969</f>
        <v>0.25</v>
      </c>
      <c r="Q969" s="0" t="n">
        <f aca="false">SUMPRODUCT(G969:P969,_XtX!$B$71:$K$71)</f>
        <v>45.3596803977273</v>
      </c>
      <c r="R969" s="0" t="n">
        <f aca="false">SUMPRODUCT(MMULT(G969:P969,_XtX!$B$58:$K$67),G969:P969)</f>
        <v>0.182953990589489</v>
      </c>
      <c r="S969" s="0" t="n">
        <f aca="false">04_回帰ANOVA!$K$19*04_回帰ANOVA!$K$14*SQRT(1+R969)</f>
        <v>1.01123143807044</v>
      </c>
      <c r="T969" s="0" t="n">
        <f aca="false">Q969-S969</f>
        <v>44.3484489596568</v>
      </c>
      <c r="U969" s="0" t="n">
        <f aca="false">Q969+S969</f>
        <v>46.3709118357977</v>
      </c>
      <c r="V969" s="54" t="b">
        <f aca="false">AND(D969&gt;=01_因子設定!$L$5-0.000000001,D969&lt;=01_因子設定!$M$5+0.000000001,E969&gt;=01_因子設定!$L$6-0.000000001,E969&lt;=01_因子設定!$M$6+0.000000001,F969&gt;=01_因子設定!$L$7-0.000000001,F969&lt;=01_因子設定!$M$7+0.000000001,IF(01_因子設定!$B$20="Box-Behnken",D969^2+E969^2+F969^2&lt;=2+0.000000001,TRUE()))</f>
        <v>1</v>
      </c>
      <c r="W969" s="55" t="n">
        <f aca="false">IF(V969,IF(01_因子設定!$B$13="最大化",T969-01_因子設定!$B$14,IF(01_因子設定!$B$13="最小化",01_因子設定!$B$15-U969,MIN(T969-01_因子設定!$B$14,01_因子設定!$B$15-U969))),-1E+030)</f>
        <v>-4.15155104034317</v>
      </c>
      <c r="X969" s="55" t="n">
        <f aca="false">IF(V969,IF(01_因子設定!$B$13="最大化",Q969,IF(01_因子設定!$B$13="最小化",-Q969,-ABS(Q969-01_因子設定!$B$16))),-1E+030)</f>
        <v>45.3596803977273</v>
      </c>
      <c r="Y969" s="55" t="n">
        <f aca="false">W969+ROW()*0.000000001</f>
        <v>-4.15155007134317</v>
      </c>
      <c r="Z969" s="55" t="n">
        <f aca="false">X969+ROW()*0.000000001</f>
        <v>45.3596813667273</v>
      </c>
    </row>
    <row r="970" customFormat="false" ht="15" hidden="false" customHeight="false" outlineLevel="0" collapsed="false">
      <c r="A970" s="0" t="n">
        <v>3</v>
      </c>
      <c r="B970" s="0" t="n">
        <v>5</v>
      </c>
      <c r="C970" s="0" t="n">
        <v>13</v>
      </c>
      <c r="D970" s="0" t="n">
        <f aca="false">-1+A970*0.125</f>
        <v>-0.625</v>
      </c>
      <c r="E970" s="0" t="n">
        <f aca="false">-1+B970*0.125</f>
        <v>-0.375</v>
      </c>
      <c r="F970" s="0" t="n">
        <f aca="false">-1+C970*0.125</f>
        <v>0.625</v>
      </c>
      <c r="G970" s="0" t="n">
        <f aca="false">1</f>
        <v>1</v>
      </c>
      <c r="H970" s="0" t="n">
        <f aca="false">D970</f>
        <v>-0.625</v>
      </c>
      <c r="I970" s="0" t="n">
        <f aca="false">E970</f>
        <v>-0.375</v>
      </c>
      <c r="J970" s="0" t="n">
        <f aca="false">F970</f>
        <v>0.625</v>
      </c>
      <c r="K970" s="0" t="n">
        <f aca="false">D970*E970</f>
        <v>0.234375</v>
      </c>
      <c r="L970" s="0" t="n">
        <f aca="false">D970*F970</f>
        <v>-0.390625</v>
      </c>
      <c r="M970" s="0" t="n">
        <f aca="false">E970*F970</f>
        <v>-0.234375</v>
      </c>
      <c r="N970" s="0" t="n">
        <f aca="false">D970*D970</f>
        <v>0.390625</v>
      </c>
      <c r="O970" s="0" t="n">
        <f aca="false">E970*E970</f>
        <v>0.140625</v>
      </c>
      <c r="P970" s="0" t="n">
        <f aca="false">F970*F970</f>
        <v>0.390625</v>
      </c>
      <c r="Q970" s="0" t="n">
        <f aca="false">SUMPRODUCT(G970:P970,_XtX!$B$71:$K$71)</f>
        <v>45.3572514204546</v>
      </c>
      <c r="R970" s="0" t="n">
        <f aca="false">SUMPRODUCT(MMULT(G970:P970,_XtX!$B$58:$K$67),G970:P970)</f>
        <v>0.20595536665483</v>
      </c>
      <c r="S970" s="0" t="n">
        <f aca="false">04_回帰ANOVA!$K$19*04_回帰ANOVA!$K$14*SQRT(1+R970)</f>
        <v>1.02101530762963</v>
      </c>
      <c r="T970" s="0" t="n">
        <f aca="false">Q970-S970</f>
        <v>44.3362361128249</v>
      </c>
      <c r="U970" s="0" t="n">
        <f aca="false">Q970+S970</f>
        <v>46.3782667280842</v>
      </c>
      <c r="V970" s="54" t="b">
        <f aca="false">AND(D970&gt;=01_因子設定!$L$5-0.000000001,D970&lt;=01_因子設定!$M$5+0.000000001,E970&gt;=01_因子設定!$L$6-0.000000001,E970&lt;=01_因子設定!$M$6+0.000000001,F970&gt;=01_因子設定!$L$7-0.000000001,F970&lt;=01_因子設定!$M$7+0.000000001,IF(01_因子設定!$B$20="Box-Behnken",D970^2+E970^2+F970^2&lt;=2+0.000000001,TRUE()))</f>
        <v>1</v>
      </c>
      <c r="W970" s="55" t="n">
        <f aca="false">IF(V970,IF(01_因子設定!$B$13="最大化",T970-01_因子設定!$B$14,IF(01_因子設定!$B$13="最小化",01_因子設定!$B$15-U970,MIN(T970-01_因子設定!$B$14,01_因子設定!$B$15-U970))),-1E+030)</f>
        <v>-4.16376388717507</v>
      </c>
      <c r="X970" s="55" t="n">
        <f aca="false">IF(V970,IF(01_因子設定!$B$13="最大化",Q970,IF(01_因子設定!$B$13="最小化",-Q970,-ABS(Q970-01_因子設定!$B$16))),-1E+030)</f>
        <v>45.3572514204546</v>
      </c>
      <c r="Y970" s="55" t="n">
        <f aca="false">W970+ROW()*0.000000001</f>
        <v>-4.16376291717507</v>
      </c>
      <c r="Z970" s="55" t="n">
        <f aca="false">X970+ROW()*0.000000001</f>
        <v>45.3572523904546</v>
      </c>
    </row>
    <row r="971" customFormat="false" ht="15" hidden="false" customHeight="false" outlineLevel="0" collapsed="false">
      <c r="A971" s="0" t="n">
        <v>3</v>
      </c>
      <c r="B971" s="0" t="n">
        <v>5</v>
      </c>
      <c r="C971" s="0" t="n">
        <v>14</v>
      </c>
      <c r="D971" s="0" t="n">
        <f aca="false">-1+A971*0.125</f>
        <v>-0.625</v>
      </c>
      <c r="E971" s="0" t="n">
        <f aca="false">-1+B971*0.125</f>
        <v>-0.375</v>
      </c>
      <c r="F971" s="0" t="n">
        <f aca="false">-1+C971*0.125</f>
        <v>0.75</v>
      </c>
      <c r="G971" s="0" t="n">
        <f aca="false">1</f>
        <v>1</v>
      </c>
      <c r="H971" s="0" t="n">
        <f aca="false">D971</f>
        <v>-0.625</v>
      </c>
      <c r="I971" s="0" t="n">
        <f aca="false">E971</f>
        <v>-0.375</v>
      </c>
      <c r="J971" s="0" t="n">
        <f aca="false">F971</f>
        <v>0.75</v>
      </c>
      <c r="K971" s="0" t="n">
        <f aca="false">D971*E971</f>
        <v>0.234375</v>
      </c>
      <c r="L971" s="0" t="n">
        <f aca="false">D971*F971</f>
        <v>-0.46875</v>
      </c>
      <c r="M971" s="0" t="n">
        <f aca="false">E971*F971</f>
        <v>-0.28125</v>
      </c>
      <c r="N971" s="0" t="n">
        <f aca="false">D971*D971</f>
        <v>0.390625</v>
      </c>
      <c r="O971" s="0" t="n">
        <f aca="false">E971*E971</f>
        <v>0.140625</v>
      </c>
      <c r="P971" s="0" t="n">
        <f aca="false">F971*F971</f>
        <v>0.5625</v>
      </c>
      <c r="Q971" s="0" t="n">
        <f aca="false">SUMPRODUCT(G971:P971,_XtX!$B$71:$K$71)</f>
        <v>45.3180326704546</v>
      </c>
      <c r="R971" s="0" t="n">
        <f aca="false">SUMPRODUCT(MMULT(G971:P971,_XtX!$B$58:$K$67),G971:P971)</f>
        <v>0.25359940962358</v>
      </c>
      <c r="S971" s="0" t="n">
        <f aca="false">04_回帰ANOVA!$K$19*04_回帰ANOVA!$K$14*SQRT(1+R971)</f>
        <v>1.04098872464599</v>
      </c>
      <c r="T971" s="0" t="n">
        <f aca="false">Q971-S971</f>
        <v>44.2770439458086</v>
      </c>
      <c r="U971" s="0" t="n">
        <f aca="false">Q971+S971</f>
        <v>46.3590213951005</v>
      </c>
      <c r="V971" s="54" t="b">
        <f aca="false">AND(D971&gt;=01_因子設定!$L$5-0.000000001,D971&lt;=01_因子設定!$M$5+0.000000001,E971&gt;=01_因子設定!$L$6-0.000000001,E971&lt;=01_因子設定!$M$6+0.000000001,F971&gt;=01_因子設定!$L$7-0.000000001,F971&lt;=01_因子設定!$M$7+0.000000001,IF(01_因子設定!$B$20="Box-Behnken",D971^2+E971^2+F971^2&lt;=2+0.000000001,TRUE()))</f>
        <v>1</v>
      </c>
      <c r="W971" s="55" t="n">
        <f aca="false">IF(V971,IF(01_因子設定!$B$13="最大化",T971-01_因子設定!$B$14,IF(01_因子設定!$B$13="最小化",01_因子設定!$B$15-U971,MIN(T971-01_因子設定!$B$14,01_因子設定!$B$15-U971))),-1E+030)</f>
        <v>-4.22295605419143</v>
      </c>
      <c r="X971" s="55" t="n">
        <f aca="false">IF(V971,IF(01_因子設定!$B$13="最大化",Q971,IF(01_因子設定!$B$13="最小化",-Q971,-ABS(Q971-01_因子設定!$B$16))),-1E+030)</f>
        <v>45.3180326704546</v>
      </c>
      <c r="Y971" s="55" t="n">
        <f aca="false">W971+ROW()*0.000000001</f>
        <v>-4.22295508319143</v>
      </c>
      <c r="Z971" s="55" t="n">
        <f aca="false">X971+ROW()*0.000000001</f>
        <v>45.3180336414546</v>
      </c>
    </row>
    <row r="972" customFormat="false" ht="15" hidden="false" customHeight="false" outlineLevel="0" collapsed="false">
      <c r="A972" s="0" t="n">
        <v>3</v>
      </c>
      <c r="B972" s="0" t="n">
        <v>5</v>
      </c>
      <c r="C972" s="0" t="n">
        <v>15</v>
      </c>
      <c r="D972" s="0" t="n">
        <f aca="false">-1+A972*0.125</f>
        <v>-0.625</v>
      </c>
      <c r="E972" s="0" t="n">
        <f aca="false">-1+B972*0.125</f>
        <v>-0.375</v>
      </c>
      <c r="F972" s="0" t="n">
        <f aca="false">-1+C972*0.125</f>
        <v>0.875</v>
      </c>
      <c r="G972" s="0" t="n">
        <f aca="false">1</f>
        <v>1</v>
      </c>
      <c r="H972" s="0" t="n">
        <f aca="false">D972</f>
        <v>-0.625</v>
      </c>
      <c r="I972" s="0" t="n">
        <f aca="false">E972</f>
        <v>-0.375</v>
      </c>
      <c r="J972" s="0" t="n">
        <f aca="false">F972</f>
        <v>0.875</v>
      </c>
      <c r="K972" s="0" t="n">
        <f aca="false">D972*E972</f>
        <v>0.234375</v>
      </c>
      <c r="L972" s="0" t="n">
        <f aca="false">D972*F972</f>
        <v>-0.546875</v>
      </c>
      <c r="M972" s="0" t="n">
        <f aca="false">E972*F972</f>
        <v>-0.328125</v>
      </c>
      <c r="N972" s="0" t="n">
        <f aca="false">D972*D972</f>
        <v>0.390625</v>
      </c>
      <c r="O972" s="0" t="n">
        <f aca="false">E972*E972</f>
        <v>0.140625</v>
      </c>
      <c r="P972" s="0" t="n">
        <f aca="false">F972*F972</f>
        <v>0.765625</v>
      </c>
      <c r="Q972" s="0" t="n">
        <f aca="false">SUMPRODUCT(G972:P972,_XtX!$B$71:$K$71)</f>
        <v>45.2420241477273</v>
      </c>
      <c r="R972" s="0" t="n">
        <f aca="false">SUMPRODUCT(MMULT(G972:P972,_XtX!$B$58:$K$67),G972:P972)</f>
        <v>0.337604869495739</v>
      </c>
      <c r="S972" s="0" t="n">
        <f aca="false">04_回帰ANOVA!$K$19*04_回帰ANOVA!$K$14*SQRT(1+R972)</f>
        <v>1.07530225516193</v>
      </c>
      <c r="T972" s="0" t="n">
        <f aca="false">Q972-S972</f>
        <v>44.1667218925654</v>
      </c>
      <c r="U972" s="0" t="n">
        <f aca="false">Q972+S972</f>
        <v>46.3173264028892</v>
      </c>
      <c r="V972" s="54" t="b">
        <f aca="false">AND(D972&gt;=01_因子設定!$L$5-0.000000001,D972&lt;=01_因子設定!$M$5+0.000000001,E972&gt;=01_因子設定!$L$6-0.000000001,E972&lt;=01_因子設定!$M$6+0.000000001,F972&gt;=01_因子設定!$L$7-0.000000001,F972&lt;=01_因子設定!$M$7+0.000000001,IF(01_因子設定!$B$20="Box-Behnken",D972^2+E972^2+F972^2&lt;=2+0.000000001,TRUE()))</f>
        <v>1</v>
      </c>
      <c r="W972" s="55" t="n">
        <f aca="false">IF(V972,IF(01_因子設定!$B$13="最大化",T972-01_因子設定!$B$14,IF(01_因子設定!$B$13="最小化",01_因子設定!$B$15-U972,MIN(T972-01_因子設定!$B$14,01_因子設定!$B$15-U972))),-1E+030)</f>
        <v>-4.33327810743464</v>
      </c>
      <c r="X972" s="55" t="n">
        <f aca="false">IF(V972,IF(01_因子設定!$B$13="最大化",Q972,IF(01_因子設定!$B$13="最小化",-Q972,-ABS(Q972-01_因子設定!$B$16))),-1E+030)</f>
        <v>45.2420241477273</v>
      </c>
      <c r="Y972" s="55" t="n">
        <f aca="false">W972+ROW()*0.000000001</f>
        <v>-4.33327713543464</v>
      </c>
      <c r="Z972" s="55" t="n">
        <f aca="false">X972+ROW()*0.000000001</f>
        <v>45.2420251197273</v>
      </c>
    </row>
    <row r="973" customFormat="false" ht="15" hidden="false" customHeight="false" outlineLevel="0" collapsed="false">
      <c r="A973" s="0" t="n">
        <v>3</v>
      </c>
      <c r="B973" s="0" t="n">
        <v>5</v>
      </c>
      <c r="C973" s="0" t="n">
        <v>16</v>
      </c>
      <c r="D973" s="0" t="n">
        <f aca="false">-1+A973*0.125</f>
        <v>-0.625</v>
      </c>
      <c r="E973" s="0" t="n">
        <f aca="false">-1+B973*0.125</f>
        <v>-0.375</v>
      </c>
      <c r="F973" s="0" t="n">
        <f aca="false">-1+C973*0.125</f>
        <v>1</v>
      </c>
      <c r="G973" s="0" t="n">
        <f aca="false">1</f>
        <v>1</v>
      </c>
      <c r="H973" s="0" t="n">
        <f aca="false">D973</f>
        <v>-0.625</v>
      </c>
      <c r="I973" s="0" t="n">
        <f aca="false">E973</f>
        <v>-0.375</v>
      </c>
      <c r="J973" s="0" t="n">
        <f aca="false">F973</f>
        <v>1</v>
      </c>
      <c r="K973" s="0" t="n">
        <f aca="false">D973*E973</f>
        <v>0.234375</v>
      </c>
      <c r="L973" s="0" t="n">
        <f aca="false">D973*F973</f>
        <v>-0.625</v>
      </c>
      <c r="M973" s="0" t="n">
        <f aca="false">E973*F973</f>
        <v>-0.375</v>
      </c>
      <c r="N973" s="0" t="n">
        <f aca="false">D973*D973</f>
        <v>0.390625</v>
      </c>
      <c r="O973" s="0" t="n">
        <f aca="false">E973*E973</f>
        <v>0.140625</v>
      </c>
      <c r="P973" s="0" t="n">
        <f aca="false">F973*F973</f>
        <v>1</v>
      </c>
      <c r="Q973" s="0" t="n">
        <f aca="false">SUMPRODUCT(G973:P973,_XtX!$B$71:$K$71)</f>
        <v>45.1292258522728</v>
      </c>
      <c r="R973" s="0" t="n">
        <f aca="false">SUMPRODUCT(MMULT(G973:P973,_XtX!$B$58:$K$67),G973:P973)</f>
        <v>0.471821178089489</v>
      </c>
      <c r="S973" s="0" t="n">
        <f aca="false">04_回帰ANOVA!$K$19*04_回帰ANOVA!$K$14*SQRT(1+R973)</f>
        <v>1.12796119746125</v>
      </c>
      <c r="T973" s="0" t="n">
        <f aca="false">Q973-S973</f>
        <v>44.0012646548115</v>
      </c>
      <c r="U973" s="0" t="n">
        <f aca="false">Q973+S973</f>
        <v>46.257187049734</v>
      </c>
      <c r="V973" s="54" t="b">
        <f aca="false">AND(D973&gt;=01_因子設定!$L$5-0.000000001,D973&lt;=01_因子設定!$M$5+0.000000001,E973&gt;=01_因子設定!$L$6-0.000000001,E973&lt;=01_因子設定!$M$6+0.000000001,F973&gt;=01_因子設定!$L$7-0.000000001,F973&lt;=01_因子設定!$M$7+0.000000001,IF(01_因子設定!$B$20="Box-Behnken",D973^2+E973^2+F973^2&lt;=2+0.000000001,TRUE()))</f>
        <v>1</v>
      </c>
      <c r="W973" s="55" t="n">
        <f aca="false">IF(V973,IF(01_因子設定!$B$13="最大化",T973-01_因子設定!$B$14,IF(01_因子設定!$B$13="最小化",01_因子設定!$B$15-U973,MIN(T973-01_因子設定!$B$14,01_因子設定!$B$15-U973))),-1E+030)</f>
        <v>-4.49873534518851</v>
      </c>
      <c r="X973" s="55" t="n">
        <f aca="false">IF(V973,IF(01_因子設定!$B$13="最大化",Q973,IF(01_因子設定!$B$13="最小化",-Q973,-ABS(Q973-01_因子設定!$B$16))),-1E+030)</f>
        <v>45.1292258522728</v>
      </c>
      <c r="Y973" s="55" t="n">
        <f aca="false">W973+ROW()*0.000000001</f>
        <v>-4.49873437218851</v>
      </c>
      <c r="Z973" s="55" t="n">
        <f aca="false">X973+ROW()*0.000000001</f>
        <v>45.1292268252727</v>
      </c>
    </row>
    <row r="974" customFormat="false" ht="15" hidden="false" customHeight="false" outlineLevel="0" collapsed="false">
      <c r="A974" s="0" t="n">
        <v>3</v>
      </c>
      <c r="B974" s="0" t="n">
        <v>6</v>
      </c>
      <c r="C974" s="0" t="n">
        <v>0</v>
      </c>
      <c r="D974" s="0" t="n">
        <f aca="false">-1+A974*0.125</f>
        <v>-0.625</v>
      </c>
      <c r="E974" s="0" t="n">
        <f aca="false">-1+B974*0.125</f>
        <v>-0.25</v>
      </c>
      <c r="F974" s="0" t="n">
        <f aca="false">-1+C974*0.125</f>
        <v>-1</v>
      </c>
      <c r="G974" s="0" t="n">
        <f aca="false">1</f>
        <v>1</v>
      </c>
      <c r="H974" s="0" t="n">
        <f aca="false">D974</f>
        <v>-0.625</v>
      </c>
      <c r="I974" s="0" t="n">
        <f aca="false">E974</f>
        <v>-0.25</v>
      </c>
      <c r="J974" s="0" t="n">
        <f aca="false">F974</f>
        <v>-1</v>
      </c>
      <c r="K974" s="0" t="n">
        <f aca="false">D974*E974</f>
        <v>0.15625</v>
      </c>
      <c r="L974" s="0" t="n">
        <f aca="false">D974*F974</f>
        <v>0.625</v>
      </c>
      <c r="M974" s="0" t="n">
        <f aca="false">E974*F974</f>
        <v>0.25</v>
      </c>
      <c r="N974" s="0" t="n">
        <f aca="false">D974*D974</f>
        <v>0.390625</v>
      </c>
      <c r="O974" s="0" t="n">
        <f aca="false">E974*E974</f>
        <v>0.0625</v>
      </c>
      <c r="P974" s="0" t="n">
        <f aca="false">F974*F974</f>
        <v>1</v>
      </c>
      <c r="Q974" s="0" t="n">
        <f aca="false">SUMPRODUCT(G974:P974,_XtX!$B$71:$K$71)</f>
        <v>42.7844034090909</v>
      </c>
      <c r="R974" s="0" t="n">
        <f aca="false">SUMPRODUCT(MMULT(G974:P974,_XtX!$B$58:$K$67),G974:P974)</f>
        <v>0.481389825994318</v>
      </c>
      <c r="S974" s="0" t="n">
        <f aca="false">04_回帰ANOVA!$K$19*04_回帰ANOVA!$K$14*SQRT(1+R974)</f>
        <v>1.13162182500693</v>
      </c>
      <c r="T974" s="0" t="n">
        <f aca="false">Q974-S974</f>
        <v>41.652781584084</v>
      </c>
      <c r="U974" s="0" t="n">
        <f aca="false">Q974+S974</f>
        <v>43.9160252340979</v>
      </c>
      <c r="V974" s="54" t="b">
        <f aca="false">AND(D974&gt;=01_因子設定!$L$5-0.000000001,D974&lt;=01_因子設定!$M$5+0.000000001,E974&gt;=01_因子設定!$L$6-0.000000001,E974&lt;=01_因子設定!$M$6+0.000000001,F974&gt;=01_因子設定!$L$7-0.000000001,F974&lt;=01_因子設定!$M$7+0.000000001,IF(01_因子設定!$B$20="Box-Behnken",D974^2+E974^2+F974^2&lt;=2+0.000000001,TRUE()))</f>
        <v>1</v>
      </c>
      <c r="W974" s="55" t="n">
        <f aca="false">IF(V974,IF(01_因子設定!$B$13="最大化",T974-01_因子設定!$B$14,IF(01_因子設定!$B$13="最小化",01_因子設定!$B$15-U974,MIN(T974-01_因子設定!$B$14,01_因子設定!$B$15-U974))),-1E+030)</f>
        <v>-6.847218415916</v>
      </c>
      <c r="X974" s="55" t="n">
        <f aca="false">IF(V974,IF(01_因子設定!$B$13="最大化",Q974,IF(01_因子設定!$B$13="最小化",-Q974,-ABS(Q974-01_因子設定!$B$16))),-1E+030)</f>
        <v>42.7844034090909</v>
      </c>
      <c r="Y974" s="55" t="n">
        <f aca="false">W974+ROW()*0.000000001</f>
        <v>-6.847217441916</v>
      </c>
      <c r="Z974" s="55" t="n">
        <f aca="false">X974+ROW()*0.000000001</f>
        <v>42.7844043830909</v>
      </c>
    </row>
    <row r="975" customFormat="false" ht="15" hidden="false" customHeight="false" outlineLevel="0" collapsed="false">
      <c r="A975" s="0" t="n">
        <v>3</v>
      </c>
      <c r="B975" s="0" t="n">
        <v>6</v>
      </c>
      <c r="C975" s="0" t="n">
        <v>1</v>
      </c>
      <c r="D975" s="0" t="n">
        <f aca="false">-1+A975*0.125</f>
        <v>-0.625</v>
      </c>
      <c r="E975" s="0" t="n">
        <f aca="false">-1+B975*0.125</f>
        <v>-0.25</v>
      </c>
      <c r="F975" s="0" t="n">
        <f aca="false">-1+C975*0.125</f>
        <v>-0.875</v>
      </c>
      <c r="G975" s="0" t="n">
        <f aca="false">1</f>
        <v>1</v>
      </c>
      <c r="H975" s="0" t="n">
        <f aca="false">D975</f>
        <v>-0.625</v>
      </c>
      <c r="I975" s="0" t="n">
        <f aca="false">E975</f>
        <v>-0.25</v>
      </c>
      <c r="J975" s="0" t="n">
        <f aca="false">F975</f>
        <v>-0.875</v>
      </c>
      <c r="K975" s="0" t="n">
        <f aca="false">D975*E975</f>
        <v>0.15625</v>
      </c>
      <c r="L975" s="0" t="n">
        <f aca="false">D975*F975</f>
        <v>0.546875</v>
      </c>
      <c r="M975" s="0" t="n">
        <f aca="false">E975*F975</f>
        <v>0.21875</v>
      </c>
      <c r="N975" s="0" t="n">
        <f aca="false">D975*D975</f>
        <v>0.390625</v>
      </c>
      <c r="O975" s="0" t="n">
        <f aca="false">E975*E975</f>
        <v>0.0625</v>
      </c>
      <c r="P975" s="0" t="n">
        <f aca="false">F975*F975</f>
        <v>0.765625</v>
      </c>
      <c r="Q975" s="0" t="n">
        <f aca="false">SUMPRODUCT(G975:P975,_XtX!$B$71:$K$71)</f>
        <v>43.2304829545455</v>
      </c>
      <c r="R975" s="0" t="n">
        <f aca="false">SUMPRODUCT(MMULT(G975:P975,_XtX!$B$58:$K$67),G975:P975)</f>
        <v>0.34446855024858</v>
      </c>
      <c r="S975" s="0" t="n">
        <f aca="false">04_回帰ANOVA!$K$19*04_回帰ANOVA!$K$14*SQRT(1+R975)</f>
        <v>1.07805758590432</v>
      </c>
      <c r="T975" s="0" t="n">
        <f aca="false">Q975-S975</f>
        <v>42.1524253686412</v>
      </c>
      <c r="U975" s="0" t="n">
        <f aca="false">Q975+S975</f>
        <v>44.3085405404498</v>
      </c>
      <c r="V975" s="54" t="b">
        <f aca="false">AND(D975&gt;=01_因子設定!$L$5-0.000000001,D975&lt;=01_因子設定!$M$5+0.000000001,E975&gt;=01_因子設定!$L$6-0.000000001,E975&lt;=01_因子設定!$M$6+0.000000001,F975&gt;=01_因子設定!$L$7-0.000000001,F975&lt;=01_因子設定!$M$7+0.000000001,IF(01_因子設定!$B$20="Box-Behnken",D975^2+E975^2+F975^2&lt;=2+0.000000001,TRUE()))</f>
        <v>1</v>
      </c>
      <c r="W975" s="55" t="n">
        <f aca="false">IF(V975,IF(01_因子設定!$B$13="最大化",T975-01_因子設定!$B$14,IF(01_因子設定!$B$13="最小化",01_因子設定!$B$15-U975,MIN(T975-01_因子設定!$B$14,01_因子設定!$B$15-U975))),-1E+030)</f>
        <v>-6.34757463135885</v>
      </c>
      <c r="X975" s="55" t="n">
        <f aca="false">IF(V975,IF(01_因子設定!$B$13="最大化",Q975,IF(01_因子設定!$B$13="最小化",-Q975,-ABS(Q975-01_因子設定!$B$16))),-1E+030)</f>
        <v>43.2304829545455</v>
      </c>
      <c r="Y975" s="55" t="n">
        <f aca="false">W975+ROW()*0.000000001</f>
        <v>-6.34757365635885</v>
      </c>
      <c r="Z975" s="55" t="n">
        <f aca="false">X975+ROW()*0.000000001</f>
        <v>43.2304839295455</v>
      </c>
    </row>
    <row r="976" customFormat="false" ht="15" hidden="false" customHeight="false" outlineLevel="0" collapsed="false">
      <c r="A976" s="0" t="n">
        <v>3</v>
      </c>
      <c r="B976" s="0" t="n">
        <v>6</v>
      </c>
      <c r="C976" s="0" t="n">
        <v>2</v>
      </c>
      <c r="D976" s="0" t="n">
        <f aca="false">-1+A976*0.125</f>
        <v>-0.625</v>
      </c>
      <c r="E976" s="0" t="n">
        <f aca="false">-1+B976*0.125</f>
        <v>-0.25</v>
      </c>
      <c r="F976" s="0" t="n">
        <f aca="false">-1+C976*0.125</f>
        <v>-0.75</v>
      </c>
      <c r="G976" s="0" t="n">
        <f aca="false">1</f>
        <v>1</v>
      </c>
      <c r="H976" s="0" t="n">
        <f aca="false">D976</f>
        <v>-0.625</v>
      </c>
      <c r="I976" s="0" t="n">
        <f aca="false">E976</f>
        <v>-0.25</v>
      </c>
      <c r="J976" s="0" t="n">
        <f aca="false">F976</f>
        <v>-0.75</v>
      </c>
      <c r="K976" s="0" t="n">
        <f aca="false">D976*E976</f>
        <v>0.15625</v>
      </c>
      <c r="L976" s="0" t="n">
        <f aca="false">D976*F976</f>
        <v>0.46875</v>
      </c>
      <c r="M976" s="0" t="n">
        <f aca="false">E976*F976</f>
        <v>0.1875</v>
      </c>
      <c r="N976" s="0" t="n">
        <f aca="false">D976*D976</f>
        <v>0.390625</v>
      </c>
      <c r="O976" s="0" t="n">
        <f aca="false">E976*E976</f>
        <v>0.0625</v>
      </c>
      <c r="P976" s="0" t="n">
        <f aca="false">F976*F976</f>
        <v>0.5625</v>
      </c>
      <c r="Q976" s="0" t="n">
        <f aca="false">SUMPRODUCT(G976:P976,_XtX!$B$71:$K$71)</f>
        <v>43.6397727272727</v>
      </c>
      <c r="R976" s="0" t="n">
        <f aca="false">SUMPRODUCT(MMULT(G976:P976,_XtX!$B$58:$K$67),G976:P976)</f>
        <v>0.258118785511364</v>
      </c>
      <c r="S976" s="0" t="n">
        <f aca="false">04_回帰ANOVA!$K$19*04_回帰ANOVA!$K$14*SQRT(1+R976)</f>
        <v>1.04286348094876</v>
      </c>
      <c r="T976" s="0" t="n">
        <f aca="false">Q976-S976</f>
        <v>42.596909246324</v>
      </c>
      <c r="U976" s="0" t="n">
        <f aca="false">Q976+S976</f>
        <v>44.6826362082215</v>
      </c>
      <c r="V976" s="54" t="b">
        <f aca="false">AND(D976&gt;=01_因子設定!$L$5-0.000000001,D976&lt;=01_因子設定!$M$5+0.000000001,E976&gt;=01_因子設定!$L$6-0.000000001,E976&lt;=01_因子設定!$M$6+0.000000001,F976&gt;=01_因子設定!$L$7-0.000000001,F976&lt;=01_因子設定!$M$7+0.000000001,IF(01_因子設定!$B$20="Box-Behnken",D976^2+E976^2+F976^2&lt;=2+0.000000001,TRUE()))</f>
        <v>1</v>
      </c>
      <c r="W976" s="55" t="n">
        <f aca="false">IF(V976,IF(01_因子設定!$B$13="最大化",T976-01_因子設定!$B$14,IF(01_因子設定!$B$13="最小化",01_因子設定!$B$15-U976,MIN(T976-01_因子設定!$B$14,01_因子設定!$B$15-U976))),-1E+030)</f>
        <v>-5.90309075367603</v>
      </c>
      <c r="X976" s="55" t="n">
        <f aca="false">IF(V976,IF(01_因子設定!$B$13="最大化",Q976,IF(01_因子設定!$B$13="最小化",-Q976,-ABS(Q976-01_因子設定!$B$16))),-1E+030)</f>
        <v>43.6397727272727</v>
      </c>
      <c r="Y976" s="55" t="n">
        <f aca="false">W976+ROW()*0.000000001</f>
        <v>-5.90308977767603</v>
      </c>
      <c r="Z976" s="55" t="n">
        <f aca="false">X976+ROW()*0.000000001</f>
        <v>43.6397737032727</v>
      </c>
    </row>
    <row r="977" customFormat="false" ht="15" hidden="false" customHeight="false" outlineLevel="0" collapsed="false">
      <c r="A977" s="0" t="n">
        <v>3</v>
      </c>
      <c r="B977" s="0" t="n">
        <v>6</v>
      </c>
      <c r="C977" s="0" t="n">
        <v>3</v>
      </c>
      <c r="D977" s="0" t="n">
        <f aca="false">-1+A977*0.125</f>
        <v>-0.625</v>
      </c>
      <c r="E977" s="0" t="n">
        <f aca="false">-1+B977*0.125</f>
        <v>-0.25</v>
      </c>
      <c r="F977" s="0" t="n">
        <f aca="false">-1+C977*0.125</f>
        <v>-0.625</v>
      </c>
      <c r="G977" s="0" t="n">
        <f aca="false">1</f>
        <v>1</v>
      </c>
      <c r="H977" s="0" t="n">
        <f aca="false">D977</f>
        <v>-0.625</v>
      </c>
      <c r="I977" s="0" t="n">
        <f aca="false">E977</f>
        <v>-0.25</v>
      </c>
      <c r="J977" s="0" t="n">
        <f aca="false">F977</f>
        <v>-0.625</v>
      </c>
      <c r="K977" s="0" t="n">
        <f aca="false">D977*E977</f>
        <v>0.15625</v>
      </c>
      <c r="L977" s="0" t="n">
        <f aca="false">D977*F977</f>
        <v>0.390625</v>
      </c>
      <c r="M977" s="0" t="n">
        <f aca="false">E977*F977</f>
        <v>0.15625</v>
      </c>
      <c r="N977" s="0" t="n">
        <f aca="false">D977*D977</f>
        <v>0.390625</v>
      </c>
      <c r="O977" s="0" t="n">
        <f aca="false">E977*E977</f>
        <v>0.0625</v>
      </c>
      <c r="P977" s="0" t="n">
        <f aca="false">F977*F977</f>
        <v>0.390625</v>
      </c>
      <c r="Q977" s="0" t="n">
        <f aca="false">SUMPRODUCT(G977:P977,_XtX!$B$71:$K$71)</f>
        <v>44.0122727272727</v>
      </c>
      <c r="R977" s="0" t="n">
        <f aca="false">SUMPRODUCT(MMULT(G977:P977,_XtX!$B$58:$K$67),G977:P977)</f>
        <v>0.208491099964489</v>
      </c>
      <c r="S977" s="0" t="n">
        <f aca="false">04_回帰ANOVA!$K$19*04_回帰ANOVA!$K$14*SQRT(1+R977)</f>
        <v>1.02208817610259</v>
      </c>
      <c r="T977" s="0" t="n">
        <f aca="false">Q977-S977</f>
        <v>42.9901845511702</v>
      </c>
      <c r="U977" s="0" t="n">
        <f aca="false">Q977+S977</f>
        <v>45.0343609033753</v>
      </c>
      <c r="V977" s="54" t="b">
        <f aca="false">AND(D977&gt;=01_因子設定!$L$5-0.000000001,D977&lt;=01_因子設定!$M$5+0.000000001,E977&gt;=01_因子設定!$L$6-0.000000001,E977&lt;=01_因子設定!$M$6+0.000000001,F977&gt;=01_因子設定!$L$7-0.000000001,F977&lt;=01_因子設定!$M$7+0.000000001,IF(01_因子設定!$B$20="Box-Behnken",D977^2+E977^2+F977^2&lt;=2+0.000000001,TRUE()))</f>
        <v>1</v>
      </c>
      <c r="W977" s="55" t="n">
        <f aca="false">IF(V977,IF(01_因子設定!$B$13="最大化",T977-01_因子設定!$B$14,IF(01_因子設定!$B$13="最小化",01_因子設定!$B$15-U977,MIN(T977-01_因子設定!$B$14,01_因子設定!$B$15-U977))),-1E+030)</f>
        <v>-5.50981544882985</v>
      </c>
      <c r="X977" s="55" t="n">
        <f aca="false">IF(V977,IF(01_因子設定!$B$13="最大化",Q977,IF(01_因子設定!$B$13="最小化",-Q977,-ABS(Q977-01_因子設定!$B$16))),-1E+030)</f>
        <v>44.0122727272727</v>
      </c>
      <c r="Y977" s="55" t="n">
        <f aca="false">W977+ROW()*0.000000001</f>
        <v>-5.50981447182985</v>
      </c>
      <c r="Z977" s="55" t="n">
        <f aca="false">X977+ROW()*0.000000001</f>
        <v>44.0122737042727</v>
      </c>
    </row>
    <row r="978" customFormat="false" ht="15" hidden="false" customHeight="false" outlineLevel="0" collapsed="false">
      <c r="A978" s="0" t="n">
        <v>3</v>
      </c>
      <c r="B978" s="0" t="n">
        <v>6</v>
      </c>
      <c r="C978" s="0" t="n">
        <v>4</v>
      </c>
      <c r="D978" s="0" t="n">
        <f aca="false">-1+A978*0.125</f>
        <v>-0.625</v>
      </c>
      <c r="E978" s="0" t="n">
        <f aca="false">-1+B978*0.125</f>
        <v>-0.25</v>
      </c>
      <c r="F978" s="0" t="n">
        <f aca="false">-1+C978*0.125</f>
        <v>-0.5</v>
      </c>
      <c r="G978" s="0" t="n">
        <f aca="false">1</f>
        <v>1</v>
      </c>
      <c r="H978" s="0" t="n">
        <f aca="false">D978</f>
        <v>-0.625</v>
      </c>
      <c r="I978" s="0" t="n">
        <f aca="false">E978</f>
        <v>-0.25</v>
      </c>
      <c r="J978" s="0" t="n">
        <f aca="false">F978</f>
        <v>-0.5</v>
      </c>
      <c r="K978" s="0" t="n">
        <f aca="false">D978*E978</f>
        <v>0.15625</v>
      </c>
      <c r="L978" s="0" t="n">
        <f aca="false">D978*F978</f>
        <v>0.3125</v>
      </c>
      <c r="M978" s="0" t="n">
        <f aca="false">E978*F978</f>
        <v>0.125</v>
      </c>
      <c r="N978" s="0" t="n">
        <f aca="false">D978*D978</f>
        <v>0.390625</v>
      </c>
      <c r="O978" s="0" t="n">
        <f aca="false">E978*E978</f>
        <v>0.0625</v>
      </c>
      <c r="P978" s="0" t="n">
        <f aca="false">F978*F978</f>
        <v>0.25</v>
      </c>
      <c r="Q978" s="0" t="n">
        <f aca="false">SUMPRODUCT(G978:P978,_XtX!$B$71:$K$71)</f>
        <v>44.3479829545455</v>
      </c>
      <c r="R978" s="0" t="n">
        <f aca="false">SUMPRODUCT(MMULT(G978:P978,_XtX!$B$58:$K$67),G978:P978)</f>
        <v>0.183866743607955</v>
      </c>
      <c r="S978" s="0" t="n">
        <f aca="false">04_回帰ANOVA!$K$19*04_回帰ANOVA!$K$14*SQRT(1+R978)</f>
        <v>1.01162148983013</v>
      </c>
      <c r="T978" s="0" t="n">
        <f aca="false">Q978-S978</f>
        <v>43.3363614647153</v>
      </c>
      <c r="U978" s="0" t="n">
        <f aca="false">Q978+S978</f>
        <v>45.3596044443756</v>
      </c>
      <c r="V978" s="54" t="b">
        <f aca="false">AND(D978&gt;=01_因子設定!$L$5-0.000000001,D978&lt;=01_因子設定!$M$5+0.000000001,E978&gt;=01_因子設定!$L$6-0.000000001,E978&lt;=01_因子設定!$M$6+0.000000001,F978&gt;=01_因子設定!$L$7-0.000000001,F978&lt;=01_因子設定!$M$7+0.000000001,IF(01_因子設定!$B$20="Box-Behnken",D978^2+E978^2+F978^2&lt;=2+0.000000001,TRUE()))</f>
        <v>1</v>
      </c>
      <c r="W978" s="55" t="n">
        <f aca="false">IF(V978,IF(01_因子設定!$B$13="最大化",T978-01_因子設定!$B$14,IF(01_因子設定!$B$13="最小化",01_因子設定!$B$15-U978,MIN(T978-01_因子設定!$B$14,01_因子設定!$B$15-U978))),-1E+030)</f>
        <v>-5.16363853528468</v>
      </c>
      <c r="X978" s="55" t="n">
        <f aca="false">IF(V978,IF(01_因子設定!$B$13="最大化",Q978,IF(01_因子設定!$B$13="最小化",-Q978,-ABS(Q978-01_因子設定!$B$16))),-1E+030)</f>
        <v>44.3479829545455</v>
      </c>
      <c r="Y978" s="55" t="n">
        <f aca="false">W978+ROW()*0.000000001</f>
        <v>-5.16363755728468</v>
      </c>
      <c r="Z978" s="55" t="n">
        <f aca="false">X978+ROW()*0.000000001</f>
        <v>44.3479839325455</v>
      </c>
    </row>
    <row r="979" customFormat="false" ht="15" hidden="false" customHeight="false" outlineLevel="0" collapsed="false">
      <c r="A979" s="0" t="n">
        <v>3</v>
      </c>
      <c r="B979" s="0" t="n">
        <v>6</v>
      </c>
      <c r="C979" s="0" t="n">
        <v>5</v>
      </c>
      <c r="D979" s="0" t="n">
        <f aca="false">-1+A979*0.125</f>
        <v>-0.625</v>
      </c>
      <c r="E979" s="0" t="n">
        <f aca="false">-1+B979*0.125</f>
        <v>-0.25</v>
      </c>
      <c r="F979" s="0" t="n">
        <f aca="false">-1+C979*0.125</f>
        <v>-0.375</v>
      </c>
      <c r="G979" s="0" t="n">
        <f aca="false">1</f>
        <v>1</v>
      </c>
      <c r="H979" s="0" t="n">
        <f aca="false">D979</f>
        <v>-0.625</v>
      </c>
      <c r="I979" s="0" t="n">
        <f aca="false">E979</f>
        <v>-0.25</v>
      </c>
      <c r="J979" s="0" t="n">
        <f aca="false">F979</f>
        <v>-0.375</v>
      </c>
      <c r="K979" s="0" t="n">
        <f aca="false">D979*E979</f>
        <v>0.15625</v>
      </c>
      <c r="L979" s="0" t="n">
        <f aca="false">D979*F979</f>
        <v>0.234375</v>
      </c>
      <c r="M979" s="0" t="n">
        <f aca="false">E979*F979</f>
        <v>0.09375</v>
      </c>
      <c r="N979" s="0" t="n">
        <f aca="false">D979*D979</f>
        <v>0.390625</v>
      </c>
      <c r="O979" s="0" t="n">
        <f aca="false">E979*E979</f>
        <v>0.0625</v>
      </c>
      <c r="P979" s="0" t="n">
        <f aca="false">F979*F979</f>
        <v>0.140625</v>
      </c>
      <c r="Q979" s="0" t="n">
        <f aca="false">SUMPRODUCT(G979:P979,_XtX!$B$71:$K$71)</f>
        <v>44.6469034090909</v>
      </c>
      <c r="R979" s="0" t="n">
        <f aca="false">SUMPRODUCT(MMULT(G979:P979,_XtX!$B$58:$K$67),G979:P979)</f>
        <v>0.174657648259943</v>
      </c>
      <c r="S979" s="0" t="n">
        <f aca="false">04_回帰ANOVA!$K$19*04_回帰ANOVA!$K$14*SQRT(1+R979)</f>
        <v>1.00767919364845</v>
      </c>
      <c r="T979" s="0" t="n">
        <f aca="false">Q979-S979</f>
        <v>43.6392242154425</v>
      </c>
      <c r="U979" s="0" t="n">
        <f aca="false">Q979+S979</f>
        <v>45.6545826027394</v>
      </c>
      <c r="V979" s="54" t="b">
        <f aca="false">AND(D979&gt;=01_因子設定!$L$5-0.000000001,D979&lt;=01_因子設定!$M$5+0.000000001,E979&gt;=01_因子設定!$L$6-0.000000001,E979&lt;=01_因子設定!$M$6+0.000000001,F979&gt;=01_因子設定!$L$7-0.000000001,F979&lt;=01_因子設定!$M$7+0.000000001,IF(01_因子設定!$B$20="Box-Behnken",D979^2+E979^2+F979^2&lt;=2+0.000000001,TRUE()))</f>
        <v>1</v>
      </c>
      <c r="W979" s="55" t="n">
        <f aca="false">IF(V979,IF(01_因子設定!$B$13="最大化",T979-01_因子設定!$B$14,IF(01_因子設定!$B$13="最小化",01_因子設定!$B$15-U979,MIN(T979-01_因子設定!$B$14,01_因子設定!$B$15-U979))),-1E+030)</f>
        <v>-4.86077578455753</v>
      </c>
      <c r="X979" s="55" t="n">
        <f aca="false">IF(V979,IF(01_因子設定!$B$13="最大化",Q979,IF(01_因子設定!$B$13="最小化",-Q979,-ABS(Q979-01_因子設定!$B$16))),-1E+030)</f>
        <v>44.6469034090909</v>
      </c>
      <c r="Y979" s="55" t="n">
        <f aca="false">W979+ROW()*0.000000001</f>
        <v>-4.86077480555753</v>
      </c>
      <c r="Z979" s="55" t="n">
        <f aca="false">X979+ROW()*0.000000001</f>
        <v>44.6469043880909</v>
      </c>
    </row>
    <row r="980" customFormat="false" ht="15" hidden="false" customHeight="false" outlineLevel="0" collapsed="false">
      <c r="A980" s="0" t="n">
        <v>3</v>
      </c>
      <c r="B980" s="0" t="n">
        <v>6</v>
      </c>
      <c r="C980" s="0" t="n">
        <v>6</v>
      </c>
      <c r="D980" s="0" t="n">
        <f aca="false">-1+A980*0.125</f>
        <v>-0.625</v>
      </c>
      <c r="E980" s="0" t="n">
        <f aca="false">-1+B980*0.125</f>
        <v>-0.25</v>
      </c>
      <c r="F980" s="0" t="n">
        <f aca="false">-1+C980*0.125</f>
        <v>-0.25</v>
      </c>
      <c r="G980" s="0" t="n">
        <f aca="false">1</f>
        <v>1</v>
      </c>
      <c r="H980" s="0" t="n">
        <f aca="false">D980</f>
        <v>-0.625</v>
      </c>
      <c r="I980" s="0" t="n">
        <f aca="false">E980</f>
        <v>-0.25</v>
      </c>
      <c r="J980" s="0" t="n">
        <f aca="false">F980</f>
        <v>-0.25</v>
      </c>
      <c r="K980" s="0" t="n">
        <f aca="false">D980*E980</f>
        <v>0.15625</v>
      </c>
      <c r="L980" s="0" t="n">
        <f aca="false">D980*F980</f>
        <v>0.15625</v>
      </c>
      <c r="M980" s="0" t="n">
        <f aca="false">E980*F980</f>
        <v>0.0625</v>
      </c>
      <c r="N980" s="0" t="n">
        <f aca="false">D980*D980</f>
        <v>0.390625</v>
      </c>
      <c r="O980" s="0" t="n">
        <f aca="false">E980*E980</f>
        <v>0.0625</v>
      </c>
      <c r="P980" s="0" t="n">
        <f aca="false">F980*F980</f>
        <v>0.0625</v>
      </c>
      <c r="Q980" s="0" t="n">
        <f aca="false">SUMPRODUCT(G980:P980,_XtX!$B$71:$K$71)</f>
        <v>44.9090340909091</v>
      </c>
      <c r="R980" s="0" t="n">
        <f aca="false">SUMPRODUCT(MMULT(G980:P980,_XtX!$B$58:$K$67),G980:P980)</f>
        <v>0.173406427556818</v>
      </c>
      <c r="S980" s="0" t="n">
        <f aca="false">04_回帰ANOVA!$K$19*04_回帰ANOVA!$K$14*SQRT(1+R980)</f>
        <v>1.00714237128059</v>
      </c>
      <c r="T980" s="0" t="n">
        <f aca="false">Q980-S980</f>
        <v>43.9018917196285</v>
      </c>
      <c r="U980" s="0" t="n">
        <f aca="false">Q980+S980</f>
        <v>45.9161764621897</v>
      </c>
      <c r="V980" s="54" t="b">
        <f aca="false">AND(D980&gt;=01_因子設定!$L$5-0.000000001,D980&lt;=01_因子設定!$M$5+0.000000001,E980&gt;=01_因子設定!$L$6-0.000000001,E980&lt;=01_因子設定!$M$6+0.000000001,F980&gt;=01_因子設定!$L$7-0.000000001,F980&lt;=01_因子設定!$M$7+0.000000001,IF(01_因子設定!$B$20="Box-Behnken",D980^2+E980^2+F980^2&lt;=2+0.000000001,TRUE()))</f>
        <v>1</v>
      </c>
      <c r="W980" s="55" t="n">
        <f aca="false">IF(V980,IF(01_因子設定!$B$13="最大化",T980-01_因子設定!$B$14,IF(01_因子設定!$B$13="最小化",01_因子設定!$B$15-U980,MIN(T980-01_因子設定!$B$14,01_因子設定!$B$15-U980))),-1E+030)</f>
        <v>-4.5981082803715</v>
      </c>
      <c r="X980" s="55" t="n">
        <f aca="false">IF(V980,IF(01_因子設定!$B$13="最大化",Q980,IF(01_因子設定!$B$13="最小化",-Q980,-ABS(Q980-01_因子設定!$B$16))),-1E+030)</f>
        <v>44.9090340909091</v>
      </c>
      <c r="Y980" s="55" t="n">
        <f aca="false">W980+ROW()*0.000000001</f>
        <v>-4.5981073003715</v>
      </c>
      <c r="Z980" s="55" t="n">
        <f aca="false">X980+ROW()*0.000000001</f>
        <v>44.9090350709091</v>
      </c>
    </row>
    <row r="981" customFormat="false" ht="15" hidden="false" customHeight="false" outlineLevel="0" collapsed="false">
      <c r="A981" s="0" t="n">
        <v>3</v>
      </c>
      <c r="B981" s="0" t="n">
        <v>6</v>
      </c>
      <c r="C981" s="0" t="n">
        <v>7</v>
      </c>
      <c r="D981" s="0" t="n">
        <f aca="false">-1+A981*0.125</f>
        <v>-0.625</v>
      </c>
      <c r="E981" s="0" t="n">
        <f aca="false">-1+B981*0.125</f>
        <v>-0.25</v>
      </c>
      <c r="F981" s="0" t="n">
        <f aca="false">-1+C981*0.125</f>
        <v>-0.125</v>
      </c>
      <c r="G981" s="0" t="n">
        <f aca="false">1</f>
        <v>1</v>
      </c>
      <c r="H981" s="0" t="n">
        <f aca="false">D981</f>
        <v>-0.625</v>
      </c>
      <c r="I981" s="0" t="n">
        <f aca="false">E981</f>
        <v>-0.25</v>
      </c>
      <c r="J981" s="0" t="n">
        <f aca="false">F981</f>
        <v>-0.125</v>
      </c>
      <c r="K981" s="0" t="n">
        <f aca="false">D981*E981</f>
        <v>0.15625</v>
      </c>
      <c r="L981" s="0" t="n">
        <f aca="false">D981*F981</f>
        <v>0.078125</v>
      </c>
      <c r="M981" s="0" t="n">
        <f aca="false">E981*F981</f>
        <v>0.03125</v>
      </c>
      <c r="N981" s="0" t="n">
        <f aca="false">D981*D981</f>
        <v>0.390625</v>
      </c>
      <c r="O981" s="0" t="n">
        <f aca="false">E981*E981</f>
        <v>0.0625</v>
      </c>
      <c r="P981" s="0" t="n">
        <f aca="false">F981*F981</f>
        <v>0.015625</v>
      </c>
      <c r="Q981" s="0" t="n">
        <f aca="false">SUMPRODUCT(G981:P981,_XtX!$B$71:$K$71)</f>
        <v>45.134375</v>
      </c>
      <c r="R981" s="0" t="n">
        <f aca="false">SUMPRODUCT(MMULT(G981:P981,_XtX!$B$58:$K$67),G981:P981)</f>
        <v>0.174786376953125</v>
      </c>
      <c r="S981" s="0" t="n">
        <f aca="false">04_回帰ANOVA!$K$19*04_回帰ANOVA!$K$14*SQRT(1+R981)</f>
        <v>1.00773440704286</v>
      </c>
      <c r="T981" s="0" t="n">
        <f aca="false">Q981-S981</f>
        <v>44.1266405929571</v>
      </c>
      <c r="U981" s="0" t="n">
        <f aca="false">Q981+S981</f>
        <v>46.1421094070429</v>
      </c>
      <c r="V981" s="54" t="b">
        <f aca="false">AND(D981&gt;=01_因子設定!$L$5-0.000000001,D981&lt;=01_因子設定!$M$5+0.000000001,E981&gt;=01_因子設定!$L$6-0.000000001,E981&lt;=01_因子設定!$M$6+0.000000001,F981&gt;=01_因子設定!$L$7-0.000000001,F981&lt;=01_因子設定!$M$7+0.000000001,IF(01_因子設定!$B$20="Box-Behnken",D981^2+E981^2+F981^2&lt;=2+0.000000001,TRUE()))</f>
        <v>1</v>
      </c>
      <c r="W981" s="55" t="n">
        <f aca="false">IF(V981,IF(01_因子設定!$B$13="最大化",T981-01_因子設定!$B$14,IF(01_因子設定!$B$13="最小化",01_因子設定!$B$15-U981,MIN(T981-01_因子設定!$B$14,01_因子設定!$B$15-U981))),-1E+030)</f>
        <v>-4.37335940704286</v>
      </c>
      <c r="X981" s="55" t="n">
        <f aca="false">IF(V981,IF(01_因子設定!$B$13="最大化",Q981,IF(01_因子設定!$B$13="最小化",-Q981,-ABS(Q981-01_因子設定!$B$16))),-1E+030)</f>
        <v>45.134375</v>
      </c>
      <c r="Y981" s="55" t="n">
        <f aca="false">W981+ROW()*0.000000001</f>
        <v>-4.37335842604286</v>
      </c>
      <c r="Z981" s="55" t="n">
        <f aca="false">X981+ROW()*0.000000001</f>
        <v>45.134375981</v>
      </c>
    </row>
    <row r="982" customFormat="false" ht="15" hidden="false" customHeight="false" outlineLevel="0" collapsed="false">
      <c r="A982" s="0" t="n">
        <v>3</v>
      </c>
      <c r="B982" s="0" t="n">
        <v>6</v>
      </c>
      <c r="C982" s="0" t="n">
        <v>8</v>
      </c>
      <c r="D982" s="0" t="n">
        <f aca="false">-1+A982*0.125</f>
        <v>-0.625</v>
      </c>
      <c r="E982" s="0" t="n">
        <f aca="false">-1+B982*0.125</f>
        <v>-0.25</v>
      </c>
      <c r="F982" s="0" t="n">
        <f aca="false">-1+C982*0.125</f>
        <v>0</v>
      </c>
      <c r="G982" s="0" t="n">
        <f aca="false">1</f>
        <v>1</v>
      </c>
      <c r="H982" s="0" t="n">
        <f aca="false">D982</f>
        <v>-0.625</v>
      </c>
      <c r="I982" s="0" t="n">
        <f aca="false">E982</f>
        <v>-0.25</v>
      </c>
      <c r="J982" s="0" t="n">
        <f aca="false">F982</f>
        <v>0</v>
      </c>
      <c r="K982" s="0" t="n">
        <f aca="false">D982*E982</f>
        <v>0.15625</v>
      </c>
      <c r="L982" s="0" t="n">
        <f aca="false">D982*F982</f>
        <v>-0</v>
      </c>
      <c r="M982" s="0" t="n">
        <f aca="false">E982*F982</f>
        <v>-0</v>
      </c>
      <c r="N982" s="0" t="n">
        <f aca="false">D982*D982</f>
        <v>0.390625</v>
      </c>
      <c r="O982" s="0" t="n">
        <f aca="false">E982*E982</f>
        <v>0.0625</v>
      </c>
      <c r="P982" s="0" t="n">
        <f aca="false">F982*F982</f>
        <v>0</v>
      </c>
      <c r="Q982" s="0" t="n">
        <f aca="false">SUMPRODUCT(G982:P982,_XtX!$B$71:$K$71)</f>
        <v>45.3229261363636</v>
      </c>
      <c r="R982" s="0" t="n">
        <f aca="false">SUMPRODUCT(MMULT(G982:P982,_XtX!$B$58:$K$67),G982:P982)</f>
        <v>0.175601473721591</v>
      </c>
      <c r="S982" s="0" t="n">
        <f aca="false">04_回帰ANOVA!$K$19*04_回帰ANOVA!$K$14*SQRT(1+R982)</f>
        <v>1.00808394234856</v>
      </c>
      <c r="T982" s="0" t="n">
        <f aca="false">Q982-S982</f>
        <v>44.3148421940151</v>
      </c>
      <c r="U982" s="0" t="n">
        <f aca="false">Q982+S982</f>
        <v>46.3310100787122</v>
      </c>
      <c r="V982" s="54" t="b">
        <f aca="false">AND(D982&gt;=01_因子設定!$L$5-0.000000001,D982&lt;=01_因子設定!$M$5+0.000000001,E982&gt;=01_因子設定!$L$6-0.000000001,E982&lt;=01_因子設定!$M$6+0.000000001,F982&gt;=01_因子設定!$L$7-0.000000001,F982&lt;=01_因子設定!$M$7+0.000000001,IF(01_因子設定!$B$20="Box-Behnken",D982^2+E982^2+F982^2&lt;=2+0.000000001,TRUE()))</f>
        <v>1</v>
      </c>
      <c r="W982" s="55" t="n">
        <f aca="false">IF(V982,IF(01_因子設定!$B$13="最大化",T982-01_因子設定!$B$14,IF(01_因子設定!$B$13="最小化",01_因子設定!$B$15-U982,MIN(T982-01_因子設定!$B$14,01_因子設定!$B$15-U982))),-1E+030)</f>
        <v>-4.18515780598493</v>
      </c>
      <c r="X982" s="55" t="n">
        <f aca="false">IF(V982,IF(01_因子設定!$B$13="最大化",Q982,IF(01_因子設定!$B$13="最小化",-Q982,-ABS(Q982-01_因子設定!$B$16))),-1E+030)</f>
        <v>45.3229261363636</v>
      </c>
      <c r="Y982" s="55" t="n">
        <f aca="false">W982+ROW()*0.000000001</f>
        <v>-4.18515682398493</v>
      </c>
      <c r="Z982" s="55" t="n">
        <f aca="false">X982+ROW()*0.000000001</f>
        <v>45.3229271183636</v>
      </c>
    </row>
    <row r="983" customFormat="false" ht="15" hidden="false" customHeight="false" outlineLevel="0" collapsed="false">
      <c r="A983" s="0" t="n">
        <v>3</v>
      </c>
      <c r="B983" s="0" t="n">
        <v>6</v>
      </c>
      <c r="C983" s="0" t="n">
        <v>9</v>
      </c>
      <c r="D983" s="0" t="n">
        <f aca="false">-1+A983*0.125</f>
        <v>-0.625</v>
      </c>
      <c r="E983" s="0" t="n">
        <f aca="false">-1+B983*0.125</f>
        <v>-0.25</v>
      </c>
      <c r="F983" s="0" t="n">
        <f aca="false">-1+C983*0.125</f>
        <v>0.125</v>
      </c>
      <c r="G983" s="0" t="n">
        <f aca="false">1</f>
        <v>1</v>
      </c>
      <c r="H983" s="0" t="n">
        <f aca="false">D983</f>
        <v>-0.625</v>
      </c>
      <c r="I983" s="0" t="n">
        <f aca="false">E983</f>
        <v>-0.25</v>
      </c>
      <c r="J983" s="0" t="n">
        <f aca="false">F983</f>
        <v>0.125</v>
      </c>
      <c r="K983" s="0" t="n">
        <f aca="false">D983*E983</f>
        <v>0.15625</v>
      </c>
      <c r="L983" s="0" t="n">
        <f aca="false">D983*F983</f>
        <v>-0.078125</v>
      </c>
      <c r="M983" s="0" t="n">
        <f aca="false">E983*F983</f>
        <v>-0.03125</v>
      </c>
      <c r="N983" s="0" t="n">
        <f aca="false">D983*D983</f>
        <v>0.390625</v>
      </c>
      <c r="O983" s="0" t="n">
        <f aca="false">E983*E983</f>
        <v>0.0625</v>
      </c>
      <c r="P983" s="0" t="n">
        <f aca="false">F983*F983</f>
        <v>0.015625</v>
      </c>
      <c r="Q983" s="0" t="n">
        <f aca="false">SUMPRODUCT(G983:P983,_XtX!$B$71:$K$71)</f>
        <v>45.4746875</v>
      </c>
      <c r="R983" s="0" t="n">
        <f aca="false">SUMPRODUCT(MMULT(G983:P983,_XtX!$B$58:$K$67),G983:P983)</f>
        <v>0.174786376953125</v>
      </c>
      <c r="S983" s="0" t="n">
        <f aca="false">04_回帰ANOVA!$K$19*04_回帰ANOVA!$K$14*SQRT(1+R983)</f>
        <v>1.00773440704286</v>
      </c>
      <c r="T983" s="0" t="n">
        <f aca="false">Q983-S983</f>
        <v>44.4669530929571</v>
      </c>
      <c r="U983" s="0" t="n">
        <f aca="false">Q983+S983</f>
        <v>46.4824219070429</v>
      </c>
      <c r="V983" s="54" t="b">
        <f aca="false">AND(D983&gt;=01_因子設定!$L$5-0.000000001,D983&lt;=01_因子設定!$M$5+0.000000001,E983&gt;=01_因子設定!$L$6-0.000000001,E983&lt;=01_因子設定!$M$6+0.000000001,F983&gt;=01_因子設定!$L$7-0.000000001,F983&lt;=01_因子設定!$M$7+0.000000001,IF(01_因子設定!$B$20="Box-Behnken",D983^2+E983^2+F983^2&lt;=2+0.000000001,TRUE()))</f>
        <v>1</v>
      </c>
      <c r="W983" s="55" t="n">
        <f aca="false">IF(V983,IF(01_因子設定!$B$13="最大化",T983-01_因子設定!$B$14,IF(01_因子設定!$B$13="最小化",01_因子設定!$B$15-U983,MIN(T983-01_因子設定!$B$14,01_因子設定!$B$15-U983))),-1E+030)</f>
        <v>-4.03304690704286</v>
      </c>
      <c r="X983" s="55" t="n">
        <f aca="false">IF(V983,IF(01_因子設定!$B$13="最大化",Q983,IF(01_因子設定!$B$13="最小化",-Q983,-ABS(Q983-01_因子設定!$B$16))),-1E+030)</f>
        <v>45.4746875</v>
      </c>
      <c r="Y983" s="55" t="n">
        <f aca="false">W983+ROW()*0.000000001</f>
        <v>-4.03304592404286</v>
      </c>
      <c r="Z983" s="55" t="n">
        <f aca="false">X983+ROW()*0.000000001</f>
        <v>45.474688483</v>
      </c>
    </row>
    <row r="984" customFormat="false" ht="15" hidden="false" customHeight="false" outlineLevel="0" collapsed="false">
      <c r="A984" s="0" t="n">
        <v>3</v>
      </c>
      <c r="B984" s="0" t="n">
        <v>6</v>
      </c>
      <c r="C984" s="0" t="n">
        <v>10</v>
      </c>
      <c r="D984" s="0" t="n">
        <f aca="false">-1+A984*0.125</f>
        <v>-0.625</v>
      </c>
      <c r="E984" s="0" t="n">
        <f aca="false">-1+B984*0.125</f>
        <v>-0.25</v>
      </c>
      <c r="F984" s="0" t="n">
        <f aca="false">-1+C984*0.125</f>
        <v>0.25</v>
      </c>
      <c r="G984" s="0" t="n">
        <f aca="false">1</f>
        <v>1</v>
      </c>
      <c r="H984" s="0" t="n">
        <f aca="false">D984</f>
        <v>-0.625</v>
      </c>
      <c r="I984" s="0" t="n">
        <f aca="false">E984</f>
        <v>-0.25</v>
      </c>
      <c r="J984" s="0" t="n">
        <f aca="false">F984</f>
        <v>0.25</v>
      </c>
      <c r="K984" s="0" t="n">
        <f aca="false">D984*E984</f>
        <v>0.15625</v>
      </c>
      <c r="L984" s="0" t="n">
        <f aca="false">D984*F984</f>
        <v>-0.15625</v>
      </c>
      <c r="M984" s="0" t="n">
        <f aca="false">E984*F984</f>
        <v>-0.0625</v>
      </c>
      <c r="N984" s="0" t="n">
        <f aca="false">D984*D984</f>
        <v>0.390625</v>
      </c>
      <c r="O984" s="0" t="n">
        <f aca="false">E984*E984</f>
        <v>0.0625</v>
      </c>
      <c r="P984" s="0" t="n">
        <f aca="false">F984*F984</f>
        <v>0.0625</v>
      </c>
      <c r="Q984" s="0" t="n">
        <f aca="false">SUMPRODUCT(G984:P984,_XtX!$B$71:$K$71)</f>
        <v>45.5896590909091</v>
      </c>
      <c r="R984" s="0" t="n">
        <f aca="false">SUMPRODUCT(MMULT(G984:P984,_XtX!$B$58:$K$67),G984:P984)</f>
        <v>0.173406427556818</v>
      </c>
      <c r="S984" s="0" t="n">
        <f aca="false">04_回帰ANOVA!$K$19*04_回帰ANOVA!$K$14*SQRT(1+R984)</f>
        <v>1.00714237128059</v>
      </c>
      <c r="T984" s="0" t="n">
        <f aca="false">Q984-S984</f>
        <v>44.5825167196285</v>
      </c>
      <c r="U984" s="0" t="n">
        <f aca="false">Q984+S984</f>
        <v>46.5968014621897</v>
      </c>
      <c r="V984" s="54" t="b">
        <f aca="false">AND(D984&gt;=01_因子設定!$L$5-0.000000001,D984&lt;=01_因子設定!$M$5+0.000000001,E984&gt;=01_因子設定!$L$6-0.000000001,E984&lt;=01_因子設定!$M$6+0.000000001,F984&gt;=01_因子設定!$L$7-0.000000001,F984&lt;=01_因子設定!$M$7+0.000000001,IF(01_因子設定!$B$20="Box-Behnken",D984^2+E984^2+F984^2&lt;=2+0.000000001,TRUE()))</f>
        <v>1</v>
      </c>
      <c r="W984" s="55" t="n">
        <f aca="false">IF(V984,IF(01_因子設定!$B$13="最大化",T984-01_因子設定!$B$14,IF(01_因子設定!$B$13="最小化",01_因子設定!$B$15-U984,MIN(T984-01_因子設定!$B$14,01_因子設定!$B$15-U984))),-1E+030)</f>
        <v>-3.9174832803715</v>
      </c>
      <c r="X984" s="55" t="n">
        <f aca="false">IF(V984,IF(01_因子設定!$B$13="最大化",Q984,IF(01_因子設定!$B$13="最小化",-Q984,-ABS(Q984-01_因子設定!$B$16))),-1E+030)</f>
        <v>45.5896590909091</v>
      </c>
      <c r="Y984" s="55" t="n">
        <f aca="false">W984+ROW()*0.000000001</f>
        <v>-3.9174822963715</v>
      </c>
      <c r="Z984" s="55" t="n">
        <f aca="false">X984+ROW()*0.000000001</f>
        <v>45.5896600749091</v>
      </c>
    </row>
    <row r="985" customFormat="false" ht="15" hidden="false" customHeight="false" outlineLevel="0" collapsed="false">
      <c r="A985" s="0" t="n">
        <v>3</v>
      </c>
      <c r="B985" s="0" t="n">
        <v>6</v>
      </c>
      <c r="C985" s="0" t="n">
        <v>11</v>
      </c>
      <c r="D985" s="0" t="n">
        <f aca="false">-1+A985*0.125</f>
        <v>-0.625</v>
      </c>
      <c r="E985" s="0" t="n">
        <f aca="false">-1+B985*0.125</f>
        <v>-0.25</v>
      </c>
      <c r="F985" s="0" t="n">
        <f aca="false">-1+C985*0.125</f>
        <v>0.375</v>
      </c>
      <c r="G985" s="0" t="n">
        <f aca="false">1</f>
        <v>1</v>
      </c>
      <c r="H985" s="0" t="n">
        <f aca="false">D985</f>
        <v>-0.625</v>
      </c>
      <c r="I985" s="0" t="n">
        <f aca="false">E985</f>
        <v>-0.25</v>
      </c>
      <c r="J985" s="0" t="n">
        <f aca="false">F985</f>
        <v>0.375</v>
      </c>
      <c r="K985" s="0" t="n">
        <f aca="false">D985*E985</f>
        <v>0.15625</v>
      </c>
      <c r="L985" s="0" t="n">
        <f aca="false">D985*F985</f>
        <v>-0.234375</v>
      </c>
      <c r="M985" s="0" t="n">
        <f aca="false">E985*F985</f>
        <v>-0.09375</v>
      </c>
      <c r="N985" s="0" t="n">
        <f aca="false">D985*D985</f>
        <v>0.390625</v>
      </c>
      <c r="O985" s="0" t="n">
        <f aca="false">E985*E985</f>
        <v>0.0625</v>
      </c>
      <c r="P985" s="0" t="n">
        <f aca="false">F985*F985</f>
        <v>0.140625</v>
      </c>
      <c r="Q985" s="0" t="n">
        <f aca="false">SUMPRODUCT(G985:P985,_XtX!$B$71:$K$71)</f>
        <v>45.6678409090909</v>
      </c>
      <c r="R985" s="0" t="n">
        <f aca="false">SUMPRODUCT(MMULT(G985:P985,_XtX!$B$58:$K$67),G985:P985)</f>
        <v>0.174657648259943</v>
      </c>
      <c r="S985" s="0" t="n">
        <f aca="false">04_回帰ANOVA!$K$19*04_回帰ANOVA!$K$14*SQRT(1+R985)</f>
        <v>1.00767919364845</v>
      </c>
      <c r="T985" s="0" t="n">
        <f aca="false">Q985-S985</f>
        <v>44.6601617154425</v>
      </c>
      <c r="U985" s="0" t="n">
        <f aca="false">Q985+S985</f>
        <v>46.6755201027394</v>
      </c>
      <c r="V985" s="54" t="b">
        <f aca="false">AND(D985&gt;=01_因子設定!$L$5-0.000000001,D985&lt;=01_因子設定!$M$5+0.000000001,E985&gt;=01_因子設定!$L$6-0.000000001,E985&lt;=01_因子設定!$M$6+0.000000001,F985&gt;=01_因子設定!$L$7-0.000000001,F985&lt;=01_因子設定!$M$7+0.000000001,IF(01_因子設定!$B$20="Box-Behnken",D985^2+E985^2+F985^2&lt;=2+0.000000001,TRUE()))</f>
        <v>1</v>
      </c>
      <c r="W985" s="55" t="n">
        <f aca="false">IF(V985,IF(01_因子設定!$B$13="最大化",T985-01_因子設定!$B$14,IF(01_因子設定!$B$13="最小化",01_因子設定!$B$15-U985,MIN(T985-01_因子設定!$B$14,01_因子設定!$B$15-U985))),-1E+030)</f>
        <v>-3.83983828455753</v>
      </c>
      <c r="X985" s="55" t="n">
        <f aca="false">IF(V985,IF(01_因子設定!$B$13="最大化",Q985,IF(01_因子設定!$B$13="最小化",-Q985,-ABS(Q985-01_因子設定!$B$16))),-1E+030)</f>
        <v>45.6678409090909</v>
      </c>
      <c r="Y985" s="55" t="n">
        <f aca="false">W985+ROW()*0.000000001</f>
        <v>-3.83983729955753</v>
      </c>
      <c r="Z985" s="55" t="n">
        <f aca="false">X985+ROW()*0.000000001</f>
        <v>45.6678418940909</v>
      </c>
    </row>
    <row r="986" customFormat="false" ht="15" hidden="false" customHeight="false" outlineLevel="0" collapsed="false">
      <c r="A986" s="0" t="n">
        <v>3</v>
      </c>
      <c r="B986" s="0" t="n">
        <v>6</v>
      </c>
      <c r="C986" s="0" t="n">
        <v>12</v>
      </c>
      <c r="D986" s="0" t="n">
        <f aca="false">-1+A986*0.125</f>
        <v>-0.625</v>
      </c>
      <c r="E986" s="0" t="n">
        <f aca="false">-1+B986*0.125</f>
        <v>-0.25</v>
      </c>
      <c r="F986" s="0" t="n">
        <f aca="false">-1+C986*0.125</f>
        <v>0.5</v>
      </c>
      <c r="G986" s="0" t="n">
        <f aca="false">1</f>
        <v>1</v>
      </c>
      <c r="H986" s="0" t="n">
        <f aca="false">D986</f>
        <v>-0.625</v>
      </c>
      <c r="I986" s="0" t="n">
        <f aca="false">E986</f>
        <v>-0.25</v>
      </c>
      <c r="J986" s="0" t="n">
        <f aca="false">F986</f>
        <v>0.5</v>
      </c>
      <c r="K986" s="0" t="n">
        <f aca="false">D986*E986</f>
        <v>0.15625</v>
      </c>
      <c r="L986" s="0" t="n">
        <f aca="false">D986*F986</f>
        <v>-0.3125</v>
      </c>
      <c r="M986" s="0" t="n">
        <f aca="false">E986*F986</f>
        <v>-0.125</v>
      </c>
      <c r="N986" s="0" t="n">
        <f aca="false">D986*D986</f>
        <v>0.390625</v>
      </c>
      <c r="O986" s="0" t="n">
        <f aca="false">E986*E986</f>
        <v>0.0625</v>
      </c>
      <c r="P986" s="0" t="n">
        <f aca="false">F986*F986</f>
        <v>0.25</v>
      </c>
      <c r="Q986" s="0" t="n">
        <f aca="false">SUMPRODUCT(G986:P986,_XtX!$B$71:$K$71)</f>
        <v>45.7092329545455</v>
      </c>
      <c r="R986" s="0" t="n">
        <f aca="false">SUMPRODUCT(MMULT(G986:P986,_XtX!$B$58:$K$67),G986:P986)</f>
        <v>0.183866743607955</v>
      </c>
      <c r="S986" s="0" t="n">
        <f aca="false">04_回帰ANOVA!$K$19*04_回帰ANOVA!$K$14*SQRT(1+R986)</f>
        <v>1.01162148983013</v>
      </c>
      <c r="T986" s="0" t="n">
        <f aca="false">Q986-S986</f>
        <v>44.6976114647153</v>
      </c>
      <c r="U986" s="0" t="n">
        <f aca="false">Q986+S986</f>
        <v>46.7208544443756</v>
      </c>
      <c r="V986" s="54" t="b">
        <f aca="false">AND(D986&gt;=01_因子設定!$L$5-0.000000001,D986&lt;=01_因子設定!$M$5+0.000000001,E986&gt;=01_因子設定!$L$6-0.000000001,E986&lt;=01_因子設定!$M$6+0.000000001,F986&gt;=01_因子設定!$L$7-0.000000001,F986&lt;=01_因子設定!$M$7+0.000000001,IF(01_因子設定!$B$20="Box-Behnken",D986^2+E986^2+F986^2&lt;=2+0.000000001,TRUE()))</f>
        <v>1</v>
      </c>
      <c r="W986" s="55" t="n">
        <f aca="false">IF(V986,IF(01_因子設定!$B$13="最大化",T986-01_因子設定!$B$14,IF(01_因子設定!$B$13="最小化",01_因子設定!$B$15-U986,MIN(T986-01_因子設定!$B$14,01_因子設定!$B$15-U986))),-1E+030)</f>
        <v>-3.80238853528468</v>
      </c>
      <c r="X986" s="55" t="n">
        <f aca="false">IF(V986,IF(01_因子設定!$B$13="最大化",Q986,IF(01_因子設定!$B$13="最小化",-Q986,-ABS(Q986-01_因子設定!$B$16))),-1E+030)</f>
        <v>45.7092329545455</v>
      </c>
      <c r="Y986" s="55" t="n">
        <f aca="false">W986+ROW()*0.000000001</f>
        <v>-3.80238754928468</v>
      </c>
      <c r="Z986" s="55" t="n">
        <f aca="false">X986+ROW()*0.000000001</f>
        <v>45.7092339405455</v>
      </c>
    </row>
    <row r="987" customFormat="false" ht="15" hidden="false" customHeight="false" outlineLevel="0" collapsed="false">
      <c r="A987" s="0" t="n">
        <v>3</v>
      </c>
      <c r="B987" s="0" t="n">
        <v>6</v>
      </c>
      <c r="C987" s="0" t="n">
        <v>13</v>
      </c>
      <c r="D987" s="0" t="n">
        <f aca="false">-1+A987*0.125</f>
        <v>-0.625</v>
      </c>
      <c r="E987" s="0" t="n">
        <f aca="false">-1+B987*0.125</f>
        <v>-0.25</v>
      </c>
      <c r="F987" s="0" t="n">
        <f aca="false">-1+C987*0.125</f>
        <v>0.625</v>
      </c>
      <c r="G987" s="0" t="n">
        <f aca="false">1</f>
        <v>1</v>
      </c>
      <c r="H987" s="0" t="n">
        <f aca="false">D987</f>
        <v>-0.625</v>
      </c>
      <c r="I987" s="0" t="n">
        <f aca="false">E987</f>
        <v>-0.25</v>
      </c>
      <c r="J987" s="0" t="n">
        <f aca="false">F987</f>
        <v>0.625</v>
      </c>
      <c r="K987" s="0" t="n">
        <f aca="false">D987*E987</f>
        <v>0.15625</v>
      </c>
      <c r="L987" s="0" t="n">
        <f aca="false">D987*F987</f>
        <v>-0.390625</v>
      </c>
      <c r="M987" s="0" t="n">
        <f aca="false">E987*F987</f>
        <v>-0.15625</v>
      </c>
      <c r="N987" s="0" t="n">
        <f aca="false">D987*D987</f>
        <v>0.390625</v>
      </c>
      <c r="O987" s="0" t="n">
        <f aca="false">E987*E987</f>
        <v>0.0625</v>
      </c>
      <c r="P987" s="0" t="n">
        <f aca="false">F987*F987</f>
        <v>0.390625</v>
      </c>
      <c r="Q987" s="0" t="n">
        <f aca="false">SUMPRODUCT(G987:P987,_XtX!$B$71:$K$71)</f>
        <v>45.7138352272727</v>
      </c>
      <c r="R987" s="0" t="n">
        <f aca="false">SUMPRODUCT(MMULT(G987:P987,_XtX!$B$58:$K$67),G987:P987)</f>
        <v>0.208491099964489</v>
      </c>
      <c r="S987" s="0" t="n">
        <f aca="false">04_回帰ANOVA!$K$19*04_回帰ANOVA!$K$14*SQRT(1+R987)</f>
        <v>1.02208817610259</v>
      </c>
      <c r="T987" s="0" t="n">
        <f aca="false">Q987-S987</f>
        <v>44.6917470511702</v>
      </c>
      <c r="U987" s="0" t="n">
        <f aca="false">Q987+S987</f>
        <v>46.7359234033753</v>
      </c>
      <c r="V987" s="54" t="b">
        <f aca="false">AND(D987&gt;=01_因子設定!$L$5-0.000000001,D987&lt;=01_因子設定!$M$5+0.000000001,E987&gt;=01_因子設定!$L$6-0.000000001,E987&lt;=01_因子設定!$M$6+0.000000001,F987&gt;=01_因子設定!$L$7-0.000000001,F987&lt;=01_因子設定!$M$7+0.000000001,IF(01_因子設定!$B$20="Box-Behnken",D987^2+E987^2+F987^2&lt;=2+0.000000001,TRUE()))</f>
        <v>1</v>
      </c>
      <c r="W987" s="55" t="n">
        <f aca="false">IF(V987,IF(01_因子設定!$B$13="最大化",T987-01_因子設定!$B$14,IF(01_因子設定!$B$13="最小化",01_因子設定!$B$15-U987,MIN(T987-01_因子設定!$B$14,01_因子設定!$B$15-U987))),-1E+030)</f>
        <v>-3.80825294882985</v>
      </c>
      <c r="X987" s="55" t="n">
        <f aca="false">IF(V987,IF(01_因子設定!$B$13="最大化",Q987,IF(01_因子設定!$B$13="最小化",-Q987,-ABS(Q987-01_因子設定!$B$16))),-1E+030)</f>
        <v>45.7138352272727</v>
      </c>
      <c r="Y987" s="55" t="n">
        <f aca="false">W987+ROW()*0.000000001</f>
        <v>-3.80825196182985</v>
      </c>
      <c r="Z987" s="55" t="n">
        <f aca="false">X987+ROW()*0.000000001</f>
        <v>45.7138362142727</v>
      </c>
    </row>
    <row r="988" customFormat="false" ht="15" hidden="false" customHeight="false" outlineLevel="0" collapsed="false">
      <c r="A988" s="0" t="n">
        <v>3</v>
      </c>
      <c r="B988" s="0" t="n">
        <v>6</v>
      </c>
      <c r="C988" s="0" t="n">
        <v>14</v>
      </c>
      <c r="D988" s="0" t="n">
        <f aca="false">-1+A988*0.125</f>
        <v>-0.625</v>
      </c>
      <c r="E988" s="0" t="n">
        <f aca="false">-1+B988*0.125</f>
        <v>-0.25</v>
      </c>
      <c r="F988" s="0" t="n">
        <f aca="false">-1+C988*0.125</f>
        <v>0.75</v>
      </c>
      <c r="G988" s="0" t="n">
        <f aca="false">1</f>
        <v>1</v>
      </c>
      <c r="H988" s="0" t="n">
        <f aca="false">D988</f>
        <v>-0.625</v>
      </c>
      <c r="I988" s="0" t="n">
        <f aca="false">E988</f>
        <v>-0.25</v>
      </c>
      <c r="J988" s="0" t="n">
        <f aca="false">F988</f>
        <v>0.75</v>
      </c>
      <c r="K988" s="0" t="n">
        <f aca="false">D988*E988</f>
        <v>0.15625</v>
      </c>
      <c r="L988" s="0" t="n">
        <f aca="false">D988*F988</f>
        <v>-0.46875</v>
      </c>
      <c r="M988" s="0" t="n">
        <f aca="false">E988*F988</f>
        <v>-0.1875</v>
      </c>
      <c r="N988" s="0" t="n">
        <f aca="false">D988*D988</f>
        <v>0.390625</v>
      </c>
      <c r="O988" s="0" t="n">
        <f aca="false">E988*E988</f>
        <v>0.0625</v>
      </c>
      <c r="P988" s="0" t="n">
        <f aca="false">F988*F988</f>
        <v>0.5625</v>
      </c>
      <c r="Q988" s="0" t="n">
        <f aca="false">SUMPRODUCT(G988:P988,_XtX!$B$71:$K$71)</f>
        <v>45.6816477272727</v>
      </c>
      <c r="R988" s="0" t="n">
        <f aca="false">SUMPRODUCT(MMULT(G988:P988,_XtX!$B$58:$K$67),G988:P988)</f>
        <v>0.258118785511364</v>
      </c>
      <c r="S988" s="0" t="n">
        <f aca="false">04_回帰ANOVA!$K$19*04_回帰ANOVA!$K$14*SQRT(1+R988)</f>
        <v>1.04286348094876</v>
      </c>
      <c r="T988" s="0" t="n">
        <f aca="false">Q988-S988</f>
        <v>44.638784246324</v>
      </c>
      <c r="U988" s="0" t="n">
        <f aca="false">Q988+S988</f>
        <v>46.7245112082215</v>
      </c>
      <c r="V988" s="54" t="b">
        <f aca="false">AND(D988&gt;=01_因子設定!$L$5-0.000000001,D988&lt;=01_因子設定!$M$5+0.000000001,E988&gt;=01_因子設定!$L$6-0.000000001,E988&lt;=01_因子設定!$M$6+0.000000001,F988&gt;=01_因子設定!$L$7-0.000000001,F988&lt;=01_因子設定!$M$7+0.000000001,IF(01_因子設定!$B$20="Box-Behnken",D988^2+E988^2+F988^2&lt;=2+0.000000001,TRUE()))</f>
        <v>1</v>
      </c>
      <c r="W988" s="55" t="n">
        <f aca="false">IF(V988,IF(01_因子設定!$B$13="最大化",T988-01_因子設定!$B$14,IF(01_因子設定!$B$13="最小化",01_因子設定!$B$15-U988,MIN(T988-01_因子設定!$B$14,01_因子設定!$B$15-U988))),-1E+030)</f>
        <v>-3.86121575367602</v>
      </c>
      <c r="X988" s="55" t="n">
        <f aca="false">IF(V988,IF(01_因子設定!$B$13="最大化",Q988,IF(01_因子設定!$B$13="最小化",-Q988,-ABS(Q988-01_因子設定!$B$16))),-1E+030)</f>
        <v>45.6816477272727</v>
      </c>
      <c r="Y988" s="55" t="n">
        <f aca="false">W988+ROW()*0.000000001</f>
        <v>-3.86121476567602</v>
      </c>
      <c r="Z988" s="55" t="n">
        <f aca="false">X988+ROW()*0.000000001</f>
        <v>45.6816487152727</v>
      </c>
    </row>
    <row r="989" customFormat="false" ht="15" hidden="false" customHeight="false" outlineLevel="0" collapsed="false">
      <c r="A989" s="0" t="n">
        <v>3</v>
      </c>
      <c r="B989" s="0" t="n">
        <v>6</v>
      </c>
      <c r="C989" s="0" t="n">
        <v>15</v>
      </c>
      <c r="D989" s="0" t="n">
        <f aca="false">-1+A989*0.125</f>
        <v>-0.625</v>
      </c>
      <c r="E989" s="0" t="n">
        <f aca="false">-1+B989*0.125</f>
        <v>-0.25</v>
      </c>
      <c r="F989" s="0" t="n">
        <f aca="false">-1+C989*0.125</f>
        <v>0.875</v>
      </c>
      <c r="G989" s="0" t="n">
        <f aca="false">1</f>
        <v>1</v>
      </c>
      <c r="H989" s="0" t="n">
        <f aca="false">D989</f>
        <v>-0.625</v>
      </c>
      <c r="I989" s="0" t="n">
        <f aca="false">E989</f>
        <v>-0.25</v>
      </c>
      <c r="J989" s="0" t="n">
        <f aca="false">F989</f>
        <v>0.875</v>
      </c>
      <c r="K989" s="0" t="n">
        <f aca="false">D989*E989</f>
        <v>0.15625</v>
      </c>
      <c r="L989" s="0" t="n">
        <f aca="false">D989*F989</f>
        <v>-0.546875</v>
      </c>
      <c r="M989" s="0" t="n">
        <f aca="false">E989*F989</f>
        <v>-0.21875</v>
      </c>
      <c r="N989" s="0" t="n">
        <f aca="false">D989*D989</f>
        <v>0.390625</v>
      </c>
      <c r="O989" s="0" t="n">
        <f aca="false">E989*E989</f>
        <v>0.0625</v>
      </c>
      <c r="P989" s="0" t="n">
        <f aca="false">F989*F989</f>
        <v>0.765625</v>
      </c>
      <c r="Q989" s="0" t="n">
        <f aca="false">SUMPRODUCT(G989:P989,_XtX!$B$71:$K$71)</f>
        <v>45.6126704545455</v>
      </c>
      <c r="R989" s="0" t="n">
        <f aca="false">SUMPRODUCT(MMULT(G989:P989,_XtX!$B$58:$K$67),G989:P989)</f>
        <v>0.34446855024858</v>
      </c>
      <c r="S989" s="0" t="n">
        <f aca="false">04_回帰ANOVA!$K$19*04_回帰ANOVA!$K$14*SQRT(1+R989)</f>
        <v>1.07805758590432</v>
      </c>
      <c r="T989" s="0" t="n">
        <f aca="false">Q989-S989</f>
        <v>44.5346128686412</v>
      </c>
      <c r="U989" s="0" t="n">
        <f aca="false">Q989+S989</f>
        <v>46.6907280404498</v>
      </c>
      <c r="V989" s="54" t="b">
        <f aca="false">AND(D989&gt;=01_因子設定!$L$5-0.000000001,D989&lt;=01_因子設定!$M$5+0.000000001,E989&gt;=01_因子設定!$L$6-0.000000001,E989&lt;=01_因子設定!$M$6+0.000000001,F989&gt;=01_因子設定!$L$7-0.000000001,F989&lt;=01_因子設定!$M$7+0.000000001,IF(01_因子設定!$B$20="Box-Behnken",D989^2+E989^2+F989^2&lt;=2+0.000000001,TRUE()))</f>
        <v>1</v>
      </c>
      <c r="W989" s="55" t="n">
        <f aca="false">IF(V989,IF(01_因子設定!$B$13="最大化",T989-01_因子設定!$B$14,IF(01_因子設定!$B$13="最小化",01_因子設定!$B$15-U989,MIN(T989-01_因子設定!$B$14,01_因子設定!$B$15-U989))),-1E+030)</f>
        <v>-3.96538713135885</v>
      </c>
      <c r="X989" s="55" t="n">
        <f aca="false">IF(V989,IF(01_因子設定!$B$13="最大化",Q989,IF(01_因子設定!$B$13="最小化",-Q989,-ABS(Q989-01_因子設定!$B$16))),-1E+030)</f>
        <v>45.6126704545455</v>
      </c>
      <c r="Y989" s="55" t="n">
        <f aca="false">W989+ROW()*0.000000001</f>
        <v>-3.96538614235885</v>
      </c>
      <c r="Z989" s="55" t="n">
        <f aca="false">X989+ROW()*0.000000001</f>
        <v>45.6126714435455</v>
      </c>
    </row>
    <row r="990" customFormat="false" ht="15" hidden="false" customHeight="false" outlineLevel="0" collapsed="false">
      <c r="A990" s="0" t="n">
        <v>3</v>
      </c>
      <c r="B990" s="0" t="n">
        <v>6</v>
      </c>
      <c r="C990" s="0" t="n">
        <v>16</v>
      </c>
      <c r="D990" s="0" t="n">
        <f aca="false">-1+A990*0.125</f>
        <v>-0.625</v>
      </c>
      <c r="E990" s="0" t="n">
        <f aca="false">-1+B990*0.125</f>
        <v>-0.25</v>
      </c>
      <c r="F990" s="0" t="n">
        <f aca="false">-1+C990*0.125</f>
        <v>1</v>
      </c>
      <c r="G990" s="0" t="n">
        <f aca="false">1</f>
        <v>1</v>
      </c>
      <c r="H990" s="0" t="n">
        <f aca="false">D990</f>
        <v>-0.625</v>
      </c>
      <c r="I990" s="0" t="n">
        <f aca="false">E990</f>
        <v>-0.25</v>
      </c>
      <c r="J990" s="0" t="n">
        <f aca="false">F990</f>
        <v>1</v>
      </c>
      <c r="K990" s="0" t="n">
        <f aca="false">D990*E990</f>
        <v>0.15625</v>
      </c>
      <c r="L990" s="0" t="n">
        <f aca="false">D990*F990</f>
        <v>-0.625</v>
      </c>
      <c r="M990" s="0" t="n">
        <f aca="false">E990*F990</f>
        <v>-0.25</v>
      </c>
      <c r="N990" s="0" t="n">
        <f aca="false">D990*D990</f>
        <v>0.390625</v>
      </c>
      <c r="O990" s="0" t="n">
        <f aca="false">E990*E990</f>
        <v>0.0625</v>
      </c>
      <c r="P990" s="0" t="n">
        <f aca="false">F990*F990</f>
        <v>1</v>
      </c>
      <c r="Q990" s="0" t="n">
        <f aca="false">SUMPRODUCT(G990:P990,_XtX!$B$71:$K$71)</f>
        <v>45.5069034090909</v>
      </c>
      <c r="R990" s="0" t="n">
        <f aca="false">SUMPRODUCT(MMULT(G990:P990,_XtX!$B$58:$K$67),G990:P990)</f>
        <v>0.481389825994318</v>
      </c>
      <c r="S990" s="0" t="n">
        <f aca="false">04_回帰ANOVA!$K$19*04_回帰ANOVA!$K$14*SQRT(1+R990)</f>
        <v>1.13162182500693</v>
      </c>
      <c r="T990" s="0" t="n">
        <f aca="false">Q990-S990</f>
        <v>44.375281584084</v>
      </c>
      <c r="U990" s="0" t="n">
        <f aca="false">Q990+S990</f>
        <v>46.6385252340979</v>
      </c>
      <c r="V990" s="54" t="b">
        <f aca="false">AND(D990&gt;=01_因子設定!$L$5-0.000000001,D990&lt;=01_因子設定!$M$5+0.000000001,E990&gt;=01_因子設定!$L$6-0.000000001,E990&lt;=01_因子設定!$M$6+0.000000001,F990&gt;=01_因子設定!$L$7-0.000000001,F990&lt;=01_因子設定!$M$7+0.000000001,IF(01_因子設定!$B$20="Box-Behnken",D990^2+E990^2+F990^2&lt;=2+0.000000001,TRUE()))</f>
        <v>1</v>
      </c>
      <c r="W990" s="55" t="n">
        <f aca="false">IF(V990,IF(01_因子設定!$B$13="最大化",T990-01_因子設定!$B$14,IF(01_因子設定!$B$13="最小化",01_因子設定!$B$15-U990,MIN(T990-01_因子設定!$B$14,01_因子設定!$B$15-U990))),-1E+030)</f>
        <v>-4.12471841591599</v>
      </c>
      <c r="X990" s="55" t="n">
        <f aca="false">IF(V990,IF(01_因子設定!$B$13="最大化",Q990,IF(01_因子設定!$B$13="最小化",-Q990,-ABS(Q990-01_因子設定!$B$16))),-1E+030)</f>
        <v>45.5069034090909</v>
      </c>
      <c r="Y990" s="55" t="n">
        <f aca="false">W990+ROW()*0.000000001</f>
        <v>-4.12471742591599</v>
      </c>
      <c r="Z990" s="55" t="n">
        <f aca="false">X990+ROW()*0.000000001</f>
        <v>45.5069043990909</v>
      </c>
    </row>
    <row r="991" customFormat="false" ht="15" hidden="false" customHeight="false" outlineLevel="0" collapsed="false">
      <c r="A991" s="0" t="n">
        <v>3</v>
      </c>
      <c r="B991" s="0" t="n">
        <v>7</v>
      </c>
      <c r="C991" s="0" t="n">
        <v>0</v>
      </c>
      <c r="D991" s="0" t="n">
        <f aca="false">-1+A991*0.125</f>
        <v>-0.625</v>
      </c>
      <c r="E991" s="0" t="n">
        <f aca="false">-1+B991*0.125</f>
        <v>-0.125</v>
      </c>
      <c r="F991" s="0" t="n">
        <f aca="false">-1+C991*0.125</f>
        <v>-1</v>
      </c>
      <c r="G991" s="0" t="n">
        <f aca="false">1</f>
        <v>1</v>
      </c>
      <c r="H991" s="0" t="n">
        <f aca="false">D991</f>
        <v>-0.625</v>
      </c>
      <c r="I991" s="0" t="n">
        <f aca="false">E991</f>
        <v>-0.125</v>
      </c>
      <c r="J991" s="0" t="n">
        <f aca="false">F991</f>
        <v>-1</v>
      </c>
      <c r="K991" s="0" t="n">
        <f aca="false">D991*E991</f>
        <v>0.078125</v>
      </c>
      <c r="L991" s="0" t="n">
        <f aca="false">D991*F991</f>
        <v>0.625</v>
      </c>
      <c r="M991" s="0" t="n">
        <f aca="false">E991*F991</f>
        <v>0.125</v>
      </c>
      <c r="N991" s="0" t="n">
        <f aca="false">D991*D991</f>
        <v>0.390625</v>
      </c>
      <c r="O991" s="0" t="n">
        <f aca="false">E991*E991</f>
        <v>0.015625</v>
      </c>
      <c r="P991" s="0" t="n">
        <f aca="false">F991*F991</f>
        <v>1</v>
      </c>
      <c r="Q991" s="0" t="n">
        <f aca="false">SUMPRODUCT(G991:P991,_XtX!$B$71:$K$71)</f>
        <v>42.9862286931818</v>
      </c>
      <c r="R991" s="0" t="n">
        <f aca="false">SUMPRODUCT(MMULT(G991:P991,_XtX!$B$58:$K$67),G991:P991)</f>
        <v>0.489261696555398</v>
      </c>
      <c r="S991" s="0" t="n">
        <f aca="false">04_回帰ANOVA!$K$19*04_回帰ANOVA!$K$14*SQRT(1+R991)</f>
        <v>1.13462447083763</v>
      </c>
      <c r="T991" s="0" t="n">
        <f aca="false">Q991-S991</f>
        <v>41.8516042223442</v>
      </c>
      <c r="U991" s="0" t="n">
        <f aca="false">Q991+S991</f>
        <v>44.1208531640195</v>
      </c>
      <c r="V991" s="54" t="b">
        <f aca="false">AND(D991&gt;=01_因子設定!$L$5-0.000000001,D991&lt;=01_因子設定!$M$5+0.000000001,E991&gt;=01_因子設定!$L$6-0.000000001,E991&lt;=01_因子設定!$M$6+0.000000001,F991&gt;=01_因子設定!$L$7-0.000000001,F991&lt;=01_因子設定!$M$7+0.000000001,IF(01_因子設定!$B$20="Box-Behnken",D991^2+E991^2+F991^2&lt;=2+0.000000001,TRUE()))</f>
        <v>1</v>
      </c>
      <c r="W991" s="55" t="n">
        <f aca="false">IF(V991,IF(01_因子設定!$B$13="最大化",T991-01_因子設定!$B$14,IF(01_因子設定!$B$13="最小化",01_因子設定!$B$15-U991,MIN(T991-01_因子設定!$B$14,01_因子設定!$B$15-U991))),-1E+030)</f>
        <v>-6.6483957776558</v>
      </c>
      <c r="X991" s="55" t="n">
        <f aca="false">IF(V991,IF(01_因子設定!$B$13="最大化",Q991,IF(01_因子設定!$B$13="最小化",-Q991,-ABS(Q991-01_因子設定!$B$16))),-1E+030)</f>
        <v>42.9862286931818</v>
      </c>
      <c r="Y991" s="55" t="n">
        <f aca="false">W991+ROW()*0.000000001</f>
        <v>-6.6483947866558</v>
      </c>
      <c r="Z991" s="55" t="n">
        <f aca="false">X991+ROW()*0.000000001</f>
        <v>42.9862296841818</v>
      </c>
    </row>
    <row r="992" customFormat="false" ht="15" hidden="false" customHeight="false" outlineLevel="0" collapsed="false">
      <c r="A992" s="0" t="n">
        <v>3</v>
      </c>
      <c r="B992" s="0" t="n">
        <v>7</v>
      </c>
      <c r="C992" s="0" t="n">
        <v>1</v>
      </c>
      <c r="D992" s="0" t="n">
        <f aca="false">-1+A992*0.125</f>
        <v>-0.625</v>
      </c>
      <c r="E992" s="0" t="n">
        <f aca="false">-1+B992*0.125</f>
        <v>-0.125</v>
      </c>
      <c r="F992" s="0" t="n">
        <f aca="false">-1+C992*0.125</f>
        <v>-0.875</v>
      </c>
      <c r="G992" s="0" t="n">
        <f aca="false">1</f>
        <v>1</v>
      </c>
      <c r="H992" s="0" t="n">
        <f aca="false">D992</f>
        <v>-0.625</v>
      </c>
      <c r="I992" s="0" t="n">
        <f aca="false">E992</f>
        <v>-0.125</v>
      </c>
      <c r="J992" s="0" t="n">
        <f aca="false">F992</f>
        <v>-0.875</v>
      </c>
      <c r="K992" s="0" t="n">
        <f aca="false">D992*E992</f>
        <v>0.078125</v>
      </c>
      <c r="L992" s="0" t="n">
        <f aca="false">D992*F992</f>
        <v>0.546875</v>
      </c>
      <c r="M992" s="0" t="n">
        <f aca="false">E992*F992</f>
        <v>0.109375</v>
      </c>
      <c r="N992" s="0" t="n">
        <f aca="false">D992*D992</f>
        <v>0.390625</v>
      </c>
      <c r="O992" s="0" t="n">
        <f aca="false">E992*E992</f>
        <v>0.015625</v>
      </c>
      <c r="P992" s="0" t="n">
        <f aca="false">F992*F992</f>
        <v>0.765625</v>
      </c>
      <c r="Q992" s="0" t="n">
        <f aca="false">SUMPRODUCT(G992:P992,_XtX!$B$71:$K$71)</f>
        <v>43.4393394886364</v>
      </c>
      <c r="R992" s="0" t="n">
        <f aca="false">SUMPRODUCT(MMULT(G992:P992,_XtX!$B$58:$K$67),G992:P992)</f>
        <v>0.350717440518466</v>
      </c>
      <c r="S992" s="0" t="n">
        <f aca="false">04_回帰ANOVA!$K$19*04_回帰ANOVA!$K$14*SQRT(1+R992)</f>
        <v>1.08056000737898</v>
      </c>
      <c r="T992" s="0" t="n">
        <f aca="false">Q992-S992</f>
        <v>42.3587794812574</v>
      </c>
      <c r="U992" s="0" t="n">
        <f aca="false">Q992+S992</f>
        <v>44.5198994960154</v>
      </c>
      <c r="V992" s="54" t="b">
        <f aca="false">AND(D992&gt;=01_因子設定!$L$5-0.000000001,D992&lt;=01_因子設定!$M$5+0.000000001,E992&gt;=01_因子設定!$L$6-0.000000001,E992&lt;=01_因子設定!$M$6+0.000000001,F992&gt;=01_因子設定!$L$7-0.000000001,F992&lt;=01_因子設定!$M$7+0.000000001,IF(01_因子設定!$B$20="Box-Behnken",D992^2+E992^2+F992^2&lt;=2+0.000000001,TRUE()))</f>
        <v>1</v>
      </c>
      <c r="W992" s="55" t="n">
        <f aca="false">IF(V992,IF(01_因子設定!$B$13="最大化",T992-01_因子設定!$B$14,IF(01_因子設定!$B$13="最小化",01_因子設定!$B$15-U992,MIN(T992-01_因子設定!$B$14,01_因子設定!$B$15-U992))),-1E+030)</f>
        <v>-6.1412205187426</v>
      </c>
      <c r="X992" s="55" t="n">
        <f aca="false">IF(V992,IF(01_因子設定!$B$13="最大化",Q992,IF(01_因子設定!$B$13="最小化",-Q992,-ABS(Q992-01_因子設定!$B$16))),-1E+030)</f>
        <v>43.4393394886364</v>
      </c>
      <c r="Y992" s="55" t="n">
        <f aca="false">W992+ROW()*0.000000001</f>
        <v>-6.1412195267426</v>
      </c>
      <c r="Z992" s="55" t="n">
        <f aca="false">X992+ROW()*0.000000001</f>
        <v>43.4393404806364</v>
      </c>
    </row>
    <row r="993" customFormat="false" ht="15" hidden="false" customHeight="false" outlineLevel="0" collapsed="false">
      <c r="A993" s="0" t="n">
        <v>3</v>
      </c>
      <c r="B993" s="0" t="n">
        <v>7</v>
      </c>
      <c r="C993" s="0" t="n">
        <v>2</v>
      </c>
      <c r="D993" s="0" t="n">
        <f aca="false">-1+A993*0.125</f>
        <v>-0.625</v>
      </c>
      <c r="E993" s="0" t="n">
        <f aca="false">-1+B993*0.125</f>
        <v>-0.125</v>
      </c>
      <c r="F993" s="0" t="n">
        <f aca="false">-1+C993*0.125</f>
        <v>-0.75</v>
      </c>
      <c r="G993" s="0" t="n">
        <f aca="false">1</f>
        <v>1</v>
      </c>
      <c r="H993" s="0" t="n">
        <f aca="false">D993</f>
        <v>-0.625</v>
      </c>
      <c r="I993" s="0" t="n">
        <f aca="false">E993</f>
        <v>-0.125</v>
      </c>
      <c r="J993" s="0" t="n">
        <f aca="false">F993</f>
        <v>-0.75</v>
      </c>
      <c r="K993" s="0" t="n">
        <f aca="false">D993*E993</f>
        <v>0.078125</v>
      </c>
      <c r="L993" s="0" t="n">
        <f aca="false">D993*F993</f>
        <v>0.46875</v>
      </c>
      <c r="M993" s="0" t="n">
        <f aca="false">E993*F993</f>
        <v>0.09375</v>
      </c>
      <c r="N993" s="0" t="n">
        <f aca="false">D993*D993</f>
        <v>0.390625</v>
      </c>
      <c r="O993" s="0" t="n">
        <f aca="false">E993*E993</f>
        <v>0.015625</v>
      </c>
      <c r="P993" s="0" t="n">
        <f aca="false">F993*F993</f>
        <v>0.5625</v>
      </c>
      <c r="Q993" s="0" t="n">
        <f aca="false">SUMPRODUCT(G993:P993,_XtX!$B$71:$K$71)</f>
        <v>43.8556605113636</v>
      </c>
      <c r="R993" s="0" t="n">
        <f aca="false">SUMPRODUCT(MMULT(G993:P993,_XtX!$B$58:$K$67),G993:P993)</f>
        <v>0.262961092862216</v>
      </c>
      <c r="S993" s="0" t="n">
        <f aca="false">04_回帰ANOVA!$K$19*04_回帰ANOVA!$K$14*SQRT(1+R993)</f>
        <v>1.04486846483649</v>
      </c>
      <c r="T993" s="0" t="n">
        <f aca="false">Q993-S993</f>
        <v>42.8107920465272</v>
      </c>
      <c r="U993" s="0" t="n">
        <f aca="false">Q993+S993</f>
        <v>44.9005289762001</v>
      </c>
      <c r="V993" s="54" t="b">
        <f aca="false">AND(D993&gt;=01_因子設定!$L$5-0.000000001,D993&lt;=01_因子設定!$M$5+0.000000001,E993&gt;=01_因子設定!$L$6-0.000000001,E993&lt;=01_因子設定!$M$6+0.000000001,F993&gt;=01_因子設定!$L$7-0.000000001,F993&lt;=01_因子設定!$M$7+0.000000001,IF(01_因子設定!$B$20="Box-Behnken",D993^2+E993^2+F993^2&lt;=2+0.000000001,TRUE()))</f>
        <v>1</v>
      </c>
      <c r="W993" s="55" t="n">
        <f aca="false">IF(V993,IF(01_因子設定!$B$13="最大化",T993-01_因子設定!$B$14,IF(01_因子設定!$B$13="最小化",01_因子設定!$B$15-U993,MIN(T993-01_因子設定!$B$14,01_因子設定!$B$15-U993))),-1E+030)</f>
        <v>-5.68920795347284</v>
      </c>
      <c r="X993" s="55" t="n">
        <f aca="false">IF(V993,IF(01_因子設定!$B$13="最大化",Q993,IF(01_因子設定!$B$13="最小化",-Q993,-ABS(Q993-01_因子設定!$B$16))),-1E+030)</f>
        <v>43.8556605113636</v>
      </c>
      <c r="Y993" s="55" t="n">
        <f aca="false">W993+ROW()*0.000000001</f>
        <v>-5.68920696047284</v>
      </c>
      <c r="Z993" s="55" t="n">
        <f aca="false">X993+ROW()*0.000000001</f>
        <v>43.8556615043636</v>
      </c>
    </row>
    <row r="994" customFormat="false" ht="15" hidden="false" customHeight="false" outlineLevel="0" collapsed="false">
      <c r="A994" s="0" t="n">
        <v>3</v>
      </c>
      <c r="B994" s="0" t="n">
        <v>7</v>
      </c>
      <c r="C994" s="0" t="n">
        <v>3</v>
      </c>
      <c r="D994" s="0" t="n">
        <f aca="false">-1+A994*0.125</f>
        <v>-0.625</v>
      </c>
      <c r="E994" s="0" t="n">
        <f aca="false">-1+B994*0.125</f>
        <v>-0.125</v>
      </c>
      <c r="F994" s="0" t="n">
        <f aca="false">-1+C994*0.125</f>
        <v>-0.625</v>
      </c>
      <c r="G994" s="0" t="n">
        <f aca="false">1</f>
        <v>1</v>
      </c>
      <c r="H994" s="0" t="n">
        <f aca="false">D994</f>
        <v>-0.625</v>
      </c>
      <c r="I994" s="0" t="n">
        <f aca="false">E994</f>
        <v>-0.125</v>
      </c>
      <c r="J994" s="0" t="n">
        <f aca="false">F994</f>
        <v>-0.625</v>
      </c>
      <c r="K994" s="0" t="n">
        <f aca="false">D994*E994</f>
        <v>0.078125</v>
      </c>
      <c r="L994" s="0" t="n">
        <f aca="false">D994*F994</f>
        <v>0.390625</v>
      </c>
      <c r="M994" s="0" t="n">
        <f aca="false">E994*F994</f>
        <v>0.078125</v>
      </c>
      <c r="N994" s="0" t="n">
        <f aca="false">D994*D994</f>
        <v>0.390625</v>
      </c>
      <c r="O994" s="0" t="n">
        <f aca="false">E994*E994</f>
        <v>0.015625</v>
      </c>
      <c r="P994" s="0" t="n">
        <f aca="false">F994*F994</f>
        <v>0.390625</v>
      </c>
      <c r="Q994" s="0" t="n">
        <f aca="false">SUMPRODUCT(G994:P994,_XtX!$B$71:$K$71)</f>
        <v>44.2351917613636</v>
      </c>
      <c r="R994" s="0" t="n">
        <f aca="false">SUMPRODUCT(MMULT(G994:P994,_XtX!$B$58:$K$67),G994:P994)</f>
        <v>0.212143221768466</v>
      </c>
      <c r="S994" s="0" t="n">
        <f aca="false">04_回帰ANOVA!$K$19*04_回帰ANOVA!$K$14*SQRT(1+R994)</f>
        <v>1.02363141237304</v>
      </c>
      <c r="T994" s="0" t="n">
        <f aca="false">Q994-S994</f>
        <v>43.2115603489906</v>
      </c>
      <c r="U994" s="0" t="n">
        <f aca="false">Q994+S994</f>
        <v>45.2588231737367</v>
      </c>
      <c r="V994" s="54" t="b">
        <f aca="false">AND(D994&gt;=01_因子設定!$L$5-0.000000001,D994&lt;=01_因子設定!$M$5+0.000000001,E994&gt;=01_因子設定!$L$6-0.000000001,E994&lt;=01_因子設定!$M$6+0.000000001,F994&gt;=01_因子設定!$L$7-0.000000001,F994&lt;=01_因子設定!$M$7+0.000000001,IF(01_因子設定!$B$20="Box-Behnken",D994^2+E994^2+F994^2&lt;=2+0.000000001,TRUE()))</f>
        <v>1</v>
      </c>
      <c r="W994" s="55" t="n">
        <f aca="false">IF(V994,IF(01_因子設定!$B$13="最大化",T994-01_因子設定!$B$14,IF(01_因子設定!$B$13="最小化",01_因子設定!$B$15-U994,MIN(T994-01_因子設定!$B$14,01_因子設定!$B$15-U994))),-1E+030)</f>
        <v>-5.2884396510094</v>
      </c>
      <c r="X994" s="55" t="n">
        <f aca="false">IF(V994,IF(01_因子設定!$B$13="最大化",Q994,IF(01_因子設定!$B$13="最小化",-Q994,-ABS(Q994-01_因子設定!$B$16))),-1E+030)</f>
        <v>44.2351917613636</v>
      </c>
      <c r="Y994" s="55" t="n">
        <f aca="false">W994+ROW()*0.000000001</f>
        <v>-5.2884386570094</v>
      </c>
      <c r="Z994" s="55" t="n">
        <f aca="false">X994+ROW()*0.000000001</f>
        <v>44.2351927553636</v>
      </c>
    </row>
    <row r="995" customFormat="false" ht="15" hidden="false" customHeight="false" outlineLevel="0" collapsed="false">
      <c r="A995" s="0" t="n">
        <v>3</v>
      </c>
      <c r="B995" s="0" t="n">
        <v>7</v>
      </c>
      <c r="C995" s="0" t="n">
        <v>4</v>
      </c>
      <c r="D995" s="0" t="n">
        <f aca="false">-1+A995*0.125</f>
        <v>-0.625</v>
      </c>
      <c r="E995" s="0" t="n">
        <f aca="false">-1+B995*0.125</f>
        <v>-0.125</v>
      </c>
      <c r="F995" s="0" t="n">
        <f aca="false">-1+C995*0.125</f>
        <v>-0.5</v>
      </c>
      <c r="G995" s="0" t="n">
        <f aca="false">1</f>
        <v>1</v>
      </c>
      <c r="H995" s="0" t="n">
        <f aca="false">D995</f>
        <v>-0.625</v>
      </c>
      <c r="I995" s="0" t="n">
        <f aca="false">E995</f>
        <v>-0.125</v>
      </c>
      <c r="J995" s="0" t="n">
        <f aca="false">F995</f>
        <v>-0.5</v>
      </c>
      <c r="K995" s="0" t="n">
        <f aca="false">D995*E995</f>
        <v>0.078125</v>
      </c>
      <c r="L995" s="0" t="n">
        <f aca="false">D995*F995</f>
        <v>0.3125</v>
      </c>
      <c r="M995" s="0" t="n">
        <f aca="false">E995*F995</f>
        <v>0.0625</v>
      </c>
      <c r="N995" s="0" t="n">
        <f aca="false">D995*D995</f>
        <v>0.390625</v>
      </c>
      <c r="O995" s="0" t="n">
        <f aca="false">E995*E995</f>
        <v>0.015625</v>
      </c>
      <c r="P995" s="0" t="n">
        <f aca="false">F995*F995</f>
        <v>0.25</v>
      </c>
      <c r="Q995" s="0" t="n">
        <f aca="false">SUMPRODUCT(G995:P995,_XtX!$B$71:$K$71)</f>
        <v>44.5779332386364</v>
      </c>
      <c r="R995" s="0" t="n">
        <f aca="false">SUMPRODUCT(MMULT(G995:P995,_XtX!$B$58:$K$67),G995:P995)</f>
        <v>0.186545077237216</v>
      </c>
      <c r="S995" s="0" t="n">
        <f aca="false">04_回帰ANOVA!$K$19*04_回帰ANOVA!$K$14*SQRT(1+R995)</f>
        <v>1.01276516970713</v>
      </c>
      <c r="T995" s="0" t="n">
        <f aca="false">Q995-S995</f>
        <v>43.5651680689292</v>
      </c>
      <c r="U995" s="0" t="n">
        <f aca="false">Q995+S995</f>
        <v>45.5906984083435</v>
      </c>
      <c r="V995" s="54" t="b">
        <f aca="false">AND(D995&gt;=01_因子設定!$L$5-0.000000001,D995&lt;=01_因子設定!$M$5+0.000000001,E995&gt;=01_因子設定!$L$6-0.000000001,E995&lt;=01_因子設定!$M$6+0.000000001,F995&gt;=01_因子設定!$L$7-0.000000001,F995&lt;=01_因子設定!$M$7+0.000000001,IF(01_因子設定!$B$20="Box-Behnken",D995^2+E995^2+F995^2&lt;=2+0.000000001,TRUE()))</f>
        <v>1</v>
      </c>
      <c r="W995" s="55" t="n">
        <f aca="false">IF(V995,IF(01_因子設定!$B$13="最大化",T995-01_因子設定!$B$14,IF(01_因子設定!$B$13="最小化",01_因子設定!$B$15-U995,MIN(T995-01_因子設定!$B$14,01_因子設定!$B$15-U995))),-1E+030)</f>
        <v>-4.93483193107076</v>
      </c>
      <c r="X995" s="55" t="n">
        <f aca="false">IF(V995,IF(01_因子設定!$B$13="最大化",Q995,IF(01_因子設定!$B$13="最小化",-Q995,-ABS(Q995-01_因子設定!$B$16))),-1E+030)</f>
        <v>44.5779332386364</v>
      </c>
      <c r="Y995" s="55" t="n">
        <f aca="false">W995+ROW()*0.000000001</f>
        <v>-4.93483093607076</v>
      </c>
      <c r="Z995" s="55" t="n">
        <f aca="false">X995+ROW()*0.000000001</f>
        <v>44.5779342336364</v>
      </c>
    </row>
    <row r="996" customFormat="false" ht="15" hidden="false" customHeight="false" outlineLevel="0" collapsed="false">
      <c r="A996" s="0" t="n">
        <v>3</v>
      </c>
      <c r="B996" s="0" t="n">
        <v>7</v>
      </c>
      <c r="C996" s="0" t="n">
        <v>5</v>
      </c>
      <c r="D996" s="0" t="n">
        <f aca="false">-1+A996*0.125</f>
        <v>-0.625</v>
      </c>
      <c r="E996" s="0" t="n">
        <f aca="false">-1+B996*0.125</f>
        <v>-0.125</v>
      </c>
      <c r="F996" s="0" t="n">
        <f aca="false">-1+C996*0.125</f>
        <v>-0.375</v>
      </c>
      <c r="G996" s="0" t="n">
        <f aca="false">1</f>
        <v>1</v>
      </c>
      <c r="H996" s="0" t="n">
        <f aca="false">D996</f>
        <v>-0.625</v>
      </c>
      <c r="I996" s="0" t="n">
        <f aca="false">E996</f>
        <v>-0.125</v>
      </c>
      <c r="J996" s="0" t="n">
        <f aca="false">F996</f>
        <v>-0.375</v>
      </c>
      <c r="K996" s="0" t="n">
        <f aca="false">D996*E996</f>
        <v>0.078125</v>
      </c>
      <c r="L996" s="0" t="n">
        <f aca="false">D996*F996</f>
        <v>0.234375</v>
      </c>
      <c r="M996" s="0" t="n">
        <f aca="false">E996*F996</f>
        <v>0.046875</v>
      </c>
      <c r="N996" s="0" t="n">
        <f aca="false">D996*D996</f>
        <v>0.390625</v>
      </c>
      <c r="O996" s="0" t="n">
        <f aca="false">E996*E996</f>
        <v>0.015625</v>
      </c>
      <c r="P996" s="0" t="n">
        <f aca="false">F996*F996</f>
        <v>0.140625</v>
      </c>
      <c r="Q996" s="0" t="n">
        <f aca="false">SUMPRODUCT(G996:P996,_XtX!$B$71:$K$71)</f>
        <v>44.8838849431818</v>
      </c>
      <c r="R996" s="0" t="n">
        <f aca="false">SUMPRODUCT(MMULT(G996:P996,_XtX!$B$58:$K$67),G996:P996)</f>
        <v>0.176578591086648</v>
      </c>
      <c r="S996" s="0" t="n">
        <f aca="false">04_回帰ANOVA!$K$19*04_回帰ANOVA!$K$14*SQRT(1+R996)</f>
        <v>1.00850279676269</v>
      </c>
      <c r="T996" s="0" t="n">
        <f aca="false">Q996-S996</f>
        <v>43.8753821464191</v>
      </c>
      <c r="U996" s="0" t="n">
        <f aca="false">Q996+S996</f>
        <v>45.8923877399445</v>
      </c>
      <c r="V996" s="54" t="b">
        <f aca="false">AND(D996&gt;=01_因子設定!$L$5-0.000000001,D996&lt;=01_因子設定!$M$5+0.000000001,E996&gt;=01_因子設定!$L$6-0.000000001,E996&lt;=01_因子設定!$M$6+0.000000001,F996&gt;=01_因子設定!$L$7-0.000000001,F996&lt;=01_因子設定!$M$7+0.000000001,IF(01_因子設定!$B$20="Box-Behnken",D996^2+E996^2+F996^2&lt;=2+0.000000001,TRUE()))</f>
        <v>1</v>
      </c>
      <c r="W996" s="55" t="n">
        <f aca="false">IF(V996,IF(01_因子設定!$B$13="最大化",T996-01_因子設定!$B$14,IF(01_因子設定!$B$13="最小化",01_因子設定!$B$15-U996,MIN(T996-01_因子設定!$B$14,01_因子設定!$B$15-U996))),-1E+030)</f>
        <v>-4.62461785358087</v>
      </c>
      <c r="X996" s="55" t="n">
        <f aca="false">IF(V996,IF(01_因子設定!$B$13="最大化",Q996,IF(01_因子設定!$B$13="最小化",-Q996,-ABS(Q996-01_因子設定!$B$16))),-1E+030)</f>
        <v>44.8838849431818</v>
      </c>
      <c r="Y996" s="55" t="n">
        <f aca="false">W996+ROW()*0.000000001</f>
        <v>-4.62461685758087</v>
      </c>
      <c r="Z996" s="55" t="n">
        <f aca="false">X996+ROW()*0.000000001</f>
        <v>44.8838859391818</v>
      </c>
    </row>
    <row r="997" customFormat="false" ht="15" hidden="false" customHeight="false" outlineLevel="0" collapsed="false">
      <c r="A997" s="0" t="n">
        <v>3</v>
      </c>
      <c r="B997" s="0" t="n">
        <v>7</v>
      </c>
      <c r="C997" s="0" t="n">
        <v>6</v>
      </c>
      <c r="D997" s="0" t="n">
        <f aca="false">-1+A997*0.125</f>
        <v>-0.625</v>
      </c>
      <c r="E997" s="0" t="n">
        <f aca="false">-1+B997*0.125</f>
        <v>-0.125</v>
      </c>
      <c r="F997" s="0" t="n">
        <f aca="false">-1+C997*0.125</f>
        <v>-0.25</v>
      </c>
      <c r="G997" s="0" t="n">
        <f aca="false">1</f>
        <v>1</v>
      </c>
      <c r="H997" s="0" t="n">
        <f aca="false">D997</f>
        <v>-0.625</v>
      </c>
      <c r="I997" s="0" t="n">
        <f aca="false">E997</f>
        <v>-0.125</v>
      </c>
      <c r="J997" s="0" t="n">
        <f aca="false">F997</f>
        <v>-0.25</v>
      </c>
      <c r="K997" s="0" t="n">
        <f aca="false">D997*E997</f>
        <v>0.078125</v>
      </c>
      <c r="L997" s="0" t="n">
        <f aca="false">D997*F997</f>
        <v>0.15625</v>
      </c>
      <c r="M997" s="0" t="n">
        <f aca="false">E997*F997</f>
        <v>0.03125</v>
      </c>
      <c r="N997" s="0" t="n">
        <f aca="false">D997*D997</f>
        <v>0.390625</v>
      </c>
      <c r="O997" s="0" t="n">
        <f aca="false">E997*E997</f>
        <v>0.015625</v>
      </c>
      <c r="P997" s="0" t="n">
        <f aca="false">F997*F997</f>
        <v>0.0625</v>
      </c>
      <c r="Q997" s="0" t="n">
        <f aca="false">SUMPRODUCT(G997:P997,_XtX!$B$71:$K$71)</f>
        <v>45.153046875</v>
      </c>
      <c r="R997" s="0" t="n">
        <f aca="false">SUMPRODUCT(MMULT(G997:P997,_XtX!$B$58:$K$67),G997:P997)</f>
        <v>0.174786376953125</v>
      </c>
      <c r="S997" s="0" t="n">
        <f aca="false">04_回帰ANOVA!$K$19*04_回帰ANOVA!$K$14*SQRT(1+R997)</f>
        <v>1.00773440704286</v>
      </c>
      <c r="T997" s="0" t="n">
        <f aca="false">Q997-S997</f>
        <v>44.1453124679571</v>
      </c>
      <c r="U997" s="0" t="n">
        <f aca="false">Q997+S997</f>
        <v>46.1607812820429</v>
      </c>
      <c r="V997" s="54" t="b">
        <f aca="false">AND(D997&gt;=01_因子設定!$L$5-0.000000001,D997&lt;=01_因子設定!$M$5+0.000000001,E997&gt;=01_因子設定!$L$6-0.000000001,E997&lt;=01_因子設定!$M$6+0.000000001,F997&gt;=01_因子設定!$L$7-0.000000001,F997&lt;=01_因子設定!$M$7+0.000000001,IF(01_因子設定!$B$20="Box-Behnken",D997^2+E997^2+F997^2&lt;=2+0.000000001,TRUE()))</f>
        <v>1</v>
      </c>
      <c r="W997" s="55" t="n">
        <f aca="false">IF(V997,IF(01_因子設定!$B$13="最大化",T997-01_因子設定!$B$14,IF(01_因子設定!$B$13="最小化",01_因子設定!$B$15-U997,MIN(T997-01_因子設定!$B$14,01_因子設定!$B$15-U997))),-1E+030)</f>
        <v>-4.35468753204286</v>
      </c>
      <c r="X997" s="55" t="n">
        <f aca="false">IF(V997,IF(01_因子設定!$B$13="最大化",Q997,IF(01_因子設定!$B$13="最小化",-Q997,-ABS(Q997-01_因子設定!$B$16))),-1E+030)</f>
        <v>45.153046875</v>
      </c>
      <c r="Y997" s="55" t="n">
        <f aca="false">W997+ROW()*0.000000001</f>
        <v>-4.35468653504286</v>
      </c>
      <c r="Z997" s="55" t="n">
        <f aca="false">X997+ROW()*0.000000001</f>
        <v>45.153047872</v>
      </c>
    </row>
    <row r="998" customFormat="false" ht="15" hidden="false" customHeight="false" outlineLevel="0" collapsed="false">
      <c r="A998" s="0" t="n">
        <v>3</v>
      </c>
      <c r="B998" s="0" t="n">
        <v>7</v>
      </c>
      <c r="C998" s="0" t="n">
        <v>7</v>
      </c>
      <c r="D998" s="0" t="n">
        <f aca="false">-1+A998*0.125</f>
        <v>-0.625</v>
      </c>
      <c r="E998" s="0" t="n">
        <f aca="false">-1+B998*0.125</f>
        <v>-0.125</v>
      </c>
      <c r="F998" s="0" t="n">
        <f aca="false">-1+C998*0.125</f>
        <v>-0.125</v>
      </c>
      <c r="G998" s="0" t="n">
        <f aca="false">1</f>
        <v>1</v>
      </c>
      <c r="H998" s="0" t="n">
        <f aca="false">D998</f>
        <v>-0.625</v>
      </c>
      <c r="I998" s="0" t="n">
        <f aca="false">E998</f>
        <v>-0.125</v>
      </c>
      <c r="J998" s="0" t="n">
        <f aca="false">F998</f>
        <v>-0.125</v>
      </c>
      <c r="K998" s="0" t="n">
        <f aca="false">D998*E998</f>
        <v>0.078125</v>
      </c>
      <c r="L998" s="0" t="n">
        <f aca="false">D998*F998</f>
        <v>0.078125</v>
      </c>
      <c r="M998" s="0" t="n">
        <f aca="false">E998*F998</f>
        <v>0.015625</v>
      </c>
      <c r="N998" s="0" t="n">
        <f aca="false">D998*D998</f>
        <v>0.390625</v>
      </c>
      <c r="O998" s="0" t="n">
        <f aca="false">E998*E998</f>
        <v>0.015625</v>
      </c>
      <c r="P998" s="0" t="n">
        <f aca="false">F998*F998</f>
        <v>0.015625</v>
      </c>
      <c r="Q998" s="0" t="n">
        <f aca="false">SUMPRODUCT(G998:P998,_XtX!$B$71:$K$71)</f>
        <v>45.3854190340909</v>
      </c>
      <c r="R998" s="0" t="n">
        <f aca="false">SUMPRODUCT(MMULT(G998:P998,_XtX!$B$58:$K$67),G998:P998)</f>
        <v>0.175841730291193</v>
      </c>
      <c r="S998" s="0" t="n">
        <f aca="false">04_回帰ANOVA!$K$19*04_回帰ANOVA!$K$14*SQRT(1+R998)</f>
        <v>1.00818694767054</v>
      </c>
      <c r="T998" s="0" t="n">
        <f aca="false">Q998-S998</f>
        <v>44.3772320864204</v>
      </c>
      <c r="U998" s="0" t="n">
        <f aca="false">Q998+S998</f>
        <v>46.3936059817614</v>
      </c>
      <c r="V998" s="54" t="b">
        <f aca="false">AND(D998&gt;=01_因子設定!$L$5-0.000000001,D998&lt;=01_因子設定!$M$5+0.000000001,E998&gt;=01_因子設定!$L$6-0.000000001,E998&lt;=01_因子設定!$M$6+0.000000001,F998&gt;=01_因子設定!$L$7-0.000000001,F998&lt;=01_因子設定!$M$7+0.000000001,IF(01_因子設定!$B$20="Box-Behnken",D998^2+E998^2+F998^2&lt;=2+0.000000001,TRUE()))</f>
        <v>1</v>
      </c>
      <c r="W998" s="55" t="n">
        <f aca="false">IF(V998,IF(01_因子設定!$B$13="最大化",T998-01_因子設定!$B$14,IF(01_因子設定!$B$13="最小化",01_因子設定!$B$15-U998,MIN(T998-01_因子設定!$B$14,01_因子設定!$B$15-U998))),-1E+030)</f>
        <v>-4.12276791357963</v>
      </c>
      <c r="X998" s="55" t="n">
        <f aca="false">IF(V998,IF(01_因子設定!$B$13="最大化",Q998,IF(01_因子設定!$B$13="最小化",-Q998,-ABS(Q998-01_因子設定!$B$16))),-1E+030)</f>
        <v>45.3854190340909</v>
      </c>
      <c r="Y998" s="55" t="n">
        <f aca="false">W998+ROW()*0.000000001</f>
        <v>-4.12276691557963</v>
      </c>
      <c r="Z998" s="55" t="n">
        <f aca="false">X998+ROW()*0.000000001</f>
        <v>45.3854200320909</v>
      </c>
    </row>
    <row r="999" customFormat="false" ht="15" hidden="false" customHeight="false" outlineLevel="0" collapsed="false">
      <c r="A999" s="0" t="n">
        <v>3</v>
      </c>
      <c r="B999" s="0" t="n">
        <v>7</v>
      </c>
      <c r="C999" s="0" t="n">
        <v>8</v>
      </c>
      <c r="D999" s="0" t="n">
        <f aca="false">-1+A999*0.125</f>
        <v>-0.625</v>
      </c>
      <c r="E999" s="0" t="n">
        <f aca="false">-1+B999*0.125</f>
        <v>-0.125</v>
      </c>
      <c r="F999" s="0" t="n">
        <f aca="false">-1+C999*0.125</f>
        <v>0</v>
      </c>
      <c r="G999" s="0" t="n">
        <f aca="false">1</f>
        <v>1</v>
      </c>
      <c r="H999" s="0" t="n">
        <f aca="false">D999</f>
        <v>-0.625</v>
      </c>
      <c r="I999" s="0" t="n">
        <f aca="false">E999</f>
        <v>-0.125</v>
      </c>
      <c r="J999" s="0" t="n">
        <f aca="false">F999</f>
        <v>0</v>
      </c>
      <c r="K999" s="0" t="n">
        <f aca="false">D999*E999</f>
        <v>0.078125</v>
      </c>
      <c r="L999" s="0" t="n">
        <f aca="false">D999*F999</f>
        <v>-0</v>
      </c>
      <c r="M999" s="0" t="n">
        <f aca="false">E999*F999</f>
        <v>-0</v>
      </c>
      <c r="N999" s="0" t="n">
        <f aca="false">D999*D999</f>
        <v>0.390625</v>
      </c>
      <c r="O999" s="0" t="n">
        <f aca="false">E999*E999</f>
        <v>0.015625</v>
      </c>
      <c r="P999" s="0" t="n">
        <f aca="false">F999*F999</f>
        <v>0</v>
      </c>
      <c r="Q999" s="0" t="n">
        <f aca="false">SUMPRODUCT(G999:P999,_XtX!$B$71:$K$71)</f>
        <v>45.5810014204546</v>
      </c>
      <c r="R999" s="0" t="n">
        <f aca="false">SUMPRODUCT(MMULT(G999:P999,_XtX!$B$58:$K$67),G999:P999)</f>
        <v>0.17654862837358</v>
      </c>
      <c r="S999" s="0" t="n">
        <f aca="false">04_回帰ANOVA!$K$19*04_回帰ANOVA!$K$14*SQRT(1+R999)</f>
        <v>1.00848995543082</v>
      </c>
      <c r="T999" s="0" t="n">
        <f aca="false">Q999-S999</f>
        <v>44.5725114650237</v>
      </c>
      <c r="U999" s="0" t="n">
        <f aca="false">Q999+S999</f>
        <v>46.5894913758854</v>
      </c>
      <c r="V999" s="54" t="b">
        <f aca="false">AND(D999&gt;=01_因子設定!$L$5-0.000000001,D999&lt;=01_因子設定!$M$5+0.000000001,E999&gt;=01_因子設定!$L$6-0.000000001,E999&lt;=01_因子設定!$M$6+0.000000001,F999&gt;=01_因子設定!$L$7-0.000000001,F999&lt;=01_因子設定!$M$7+0.000000001,IF(01_因子設定!$B$20="Box-Behnken",D999^2+E999^2+F999^2&lt;=2+0.000000001,TRUE()))</f>
        <v>1</v>
      </c>
      <c r="W999" s="55" t="n">
        <f aca="false">IF(V999,IF(01_因子設定!$B$13="最大化",T999-01_因子設定!$B$14,IF(01_因子設定!$B$13="最小化",01_因子設定!$B$15-U999,MIN(T999-01_因子設定!$B$14,01_因子設定!$B$15-U999))),-1E+030)</f>
        <v>-3.92748853497628</v>
      </c>
      <c r="X999" s="55" t="n">
        <f aca="false">IF(V999,IF(01_因子設定!$B$13="最大化",Q999,IF(01_因子設定!$B$13="最小化",-Q999,-ABS(Q999-01_因子設定!$B$16))),-1E+030)</f>
        <v>45.5810014204546</v>
      </c>
      <c r="Y999" s="55" t="n">
        <f aca="false">W999+ROW()*0.000000001</f>
        <v>-3.92748753597628</v>
      </c>
      <c r="Z999" s="55" t="n">
        <f aca="false">X999+ROW()*0.000000001</f>
        <v>45.5810024194546</v>
      </c>
    </row>
    <row r="1000" customFormat="false" ht="15" hidden="false" customHeight="false" outlineLevel="0" collapsed="false">
      <c r="A1000" s="0" t="n">
        <v>3</v>
      </c>
      <c r="B1000" s="0" t="n">
        <v>7</v>
      </c>
      <c r="C1000" s="0" t="n">
        <v>9</v>
      </c>
      <c r="D1000" s="0" t="n">
        <f aca="false">-1+A1000*0.125</f>
        <v>-0.625</v>
      </c>
      <c r="E1000" s="0" t="n">
        <f aca="false">-1+B1000*0.125</f>
        <v>-0.125</v>
      </c>
      <c r="F1000" s="0" t="n">
        <f aca="false">-1+C1000*0.125</f>
        <v>0.125</v>
      </c>
      <c r="G1000" s="0" t="n">
        <f aca="false">1</f>
        <v>1</v>
      </c>
      <c r="H1000" s="0" t="n">
        <f aca="false">D1000</f>
        <v>-0.625</v>
      </c>
      <c r="I1000" s="0" t="n">
        <f aca="false">E1000</f>
        <v>-0.125</v>
      </c>
      <c r="J1000" s="0" t="n">
        <f aca="false">F1000</f>
        <v>0.125</v>
      </c>
      <c r="K1000" s="0" t="n">
        <f aca="false">D1000*E1000</f>
        <v>0.078125</v>
      </c>
      <c r="L1000" s="0" t="n">
        <f aca="false">D1000*F1000</f>
        <v>-0.078125</v>
      </c>
      <c r="M1000" s="0" t="n">
        <f aca="false">E1000*F1000</f>
        <v>-0.015625</v>
      </c>
      <c r="N1000" s="0" t="n">
        <f aca="false">D1000*D1000</f>
        <v>0.390625</v>
      </c>
      <c r="O1000" s="0" t="n">
        <f aca="false">E1000*E1000</f>
        <v>0.015625</v>
      </c>
      <c r="P1000" s="0" t="n">
        <f aca="false">F1000*F1000</f>
        <v>0.015625</v>
      </c>
      <c r="Q1000" s="0" t="n">
        <f aca="false">SUMPRODUCT(G1000:P1000,_XtX!$B$71:$K$71)</f>
        <v>45.7397940340909</v>
      </c>
      <c r="R1000" s="0" t="n">
        <f aca="false">SUMPRODUCT(MMULT(G1000:P1000,_XtX!$B$58:$K$67),G1000:P1000)</f>
        <v>0.175841730291193</v>
      </c>
      <c r="S1000" s="0" t="n">
        <f aca="false">04_回帰ANOVA!$K$19*04_回帰ANOVA!$K$14*SQRT(1+R1000)</f>
        <v>1.00818694767054</v>
      </c>
      <c r="T1000" s="0" t="n">
        <f aca="false">Q1000-S1000</f>
        <v>44.7316070864204</v>
      </c>
      <c r="U1000" s="0" t="n">
        <f aca="false">Q1000+S1000</f>
        <v>46.7479809817614</v>
      </c>
      <c r="V1000" s="54" t="b">
        <f aca="false">AND(D1000&gt;=01_因子設定!$L$5-0.000000001,D1000&lt;=01_因子設定!$M$5+0.000000001,E1000&gt;=01_因子設定!$L$6-0.000000001,E1000&lt;=01_因子設定!$M$6+0.000000001,F1000&gt;=01_因子設定!$L$7-0.000000001,F1000&lt;=01_因子設定!$M$7+0.000000001,IF(01_因子設定!$B$20="Box-Behnken",D1000^2+E1000^2+F1000^2&lt;=2+0.000000001,TRUE()))</f>
        <v>1</v>
      </c>
      <c r="W1000" s="55" t="n">
        <f aca="false">IF(V1000,IF(01_因子設定!$B$13="最大化",T1000-01_因子設定!$B$14,IF(01_因子設定!$B$13="最小化",01_因子設定!$B$15-U1000,MIN(T1000-01_因子設定!$B$14,01_因子設定!$B$15-U1000))),-1E+030)</f>
        <v>-3.76839291357963</v>
      </c>
      <c r="X1000" s="55" t="n">
        <f aca="false">IF(V1000,IF(01_因子設定!$B$13="最大化",Q1000,IF(01_因子設定!$B$13="最小化",-Q1000,-ABS(Q1000-01_因子設定!$B$16))),-1E+030)</f>
        <v>45.7397940340909</v>
      </c>
      <c r="Y1000" s="55" t="n">
        <f aca="false">W1000+ROW()*0.000000001</f>
        <v>-3.76839191357963</v>
      </c>
      <c r="Z1000" s="55" t="n">
        <f aca="false">X1000+ROW()*0.000000001</f>
        <v>45.7397950340909</v>
      </c>
    </row>
    <row r="1001" customFormat="false" ht="15" hidden="false" customHeight="false" outlineLevel="0" collapsed="false">
      <c r="A1001" s="0" t="n">
        <v>3</v>
      </c>
      <c r="B1001" s="0" t="n">
        <v>7</v>
      </c>
      <c r="C1001" s="0" t="n">
        <v>10</v>
      </c>
      <c r="D1001" s="0" t="n">
        <f aca="false">-1+A1001*0.125</f>
        <v>-0.625</v>
      </c>
      <c r="E1001" s="0" t="n">
        <f aca="false">-1+B1001*0.125</f>
        <v>-0.125</v>
      </c>
      <c r="F1001" s="0" t="n">
        <f aca="false">-1+C1001*0.125</f>
        <v>0.25</v>
      </c>
      <c r="G1001" s="0" t="n">
        <f aca="false">1</f>
        <v>1</v>
      </c>
      <c r="H1001" s="0" t="n">
        <f aca="false">D1001</f>
        <v>-0.625</v>
      </c>
      <c r="I1001" s="0" t="n">
        <f aca="false">E1001</f>
        <v>-0.125</v>
      </c>
      <c r="J1001" s="0" t="n">
        <f aca="false">F1001</f>
        <v>0.25</v>
      </c>
      <c r="K1001" s="0" t="n">
        <f aca="false">D1001*E1001</f>
        <v>0.078125</v>
      </c>
      <c r="L1001" s="0" t="n">
        <f aca="false">D1001*F1001</f>
        <v>-0.15625</v>
      </c>
      <c r="M1001" s="0" t="n">
        <f aca="false">E1001*F1001</f>
        <v>-0.03125</v>
      </c>
      <c r="N1001" s="0" t="n">
        <f aca="false">D1001*D1001</f>
        <v>0.390625</v>
      </c>
      <c r="O1001" s="0" t="n">
        <f aca="false">E1001*E1001</f>
        <v>0.015625</v>
      </c>
      <c r="P1001" s="0" t="n">
        <f aca="false">F1001*F1001</f>
        <v>0.0625</v>
      </c>
      <c r="Q1001" s="0" t="n">
        <f aca="false">SUMPRODUCT(G1001:P1001,_XtX!$B$71:$K$71)</f>
        <v>45.861796875</v>
      </c>
      <c r="R1001" s="0" t="n">
        <f aca="false">SUMPRODUCT(MMULT(G1001:P1001,_XtX!$B$58:$K$67),G1001:P1001)</f>
        <v>0.174786376953125</v>
      </c>
      <c r="S1001" s="0" t="n">
        <f aca="false">04_回帰ANOVA!$K$19*04_回帰ANOVA!$K$14*SQRT(1+R1001)</f>
        <v>1.00773440704286</v>
      </c>
      <c r="T1001" s="0" t="n">
        <f aca="false">Q1001-S1001</f>
        <v>44.8540624679571</v>
      </c>
      <c r="U1001" s="0" t="n">
        <f aca="false">Q1001+S1001</f>
        <v>46.8695312820429</v>
      </c>
      <c r="V1001" s="54" t="b">
        <f aca="false">AND(D1001&gt;=01_因子設定!$L$5-0.000000001,D1001&lt;=01_因子設定!$M$5+0.000000001,E1001&gt;=01_因子設定!$L$6-0.000000001,E1001&lt;=01_因子設定!$M$6+0.000000001,F1001&gt;=01_因子設定!$L$7-0.000000001,F1001&lt;=01_因子設定!$M$7+0.000000001,IF(01_因子設定!$B$20="Box-Behnken",D1001^2+E1001^2+F1001^2&lt;=2+0.000000001,TRUE()))</f>
        <v>1</v>
      </c>
      <c r="W1001" s="55" t="n">
        <f aca="false">IF(V1001,IF(01_因子設定!$B$13="最大化",T1001-01_因子設定!$B$14,IF(01_因子設定!$B$13="最小化",01_因子設定!$B$15-U1001,MIN(T1001-01_因子設定!$B$14,01_因子設定!$B$15-U1001))),-1E+030)</f>
        <v>-3.64593753204286</v>
      </c>
      <c r="X1001" s="55" t="n">
        <f aca="false">IF(V1001,IF(01_因子設定!$B$13="最大化",Q1001,IF(01_因子設定!$B$13="最小化",-Q1001,-ABS(Q1001-01_因子設定!$B$16))),-1E+030)</f>
        <v>45.861796875</v>
      </c>
      <c r="Y1001" s="55" t="n">
        <f aca="false">W1001+ROW()*0.000000001</f>
        <v>-3.64593653104286</v>
      </c>
      <c r="Z1001" s="55" t="n">
        <f aca="false">X1001+ROW()*0.000000001</f>
        <v>45.861797876</v>
      </c>
    </row>
    <row r="1002" customFormat="false" ht="15" hidden="false" customHeight="false" outlineLevel="0" collapsed="false">
      <c r="A1002" s="0" t="n">
        <v>3</v>
      </c>
      <c r="B1002" s="0" t="n">
        <v>7</v>
      </c>
      <c r="C1002" s="0" t="n">
        <v>11</v>
      </c>
      <c r="D1002" s="0" t="n">
        <f aca="false">-1+A1002*0.125</f>
        <v>-0.625</v>
      </c>
      <c r="E1002" s="0" t="n">
        <f aca="false">-1+B1002*0.125</f>
        <v>-0.125</v>
      </c>
      <c r="F1002" s="0" t="n">
        <f aca="false">-1+C1002*0.125</f>
        <v>0.375</v>
      </c>
      <c r="G1002" s="0" t="n">
        <f aca="false">1</f>
        <v>1</v>
      </c>
      <c r="H1002" s="0" t="n">
        <f aca="false">D1002</f>
        <v>-0.625</v>
      </c>
      <c r="I1002" s="0" t="n">
        <f aca="false">E1002</f>
        <v>-0.125</v>
      </c>
      <c r="J1002" s="0" t="n">
        <f aca="false">F1002</f>
        <v>0.375</v>
      </c>
      <c r="K1002" s="0" t="n">
        <f aca="false">D1002*E1002</f>
        <v>0.078125</v>
      </c>
      <c r="L1002" s="0" t="n">
        <f aca="false">D1002*F1002</f>
        <v>-0.234375</v>
      </c>
      <c r="M1002" s="0" t="n">
        <f aca="false">E1002*F1002</f>
        <v>-0.046875</v>
      </c>
      <c r="N1002" s="0" t="n">
        <f aca="false">D1002*D1002</f>
        <v>0.390625</v>
      </c>
      <c r="O1002" s="0" t="n">
        <f aca="false">E1002*E1002</f>
        <v>0.015625</v>
      </c>
      <c r="P1002" s="0" t="n">
        <f aca="false">F1002*F1002</f>
        <v>0.140625</v>
      </c>
      <c r="Q1002" s="0" t="n">
        <f aca="false">SUMPRODUCT(G1002:P1002,_XtX!$B$71:$K$71)</f>
        <v>45.9470099431818</v>
      </c>
      <c r="R1002" s="0" t="n">
        <f aca="false">SUMPRODUCT(MMULT(G1002:P1002,_XtX!$B$58:$K$67),G1002:P1002)</f>
        <v>0.176578591086648</v>
      </c>
      <c r="S1002" s="0" t="n">
        <f aca="false">04_回帰ANOVA!$K$19*04_回帰ANOVA!$K$14*SQRT(1+R1002)</f>
        <v>1.00850279676269</v>
      </c>
      <c r="T1002" s="0" t="n">
        <f aca="false">Q1002-S1002</f>
        <v>44.9385071464191</v>
      </c>
      <c r="U1002" s="0" t="n">
        <f aca="false">Q1002+S1002</f>
        <v>46.9555127399445</v>
      </c>
      <c r="V1002" s="54" t="b">
        <f aca="false">AND(D1002&gt;=01_因子設定!$L$5-0.000000001,D1002&lt;=01_因子設定!$M$5+0.000000001,E1002&gt;=01_因子設定!$L$6-0.000000001,E1002&lt;=01_因子設定!$M$6+0.000000001,F1002&gt;=01_因子設定!$L$7-0.000000001,F1002&lt;=01_因子設定!$M$7+0.000000001,IF(01_因子設定!$B$20="Box-Behnken",D1002^2+E1002^2+F1002^2&lt;=2+0.000000001,TRUE()))</f>
        <v>1</v>
      </c>
      <c r="W1002" s="55" t="n">
        <f aca="false">IF(V1002,IF(01_因子設定!$B$13="最大化",T1002-01_因子設定!$B$14,IF(01_因子設定!$B$13="最小化",01_因子設定!$B$15-U1002,MIN(T1002-01_因子設定!$B$14,01_因子設定!$B$15-U1002))),-1E+030)</f>
        <v>-3.56149285358087</v>
      </c>
      <c r="X1002" s="55" t="n">
        <f aca="false">IF(V1002,IF(01_因子設定!$B$13="最大化",Q1002,IF(01_因子設定!$B$13="最小化",-Q1002,-ABS(Q1002-01_因子設定!$B$16))),-1E+030)</f>
        <v>45.9470099431818</v>
      </c>
      <c r="Y1002" s="55" t="n">
        <f aca="false">W1002+ROW()*0.000000001</f>
        <v>-3.56149185158087</v>
      </c>
      <c r="Z1002" s="55" t="n">
        <f aca="false">X1002+ROW()*0.000000001</f>
        <v>45.9470109451818</v>
      </c>
    </row>
    <row r="1003" customFormat="false" ht="15" hidden="false" customHeight="false" outlineLevel="0" collapsed="false">
      <c r="A1003" s="0" t="n">
        <v>3</v>
      </c>
      <c r="B1003" s="0" t="n">
        <v>7</v>
      </c>
      <c r="C1003" s="0" t="n">
        <v>12</v>
      </c>
      <c r="D1003" s="0" t="n">
        <f aca="false">-1+A1003*0.125</f>
        <v>-0.625</v>
      </c>
      <c r="E1003" s="0" t="n">
        <f aca="false">-1+B1003*0.125</f>
        <v>-0.125</v>
      </c>
      <c r="F1003" s="0" t="n">
        <f aca="false">-1+C1003*0.125</f>
        <v>0.5</v>
      </c>
      <c r="G1003" s="0" t="n">
        <f aca="false">1</f>
        <v>1</v>
      </c>
      <c r="H1003" s="0" t="n">
        <f aca="false">D1003</f>
        <v>-0.625</v>
      </c>
      <c r="I1003" s="0" t="n">
        <f aca="false">E1003</f>
        <v>-0.125</v>
      </c>
      <c r="J1003" s="0" t="n">
        <f aca="false">F1003</f>
        <v>0.5</v>
      </c>
      <c r="K1003" s="0" t="n">
        <f aca="false">D1003*E1003</f>
        <v>0.078125</v>
      </c>
      <c r="L1003" s="0" t="n">
        <f aca="false">D1003*F1003</f>
        <v>-0.3125</v>
      </c>
      <c r="M1003" s="0" t="n">
        <f aca="false">E1003*F1003</f>
        <v>-0.0625</v>
      </c>
      <c r="N1003" s="0" t="n">
        <f aca="false">D1003*D1003</f>
        <v>0.390625</v>
      </c>
      <c r="O1003" s="0" t="n">
        <f aca="false">E1003*E1003</f>
        <v>0.015625</v>
      </c>
      <c r="P1003" s="0" t="n">
        <f aca="false">F1003*F1003</f>
        <v>0.25</v>
      </c>
      <c r="Q1003" s="0" t="n">
        <f aca="false">SUMPRODUCT(G1003:P1003,_XtX!$B$71:$K$71)</f>
        <v>45.9954332386364</v>
      </c>
      <c r="R1003" s="0" t="n">
        <f aca="false">SUMPRODUCT(MMULT(G1003:P1003,_XtX!$B$58:$K$67),G1003:P1003)</f>
        <v>0.186545077237216</v>
      </c>
      <c r="S1003" s="0" t="n">
        <f aca="false">04_回帰ANOVA!$K$19*04_回帰ANOVA!$K$14*SQRT(1+R1003)</f>
        <v>1.01276516970713</v>
      </c>
      <c r="T1003" s="0" t="n">
        <f aca="false">Q1003-S1003</f>
        <v>44.9826680689292</v>
      </c>
      <c r="U1003" s="0" t="n">
        <f aca="false">Q1003+S1003</f>
        <v>47.0081984083435</v>
      </c>
      <c r="V1003" s="54" t="b">
        <f aca="false">AND(D1003&gt;=01_因子設定!$L$5-0.000000001,D1003&lt;=01_因子設定!$M$5+0.000000001,E1003&gt;=01_因子設定!$L$6-0.000000001,E1003&lt;=01_因子設定!$M$6+0.000000001,F1003&gt;=01_因子設定!$L$7-0.000000001,F1003&lt;=01_因子設定!$M$7+0.000000001,IF(01_因子設定!$B$20="Box-Behnken",D1003^2+E1003^2+F1003^2&lt;=2+0.000000001,TRUE()))</f>
        <v>1</v>
      </c>
      <c r="W1003" s="55" t="n">
        <f aca="false">IF(V1003,IF(01_因子設定!$B$13="最大化",T1003-01_因子設定!$B$14,IF(01_因子設定!$B$13="最小化",01_因子設定!$B$15-U1003,MIN(T1003-01_因子設定!$B$14,01_因子設定!$B$15-U1003))),-1E+030)</f>
        <v>-3.51733193107076</v>
      </c>
      <c r="X1003" s="55" t="n">
        <f aca="false">IF(V1003,IF(01_因子設定!$B$13="最大化",Q1003,IF(01_因子設定!$B$13="最小化",-Q1003,-ABS(Q1003-01_因子設定!$B$16))),-1E+030)</f>
        <v>45.9954332386364</v>
      </c>
      <c r="Y1003" s="55" t="n">
        <f aca="false">W1003+ROW()*0.000000001</f>
        <v>-3.51733092807076</v>
      </c>
      <c r="Z1003" s="55" t="n">
        <f aca="false">X1003+ROW()*0.000000001</f>
        <v>45.9954342416364</v>
      </c>
    </row>
    <row r="1004" customFormat="false" ht="15" hidden="false" customHeight="false" outlineLevel="0" collapsed="false">
      <c r="A1004" s="0" t="n">
        <v>3</v>
      </c>
      <c r="B1004" s="0" t="n">
        <v>7</v>
      </c>
      <c r="C1004" s="0" t="n">
        <v>13</v>
      </c>
      <c r="D1004" s="0" t="n">
        <f aca="false">-1+A1004*0.125</f>
        <v>-0.625</v>
      </c>
      <c r="E1004" s="0" t="n">
        <f aca="false">-1+B1004*0.125</f>
        <v>-0.125</v>
      </c>
      <c r="F1004" s="0" t="n">
        <f aca="false">-1+C1004*0.125</f>
        <v>0.625</v>
      </c>
      <c r="G1004" s="0" t="n">
        <f aca="false">1</f>
        <v>1</v>
      </c>
      <c r="H1004" s="0" t="n">
        <f aca="false">D1004</f>
        <v>-0.625</v>
      </c>
      <c r="I1004" s="0" t="n">
        <f aca="false">E1004</f>
        <v>-0.125</v>
      </c>
      <c r="J1004" s="0" t="n">
        <f aca="false">F1004</f>
        <v>0.625</v>
      </c>
      <c r="K1004" s="0" t="n">
        <f aca="false">D1004*E1004</f>
        <v>0.078125</v>
      </c>
      <c r="L1004" s="0" t="n">
        <f aca="false">D1004*F1004</f>
        <v>-0.390625</v>
      </c>
      <c r="M1004" s="0" t="n">
        <f aca="false">E1004*F1004</f>
        <v>-0.078125</v>
      </c>
      <c r="N1004" s="0" t="n">
        <f aca="false">D1004*D1004</f>
        <v>0.390625</v>
      </c>
      <c r="O1004" s="0" t="n">
        <f aca="false">E1004*E1004</f>
        <v>0.015625</v>
      </c>
      <c r="P1004" s="0" t="n">
        <f aca="false">F1004*F1004</f>
        <v>0.390625</v>
      </c>
      <c r="Q1004" s="0" t="n">
        <f aca="false">SUMPRODUCT(G1004:P1004,_XtX!$B$71:$K$71)</f>
        <v>46.0070667613636</v>
      </c>
      <c r="R1004" s="0" t="n">
        <f aca="false">SUMPRODUCT(MMULT(G1004:P1004,_XtX!$B$58:$K$67),G1004:P1004)</f>
        <v>0.212143221768466</v>
      </c>
      <c r="S1004" s="0" t="n">
        <f aca="false">04_回帰ANOVA!$K$19*04_回帰ANOVA!$K$14*SQRT(1+R1004)</f>
        <v>1.02363141237304</v>
      </c>
      <c r="T1004" s="0" t="n">
        <f aca="false">Q1004-S1004</f>
        <v>44.9834353489906</v>
      </c>
      <c r="U1004" s="0" t="n">
        <f aca="false">Q1004+S1004</f>
        <v>47.0306981737367</v>
      </c>
      <c r="V1004" s="54" t="b">
        <f aca="false">AND(D1004&gt;=01_因子設定!$L$5-0.000000001,D1004&lt;=01_因子設定!$M$5+0.000000001,E1004&gt;=01_因子設定!$L$6-0.000000001,E1004&lt;=01_因子設定!$M$6+0.000000001,F1004&gt;=01_因子設定!$L$7-0.000000001,F1004&lt;=01_因子設定!$M$7+0.000000001,IF(01_因子設定!$B$20="Box-Behnken",D1004^2+E1004^2+F1004^2&lt;=2+0.000000001,TRUE()))</f>
        <v>1</v>
      </c>
      <c r="W1004" s="55" t="n">
        <f aca="false">IF(V1004,IF(01_因子設定!$B$13="最大化",T1004-01_因子設定!$B$14,IF(01_因子設定!$B$13="最小化",01_因子設定!$B$15-U1004,MIN(T1004-01_因子設定!$B$14,01_因子設定!$B$15-U1004))),-1E+030)</f>
        <v>-3.5165646510094</v>
      </c>
      <c r="X1004" s="55" t="n">
        <f aca="false">IF(V1004,IF(01_因子設定!$B$13="最大化",Q1004,IF(01_因子設定!$B$13="最小化",-Q1004,-ABS(Q1004-01_因子設定!$B$16))),-1E+030)</f>
        <v>46.0070667613636</v>
      </c>
      <c r="Y1004" s="55" t="n">
        <f aca="false">W1004+ROW()*0.000000001</f>
        <v>-3.5165636470094</v>
      </c>
      <c r="Z1004" s="55" t="n">
        <f aca="false">X1004+ROW()*0.000000001</f>
        <v>46.0070677653636</v>
      </c>
    </row>
    <row r="1005" customFormat="false" ht="15" hidden="false" customHeight="false" outlineLevel="0" collapsed="false">
      <c r="A1005" s="0" t="n">
        <v>3</v>
      </c>
      <c r="B1005" s="0" t="n">
        <v>7</v>
      </c>
      <c r="C1005" s="0" t="n">
        <v>14</v>
      </c>
      <c r="D1005" s="0" t="n">
        <f aca="false">-1+A1005*0.125</f>
        <v>-0.625</v>
      </c>
      <c r="E1005" s="0" t="n">
        <f aca="false">-1+B1005*0.125</f>
        <v>-0.125</v>
      </c>
      <c r="F1005" s="0" t="n">
        <f aca="false">-1+C1005*0.125</f>
        <v>0.75</v>
      </c>
      <c r="G1005" s="0" t="n">
        <f aca="false">1</f>
        <v>1</v>
      </c>
      <c r="H1005" s="0" t="n">
        <f aca="false">D1005</f>
        <v>-0.625</v>
      </c>
      <c r="I1005" s="0" t="n">
        <f aca="false">E1005</f>
        <v>-0.125</v>
      </c>
      <c r="J1005" s="0" t="n">
        <f aca="false">F1005</f>
        <v>0.75</v>
      </c>
      <c r="K1005" s="0" t="n">
        <f aca="false">D1005*E1005</f>
        <v>0.078125</v>
      </c>
      <c r="L1005" s="0" t="n">
        <f aca="false">D1005*F1005</f>
        <v>-0.46875</v>
      </c>
      <c r="M1005" s="0" t="n">
        <f aca="false">E1005*F1005</f>
        <v>-0.09375</v>
      </c>
      <c r="N1005" s="0" t="n">
        <f aca="false">D1005*D1005</f>
        <v>0.390625</v>
      </c>
      <c r="O1005" s="0" t="n">
        <f aca="false">E1005*E1005</f>
        <v>0.015625</v>
      </c>
      <c r="P1005" s="0" t="n">
        <f aca="false">F1005*F1005</f>
        <v>0.5625</v>
      </c>
      <c r="Q1005" s="0" t="n">
        <f aca="false">SUMPRODUCT(G1005:P1005,_XtX!$B$71:$K$71)</f>
        <v>45.9819105113636</v>
      </c>
      <c r="R1005" s="0" t="n">
        <f aca="false">SUMPRODUCT(MMULT(G1005:P1005,_XtX!$B$58:$K$67),G1005:P1005)</f>
        <v>0.262961092862216</v>
      </c>
      <c r="S1005" s="0" t="n">
        <f aca="false">04_回帰ANOVA!$K$19*04_回帰ANOVA!$K$14*SQRT(1+R1005)</f>
        <v>1.04486846483649</v>
      </c>
      <c r="T1005" s="0" t="n">
        <f aca="false">Q1005-S1005</f>
        <v>44.9370420465272</v>
      </c>
      <c r="U1005" s="0" t="n">
        <f aca="false">Q1005+S1005</f>
        <v>47.0267789762001</v>
      </c>
      <c r="V1005" s="54" t="b">
        <f aca="false">AND(D1005&gt;=01_因子設定!$L$5-0.000000001,D1005&lt;=01_因子設定!$M$5+0.000000001,E1005&gt;=01_因子設定!$L$6-0.000000001,E1005&lt;=01_因子設定!$M$6+0.000000001,F1005&gt;=01_因子設定!$L$7-0.000000001,F1005&lt;=01_因子設定!$M$7+0.000000001,IF(01_因子設定!$B$20="Box-Behnken",D1005^2+E1005^2+F1005^2&lt;=2+0.000000001,TRUE()))</f>
        <v>1</v>
      </c>
      <c r="W1005" s="55" t="n">
        <f aca="false">IF(V1005,IF(01_因子設定!$B$13="最大化",T1005-01_因子設定!$B$14,IF(01_因子設定!$B$13="最小化",01_因子設定!$B$15-U1005,MIN(T1005-01_因子設定!$B$14,01_因子設定!$B$15-U1005))),-1E+030)</f>
        <v>-3.56295795347284</v>
      </c>
      <c r="X1005" s="55" t="n">
        <f aca="false">IF(V1005,IF(01_因子設定!$B$13="最大化",Q1005,IF(01_因子設定!$B$13="最小化",-Q1005,-ABS(Q1005-01_因子設定!$B$16))),-1E+030)</f>
        <v>45.9819105113636</v>
      </c>
      <c r="Y1005" s="55" t="n">
        <f aca="false">W1005+ROW()*0.000000001</f>
        <v>-3.56295694847284</v>
      </c>
      <c r="Z1005" s="55" t="n">
        <f aca="false">X1005+ROW()*0.000000001</f>
        <v>45.9819115163636</v>
      </c>
    </row>
    <row r="1006" customFormat="false" ht="15" hidden="false" customHeight="false" outlineLevel="0" collapsed="false">
      <c r="A1006" s="0" t="n">
        <v>3</v>
      </c>
      <c r="B1006" s="0" t="n">
        <v>7</v>
      </c>
      <c r="C1006" s="0" t="n">
        <v>15</v>
      </c>
      <c r="D1006" s="0" t="n">
        <f aca="false">-1+A1006*0.125</f>
        <v>-0.625</v>
      </c>
      <c r="E1006" s="0" t="n">
        <f aca="false">-1+B1006*0.125</f>
        <v>-0.125</v>
      </c>
      <c r="F1006" s="0" t="n">
        <f aca="false">-1+C1006*0.125</f>
        <v>0.875</v>
      </c>
      <c r="G1006" s="0" t="n">
        <f aca="false">1</f>
        <v>1</v>
      </c>
      <c r="H1006" s="0" t="n">
        <f aca="false">D1006</f>
        <v>-0.625</v>
      </c>
      <c r="I1006" s="0" t="n">
        <f aca="false">E1006</f>
        <v>-0.125</v>
      </c>
      <c r="J1006" s="0" t="n">
        <f aca="false">F1006</f>
        <v>0.875</v>
      </c>
      <c r="K1006" s="0" t="n">
        <f aca="false">D1006*E1006</f>
        <v>0.078125</v>
      </c>
      <c r="L1006" s="0" t="n">
        <f aca="false">D1006*F1006</f>
        <v>-0.546875</v>
      </c>
      <c r="M1006" s="0" t="n">
        <f aca="false">E1006*F1006</f>
        <v>-0.109375</v>
      </c>
      <c r="N1006" s="0" t="n">
        <f aca="false">D1006*D1006</f>
        <v>0.390625</v>
      </c>
      <c r="O1006" s="0" t="n">
        <f aca="false">E1006*E1006</f>
        <v>0.015625</v>
      </c>
      <c r="P1006" s="0" t="n">
        <f aca="false">F1006*F1006</f>
        <v>0.765625</v>
      </c>
      <c r="Q1006" s="0" t="n">
        <f aca="false">SUMPRODUCT(G1006:P1006,_XtX!$B$71:$K$71)</f>
        <v>45.9199644886364</v>
      </c>
      <c r="R1006" s="0" t="n">
        <f aca="false">SUMPRODUCT(MMULT(G1006:P1006,_XtX!$B$58:$K$67),G1006:P1006)</f>
        <v>0.350717440518466</v>
      </c>
      <c r="S1006" s="0" t="n">
        <f aca="false">04_回帰ANOVA!$K$19*04_回帰ANOVA!$K$14*SQRT(1+R1006)</f>
        <v>1.08056000737898</v>
      </c>
      <c r="T1006" s="0" t="n">
        <f aca="false">Q1006-S1006</f>
        <v>44.8394044812574</v>
      </c>
      <c r="U1006" s="0" t="n">
        <f aca="false">Q1006+S1006</f>
        <v>47.0005244960154</v>
      </c>
      <c r="V1006" s="54" t="b">
        <f aca="false">AND(D1006&gt;=01_因子設定!$L$5-0.000000001,D1006&lt;=01_因子設定!$M$5+0.000000001,E1006&gt;=01_因子設定!$L$6-0.000000001,E1006&lt;=01_因子設定!$M$6+0.000000001,F1006&gt;=01_因子設定!$L$7-0.000000001,F1006&lt;=01_因子設定!$M$7+0.000000001,IF(01_因子設定!$B$20="Box-Behnken",D1006^2+E1006^2+F1006^2&lt;=2+0.000000001,TRUE()))</f>
        <v>1</v>
      </c>
      <c r="W1006" s="55" t="n">
        <f aca="false">IF(V1006,IF(01_因子設定!$B$13="最大化",T1006-01_因子設定!$B$14,IF(01_因子設定!$B$13="最小化",01_因子設定!$B$15-U1006,MIN(T1006-01_因子設定!$B$14,01_因子設定!$B$15-U1006))),-1E+030)</f>
        <v>-3.6605955187426</v>
      </c>
      <c r="X1006" s="55" t="n">
        <f aca="false">IF(V1006,IF(01_因子設定!$B$13="最大化",Q1006,IF(01_因子設定!$B$13="最小化",-Q1006,-ABS(Q1006-01_因子設定!$B$16))),-1E+030)</f>
        <v>45.9199644886364</v>
      </c>
      <c r="Y1006" s="55" t="n">
        <f aca="false">W1006+ROW()*0.000000001</f>
        <v>-3.6605945127426</v>
      </c>
      <c r="Z1006" s="55" t="n">
        <f aca="false">X1006+ROW()*0.000000001</f>
        <v>45.9199654946364</v>
      </c>
    </row>
    <row r="1007" customFormat="false" ht="15" hidden="false" customHeight="false" outlineLevel="0" collapsed="false">
      <c r="A1007" s="0" t="n">
        <v>3</v>
      </c>
      <c r="B1007" s="0" t="n">
        <v>7</v>
      </c>
      <c r="C1007" s="0" t="n">
        <v>16</v>
      </c>
      <c r="D1007" s="0" t="n">
        <f aca="false">-1+A1007*0.125</f>
        <v>-0.625</v>
      </c>
      <c r="E1007" s="0" t="n">
        <f aca="false">-1+B1007*0.125</f>
        <v>-0.125</v>
      </c>
      <c r="F1007" s="0" t="n">
        <f aca="false">-1+C1007*0.125</f>
        <v>1</v>
      </c>
      <c r="G1007" s="0" t="n">
        <f aca="false">1</f>
        <v>1</v>
      </c>
      <c r="H1007" s="0" t="n">
        <f aca="false">D1007</f>
        <v>-0.625</v>
      </c>
      <c r="I1007" s="0" t="n">
        <f aca="false">E1007</f>
        <v>-0.125</v>
      </c>
      <c r="J1007" s="0" t="n">
        <f aca="false">F1007</f>
        <v>1</v>
      </c>
      <c r="K1007" s="0" t="n">
        <f aca="false">D1007*E1007</f>
        <v>0.078125</v>
      </c>
      <c r="L1007" s="0" t="n">
        <f aca="false">D1007*F1007</f>
        <v>-0.625</v>
      </c>
      <c r="M1007" s="0" t="n">
        <f aca="false">E1007*F1007</f>
        <v>-0.125</v>
      </c>
      <c r="N1007" s="0" t="n">
        <f aca="false">D1007*D1007</f>
        <v>0.390625</v>
      </c>
      <c r="O1007" s="0" t="n">
        <f aca="false">E1007*E1007</f>
        <v>0.015625</v>
      </c>
      <c r="P1007" s="0" t="n">
        <f aca="false">F1007*F1007</f>
        <v>1</v>
      </c>
      <c r="Q1007" s="0" t="n">
        <f aca="false">SUMPRODUCT(G1007:P1007,_XtX!$B$71:$K$71)</f>
        <v>45.8212286931818</v>
      </c>
      <c r="R1007" s="0" t="n">
        <f aca="false">SUMPRODUCT(MMULT(G1007:P1007,_XtX!$B$58:$K$67),G1007:P1007)</f>
        <v>0.489261696555398</v>
      </c>
      <c r="S1007" s="0" t="n">
        <f aca="false">04_回帰ANOVA!$K$19*04_回帰ANOVA!$K$14*SQRT(1+R1007)</f>
        <v>1.13462447083763</v>
      </c>
      <c r="T1007" s="0" t="n">
        <f aca="false">Q1007-S1007</f>
        <v>44.6866042223442</v>
      </c>
      <c r="U1007" s="0" t="n">
        <f aca="false">Q1007+S1007</f>
        <v>46.9558531640195</v>
      </c>
      <c r="V1007" s="54" t="b">
        <f aca="false">AND(D1007&gt;=01_因子設定!$L$5-0.000000001,D1007&lt;=01_因子設定!$M$5+0.000000001,E1007&gt;=01_因子設定!$L$6-0.000000001,E1007&lt;=01_因子設定!$M$6+0.000000001,F1007&gt;=01_因子設定!$L$7-0.000000001,F1007&lt;=01_因子設定!$M$7+0.000000001,IF(01_因子設定!$B$20="Box-Behnken",D1007^2+E1007^2+F1007^2&lt;=2+0.000000001,TRUE()))</f>
        <v>1</v>
      </c>
      <c r="W1007" s="55" t="n">
        <f aca="false">IF(V1007,IF(01_因子設定!$B$13="最大化",T1007-01_因子設定!$B$14,IF(01_因子設定!$B$13="最小化",01_因子設定!$B$15-U1007,MIN(T1007-01_因子設定!$B$14,01_因子設定!$B$15-U1007))),-1E+030)</f>
        <v>-3.8133957776558</v>
      </c>
      <c r="X1007" s="55" t="n">
        <f aca="false">IF(V1007,IF(01_因子設定!$B$13="最大化",Q1007,IF(01_因子設定!$B$13="最小化",-Q1007,-ABS(Q1007-01_因子設定!$B$16))),-1E+030)</f>
        <v>45.8212286931818</v>
      </c>
      <c r="Y1007" s="55" t="n">
        <f aca="false">W1007+ROW()*0.000000001</f>
        <v>-3.8133947706558</v>
      </c>
      <c r="Z1007" s="55" t="n">
        <f aca="false">X1007+ROW()*0.000000001</f>
        <v>45.8212297001818</v>
      </c>
    </row>
    <row r="1008" customFormat="false" ht="15" hidden="false" customHeight="false" outlineLevel="0" collapsed="false">
      <c r="A1008" s="0" t="n">
        <v>3</v>
      </c>
      <c r="B1008" s="0" t="n">
        <v>8</v>
      </c>
      <c r="C1008" s="0" t="n">
        <v>0</v>
      </c>
      <c r="D1008" s="0" t="n">
        <f aca="false">-1+A1008*0.125</f>
        <v>-0.625</v>
      </c>
      <c r="E1008" s="0" t="n">
        <f aca="false">-1+B1008*0.125</f>
        <v>0</v>
      </c>
      <c r="F1008" s="0" t="n">
        <f aca="false">-1+C1008*0.125</f>
        <v>-1</v>
      </c>
      <c r="G1008" s="0" t="n">
        <f aca="false">1</f>
        <v>1</v>
      </c>
      <c r="H1008" s="0" t="n">
        <f aca="false">D1008</f>
        <v>-0.625</v>
      </c>
      <c r="I1008" s="0" t="n">
        <f aca="false">E1008</f>
        <v>0</v>
      </c>
      <c r="J1008" s="0" t="n">
        <f aca="false">F1008</f>
        <v>-1</v>
      </c>
      <c r="K1008" s="0" t="n">
        <f aca="false">D1008*E1008</f>
        <v>-0</v>
      </c>
      <c r="L1008" s="0" t="n">
        <f aca="false">D1008*F1008</f>
        <v>0.625</v>
      </c>
      <c r="M1008" s="0" t="n">
        <f aca="false">E1008*F1008</f>
        <v>-0</v>
      </c>
      <c r="N1008" s="0" t="n">
        <f aca="false">D1008*D1008</f>
        <v>0.390625</v>
      </c>
      <c r="O1008" s="0" t="n">
        <f aca="false">E1008*E1008</f>
        <v>0</v>
      </c>
      <c r="P1008" s="0" t="n">
        <f aca="false">F1008*F1008</f>
        <v>1</v>
      </c>
      <c r="Q1008" s="0" t="n">
        <f aca="false">SUMPRODUCT(G1008:P1008,_XtX!$B$71:$K$71)</f>
        <v>43.1247017045455</v>
      </c>
      <c r="R1008" s="0" t="n">
        <f aca="false">SUMPRODUCT(MMULT(G1008:P1008,_XtX!$B$58:$K$67),G1008:P1008)</f>
        <v>0.492240767045455</v>
      </c>
      <c r="S1008" s="0" t="n">
        <f aca="false">04_回帰ANOVA!$K$19*04_回帰ANOVA!$K$14*SQRT(1+R1008)</f>
        <v>1.13575873676322</v>
      </c>
      <c r="T1008" s="0" t="n">
        <f aca="false">Q1008-S1008</f>
        <v>41.9889429677823</v>
      </c>
      <c r="U1008" s="0" t="n">
        <f aca="false">Q1008+S1008</f>
        <v>44.2604604413087</v>
      </c>
      <c r="V1008" s="54" t="b">
        <f aca="false">AND(D1008&gt;=01_因子設定!$L$5-0.000000001,D1008&lt;=01_因子設定!$M$5+0.000000001,E1008&gt;=01_因子設定!$L$6-0.000000001,E1008&lt;=01_因子設定!$M$6+0.000000001,F1008&gt;=01_因子設定!$L$7-0.000000001,F1008&lt;=01_因子設定!$M$7+0.000000001,IF(01_因子設定!$B$20="Box-Behnken",D1008^2+E1008^2+F1008^2&lt;=2+0.000000001,TRUE()))</f>
        <v>1</v>
      </c>
      <c r="W1008" s="55" t="n">
        <f aca="false">IF(V1008,IF(01_因子設定!$B$13="最大化",T1008-01_因子設定!$B$14,IF(01_因子設定!$B$13="最小化",01_因子設定!$B$15-U1008,MIN(T1008-01_因子設定!$B$14,01_因子設定!$B$15-U1008))),-1E+030)</f>
        <v>-6.51105703221775</v>
      </c>
      <c r="X1008" s="55" t="n">
        <f aca="false">IF(V1008,IF(01_因子設定!$B$13="最大化",Q1008,IF(01_因子設定!$B$13="最小化",-Q1008,-ABS(Q1008-01_因子設定!$B$16))),-1E+030)</f>
        <v>43.1247017045455</v>
      </c>
      <c r="Y1008" s="55" t="n">
        <f aca="false">W1008+ROW()*0.000000001</f>
        <v>-6.51105602421775</v>
      </c>
      <c r="Z1008" s="55" t="n">
        <f aca="false">X1008+ROW()*0.000000001</f>
        <v>43.1247027125455</v>
      </c>
    </row>
    <row r="1009" customFormat="false" ht="15" hidden="false" customHeight="false" outlineLevel="0" collapsed="false">
      <c r="A1009" s="0" t="n">
        <v>3</v>
      </c>
      <c r="B1009" s="0" t="n">
        <v>8</v>
      </c>
      <c r="C1009" s="0" t="n">
        <v>1</v>
      </c>
      <c r="D1009" s="0" t="n">
        <f aca="false">-1+A1009*0.125</f>
        <v>-0.625</v>
      </c>
      <c r="E1009" s="0" t="n">
        <f aca="false">-1+B1009*0.125</f>
        <v>0</v>
      </c>
      <c r="F1009" s="0" t="n">
        <f aca="false">-1+C1009*0.125</f>
        <v>-0.875</v>
      </c>
      <c r="G1009" s="0" t="n">
        <f aca="false">1</f>
        <v>1</v>
      </c>
      <c r="H1009" s="0" t="n">
        <f aca="false">D1009</f>
        <v>-0.625</v>
      </c>
      <c r="I1009" s="0" t="n">
        <f aca="false">E1009</f>
        <v>0</v>
      </c>
      <c r="J1009" s="0" t="n">
        <f aca="false">F1009</f>
        <v>-0.875</v>
      </c>
      <c r="K1009" s="0" t="n">
        <f aca="false">D1009*E1009</f>
        <v>-0</v>
      </c>
      <c r="L1009" s="0" t="n">
        <f aca="false">D1009*F1009</f>
        <v>0.546875</v>
      </c>
      <c r="M1009" s="0" t="n">
        <f aca="false">E1009*F1009</f>
        <v>-0</v>
      </c>
      <c r="N1009" s="0" t="n">
        <f aca="false">D1009*D1009</f>
        <v>0.390625</v>
      </c>
      <c r="O1009" s="0" t="n">
        <f aca="false">E1009*E1009</f>
        <v>0</v>
      </c>
      <c r="P1009" s="0" t="n">
        <f aca="false">F1009*F1009</f>
        <v>0.765625</v>
      </c>
      <c r="Q1009" s="0" t="n">
        <f aca="false">SUMPRODUCT(G1009:P1009,_XtX!$B$71:$K$71)</f>
        <v>43.58484375</v>
      </c>
      <c r="R1009" s="0" t="n">
        <f aca="false">SUMPRODUCT(MMULT(G1009:P1009,_XtX!$B$58:$K$67),G1009:P1009)</f>
        <v>0.353155517578125</v>
      </c>
      <c r="S1009" s="0" t="n">
        <f aca="false">04_回帰ANOVA!$K$19*04_回帰ANOVA!$K$14*SQRT(1+R1009)</f>
        <v>1.08153478594098</v>
      </c>
      <c r="T1009" s="0" t="n">
        <f aca="false">Q1009-S1009</f>
        <v>42.503308964059</v>
      </c>
      <c r="U1009" s="0" t="n">
        <f aca="false">Q1009+S1009</f>
        <v>44.666378535941</v>
      </c>
      <c r="V1009" s="54" t="b">
        <f aca="false">AND(D1009&gt;=01_因子設定!$L$5-0.000000001,D1009&lt;=01_因子設定!$M$5+0.000000001,E1009&gt;=01_因子設定!$L$6-0.000000001,E1009&lt;=01_因子設定!$M$6+0.000000001,F1009&gt;=01_因子設定!$L$7-0.000000001,F1009&lt;=01_因子設定!$M$7+0.000000001,IF(01_因子設定!$B$20="Box-Behnken",D1009^2+E1009^2+F1009^2&lt;=2+0.000000001,TRUE()))</f>
        <v>1</v>
      </c>
      <c r="W1009" s="55" t="n">
        <f aca="false">IF(V1009,IF(01_因子設定!$B$13="最大化",T1009-01_因子設定!$B$14,IF(01_因子設定!$B$13="最小化",01_因子設定!$B$15-U1009,MIN(T1009-01_因子設定!$B$14,01_因子設定!$B$15-U1009))),-1E+030)</f>
        <v>-5.99669103594097</v>
      </c>
      <c r="X1009" s="55" t="n">
        <f aca="false">IF(V1009,IF(01_因子設定!$B$13="最大化",Q1009,IF(01_因子設定!$B$13="最小化",-Q1009,-ABS(Q1009-01_因子設定!$B$16))),-1E+030)</f>
        <v>43.58484375</v>
      </c>
      <c r="Y1009" s="55" t="n">
        <f aca="false">W1009+ROW()*0.000000001</f>
        <v>-5.99669002694097</v>
      </c>
      <c r="Z1009" s="55" t="n">
        <f aca="false">X1009+ROW()*0.000000001</f>
        <v>43.584844759</v>
      </c>
    </row>
    <row r="1010" customFormat="false" ht="15" hidden="false" customHeight="false" outlineLevel="0" collapsed="false">
      <c r="A1010" s="0" t="n">
        <v>3</v>
      </c>
      <c r="B1010" s="0" t="n">
        <v>8</v>
      </c>
      <c r="C1010" s="0" t="n">
        <v>2</v>
      </c>
      <c r="D1010" s="0" t="n">
        <f aca="false">-1+A1010*0.125</f>
        <v>-0.625</v>
      </c>
      <c r="E1010" s="0" t="n">
        <f aca="false">-1+B1010*0.125</f>
        <v>0</v>
      </c>
      <c r="F1010" s="0" t="n">
        <f aca="false">-1+C1010*0.125</f>
        <v>-0.75</v>
      </c>
      <c r="G1010" s="0" t="n">
        <f aca="false">1</f>
        <v>1</v>
      </c>
      <c r="H1010" s="0" t="n">
        <f aca="false">D1010</f>
        <v>-0.625</v>
      </c>
      <c r="I1010" s="0" t="n">
        <f aca="false">E1010</f>
        <v>0</v>
      </c>
      <c r="J1010" s="0" t="n">
        <f aca="false">F1010</f>
        <v>-0.75</v>
      </c>
      <c r="K1010" s="0" t="n">
        <f aca="false">D1010*E1010</f>
        <v>-0</v>
      </c>
      <c r="L1010" s="0" t="n">
        <f aca="false">D1010*F1010</f>
        <v>0.46875</v>
      </c>
      <c r="M1010" s="0" t="n">
        <f aca="false">E1010*F1010</f>
        <v>-0</v>
      </c>
      <c r="N1010" s="0" t="n">
        <f aca="false">D1010*D1010</f>
        <v>0.390625</v>
      </c>
      <c r="O1010" s="0" t="n">
        <f aca="false">E1010*E1010</f>
        <v>0</v>
      </c>
      <c r="P1010" s="0" t="n">
        <f aca="false">F1010*F1010</f>
        <v>0.5625</v>
      </c>
      <c r="Q1010" s="0" t="n">
        <f aca="false">SUMPRODUCT(G1010:P1010,_XtX!$B$71:$K$71)</f>
        <v>44.0081960227273</v>
      </c>
      <c r="R1010" s="0" t="n">
        <f aca="false">SUMPRODUCT(MMULT(G1010:P1010,_XtX!$B$58:$K$67),G1010:P1010)</f>
        <v>0.264930308948864</v>
      </c>
      <c r="S1010" s="0" t="n">
        <f aca="false">04_回帰ANOVA!$K$19*04_回帰ANOVA!$K$14*SQRT(1+R1010)</f>
        <v>1.04568272997153</v>
      </c>
      <c r="T1010" s="0" t="n">
        <f aca="false">Q1010-S1010</f>
        <v>42.9625132927558</v>
      </c>
      <c r="U1010" s="0" t="n">
        <f aca="false">Q1010+S1010</f>
        <v>45.0538787526988</v>
      </c>
      <c r="V1010" s="54" t="b">
        <f aca="false">AND(D1010&gt;=01_因子設定!$L$5-0.000000001,D1010&lt;=01_因子設定!$M$5+0.000000001,E1010&gt;=01_因子設定!$L$6-0.000000001,E1010&lt;=01_因子設定!$M$6+0.000000001,F1010&gt;=01_因子設定!$L$7-0.000000001,F1010&lt;=01_因子設定!$M$7+0.000000001,IF(01_因子設定!$B$20="Box-Behnken",D1010^2+E1010^2+F1010^2&lt;=2+0.000000001,TRUE()))</f>
        <v>1</v>
      </c>
      <c r="W1010" s="55" t="n">
        <f aca="false">IF(V1010,IF(01_因子設定!$B$13="最大化",T1010-01_因子設定!$B$14,IF(01_因子設定!$B$13="最小化",01_因子設定!$B$15-U1010,MIN(T1010-01_因子設定!$B$14,01_因子設定!$B$15-U1010))),-1E+030)</f>
        <v>-5.53748670724424</v>
      </c>
      <c r="X1010" s="55" t="n">
        <f aca="false">IF(V1010,IF(01_因子設定!$B$13="最大化",Q1010,IF(01_因子設定!$B$13="最小化",-Q1010,-ABS(Q1010-01_因子設定!$B$16))),-1E+030)</f>
        <v>44.0081960227273</v>
      </c>
      <c r="Y1010" s="55" t="n">
        <f aca="false">W1010+ROW()*0.000000001</f>
        <v>-5.53748569724424</v>
      </c>
      <c r="Z1010" s="55" t="n">
        <f aca="false">X1010+ROW()*0.000000001</f>
        <v>44.0081970327273</v>
      </c>
    </row>
    <row r="1011" customFormat="false" ht="15" hidden="false" customHeight="false" outlineLevel="0" collapsed="false">
      <c r="A1011" s="0" t="n">
        <v>3</v>
      </c>
      <c r="B1011" s="0" t="n">
        <v>8</v>
      </c>
      <c r="C1011" s="0" t="n">
        <v>3</v>
      </c>
      <c r="D1011" s="0" t="n">
        <f aca="false">-1+A1011*0.125</f>
        <v>-0.625</v>
      </c>
      <c r="E1011" s="0" t="n">
        <f aca="false">-1+B1011*0.125</f>
        <v>0</v>
      </c>
      <c r="F1011" s="0" t="n">
        <f aca="false">-1+C1011*0.125</f>
        <v>-0.625</v>
      </c>
      <c r="G1011" s="0" t="n">
        <f aca="false">1</f>
        <v>1</v>
      </c>
      <c r="H1011" s="0" t="n">
        <f aca="false">D1011</f>
        <v>-0.625</v>
      </c>
      <c r="I1011" s="0" t="n">
        <f aca="false">E1011</f>
        <v>0</v>
      </c>
      <c r="J1011" s="0" t="n">
        <f aca="false">F1011</f>
        <v>-0.625</v>
      </c>
      <c r="K1011" s="0" t="n">
        <f aca="false">D1011*E1011</f>
        <v>-0</v>
      </c>
      <c r="L1011" s="0" t="n">
        <f aca="false">D1011*F1011</f>
        <v>0.390625</v>
      </c>
      <c r="M1011" s="0" t="n">
        <f aca="false">E1011*F1011</f>
        <v>-0</v>
      </c>
      <c r="N1011" s="0" t="n">
        <f aca="false">D1011*D1011</f>
        <v>0.390625</v>
      </c>
      <c r="O1011" s="0" t="n">
        <f aca="false">E1011*E1011</f>
        <v>0</v>
      </c>
      <c r="P1011" s="0" t="n">
        <f aca="false">F1011*F1011</f>
        <v>0.390625</v>
      </c>
      <c r="Q1011" s="0" t="n">
        <f aca="false">SUMPRODUCT(G1011:P1011,_XtX!$B$71:$K$71)</f>
        <v>44.3947585227273</v>
      </c>
      <c r="R1011" s="0" t="n">
        <f aca="false">SUMPRODUCT(MMULT(G1011:P1011,_XtX!$B$58:$K$67),G1011:P1011)</f>
        <v>0.213715709339489</v>
      </c>
      <c r="S1011" s="0" t="n">
        <f aca="false">04_回帰ANOVA!$K$19*04_回帰ANOVA!$K$14*SQRT(1+R1011)</f>
        <v>1.02429516478377</v>
      </c>
      <c r="T1011" s="0" t="n">
        <f aca="false">Q1011-S1011</f>
        <v>43.3704633579435</v>
      </c>
      <c r="U1011" s="0" t="n">
        <f aca="false">Q1011+S1011</f>
        <v>45.4190536875111</v>
      </c>
      <c r="V1011" s="54" t="b">
        <f aca="false">AND(D1011&gt;=01_因子設定!$L$5-0.000000001,D1011&lt;=01_因子設定!$M$5+0.000000001,E1011&gt;=01_因子設定!$L$6-0.000000001,E1011&lt;=01_因子設定!$M$6+0.000000001,F1011&gt;=01_因子設定!$L$7-0.000000001,F1011&lt;=01_因子設定!$M$7+0.000000001,IF(01_因子設定!$B$20="Box-Behnken",D1011^2+E1011^2+F1011^2&lt;=2+0.000000001,TRUE()))</f>
        <v>1</v>
      </c>
      <c r="W1011" s="55" t="n">
        <f aca="false">IF(V1011,IF(01_因子設定!$B$13="最大化",T1011-01_因子設定!$B$14,IF(01_因子設定!$B$13="最小化",01_因子設定!$B$15-U1011,MIN(T1011-01_因子設定!$B$14,01_因子設定!$B$15-U1011))),-1E+030)</f>
        <v>-5.12953664205649</v>
      </c>
      <c r="X1011" s="55" t="n">
        <f aca="false">IF(V1011,IF(01_因子設定!$B$13="最大化",Q1011,IF(01_因子設定!$B$13="最小化",-Q1011,-ABS(Q1011-01_因子設定!$B$16))),-1E+030)</f>
        <v>44.3947585227273</v>
      </c>
      <c r="Y1011" s="55" t="n">
        <f aca="false">W1011+ROW()*0.000000001</f>
        <v>-5.12953563105649</v>
      </c>
      <c r="Z1011" s="55" t="n">
        <f aca="false">X1011+ROW()*0.000000001</f>
        <v>44.3947595337273</v>
      </c>
    </row>
    <row r="1012" customFormat="false" ht="15" hidden="false" customHeight="false" outlineLevel="0" collapsed="false">
      <c r="A1012" s="0" t="n">
        <v>3</v>
      </c>
      <c r="B1012" s="0" t="n">
        <v>8</v>
      </c>
      <c r="C1012" s="0" t="n">
        <v>4</v>
      </c>
      <c r="D1012" s="0" t="n">
        <f aca="false">-1+A1012*0.125</f>
        <v>-0.625</v>
      </c>
      <c r="E1012" s="0" t="n">
        <f aca="false">-1+B1012*0.125</f>
        <v>0</v>
      </c>
      <c r="F1012" s="0" t="n">
        <f aca="false">-1+C1012*0.125</f>
        <v>-0.5</v>
      </c>
      <c r="G1012" s="0" t="n">
        <f aca="false">1</f>
        <v>1</v>
      </c>
      <c r="H1012" s="0" t="n">
        <f aca="false">D1012</f>
        <v>-0.625</v>
      </c>
      <c r="I1012" s="0" t="n">
        <f aca="false">E1012</f>
        <v>0</v>
      </c>
      <c r="J1012" s="0" t="n">
        <f aca="false">F1012</f>
        <v>-0.5</v>
      </c>
      <c r="K1012" s="0" t="n">
        <f aca="false">D1012*E1012</f>
        <v>-0</v>
      </c>
      <c r="L1012" s="0" t="n">
        <f aca="false">D1012*F1012</f>
        <v>0.3125</v>
      </c>
      <c r="M1012" s="0" t="n">
        <f aca="false">E1012*F1012</f>
        <v>-0</v>
      </c>
      <c r="N1012" s="0" t="n">
        <f aca="false">D1012*D1012</f>
        <v>0.390625</v>
      </c>
      <c r="O1012" s="0" t="n">
        <f aca="false">E1012*E1012</f>
        <v>0</v>
      </c>
      <c r="P1012" s="0" t="n">
        <f aca="false">F1012*F1012</f>
        <v>0.25</v>
      </c>
      <c r="Q1012" s="0" t="n">
        <f aca="false">SUMPRODUCT(G1012:P1012,_XtX!$B$71:$K$71)</f>
        <v>44.74453125</v>
      </c>
      <c r="R1012" s="0" t="n">
        <f aca="false">SUMPRODUCT(MMULT(G1012:P1012,_XtX!$B$58:$K$67),G1012:P1012)</f>
        <v>0.18779296875</v>
      </c>
      <c r="S1012" s="0" t="n">
        <f aca="false">04_回帰ANOVA!$K$19*04_回帰ANOVA!$K$14*SQRT(1+R1012)</f>
        <v>1.01329759319777</v>
      </c>
      <c r="T1012" s="0" t="n">
        <f aca="false">Q1012-S1012</f>
        <v>43.7312336568022</v>
      </c>
      <c r="U1012" s="0" t="n">
        <f aca="false">Q1012+S1012</f>
        <v>45.7578288431978</v>
      </c>
      <c r="V1012" s="54" t="b">
        <f aca="false">AND(D1012&gt;=01_因子設定!$L$5-0.000000001,D1012&lt;=01_因子設定!$M$5+0.000000001,E1012&gt;=01_因子設定!$L$6-0.000000001,E1012&lt;=01_因子設定!$M$6+0.000000001,F1012&gt;=01_因子設定!$L$7-0.000000001,F1012&lt;=01_因子設定!$M$7+0.000000001,IF(01_因子設定!$B$20="Box-Behnken",D1012^2+E1012^2+F1012^2&lt;=2+0.000000001,TRUE()))</f>
        <v>1</v>
      </c>
      <c r="W1012" s="55" t="n">
        <f aca="false">IF(V1012,IF(01_因子設定!$B$13="最大化",T1012-01_因子設定!$B$14,IF(01_因子設定!$B$13="最小化",01_因子設定!$B$15-U1012,MIN(T1012-01_因子設定!$B$14,01_因子設定!$B$15-U1012))),-1E+030)</f>
        <v>-4.76876634319776</v>
      </c>
      <c r="X1012" s="55" t="n">
        <f aca="false">IF(V1012,IF(01_因子設定!$B$13="最大化",Q1012,IF(01_因子設定!$B$13="最小化",-Q1012,-ABS(Q1012-01_因子設定!$B$16))),-1E+030)</f>
        <v>44.74453125</v>
      </c>
      <c r="Y1012" s="55" t="n">
        <f aca="false">W1012+ROW()*0.000000001</f>
        <v>-4.76876533119776</v>
      </c>
      <c r="Z1012" s="55" t="n">
        <f aca="false">X1012+ROW()*0.000000001</f>
        <v>44.744532262</v>
      </c>
    </row>
    <row r="1013" customFormat="false" ht="15" hidden="false" customHeight="false" outlineLevel="0" collapsed="false">
      <c r="A1013" s="0" t="n">
        <v>3</v>
      </c>
      <c r="B1013" s="0" t="n">
        <v>8</v>
      </c>
      <c r="C1013" s="0" t="n">
        <v>5</v>
      </c>
      <c r="D1013" s="0" t="n">
        <f aca="false">-1+A1013*0.125</f>
        <v>-0.625</v>
      </c>
      <c r="E1013" s="0" t="n">
        <f aca="false">-1+B1013*0.125</f>
        <v>0</v>
      </c>
      <c r="F1013" s="0" t="n">
        <f aca="false">-1+C1013*0.125</f>
        <v>-0.375</v>
      </c>
      <c r="G1013" s="0" t="n">
        <f aca="false">1</f>
        <v>1</v>
      </c>
      <c r="H1013" s="0" t="n">
        <f aca="false">D1013</f>
        <v>-0.625</v>
      </c>
      <c r="I1013" s="0" t="n">
        <f aca="false">E1013</f>
        <v>0</v>
      </c>
      <c r="J1013" s="0" t="n">
        <f aca="false">F1013</f>
        <v>-0.375</v>
      </c>
      <c r="K1013" s="0" t="n">
        <f aca="false">D1013*E1013</f>
        <v>-0</v>
      </c>
      <c r="L1013" s="0" t="n">
        <f aca="false">D1013*F1013</f>
        <v>0.234375</v>
      </c>
      <c r="M1013" s="0" t="n">
        <f aca="false">E1013*F1013</f>
        <v>-0</v>
      </c>
      <c r="N1013" s="0" t="n">
        <f aca="false">D1013*D1013</f>
        <v>0.390625</v>
      </c>
      <c r="O1013" s="0" t="n">
        <f aca="false">E1013*E1013</f>
        <v>0</v>
      </c>
      <c r="P1013" s="0" t="n">
        <f aca="false">F1013*F1013</f>
        <v>0.140625</v>
      </c>
      <c r="Q1013" s="0" t="n">
        <f aca="false">SUMPRODUCT(G1013:P1013,_XtX!$B$71:$K$71)</f>
        <v>45.0575142045455</v>
      </c>
      <c r="R1013" s="0" t="n">
        <f aca="false">SUMPRODUCT(MMULT(G1013:P1013,_XtX!$B$58:$K$67),G1013:P1013)</f>
        <v>0.17757401899858</v>
      </c>
      <c r="S1013" s="0" t="n">
        <f aca="false">04_回帰ANOVA!$K$19*04_回帰ANOVA!$K$14*SQRT(1+R1013)</f>
        <v>1.00892932143276</v>
      </c>
      <c r="T1013" s="0" t="n">
        <f aca="false">Q1013-S1013</f>
        <v>44.0485848831127</v>
      </c>
      <c r="U1013" s="0" t="n">
        <f aca="false">Q1013+S1013</f>
        <v>46.0664435259782</v>
      </c>
      <c r="V1013" s="54" t="b">
        <f aca="false">AND(D1013&gt;=01_因子設定!$L$5-0.000000001,D1013&lt;=01_因子設定!$M$5+0.000000001,E1013&gt;=01_因子設定!$L$6-0.000000001,E1013&lt;=01_因子設定!$M$6+0.000000001,F1013&gt;=01_因子設定!$L$7-0.000000001,F1013&lt;=01_因子設定!$M$7+0.000000001,IF(01_因子設定!$B$20="Box-Behnken",D1013^2+E1013^2+F1013^2&lt;=2+0.000000001,TRUE()))</f>
        <v>1</v>
      </c>
      <c r="W1013" s="55" t="n">
        <f aca="false">IF(V1013,IF(01_因子設定!$B$13="最大化",T1013-01_因子設定!$B$14,IF(01_因子設定!$B$13="最小化",01_因子設定!$B$15-U1013,MIN(T1013-01_因子設定!$B$14,01_因子設定!$B$15-U1013))),-1E+030)</f>
        <v>-4.4514151168873</v>
      </c>
      <c r="X1013" s="55" t="n">
        <f aca="false">IF(V1013,IF(01_因子設定!$B$13="最大化",Q1013,IF(01_因子設定!$B$13="最小化",-Q1013,-ABS(Q1013-01_因子設定!$B$16))),-1E+030)</f>
        <v>45.0575142045455</v>
      </c>
      <c r="Y1013" s="55" t="n">
        <f aca="false">W1013+ROW()*0.000000001</f>
        <v>-4.4514141038873</v>
      </c>
      <c r="Z1013" s="55" t="n">
        <f aca="false">X1013+ROW()*0.000000001</f>
        <v>45.0575152175455</v>
      </c>
    </row>
    <row r="1014" customFormat="false" ht="15" hidden="false" customHeight="false" outlineLevel="0" collapsed="false">
      <c r="A1014" s="0" t="n">
        <v>3</v>
      </c>
      <c r="B1014" s="0" t="n">
        <v>8</v>
      </c>
      <c r="C1014" s="0" t="n">
        <v>6</v>
      </c>
      <c r="D1014" s="0" t="n">
        <f aca="false">-1+A1014*0.125</f>
        <v>-0.625</v>
      </c>
      <c r="E1014" s="0" t="n">
        <f aca="false">-1+B1014*0.125</f>
        <v>0</v>
      </c>
      <c r="F1014" s="0" t="n">
        <f aca="false">-1+C1014*0.125</f>
        <v>-0.25</v>
      </c>
      <c r="G1014" s="0" t="n">
        <f aca="false">1</f>
        <v>1</v>
      </c>
      <c r="H1014" s="0" t="n">
        <f aca="false">D1014</f>
        <v>-0.625</v>
      </c>
      <c r="I1014" s="0" t="n">
        <f aca="false">E1014</f>
        <v>0</v>
      </c>
      <c r="J1014" s="0" t="n">
        <f aca="false">F1014</f>
        <v>-0.25</v>
      </c>
      <c r="K1014" s="0" t="n">
        <f aca="false">D1014*E1014</f>
        <v>-0</v>
      </c>
      <c r="L1014" s="0" t="n">
        <f aca="false">D1014*F1014</f>
        <v>0.15625</v>
      </c>
      <c r="M1014" s="0" t="n">
        <f aca="false">E1014*F1014</f>
        <v>-0</v>
      </c>
      <c r="N1014" s="0" t="n">
        <f aca="false">D1014*D1014</f>
        <v>0.390625</v>
      </c>
      <c r="O1014" s="0" t="n">
        <f aca="false">E1014*E1014</f>
        <v>0</v>
      </c>
      <c r="P1014" s="0" t="n">
        <f aca="false">F1014*F1014</f>
        <v>0.0625</v>
      </c>
      <c r="Q1014" s="0" t="n">
        <f aca="false">SUMPRODUCT(G1014:P1014,_XtX!$B$71:$K$71)</f>
        <v>45.3337073863636</v>
      </c>
      <c r="R1014" s="0" t="n">
        <f aca="false">SUMPRODUCT(MMULT(G1014:P1014,_XtX!$B$58:$K$67),G1014:P1014)</f>
        <v>0.175601473721591</v>
      </c>
      <c r="S1014" s="0" t="n">
        <f aca="false">04_回帰ANOVA!$K$19*04_回帰ANOVA!$K$14*SQRT(1+R1014)</f>
        <v>1.00808394234856</v>
      </c>
      <c r="T1014" s="0" t="n">
        <f aca="false">Q1014-S1014</f>
        <v>44.3256234440151</v>
      </c>
      <c r="U1014" s="0" t="n">
        <f aca="false">Q1014+S1014</f>
        <v>46.3417913287122</v>
      </c>
      <c r="V1014" s="54" t="b">
        <f aca="false">AND(D1014&gt;=01_因子設定!$L$5-0.000000001,D1014&lt;=01_因子設定!$M$5+0.000000001,E1014&gt;=01_因子設定!$L$6-0.000000001,E1014&lt;=01_因子設定!$M$6+0.000000001,F1014&gt;=01_因子設定!$L$7-0.000000001,F1014&lt;=01_因子設定!$M$7+0.000000001,IF(01_因子設定!$B$20="Box-Behnken",D1014^2+E1014^2+F1014^2&lt;=2+0.000000001,TRUE()))</f>
        <v>1</v>
      </c>
      <c r="W1014" s="55" t="n">
        <f aca="false">IF(V1014,IF(01_因子設定!$B$13="最大化",T1014-01_因子設定!$B$14,IF(01_因子設定!$B$13="最小化",01_因子設定!$B$15-U1014,MIN(T1014-01_因子設定!$B$14,01_因子設定!$B$15-U1014))),-1E+030)</f>
        <v>-4.17437655598493</v>
      </c>
      <c r="X1014" s="55" t="n">
        <f aca="false">IF(V1014,IF(01_因子設定!$B$13="最大化",Q1014,IF(01_因子設定!$B$13="最小化",-Q1014,-ABS(Q1014-01_因子設定!$B$16))),-1E+030)</f>
        <v>45.3337073863636</v>
      </c>
      <c r="Y1014" s="55" t="n">
        <f aca="false">W1014+ROW()*0.000000001</f>
        <v>-4.17437554198493</v>
      </c>
      <c r="Z1014" s="55" t="n">
        <f aca="false">X1014+ROW()*0.000000001</f>
        <v>45.3337084003636</v>
      </c>
    </row>
    <row r="1015" customFormat="false" ht="15" hidden="false" customHeight="false" outlineLevel="0" collapsed="false">
      <c r="A1015" s="0" t="n">
        <v>3</v>
      </c>
      <c r="B1015" s="0" t="n">
        <v>8</v>
      </c>
      <c r="C1015" s="0" t="n">
        <v>7</v>
      </c>
      <c r="D1015" s="0" t="n">
        <f aca="false">-1+A1015*0.125</f>
        <v>-0.625</v>
      </c>
      <c r="E1015" s="0" t="n">
        <f aca="false">-1+B1015*0.125</f>
        <v>0</v>
      </c>
      <c r="F1015" s="0" t="n">
        <f aca="false">-1+C1015*0.125</f>
        <v>-0.125</v>
      </c>
      <c r="G1015" s="0" t="n">
        <f aca="false">1</f>
        <v>1</v>
      </c>
      <c r="H1015" s="0" t="n">
        <f aca="false">D1015</f>
        <v>-0.625</v>
      </c>
      <c r="I1015" s="0" t="n">
        <f aca="false">E1015</f>
        <v>0</v>
      </c>
      <c r="J1015" s="0" t="n">
        <f aca="false">F1015</f>
        <v>-0.125</v>
      </c>
      <c r="K1015" s="0" t="n">
        <f aca="false">D1015*E1015</f>
        <v>-0</v>
      </c>
      <c r="L1015" s="0" t="n">
        <f aca="false">D1015*F1015</f>
        <v>0.078125</v>
      </c>
      <c r="M1015" s="0" t="n">
        <f aca="false">E1015*F1015</f>
        <v>-0</v>
      </c>
      <c r="N1015" s="0" t="n">
        <f aca="false">D1015*D1015</f>
        <v>0.390625</v>
      </c>
      <c r="O1015" s="0" t="n">
        <f aca="false">E1015*E1015</f>
        <v>0</v>
      </c>
      <c r="P1015" s="0" t="n">
        <f aca="false">F1015*F1015</f>
        <v>0.015625</v>
      </c>
      <c r="Q1015" s="0" t="n">
        <f aca="false">SUMPRODUCT(G1015:P1015,_XtX!$B$71:$K$71)</f>
        <v>45.5731107954546</v>
      </c>
      <c r="R1015" s="0" t="n">
        <f aca="false">SUMPRODUCT(MMULT(G1015:P1015,_XtX!$B$58:$K$67),G1015:P1015)</f>
        <v>0.17654862837358</v>
      </c>
      <c r="S1015" s="0" t="n">
        <f aca="false">04_回帰ANOVA!$K$19*04_回帰ANOVA!$K$14*SQRT(1+R1015)</f>
        <v>1.00848995543082</v>
      </c>
      <c r="T1015" s="0" t="n">
        <f aca="false">Q1015-S1015</f>
        <v>44.5646208400237</v>
      </c>
      <c r="U1015" s="0" t="n">
        <f aca="false">Q1015+S1015</f>
        <v>46.5816007508854</v>
      </c>
      <c r="V1015" s="54" t="b">
        <f aca="false">AND(D1015&gt;=01_因子設定!$L$5-0.000000001,D1015&lt;=01_因子設定!$M$5+0.000000001,E1015&gt;=01_因子設定!$L$6-0.000000001,E1015&lt;=01_因子設定!$M$6+0.000000001,F1015&gt;=01_因子設定!$L$7-0.000000001,F1015&lt;=01_因子設定!$M$7+0.000000001,IF(01_因子設定!$B$20="Box-Behnken",D1015^2+E1015^2+F1015^2&lt;=2+0.000000001,TRUE()))</f>
        <v>1</v>
      </c>
      <c r="W1015" s="55" t="n">
        <f aca="false">IF(V1015,IF(01_因子設定!$B$13="最大化",T1015-01_因子設定!$B$14,IF(01_因子設定!$B$13="最小化",01_因子設定!$B$15-U1015,MIN(T1015-01_因子設定!$B$14,01_因子設定!$B$15-U1015))),-1E+030)</f>
        <v>-3.93537915997628</v>
      </c>
      <c r="X1015" s="55" t="n">
        <f aca="false">IF(V1015,IF(01_因子設定!$B$13="最大化",Q1015,IF(01_因子設定!$B$13="最小化",-Q1015,-ABS(Q1015-01_因子設定!$B$16))),-1E+030)</f>
        <v>45.5731107954546</v>
      </c>
      <c r="Y1015" s="55" t="n">
        <f aca="false">W1015+ROW()*0.000000001</f>
        <v>-3.93537814497628</v>
      </c>
      <c r="Z1015" s="55" t="n">
        <f aca="false">X1015+ROW()*0.000000001</f>
        <v>45.5731118104546</v>
      </c>
    </row>
    <row r="1016" customFormat="false" ht="15" hidden="false" customHeight="false" outlineLevel="0" collapsed="false">
      <c r="A1016" s="0" t="n">
        <v>3</v>
      </c>
      <c r="B1016" s="0" t="n">
        <v>8</v>
      </c>
      <c r="C1016" s="0" t="n">
        <v>8</v>
      </c>
      <c r="D1016" s="0" t="n">
        <f aca="false">-1+A1016*0.125</f>
        <v>-0.625</v>
      </c>
      <c r="E1016" s="0" t="n">
        <f aca="false">-1+B1016*0.125</f>
        <v>0</v>
      </c>
      <c r="F1016" s="0" t="n">
        <f aca="false">-1+C1016*0.125</f>
        <v>0</v>
      </c>
      <c r="G1016" s="0" t="n">
        <f aca="false">1</f>
        <v>1</v>
      </c>
      <c r="H1016" s="0" t="n">
        <f aca="false">D1016</f>
        <v>-0.625</v>
      </c>
      <c r="I1016" s="0" t="n">
        <f aca="false">E1016</f>
        <v>0</v>
      </c>
      <c r="J1016" s="0" t="n">
        <f aca="false">F1016</f>
        <v>0</v>
      </c>
      <c r="K1016" s="0" t="n">
        <f aca="false">D1016*E1016</f>
        <v>-0</v>
      </c>
      <c r="L1016" s="0" t="n">
        <f aca="false">D1016*F1016</f>
        <v>-0</v>
      </c>
      <c r="M1016" s="0" t="n">
        <f aca="false">E1016*F1016</f>
        <v>0</v>
      </c>
      <c r="N1016" s="0" t="n">
        <f aca="false">D1016*D1016</f>
        <v>0.390625</v>
      </c>
      <c r="O1016" s="0" t="n">
        <f aca="false">E1016*E1016</f>
        <v>0</v>
      </c>
      <c r="P1016" s="0" t="n">
        <f aca="false">F1016*F1016</f>
        <v>0</v>
      </c>
      <c r="Q1016" s="0" t="n">
        <f aca="false">SUMPRODUCT(G1016:P1016,_XtX!$B$71:$K$71)</f>
        <v>45.7757244318182</v>
      </c>
      <c r="R1016" s="0" t="n">
        <f aca="false">SUMPRODUCT(MMULT(G1016:P1016,_XtX!$B$58:$K$67),G1016:P1016)</f>
        <v>0.177219460227273</v>
      </c>
      <c r="S1016" s="0" t="n">
        <f aca="false">04_回帰ANOVA!$K$19*04_回帰ANOVA!$K$14*SQRT(1+R1016)</f>
        <v>1.00877741944364</v>
      </c>
      <c r="T1016" s="0" t="n">
        <f aca="false">Q1016-S1016</f>
        <v>44.7669470123746</v>
      </c>
      <c r="U1016" s="0" t="n">
        <f aca="false">Q1016+S1016</f>
        <v>46.7845018512618</v>
      </c>
      <c r="V1016" s="54" t="b">
        <f aca="false">AND(D1016&gt;=01_因子設定!$L$5-0.000000001,D1016&lt;=01_因子設定!$M$5+0.000000001,E1016&gt;=01_因子設定!$L$6-0.000000001,E1016&lt;=01_因子設定!$M$6+0.000000001,F1016&gt;=01_因子設定!$L$7-0.000000001,F1016&lt;=01_因子設定!$M$7+0.000000001,IF(01_因子設定!$B$20="Box-Behnken",D1016^2+E1016^2+F1016^2&lt;=2+0.000000001,TRUE()))</f>
        <v>1</v>
      </c>
      <c r="W1016" s="55" t="n">
        <f aca="false">IF(V1016,IF(01_因子設定!$B$13="最大化",T1016-01_因子設定!$B$14,IF(01_因子設定!$B$13="最小化",01_因子設定!$B$15-U1016,MIN(T1016-01_因子設定!$B$14,01_因子設定!$B$15-U1016))),-1E+030)</f>
        <v>-3.73305298762545</v>
      </c>
      <c r="X1016" s="55" t="n">
        <f aca="false">IF(V1016,IF(01_因子設定!$B$13="最大化",Q1016,IF(01_因子設定!$B$13="最小化",-Q1016,-ABS(Q1016-01_因子設定!$B$16))),-1E+030)</f>
        <v>45.7757244318182</v>
      </c>
      <c r="Y1016" s="55" t="n">
        <f aca="false">W1016+ROW()*0.000000001</f>
        <v>-3.73305197162545</v>
      </c>
      <c r="Z1016" s="55" t="n">
        <f aca="false">X1016+ROW()*0.000000001</f>
        <v>45.7757254478182</v>
      </c>
    </row>
    <row r="1017" customFormat="false" ht="15" hidden="false" customHeight="false" outlineLevel="0" collapsed="false">
      <c r="A1017" s="0" t="n">
        <v>3</v>
      </c>
      <c r="B1017" s="0" t="n">
        <v>8</v>
      </c>
      <c r="C1017" s="0" t="n">
        <v>9</v>
      </c>
      <c r="D1017" s="0" t="n">
        <f aca="false">-1+A1017*0.125</f>
        <v>-0.625</v>
      </c>
      <c r="E1017" s="0" t="n">
        <f aca="false">-1+B1017*0.125</f>
        <v>0</v>
      </c>
      <c r="F1017" s="0" t="n">
        <f aca="false">-1+C1017*0.125</f>
        <v>0.125</v>
      </c>
      <c r="G1017" s="0" t="n">
        <f aca="false">1</f>
        <v>1</v>
      </c>
      <c r="H1017" s="0" t="n">
        <f aca="false">D1017</f>
        <v>-0.625</v>
      </c>
      <c r="I1017" s="0" t="n">
        <f aca="false">E1017</f>
        <v>0</v>
      </c>
      <c r="J1017" s="0" t="n">
        <f aca="false">F1017</f>
        <v>0.125</v>
      </c>
      <c r="K1017" s="0" t="n">
        <f aca="false">D1017*E1017</f>
        <v>-0</v>
      </c>
      <c r="L1017" s="0" t="n">
        <f aca="false">D1017*F1017</f>
        <v>-0.078125</v>
      </c>
      <c r="M1017" s="0" t="n">
        <f aca="false">E1017*F1017</f>
        <v>0</v>
      </c>
      <c r="N1017" s="0" t="n">
        <f aca="false">D1017*D1017</f>
        <v>0.390625</v>
      </c>
      <c r="O1017" s="0" t="n">
        <f aca="false">E1017*E1017</f>
        <v>0</v>
      </c>
      <c r="P1017" s="0" t="n">
        <f aca="false">F1017*F1017</f>
        <v>0.015625</v>
      </c>
      <c r="Q1017" s="0" t="n">
        <f aca="false">SUMPRODUCT(G1017:P1017,_XtX!$B$71:$K$71)</f>
        <v>45.9415482954545</v>
      </c>
      <c r="R1017" s="0" t="n">
        <f aca="false">SUMPRODUCT(MMULT(G1017:P1017,_XtX!$B$58:$K$67),G1017:P1017)</f>
        <v>0.17654862837358</v>
      </c>
      <c r="S1017" s="0" t="n">
        <f aca="false">04_回帰ANOVA!$K$19*04_回帰ANOVA!$K$14*SQRT(1+R1017)</f>
        <v>1.00848995543082</v>
      </c>
      <c r="T1017" s="0" t="n">
        <f aca="false">Q1017-S1017</f>
        <v>44.9330583400237</v>
      </c>
      <c r="U1017" s="0" t="n">
        <f aca="false">Q1017+S1017</f>
        <v>46.9500382508854</v>
      </c>
      <c r="V1017" s="54" t="b">
        <f aca="false">AND(D1017&gt;=01_因子設定!$L$5-0.000000001,D1017&lt;=01_因子設定!$M$5+0.000000001,E1017&gt;=01_因子設定!$L$6-0.000000001,E1017&lt;=01_因子設定!$M$6+0.000000001,F1017&gt;=01_因子設定!$L$7-0.000000001,F1017&lt;=01_因子設定!$M$7+0.000000001,IF(01_因子設定!$B$20="Box-Behnken",D1017^2+E1017^2+F1017^2&lt;=2+0.000000001,TRUE()))</f>
        <v>1</v>
      </c>
      <c r="W1017" s="55" t="n">
        <f aca="false">IF(V1017,IF(01_因子設定!$B$13="最大化",T1017-01_因子設定!$B$14,IF(01_因子設定!$B$13="最小化",01_因子設定!$B$15-U1017,MIN(T1017-01_因子設定!$B$14,01_因子設定!$B$15-U1017))),-1E+030)</f>
        <v>-3.56694165997628</v>
      </c>
      <c r="X1017" s="55" t="n">
        <f aca="false">IF(V1017,IF(01_因子設定!$B$13="最大化",Q1017,IF(01_因子設定!$B$13="最小化",-Q1017,-ABS(Q1017-01_因子設定!$B$16))),-1E+030)</f>
        <v>45.9415482954545</v>
      </c>
      <c r="Y1017" s="55" t="n">
        <f aca="false">W1017+ROW()*0.000000001</f>
        <v>-3.56694064297628</v>
      </c>
      <c r="Z1017" s="55" t="n">
        <f aca="false">X1017+ROW()*0.000000001</f>
        <v>45.9415493124546</v>
      </c>
    </row>
    <row r="1018" customFormat="false" ht="15" hidden="false" customHeight="false" outlineLevel="0" collapsed="false">
      <c r="A1018" s="0" t="n">
        <v>3</v>
      </c>
      <c r="B1018" s="0" t="n">
        <v>8</v>
      </c>
      <c r="C1018" s="0" t="n">
        <v>10</v>
      </c>
      <c r="D1018" s="0" t="n">
        <f aca="false">-1+A1018*0.125</f>
        <v>-0.625</v>
      </c>
      <c r="E1018" s="0" t="n">
        <f aca="false">-1+B1018*0.125</f>
        <v>0</v>
      </c>
      <c r="F1018" s="0" t="n">
        <f aca="false">-1+C1018*0.125</f>
        <v>0.25</v>
      </c>
      <c r="G1018" s="0" t="n">
        <f aca="false">1</f>
        <v>1</v>
      </c>
      <c r="H1018" s="0" t="n">
        <f aca="false">D1018</f>
        <v>-0.625</v>
      </c>
      <c r="I1018" s="0" t="n">
        <f aca="false">E1018</f>
        <v>0</v>
      </c>
      <c r="J1018" s="0" t="n">
        <f aca="false">F1018</f>
        <v>0.25</v>
      </c>
      <c r="K1018" s="0" t="n">
        <f aca="false">D1018*E1018</f>
        <v>-0</v>
      </c>
      <c r="L1018" s="0" t="n">
        <f aca="false">D1018*F1018</f>
        <v>-0.15625</v>
      </c>
      <c r="M1018" s="0" t="n">
        <f aca="false">E1018*F1018</f>
        <v>0</v>
      </c>
      <c r="N1018" s="0" t="n">
        <f aca="false">D1018*D1018</f>
        <v>0.390625</v>
      </c>
      <c r="O1018" s="0" t="n">
        <f aca="false">E1018*E1018</f>
        <v>0</v>
      </c>
      <c r="P1018" s="0" t="n">
        <f aca="false">F1018*F1018</f>
        <v>0.0625</v>
      </c>
      <c r="Q1018" s="0" t="n">
        <f aca="false">SUMPRODUCT(G1018:P1018,_XtX!$B$71:$K$71)</f>
        <v>46.0705823863636</v>
      </c>
      <c r="R1018" s="0" t="n">
        <f aca="false">SUMPRODUCT(MMULT(G1018:P1018,_XtX!$B$58:$K$67),G1018:P1018)</f>
        <v>0.175601473721591</v>
      </c>
      <c r="S1018" s="0" t="n">
        <f aca="false">04_回帰ANOVA!$K$19*04_回帰ANOVA!$K$14*SQRT(1+R1018)</f>
        <v>1.00808394234856</v>
      </c>
      <c r="T1018" s="0" t="n">
        <f aca="false">Q1018-S1018</f>
        <v>45.0624984440151</v>
      </c>
      <c r="U1018" s="0" t="n">
        <f aca="false">Q1018+S1018</f>
        <v>47.0786663287122</v>
      </c>
      <c r="V1018" s="54" t="b">
        <f aca="false">AND(D1018&gt;=01_因子設定!$L$5-0.000000001,D1018&lt;=01_因子設定!$M$5+0.000000001,E1018&gt;=01_因子設定!$L$6-0.000000001,E1018&lt;=01_因子設定!$M$6+0.000000001,F1018&gt;=01_因子設定!$L$7-0.000000001,F1018&lt;=01_因子設定!$M$7+0.000000001,IF(01_因子設定!$B$20="Box-Behnken",D1018^2+E1018^2+F1018^2&lt;=2+0.000000001,TRUE()))</f>
        <v>1</v>
      </c>
      <c r="W1018" s="55" t="n">
        <f aca="false">IF(V1018,IF(01_因子設定!$B$13="最大化",T1018-01_因子設定!$B$14,IF(01_因子設定!$B$13="最小化",01_因子設定!$B$15-U1018,MIN(T1018-01_因子設定!$B$14,01_因子設定!$B$15-U1018))),-1E+030)</f>
        <v>-3.43750155598492</v>
      </c>
      <c r="X1018" s="55" t="n">
        <f aca="false">IF(V1018,IF(01_因子設定!$B$13="最大化",Q1018,IF(01_因子設定!$B$13="最小化",-Q1018,-ABS(Q1018-01_因子設定!$B$16))),-1E+030)</f>
        <v>46.0705823863636</v>
      </c>
      <c r="Y1018" s="55" t="n">
        <f aca="false">W1018+ROW()*0.000000001</f>
        <v>-3.43750053798492</v>
      </c>
      <c r="Z1018" s="55" t="n">
        <f aca="false">X1018+ROW()*0.000000001</f>
        <v>46.0705834043636</v>
      </c>
    </row>
    <row r="1019" customFormat="false" ht="15" hidden="false" customHeight="false" outlineLevel="0" collapsed="false">
      <c r="A1019" s="0" t="n">
        <v>3</v>
      </c>
      <c r="B1019" s="0" t="n">
        <v>8</v>
      </c>
      <c r="C1019" s="0" t="n">
        <v>11</v>
      </c>
      <c r="D1019" s="0" t="n">
        <f aca="false">-1+A1019*0.125</f>
        <v>-0.625</v>
      </c>
      <c r="E1019" s="0" t="n">
        <f aca="false">-1+B1019*0.125</f>
        <v>0</v>
      </c>
      <c r="F1019" s="0" t="n">
        <f aca="false">-1+C1019*0.125</f>
        <v>0.375</v>
      </c>
      <c r="G1019" s="0" t="n">
        <f aca="false">1</f>
        <v>1</v>
      </c>
      <c r="H1019" s="0" t="n">
        <f aca="false">D1019</f>
        <v>-0.625</v>
      </c>
      <c r="I1019" s="0" t="n">
        <f aca="false">E1019</f>
        <v>0</v>
      </c>
      <c r="J1019" s="0" t="n">
        <f aca="false">F1019</f>
        <v>0.375</v>
      </c>
      <c r="K1019" s="0" t="n">
        <f aca="false">D1019*E1019</f>
        <v>-0</v>
      </c>
      <c r="L1019" s="0" t="n">
        <f aca="false">D1019*F1019</f>
        <v>-0.234375</v>
      </c>
      <c r="M1019" s="0" t="n">
        <f aca="false">E1019*F1019</f>
        <v>0</v>
      </c>
      <c r="N1019" s="0" t="n">
        <f aca="false">D1019*D1019</f>
        <v>0.390625</v>
      </c>
      <c r="O1019" s="0" t="n">
        <f aca="false">E1019*E1019</f>
        <v>0</v>
      </c>
      <c r="P1019" s="0" t="n">
        <f aca="false">F1019*F1019</f>
        <v>0.140625</v>
      </c>
      <c r="Q1019" s="0" t="n">
        <f aca="false">SUMPRODUCT(G1019:P1019,_XtX!$B$71:$K$71)</f>
        <v>46.1628267045455</v>
      </c>
      <c r="R1019" s="0" t="n">
        <f aca="false">SUMPRODUCT(MMULT(G1019:P1019,_XtX!$B$58:$K$67),G1019:P1019)</f>
        <v>0.17757401899858</v>
      </c>
      <c r="S1019" s="0" t="n">
        <f aca="false">04_回帰ANOVA!$K$19*04_回帰ANOVA!$K$14*SQRT(1+R1019)</f>
        <v>1.00892932143276</v>
      </c>
      <c r="T1019" s="0" t="n">
        <f aca="false">Q1019-S1019</f>
        <v>45.1538973831127</v>
      </c>
      <c r="U1019" s="0" t="n">
        <f aca="false">Q1019+S1019</f>
        <v>47.1717560259782</v>
      </c>
      <c r="V1019" s="54" t="b">
        <f aca="false">AND(D1019&gt;=01_因子設定!$L$5-0.000000001,D1019&lt;=01_因子設定!$M$5+0.000000001,E1019&gt;=01_因子設定!$L$6-0.000000001,E1019&lt;=01_因子設定!$M$6+0.000000001,F1019&gt;=01_因子設定!$L$7-0.000000001,F1019&lt;=01_因子設定!$M$7+0.000000001,IF(01_因子設定!$B$20="Box-Behnken",D1019^2+E1019^2+F1019^2&lt;=2+0.000000001,TRUE()))</f>
        <v>1</v>
      </c>
      <c r="W1019" s="55" t="n">
        <f aca="false">IF(V1019,IF(01_因子設定!$B$13="最大化",T1019-01_因子設定!$B$14,IF(01_因子設定!$B$13="最小化",01_因子設定!$B$15-U1019,MIN(T1019-01_因子設定!$B$14,01_因子設定!$B$15-U1019))),-1E+030)</f>
        <v>-3.3461026168873</v>
      </c>
      <c r="X1019" s="55" t="n">
        <f aca="false">IF(V1019,IF(01_因子設定!$B$13="最大化",Q1019,IF(01_因子設定!$B$13="最小化",-Q1019,-ABS(Q1019-01_因子設定!$B$16))),-1E+030)</f>
        <v>46.1628267045455</v>
      </c>
      <c r="Y1019" s="55" t="n">
        <f aca="false">W1019+ROW()*0.000000001</f>
        <v>-3.3461015978873</v>
      </c>
      <c r="Z1019" s="55" t="n">
        <f aca="false">X1019+ROW()*0.000000001</f>
        <v>46.1628277235455</v>
      </c>
    </row>
    <row r="1020" customFormat="false" ht="15" hidden="false" customHeight="false" outlineLevel="0" collapsed="false">
      <c r="A1020" s="0" t="n">
        <v>3</v>
      </c>
      <c r="B1020" s="0" t="n">
        <v>8</v>
      </c>
      <c r="C1020" s="0" t="n">
        <v>12</v>
      </c>
      <c r="D1020" s="0" t="n">
        <f aca="false">-1+A1020*0.125</f>
        <v>-0.625</v>
      </c>
      <c r="E1020" s="0" t="n">
        <f aca="false">-1+B1020*0.125</f>
        <v>0</v>
      </c>
      <c r="F1020" s="0" t="n">
        <f aca="false">-1+C1020*0.125</f>
        <v>0.5</v>
      </c>
      <c r="G1020" s="0" t="n">
        <f aca="false">1</f>
        <v>1</v>
      </c>
      <c r="H1020" s="0" t="n">
        <f aca="false">D1020</f>
        <v>-0.625</v>
      </c>
      <c r="I1020" s="0" t="n">
        <f aca="false">E1020</f>
        <v>0</v>
      </c>
      <c r="J1020" s="0" t="n">
        <f aca="false">F1020</f>
        <v>0.5</v>
      </c>
      <c r="K1020" s="0" t="n">
        <f aca="false">D1020*E1020</f>
        <v>-0</v>
      </c>
      <c r="L1020" s="0" t="n">
        <f aca="false">D1020*F1020</f>
        <v>-0.3125</v>
      </c>
      <c r="M1020" s="0" t="n">
        <f aca="false">E1020*F1020</f>
        <v>0</v>
      </c>
      <c r="N1020" s="0" t="n">
        <f aca="false">D1020*D1020</f>
        <v>0.390625</v>
      </c>
      <c r="O1020" s="0" t="n">
        <f aca="false">E1020*E1020</f>
        <v>0</v>
      </c>
      <c r="P1020" s="0" t="n">
        <f aca="false">F1020*F1020</f>
        <v>0.25</v>
      </c>
      <c r="Q1020" s="0" t="n">
        <f aca="false">SUMPRODUCT(G1020:P1020,_XtX!$B$71:$K$71)</f>
        <v>46.21828125</v>
      </c>
      <c r="R1020" s="0" t="n">
        <f aca="false">SUMPRODUCT(MMULT(G1020:P1020,_XtX!$B$58:$K$67),G1020:P1020)</f>
        <v>0.18779296875</v>
      </c>
      <c r="S1020" s="0" t="n">
        <f aca="false">04_回帰ANOVA!$K$19*04_回帰ANOVA!$K$14*SQRT(1+R1020)</f>
        <v>1.01329759319777</v>
      </c>
      <c r="T1020" s="0" t="n">
        <f aca="false">Q1020-S1020</f>
        <v>45.2049836568022</v>
      </c>
      <c r="U1020" s="0" t="n">
        <f aca="false">Q1020+S1020</f>
        <v>47.2315788431978</v>
      </c>
      <c r="V1020" s="54" t="b">
        <f aca="false">AND(D1020&gt;=01_因子設定!$L$5-0.000000001,D1020&lt;=01_因子設定!$M$5+0.000000001,E1020&gt;=01_因子設定!$L$6-0.000000001,E1020&lt;=01_因子設定!$M$6+0.000000001,F1020&gt;=01_因子設定!$L$7-0.000000001,F1020&lt;=01_因子設定!$M$7+0.000000001,IF(01_因子設定!$B$20="Box-Behnken",D1020^2+E1020^2+F1020^2&lt;=2+0.000000001,TRUE()))</f>
        <v>1</v>
      </c>
      <c r="W1020" s="55" t="n">
        <f aca="false">IF(V1020,IF(01_因子設定!$B$13="最大化",T1020-01_因子設定!$B$14,IF(01_因子設定!$B$13="最小化",01_因子設定!$B$15-U1020,MIN(T1020-01_因子設定!$B$14,01_因子設定!$B$15-U1020))),-1E+030)</f>
        <v>-3.29501634319777</v>
      </c>
      <c r="X1020" s="55" t="n">
        <f aca="false">IF(V1020,IF(01_因子設定!$B$13="最大化",Q1020,IF(01_因子設定!$B$13="最小化",-Q1020,-ABS(Q1020-01_因子設定!$B$16))),-1E+030)</f>
        <v>46.21828125</v>
      </c>
      <c r="Y1020" s="55" t="n">
        <f aca="false">W1020+ROW()*0.000000001</f>
        <v>-3.29501532319777</v>
      </c>
      <c r="Z1020" s="55" t="n">
        <f aca="false">X1020+ROW()*0.000000001</f>
        <v>46.21828227</v>
      </c>
    </row>
    <row r="1021" customFormat="false" ht="15" hidden="false" customHeight="false" outlineLevel="0" collapsed="false">
      <c r="A1021" s="0" t="n">
        <v>3</v>
      </c>
      <c r="B1021" s="0" t="n">
        <v>8</v>
      </c>
      <c r="C1021" s="0" t="n">
        <v>13</v>
      </c>
      <c r="D1021" s="0" t="n">
        <f aca="false">-1+A1021*0.125</f>
        <v>-0.625</v>
      </c>
      <c r="E1021" s="0" t="n">
        <f aca="false">-1+B1021*0.125</f>
        <v>0</v>
      </c>
      <c r="F1021" s="0" t="n">
        <f aca="false">-1+C1021*0.125</f>
        <v>0.625</v>
      </c>
      <c r="G1021" s="0" t="n">
        <f aca="false">1</f>
        <v>1</v>
      </c>
      <c r="H1021" s="0" t="n">
        <f aca="false">D1021</f>
        <v>-0.625</v>
      </c>
      <c r="I1021" s="0" t="n">
        <f aca="false">E1021</f>
        <v>0</v>
      </c>
      <c r="J1021" s="0" t="n">
        <f aca="false">F1021</f>
        <v>0.625</v>
      </c>
      <c r="K1021" s="0" t="n">
        <f aca="false">D1021*E1021</f>
        <v>-0</v>
      </c>
      <c r="L1021" s="0" t="n">
        <f aca="false">D1021*F1021</f>
        <v>-0.390625</v>
      </c>
      <c r="M1021" s="0" t="n">
        <f aca="false">E1021*F1021</f>
        <v>0</v>
      </c>
      <c r="N1021" s="0" t="n">
        <f aca="false">D1021*D1021</f>
        <v>0.390625</v>
      </c>
      <c r="O1021" s="0" t="n">
        <f aca="false">E1021*E1021</f>
        <v>0</v>
      </c>
      <c r="P1021" s="0" t="n">
        <f aca="false">F1021*F1021</f>
        <v>0.390625</v>
      </c>
      <c r="Q1021" s="0" t="n">
        <f aca="false">SUMPRODUCT(G1021:P1021,_XtX!$B$71:$K$71)</f>
        <v>46.2369460227273</v>
      </c>
      <c r="R1021" s="0" t="n">
        <f aca="false">SUMPRODUCT(MMULT(G1021:P1021,_XtX!$B$58:$K$67),G1021:P1021)</f>
        <v>0.213715709339489</v>
      </c>
      <c r="S1021" s="0" t="n">
        <f aca="false">04_回帰ANOVA!$K$19*04_回帰ANOVA!$K$14*SQRT(1+R1021)</f>
        <v>1.02429516478377</v>
      </c>
      <c r="T1021" s="0" t="n">
        <f aca="false">Q1021-S1021</f>
        <v>45.2126508579435</v>
      </c>
      <c r="U1021" s="0" t="n">
        <f aca="false">Q1021+S1021</f>
        <v>47.2612411875111</v>
      </c>
      <c r="V1021" s="54" t="b">
        <f aca="false">AND(D1021&gt;=01_因子設定!$L$5-0.000000001,D1021&lt;=01_因子設定!$M$5+0.000000001,E1021&gt;=01_因子設定!$L$6-0.000000001,E1021&lt;=01_因子設定!$M$6+0.000000001,F1021&gt;=01_因子設定!$L$7-0.000000001,F1021&lt;=01_因子設定!$M$7+0.000000001,IF(01_因子設定!$B$20="Box-Behnken",D1021^2+E1021^2+F1021^2&lt;=2+0.000000001,TRUE()))</f>
        <v>1</v>
      </c>
      <c r="W1021" s="55" t="n">
        <f aca="false">IF(V1021,IF(01_因子設定!$B$13="最大化",T1021-01_因子設定!$B$14,IF(01_因子設定!$B$13="最小化",01_因子設定!$B$15-U1021,MIN(T1021-01_因子設定!$B$14,01_因子設定!$B$15-U1021))),-1E+030)</f>
        <v>-3.28734914205649</v>
      </c>
      <c r="X1021" s="55" t="n">
        <f aca="false">IF(V1021,IF(01_因子設定!$B$13="最大化",Q1021,IF(01_因子設定!$B$13="最小化",-Q1021,-ABS(Q1021-01_因子設定!$B$16))),-1E+030)</f>
        <v>46.2369460227273</v>
      </c>
      <c r="Y1021" s="55" t="n">
        <f aca="false">W1021+ROW()*0.000000001</f>
        <v>-3.28734812105649</v>
      </c>
      <c r="Z1021" s="55" t="n">
        <f aca="false">X1021+ROW()*0.000000001</f>
        <v>46.2369470437273</v>
      </c>
    </row>
    <row r="1022" customFormat="false" ht="15" hidden="false" customHeight="false" outlineLevel="0" collapsed="false">
      <c r="A1022" s="0" t="n">
        <v>3</v>
      </c>
      <c r="B1022" s="0" t="n">
        <v>8</v>
      </c>
      <c r="C1022" s="0" t="n">
        <v>14</v>
      </c>
      <c r="D1022" s="0" t="n">
        <f aca="false">-1+A1022*0.125</f>
        <v>-0.625</v>
      </c>
      <c r="E1022" s="0" t="n">
        <f aca="false">-1+B1022*0.125</f>
        <v>0</v>
      </c>
      <c r="F1022" s="0" t="n">
        <f aca="false">-1+C1022*0.125</f>
        <v>0.75</v>
      </c>
      <c r="G1022" s="0" t="n">
        <f aca="false">1</f>
        <v>1</v>
      </c>
      <c r="H1022" s="0" t="n">
        <f aca="false">D1022</f>
        <v>-0.625</v>
      </c>
      <c r="I1022" s="0" t="n">
        <f aca="false">E1022</f>
        <v>0</v>
      </c>
      <c r="J1022" s="0" t="n">
        <f aca="false">F1022</f>
        <v>0.75</v>
      </c>
      <c r="K1022" s="0" t="n">
        <f aca="false">D1022*E1022</f>
        <v>-0</v>
      </c>
      <c r="L1022" s="0" t="n">
        <f aca="false">D1022*F1022</f>
        <v>-0.46875</v>
      </c>
      <c r="M1022" s="0" t="n">
        <f aca="false">E1022*F1022</f>
        <v>0</v>
      </c>
      <c r="N1022" s="0" t="n">
        <f aca="false">D1022*D1022</f>
        <v>0.390625</v>
      </c>
      <c r="O1022" s="0" t="n">
        <f aca="false">E1022*E1022</f>
        <v>0</v>
      </c>
      <c r="P1022" s="0" t="n">
        <f aca="false">F1022*F1022</f>
        <v>0.5625</v>
      </c>
      <c r="Q1022" s="0" t="n">
        <f aca="false">SUMPRODUCT(G1022:P1022,_XtX!$B$71:$K$71)</f>
        <v>46.2188210227273</v>
      </c>
      <c r="R1022" s="0" t="n">
        <f aca="false">SUMPRODUCT(MMULT(G1022:P1022,_XtX!$B$58:$K$67),G1022:P1022)</f>
        <v>0.264930308948864</v>
      </c>
      <c r="S1022" s="0" t="n">
        <f aca="false">04_回帰ANOVA!$K$19*04_回帰ANOVA!$K$14*SQRT(1+R1022)</f>
        <v>1.04568272997153</v>
      </c>
      <c r="T1022" s="0" t="n">
        <f aca="false">Q1022-S1022</f>
        <v>45.1731382927558</v>
      </c>
      <c r="U1022" s="0" t="n">
        <f aca="false">Q1022+S1022</f>
        <v>47.2645037526988</v>
      </c>
      <c r="V1022" s="54" t="b">
        <f aca="false">AND(D1022&gt;=01_因子設定!$L$5-0.000000001,D1022&lt;=01_因子設定!$M$5+0.000000001,E1022&gt;=01_因子設定!$L$6-0.000000001,E1022&lt;=01_因子設定!$M$6+0.000000001,F1022&gt;=01_因子設定!$L$7-0.000000001,F1022&lt;=01_因子設定!$M$7+0.000000001,IF(01_因子設定!$B$20="Box-Behnken",D1022^2+E1022^2+F1022^2&lt;=2+0.000000001,TRUE()))</f>
        <v>1</v>
      </c>
      <c r="W1022" s="55" t="n">
        <f aca="false">IF(V1022,IF(01_因子設定!$B$13="最大化",T1022-01_因子設定!$B$14,IF(01_因子設定!$B$13="最小化",01_因子設定!$B$15-U1022,MIN(T1022-01_因子設定!$B$14,01_因子設定!$B$15-U1022))),-1E+030)</f>
        <v>-3.32686170724424</v>
      </c>
      <c r="X1022" s="55" t="n">
        <f aca="false">IF(V1022,IF(01_因子設定!$B$13="最大化",Q1022,IF(01_因子設定!$B$13="最小化",-Q1022,-ABS(Q1022-01_因子設定!$B$16))),-1E+030)</f>
        <v>46.2188210227273</v>
      </c>
      <c r="Y1022" s="55" t="n">
        <f aca="false">W1022+ROW()*0.000000001</f>
        <v>-3.32686068524424</v>
      </c>
      <c r="Z1022" s="55" t="n">
        <f aca="false">X1022+ROW()*0.000000001</f>
        <v>46.2188220447273</v>
      </c>
    </row>
    <row r="1023" customFormat="false" ht="15" hidden="false" customHeight="false" outlineLevel="0" collapsed="false">
      <c r="A1023" s="0" t="n">
        <v>3</v>
      </c>
      <c r="B1023" s="0" t="n">
        <v>8</v>
      </c>
      <c r="C1023" s="0" t="n">
        <v>15</v>
      </c>
      <c r="D1023" s="0" t="n">
        <f aca="false">-1+A1023*0.125</f>
        <v>-0.625</v>
      </c>
      <c r="E1023" s="0" t="n">
        <f aca="false">-1+B1023*0.125</f>
        <v>0</v>
      </c>
      <c r="F1023" s="0" t="n">
        <f aca="false">-1+C1023*0.125</f>
        <v>0.875</v>
      </c>
      <c r="G1023" s="0" t="n">
        <f aca="false">1</f>
        <v>1</v>
      </c>
      <c r="H1023" s="0" t="n">
        <f aca="false">D1023</f>
        <v>-0.625</v>
      </c>
      <c r="I1023" s="0" t="n">
        <f aca="false">E1023</f>
        <v>0</v>
      </c>
      <c r="J1023" s="0" t="n">
        <f aca="false">F1023</f>
        <v>0.875</v>
      </c>
      <c r="K1023" s="0" t="n">
        <f aca="false">D1023*E1023</f>
        <v>-0</v>
      </c>
      <c r="L1023" s="0" t="n">
        <f aca="false">D1023*F1023</f>
        <v>-0.546875</v>
      </c>
      <c r="M1023" s="0" t="n">
        <f aca="false">E1023*F1023</f>
        <v>0</v>
      </c>
      <c r="N1023" s="0" t="n">
        <f aca="false">D1023*D1023</f>
        <v>0.390625</v>
      </c>
      <c r="O1023" s="0" t="n">
        <f aca="false">E1023*E1023</f>
        <v>0</v>
      </c>
      <c r="P1023" s="0" t="n">
        <f aca="false">F1023*F1023</f>
        <v>0.765625</v>
      </c>
      <c r="Q1023" s="0" t="n">
        <f aca="false">SUMPRODUCT(G1023:P1023,_XtX!$B$71:$K$71)</f>
        <v>46.16390625</v>
      </c>
      <c r="R1023" s="0" t="n">
        <f aca="false">SUMPRODUCT(MMULT(G1023:P1023,_XtX!$B$58:$K$67),G1023:P1023)</f>
        <v>0.353155517578125</v>
      </c>
      <c r="S1023" s="0" t="n">
        <f aca="false">04_回帰ANOVA!$K$19*04_回帰ANOVA!$K$14*SQRT(1+R1023)</f>
        <v>1.08153478594098</v>
      </c>
      <c r="T1023" s="0" t="n">
        <f aca="false">Q1023-S1023</f>
        <v>45.082371464059</v>
      </c>
      <c r="U1023" s="0" t="n">
        <f aca="false">Q1023+S1023</f>
        <v>47.245441035941</v>
      </c>
      <c r="V1023" s="54" t="b">
        <f aca="false">AND(D1023&gt;=01_因子設定!$L$5-0.000000001,D1023&lt;=01_因子設定!$M$5+0.000000001,E1023&gt;=01_因子設定!$L$6-0.000000001,E1023&lt;=01_因子設定!$M$6+0.000000001,F1023&gt;=01_因子設定!$L$7-0.000000001,F1023&lt;=01_因子設定!$M$7+0.000000001,IF(01_因子設定!$B$20="Box-Behnken",D1023^2+E1023^2+F1023^2&lt;=2+0.000000001,TRUE()))</f>
        <v>1</v>
      </c>
      <c r="W1023" s="55" t="n">
        <f aca="false">IF(V1023,IF(01_因子設定!$B$13="最大化",T1023-01_因子設定!$B$14,IF(01_因子設定!$B$13="最小化",01_因子設定!$B$15-U1023,MIN(T1023-01_因子設定!$B$14,01_因子設定!$B$15-U1023))),-1E+030)</f>
        <v>-3.41762853594096</v>
      </c>
      <c r="X1023" s="55" t="n">
        <f aca="false">IF(V1023,IF(01_因子設定!$B$13="最大化",Q1023,IF(01_因子設定!$B$13="最小化",-Q1023,-ABS(Q1023-01_因子設定!$B$16))),-1E+030)</f>
        <v>46.16390625</v>
      </c>
      <c r="Y1023" s="55" t="n">
        <f aca="false">W1023+ROW()*0.000000001</f>
        <v>-3.41762751294096</v>
      </c>
      <c r="Z1023" s="55" t="n">
        <f aca="false">X1023+ROW()*0.000000001</f>
        <v>46.163907273</v>
      </c>
    </row>
    <row r="1024" customFormat="false" ht="15" hidden="false" customHeight="false" outlineLevel="0" collapsed="false">
      <c r="A1024" s="0" t="n">
        <v>3</v>
      </c>
      <c r="B1024" s="0" t="n">
        <v>8</v>
      </c>
      <c r="C1024" s="0" t="n">
        <v>16</v>
      </c>
      <c r="D1024" s="0" t="n">
        <f aca="false">-1+A1024*0.125</f>
        <v>-0.625</v>
      </c>
      <c r="E1024" s="0" t="n">
        <f aca="false">-1+B1024*0.125</f>
        <v>0</v>
      </c>
      <c r="F1024" s="0" t="n">
        <f aca="false">-1+C1024*0.125</f>
        <v>1</v>
      </c>
      <c r="G1024" s="0" t="n">
        <f aca="false">1</f>
        <v>1</v>
      </c>
      <c r="H1024" s="0" t="n">
        <f aca="false">D1024</f>
        <v>-0.625</v>
      </c>
      <c r="I1024" s="0" t="n">
        <f aca="false">E1024</f>
        <v>0</v>
      </c>
      <c r="J1024" s="0" t="n">
        <f aca="false">F1024</f>
        <v>1</v>
      </c>
      <c r="K1024" s="0" t="n">
        <f aca="false">D1024*E1024</f>
        <v>-0</v>
      </c>
      <c r="L1024" s="0" t="n">
        <f aca="false">D1024*F1024</f>
        <v>-0.625</v>
      </c>
      <c r="M1024" s="0" t="n">
        <f aca="false">E1024*F1024</f>
        <v>0</v>
      </c>
      <c r="N1024" s="0" t="n">
        <f aca="false">D1024*D1024</f>
        <v>0.390625</v>
      </c>
      <c r="O1024" s="0" t="n">
        <f aca="false">E1024*E1024</f>
        <v>0</v>
      </c>
      <c r="P1024" s="0" t="n">
        <f aca="false">F1024*F1024</f>
        <v>1</v>
      </c>
      <c r="Q1024" s="0" t="n">
        <f aca="false">SUMPRODUCT(G1024:P1024,_XtX!$B$71:$K$71)</f>
        <v>46.0722017045455</v>
      </c>
      <c r="R1024" s="0" t="n">
        <f aca="false">SUMPRODUCT(MMULT(G1024:P1024,_XtX!$B$58:$K$67),G1024:P1024)</f>
        <v>0.492240767045455</v>
      </c>
      <c r="S1024" s="0" t="n">
        <f aca="false">04_回帰ANOVA!$K$19*04_回帰ANOVA!$K$14*SQRT(1+R1024)</f>
        <v>1.13575873676322</v>
      </c>
      <c r="T1024" s="0" t="n">
        <f aca="false">Q1024-S1024</f>
        <v>44.9364429677823</v>
      </c>
      <c r="U1024" s="0" t="n">
        <f aca="false">Q1024+S1024</f>
        <v>47.2079604413087</v>
      </c>
      <c r="V1024" s="54" t="b">
        <f aca="false">AND(D1024&gt;=01_因子設定!$L$5-0.000000001,D1024&lt;=01_因子設定!$M$5+0.000000001,E1024&gt;=01_因子設定!$L$6-0.000000001,E1024&lt;=01_因子設定!$M$6+0.000000001,F1024&gt;=01_因子設定!$L$7-0.000000001,F1024&lt;=01_因子設定!$M$7+0.000000001,IF(01_因子設定!$B$20="Box-Behnken",D1024^2+E1024^2+F1024^2&lt;=2+0.000000001,TRUE()))</f>
        <v>1</v>
      </c>
      <c r="W1024" s="55" t="n">
        <f aca="false">IF(V1024,IF(01_因子設定!$B$13="最大化",T1024-01_因子設定!$B$14,IF(01_因子設定!$B$13="最小化",01_因子設定!$B$15-U1024,MIN(T1024-01_因子設定!$B$14,01_因子設定!$B$15-U1024))),-1E+030)</f>
        <v>-3.56355703221775</v>
      </c>
      <c r="X1024" s="55" t="n">
        <f aca="false">IF(V1024,IF(01_因子設定!$B$13="最大化",Q1024,IF(01_因子設定!$B$13="最小化",-Q1024,-ABS(Q1024-01_因子設定!$B$16))),-1E+030)</f>
        <v>46.0722017045455</v>
      </c>
      <c r="Y1024" s="55" t="n">
        <f aca="false">W1024+ROW()*0.000000001</f>
        <v>-3.56355600821775</v>
      </c>
      <c r="Z1024" s="55" t="n">
        <f aca="false">X1024+ROW()*0.000000001</f>
        <v>46.0722027285455</v>
      </c>
    </row>
    <row r="1025" customFormat="false" ht="15" hidden="false" customHeight="false" outlineLevel="0" collapsed="false">
      <c r="A1025" s="0" t="n">
        <v>3</v>
      </c>
      <c r="B1025" s="0" t="n">
        <v>9</v>
      </c>
      <c r="C1025" s="0" t="n">
        <v>0</v>
      </c>
      <c r="D1025" s="0" t="n">
        <f aca="false">-1+A1025*0.125</f>
        <v>-0.625</v>
      </c>
      <c r="E1025" s="0" t="n">
        <f aca="false">-1+B1025*0.125</f>
        <v>0.125</v>
      </c>
      <c r="F1025" s="0" t="n">
        <f aca="false">-1+C1025*0.125</f>
        <v>-1</v>
      </c>
      <c r="G1025" s="0" t="n">
        <f aca="false">1</f>
        <v>1</v>
      </c>
      <c r="H1025" s="0" t="n">
        <f aca="false">D1025</f>
        <v>-0.625</v>
      </c>
      <c r="I1025" s="0" t="n">
        <f aca="false">E1025</f>
        <v>0.125</v>
      </c>
      <c r="J1025" s="0" t="n">
        <f aca="false">F1025</f>
        <v>-1</v>
      </c>
      <c r="K1025" s="0" t="n">
        <f aca="false">D1025*E1025</f>
        <v>-0.078125</v>
      </c>
      <c r="L1025" s="0" t="n">
        <f aca="false">D1025*F1025</f>
        <v>0.625</v>
      </c>
      <c r="M1025" s="0" t="n">
        <f aca="false">E1025*F1025</f>
        <v>-0.125</v>
      </c>
      <c r="N1025" s="0" t="n">
        <f aca="false">D1025*D1025</f>
        <v>0.390625</v>
      </c>
      <c r="O1025" s="0" t="n">
        <f aca="false">E1025*E1025</f>
        <v>0.015625</v>
      </c>
      <c r="P1025" s="0" t="n">
        <f aca="false">F1025*F1025</f>
        <v>1</v>
      </c>
      <c r="Q1025" s="0" t="n">
        <f aca="false">SUMPRODUCT(G1025:P1025,_XtX!$B$71:$K$71)</f>
        <v>43.1998224431818</v>
      </c>
      <c r="R1025" s="0" t="n">
        <f aca="false">SUMPRODUCT(MMULT(G1025:P1025,_XtX!$B$58:$K$67),G1025:P1025)</f>
        <v>0.489261696555398</v>
      </c>
      <c r="S1025" s="0" t="n">
        <f aca="false">04_回帰ANOVA!$K$19*04_回帰ANOVA!$K$14*SQRT(1+R1025)</f>
        <v>1.13462447083763</v>
      </c>
      <c r="T1025" s="0" t="n">
        <f aca="false">Q1025-S1025</f>
        <v>42.0651979723442</v>
      </c>
      <c r="U1025" s="0" t="n">
        <f aca="false">Q1025+S1025</f>
        <v>44.3344469140195</v>
      </c>
      <c r="V1025" s="54" t="b">
        <f aca="false">AND(D1025&gt;=01_因子設定!$L$5-0.000000001,D1025&lt;=01_因子設定!$M$5+0.000000001,E1025&gt;=01_因子設定!$L$6-0.000000001,E1025&lt;=01_因子設定!$M$6+0.000000001,F1025&gt;=01_因子設定!$L$7-0.000000001,F1025&lt;=01_因子設定!$M$7+0.000000001,IF(01_因子設定!$B$20="Box-Behnken",D1025^2+E1025^2+F1025^2&lt;=2+0.000000001,TRUE()))</f>
        <v>1</v>
      </c>
      <c r="W1025" s="55" t="n">
        <f aca="false">IF(V1025,IF(01_因子設定!$B$13="最大化",T1025-01_因子設定!$B$14,IF(01_因子設定!$B$13="最小化",01_因子設定!$B$15-U1025,MIN(T1025-01_因子設定!$B$14,01_因子設定!$B$15-U1025))),-1E+030)</f>
        <v>-6.4348020276558</v>
      </c>
      <c r="X1025" s="55" t="n">
        <f aca="false">IF(V1025,IF(01_因子設定!$B$13="最大化",Q1025,IF(01_因子設定!$B$13="最小化",-Q1025,-ABS(Q1025-01_因子設定!$B$16))),-1E+030)</f>
        <v>43.1998224431818</v>
      </c>
      <c r="Y1025" s="55" t="n">
        <f aca="false">W1025+ROW()*0.000000001</f>
        <v>-6.4348010026558</v>
      </c>
      <c r="Z1025" s="55" t="n">
        <f aca="false">X1025+ROW()*0.000000001</f>
        <v>43.1998234681818</v>
      </c>
    </row>
    <row r="1026" customFormat="false" ht="15" hidden="false" customHeight="false" outlineLevel="0" collapsed="false">
      <c r="A1026" s="0" t="n">
        <v>3</v>
      </c>
      <c r="B1026" s="0" t="n">
        <v>9</v>
      </c>
      <c r="C1026" s="0" t="n">
        <v>1</v>
      </c>
      <c r="D1026" s="0" t="n">
        <f aca="false">-1+A1026*0.125</f>
        <v>-0.625</v>
      </c>
      <c r="E1026" s="0" t="n">
        <f aca="false">-1+B1026*0.125</f>
        <v>0.125</v>
      </c>
      <c r="F1026" s="0" t="n">
        <f aca="false">-1+C1026*0.125</f>
        <v>-0.875</v>
      </c>
      <c r="G1026" s="0" t="n">
        <f aca="false">1</f>
        <v>1</v>
      </c>
      <c r="H1026" s="0" t="n">
        <f aca="false">D1026</f>
        <v>-0.625</v>
      </c>
      <c r="I1026" s="0" t="n">
        <f aca="false">E1026</f>
        <v>0.125</v>
      </c>
      <c r="J1026" s="0" t="n">
        <f aca="false">F1026</f>
        <v>-0.875</v>
      </c>
      <c r="K1026" s="0" t="n">
        <f aca="false">D1026*E1026</f>
        <v>-0.078125</v>
      </c>
      <c r="L1026" s="0" t="n">
        <f aca="false">D1026*F1026</f>
        <v>0.546875</v>
      </c>
      <c r="M1026" s="0" t="n">
        <f aca="false">E1026*F1026</f>
        <v>-0.109375</v>
      </c>
      <c r="N1026" s="0" t="n">
        <f aca="false">D1026*D1026</f>
        <v>0.390625</v>
      </c>
      <c r="O1026" s="0" t="n">
        <f aca="false">E1026*E1026</f>
        <v>0.015625</v>
      </c>
      <c r="P1026" s="0" t="n">
        <f aca="false">F1026*F1026</f>
        <v>0.765625</v>
      </c>
      <c r="Q1026" s="0" t="n">
        <f aca="false">SUMPRODUCT(G1026:P1026,_XtX!$B$71:$K$71)</f>
        <v>43.6669957386364</v>
      </c>
      <c r="R1026" s="0" t="n">
        <f aca="false">SUMPRODUCT(MMULT(G1026:P1026,_XtX!$B$58:$K$67),G1026:P1026)</f>
        <v>0.350717440518466</v>
      </c>
      <c r="S1026" s="0" t="n">
        <f aca="false">04_回帰ANOVA!$K$19*04_回帰ANOVA!$K$14*SQRT(1+R1026)</f>
        <v>1.08056000737898</v>
      </c>
      <c r="T1026" s="0" t="n">
        <f aca="false">Q1026-S1026</f>
        <v>42.5864357312574</v>
      </c>
      <c r="U1026" s="0" t="n">
        <f aca="false">Q1026+S1026</f>
        <v>44.7475557460154</v>
      </c>
      <c r="V1026" s="54" t="b">
        <f aca="false">AND(D1026&gt;=01_因子設定!$L$5-0.000000001,D1026&lt;=01_因子設定!$M$5+0.000000001,E1026&gt;=01_因子設定!$L$6-0.000000001,E1026&lt;=01_因子設定!$M$6+0.000000001,F1026&gt;=01_因子設定!$L$7-0.000000001,F1026&lt;=01_因子設定!$M$7+0.000000001,IF(01_因子設定!$B$20="Box-Behnken",D1026^2+E1026^2+F1026^2&lt;=2+0.000000001,TRUE()))</f>
        <v>1</v>
      </c>
      <c r="W1026" s="55" t="n">
        <f aca="false">IF(V1026,IF(01_因子設定!$B$13="最大化",T1026-01_因子設定!$B$14,IF(01_因子設定!$B$13="最小化",01_因子設定!$B$15-U1026,MIN(T1026-01_因子設定!$B$14,01_因子設定!$B$15-U1026))),-1E+030)</f>
        <v>-5.9135642687426</v>
      </c>
      <c r="X1026" s="55" t="n">
        <f aca="false">IF(V1026,IF(01_因子設定!$B$13="最大化",Q1026,IF(01_因子設定!$B$13="最小化",-Q1026,-ABS(Q1026-01_因子設定!$B$16))),-1E+030)</f>
        <v>43.6669957386364</v>
      </c>
      <c r="Y1026" s="55" t="n">
        <f aca="false">W1026+ROW()*0.000000001</f>
        <v>-5.9135632427426</v>
      </c>
      <c r="Z1026" s="55" t="n">
        <f aca="false">X1026+ROW()*0.000000001</f>
        <v>43.6669967646364</v>
      </c>
    </row>
    <row r="1027" customFormat="false" ht="15" hidden="false" customHeight="false" outlineLevel="0" collapsed="false">
      <c r="A1027" s="0" t="n">
        <v>3</v>
      </c>
      <c r="B1027" s="0" t="n">
        <v>9</v>
      </c>
      <c r="C1027" s="0" t="n">
        <v>2</v>
      </c>
      <c r="D1027" s="0" t="n">
        <f aca="false">-1+A1027*0.125</f>
        <v>-0.625</v>
      </c>
      <c r="E1027" s="0" t="n">
        <f aca="false">-1+B1027*0.125</f>
        <v>0.125</v>
      </c>
      <c r="F1027" s="0" t="n">
        <f aca="false">-1+C1027*0.125</f>
        <v>-0.75</v>
      </c>
      <c r="G1027" s="0" t="n">
        <f aca="false">1</f>
        <v>1</v>
      </c>
      <c r="H1027" s="0" t="n">
        <f aca="false">D1027</f>
        <v>-0.625</v>
      </c>
      <c r="I1027" s="0" t="n">
        <f aca="false">E1027</f>
        <v>0.125</v>
      </c>
      <c r="J1027" s="0" t="n">
        <f aca="false">F1027</f>
        <v>-0.75</v>
      </c>
      <c r="K1027" s="0" t="n">
        <f aca="false">D1027*E1027</f>
        <v>-0.078125</v>
      </c>
      <c r="L1027" s="0" t="n">
        <f aca="false">D1027*F1027</f>
        <v>0.46875</v>
      </c>
      <c r="M1027" s="0" t="n">
        <f aca="false">E1027*F1027</f>
        <v>-0.09375</v>
      </c>
      <c r="N1027" s="0" t="n">
        <f aca="false">D1027*D1027</f>
        <v>0.390625</v>
      </c>
      <c r="O1027" s="0" t="n">
        <f aca="false">E1027*E1027</f>
        <v>0.015625</v>
      </c>
      <c r="P1027" s="0" t="n">
        <f aca="false">F1027*F1027</f>
        <v>0.5625</v>
      </c>
      <c r="Q1027" s="0" t="n">
        <f aca="false">SUMPRODUCT(G1027:P1027,_XtX!$B$71:$K$71)</f>
        <v>44.0973792613637</v>
      </c>
      <c r="R1027" s="0" t="n">
        <f aca="false">SUMPRODUCT(MMULT(G1027:P1027,_XtX!$B$58:$K$67),G1027:P1027)</f>
        <v>0.262961092862216</v>
      </c>
      <c r="S1027" s="0" t="n">
        <f aca="false">04_回帰ANOVA!$K$19*04_回帰ANOVA!$K$14*SQRT(1+R1027)</f>
        <v>1.04486846483649</v>
      </c>
      <c r="T1027" s="0" t="n">
        <f aca="false">Q1027-S1027</f>
        <v>43.0525107965272</v>
      </c>
      <c r="U1027" s="0" t="n">
        <f aca="false">Q1027+S1027</f>
        <v>45.1422477262001</v>
      </c>
      <c r="V1027" s="54" t="b">
        <f aca="false">AND(D1027&gt;=01_因子設定!$L$5-0.000000001,D1027&lt;=01_因子設定!$M$5+0.000000001,E1027&gt;=01_因子設定!$L$6-0.000000001,E1027&lt;=01_因子設定!$M$6+0.000000001,F1027&gt;=01_因子設定!$L$7-0.000000001,F1027&lt;=01_因子設定!$M$7+0.000000001,IF(01_因子設定!$B$20="Box-Behnken",D1027^2+E1027^2+F1027^2&lt;=2+0.000000001,TRUE()))</f>
        <v>1</v>
      </c>
      <c r="W1027" s="55" t="n">
        <f aca="false">IF(V1027,IF(01_因子設定!$B$13="最大化",T1027-01_因子設定!$B$14,IF(01_因子設定!$B$13="最小化",01_因子設定!$B$15-U1027,MIN(T1027-01_因子設定!$B$14,01_因子設定!$B$15-U1027))),-1E+030)</f>
        <v>-5.44748920347283</v>
      </c>
      <c r="X1027" s="55" t="n">
        <f aca="false">IF(V1027,IF(01_因子設定!$B$13="最大化",Q1027,IF(01_因子設定!$B$13="最小化",-Q1027,-ABS(Q1027-01_因子設定!$B$16))),-1E+030)</f>
        <v>44.0973792613637</v>
      </c>
      <c r="Y1027" s="55" t="n">
        <f aca="false">W1027+ROW()*0.000000001</f>
        <v>-5.44748817647283</v>
      </c>
      <c r="Z1027" s="55" t="n">
        <f aca="false">X1027+ROW()*0.000000001</f>
        <v>44.0973802883637</v>
      </c>
    </row>
    <row r="1028" customFormat="false" ht="15" hidden="false" customHeight="false" outlineLevel="0" collapsed="false">
      <c r="A1028" s="0" t="n">
        <v>3</v>
      </c>
      <c r="B1028" s="0" t="n">
        <v>9</v>
      </c>
      <c r="C1028" s="0" t="n">
        <v>3</v>
      </c>
      <c r="D1028" s="0" t="n">
        <f aca="false">-1+A1028*0.125</f>
        <v>-0.625</v>
      </c>
      <c r="E1028" s="0" t="n">
        <f aca="false">-1+B1028*0.125</f>
        <v>0.125</v>
      </c>
      <c r="F1028" s="0" t="n">
        <f aca="false">-1+C1028*0.125</f>
        <v>-0.625</v>
      </c>
      <c r="G1028" s="0" t="n">
        <f aca="false">1</f>
        <v>1</v>
      </c>
      <c r="H1028" s="0" t="n">
        <f aca="false">D1028</f>
        <v>-0.625</v>
      </c>
      <c r="I1028" s="0" t="n">
        <f aca="false">E1028</f>
        <v>0.125</v>
      </c>
      <c r="J1028" s="0" t="n">
        <f aca="false">F1028</f>
        <v>-0.625</v>
      </c>
      <c r="K1028" s="0" t="n">
        <f aca="false">D1028*E1028</f>
        <v>-0.078125</v>
      </c>
      <c r="L1028" s="0" t="n">
        <f aca="false">D1028*F1028</f>
        <v>0.390625</v>
      </c>
      <c r="M1028" s="0" t="n">
        <f aca="false">E1028*F1028</f>
        <v>-0.078125</v>
      </c>
      <c r="N1028" s="0" t="n">
        <f aca="false">D1028*D1028</f>
        <v>0.390625</v>
      </c>
      <c r="O1028" s="0" t="n">
        <f aca="false">E1028*E1028</f>
        <v>0.015625</v>
      </c>
      <c r="P1028" s="0" t="n">
        <f aca="false">F1028*F1028</f>
        <v>0.390625</v>
      </c>
      <c r="Q1028" s="0" t="n">
        <f aca="false">SUMPRODUCT(G1028:P1028,_XtX!$B$71:$K$71)</f>
        <v>44.4909730113636</v>
      </c>
      <c r="R1028" s="0" t="n">
        <f aca="false">SUMPRODUCT(MMULT(G1028:P1028,_XtX!$B$58:$K$67),G1028:P1028)</f>
        <v>0.212143221768466</v>
      </c>
      <c r="S1028" s="0" t="n">
        <f aca="false">04_回帰ANOVA!$K$19*04_回帰ANOVA!$K$14*SQRT(1+R1028)</f>
        <v>1.02363141237304</v>
      </c>
      <c r="T1028" s="0" t="n">
        <f aca="false">Q1028-S1028</f>
        <v>43.4673415989906</v>
      </c>
      <c r="U1028" s="0" t="n">
        <f aca="false">Q1028+S1028</f>
        <v>45.5146044237367</v>
      </c>
      <c r="V1028" s="54" t="b">
        <f aca="false">AND(D1028&gt;=01_因子設定!$L$5-0.000000001,D1028&lt;=01_因子設定!$M$5+0.000000001,E1028&gt;=01_因子設定!$L$6-0.000000001,E1028&lt;=01_因子設定!$M$6+0.000000001,F1028&gt;=01_因子設定!$L$7-0.000000001,F1028&lt;=01_因子設定!$M$7+0.000000001,IF(01_因子設定!$B$20="Box-Behnken",D1028^2+E1028^2+F1028^2&lt;=2+0.000000001,TRUE()))</f>
        <v>1</v>
      </c>
      <c r="W1028" s="55" t="n">
        <f aca="false">IF(V1028,IF(01_因子設定!$B$13="最大化",T1028-01_因子設定!$B$14,IF(01_因子設定!$B$13="最小化",01_因子設定!$B$15-U1028,MIN(T1028-01_因子設定!$B$14,01_因子設定!$B$15-U1028))),-1E+030)</f>
        <v>-5.0326584010094</v>
      </c>
      <c r="X1028" s="55" t="n">
        <f aca="false">IF(V1028,IF(01_因子設定!$B$13="最大化",Q1028,IF(01_因子設定!$B$13="最小化",-Q1028,-ABS(Q1028-01_因子設定!$B$16))),-1E+030)</f>
        <v>44.4909730113636</v>
      </c>
      <c r="Y1028" s="55" t="n">
        <f aca="false">W1028+ROW()*0.000000001</f>
        <v>-5.0326573730094</v>
      </c>
      <c r="Z1028" s="55" t="n">
        <f aca="false">X1028+ROW()*0.000000001</f>
        <v>44.4909740393636</v>
      </c>
    </row>
    <row r="1029" customFormat="false" ht="15" hidden="false" customHeight="false" outlineLevel="0" collapsed="false">
      <c r="A1029" s="0" t="n">
        <v>3</v>
      </c>
      <c r="B1029" s="0" t="n">
        <v>9</v>
      </c>
      <c r="C1029" s="0" t="n">
        <v>4</v>
      </c>
      <c r="D1029" s="0" t="n">
        <f aca="false">-1+A1029*0.125</f>
        <v>-0.625</v>
      </c>
      <c r="E1029" s="0" t="n">
        <f aca="false">-1+B1029*0.125</f>
        <v>0.125</v>
      </c>
      <c r="F1029" s="0" t="n">
        <f aca="false">-1+C1029*0.125</f>
        <v>-0.5</v>
      </c>
      <c r="G1029" s="0" t="n">
        <f aca="false">1</f>
        <v>1</v>
      </c>
      <c r="H1029" s="0" t="n">
        <f aca="false">D1029</f>
        <v>-0.625</v>
      </c>
      <c r="I1029" s="0" t="n">
        <f aca="false">E1029</f>
        <v>0.125</v>
      </c>
      <c r="J1029" s="0" t="n">
        <f aca="false">F1029</f>
        <v>-0.5</v>
      </c>
      <c r="K1029" s="0" t="n">
        <f aca="false">D1029*E1029</f>
        <v>-0.078125</v>
      </c>
      <c r="L1029" s="0" t="n">
        <f aca="false">D1029*F1029</f>
        <v>0.3125</v>
      </c>
      <c r="M1029" s="0" t="n">
        <f aca="false">E1029*F1029</f>
        <v>-0.0625</v>
      </c>
      <c r="N1029" s="0" t="n">
        <f aca="false">D1029*D1029</f>
        <v>0.390625</v>
      </c>
      <c r="O1029" s="0" t="n">
        <f aca="false">E1029*E1029</f>
        <v>0.015625</v>
      </c>
      <c r="P1029" s="0" t="n">
        <f aca="false">F1029*F1029</f>
        <v>0.25</v>
      </c>
      <c r="Q1029" s="0" t="n">
        <f aca="false">SUMPRODUCT(G1029:P1029,_XtX!$B$71:$K$71)</f>
        <v>44.8477769886364</v>
      </c>
      <c r="R1029" s="0" t="n">
        <f aca="false">SUMPRODUCT(MMULT(G1029:P1029,_XtX!$B$58:$K$67),G1029:P1029)</f>
        <v>0.186545077237216</v>
      </c>
      <c r="S1029" s="0" t="n">
        <f aca="false">04_回帰ANOVA!$K$19*04_回帰ANOVA!$K$14*SQRT(1+R1029)</f>
        <v>1.01276516970713</v>
      </c>
      <c r="T1029" s="0" t="n">
        <f aca="false">Q1029-S1029</f>
        <v>43.8350118189292</v>
      </c>
      <c r="U1029" s="0" t="n">
        <f aca="false">Q1029+S1029</f>
        <v>45.8605421583435</v>
      </c>
      <c r="V1029" s="54" t="b">
        <f aca="false">AND(D1029&gt;=01_因子設定!$L$5-0.000000001,D1029&lt;=01_因子設定!$M$5+0.000000001,E1029&gt;=01_因子設定!$L$6-0.000000001,E1029&lt;=01_因子設定!$M$6+0.000000001,F1029&gt;=01_因子設定!$L$7-0.000000001,F1029&lt;=01_因子設定!$M$7+0.000000001,IF(01_因子設定!$B$20="Box-Behnken",D1029^2+E1029^2+F1029^2&lt;=2+0.000000001,TRUE()))</f>
        <v>1</v>
      </c>
      <c r="W1029" s="55" t="n">
        <f aca="false">IF(V1029,IF(01_因子設定!$B$13="最大化",T1029-01_因子設定!$B$14,IF(01_因子設定!$B$13="最小化",01_因子設定!$B$15-U1029,MIN(T1029-01_因子設定!$B$14,01_因子設定!$B$15-U1029))),-1E+030)</f>
        <v>-4.66498818107076</v>
      </c>
      <c r="X1029" s="55" t="n">
        <f aca="false">IF(V1029,IF(01_因子設定!$B$13="最大化",Q1029,IF(01_因子設定!$B$13="最小化",-Q1029,-ABS(Q1029-01_因子設定!$B$16))),-1E+030)</f>
        <v>44.8477769886364</v>
      </c>
      <c r="Y1029" s="55" t="n">
        <f aca="false">W1029+ROW()*0.000000001</f>
        <v>-4.66498715207076</v>
      </c>
      <c r="Z1029" s="55" t="n">
        <f aca="false">X1029+ROW()*0.000000001</f>
        <v>44.8477780176364</v>
      </c>
    </row>
    <row r="1030" customFormat="false" ht="15" hidden="false" customHeight="false" outlineLevel="0" collapsed="false">
      <c r="A1030" s="0" t="n">
        <v>3</v>
      </c>
      <c r="B1030" s="0" t="n">
        <v>9</v>
      </c>
      <c r="C1030" s="0" t="n">
        <v>5</v>
      </c>
      <c r="D1030" s="0" t="n">
        <f aca="false">-1+A1030*0.125</f>
        <v>-0.625</v>
      </c>
      <c r="E1030" s="0" t="n">
        <f aca="false">-1+B1030*0.125</f>
        <v>0.125</v>
      </c>
      <c r="F1030" s="0" t="n">
        <f aca="false">-1+C1030*0.125</f>
        <v>-0.375</v>
      </c>
      <c r="G1030" s="0" t="n">
        <f aca="false">1</f>
        <v>1</v>
      </c>
      <c r="H1030" s="0" t="n">
        <f aca="false">D1030</f>
        <v>-0.625</v>
      </c>
      <c r="I1030" s="0" t="n">
        <f aca="false">E1030</f>
        <v>0.125</v>
      </c>
      <c r="J1030" s="0" t="n">
        <f aca="false">F1030</f>
        <v>-0.375</v>
      </c>
      <c r="K1030" s="0" t="n">
        <f aca="false">D1030*E1030</f>
        <v>-0.078125</v>
      </c>
      <c r="L1030" s="0" t="n">
        <f aca="false">D1030*F1030</f>
        <v>0.234375</v>
      </c>
      <c r="M1030" s="0" t="n">
        <f aca="false">E1030*F1030</f>
        <v>-0.046875</v>
      </c>
      <c r="N1030" s="0" t="n">
        <f aca="false">D1030*D1030</f>
        <v>0.390625</v>
      </c>
      <c r="O1030" s="0" t="n">
        <f aca="false">E1030*E1030</f>
        <v>0.015625</v>
      </c>
      <c r="P1030" s="0" t="n">
        <f aca="false">F1030*F1030</f>
        <v>0.140625</v>
      </c>
      <c r="Q1030" s="0" t="n">
        <f aca="false">SUMPRODUCT(G1030:P1030,_XtX!$B$71:$K$71)</f>
        <v>45.1677911931818</v>
      </c>
      <c r="R1030" s="0" t="n">
        <f aca="false">SUMPRODUCT(MMULT(G1030:P1030,_XtX!$B$58:$K$67),G1030:P1030)</f>
        <v>0.176578591086648</v>
      </c>
      <c r="S1030" s="0" t="n">
        <f aca="false">04_回帰ANOVA!$K$19*04_回帰ANOVA!$K$14*SQRT(1+R1030)</f>
        <v>1.00850279676269</v>
      </c>
      <c r="T1030" s="0" t="n">
        <f aca="false">Q1030-S1030</f>
        <v>44.1592883964191</v>
      </c>
      <c r="U1030" s="0" t="n">
        <f aca="false">Q1030+S1030</f>
        <v>46.1762939899445</v>
      </c>
      <c r="V1030" s="54" t="b">
        <f aca="false">AND(D1030&gt;=01_因子設定!$L$5-0.000000001,D1030&lt;=01_因子設定!$M$5+0.000000001,E1030&gt;=01_因子設定!$L$6-0.000000001,E1030&lt;=01_因子設定!$M$6+0.000000001,F1030&gt;=01_因子設定!$L$7-0.000000001,F1030&lt;=01_因子設定!$M$7+0.000000001,IF(01_因子設定!$B$20="Box-Behnken",D1030^2+E1030^2+F1030^2&lt;=2+0.000000001,TRUE()))</f>
        <v>1</v>
      </c>
      <c r="W1030" s="55" t="n">
        <f aca="false">IF(V1030,IF(01_因子設定!$B$13="最大化",T1030-01_因子設定!$B$14,IF(01_因子設定!$B$13="最小化",01_因子設定!$B$15-U1030,MIN(T1030-01_因子設定!$B$14,01_因子設定!$B$15-U1030))),-1E+030)</f>
        <v>-4.34071160358087</v>
      </c>
      <c r="X1030" s="55" t="n">
        <f aca="false">IF(V1030,IF(01_因子設定!$B$13="最大化",Q1030,IF(01_因子設定!$B$13="最小化",-Q1030,-ABS(Q1030-01_因子設定!$B$16))),-1E+030)</f>
        <v>45.1677911931818</v>
      </c>
      <c r="Y1030" s="55" t="n">
        <f aca="false">W1030+ROW()*0.000000001</f>
        <v>-4.34071057358087</v>
      </c>
      <c r="Z1030" s="55" t="n">
        <f aca="false">X1030+ROW()*0.000000001</f>
        <v>45.1677922231818</v>
      </c>
    </row>
    <row r="1031" customFormat="false" ht="15" hidden="false" customHeight="false" outlineLevel="0" collapsed="false">
      <c r="A1031" s="0" t="n">
        <v>3</v>
      </c>
      <c r="B1031" s="0" t="n">
        <v>9</v>
      </c>
      <c r="C1031" s="0" t="n">
        <v>6</v>
      </c>
      <c r="D1031" s="0" t="n">
        <f aca="false">-1+A1031*0.125</f>
        <v>-0.625</v>
      </c>
      <c r="E1031" s="0" t="n">
        <f aca="false">-1+B1031*0.125</f>
        <v>0.125</v>
      </c>
      <c r="F1031" s="0" t="n">
        <f aca="false">-1+C1031*0.125</f>
        <v>-0.25</v>
      </c>
      <c r="G1031" s="0" t="n">
        <f aca="false">1</f>
        <v>1</v>
      </c>
      <c r="H1031" s="0" t="n">
        <f aca="false">D1031</f>
        <v>-0.625</v>
      </c>
      <c r="I1031" s="0" t="n">
        <f aca="false">E1031</f>
        <v>0.125</v>
      </c>
      <c r="J1031" s="0" t="n">
        <f aca="false">F1031</f>
        <v>-0.25</v>
      </c>
      <c r="K1031" s="0" t="n">
        <f aca="false">D1031*E1031</f>
        <v>-0.078125</v>
      </c>
      <c r="L1031" s="0" t="n">
        <f aca="false">D1031*F1031</f>
        <v>0.15625</v>
      </c>
      <c r="M1031" s="0" t="n">
        <f aca="false">E1031*F1031</f>
        <v>-0.03125</v>
      </c>
      <c r="N1031" s="0" t="n">
        <f aca="false">D1031*D1031</f>
        <v>0.390625</v>
      </c>
      <c r="O1031" s="0" t="n">
        <f aca="false">E1031*E1031</f>
        <v>0.015625</v>
      </c>
      <c r="P1031" s="0" t="n">
        <f aca="false">F1031*F1031</f>
        <v>0.0625</v>
      </c>
      <c r="Q1031" s="0" t="n">
        <f aca="false">SUMPRODUCT(G1031:P1031,_XtX!$B$71:$K$71)</f>
        <v>45.451015625</v>
      </c>
      <c r="R1031" s="0" t="n">
        <f aca="false">SUMPRODUCT(MMULT(G1031:P1031,_XtX!$B$58:$K$67),G1031:P1031)</f>
        <v>0.174786376953125</v>
      </c>
      <c r="S1031" s="0" t="n">
        <f aca="false">04_回帰ANOVA!$K$19*04_回帰ANOVA!$K$14*SQRT(1+R1031)</f>
        <v>1.00773440704286</v>
      </c>
      <c r="T1031" s="0" t="n">
        <f aca="false">Q1031-S1031</f>
        <v>44.4432812179571</v>
      </c>
      <c r="U1031" s="0" t="n">
        <f aca="false">Q1031+S1031</f>
        <v>46.4587500320429</v>
      </c>
      <c r="V1031" s="54" t="b">
        <f aca="false">AND(D1031&gt;=01_因子設定!$L$5-0.000000001,D1031&lt;=01_因子設定!$M$5+0.000000001,E1031&gt;=01_因子設定!$L$6-0.000000001,E1031&lt;=01_因子設定!$M$6+0.000000001,F1031&gt;=01_因子設定!$L$7-0.000000001,F1031&lt;=01_因子設定!$M$7+0.000000001,IF(01_因子設定!$B$20="Box-Behnken",D1031^2+E1031^2+F1031^2&lt;=2+0.000000001,TRUE()))</f>
        <v>1</v>
      </c>
      <c r="W1031" s="55" t="n">
        <f aca="false">IF(V1031,IF(01_因子設定!$B$13="最大化",T1031-01_因子設定!$B$14,IF(01_因子設定!$B$13="最小化",01_因子設定!$B$15-U1031,MIN(T1031-01_因子設定!$B$14,01_因子設定!$B$15-U1031))),-1E+030)</f>
        <v>-4.05671878204286</v>
      </c>
      <c r="X1031" s="55" t="n">
        <f aca="false">IF(V1031,IF(01_因子設定!$B$13="最大化",Q1031,IF(01_因子設定!$B$13="最小化",-Q1031,-ABS(Q1031-01_因子設定!$B$16))),-1E+030)</f>
        <v>45.451015625</v>
      </c>
      <c r="Y1031" s="55" t="n">
        <f aca="false">W1031+ROW()*0.000000001</f>
        <v>-4.05671775104286</v>
      </c>
      <c r="Z1031" s="55" t="n">
        <f aca="false">X1031+ROW()*0.000000001</f>
        <v>45.451016656</v>
      </c>
    </row>
    <row r="1032" customFormat="false" ht="15" hidden="false" customHeight="false" outlineLevel="0" collapsed="false">
      <c r="A1032" s="0" t="n">
        <v>3</v>
      </c>
      <c r="B1032" s="0" t="n">
        <v>9</v>
      </c>
      <c r="C1032" s="0" t="n">
        <v>7</v>
      </c>
      <c r="D1032" s="0" t="n">
        <f aca="false">-1+A1032*0.125</f>
        <v>-0.625</v>
      </c>
      <c r="E1032" s="0" t="n">
        <f aca="false">-1+B1032*0.125</f>
        <v>0.125</v>
      </c>
      <c r="F1032" s="0" t="n">
        <f aca="false">-1+C1032*0.125</f>
        <v>-0.125</v>
      </c>
      <c r="G1032" s="0" t="n">
        <f aca="false">1</f>
        <v>1</v>
      </c>
      <c r="H1032" s="0" t="n">
        <f aca="false">D1032</f>
        <v>-0.625</v>
      </c>
      <c r="I1032" s="0" t="n">
        <f aca="false">E1032</f>
        <v>0.125</v>
      </c>
      <c r="J1032" s="0" t="n">
        <f aca="false">F1032</f>
        <v>-0.125</v>
      </c>
      <c r="K1032" s="0" t="n">
        <f aca="false">D1032*E1032</f>
        <v>-0.078125</v>
      </c>
      <c r="L1032" s="0" t="n">
        <f aca="false">D1032*F1032</f>
        <v>0.078125</v>
      </c>
      <c r="M1032" s="0" t="n">
        <f aca="false">E1032*F1032</f>
        <v>-0.015625</v>
      </c>
      <c r="N1032" s="0" t="n">
        <f aca="false">D1032*D1032</f>
        <v>0.390625</v>
      </c>
      <c r="O1032" s="0" t="n">
        <f aca="false">E1032*E1032</f>
        <v>0.015625</v>
      </c>
      <c r="P1032" s="0" t="n">
        <f aca="false">F1032*F1032</f>
        <v>0.015625</v>
      </c>
      <c r="Q1032" s="0" t="n">
        <f aca="false">SUMPRODUCT(G1032:P1032,_XtX!$B$71:$K$71)</f>
        <v>45.6974502840909</v>
      </c>
      <c r="R1032" s="0" t="n">
        <f aca="false">SUMPRODUCT(MMULT(G1032:P1032,_XtX!$B$58:$K$67),G1032:P1032)</f>
        <v>0.175841730291193</v>
      </c>
      <c r="S1032" s="0" t="n">
        <f aca="false">04_回帰ANOVA!$K$19*04_回帰ANOVA!$K$14*SQRT(1+R1032)</f>
        <v>1.00818694767054</v>
      </c>
      <c r="T1032" s="0" t="n">
        <f aca="false">Q1032-S1032</f>
        <v>44.6892633364204</v>
      </c>
      <c r="U1032" s="0" t="n">
        <f aca="false">Q1032+S1032</f>
        <v>46.7056372317615</v>
      </c>
      <c r="V1032" s="54" t="b">
        <f aca="false">AND(D1032&gt;=01_因子設定!$L$5-0.000000001,D1032&lt;=01_因子設定!$M$5+0.000000001,E1032&gt;=01_因子設定!$L$6-0.000000001,E1032&lt;=01_因子設定!$M$6+0.000000001,F1032&gt;=01_因子設定!$L$7-0.000000001,F1032&lt;=01_因子設定!$M$7+0.000000001,IF(01_因子設定!$B$20="Box-Behnken",D1032^2+E1032^2+F1032^2&lt;=2+0.000000001,TRUE()))</f>
        <v>1</v>
      </c>
      <c r="W1032" s="55" t="n">
        <f aca="false">IF(V1032,IF(01_因子設定!$B$13="最大化",T1032-01_因子設定!$B$14,IF(01_因子設定!$B$13="最小化",01_因子設定!$B$15-U1032,MIN(T1032-01_因子設定!$B$14,01_因子設定!$B$15-U1032))),-1E+030)</f>
        <v>-3.81073666357963</v>
      </c>
      <c r="X1032" s="55" t="n">
        <f aca="false">IF(V1032,IF(01_因子設定!$B$13="最大化",Q1032,IF(01_因子設定!$B$13="最小化",-Q1032,-ABS(Q1032-01_因子設定!$B$16))),-1E+030)</f>
        <v>45.6974502840909</v>
      </c>
      <c r="Y1032" s="55" t="n">
        <f aca="false">W1032+ROW()*0.000000001</f>
        <v>-3.81073563157963</v>
      </c>
      <c r="Z1032" s="55" t="n">
        <f aca="false">X1032+ROW()*0.000000001</f>
        <v>45.6974513160909</v>
      </c>
    </row>
    <row r="1033" customFormat="false" ht="15" hidden="false" customHeight="false" outlineLevel="0" collapsed="false">
      <c r="A1033" s="0" t="n">
        <v>3</v>
      </c>
      <c r="B1033" s="0" t="n">
        <v>9</v>
      </c>
      <c r="C1033" s="0" t="n">
        <v>8</v>
      </c>
      <c r="D1033" s="0" t="n">
        <f aca="false">-1+A1033*0.125</f>
        <v>-0.625</v>
      </c>
      <c r="E1033" s="0" t="n">
        <f aca="false">-1+B1033*0.125</f>
        <v>0.125</v>
      </c>
      <c r="F1033" s="0" t="n">
        <f aca="false">-1+C1033*0.125</f>
        <v>0</v>
      </c>
      <c r="G1033" s="0" t="n">
        <f aca="false">1</f>
        <v>1</v>
      </c>
      <c r="H1033" s="0" t="n">
        <f aca="false">D1033</f>
        <v>-0.625</v>
      </c>
      <c r="I1033" s="0" t="n">
        <f aca="false">E1033</f>
        <v>0.125</v>
      </c>
      <c r="J1033" s="0" t="n">
        <f aca="false">F1033</f>
        <v>0</v>
      </c>
      <c r="K1033" s="0" t="n">
        <f aca="false">D1033*E1033</f>
        <v>-0.078125</v>
      </c>
      <c r="L1033" s="0" t="n">
        <f aca="false">D1033*F1033</f>
        <v>-0</v>
      </c>
      <c r="M1033" s="0" t="n">
        <f aca="false">E1033*F1033</f>
        <v>0</v>
      </c>
      <c r="N1033" s="0" t="n">
        <f aca="false">D1033*D1033</f>
        <v>0.390625</v>
      </c>
      <c r="O1033" s="0" t="n">
        <f aca="false">E1033*E1033</f>
        <v>0.015625</v>
      </c>
      <c r="P1033" s="0" t="n">
        <f aca="false">F1033*F1033</f>
        <v>0</v>
      </c>
      <c r="Q1033" s="0" t="n">
        <f aca="false">SUMPRODUCT(G1033:P1033,_XtX!$B$71:$K$71)</f>
        <v>45.9070951704546</v>
      </c>
      <c r="R1033" s="0" t="n">
        <f aca="false">SUMPRODUCT(MMULT(G1033:P1033,_XtX!$B$58:$K$67),G1033:P1033)</f>
        <v>0.17654862837358</v>
      </c>
      <c r="S1033" s="0" t="n">
        <f aca="false">04_回帰ANOVA!$K$19*04_回帰ANOVA!$K$14*SQRT(1+R1033)</f>
        <v>1.00848995543082</v>
      </c>
      <c r="T1033" s="0" t="n">
        <f aca="false">Q1033-S1033</f>
        <v>44.8986052150237</v>
      </c>
      <c r="U1033" s="0" t="n">
        <f aca="false">Q1033+S1033</f>
        <v>46.9155851258854</v>
      </c>
      <c r="V1033" s="54" t="b">
        <f aca="false">AND(D1033&gt;=01_因子設定!$L$5-0.000000001,D1033&lt;=01_因子設定!$M$5+0.000000001,E1033&gt;=01_因子設定!$L$6-0.000000001,E1033&lt;=01_因子設定!$M$6+0.000000001,F1033&gt;=01_因子設定!$L$7-0.000000001,F1033&lt;=01_因子設定!$M$7+0.000000001,IF(01_因子設定!$B$20="Box-Behnken",D1033^2+E1033^2+F1033^2&lt;=2+0.000000001,TRUE()))</f>
        <v>1</v>
      </c>
      <c r="W1033" s="55" t="n">
        <f aca="false">IF(V1033,IF(01_因子設定!$B$13="最大化",T1033-01_因子設定!$B$14,IF(01_因子設定!$B$13="最小化",01_因子設定!$B$15-U1033,MIN(T1033-01_因子設定!$B$14,01_因子設定!$B$15-U1033))),-1E+030)</f>
        <v>-3.60139478497628</v>
      </c>
      <c r="X1033" s="55" t="n">
        <f aca="false">IF(V1033,IF(01_因子設定!$B$13="最大化",Q1033,IF(01_因子設定!$B$13="最小化",-Q1033,-ABS(Q1033-01_因子設定!$B$16))),-1E+030)</f>
        <v>45.9070951704546</v>
      </c>
      <c r="Y1033" s="55" t="n">
        <f aca="false">W1033+ROW()*0.000000001</f>
        <v>-3.60139375197628</v>
      </c>
      <c r="Z1033" s="55" t="n">
        <f aca="false">X1033+ROW()*0.000000001</f>
        <v>45.9070962034545</v>
      </c>
    </row>
    <row r="1034" customFormat="false" ht="15" hidden="false" customHeight="false" outlineLevel="0" collapsed="false">
      <c r="A1034" s="0" t="n">
        <v>3</v>
      </c>
      <c r="B1034" s="0" t="n">
        <v>9</v>
      </c>
      <c r="C1034" s="0" t="n">
        <v>9</v>
      </c>
      <c r="D1034" s="0" t="n">
        <f aca="false">-1+A1034*0.125</f>
        <v>-0.625</v>
      </c>
      <c r="E1034" s="0" t="n">
        <f aca="false">-1+B1034*0.125</f>
        <v>0.125</v>
      </c>
      <c r="F1034" s="0" t="n">
        <f aca="false">-1+C1034*0.125</f>
        <v>0.125</v>
      </c>
      <c r="G1034" s="0" t="n">
        <f aca="false">1</f>
        <v>1</v>
      </c>
      <c r="H1034" s="0" t="n">
        <f aca="false">D1034</f>
        <v>-0.625</v>
      </c>
      <c r="I1034" s="0" t="n">
        <f aca="false">E1034</f>
        <v>0.125</v>
      </c>
      <c r="J1034" s="0" t="n">
        <f aca="false">F1034</f>
        <v>0.125</v>
      </c>
      <c r="K1034" s="0" t="n">
        <f aca="false">D1034*E1034</f>
        <v>-0.078125</v>
      </c>
      <c r="L1034" s="0" t="n">
        <f aca="false">D1034*F1034</f>
        <v>-0.078125</v>
      </c>
      <c r="M1034" s="0" t="n">
        <f aca="false">E1034*F1034</f>
        <v>0.015625</v>
      </c>
      <c r="N1034" s="0" t="n">
        <f aca="false">D1034*D1034</f>
        <v>0.390625</v>
      </c>
      <c r="O1034" s="0" t="n">
        <f aca="false">E1034*E1034</f>
        <v>0.015625</v>
      </c>
      <c r="P1034" s="0" t="n">
        <f aca="false">F1034*F1034</f>
        <v>0.015625</v>
      </c>
      <c r="Q1034" s="0" t="n">
        <f aca="false">SUMPRODUCT(G1034:P1034,_XtX!$B$71:$K$71)</f>
        <v>46.0799502840909</v>
      </c>
      <c r="R1034" s="0" t="n">
        <f aca="false">SUMPRODUCT(MMULT(G1034:P1034,_XtX!$B$58:$K$67),G1034:P1034)</f>
        <v>0.175841730291193</v>
      </c>
      <c r="S1034" s="0" t="n">
        <f aca="false">04_回帰ANOVA!$K$19*04_回帰ANOVA!$K$14*SQRT(1+R1034)</f>
        <v>1.00818694767054</v>
      </c>
      <c r="T1034" s="0" t="n">
        <f aca="false">Q1034-S1034</f>
        <v>45.0717633364204</v>
      </c>
      <c r="U1034" s="0" t="n">
        <f aca="false">Q1034+S1034</f>
        <v>47.0881372317615</v>
      </c>
      <c r="V1034" s="54" t="b">
        <f aca="false">AND(D1034&gt;=01_因子設定!$L$5-0.000000001,D1034&lt;=01_因子設定!$M$5+0.000000001,E1034&gt;=01_因子設定!$L$6-0.000000001,E1034&lt;=01_因子設定!$M$6+0.000000001,F1034&gt;=01_因子設定!$L$7-0.000000001,F1034&lt;=01_因子設定!$M$7+0.000000001,IF(01_因子設定!$B$20="Box-Behnken",D1034^2+E1034^2+F1034^2&lt;=2+0.000000001,TRUE()))</f>
        <v>1</v>
      </c>
      <c r="W1034" s="55" t="n">
        <f aca="false">IF(V1034,IF(01_因子設定!$B$13="最大化",T1034-01_因子設定!$B$14,IF(01_因子設定!$B$13="最小化",01_因子設定!$B$15-U1034,MIN(T1034-01_因子設定!$B$14,01_因子設定!$B$15-U1034))),-1E+030)</f>
        <v>-3.42823666357963</v>
      </c>
      <c r="X1034" s="55" t="n">
        <f aca="false">IF(V1034,IF(01_因子設定!$B$13="最大化",Q1034,IF(01_因子設定!$B$13="最小化",-Q1034,-ABS(Q1034-01_因子設定!$B$16))),-1E+030)</f>
        <v>46.0799502840909</v>
      </c>
      <c r="Y1034" s="55" t="n">
        <f aca="false">W1034+ROW()*0.000000001</f>
        <v>-3.42823562957963</v>
      </c>
      <c r="Z1034" s="55" t="n">
        <f aca="false">X1034+ROW()*0.000000001</f>
        <v>46.0799513180909</v>
      </c>
    </row>
    <row r="1035" customFormat="false" ht="15" hidden="false" customHeight="false" outlineLevel="0" collapsed="false">
      <c r="A1035" s="0" t="n">
        <v>3</v>
      </c>
      <c r="B1035" s="0" t="n">
        <v>9</v>
      </c>
      <c r="C1035" s="0" t="n">
        <v>10</v>
      </c>
      <c r="D1035" s="0" t="n">
        <f aca="false">-1+A1035*0.125</f>
        <v>-0.625</v>
      </c>
      <c r="E1035" s="0" t="n">
        <f aca="false">-1+B1035*0.125</f>
        <v>0.125</v>
      </c>
      <c r="F1035" s="0" t="n">
        <f aca="false">-1+C1035*0.125</f>
        <v>0.25</v>
      </c>
      <c r="G1035" s="0" t="n">
        <f aca="false">1</f>
        <v>1</v>
      </c>
      <c r="H1035" s="0" t="n">
        <f aca="false">D1035</f>
        <v>-0.625</v>
      </c>
      <c r="I1035" s="0" t="n">
        <f aca="false">E1035</f>
        <v>0.125</v>
      </c>
      <c r="J1035" s="0" t="n">
        <f aca="false">F1035</f>
        <v>0.25</v>
      </c>
      <c r="K1035" s="0" t="n">
        <f aca="false">D1035*E1035</f>
        <v>-0.078125</v>
      </c>
      <c r="L1035" s="0" t="n">
        <f aca="false">D1035*F1035</f>
        <v>-0.15625</v>
      </c>
      <c r="M1035" s="0" t="n">
        <f aca="false">E1035*F1035</f>
        <v>0.03125</v>
      </c>
      <c r="N1035" s="0" t="n">
        <f aca="false">D1035*D1035</f>
        <v>0.390625</v>
      </c>
      <c r="O1035" s="0" t="n">
        <f aca="false">E1035*E1035</f>
        <v>0.015625</v>
      </c>
      <c r="P1035" s="0" t="n">
        <f aca="false">F1035*F1035</f>
        <v>0.0625</v>
      </c>
      <c r="Q1035" s="0" t="n">
        <f aca="false">SUMPRODUCT(G1035:P1035,_XtX!$B$71:$K$71)</f>
        <v>46.216015625</v>
      </c>
      <c r="R1035" s="0" t="n">
        <f aca="false">SUMPRODUCT(MMULT(G1035:P1035,_XtX!$B$58:$K$67),G1035:P1035)</f>
        <v>0.174786376953125</v>
      </c>
      <c r="S1035" s="0" t="n">
        <f aca="false">04_回帰ANOVA!$K$19*04_回帰ANOVA!$K$14*SQRT(1+R1035)</f>
        <v>1.00773440704286</v>
      </c>
      <c r="T1035" s="0" t="n">
        <f aca="false">Q1035-S1035</f>
        <v>45.2082812179571</v>
      </c>
      <c r="U1035" s="0" t="n">
        <f aca="false">Q1035+S1035</f>
        <v>47.2237500320429</v>
      </c>
      <c r="V1035" s="54" t="b">
        <f aca="false">AND(D1035&gt;=01_因子設定!$L$5-0.000000001,D1035&lt;=01_因子設定!$M$5+0.000000001,E1035&gt;=01_因子設定!$L$6-0.000000001,E1035&lt;=01_因子設定!$M$6+0.000000001,F1035&gt;=01_因子設定!$L$7-0.000000001,F1035&lt;=01_因子設定!$M$7+0.000000001,IF(01_因子設定!$B$20="Box-Behnken",D1035^2+E1035^2+F1035^2&lt;=2+0.000000001,TRUE()))</f>
        <v>1</v>
      </c>
      <c r="W1035" s="55" t="n">
        <f aca="false">IF(V1035,IF(01_因子設定!$B$13="最大化",T1035-01_因子設定!$B$14,IF(01_因子設定!$B$13="最小化",01_因子設定!$B$15-U1035,MIN(T1035-01_因子設定!$B$14,01_因子設定!$B$15-U1035))),-1E+030)</f>
        <v>-3.29171878204286</v>
      </c>
      <c r="X1035" s="55" t="n">
        <f aca="false">IF(V1035,IF(01_因子設定!$B$13="最大化",Q1035,IF(01_因子設定!$B$13="最小化",-Q1035,-ABS(Q1035-01_因子設定!$B$16))),-1E+030)</f>
        <v>46.216015625</v>
      </c>
      <c r="Y1035" s="55" t="n">
        <f aca="false">W1035+ROW()*0.000000001</f>
        <v>-3.29171774704286</v>
      </c>
      <c r="Z1035" s="55" t="n">
        <f aca="false">X1035+ROW()*0.000000001</f>
        <v>46.21601666</v>
      </c>
    </row>
    <row r="1036" customFormat="false" ht="15" hidden="false" customHeight="false" outlineLevel="0" collapsed="false">
      <c r="A1036" s="0" t="n">
        <v>3</v>
      </c>
      <c r="B1036" s="0" t="n">
        <v>9</v>
      </c>
      <c r="C1036" s="0" t="n">
        <v>11</v>
      </c>
      <c r="D1036" s="0" t="n">
        <f aca="false">-1+A1036*0.125</f>
        <v>-0.625</v>
      </c>
      <c r="E1036" s="0" t="n">
        <f aca="false">-1+B1036*0.125</f>
        <v>0.125</v>
      </c>
      <c r="F1036" s="0" t="n">
        <f aca="false">-1+C1036*0.125</f>
        <v>0.375</v>
      </c>
      <c r="G1036" s="0" t="n">
        <f aca="false">1</f>
        <v>1</v>
      </c>
      <c r="H1036" s="0" t="n">
        <f aca="false">D1036</f>
        <v>-0.625</v>
      </c>
      <c r="I1036" s="0" t="n">
        <f aca="false">E1036</f>
        <v>0.125</v>
      </c>
      <c r="J1036" s="0" t="n">
        <f aca="false">F1036</f>
        <v>0.375</v>
      </c>
      <c r="K1036" s="0" t="n">
        <f aca="false">D1036*E1036</f>
        <v>-0.078125</v>
      </c>
      <c r="L1036" s="0" t="n">
        <f aca="false">D1036*F1036</f>
        <v>-0.234375</v>
      </c>
      <c r="M1036" s="0" t="n">
        <f aca="false">E1036*F1036</f>
        <v>0.046875</v>
      </c>
      <c r="N1036" s="0" t="n">
        <f aca="false">D1036*D1036</f>
        <v>0.390625</v>
      </c>
      <c r="O1036" s="0" t="n">
        <f aca="false">E1036*E1036</f>
        <v>0.015625</v>
      </c>
      <c r="P1036" s="0" t="n">
        <f aca="false">F1036*F1036</f>
        <v>0.140625</v>
      </c>
      <c r="Q1036" s="0" t="n">
        <f aca="false">SUMPRODUCT(G1036:P1036,_XtX!$B$71:$K$71)</f>
        <v>46.3152911931818</v>
      </c>
      <c r="R1036" s="0" t="n">
        <f aca="false">SUMPRODUCT(MMULT(G1036:P1036,_XtX!$B$58:$K$67),G1036:P1036)</f>
        <v>0.176578591086648</v>
      </c>
      <c r="S1036" s="0" t="n">
        <f aca="false">04_回帰ANOVA!$K$19*04_回帰ANOVA!$K$14*SQRT(1+R1036)</f>
        <v>1.00850279676269</v>
      </c>
      <c r="T1036" s="0" t="n">
        <f aca="false">Q1036-S1036</f>
        <v>45.3067883964191</v>
      </c>
      <c r="U1036" s="0" t="n">
        <f aca="false">Q1036+S1036</f>
        <v>47.3237939899445</v>
      </c>
      <c r="V1036" s="54" t="b">
        <f aca="false">AND(D1036&gt;=01_因子設定!$L$5-0.000000001,D1036&lt;=01_因子設定!$M$5+0.000000001,E1036&gt;=01_因子設定!$L$6-0.000000001,E1036&lt;=01_因子設定!$M$6+0.000000001,F1036&gt;=01_因子設定!$L$7-0.000000001,F1036&lt;=01_因子設定!$M$7+0.000000001,IF(01_因子設定!$B$20="Box-Behnken",D1036^2+E1036^2+F1036^2&lt;=2+0.000000001,TRUE()))</f>
        <v>1</v>
      </c>
      <c r="W1036" s="55" t="n">
        <f aca="false">IF(V1036,IF(01_因子設定!$B$13="最大化",T1036-01_因子設定!$B$14,IF(01_因子設定!$B$13="最小化",01_因子設定!$B$15-U1036,MIN(T1036-01_因子設定!$B$14,01_因子設定!$B$15-U1036))),-1E+030)</f>
        <v>-3.19321160358087</v>
      </c>
      <c r="X1036" s="55" t="n">
        <f aca="false">IF(V1036,IF(01_因子設定!$B$13="最大化",Q1036,IF(01_因子設定!$B$13="最小化",-Q1036,-ABS(Q1036-01_因子設定!$B$16))),-1E+030)</f>
        <v>46.3152911931818</v>
      </c>
      <c r="Y1036" s="55" t="n">
        <f aca="false">W1036+ROW()*0.000000001</f>
        <v>-3.19321056758087</v>
      </c>
      <c r="Z1036" s="55" t="n">
        <f aca="false">X1036+ROW()*0.000000001</f>
        <v>46.3152922291818</v>
      </c>
    </row>
    <row r="1037" customFormat="false" ht="15" hidden="false" customHeight="false" outlineLevel="0" collapsed="false">
      <c r="A1037" s="0" t="n">
        <v>3</v>
      </c>
      <c r="B1037" s="0" t="n">
        <v>9</v>
      </c>
      <c r="C1037" s="0" t="n">
        <v>12</v>
      </c>
      <c r="D1037" s="0" t="n">
        <f aca="false">-1+A1037*0.125</f>
        <v>-0.625</v>
      </c>
      <c r="E1037" s="0" t="n">
        <f aca="false">-1+B1037*0.125</f>
        <v>0.125</v>
      </c>
      <c r="F1037" s="0" t="n">
        <f aca="false">-1+C1037*0.125</f>
        <v>0.5</v>
      </c>
      <c r="G1037" s="0" t="n">
        <f aca="false">1</f>
        <v>1</v>
      </c>
      <c r="H1037" s="0" t="n">
        <f aca="false">D1037</f>
        <v>-0.625</v>
      </c>
      <c r="I1037" s="0" t="n">
        <f aca="false">E1037</f>
        <v>0.125</v>
      </c>
      <c r="J1037" s="0" t="n">
        <f aca="false">F1037</f>
        <v>0.5</v>
      </c>
      <c r="K1037" s="0" t="n">
        <f aca="false">D1037*E1037</f>
        <v>-0.078125</v>
      </c>
      <c r="L1037" s="0" t="n">
        <f aca="false">D1037*F1037</f>
        <v>-0.3125</v>
      </c>
      <c r="M1037" s="0" t="n">
        <f aca="false">E1037*F1037</f>
        <v>0.0625</v>
      </c>
      <c r="N1037" s="0" t="n">
        <f aca="false">D1037*D1037</f>
        <v>0.390625</v>
      </c>
      <c r="O1037" s="0" t="n">
        <f aca="false">E1037*E1037</f>
        <v>0.015625</v>
      </c>
      <c r="P1037" s="0" t="n">
        <f aca="false">F1037*F1037</f>
        <v>0.25</v>
      </c>
      <c r="Q1037" s="0" t="n">
        <f aca="false">SUMPRODUCT(G1037:P1037,_XtX!$B$71:$K$71)</f>
        <v>46.3777769886364</v>
      </c>
      <c r="R1037" s="0" t="n">
        <f aca="false">SUMPRODUCT(MMULT(G1037:P1037,_XtX!$B$58:$K$67),G1037:P1037)</f>
        <v>0.186545077237216</v>
      </c>
      <c r="S1037" s="0" t="n">
        <f aca="false">04_回帰ANOVA!$K$19*04_回帰ANOVA!$K$14*SQRT(1+R1037)</f>
        <v>1.01276516970713</v>
      </c>
      <c r="T1037" s="0" t="n">
        <f aca="false">Q1037-S1037</f>
        <v>45.3650118189292</v>
      </c>
      <c r="U1037" s="0" t="n">
        <f aca="false">Q1037+S1037</f>
        <v>47.3905421583435</v>
      </c>
      <c r="V1037" s="54" t="b">
        <f aca="false">AND(D1037&gt;=01_因子設定!$L$5-0.000000001,D1037&lt;=01_因子設定!$M$5+0.000000001,E1037&gt;=01_因子設定!$L$6-0.000000001,E1037&lt;=01_因子設定!$M$6+0.000000001,F1037&gt;=01_因子設定!$L$7-0.000000001,F1037&lt;=01_因子設定!$M$7+0.000000001,IF(01_因子設定!$B$20="Box-Behnken",D1037^2+E1037^2+F1037^2&lt;=2+0.000000001,TRUE()))</f>
        <v>1</v>
      </c>
      <c r="W1037" s="55" t="n">
        <f aca="false">IF(V1037,IF(01_因子設定!$B$13="最大化",T1037-01_因子設定!$B$14,IF(01_因子設定!$B$13="最小化",01_因子設定!$B$15-U1037,MIN(T1037-01_因子設定!$B$14,01_因子設定!$B$15-U1037))),-1E+030)</f>
        <v>-3.13498818107076</v>
      </c>
      <c r="X1037" s="55" t="n">
        <f aca="false">IF(V1037,IF(01_因子設定!$B$13="最大化",Q1037,IF(01_因子設定!$B$13="最小化",-Q1037,-ABS(Q1037-01_因子設定!$B$16))),-1E+030)</f>
        <v>46.3777769886364</v>
      </c>
      <c r="Y1037" s="55" t="n">
        <f aca="false">W1037+ROW()*0.000000001</f>
        <v>-3.13498714407076</v>
      </c>
      <c r="Z1037" s="55" t="n">
        <f aca="false">X1037+ROW()*0.000000001</f>
        <v>46.3777780256364</v>
      </c>
    </row>
    <row r="1038" customFormat="false" ht="15" hidden="false" customHeight="false" outlineLevel="0" collapsed="false">
      <c r="A1038" s="0" t="n">
        <v>3</v>
      </c>
      <c r="B1038" s="0" t="n">
        <v>9</v>
      </c>
      <c r="C1038" s="0" t="n">
        <v>13</v>
      </c>
      <c r="D1038" s="0" t="n">
        <f aca="false">-1+A1038*0.125</f>
        <v>-0.625</v>
      </c>
      <c r="E1038" s="0" t="n">
        <f aca="false">-1+B1038*0.125</f>
        <v>0.125</v>
      </c>
      <c r="F1038" s="0" t="n">
        <f aca="false">-1+C1038*0.125</f>
        <v>0.625</v>
      </c>
      <c r="G1038" s="0" t="n">
        <f aca="false">1</f>
        <v>1</v>
      </c>
      <c r="H1038" s="0" t="n">
        <f aca="false">D1038</f>
        <v>-0.625</v>
      </c>
      <c r="I1038" s="0" t="n">
        <f aca="false">E1038</f>
        <v>0.125</v>
      </c>
      <c r="J1038" s="0" t="n">
        <f aca="false">F1038</f>
        <v>0.625</v>
      </c>
      <c r="K1038" s="0" t="n">
        <f aca="false">D1038*E1038</f>
        <v>-0.078125</v>
      </c>
      <c r="L1038" s="0" t="n">
        <f aca="false">D1038*F1038</f>
        <v>-0.390625</v>
      </c>
      <c r="M1038" s="0" t="n">
        <f aca="false">E1038*F1038</f>
        <v>0.078125</v>
      </c>
      <c r="N1038" s="0" t="n">
        <f aca="false">D1038*D1038</f>
        <v>0.390625</v>
      </c>
      <c r="O1038" s="0" t="n">
        <f aca="false">E1038*E1038</f>
        <v>0.015625</v>
      </c>
      <c r="P1038" s="0" t="n">
        <f aca="false">F1038*F1038</f>
        <v>0.390625</v>
      </c>
      <c r="Q1038" s="0" t="n">
        <f aca="false">SUMPRODUCT(G1038:P1038,_XtX!$B$71:$K$71)</f>
        <v>46.4034730113636</v>
      </c>
      <c r="R1038" s="0" t="n">
        <f aca="false">SUMPRODUCT(MMULT(G1038:P1038,_XtX!$B$58:$K$67),G1038:P1038)</f>
        <v>0.212143221768466</v>
      </c>
      <c r="S1038" s="0" t="n">
        <f aca="false">04_回帰ANOVA!$K$19*04_回帰ANOVA!$K$14*SQRT(1+R1038)</f>
        <v>1.02363141237304</v>
      </c>
      <c r="T1038" s="0" t="n">
        <f aca="false">Q1038-S1038</f>
        <v>45.3798415989906</v>
      </c>
      <c r="U1038" s="0" t="n">
        <f aca="false">Q1038+S1038</f>
        <v>47.4271044237367</v>
      </c>
      <c r="V1038" s="54" t="b">
        <f aca="false">AND(D1038&gt;=01_因子設定!$L$5-0.000000001,D1038&lt;=01_因子設定!$M$5+0.000000001,E1038&gt;=01_因子設定!$L$6-0.000000001,E1038&lt;=01_因子設定!$M$6+0.000000001,F1038&gt;=01_因子設定!$L$7-0.000000001,F1038&lt;=01_因子設定!$M$7+0.000000001,IF(01_因子設定!$B$20="Box-Behnken",D1038^2+E1038^2+F1038^2&lt;=2+0.000000001,TRUE()))</f>
        <v>1</v>
      </c>
      <c r="W1038" s="55" t="n">
        <f aca="false">IF(V1038,IF(01_因子設定!$B$13="最大化",T1038-01_因子設定!$B$14,IF(01_因子設定!$B$13="最小化",01_因子設定!$B$15-U1038,MIN(T1038-01_因子設定!$B$14,01_因子設定!$B$15-U1038))),-1E+030)</f>
        <v>-3.1201584010094</v>
      </c>
      <c r="X1038" s="55" t="n">
        <f aca="false">IF(V1038,IF(01_因子設定!$B$13="最大化",Q1038,IF(01_因子設定!$B$13="最小化",-Q1038,-ABS(Q1038-01_因子設定!$B$16))),-1E+030)</f>
        <v>46.4034730113636</v>
      </c>
      <c r="Y1038" s="55" t="n">
        <f aca="false">W1038+ROW()*0.000000001</f>
        <v>-3.1201573630094</v>
      </c>
      <c r="Z1038" s="55" t="n">
        <f aca="false">X1038+ROW()*0.000000001</f>
        <v>46.4034740493636</v>
      </c>
    </row>
    <row r="1039" customFormat="false" ht="15" hidden="false" customHeight="false" outlineLevel="0" collapsed="false">
      <c r="A1039" s="0" t="n">
        <v>3</v>
      </c>
      <c r="B1039" s="0" t="n">
        <v>9</v>
      </c>
      <c r="C1039" s="0" t="n">
        <v>14</v>
      </c>
      <c r="D1039" s="0" t="n">
        <f aca="false">-1+A1039*0.125</f>
        <v>-0.625</v>
      </c>
      <c r="E1039" s="0" t="n">
        <f aca="false">-1+B1039*0.125</f>
        <v>0.125</v>
      </c>
      <c r="F1039" s="0" t="n">
        <f aca="false">-1+C1039*0.125</f>
        <v>0.75</v>
      </c>
      <c r="G1039" s="0" t="n">
        <f aca="false">1</f>
        <v>1</v>
      </c>
      <c r="H1039" s="0" t="n">
        <f aca="false">D1039</f>
        <v>-0.625</v>
      </c>
      <c r="I1039" s="0" t="n">
        <f aca="false">E1039</f>
        <v>0.125</v>
      </c>
      <c r="J1039" s="0" t="n">
        <f aca="false">F1039</f>
        <v>0.75</v>
      </c>
      <c r="K1039" s="0" t="n">
        <f aca="false">D1039*E1039</f>
        <v>-0.078125</v>
      </c>
      <c r="L1039" s="0" t="n">
        <f aca="false">D1039*F1039</f>
        <v>-0.46875</v>
      </c>
      <c r="M1039" s="0" t="n">
        <f aca="false">E1039*F1039</f>
        <v>0.09375</v>
      </c>
      <c r="N1039" s="0" t="n">
        <f aca="false">D1039*D1039</f>
        <v>0.390625</v>
      </c>
      <c r="O1039" s="0" t="n">
        <f aca="false">E1039*E1039</f>
        <v>0.015625</v>
      </c>
      <c r="P1039" s="0" t="n">
        <f aca="false">F1039*F1039</f>
        <v>0.5625</v>
      </c>
      <c r="Q1039" s="0" t="n">
        <f aca="false">SUMPRODUCT(G1039:P1039,_XtX!$B$71:$K$71)</f>
        <v>46.3923792613636</v>
      </c>
      <c r="R1039" s="0" t="n">
        <f aca="false">SUMPRODUCT(MMULT(G1039:P1039,_XtX!$B$58:$K$67),G1039:P1039)</f>
        <v>0.262961092862216</v>
      </c>
      <c r="S1039" s="0" t="n">
        <f aca="false">04_回帰ANOVA!$K$19*04_回帰ANOVA!$K$14*SQRT(1+R1039)</f>
        <v>1.04486846483649</v>
      </c>
      <c r="T1039" s="0" t="n">
        <f aca="false">Q1039-S1039</f>
        <v>45.3475107965272</v>
      </c>
      <c r="U1039" s="0" t="n">
        <f aca="false">Q1039+S1039</f>
        <v>47.4372477262001</v>
      </c>
      <c r="V1039" s="54" t="b">
        <f aca="false">AND(D1039&gt;=01_因子設定!$L$5-0.000000001,D1039&lt;=01_因子設定!$M$5+0.000000001,E1039&gt;=01_因子設定!$L$6-0.000000001,E1039&lt;=01_因子設定!$M$6+0.000000001,F1039&gt;=01_因子設定!$L$7-0.000000001,F1039&lt;=01_因子設定!$M$7+0.000000001,IF(01_因子設定!$B$20="Box-Behnken",D1039^2+E1039^2+F1039^2&lt;=2+0.000000001,TRUE()))</f>
        <v>1</v>
      </c>
      <c r="W1039" s="55" t="n">
        <f aca="false">IF(V1039,IF(01_因子設定!$B$13="最大化",T1039-01_因子設定!$B$14,IF(01_因子設定!$B$13="最小化",01_因子設定!$B$15-U1039,MIN(T1039-01_因子設定!$B$14,01_因子設定!$B$15-U1039))),-1E+030)</f>
        <v>-3.15248920347284</v>
      </c>
      <c r="X1039" s="55" t="n">
        <f aca="false">IF(V1039,IF(01_因子設定!$B$13="最大化",Q1039,IF(01_因子設定!$B$13="最小化",-Q1039,-ABS(Q1039-01_因子設定!$B$16))),-1E+030)</f>
        <v>46.3923792613636</v>
      </c>
      <c r="Y1039" s="55" t="n">
        <f aca="false">W1039+ROW()*0.000000001</f>
        <v>-3.15248816447284</v>
      </c>
      <c r="Z1039" s="55" t="n">
        <f aca="false">X1039+ROW()*0.000000001</f>
        <v>46.3923803003636</v>
      </c>
    </row>
    <row r="1040" customFormat="false" ht="15" hidden="false" customHeight="false" outlineLevel="0" collapsed="false">
      <c r="A1040" s="0" t="n">
        <v>3</v>
      </c>
      <c r="B1040" s="0" t="n">
        <v>9</v>
      </c>
      <c r="C1040" s="0" t="n">
        <v>15</v>
      </c>
      <c r="D1040" s="0" t="n">
        <f aca="false">-1+A1040*0.125</f>
        <v>-0.625</v>
      </c>
      <c r="E1040" s="0" t="n">
        <f aca="false">-1+B1040*0.125</f>
        <v>0.125</v>
      </c>
      <c r="F1040" s="0" t="n">
        <f aca="false">-1+C1040*0.125</f>
        <v>0.875</v>
      </c>
      <c r="G1040" s="0" t="n">
        <f aca="false">1</f>
        <v>1</v>
      </c>
      <c r="H1040" s="0" t="n">
        <f aca="false">D1040</f>
        <v>-0.625</v>
      </c>
      <c r="I1040" s="0" t="n">
        <f aca="false">E1040</f>
        <v>0.125</v>
      </c>
      <c r="J1040" s="0" t="n">
        <f aca="false">F1040</f>
        <v>0.875</v>
      </c>
      <c r="K1040" s="0" t="n">
        <f aca="false">D1040*E1040</f>
        <v>-0.078125</v>
      </c>
      <c r="L1040" s="0" t="n">
        <f aca="false">D1040*F1040</f>
        <v>-0.546875</v>
      </c>
      <c r="M1040" s="0" t="n">
        <f aca="false">E1040*F1040</f>
        <v>0.109375</v>
      </c>
      <c r="N1040" s="0" t="n">
        <f aca="false">D1040*D1040</f>
        <v>0.390625</v>
      </c>
      <c r="O1040" s="0" t="n">
        <f aca="false">E1040*E1040</f>
        <v>0.015625</v>
      </c>
      <c r="P1040" s="0" t="n">
        <f aca="false">F1040*F1040</f>
        <v>0.765625</v>
      </c>
      <c r="Q1040" s="0" t="n">
        <f aca="false">SUMPRODUCT(G1040:P1040,_XtX!$B$71:$K$71)</f>
        <v>46.3444957386364</v>
      </c>
      <c r="R1040" s="0" t="n">
        <f aca="false">SUMPRODUCT(MMULT(G1040:P1040,_XtX!$B$58:$K$67),G1040:P1040)</f>
        <v>0.350717440518466</v>
      </c>
      <c r="S1040" s="0" t="n">
        <f aca="false">04_回帰ANOVA!$K$19*04_回帰ANOVA!$K$14*SQRT(1+R1040)</f>
        <v>1.08056000737898</v>
      </c>
      <c r="T1040" s="0" t="n">
        <f aca="false">Q1040-S1040</f>
        <v>45.2639357312574</v>
      </c>
      <c r="U1040" s="0" t="n">
        <f aca="false">Q1040+S1040</f>
        <v>47.4250557460154</v>
      </c>
      <c r="V1040" s="54" t="b">
        <f aca="false">AND(D1040&gt;=01_因子設定!$L$5-0.000000001,D1040&lt;=01_因子設定!$M$5+0.000000001,E1040&gt;=01_因子設定!$L$6-0.000000001,E1040&lt;=01_因子設定!$M$6+0.000000001,F1040&gt;=01_因子設定!$L$7-0.000000001,F1040&lt;=01_因子設定!$M$7+0.000000001,IF(01_因子設定!$B$20="Box-Behnken",D1040^2+E1040^2+F1040^2&lt;=2+0.000000001,TRUE()))</f>
        <v>1</v>
      </c>
      <c r="W1040" s="55" t="n">
        <f aca="false">IF(V1040,IF(01_因子設定!$B$13="最大化",T1040-01_因子設定!$B$14,IF(01_因子設定!$B$13="最小化",01_因子設定!$B$15-U1040,MIN(T1040-01_因子設定!$B$14,01_因子設定!$B$15-U1040))),-1E+030)</f>
        <v>-3.2360642687426</v>
      </c>
      <c r="X1040" s="55" t="n">
        <f aca="false">IF(V1040,IF(01_因子設定!$B$13="最大化",Q1040,IF(01_因子設定!$B$13="最小化",-Q1040,-ABS(Q1040-01_因子設定!$B$16))),-1E+030)</f>
        <v>46.3444957386364</v>
      </c>
      <c r="Y1040" s="55" t="n">
        <f aca="false">W1040+ROW()*0.000000001</f>
        <v>-3.2360632287426</v>
      </c>
      <c r="Z1040" s="55" t="n">
        <f aca="false">X1040+ROW()*0.000000001</f>
        <v>46.3444967786364</v>
      </c>
    </row>
    <row r="1041" customFormat="false" ht="15" hidden="false" customHeight="false" outlineLevel="0" collapsed="false">
      <c r="A1041" s="0" t="n">
        <v>3</v>
      </c>
      <c r="B1041" s="0" t="n">
        <v>9</v>
      </c>
      <c r="C1041" s="0" t="n">
        <v>16</v>
      </c>
      <c r="D1041" s="0" t="n">
        <f aca="false">-1+A1041*0.125</f>
        <v>-0.625</v>
      </c>
      <c r="E1041" s="0" t="n">
        <f aca="false">-1+B1041*0.125</f>
        <v>0.125</v>
      </c>
      <c r="F1041" s="0" t="n">
        <f aca="false">-1+C1041*0.125</f>
        <v>1</v>
      </c>
      <c r="G1041" s="0" t="n">
        <f aca="false">1</f>
        <v>1</v>
      </c>
      <c r="H1041" s="0" t="n">
        <f aca="false">D1041</f>
        <v>-0.625</v>
      </c>
      <c r="I1041" s="0" t="n">
        <f aca="false">E1041</f>
        <v>0.125</v>
      </c>
      <c r="J1041" s="0" t="n">
        <f aca="false">F1041</f>
        <v>1</v>
      </c>
      <c r="K1041" s="0" t="n">
        <f aca="false">D1041*E1041</f>
        <v>-0.078125</v>
      </c>
      <c r="L1041" s="0" t="n">
        <f aca="false">D1041*F1041</f>
        <v>-0.625</v>
      </c>
      <c r="M1041" s="0" t="n">
        <f aca="false">E1041*F1041</f>
        <v>0.125</v>
      </c>
      <c r="N1041" s="0" t="n">
        <f aca="false">D1041*D1041</f>
        <v>0.390625</v>
      </c>
      <c r="O1041" s="0" t="n">
        <f aca="false">E1041*E1041</f>
        <v>0.015625</v>
      </c>
      <c r="P1041" s="0" t="n">
        <f aca="false">F1041*F1041</f>
        <v>1</v>
      </c>
      <c r="Q1041" s="0" t="n">
        <f aca="false">SUMPRODUCT(G1041:P1041,_XtX!$B$71:$K$71)</f>
        <v>46.2598224431818</v>
      </c>
      <c r="R1041" s="0" t="n">
        <f aca="false">SUMPRODUCT(MMULT(G1041:P1041,_XtX!$B$58:$K$67),G1041:P1041)</f>
        <v>0.489261696555398</v>
      </c>
      <c r="S1041" s="0" t="n">
        <f aca="false">04_回帰ANOVA!$K$19*04_回帰ANOVA!$K$14*SQRT(1+R1041)</f>
        <v>1.13462447083763</v>
      </c>
      <c r="T1041" s="0" t="n">
        <f aca="false">Q1041-S1041</f>
        <v>45.1251979723442</v>
      </c>
      <c r="U1041" s="0" t="n">
        <f aca="false">Q1041+S1041</f>
        <v>47.3944469140195</v>
      </c>
      <c r="V1041" s="54" t="b">
        <f aca="false">AND(D1041&gt;=01_因子設定!$L$5-0.000000001,D1041&lt;=01_因子設定!$M$5+0.000000001,E1041&gt;=01_因子設定!$L$6-0.000000001,E1041&lt;=01_因子設定!$M$6+0.000000001,F1041&gt;=01_因子設定!$L$7-0.000000001,F1041&lt;=01_因子設定!$M$7+0.000000001,IF(01_因子設定!$B$20="Box-Behnken",D1041^2+E1041^2+F1041^2&lt;=2+0.000000001,TRUE()))</f>
        <v>1</v>
      </c>
      <c r="W1041" s="55" t="n">
        <f aca="false">IF(V1041,IF(01_因子設定!$B$13="最大化",T1041-01_因子設定!$B$14,IF(01_因子設定!$B$13="最小化",01_因子設定!$B$15-U1041,MIN(T1041-01_因子設定!$B$14,01_因子設定!$B$15-U1041))),-1E+030)</f>
        <v>-3.3748020276558</v>
      </c>
      <c r="X1041" s="55" t="n">
        <f aca="false">IF(V1041,IF(01_因子設定!$B$13="最大化",Q1041,IF(01_因子設定!$B$13="最小化",-Q1041,-ABS(Q1041-01_因子設定!$B$16))),-1E+030)</f>
        <v>46.2598224431818</v>
      </c>
      <c r="Y1041" s="55" t="n">
        <f aca="false">W1041+ROW()*0.000000001</f>
        <v>-3.3748009866558</v>
      </c>
      <c r="Z1041" s="55" t="n">
        <f aca="false">X1041+ROW()*0.000000001</f>
        <v>46.2598234841818</v>
      </c>
    </row>
    <row r="1042" customFormat="false" ht="15" hidden="false" customHeight="false" outlineLevel="0" collapsed="false">
      <c r="A1042" s="0" t="n">
        <v>3</v>
      </c>
      <c r="B1042" s="0" t="n">
        <v>10</v>
      </c>
      <c r="C1042" s="0" t="n">
        <v>0</v>
      </c>
      <c r="D1042" s="0" t="n">
        <f aca="false">-1+A1042*0.125</f>
        <v>-0.625</v>
      </c>
      <c r="E1042" s="0" t="n">
        <f aca="false">-1+B1042*0.125</f>
        <v>0.25</v>
      </c>
      <c r="F1042" s="0" t="n">
        <f aca="false">-1+C1042*0.125</f>
        <v>-1</v>
      </c>
      <c r="G1042" s="0" t="n">
        <f aca="false">1</f>
        <v>1</v>
      </c>
      <c r="H1042" s="0" t="n">
        <f aca="false">D1042</f>
        <v>-0.625</v>
      </c>
      <c r="I1042" s="0" t="n">
        <f aca="false">E1042</f>
        <v>0.25</v>
      </c>
      <c r="J1042" s="0" t="n">
        <f aca="false">F1042</f>
        <v>-1</v>
      </c>
      <c r="K1042" s="0" t="n">
        <f aca="false">D1042*E1042</f>
        <v>-0.15625</v>
      </c>
      <c r="L1042" s="0" t="n">
        <f aca="false">D1042*F1042</f>
        <v>0.625</v>
      </c>
      <c r="M1042" s="0" t="n">
        <f aca="false">E1042*F1042</f>
        <v>-0.25</v>
      </c>
      <c r="N1042" s="0" t="n">
        <f aca="false">D1042*D1042</f>
        <v>0.390625</v>
      </c>
      <c r="O1042" s="0" t="n">
        <f aca="false">E1042*E1042</f>
        <v>0.0625</v>
      </c>
      <c r="P1042" s="0" t="n">
        <f aca="false">F1042*F1042</f>
        <v>1</v>
      </c>
      <c r="Q1042" s="0" t="n">
        <f aca="false">SUMPRODUCT(G1042:P1042,_XtX!$B$71:$K$71)</f>
        <v>43.2115909090909</v>
      </c>
      <c r="R1042" s="0" t="n">
        <f aca="false">SUMPRODUCT(MMULT(G1042:P1042,_XtX!$B$58:$K$67),G1042:P1042)</f>
        <v>0.481389825994318</v>
      </c>
      <c r="S1042" s="0" t="n">
        <f aca="false">04_回帰ANOVA!$K$19*04_回帰ANOVA!$K$14*SQRT(1+R1042)</f>
        <v>1.13162182500693</v>
      </c>
      <c r="T1042" s="0" t="n">
        <f aca="false">Q1042-S1042</f>
        <v>42.079969084084</v>
      </c>
      <c r="U1042" s="0" t="n">
        <f aca="false">Q1042+S1042</f>
        <v>44.3432127340979</v>
      </c>
      <c r="V1042" s="54" t="b">
        <f aca="false">AND(D1042&gt;=01_因子設定!$L$5-0.000000001,D1042&lt;=01_因子設定!$M$5+0.000000001,E1042&gt;=01_因子設定!$L$6-0.000000001,E1042&lt;=01_因子設定!$M$6+0.000000001,F1042&gt;=01_因子設定!$L$7-0.000000001,F1042&lt;=01_因子設定!$M$7+0.000000001,IF(01_因子設定!$B$20="Box-Behnken",D1042^2+E1042^2+F1042^2&lt;=2+0.000000001,TRUE()))</f>
        <v>1</v>
      </c>
      <c r="W1042" s="55" t="n">
        <f aca="false">IF(V1042,IF(01_因子設定!$B$13="最大化",T1042-01_因子設定!$B$14,IF(01_因子設定!$B$13="最小化",01_因子設定!$B$15-U1042,MIN(T1042-01_因子設定!$B$14,01_因子設定!$B$15-U1042))),-1E+030)</f>
        <v>-6.42003091591599</v>
      </c>
      <c r="X1042" s="55" t="n">
        <f aca="false">IF(V1042,IF(01_因子設定!$B$13="最大化",Q1042,IF(01_因子設定!$B$13="最小化",-Q1042,-ABS(Q1042-01_因子設定!$B$16))),-1E+030)</f>
        <v>43.2115909090909</v>
      </c>
      <c r="Y1042" s="55" t="n">
        <f aca="false">W1042+ROW()*0.000000001</f>
        <v>-6.42002987391599</v>
      </c>
      <c r="Z1042" s="55" t="n">
        <f aca="false">X1042+ROW()*0.000000001</f>
        <v>43.2115919510909</v>
      </c>
    </row>
    <row r="1043" customFormat="false" ht="15" hidden="false" customHeight="false" outlineLevel="0" collapsed="false">
      <c r="A1043" s="0" t="n">
        <v>3</v>
      </c>
      <c r="B1043" s="0" t="n">
        <v>10</v>
      </c>
      <c r="C1043" s="0" t="n">
        <v>1</v>
      </c>
      <c r="D1043" s="0" t="n">
        <f aca="false">-1+A1043*0.125</f>
        <v>-0.625</v>
      </c>
      <c r="E1043" s="0" t="n">
        <f aca="false">-1+B1043*0.125</f>
        <v>0.25</v>
      </c>
      <c r="F1043" s="0" t="n">
        <f aca="false">-1+C1043*0.125</f>
        <v>-0.875</v>
      </c>
      <c r="G1043" s="0" t="n">
        <f aca="false">1</f>
        <v>1</v>
      </c>
      <c r="H1043" s="0" t="n">
        <f aca="false">D1043</f>
        <v>-0.625</v>
      </c>
      <c r="I1043" s="0" t="n">
        <f aca="false">E1043</f>
        <v>0.25</v>
      </c>
      <c r="J1043" s="0" t="n">
        <f aca="false">F1043</f>
        <v>-0.875</v>
      </c>
      <c r="K1043" s="0" t="n">
        <f aca="false">D1043*E1043</f>
        <v>-0.15625</v>
      </c>
      <c r="L1043" s="0" t="n">
        <f aca="false">D1043*F1043</f>
        <v>0.546875</v>
      </c>
      <c r="M1043" s="0" t="n">
        <f aca="false">E1043*F1043</f>
        <v>-0.21875</v>
      </c>
      <c r="N1043" s="0" t="n">
        <f aca="false">D1043*D1043</f>
        <v>0.390625</v>
      </c>
      <c r="O1043" s="0" t="n">
        <f aca="false">E1043*E1043</f>
        <v>0.0625</v>
      </c>
      <c r="P1043" s="0" t="n">
        <f aca="false">F1043*F1043</f>
        <v>0.765625</v>
      </c>
      <c r="Q1043" s="0" t="n">
        <f aca="false">SUMPRODUCT(G1043:P1043,_XtX!$B$71:$K$71)</f>
        <v>43.6857954545455</v>
      </c>
      <c r="R1043" s="0" t="n">
        <f aca="false">SUMPRODUCT(MMULT(G1043:P1043,_XtX!$B$58:$K$67),G1043:P1043)</f>
        <v>0.34446855024858</v>
      </c>
      <c r="S1043" s="0" t="n">
        <f aca="false">04_回帰ANOVA!$K$19*04_回帰ANOVA!$K$14*SQRT(1+R1043)</f>
        <v>1.07805758590432</v>
      </c>
      <c r="T1043" s="0" t="n">
        <f aca="false">Q1043-S1043</f>
        <v>42.6077378686412</v>
      </c>
      <c r="U1043" s="0" t="n">
        <f aca="false">Q1043+S1043</f>
        <v>44.7638530404498</v>
      </c>
      <c r="V1043" s="54" t="b">
        <f aca="false">AND(D1043&gt;=01_因子設定!$L$5-0.000000001,D1043&lt;=01_因子設定!$M$5+0.000000001,E1043&gt;=01_因子設定!$L$6-0.000000001,E1043&lt;=01_因子設定!$M$6+0.000000001,F1043&gt;=01_因子設定!$L$7-0.000000001,F1043&lt;=01_因子設定!$M$7+0.000000001,IF(01_因子設定!$B$20="Box-Behnken",D1043^2+E1043^2+F1043^2&lt;=2+0.000000001,TRUE()))</f>
        <v>1</v>
      </c>
      <c r="W1043" s="55" t="n">
        <f aca="false">IF(V1043,IF(01_因子設定!$B$13="最大化",T1043-01_因子設定!$B$14,IF(01_因子設定!$B$13="最小化",01_因子設定!$B$15-U1043,MIN(T1043-01_因子設定!$B$14,01_因子設定!$B$15-U1043))),-1E+030)</f>
        <v>-5.89226213135885</v>
      </c>
      <c r="X1043" s="55" t="n">
        <f aca="false">IF(V1043,IF(01_因子設定!$B$13="最大化",Q1043,IF(01_因子設定!$B$13="最小化",-Q1043,-ABS(Q1043-01_因子設定!$B$16))),-1E+030)</f>
        <v>43.6857954545455</v>
      </c>
      <c r="Y1043" s="55" t="n">
        <f aca="false">W1043+ROW()*0.000000001</f>
        <v>-5.89226108835885</v>
      </c>
      <c r="Z1043" s="55" t="n">
        <f aca="false">X1043+ROW()*0.000000001</f>
        <v>43.6857964975455</v>
      </c>
    </row>
    <row r="1044" customFormat="false" ht="15" hidden="false" customHeight="false" outlineLevel="0" collapsed="false">
      <c r="A1044" s="0" t="n">
        <v>3</v>
      </c>
      <c r="B1044" s="0" t="n">
        <v>10</v>
      </c>
      <c r="C1044" s="0" t="n">
        <v>2</v>
      </c>
      <c r="D1044" s="0" t="n">
        <f aca="false">-1+A1044*0.125</f>
        <v>-0.625</v>
      </c>
      <c r="E1044" s="0" t="n">
        <f aca="false">-1+B1044*0.125</f>
        <v>0.25</v>
      </c>
      <c r="F1044" s="0" t="n">
        <f aca="false">-1+C1044*0.125</f>
        <v>-0.75</v>
      </c>
      <c r="G1044" s="0" t="n">
        <f aca="false">1</f>
        <v>1</v>
      </c>
      <c r="H1044" s="0" t="n">
        <f aca="false">D1044</f>
        <v>-0.625</v>
      </c>
      <c r="I1044" s="0" t="n">
        <f aca="false">E1044</f>
        <v>0.25</v>
      </c>
      <c r="J1044" s="0" t="n">
        <f aca="false">F1044</f>
        <v>-0.75</v>
      </c>
      <c r="K1044" s="0" t="n">
        <f aca="false">D1044*E1044</f>
        <v>-0.15625</v>
      </c>
      <c r="L1044" s="0" t="n">
        <f aca="false">D1044*F1044</f>
        <v>0.46875</v>
      </c>
      <c r="M1044" s="0" t="n">
        <f aca="false">E1044*F1044</f>
        <v>-0.1875</v>
      </c>
      <c r="N1044" s="0" t="n">
        <f aca="false">D1044*D1044</f>
        <v>0.390625</v>
      </c>
      <c r="O1044" s="0" t="n">
        <f aca="false">E1044*E1044</f>
        <v>0.0625</v>
      </c>
      <c r="P1044" s="0" t="n">
        <f aca="false">F1044*F1044</f>
        <v>0.5625</v>
      </c>
      <c r="Q1044" s="0" t="n">
        <f aca="false">SUMPRODUCT(G1044:P1044,_XtX!$B$71:$K$71)</f>
        <v>44.1232102272727</v>
      </c>
      <c r="R1044" s="0" t="n">
        <f aca="false">SUMPRODUCT(MMULT(G1044:P1044,_XtX!$B$58:$K$67),G1044:P1044)</f>
        <v>0.258118785511364</v>
      </c>
      <c r="S1044" s="0" t="n">
        <f aca="false">04_回帰ANOVA!$K$19*04_回帰ANOVA!$K$14*SQRT(1+R1044)</f>
        <v>1.04286348094876</v>
      </c>
      <c r="T1044" s="0" t="n">
        <f aca="false">Q1044-S1044</f>
        <v>43.080346746324</v>
      </c>
      <c r="U1044" s="0" t="n">
        <f aca="false">Q1044+S1044</f>
        <v>45.1660737082215</v>
      </c>
      <c r="V1044" s="54" t="b">
        <f aca="false">AND(D1044&gt;=01_因子設定!$L$5-0.000000001,D1044&lt;=01_因子設定!$M$5+0.000000001,E1044&gt;=01_因子設定!$L$6-0.000000001,E1044&lt;=01_因子設定!$M$6+0.000000001,F1044&gt;=01_因子設定!$L$7-0.000000001,F1044&lt;=01_因子設定!$M$7+0.000000001,IF(01_因子設定!$B$20="Box-Behnken",D1044^2+E1044^2+F1044^2&lt;=2+0.000000001,TRUE()))</f>
        <v>1</v>
      </c>
      <c r="W1044" s="55" t="n">
        <f aca="false">IF(V1044,IF(01_因子設定!$B$13="最大化",T1044-01_因子設定!$B$14,IF(01_因子設定!$B$13="最小化",01_因子設定!$B$15-U1044,MIN(T1044-01_因子設定!$B$14,01_因子設定!$B$15-U1044))),-1E+030)</f>
        <v>-5.41965325367602</v>
      </c>
      <c r="X1044" s="55" t="n">
        <f aca="false">IF(V1044,IF(01_因子設定!$B$13="最大化",Q1044,IF(01_因子設定!$B$13="最小化",-Q1044,-ABS(Q1044-01_因子設定!$B$16))),-1E+030)</f>
        <v>44.1232102272727</v>
      </c>
      <c r="Y1044" s="55" t="n">
        <f aca="false">W1044+ROW()*0.000000001</f>
        <v>-5.41965220967602</v>
      </c>
      <c r="Z1044" s="55" t="n">
        <f aca="false">X1044+ROW()*0.000000001</f>
        <v>44.1232112712727</v>
      </c>
    </row>
    <row r="1045" customFormat="false" ht="15" hidden="false" customHeight="false" outlineLevel="0" collapsed="false">
      <c r="A1045" s="0" t="n">
        <v>3</v>
      </c>
      <c r="B1045" s="0" t="n">
        <v>10</v>
      </c>
      <c r="C1045" s="0" t="n">
        <v>3</v>
      </c>
      <c r="D1045" s="0" t="n">
        <f aca="false">-1+A1045*0.125</f>
        <v>-0.625</v>
      </c>
      <c r="E1045" s="0" t="n">
        <f aca="false">-1+B1045*0.125</f>
        <v>0.25</v>
      </c>
      <c r="F1045" s="0" t="n">
        <f aca="false">-1+C1045*0.125</f>
        <v>-0.625</v>
      </c>
      <c r="G1045" s="0" t="n">
        <f aca="false">1</f>
        <v>1</v>
      </c>
      <c r="H1045" s="0" t="n">
        <f aca="false">D1045</f>
        <v>-0.625</v>
      </c>
      <c r="I1045" s="0" t="n">
        <f aca="false">E1045</f>
        <v>0.25</v>
      </c>
      <c r="J1045" s="0" t="n">
        <f aca="false">F1045</f>
        <v>-0.625</v>
      </c>
      <c r="K1045" s="0" t="n">
        <f aca="false">D1045*E1045</f>
        <v>-0.15625</v>
      </c>
      <c r="L1045" s="0" t="n">
        <f aca="false">D1045*F1045</f>
        <v>0.390625</v>
      </c>
      <c r="M1045" s="0" t="n">
        <f aca="false">E1045*F1045</f>
        <v>-0.15625</v>
      </c>
      <c r="N1045" s="0" t="n">
        <f aca="false">D1045*D1045</f>
        <v>0.390625</v>
      </c>
      <c r="O1045" s="0" t="n">
        <f aca="false">E1045*E1045</f>
        <v>0.0625</v>
      </c>
      <c r="P1045" s="0" t="n">
        <f aca="false">F1045*F1045</f>
        <v>0.390625</v>
      </c>
      <c r="Q1045" s="0" t="n">
        <f aca="false">SUMPRODUCT(G1045:P1045,_XtX!$B$71:$K$71)</f>
        <v>44.5238352272727</v>
      </c>
      <c r="R1045" s="0" t="n">
        <f aca="false">SUMPRODUCT(MMULT(G1045:P1045,_XtX!$B$58:$K$67),G1045:P1045)</f>
        <v>0.208491099964489</v>
      </c>
      <c r="S1045" s="0" t="n">
        <f aca="false">04_回帰ANOVA!$K$19*04_回帰ANOVA!$K$14*SQRT(1+R1045)</f>
        <v>1.02208817610259</v>
      </c>
      <c r="T1045" s="0" t="n">
        <f aca="false">Q1045-S1045</f>
        <v>43.5017470511702</v>
      </c>
      <c r="U1045" s="0" t="n">
        <f aca="false">Q1045+S1045</f>
        <v>45.5459234033753</v>
      </c>
      <c r="V1045" s="54" t="b">
        <f aca="false">AND(D1045&gt;=01_因子設定!$L$5-0.000000001,D1045&lt;=01_因子設定!$M$5+0.000000001,E1045&gt;=01_因子設定!$L$6-0.000000001,E1045&lt;=01_因子設定!$M$6+0.000000001,F1045&gt;=01_因子設定!$L$7-0.000000001,F1045&lt;=01_因子設定!$M$7+0.000000001,IF(01_因子設定!$B$20="Box-Behnken",D1045^2+E1045^2+F1045^2&lt;=2+0.000000001,TRUE()))</f>
        <v>1</v>
      </c>
      <c r="W1045" s="55" t="n">
        <f aca="false">IF(V1045,IF(01_因子設定!$B$13="最大化",T1045-01_因子設定!$B$14,IF(01_因子設定!$B$13="最小化",01_因子設定!$B$15-U1045,MIN(T1045-01_因子設定!$B$14,01_因子設定!$B$15-U1045))),-1E+030)</f>
        <v>-4.99825294882985</v>
      </c>
      <c r="X1045" s="55" t="n">
        <f aca="false">IF(V1045,IF(01_因子設定!$B$13="最大化",Q1045,IF(01_因子設定!$B$13="最小化",-Q1045,-ABS(Q1045-01_因子設定!$B$16))),-1E+030)</f>
        <v>44.5238352272727</v>
      </c>
      <c r="Y1045" s="55" t="n">
        <f aca="false">W1045+ROW()*0.000000001</f>
        <v>-4.99825190382985</v>
      </c>
      <c r="Z1045" s="55" t="n">
        <f aca="false">X1045+ROW()*0.000000001</f>
        <v>44.5238362722727</v>
      </c>
    </row>
    <row r="1046" customFormat="false" ht="15" hidden="false" customHeight="false" outlineLevel="0" collapsed="false">
      <c r="A1046" s="0" t="n">
        <v>3</v>
      </c>
      <c r="B1046" s="0" t="n">
        <v>10</v>
      </c>
      <c r="C1046" s="0" t="n">
        <v>4</v>
      </c>
      <c r="D1046" s="0" t="n">
        <f aca="false">-1+A1046*0.125</f>
        <v>-0.625</v>
      </c>
      <c r="E1046" s="0" t="n">
        <f aca="false">-1+B1046*0.125</f>
        <v>0.25</v>
      </c>
      <c r="F1046" s="0" t="n">
        <f aca="false">-1+C1046*0.125</f>
        <v>-0.5</v>
      </c>
      <c r="G1046" s="0" t="n">
        <f aca="false">1</f>
        <v>1</v>
      </c>
      <c r="H1046" s="0" t="n">
        <f aca="false">D1046</f>
        <v>-0.625</v>
      </c>
      <c r="I1046" s="0" t="n">
        <f aca="false">E1046</f>
        <v>0.25</v>
      </c>
      <c r="J1046" s="0" t="n">
        <f aca="false">F1046</f>
        <v>-0.5</v>
      </c>
      <c r="K1046" s="0" t="n">
        <f aca="false">D1046*E1046</f>
        <v>-0.15625</v>
      </c>
      <c r="L1046" s="0" t="n">
        <f aca="false">D1046*F1046</f>
        <v>0.3125</v>
      </c>
      <c r="M1046" s="0" t="n">
        <f aca="false">E1046*F1046</f>
        <v>-0.125</v>
      </c>
      <c r="N1046" s="0" t="n">
        <f aca="false">D1046*D1046</f>
        <v>0.390625</v>
      </c>
      <c r="O1046" s="0" t="n">
        <f aca="false">E1046*E1046</f>
        <v>0.0625</v>
      </c>
      <c r="P1046" s="0" t="n">
        <f aca="false">F1046*F1046</f>
        <v>0.25</v>
      </c>
      <c r="Q1046" s="0" t="n">
        <f aca="false">SUMPRODUCT(G1046:P1046,_XtX!$B$71:$K$71)</f>
        <v>44.8876704545455</v>
      </c>
      <c r="R1046" s="0" t="n">
        <f aca="false">SUMPRODUCT(MMULT(G1046:P1046,_XtX!$B$58:$K$67),G1046:P1046)</f>
        <v>0.183866743607955</v>
      </c>
      <c r="S1046" s="0" t="n">
        <f aca="false">04_回帰ANOVA!$K$19*04_回帰ANOVA!$K$14*SQRT(1+R1046)</f>
        <v>1.01162148983013</v>
      </c>
      <c r="T1046" s="0" t="n">
        <f aca="false">Q1046-S1046</f>
        <v>43.8760489647153</v>
      </c>
      <c r="U1046" s="0" t="n">
        <f aca="false">Q1046+S1046</f>
        <v>45.8992919443756</v>
      </c>
      <c r="V1046" s="54" t="b">
        <f aca="false">AND(D1046&gt;=01_因子設定!$L$5-0.000000001,D1046&lt;=01_因子設定!$M$5+0.000000001,E1046&gt;=01_因子設定!$L$6-0.000000001,E1046&lt;=01_因子設定!$M$6+0.000000001,F1046&gt;=01_因子設定!$L$7-0.000000001,F1046&lt;=01_因子設定!$M$7+0.000000001,IF(01_因子設定!$B$20="Box-Behnken",D1046^2+E1046^2+F1046^2&lt;=2+0.000000001,TRUE()))</f>
        <v>1</v>
      </c>
      <c r="W1046" s="55" t="n">
        <f aca="false">IF(V1046,IF(01_因子設定!$B$13="最大化",T1046-01_因子設定!$B$14,IF(01_因子設定!$B$13="最小化",01_因子設定!$B$15-U1046,MIN(T1046-01_因子設定!$B$14,01_因子設定!$B$15-U1046))),-1E+030)</f>
        <v>-4.62395103528468</v>
      </c>
      <c r="X1046" s="55" t="n">
        <f aca="false">IF(V1046,IF(01_因子設定!$B$13="最大化",Q1046,IF(01_因子設定!$B$13="最小化",-Q1046,-ABS(Q1046-01_因子設定!$B$16))),-1E+030)</f>
        <v>44.8876704545455</v>
      </c>
      <c r="Y1046" s="55" t="n">
        <f aca="false">W1046+ROW()*0.000000001</f>
        <v>-4.62394998928468</v>
      </c>
      <c r="Z1046" s="55" t="n">
        <f aca="false">X1046+ROW()*0.000000001</f>
        <v>44.8876715005455</v>
      </c>
    </row>
    <row r="1047" customFormat="false" ht="15" hidden="false" customHeight="false" outlineLevel="0" collapsed="false">
      <c r="A1047" s="0" t="n">
        <v>3</v>
      </c>
      <c r="B1047" s="0" t="n">
        <v>10</v>
      </c>
      <c r="C1047" s="0" t="n">
        <v>5</v>
      </c>
      <c r="D1047" s="0" t="n">
        <f aca="false">-1+A1047*0.125</f>
        <v>-0.625</v>
      </c>
      <c r="E1047" s="0" t="n">
        <f aca="false">-1+B1047*0.125</f>
        <v>0.25</v>
      </c>
      <c r="F1047" s="0" t="n">
        <f aca="false">-1+C1047*0.125</f>
        <v>-0.375</v>
      </c>
      <c r="G1047" s="0" t="n">
        <f aca="false">1</f>
        <v>1</v>
      </c>
      <c r="H1047" s="0" t="n">
        <f aca="false">D1047</f>
        <v>-0.625</v>
      </c>
      <c r="I1047" s="0" t="n">
        <f aca="false">E1047</f>
        <v>0.25</v>
      </c>
      <c r="J1047" s="0" t="n">
        <f aca="false">F1047</f>
        <v>-0.375</v>
      </c>
      <c r="K1047" s="0" t="n">
        <f aca="false">D1047*E1047</f>
        <v>-0.15625</v>
      </c>
      <c r="L1047" s="0" t="n">
        <f aca="false">D1047*F1047</f>
        <v>0.234375</v>
      </c>
      <c r="M1047" s="0" t="n">
        <f aca="false">E1047*F1047</f>
        <v>-0.09375</v>
      </c>
      <c r="N1047" s="0" t="n">
        <f aca="false">D1047*D1047</f>
        <v>0.390625</v>
      </c>
      <c r="O1047" s="0" t="n">
        <f aca="false">E1047*E1047</f>
        <v>0.0625</v>
      </c>
      <c r="P1047" s="0" t="n">
        <f aca="false">F1047*F1047</f>
        <v>0.140625</v>
      </c>
      <c r="Q1047" s="0" t="n">
        <f aca="false">SUMPRODUCT(G1047:P1047,_XtX!$B$71:$K$71)</f>
        <v>45.2147159090909</v>
      </c>
      <c r="R1047" s="0" t="n">
        <f aca="false">SUMPRODUCT(MMULT(G1047:P1047,_XtX!$B$58:$K$67),G1047:P1047)</f>
        <v>0.174657648259943</v>
      </c>
      <c r="S1047" s="0" t="n">
        <f aca="false">04_回帰ANOVA!$K$19*04_回帰ANOVA!$K$14*SQRT(1+R1047)</f>
        <v>1.00767919364845</v>
      </c>
      <c r="T1047" s="0" t="n">
        <f aca="false">Q1047-S1047</f>
        <v>44.2070367154425</v>
      </c>
      <c r="U1047" s="0" t="n">
        <f aca="false">Q1047+S1047</f>
        <v>46.2223951027394</v>
      </c>
      <c r="V1047" s="54" t="b">
        <f aca="false">AND(D1047&gt;=01_因子設定!$L$5-0.000000001,D1047&lt;=01_因子設定!$M$5+0.000000001,E1047&gt;=01_因子設定!$L$6-0.000000001,E1047&lt;=01_因子設定!$M$6+0.000000001,F1047&gt;=01_因子設定!$L$7-0.000000001,F1047&lt;=01_因子設定!$M$7+0.000000001,IF(01_因子設定!$B$20="Box-Behnken",D1047^2+E1047^2+F1047^2&lt;=2+0.000000001,TRUE()))</f>
        <v>1</v>
      </c>
      <c r="W1047" s="55" t="n">
        <f aca="false">IF(V1047,IF(01_因子設定!$B$13="最大化",T1047-01_因子設定!$B$14,IF(01_因子設定!$B$13="最小化",01_因子設定!$B$15-U1047,MIN(T1047-01_因子設定!$B$14,01_因子設定!$B$15-U1047))),-1E+030)</f>
        <v>-4.29296328455753</v>
      </c>
      <c r="X1047" s="55" t="n">
        <f aca="false">IF(V1047,IF(01_因子設定!$B$13="最大化",Q1047,IF(01_因子設定!$B$13="最小化",-Q1047,-ABS(Q1047-01_因子設定!$B$16))),-1E+030)</f>
        <v>45.2147159090909</v>
      </c>
      <c r="Y1047" s="55" t="n">
        <f aca="false">W1047+ROW()*0.000000001</f>
        <v>-4.29296223755753</v>
      </c>
      <c r="Z1047" s="55" t="n">
        <f aca="false">X1047+ROW()*0.000000001</f>
        <v>45.2147169560909</v>
      </c>
    </row>
    <row r="1048" customFormat="false" ht="15" hidden="false" customHeight="false" outlineLevel="0" collapsed="false">
      <c r="A1048" s="0" t="n">
        <v>3</v>
      </c>
      <c r="B1048" s="0" t="n">
        <v>10</v>
      </c>
      <c r="C1048" s="0" t="n">
        <v>6</v>
      </c>
      <c r="D1048" s="0" t="n">
        <f aca="false">-1+A1048*0.125</f>
        <v>-0.625</v>
      </c>
      <c r="E1048" s="0" t="n">
        <f aca="false">-1+B1048*0.125</f>
        <v>0.25</v>
      </c>
      <c r="F1048" s="0" t="n">
        <f aca="false">-1+C1048*0.125</f>
        <v>-0.25</v>
      </c>
      <c r="G1048" s="0" t="n">
        <f aca="false">1</f>
        <v>1</v>
      </c>
      <c r="H1048" s="0" t="n">
        <f aca="false">D1048</f>
        <v>-0.625</v>
      </c>
      <c r="I1048" s="0" t="n">
        <f aca="false">E1048</f>
        <v>0.25</v>
      </c>
      <c r="J1048" s="0" t="n">
        <f aca="false">F1048</f>
        <v>-0.25</v>
      </c>
      <c r="K1048" s="0" t="n">
        <f aca="false">D1048*E1048</f>
        <v>-0.15625</v>
      </c>
      <c r="L1048" s="0" t="n">
        <f aca="false">D1048*F1048</f>
        <v>0.15625</v>
      </c>
      <c r="M1048" s="0" t="n">
        <f aca="false">E1048*F1048</f>
        <v>-0.0625</v>
      </c>
      <c r="N1048" s="0" t="n">
        <f aca="false">D1048*D1048</f>
        <v>0.390625</v>
      </c>
      <c r="O1048" s="0" t="n">
        <f aca="false">E1048*E1048</f>
        <v>0.0625</v>
      </c>
      <c r="P1048" s="0" t="n">
        <f aca="false">F1048*F1048</f>
        <v>0.0625</v>
      </c>
      <c r="Q1048" s="0" t="n">
        <f aca="false">SUMPRODUCT(G1048:P1048,_XtX!$B$71:$K$71)</f>
        <v>45.5049715909091</v>
      </c>
      <c r="R1048" s="0" t="n">
        <f aca="false">SUMPRODUCT(MMULT(G1048:P1048,_XtX!$B$58:$K$67),G1048:P1048)</f>
        <v>0.173406427556818</v>
      </c>
      <c r="S1048" s="0" t="n">
        <f aca="false">04_回帰ANOVA!$K$19*04_回帰ANOVA!$K$14*SQRT(1+R1048)</f>
        <v>1.00714237128059</v>
      </c>
      <c r="T1048" s="0" t="n">
        <f aca="false">Q1048-S1048</f>
        <v>44.4978292196285</v>
      </c>
      <c r="U1048" s="0" t="n">
        <f aca="false">Q1048+S1048</f>
        <v>46.5121139621897</v>
      </c>
      <c r="V1048" s="54" t="b">
        <f aca="false">AND(D1048&gt;=01_因子設定!$L$5-0.000000001,D1048&lt;=01_因子設定!$M$5+0.000000001,E1048&gt;=01_因子設定!$L$6-0.000000001,E1048&lt;=01_因子設定!$M$6+0.000000001,F1048&gt;=01_因子設定!$L$7-0.000000001,F1048&lt;=01_因子設定!$M$7+0.000000001,IF(01_因子設定!$B$20="Box-Behnken",D1048^2+E1048^2+F1048^2&lt;=2+0.000000001,TRUE()))</f>
        <v>1</v>
      </c>
      <c r="W1048" s="55" t="n">
        <f aca="false">IF(V1048,IF(01_因子設定!$B$13="最大化",T1048-01_因子設定!$B$14,IF(01_因子設定!$B$13="最小化",01_因子設定!$B$15-U1048,MIN(T1048-01_因子設定!$B$14,01_因子設定!$B$15-U1048))),-1E+030)</f>
        <v>-4.0021707803715</v>
      </c>
      <c r="X1048" s="55" t="n">
        <f aca="false">IF(V1048,IF(01_因子設定!$B$13="最大化",Q1048,IF(01_因子設定!$B$13="最小化",-Q1048,-ABS(Q1048-01_因子設定!$B$16))),-1E+030)</f>
        <v>45.5049715909091</v>
      </c>
      <c r="Y1048" s="55" t="n">
        <f aca="false">W1048+ROW()*0.000000001</f>
        <v>-4.0021697323715</v>
      </c>
      <c r="Z1048" s="55" t="n">
        <f aca="false">X1048+ROW()*0.000000001</f>
        <v>45.5049726389091</v>
      </c>
    </row>
    <row r="1049" customFormat="false" ht="15" hidden="false" customHeight="false" outlineLevel="0" collapsed="false">
      <c r="A1049" s="0" t="n">
        <v>3</v>
      </c>
      <c r="B1049" s="0" t="n">
        <v>10</v>
      </c>
      <c r="C1049" s="0" t="n">
        <v>7</v>
      </c>
      <c r="D1049" s="0" t="n">
        <f aca="false">-1+A1049*0.125</f>
        <v>-0.625</v>
      </c>
      <c r="E1049" s="0" t="n">
        <f aca="false">-1+B1049*0.125</f>
        <v>0.25</v>
      </c>
      <c r="F1049" s="0" t="n">
        <f aca="false">-1+C1049*0.125</f>
        <v>-0.125</v>
      </c>
      <c r="G1049" s="0" t="n">
        <f aca="false">1</f>
        <v>1</v>
      </c>
      <c r="H1049" s="0" t="n">
        <f aca="false">D1049</f>
        <v>-0.625</v>
      </c>
      <c r="I1049" s="0" t="n">
        <f aca="false">E1049</f>
        <v>0.25</v>
      </c>
      <c r="J1049" s="0" t="n">
        <f aca="false">F1049</f>
        <v>-0.125</v>
      </c>
      <c r="K1049" s="0" t="n">
        <f aca="false">D1049*E1049</f>
        <v>-0.15625</v>
      </c>
      <c r="L1049" s="0" t="n">
        <f aca="false">D1049*F1049</f>
        <v>0.078125</v>
      </c>
      <c r="M1049" s="0" t="n">
        <f aca="false">E1049*F1049</f>
        <v>-0.03125</v>
      </c>
      <c r="N1049" s="0" t="n">
        <f aca="false">D1049*D1049</f>
        <v>0.390625</v>
      </c>
      <c r="O1049" s="0" t="n">
        <f aca="false">E1049*E1049</f>
        <v>0.0625</v>
      </c>
      <c r="P1049" s="0" t="n">
        <f aca="false">F1049*F1049</f>
        <v>0.015625</v>
      </c>
      <c r="Q1049" s="0" t="n">
        <f aca="false">SUMPRODUCT(G1049:P1049,_XtX!$B$71:$K$71)</f>
        <v>45.7584375</v>
      </c>
      <c r="R1049" s="0" t="n">
        <f aca="false">SUMPRODUCT(MMULT(G1049:P1049,_XtX!$B$58:$K$67),G1049:P1049)</f>
        <v>0.174786376953125</v>
      </c>
      <c r="S1049" s="0" t="n">
        <f aca="false">04_回帰ANOVA!$K$19*04_回帰ANOVA!$K$14*SQRT(1+R1049)</f>
        <v>1.00773440704286</v>
      </c>
      <c r="T1049" s="0" t="n">
        <f aca="false">Q1049-S1049</f>
        <v>44.7507030929571</v>
      </c>
      <c r="U1049" s="0" t="n">
        <f aca="false">Q1049+S1049</f>
        <v>46.7661719070429</v>
      </c>
      <c r="V1049" s="54" t="b">
        <f aca="false">AND(D1049&gt;=01_因子設定!$L$5-0.000000001,D1049&lt;=01_因子設定!$M$5+0.000000001,E1049&gt;=01_因子設定!$L$6-0.000000001,E1049&lt;=01_因子設定!$M$6+0.000000001,F1049&gt;=01_因子設定!$L$7-0.000000001,F1049&lt;=01_因子設定!$M$7+0.000000001,IF(01_因子設定!$B$20="Box-Behnken",D1049^2+E1049^2+F1049^2&lt;=2+0.000000001,TRUE()))</f>
        <v>1</v>
      </c>
      <c r="W1049" s="55" t="n">
        <f aca="false">IF(V1049,IF(01_因子設定!$B$13="最大化",T1049-01_因子設定!$B$14,IF(01_因子設定!$B$13="最小化",01_因子設定!$B$15-U1049,MIN(T1049-01_因子設定!$B$14,01_因子設定!$B$15-U1049))),-1E+030)</f>
        <v>-3.74929690704286</v>
      </c>
      <c r="X1049" s="55" t="n">
        <f aca="false">IF(V1049,IF(01_因子設定!$B$13="最大化",Q1049,IF(01_因子設定!$B$13="最小化",-Q1049,-ABS(Q1049-01_因子設定!$B$16))),-1E+030)</f>
        <v>45.7584375</v>
      </c>
      <c r="Y1049" s="55" t="n">
        <f aca="false">W1049+ROW()*0.000000001</f>
        <v>-3.74929585804286</v>
      </c>
      <c r="Z1049" s="55" t="n">
        <f aca="false">X1049+ROW()*0.000000001</f>
        <v>45.758438549</v>
      </c>
    </row>
    <row r="1050" customFormat="false" ht="15" hidden="false" customHeight="false" outlineLevel="0" collapsed="false">
      <c r="A1050" s="0" t="n">
        <v>3</v>
      </c>
      <c r="B1050" s="0" t="n">
        <v>10</v>
      </c>
      <c r="C1050" s="0" t="n">
        <v>8</v>
      </c>
      <c r="D1050" s="0" t="n">
        <f aca="false">-1+A1050*0.125</f>
        <v>-0.625</v>
      </c>
      <c r="E1050" s="0" t="n">
        <f aca="false">-1+B1050*0.125</f>
        <v>0.25</v>
      </c>
      <c r="F1050" s="0" t="n">
        <f aca="false">-1+C1050*0.125</f>
        <v>0</v>
      </c>
      <c r="G1050" s="0" t="n">
        <f aca="false">1</f>
        <v>1</v>
      </c>
      <c r="H1050" s="0" t="n">
        <f aca="false">D1050</f>
        <v>-0.625</v>
      </c>
      <c r="I1050" s="0" t="n">
        <f aca="false">E1050</f>
        <v>0.25</v>
      </c>
      <c r="J1050" s="0" t="n">
        <f aca="false">F1050</f>
        <v>0</v>
      </c>
      <c r="K1050" s="0" t="n">
        <f aca="false">D1050*E1050</f>
        <v>-0.15625</v>
      </c>
      <c r="L1050" s="0" t="n">
        <f aca="false">D1050*F1050</f>
        <v>-0</v>
      </c>
      <c r="M1050" s="0" t="n">
        <f aca="false">E1050*F1050</f>
        <v>0</v>
      </c>
      <c r="N1050" s="0" t="n">
        <f aca="false">D1050*D1050</f>
        <v>0.390625</v>
      </c>
      <c r="O1050" s="0" t="n">
        <f aca="false">E1050*E1050</f>
        <v>0.0625</v>
      </c>
      <c r="P1050" s="0" t="n">
        <f aca="false">F1050*F1050</f>
        <v>0</v>
      </c>
      <c r="Q1050" s="0" t="n">
        <f aca="false">SUMPRODUCT(G1050:P1050,_XtX!$B$71:$K$71)</f>
        <v>45.9751136363636</v>
      </c>
      <c r="R1050" s="0" t="n">
        <f aca="false">SUMPRODUCT(MMULT(G1050:P1050,_XtX!$B$58:$K$67),G1050:P1050)</f>
        <v>0.175601473721591</v>
      </c>
      <c r="S1050" s="0" t="n">
        <f aca="false">04_回帰ANOVA!$K$19*04_回帰ANOVA!$K$14*SQRT(1+R1050)</f>
        <v>1.00808394234856</v>
      </c>
      <c r="T1050" s="0" t="n">
        <f aca="false">Q1050-S1050</f>
        <v>44.9670296940151</v>
      </c>
      <c r="U1050" s="0" t="n">
        <f aca="false">Q1050+S1050</f>
        <v>46.9831975787122</v>
      </c>
      <c r="V1050" s="54" t="b">
        <f aca="false">AND(D1050&gt;=01_因子設定!$L$5-0.000000001,D1050&lt;=01_因子設定!$M$5+0.000000001,E1050&gt;=01_因子設定!$L$6-0.000000001,E1050&lt;=01_因子設定!$M$6+0.000000001,F1050&gt;=01_因子設定!$L$7-0.000000001,F1050&lt;=01_因子設定!$M$7+0.000000001,IF(01_因子設定!$B$20="Box-Behnken",D1050^2+E1050^2+F1050^2&lt;=2+0.000000001,TRUE()))</f>
        <v>1</v>
      </c>
      <c r="W1050" s="55" t="n">
        <f aca="false">IF(V1050,IF(01_因子設定!$B$13="最大化",T1050-01_因子設定!$B$14,IF(01_因子設定!$B$13="最小化",01_因子設定!$B$15-U1050,MIN(T1050-01_因子設定!$B$14,01_因子設定!$B$15-U1050))),-1E+030)</f>
        <v>-3.53297030598493</v>
      </c>
      <c r="X1050" s="55" t="n">
        <f aca="false">IF(V1050,IF(01_因子設定!$B$13="最大化",Q1050,IF(01_因子設定!$B$13="最小化",-Q1050,-ABS(Q1050-01_因子設定!$B$16))),-1E+030)</f>
        <v>45.9751136363636</v>
      </c>
      <c r="Y1050" s="55" t="n">
        <f aca="false">W1050+ROW()*0.000000001</f>
        <v>-3.53296925598493</v>
      </c>
      <c r="Z1050" s="55" t="n">
        <f aca="false">X1050+ROW()*0.000000001</f>
        <v>45.9751146863636</v>
      </c>
    </row>
    <row r="1051" customFormat="false" ht="15" hidden="false" customHeight="false" outlineLevel="0" collapsed="false">
      <c r="A1051" s="0" t="n">
        <v>3</v>
      </c>
      <c r="B1051" s="0" t="n">
        <v>10</v>
      </c>
      <c r="C1051" s="0" t="n">
        <v>9</v>
      </c>
      <c r="D1051" s="0" t="n">
        <f aca="false">-1+A1051*0.125</f>
        <v>-0.625</v>
      </c>
      <c r="E1051" s="0" t="n">
        <f aca="false">-1+B1051*0.125</f>
        <v>0.25</v>
      </c>
      <c r="F1051" s="0" t="n">
        <f aca="false">-1+C1051*0.125</f>
        <v>0.125</v>
      </c>
      <c r="G1051" s="0" t="n">
        <f aca="false">1</f>
        <v>1</v>
      </c>
      <c r="H1051" s="0" t="n">
        <f aca="false">D1051</f>
        <v>-0.625</v>
      </c>
      <c r="I1051" s="0" t="n">
        <f aca="false">E1051</f>
        <v>0.25</v>
      </c>
      <c r="J1051" s="0" t="n">
        <f aca="false">F1051</f>
        <v>0.125</v>
      </c>
      <c r="K1051" s="0" t="n">
        <f aca="false">D1051*E1051</f>
        <v>-0.15625</v>
      </c>
      <c r="L1051" s="0" t="n">
        <f aca="false">D1051*F1051</f>
        <v>-0.078125</v>
      </c>
      <c r="M1051" s="0" t="n">
        <f aca="false">E1051*F1051</f>
        <v>0.03125</v>
      </c>
      <c r="N1051" s="0" t="n">
        <f aca="false">D1051*D1051</f>
        <v>0.390625</v>
      </c>
      <c r="O1051" s="0" t="n">
        <f aca="false">E1051*E1051</f>
        <v>0.0625</v>
      </c>
      <c r="P1051" s="0" t="n">
        <f aca="false">F1051*F1051</f>
        <v>0.015625</v>
      </c>
      <c r="Q1051" s="0" t="n">
        <f aca="false">SUMPRODUCT(G1051:P1051,_XtX!$B$71:$K$71)</f>
        <v>46.155</v>
      </c>
      <c r="R1051" s="0" t="n">
        <f aca="false">SUMPRODUCT(MMULT(G1051:P1051,_XtX!$B$58:$K$67),G1051:P1051)</f>
        <v>0.174786376953125</v>
      </c>
      <c r="S1051" s="0" t="n">
        <f aca="false">04_回帰ANOVA!$K$19*04_回帰ANOVA!$K$14*SQRT(1+R1051)</f>
        <v>1.00773440704286</v>
      </c>
      <c r="T1051" s="0" t="n">
        <f aca="false">Q1051-S1051</f>
        <v>45.1472655929571</v>
      </c>
      <c r="U1051" s="0" t="n">
        <f aca="false">Q1051+S1051</f>
        <v>47.1627344070429</v>
      </c>
      <c r="V1051" s="54" t="b">
        <f aca="false">AND(D1051&gt;=01_因子設定!$L$5-0.000000001,D1051&lt;=01_因子設定!$M$5+0.000000001,E1051&gt;=01_因子設定!$L$6-0.000000001,E1051&lt;=01_因子設定!$M$6+0.000000001,F1051&gt;=01_因子設定!$L$7-0.000000001,F1051&lt;=01_因子設定!$M$7+0.000000001,IF(01_因子設定!$B$20="Box-Behnken",D1051^2+E1051^2+F1051^2&lt;=2+0.000000001,TRUE()))</f>
        <v>1</v>
      </c>
      <c r="W1051" s="55" t="n">
        <f aca="false">IF(V1051,IF(01_因子設定!$B$13="最大化",T1051-01_因子設定!$B$14,IF(01_因子設定!$B$13="最小化",01_因子設定!$B$15-U1051,MIN(T1051-01_因子設定!$B$14,01_因子設定!$B$15-U1051))),-1E+030)</f>
        <v>-3.35273440704286</v>
      </c>
      <c r="X1051" s="55" t="n">
        <f aca="false">IF(V1051,IF(01_因子設定!$B$13="最大化",Q1051,IF(01_因子設定!$B$13="最小化",-Q1051,-ABS(Q1051-01_因子設定!$B$16))),-1E+030)</f>
        <v>46.155</v>
      </c>
      <c r="Y1051" s="55" t="n">
        <f aca="false">W1051+ROW()*0.000000001</f>
        <v>-3.35273335604286</v>
      </c>
      <c r="Z1051" s="55" t="n">
        <f aca="false">X1051+ROW()*0.000000001</f>
        <v>46.155001051</v>
      </c>
    </row>
    <row r="1052" customFormat="false" ht="15" hidden="false" customHeight="false" outlineLevel="0" collapsed="false">
      <c r="A1052" s="0" t="n">
        <v>3</v>
      </c>
      <c r="B1052" s="0" t="n">
        <v>10</v>
      </c>
      <c r="C1052" s="0" t="n">
        <v>10</v>
      </c>
      <c r="D1052" s="0" t="n">
        <f aca="false">-1+A1052*0.125</f>
        <v>-0.625</v>
      </c>
      <c r="E1052" s="0" t="n">
        <f aca="false">-1+B1052*0.125</f>
        <v>0.25</v>
      </c>
      <c r="F1052" s="0" t="n">
        <f aca="false">-1+C1052*0.125</f>
        <v>0.25</v>
      </c>
      <c r="G1052" s="0" t="n">
        <f aca="false">1</f>
        <v>1</v>
      </c>
      <c r="H1052" s="0" t="n">
        <f aca="false">D1052</f>
        <v>-0.625</v>
      </c>
      <c r="I1052" s="0" t="n">
        <f aca="false">E1052</f>
        <v>0.25</v>
      </c>
      <c r="J1052" s="0" t="n">
        <f aca="false">F1052</f>
        <v>0.25</v>
      </c>
      <c r="K1052" s="0" t="n">
        <f aca="false">D1052*E1052</f>
        <v>-0.15625</v>
      </c>
      <c r="L1052" s="0" t="n">
        <f aca="false">D1052*F1052</f>
        <v>-0.15625</v>
      </c>
      <c r="M1052" s="0" t="n">
        <f aca="false">E1052*F1052</f>
        <v>0.0625</v>
      </c>
      <c r="N1052" s="0" t="n">
        <f aca="false">D1052*D1052</f>
        <v>0.390625</v>
      </c>
      <c r="O1052" s="0" t="n">
        <f aca="false">E1052*E1052</f>
        <v>0.0625</v>
      </c>
      <c r="P1052" s="0" t="n">
        <f aca="false">F1052*F1052</f>
        <v>0.0625</v>
      </c>
      <c r="Q1052" s="0" t="n">
        <f aca="false">SUMPRODUCT(G1052:P1052,_XtX!$B$71:$K$71)</f>
        <v>46.2980965909091</v>
      </c>
      <c r="R1052" s="0" t="n">
        <f aca="false">SUMPRODUCT(MMULT(G1052:P1052,_XtX!$B$58:$K$67),G1052:P1052)</f>
        <v>0.173406427556818</v>
      </c>
      <c r="S1052" s="0" t="n">
        <f aca="false">04_回帰ANOVA!$K$19*04_回帰ANOVA!$K$14*SQRT(1+R1052)</f>
        <v>1.00714237128059</v>
      </c>
      <c r="T1052" s="0" t="n">
        <f aca="false">Q1052-S1052</f>
        <v>45.2909542196285</v>
      </c>
      <c r="U1052" s="0" t="n">
        <f aca="false">Q1052+S1052</f>
        <v>47.3052389621897</v>
      </c>
      <c r="V1052" s="54" t="b">
        <f aca="false">AND(D1052&gt;=01_因子設定!$L$5-0.000000001,D1052&lt;=01_因子設定!$M$5+0.000000001,E1052&gt;=01_因子設定!$L$6-0.000000001,E1052&lt;=01_因子設定!$M$6+0.000000001,F1052&gt;=01_因子設定!$L$7-0.000000001,F1052&lt;=01_因子設定!$M$7+0.000000001,IF(01_因子設定!$B$20="Box-Behnken",D1052^2+E1052^2+F1052^2&lt;=2+0.000000001,TRUE()))</f>
        <v>1</v>
      </c>
      <c r="W1052" s="55" t="n">
        <f aca="false">IF(V1052,IF(01_因子設定!$B$13="最大化",T1052-01_因子設定!$B$14,IF(01_因子設定!$B$13="最小化",01_因子設定!$B$15-U1052,MIN(T1052-01_因子設定!$B$14,01_因子設定!$B$15-U1052))),-1E+030)</f>
        <v>-3.2090457803715</v>
      </c>
      <c r="X1052" s="55" t="n">
        <f aca="false">IF(V1052,IF(01_因子設定!$B$13="最大化",Q1052,IF(01_因子設定!$B$13="最小化",-Q1052,-ABS(Q1052-01_因子設定!$B$16))),-1E+030)</f>
        <v>46.2980965909091</v>
      </c>
      <c r="Y1052" s="55" t="n">
        <f aca="false">W1052+ROW()*0.000000001</f>
        <v>-3.2090447283715</v>
      </c>
      <c r="Z1052" s="55" t="n">
        <f aca="false">X1052+ROW()*0.000000001</f>
        <v>46.2980976429091</v>
      </c>
    </row>
    <row r="1053" customFormat="false" ht="15" hidden="false" customHeight="false" outlineLevel="0" collapsed="false">
      <c r="A1053" s="0" t="n">
        <v>3</v>
      </c>
      <c r="B1053" s="0" t="n">
        <v>10</v>
      </c>
      <c r="C1053" s="0" t="n">
        <v>11</v>
      </c>
      <c r="D1053" s="0" t="n">
        <f aca="false">-1+A1053*0.125</f>
        <v>-0.625</v>
      </c>
      <c r="E1053" s="0" t="n">
        <f aca="false">-1+B1053*0.125</f>
        <v>0.25</v>
      </c>
      <c r="F1053" s="0" t="n">
        <f aca="false">-1+C1053*0.125</f>
        <v>0.375</v>
      </c>
      <c r="G1053" s="0" t="n">
        <f aca="false">1</f>
        <v>1</v>
      </c>
      <c r="H1053" s="0" t="n">
        <f aca="false">D1053</f>
        <v>-0.625</v>
      </c>
      <c r="I1053" s="0" t="n">
        <f aca="false">E1053</f>
        <v>0.25</v>
      </c>
      <c r="J1053" s="0" t="n">
        <f aca="false">F1053</f>
        <v>0.375</v>
      </c>
      <c r="K1053" s="0" t="n">
        <f aca="false">D1053*E1053</f>
        <v>-0.15625</v>
      </c>
      <c r="L1053" s="0" t="n">
        <f aca="false">D1053*F1053</f>
        <v>-0.234375</v>
      </c>
      <c r="M1053" s="0" t="n">
        <f aca="false">E1053*F1053</f>
        <v>0.09375</v>
      </c>
      <c r="N1053" s="0" t="n">
        <f aca="false">D1053*D1053</f>
        <v>0.390625</v>
      </c>
      <c r="O1053" s="0" t="n">
        <f aca="false">E1053*E1053</f>
        <v>0.0625</v>
      </c>
      <c r="P1053" s="0" t="n">
        <f aca="false">F1053*F1053</f>
        <v>0.140625</v>
      </c>
      <c r="Q1053" s="0" t="n">
        <f aca="false">SUMPRODUCT(G1053:P1053,_XtX!$B$71:$K$71)</f>
        <v>46.4044034090909</v>
      </c>
      <c r="R1053" s="0" t="n">
        <f aca="false">SUMPRODUCT(MMULT(G1053:P1053,_XtX!$B$58:$K$67),G1053:P1053)</f>
        <v>0.174657648259943</v>
      </c>
      <c r="S1053" s="0" t="n">
        <f aca="false">04_回帰ANOVA!$K$19*04_回帰ANOVA!$K$14*SQRT(1+R1053)</f>
        <v>1.00767919364845</v>
      </c>
      <c r="T1053" s="0" t="n">
        <f aca="false">Q1053-S1053</f>
        <v>45.3967242154425</v>
      </c>
      <c r="U1053" s="0" t="n">
        <f aca="false">Q1053+S1053</f>
        <v>47.4120826027394</v>
      </c>
      <c r="V1053" s="54" t="b">
        <f aca="false">AND(D1053&gt;=01_因子設定!$L$5-0.000000001,D1053&lt;=01_因子設定!$M$5+0.000000001,E1053&gt;=01_因子設定!$L$6-0.000000001,E1053&lt;=01_因子設定!$M$6+0.000000001,F1053&gt;=01_因子設定!$L$7-0.000000001,F1053&lt;=01_因子設定!$M$7+0.000000001,IF(01_因子設定!$B$20="Box-Behnken",D1053^2+E1053^2+F1053^2&lt;=2+0.000000001,TRUE()))</f>
        <v>1</v>
      </c>
      <c r="W1053" s="55" t="n">
        <f aca="false">IF(V1053,IF(01_因子設定!$B$13="最大化",T1053-01_因子設定!$B$14,IF(01_因子設定!$B$13="最小化",01_因子設定!$B$15-U1053,MIN(T1053-01_因子設定!$B$14,01_因子設定!$B$15-U1053))),-1E+030)</f>
        <v>-3.10327578455753</v>
      </c>
      <c r="X1053" s="55" t="n">
        <f aca="false">IF(V1053,IF(01_因子設定!$B$13="最大化",Q1053,IF(01_因子設定!$B$13="最小化",-Q1053,-ABS(Q1053-01_因子設定!$B$16))),-1E+030)</f>
        <v>46.4044034090909</v>
      </c>
      <c r="Y1053" s="55" t="n">
        <f aca="false">W1053+ROW()*0.000000001</f>
        <v>-3.10327473155753</v>
      </c>
      <c r="Z1053" s="55" t="n">
        <f aca="false">X1053+ROW()*0.000000001</f>
        <v>46.4044044620909</v>
      </c>
    </row>
    <row r="1054" customFormat="false" ht="15" hidden="false" customHeight="false" outlineLevel="0" collapsed="false">
      <c r="A1054" s="0" t="n">
        <v>3</v>
      </c>
      <c r="B1054" s="0" t="n">
        <v>10</v>
      </c>
      <c r="C1054" s="0" t="n">
        <v>12</v>
      </c>
      <c r="D1054" s="0" t="n">
        <f aca="false">-1+A1054*0.125</f>
        <v>-0.625</v>
      </c>
      <c r="E1054" s="0" t="n">
        <f aca="false">-1+B1054*0.125</f>
        <v>0.25</v>
      </c>
      <c r="F1054" s="0" t="n">
        <f aca="false">-1+C1054*0.125</f>
        <v>0.5</v>
      </c>
      <c r="G1054" s="0" t="n">
        <f aca="false">1</f>
        <v>1</v>
      </c>
      <c r="H1054" s="0" t="n">
        <f aca="false">D1054</f>
        <v>-0.625</v>
      </c>
      <c r="I1054" s="0" t="n">
        <f aca="false">E1054</f>
        <v>0.25</v>
      </c>
      <c r="J1054" s="0" t="n">
        <f aca="false">F1054</f>
        <v>0.5</v>
      </c>
      <c r="K1054" s="0" t="n">
        <f aca="false">D1054*E1054</f>
        <v>-0.15625</v>
      </c>
      <c r="L1054" s="0" t="n">
        <f aca="false">D1054*F1054</f>
        <v>-0.3125</v>
      </c>
      <c r="M1054" s="0" t="n">
        <f aca="false">E1054*F1054</f>
        <v>0.125</v>
      </c>
      <c r="N1054" s="0" t="n">
        <f aca="false">D1054*D1054</f>
        <v>0.390625</v>
      </c>
      <c r="O1054" s="0" t="n">
        <f aca="false">E1054*E1054</f>
        <v>0.0625</v>
      </c>
      <c r="P1054" s="0" t="n">
        <f aca="false">F1054*F1054</f>
        <v>0.25</v>
      </c>
      <c r="Q1054" s="0" t="n">
        <f aca="false">SUMPRODUCT(G1054:P1054,_XtX!$B$71:$K$71)</f>
        <v>46.4739204545455</v>
      </c>
      <c r="R1054" s="0" t="n">
        <f aca="false">SUMPRODUCT(MMULT(G1054:P1054,_XtX!$B$58:$K$67),G1054:P1054)</f>
        <v>0.183866743607955</v>
      </c>
      <c r="S1054" s="0" t="n">
        <f aca="false">04_回帰ANOVA!$K$19*04_回帰ANOVA!$K$14*SQRT(1+R1054)</f>
        <v>1.01162148983013</v>
      </c>
      <c r="T1054" s="0" t="n">
        <f aca="false">Q1054-S1054</f>
        <v>45.4622989647153</v>
      </c>
      <c r="U1054" s="0" t="n">
        <f aca="false">Q1054+S1054</f>
        <v>47.4855419443756</v>
      </c>
      <c r="V1054" s="54" t="b">
        <f aca="false">AND(D1054&gt;=01_因子設定!$L$5-0.000000001,D1054&lt;=01_因子設定!$M$5+0.000000001,E1054&gt;=01_因子設定!$L$6-0.000000001,E1054&lt;=01_因子設定!$M$6+0.000000001,F1054&gt;=01_因子設定!$L$7-0.000000001,F1054&lt;=01_因子設定!$M$7+0.000000001,IF(01_因子設定!$B$20="Box-Behnken",D1054^2+E1054^2+F1054^2&lt;=2+0.000000001,TRUE()))</f>
        <v>1</v>
      </c>
      <c r="W1054" s="55" t="n">
        <f aca="false">IF(V1054,IF(01_因子設定!$B$13="最大化",T1054-01_因子設定!$B$14,IF(01_因子設定!$B$13="最小化",01_因子設定!$B$15-U1054,MIN(T1054-01_因子設定!$B$14,01_因子設定!$B$15-U1054))),-1E+030)</f>
        <v>-3.03770103528468</v>
      </c>
      <c r="X1054" s="55" t="n">
        <f aca="false">IF(V1054,IF(01_因子設定!$B$13="最大化",Q1054,IF(01_因子設定!$B$13="最小化",-Q1054,-ABS(Q1054-01_因子設定!$B$16))),-1E+030)</f>
        <v>46.4739204545455</v>
      </c>
      <c r="Y1054" s="55" t="n">
        <f aca="false">W1054+ROW()*0.000000001</f>
        <v>-3.03769998128468</v>
      </c>
      <c r="Z1054" s="55" t="n">
        <f aca="false">X1054+ROW()*0.000000001</f>
        <v>46.4739215085455</v>
      </c>
    </row>
    <row r="1055" customFormat="false" ht="15" hidden="false" customHeight="false" outlineLevel="0" collapsed="false">
      <c r="A1055" s="0" t="n">
        <v>3</v>
      </c>
      <c r="B1055" s="0" t="n">
        <v>10</v>
      </c>
      <c r="C1055" s="0" t="n">
        <v>13</v>
      </c>
      <c r="D1055" s="0" t="n">
        <f aca="false">-1+A1055*0.125</f>
        <v>-0.625</v>
      </c>
      <c r="E1055" s="0" t="n">
        <f aca="false">-1+B1055*0.125</f>
        <v>0.25</v>
      </c>
      <c r="F1055" s="0" t="n">
        <f aca="false">-1+C1055*0.125</f>
        <v>0.625</v>
      </c>
      <c r="G1055" s="0" t="n">
        <f aca="false">1</f>
        <v>1</v>
      </c>
      <c r="H1055" s="0" t="n">
        <f aca="false">D1055</f>
        <v>-0.625</v>
      </c>
      <c r="I1055" s="0" t="n">
        <f aca="false">E1055</f>
        <v>0.25</v>
      </c>
      <c r="J1055" s="0" t="n">
        <f aca="false">F1055</f>
        <v>0.625</v>
      </c>
      <c r="K1055" s="0" t="n">
        <f aca="false">D1055*E1055</f>
        <v>-0.15625</v>
      </c>
      <c r="L1055" s="0" t="n">
        <f aca="false">D1055*F1055</f>
        <v>-0.390625</v>
      </c>
      <c r="M1055" s="0" t="n">
        <f aca="false">E1055*F1055</f>
        <v>0.15625</v>
      </c>
      <c r="N1055" s="0" t="n">
        <f aca="false">D1055*D1055</f>
        <v>0.390625</v>
      </c>
      <c r="O1055" s="0" t="n">
        <f aca="false">E1055*E1055</f>
        <v>0.0625</v>
      </c>
      <c r="P1055" s="0" t="n">
        <f aca="false">F1055*F1055</f>
        <v>0.390625</v>
      </c>
      <c r="Q1055" s="0" t="n">
        <f aca="false">SUMPRODUCT(G1055:P1055,_XtX!$B$71:$K$71)</f>
        <v>46.5066477272727</v>
      </c>
      <c r="R1055" s="0" t="n">
        <f aca="false">SUMPRODUCT(MMULT(G1055:P1055,_XtX!$B$58:$K$67),G1055:P1055)</f>
        <v>0.208491099964489</v>
      </c>
      <c r="S1055" s="0" t="n">
        <f aca="false">04_回帰ANOVA!$K$19*04_回帰ANOVA!$K$14*SQRT(1+R1055)</f>
        <v>1.02208817610259</v>
      </c>
      <c r="T1055" s="0" t="n">
        <f aca="false">Q1055-S1055</f>
        <v>45.4845595511702</v>
      </c>
      <c r="U1055" s="0" t="n">
        <f aca="false">Q1055+S1055</f>
        <v>47.5287359033753</v>
      </c>
      <c r="V1055" s="54" t="b">
        <f aca="false">AND(D1055&gt;=01_因子設定!$L$5-0.000000001,D1055&lt;=01_因子設定!$M$5+0.000000001,E1055&gt;=01_因子設定!$L$6-0.000000001,E1055&lt;=01_因子設定!$M$6+0.000000001,F1055&gt;=01_因子設定!$L$7-0.000000001,F1055&lt;=01_因子設定!$M$7+0.000000001,IF(01_因子設定!$B$20="Box-Behnken",D1055^2+E1055^2+F1055^2&lt;=2+0.000000001,TRUE()))</f>
        <v>1</v>
      </c>
      <c r="W1055" s="55" t="n">
        <f aca="false">IF(V1055,IF(01_因子設定!$B$13="最大化",T1055-01_因子設定!$B$14,IF(01_因子設定!$B$13="最小化",01_因子設定!$B$15-U1055,MIN(T1055-01_因子設定!$B$14,01_因子設定!$B$15-U1055))),-1E+030)</f>
        <v>-3.01544044882985</v>
      </c>
      <c r="X1055" s="55" t="n">
        <f aca="false">IF(V1055,IF(01_因子設定!$B$13="最大化",Q1055,IF(01_因子設定!$B$13="最小化",-Q1055,-ABS(Q1055-01_因子設定!$B$16))),-1E+030)</f>
        <v>46.5066477272727</v>
      </c>
      <c r="Y1055" s="55" t="n">
        <f aca="false">W1055+ROW()*0.000000001</f>
        <v>-3.01543939382985</v>
      </c>
      <c r="Z1055" s="55" t="n">
        <f aca="false">X1055+ROW()*0.000000001</f>
        <v>46.5066487822727</v>
      </c>
    </row>
    <row r="1056" customFormat="false" ht="15" hidden="false" customHeight="false" outlineLevel="0" collapsed="false">
      <c r="A1056" s="0" t="n">
        <v>3</v>
      </c>
      <c r="B1056" s="0" t="n">
        <v>10</v>
      </c>
      <c r="C1056" s="0" t="n">
        <v>14</v>
      </c>
      <c r="D1056" s="0" t="n">
        <f aca="false">-1+A1056*0.125</f>
        <v>-0.625</v>
      </c>
      <c r="E1056" s="0" t="n">
        <f aca="false">-1+B1056*0.125</f>
        <v>0.25</v>
      </c>
      <c r="F1056" s="0" t="n">
        <f aca="false">-1+C1056*0.125</f>
        <v>0.75</v>
      </c>
      <c r="G1056" s="0" t="n">
        <f aca="false">1</f>
        <v>1</v>
      </c>
      <c r="H1056" s="0" t="n">
        <f aca="false">D1056</f>
        <v>-0.625</v>
      </c>
      <c r="I1056" s="0" t="n">
        <f aca="false">E1056</f>
        <v>0.25</v>
      </c>
      <c r="J1056" s="0" t="n">
        <f aca="false">F1056</f>
        <v>0.75</v>
      </c>
      <c r="K1056" s="0" t="n">
        <f aca="false">D1056*E1056</f>
        <v>-0.15625</v>
      </c>
      <c r="L1056" s="0" t="n">
        <f aca="false">D1056*F1056</f>
        <v>-0.46875</v>
      </c>
      <c r="M1056" s="0" t="n">
        <f aca="false">E1056*F1056</f>
        <v>0.1875</v>
      </c>
      <c r="N1056" s="0" t="n">
        <f aca="false">D1056*D1056</f>
        <v>0.390625</v>
      </c>
      <c r="O1056" s="0" t="n">
        <f aca="false">E1056*E1056</f>
        <v>0.0625</v>
      </c>
      <c r="P1056" s="0" t="n">
        <f aca="false">F1056*F1056</f>
        <v>0.5625</v>
      </c>
      <c r="Q1056" s="0" t="n">
        <f aca="false">SUMPRODUCT(G1056:P1056,_XtX!$B$71:$K$71)</f>
        <v>46.5025852272727</v>
      </c>
      <c r="R1056" s="0" t="n">
        <f aca="false">SUMPRODUCT(MMULT(G1056:P1056,_XtX!$B$58:$K$67),G1056:P1056)</f>
        <v>0.258118785511364</v>
      </c>
      <c r="S1056" s="0" t="n">
        <f aca="false">04_回帰ANOVA!$K$19*04_回帰ANOVA!$K$14*SQRT(1+R1056)</f>
        <v>1.04286348094876</v>
      </c>
      <c r="T1056" s="0" t="n">
        <f aca="false">Q1056-S1056</f>
        <v>45.459721746324</v>
      </c>
      <c r="U1056" s="0" t="n">
        <f aca="false">Q1056+S1056</f>
        <v>47.5454487082215</v>
      </c>
      <c r="V1056" s="54" t="b">
        <f aca="false">AND(D1056&gt;=01_因子設定!$L$5-0.000000001,D1056&lt;=01_因子設定!$M$5+0.000000001,E1056&gt;=01_因子設定!$L$6-0.000000001,E1056&lt;=01_因子設定!$M$6+0.000000001,F1056&gt;=01_因子設定!$L$7-0.000000001,F1056&lt;=01_因子設定!$M$7+0.000000001,IF(01_因子設定!$B$20="Box-Behnken",D1056^2+E1056^2+F1056^2&lt;=2+0.000000001,TRUE()))</f>
        <v>1</v>
      </c>
      <c r="W1056" s="55" t="n">
        <f aca="false">IF(V1056,IF(01_因子設定!$B$13="最大化",T1056-01_因子設定!$B$14,IF(01_因子設定!$B$13="最小化",01_因子設定!$B$15-U1056,MIN(T1056-01_因子設定!$B$14,01_因子設定!$B$15-U1056))),-1E+030)</f>
        <v>-3.04027825367602</v>
      </c>
      <c r="X1056" s="55" t="n">
        <f aca="false">IF(V1056,IF(01_因子設定!$B$13="最大化",Q1056,IF(01_因子設定!$B$13="最小化",-Q1056,-ABS(Q1056-01_因子設定!$B$16))),-1E+030)</f>
        <v>46.5025852272727</v>
      </c>
      <c r="Y1056" s="55" t="n">
        <f aca="false">W1056+ROW()*0.000000001</f>
        <v>-3.04027719767602</v>
      </c>
      <c r="Z1056" s="55" t="n">
        <f aca="false">X1056+ROW()*0.000000001</f>
        <v>46.5025862832727</v>
      </c>
    </row>
    <row r="1057" customFormat="false" ht="15" hidden="false" customHeight="false" outlineLevel="0" collapsed="false">
      <c r="A1057" s="0" t="n">
        <v>3</v>
      </c>
      <c r="B1057" s="0" t="n">
        <v>10</v>
      </c>
      <c r="C1057" s="0" t="n">
        <v>15</v>
      </c>
      <c r="D1057" s="0" t="n">
        <f aca="false">-1+A1057*0.125</f>
        <v>-0.625</v>
      </c>
      <c r="E1057" s="0" t="n">
        <f aca="false">-1+B1057*0.125</f>
        <v>0.25</v>
      </c>
      <c r="F1057" s="0" t="n">
        <f aca="false">-1+C1057*0.125</f>
        <v>0.875</v>
      </c>
      <c r="G1057" s="0" t="n">
        <f aca="false">1</f>
        <v>1</v>
      </c>
      <c r="H1057" s="0" t="n">
        <f aca="false">D1057</f>
        <v>-0.625</v>
      </c>
      <c r="I1057" s="0" t="n">
        <f aca="false">E1057</f>
        <v>0.25</v>
      </c>
      <c r="J1057" s="0" t="n">
        <f aca="false">F1057</f>
        <v>0.875</v>
      </c>
      <c r="K1057" s="0" t="n">
        <f aca="false">D1057*E1057</f>
        <v>-0.15625</v>
      </c>
      <c r="L1057" s="0" t="n">
        <f aca="false">D1057*F1057</f>
        <v>-0.546875</v>
      </c>
      <c r="M1057" s="0" t="n">
        <f aca="false">E1057*F1057</f>
        <v>0.21875</v>
      </c>
      <c r="N1057" s="0" t="n">
        <f aca="false">D1057*D1057</f>
        <v>0.390625</v>
      </c>
      <c r="O1057" s="0" t="n">
        <f aca="false">E1057*E1057</f>
        <v>0.0625</v>
      </c>
      <c r="P1057" s="0" t="n">
        <f aca="false">F1057*F1057</f>
        <v>0.765625</v>
      </c>
      <c r="Q1057" s="0" t="n">
        <f aca="false">SUMPRODUCT(G1057:P1057,_XtX!$B$71:$K$71)</f>
        <v>46.4617329545455</v>
      </c>
      <c r="R1057" s="0" t="n">
        <f aca="false">SUMPRODUCT(MMULT(G1057:P1057,_XtX!$B$58:$K$67),G1057:P1057)</f>
        <v>0.34446855024858</v>
      </c>
      <c r="S1057" s="0" t="n">
        <f aca="false">04_回帰ANOVA!$K$19*04_回帰ANOVA!$K$14*SQRT(1+R1057)</f>
        <v>1.07805758590432</v>
      </c>
      <c r="T1057" s="0" t="n">
        <f aca="false">Q1057-S1057</f>
        <v>45.3836753686412</v>
      </c>
      <c r="U1057" s="0" t="n">
        <f aca="false">Q1057+S1057</f>
        <v>47.5397905404498</v>
      </c>
      <c r="V1057" s="54" t="b">
        <f aca="false">AND(D1057&gt;=01_因子設定!$L$5-0.000000001,D1057&lt;=01_因子設定!$M$5+0.000000001,E1057&gt;=01_因子設定!$L$6-0.000000001,E1057&lt;=01_因子設定!$M$6+0.000000001,F1057&gt;=01_因子設定!$L$7-0.000000001,F1057&lt;=01_因子設定!$M$7+0.000000001,IF(01_因子設定!$B$20="Box-Behnken",D1057^2+E1057^2+F1057^2&lt;=2+0.000000001,TRUE()))</f>
        <v>1</v>
      </c>
      <c r="W1057" s="55" t="n">
        <f aca="false">IF(V1057,IF(01_因子設定!$B$13="最大化",T1057-01_因子設定!$B$14,IF(01_因子設定!$B$13="最小化",01_因子設定!$B$15-U1057,MIN(T1057-01_因子設定!$B$14,01_因子設定!$B$15-U1057))),-1E+030)</f>
        <v>-3.11632463135885</v>
      </c>
      <c r="X1057" s="55" t="n">
        <f aca="false">IF(V1057,IF(01_因子設定!$B$13="最大化",Q1057,IF(01_因子設定!$B$13="最小化",-Q1057,-ABS(Q1057-01_因子設定!$B$16))),-1E+030)</f>
        <v>46.4617329545455</v>
      </c>
      <c r="Y1057" s="55" t="n">
        <f aca="false">W1057+ROW()*0.000000001</f>
        <v>-3.11632357435885</v>
      </c>
      <c r="Z1057" s="55" t="n">
        <f aca="false">X1057+ROW()*0.000000001</f>
        <v>46.4617340115455</v>
      </c>
    </row>
    <row r="1058" customFormat="false" ht="15" hidden="false" customHeight="false" outlineLevel="0" collapsed="false">
      <c r="A1058" s="0" t="n">
        <v>3</v>
      </c>
      <c r="B1058" s="0" t="n">
        <v>10</v>
      </c>
      <c r="C1058" s="0" t="n">
        <v>16</v>
      </c>
      <c r="D1058" s="0" t="n">
        <f aca="false">-1+A1058*0.125</f>
        <v>-0.625</v>
      </c>
      <c r="E1058" s="0" t="n">
        <f aca="false">-1+B1058*0.125</f>
        <v>0.25</v>
      </c>
      <c r="F1058" s="0" t="n">
        <f aca="false">-1+C1058*0.125</f>
        <v>1</v>
      </c>
      <c r="G1058" s="0" t="n">
        <f aca="false">1</f>
        <v>1</v>
      </c>
      <c r="H1058" s="0" t="n">
        <f aca="false">D1058</f>
        <v>-0.625</v>
      </c>
      <c r="I1058" s="0" t="n">
        <f aca="false">E1058</f>
        <v>0.25</v>
      </c>
      <c r="J1058" s="0" t="n">
        <f aca="false">F1058</f>
        <v>1</v>
      </c>
      <c r="K1058" s="0" t="n">
        <f aca="false">D1058*E1058</f>
        <v>-0.15625</v>
      </c>
      <c r="L1058" s="0" t="n">
        <f aca="false">D1058*F1058</f>
        <v>-0.625</v>
      </c>
      <c r="M1058" s="0" t="n">
        <f aca="false">E1058*F1058</f>
        <v>0.25</v>
      </c>
      <c r="N1058" s="0" t="n">
        <f aca="false">D1058*D1058</f>
        <v>0.390625</v>
      </c>
      <c r="O1058" s="0" t="n">
        <f aca="false">E1058*E1058</f>
        <v>0.0625</v>
      </c>
      <c r="P1058" s="0" t="n">
        <f aca="false">F1058*F1058</f>
        <v>1</v>
      </c>
      <c r="Q1058" s="0" t="n">
        <f aca="false">SUMPRODUCT(G1058:P1058,_XtX!$B$71:$K$71)</f>
        <v>46.3840909090909</v>
      </c>
      <c r="R1058" s="0" t="n">
        <f aca="false">SUMPRODUCT(MMULT(G1058:P1058,_XtX!$B$58:$K$67),G1058:P1058)</f>
        <v>0.481389825994318</v>
      </c>
      <c r="S1058" s="0" t="n">
        <f aca="false">04_回帰ANOVA!$K$19*04_回帰ANOVA!$K$14*SQRT(1+R1058)</f>
        <v>1.13162182500693</v>
      </c>
      <c r="T1058" s="0" t="n">
        <f aca="false">Q1058-S1058</f>
        <v>45.252469084084</v>
      </c>
      <c r="U1058" s="0" t="n">
        <f aca="false">Q1058+S1058</f>
        <v>47.5157127340979</v>
      </c>
      <c r="V1058" s="54" t="b">
        <f aca="false">AND(D1058&gt;=01_因子設定!$L$5-0.000000001,D1058&lt;=01_因子設定!$M$5+0.000000001,E1058&gt;=01_因子設定!$L$6-0.000000001,E1058&lt;=01_因子設定!$M$6+0.000000001,F1058&gt;=01_因子設定!$L$7-0.000000001,F1058&lt;=01_因子設定!$M$7+0.000000001,IF(01_因子設定!$B$20="Box-Behnken",D1058^2+E1058^2+F1058^2&lt;=2+0.000000001,TRUE()))</f>
        <v>1</v>
      </c>
      <c r="W1058" s="55" t="n">
        <f aca="false">IF(V1058,IF(01_因子設定!$B$13="最大化",T1058-01_因子設定!$B$14,IF(01_因子設定!$B$13="最小化",01_因子設定!$B$15-U1058,MIN(T1058-01_因子設定!$B$14,01_因子設定!$B$15-U1058))),-1E+030)</f>
        <v>-3.247530915916</v>
      </c>
      <c r="X1058" s="55" t="n">
        <f aca="false">IF(V1058,IF(01_因子設定!$B$13="最大化",Q1058,IF(01_因子設定!$B$13="最小化",-Q1058,-ABS(Q1058-01_因子設定!$B$16))),-1E+030)</f>
        <v>46.3840909090909</v>
      </c>
      <c r="Y1058" s="55" t="n">
        <f aca="false">W1058+ROW()*0.000000001</f>
        <v>-3.247529857916</v>
      </c>
      <c r="Z1058" s="55" t="n">
        <f aca="false">X1058+ROW()*0.000000001</f>
        <v>46.3840919670909</v>
      </c>
    </row>
    <row r="1059" customFormat="false" ht="15" hidden="false" customHeight="false" outlineLevel="0" collapsed="false">
      <c r="A1059" s="0" t="n">
        <v>3</v>
      </c>
      <c r="B1059" s="0" t="n">
        <v>11</v>
      </c>
      <c r="C1059" s="0" t="n">
        <v>0</v>
      </c>
      <c r="D1059" s="0" t="n">
        <f aca="false">-1+A1059*0.125</f>
        <v>-0.625</v>
      </c>
      <c r="E1059" s="0" t="n">
        <f aca="false">-1+B1059*0.125</f>
        <v>0.375</v>
      </c>
      <c r="F1059" s="0" t="n">
        <f aca="false">-1+C1059*0.125</f>
        <v>-1</v>
      </c>
      <c r="G1059" s="0" t="n">
        <f aca="false">1</f>
        <v>1</v>
      </c>
      <c r="H1059" s="0" t="n">
        <f aca="false">D1059</f>
        <v>-0.625</v>
      </c>
      <c r="I1059" s="0" t="n">
        <f aca="false">E1059</f>
        <v>0.375</v>
      </c>
      <c r="J1059" s="0" t="n">
        <f aca="false">F1059</f>
        <v>-1</v>
      </c>
      <c r="K1059" s="0" t="n">
        <f aca="false">D1059*E1059</f>
        <v>-0.234375</v>
      </c>
      <c r="L1059" s="0" t="n">
        <f aca="false">D1059*F1059</f>
        <v>0.625</v>
      </c>
      <c r="M1059" s="0" t="n">
        <f aca="false">E1059*F1059</f>
        <v>-0.375</v>
      </c>
      <c r="N1059" s="0" t="n">
        <f aca="false">D1059*D1059</f>
        <v>0.390625</v>
      </c>
      <c r="O1059" s="0" t="n">
        <f aca="false">E1059*E1059</f>
        <v>0.140625</v>
      </c>
      <c r="P1059" s="0" t="n">
        <f aca="false">F1059*F1059</f>
        <v>1</v>
      </c>
      <c r="Q1059" s="0" t="n">
        <f aca="false">SUMPRODUCT(G1059:P1059,_XtX!$B$71:$K$71)</f>
        <v>43.1600071022728</v>
      </c>
      <c r="R1059" s="0" t="n">
        <f aca="false">SUMPRODUCT(MMULT(G1059:P1059,_XtX!$B$58:$K$67),G1059:P1059)</f>
        <v>0.471821178089489</v>
      </c>
      <c r="S1059" s="0" t="n">
        <f aca="false">04_回帰ANOVA!$K$19*04_回帰ANOVA!$K$14*SQRT(1+R1059)</f>
        <v>1.12796119746125</v>
      </c>
      <c r="T1059" s="0" t="n">
        <f aca="false">Q1059-S1059</f>
        <v>42.0320459048115</v>
      </c>
      <c r="U1059" s="0" t="n">
        <f aca="false">Q1059+S1059</f>
        <v>44.287968299734</v>
      </c>
      <c r="V1059" s="54" t="b">
        <f aca="false">AND(D1059&gt;=01_因子設定!$L$5-0.000000001,D1059&lt;=01_因子設定!$M$5+0.000000001,E1059&gt;=01_因子設定!$L$6-0.000000001,E1059&lt;=01_因子設定!$M$6+0.000000001,F1059&gt;=01_因子設定!$L$7-0.000000001,F1059&lt;=01_因子設定!$M$7+0.000000001,IF(01_因子設定!$B$20="Box-Behnken",D1059^2+E1059^2+F1059^2&lt;=2+0.000000001,TRUE()))</f>
        <v>1</v>
      </c>
      <c r="W1059" s="55" t="n">
        <f aca="false">IF(V1059,IF(01_因子設定!$B$13="最大化",T1059-01_因子設定!$B$14,IF(01_因子設定!$B$13="最小化",01_因子設定!$B$15-U1059,MIN(T1059-01_因子設定!$B$14,01_因子設定!$B$15-U1059))),-1E+030)</f>
        <v>-6.4679540951885</v>
      </c>
      <c r="X1059" s="55" t="n">
        <f aca="false">IF(V1059,IF(01_因子設定!$B$13="最大化",Q1059,IF(01_因子設定!$B$13="最小化",-Q1059,-ABS(Q1059-01_因子設定!$B$16))),-1E+030)</f>
        <v>43.1600071022728</v>
      </c>
      <c r="Y1059" s="55" t="n">
        <f aca="false">W1059+ROW()*0.000000001</f>
        <v>-6.4679530361885</v>
      </c>
      <c r="Z1059" s="55" t="n">
        <f aca="false">X1059+ROW()*0.000000001</f>
        <v>43.1600081612728</v>
      </c>
    </row>
    <row r="1060" customFormat="false" ht="15" hidden="false" customHeight="false" outlineLevel="0" collapsed="false">
      <c r="A1060" s="0" t="n">
        <v>3</v>
      </c>
      <c r="B1060" s="0" t="n">
        <v>11</v>
      </c>
      <c r="C1060" s="0" t="n">
        <v>1</v>
      </c>
      <c r="D1060" s="0" t="n">
        <f aca="false">-1+A1060*0.125</f>
        <v>-0.625</v>
      </c>
      <c r="E1060" s="0" t="n">
        <f aca="false">-1+B1060*0.125</f>
        <v>0.375</v>
      </c>
      <c r="F1060" s="0" t="n">
        <f aca="false">-1+C1060*0.125</f>
        <v>-0.875</v>
      </c>
      <c r="G1060" s="0" t="n">
        <f aca="false">1</f>
        <v>1</v>
      </c>
      <c r="H1060" s="0" t="n">
        <f aca="false">D1060</f>
        <v>-0.625</v>
      </c>
      <c r="I1060" s="0" t="n">
        <f aca="false">E1060</f>
        <v>0.375</v>
      </c>
      <c r="J1060" s="0" t="n">
        <f aca="false">F1060</f>
        <v>-0.875</v>
      </c>
      <c r="K1060" s="0" t="n">
        <f aca="false">D1060*E1060</f>
        <v>-0.234375</v>
      </c>
      <c r="L1060" s="0" t="n">
        <f aca="false">D1060*F1060</f>
        <v>0.546875</v>
      </c>
      <c r="M1060" s="0" t="n">
        <f aca="false">E1060*F1060</f>
        <v>-0.328125</v>
      </c>
      <c r="N1060" s="0" t="n">
        <f aca="false">D1060*D1060</f>
        <v>0.390625</v>
      </c>
      <c r="O1060" s="0" t="n">
        <f aca="false">E1060*E1060</f>
        <v>0.140625</v>
      </c>
      <c r="P1060" s="0" t="n">
        <f aca="false">F1060*F1060</f>
        <v>0.765625</v>
      </c>
      <c r="Q1060" s="0" t="n">
        <f aca="false">SUMPRODUCT(G1060:P1060,_XtX!$B$71:$K$71)</f>
        <v>43.6412428977273</v>
      </c>
      <c r="R1060" s="0" t="n">
        <f aca="false">SUMPRODUCT(MMULT(G1060:P1060,_XtX!$B$58:$K$67),G1060:P1060)</f>
        <v>0.337604869495739</v>
      </c>
      <c r="S1060" s="0" t="n">
        <f aca="false">04_回帰ANOVA!$K$19*04_回帰ANOVA!$K$14*SQRT(1+R1060)</f>
        <v>1.07530225516193</v>
      </c>
      <c r="T1060" s="0" t="n">
        <f aca="false">Q1060-S1060</f>
        <v>42.5659406425654</v>
      </c>
      <c r="U1060" s="0" t="n">
        <f aca="false">Q1060+S1060</f>
        <v>44.7165451528892</v>
      </c>
      <c r="V1060" s="54" t="b">
        <f aca="false">AND(D1060&gt;=01_因子設定!$L$5-0.000000001,D1060&lt;=01_因子設定!$M$5+0.000000001,E1060&gt;=01_因子設定!$L$6-0.000000001,E1060&lt;=01_因子設定!$M$6+0.000000001,F1060&gt;=01_因子設定!$L$7-0.000000001,F1060&lt;=01_因子設定!$M$7+0.000000001,IF(01_因子設定!$B$20="Box-Behnken",D1060^2+E1060^2+F1060^2&lt;=2+0.000000001,TRUE()))</f>
        <v>1</v>
      </c>
      <c r="W1060" s="55" t="n">
        <f aca="false">IF(V1060,IF(01_因子設定!$B$13="最大化",T1060-01_因子設定!$B$14,IF(01_因子設定!$B$13="最小化",01_因子設定!$B$15-U1060,MIN(T1060-01_因子設定!$B$14,01_因子設定!$B$15-U1060))),-1E+030)</f>
        <v>-5.93405935743463</v>
      </c>
      <c r="X1060" s="55" t="n">
        <f aca="false">IF(V1060,IF(01_因子設定!$B$13="最大化",Q1060,IF(01_因子設定!$B$13="最小化",-Q1060,-ABS(Q1060-01_因子設定!$B$16))),-1E+030)</f>
        <v>43.6412428977273</v>
      </c>
      <c r="Y1060" s="55" t="n">
        <f aca="false">W1060+ROW()*0.000000001</f>
        <v>-5.93405829743463</v>
      </c>
      <c r="Z1060" s="55" t="n">
        <f aca="false">X1060+ROW()*0.000000001</f>
        <v>43.6412439577273</v>
      </c>
    </row>
    <row r="1061" customFormat="false" ht="15" hidden="false" customHeight="false" outlineLevel="0" collapsed="false">
      <c r="A1061" s="0" t="n">
        <v>3</v>
      </c>
      <c r="B1061" s="0" t="n">
        <v>11</v>
      </c>
      <c r="C1061" s="0" t="n">
        <v>2</v>
      </c>
      <c r="D1061" s="0" t="n">
        <f aca="false">-1+A1061*0.125</f>
        <v>-0.625</v>
      </c>
      <c r="E1061" s="0" t="n">
        <f aca="false">-1+B1061*0.125</f>
        <v>0.375</v>
      </c>
      <c r="F1061" s="0" t="n">
        <f aca="false">-1+C1061*0.125</f>
        <v>-0.75</v>
      </c>
      <c r="G1061" s="0" t="n">
        <f aca="false">1</f>
        <v>1</v>
      </c>
      <c r="H1061" s="0" t="n">
        <f aca="false">D1061</f>
        <v>-0.625</v>
      </c>
      <c r="I1061" s="0" t="n">
        <f aca="false">E1061</f>
        <v>0.375</v>
      </c>
      <c r="J1061" s="0" t="n">
        <f aca="false">F1061</f>
        <v>-0.75</v>
      </c>
      <c r="K1061" s="0" t="n">
        <f aca="false">D1061*E1061</f>
        <v>-0.234375</v>
      </c>
      <c r="L1061" s="0" t="n">
        <f aca="false">D1061*F1061</f>
        <v>0.46875</v>
      </c>
      <c r="M1061" s="0" t="n">
        <f aca="false">E1061*F1061</f>
        <v>-0.28125</v>
      </c>
      <c r="N1061" s="0" t="n">
        <f aca="false">D1061*D1061</f>
        <v>0.390625</v>
      </c>
      <c r="O1061" s="0" t="n">
        <f aca="false">E1061*E1061</f>
        <v>0.140625</v>
      </c>
      <c r="P1061" s="0" t="n">
        <f aca="false">F1061*F1061</f>
        <v>0.5625</v>
      </c>
      <c r="Q1061" s="0" t="n">
        <f aca="false">SUMPRODUCT(G1061:P1061,_XtX!$B$71:$K$71)</f>
        <v>44.0856889204546</v>
      </c>
      <c r="R1061" s="0" t="n">
        <f aca="false">SUMPRODUCT(MMULT(G1061:P1061,_XtX!$B$58:$K$67),G1061:P1061)</f>
        <v>0.25359940962358</v>
      </c>
      <c r="S1061" s="0" t="n">
        <f aca="false">04_回帰ANOVA!$K$19*04_回帰ANOVA!$K$14*SQRT(1+R1061)</f>
        <v>1.04098872464599</v>
      </c>
      <c r="T1061" s="0" t="n">
        <f aca="false">Q1061-S1061</f>
        <v>43.0447001958086</v>
      </c>
      <c r="U1061" s="0" t="n">
        <f aca="false">Q1061+S1061</f>
        <v>45.1266776451005</v>
      </c>
      <c r="V1061" s="54" t="b">
        <f aca="false">AND(D1061&gt;=01_因子設定!$L$5-0.000000001,D1061&lt;=01_因子設定!$M$5+0.000000001,E1061&gt;=01_因子設定!$L$6-0.000000001,E1061&lt;=01_因子設定!$M$6+0.000000001,F1061&gt;=01_因子設定!$L$7-0.000000001,F1061&lt;=01_因子設定!$M$7+0.000000001,IF(01_因子設定!$B$20="Box-Behnken",D1061^2+E1061^2+F1061^2&lt;=2+0.000000001,TRUE()))</f>
        <v>1</v>
      </c>
      <c r="W1061" s="55" t="n">
        <f aca="false">IF(V1061,IF(01_因子設定!$B$13="最大化",T1061-01_因子設定!$B$14,IF(01_因子設定!$B$13="最小化",01_因子設定!$B$15-U1061,MIN(T1061-01_因子設定!$B$14,01_因子設定!$B$15-U1061))),-1E+030)</f>
        <v>-5.45529980419143</v>
      </c>
      <c r="X1061" s="55" t="n">
        <f aca="false">IF(V1061,IF(01_因子設定!$B$13="最大化",Q1061,IF(01_因子設定!$B$13="最小化",-Q1061,-ABS(Q1061-01_因子設定!$B$16))),-1E+030)</f>
        <v>44.0856889204546</v>
      </c>
      <c r="Y1061" s="55" t="n">
        <f aca="false">W1061+ROW()*0.000000001</f>
        <v>-5.45529874319143</v>
      </c>
      <c r="Z1061" s="55" t="n">
        <f aca="false">X1061+ROW()*0.000000001</f>
        <v>44.0856899814546</v>
      </c>
    </row>
    <row r="1062" customFormat="false" ht="15" hidden="false" customHeight="false" outlineLevel="0" collapsed="false">
      <c r="A1062" s="0" t="n">
        <v>3</v>
      </c>
      <c r="B1062" s="0" t="n">
        <v>11</v>
      </c>
      <c r="C1062" s="0" t="n">
        <v>3</v>
      </c>
      <c r="D1062" s="0" t="n">
        <f aca="false">-1+A1062*0.125</f>
        <v>-0.625</v>
      </c>
      <c r="E1062" s="0" t="n">
        <f aca="false">-1+B1062*0.125</f>
        <v>0.375</v>
      </c>
      <c r="F1062" s="0" t="n">
        <f aca="false">-1+C1062*0.125</f>
        <v>-0.625</v>
      </c>
      <c r="G1062" s="0" t="n">
        <f aca="false">1</f>
        <v>1</v>
      </c>
      <c r="H1062" s="0" t="n">
        <f aca="false">D1062</f>
        <v>-0.625</v>
      </c>
      <c r="I1062" s="0" t="n">
        <f aca="false">E1062</f>
        <v>0.375</v>
      </c>
      <c r="J1062" s="0" t="n">
        <f aca="false">F1062</f>
        <v>-0.625</v>
      </c>
      <c r="K1062" s="0" t="n">
        <f aca="false">D1062*E1062</f>
        <v>-0.234375</v>
      </c>
      <c r="L1062" s="0" t="n">
        <f aca="false">D1062*F1062</f>
        <v>0.390625</v>
      </c>
      <c r="M1062" s="0" t="n">
        <f aca="false">E1062*F1062</f>
        <v>-0.234375</v>
      </c>
      <c r="N1062" s="0" t="n">
        <f aca="false">D1062*D1062</f>
        <v>0.390625</v>
      </c>
      <c r="O1062" s="0" t="n">
        <f aca="false">E1062*E1062</f>
        <v>0.140625</v>
      </c>
      <c r="P1062" s="0" t="n">
        <f aca="false">F1062*F1062</f>
        <v>0.390625</v>
      </c>
      <c r="Q1062" s="0" t="n">
        <f aca="false">SUMPRODUCT(G1062:P1062,_XtX!$B$71:$K$71)</f>
        <v>44.4933451704546</v>
      </c>
      <c r="R1062" s="0" t="n">
        <f aca="false">SUMPRODUCT(MMULT(G1062:P1062,_XtX!$B$58:$K$67),G1062:P1062)</f>
        <v>0.20595536665483</v>
      </c>
      <c r="S1062" s="0" t="n">
        <f aca="false">04_回帰ANOVA!$K$19*04_回帰ANOVA!$K$14*SQRT(1+R1062)</f>
        <v>1.02101530762963</v>
      </c>
      <c r="T1062" s="0" t="n">
        <f aca="false">Q1062-S1062</f>
        <v>43.4723298628249</v>
      </c>
      <c r="U1062" s="0" t="n">
        <f aca="false">Q1062+S1062</f>
        <v>45.5143604780842</v>
      </c>
      <c r="V1062" s="54" t="b">
        <f aca="false">AND(D1062&gt;=01_因子設定!$L$5-0.000000001,D1062&lt;=01_因子設定!$M$5+0.000000001,E1062&gt;=01_因子設定!$L$6-0.000000001,E1062&lt;=01_因子設定!$M$6+0.000000001,F1062&gt;=01_因子設定!$L$7-0.000000001,F1062&lt;=01_因子設定!$M$7+0.000000001,IF(01_因子設定!$B$20="Box-Behnken",D1062^2+E1062^2+F1062^2&lt;=2+0.000000001,TRUE()))</f>
        <v>1</v>
      </c>
      <c r="W1062" s="55" t="n">
        <f aca="false">IF(V1062,IF(01_因子設定!$B$13="最大化",T1062-01_因子設定!$B$14,IF(01_因子設定!$B$13="最小化",01_因子設定!$B$15-U1062,MIN(T1062-01_因子設定!$B$14,01_因子設定!$B$15-U1062))),-1E+030)</f>
        <v>-5.02767013717507</v>
      </c>
      <c r="X1062" s="55" t="n">
        <f aca="false">IF(V1062,IF(01_因子設定!$B$13="最大化",Q1062,IF(01_因子設定!$B$13="最小化",-Q1062,-ABS(Q1062-01_因子設定!$B$16))),-1E+030)</f>
        <v>44.4933451704546</v>
      </c>
      <c r="Y1062" s="55" t="n">
        <f aca="false">W1062+ROW()*0.000000001</f>
        <v>-5.02766907517507</v>
      </c>
      <c r="Z1062" s="55" t="n">
        <f aca="false">X1062+ROW()*0.000000001</f>
        <v>44.4933462324546</v>
      </c>
    </row>
    <row r="1063" customFormat="false" ht="15" hidden="false" customHeight="false" outlineLevel="0" collapsed="false">
      <c r="A1063" s="0" t="n">
        <v>3</v>
      </c>
      <c r="B1063" s="0" t="n">
        <v>11</v>
      </c>
      <c r="C1063" s="0" t="n">
        <v>4</v>
      </c>
      <c r="D1063" s="0" t="n">
        <f aca="false">-1+A1063*0.125</f>
        <v>-0.625</v>
      </c>
      <c r="E1063" s="0" t="n">
        <f aca="false">-1+B1063*0.125</f>
        <v>0.375</v>
      </c>
      <c r="F1063" s="0" t="n">
        <f aca="false">-1+C1063*0.125</f>
        <v>-0.5</v>
      </c>
      <c r="G1063" s="0" t="n">
        <f aca="false">1</f>
        <v>1</v>
      </c>
      <c r="H1063" s="0" t="n">
        <f aca="false">D1063</f>
        <v>-0.625</v>
      </c>
      <c r="I1063" s="0" t="n">
        <f aca="false">E1063</f>
        <v>0.375</v>
      </c>
      <c r="J1063" s="0" t="n">
        <f aca="false">F1063</f>
        <v>-0.5</v>
      </c>
      <c r="K1063" s="0" t="n">
        <f aca="false">D1063*E1063</f>
        <v>-0.234375</v>
      </c>
      <c r="L1063" s="0" t="n">
        <f aca="false">D1063*F1063</f>
        <v>0.3125</v>
      </c>
      <c r="M1063" s="0" t="n">
        <f aca="false">E1063*F1063</f>
        <v>-0.1875</v>
      </c>
      <c r="N1063" s="0" t="n">
        <f aca="false">D1063*D1063</f>
        <v>0.390625</v>
      </c>
      <c r="O1063" s="0" t="n">
        <f aca="false">E1063*E1063</f>
        <v>0.140625</v>
      </c>
      <c r="P1063" s="0" t="n">
        <f aca="false">F1063*F1063</f>
        <v>0.25</v>
      </c>
      <c r="Q1063" s="0" t="n">
        <f aca="false">SUMPRODUCT(G1063:P1063,_XtX!$B$71:$K$71)</f>
        <v>44.8642116477273</v>
      </c>
      <c r="R1063" s="0" t="n">
        <f aca="false">SUMPRODUCT(MMULT(G1063:P1063,_XtX!$B$58:$K$67),G1063:P1063)</f>
        <v>0.182953990589489</v>
      </c>
      <c r="S1063" s="0" t="n">
        <f aca="false">04_回帰ANOVA!$K$19*04_回帰ANOVA!$K$14*SQRT(1+R1063)</f>
        <v>1.01123143807044</v>
      </c>
      <c r="T1063" s="0" t="n">
        <f aca="false">Q1063-S1063</f>
        <v>43.8529802096568</v>
      </c>
      <c r="U1063" s="0" t="n">
        <f aca="false">Q1063+S1063</f>
        <v>45.8754430857977</v>
      </c>
      <c r="V1063" s="54" t="b">
        <f aca="false">AND(D1063&gt;=01_因子設定!$L$5-0.000000001,D1063&lt;=01_因子設定!$M$5+0.000000001,E1063&gt;=01_因子設定!$L$6-0.000000001,E1063&lt;=01_因子設定!$M$6+0.000000001,F1063&gt;=01_因子設定!$L$7-0.000000001,F1063&lt;=01_因子設定!$M$7+0.000000001,IF(01_因子設定!$B$20="Box-Behnken",D1063^2+E1063^2+F1063^2&lt;=2+0.000000001,TRUE()))</f>
        <v>1</v>
      </c>
      <c r="W1063" s="55" t="n">
        <f aca="false">IF(V1063,IF(01_因子設定!$B$13="最大化",T1063-01_因子設定!$B$14,IF(01_因子設定!$B$13="最小化",01_因子設定!$B$15-U1063,MIN(T1063-01_因子設定!$B$14,01_因子設定!$B$15-U1063))),-1E+030)</f>
        <v>-4.64701979034316</v>
      </c>
      <c r="X1063" s="55" t="n">
        <f aca="false">IF(V1063,IF(01_因子設定!$B$13="最大化",Q1063,IF(01_因子設定!$B$13="最小化",-Q1063,-ABS(Q1063-01_因子設定!$B$16))),-1E+030)</f>
        <v>44.8642116477273</v>
      </c>
      <c r="Y1063" s="55" t="n">
        <f aca="false">W1063+ROW()*0.000000001</f>
        <v>-4.64701872734316</v>
      </c>
      <c r="Z1063" s="55" t="n">
        <f aca="false">X1063+ROW()*0.000000001</f>
        <v>44.8642127107273</v>
      </c>
    </row>
    <row r="1064" customFormat="false" ht="15" hidden="false" customHeight="false" outlineLevel="0" collapsed="false">
      <c r="A1064" s="0" t="n">
        <v>3</v>
      </c>
      <c r="B1064" s="0" t="n">
        <v>11</v>
      </c>
      <c r="C1064" s="0" t="n">
        <v>5</v>
      </c>
      <c r="D1064" s="0" t="n">
        <f aca="false">-1+A1064*0.125</f>
        <v>-0.625</v>
      </c>
      <c r="E1064" s="0" t="n">
        <f aca="false">-1+B1064*0.125</f>
        <v>0.375</v>
      </c>
      <c r="F1064" s="0" t="n">
        <f aca="false">-1+C1064*0.125</f>
        <v>-0.375</v>
      </c>
      <c r="G1064" s="0" t="n">
        <f aca="false">1</f>
        <v>1</v>
      </c>
      <c r="H1064" s="0" t="n">
        <f aca="false">D1064</f>
        <v>-0.625</v>
      </c>
      <c r="I1064" s="0" t="n">
        <f aca="false">E1064</f>
        <v>0.375</v>
      </c>
      <c r="J1064" s="0" t="n">
        <f aca="false">F1064</f>
        <v>-0.375</v>
      </c>
      <c r="K1064" s="0" t="n">
        <f aca="false">D1064*E1064</f>
        <v>-0.234375</v>
      </c>
      <c r="L1064" s="0" t="n">
        <f aca="false">D1064*F1064</f>
        <v>0.234375</v>
      </c>
      <c r="M1064" s="0" t="n">
        <f aca="false">E1064*F1064</f>
        <v>-0.140625</v>
      </c>
      <c r="N1064" s="0" t="n">
        <f aca="false">D1064*D1064</f>
        <v>0.390625</v>
      </c>
      <c r="O1064" s="0" t="n">
        <f aca="false">E1064*E1064</f>
        <v>0.140625</v>
      </c>
      <c r="P1064" s="0" t="n">
        <f aca="false">F1064*F1064</f>
        <v>0.140625</v>
      </c>
      <c r="Q1064" s="0" t="n">
        <f aca="false">SUMPRODUCT(G1064:P1064,_XtX!$B$71:$K$71)</f>
        <v>45.1982883522727</v>
      </c>
      <c r="R1064" s="0" t="n">
        <f aca="false">SUMPRODUCT(MMULT(G1064:P1064,_XtX!$B$58:$K$67),G1064:P1064)</f>
        <v>0.175007213245739</v>
      </c>
      <c r="S1064" s="0" t="n">
        <f aca="false">04_回帰ANOVA!$K$19*04_回帰ANOVA!$K$14*SQRT(1+R1064)</f>
        <v>1.0078291195273</v>
      </c>
      <c r="T1064" s="0" t="n">
        <f aca="false">Q1064-S1064</f>
        <v>44.1904592327454</v>
      </c>
      <c r="U1064" s="0" t="n">
        <f aca="false">Q1064+S1064</f>
        <v>46.2061174718</v>
      </c>
      <c r="V1064" s="54" t="b">
        <f aca="false">AND(D1064&gt;=01_因子設定!$L$5-0.000000001,D1064&lt;=01_因子設定!$M$5+0.000000001,E1064&gt;=01_因子設定!$L$6-0.000000001,E1064&lt;=01_因子設定!$M$6+0.000000001,F1064&gt;=01_因子設定!$L$7-0.000000001,F1064&lt;=01_因子設定!$M$7+0.000000001,IF(01_因子設定!$B$20="Box-Behnken",D1064^2+E1064^2+F1064^2&lt;=2+0.000000001,TRUE()))</f>
        <v>1</v>
      </c>
      <c r="W1064" s="55" t="n">
        <f aca="false">IF(V1064,IF(01_因子設定!$B$13="最大化",T1064-01_因子設定!$B$14,IF(01_因子設定!$B$13="最小化",01_因子設定!$B$15-U1064,MIN(T1064-01_因子設定!$B$14,01_因子設定!$B$15-U1064))),-1E+030)</f>
        <v>-4.30954076725457</v>
      </c>
      <c r="X1064" s="55" t="n">
        <f aca="false">IF(V1064,IF(01_因子設定!$B$13="最大化",Q1064,IF(01_因子設定!$B$13="最小化",-Q1064,-ABS(Q1064-01_因子設定!$B$16))),-1E+030)</f>
        <v>45.1982883522727</v>
      </c>
      <c r="Y1064" s="55" t="n">
        <f aca="false">W1064+ROW()*0.000000001</f>
        <v>-4.30953970325457</v>
      </c>
      <c r="Z1064" s="55" t="n">
        <f aca="false">X1064+ROW()*0.000000001</f>
        <v>45.1982894162727</v>
      </c>
    </row>
    <row r="1065" customFormat="false" ht="15" hidden="false" customHeight="false" outlineLevel="0" collapsed="false">
      <c r="A1065" s="0" t="n">
        <v>3</v>
      </c>
      <c r="B1065" s="0" t="n">
        <v>11</v>
      </c>
      <c r="C1065" s="0" t="n">
        <v>6</v>
      </c>
      <c r="D1065" s="0" t="n">
        <f aca="false">-1+A1065*0.125</f>
        <v>-0.625</v>
      </c>
      <c r="E1065" s="0" t="n">
        <f aca="false">-1+B1065*0.125</f>
        <v>0.375</v>
      </c>
      <c r="F1065" s="0" t="n">
        <f aca="false">-1+C1065*0.125</f>
        <v>-0.25</v>
      </c>
      <c r="G1065" s="0" t="n">
        <f aca="false">1</f>
        <v>1</v>
      </c>
      <c r="H1065" s="0" t="n">
        <f aca="false">D1065</f>
        <v>-0.625</v>
      </c>
      <c r="I1065" s="0" t="n">
        <f aca="false">E1065</f>
        <v>0.375</v>
      </c>
      <c r="J1065" s="0" t="n">
        <f aca="false">F1065</f>
        <v>-0.25</v>
      </c>
      <c r="K1065" s="0" t="n">
        <f aca="false">D1065*E1065</f>
        <v>-0.234375</v>
      </c>
      <c r="L1065" s="0" t="n">
        <f aca="false">D1065*F1065</f>
        <v>0.15625</v>
      </c>
      <c r="M1065" s="0" t="n">
        <f aca="false">E1065*F1065</f>
        <v>-0.09375</v>
      </c>
      <c r="N1065" s="0" t="n">
        <f aca="false">D1065*D1065</f>
        <v>0.390625</v>
      </c>
      <c r="O1065" s="0" t="n">
        <f aca="false">E1065*E1065</f>
        <v>0.140625</v>
      </c>
      <c r="P1065" s="0" t="n">
        <f aca="false">F1065*F1065</f>
        <v>0.0625</v>
      </c>
      <c r="Q1065" s="0" t="n">
        <f aca="false">SUMPRODUCT(G1065:P1065,_XtX!$B$71:$K$71)</f>
        <v>45.4955752840909</v>
      </c>
      <c r="R1065" s="0" t="n">
        <f aca="false">SUMPRODUCT(MMULT(G1065:P1065,_XtX!$B$58:$K$67),G1065:P1065)</f>
        <v>0.174657648259943</v>
      </c>
      <c r="S1065" s="0" t="n">
        <f aca="false">04_回帰ANOVA!$K$19*04_回帰ANOVA!$K$14*SQRT(1+R1065)</f>
        <v>1.00767919364845</v>
      </c>
      <c r="T1065" s="0" t="n">
        <f aca="false">Q1065-S1065</f>
        <v>44.4878960904425</v>
      </c>
      <c r="U1065" s="0" t="n">
        <f aca="false">Q1065+S1065</f>
        <v>46.5032544777394</v>
      </c>
      <c r="V1065" s="54" t="b">
        <f aca="false">AND(D1065&gt;=01_因子設定!$L$5-0.000000001,D1065&lt;=01_因子設定!$M$5+0.000000001,E1065&gt;=01_因子設定!$L$6-0.000000001,E1065&lt;=01_因子設定!$M$6+0.000000001,F1065&gt;=01_因子設定!$L$7-0.000000001,F1065&lt;=01_因子設定!$M$7+0.000000001,IF(01_因子設定!$B$20="Box-Behnken",D1065^2+E1065^2+F1065^2&lt;=2+0.000000001,TRUE()))</f>
        <v>1</v>
      </c>
      <c r="W1065" s="55" t="n">
        <f aca="false">IF(V1065,IF(01_因子設定!$B$13="最大化",T1065-01_因子設定!$B$14,IF(01_因子設定!$B$13="最小化",01_因子設定!$B$15-U1065,MIN(T1065-01_因子設定!$B$14,01_因子設定!$B$15-U1065))),-1E+030)</f>
        <v>-4.01210390955753</v>
      </c>
      <c r="X1065" s="55" t="n">
        <f aca="false">IF(V1065,IF(01_因子設定!$B$13="最大化",Q1065,IF(01_因子設定!$B$13="最小化",-Q1065,-ABS(Q1065-01_因子設定!$B$16))),-1E+030)</f>
        <v>45.4955752840909</v>
      </c>
      <c r="Y1065" s="55" t="n">
        <f aca="false">W1065+ROW()*0.000000001</f>
        <v>-4.01210284455753</v>
      </c>
      <c r="Z1065" s="55" t="n">
        <f aca="false">X1065+ROW()*0.000000001</f>
        <v>45.4955763490909</v>
      </c>
    </row>
    <row r="1066" customFormat="false" ht="15" hidden="false" customHeight="false" outlineLevel="0" collapsed="false">
      <c r="A1066" s="0" t="n">
        <v>3</v>
      </c>
      <c r="B1066" s="0" t="n">
        <v>11</v>
      </c>
      <c r="C1066" s="0" t="n">
        <v>7</v>
      </c>
      <c r="D1066" s="0" t="n">
        <f aca="false">-1+A1066*0.125</f>
        <v>-0.625</v>
      </c>
      <c r="E1066" s="0" t="n">
        <f aca="false">-1+B1066*0.125</f>
        <v>0.375</v>
      </c>
      <c r="F1066" s="0" t="n">
        <f aca="false">-1+C1066*0.125</f>
        <v>-0.125</v>
      </c>
      <c r="G1066" s="0" t="n">
        <f aca="false">1</f>
        <v>1</v>
      </c>
      <c r="H1066" s="0" t="n">
        <f aca="false">D1066</f>
        <v>-0.625</v>
      </c>
      <c r="I1066" s="0" t="n">
        <f aca="false">E1066</f>
        <v>0.375</v>
      </c>
      <c r="J1066" s="0" t="n">
        <f aca="false">F1066</f>
        <v>-0.125</v>
      </c>
      <c r="K1066" s="0" t="n">
        <f aca="false">D1066*E1066</f>
        <v>-0.234375</v>
      </c>
      <c r="L1066" s="0" t="n">
        <f aca="false">D1066*F1066</f>
        <v>0.078125</v>
      </c>
      <c r="M1066" s="0" t="n">
        <f aca="false">E1066*F1066</f>
        <v>-0.046875</v>
      </c>
      <c r="N1066" s="0" t="n">
        <f aca="false">D1066*D1066</f>
        <v>0.390625</v>
      </c>
      <c r="O1066" s="0" t="n">
        <f aca="false">E1066*E1066</f>
        <v>0.140625</v>
      </c>
      <c r="P1066" s="0" t="n">
        <f aca="false">F1066*F1066</f>
        <v>0.015625</v>
      </c>
      <c r="Q1066" s="0" t="n">
        <f aca="false">SUMPRODUCT(G1066:P1066,_XtX!$B$71:$K$71)</f>
        <v>45.7560724431818</v>
      </c>
      <c r="R1066" s="0" t="n">
        <f aca="false">SUMPRODUCT(MMULT(G1066:P1066,_XtX!$B$58:$K$67),G1066:P1066)</f>
        <v>0.176578591086648</v>
      </c>
      <c r="S1066" s="0" t="n">
        <f aca="false">04_回帰ANOVA!$K$19*04_回帰ANOVA!$K$14*SQRT(1+R1066)</f>
        <v>1.00850279676269</v>
      </c>
      <c r="T1066" s="0" t="n">
        <f aca="false">Q1066-S1066</f>
        <v>44.7475696464191</v>
      </c>
      <c r="U1066" s="0" t="n">
        <f aca="false">Q1066+S1066</f>
        <v>46.7645752399445</v>
      </c>
      <c r="V1066" s="54" t="b">
        <f aca="false">AND(D1066&gt;=01_因子設定!$L$5-0.000000001,D1066&lt;=01_因子設定!$M$5+0.000000001,E1066&gt;=01_因子設定!$L$6-0.000000001,E1066&lt;=01_因子設定!$M$6+0.000000001,F1066&gt;=01_因子設定!$L$7-0.000000001,F1066&lt;=01_因子設定!$M$7+0.000000001,IF(01_因子設定!$B$20="Box-Behnken",D1066^2+E1066^2+F1066^2&lt;=2+0.000000001,TRUE()))</f>
        <v>1</v>
      </c>
      <c r="W1066" s="55" t="n">
        <f aca="false">IF(V1066,IF(01_因子設定!$B$13="最大化",T1066-01_因子設定!$B$14,IF(01_因子設定!$B$13="最小化",01_因子設定!$B$15-U1066,MIN(T1066-01_因子設定!$B$14,01_因子設定!$B$15-U1066))),-1E+030)</f>
        <v>-3.75243035358087</v>
      </c>
      <c r="X1066" s="55" t="n">
        <f aca="false">IF(V1066,IF(01_因子設定!$B$13="最大化",Q1066,IF(01_因子設定!$B$13="最小化",-Q1066,-ABS(Q1066-01_因子設定!$B$16))),-1E+030)</f>
        <v>45.7560724431818</v>
      </c>
      <c r="Y1066" s="55" t="n">
        <f aca="false">W1066+ROW()*0.000000001</f>
        <v>-3.75242928758087</v>
      </c>
      <c r="Z1066" s="55" t="n">
        <f aca="false">X1066+ROW()*0.000000001</f>
        <v>45.7560735091818</v>
      </c>
    </row>
    <row r="1067" customFormat="false" ht="15" hidden="false" customHeight="false" outlineLevel="0" collapsed="false">
      <c r="A1067" s="0" t="n">
        <v>3</v>
      </c>
      <c r="B1067" s="0" t="n">
        <v>11</v>
      </c>
      <c r="C1067" s="0" t="n">
        <v>8</v>
      </c>
      <c r="D1067" s="0" t="n">
        <f aca="false">-1+A1067*0.125</f>
        <v>-0.625</v>
      </c>
      <c r="E1067" s="0" t="n">
        <f aca="false">-1+B1067*0.125</f>
        <v>0.375</v>
      </c>
      <c r="F1067" s="0" t="n">
        <f aca="false">-1+C1067*0.125</f>
        <v>0</v>
      </c>
      <c r="G1067" s="0" t="n">
        <f aca="false">1</f>
        <v>1</v>
      </c>
      <c r="H1067" s="0" t="n">
        <f aca="false">D1067</f>
        <v>-0.625</v>
      </c>
      <c r="I1067" s="0" t="n">
        <f aca="false">E1067</f>
        <v>0.375</v>
      </c>
      <c r="J1067" s="0" t="n">
        <f aca="false">F1067</f>
        <v>0</v>
      </c>
      <c r="K1067" s="0" t="n">
        <f aca="false">D1067*E1067</f>
        <v>-0.234375</v>
      </c>
      <c r="L1067" s="0" t="n">
        <f aca="false">D1067*F1067</f>
        <v>-0</v>
      </c>
      <c r="M1067" s="0" t="n">
        <f aca="false">E1067*F1067</f>
        <v>0</v>
      </c>
      <c r="N1067" s="0" t="n">
        <f aca="false">D1067*D1067</f>
        <v>0.390625</v>
      </c>
      <c r="O1067" s="0" t="n">
        <f aca="false">E1067*E1067</f>
        <v>0.140625</v>
      </c>
      <c r="P1067" s="0" t="n">
        <f aca="false">F1067*F1067</f>
        <v>0</v>
      </c>
      <c r="Q1067" s="0" t="n">
        <f aca="false">SUMPRODUCT(G1067:P1067,_XtX!$B$71:$K$71)</f>
        <v>45.9797798295455</v>
      </c>
      <c r="R1067" s="0" t="n">
        <f aca="false">SUMPRODUCT(MMULT(G1067:P1067,_XtX!$B$58:$K$67),G1067:P1067)</f>
        <v>0.17757401899858</v>
      </c>
      <c r="S1067" s="0" t="n">
        <f aca="false">04_回帰ANOVA!$K$19*04_回帰ANOVA!$K$14*SQRT(1+R1067)</f>
        <v>1.00892932143276</v>
      </c>
      <c r="T1067" s="0" t="n">
        <f aca="false">Q1067-S1067</f>
        <v>44.9708505081127</v>
      </c>
      <c r="U1067" s="0" t="n">
        <f aca="false">Q1067+S1067</f>
        <v>46.9887091509782</v>
      </c>
      <c r="V1067" s="54" t="b">
        <f aca="false">AND(D1067&gt;=01_因子設定!$L$5-0.000000001,D1067&lt;=01_因子設定!$M$5+0.000000001,E1067&gt;=01_因子設定!$L$6-0.000000001,E1067&lt;=01_因子設定!$M$6+0.000000001,F1067&gt;=01_因子設定!$L$7-0.000000001,F1067&lt;=01_因子設定!$M$7+0.000000001,IF(01_因子設定!$B$20="Box-Behnken",D1067^2+E1067^2+F1067^2&lt;=2+0.000000001,TRUE()))</f>
        <v>1</v>
      </c>
      <c r="W1067" s="55" t="n">
        <f aca="false">IF(V1067,IF(01_因子設定!$B$13="最大化",T1067-01_因子設定!$B$14,IF(01_因子設定!$B$13="最小化",01_因子設定!$B$15-U1067,MIN(T1067-01_因子設定!$B$14,01_因子設定!$B$15-U1067))),-1E+030)</f>
        <v>-3.5291494918873</v>
      </c>
      <c r="X1067" s="55" t="n">
        <f aca="false">IF(V1067,IF(01_因子設定!$B$13="最大化",Q1067,IF(01_因子設定!$B$13="最小化",-Q1067,-ABS(Q1067-01_因子設定!$B$16))),-1E+030)</f>
        <v>45.9797798295455</v>
      </c>
      <c r="Y1067" s="55" t="n">
        <f aca="false">W1067+ROW()*0.000000001</f>
        <v>-3.5291484248873</v>
      </c>
      <c r="Z1067" s="55" t="n">
        <f aca="false">X1067+ROW()*0.000000001</f>
        <v>45.9797808965455</v>
      </c>
    </row>
    <row r="1068" customFormat="false" ht="15" hidden="false" customHeight="false" outlineLevel="0" collapsed="false">
      <c r="A1068" s="0" t="n">
        <v>3</v>
      </c>
      <c r="B1068" s="0" t="n">
        <v>11</v>
      </c>
      <c r="C1068" s="0" t="n">
        <v>9</v>
      </c>
      <c r="D1068" s="0" t="n">
        <f aca="false">-1+A1068*0.125</f>
        <v>-0.625</v>
      </c>
      <c r="E1068" s="0" t="n">
        <f aca="false">-1+B1068*0.125</f>
        <v>0.375</v>
      </c>
      <c r="F1068" s="0" t="n">
        <f aca="false">-1+C1068*0.125</f>
        <v>0.125</v>
      </c>
      <c r="G1068" s="0" t="n">
        <f aca="false">1</f>
        <v>1</v>
      </c>
      <c r="H1068" s="0" t="n">
        <f aca="false">D1068</f>
        <v>-0.625</v>
      </c>
      <c r="I1068" s="0" t="n">
        <f aca="false">E1068</f>
        <v>0.375</v>
      </c>
      <c r="J1068" s="0" t="n">
        <f aca="false">F1068</f>
        <v>0.125</v>
      </c>
      <c r="K1068" s="0" t="n">
        <f aca="false">D1068*E1068</f>
        <v>-0.234375</v>
      </c>
      <c r="L1068" s="0" t="n">
        <f aca="false">D1068*F1068</f>
        <v>-0.078125</v>
      </c>
      <c r="M1068" s="0" t="n">
        <f aca="false">E1068*F1068</f>
        <v>0.046875</v>
      </c>
      <c r="N1068" s="0" t="n">
        <f aca="false">D1068*D1068</f>
        <v>0.390625</v>
      </c>
      <c r="O1068" s="0" t="n">
        <f aca="false">E1068*E1068</f>
        <v>0.140625</v>
      </c>
      <c r="P1068" s="0" t="n">
        <f aca="false">F1068*F1068</f>
        <v>0.015625</v>
      </c>
      <c r="Q1068" s="0" t="n">
        <f aca="false">SUMPRODUCT(G1068:P1068,_XtX!$B$71:$K$71)</f>
        <v>46.1666974431818</v>
      </c>
      <c r="R1068" s="0" t="n">
        <f aca="false">SUMPRODUCT(MMULT(G1068:P1068,_XtX!$B$58:$K$67),G1068:P1068)</f>
        <v>0.176578591086648</v>
      </c>
      <c r="S1068" s="0" t="n">
        <f aca="false">04_回帰ANOVA!$K$19*04_回帰ANOVA!$K$14*SQRT(1+R1068)</f>
        <v>1.00850279676269</v>
      </c>
      <c r="T1068" s="0" t="n">
        <f aca="false">Q1068-S1068</f>
        <v>45.1581946464191</v>
      </c>
      <c r="U1068" s="0" t="n">
        <f aca="false">Q1068+S1068</f>
        <v>47.1752002399445</v>
      </c>
      <c r="V1068" s="54" t="b">
        <f aca="false">AND(D1068&gt;=01_因子設定!$L$5-0.000000001,D1068&lt;=01_因子設定!$M$5+0.000000001,E1068&gt;=01_因子設定!$L$6-0.000000001,E1068&lt;=01_因子設定!$M$6+0.000000001,F1068&gt;=01_因子設定!$L$7-0.000000001,F1068&lt;=01_因子設定!$M$7+0.000000001,IF(01_因子設定!$B$20="Box-Behnken",D1068^2+E1068^2+F1068^2&lt;=2+0.000000001,TRUE()))</f>
        <v>1</v>
      </c>
      <c r="W1068" s="55" t="n">
        <f aca="false">IF(V1068,IF(01_因子設定!$B$13="最大化",T1068-01_因子設定!$B$14,IF(01_因子設定!$B$13="最小化",01_因子設定!$B$15-U1068,MIN(T1068-01_因子設定!$B$14,01_因子設定!$B$15-U1068))),-1E+030)</f>
        <v>-3.34180535358087</v>
      </c>
      <c r="X1068" s="55" t="n">
        <f aca="false">IF(V1068,IF(01_因子設定!$B$13="最大化",Q1068,IF(01_因子設定!$B$13="最小化",-Q1068,-ABS(Q1068-01_因子設定!$B$16))),-1E+030)</f>
        <v>46.1666974431818</v>
      </c>
      <c r="Y1068" s="55" t="n">
        <f aca="false">W1068+ROW()*0.000000001</f>
        <v>-3.34180428558087</v>
      </c>
      <c r="Z1068" s="55" t="n">
        <f aca="false">X1068+ROW()*0.000000001</f>
        <v>46.1666985111818</v>
      </c>
    </row>
    <row r="1069" customFormat="false" ht="15" hidden="false" customHeight="false" outlineLevel="0" collapsed="false">
      <c r="A1069" s="0" t="n">
        <v>3</v>
      </c>
      <c r="B1069" s="0" t="n">
        <v>11</v>
      </c>
      <c r="C1069" s="0" t="n">
        <v>10</v>
      </c>
      <c r="D1069" s="0" t="n">
        <f aca="false">-1+A1069*0.125</f>
        <v>-0.625</v>
      </c>
      <c r="E1069" s="0" t="n">
        <f aca="false">-1+B1069*0.125</f>
        <v>0.375</v>
      </c>
      <c r="F1069" s="0" t="n">
        <f aca="false">-1+C1069*0.125</f>
        <v>0.25</v>
      </c>
      <c r="G1069" s="0" t="n">
        <f aca="false">1</f>
        <v>1</v>
      </c>
      <c r="H1069" s="0" t="n">
        <f aca="false">D1069</f>
        <v>-0.625</v>
      </c>
      <c r="I1069" s="0" t="n">
        <f aca="false">E1069</f>
        <v>0.375</v>
      </c>
      <c r="J1069" s="0" t="n">
        <f aca="false">F1069</f>
        <v>0.25</v>
      </c>
      <c r="K1069" s="0" t="n">
        <f aca="false">D1069*E1069</f>
        <v>-0.234375</v>
      </c>
      <c r="L1069" s="0" t="n">
        <f aca="false">D1069*F1069</f>
        <v>-0.15625</v>
      </c>
      <c r="M1069" s="0" t="n">
        <f aca="false">E1069*F1069</f>
        <v>0.09375</v>
      </c>
      <c r="N1069" s="0" t="n">
        <f aca="false">D1069*D1069</f>
        <v>0.390625</v>
      </c>
      <c r="O1069" s="0" t="n">
        <f aca="false">E1069*E1069</f>
        <v>0.140625</v>
      </c>
      <c r="P1069" s="0" t="n">
        <f aca="false">F1069*F1069</f>
        <v>0.0625</v>
      </c>
      <c r="Q1069" s="0" t="n">
        <f aca="false">SUMPRODUCT(G1069:P1069,_XtX!$B$71:$K$71)</f>
        <v>46.3168252840909</v>
      </c>
      <c r="R1069" s="0" t="n">
        <f aca="false">SUMPRODUCT(MMULT(G1069:P1069,_XtX!$B$58:$K$67),G1069:P1069)</f>
        <v>0.174657648259943</v>
      </c>
      <c r="S1069" s="0" t="n">
        <f aca="false">04_回帰ANOVA!$K$19*04_回帰ANOVA!$K$14*SQRT(1+R1069)</f>
        <v>1.00767919364845</v>
      </c>
      <c r="T1069" s="0" t="n">
        <f aca="false">Q1069-S1069</f>
        <v>45.3091460904425</v>
      </c>
      <c r="U1069" s="0" t="n">
        <f aca="false">Q1069+S1069</f>
        <v>47.3245044777394</v>
      </c>
      <c r="V1069" s="54" t="b">
        <f aca="false">AND(D1069&gt;=01_因子設定!$L$5-0.000000001,D1069&lt;=01_因子設定!$M$5+0.000000001,E1069&gt;=01_因子設定!$L$6-0.000000001,E1069&lt;=01_因子設定!$M$6+0.000000001,F1069&gt;=01_因子設定!$L$7-0.000000001,F1069&lt;=01_因子設定!$M$7+0.000000001,IF(01_因子設定!$B$20="Box-Behnken",D1069^2+E1069^2+F1069^2&lt;=2+0.000000001,TRUE()))</f>
        <v>1</v>
      </c>
      <c r="W1069" s="55" t="n">
        <f aca="false">IF(V1069,IF(01_因子設定!$B$13="最大化",T1069-01_因子設定!$B$14,IF(01_因子設定!$B$13="最小化",01_因子設定!$B$15-U1069,MIN(T1069-01_因子設定!$B$14,01_因子設定!$B$15-U1069))),-1E+030)</f>
        <v>-3.19085390955753</v>
      </c>
      <c r="X1069" s="55" t="n">
        <f aca="false">IF(V1069,IF(01_因子設定!$B$13="最大化",Q1069,IF(01_因子設定!$B$13="最小化",-Q1069,-ABS(Q1069-01_因子設定!$B$16))),-1E+030)</f>
        <v>46.3168252840909</v>
      </c>
      <c r="Y1069" s="55" t="n">
        <f aca="false">W1069+ROW()*0.000000001</f>
        <v>-3.19085284055753</v>
      </c>
      <c r="Z1069" s="55" t="n">
        <f aca="false">X1069+ROW()*0.000000001</f>
        <v>46.3168263530909</v>
      </c>
    </row>
    <row r="1070" customFormat="false" ht="15" hidden="false" customHeight="false" outlineLevel="0" collapsed="false">
      <c r="A1070" s="0" t="n">
        <v>3</v>
      </c>
      <c r="B1070" s="0" t="n">
        <v>11</v>
      </c>
      <c r="C1070" s="0" t="n">
        <v>11</v>
      </c>
      <c r="D1070" s="0" t="n">
        <f aca="false">-1+A1070*0.125</f>
        <v>-0.625</v>
      </c>
      <c r="E1070" s="0" t="n">
        <f aca="false">-1+B1070*0.125</f>
        <v>0.375</v>
      </c>
      <c r="F1070" s="0" t="n">
        <f aca="false">-1+C1070*0.125</f>
        <v>0.375</v>
      </c>
      <c r="G1070" s="0" t="n">
        <f aca="false">1</f>
        <v>1</v>
      </c>
      <c r="H1070" s="0" t="n">
        <f aca="false">D1070</f>
        <v>-0.625</v>
      </c>
      <c r="I1070" s="0" t="n">
        <f aca="false">E1070</f>
        <v>0.375</v>
      </c>
      <c r="J1070" s="0" t="n">
        <f aca="false">F1070</f>
        <v>0.375</v>
      </c>
      <c r="K1070" s="0" t="n">
        <f aca="false">D1070*E1070</f>
        <v>-0.234375</v>
      </c>
      <c r="L1070" s="0" t="n">
        <f aca="false">D1070*F1070</f>
        <v>-0.234375</v>
      </c>
      <c r="M1070" s="0" t="n">
        <f aca="false">E1070*F1070</f>
        <v>0.140625</v>
      </c>
      <c r="N1070" s="0" t="n">
        <f aca="false">D1070*D1070</f>
        <v>0.390625</v>
      </c>
      <c r="O1070" s="0" t="n">
        <f aca="false">E1070*E1070</f>
        <v>0.140625</v>
      </c>
      <c r="P1070" s="0" t="n">
        <f aca="false">F1070*F1070</f>
        <v>0.140625</v>
      </c>
      <c r="Q1070" s="0" t="n">
        <f aca="false">SUMPRODUCT(G1070:P1070,_XtX!$B$71:$K$71)</f>
        <v>46.4301633522727</v>
      </c>
      <c r="R1070" s="0" t="n">
        <f aca="false">SUMPRODUCT(MMULT(G1070:P1070,_XtX!$B$58:$K$67),G1070:P1070)</f>
        <v>0.175007213245739</v>
      </c>
      <c r="S1070" s="0" t="n">
        <f aca="false">04_回帰ANOVA!$K$19*04_回帰ANOVA!$K$14*SQRT(1+R1070)</f>
        <v>1.0078291195273</v>
      </c>
      <c r="T1070" s="0" t="n">
        <f aca="false">Q1070-S1070</f>
        <v>45.4223342327454</v>
      </c>
      <c r="U1070" s="0" t="n">
        <f aca="false">Q1070+S1070</f>
        <v>47.4379924718</v>
      </c>
      <c r="V1070" s="54" t="b">
        <f aca="false">AND(D1070&gt;=01_因子設定!$L$5-0.000000001,D1070&lt;=01_因子設定!$M$5+0.000000001,E1070&gt;=01_因子設定!$L$6-0.000000001,E1070&lt;=01_因子設定!$M$6+0.000000001,F1070&gt;=01_因子設定!$L$7-0.000000001,F1070&lt;=01_因子設定!$M$7+0.000000001,IF(01_因子設定!$B$20="Box-Behnken",D1070^2+E1070^2+F1070^2&lt;=2+0.000000001,TRUE()))</f>
        <v>1</v>
      </c>
      <c r="W1070" s="55" t="n">
        <f aca="false">IF(V1070,IF(01_因子設定!$B$13="最大化",T1070-01_因子設定!$B$14,IF(01_因子設定!$B$13="最小化",01_因子設定!$B$15-U1070,MIN(T1070-01_因子設定!$B$14,01_因子設定!$B$15-U1070))),-1E+030)</f>
        <v>-3.07766576725457</v>
      </c>
      <c r="X1070" s="55" t="n">
        <f aca="false">IF(V1070,IF(01_因子設定!$B$13="最大化",Q1070,IF(01_因子設定!$B$13="最小化",-Q1070,-ABS(Q1070-01_因子設定!$B$16))),-1E+030)</f>
        <v>46.4301633522727</v>
      </c>
      <c r="Y1070" s="55" t="n">
        <f aca="false">W1070+ROW()*0.000000001</f>
        <v>-3.07766469725457</v>
      </c>
      <c r="Z1070" s="55" t="n">
        <f aca="false">X1070+ROW()*0.000000001</f>
        <v>46.4301644222727</v>
      </c>
    </row>
    <row r="1071" customFormat="false" ht="15" hidden="false" customHeight="false" outlineLevel="0" collapsed="false">
      <c r="A1071" s="0" t="n">
        <v>3</v>
      </c>
      <c r="B1071" s="0" t="n">
        <v>11</v>
      </c>
      <c r="C1071" s="0" t="n">
        <v>12</v>
      </c>
      <c r="D1071" s="0" t="n">
        <f aca="false">-1+A1071*0.125</f>
        <v>-0.625</v>
      </c>
      <c r="E1071" s="0" t="n">
        <f aca="false">-1+B1071*0.125</f>
        <v>0.375</v>
      </c>
      <c r="F1071" s="0" t="n">
        <f aca="false">-1+C1071*0.125</f>
        <v>0.5</v>
      </c>
      <c r="G1071" s="0" t="n">
        <f aca="false">1</f>
        <v>1</v>
      </c>
      <c r="H1071" s="0" t="n">
        <f aca="false">D1071</f>
        <v>-0.625</v>
      </c>
      <c r="I1071" s="0" t="n">
        <f aca="false">E1071</f>
        <v>0.375</v>
      </c>
      <c r="J1071" s="0" t="n">
        <f aca="false">F1071</f>
        <v>0.5</v>
      </c>
      <c r="K1071" s="0" t="n">
        <f aca="false">D1071*E1071</f>
        <v>-0.234375</v>
      </c>
      <c r="L1071" s="0" t="n">
        <f aca="false">D1071*F1071</f>
        <v>-0.3125</v>
      </c>
      <c r="M1071" s="0" t="n">
        <f aca="false">E1071*F1071</f>
        <v>0.1875</v>
      </c>
      <c r="N1071" s="0" t="n">
        <f aca="false">D1071*D1071</f>
        <v>0.390625</v>
      </c>
      <c r="O1071" s="0" t="n">
        <f aca="false">E1071*E1071</f>
        <v>0.140625</v>
      </c>
      <c r="P1071" s="0" t="n">
        <f aca="false">F1071*F1071</f>
        <v>0.25</v>
      </c>
      <c r="Q1071" s="0" t="n">
        <f aca="false">SUMPRODUCT(G1071:P1071,_XtX!$B$71:$K$71)</f>
        <v>46.5067116477273</v>
      </c>
      <c r="R1071" s="0" t="n">
        <f aca="false">SUMPRODUCT(MMULT(G1071:P1071,_XtX!$B$58:$K$67),G1071:P1071)</f>
        <v>0.182953990589489</v>
      </c>
      <c r="S1071" s="0" t="n">
        <f aca="false">04_回帰ANOVA!$K$19*04_回帰ANOVA!$K$14*SQRT(1+R1071)</f>
        <v>1.01123143807044</v>
      </c>
      <c r="T1071" s="0" t="n">
        <f aca="false">Q1071-S1071</f>
        <v>45.4954802096568</v>
      </c>
      <c r="U1071" s="0" t="n">
        <f aca="false">Q1071+S1071</f>
        <v>47.5179430857977</v>
      </c>
      <c r="V1071" s="54" t="b">
        <f aca="false">AND(D1071&gt;=01_因子設定!$L$5-0.000000001,D1071&lt;=01_因子設定!$M$5+0.000000001,E1071&gt;=01_因子設定!$L$6-0.000000001,E1071&lt;=01_因子設定!$M$6+0.000000001,F1071&gt;=01_因子設定!$L$7-0.000000001,F1071&lt;=01_因子設定!$M$7+0.000000001,IF(01_因子設定!$B$20="Box-Behnken",D1071^2+E1071^2+F1071^2&lt;=2+0.000000001,TRUE()))</f>
        <v>1</v>
      </c>
      <c r="W1071" s="55" t="n">
        <f aca="false">IF(V1071,IF(01_因子設定!$B$13="最大化",T1071-01_因子設定!$B$14,IF(01_因子設定!$B$13="最小化",01_因子設定!$B$15-U1071,MIN(T1071-01_因子設定!$B$14,01_因子設定!$B$15-U1071))),-1E+030)</f>
        <v>-3.00451979034316</v>
      </c>
      <c r="X1071" s="55" t="n">
        <f aca="false">IF(V1071,IF(01_因子設定!$B$13="最大化",Q1071,IF(01_因子設定!$B$13="最小化",-Q1071,-ABS(Q1071-01_因子設定!$B$16))),-1E+030)</f>
        <v>46.5067116477273</v>
      </c>
      <c r="Y1071" s="55" t="n">
        <f aca="false">W1071+ROW()*0.000000001</f>
        <v>-3.00451871934316</v>
      </c>
      <c r="Z1071" s="55" t="n">
        <f aca="false">X1071+ROW()*0.000000001</f>
        <v>46.5067127187273</v>
      </c>
    </row>
    <row r="1072" customFormat="false" ht="15" hidden="false" customHeight="false" outlineLevel="0" collapsed="false">
      <c r="A1072" s="0" t="n">
        <v>3</v>
      </c>
      <c r="B1072" s="0" t="n">
        <v>11</v>
      </c>
      <c r="C1072" s="0" t="n">
        <v>13</v>
      </c>
      <c r="D1072" s="0" t="n">
        <f aca="false">-1+A1072*0.125</f>
        <v>-0.625</v>
      </c>
      <c r="E1072" s="0" t="n">
        <f aca="false">-1+B1072*0.125</f>
        <v>0.375</v>
      </c>
      <c r="F1072" s="0" t="n">
        <f aca="false">-1+C1072*0.125</f>
        <v>0.625</v>
      </c>
      <c r="G1072" s="0" t="n">
        <f aca="false">1</f>
        <v>1</v>
      </c>
      <c r="H1072" s="0" t="n">
        <f aca="false">D1072</f>
        <v>-0.625</v>
      </c>
      <c r="I1072" s="0" t="n">
        <f aca="false">E1072</f>
        <v>0.375</v>
      </c>
      <c r="J1072" s="0" t="n">
        <f aca="false">F1072</f>
        <v>0.625</v>
      </c>
      <c r="K1072" s="0" t="n">
        <f aca="false">D1072*E1072</f>
        <v>-0.234375</v>
      </c>
      <c r="L1072" s="0" t="n">
        <f aca="false">D1072*F1072</f>
        <v>-0.390625</v>
      </c>
      <c r="M1072" s="0" t="n">
        <f aca="false">E1072*F1072</f>
        <v>0.234375</v>
      </c>
      <c r="N1072" s="0" t="n">
        <f aca="false">D1072*D1072</f>
        <v>0.390625</v>
      </c>
      <c r="O1072" s="0" t="n">
        <f aca="false">E1072*E1072</f>
        <v>0.140625</v>
      </c>
      <c r="P1072" s="0" t="n">
        <f aca="false">F1072*F1072</f>
        <v>0.390625</v>
      </c>
      <c r="Q1072" s="0" t="n">
        <f aca="false">SUMPRODUCT(G1072:P1072,_XtX!$B$71:$K$71)</f>
        <v>46.5464701704546</v>
      </c>
      <c r="R1072" s="0" t="n">
        <f aca="false">SUMPRODUCT(MMULT(G1072:P1072,_XtX!$B$58:$K$67),G1072:P1072)</f>
        <v>0.20595536665483</v>
      </c>
      <c r="S1072" s="0" t="n">
        <f aca="false">04_回帰ANOVA!$K$19*04_回帰ANOVA!$K$14*SQRT(1+R1072)</f>
        <v>1.02101530762963</v>
      </c>
      <c r="T1072" s="0" t="n">
        <f aca="false">Q1072-S1072</f>
        <v>45.5254548628249</v>
      </c>
      <c r="U1072" s="0" t="n">
        <f aca="false">Q1072+S1072</f>
        <v>47.5674854780842</v>
      </c>
      <c r="V1072" s="54" t="b">
        <f aca="false">AND(D1072&gt;=01_因子設定!$L$5-0.000000001,D1072&lt;=01_因子設定!$M$5+0.000000001,E1072&gt;=01_因子設定!$L$6-0.000000001,E1072&lt;=01_因子設定!$M$6+0.000000001,F1072&gt;=01_因子設定!$L$7-0.000000001,F1072&lt;=01_因子設定!$M$7+0.000000001,IF(01_因子設定!$B$20="Box-Behnken",D1072^2+E1072^2+F1072^2&lt;=2+0.000000001,TRUE()))</f>
        <v>1</v>
      </c>
      <c r="W1072" s="55" t="n">
        <f aca="false">IF(V1072,IF(01_因子設定!$B$13="最大化",T1072-01_因子設定!$B$14,IF(01_因子設定!$B$13="最小化",01_因子設定!$B$15-U1072,MIN(T1072-01_因子設定!$B$14,01_因子設定!$B$15-U1072))),-1E+030)</f>
        <v>-2.97454513717507</v>
      </c>
      <c r="X1072" s="55" t="n">
        <f aca="false">IF(V1072,IF(01_因子設定!$B$13="最大化",Q1072,IF(01_因子設定!$B$13="最小化",-Q1072,-ABS(Q1072-01_因子設定!$B$16))),-1E+030)</f>
        <v>46.5464701704546</v>
      </c>
      <c r="Y1072" s="55" t="n">
        <f aca="false">W1072+ROW()*0.000000001</f>
        <v>-2.97454406517507</v>
      </c>
      <c r="Z1072" s="55" t="n">
        <f aca="false">X1072+ROW()*0.000000001</f>
        <v>46.5464712424546</v>
      </c>
    </row>
    <row r="1073" customFormat="false" ht="15" hidden="false" customHeight="false" outlineLevel="0" collapsed="false">
      <c r="A1073" s="0" t="n">
        <v>3</v>
      </c>
      <c r="B1073" s="0" t="n">
        <v>11</v>
      </c>
      <c r="C1073" s="0" t="n">
        <v>14</v>
      </c>
      <c r="D1073" s="0" t="n">
        <f aca="false">-1+A1073*0.125</f>
        <v>-0.625</v>
      </c>
      <c r="E1073" s="0" t="n">
        <f aca="false">-1+B1073*0.125</f>
        <v>0.375</v>
      </c>
      <c r="F1073" s="0" t="n">
        <f aca="false">-1+C1073*0.125</f>
        <v>0.75</v>
      </c>
      <c r="G1073" s="0" t="n">
        <f aca="false">1</f>
        <v>1</v>
      </c>
      <c r="H1073" s="0" t="n">
        <f aca="false">D1073</f>
        <v>-0.625</v>
      </c>
      <c r="I1073" s="0" t="n">
        <f aca="false">E1073</f>
        <v>0.375</v>
      </c>
      <c r="J1073" s="0" t="n">
        <f aca="false">F1073</f>
        <v>0.75</v>
      </c>
      <c r="K1073" s="0" t="n">
        <f aca="false">D1073*E1073</f>
        <v>-0.234375</v>
      </c>
      <c r="L1073" s="0" t="n">
        <f aca="false">D1073*F1073</f>
        <v>-0.46875</v>
      </c>
      <c r="M1073" s="0" t="n">
        <f aca="false">E1073*F1073</f>
        <v>0.28125</v>
      </c>
      <c r="N1073" s="0" t="n">
        <f aca="false">D1073*D1073</f>
        <v>0.390625</v>
      </c>
      <c r="O1073" s="0" t="n">
        <f aca="false">E1073*E1073</f>
        <v>0.140625</v>
      </c>
      <c r="P1073" s="0" t="n">
        <f aca="false">F1073*F1073</f>
        <v>0.5625</v>
      </c>
      <c r="Q1073" s="0" t="n">
        <f aca="false">SUMPRODUCT(G1073:P1073,_XtX!$B$71:$K$71)</f>
        <v>46.5494389204546</v>
      </c>
      <c r="R1073" s="0" t="n">
        <f aca="false">SUMPRODUCT(MMULT(G1073:P1073,_XtX!$B$58:$K$67),G1073:P1073)</f>
        <v>0.25359940962358</v>
      </c>
      <c r="S1073" s="0" t="n">
        <f aca="false">04_回帰ANOVA!$K$19*04_回帰ANOVA!$K$14*SQRT(1+R1073)</f>
        <v>1.04098872464599</v>
      </c>
      <c r="T1073" s="0" t="n">
        <f aca="false">Q1073-S1073</f>
        <v>45.5084501958086</v>
      </c>
      <c r="U1073" s="0" t="n">
        <f aca="false">Q1073+S1073</f>
        <v>47.5904276451005</v>
      </c>
      <c r="V1073" s="54" t="b">
        <f aca="false">AND(D1073&gt;=01_因子設定!$L$5-0.000000001,D1073&lt;=01_因子設定!$M$5+0.000000001,E1073&gt;=01_因子設定!$L$6-0.000000001,E1073&lt;=01_因子設定!$M$6+0.000000001,F1073&gt;=01_因子設定!$L$7-0.000000001,F1073&lt;=01_因子設定!$M$7+0.000000001,IF(01_因子設定!$B$20="Box-Behnken",D1073^2+E1073^2+F1073^2&lt;=2+0.000000001,TRUE()))</f>
        <v>1</v>
      </c>
      <c r="W1073" s="55" t="n">
        <f aca="false">IF(V1073,IF(01_因子設定!$B$13="最大化",T1073-01_因子設定!$B$14,IF(01_因子設定!$B$13="最小化",01_因子設定!$B$15-U1073,MIN(T1073-01_因子設定!$B$14,01_因子設定!$B$15-U1073))),-1E+030)</f>
        <v>-2.99154980419143</v>
      </c>
      <c r="X1073" s="55" t="n">
        <f aca="false">IF(V1073,IF(01_因子設定!$B$13="最大化",Q1073,IF(01_因子設定!$B$13="最小化",-Q1073,-ABS(Q1073-01_因子設定!$B$16))),-1E+030)</f>
        <v>46.5494389204546</v>
      </c>
      <c r="Y1073" s="55" t="n">
        <f aca="false">W1073+ROW()*0.000000001</f>
        <v>-2.99154873119143</v>
      </c>
      <c r="Z1073" s="55" t="n">
        <f aca="false">X1073+ROW()*0.000000001</f>
        <v>46.5494399934546</v>
      </c>
    </row>
    <row r="1074" customFormat="false" ht="15" hidden="false" customHeight="false" outlineLevel="0" collapsed="false">
      <c r="A1074" s="0" t="n">
        <v>3</v>
      </c>
      <c r="B1074" s="0" t="n">
        <v>11</v>
      </c>
      <c r="C1074" s="0" t="n">
        <v>15</v>
      </c>
      <c r="D1074" s="0" t="n">
        <f aca="false">-1+A1074*0.125</f>
        <v>-0.625</v>
      </c>
      <c r="E1074" s="0" t="n">
        <f aca="false">-1+B1074*0.125</f>
        <v>0.375</v>
      </c>
      <c r="F1074" s="0" t="n">
        <f aca="false">-1+C1074*0.125</f>
        <v>0.875</v>
      </c>
      <c r="G1074" s="0" t="n">
        <f aca="false">1</f>
        <v>1</v>
      </c>
      <c r="H1074" s="0" t="n">
        <f aca="false">D1074</f>
        <v>-0.625</v>
      </c>
      <c r="I1074" s="0" t="n">
        <f aca="false">E1074</f>
        <v>0.375</v>
      </c>
      <c r="J1074" s="0" t="n">
        <f aca="false">F1074</f>
        <v>0.875</v>
      </c>
      <c r="K1074" s="0" t="n">
        <f aca="false">D1074*E1074</f>
        <v>-0.234375</v>
      </c>
      <c r="L1074" s="0" t="n">
        <f aca="false">D1074*F1074</f>
        <v>-0.546875</v>
      </c>
      <c r="M1074" s="0" t="n">
        <f aca="false">E1074*F1074</f>
        <v>0.328125</v>
      </c>
      <c r="N1074" s="0" t="n">
        <f aca="false">D1074*D1074</f>
        <v>0.390625</v>
      </c>
      <c r="O1074" s="0" t="n">
        <f aca="false">E1074*E1074</f>
        <v>0.140625</v>
      </c>
      <c r="P1074" s="0" t="n">
        <f aca="false">F1074*F1074</f>
        <v>0.765625</v>
      </c>
      <c r="Q1074" s="0" t="n">
        <f aca="false">SUMPRODUCT(G1074:P1074,_XtX!$B$71:$K$71)</f>
        <v>46.5156178977273</v>
      </c>
      <c r="R1074" s="0" t="n">
        <f aca="false">SUMPRODUCT(MMULT(G1074:P1074,_XtX!$B$58:$K$67),G1074:P1074)</f>
        <v>0.337604869495739</v>
      </c>
      <c r="S1074" s="0" t="n">
        <f aca="false">04_回帰ANOVA!$K$19*04_回帰ANOVA!$K$14*SQRT(1+R1074)</f>
        <v>1.07530225516193</v>
      </c>
      <c r="T1074" s="0" t="n">
        <f aca="false">Q1074-S1074</f>
        <v>45.4403156425654</v>
      </c>
      <c r="U1074" s="0" t="n">
        <f aca="false">Q1074+S1074</f>
        <v>47.5909201528892</v>
      </c>
      <c r="V1074" s="54" t="b">
        <f aca="false">AND(D1074&gt;=01_因子設定!$L$5-0.000000001,D1074&lt;=01_因子設定!$M$5+0.000000001,E1074&gt;=01_因子設定!$L$6-0.000000001,E1074&lt;=01_因子設定!$M$6+0.000000001,F1074&gt;=01_因子設定!$L$7-0.000000001,F1074&lt;=01_因子設定!$M$7+0.000000001,IF(01_因子設定!$B$20="Box-Behnken",D1074^2+E1074^2+F1074^2&lt;=2+0.000000001,TRUE()))</f>
        <v>1</v>
      </c>
      <c r="W1074" s="55" t="n">
        <f aca="false">IF(V1074,IF(01_因子設定!$B$13="最大化",T1074-01_因子設定!$B$14,IF(01_因子設定!$B$13="最小化",01_因子設定!$B$15-U1074,MIN(T1074-01_因子設定!$B$14,01_因子設定!$B$15-U1074))),-1E+030)</f>
        <v>-3.05968435743463</v>
      </c>
      <c r="X1074" s="55" t="n">
        <f aca="false">IF(V1074,IF(01_因子設定!$B$13="最大化",Q1074,IF(01_因子設定!$B$13="最小化",-Q1074,-ABS(Q1074-01_因子設定!$B$16))),-1E+030)</f>
        <v>46.5156178977273</v>
      </c>
      <c r="Y1074" s="55" t="n">
        <f aca="false">W1074+ROW()*0.000000001</f>
        <v>-3.05968328343463</v>
      </c>
      <c r="Z1074" s="55" t="n">
        <f aca="false">X1074+ROW()*0.000000001</f>
        <v>46.5156189717273</v>
      </c>
    </row>
    <row r="1075" customFormat="false" ht="15" hidden="false" customHeight="false" outlineLevel="0" collapsed="false">
      <c r="A1075" s="0" t="n">
        <v>3</v>
      </c>
      <c r="B1075" s="0" t="n">
        <v>11</v>
      </c>
      <c r="C1075" s="0" t="n">
        <v>16</v>
      </c>
      <c r="D1075" s="0" t="n">
        <f aca="false">-1+A1075*0.125</f>
        <v>-0.625</v>
      </c>
      <c r="E1075" s="0" t="n">
        <f aca="false">-1+B1075*0.125</f>
        <v>0.375</v>
      </c>
      <c r="F1075" s="0" t="n">
        <f aca="false">-1+C1075*0.125</f>
        <v>1</v>
      </c>
      <c r="G1075" s="0" t="n">
        <f aca="false">1</f>
        <v>1</v>
      </c>
      <c r="H1075" s="0" t="n">
        <f aca="false">D1075</f>
        <v>-0.625</v>
      </c>
      <c r="I1075" s="0" t="n">
        <f aca="false">E1075</f>
        <v>0.375</v>
      </c>
      <c r="J1075" s="0" t="n">
        <f aca="false">F1075</f>
        <v>1</v>
      </c>
      <c r="K1075" s="0" t="n">
        <f aca="false">D1075*E1075</f>
        <v>-0.234375</v>
      </c>
      <c r="L1075" s="0" t="n">
        <f aca="false">D1075*F1075</f>
        <v>-0.625</v>
      </c>
      <c r="M1075" s="0" t="n">
        <f aca="false">E1075*F1075</f>
        <v>0.375</v>
      </c>
      <c r="N1075" s="0" t="n">
        <f aca="false">D1075*D1075</f>
        <v>0.390625</v>
      </c>
      <c r="O1075" s="0" t="n">
        <f aca="false">E1075*E1075</f>
        <v>0.140625</v>
      </c>
      <c r="P1075" s="0" t="n">
        <f aca="false">F1075*F1075</f>
        <v>1</v>
      </c>
      <c r="Q1075" s="0" t="n">
        <f aca="false">SUMPRODUCT(G1075:P1075,_XtX!$B$71:$K$71)</f>
        <v>46.4450071022728</v>
      </c>
      <c r="R1075" s="0" t="n">
        <f aca="false">SUMPRODUCT(MMULT(G1075:P1075,_XtX!$B$58:$K$67),G1075:P1075)</f>
        <v>0.471821178089489</v>
      </c>
      <c r="S1075" s="0" t="n">
        <f aca="false">04_回帰ANOVA!$K$19*04_回帰ANOVA!$K$14*SQRT(1+R1075)</f>
        <v>1.12796119746125</v>
      </c>
      <c r="T1075" s="0" t="n">
        <f aca="false">Q1075-S1075</f>
        <v>45.3170459048115</v>
      </c>
      <c r="U1075" s="0" t="n">
        <f aca="false">Q1075+S1075</f>
        <v>47.572968299734</v>
      </c>
      <c r="V1075" s="54" t="b">
        <f aca="false">AND(D1075&gt;=01_因子設定!$L$5-0.000000001,D1075&lt;=01_因子設定!$M$5+0.000000001,E1075&gt;=01_因子設定!$L$6-0.000000001,E1075&lt;=01_因子設定!$M$6+0.000000001,F1075&gt;=01_因子設定!$L$7-0.000000001,F1075&lt;=01_因子設定!$M$7+0.000000001,IF(01_因子設定!$B$20="Box-Behnken",D1075^2+E1075^2+F1075^2&lt;=2+0.000000001,TRUE()))</f>
        <v>1</v>
      </c>
      <c r="W1075" s="55" t="n">
        <f aca="false">IF(V1075,IF(01_因子設定!$B$13="最大化",T1075-01_因子設定!$B$14,IF(01_因子設定!$B$13="最小化",01_因子設定!$B$15-U1075,MIN(T1075-01_因子設定!$B$14,01_因子設定!$B$15-U1075))),-1E+030)</f>
        <v>-3.18295409518851</v>
      </c>
      <c r="X1075" s="55" t="n">
        <f aca="false">IF(V1075,IF(01_因子設定!$B$13="最大化",Q1075,IF(01_因子設定!$B$13="最小化",-Q1075,-ABS(Q1075-01_因子設定!$B$16))),-1E+030)</f>
        <v>46.4450071022728</v>
      </c>
      <c r="Y1075" s="55" t="n">
        <f aca="false">W1075+ROW()*0.000000001</f>
        <v>-3.18295302018851</v>
      </c>
      <c r="Z1075" s="55" t="n">
        <f aca="false">X1075+ROW()*0.000000001</f>
        <v>46.4450081772728</v>
      </c>
    </row>
    <row r="1076" customFormat="false" ht="15" hidden="false" customHeight="false" outlineLevel="0" collapsed="false">
      <c r="A1076" s="0" t="n">
        <v>3</v>
      </c>
      <c r="B1076" s="0" t="n">
        <v>12</v>
      </c>
      <c r="C1076" s="0" t="n">
        <v>0</v>
      </c>
      <c r="D1076" s="0" t="n">
        <f aca="false">-1+A1076*0.125</f>
        <v>-0.625</v>
      </c>
      <c r="E1076" s="0" t="n">
        <f aca="false">-1+B1076*0.125</f>
        <v>0.5</v>
      </c>
      <c r="F1076" s="0" t="n">
        <f aca="false">-1+C1076*0.125</f>
        <v>-1</v>
      </c>
      <c r="G1076" s="0" t="n">
        <f aca="false">1</f>
        <v>1</v>
      </c>
      <c r="H1076" s="0" t="n">
        <f aca="false">D1076</f>
        <v>-0.625</v>
      </c>
      <c r="I1076" s="0" t="n">
        <f aca="false">E1076</f>
        <v>0.5</v>
      </c>
      <c r="J1076" s="0" t="n">
        <f aca="false">F1076</f>
        <v>-1</v>
      </c>
      <c r="K1076" s="0" t="n">
        <f aca="false">D1076*E1076</f>
        <v>-0.3125</v>
      </c>
      <c r="L1076" s="0" t="n">
        <f aca="false">D1076*F1076</f>
        <v>0.625</v>
      </c>
      <c r="M1076" s="0" t="n">
        <f aca="false">E1076*F1076</f>
        <v>-0.5</v>
      </c>
      <c r="N1076" s="0" t="n">
        <f aca="false">D1076*D1076</f>
        <v>0.390625</v>
      </c>
      <c r="O1076" s="0" t="n">
        <f aca="false">E1076*E1076</f>
        <v>0.25</v>
      </c>
      <c r="P1076" s="0" t="n">
        <f aca="false">F1076*F1076</f>
        <v>1</v>
      </c>
      <c r="Q1076" s="0" t="n">
        <f aca="false">SUMPRODUCT(G1076:P1076,_XtX!$B$71:$K$71)</f>
        <v>43.0450710227273</v>
      </c>
      <c r="R1076" s="0" t="n">
        <f aca="false">SUMPRODUCT(MMULT(G1076:P1076,_XtX!$B$58:$K$67),G1076:P1076)</f>
        <v>0.465882457386364</v>
      </c>
      <c r="S1076" s="0" t="n">
        <f aca="false">04_回帰ANOVA!$K$19*04_回帰ANOVA!$K$14*SQRT(1+R1076)</f>
        <v>1.12568326538173</v>
      </c>
      <c r="T1076" s="0" t="n">
        <f aca="false">Q1076-S1076</f>
        <v>41.9193877573456</v>
      </c>
      <c r="U1076" s="0" t="n">
        <f aca="false">Q1076+S1076</f>
        <v>44.170754288109</v>
      </c>
      <c r="V1076" s="54" t="b">
        <f aca="false">AND(D1076&gt;=01_因子設定!$L$5-0.000000001,D1076&lt;=01_因子設定!$M$5+0.000000001,E1076&gt;=01_因子設定!$L$6-0.000000001,E1076&lt;=01_因子設定!$M$6+0.000000001,F1076&gt;=01_因子設定!$L$7-0.000000001,F1076&lt;=01_因子設定!$M$7+0.000000001,IF(01_因子設定!$B$20="Box-Behnken",D1076^2+E1076^2+F1076^2&lt;=2+0.000000001,TRUE()))</f>
        <v>1</v>
      </c>
      <c r="W1076" s="55" t="n">
        <f aca="false">IF(V1076,IF(01_因子設定!$B$13="最大化",T1076-01_因子設定!$B$14,IF(01_因子設定!$B$13="最小化",01_因子設定!$B$15-U1076,MIN(T1076-01_因子設定!$B$14,01_因子設定!$B$15-U1076))),-1E+030)</f>
        <v>-6.58061224265443</v>
      </c>
      <c r="X1076" s="55" t="n">
        <f aca="false">IF(V1076,IF(01_因子設定!$B$13="最大化",Q1076,IF(01_因子設定!$B$13="最小化",-Q1076,-ABS(Q1076-01_因子設定!$B$16))),-1E+030)</f>
        <v>43.0450710227273</v>
      </c>
      <c r="Y1076" s="55" t="n">
        <f aca="false">W1076+ROW()*0.000000001</f>
        <v>-6.58061116665443</v>
      </c>
      <c r="Z1076" s="55" t="n">
        <f aca="false">X1076+ROW()*0.000000001</f>
        <v>43.0450720987273</v>
      </c>
    </row>
    <row r="1077" customFormat="false" ht="15" hidden="false" customHeight="false" outlineLevel="0" collapsed="false">
      <c r="A1077" s="0" t="n">
        <v>3</v>
      </c>
      <c r="B1077" s="0" t="n">
        <v>12</v>
      </c>
      <c r="C1077" s="0" t="n">
        <v>1</v>
      </c>
      <c r="D1077" s="0" t="n">
        <f aca="false">-1+A1077*0.125</f>
        <v>-0.625</v>
      </c>
      <c r="E1077" s="0" t="n">
        <f aca="false">-1+B1077*0.125</f>
        <v>0.5</v>
      </c>
      <c r="F1077" s="0" t="n">
        <f aca="false">-1+C1077*0.125</f>
        <v>-0.875</v>
      </c>
      <c r="G1077" s="0" t="n">
        <f aca="false">1</f>
        <v>1</v>
      </c>
      <c r="H1077" s="0" t="n">
        <f aca="false">D1077</f>
        <v>-0.625</v>
      </c>
      <c r="I1077" s="0" t="n">
        <f aca="false">E1077</f>
        <v>0.5</v>
      </c>
      <c r="J1077" s="0" t="n">
        <f aca="false">F1077</f>
        <v>-0.875</v>
      </c>
      <c r="K1077" s="0" t="n">
        <f aca="false">D1077*E1077</f>
        <v>-0.3125</v>
      </c>
      <c r="L1077" s="0" t="n">
        <f aca="false">D1077*F1077</f>
        <v>0.546875</v>
      </c>
      <c r="M1077" s="0" t="n">
        <f aca="false">E1077*F1077</f>
        <v>-0.4375</v>
      </c>
      <c r="N1077" s="0" t="n">
        <f aca="false">D1077*D1077</f>
        <v>0.390625</v>
      </c>
      <c r="O1077" s="0" t="n">
        <f aca="false">E1077*E1077</f>
        <v>0.25</v>
      </c>
      <c r="P1077" s="0" t="n">
        <f aca="false">F1077*F1077</f>
        <v>0.765625</v>
      </c>
      <c r="Q1077" s="0" t="n">
        <f aca="false">SUMPRODUCT(G1077:P1077,_XtX!$B$71:$K$71)</f>
        <v>43.5333380681818</v>
      </c>
      <c r="R1077" s="0" t="n">
        <f aca="false">SUMPRODUCT(MMULT(G1077:P1077,_XtX!$B$58:$K$67),G1077:P1077)</f>
        <v>0.335453102805398</v>
      </c>
      <c r="S1077" s="0" t="n">
        <f aca="false">04_回帰ANOVA!$K$19*04_回帰ANOVA!$K$14*SQRT(1+R1077)</f>
        <v>1.07443700305628</v>
      </c>
      <c r="T1077" s="0" t="n">
        <f aca="false">Q1077-S1077</f>
        <v>42.4589010651256</v>
      </c>
      <c r="U1077" s="0" t="n">
        <f aca="false">Q1077+S1077</f>
        <v>44.6077750712381</v>
      </c>
      <c r="V1077" s="54" t="b">
        <f aca="false">AND(D1077&gt;=01_因子設定!$L$5-0.000000001,D1077&lt;=01_因子設定!$M$5+0.000000001,E1077&gt;=01_因子設定!$L$6-0.000000001,E1077&lt;=01_因子設定!$M$6+0.000000001,F1077&gt;=01_因子設定!$L$7-0.000000001,F1077&lt;=01_因子設定!$M$7+0.000000001,IF(01_因子設定!$B$20="Box-Behnken",D1077^2+E1077^2+F1077^2&lt;=2+0.000000001,TRUE()))</f>
        <v>1</v>
      </c>
      <c r="W1077" s="55" t="n">
        <f aca="false">IF(V1077,IF(01_因子設定!$B$13="最大化",T1077-01_因子設定!$B$14,IF(01_因子設定!$B$13="最小化",01_因子設定!$B$15-U1077,MIN(T1077-01_因子設定!$B$14,01_因子設定!$B$15-U1077))),-1E+030)</f>
        <v>-6.04109893487444</v>
      </c>
      <c r="X1077" s="55" t="n">
        <f aca="false">IF(V1077,IF(01_因子設定!$B$13="最大化",Q1077,IF(01_因子設定!$B$13="最小化",-Q1077,-ABS(Q1077-01_因子設定!$B$16))),-1E+030)</f>
        <v>43.5333380681818</v>
      </c>
      <c r="Y1077" s="55" t="n">
        <f aca="false">W1077+ROW()*0.000000001</f>
        <v>-6.04109785787444</v>
      </c>
      <c r="Z1077" s="55" t="n">
        <f aca="false">X1077+ROW()*0.000000001</f>
        <v>43.5333391451818</v>
      </c>
    </row>
    <row r="1078" customFormat="false" ht="15" hidden="false" customHeight="false" outlineLevel="0" collapsed="false">
      <c r="A1078" s="0" t="n">
        <v>3</v>
      </c>
      <c r="B1078" s="0" t="n">
        <v>12</v>
      </c>
      <c r="C1078" s="0" t="n">
        <v>2</v>
      </c>
      <c r="D1078" s="0" t="n">
        <f aca="false">-1+A1078*0.125</f>
        <v>-0.625</v>
      </c>
      <c r="E1078" s="0" t="n">
        <f aca="false">-1+B1078*0.125</f>
        <v>0.5</v>
      </c>
      <c r="F1078" s="0" t="n">
        <f aca="false">-1+C1078*0.125</f>
        <v>-0.75</v>
      </c>
      <c r="G1078" s="0" t="n">
        <f aca="false">1</f>
        <v>1</v>
      </c>
      <c r="H1078" s="0" t="n">
        <f aca="false">D1078</f>
        <v>-0.625</v>
      </c>
      <c r="I1078" s="0" t="n">
        <f aca="false">E1078</f>
        <v>0.5</v>
      </c>
      <c r="J1078" s="0" t="n">
        <f aca="false">F1078</f>
        <v>-0.75</v>
      </c>
      <c r="K1078" s="0" t="n">
        <f aca="false">D1078*E1078</f>
        <v>-0.3125</v>
      </c>
      <c r="L1078" s="0" t="n">
        <f aca="false">D1078*F1078</f>
        <v>0.46875</v>
      </c>
      <c r="M1078" s="0" t="n">
        <f aca="false">E1078*F1078</f>
        <v>-0.375</v>
      </c>
      <c r="N1078" s="0" t="n">
        <f aca="false">D1078*D1078</f>
        <v>0.390625</v>
      </c>
      <c r="O1078" s="0" t="n">
        <f aca="false">E1078*E1078</f>
        <v>0.25</v>
      </c>
      <c r="P1078" s="0" t="n">
        <f aca="false">F1078*F1078</f>
        <v>0.5625</v>
      </c>
      <c r="Q1078" s="0" t="n">
        <f aca="false">SUMPRODUCT(G1078:P1078,_XtX!$B$71:$K$71)</f>
        <v>43.9848153409091</v>
      </c>
      <c r="R1078" s="0" t="n">
        <f aca="false">SUMPRODUCT(MMULT(G1078:P1078,_XtX!$B$58:$K$67),G1078:P1078)</f>
        <v>0.254729669744318</v>
      </c>
      <c r="S1078" s="0" t="n">
        <f aca="false">04_回帰ANOVA!$K$19*04_回帰ANOVA!$K$14*SQRT(1+R1078)</f>
        <v>1.04145790281631</v>
      </c>
      <c r="T1078" s="0" t="n">
        <f aca="false">Q1078-S1078</f>
        <v>42.9433574380928</v>
      </c>
      <c r="U1078" s="0" t="n">
        <f aca="false">Q1078+S1078</f>
        <v>45.0262732437254</v>
      </c>
      <c r="V1078" s="54" t="b">
        <f aca="false">AND(D1078&gt;=01_因子設定!$L$5-0.000000001,D1078&lt;=01_因子設定!$M$5+0.000000001,E1078&gt;=01_因子設定!$L$6-0.000000001,E1078&lt;=01_因子設定!$M$6+0.000000001,F1078&gt;=01_因子設定!$L$7-0.000000001,F1078&lt;=01_因子設定!$M$7+0.000000001,IF(01_因子設定!$B$20="Box-Behnken",D1078^2+E1078^2+F1078^2&lt;=2+0.000000001,TRUE()))</f>
        <v>1</v>
      </c>
      <c r="W1078" s="55" t="n">
        <f aca="false">IF(V1078,IF(01_因子設定!$B$13="最大化",T1078-01_因子設定!$B$14,IF(01_因子設定!$B$13="最小化",01_因子設定!$B$15-U1078,MIN(T1078-01_因子設定!$B$14,01_因子設定!$B$15-U1078))),-1E+030)</f>
        <v>-5.55664256190721</v>
      </c>
      <c r="X1078" s="55" t="n">
        <f aca="false">IF(V1078,IF(01_因子設定!$B$13="最大化",Q1078,IF(01_因子設定!$B$13="最小化",-Q1078,-ABS(Q1078-01_因子設定!$B$16))),-1E+030)</f>
        <v>43.9848153409091</v>
      </c>
      <c r="Y1078" s="55" t="n">
        <f aca="false">W1078+ROW()*0.000000001</f>
        <v>-5.55664148390721</v>
      </c>
      <c r="Z1078" s="55" t="n">
        <f aca="false">X1078+ROW()*0.000000001</f>
        <v>43.9848164189091</v>
      </c>
    </row>
    <row r="1079" customFormat="false" ht="15" hidden="false" customHeight="false" outlineLevel="0" collapsed="false">
      <c r="A1079" s="0" t="n">
        <v>3</v>
      </c>
      <c r="B1079" s="0" t="n">
        <v>12</v>
      </c>
      <c r="C1079" s="0" t="n">
        <v>3</v>
      </c>
      <c r="D1079" s="0" t="n">
        <f aca="false">-1+A1079*0.125</f>
        <v>-0.625</v>
      </c>
      <c r="E1079" s="0" t="n">
        <f aca="false">-1+B1079*0.125</f>
        <v>0.5</v>
      </c>
      <c r="F1079" s="0" t="n">
        <f aca="false">-1+C1079*0.125</f>
        <v>-0.625</v>
      </c>
      <c r="G1079" s="0" t="n">
        <f aca="false">1</f>
        <v>1</v>
      </c>
      <c r="H1079" s="0" t="n">
        <f aca="false">D1079</f>
        <v>-0.625</v>
      </c>
      <c r="I1079" s="0" t="n">
        <f aca="false">E1079</f>
        <v>0.5</v>
      </c>
      <c r="J1079" s="0" t="n">
        <f aca="false">F1079</f>
        <v>-0.625</v>
      </c>
      <c r="K1079" s="0" t="n">
        <f aca="false">D1079*E1079</f>
        <v>-0.3125</v>
      </c>
      <c r="L1079" s="0" t="n">
        <f aca="false">D1079*F1079</f>
        <v>0.390625</v>
      </c>
      <c r="M1079" s="0" t="n">
        <f aca="false">E1079*F1079</f>
        <v>-0.3125</v>
      </c>
      <c r="N1079" s="0" t="n">
        <f aca="false">D1079*D1079</f>
        <v>0.390625</v>
      </c>
      <c r="O1079" s="0" t="n">
        <f aca="false">E1079*E1079</f>
        <v>0.25</v>
      </c>
      <c r="P1079" s="0" t="n">
        <f aca="false">F1079*F1079</f>
        <v>0.390625</v>
      </c>
      <c r="Q1079" s="0" t="n">
        <f aca="false">SUMPRODUCT(G1079:P1079,_XtX!$B$71:$K$71)</f>
        <v>44.3995028409091</v>
      </c>
      <c r="R1079" s="0" t="n">
        <f aca="false">SUMPRODUCT(MMULT(G1079:P1079,_XtX!$B$58:$K$67),G1079:P1079)</f>
        <v>0.209862726384943</v>
      </c>
      <c r="S1079" s="0" t="n">
        <f aca="false">04_回帰ANOVA!$K$19*04_回帰ANOVA!$K$14*SQRT(1+R1079)</f>
        <v>1.0226680420112</v>
      </c>
      <c r="T1079" s="0" t="n">
        <f aca="false">Q1079-S1079</f>
        <v>43.3768347988979</v>
      </c>
      <c r="U1079" s="0" t="n">
        <f aca="false">Q1079+S1079</f>
        <v>45.4221708829203</v>
      </c>
      <c r="V1079" s="54" t="b">
        <f aca="false">AND(D1079&gt;=01_因子設定!$L$5-0.000000001,D1079&lt;=01_因子設定!$M$5+0.000000001,E1079&gt;=01_因子設定!$L$6-0.000000001,E1079&lt;=01_因子設定!$M$6+0.000000001,F1079&gt;=01_因子設定!$L$7-0.000000001,F1079&lt;=01_因子設定!$M$7+0.000000001,IF(01_因子設定!$B$20="Box-Behnken",D1079^2+E1079^2+F1079^2&lt;=2+0.000000001,TRUE()))</f>
        <v>1</v>
      </c>
      <c r="W1079" s="55" t="n">
        <f aca="false">IF(V1079,IF(01_因子設定!$B$13="最大化",T1079-01_因子設定!$B$14,IF(01_因子設定!$B$13="最小化",01_因子設定!$B$15-U1079,MIN(T1079-01_因子設定!$B$14,01_因子設定!$B$15-U1079))),-1E+030)</f>
        <v>-5.1231652011021</v>
      </c>
      <c r="X1079" s="55" t="n">
        <f aca="false">IF(V1079,IF(01_因子設定!$B$13="最大化",Q1079,IF(01_因子設定!$B$13="最小化",-Q1079,-ABS(Q1079-01_因子設定!$B$16))),-1E+030)</f>
        <v>44.3995028409091</v>
      </c>
      <c r="Y1079" s="55" t="n">
        <f aca="false">W1079+ROW()*0.000000001</f>
        <v>-5.1231641221021</v>
      </c>
      <c r="Z1079" s="55" t="n">
        <f aca="false">X1079+ROW()*0.000000001</f>
        <v>44.3995039199091</v>
      </c>
    </row>
    <row r="1080" customFormat="false" ht="15" hidden="false" customHeight="false" outlineLevel="0" collapsed="false">
      <c r="A1080" s="0" t="n">
        <v>3</v>
      </c>
      <c r="B1080" s="0" t="n">
        <v>12</v>
      </c>
      <c r="C1080" s="0" t="n">
        <v>4</v>
      </c>
      <c r="D1080" s="0" t="n">
        <f aca="false">-1+A1080*0.125</f>
        <v>-0.625</v>
      </c>
      <c r="E1080" s="0" t="n">
        <f aca="false">-1+B1080*0.125</f>
        <v>0.5</v>
      </c>
      <c r="F1080" s="0" t="n">
        <f aca="false">-1+C1080*0.125</f>
        <v>-0.5</v>
      </c>
      <c r="G1080" s="0" t="n">
        <f aca="false">1</f>
        <v>1</v>
      </c>
      <c r="H1080" s="0" t="n">
        <f aca="false">D1080</f>
        <v>-0.625</v>
      </c>
      <c r="I1080" s="0" t="n">
        <f aca="false">E1080</f>
        <v>0.5</v>
      </c>
      <c r="J1080" s="0" t="n">
        <f aca="false">F1080</f>
        <v>-0.5</v>
      </c>
      <c r="K1080" s="0" t="n">
        <f aca="false">D1080*E1080</f>
        <v>-0.3125</v>
      </c>
      <c r="L1080" s="0" t="n">
        <f aca="false">D1080*F1080</f>
        <v>0.3125</v>
      </c>
      <c r="M1080" s="0" t="n">
        <f aca="false">E1080*F1080</f>
        <v>-0.25</v>
      </c>
      <c r="N1080" s="0" t="n">
        <f aca="false">D1080*D1080</f>
        <v>0.390625</v>
      </c>
      <c r="O1080" s="0" t="n">
        <f aca="false">E1080*E1080</f>
        <v>0.25</v>
      </c>
      <c r="P1080" s="0" t="n">
        <f aca="false">F1080*F1080</f>
        <v>0.25</v>
      </c>
      <c r="Q1080" s="0" t="n">
        <f aca="false">SUMPRODUCT(G1080:P1080,_XtX!$B$71:$K$71)</f>
        <v>44.7774005681818</v>
      </c>
      <c r="R1080" s="0" t="n">
        <f aca="false">SUMPRODUCT(MMULT(G1080:P1080,_XtX!$B$58:$K$67),G1080:P1080)</f>
        <v>0.189133522727273</v>
      </c>
      <c r="S1080" s="0" t="n">
        <f aca="false">04_回帰ANOVA!$K$19*04_回帰ANOVA!$K$14*SQRT(1+R1080)</f>
        <v>1.0138692404042</v>
      </c>
      <c r="T1080" s="0" t="n">
        <f aca="false">Q1080-S1080</f>
        <v>43.7635313277776</v>
      </c>
      <c r="U1080" s="0" t="n">
        <f aca="false">Q1080+S1080</f>
        <v>45.791269808586</v>
      </c>
      <c r="V1080" s="54" t="b">
        <f aca="false">AND(D1080&gt;=01_因子設定!$L$5-0.000000001,D1080&lt;=01_因子設定!$M$5+0.000000001,E1080&gt;=01_因子設定!$L$6-0.000000001,E1080&lt;=01_因子設定!$M$6+0.000000001,F1080&gt;=01_因子設定!$L$7-0.000000001,F1080&lt;=01_因子設定!$M$7+0.000000001,IF(01_因子設定!$B$20="Box-Behnken",D1080^2+E1080^2+F1080^2&lt;=2+0.000000001,TRUE()))</f>
        <v>1</v>
      </c>
      <c r="W1080" s="55" t="n">
        <f aca="false">IF(V1080,IF(01_因子設定!$B$13="最大化",T1080-01_因子設定!$B$14,IF(01_因子設定!$B$13="最小化",01_因子設定!$B$15-U1080,MIN(T1080-01_因子設定!$B$14,01_因子設定!$B$15-U1080))),-1E+030)</f>
        <v>-4.73646867222237</v>
      </c>
      <c r="X1080" s="55" t="n">
        <f aca="false">IF(V1080,IF(01_因子設定!$B$13="最大化",Q1080,IF(01_因子設定!$B$13="最小化",-Q1080,-ABS(Q1080-01_因子設定!$B$16))),-1E+030)</f>
        <v>44.7774005681818</v>
      </c>
      <c r="Y1080" s="55" t="n">
        <f aca="false">W1080+ROW()*0.000000001</f>
        <v>-4.73646759222237</v>
      </c>
      <c r="Z1080" s="55" t="n">
        <f aca="false">X1080+ROW()*0.000000001</f>
        <v>44.7774016481818</v>
      </c>
    </row>
    <row r="1081" customFormat="false" ht="15" hidden="false" customHeight="false" outlineLevel="0" collapsed="false">
      <c r="A1081" s="0" t="n">
        <v>3</v>
      </c>
      <c r="B1081" s="0" t="n">
        <v>12</v>
      </c>
      <c r="C1081" s="0" t="n">
        <v>5</v>
      </c>
      <c r="D1081" s="0" t="n">
        <f aca="false">-1+A1081*0.125</f>
        <v>-0.625</v>
      </c>
      <c r="E1081" s="0" t="n">
        <f aca="false">-1+B1081*0.125</f>
        <v>0.5</v>
      </c>
      <c r="F1081" s="0" t="n">
        <f aca="false">-1+C1081*0.125</f>
        <v>-0.375</v>
      </c>
      <c r="G1081" s="0" t="n">
        <f aca="false">1</f>
        <v>1</v>
      </c>
      <c r="H1081" s="0" t="n">
        <f aca="false">D1081</f>
        <v>-0.625</v>
      </c>
      <c r="I1081" s="0" t="n">
        <f aca="false">E1081</f>
        <v>0.5</v>
      </c>
      <c r="J1081" s="0" t="n">
        <f aca="false">F1081</f>
        <v>-0.375</v>
      </c>
      <c r="K1081" s="0" t="n">
        <f aca="false">D1081*E1081</f>
        <v>-0.3125</v>
      </c>
      <c r="L1081" s="0" t="n">
        <f aca="false">D1081*F1081</f>
        <v>0.234375</v>
      </c>
      <c r="M1081" s="0" t="n">
        <f aca="false">E1081*F1081</f>
        <v>-0.1875</v>
      </c>
      <c r="N1081" s="0" t="n">
        <f aca="false">D1081*D1081</f>
        <v>0.390625</v>
      </c>
      <c r="O1081" s="0" t="n">
        <f aca="false">E1081*E1081</f>
        <v>0.25</v>
      </c>
      <c r="P1081" s="0" t="n">
        <f aca="false">F1081*F1081</f>
        <v>0.140625</v>
      </c>
      <c r="Q1081" s="0" t="n">
        <f aca="false">SUMPRODUCT(G1081:P1081,_XtX!$B$71:$K$71)</f>
        <v>45.1185085227273</v>
      </c>
      <c r="R1081" s="0" t="n">
        <f aca="false">SUMPRODUCT(MMULT(G1081:P1081,_XtX!$B$58:$K$67),G1081:P1081)</f>
        <v>0.182953990589489</v>
      </c>
      <c r="S1081" s="0" t="n">
        <f aca="false">04_回帰ANOVA!$K$19*04_回帰ANOVA!$K$14*SQRT(1+R1081)</f>
        <v>1.01123143807044</v>
      </c>
      <c r="T1081" s="0" t="n">
        <f aca="false">Q1081-S1081</f>
        <v>44.1072770846568</v>
      </c>
      <c r="U1081" s="0" t="n">
        <f aca="false">Q1081+S1081</f>
        <v>46.1297399607977</v>
      </c>
      <c r="V1081" s="54" t="b">
        <f aca="false">AND(D1081&gt;=01_因子設定!$L$5-0.000000001,D1081&lt;=01_因子設定!$M$5+0.000000001,E1081&gt;=01_因子設定!$L$6-0.000000001,E1081&lt;=01_因子設定!$M$6+0.000000001,F1081&gt;=01_因子設定!$L$7-0.000000001,F1081&lt;=01_因子設定!$M$7+0.000000001,IF(01_因子設定!$B$20="Box-Behnken",D1081^2+E1081^2+F1081^2&lt;=2+0.000000001,TRUE()))</f>
        <v>1</v>
      </c>
      <c r="W1081" s="55" t="n">
        <f aca="false">IF(V1081,IF(01_因子設定!$B$13="最大化",T1081-01_因子設定!$B$14,IF(01_因子設定!$B$13="最小化",01_因子設定!$B$15-U1081,MIN(T1081-01_因子設定!$B$14,01_因子設定!$B$15-U1081))),-1E+030)</f>
        <v>-4.39272291534316</v>
      </c>
      <c r="X1081" s="55" t="n">
        <f aca="false">IF(V1081,IF(01_因子設定!$B$13="最大化",Q1081,IF(01_因子設定!$B$13="最小化",-Q1081,-ABS(Q1081-01_因子設定!$B$16))),-1E+030)</f>
        <v>45.1185085227273</v>
      </c>
      <c r="Y1081" s="55" t="n">
        <f aca="false">W1081+ROW()*0.000000001</f>
        <v>-4.39272183434316</v>
      </c>
      <c r="Z1081" s="55" t="n">
        <f aca="false">X1081+ROW()*0.000000001</f>
        <v>45.1185096037273</v>
      </c>
    </row>
    <row r="1082" customFormat="false" ht="15" hidden="false" customHeight="false" outlineLevel="0" collapsed="false">
      <c r="A1082" s="0" t="n">
        <v>3</v>
      </c>
      <c r="B1082" s="0" t="n">
        <v>12</v>
      </c>
      <c r="C1082" s="0" t="n">
        <v>6</v>
      </c>
      <c r="D1082" s="0" t="n">
        <f aca="false">-1+A1082*0.125</f>
        <v>-0.625</v>
      </c>
      <c r="E1082" s="0" t="n">
        <f aca="false">-1+B1082*0.125</f>
        <v>0.5</v>
      </c>
      <c r="F1082" s="0" t="n">
        <f aca="false">-1+C1082*0.125</f>
        <v>-0.25</v>
      </c>
      <c r="G1082" s="0" t="n">
        <f aca="false">1</f>
        <v>1</v>
      </c>
      <c r="H1082" s="0" t="n">
        <f aca="false">D1082</f>
        <v>-0.625</v>
      </c>
      <c r="I1082" s="0" t="n">
        <f aca="false">E1082</f>
        <v>0.5</v>
      </c>
      <c r="J1082" s="0" t="n">
        <f aca="false">F1082</f>
        <v>-0.25</v>
      </c>
      <c r="K1082" s="0" t="n">
        <f aca="false">D1082*E1082</f>
        <v>-0.3125</v>
      </c>
      <c r="L1082" s="0" t="n">
        <f aca="false">D1082*F1082</f>
        <v>0.15625</v>
      </c>
      <c r="M1082" s="0" t="n">
        <f aca="false">E1082*F1082</f>
        <v>-0.125</v>
      </c>
      <c r="N1082" s="0" t="n">
        <f aca="false">D1082*D1082</f>
        <v>0.390625</v>
      </c>
      <c r="O1082" s="0" t="n">
        <f aca="false">E1082*E1082</f>
        <v>0.25</v>
      </c>
      <c r="P1082" s="0" t="n">
        <f aca="false">F1082*F1082</f>
        <v>0.0625</v>
      </c>
      <c r="Q1082" s="0" t="n">
        <f aca="false">SUMPRODUCT(G1082:P1082,_XtX!$B$71:$K$71)</f>
        <v>45.4228267045455</v>
      </c>
      <c r="R1082" s="0" t="n">
        <f aca="false">SUMPRODUCT(MMULT(G1082:P1082,_XtX!$B$58:$K$67),G1082:P1082)</f>
        <v>0.183866743607955</v>
      </c>
      <c r="S1082" s="0" t="n">
        <f aca="false">04_回帰ANOVA!$K$19*04_回帰ANOVA!$K$14*SQRT(1+R1082)</f>
        <v>1.01162148983013</v>
      </c>
      <c r="T1082" s="0" t="n">
        <f aca="false">Q1082-S1082</f>
        <v>44.4112052147153</v>
      </c>
      <c r="U1082" s="0" t="n">
        <f aca="false">Q1082+S1082</f>
        <v>46.4344481943756</v>
      </c>
      <c r="V1082" s="54" t="b">
        <f aca="false">AND(D1082&gt;=01_因子設定!$L$5-0.000000001,D1082&lt;=01_因子設定!$M$5+0.000000001,E1082&gt;=01_因子設定!$L$6-0.000000001,E1082&lt;=01_因子設定!$M$6+0.000000001,F1082&gt;=01_因子設定!$L$7-0.000000001,F1082&lt;=01_因子設定!$M$7+0.000000001,IF(01_因子設定!$B$20="Box-Behnken",D1082^2+E1082^2+F1082^2&lt;=2+0.000000001,TRUE()))</f>
        <v>1</v>
      </c>
      <c r="W1082" s="55" t="n">
        <f aca="false">IF(V1082,IF(01_因子設定!$B$13="最大化",T1082-01_因子設定!$B$14,IF(01_因子設定!$B$13="最小化",01_因子設定!$B$15-U1082,MIN(T1082-01_因子設定!$B$14,01_因子設定!$B$15-U1082))),-1E+030)</f>
        <v>-4.08879478528468</v>
      </c>
      <c r="X1082" s="55" t="n">
        <f aca="false">IF(V1082,IF(01_因子設定!$B$13="最大化",Q1082,IF(01_因子設定!$B$13="最小化",-Q1082,-ABS(Q1082-01_因子設定!$B$16))),-1E+030)</f>
        <v>45.4228267045455</v>
      </c>
      <c r="Y1082" s="55" t="n">
        <f aca="false">W1082+ROW()*0.000000001</f>
        <v>-4.08879370328468</v>
      </c>
      <c r="Z1082" s="55" t="n">
        <f aca="false">X1082+ROW()*0.000000001</f>
        <v>45.4228277865455</v>
      </c>
    </row>
    <row r="1083" customFormat="false" ht="15" hidden="false" customHeight="false" outlineLevel="0" collapsed="false">
      <c r="A1083" s="0" t="n">
        <v>3</v>
      </c>
      <c r="B1083" s="0" t="n">
        <v>12</v>
      </c>
      <c r="C1083" s="0" t="n">
        <v>7</v>
      </c>
      <c r="D1083" s="0" t="n">
        <f aca="false">-1+A1083*0.125</f>
        <v>-0.625</v>
      </c>
      <c r="E1083" s="0" t="n">
        <f aca="false">-1+B1083*0.125</f>
        <v>0.5</v>
      </c>
      <c r="F1083" s="0" t="n">
        <f aca="false">-1+C1083*0.125</f>
        <v>-0.125</v>
      </c>
      <c r="G1083" s="0" t="n">
        <f aca="false">1</f>
        <v>1</v>
      </c>
      <c r="H1083" s="0" t="n">
        <f aca="false">D1083</f>
        <v>-0.625</v>
      </c>
      <c r="I1083" s="0" t="n">
        <f aca="false">E1083</f>
        <v>0.5</v>
      </c>
      <c r="J1083" s="0" t="n">
        <f aca="false">F1083</f>
        <v>-0.125</v>
      </c>
      <c r="K1083" s="0" t="n">
        <f aca="false">D1083*E1083</f>
        <v>-0.3125</v>
      </c>
      <c r="L1083" s="0" t="n">
        <f aca="false">D1083*F1083</f>
        <v>0.078125</v>
      </c>
      <c r="M1083" s="0" t="n">
        <f aca="false">E1083*F1083</f>
        <v>-0.0625</v>
      </c>
      <c r="N1083" s="0" t="n">
        <f aca="false">D1083*D1083</f>
        <v>0.390625</v>
      </c>
      <c r="O1083" s="0" t="n">
        <f aca="false">E1083*E1083</f>
        <v>0.25</v>
      </c>
      <c r="P1083" s="0" t="n">
        <f aca="false">F1083*F1083</f>
        <v>0.015625</v>
      </c>
      <c r="Q1083" s="0" t="n">
        <f aca="false">SUMPRODUCT(G1083:P1083,_XtX!$B$71:$K$71)</f>
        <v>45.6903551136364</v>
      </c>
      <c r="R1083" s="0" t="n">
        <f aca="false">SUMPRODUCT(MMULT(G1083:P1083,_XtX!$B$58:$K$67),G1083:P1083)</f>
        <v>0.186545077237216</v>
      </c>
      <c r="S1083" s="0" t="n">
        <f aca="false">04_回帰ANOVA!$K$19*04_回帰ANOVA!$K$14*SQRT(1+R1083)</f>
        <v>1.01276516970713</v>
      </c>
      <c r="T1083" s="0" t="n">
        <f aca="false">Q1083-S1083</f>
        <v>44.6775899439292</v>
      </c>
      <c r="U1083" s="0" t="n">
        <f aca="false">Q1083+S1083</f>
        <v>46.7031202833435</v>
      </c>
      <c r="V1083" s="54" t="b">
        <f aca="false">AND(D1083&gt;=01_因子設定!$L$5-0.000000001,D1083&lt;=01_因子設定!$M$5+0.000000001,E1083&gt;=01_因子設定!$L$6-0.000000001,E1083&lt;=01_因子設定!$M$6+0.000000001,F1083&gt;=01_因子設定!$L$7-0.000000001,F1083&lt;=01_因子設定!$M$7+0.000000001,IF(01_因子設定!$B$20="Box-Behnken",D1083^2+E1083^2+F1083^2&lt;=2+0.000000001,TRUE()))</f>
        <v>1</v>
      </c>
      <c r="W1083" s="55" t="n">
        <f aca="false">IF(V1083,IF(01_因子設定!$B$13="最大化",T1083-01_因子設定!$B$14,IF(01_因子設定!$B$13="最小化",01_因子設定!$B$15-U1083,MIN(T1083-01_因子設定!$B$14,01_因子設定!$B$15-U1083))),-1E+030)</f>
        <v>-3.82241005607077</v>
      </c>
      <c r="X1083" s="55" t="n">
        <f aca="false">IF(V1083,IF(01_因子設定!$B$13="最大化",Q1083,IF(01_因子設定!$B$13="最小化",-Q1083,-ABS(Q1083-01_因子設定!$B$16))),-1E+030)</f>
        <v>45.6903551136364</v>
      </c>
      <c r="Y1083" s="55" t="n">
        <f aca="false">W1083+ROW()*0.000000001</f>
        <v>-3.82240897307077</v>
      </c>
      <c r="Z1083" s="55" t="n">
        <f aca="false">X1083+ROW()*0.000000001</f>
        <v>45.6903561966364</v>
      </c>
    </row>
    <row r="1084" customFormat="false" ht="15" hidden="false" customHeight="false" outlineLevel="0" collapsed="false">
      <c r="A1084" s="0" t="n">
        <v>3</v>
      </c>
      <c r="B1084" s="0" t="n">
        <v>12</v>
      </c>
      <c r="C1084" s="0" t="n">
        <v>8</v>
      </c>
      <c r="D1084" s="0" t="n">
        <f aca="false">-1+A1084*0.125</f>
        <v>-0.625</v>
      </c>
      <c r="E1084" s="0" t="n">
        <f aca="false">-1+B1084*0.125</f>
        <v>0.5</v>
      </c>
      <c r="F1084" s="0" t="n">
        <f aca="false">-1+C1084*0.125</f>
        <v>0</v>
      </c>
      <c r="G1084" s="0" t="n">
        <f aca="false">1</f>
        <v>1</v>
      </c>
      <c r="H1084" s="0" t="n">
        <f aca="false">D1084</f>
        <v>-0.625</v>
      </c>
      <c r="I1084" s="0" t="n">
        <f aca="false">E1084</f>
        <v>0.5</v>
      </c>
      <c r="J1084" s="0" t="n">
        <f aca="false">F1084</f>
        <v>0</v>
      </c>
      <c r="K1084" s="0" t="n">
        <f aca="false">D1084*E1084</f>
        <v>-0.3125</v>
      </c>
      <c r="L1084" s="0" t="n">
        <f aca="false">D1084*F1084</f>
        <v>-0</v>
      </c>
      <c r="M1084" s="0" t="n">
        <f aca="false">E1084*F1084</f>
        <v>0</v>
      </c>
      <c r="N1084" s="0" t="n">
        <f aca="false">D1084*D1084</f>
        <v>0.390625</v>
      </c>
      <c r="O1084" s="0" t="n">
        <f aca="false">E1084*E1084</f>
        <v>0.25</v>
      </c>
      <c r="P1084" s="0" t="n">
        <f aca="false">F1084*F1084</f>
        <v>0</v>
      </c>
      <c r="Q1084" s="0" t="n">
        <f aca="false">SUMPRODUCT(G1084:P1084,_XtX!$B$71:$K$71)</f>
        <v>45.92109375</v>
      </c>
      <c r="R1084" s="0" t="n">
        <f aca="false">SUMPRODUCT(MMULT(G1084:P1084,_XtX!$B$58:$K$67),G1084:P1084)</f>
        <v>0.18779296875</v>
      </c>
      <c r="S1084" s="0" t="n">
        <f aca="false">04_回帰ANOVA!$K$19*04_回帰ANOVA!$K$14*SQRT(1+R1084)</f>
        <v>1.01329759319777</v>
      </c>
      <c r="T1084" s="0" t="n">
        <f aca="false">Q1084-S1084</f>
        <v>44.9077961568022</v>
      </c>
      <c r="U1084" s="0" t="n">
        <f aca="false">Q1084+S1084</f>
        <v>46.9343913431978</v>
      </c>
      <c r="V1084" s="54" t="b">
        <f aca="false">AND(D1084&gt;=01_因子設定!$L$5-0.000000001,D1084&lt;=01_因子設定!$M$5+0.000000001,E1084&gt;=01_因子設定!$L$6-0.000000001,E1084&lt;=01_因子設定!$M$6+0.000000001,F1084&gt;=01_因子設定!$L$7-0.000000001,F1084&lt;=01_因子設定!$M$7+0.000000001,IF(01_因子設定!$B$20="Box-Behnken",D1084^2+E1084^2+F1084^2&lt;=2+0.000000001,TRUE()))</f>
        <v>1</v>
      </c>
      <c r="W1084" s="55" t="n">
        <f aca="false">IF(V1084,IF(01_因子設定!$B$13="最大化",T1084-01_因子設定!$B$14,IF(01_因子設定!$B$13="最小化",01_因子設定!$B$15-U1084,MIN(T1084-01_因子設定!$B$14,01_因子設定!$B$15-U1084))),-1E+030)</f>
        <v>-3.59220384319777</v>
      </c>
      <c r="X1084" s="55" t="n">
        <f aca="false">IF(V1084,IF(01_因子設定!$B$13="最大化",Q1084,IF(01_因子設定!$B$13="最小化",-Q1084,-ABS(Q1084-01_因子設定!$B$16))),-1E+030)</f>
        <v>45.92109375</v>
      </c>
      <c r="Y1084" s="55" t="n">
        <f aca="false">W1084+ROW()*0.000000001</f>
        <v>-3.59220275919777</v>
      </c>
      <c r="Z1084" s="55" t="n">
        <f aca="false">X1084+ROW()*0.000000001</f>
        <v>45.921094834</v>
      </c>
    </row>
    <row r="1085" customFormat="false" ht="15" hidden="false" customHeight="false" outlineLevel="0" collapsed="false">
      <c r="A1085" s="0" t="n">
        <v>3</v>
      </c>
      <c r="B1085" s="0" t="n">
        <v>12</v>
      </c>
      <c r="C1085" s="0" t="n">
        <v>9</v>
      </c>
      <c r="D1085" s="0" t="n">
        <f aca="false">-1+A1085*0.125</f>
        <v>-0.625</v>
      </c>
      <c r="E1085" s="0" t="n">
        <f aca="false">-1+B1085*0.125</f>
        <v>0.5</v>
      </c>
      <c r="F1085" s="0" t="n">
        <f aca="false">-1+C1085*0.125</f>
        <v>0.125</v>
      </c>
      <c r="G1085" s="0" t="n">
        <f aca="false">1</f>
        <v>1</v>
      </c>
      <c r="H1085" s="0" t="n">
        <f aca="false">D1085</f>
        <v>-0.625</v>
      </c>
      <c r="I1085" s="0" t="n">
        <f aca="false">E1085</f>
        <v>0.5</v>
      </c>
      <c r="J1085" s="0" t="n">
        <f aca="false">F1085</f>
        <v>0.125</v>
      </c>
      <c r="K1085" s="0" t="n">
        <f aca="false">D1085*E1085</f>
        <v>-0.3125</v>
      </c>
      <c r="L1085" s="0" t="n">
        <f aca="false">D1085*F1085</f>
        <v>-0.078125</v>
      </c>
      <c r="M1085" s="0" t="n">
        <f aca="false">E1085*F1085</f>
        <v>0.0625</v>
      </c>
      <c r="N1085" s="0" t="n">
        <f aca="false">D1085*D1085</f>
        <v>0.390625</v>
      </c>
      <c r="O1085" s="0" t="n">
        <f aca="false">E1085*E1085</f>
        <v>0.25</v>
      </c>
      <c r="P1085" s="0" t="n">
        <f aca="false">F1085*F1085</f>
        <v>0.015625</v>
      </c>
      <c r="Q1085" s="0" t="n">
        <f aca="false">SUMPRODUCT(G1085:P1085,_XtX!$B$71:$K$71)</f>
        <v>46.1150426136364</v>
      </c>
      <c r="R1085" s="0" t="n">
        <f aca="false">SUMPRODUCT(MMULT(G1085:P1085,_XtX!$B$58:$K$67),G1085:P1085)</f>
        <v>0.186545077237216</v>
      </c>
      <c r="S1085" s="0" t="n">
        <f aca="false">04_回帰ANOVA!$K$19*04_回帰ANOVA!$K$14*SQRT(1+R1085)</f>
        <v>1.01276516970713</v>
      </c>
      <c r="T1085" s="0" t="n">
        <f aca="false">Q1085-S1085</f>
        <v>45.1022774439292</v>
      </c>
      <c r="U1085" s="0" t="n">
        <f aca="false">Q1085+S1085</f>
        <v>47.1278077833435</v>
      </c>
      <c r="V1085" s="54" t="b">
        <f aca="false">AND(D1085&gt;=01_因子設定!$L$5-0.000000001,D1085&lt;=01_因子設定!$M$5+0.000000001,E1085&gt;=01_因子設定!$L$6-0.000000001,E1085&lt;=01_因子設定!$M$6+0.000000001,F1085&gt;=01_因子設定!$L$7-0.000000001,F1085&lt;=01_因子設定!$M$7+0.000000001,IF(01_因子設定!$B$20="Box-Behnken",D1085^2+E1085^2+F1085^2&lt;=2+0.000000001,TRUE()))</f>
        <v>1</v>
      </c>
      <c r="W1085" s="55" t="n">
        <f aca="false">IF(V1085,IF(01_因子設定!$B$13="最大化",T1085-01_因子設定!$B$14,IF(01_因子設定!$B$13="最小化",01_因子設定!$B$15-U1085,MIN(T1085-01_因子設定!$B$14,01_因子設定!$B$15-U1085))),-1E+030)</f>
        <v>-3.39772255607077</v>
      </c>
      <c r="X1085" s="55" t="n">
        <f aca="false">IF(V1085,IF(01_因子設定!$B$13="最大化",Q1085,IF(01_因子設定!$B$13="最小化",-Q1085,-ABS(Q1085-01_因子設定!$B$16))),-1E+030)</f>
        <v>46.1150426136364</v>
      </c>
      <c r="Y1085" s="55" t="n">
        <f aca="false">W1085+ROW()*0.000000001</f>
        <v>-3.39772147107077</v>
      </c>
      <c r="Z1085" s="55" t="n">
        <f aca="false">X1085+ROW()*0.000000001</f>
        <v>46.1150436986364</v>
      </c>
    </row>
    <row r="1086" customFormat="false" ht="15" hidden="false" customHeight="false" outlineLevel="0" collapsed="false">
      <c r="A1086" s="0" t="n">
        <v>3</v>
      </c>
      <c r="B1086" s="0" t="n">
        <v>12</v>
      </c>
      <c r="C1086" s="0" t="n">
        <v>10</v>
      </c>
      <c r="D1086" s="0" t="n">
        <f aca="false">-1+A1086*0.125</f>
        <v>-0.625</v>
      </c>
      <c r="E1086" s="0" t="n">
        <f aca="false">-1+B1086*0.125</f>
        <v>0.5</v>
      </c>
      <c r="F1086" s="0" t="n">
        <f aca="false">-1+C1086*0.125</f>
        <v>0.25</v>
      </c>
      <c r="G1086" s="0" t="n">
        <f aca="false">1</f>
        <v>1</v>
      </c>
      <c r="H1086" s="0" t="n">
        <f aca="false">D1086</f>
        <v>-0.625</v>
      </c>
      <c r="I1086" s="0" t="n">
        <f aca="false">E1086</f>
        <v>0.5</v>
      </c>
      <c r="J1086" s="0" t="n">
        <f aca="false">F1086</f>
        <v>0.25</v>
      </c>
      <c r="K1086" s="0" t="n">
        <f aca="false">D1086*E1086</f>
        <v>-0.3125</v>
      </c>
      <c r="L1086" s="0" t="n">
        <f aca="false">D1086*F1086</f>
        <v>-0.15625</v>
      </c>
      <c r="M1086" s="0" t="n">
        <f aca="false">E1086*F1086</f>
        <v>0.125</v>
      </c>
      <c r="N1086" s="0" t="n">
        <f aca="false">D1086*D1086</f>
        <v>0.390625</v>
      </c>
      <c r="O1086" s="0" t="n">
        <f aca="false">E1086*E1086</f>
        <v>0.25</v>
      </c>
      <c r="P1086" s="0" t="n">
        <f aca="false">F1086*F1086</f>
        <v>0.0625</v>
      </c>
      <c r="Q1086" s="0" t="n">
        <f aca="false">SUMPRODUCT(G1086:P1086,_XtX!$B$71:$K$71)</f>
        <v>46.2722017045455</v>
      </c>
      <c r="R1086" s="0" t="n">
        <f aca="false">SUMPRODUCT(MMULT(G1086:P1086,_XtX!$B$58:$K$67),G1086:P1086)</f>
        <v>0.183866743607955</v>
      </c>
      <c r="S1086" s="0" t="n">
        <f aca="false">04_回帰ANOVA!$K$19*04_回帰ANOVA!$K$14*SQRT(1+R1086)</f>
        <v>1.01162148983013</v>
      </c>
      <c r="T1086" s="0" t="n">
        <f aca="false">Q1086-S1086</f>
        <v>45.2605802147153</v>
      </c>
      <c r="U1086" s="0" t="n">
        <f aca="false">Q1086+S1086</f>
        <v>47.2838231943756</v>
      </c>
      <c r="V1086" s="54" t="b">
        <f aca="false">AND(D1086&gt;=01_因子設定!$L$5-0.000000001,D1086&lt;=01_因子設定!$M$5+0.000000001,E1086&gt;=01_因子設定!$L$6-0.000000001,E1086&lt;=01_因子設定!$M$6+0.000000001,F1086&gt;=01_因子設定!$L$7-0.000000001,F1086&lt;=01_因子設定!$M$7+0.000000001,IF(01_因子設定!$B$20="Box-Behnken",D1086^2+E1086^2+F1086^2&lt;=2+0.000000001,TRUE()))</f>
        <v>1</v>
      </c>
      <c r="W1086" s="55" t="n">
        <f aca="false">IF(V1086,IF(01_因子設定!$B$13="最大化",T1086-01_因子設定!$B$14,IF(01_因子設定!$B$13="最小化",01_因子設定!$B$15-U1086,MIN(T1086-01_因子設定!$B$14,01_因子設定!$B$15-U1086))),-1E+030)</f>
        <v>-3.23941978528467</v>
      </c>
      <c r="X1086" s="55" t="n">
        <f aca="false">IF(V1086,IF(01_因子設定!$B$13="最大化",Q1086,IF(01_因子設定!$B$13="最小化",-Q1086,-ABS(Q1086-01_因子設定!$B$16))),-1E+030)</f>
        <v>46.2722017045455</v>
      </c>
      <c r="Y1086" s="55" t="n">
        <f aca="false">W1086+ROW()*0.000000001</f>
        <v>-3.23941869928467</v>
      </c>
      <c r="Z1086" s="55" t="n">
        <f aca="false">X1086+ROW()*0.000000001</f>
        <v>46.2722027905455</v>
      </c>
    </row>
    <row r="1087" customFormat="false" ht="15" hidden="false" customHeight="false" outlineLevel="0" collapsed="false">
      <c r="A1087" s="0" t="n">
        <v>3</v>
      </c>
      <c r="B1087" s="0" t="n">
        <v>12</v>
      </c>
      <c r="C1087" s="0" t="n">
        <v>11</v>
      </c>
      <c r="D1087" s="0" t="n">
        <f aca="false">-1+A1087*0.125</f>
        <v>-0.625</v>
      </c>
      <c r="E1087" s="0" t="n">
        <f aca="false">-1+B1087*0.125</f>
        <v>0.5</v>
      </c>
      <c r="F1087" s="0" t="n">
        <f aca="false">-1+C1087*0.125</f>
        <v>0.375</v>
      </c>
      <c r="G1087" s="0" t="n">
        <f aca="false">1</f>
        <v>1</v>
      </c>
      <c r="H1087" s="0" t="n">
        <f aca="false">D1087</f>
        <v>-0.625</v>
      </c>
      <c r="I1087" s="0" t="n">
        <f aca="false">E1087</f>
        <v>0.5</v>
      </c>
      <c r="J1087" s="0" t="n">
        <f aca="false">F1087</f>
        <v>0.375</v>
      </c>
      <c r="K1087" s="0" t="n">
        <f aca="false">D1087*E1087</f>
        <v>-0.3125</v>
      </c>
      <c r="L1087" s="0" t="n">
        <f aca="false">D1087*F1087</f>
        <v>-0.234375</v>
      </c>
      <c r="M1087" s="0" t="n">
        <f aca="false">E1087*F1087</f>
        <v>0.1875</v>
      </c>
      <c r="N1087" s="0" t="n">
        <f aca="false">D1087*D1087</f>
        <v>0.390625</v>
      </c>
      <c r="O1087" s="0" t="n">
        <f aca="false">E1087*E1087</f>
        <v>0.25</v>
      </c>
      <c r="P1087" s="0" t="n">
        <f aca="false">F1087*F1087</f>
        <v>0.140625</v>
      </c>
      <c r="Q1087" s="0" t="n">
        <f aca="false">SUMPRODUCT(G1087:P1087,_XtX!$B$71:$K$71)</f>
        <v>46.3925710227273</v>
      </c>
      <c r="R1087" s="0" t="n">
        <f aca="false">SUMPRODUCT(MMULT(G1087:P1087,_XtX!$B$58:$K$67),G1087:P1087)</f>
        <v>0.182953990589489</v>
      </c>
      <c r="S1087" s="0" t="n">
        <f aca="false">04_回帰ANOVA!$K$19*04_回帰ANOVA!$K$14*SQRT(1+R1087)</f>
        <v>1.01123143807044</v>
      </c>
      <c r="T1087" s="0" t="n">
        <f aca="false">Q1087-S1087</f>
        <v>45.3813395846568</v>
      </c>
      <c r="U1087" s="0" t="n">
        <f aca="false">Q1087+S1087</f>
        <v>47.4038024607977</v>
      </c>
      <c r="V1087" s="54" t="b">
        <f aca="false">AND(D1087&gt;=01_因子設定!$L$5-0.000000001,D1087&lt;=01_因子設定!$M$5+0.000000001,E1087&gt;=01_因子設定!$L$6-0.000000001,E1087&lt;=01_因子設定!$M$6+0.000000001,F1087&gt;=01_因子設定!$L$7-0.000000001,F1087&lt;=01_因子設定!$M$7+0.000000001,IF(01_因子設定!$B$20="Box-Behnken",D1087^2+E1087^2+F1087^2&lt;=2+0.000000001,TRUE()))</f>
        <v>1</v>
      </c>
      <c r="W1087" s="55" t="n">
        <f aca="false">IF(V1087,IF(01_因子設定!$B$13="最大化",T1087-01_因子設定!$B$14,IF(01_因子設定!$B$13="最小化",01_因子設定!$B$15-U1087,MIN(T1087-01_因子設定!$B$14,01_因子設定!$B$15-U1087))),-1E+030)</f>
        <v>-3.11866041534316</v>
      </c>
      <c r="X1087" s="55" t="n">
        <f aca="false">IF(V1087,IF(01_因子設定!$B$13="最大化",Q1087,IF(01_因子設定!$B$13="最小化",-Q1087,-ABS(Q1087-01_因子設定!$B$16))),-1E+030)</f>
        <v>46.3925710227273</v>
      </c>
      <c r="Y1087" s="55" t="n">
        <f aca="false">W1087+ROW()*0.000000001</f>
        <v>-3.11865932834316</v>
      </c>
      <c r="Z1087" s="55" t="n">
        <f aca="false">X1087+ROW()*0.000000001</f>
        <v>46.3925721097273</v>
      </c>
    </row>
    <row r="1088" customFormat="false" ht="15" hidden="false" customHeight="false" outlineLevel="0" collapsed="false">
      <c r="A1088" s="0" t="n">
        <v>3</v>
      </c>
      <c r="B1088" s="0" t="n">
        <v>12</v>
      </c>
      <c r="C1088" s="0" t="n">
        <v>12</v>
      </c>
      <c r="D1088" s="0" t="n">
        <f aca="false">-1+A1088*0.125</f>
        <v>-0.625</v>
      </c>
      <c r="E1088" s="0" t="n">
        <f aca="false">-1+B1088*0.125</f>
        <v>0.5</v>
      </c>
      <c r="F1088" s="0" t="n">
        <f aca="false">-1+C1088*0.125</f>
        <v>0.5</v>
      </c>
      <c r="G1088" s="0" t="n">
        <f aca="false">1</f>
        <v>1</v>
      </c>
      <c r="H1088" s="0" t="n">
        <f aca="false">D1088</f>
        <v>-0.625</v>
      </c>
      <c r="I1088" s="0" t="n">
        <f aca="false">E1088</f>
        <v>0.5</v>
      </c>
      <c r="J1088" s="0" t="n">
        <f aca="false">F1088</f>
        <v>0.5</v>
      </c>
      <c r="K1088" s="0" t="n">
        <f aca="false">D1088*E1088</f>
        <v>-0.3125</v>
      </c>
      <c r="L1088" s="0" t="n">
        <f aca="false">D1088*F1088</f>
        <v>-0.3125</v>
      </c>
      <c r="M1088" s="0" t="n">
        <f aca="false">E1088*F1088</f>
        <v>0.25</v>
      </c>
      <c r="N1088" s="0" t="n">
        <f aca="false">D1088*D1088</f>
        <v>0.390625</v>
      </c>
      <c r="O1088" s="0" t="n">
        <f aca="false">E1088*E1088</f>
        <v>0.25</v>
      </c>
      <c r="P1088" s="0" t="n">
        <f aca="false">F1088*F1088</f>
        <v>0.25</v>
      </c>
      <c r="Q1088" s="0" t="n">
        <f aca="false">SUMPRODUCT(G1088:P1088,_XtX!$B$71:$K$71)</f>
        <v>46.4761505681818</v>
      </c>
      <c r="R1088" s="0" t="n">
        <f aca="false">SUMPRODUCT(MMULT(G1088:P1088,_XtX!$B$58:$K$67),G1088:P1088)</f>
        <v>0.189133522727273</v>
      </c>
      <c r="S1088" s="0" t="n">
        <f aca="false">04_回帰ANOVA!$K$19*04_回帰ANOVA!$K$14*SQRT(1+R1088)</f>
        <v>1.0138692404042</v>
      </c>
      <c r="T1088" s="0" t="n">
        <f aca="false">Q1088-S1088</f>
        <v>45.4622813277776</v>
      </c>
      <c r="U1088" s="0" t="n">
        <f aca="false">Q1088+S1088</f>
        <v>47.490019808586</v>
      </c>
      <c r="V1088" s="54" t="b">
        <f aca="false">AND(D1088&gt;=01_因子設定!$L$5-0.000000001,D1088&lt;=01_因子設定!$M$5+0.000000001,E1088&gt;=01_因子設定!$L$6-0.000000001,E1088&lt;=01_因子設定!$M$6+0.000000001,F1088&gt;=01_因子設定!$L$7-0.000000001,F1088&lt;=01_因子設定!$M$7+0.000000001,IF(01_因子設定!$B$20="Box-Behnken",D1088^2+E1088^2+F1088^2&lt;=2+0.000000001,TRUE()))</f>
        <v>1</v>
      </c>
      <c r="W1088" s="55" t="n">
        <f aca="false">IF(V1088,IF(01_因子設定!$B$13="最大化",T1088-01_因子設定!$B$14,IF(01_因子設定!$B$13="最小化",01_因子設定!$B$15-U1088,MIN(T1088-01_因子設定!$B$14,01_因子設定!$B$15-U1088))),-1E+030)</f>
        <v>-3.03771867222238</v>
      </c>
      <c r="X1088" s="55" t="n">
        <f aca="false">IF(V1088,IF(01_因子設定!$B$13="最大化",Q1088,IF(01_因子設定!$B$13="最小化",-Q1088,-ABS(Q1088-01_因子設定!$B$16))),-1E+030)</f>
        <v>46.4761505681818</v>
      </c>
      <c r="Y1088" s="55" t="n">
        <f aca="false">W1088+ROW()*0.000000001</f>
        <v>-3.03771758422238</v>
      </c>
      <c r="Z1088" s="55" t="n">
        <f aca="false">X1088+ROW()*0.000000001</f>
        <v>46.4761516561818</v>
      </c>
    </row>
    <row r="1089" customFormat="false" ht="15" hidden="false" customHeight="false" outlineLevel="0" collapsed="false">
      <c r="A1089" s="0" t="n">
        <v>3</v>
      </c>
      <c r="B1089" s="0" t="n">
        <v>12</v>
      </c>
      <c r="C1089" s="0" t="n">
        <v>13</v>
      </c>
      <c r="D1089" s="0" t="n">
        <f aca="false">-1+A1089*0.125</f>
        <v>-0.625</v>
      </c>
      <c r="E1089" s="0" t="n">
        <f aca="false">-1+B1089*0.125</f>
        <v>0.5</v>
      </c>
      <c r="F1089" s="0" t="n">
        <f aca="false">-1+C1089*0.125</f>
        <v>0.625</v>
      </c>
      <c r="G1089" s="0" t="n">
        <f aca="false">1</f>
        <v>1</v>
      </c>
      <c r="H1089" s="0" t="n">
        <f aca="false">D1089</f>
        <v>-0.625</v>
      </c>
      <c r="I1089" s="0" t="n">
        <f aca="false">E1089</f>
        <v>0.5</v>
      </c>
      <c r="J1089" s="0" t="n">
        <f aca="false">F1089</f>
        <v>0.625</v>
      </c>
      <c r="K1089" s="0" t="n">
        <f aca="false">D1089*E1089</f>
        <v>-0.3125</v>
      </c>
      <c r="L1089" s="0" t="n">
        <f aca="false">D1089*F1089</f>
        <v>-0.390625</v>
      </c>
      <c r="M1089" s="0" t="n">
        <f aca="false">E1089*F1089</f>
        <v>0.3125</v>
      </c>
      <c r="N1089" s="0" t="n">
        <f aca="false">D1089*D1089</f>
        <v>0.390625</v>
      </c>
      <c r="O1089" s="0" t="n">
        <f aca="false">E1089*E1089</f>
        <v>0.25</v>
      </c>
      <c r="P1089" s="0" t="n">
        <f aca="false">F1089*F1089</f>
        <v>0.390625</v>
      </c>
      <c r="Q1089" s="0" t="n">
        <f aca="false">SUMPRODUCT(G1089:P1089,_XtX!$B$71:$K$71)</f>
        <v>46.5229403409091</v>
      </c>
      <c r="R1089" s="0" t="n">
        <f aca="false">SUMPRODUCT(MMULT(G1089:P1089,_XtX!$B$58:$K$67),G1089:P1089)</f>
        <v>0.209862726384943</v>
      </c>
      <c r="S1089" s="0" t="n">
        <f aca="false">04_回帰ANOVA!$K$19*04_回帰ANOVA!$K$14*SQRT(1+R1089)</f>
        <v>1.0226680420112</v>
      </c>
      <c r="T1089" s="0" t="n">
        <f aca="false">Q1089-S1089</f>
        <v>45.5002722988979</v>
      </c>
      <c r="U1089" s="0" t="n">
        <f aca="false">Q1089+S1089</f>
        <v>47.5456083829203</v>
      </c>
      <c r="V1089" s="54" t="b">
        <f aca="false">AND(D1089&gt;=01_因子設定!$L$5-0.000000001,D1089&lt;=01_因子設定!$M$5+0.000000001,E1089&gt;=01_因子設定!$L$6-0.000000001,E1089&lt;=01_因子設定!$M$6+0.000000001,F1089&gt;=01_因子設定!$L$7-0.000000001,F1089&lt;=01_因子設定!$M$7+0.000000001,IF(01_因子設定!$B$20="Box-Behnken",D1089^2+E1089^2+F1089^2&lt;=2+0.000000001,TRUE()))</f>
        <v>1</v>
      </c>
      <c r="W1089" s="55" t="n">
        <f aca="false">IF(V1089,IF(01_因子設定!$B$13="最大化",T1089-01_因子設定!$B$14,IF(01_因子設定!$B$13="最小化",01_因子設定!$B$15-U1089,MIN(T1089-01_因子設定!$B$14,01_因子設定!$B$15-U1089))),-1E+030)</f>
        <v>-2.9997277011021</v>
      </c>
      <c r="X1089" s="55" t="n">
        <f aca="false">IF(V1089,IF(01_因子設定!$B$13="最大化",Q1089,IF(01_因子設定!$B$13="最小化",-Q1089,-ABS(Q1089-01_因子設定!$B$16))),-1E+030)</f>
        <v>46.5229403409091</v>
      </c>
      <c r="Y1089" s="55" t="n">
        <f aca="false">W1089+ROW()*0.000000001</f>
        <v>-2.9997266121021</v>
      </c>
      <c r="Z1089" s="55" t="n">
        <f aca="false">X1089+ROW()*0.000000001</f>
        <v>46.5229414299091</v>
      </c>
    </row>
    <row r="1090" customFormat="false" ht="15" hidden="false" customHeight="false" outlineLevel="0" collapsed="false">
      <c r="A1090" s="0" t="n">
        <v>3</v>
      </c>
      <c r="B1090" s="0" t="n">
        <v>12</v>
      </c>
      <c r="C1090" s="0" t="n">
        <v>14</v>
      </c>
      <c r="D1090" s="0" t="n">
        <f aca="false">-1+A1090*0.125</f>
        <v>-0.625</v>
      </c>
      <c r="E1090" s="0" t="n">
        <f aca="false">-1+B1090*0.125</f>
        <v>0.5</v>
      </c>
      <c r="F1090" s="0" t="n">
        <f aca="false">-1+C1090*0.125</f>
        <v>0.75</v>
      </c>
      <c r="G1090" s="0" t="n">
        <f aca="false">1</f>
        <v>1</v>
      </c>
      <c r="H1090" s="0" t="n">
        <f aca="false">D1090</f>
        <v>-0.625</v>
      </c>
      <c r="I1090" s="0" t="n">
        <f aca="false">E1090</f>
        <v>0.5</v>
      </c>
      <c r="J1090" s="0" t="n">
        <f aca="false">F1090</f>
        <v>0.75</v>
      </c>
      <c r="K1090" s="0" t="n">
        <f aca="false">D1090*E1090</f>
        <v>-0.3125</v>
      </c>
      <c r="L1090" s="0" t="n">
        <f aca="false">D1090*F1090</f>
        <v>-0.46875</v>
      </c>
      <c r="M1090" s="0" t="n">
        <f aca="false">E1090*F1090</f>
        <v>0.375</v>
      </c>
      <c r="N1090" s="0" t="n">
        <f aca="false">D1090*D1090</f>
        <v>0.390625</v>
      </c>
      <c r="O1090" s="0" t="n">
        <f aca="false">E1090*E1090</f>
        <v>0.25</v>
      </c>
      <c r="P1090" s="0" t="n">
        <f aca="false">F1090*F1090</f>
        <v>0.5625</v>
      </c>
      <c r="Q1090" s="0" t="n">
        <f aca="false">SUMPRODUCT(G1090:P1090,_XtX!$B$71:$K$71)</f>
        <v>46.5329403409091</v>
      </c>
      <c r="R1090" s="0" t="n">
        <f aca="false">SUMPRODUCT(MMULT(G1090:P1090,_XtX!$B$58:$K$67),G1090:P1090)</f>
        <v>0.254729669744318</v>
      </c>
      <c r="S1090" s="0" t="n">
        <f aca="false">04_回帰ANOVA!$K$19*04_回帰ANOVA!$K$14*SQRT(1+R1090)</f>
        <v>1.04145790281631</v>
      </c>
      <c r="T1090" s="0" t="n">
        <f aca="false">Q1090-S1090</f>
        <v>45.4914824380928</v>
      </c>
      <c r="U1090" s="0" t="n">
        <f aca="false">Q1090+S1090</f>
        <v>47.5743982437254</v>
      </c>
      <c r="V1090" s="54" t="b">
        <f aca="false">AND(D1090&gt;=01_因子設定!$L$5-0.000000001,D1090&lt;=01_因子設定!$M$5+0.000000001,E1090&gt;=01_因子設定!$L$6-0.000000001,E1090&lt;=01_因子設定!$M$6+0.000000001,F1090&gt;=01_因子設定!$L$7-0.000000001,F1090&lt;=01_因子設定!$M$7+0.000000001,IF(01_因子設定!$B$20="Box-Behnken",D1090^2+E1090^2+F1090^2&lt;=2+0.000000001,TRUE()))</f>
        <v>1</v>
      </c>
      <c r="W1090" s="55" t="n">
        <f aca="false">IF(V1090,IF(01_因子設定!$B$13="最大化",T1090-01_因子設定!$B$14,IF(01_因子設定!$B$13="最小化",01_因子設定!$B$15-U1090,MIN(T1090-01_因子設定!$B$14,01_因子設定!$B$15-U1090))),-1E+030)</f>
        <v>-3.00851756190721</v>
      </c>
      <c r="X1090" s="55" t="n">
        <f aca="false">IF(V1090,IF(01_因子設定!$B$13="最大化",Q1090,IF(01_因子設定!$B$13="最小化",-Q1090,-ABS(Q1090-01_因子設定!$B$16))),-1E+030)</f>
        <v>46.5329403409091</v>
      </c>
      <c r="Y1090" s="55" t="n">
        <f aca="false">W1090+ROW()*0.000000001</f>
        <v>-3.00851647190721</v>
      </c>
      <c r="Z1090" s="55" t="n">
        <f aca="false">X1090+ROW()*0.000000001</f>
        <v>46.5329414309091</v>
      </c>
    </row>
    <row r="1091" customFormat="false" ht="15" hidden="false" customHeight="false" outlineLevel="0" collapsed="false">
      <c r="A1091" s="0" t="n">
        <v>3</v>
      </c>
      <c r="B1091" s="0" t="n">
        <v>12</v>
      </c>
      <c r="C1091" s="0" t="n">
        <v>15</v>
      </c>
      <c r="D1091" s="0" t="n">
        <f aca="false">-1+A1091*0.125</f>
        <v>-0.625</v>
      </c>
      <c r="E1091" s="0" t="n">
        <f aca="false">-1+B1091*0.125</f>
        <v>0.5</v>
      </c>
      <c r="F1091" s="0" t="n">
        <f aca="false">-1+C1091*0.125</f>
        <v>0.875</v>
      </c>
      <c r="G1091" s="0" t="n">
        <f aca="false">1</f>
        <v>1</v>
      </c>
      <c r="H1091" s="0" t="n">
        <f aca="false">D1091</f>
        <v>-0.625</v>
      </c>
      <c r="I1091" s="0" t="n">
        <f aca="false">E1091</f>
        <v>0.5</v>
      </c>
      <c r="J1091" s="0" t="n">
        <f aca="false">F1091</f>
        <v>0.875</v>
      </c>
      <c r="K1091" s="0" t="n">
        <f aca="false">D1091*E1091</f>
        <v>-0.3125</v>
      </c>
      <c r="L1091" s="0" t="n">
        <f aca="false">D1091*F1091</f>
        <v>-0.546875</v>
      </c>
      <c r="M1091" s="0" t="n">
        <f aca="false">E1091*F1091</f>
        <v>0.4375</v>
      </c>
      <c r="N1091" s="0" t="n">
        <f aca="false">D1091*D1091</f>
        <v>0.390625</v>
      </c>
      <c r="O1091" s="0" t="n">
        <f aca="false">E1091*E1091</f>
        <v>0.25</v>
      </c>
      <c r="P1091" s="0" t="n">
        <f aca="false">F1091*F1091</f>
        <v>0.765625</v>
      </c>
      <c r="Q1091" s="0" t="n">
        <f aca="false">SUMPRODUCT(G1091:P1091,_XtX!$B$71:$K$71)</f>
        <v>46.5061505681818</v>
      </c>
      <c r="R1091" s="0" t="n">
        <f aca="false">SUMPRODUCT(MMULT(G1091:P1091,_XtX!$B$58:$K$67),G1091:P1091)</f>
        <v>0.335453102805398</v>
      </c>
      <c r="S1091" s="0" t="n">
        <f aca="false">04_回帰ANOVA!$K$19*04_回帰ANOVA!$K$14*SQRT(1+R1091)</f>
        <v>1.07443700305628</v>
      </c>
      <c r="T1091" s="0" t="n">
        <f aca="false">Q1091-S1091</f>
        <v>45.4317135651256</v>
      </c>
      <c r="U1091" s="0" t="n">
        <f aca="false">Q1091+S1091</f>
        <v>47.5805875712381</v>
      </c>
      <c r="V1091" s="54" t="b">
        <f aca="false">AND(D1091&gt;=01_因子設定!$L$5-0.000000001,D1091&lt;=01_因子設定!$M$5+0.000000001,E1091&gt;=01_因子設定!$L$6-0.000000001,E1091&lt;=01_因子設定!$M$6+0.000000001,F1091&gt;=01_因子設定!$L$7-0.000000001,F1091&lt;=01_因子設定!$M$7+0.000000001,IF(01_因子設定!$B$20="Box-Behnken",D1091^2+E1091^2+F1091^2&lt;=2+0.000000001,TRUE()))</f>
        <v>1</v>
      </c>
      <c r="W1091" s="55" t="n">
        <f aca="false">IF(V1091,IF(01_因子設定!$B$13="最大化",T1091-01_因子設定!$B$14,IF(01_因子設定!$B$13="最小化",01_因子設定!$B$15-U1091,MIN(T1091-01_因子設定!$B$14,01_因子設定!$B$15-U1091))),-1E+030)</f>
        <v>-3.06828643487444</v>
      </c>
      <c r="X1091" s="55" t="n">
        <f aca="false">IF(V1091,IF(01_因子設定!$B$13="最大化",Q1091,IF(01_因子設定!$B$13="最小化",-Q1091,-ABS(Q1091-01_因子設定!$B$16))),-1E+030)</f>
        <v>46.5061505681818</v>
      </c>
      <c r="Y1091" s="55" t="n">
        <f aca="false">W1091+ROW()*0.000000001</f>
        <v>-3.06828534387444</v>
      </c>
      <c r="Z1091" s="55" t="n">
        <f aca="false">X1091+ROW()*0.000000001</f>
        <v>46.5061516591818</v>
      </c>
    </row>
    <row r="1092" customFormat="false" ht="15" hidden="false" customHeight="false" outlineLevel="0" collapsed="false">
      <c r="A1092" s="0" t="n">
        <v>3</v>
      </c>
      <c r="B1092" s="0" t="n">
        <v>12</v>
      </c>
      <c r="C1092" s="0" t="n">
        <v>16</v>
      </c>
      <c r="D1092" s="0" t="n">
        <f aca="false">-1+A1092*0.125</f>
        <v>-0.625</v>
      </c>
      <c r="E1092" s="0" t="n">
        <f aca="false">-1+B1092*0.125</f>
        <v>0.5</v>
      </c>
      <c r="F1092" s="0" t="n">
        <f aca="false">-1+C1092*0.125</f>
        <v>1</v>
      </c>
      <c r="G1092" s="0" t="n">
        <f aca="false">1</f>
        <v>1</v>
      </c>
      <c r="H1092" s="0" t="n">
        <f aca="false">D1092</f>
        <v>-0.625</v>
      </c>
      <c r="I1092" s="0" t="n">
        <f aca="false">E1092</f>
        <v>0.5</v>
      </c>
      <c r="J1092" s="0" t="n">
        <f aca="false">F1092</f>
        <v>1</v>
      </c>
      <c r="K1092" s="0" t="n">
        <f aca="false">D1092*E1092</f>
        <v>-0.3125</v>
      </c>
      <c r="L1092" s="0" t="n">
        <f aca="false">D1092*F1092</f>
        <v>-0.625</v>
      </c>
      <c r="M1092" s="0" t="n">
        <f aca="false">E1092*F1092</f>
        <v>0.5</v>
      </c>
      <c r="N1092" s="0" t="n">
        <f aca="false">D1092*D1092</f>
        <v>0.390625</v>
      </c>
      <c r="O1092" s="0" t="n">
        <f aca="false">E1092*E1092</f>
        <v>0.25</v>
      </c>
      <c r="P1092" s="0" t="n">
        <f aca="false">F1092*F1092</f>
        <v>1</v>
      </c>
      <c r="Q1092" s="0" t="n">
        <f aca="false">SUMPRODUCT(G1092:P1092,_XtX!$B$71:$K$71)</f>
        <v>46.4425710227273</v>
      </c>
      <c r="R1092" s="0" t="n">
        <f aca="false">SUMPRODUCT(MMULT(G1092:P1092,_XtX!$B$58:$K$67),G1092:P1092)</f>
        <v>0.465882457386364</v>
      </c>
      <c r="S1092" s="0" t="n">
        <f aca="false">04_回帰ANOVA!$K$19*04_回帰ANOVA!$K$14*SQRT(1+R1092)</f>
        <v>1.12568326538173</v>
      </c>
      <c r="T1092" s="0" t="n">
        <f aca="false">Q1092-S1092</f>
        <v>45.3168877573456</v>
      </c>
      <c r="U1092" s="0" t="n">
        <f aca="false">Q1092+S1092</f>
        <v>47.568254288109</v>
      </c>
      <c r="V1092" s="54" t="b">
        <f aca="false">AND(D1092&gt;=01_因子設定!$L$5-0.000000001,D1092&lt;=01_因子設定!$M$5+0.000000001,E1092&gt;=01_因子設定!$L$6-0.000000001,E1092&lt;=01_因子設定!$M$6+0.000000001,F1092&gt;=01_因子設定!$L$7-0.000000001,F1092&lt;=01_因子設定!$M$7+0.000000001,IF(01_因子設定!$B$20="Box-Behnken",D1092^2+E1092^2+F1092^2&lt;=2+0.000000001,TRUE()))</f>
        <v>1</v>
      </c>
      <c r="W1092" s="55" t="n">
        <f aca="false">IF(V1092,IF(01_因子設定!$B$13="最大化",T1092-01_因子設定!$B$14,IF(01_因子設定!$B$13="最小化",01_因子設定!$B$15-U1092,MIN(T1092-01_因子設定!$B$14,01_因子設定!$B$15-U1092))),-1E+030)</f>
        <v>-3.18311224265443</v>
      </c>
      <c r="X1092" s="55" t="n">
        <f aca="false">IF(V1092,IF(01_因子設定!$B$13="最大化",Q1092,IF(01_因子設定!$B$13="最小化",-Q1092,-ABS(Q1092-01_因子設定!$B$16))),-1E+030)</f>
        <v>46.4425710227273</v>
      </c>
      <c r="Y1092" s="55" t="n">
        <f aca="false">W1092+ROW()*0.000000001</f>
        <v>-3.18311115065443</v>
      </c>
      <c r="Z1092" s="55" t="n">
        <f aca="false">X1092+ROW()*0.000000001</f>
        <v>46.4425721147273</v>
      </c>
    </row>
    <row r="1093" customFormat="false" ht="15" hidden="false" customHeight="false" outlineLevel="0" collapsed="false">
      <c r="A1093" s="0" t="n">
        <v>3</v>
      </c>
      <c r="B1093" s="0" t="n">
        <v>13</v>
      </c>
      <c r="C1093" s="0" t="n">
        <v>0</v>
      </c>
      <c r="D1093" s="0" t="n">
        <f aca="false">-1+A1093*0.125</f>
        <v>-0.625</v>
      </c>
      <c r="E1093" s="0" t="n">
        <f aca="false">-1+B1093*0.125</f>
        <v>0.625</v>
      </c>
      <c r="F1093" s="0" t="n">
        <f aca="false">-1+C1093*0.125</f>
        <v>-1</v>
      </c>
      <c r="G1093" s="0" t="n">
        <f aca="false">1</f>
        <v>1</v>
      </c>
      <c r="H1093" s="0" t="n">
        <f aca="false">D1093</f>
        <v>-0.625</v>
      </c>
      <c r="I1093" s="0" t="n">
        <f aca="false">E1093</f>
        <v>0.625</v>
      </c>
      <c r="J1093" s="0" t="n">
        <f aca="false">F1093</f>
        <v>-1</v>
      </c>
      <c r="K1093" s="0" t="n">
        <f aca="false">D1093*E1093</f>
        <v>-0.390625</v>
      </c>
      <c r="L1093" s="0" t="n">
        <f aca="false">D1093*F1093</f>
        <v>0.625</v>
      </c>
      <c r="M1093" s="0" t="n">
        <f aca="false">E1093*F1093</f>
        <v>-0.625</v>
      </c>
      <c r="N1093" s="0" t="n">
        <f aca="false">D1093*D1093</f>
        <v>0.390625</v>
      </c>
      <c r="O1093" s="0" t="n">
        <f aca="false">E1093*E1093</f>
        <v>0.390625</v>
      </c>
      <c r="P1093" s="0" t="n">
        <f aca="false">F1093*F1093</f>
        <v>1</v>
      </c>
      <c r="Q1093" s="0" t="n">
        <f aca="false">SUMPRODUCT(G1093:P1093,_XtX!$B$71:$K$71)</f>
        <v>42.8667826704546</v>
      </c>
      <c r="R1093" s="0" t="n">
        <f aca="false">SUMPRODUCT(MMULT(G1093:P1093,_XtX!$B$58:$K$67),G1093:P1093)</f>
        <v>0.47103105024858</v>
      </c>
      <c r="S1093" s="0" t="n">
        <f aca="false">04_回帰ANOVA!$K$19*04_回帰ANOVA!$K$14*SQRT(1+R1093)</f>
        <v>1.1276583912499</v>
      </c>
      <c r="T1093" s="0" t="n">
        <f aca="false">Q1093-S1093</f>
        <v>41.7391242792047</v>
      </c>
      <c r="U1093" s="0" t="n">
        <f aca="false">Q1093+S1093</f>
        <v>43.9944410617045</v>
      </c>
      <c r="V1093" s="54" t="b">
        <f aca="false">AND(D1093&gt;=01_因子設定!$L$5-0.000000001,D1093&lt;=01_因子設定!$M$5+0.000000001,E1093&gt;=01_因子設定!$L$6-0.000000001,E1093&lt;=01_因子設定!$M$6+0.000000001,F1093&gt;=01_因子設定!$L$7-0.000000001,F1093&lt;=01_因子設定!$M$7+0.000000001,IF(01_因子設定!$B$20="Box-Behnken",D1093^2+E1093^2+F1093^2&lt;=2+0.000000001,TRUE()))</f>
        <v>1</v>
      </c>
      <c r="W1093" s="55" t="n">
        <f aca="false">IF(V1093,IF(01_因子設定!$B$13="最大化",T1093-01_因子設定!$B$14,IF(01_因子設定!$B$13="最小化",01_因子設定!$B$15-U1093,MIN(T1093-01_因子設定!$B$14,01_因子設定!$B$15-U1093))),-1E+030)</f>
        <v>-6.76087572079533</v>
      </c>
      <c r="X1093" s="55" t="n">
        <f aca="false">IF(V1093,IF(01_因子設定!$B$13="最大化",Q1093,IF(01_因子設定!$B$13="最小化",-Q1093,-ABS(Q1093-01_因子設定!$B$16))),-1E+030)</f>
        <v>42.8667826704546</v>
      </c>
      <c r="Y1093" s="55" t="n">
        <f aca="false">W1093+ROW()*0.000000001</f>
        <v>-6.76087462779533</v>
      </c>
      <c r="Z1093" s="55" t="n">
        <f aca="false">X1093+ROW()*0.000000001</f>
        <v>42.8667837634546</v>
      </c>
    </row>
    <row r="1094" customFormat="false" ht="15" hidden="false" customHeight="false" outlineLevel="0" collapsed="false">
      <c r="A1094" s="0" t="n">
        <v>3</v>
      </c>
      <c r="B1094" s="0" t="n">
        <v>13</v>
      </c>
      <c r="C1094" s="0" t="n">
        <v>1</v>
      </c>
      <c r="D1094" s="0" t="n">
        <f aca="false">-1+A1094*0.125</f>
        <v>-0.625</v>
      </c>
      <c r="E1094" s="0" t="n">
        <f aca="false">-1+B1094*0.125</f>
        <v>0.625</v>
      </c>
      <c r="F1094" s="0" t="n">
        <f aca="false">-1+C1094*0.125</f>
        <v>-0.875</v>
      </c>
      <c r="G1094" s="0" t="n">
        <f aca="false">1</f>
        <v>1</v>
      </c>
      <c r="H1094" s="0" t="n">
        <f aca="false">D1094</f>
        <v>-0.625</v>
      </c>
      <c r="I1094" s="0" t="n">
        <f aca="false">E1094</f>
        <v>0.625</v>
      </c>
      <c r="J1094" s="0" t="n">
        <f aca="false">F1094</f>
        <v>-0.875</v>
      </c>
      <c r="K1094" s="0" t="n">
        <f aca="false">D1094*E1094</f>
        <v>-0.390625</v>
      </c>
      <c r="L1094" s="0" t="n">
        <f aca="false">D1094*F1094</f>
        <v>0.546875</v>
      </c>
      <c r="M1094" s="0" t="n">
        <f aca="false">E1094*F1094</f>
        <v>-0.546875</v>
      </c>
      <c r="N1094" s="0" t="n">
        <f aca="false">D1094*D1094</f>
        <v>0.390625</v>
      </c>
      <c r="O1094" s="0" t="n">
        <f aca="false">E1094*E1094</f>
        <v>0.390625</v>
      </c>
      <c r="P1094" s="0" t="n">
        <f aca="false">F1094*F1094</f>
        <v>0.765625</v>
      </c>
      <c r="Q1094" s="0" t="n">
        <f aca="false">SUMPRODUCT(G1094:P1094,_XtX!$B$71:$K$71)</f>
        <v>43.3620809659091</v>
      </c>
      <c r="R1094" s="0" t="n">
        <f aca="false">SUMPRODUCT(MMULT(G1094:P1094,_XtX!$B$58:$K$67),G1094:P1094)</f>
        <v>0.345470636541193</v>
      </c>
      <c r="S1094" s="0" t="n">
        <f aca="false">04_回帰ANOVA!$K$19*04_回帰ANOVA!$K$14*SQRT(1+R1094)</f>
        <v>1.07845927083227</v>
      </c>
      <c r="T1094" s="0" t="n">
        <f aca="false">Q1094-S1094</f>
        <v>42.2836216950768</v>
      </c>
      <c r="U1094" s="0" t="n">
        <f aca="false">Q1094+S1094</f>
        <v>44.4405402367414</v>
      </c>
      <c r="V1094" s="54" t="b">
        <f aca="false">AND(D1094&gt;=01_因子設定!$L$5-0.000000001,D1094&lt;=01_因子設定!$M$5+0.000000001,E1094&gt;=01_因子設定!$L$6-0.000000001,E1094&lt;=01_因子設定!$M$6+0.000000001,F1094&gt;=01_因子設定!$L$7-0.000000001,F1094&lt;=01_因子設定!$M$7+0.000000001,IF(01_因子設定!$B$20="Box-Behnken",D1094^2+E1094^2+F1094^2&lt;=2+0.000000001,TRUE()))</f>
        <v>1</v>
      </c>
      <c r="W1094" s="55" t="n">
        <f aca="false">IF(V1094,IF(01_因子設定!$B$13="最大化",T1094-01_因子設定!$B$14,IF(01_因子設定!$B$13="最小化",01_因子設定!$B$15-U1094,MIN(T1094-01_因子設定!$B$14,01_因子設定!$B$15-U1094))),-1E+030)</f>
        <v>-6.21637830492316</v>
      </c>
      <c r="X1094" s="55" t="n">
        <f aca="false">IF(V1094,IF(01_因子設定!$B$13="最大化",Q1094,IF(01_因子設定!$B$13="最小化",-Q1094,-ABS(Q1094-01_因子設定!$B$16))),-1E+030)</f>
        <v>43.3620809659091</v>
      </c>
      <c r="Y1094" s="55" t="n">
        <f aca="false">W1094+ROW()*0.000000001</f>
        <v>-6.21637721092316</v>
      </c>
      <c r="Z1094" s="55" t="n">
        <f aca="false">X1094+ROW()*0.000000001</f>
        <v>43.3620820599091</v>
      </c>
    </row>
    <row r="1095" customFormat="false" ht="15" hidden="false" customHeight="false" outlineLevel="0" collapsed="false">
      <c r="A1095" s="0" t="n">
        <v>3</v>
      </c>
      <c r="B1095" s="0" t="n">
        <v>13</v>
      </c>
      <c r="C1095" s="0" t="n">
        <v>2</v>
      </c>
      <c r="D1095" s="0" t="n">
        <f aca="false">-1+A1095*0.125</f>
        <v>-0.625</v>
      </c>
      <c r="E1095" s="0" t="n">
        <f aca="false">-1+B1095*0.125</f>
        <v>0.625</v>
      </c>
      <c r="F1095" s="0" t="n">
        <f aca="false">-1+C1095*0.125</f>
        <v>-0.75</v>
      </c>
      <c r="G1095" s="0" t="n">
        <f aca="false">1</f>
        <v>1</v>
      </c>
      <c r="H1095" s="0" t="n">
        <f aca="false">D1095</f>
        <v>-0.625</v>
      </c>
      <c r="I1095" s="0" t="n">
        <f aca="false">E1095</f>
        <v>0.625</v>
      </c>
      <c r="J1095" s="0" t="n">
        <f aca="false">F1095</f>
        <v>-0.75</v>
      </c>
      <c r="K1095" s="0" t="n">
        <f aca="false">D1095*E1095</f>
        <v>-0.390625</v>
      </c>
      <c r="L1095" s="0" t="n">
        <f aca="false">D1095*F1095</f>
        <v>0.46875</v>
      </c>
      <c r="M1095" s="0" t="n">
        <f aca="false">E1095*F1095</f>
        <v>-0.46875</v>
      </c>
      <c r="N1095" s="0" t="n">
        <f aca="false">D1095*D1095</f>
        <v>0.390625</v>
      </c>
      <c r="O1095" s="0" t="n">
        <f aca="false">E1095*E1095</f>
        <v>0.390625</v>
      </c>
      <c r="P1095" s="0" t="n">
        <f aca="false">F1095*F1095</f>
        <v>0.5625</v>
      </c>
      <c r="Q1095" s="0" t="n">
        <f aca="false">SUMPRODUCT(G1095:P1095,_XtX!$B$71:$K$71)</f>
        <v>43.8205894886364</v>
      </c>
      <c r="R1095" s="0" t="n">
        <f aca="false">SUMPRODUCT(MMULT(G1095:P1095,_XtX!$B$58:$K$67),G1095:P1095)</f>
        <v>0.268966952237216</v>
      </c>
      <c r="S1095" s="0" t="n">
        <f aca="false">04_回帰ANOVA!$K$19*04_回帰ANOVA!$K$14*SQRT(1+R1095)</f>
        <v>1.04734989137801</v>
      </c>
      <c r="T1095" s="0" t="n">
        <f aca="false">Q1095-S1095</f>
        <v>42.7732395972584</v>
      </c>
      <c r="U1095" s="0" t="n">
        <f aca="false">Q1095+S1095</f>
        <v>44.8679393800144</v>
      </c>
      <c r="V1095" s="54" t="b">
        <f aca="false">AND(D1095&gt;=01_因子設定!$L$5-0.000000001,D1095&lt;=01_因子設定!$M$5+0.000000001,E1095&gt;=01_因子設定!$L$6-0.000000001,E1095&lt;=01_因子設定!$M$6+0.000000001,F1095&gt;=01_因子設定!$L$7-0.000000001,F1095&lt;=01_因子設定!$M$7+0.000000001,IF(01_因子設定!$B$20="Box-Behnken",D1095^2+E1095^2+F1095^2&lt;=2+0.000000001,TRUE()))</f>
        <v>1</v>
      </c>
      <c r="W1095" s="55" t="n">
        <f aca="false">IF(V1095,IF(01_因子設定!$B$13="最大化",T1095-01_因子設定!$B$14,IF(01_因子設定!$B$13="最小化",01_因子設定!$B$15-U1095,MIN(T1095-01_因子設定!$B$14,01_因子設定!$B$15-U1095))),-1E+030)</f>
        <v>-5.72676040274163</v>
      </c>
      <c r="X1095" s="55" t="n">
        <f aca="false">IF(V1095,IF(01_因子設定!$B$13="最大化",Q1095,IF(01_因子設定!$B$13="最小化",-Q1095,-ABS(Q1095-01_因子設定!$B$16))),-1E+030)</f>
        <v>43.8205894886364</v>
      </c>
      <c r="Y1095" s="55" t="n">
        <f aca="false">W1095+ROW()*0.000000001</f>
        <v>-5.72675930774163</v>
      </c>
      <c r="Z1095" s="55" t="n">
        <f aca="false">X1095+ROW()*0.000000001</f>
        <v>43.8205905836364</v>
      </c>
    </row>
    <row r="1096" customFormat="false" ht="15" hidden="false" customHeight="false" outlineLevel="0" collapsed="false">
      <c r="A1096" s="0" t="n">
        <v>3</v>
      </c>
      <c r="B1096" s="0" t="n">
        <v>13</v>
      </c>
      <c r="C1096" s="0" t="n">
        <v>3</v>
      </c>
      <c r="D1096" s="0" t="n">
        <f aca="false">-1+A1096*0.125</f>
        <v>-0.625</v>
      </c>
      <c r="E1096" s="0" t="n">
        <f aca="false">-1+B1096*0.125</f>
        <v>0.625</v>
      </c>
      <c r="F1096" s="0" t="n">
        <f aca="false">-1+C1096*0.125</f>
        <v>-0.625</v>
      </c>
      <c r="G1096" s="0" t="n">
        <f aca="false">1</f>
        <v>1</v>
      </c>
      <c r="H1096" s="0" t="n">
        <f aca="false">D1096</f>
        <v>-0.625</v>
      </c>
      <c r="I1096" s="0" t="n">
        <f aca="false">E1096</f>
        <v>0.625</v>
      </c>
      <c r="J1096" s="0" t="n">
        <f aca="false">F1096</f>
        <v>-0.625</v>
      </c>
      <c r="K1096" s="0" t="n">
        <f aca="false">D1096*E1096</f>
        <v>-0.390625</v>
      </c>
      <c r="L1096" s="0" t="n">
        <f aca="false">D1096*F1096</f>
        <v>0.390625</v>
      </c>
      <c r="M1096" s="0" t="n">
        <f aca="false">E1096*F1096</f>
        <v>-0.390625</v>
      </c>
      <c r="N1096" s="0" t="n">
        <f aca="false">D1096*D1096</f>
        <v>0.390625</v>
      </c>
      <c r="O1096" s="0" t="n">
        <f aca="false">E1096*E1096</f>
        <v>0.390625</v>
      </c>
      <c r="P1096" s="0" t="n">
        <f aca="false">F1096*F1096</f>
        <v>0.390625</v>
      </c>
      <c r="Q1096" s="0" t="n">
        <f aca="false">SUMPRODUCT(G1096:P1096,_XtX!$B$71:$K$71)</f>
        <v>44.2423082386364</v>
      </c>
      <c r="R1096" s="0" t="n">
        <f aca="false">SUMPRODUCT(MMULT(G1096:P1096,_XtX!$B$58:$K$67),G1096:P1096)</f>
        <v>0.227670565518466</v>
      </c>
      <c r="S1096" s="0" t="n">
        <f aca="false">04_回帰ANOVA!$K$19*04_回帰ANOVA!$K$14*SQRT(1+R1096)</f>
        <v>1.03016681975165</v>
      </c>
      <c r="T1096" s="0" t="n">
        <f aca="false">Q1096-S1096</f>
        <v>43.2121414188847</v>
      </c>
      <c r="U1096" s="0" t="n">
        <f aca="false">Q1096+S1096</f>
        <v>45.272475058388</v>
      </c>
      <c r="V1096" s="54" t="b">
        <f aca="false">AND(D1096&gt;=01_因子設定!$L$5-0.000000001,D1096&lt;=01_因子設定!$M$5+0.000000001,E1096&gt;=01_因子設定!$L$6-0.000000001,E1096&lt;=01_因子設定!$M$6+0.000000001,F1096&gt;=01_因子設定!$L$7-0.000000001,F1096&lt;=01_因子設定!$M$7+0.000000001,IF(01_因子設定!$B$20="Box-Behnken",D1096^2+E1096^2+F1096^2&lt;=2+0.000000001,TRUE()))</f>
        <v>1</v>
      </c>
      <c r="W1096" s="55" t="n">
        <f aca="false">IF(V1096,IF(01_因子設定!$B$13="最大化",T1096-01_因子設定!$B$14,IF(01_因子設定!$B$13="最小化",01_因子設定!$B$15-U1096,MIN(T1096-01_因子設定!$B$14,01_因子設定!$B$15-U1096))),-1E+030)</f>
        <v>-5.28785858111527</v>
      </c>
      <c r="X1096" s="55" t="n">
        <f aca="false">IF(V1096,IF(01_因子設定!$B$13="最大化",Q1096,IF(01_因子設定!$B$13="最小化",-Q1096,-ABS(Q1096-01_因子設定!$B$16))),-1E+030)</f>
        <v>44.2423082386364</v>
      </c>
      <c r="Y1096" s="55" t="n">
        <f aca="false">W1096+ROW()*0.000000001</f>
        <v>-5.28785748511527</v>
      </c>
      <c r="Z1096" s="55" t="n">
        <f aca="false">X1096+ROW()*0.000000001</f>
        <v>44.2423093346364</v>
      </c>
    </row>
    <row r="1097" customFormat="false" ht="15" hidden="false" customHeight="false" outlineLevel="0" collapsed="false">
      <c r="A1097" s="0" t="n">
        <v>3</v>
      </c>
      <c r="B1097" s="0" t="n">
        <v>13</v>
      </c>
      <c r="C1097" s="0" t="n">
        <v>4</v>
      </c>
      <c r="D1097" s="0" t="n">
        <f aca="false">-1+A1097*0.125</f>
        <v>-0.625</v>
      </c>
      <c r="E1097" s="0" t="n">
        <f aca="false">-1+B1097*0.125</f>
        <v>0.625</v>
      </c>
      <c r="F1097" s="0" t="n">
        <f aca="false">-1+C1097*0.125</f>
        <v>-0.5</v>
      </c>
      <c r="G1097" s="0" t="n">
        <f aca="false">1</f>
        <v>1</v>
      </c>
      <c r="H1097" s="0" t="n">
        <f aca="false">D1097</f>
        <v>-0.625</v>
      </c>
      <c r="I1097" s="0" t="n">
        <f aca="false">E1097</f>
        <v>0.625</v>
      </c>
      <c r="J1097" s="0" t="n">
        <f aca="false">F1097</f>
        <v>-0.5</v>
      </c>
      <c r="K1097" s="0" t="n">
        <f aca="false">D1097*E1097</f>
        <v>-0.390625</v>
      </c>
      <c r="L1097" s="0" t="n">
        <f aca="false">D1097*F1097</f>
        <v>0.3125</v>
      </c>
      <c r="M1097" s="0" t="n">
        <f aca="false">E1097*F1097</f>
        <v>-0.3125</v>
      </c>
      <c r="N1097" s="0" t="n">
        <f aca="false">D1097*D1097</f>
        <v>0.390625</v>
      </c>
      <c r="O1097" s="0" t="n">
        <f aca="false">E1097*E1097</f>
        <v>0.390625</v>
      </c>
      <c r="P1097" s="0" t="n">
        <f aca="false">F1097*F1097</f>
        <v>0.25</v>
      </c>
      <c r="Q1097" s="0" t="n">
        <f aca="false">SUMPRODUCT(G1097:P1097,_XtX!$B$71:$K$71)</f>
        <v>44.6272372159091</v>
      </c>
      <c r="R1097" s="0" t="n">
        <f aca="false">SUMPRODUCT(MMULT(G1097:P1097,_XtX!$B$58:$K$67),G1097:P1097)</f>
        <v>0.209862726384943</v>
      </c>
      <c r="S1097" s="0" t="n">
        <f aca="false">04_回帰ANOVA!$K$19*04_回帰ANOVA!$K$14*SQRT(1+R1097)</f>
        <v>1.0226680420112</v>
      </c>
      <c r="T1097" s="0" t="n">
        <f aca="false">Q1097-S1097</f>
        <v>43.6045691738979</v>
      </c>
      <c r="U1097" s="0" t="n">
        <f aca="false">Q1097+S1097</f>
        <v>45.6499052579203</v>
      </c>
      <c r="V1097" s="54" t="b">
        <f aca="false">AND(D1097&gt;=01_因子設定!$L$5-0.000000001,D1097&lt;=01_因子設定!$M$5+0.000000001,E1097&gt;=01_因子設定!$L$6-0.000000001,E1097&lt;=01_因子設定!$M$6+0.000000001,F1097&gt;=01_因子設定!$L$7-0.000000001,F1097&lt;=01_因子設定!$M$7+0.000000001,IF(01_因子設定!$B$20="Box-Behnken",D1097^2+E1097^2+F1097^2&lt;=2+0.000000001,TRUE()))</f>
        <v>1</v>
      </c>
      <c r="W1097" s="55" t="n">
        <f aca="false">IF(V1097,IF(01_因子設定!$B$13="最大化",T1097-01_因子設定!$B$14,IF(01_因子設定!$B$13="最小化",01_因子設定!$B$15-U1097,MIN(T1097-01_因子設定!$B$14,01_因子設定!$B$15-U1097))),-1E+030)</f>
        <v>-4.8954308261021</v>
      </c>
      <c r="X1097" s="55" t="n">
        <f aca="false">IF(V1097,IF(01_因子設定!$B$13="最大化",Q1097,IF(01_因子設定!$B$13="最小化",-Q1097,-ABS(Q1097-01_因子設定!$B$16))),-1E+030)</f>
        <v>44.6272372159091</v>
      </c>
      <c r="Y1097" s="55" t="n">
        <f aca="false">W1097+ROW()*0.000000001</f>
        <v>-4.8954297291021</v>
      </c>
      <c r="Z1097" s="55" t="n">
        <f aca="false">X1097+ROW()*0.000000001</f>
        <v>44.6272383129091</v>
      </c>
    </row>
    <row r="1098" customFormat="false" ht="15" hidden="false" customHeight="false" outlineLevel="0" collapsed="false">
      <c r="A1098" s="0" t="n">
        <v>3</v>
      </c>
      <c r="B1098" s="0" t="n">
        <v>13</v>
      </c>
      <c r="C1098" s="0" t="n">
        <v>5</v>
      </c>
      <c r="D1098" s="0" t="n">
        <f aca="false">-1+A1098*0.125</f>
        <v>-0.625</v>
      </c>
      <c r="E1098" s="0" t="n">
        <f aca="false">-1+B1098*0.125</f>
        <v>0.625</v>
      </c>
      <c r="F1098" s="0" t="n">
        <f aca="false">-1+C1098*0.125</f>
        <v>-0.375</v>
      </c>
      <c r="G1098" s="0" t="n">
        <f aca="false">1</f>
        <v>1</v>
      </c>
      <c r="H1098" s="0" t="n">
        <f aca="false">D1098</f>
        <v>-0.625</v>
      </c>
      <c r="I1098" s="0" t="n">
        <f aca="false">E1098</f>
        <v>0.625</v>
      </c>
      <c r="J1098" s="0" t="n">
        <f aca="false">F1098</f>
        <v>-0.375</v>
      </c>
      <c r="K1098" s="0" t="n">
        <f aca="false">D1098*E1098</f>
        <v>-0.390625</v>
      </c>
      <c r="L1098" s="0" t="n">
        <f aca="false">D1098*F1098</f>
        <v>0.234375</v>
      </c>
      <c r="M1098" s="0" t="n">
        <f aca="false">E1098*F1098</f>
        <v>-0.234375</v>
      </c>
      <c r="N1098" s="0" t="n">
        <f aca="false">D1098*D1098</f>
        <v>0.390625</v>
      </c>
      <c r="O1098" s="0" t="n">
        <f aca="false">E1098*E1098</f>
        <v>0.390625</v>
      </c>
      <c r="P1098" s="0" t="n">
        <f aca="false">F1098*F1098</f>
        <v>0.140625</v>
      </c>
      <c r="Q1098" s="0" t="n">
        <f aca="false">SUMPRODUCT(G1098:P1098,_XtX!$B$71:$K$71)</f>
        <v>44.9753764204546</v>
      </c>
      <c r="R1098" s="0" t="n">
        <f aca="false">SUMPRODUCT(MMULT(G1098:P1098,_XtX!$B$58:$K$67),G1098:P1098)</f>
        <v>0.20595536665483</v>
      </c>
      <c r="S1098" s="0" t="n">
        <f aca="false">04_回帰ANOVA!$K$19*04_回帰ANOVA!$K$14*SQRT(1+R1098)</f>
        <v>1.02101530762963</v>
      </c>
      <c r="T1098" s="0" t="n">
        <f aca="false">Q1098-S1098</f>
        <v>43.9543611128249</v>
      </c>
      <c r="U1098" s="0" t="n">
        <f aca="false">Q1098+S1098</f>
        <v>45.9963917280842</v>
      </c>
      <c r="V1098" s="54" t="b">
        <f aca="false">AND(D1098&gt;=01_因子設定!$L$5-0.000000001,D1098&lt;=01_因子設定!$M$5+0.000000001,E1098&gt;=01_因子設定!$L$6-0.000000001,E1098&lt;=01_因子設定!$M$6+0.000000001,F1098&gt;=01_因子設定!$L$7-0.000000001,F1098&lt;=01_因子設定!$M$7+0.000000001,IF(01_因子設定!$B$20="Box-Behnken",D1098^2+E1098^2+F1098^2&lt;=2+0.000000001,TRUE()))</f>
        <v>1</v>
      </c>
      <c r="W1098" s="55" t="n">
        <f aca="false">IF(V1098,IF(01_因子設定!$B$13="最大化",T1098-01_因子設定!$B$14,IF(01_因子設定!$B$13="最小化",01_因子設定!$B$15-U1098,MIN(T1098-01_因子設定!$B$14,01_因子設定!$B$15-U1098))),-1E+030)</f>
        <v>-4.54563888717507</v>
      </c>
      <c r="X1098" s="55" t="n">
        <f aca="false">IF(V1098,IF(01_因子設定!$B$13="最大化",Q1098,IF(01_因子設定!$B$13="最小化",-Q1098,-ABS(Q1098-01_因子設定!$B$16))),-1E+030)</f>
        <v>44.9753764204546</v>
      </c>
      <c r="Y1098" s="55" t="n">
        <f aca="false">W1098+ROW()*0.000000001</f>
        <v>-4.54563778917507</v>
      </c>
      <c r="Z1098" s="55" t="n">
        <f aca="false">X1098+ROW()*0.000000001</f>
        <v>44.9753775184546</v>
      </c>
    </row>
    <row r="1099" customFormat="false" ht="15" hidden="false" customHeight="false" outlineLevel="0" collapsed="false">
      <c r="A1099" s="0" t="n">
        <v>3</v>
      </c>
      <c r="B1099" s="0" t="n">
        <v>13</v>
      </c>
      <c r="C1099" s="0" t="n">
        <v>6</v>
      </c>
      <c r="D1099" s="0" t="n">
        <f aca="false">-1+A1099*0.125</f>
        <v>-0.625</v>
      </c>
      <c r="E1099" s="0" t="n">
        <f aca="false">-1+B1099*0.125</f>
        <v>0.625</v>
      </c>
      <c r="F1099" s="0" t="n">
        <f aca="false">-1+C1099*0.125</f>
        <v>-0.25</v>
      </c>
      <c r="G1099" s="0" t="n">
        <f aca="false">1</f>
        <v>1</v>
      </c>
      <c r="H1099" s="0" t="n">
        <f aca="false">D1099</f>
        <v>-0.625</v>
      </c>
      <c r="I1099" s="0" t="n">
        <f aca="false">E1099</f>
        <v>0.625</v>
      </c>
      <c r="J1099" s="0" t="n">
        <f aca="false">F1099</f>
        <v>-0.25</v>
      </c>
      <c r="K1099" s="0" t="n">
        <f aca="false">D1099*E1099</f>
        <v>-0.390625</v>
      </c>
      <c r="L1099" s="0" t="n">
        <f aca="false">D1099*F1099</f>
        <v>0.15625</v>
      </c>
      <c r="M1099" s="0" t="n">
        <f aca="false">E1099*F1099</f>
        <v>-0.15625</v>
      </c>
      <c r="N1099" s="0" t="n">
        <f aca="false">D1099*D1099</f>
        <v>0.390625</v>
      </c>
      <c r="O1099" s="0" t="n">
        <f aca="false">E1099*E1099</f>
        <v>0.390625</v>
      </c>
      <c r="P1099" s="0" t="n">
        <f aca="false">F1099*F1099</f>
        <v>0.0625</v>
      </c>
      <c r="Q1099" s="0" t="n">
        <f aca="false">SUMPRODUCT(G1099:P1099,_XtX!$B$71:$K$71)</f>
        <v>45.2867258522727</v>
      </c>
      <c r="R1099" s="0" t="n">
        <f aca="false">SUMPRODUCT(MMULT(G1099:P1099,_XtX!$B$58:$K$67),G1099:P1099)</f>
        <v>0.208491099964489</v>
      </c>
      <c r="S1099" s="0" t="n">
        <f aca="false">04_回帰ANOVA!$K$19*04_回帰ANOVA!$K$14*SQRT(1+R1099)</f>
        <v>1.02208817610259</v>
      </c>
      <c r="T1099" s="0" t="n">
        <f aca="false">Q1099-S1099</f>
        <v>44.2646376761701</v>
      </c>
      <c r="U1099" s="0" t="n">
        <f aca="false">Q1099+S1099</f>
        <v>46.3088140283753</v>
      </c>
      <c r="V1099" s="54" t="b">
        <f aca="false">AND(D1099&gt;=01_因子設定!$L$5-0.000000001,D1099&lt;=01_因子設定!$M$5+0.000000001,E1099&gt;=01_因子設定!$L$6-0.000000001,E1099&lt;=01_因子設定!$M$6+0.000000001,F1099&gt;=01_因子設定!$L$7-0.000000001,F1099&lt;=01_因子設定!$M$7+0.000000001,IF(01_因子設定!$B$20="Box-Behnken",D1099^2+E1099^2+F1099^2&lt;=2+0.000000001,TRUE()))</f>
        <v>1</v>
      </c>
      <c r="W1099" s="55" t="n">
        <f aca="false">IF(V1099,IF(01_因子設定!$B$13="最大化",T1099-01_因子設定!$B$14,IF(01_因子設定!$B$13="最小化",01_因子設定!$B$15-U1099,MIN(T1099-01_因子設定!$B$14,01_因子設定!$B$15-U1099))),-1E+030)</f>
        <v>-4.23536232382985</v>
      </c>
      <c r="X1099" s="55" t="n">
        <f aca="false">IF(V1099,IF(01_因子設定!$B$13="最大化",Q1099,IF(01_因子設定!$B$13="最小化",-Q1099,-ABS(Q1099-01_因子設定!$B$16))),-1E+030)</f>
        <v>45.2867258522727</v>
      </c>
      <c r="Y1099" s="55" t="n">
        <f aca="false">W1099+ROW()*0.000000001</f>
        <v>-4.23536122482985</v>
      </c>
      <c r="Z1099" s="55" t="n">
        <f aca="false">X1099+ROW()*0.000000001</f>
        <v>45.2867269512727</v>
      </c>
    </row>
    <row r="1100" customFormat="false" ht="15" hidden="false" customHeight="false" outlineLevel="0" collapsed="false">
      <c r="A1100" s="0" t="n">
        <v>3</v>
      </c>
      <c r="B1100" s="0" t="n">
        <v>13</v>
      </c>
      <c r="C1100" s="0" t="n">
        <v>7</v>
      </c>
      <c r="D1100" s="0" t="n">
        <f aca="false">-1+A1100*0.125</f>
        <v>-0.625</v>
      </c>
      <c r="E1100" s="0" t="n">
        <f aca="false">-1+B1100*0.125</f>
        <v>0.625</v>
      </c>
      <c r="F1100" s="0" t="n">
        <f aca="false">-1+C1100*0.125</f>
        <v>-0.125</v>
      </c>
      <c r="G1100" s="0" t="n">
        <f aca="false">1</f>
        <v>1</v>
      </c>
      <c r="H1100" s="0" t="n">
        <f aca="false">D1100</f>
        <v>-0.625</v>
      </c>
      <c r="I1100" s="0" t="n">
        <f aca="false">E1100</f>
        <v>0.625</v>
      </c>
      <c r="J1100" s="0" t="n">
        <f aca="false">F1100</f>
        <v>-0.125</v>
      </c>
      <c r="K1100" s="0" t="n">
        <f aca="false">D1100*E1100</f>
        <v>-0.390625</v>
      </c>
      <c r="L1100" s="0" t="n">
        <f aca="false">D1100*F1100</f>
        <v>0.078125</v>
      </c>
      <c r="M1100" s="0" t="n">
        <f aca="false">E1100*F1100</f>
        <v>-0.078125</v>
      </c>
      <c r="N1100" s="0" t="n">
        <f aca="false">D1100*D1100</f>
        <v>0.390625</v>
      </c>
      <c r="O1100" s="0" t="n">
        <f aca="false">E1100*E1100</f>
        <v>0.390625</v>
      </c>
      <c r="P1100" s="0" t="n">
        <f aca="false">F1100*F1100</f>
        <v>0.015625</v>
      </c>
      <c r="Q1100" s="0" t="n">
        <f aca="false">SUMPRODUCT(G1100:P1100,_XtX!$B$71:$K$71)</f>
        <v>45.5612855113636</v>
      </c>
      <c r="R1100" s="0" t="n">
        <f aca="false">SUMPRODUCT(MMULT(G1100:P1100,_XtX!$B$58:$K$67),G1100:P1100)</f>
        <v>0.212143221768466</v>
      </c>
      <c r="S1100" s="0" t="n">
        <f aca="false">04_回帰ANOVA!$K$19*04_回帰ANOVA!$K$14*SQRT(1+R1100)</f>
        <v>1.02363141237304</v>
      </c>
      <c r="T1100" s="0" t="n">
        <f aca="false">Q1100-S1100</f>
        <v>44.5376540989906</v>
      </c>
      <c r="U1100" s="0" t="n">
        <f aca="false">Q1100+S1100</f>
        <v>46.5849169237367</v>
      </c>
      <c r="V1100" s="54" t="b">
        <f aca="false">AND(D1100&gt;=01_因子設定!$L$5-0.000000001,D1100&lt;=01_因子設定!$M$5+0.000000001,E1100&gt;=01_因子設定!$L$6-0.000000001,E1100&lt;=01_因子設定!$M$6+0.000000001,F1100&gt;=01_因子設定!$L$7-0.000000001,F1100&lt;=01_因子設定!$M$7+0.000000001,IF(01_因子設定!$B$20="Box-Behnken",D1100^2+E1100^2+F1100^2&lt;=2+0.000000001,TRUE()))</f>
        <v>1</v>
      </c>
      <c r="W1100" s="55" t="n">
        <f aca="false">IF(V1100,IF(01_因子設定!$B$13="最大化",T1100-01_因子設定!$B$14,IF(01_因子設定!$B$13="最小化",01_因子設定!$B$15-U1100,MIN(T1100-01_因子設定!$B$14,01_因子設定!$B$15-U1100))),-1E+030)</f>
        <v>-3.96234590100941</v>
      </c>
      <c r="X1100" s="55" t="n">
        <f aca="false">IF(V1100,IF(01_因子設定!$B$13="最大化",Q1100,IF(01_因子設定!$B$13="最小化",-Q1100,-ABS(Q1100-01_因子設定!$B$16))),-1E+030)</f>
        <v>45.5612855113636</v>
      </c>
      <c r="Y1100" s="55" t="n">
        <f aca="false">W1100+ROW()*0.000000001</f>
        <v>-3.96234480100941</v>
      </c>
      <c r="Z1100" s="55" t="n">
        <f aca="false">X1100+ROW()*0.000000001</f>
        <v>45.5612866113636</v>
      </c>
    </row>
    <row r="1101" customFormat="false" ht="15" hidden="false" customHeight="false" outlineLevel="0" collapsed="false">
      <c r="A1101" s="0" t="n">
        <v>3</v>
      </c>
      <c r="B1101" s="0" t="n">
        <v>13</v>
      </c>
      <c r="C1101" s="0" t="n">
        <v>8</v>
      </c>
      <c r="D1101" s="0" t="n">
        <f aca="false">-1+A1101*0.125</f>
        <v>-0.625</v>
      </c>
      <c r="E1101" s="0" t="n">
        <f aca="false">-1+B1101*0.125</f>
        <v>0.625</v>
      </c>
      <c r="F1101" s="0" t="n">
        <f aca="false">-1+C1101*0.125</f>
        <v>0</v>
      </c>
      <c r="G1101" s="0" t="n">
        <f aca="false">1</f>
        <v>1</v>
      </c>
      <c r="H1101" s="0" t="n">
        <f aca="false">D1101</f>
        <v>-0.625</v>
      </c>
      <c r="I1101" s="0" t="n">
        <f aca="false">E1101</f>
        <v>0.625</v>
      </c>
      <c r="J1101" s="0" t="n">
        <f aca="false">F1101</f>
        <v>0</v>
      </c>
      <c r="K1101" s="0" t="n">
        <f aca="false">D1101*E1101</f>
        <v>-0.390625</v>
      </c>
      <c r="L1101" s="0" t="n">
        <f aca="false">D1101*F1101</f>
        <v>-0</v>
      </c>
      <c r="M1101" s="0" t="n">
        <f aca="false">E1101*F1101</f>
        <v>0</v>
      </c>
      <c r="N1101" s="0" t="n">
        <f aca="false">D1101*D1101</f>
        <v>0.390625</v>
      </c>
      <c r="O1101" s="0" t="n">
        <f aca="false">E1101*E1101</f>
        <v>0.390625</v>
      </c>
      <c r="P1101" s="0" t="n">
        <f aca="false">F1101*F1101</f>
        <v>0</v>
      </c>
      <c r="Q1101" s="0" t="n">
        <f aca="false">SUMPRODUCT(G1101:P1101,_XtX!$B$71:$K$71)</f>
        <v>45.7990553977273</v>
      </c>
      <c r="R1101" s="0" t="n">
        <f aca="false">SUMPRODUCT(MMULT(G1101:P1101,_XtX!$B$58:$K$67),G1101:P1101)</f>
        <v>0.213715709339489</v>
      </c>
      <c r="S1101" s="0" t="n">
        <f aca="false">04_回帰ANOVA!$K$19*04_回帰ANOVA!$K$14*SQRT(1+R1101)</f>
        <v>1.02429516478377</v>
      </c>
      <c r="T1101" s="0" t="n">
        <f aca="false">Q1101-S1101</f>
        <v>44.7747602329435</v>
      </c>
      <c r="U1101" s="0" t="n">
        <f aca="false">Q1101+S1101</f>
        <v>46.823350562511</v>
      </c>
      <c r="V1101" s="54" t="b">
        <f aca="false">AND(D1101&gt;=01_因子設定!$L$5-0.000000001,D1101&lt;=01_因子設定!$M$5+0.000000001,E1101&gt;=01_因子設定!$L$6-0.000000001,E1101&lt;=01_因子設定!$M$6+0.000000001,F1101&gt;=01_因子設定!$L$7-0.000000001,F1101&lt;=01_因子設定!$M$7+0.000000001,IF(01_因子設定!$B$20="Box-Behnken",D1101^2+E1101^2+F1101^2&lt;=2+0.000000001,TRUE()))</f>
        <v>1</v>
      </c>
      <c r="W1101" s="55" t="n">
        <f aca="false">IF(V1101,IF(01_因子設定!$B$13="最大化",T1101-01_因子設定!$B$14,IF(01_因子設定!$B$13="最小化",01_因子設定!$B$15-U1101,MIN(T1101-01_因子設定!$B$14,01_因子設定!$B$15-U1101))),-1E+030)</f>
        <v>-3.7252397670565</v>
      </c>
      <c r="X1101" s="55" t="n">
        <f aca="false">IF(V1101,IF(01_因子設定!$B$13="最大化",Q1101,IF(01_因子設定!$B$13="最小化",-Q1101,-ABS(Q1101-01_因子設定!$B$16))),-1E+030)</f>
        <v>45.7990553977273</v>
      </c>
      <c r="Y1101" s="55" t="n">
        <f aca="false">W1101+ROW()*0.000000001</f>
        <v>-3.7252386660565</v>
      </c>
      <c r="Z1101" s="55" t="n">
        <f aca="false">X1101+ROW()*0.000000001</f>
        <v>45.7990564987273</v>
      </c>
    </row>
    <row r="1102" customFormat="false" ht="15" hidden="false" customHeight="false" outlineLevel="0" collapsed="false">
      <c r="A1102" s="0" t="n">
        <v>3</v>
      </c>
      <c r="B1102" s="0" t="n">
        <v>13</v>
      </c>
      <c r="C1102" s="0" t="n">
        <v>9</v>
      </c>
      <c r="D1102" s="0" t="n">
        <f aca="false">-1+A1102*0.125</f>
        <v>-0.625</v>
      </c>
      <c r="E1102" s="0" t="n">
        <f aca="false">-1+B1102*0.125</f>
        <v>0.625</v>
      </c>
      <c r="F1102" s="0" t="n">
        <f aca="false">-1+C1102*0.125</f>
        <v>0.125</v>
      </c>
      <c r="G1102" s="0" t="n">
        <f aca="false">1</f>
        <v>1</v>
      </c>
      <c r="H1102" s="0" t="n">
        <f aca="false">D1102</f>
        <v>-0.625</v>
      </c>
      <c r="I1102" s="0" t="n">
        <f aca="false">E1102</f>
        <v>0.625</v>
      </c>
      <c r="J1102" s="0" t="n">
        <f aca="false">F1102</f>
        <v>0.125</v>
      </c>
      <c r="K1102" s="0" t="n">
        <f aca="false">D1102*E1102</f>
        <v>-0.390625</v>
      </c>
      <c r="L1102" s="0" t="n">
        <f aca="false">D1102*F1102</f>
        <v>-0.078125</v>
      </c>
      <c r="M1102" s="0" t="n">
        <f aca="false">E1102*F1102</f>
        <v>0.078125</v>
      </c>
      <c r="N1102" s="0" t="n">
        <f aca="false">D1102*D1102</f>
        <v>0.390625</v>
      </c>
      <c r="O1102" s="0" t="n">
        <f aca="false">E1102*E1102</f>
        <v>0.390625</v>
      </c>
      <c r="P1102" s="0" t="n">
        <f aca="false">F1102*F1102</f>
        <v>0.015625</v>
      </c>
      <c r="Q1102" s="0" t="n">
        <f aca="false">SUMPRODUCT(G1102:P1102,_XtX!$B$71:$K$71)</f>
        <v>46.0000355113636</v>
      </c>
      <c r="R1102" s="0" t="n">
        <f aca="false">SUMPRODUCT(MMULT(G1102:P1102,_XtX!$B$58:$K$67),G1102:P1102)</f>
        <v>0.212143221768466</v>
      </c>
      <c r="S1102" s="0" t="n">
        <f aca="false">04_回帰ANOVA!$K$19*04_回帰ANOVA!$K$14*SQRT(1+R1102)</f>
        <v>1.02363141237304</v>
      </c>
      <c r="T1102" s="0" t="n">
        <f aca="false">Q1102-S1102</f>
        <v>44.9764040989906</v>
      </c>
      <c r="U1102" s="0" t="n">
        <f aca="false">Q1102+S1102</f>
        <v>47.0236669237367</v>
      </c>
      <c r="V1102" s="54" t="b">
        <f aca="false">AND(D1102&gt;=01_因子設定!$L$5-0.000000001,D1102&lt;=01_因子設定!$M$5+0.000000001,E1102&gt;=01_因子設定!$L$6-0.000000001,E1102&lt;=01_因子設定!$M$6+0.000000001,F1102&gt;=01_因子設定!$L$7-0.000000001,F1102&lt;=01_因子設定!$M$7+0.000000001,IF(01_因子設定!$B$20="Box-Behnken",D1102^2+E1102^2+F1102^2&lt;=2+0.000000001,TRUE()))</f>
        <v>1</v>
      </c>
      <c r="W1102" s="55" t="n">
        <f aca="false">IF(V1102,IF(01_因子設定!$B$13="最大化",T1102-01_因子設定!$B$14,IF(01_因子設定!$B$13="最小化",01_因子設定!$B$15-U1102,MIN(T1102-01_因子設定!$B$14,01_因子設定!$B$15-U1102))),-1E+030)</f>
        <v>-3.5235959010094</v>
      </c>
      <c r="X1102" s="55" t="n">
        <f aca="false">IF(V1102,IF(01_因子設定!$B$13="最大化",Q1102,IF(01_因子設定!$B$13="最小化",-Q1102,-ABS(Q1102-01_因子設定!$B$16))),-1E+030)</f>
        <v>46.0000355113636</v>
      </c>
      <c r="Y1102" s="55" t="n">
        <f aca="false">W1102+ROW()*0.000000001</f>
        <v>-3.5235947990094</v>
      </c>
      <c r="Z1102" s="55" t="n">
        <f aca="false">X1102+ROW()*0.000000001</f>
        <v>46.0000366133636</v>
      </c>
    </row>
    <row r="1103" customFormat="false" ht="15" hidden="false" customHeight="false" outlineLevel="0" collapsed="false">
      <c r="A1103" s="0" t="n">
        <v>3</v>
      </c>
      <c r="B1103" s="0" t="n">
        <v>13</v>
      </c>
      <c r="C1103" s="0" t="n">
        <v>10</v>
      </c>
      <c r="D1103" s="0" t="n">
        <f aca="false">-1+A1103*0.125</f>
        <v>-0.625</v>
      </c>
      <c r="E1103" s="0" t="n">
        <f aca="false">-1+B1103*0.125</f>
        <v>0.625</v>
      </c>
      <c r="F1103" s="0" t="n">
        <f aca="false">-1+C1103*0.125</f>
        <v>0.25</v>
      </c>
      <c r="G1103" s="0" t="n">
        <f aca="false">1</f>
        <v>1</v>
      </c>
      <c r="H1103" s="0" t="n">
        <f aca="false">D1103</f>
        <v>-0.625</v>
      </c>
      <c r="I1103" s="0" t="n">
        <f aca="false">E1103</f>
        <v>0.625</v>
      </c>
      <c r="J1103" s="0" t="n">
        <f aca="false">F1103</f>
        <v>0.25</v>
      </c>
      <c r="K1103" s="0" t="n">
        <f aca="false">D1103*E1103</f>
        <v>-0.390625</v>
      </c>
      <c r="L1103" s="0" t="n">
        <f aca="false">D1103*F1103</f>
        <v>-0.15625</v>
      </c>
      <c r="M1103" s="0" t="n">
        <f aca="false">E1103*F1103</f>
        <v>0.15625</v>
      </c>
      <c r="N1103" s="0" t="n">
        <f aca="false">D1103*D1103</f>
        <v>0.390625</v>
      </c>
      <c r="O1103" s="0" t="n">
        <f aca="false">E1103*E1103</f>
        <v>0.390625</v>
      </c>
      <c r="P1103" s="0" t="n">
        <f aca="false">F1103*F1103</f>
        <v>0.0625</v>
      </c>
      <c r="Q1103" s="0" t="n">
        <f aca="false">SUMPRODUCT(G1103:P1103,_XtX!$B$71:$K$71)</f>
        <v>46.1642258522727</v>
      </c>
      <c r="R1103" s="0" t="n">
        <f aca="false">SUMPRODUCT(MMULT(G1103:P1103,_XtX!$B$58:$K$67),G1103:P1103)</f>
        <v>0.208491099964489</v>
      </c>
      <c r="S1103" s="0" t="n">
        <f aca="false">04_回帰ANOVA!$K$19*04_回帰ANOVA!$K$14*SQRT(1+R1103)</f>
        <v>1.02208817610259</v>
      </c>
      <c r="T1103" s="0" t="n">
        <f aca="false">Q1103-S1103</f>
        <v>45.1421376761701</v>
      </c>
      <c r="U1103" s="0" t="n">
        <f aca="false">Q1103+S1103</f>
        <v>47.1863140283753</v>
      </c>
      <c r="V1103" s="54" t="b">
        <f aca="false">AND(D1103&gt;=01_因子設定!$L$5-0.000000001,D1103&lt;=01_因子設定!$M$5+0.000000001,E1103&gt;=01_因子設定!$L$6-0.000000001,E1103&lt;=01_因子設定!$M$6+0.000000001,F1103&gt;=01_因子設定!$L$7-0.000000001,F1103&lt;=01_因子設定!$M$7+0.000000001,IF(01_因子設定!$B$20="Box-Behnken",D1103^2+E1103^2+F1103^2&lt;=2+0.000000001,TRUE()))</f>
        <v>1</v>
      </c>
      <c r="W1103" s="55" t="n">
        <f aca="false">IF(V1103,IF(01_因子設定!$B$13="最大化",T1103-01_因子設定!$B$14,IF(01_因子設定!$B$13="最小化",01_因子設定!$B$15-U1103,MIN(T1103-01_因子設定!$B$14,01_因子設定!$B$15-U1103))),-1E+030)</f>
        <v>-3.35786232382986</v>
      </c>
      <c r="X1103" s="55" t="n">
        <f aca="false">IF(V1103,IF(01_因子設定!$B$13="最大化",Q1103,IF(01_因子設定!$B$13="最小化",-Q1103,-ABS(Q1103-01_因子設定!$B$16))),-1E+030)</f>
        <v>46.1642258522727</v>
      </c>
      <c r="Y1103" s="55" t="n">
        <f aca="false">W1103+ROW()*0.000000001</f>
        <v>-3.35786122082986</v>
      </c>
      <c r="Z1103" s="55" t="n">
        <f aca="false">X1103+ROW()*0.000000001</f>
        <v>46.1642269552727</v>
      </c>
    </row>
    <row r="1104" customFormat="false" ht="15" hidden="false" customHeight="false" outlineLevel="0" collapsed="false">
      <c r="A1104" s="0" t="n">
        <v>3</v>
      </c>
      <c r="B1104" s="0" t="n">
        <v>13</v>
      </c>
      <c r="C1104" s="0" t="n">
        <v>11</v>
      </c>
      <c r="D1104" s="0" t="n">
        <f aca="false">-1+A1104*0.125</f>
        <v>-0.625</v>
      </c>
      <c r="E1104" s="0" t="n">
        <f aca="false">-1+B1104*0.125</f>
        <v>0.625</v>
      </c>
      <c r="F1104" s="0" t="n">
        <f aca="false">-1+C1104*0.125</f>
        <v>0.375</v>
      </c>
      <c r="G1104" s="0" t="n">
        <f aca="false">1</f>
        <v>1</v>
      </c>
      <c r="H1104" s="0" t="n">
        <f aca="false">D1104</f>
        <v>-0.625</v>
      </c>
      <c r="I1104" s="0" t="n">
        <f aca="false">E1104</f>
        <v>0.625</v>
      </c>
      <c r="J1104" s="0" t="n">
        <f aca="false">F1104</f>
        <v>0.375</v>
      </c>
      <c r="K1104" s="0" t="n">
        <f aca="false">D1104*E1104</f>
        <v>-0.390625</v>
      </c>
      <c r="L1104" s="0" t="n">
        <f aca="false">D1104*F1104</f>
        <v>-0.234375</v>
      </c>
      <c r="M1104" s="0" t="n">
        <f aca="false">E1104*F1104</f>
        <v>0.234375</v>
      </c>
      <c r="N1104" s="0" t="n">
        <f aca="false">D1104*D1104</f>
        <v>0.390625</v>
      </c>
      <c r="O1104" s="0" t="n">
        <f aca="false">E1104*E1104</f>
        <v>0.390625</v>
      </c>
      <c r="P1104" s="0" t="n">
        <f aca="false">F1104*F1104</f>
        <v>0.140625</v>
      </c>
      <c r="Q1104" s="0" t="n">
        <f aca="false">SUMPRODUCT(G1104:P1104,_XtX!$B$71:$K$71)</f>
        <v>46.2916264204546</v>
      </c>
      <c r="R1104" s="0" t="n">
        <f aca="false">SUMPRODUCT(MMULT(G1104:P1104,_XtX!$B$58:$K$67),G1104:P1104)</f>
        <v>0.20595536665483</v>
      </c>
      <c r="S1104" s="0" t="n">
        <f aca="false">04_回帰ANOVA!$K$19*04_回帰ANOVA!$K$14*SQRT(1+R1104)</f>
        <v>1.02101530762963</v>
      </c>
      <c r="T1104" s="0" t="n">
        <f aca="false">Q1104-S1104</f>
        <v>45.2706111128249</v>
      </c>
      <c r="U1104" s="0" t="n">
        <f aca="false">Q1104+S1104</f>
        <v>47.3126417280842</v>
      </c>
      <c r="V1104" s="54" t="b">
        <f aca="false">AND(D1104&gt;=01_因子設定!$L$5-0.000000001,D1104&lt;=01_因子設定!$M$5+0.000000001,E1104&gt;=01_因子設定!$L$6-0.000000001,E1104&lt;=01_因子設定!$M$6+0.000000001,F1104&gt;=01_因子設定!$L$7-0.000000001,F1104&lt;=01_因子設定!$M$7+0.000000001,IF(01_因子設定!$B$20="Box-Behnken",D1104^2+E1104^2+F1104^2&lt;=2+0.000000001,TRUE()))</f>
        <v>1</v>
      </c>
      <c r="W1104" s="55" t="n">
        <f aca="false">IF(V1104,IF(01_因子設定!$B$13="最大化",T1104-01_因子設定!$B$14,IF(01_因子設定!$B$13="最小化",01_因子設定!$B$15-U1104,MIN(T1104-01_因子設定!$B$14,01_因子設定!$B$15-U1104))),-1E+030)</f>
        <v>-3.22938888717508</v>
      </c>
      <c r="X1104" s="55" t="n">
        <f aca="false">IF(V1104,IF(01_因子設定!$B$13="最大化",Q1104,IF(01_因子設定!$B$13="最小化",-Q1104,-ABS(Q1104-01_因子設定!$B$16))),-1E+030)</f>
        <v>46.2916264204546</v>
      </c>
      <c r="Y1104" s="55" t="n">
        <f aca="false">W1104+ROW()*0.000000001</f>
        <v>-3.22938778317508</v>
      </c>
      <c r="Z1104" s="55" t="n">
        <f aca="false">X1104+ROW()*0.000000001</f>
        <v>46.2916275244546</v>
      </c>
    </row>
    <row r="1105" customFormat="false" ht="15" hidden="false" customHeight="false" outlineLevel="0" collapsed="false">
      <c r="A1105" s="0" t="n">
        <v>3</v>
      </c>
      <c r="B1105" s="0" t="n">
        <v>13</v>
      </c>
      <c r="C1105" s="0" t="n">
        <v>12</v>
      </c>
      <c r="D1105" s="0" t="n">
        <f aca="false">-1+A1105*0.125</f>
        <v>-0.625</v>
      </c>
      <c r="E1105" s="0" t="n">
        <f aca="false">-1+B1105*0.125</f>
        <v>0.625</v>
      </c>
      <c r="F1105" s="0" t="n">
        <f aca="false">-1+C1105*0.125</f>
        <v>0.5</v>
      </c>
      <c r="G1105" s="0" t="n">
        <f aca="false">1</f>
        <v>1</v>
      </c>
      <c r="H1105" s="0" t="n">
        <f aca="false">D1105</f>
        <v>-0.625</v>
      </c>
      <c r="I1105" s="0" t="n">
        <f aca="false">E1105</f>
        <v>0.625</v>
      </c>
      <c r="J1105" s="0" t="n">
        <f aca="false">F1105</f>
        <v>0.5</v>
      </c>
      <c r="K1105" s="0" t="n">
        <f aca="false">D1105*E1105</f>
        <v>-0.390625</v>
      </c>
      <c r="L1105" s="0" t="n">
        <f aca="false">D1105*F1105</f>
        <v>-0.3125</v>
      </c>
      <c r="M1105" s="0" t="n">
        <f aca="false">E1105*F1105</f>
        <v>0.3125</v>
      </c>
      <c r="N1105" s="0" t="n">
        <f aca="false">D1105*D1105</f>
        <v>0.390625</v>
      </c>
      <c r="O1105" s="0" t="n">
        <f aca="false">E1105*E1105</f>
        <v>0.390625</v>
      </c>
      <c r="P1105" s="0" t="n">
        <f aca="false">F1105*F1105</f>
        <v>0.25</v>
      </c>
      <c r="Q1105" s="0" t="n">
        <f aca="false">SUMPRODUCT(G1105:P1105,_XtX!$B$71:$K$71)</f>
        <v>46.3822372159091</v>
      </c>
      <c r="R1105" s="0" t="n">
        <f aca="false">SUMPRODUCT(MMULT(G1105:P1105,_XtX!$B$58:$K$67),G1105:P1105)</f>
        <v>0.209862726384943</v>
      </c>
      <c r="S1105" s="0" t="n">
        <f aca="false">04_回帰ANOVA!$K$19*04_回帰ANOVA!$K$14*SQRT(1+R1105)</f>
        <v>1.0226680420112</v>
      </c>
      <c r="T1105" s="0" t="n">
        <f aca="false">Q1105-S1105</f>
        <v>45.3595691738979</v>
      </c>
      <c r="U1105" s="0" t="n">
        <f aca="false">Q1105+S1105</f>
        <v>47.4049052579203</v>
      </c>
      <c r="V1105" s="54" t="b">
        <f aca="false">AND(D1105&gt;=01_因子設定!$L$5-0.000000001,D1105&lt;=01_因子設定!$M$5+0.000000001,E1105&gt;=01_因子設定!$L$6-0.000000001,E1105&lt;=01_因子設定!$M$6+0.000000001,F1105&gt;=01_因子設定!$L$7-0.000000001,F1105&lt;=01_因子設定!$M$7+0.000000001,IF(01_因子設定!$B$20="Box-Behnken",D1105^2+E1105^2+F1105^2&lt;=2+0.000000001,TRUE()))</f>
        <v>1</v>
      </c>
      <c r="W1105" s="55" t="n">
        <f aca="false">IF(V1105,IF(01_因子設定!$B$13="最大化",T1105-01_因子設定!$B$14,IF(01_因子設定!$B$13="最小化",01_因子設定!$B$15-U1105,MIN(T1105-01_因子設定!$B$14,01_因子設定!$B$15-U1105))),-1E+030)</f>
        <v>-3.1404308261021</v>
      </c>
      <c r="X1105" s="55" t="n">
        <f aca="false">IF(V1105,IF(01_因子設定!$B$13="最大化",Q1105,IF(01_因子設定!$B$13="最小化",-Q1105,-ABS(Q1105-01_因子設定!$B$16))),-1E+030)</f>
        <v>46.3822372159091</v>
      </c>
      <c r="Y1105" s="55" t="n">
        <f aca="false">W1105+ROW()*0.000000001</f>
        <v>-3.1404297211021</v>
      </c>
      <c r="Z1105" s="55" t="n">
        <f aca="false">X1105+ROW()*0.000000001</f>
        <v>46.3822383209091</v>
      </c>
    </row>
    <row r="1106" customFormat="false" ht="15" hidden="false" customHeight="false" outlineLevel="0" collapsed="false">
      <c r="A1106" s="0" t="n">
        <v>3</v>
      </c>
      <c r="B1106" s="0" t="n">
        <v>13</v>
      </c>
      <c r="C1106" s="0" t="n">
        <v>13</v>
      </c>
      <c r="D1106" s="0" t="n">
        <f aca="false">-1+A1106*0.125</f>
        <v>-0.625</v>
      </c>
      <c r="E1106" s="0" t="n">
        <f aca="false">-1+B1106*0.125</f>
        <v>0.625</v>
      </c>
      <c r="F1106" s="0" t="n">
        <f aca="false">-1+C1106*0.125</f>
        <v>0.625</v>
      </c>
      <c r="G1106" s="0" t="n">
        <f aca="false">1</f>
        <v>1</v>
      </c>
      <c r="H1106" s="0" t="n">
        <f aca="false">D1106</f>
        <v>-0.625</v>
      </c>
      <c r="I1106" s="0" t="n">
        <f aca="false">E1106</f>
        <v>0.625</v>
      </c>
      <c r="J1106" s="0" t="n">
        <f aca="false">F1106</f>
        <v>0.625</v>
      </c>
      <c r="K1106" s="0" t="n">
        <f aca="false">D1106*E1106</f>
        <v>-0.390625</v>
      </c>
      <c r="L1106" s="0" t="n">
        <f aca="false">D1106*F1106</f>
        <v>-0.390625</v>
      </c>
      <c r="M1106" s="0" t="n">
        <f aca="false">E1106*F1106</f>
        <v>0.390625</v>
      </c>
      <c r="N1106" s="0" t="n">
        <f aca="false">D1106*D1106</f>
        <v>0.390625</v>
      </c>
      <c r="O1106" s="0" t="n">
        <f aca="false">E1106*E1106</f>
        <v>0.390625</v>
      </c>
      <c r="P1106" s="0" t="n">
        <f aca="false">F1106*F1106</f>
        <v>0.390625</v>
      </c>
      <c r="Q1106" s="0" t="n">
        <f aca="false">SUMPRODUCT(G1106:P1106,_XtX!$B$71:$K$71)</f>
        <v>46.4360582386364</v>
      </c>
      <c r="R1106" s="0" t="n">
        <f aca="false">SUMPRODUCT(MMULT(G1106:P1106,_XtX!$B$58:$K$67),G1106:P1106)</f>
        <v>0.227670565518466</v>
      </c>
      <c r="S1106" s="0" t="n">
        <f aca="false">04_回帰ANOVA!$K$19*04_回帰ANOVA!$K$14*SQRT(1+R1106)</f>
        <v>1.03016681975165</v>
      </c>
      <c r="T1106" s="0" t="n">
        <f aca="false">Q1106-S1106</f>
        <v>45.4058914188847</v>
      </c>
      <c r="U1106" s="0" t="n">
        <f aca="false">Q1106+S1106</f>
        <v>47.466225058388</v>
      </c>
      <c r="V1106" s="54" t="b">
        <f aca="false">AND(D1106&gt;=01_因子設定!$L$5-0.000000001,D1106&lt;=01_因子設定!$M$5+0.000000001,E1106&gt;=01_因子設定!$L$6-0.000000001,E1106&lt;=01_因子設定!$M$6+0.000000001,F1106&gt;=01_因子設定!$L$7-0.000000001,F1106&lt;=01_因子設定!$M$7+0.000000001,IF(01_因子設定!$B$20="Box-Behnken",D1106^2+E1106^2+F1106^2&lt;=2+0.000000001,TRUE()))</f>
        <v>1</v>
      </c>
      <c r="W1106" s="55" t="n">
        <f aca="false">IF(V1106,IF(01_因子設定!$B$13="最大化",T1106-01_因子設定!$B$14,IF(01_因子設定!$B$13="最小化",01_因子設定!$B$15-U1106,MIN(T1106-01_因子設定!$B$14,01_因子設定!$B$15-U1106))),-1E+030)</f>
        <v>-3.09410858111528</v>
      </c>
      <c r="X1106" s="55" t="n">
        <f aca="false">IF(V1106,IF(01_因子設定!$B$13="最大化",Q1106,IF(01_因子設定!$B$13="最小化",-Q1106,-ABS(Q1106-01_因子設定!$B$16))),-1E+030)</f>
        <v>46.4360582386364</v>
      </c>
      <c r="Y1106" s="55" t="n">
        <f aca="false">W1106+ROW()*0.000000001</f>
        <v>-3.09410747511528</v>
      </c>
      <c r="Z1106" s="55" t="n">
        <f aca="false">X1106+ROW()*0.000000001</f>
        <v>46.4360593446364</v>
      </c>
    </row>
    <row r="1107" customFormat="false" ht="15" hidden="false" customHeight="false" outlineLevel="0" collapsed="false">
      <c r="A1107" s="0" t="n">
        <v>3</v>
      </c>
      <c r="B1107" s="0" t="n">
        <v>13</v>
      </c>
      <c r="C1107" s="0" t="n">
        <v>14</v>
      </c>
      <c r="D1107" s="0" t="n">
        <f aca="false">-1+A1107*0.125</f>
        <v>-0.625</v>
      </c>
      <c r="E1107" s="0" t="n">
        <f aca="false">-1+B1107*0.125</f>
        <v>0.625</v>
      </c>
      <c r="F1107" s="0" t="n">
        <f aca="false">-1+C1107*0.125</f>
        <v>0.75</v>
      </c>
      <c r="G1107" s="0" t="n">
        <f aca="false">1</f>
        <v>1</v>
      </c>
      <c r="H1107" s="0" t="n">
        <f aca="false">D1107</f>
        <v>-0.625</v>
      </c>
      <c r="I1107" s="0" t="n">
        <f aca="false">E1107</f>
        <v>0.625</v>
      </c>
      <c r="J1107" s="0" t="n">
        <f aca="false">F1107</f>
        <v>0.75</v>
      </c>
      <c r="K1107" s="0" t="n">
        <f aca="false">D1107*E1107</f>
        <v>-0.390625</v>
      </c>
      <c r="L1107" s="0" t="n">
        <f aca="false">D1107*F1107</f>
        <v>-0.46875</v>
      </c>
      <c r="M1107" s="0" t="n">
        <f aca="false">E1107*F1107</f>
        <v>0.46875</v>
      </c>
      <c r="N1107" s="0" t="n">
        <f aca="false">D1107*D1107</f>
        <v>0.390625</v>
      </c>
      <c r="O1107" s="0" t="n">
        <f aca="false">E1107*E1107</f>
        <v>0.390625</v>
      </c>
      <c r="P1107" s="0" t="n">
        <f aca="false">F1107*F1107</f>
        <v>0.5625</v>
      </c>
      <c r="Q1107" s="0" t="n">
        <f aca="false">SUMPRODUCT(G1107:P1107,_XtX!$B$71:$K$71)</f>
        <v>46.4530894886364</v>
      </c>
      <c r="R1107" s="0" t="n">
        <f aca="false">SUMPRODUCT(MMULT(G1107:P1107,_XtX!$B$58:$K$67),G1107:P1107)</f>
        <v>0.268966952237216</v>
      </c>
      <c r="S1107" s="0" t="n">
        <f aca="false">04_回帰ANOVA!$K$19*04_回帰ANOVA!$K$14*SQRT(1+R1107)</f>
        <v>1.04734989137801</v>
      </c>
      <c r="T1107" s="0" t="n">
        <f aca="false">Q1107-S1107</f>
        <v>45.4057395972584</v>
      </c>
      <c r="U1107" s="0" t="n">
        <f aca="false">Q1107+S1107</f>
        <v>47.5004393800144</v>
      </c>
      <c r="V1107" s="54" t="b">
        <f aca="false">AND(D1107&gt;=01_因子設定!$L$5-0.000000001,D1107&lt;=01_因子設定!$M$5+0.000000001,E1107&gt;=01_因子設定!$L$6-0.000000001,E1107&lt;=01_因子設定!$M$6+0.000000001,F1107&gt;=01_因子設定!$L$7-0.000000001,F1107&lt;=01_因子設定!$M$7+0.000000001,IF(01_因子設定!$B$20="Box-Behnken",D1107^2+E1107^2+F1107^2&lt;=2+0.000000001,TRUE()))</f>
        <v>1</v>
      </c>
      <c r="W1107" s="55" t="n">
        <f aca="false">IF(V1107,IF(01_因子設定!$B$13="最大化",T1107-01_因子設定!$B$14,IF(01_因子設定!$B$13="最小化",01_因子設定!$B$15-U1107,MIN(T1107-01_因子設定!$B$14,01_因子設定!$B$15-U1107))),-1E+030)</f>
        <v>-3.09426040274163</v>
      </c>
      <c r="X1107" s="55" t="n">
        <f aca="false">IF(V1107,IF(01_因子設定!$B$13="最大化",Q1107,IF(01_因子設定!$B$13="最小化",-Q1107,-ABS(Q1107-01_因子設定!$B$16))),-1E+030)</f>
        <v>46.4530894886364</v>
      </c>
      <c r="Y1107" s="55" t="n">
        <f aca="false">W1107+ROW()*0.000000001</f>
        <v>-3.09425929574163</v>
      </c>
      <c r="Z1107" s="55" t="n">
        <f aca="false">X1107+ROW()*0.000000001</f>
        <v>46.4530905956364</v>
      </c>
    </row>
    <row r="1108" customFormat="false" ht="15" hidden="false" customHeight="false" outlineLevel="0" collapsed="false">
      <c r="A1108" s="0" t="n">
        <v>3</v>
      </c>
      <c r="B1108" s="0" t="n">
        <v>13</v>
      </c>
      <c r="C1108" s="0" t="n">
        <v>15</v>
      </c>
      <c r="D1108" s="0" t="n">
        <f aca="false">-1+A1108*0.125</f>
        <v>-0.625</v>
      </c>
      <c r="E1108" s="0" t="n">
        <f aca="false">-1+B1108*0.125</f>
        <v>0.625</v>
      </c>
      <c r="F1108" s="0" t="n">
        <f aca="false">-1+C1108*0.125</f>
        <v>0.875</v>
      </c>
      <c r="G1108" s="0" t="n">
        <f aca="false">1</f>
        <v>1</v>
      </c>
      <c r="H1108" s="0" t="n">
        <f aca="false">D1108</f>
        <v>-0.625</v>
      </c>
      <c r="I1108" s="0" t="n">
        <f aca="false">E1108</f>
        <v>0.625</v>
      </c>
      <c r="J1108" s="0" t="n">
        <f aca="false">F1108</f>
        <v>0.875</v>
      </c>
      <c r="K1108" s="0" t="n">
        <f aca="false">D1108*E1108</f>
        <v>-0.390625</v>
      </c>
      <c r="L1108" s="0" t="n">
        <f aca="false">D1108*F1108</f>
        <v>-0.546875</v>
      </c>
      <c r="M1108" s="0" t="n">
        <f aca="false">E1108*F1108</f>
        <v>0.546875</v>
      </c>
      <c r="N1108" s="0" t="n">
        <f aca="false">D1108*D1108</f>
        <v>0.390625</v>
      </c>
      <c r="O1108" s="0" t="n">
        <f aca="false">E1108*E1108</f>
        <v>0.390625</v>
      </c>
      <c r="P1108" s="0" t="n">
        <f aca="false">F1108*F1108</f>
        <v>0.765625</v>
      </c>
      <c r="Q1108" s="0" t="n">
        <f aca="false">SUMPRODUCT(G1108:P1108,_XtX!$B$71:$K$71)</f>
        <v>46.4333309659091</v>
      </c>
      <c r="R1108" s="0" t="n">
        <f aca="false">SUMPRODUCT(MMULT(G1108:P1108,_XtX!$B$58:$K$67),G1108:P1108)</f>
        <v>0.345470636541193</v>
      </c>
      <c r="S1108" s="0" t="n">
        <f aca="false">04_回帰ANOVA!$K$19*04_回帰ANOVA!$K$14*SQRT(1+R1108)</f>
        <v>1.07845927083227</v>
      </c>
      <c r="T1108" s="0" t="n">
        <f aca="false">Q1108-S1108</f>
        <v>45.3548716950768</v>
      </c>
      <c r="U1108" s="0" t="n">
        <f aca="false">Q1108+S1108</f>
        <v>47.5117902367414</v>
      </c>
      <c r="V1108" s="54" t="b">
        <f aca="false">AND(D1108&gt;=01_因子設定!$L$5-0.000000001,D1108&lt;=01_因子設定!$M$5+0.000000001,E1108&gt;=01_因子設定!$L$6-0.000000001,E1108&lt;=01_因子設定!$M$6+0.000000001,F1108&gt;=01_因子設定!$L$7-0.000000001,F1108&lt;=01_因子設定!$M$7+0.000000001,IF(01_因子設定!$B$20="Box-Behnken",D1108^2+E1108^2+F1108^2&lt;=2+0.000000001,TRUE()))</f>
        <v>1</v>
      </c>
      <c r="W1108" s="55" t="n">
        <f aca="false">IF(V1108,IF(01_因子設定!$B$13="最大化",T1108-01_因子設定!$B$14,IF(01_因子設定!$B$13="最小化",01_因子設定!$B$15-U1108,MIN(T1108-01_因子設定!$B$14,01_因子設定!$B$15-U1108))),-1E+030)</f>
        <v>-3.14512830492316</v>
      </c>
      <c r="X1108" s="55" t="n">
        <f aca="false">IF(V1108,IF(01_因子設定!$B$13="最大化",Q1108,IF(01_因子設定!$B$13="最小化",-Q1108,-ABS(Q1108-01_因子設定!$B$16))),-1E+030)</f>
        <v>46.4333309659091</v>
      </c>
      <c r="Y1108" s="55" t="n">
        <f aca="false">W1108+ROW()*0.000000001</f>
        <v>-3.14512719692316</v>
      </c>
      <c r="Z1108" s="55" t="n">
        <f aca="false">X1108+ROW()*0.000000001</f>
        <v>46.4333320739091</v>
      </c>
    </row>
    <row r="1109" customFormat="false" ht="15" hidden="false" customHeight="false" outlineLevel="0" collapsed="false">
      <c r="A1109" s="0" t="n">
        <v>3</v>
      </c>
      <c r="B1109" s="0" t="n">
        <v>13</v>
      </c>
      <c r="C1109" s="0" t="n">
        <v>16</v>
      </c>
      <c r="D1109" s="0" t="n">
        <f aca="false">-1+A1109*0.125</f>
        <v>-0.625</v>
      </c>
      <c r="E1109" s="0" t="n">
        <f aca="false">-1+B1109*0.125</f>
        <v>0.625</v>
      </c>
      <c r="F1109" s="0" t="n">
        <f aca="false">-1+C1109*0.125</f>
        <v>1</v>
      </c>
      <c r="G1109" s="0" t="n">
        <f aca="false">1</f>
        <v>1</v>
      </c>
      <c r="H1109" s="0" t="n">
        <f aca="false">D1109</f>
        <v>-0.625</v>
      </c>
      <c r="I1109" s="0" t="n">
        <f aca="false">E1109</f>
        <v>0.625</v>
      </c>
      <c r="J1109" s="0" t="n">
        <f aca="false">F1109</f>
        <v>1</v>
      </c>
      <c r="K1109" s="0" t="n">
        <f aca="false">D1109*E1109</f>
        <v>-0.390625</v>
      </c>
      <c r="L1109" s="0" t="n">
        <f aca="false">D1109*F1109</f>
        <v>-0.625</v>
      </c>
      <c r="M1109" s="0" t="n">
        <f aca="false">E1109*F1109</f>
        <v>0.625</v>
      </c>
      <c r="N1109" s="0" t="n">
        <f aca="false">D1109*D1109</f>
        <v>0.390625</v>
      </c>
      <c r="O1109" s="0" t="n">
        <f aca="false">E1109*E1109</f>
        <v>0.390625</v>
      </c>
      <c r="P1109" s="0" t="n">
        <f aca="false">F1109*F1109</f>
        <v>1</v>
      </c>
      <c r="Q1109" s="0" t="n">
        <f aca="false">SUMPRODUCT(G1109:P1109,_XtX!$B$71:$K$71)</f>
        <v>46.3767826704546</v>
      </c>
      <c r="R1109" s="0" t="n">
        <f aca="false">SUMPRODUCT(MMULT(G1109:P1109,_XtX!$B$58:$K$67),G1109:P1109)</f>
        <v>0.47103105024858</v>
      </c>
      <c r="S1109" s="0" t="n">
        <f aca="false">04_回帰ANOVA!$K$19*04_回帰ANOVA!$K$14*SQRT(1+R1109)</f>
        <v>1.1276583912499</v>
      </c>
      <c r="T1109" s="0" t="n">
        <f aca="false">Q1109-S1109</f>
        <v>45.2491242792047</v>
      </c>
      <c r="U1109" s="0" t="n">
        <f aca="false">Q1109+S1109</f>
        <v>47.5044410617045</v>
      </c>
      <c r="V1109" s="54" t="b">
        <f aca="false">AND(D1109&gt;=01_因子設定!$L$5-0.000000001,D1109&lt;=01_因子設定!$M$5+0.000000001,E1109&gt;=01_因子設定!$L$6-0.000000001,E1109&lt;=01_因子設定!$M$6+0.000000001,F1109&gt;=01_因子設定!$L$7-0.000000001,F1109&lt;=01_因子設定!$M$7+0.000000001,IF(01_因子設定!$B$20="Box-Behnken",D1109^2+E1109^2+F1109^2&lt;=2+0.000000001,TRUE()))</f>
        <v>1</v>
      </c>
      <c r="W1109" s="55" t="n">
        <f aca="false">IF(V1109,IF(01_因子設定!$B$13="最大化",T1109-01_因子設定!$B$14,IF(01_因子設定!$B$13="最小化",01_因子設定!$B$15-U1109,MIN(T1109-01_因子設定!$B$14,01_因子設定!$B$15-U1109))),-1E+030)</f>
        <v>-3.25087572079534</v>
      </c>
      <c r="X1109" s="55" t="n">
        <f aca="false">IF(V1109,IF(01_因子設定!$B$13="最大化",Q1109,IF(01_因子設定!$B$13="最小化",-Q1109,-ABS(Q1109-01_因子設定!$B$16))),-1E+030)</f>
        <v>46.3767826704546</v>
      </c>
      <c r="Y1109" s="55" t="n">
        <f aca="false">W1109+ROW()*0.000000001</f>
        <v>-3.25087461179534</v>
      </c>
      <c r="Z1109" s="55" t="n">
        <f aca="false">X1109+ROW()*0.000000001</f>
        <v>46.3767837794546</v>
      </c>
    </row>
    <row r="1110" customFormat="false" ht="15" hidden="false" customHeight="false" outlineLevel="0" collapsed="false">
      <c r="A1110" s="0" t="n">
        <v>3</v>
      </c>
      <c r="B1110" s="0" t="n">
        <v>14</v>
      </c>
      <c r="C1110" s="0" t="n">
        <v>0</v>
      </c>
      <c r="D1110" s="0" t="n">
        <f aca="false">-1+A1110*0.125</f>
        <v>-0.625</v>
      </c>
      <c r="E1110" s="0" t="n">
        <f aca="false">-1+B1110*0.125</f>
        <v>0.75</v>
      </c>
      <c r="F1110" s="0" t="n">
        <f aca="false">-1+C1110*0.125</f>
        <v>-1</v>
      </c>
      <c r="G1110" s="0" t="n">
        <f aca="false">1</f>
        <v>1</v>
      </c>
      <c r="H1110" s="0" t="n">
        <f aca="false">D1110</f>
        <v>-0.625</v>
      </c>
      <c r="I1110" s="0" t="n">
        <f aca="false">E1110</f>
        <v>0.75</v>
      </c>
      <c r="J1110" s="0" t="n">
        <f aca="false">F1110</f>
        <v>-1</v>
      </c>
      <c r="K1110" s="0" t="n">
        <f aca="false">D1110*E1110</f>
        <v>-0.46875</v>
      </c>
      <c r="L1110" s="0" t="n">
        <f aca="false">D1110*F1110</f>
        <v>0.625</v>
      </c>
      <c r="M1110" s="0" t="n">
        <f aca="false">E1110*F1110</f>
        <v>-0.75</v>
      </c>
      <c r="N1110" s="0" t="n">
        <f aca="false">D1110*D1110</f>
        <v>0.390625</v>
      </c>
      <c r="O1110" s="0" t="n">
        <f aca="false">E1110*E1110</f>
        <v>0.5625</v>
      </c>
      <c r="P1110" s="0" t="n">
        <f aca="false">F1110*F1110</f>
        <v>1</v>
      </c>
      <c r="Q1110" s="0" t="n">
        <f aca="false">SUMPRODUCT(G1110:P1110,_XtX!$B$71:$K$71)</f>
        <v>42.6251420454546</v>
      </c>
      <c r="R1110" s="0" t="n">
        <f aca="false">SUMPRODUCT(MMULT(G1110:P1110,_XtX!$B$58:$K$67),G1110:P1110)</f>
        <v>0.496855024857955</v>
      </c>
      <c r="S1110" s="0" t="n">
        <f aca="false">04_回帰ANOVA!$K$19*04_回帰ANOVA!$K$14*SQRT(1+R1110)</f>
        <v>1.1375133593161</v>
      </c>
      <c r="T1110" s="0" t="n">
        <f aca="false">Q1110-S1110</f>
        <v>41.4876286861385</v>
      </c>
      <c r="U1110" s="0" t="n">
        <f aca="false">Q1110+S1110</f>
        <v>43.7626554047707</v>
      </c>
      <c r="V1110" s="54" t="b">
        <f aca="false">AND(D1110&gt;=01_因子設定!$L$5-0.000000001,D1110&lt;=01_因子設定!$M$5+0.000000001,E1110&gt;=01_因子設定!$L$6-0.000000001,E1110&lt;=01_因子設定!$M$6+0.000000001,F1110&gt;=01_因子設定!$L$7-0.000000001,F1110&lt;=01_因子設定!$M$7+0.000000001,IF(01_因子設定!$B$20="Box-Behnken",D1110^2+E1110^2+F1110^2&lt;=2+0.000000001,TRUE()))</f>
        <v>1</v>
      </c>
      <c r="W1110" s="55" t="n">
        <f aca="false">IF(V1110,IF(01_因子設定!$B$13="最大化",T1110-01_因子設定!$B$14,IF(01_因子設定!$B$13="最小化",01_因子設定!$B$15-U1110,MIN(T1110-01_因子設定!$B$14,01_因子設定!$B$15-U1110))),-1E+030)</f>
        <v>-7.01237131386154</v>
      </c>
      <c r="X1110" s="55" t="n">
        <f aca="false">IF(V1110,IF(01_因子設定!$B$13="最大化",Q1110,IF(01_因子設定!$B$13="最小化",-Q1110,-ABS(Q1110-01_因子設定!$B$16))),-1E+030)</f>
        <v>42.6251420454546</v>
      </c>
      <c r="Y1110" s="55" t="n">
        <f aca="false">W1110+ROW()*0.000000001</f>
        <v>-7.01237020386154</v>
      </c>
      <c r="Z1110" s="55" t="n">
        <f aca="false">X1110+ROW()*0.000000001</f>
        <v>42.6251431554546</v>
      </c>
    </row>
    <row r="1111" customFormat="false" ht="15" hidden="false" customHeight="false" outlineLevel="0" collapsed="false">
      <c r="A1111" s="0" t="n">
        <v>3</v>
      </c>
      <c r="B1111" s="0" t="n">
        <v>14</v>
      </c>
      <c r="C1111" s="0" t="n">
        <v>1</v>
      </c>
      <c r="D1111" s="0" t="n">
        <f aca="false">-1+A1111*0.125</f>
        <v>-0.625</v>
      </c>
      <c r="E1111" s="0" t="n">
        <f aca="false">-1+B1111*0.125</f>
        <v>0.75</v>
      </c>
      <c r="F1111" s="0" t="n">
        <f aca="false">-1+C1111*0.125</f>
        <v>-0.875</v>
      </c>
      <c r="G1111" s="0" t="n">
        <f aca="false">1</f>
        <v>1</v>
      </c>
      <c r="H1111" s="0" t="n">
        <f aca="false">D1111</f>
        <v>-0.625</v>
      </c>
      <c r="I1111" s="0" t="n">
        <f aca="false">E1111</f>
        <v>0.75</v>
      </c>
      <c r="J1111" s="0" t="n">
        <f aca="false">F1111</f>
        <v>-0.875</v>
      </c>
      <c r="K1111" s="0" t="n">
        <f aca="false">D1111*E1111</f>
        <v>-0.46875</v>
      </c>
      <c r="L1111" s="0" t="n">
        <f aca="false">D1111*F1111</f>
        <v>0.546875</v>
      </c>
      <c r="M1111" s="0" t="n">
        <f aca="false">E1111*F1111</f>
        <v>-0.65625</v>
      </c>
      <c r="N1111" s="0" t="n">
        <f aca="false">D1111*D1111</f>
        <v>0.390625</v>
      </c>
      <c r="O1111" s="0" t="n">
        <f aca="false">E1111*E1111</f>
        <v>0.5625</v>
      </c>
      <c r="P1111" s="0" t="n">
        <f aca="false">F1111*F1111</f>
        <v>0.765625</v>
      </c>
      <c r="Q1111" s="0" t="n">
        <f aca="false">SUMPRODUCT(G1111:P1111,_XtX!$B$71:$K$71)</f>
        <v>43.1274715909091</v>
      </c>
      <c r="R1111" s="0" t="n">
        <f aca="false">SUMPRODUCT(MMULT(G1111:P1111,_XtX!$B$58:$K$67),G1111:P1111)</f>
        <v>0.377245538884943</v>
      </c>
      <c r="S1111" s="0" t="n">
        <f aca="false">04_回帰ANOVA!$K$19*04_回帰ANOVA!$K$14*SQRT(1+R1111)</f>
        <v>1.09111951468927</v>
      </c>
      <c r="T1111" s="0" t="n">
        <f aca="false">Q1111-S1111</f>
        <v>42.0363520762198</v>
      </c>
      <c r="U1111" s="0" t="n">
        <f aca="false">Q1111+S1111</f>
        <v>44.2185911055984</v>
      </c>
      <c r="V1111" s="54" t="b">
        <f aca="false">AND(D1111&gt;=01_因子設定!$L$5-0.000000001,D1111&lt;=01_因子設定!$M$5+0.000000001,E1111&gt;=01_因子設定!$L$6-0.000000001,E1111&lt;=01_因子設定!$M$6+0.000000001,F1111&gt;=01_因子設定!$L$7-0.000000001,F1111&lt;=01_因子設定!$M$7+0.000000001,IF(01_因子設定!$B$20="Box-Behnken",D1111^2+E1111^2+F1111^2&lt;=2+0.000000001,TRUE()))</f>
        <v>1</v>
      </c>
      <c r="W1111" s="55" t="n">
        <f aca="false">IF(V1111,IF(01_因子設定!$B$13="最大化",T1111-01_因子設定!$B$14,IF(01_因子設定!$B$13="最小化",01_因子設定!$B$15-U1111,MIN(T1111-01_因子設定!$B$14,01_因子設定!$B$15-U1111))),-1E+030)</f>
        <v>-6.46364792378017</v>
      </c>
      <c r="X1111" s="55" t="n">
        <f aca="false">IF(V1111,IF(01_因子設定!$B$13="最大化",Q1111,IF(01_因子設定!$B$13="最小化",-Q1111,-ABS(Q1111-01_因子設定!$B$16))),-1E+030)</f>
        <v>43.1274715909091</v>
      </c>
      <c r="Y1111" s="55" t="n">
        <f aca="false">W1111+ROW()*0.000000001</f>
        <v>-6.46364681278017</v>
      </c>
      <c r="Z1111" s="55" t="n">
        <f aca="false">X1111+ROW()*0.000000001</f>
        <v>43.1274727019091</v>
      </c>
    </row>
    <row r="1112" customFormat="false" ht="15" hidden="false" customHeight="false" outlineLevel="0" collapsed="false">
      <c r="A1112" s="0" t="n">
        <v>3</v>
      </c>
      <c r="B1112" s="0" t="n">
        <v>14</v>
      </c>
      <c r="C1112" s="0" t="n">
        <v>2</v>
      </c>
      <c r="D1112" s="0" t="n">
        <f aca="false">-1+A1112*0.125</f>
        <v>-0.625</v>
      </c>
      <c r="E1112" s="0" t="n">
        <f aca="false">-1+B1112*0.125</f>
        <v>0.75</v>
      </c>
      <c r="F1112" s="0" t="n">
        <f aca="false">-1+C1112*0.125</f>
        <v>-0.75</v>
      </c>
      <c r="G1112" s="0" t="n">
        <f aca="false">1</f>
        <v>1</v>
      </c>
      <c r="H1112" s="0" t="n">
        <f aca="false">D1112</f>
        <v>-0.625</v>
      </c>
      <c r="I1112" s="0" t="n">
        <f aca="false">E1112</f>
        <v>0.75</v>
      </c>
      <c r="J1112" s="0" t="n">
        <f aca="false">F1112</f>
        <v>-0.75</v>
      </c>
      <c r="K1112" s="0" t="n">
        <f aca="false">D1112*E1112</f>
        <v>-0.46875</v>
      </c>
      <c r="L1112" s="0" t="n">
        <f aca="false">D1112*F1112</f>
        <v>0.46875</v>
      </c>
      <c r="M1112" s="0" t="n">
        <f aca="false">E1112*F1112</f>
        <v>-0.5625</v>
      </c>
      <c r="N1112" s="0" t="n">
        <f aca="false">D1112*D1112</f>
        <v>0.390625</v>
      </c>
      <c r="O1112" s="0" t="n">
        <f aca="false">E1112*E1112</f>
        <v>0.5625</v>
      </c>
      <c r="P1112" s="0" t="n">
        <f aca="false">F1112*F1112</f>
        <v>0.5625</v>
      </c>
      <c r="Q1112" s="0" t="n">
        <f aca="false">SUMPRODUCT(G1112:P1112,_XtX!$B$71:$K$71)</f>
        <v>43.5930113636364</v>
      </c>
      <c r="R1112" s="0" t="n">
        <f aca="false">SUMPRODUCT(MMULT(G1112:P1112,_XtX!$B$58:$K$67),G1112:P1112)</f>
        <v>0.305899325284091</v>
      </c>
      <c r="S1112" s="0" t="n">
        <f aca="false">04_回帰ANOVA!$K$19*04_回帰ANOVA!$K$14*SQRT(1+R1112)</f>
        <v>1.06248176416816</v>
      </c>
      <c r="T1112" s="0" t="n">
        <f aca="false">Q1112-S1112</f>
        <v>42.5305295994682</v>
      </c>
      <c r="U1112" s="0" t="n">
        <f aca="false">Q1112+S1112</f>
        <v>44.6554931278045</v>
      </c>
      <c r="V1112" s="54" t="b">
        <f aca="false">AND(D1112&gt;=01_因子設定!$L$5-0.000000001,D1112&lt;=01_因子設定!$M$5+0.000000001,E1112&gt;=01_因子設定!$L$6-0.000000001,E1112&lt;=01_因子設定!$M$6+0.000000001,F1112&gt;=01_因子設定!$L$7-0.000000001,F1112&lt;=01_因子設定!$M$7+0.000000001,IF(01_因子設定!$B$20="Box-Behnken",D1112^2+E1112^2+F1112^2&lt;=2+0.000000001,TRUE()))</f>
        <v>1</v>
      </c>
      <c r="W1112" s="55" t="n">
        <f aca="false">IF(V1112,IF(01_因子設定!$B$13="最大化",T1112-01_因子設定!$B$14,IF(01_因子設定!$B$13="最小化",01_因子設定!$B$15-U1112,MIN(T1112-01_因子設定!$B$14,01_因子設定!$B$15-U1112))),-1E+030)</f>
        <v>-5.96947040053178</v>
      </c>
      <c r="X1112" s="55" t="n">
        <f aca="false">IF(V1112,IF(01_因子設定!$B$13="最大化",Q1112,IF(01_因子設定!$B$13="最小化",-Q1112,-ABS(Q1112-01_因子設定!$B$16))),-1E+030)</f>
        <v>43.5930113636364</v>
      </c>
      <c r="Y1112" s="55" t="n">
        <f aca="false">W1112+ROW()*0.000000001</f>
        <v>-5.96946928853178</v>
      </c>
      <c r="Z1112" s="55" t="n">
        <f aca="false">X1112+ROW()*0.000000001</f>
        <v>43.5930124756364</v>
      </c>
    </row>
    <row r="1113" customFormat="false" ht="15" hidden="false" customHeight="false" outlineLevel="0" collapsed="false">
      <c r="A1113" s="0" t="n">
        <v>3</v>
      </c>
      <c r="B1113" s="0" t="n">
        <v>14</v>
      </c>
      <c r="C1113" s="0" t="n">
        <v>3</v>
      </c>
      <c r="D1113" s="0" t="n">
        <f aca="false">-1+A1113*0.125</f>
        <v>-0.625</v>
      </c>
      <c r="E1113" s="0" t="n">
        <f aca="false">-1+B1113*0.125</f>
        <v>0.75</v>
      </c>
      <c r="F1113" s="0" t="n">
        <f aca="false">-1+C1113*0.125</f>
        <v>-0.625</v>
      </c>
      <c r="G1113" s="0" t="n">
        <f aca="false">1</f>
        <v>1</v>
      </c>
      <c r="H1113" s="0" t="n">
        <f aca="false">D1113</f>
        <v>-0.625</v>
      </c>
      <c r="I1113" s="0" t="n">
        <f aca="false">E1113</f>
        <v>0.75</v>
      </c>
      <c r="J1113" s="0" t="n">
        <f aca="false">F1113</f>
        <v>-0.625</v>
      </c>
      <c r="K1113" s="0" t="n">
        <f aca="false">D1113*E1113</f>
        <v>-0.46875</v>
      </c>
      <c r="L1113" s="0" t="n">
        <f aca="false">D1113*F1113</f>
        <v>0.390625</v>
      </c>
      <c r="M1113" s="0" t="n">
        <f aca="false">E1113*F1113</f>
        <v>-0.46875</v>
      </c>
      <c r="N1113" s="0" t="n">
        <f aca="false">D1113*D1113</f>
        <v>0.390625</v>
      </c>
      <c r="O1113" s="0" t="n">
        <f aca="false">E1113*E1113</f>
        <v>0.5625</v>
      </c>
      <c r="P1113" s="0" t="n">
        <f aca="false">F1113*F1113</f>
        <v>0.390625</v>
      </c>
      <c r="Q1113" s="0" t="n">
        <f aca="false">SUMPRODUCT(G1113:P1113,_XtX!$B$71:$K$71)</f>
        <v>44.0217613636364</v>
      </c>
      <c r="R1113" s="0" t="n">
        <f aca="false">SUMPRODUCT(MMULT(G1113:P1113,_XtX!$B$58:$K$67),G1113:P1113)</f>
        <v>0.268966952237216</v>
      </c>
      <c r="S1113" s="0" t="n">
        <f aca="false">04_回帰ANOVA!$K$19*04_回帰ANOVA!$K$14*SQRT(1+R1113)</f>
        <v>1.04734989137801</v>
      </c>
      <c r="T1113" s="0" t="n">
        <f aca="false">Q1113-S1113</f>
        <v>42.9744114722584</v>
      </c>
      <c r="U1113" s="0" t="n">
        <f aca="false">Q1113+S1113</f>
        <v>45.0691112550144</v>
      </c>
      <c r="V1113" s="54" t="b">
        <f aca="false">AND(D1113&gt;=01_因子設定!$L$5-0.000000001,D1113&lt;=01_因子設定!$M$5+0.000000001,E1113&gt;=01_因子設定!$L$6-0.000000001,E1113&lt;=01_因子設定!$M$6+0.000000001,F1113&gt;=01_因子設定!$L$7-0.000000001,F1113&lt;=01_因子設定!$M$7+0.000000001,IF(01_因子設定!$B$20="Box-Behnken",D1113^2+E1113^2+F1113^2&lt;=2+0.000000001,TRUE()))</f>
        <v>1</v>
      </c>
      <c r="W1113" s="55" t="n">
        <f aca="false">IF(V1113,IF(01_因子設定!$B$13="最大化",T1113-01_因子設定!$B$14,IF(01_因子設定!$B$13="最小化",01_因子設定!$B$15-U1113,MIN(T1113-01_因子設定!$B$14,01_因子設定!$B$15-U1113))),-1E+030)</f>
        <v>-5.52558852774164</v>
      </c>
      <c r="X1113" s="55" t="n">
        <f aca="false">IF(V1113,IF(01_因子設定!$B$13="最大化",Q1113,IF(01_因子設定!$B$13="最小化",-Q1113,-ABS(Q1113-01_因子設定!$B$16))),-1E+030)</f>
        <v>44.0217613636364</v>
      </c>
      <c r="Y1113" s="55" t="n">
        <f aca="false">W1113+ROW()*0.000000001</f>
        <v>-5.52558741474164</v>
      </c>
      <c r="Z1113" s="55" t="n">
        <f aca="false">X1113+ROW()*0.000000001</f>
        <v>44.0217624766364</v>
      </c>
    </row>
    <row r="1114" customFormat="false" ht="15" hidden="false" customHeight="false" outlineLevel="0" collapsed="false">
      <c r="A1114" s="0" t="n">
        <v>3</v>
      </c>
      <c r="B1114" s="0" t="n">
        <v>14</v>
      </c>
      <c r="C1114" s="0" t="n">
        <v>4</v>
      </c>
      <c r="D1114" s="0" t="n">
        <f aca="false">-1+A1114*0.125</f>
        <v>-0.625</v>
      </c>
      <c r="E1114" s="0" t="n">
        <f aca="false">-1+B1114*0.125</f>
        <v>0.75</v>
      </c>
      <c r="F1114" s="0" t="n">
        <f aca="false">-1+C1114*0.125</f>
        <v>-0.5</v>
      </c>
      <c r="G1114" s="0" t="n">
        <f aca="false">1</f>
        <v>1</v>
      </c>
      <c r="H1114" s="0" t="n">
        <f aca="false">D1114</f>
        <v>-0.625</v>
      </c>
      <c r="I1114" s="0" t="n">
        <f aca="false">E1114</f>
        <v>0.75</v>
      </c>
      <c r="J1114" s="0" t="n">
        <f aca="false">F1114</f>
        <v>-0.5</v>
      </c>
      <c r="K1114" s="0" t="n">
        <f aca="false">D1114*E1114</f>
        <v>-0.46875</v>
      </c>
      <c r="L1114" s="0" t="n">
        <f aca="false">D1114*F1114</f>
        <v>0.3125</v>
      </c>
      <c r="M1114" s="0" t="n">
        <f aca="false">E1114*F1114</f>
        <v>-0.375</v>
      </c>
      <c r="N1114" s="0" t="n">
        <f aca="false">D1114*D1114</f>
        <v>0.390625</v>
      </c>
      <c r="O1114" s="0" t="n">
        <f aca="false">E1114*E1114</f>
        <v>0.5625</v>
      </c>
      <c r="P1114" s="0" t="n">
        <f aca="false">F1114*F1114</f>
        <v>0.25</v>
      </c>
      <c r="Q1114" s="0" t="n">
        <f aca="false">SUMPRODUCT(G1114:P1114,_XtX!$B$71:$K$71)</f>
        <v>44.4137215909091</v>
      </c>
      <c r="R1114" s="0" t="n">
        <f aca="false">SUMPRODUCT(MMULT(G1114:P1114,_XtX!$B$58:$K$67),G1114:P1114)</f>
        <v>0.254729669744318</v>
      </c>
      <c r="S1114" s="0" t="n">
        <f aca="false">04_回帰ANOVA!$K$19*04_回帰ANOVA!$K$14*SQRT(1+R1114)</f>
        <v>1.04145790281631</v>
      </c>
      <c r="T1114" s="0" t="n">
        <f aca="false">Q1114-S1114</f>
        <v>43.3722636880928</v>
      </c>
      <c r="U1114" s="0" t="n">
        <f aca="false">Q1114+S1114</f>
        <v>45.4551794937254</v>
      </c>
      <c r="V1114" s="54" t="b">
        <f aca="false">AND(D1114&gt;=01_因子設定!$L$5-0.000000001,D1114&lt;=01_因子設定!$M$5+0.000000001,E1114&gt;=01_因子設定!$L$6-0.000000001,E1114&lt;=01_因子設定!$M$6+0.000000001,F1114&gt;=01_因子設定!$L$7-0.000000001,F1114&lt;=01_因子設定!$M$7+0.000000001,IF(01_因子設定!$B$20="Box-Behnken",D1114^2+E1114^2+F1114^2&lt;=2+0.000000001,TRUE()))</f>
        <v>1</v>
      </c>
      <c r="W1114" s="55" t="n">
        <f aca="false">IF(V1114,IF(01_因子設定!$B$13="最大化",T1114-01_因子設定!$B$14,IF(01_因子設定!$B$13="最小化",01_因子設定!$B$15-U1114,MIN(T1114-01_因子設定!$B$14,01_因子設定!$B$15-U1114))),-1E+030)</f>
        <v>-5.12773631190721</v>
      </c>
      <c r="X1114" s="55" t="n">
        <f aca="false">IF(V1114,IF(01_因子設定!$B$13="最大化",Q1114,IF(01_因子設定!$B$13="最小化",-Q1114,-ABS(Q1114-01_因子設定!$B$16))),-1E+030)</f>
        <v>44.4137215909091</v>
      </c>
      <c r="Y1114" s="55" t="n">
        <f aca="false">W1114+ROW()*0.000000001</f>
        <v>-5.12773519790721</v>
      </c>
      <c r="Z1114" s="55" t="n">
        <f aca="false">X1114+ROW()*0.000000001</f>
        <v>44.4137227049091</v>
      </c>
    </row>
    <row r="1115" customFormat="false" ht="15" hidden="false" customHeight="false" outlineLevel="0" collapsed="false">
      <c r="A1115" s="0" t="n">
        <v>3</v>
      </c>
      <c r="B1115" s="0" t="n">
        <v>14</v>
      </c>
      <c r="C1115" s="0" t="n">
        <v>5</v>
      </c>
      <c r="D1115" s="0" t="n">
        <f aca="false">-1+A1115*0.125</f>
        <v>-0.625</v>
      </c>
      <c r="E1115" s="0" t="n">
        <f aca="false">-1+B1115*0.125</f>
        <v>0.75</v>
      </c>
      <c r="F1115" s="0" t="n">
        <f aca="false">-1+C1115*0.125</f>
        <v>-0.375</v>
      </c>
      <c r="G1115" s="0" t="n">
        <f aca="false">1</f>
        <v>1</v>
      </c>
      <c r="H1115" s="0" t="n">
        <f aca="false">D1115</f>
        <v>-0.625</v>
      </c>
      <c r="I1115" s="0" t="n">
        <f aca="false">E1115</f>
        <v>0.75</v>
      </c>
      <c r="J1115" s="0" t="n">
        <f aca="false">F1115</f>
        <v>-0.375</v>
      </c>
      <c r="K1115" s="0" t="n">
        <f aca="false">D1115*E1115</f>
        <v>-0.46875</v>
      </c>
      <c r="L1115" s="0" t="n">
        <f aca="false">D1115*F1115</f>
        <v>0.234375</v>
      </c>
      <c r="M1115" s="0" t="n">
        <f aca="false">E1115*F1115</f>
        <v>-0.28125</v>
      </c>
      <c r="N1115" s="0" t="n">
        <f aca="false">D1115*D1115</f>
        <v>0.390625</v>
      </c>
      <c r="O1115" s="0" t="n">
        <f aca="false">E1115*E1115</f>
        <v>0.5625</v>
      </c>
      <c r="P1115" s="0" t="n">
        <f aca="false">F1115*F1115</f>
        <v>0.140625</v>
      </c>
      <c r="Q1115" s="0" t="n">
        <f aca="false">SUMPRODUCT(G1115:P1115,_XtX!$B$71:$K$71)</f>
        <v>44.7688920454546</v>
      </c>
      <c r="R1115" s="0" t="n">
        <f aca="false">SUMPRODUCT(MMULT(G1115:P1115,_XtX!$B$58:$K$67),G1115:P1115)</f>
        <v>0.25359940962358</v>
      </c>
      <c r="S1115" s="0" t="n">
        <f aca="false">04_回帰ANOVA!$K$19*04_回帰ANOVA!$K$14*SQRT(1+R1115)</f>
        <v>1.04098872464599</v>
      </c>
      <c r="T1115" s="0" t="n">
        <f aca="false">Q1115-S1115</f>
        <v>43.7279033208086</v>
      </c>
      <c r="U1115" s="0" t="n">
        <f aca="false">Q1115+S1115</f>
        <v>45.8098807701005</v>
      </c>
      <c r="V1115" s="54" t="b">
        <f aca="false">AND(D1115&gt;=01_因子設定!$L$5-0.000000001,D1115&lt;=01_因子設定!$M$5+0.000000001,E1115&gt;=01_因子設定!$L$6-0.000000001,E1115&lt;=01_因子設定!$M$6+0.000000001,F1115&gt;=01_因子設定!$L$7-0.000000001,F1115&lt;=01_因子設定!$M$7+0.000000001,IF(01_因子設定!$B$20="Box-Behnken",D1115^2+E1115^2+F1115^2&lt;=2+0.000000001,TRUE()))</f>
        <v>1</v>
      </c>
      <c r="W1115" s="55" t="n">
        <f aca="false">IF(V1115,IF(01_因子設定!$B$13="最大化",T1115-01_因子設定!$B$14,IF(01_因子設定!$B$13="最小化",01_因子設定!$B$15-U1115,MIN(T1115-01_因子設定!$B$14,01_因子設定!$B$15-U1115))),-1E+030)</f>
        <v>-4.77209667919144</v>
      </c>
      <c r="X1115" s="55" t="n">
        <f aca="false">IF(V1115,IF(01_因子設定!$B$13="最大化",Q1115,IF(01_因子設定!$B$13="最小化",-Q1115,-ABS(Q1115-01_因子設定!$B$16))),-1E+030)</f>
        <v>44.7688920454546</v>
      </c>
      <c r="Y1115" s="55" t="n">
        <f aca="false">W1115+ROW()*0.000000001</f>
        <v>-4.77209556419144</v>
      </c>
      <c r="Z1115" s="55" t="n">
        <f aca="false">X1115+ROW()*0.000000001</f>
        <v>44.7688931604546</v>
      </c>
    </row>
    <row r="1116" customFormat="false" ht="15" hidden="false" customHeight="false" outlineLevel="0" collapsed="false">
      <c r="A1116" s="0" t="n">
        <v>3</v>
      </c>
      <c r="B1116" s="0" t="n">
        <v>14</v>
      </c>
      <c r="C1116" s="0" t="n">
        <v>6</v>
      </c>
      <c r="D1116" s="0" t="n">
        <f aca="false">-1+A1116*0.125</f>
        <v>-0.625</v>
      </c>
      <c r="E1116" s="0" t="n">
        <f aca="false">-1+B1116*0.125</f>
        <v>0.75</v>
      </c>
      <c r="F1116" s="0" t="n">
        <f aca="false">-1+C1116*0.125</f>
        <v>-0.25</v>
      </c>
      <c r="G1116" s="0" t="n">
        <f aca="false">1</f>
        <v>1</v>
      </c>
      <c r="H1116" s="0" t="n">
        <f aca="false">D1116</f>
        <v>-0.625</v>
      </c>
      <c r="I1116" s="0" t="n">
        <f aca="false">E1116</f>
        <v>0.75</v>
      </c>
      <c r="J1116" s="0" t="n">
        <f aca="false">F1116</f>
        <v>-0.25</v>
      </c>
      <c r="K1116" s="0" t="n">
        <f aca="false">D1116*E1116</f>
        <v>-0.46875</v>
      </c>
      <c r="L1116" s="0" t="n">
        <f aca="false">D1116*F1116</f>
        <v>0.15625</v>
      </c>
      <c r="M1116" s="0" t="n">
        <f aca="false">E1116*F1116</f>
        <v>-0.1875</v>
      </c>
      <c r="N1116" s="0" t="n">
        <f aca="false">D1116*D1116</f>
        <v>0.390625</v>
      </c>
      <c r="O1116" s="0" t="n">
        <f aca="false">E1116*E1116</f>
        <v>0.5625</v>
      </c>
      <c r="P1116" s="0" t="n">
        <f aca="false">F1116*F1116</f>
        <v>0.0625</v>
      </c>
      <c r="Q1116" s="0" t="n">
        <f aca="false">SUMPRODUCT(G1116:P1116,_XtX!$B$71:$K$71)</f>
        <v>45.0872727272727</v>
      </c>
      <c r="R1116" s="0" t="n">
        <f aca="false">SUMPRODUCT(MMULT(G1116:P1116,_XtX!$B$58:$K$67),G1116:P1116)</f>
        <v>0.258118785511364</v>
      </c>
      <c r="S1116" s="0" t="n">
        <f aca="false">04_回帰ANOVA!$K$19*04_回帰ANOVA!$K$14*SQRT(1+R1116)</f>
        <v>1.04286348094876</v>
      </c>
      <c r="T1116" s="0" t="n">
        <f aca="false">Q1116-S1116</f>
        <v>44.044409246324</v>
      </c>
      <c r="U1116" s="0" t="n">
        <f aca="false">Q1116+S1116</f>
        <v>46.1301362082215</v>
      </c>
      <c r="V1116" s="54" t="b">
        <f aca="false">AND(D1116&gt;=01_因子設定!$L$5-0.000000001,D1116&lt;=01_因子設定!$M$5+0.000000001,E1116&gt;=01_因子設定!$L$6-0.000000001,E1116&lt;=01_因子設定!$M$6+0.000000001,F1116&gt;=01_因子設定!$L$7-0.000000001,F1116&lt;=01_因子設定!$M$7+0.000000001,IF(01_因子設定!$B$20="Box-Behnken",D1116^2+E1116^2+F1116^2&lt;=2+0.000000001,TRUE()))</f>
        <v>1</v>
      </c>
      <c r="W1116" s="55" t="n">
        <f aca="false">IF(V1116,IF(01_因子設定!$B$13="最大化",T1116-01_因子設定!$B$14,IF(01_因子設定!$B$13="最小化",01_因子設定!$B$15-U1116,MIN(T1116-01_因子設定!$B$14,01_因子設定!$B$15-U1116))),-1E+030)</f>
        <v>-4.45559075367603</v>
      </c>
      <c r="X1116" s="55" t="n">
        <f aca="false">IF(V1116,IF(01_因子設定!$B$13="最大化",Q1116,IF(01_因子設定!$B$13="最小化",-Q1116,-ABS(Q1116-01_因子設定!$B$16))),-1E+030)</f>
        <v>45.0872727272727</v>
      </c>
      <c r="Y1116" s="55" t="n">
        <f aca="false">W1116+ROW()*0.000000001</f>
        <v>-4.45558963767603</v>
      </c>
      <c r="Z1116" s="55" t="n">
        <f aca="false">X1116+ROW()*0.000000001</f>
        <v>45.0872738432727</v>
      </c>
    </row>
    <row r="1117" customFormat="false" ht="15" hidden="false" customHeight="false" outlineLevel="0" collapsed="false">
      <c r="A1117" s="0" t="n">
        <v>3</v>
      </c>
      <c r="B1117" s="0" t="n">
        <v>14</v>
      </c>
      <c r="C1117" s="0" t="n">
        <v>7</v>
      </c>
      <c r="D1117" s="0" t="n">
        <f aca="false">-1+A1117*0.125</f>
        <v>-0.625</v>
      </c>
      <c r="E1117" s="0" t="n">
        <f aca="false">-1+B1117*0.125</f>
        <v>0.75</v>
      </c>
      <c r="F1117" s="0" t="n">
        <f aca="false">-1+C1117*0.125</f>
        <v>-0.125</v>
      </c>
      <c r="G1117" s="0" t="n">
        <f aca="false">1</f>
        <v>1</v>
      </c>
      <c r="H1117" s="0" t="n">
        <f aca="false">D1117</f>
        <v>-0.625</v>
      </c>
      <c r="I1117" s="0" t="n">
        <f aca="false">E1117</f>
        <v>0.75</v>
      </c>
      <c r="J1117" s="0" t="n">
        <f aca="false">F1117</f>
        <v>-0.125</v>
      </c>
      <c r="K1117" s="0" t="n">
        <f aca="false">D1117*E1117</f>
        <v>-0.46875</v>
      </c>
      <c r="L1117" s="0" t="n">
        <f aca="false">D1117*F1117</f>
        <v>0.078125</v>
      </c>
      <c r="M1117" s="0" t="n">
        <f aca="false">E1117*F1117</f>
        <v>-0.09375</v>
      </c>
      <c r="N1117" s="0" t="n">
        <f aca="false">D1117*D1117</f>
        <v>0.390625</v>
      </c>
      <c r="O1117" s="0" t="n">
        <f aca="false">E1117*E1117</f>
        <v>0.5625</v>
      </c>
      <c r="P1117" s="0" t="n">
        <f aca="false">F1117*F1117</f>
        <v>0.015625</v>
      </c>
      <c r="Q1117" s="0" t="n">
        <f aca="false">SUMPRODUCT(G1117:P1117,_XtX!$B$71:$K$71)</f>
        <v>45.3688636363636</v>
      </c>
      <c r="R1117" s="0" t="n">
        <f aca="false">SUMPRODUCT(MMULT(G1117:P1117,_XtX!$B$58:$K$67),G1117:P1117)</f>
        <v>0.262961092862216</v>
      </c>
      <c r="S1117" s="0" t="n">
        <f aca="false">04_回帰ANOVA!$K$19*04_回帰ANOVA!$K$14*SQRT(1+R1117)</f>
        <v>1.04486846483649</v>
      </c>
      <c r="T1117" s="0" t="n">
        <f aca="false">Q1117-S1117</f>
        <v>44.3239951715272</v>
      </c>
      <c r="U1117" s="0" t="n">
        <f aca="false">Q1117+S1117</f>
        <v>46.4137321012001</v>
      </c>
      <c r="V1117" s="54" t="b">
        <f aca="false">AND(D1117&gt;=01_因子設定!$L$5-0.000000001,D1117&lt;=01_因子設定!$M$5+0.000000001,E1117&gt;=01_因子設定!$L$6-0.000000001,E1117&lt;=01_因子設定!$M$6+0.000000001,F1117&gt;=01_因子設定!$L$7-0.000000001,F1117&lt;=01_因子設定!$M$7+0.000000001,IF(01_因子設定!$B$20="Box-Behnken",D1117^2+E1117^2+F1117^2&lt;=2+0.000000001,TRUE()))</f>
        <v>1</v>
      </c>
      <c r="W1117" s="55" t="n">
        <f aca="false">IF(V1117,IF(01_因子設定!$B$13="最大化",T1117-01_因子設定!$B$14,IF(01_因子設定!$B$13="最小化",01_因子設定!$B$15-U1117,MIN(T1117-01_因子設定!$B$14,01_因子設定!$B$15-U1117))),-1E+030)</f>
        <v>-4.17600482847284</v>
      </c>
      <c r="X1117" s="55" t="n">
        <f aca="false">IF(V1117,IF(01_因子設定!$B$13="最大化",Q1117,IF(01_因子設定!$B$13="最小化",-Q1117,-ABS(Q1117-01_因子設定!$B$16))),-1E+030)</f>
        <v>45.3688636363636</v>
      </c>
      <c r="Y1117" s="55" t="n">
        <f aca="false">W1117+ROW()*0.000000001</f>
        <v>-4.17600371147284</v>
      </c>
      <c r="Z1117" s="55" t="n">
        <f aca="false">X1117+ROW()*0.000000001</f>
        <v>45.3688647533636</v>
      </c>
    </row>
    <row r="1118" customFormat="false" ht="15" hidden="false" customHeight="false" outlineLevel="0" collapsed="false">
      <c r="A1118" s="0" t="n">
        <v>3</v>
      </c>
      <c r="B1118" s="0" t="n">
        <v>14</v>
      </c>
      <c r="C1118" s="0" t="n">
        <v>8</v>
      </c>
      <c r="D1118" s="0" t="n">
        <f aca="false">-1+A1118*0.125</f>
        <v>-0.625</v>
      </c>
      <c r="E1118" s="0" t="n">
        <f aca="false">-1+B1118*0.125</f>
        <v>0.75</v>
      </c>
      <c r="F1118" s="0" t="n">
        <f aca="false">-1+C1118*0.125</f>
        <v>0</v>
      </c>
      <c r="G1118" s="0" t="n">
        <f aca="false">1</f>
        <v>1</v>
      </c>
      <c r="H1118" s="0" t="n">
        <f aca="false">D1118</f>
        <v>-0.625</v>
      </c>
      <c r="I1118" s="0" t="n">
        <f aca="false">E1118</f>
        <v>0.75</v>
      </c>
      <c r="J1118" s="0" t="n">
        <f aca="false">F1118</f>
        <v>0</v>
      </c>
      <c r="K1118" s="0" t="n">
        <f aca="false">D1118*E1118</f>
        <v>-0.46875</v>
      </c>
      <c r="L1118" s="0" t="n">
        <f aca="false">D1118*F1118</f>
        <v>-0</v>
      </c>
      <c r="M1118" s="0" t="n">
        <f aca="false">E1118*F1118</f>
        <v>0</v>
      </c>
      <c r="N1118" s="0" t="n">
        <f aca="false">D1118*D1118</f>
        <v>0.390625</v>
      </c>
      <c r="O1118" s="0" t="n">
        <f aca="false">E1118*E1118</f>
        <v>0.5625</v>
      </c>
      <c r="P1118" s="0" t="n">
        <f aca="false">F1118*F1118</f>
        <v>0</v>
      </c>
      <c r="Q1118" s="0" t="n">
        <f aca="false">SUMPRODUCT(G1118:P1118,_XtX!$B$71:$K$71)</f>
        <v>45.6136647727273</v>
      </c>
      <c r="R1118" s="0" t="n">
        <f aca="false">SUMPRODUCT(MMULT(G1118:P1118,_XtX!$B$58:$K$67),G1118:P1118)</f>
        <v>0.264930308948864</v>
      </c>
      <c r="S1118" s="0" t="n">
        <f aca="false">04_回帰ANOVA!$K$19*04_回帰ANOVA!$K$14*SQRT(1+R1118)</f>
        <v>1.04568272997153</v>
      </c>
      <c r="T1118" s="0" t="n">
        <f aca="false">Q1118-S1118</f>
        <v>44.5679820427558</v>
      </c>
      <c r="U1118" s="0" t="n">
        <f aca="false">Q1118+S1118</f>
        <v>46.6593475026988</v>
      </c>
      <c r="V1118" s="54" t="b">
        <f aca="false">AND(D1118&gt;=01_因子設定!$L$5-0.000000001,D1118&lt;=01_因子設定!$M$5+0.000000001,E1118&gt;=01_因子設定!$L$6-0.000000001,E1118&lt;=01_因子設定!$M$6+0.000000001,F1118&gt;=01_因子設定!$L$7-0.000000001,F1118&lt;=01_因子設定!$M$7+0.000000001,IF(01_因子設定!$B$20="Box-Behnken",D1118^2+E1118^2+F1118^2&lt;=2+0.000000001,TRUE()))</f>
        <v>1</v>
      </c>
      <c r="W1118" s="55" t="n">
        <f aca="false">IF(V1118,IF(01_因子設定!$B$13="最大化",T1118-01_因子設定!$B$14,IF(01_因子設定!$B$13="最小化",01_因子設定!$B$15-U1118,MIN(T1118-01_因子設定!$B$14,01_因子設定!$B$15-U1118))),-1E+030)</f>
        <v>-3.93201795724425</v>
      </c>
      <c r="X1118" s="55" t="n">
        <f aca="false">IF(V1118,IF(01_因子設定!$B$13="最大化",Q1118,IF(01_因子設定!$B$13="最小化",-Q1118,-ABS(Q1118-01_因子設定!$B$16))),-1E+030)</f>
        <v>45.6136647727273</v>
      </c>
      <c r="Y1118" s="55" t="n">
        <f aca="false">W1118+ROW()*0.000000001</f>
        <v>-3.93201683924425</v>
      </c>
      <c r="Z1118" s="55" t="n">
        <f aca="false">X1118+ROW()*0.000000001</f>
        <v>45.6136658907273</v>
      </c>
    </row>
    <row r="1119" customFormat="false" ht="15" hidden="false" customHeight="false" outlineLevel="0" collapsed="false">
      <c r="A1119" s="0" t="n">
        <v>3</v>
      </c>
      <c r="B1119" s="0" t="n">
        <v>14</v>
      </c>
      <c r="C1119" s="0" t="n">
        <v>9</v>
      </c>
      <c r="D1119" s="0" t="n">
        <f aca="false">-1+A1119*0.125</f>
        <v>-0.625</v>
      </c>
      <c r="E1119" s="0" t="n">
        <f aca="false">-1+B1119*0.125</f>
        <v>0.75</v>
      </c>
      <c r="F1119" s="0" t="n">
        <f aca="false">-1+C1119*0.125</f>
        <v>0.125</v>
      </c>
      <c r="G1119" s="0" t="n">
        <f aca="false">1</f>
        <v>1</v>
      </c>
      <c r="H1119" s="0" t="n">
        <f aca="false">D1119</f>
        <v>-0.625</v>
      </c>
      <c r="I1119" s="0" t="n">
        <f aca="false">E1119</f>
        <v>0.75</v>
      </c>
      <c r="J1119" s="0" t="n">
        <f aca="false">F1119</f>
        <v>0.125</v>
      </c>
      <c r="K1119" s="0" t="n">
        <f aca="false">D1119*E1119</f>
        <v>-0.46875</v>
      </c>
      <c r="L1119" s="0" t="n">
        <f aca="false">D1119*F1119</f>
        <v>-0.078125</v>
      </c>
      <c r="M1119" s="0" t="n">
        <f aca="false">E1119*F1119</f>
        <v>0.09375</v>
      </c>
      <c r="N1119" s="0" t="n">
        <f aca="false">D1119*D1119</f>
        <v>0.390625</v>
      </c>
      <c r="O1119" s="0" t="n">
        <f aca="false">E1119*E1119</f>
        <v>0.5625</v>
      </c>
      <c r="P1119" s="0" t="n">
        <f aca="false">F1119*F1119</f>
        <v>0.015625</v>
      </c>
      <c r="Q1119" s="0" t="n">
        <f aca="false">SUMPRODUCT(G1119:P1119,_XtX!$B$71:$K$71)</f>
        <v>45.8216761363636</v>
      </c>
      <c r="R1119" s="0" t="n">
        <f aca="false">SUMPRODUCT(MMULT(G1119:P1119,_XtX!$B$58:$K$67),G1119:P1119)</f>
        <v>0.262961092862216</v>
      </c>
      <c r="S1119" s="0" t="n">
        <f aca="false">04_回帰ANOVA!$K$19*04_回帰ANOVA!$K$14*SQRT(1+R1119)</f>
        <v>1.04486846483649</v>
      </c>
      <c r="T1119" s="0" t="n">
        <f aca="false">Q1119-S1119</f>
        <v>44.7768076715272</v>
      </c>
      <c r="U1119" s="0" t="n">
        <f aca="false">Q1119+S1119</f>
        <v>46.8665446012001</v>
      </c>
      <c r="V1119" s="54" t="b">
        <f aca="false">AND(D1119&gt;=01_因子設定!$L$5-0.000000001,D1119&lt;=01_因子設定!$M$5+0.000000001,E1119&gt;=01_因子設定!$L$6-0.000000001,E1119&lt;=01_因子設定!$M$6+0.000000001,F1119&gt;=01_因子設定!$L$7-0.000000001,F1119&lt;=01_因子設定!$M$7+0.000000001,IF(01_因子設定!$B$20="Box-Behnken",D1119^2+E1119^2+F1119^2&lt;=2+0.000000001,TRUE()))</f>
        <v>1</v>
      </c>
      <c r="W1119" s="55" t="n">
        <f aca="false">IF(V1119,IF(01_因子設定!$B$13="最大化",T1119-01_因子設定!$B$14,IF(01_因子設定!$B$13="最小化",01_因子設定!$B$15-U1119,MIN(T1119-01_因子設定!$B$14,01_因子設定!$B$15-U1119))),-1E+030)</f>
        <v>-3.72319232847284</v>
      </c>
      <c r="X1119" s="55" t="n">
        <f aca="false">IF(V1119,IF(01_因子設定!$B$13="最大化",Q1119,IF(01_因子設定!$B$13="最小化",-Q1119,-ABS(Q1119-01_因子設定!$B$16))),-1E+030)</f>
        <v>45.8216761363636</v>
      </c>
      <c r="Y1119" s="55" t="n">
        <f aca="false">W1119+ROW()*0.000000001</f>
        <v>-3.72319120947284</v>
      </c>
      <c r="Z1119" s="55" t="n">
        <f aca="false">X1119+ROW()*0.000000001</f>
        <v>45.8216772553636</v>
      </c>
    </row>
    <row r="1120" customFormat="false" ht="15" hidden="false" customHeight="false" outlineLevel="0" collapsed="false">
      <c r="A1120" s="0" t="n">
        <v>3</v>
      </c>
      <c r="B1120" s="0" t="n">
        <v>14</v>
      </c>
      <c r="C1120" s="0" t="n">
        <v>10</v>
      </c>
      <c r="D1120" s="0" t="n">
        <f aca="false">-1+A1120*0.125</f>
        <v>-0.625</v>
      </c>
      <c r="E1120" s="0" t="n">
        <f aca="false">-1+B1120*0.125</f>
        <v>0.75</v>
      </c>
      <c r="F1120" s="0" t="n">
        <f aca="false">-1+C1120*0.125</f>
        <v>0.25</v>
      </c>
      <c r="G1120" s="0" t="n">
        <f aca="false">1</f>
        <v>1</v>
      </c>
      <c r="H1120" s="0" t="n">
        <f aca="false">D1120</f>
        <v>-0.625</v>
      </c>
      <c r="I1120" s="0" t="n">
        <f aca="false">E1120</f>
        <v>0.75</v>
      </c>
      <c r="J1120" s="0" t="n">
        <f aca="false">F1120</f>
        <v>0.25</v>
      </c>
      <c r="K1120" s="0" t="n">
        <f aca="false">D1120*E1120</f>
        <v>-0.46875</v>
      </c>
      <c r="L1120" s="0" t="n">
        <f aca="false">D1120*F1120</f>
        <v>-0.15625</v>
      </c>
      <c r="M1120" s="0" t="n">
        <f aca="false">E1120*F1120</f>
        <v>0.1875</v>
      </c>
      <c r="N1120" s="0" t="n">
        <f aca="false">D1120*D1120</f>
        <v>0.390625</v>
      </c>
      <c r="O1120" s="0" t="n">
        <f aca="false">E1120*E1120</f>
        <v>0.5625</v>
      </c>
      <c r="P1120" s="0" t="n">
        <f aca="false">F1120*F1120</f>
        <v>0.0625</v>
      </c>
      <c r="Q1120" s="0" t="n">
        <f aca="false">SUMPRODUCT(G1120:P1120,_XtX!$B$71:$K$71)</f>
        <v>45.9928977272727</v>
      </c>
      <c r="R1120" s="0" t="n">
        <f aca="false">SUMPRODUCT(MMULT(G1120:P1120,_XtX!$B$58:$K$67),G1120:P1120)</f>
        <v>0.258118785511364</v>
      </c>
      <c r="S1120" s="0" t="n">
        <f aca="false">04_回帰ANOVA!$K$19*04_回帰ANOVA!$K$14*SQRT(1+R1120)</f>
        <v>1.04286348094876</v>
      </c>
      <c r="T1120" s="0" t="n">
        <f aca="false">Q1120-S1120</f>
        <v>44.950034246324</v>
      </c>
      <c r="U1120" s="0" t="n">
        <f aca="false">Q1120+S1120</f>
        <v>47.0357612082215</v>
      </c>
      <c r="V1120" s="54" t="b">
        <f aca="false">AND(D1120&gt;=01_因子設定!$L$5-0.000000001,D1120&lt;=01_因子設定!$M$5+0.000000001,E1120&gt;=01_因子設定!$L$6-0.000000001,E1120&lt;=01_因子設定!$M$6+0.000000001,F1120&gt;=01_因子設定!$L$7-0.000000001,F1120&lt;=01_因子設定!$M$7+0.000000001,IF(01_因子設定!$B$20="Box-Behnken",D1120^2+E1120^2+F1120^2&lt;=2+0.000000001,TRUE()))</f>
        <v>1</v>
      </c>
      <c r="W1120" s="55" t="n">
        <f aca="false">IF(V1120,IF(01_因子設定!$B$13="最大化",T1120-01_因子設定!$B$14,IF(01_因子設定!$B$13="最小化",01_因子設定!$B$15-U1120,MIN(T1120-01_因子設定!$B$14,01_因子設定!$B$15-U1120))),-1E+030)</f>
        <v>-3.54996575367603</v>
      </c>
      <c r="X1120" s="55" t="n">
        <f aca="false">IF(V1120,IF(01_因子設定!$B$13="最大化",Q1120,IF(01_因子設定!$B$13="最小化",-Q1120,-ABS(Q1120-01_因子設定!$B$16))),-1E+030)</f>
        <v>45.9928977272727</v>
      </c>
      <c r="Y1120" s="55" t="n">
        <f aca="false">W1120+ROW()*0.000000001</f>
        <v>-3.54996463367603</v>
      </c>
      <c r="Z1120" s="55" t="n">
        <f aca="false">X1120+ROW()*0.000000001</f>
        <v>45.9928988472727</v>
      </c>
    </row>
    <row r="1121" customFormat="false" ht="15" hidden="false" customHeight="false" outlineLevel="0" collapsed="false">
      <c r="A1121" s="0" t="n">
        <v>3</v>
      </c>
      <c r="B1121" s="0" t="n">
        <v>14</v>
      </c>
      <c r="C1121" s="0" t="n">
        <v>11</v>
      </c>
      <c r="D1121" s="0" t="n">
        <f aca="false">-1+A1121*0.125</f>
        <v>-0.625</v>
      </c>
      <c r="E1121" s="0" t="n">
        <f aca="false">-1+B1121*0.125</f>
        <v>0.75</v>
      </c>
      <c r="F1121" s="0" t="n">
        <f aca="false">-1+C1121*0.125</f>
        <v>0.375</v>
      </c>
      <c r="G1121" s="0" t="n">
        <f aca="false">1</f>
        <v>1</v>
      </c>
      <c r="H1121" s="0" t="n">
        <f aca="false">D1121</f>
        <v>-0.625</v>
      </c>
      <c r="I1121" s="0" t="n">
        <f aca="false">E1121</f>
        <v>0.75</v>
      </c>
      <c r="J1121" s="0" t="n">
        <f aca="false">F1121</f>
        <v>0.375</v>
      </c>
      <c r="K1121" s="0" t="n">
        <f aca="false">D1121*E1121</f>
        <v>-0.46875</v>
      </c>
      <c r="L1121" s="0" t="n">
        <f aca="false">D1121*F1121</f>
        <v>-0.234375</v>
      </c>
      <c r="M1121" s="0" t="n">
        <f aca="false">E1121*F1121</f>
        <v>0.28125</v>
      </c>
      <c r="N1121" s="0" t="n">
        <f aca="false">D1121*D1121</f>
        <v>0.390625</v>
      </c>
      <c r="O1121" s="0" t="n">
        <f aca="false">E1121*E1121</f>
        <v>0.5625</v>
      </c>
      <c r="P1121" s="0" t="n">
        <f aca="false">F1121*F1121</f>
        <v>0.140625</v>
      </c>
      <c r="Q1121" s="0" t="n">
        <f aca="false">SUMPRODUCT(G1121:P1121,_XtX!$B$71:$K$71)</f>
        <v>46.1273295454546</v>
      </c>
      <c r="R1121" s="0" t="n">
        <f aca="false">SUMPRODUCT(MMULT(G1121:P1121,_XtX!$B$58:$K$67),G1121:P1121)</f>
        <v>0.25359940962358</v>
      </c>
      <c r="S1121" s="0" t="n">
        <f aca="false">04_回帰ANOVA!$K$19*04_回帰ANOVA!$K$14*SQRT(1+R1121)</f>
        <v>1.04098872464599</v>
      </c>
      <c r="T1121" s="0" t="n">
        <f aca="false">Q1121-S1121</f>
        <v>45.0863408208086</v>
      </c>
      <c r="U1121" s="0" t="n">
        <f aca="false">Q1121+S1121</f>
        <v>47.1683182701005</v>
      </c>
      <c r="V1121" s="54" t="b">
        <f aca="false">AND(D1121&gt;=01_因子設定!$L$5-0.000000001,D1121&lt;=01_因子設定!$M$5+0.000000001,E1121&gt;=01_因子設定!$L$6-0.000000001,E1121&lt;=01_因子設定!$M$6+0.000000001,F1121&gt;=01_因子設定!$L$7-0.000000001,F1121&lt;=01_因子設定!$M$7+0.000000001,IF(01_因子設定!$B$20="Box-Behnken",D1121^2+E1121^2+F1121^2&lt;=2+0.000000001,TRUE()))</f>
        <v>1</v>
      </c>
      <c r="W1121" s="55" t="n">
        <f aca="false">IF(V1121,IF(01_因子設定!$B$13="最大化",T1121-01_因子設定!$B$14,IF(01_因子設定!$B$13="最小化",01_因子設定!$B$15-U1121,MIN(T1121-01_因子設定!$B$14,01_因子設定!$B$15-U1121))),-1E+030)</f>
        <v>-3.41365917919143</v>
      </c>
      <c r="X1121" s="55" t="n">
        <f aca="false">IF(V1121,IF(01_因子設定!$B$13="最大化",Q1121,IF(01_因子設定!$B$13="最小化",-Q1121,-ABS(Q1121-01_因子設定!$B$16))),-1E+030)</f>
        <v>46.1273295454546</v>
      </c>
      <c r="Y1121" s="55" t="n">
        <f aca="false">W1121+ROW()*0.000000001</f>
        <v>-3.41365805819143</v>
      </c>
      <c r="Z1121" s="55" t="n">
        <f aca="false">X1121+ROW()*0.000000001</f>
        <v>46.1273306664546</v>
      </c>
    </row>
    <row r="1122" customFormat="false" ht="15" hidden="false" customHeight="false" outlineLevel="0" collapsed="false">
      <c r="A1122" s="0" t="n">
        <v>3</v>
      </c>
      <c r="B1122" s="0" t="n">
        <v>14</v>
      </c>
      <c r="C1122" s="0" t="n">
        <v>12</v>
      </c>
      <c r="D1122" s="0" t="n">
        <f aca="false">-1+A1122*0.125</f>
        <v>-0.625</v>
      </c>
      <c r="E1122" s="0" t="n">
        <f aca="false">-1+B1122*0.125</f>
        <v>0.75</v>
      </c>
      <c r="F1122" s="0" t="n">
        <f aca="false">-1+C1122*0.125</f>
        <v>0.5</v>
      </c>
      <c r="G1122" s="0" t="n">
        <f aca="false">1</f>
        <v>1</v>
      </c>
      <c r="H1122" s="0" t="n">
        <f aca="false">D1122</f>
        <v>-0.625</v>
      </c>
      <c r="I1122" s="0" t="n">
        <f aca="false">E1122</f>
        <v>0.75</v>
      </c>
      <c r="J1122" s="0" t="n">
        <f aca="false">F1122</f>
        <v>0.5</v>
      </c>
      <c r="K1122" s="0" t="n">
        <f aca="false">D1122*E1122</f>
        <v>-0.46875</v>
      </c>
      <c r="L1122" s="0" t="n">
        <f aca="false">D1122*F1122</f>
        <v>-0.3125</v>
      </c>
      <c r="M1122" s="0" t="n">
        <f aca="false">E1122*F1122</f>
        <v>0.375</v>
      </c>
      <c r="N1122" s="0" t="n">
        <f aca="false">D1122*D1122</f>
        <v>0.390625</v>
      </c>
      <c r="O1122" s="0" t="n">
        <f aca="false">E1122*E1122</f>
        <v>0.5625</v>
      </c>
      <c r="P1122" s="0" t="n">
        <f aca="false">F1122*F1122</f>
        <v>0.25</v>
      </c>
      <c r="Q1122" s="0" t="n">
        <f aca="false">SUMPRODUCT(G1122:P1122,_XtX!$B$71:$K$71)</f>
        <v>46.2249715909091</v>
      </c>
      <c r="R1122" s="0" t="n">
        <f aca="false">SUMPRODUCT(MMULT(G1122:P1122,_XtX!$B$58:$K$67),G1122:P1122)</f>
        <v>0.254729669744318</v>
      </c>
      <c r="S1122" s="0" t="n">
        <f aca="false">04_回帰ANOVA!$K$19*04_回帰ANOVA!$K$14*SQRT(1+R1122)</f>
        <v>1.04145790281631</v>
      </c>
      <c r="T1122" s="0" t="n">
        <f aca="false">Q1122-S1122</f>
        <v>45.1835136880928</v>
      </c>
      <c r="U1122" s="0" t="n">
        <f aca="false">Q1122+S1122</f>
        <v>47.2664294937254</v>
      </c>
      <c r="V1122" s="54" t="b">
        <f aca="false">AND(D1122&gt;=01_因子設定!$L$5-0.000000001,D1122&lt;=01_因子設定!$M$5+0.000000001,E1122&gt;=01_因子設定!$L$6-0.000000001,E1122&lt;=01_因子設定!$M$6+0.000000001,F1122&gt;=01_因子設定!$L$7-0.000000001,F1122&lt;=01_因子設定!$M$7+0.000000001,IF(01_因子設定!$B$20="Box-Behnken",D1122^2+E1122^2+F1122^2&lt;=2+0.000000001,TRUE()))</f>
        <v>1</v>
      </c>
      <c r="W1122" s="55" t="n">
        <f aca="false">IF(V1122,IF(01_因子設定!$B$13="最大化",T1122-01_因子設定!$B$14,IF(01_因子設定!$B$13="最小化",01_因子設定!$B$15-U1122,MIN(T1122-01_因子設定!$B$14,01_因子設定!$B$15-U1122))),-1E+030)</f>
        <v>-3.31648631190721</v>
      </c>
      <c r="X1122" s="55" t="n">
        <f aca="false">IF(V1122,IF(01_因子設定!$B$13="最大化",Q1122,IF(01_因子設定!$B$13="最小化",-Q1122,-ABS(Q1122-01_因子設定!$B$16))),-1E+030)</f>
        <v>46.2249715909091</v>
      </c>
      <c r="Y1122" s="55" t="n">
        <f aca="false">W1122+ROW()*0.000000001</f>
        <v>-3.31648518990721</v>
      </c>
      <c r="Z1122" s="55" t="n">
        <f aca="false">X1122+ROW()*0.000000001</f>
        <v>46.2249727129091</v>
      </c>
    </row>
    <row r="1123" customFormat="false" ht="15" hidden="false" customHeight="false" outlineLevel="0" collapsed="false">
      <c r="A1123" s="0" t="n">
        <v>3</v>
      </c>
      <c r="B1123" s="0" t="n">
        <v>14</v>
      </c>
      <c r="C1123" s="0" t="n">
        <v>13</v>
      </c>
      <c r="D1123" s="0" t="n">
        <f aca="false">-1+A1123*0.125</f>
        <v>-0.625</v>
      </c>
      <c r="E1123" s="0" t="n">
        <f aca="false">-1+B1123*0.125</f>
        <v>0.75</v>
      </c>
      <c r="F1123" s="0" t="n">
        <f aca="false">-1+C1123*0.125</f>
        <v>0.625</v>
      </c>
      <c r="G1123" s="0" t="n">
        <f aca="false">1</f>
        <v>1</v>
      </c>
      <c r="H1123" s="0" t="n">
        <f aca="false">D1123</f>
        <v>-0.625</v>
      </c>
      <c r="I1123" s="0" t="n">
        <f aca="false">E1123</f>
        <v>0.75</v>
      </c>
      <c r="J1123" s="0" t="n">
        <f aca="false">F1123</f>
        <v>0.625</v>
      </c>
      <c r="K1123" s="0" t="n">
        <f aca="false">D1123*E1123</f>
        <v>-0.46875</v>
      </c>
      <c r="L1123" s="0" t="n">
        <f aca="false">D1123*F1123</f>
        <v>-0.390625</v>
      </c>
      <c r="M1123" s="0" t="n">
        <f aca="false">E1123*F1123</f>
        <v>0.46875</v>
      </c>
      <c r="N1123" s="0" t="n">
        <f aca="false">D1123*D1123</f>
        <v>0.390625</v>
      </c>
      <c r="O1123" s="0" t="n">
        <f aca="false">E1123*E1123</f>
        <v>0.5625</v>
      </c>
      <c r="P1123" s="0" t="n">
        <f aca="false">F1123*F1123</f>
        <v>0.390625</v>
      </c>
      <c r="Q1123" s="0" t="n">
        <f aca="false">SUMPRODUCT(G1123:P1123,_XtX!$B$71:$K$71)</f>
        <v>46.2858238636364</v>
      </c>
      <c r="R1123" s="0" t="n">
        <f aca="false">SUMPRODUCT(MMULT(G1123:P1123,_XtX!$B$58:$K$67),G1123:P1123)</f>
        <v>0.268966952237216</v>
      </c>
      <c r="S1123" s="0" t="n">
        <f aca="false">04_回帰ANOVA!$K$19*04_回帰ANOVA!$K$14*SQRT(1+R1123)</f>
        <v>1.04734989137801</v>
      </c>
      <c r="T1123" s="0" t="n">
        <f aca="false">Q1123-S1123</f>
        <v>45.2384739722584</v>
      </c>
      <c r="U1123" s="0" t="n">
        <f aca="false">Q1123+S1123</f>
        <v>47.3331737550144</v>
      </c>
      <c r="V1123" s="54" t="b">
        <f aca="false">AND(D1123&gt;=01_因子設定!$L$5-0.000000001,D1123&lt;=01_因子設定!$M$5+0.000000001,E1123&gt;=01_因子設定!$L$6-0.000000001,E1123&lt;=01_因子設定!$M$6+0.000000001,F1123&gt;=01_因子設定!$L$7-0.000000001,F1123&lt;=01_因子設定!$M$7+0.000000001,IF(01_因子設定!$B$20="Box-Behnken",D1123^2+E1123^2+F1123^2&lt;=2+0.000000001,TRUE()))</f>
        <v>1</v>
      </c>
      <c r="W1123" s="55" t="n">
        <f aca="false">IF(V1123,IF(01_因子設定!$B$13="最大化",T1123-01_因子設定!$B$14,IF(01_因子設定!$B$13="最小化",01_因子設定!$B$15-U1123,MIN(T1123-01_因子設定!$B$14,01_因子設定!$B$15-U1123))),-1E+030)</f>
        <v>-3.26152602774164</v>
      </c>
      <c r="X1123" s="55" t="n">
        <f aca="false">IF(V1123,IF(01_因子設定!$B$13="最大化",Q1123,IF(01_因子設定!$B$13="最小化",-Q1123,-ABS(Q1123-01_因子設定!$B$16))),-1E+030)</f>
        <v>46.2858238636364</v>
      </c>
      <c r="Y1123" s="55" t="n">
        <f aca="false">W1123+ROW()*0.000000001</f>
        <v>-3.26152490474164</v>
      </c>
      <c r="Z1123" s="55" t="n">
        <f aca="false">X1123+ROW()*0.000000001</f>
        <v>46.2858249866364</v>
      </c>
    </row>
    <row r="1124" customFormat="false" ht="15" hidden="false" customHeight="false" outlineLevel="0" collapsed="false">
      <c r="A1124" s="0" t="n">
        <v>3</v>
      </c>
      <c r="B1124" s="0" t="n">
        <v>14</v>
      </c>
      <c r="C1124" s="0" t="n">
        <v>14</v>
      </c>
      <c r="D1124" s="0" t="n">
        <f aca="false">-1+A1124*0.125</f>
        <v>-0.625</v>
      </c>
      <c r="E1124" s="0" t="n">
        <f aca="false">-1+B1124*0.125</f>
        <v>0.75</v>
      </c>
      <c r="F1124" s="0" t="n">
        <f aca="false">-1+C1124*0.125</f>
        <v>0.75</v>
      </c>
      <c r="G1124" s="0" t="n">
        <f aca="false">1</f>
        <v>1</v>
      </c>
      <c r="H1124" s="0" t="n">
        <f aca="false">D1124</f>
        <v>-0.625</v>
      </c>
      <c r="I1124" s="0" t="n">
        <f aca="false">E1124</f>
        <v>0.75</v>
      </c>
      <c r="J1124" s="0" t="n">
        <f aca="false">F1124</f>
        <v>0.75</v>
      </c>
      <c r="K1124" s="0" t="n">
        <f aca="false">D1124*E1124</f>
        <v>-0.46875</v>
      </c>
      <c r="L1124" s="0" t="n">
        <f aca="false">D1124*F1124</f>
        <v>-0.46875</v>
      </c>
      <c r="M1124" s="0" t="n">
        <f aca="false">E1124*F1124</f>
        <v>0.5625</v>
      </c>
      <c r="N1124" s="0" t="n">
        <f aca="false">D1124*D1124</f>
        <v>0.390625</v>
      </c>
      <c r="O1124" s="0" t="n">
        <f aca="false">E1124*E1124</f>
        <v>0.5625</v>
      </c>
      <c r="P1124" s="0" t="n">
        <f aca="false">F1124*F1124</f>
        <v>0.5625</v>
      </c>
      <c r="Q1124" s="0" t="n">
        <f aca="false">SUMPRODUCT(G1124:P1124,_XtX!$B$71:$K$71)</f>
        <v>46.3098863636364</v>
      </c>
      <c r="R1124" s="0" t="n">
        <f aca="false">SUMPRODUCT(MMULT(G1124:P1124,_XtX!$B$58:$K$67),G1124:P1124)</f>
        <v>0.305899325284091</v>
      </c>
      <c r="S1124" s="0" t="n">
        <f aca="false">04_回帰ANOVA!$K$19*04_回帰ANOVA!$K$14*SQRT(1+R1124)</f>
        <v>1.06248176416816</v>
      </c>
      <c r="T1124" s="0" t="n">
        <f aca="false">Q1124-S1124</f>
        <v>45.2474045994682</v>
      </c>
      <c r="U1124" s="0" t="n">
        <f aca="false">Q1124+S1124</f>
        <v>47.3723681278045</v>
      </c>
      <c r="V1124" s="54" t="b">
        <f aca="false">AND(D1124&gt;=01_因子設定!$L$5-0.000000001,D1124&lt;=01_因子設定!$M$5+0.000000001,E1124&gt;=01_因子設定!$L$6-0.000000001,E1124&lt;=01_因子設定!$M$6+0.000000001,F1124&gt;=01_因子設定!$L$7-0.000000001,F1124&lt;=01_因子設定!$M$7+0.000000001,IF(01_因子設定!$B$20="Box-Behnken",D1124^2+E1124^2+F1124^2&lt;=2+0.000000001,TRUE()))</f>
        <v>1</v>
      </c>
      <c r="W1124" s="55" t="n">
        <f aca="false">IF(V1124,IF(01_因子設定!$B$13="最大化",T1124-01_因子設定!$B$14,IF(01_因子設定!$B$13="最小化",01_因子設定!$B$15-U1124,MIN(T1124-01_因子設定!$B$14,01_因子設定!$B$15-U1124))),-1E+030)</f>
        <v>-3.25259540053179</v>
      </c>
      <c r="X1124" s="55" t="n">
        <f aca="false">IF(V1124,IF(01_因子設定!$B$13="最大化",Q1124,IF(01_因子設定!$B$13="最小化",-Q1124,-ABS(Q1124-01_因子設定!$B$16))),-1E+030)</f>
        <v>46.3098863636364</v>
      </c>
      <c r="Y1124" s="55" t="n">
        <f aca="false">W1124+ROW()*0.000000001</f>
        <v>-3.25259427653179</v>
      </c>
      <c r="Z1124" s="55" t="n">
        <f aca="false">X1124+ROW()*0.000000001</f>
        <v>46.3098874876364</v>
      </c>
    </row>
    <row r="1125" customFormat="false" ht="15" hidden="false" customHeight="false" outlineLevel="0" collapsed="false">
      <c r="A1125" s="0" t="n">
        <v>3</v>
      </c>
      <c r="B1125" s="0" t="n">
        <v>14</v>
      </c>
      <c r="C1125" s="0" t="n">
        <v>15</v>
      </c>
      <c r="D1125" s="0" t="n">
        <f aca="false">-1+A1125*0.125</f>
        <v>-0.625</v>
      </c>
      <c r="E1125" s="0" t="n">
        <f aca="false">-1+B1125*0.125</f>
        <v>0.75</v>
      </c>
      <c r="F1125" s="0" t="n">
        <f aca="false">-1+C1125*0.125</f>
        <v>0.875</v>
      </c>
      <c r="G1125" s="0" t="n">
        <f aca="false">1</f>
        <v>1</v>
      </c>
      <c r="H1125" s="0" t="n">
        <f aca="false">D1125</f>
        <v>-0.625</v>
      </c>
      <c r="I1125" s="0" t="n">
        <f aca="false">E1125</f>
        <v>0.75</v>
      </c>
      <c r="J1125" s="0" t="n">
        <f aca="false">F1125</f>
        <v>0.875</v>
      </c>
      <c r="K1125" s="0" t="n">
        <f aca="false">D1125*E1125</f>
        <v>-0.46875</v>
      </c>
      <c r="L1125" s="0" t="n">
        <f aca="false">D1125*F1125</f>
        <v>-0.546875</v>
      </c>
      <c r="M1125" s="0" t="n">
        <f aca="false">E1125*F1125</f>
        <v>0.65625</v>
      </c>
      <c r="N1125" s="0" t="n">
        <f aca="false">D1125*D1125</f>
        <v>0.390625</v>
      </c>
      <c r="O1125" s="0" t="n">
        <f aca="false">E1125*E1125</f>
        <v>0.5625</v>
      </c>
      <c r="P1125" s="0" t="n">
        <f aca="false">F1125*F1125</f>
        <v>0.765625</v>
      </c>
      <c r="Q1125" s="0" t="n">
        <f aca="false">SUMPRODUCT(G1125:P1125,_XtX!$B$71:$K$71)</f>
        <v>46.2971590909091</v>
      </c>
      <c r="R1125" s="0" t="n">
        <f aca="false">SUMPRODUCT(MMULT(G1125:P1125,_XtX!$B$58:$K$67),G1125:P1125)</f>
        <v>0.377245538884943</v>
      </c>
      <c r="S1125" s="0" t="n">
        <f aca="false">04_回帰ANOVA!$K$19*04_回帰ANOVA!$K$14*SQRT(1+R1125)</f>
        <v>1.09111951468927</v>
      </c>
      <c r="T1125" s="0" t="n">
        <f aca="false">Q1125-S1125</f>
        <v>45.2060395762198</v>
      </c>
      <c r="U1125" s="0" t="n">
        <f aca="false">Q1125+S1125</f>
        <v>47.3882786055984</v>
      </c>
      <c r="V1125" s="54" t="b">
        <f aca="false">AND(D1125&gt;=01_因子設定!$L$5-0.000000001,D1125&lt;=01_因子設定!$M$5+0.000000001,E1125&gt;=01_因子設定!$L$6-0.000000001,E1125&lt;=01_因子設定!$M$6+0.000000001,F1125&gt;=01_因子設定!$L$7-0.000000001,F1125&lt;=01_因子設定!$M$7+0.000000001,IF(01_因子設定!$B$20="Box-Behnken",D1125^2+E1125^2+F1125^2&lt;=2+0.000000001,TRUE()))</f>
        <v>1</v>
      </c>
      <c r="W1125" s="55" t="n">
        <f aca="false">IF(V1125,IF(01_因子設定!$B$13="最大化",T1125-01_因子設定!$B$14,IF(01_因子設定!$B$13="最小化",01_因子設定!$B$15-U1125,MIN(T1125-01_因子設定!$B$14,01_因子設定!$B$15-U1125))),-1E+030)</f>
        <v>-3.29396042378017</v>
      </c>
      <c r="X1125" s="55" t="n">
        <f aca="false">IF(V1125,IF(01_因子設定!$B$13="最大化",Q1125,IF(01_因子設定!$B$13="最小化",-Q1125,-ABS(Q1125-01_因子設定!$B$16))),-1E+030)</f>
        <v>46.2971590909091</v>
      </c>
      <c r="Y1125" s="55" t="n">
        <f aca="false">W1125+ROW()*0.000000001</f>
        <v>-3.29395929878017</v>
      </c>
      <c r="Z1125" s="55" t="n">
        <f aca="false">X1125+ROW()*0.000000001</f>
        <v>46.2971602159091</v>
      </c>
    </row>
    <row r="1126" customFormat="false" ht="15" hidden="false" customHeight="false" outlineLevel="0" collapsed="false">
      <c r="A1126" s="0" t="n">
        <v>3</v>
      </c>
      <c r="B1126" s="0" t="n">
        <v>14</v>
      </c>
      <c r="C1126" s="0" t="n">
        <v>16</v>
      </c>
      <c r="D1126" s="0" t="n">
        <f aca="false">-1+A1126*0.125</f>
        <v>-0.625</v>
      </c>
      <c r="E1126" s="0" t="n">
        <f aca="false">-1+B1126*0.125</f>
        <v>0.75</v>
      </c>
      <c r="F1126" s="0" t="n">
        <f aca="false">-1+C1126*0.125</f>
        <v>1</v>
      </c>
      <c r="G1126" s="0" t="n">
        <f aca="false">1</f>
        <v>1</v>
      </c>
      <c r="H1126" s="0" t="n">
        <f aca="false">D1126</f>
        <v>-0.625</v>
      </c>
      <c r="I1126" s="0" t="n">
        <f aca="false">E1126</f>
        <v>0.75</v>
      </c>
      <c r="J1126" s="0" t="n">
        <f aca="false">F1126</f>
        <v>1</v>
      </c>
      <c r="K1126" s="0" t="n">
        <f aca="false">D1126*E1126</f>
        <v>-0.46875</v>
      </c>
      <c r="L1126" s="0" t="n">
        <f aca="false">D1126*F1126</f>
        <v>-0.625</v>
      </c>
      <c r="M1126" s="0" t="n">
        <f aca="false">E1126*F1126</f>
        <v>0.75</v>
      </c>
      <c r="N1126" s="0" t="n">
        <f aca="false">D1126*D1126</f>
        <v>0.390625</v>
      </c>
      <c r="O1126" s="0" t="n">
        <f aca="false">E1126*E1126</f>
        <v>0.5625</v>
      </c>
      <c r="P1126" s="0" t="n">
        <f aca="false">F1126*F1126</f>
        <v>1</v>
      </c>
      <c r="Q1126" s="0" t="n">
        <f aca="false">SUMPRODUCT(G1126:P1126,_XtX!$B$71:$K$71)</f>
        <v>46.2476420454546</v>
      </c>
      <c r="R1126" s="0" t="n">
        <f aca="false">SUMPRODUCT(MMULT(G1126:P1126,_XtX!$B$58:$K$67),G1126:P1126)</f>
        <v>0.496855024857955</v>
      </c>
      <c r="S1126" s="0" t="n">
        <f aca="false">04_回帰ANOVA!$K$19*04_回帰ANOVA!$K$14*SQRT(1+R1126)</f>
        <v>1.1375133593161</v>
      </c>
      <c r="T1126" s="0" t="n">
        <f aca="false">Q1126-S1126</f>
        <v>45.1101286861385</v>
      </c>
      <c r="U1126" s="0" t="n">
        <f aca="false">Q1126+S1126</f>
        <v>47.3851554047707</v>
      </c>
      <c r="V1126" s="54" t="b">
        <f aca="false">AND(D1126&gt;=01_因子設定!$L$5-0.000000001,D1126&lt;=01_因子設定!$M$5+0.000000001,E1126&gt;=01_因子設定!$L$6-0.000000001,E1126&lt;=01_因子設定!$M$6+0.000000001,F1126&gt;=01_因子設定!$L$7-0.000000001,F1126&lt;=01_因子設定!$M$7+0.000000001,IF(01_因子設定!$B$20="Box-Behnken",D1126^2+E1126^2+F1126^2&lt;=2+0.000000001,TRUE()))</f>
        <v>1</v>
      </c>
      <c r="W1126" s="55" t="n">
        <f aca="false">IF(V1126,IF(01_因子設定!$B$13="最大化",T1126-01_因子設定!$B$14,IF(01_因子設定!$B$13="最小化",01_因子設定!$B$15-U1126,MIN(T1126-01_因子設定!$B$14,01_因子設定!$B$15-U1126))),-1E+030)</f>
        <v>-3.38987131386153</v>
      </c>
      <c r="X1126" s="55" t="n">
        <f aca="false">IF(V1126,IF(01_因子設定!$B$13="最大化",Q1126,IF(01_因子設定!$B$13="最小化",-Q1126,-ABS(Q1126-01_因子設定!$B$16))),-1E+030)</f>
        <v>46.2476420454546</v>
      </c>
      <c r="Y1126" s="55" t="n">
        <f aca="false">W1126+ROW()*0.000000001</f>
        <v>-3.38987018786153</v>
      </c>
      <c r="Z1126" s="55" t="n">
        <f aca="false">X1126+ROW()*0.000000001</f>
        <v>46.2476431714546</v>
      </c>
    </row>
    <row r="1127" customFormat="false" ht="15" hidden="false" customHeight="false" outlineLevel="0" collapsed="false">
      <c r="A1127" s="0" t="n">
        <v>3</v>
      </c>
      <c r="B1127" s="0" t="n">
        <v>15</v>
      </c>
      <c r="C1127" s="0" t="n">
        <v>0</v>
      </c>
      <c r="D1127" s="0" t="n">
        <f aca="false">-1+A1127*0.125</f>
        <v>-0.625</v>
      </c>
      <c r="E1127" s="0" t="n">
        <f aca="false">-1+B1127*0.125</f>
        <v>0.875</v>
      </c>
      <c r="F1127" s="0" t="n">
        <f aca="false">-1+C1127*0.125</f>
        <v>-1</v>
      </c>
      <c r="G1127" s="0" t="n">
        <f aca="false">1</f>
        <v>1</v>
      </c>
      <c r="H1127" s="0" t="n">
        <f aca="false">D1127</f>
        <v>-0.625</v>
      </c>
      <c r="I1127" s="0" t="n">
        <f aca="false">E1127</f>
        <v>0.875</v>
      </c>
      <c r="J1127" s="0" t="n">
        <f aca="false">F1127</f>
        <v>-1</v>
      </c>
      <c r="K1127" s="0" t="n">
        <f aca="false">D1127*E1127</f>
        <v>-0.546875</v>
      </c>
      <c r="L1127" s="0" t="n">
        <f aca="false">D1127*F1127</f>
        <v>0.625</v>
      </c>
      <c r="M1127" s="0" t="n">
        <f aca="false">E1127*F1127</f>
        <v>-0.875</v>
      </c>
      <c r="N1127" s="0" t="n">
        <f aca="false">D1127*D1127</f>
        <v>0.390625</v>
      </c>
      <c r="O1127" s="0" t="n">
        <f aca="false">E1127*E1127</f>
        <v>0.765625</v>
      </c>
      <c r="P1127" s="0" t="n">
        <f aca="false">F1127*F1127</f>
        <v>1</v>
      </c>
      <c r="Q1127" s="0" t="n">
        <f aca="false">SUMPRODUCT(G1127:P1127,_XtX!$B$71:$K$71)</f>
        <v>42.3201491477273</v>
      </c>
      <c r="R1127" s="0" t="n">
        <f aca="false">SUMPRODUCT(MMULT(G1127:P1127,_XtX!$B$58:$K$67),G1127:P1127)</f>
        <v>0.555073131214489</v>
      </c>
      <c r="S1127" s="0" t="n">
        <f aca="false">04_回帰ANOVA!$K$19*04_回帰ANOVA!$K$14*SQRT(1+R1127)</f>
        <v>1.15942335628341</v>
      </c>
      <c r="T1127" s="0" t="n">
        <f aca="false">Q1127-S1127</f>
        <v>41.1607257914439</v>
      </c>
      <c r="U1127" s="0" t="n">
        <f aca="false">Q1127+S1127</f>
        <v>43.4795725040107</v>
      </c>
      <c r="V1127" s="54" t="b">
        <f aca="false">AND(D1127&gt;=01_因子設定!$L$5-0.000000001,D1127&lt;=01_因子設定!$M$5+0.000000001,E1127&gt;=01_因子設定!$L$6-0.000000001,E1127&lt;=01_因子設定!$M$6+0.000000001,F1127&gt;=01_因子設定!$L$7-0.000000001,F1127&lt;=01_因子設定!$M$7+0.000000001,IF(01_因子設定!$B$20="Box-Behnken",D1127^2+E1127^2+F1127^2&lt;=2+0.000000001,TRUE()))</f>
        <v>1</v>
      </c>
      <c r="W1127" s="55" t="n">
        <f aca="false">IF(V1127,IF(01_因子設定!$B$13="最大化",T1127-01_因子設定!$B$14,IF(01_因子設定!$B$13="最小化",01_因子設定!$B$15-U1127,MIN(T1127-01_因子設定!$B$14,01_因子設定!$B$15-U1127))),-1E+030)</f>
        <v>-7.33927420855611</v>
      </c>
      <c r="X1127" s="55" t="n">
        <f aca="false">IF(V1127,IF(01_因子設定!$B$13="最大化",Q1127,IF(01_因子設定!$B$13="最小化",-Q1127,-ABS(Q1127-01_因子設定!$B$16))),-1E+030)</f>
        <v>42.3201491477273</v>
      </c>
      <c r="Y1127" s="55" t="n">
        <f aca="false">W1127+ROW()*0.000000001</f>
        <v>-7.33927308155611</v>
      </c>
      <c r="Z1127" s="55" t="n">
        <f aca="false">X1127+ROW()*0.000000001</f>
        <v>42.3201502747273</v>
      </c>
    </row>
    <row r="1128" customFormat="false" ht="15" hidden="false" customHeight="false" outlineLevel="0" collapsed="false">
      <c r="A1128" s="0" t="n">
        <v>3</v>
      </c>
      <c r="B1128" s="0" t="n">
        <v>15</v>
      </c>
      <c r="C1128" s="0" t="n">
        <v>1</v>
      </c>
      <c r="D1128" s="0" t="n">
        <f aca="false">-1+A1128*0.125</f>
        <v>-0.625</v>
      </c>
      <c r="E1128" s="0" t="n">
        <f aca="false">-1+B1128*0.125</f>
        <v>0.875</v>
      </c>
      <c r="F1128" s="0" t="n">
        <f aca="false">-1+C1128*0.125</f>
        <v>-0.875</v>
      </c>
      <c r="G1128" s="0" t="n">
        <f aca="false">1</f>
        <v>1</v>
      </c>
      <c r="H1128" s="0" t="n">
        <f aca="false">D1128</f>
        <v>-0.625</v>
      </c>
      <c r="I1128" s="0" t="n">
        <f aca="false">E1128</f>
        <v>0.875</v>
      </c>
      <c r="J1128" s="0" t="n">
        <f aca="false">F1128</f>
        <v>-0.875</v>
      </c>
      <c r="K1128" s="0" t="n">
        <f aca="false">D1128*E1128</f>
        <v>-0.546875</v>
      </c>
      <c r="L1128" s="0" t="n">
        <f aca="false">D1128*F1128</f>
        <v>0.546875</v>
      </c>
      <c r="M1128" s="0" t="n">
        <f aca="false">E1128*F1128</f>
        <v>-0.765625</v>
      </c>
      <c r="N1128" s="0" t="n">
        <f aca="false">D1128*D1128</f>
        <v>0.390625</v>
      </c>
      <c r="O1128" s="0" t="n">
        <f aca="false">E1128*E1128</f>
        <v>0.765625</v>
      </c>
      <c r="P1128" s="0" t="n">
        <f aca="false">F1128*F1128</f>
        <v>0.765625</v>
      </c>
      <c r="Q1128" s="0" t="n">
        <f aca="false">SUMPRODUCT(G1128:P1128,_XtX!$B$71:$K$71)</f>
        <v>42.8295099431818</v>
      </c>
      <c r="R1128" s="0" t="n">
        <f aca="false">SUMPRODUCT(MMULT(G1128:P1128,_XtX!$B$58:$K$67),G1128:P1128)</f>
        <v>0.442496559836648</v>
      </c>
      <c r="S1128" s="0" t="n">
        <f aca="false">04_回帰ANOVA!$K$19*04_回帰ANOVA!$K$14*SQRT(1+R1128)</f>
        <v>1.11666789259284</v>
      </c>
      <c r="T1128" s="0" t="n">
        <f aca="false">Q1128-S1128</f>
        <v>41.712842050589</v>
      </c>
      <c r="U1128" s="0" t="n">
        <f aca="false">Q1128+S1128</f>
        <v>43.9461778357747</v>
      </c>
      <c r="V1128" s="54" t="b">
        <f aca="false">AND(D1128&gt;=01_因子設定!$L$5-0.000000001,D1128&lt;=01_因子設定!$M$5+0.000000001,E1128&gt;=01_因子設定!$L$6-0.000000001,E1128&lt;=01_因子設定!$M$6+0.000000001,F1128&gt;=01_因子設定!$L$7-0.000000001,F1128&lt;=01_因子設定!$M$7+0.000000001,IF(01_因子設定!$B$20="Box-Behnken",D1128^2+E1128^2+F1128^2&lt;=2+0.000000001,TRUE()))</f>
        <v>1</v>
      </c>
      <c r="W1128" s="55" t="n">
        <f aca="false">IF(V1128,IF(01_因子設定!$B$13="最大化",T1128-01_因子設定!$B$14,IF(01_因子設定!$B$13="最小化",01_因子設定!$B$15-U1128,MIN(T1128-01_因子設定!$B$14,01_因子設定!$B$15-U1128))),-1E+030)</f>
        <v>-6.78715794941101</v>
      </c>
      <c r="X1128" s="55" t="n">
        <f aca="false">IF(V1128,IF(01_因子設定!$B$13="最大化",Q1128,IF(01_因子設定!$B$13="最小化",-Q1128,-ABS(Q1128-01_因子設定!$B$16))),-1E+030)</f>
        <v>42.8295099431818</v>
      </c>
      <c r="Y1128" s="55" t="n">
        <f aca="false">W1128+ROW()*0.000000001</f>
        <v>-6.78715682141101</v>
      </c>
      <c r="Z1128" s="55" t="n">
        <f aca="false">X1128+ROW()*0.000000001</f>
        <v>42.8295110711818</v>
      </c>
    </row>
    <row r="1129" customFormat="false" ht="15" hidden="false" customHeight="false" outlineLevel="0" collapsed="false">
      <c r="A1129" s="0" t="n">
        <v>3</v>
      </c>
      <c r="B1129" s="0" t="n">
        <v>15</v>
      </c>
      <c r="C1129" s="0" t="n">
        <v>2</v>
      </c>
      <c r="D1129" s="0" t="n">
        <f aca="false">-1+A1129*0.125</f>
        <v>-0.625</v>
      </c>
      <c r="E1129" s="0" t="n">
        <f aca="false">-1+B1129*0.125</f>
        <v>0.875</v>
      </c>
      <c r="F1129" s="0" t="n">
        <f aca="false">-1+C1129*0.125</f>
        <v>-0.75</v>
      </c>
      <c r="G1129" s="0" t="n">
        <f aca="false">1</f>
        <v>1</v>
      </c>
      <c r="H1129" s="0" t="n">
        <f aca="false">D1129</f>
        <v>-0.625</v>
      </c>
      <c r="I1129" s="0" t="n">
        <f aca="false">E1129</f>
        <v>0.875</v>
      </c>
      <c r="J1129" s="0" t="n">
        <f aca="false">F1129</f>
        <v>-0.75</v>
      </c>
      <c r="K1129" s="0" t="n">
        <f aca="false">D1129*E1129</f>
        <v>-0.546875</v>
      </c>
      <c r="L1129" s="0" t="n">
        <f aca="false">D1129*F1129</f>
        <v>0.46875</v>
      </c>
      <c r="M1129" s="0" t="n">
        <f aca="false">E1129*F1129</f>
        <v>-0.65625</v>
      </c>
      <c r="N1129" s="0" t="n">
        <f aca="false">D1129*D1129</f>
        <v>0.390625</v>
      </c>
      <c r="O1129" s="0" t="n">
        <f aca="false">E1129*E1129</f>
        <v>0.765625</v>
      </c>
      <c r="P1129" s="0" t="n">
        <f aca="false">F1129*F1129</f>
        <v>0.5625</v>
      </c>
      <c r="Q1129" s="0" t="n">
        <f aca="false">SUMPRODUCT(G1129:P1129,_XtX!$B$71:$K$71)</f>
        <v>43.3020809659091</v>
      </c>
      <c r="R1129" s="0" t="n">
        <f aca="false">SUMPRODUCT(MMULT(G1129:P1129,_XtX!$B$58:$K$67),G1129:P1129)</f>
        <v>0.377245538884943</v>
      </c>
      <c r="S1129" s="0" t="n">
        <f aca="false">04_回帰ANOVA!$K$19*04_回帰ANOVA!$K$14*SQRT(1+R1129)</f>
        <v>1.09111951468927</v>
      </c>
      <c r="T1129" s="0" t="n">
        <f aca="false">Q1129-S1129</f>
        <v>42.2109614512198</v>
      </c>
      <c r="U1129" s="0" t="n">
        <f aca="false">Q1129+S1129</f>
        <v>44.3932004805984</v>
      </c>
      <c r="V1129" s="54" t="b">
        <f aca="false">AND(D1129&gt;=01_因子設定!$L$5-0.000000001,D1129&lt;=01_因子設定!$M$5+0.000000001,E1129&gt;=01_因子設定!$L$6-0.000000001,E1129&lt;=01_因子設定!$M$6+0.000000001,F1129&gt;=01_因子設定!$L$7-0.000000001,F1129&lt;=01_因子設定!$M$7+0.000000001,IF(01_因子設定!$B$20="Box-Behnken",D1129^2+E1129^2+F1129^2&lt;=2+0.000000001,TRUE()))</f>
        <v>1</v>
      </c>
      <c r="W1129" s="55" t="n">
        <f aca="false">IF(V1129,IF(01_因子設定!$B$13="最大化",T1129-01_因子設定!$B$14,IF(01_因子設定!$B$13="最小化",01_因子設定!$B$15-U1129,MIN(T1129-01_因子設定!$B$14,01_因子設定!$B$15-U1129))),-1E+030)</f>
        <v>-6.28903854878017</v>
      </c>
      <c r="X1129" s="55" t="n">
        <f aca="false">IF(V1129,IF(01_因子設定!$B$13="最大化",Q1129,IF(01_因子設定!$B$13="最小化",-Q1129,-ABS(Q1129-01_因子設定!$B$16))),-1E+030)</f>
        <v>43.3020809659091</v>
      </c>
      <c r="Y1129" s="55" t="n">
        <f aca="false">W1129+ROW()*0.000000001</f>
        <v>-6.28903741978017</v>
      </c>
      <c r="Z1129" s="55" t="n">
        <f aca="false">X1129+ROW()*0.000000001</f>
        <v>43.3020820949091</v>
      </c>
    </row>
    <row r="1130" customFormat="false" ht="15" hidden="false" customHeight="false" outlineLevel="0" collapsed="false">
      <c r="A1130" s="0" t="n">
        <v>3</v>
      </c>
      <c r="B1130" s="0" t="n">
        <v>15</v>
      </c>
      <c r="C1130" s="0" t="n">
        <v>3</v>
      </c>
      <c r="D1130" s="0" t="n">
        <f aca="false">-1+A1130*0.125</f>
        <v>-0.625</v>
      </c>
      <c r="E1130" s="0" t="n">
        <f aca="false">-1+B1130*0.125</f>
        <v>0.875</v>
      </c>
      <c r="F1130" s="0" t="n">
        <f aca="false">-1+C1130*0.125</f>
        <v>-0.625</v>
      </c>
      <c r="G1130" s="0" t="n">
        <f aca="false">1</f>
        <v>1</v>
      </c>
      <c r="H1130" s="0" t="n">
        <f aca="false">D1130</f>
        <v>-0.625</v>
      </c>
      <c r="I1130" s="0" t="n">
        <f aca="false">E1130</f>
        <v>0.875</v>
      </c>
      <c r="J1130" s="0" t="n">
        <f aca="false">F1130</f>
        <v>-0.625</v>
      </c>
      <c r="K1130" s="0" t="n">
        <f aca="false">D1130*E1130</f>
        <v>-0.546875</v>
      </c>
      <c r="L1130" s="0" t="n">
        <f aca="false">D1130*F1130</f>
        <v>0.390625</v>
      </c>
      <c r="M1130" s="0" t="n">
        <f aca="false">E1130*F1130</f>
        <v>-0.546875</v>
      </c>
      <c r="N1130" s="0" t="n">
        <f aca="false">D1130*D1130</f>
        <v>0.390625</v>
      </c>
      <c r="O1130" s="0" t="n">
        <f aca="false">E1130*E1130</f>
        <v>0.765625</v>
      </c>
      <c r="P1130" s="0" t="n">
        <f aca="false">F1130*F1130</f>
        <v>0.390625</v>
      </c>
      <c r="Q1130" s="0" t="n">
        <f aca="false">SUMPRODUCT(G1130:P1130,_XtX!$B$71:$K$71)</f>
        <v>43.7378622159091</v>
      </c>
      <c r="R1130" s="0" t="n">
        <f aca="false">SUMPRODUCT(MMULT(G1130:P1130,_XtX!$B$58:$K$67),G1130:P1130)</f>
        <v>0.345470636541193</v>
      </c>
      <c r="S1130" s="0" t="n">
        <f aca="false">04_回帰ANOVA!$K$19*04_回帰ANOVA!$K$14*SQRT(1+R1130)</f>
        <v>1.07845927083227</v>
      </c>
      <c r="T1130" s="0" t="n">
        <f aca="false">Q1130-S1130</f>
        <v>42.6594029450768</v>
      </c>
      <c r="U1130" s="0" t="n">
        <f aca="false">Q1130+S1130</f>
        <v>44.8163214867414</v>
      </c>
      <c r="V1130" s="54" t="b">
        <f aca="false">AND(D1130&gt;=01_因子設定!$L$5-0.000000001,D1130&lt;=01_因子設定!$M$5+0.000000001,E1130&gt;=01_因子設定!$L$6-0.000000001,E1130&lt;=01_因子設定!$M$6+0.000000001,F1130&gt;=01_因子設定!$L$7-0.000000001,F1130&lt;=01_因子設定!$M$7+0.000000001,IF(01_因子設定!$B$20="Box-Behnken",D1130^2+E1130^2+F1130^2&lt;=2+0.000000001,TRUE()))</f>
        <v>1</v>
      </c>
      <c r="W1130" s="55" t="n">
        <f aca="false">IF(V1130,IF(01_因子設定!$B$13="最大化",T1130-01_因子設定!$B$14,IF(01_因子設定!$B$13="最小化",01_因子設定!$B$15-U1130,MIN(T1130-01_因子設定!$B$14,01_因子設定!$B$15-U1130))),-1E+030)</f>
        <v>-5.84059705492317</v>
      </c>
      <c r="X1130" s="55" t="n">
        <f aca="false">IF(V1130,IF(01_因子設定!$B$13="最大化",Q1130,IF(01_因子設定!$B$13="最小化",-Q1130,-ABS(Q1130-01_因子設定!$B$16))),-1E+030)</f>
        <v>43.7378622159091</v>
      </c>
      <c r="Y1130" s="55" t="n">
        <f aca="false">W1130+ROW()*0.000000001</f>
        <v>-5.84059592492317</v>
      </c>
      <c r="Z1130" s="55" t="n">
        <f aca="false">X1130+ROW()*0.000000001</f>
        <v>43.7378633459091</v>
      </c>
    </row>
    <row r="1131" customFormat="false" ht="15" hidden="false" customHeight="false" outlineLevel="0" collapsed="false">
      <c r="A1131" s="0" t="n">
        <v>3</v>
      </c>
      <c r="B1131" s="0" t="n">
        <v>15</v>
      </c>
      <c r="C1131" s="0" t="n">
        <v>4</v>
      </c>
      <c r="D1131" s="0" t="n">
        <f aca="false">-1+A1131*0.125</f>
        <v>-0.625</v>
      </c>
      <c r="E1131" s="0" t="n">
        <f aca="false">-1+B1131*0.125</f>
        <v>0.875</v>
      </c>
      <c r="F1131" s="0" t="n">
        <f aca="false">-1+C1131*0.125</f>
        <v>-0.5</v>
      </c>
      <c r="G1131" s="0" t="n">
        <f aca="false">1</f>
        <v>1</v>
      </c>
      <c r="H1131" s="0" t="n">
        <f aca="false">D1131</f>
        <v>-0.625</v>
      </c>
      <c r="I1131" s="0" t="n">
        <f aca="false">E1131</f>
        <v>0.875</v>
      </c>
      <c r="J1131" s="0" t="n">
        <f aca="false">F1131</f>
        <v>-0.5</v>
      </c>
      <c r="K1131" s="0" t="n">
        <f aca="false">D1131*E1131</f>
        <v>-0.546875</v>
      </c>
      <c r="L1131" s="0" t="n">
        <f aca="false">D1131*F1131</f>
        <v>0.3125</v>
      </c>
      <c r="M1131" s="0" t="n">
        <f aca="false">E1131*F1131</f>
        <v>-0.4375</v>
      </c>
      <c r="N1131" s="0" t="n">
        <f aca="false">D1131*D1131</f>
        <v>0.390625</v>
      </c>
      <c r="O1131" s="0" t="n">
        <f aca="false">E1131*E1131</f>
        <v>0.765625</v>
      </c>
      <c r="P1131" s="0" t="n">
        <f aca="false">F1131*F1131</f>
        <v>0.25</v>
      </c>
      <c r="Q1131" s="0" t="n">
        <f aca="false">SUMPRODUCT(G1131:P1131,_XtX!$B$71:$K$71)</f>
        <v>44.1368536931818</v>
      </c>
      <c r="R1131" s="0" t="n">
        <f aca="false">SUMPRODUCT(MMULT(G1131:P1131,_XtX!$B$58:$K$67),G1131:P1131)</f>
        <v>0.335453102805398</v>
      </c>
      <c r="S1131" s="0" t="n">
        <f aca="false">04_回帰ANOVA!$K$19*04_回帰ANOVA!$K$14*SQRT(1+R1131)</f>
        <v>1.07443700305628</v>
      </c>
      <c r="T1131" s="0" t="n">
        <f aca="false">Q1131-S1131</f>
        <v>43.0624166901256</v>
      </c>
      <c r="U1131" s="0" t="n">
        <f aca="false">Q1131+S1131</f>
        <v>45.2112906962381</v>
      </c>
      <c r="V1131" s="54" t="b">
        <f aca="false">AND(D1131&gt;=01_因子設定!$L$5-0.000000001,D1131&lt;=01_因子設定!$M$5+0.000000001,E1131&gt;=01_因子設定!$L$6-0.000000001,E1131&lt;=01_因子設定!$M$6+0.000000001,F1131&gt;=01_因子設定!$L$7-0.000000001,F1131&lt;=01_因子設定!$M$7+0.000000001,IF(01_因子設定!$B$20="Box-Behnken",D1131^2+E1131^2+F1131^2&lt;=2+0.000000001,TRUE()))</f>
        <v>1</v>
      </c>
      <c r="W1131" s="55" t="n">
        <f aca="false">IF(V1131,IF(01_因子設定!$B$13="最大化",T1131-01_因子設定!$B$14,IF(01_因子設定!$B$13="最小化",01_因子設定!$B$15-U1131,MIN(T1131-01_因子設定!$B$14,01_因子設定!$B$15-U1131))),-1E+030)</f>
        <v>-5.43758330987445</v>
      </c>
      <c r="X1131" s="55" t="n">
        <f aca="false">IF(V1131,IF(01_因子設定!$B$13="最大化",Q1131,IF(01_因子設定!$B$13="最小化",-Q1131,-ABS(Q1131-01_因子設定!$B$16))),-1E+030)</f>
        <v>44.1368536931818</v>
      </c>
      <c r="Y1131" s="55" t="n">
        <f aca="false">W1131+ROW()*0.000000001</f>
        <v>-5.43758217887445</v>
      </c>
      <c r="Z1131" s="55" t="n">
        <f aca="false">X1131+ROW()*0.000000001</f>
        <v>44.1368548241818</v>
      </c>
    </row>
    <row r="1132" customFormat="false" ht="15" hidden="false" customHeight="false" outlineLevel="0" collapsed="false">
      <c r="A1132" s="0" t="n">
        <v>3</v>
      </c>
      <c r="B1132" s="0" t="n">
        <v>15</v>
      </c>
      <c r="C1132" s="0" t="n">
        <v>5</v>
      </c>
      <c r="D1132" s="0" t="n">
        <f aca="false">-1+A1132*0.125</f>
        <v>-0.625</v>
      </c>
      <c r="E1132" s="0" t="n">
        <f aca="false">-1+B1132*0.125</f>
        <v>0.875</v>
      </c>
      <c r="F1132" s="0" t="n">
        <f aca="false">-1+C1132*0.125</f>
        <v>-0.375</v>
      </c>
      <c r="G1132" s="0" t="n">
        <f aca="false">1</f>
        <v>1</v>
      </c>
      <c r="H1132" s="0" t="n">
        <f aca="false">D1132</f>
        <v>-0.625</v>
      </c>
      <c r="I1132" s="0" t="n">
        <f aca="false">E1132</f>
        <v>0.875</v>
      </c>
      <c r="J1132" s="0" t="n">
        <f aca="false">F1132</f>
        <v>-0.375</v>
      </c>
      <c r="K1132" s="0" t="n">
        <f aca="false">D1132*E1132</f>
        <v>-0.546875</v>
      </c>
      <c r="L1132" s="0" t="n">
        <f aca="false">D1132*F1132</f>
        <v>0.234375</v>
      </c>
      <c r="M1132" s="0" t="n">
        <f aca="false">E1132*F1132</f>
        <v>-0.328125</v>
      </c>
      <c r="N1132" s="0" t="n">
        <f aca="false">D1132*D1132</f>
        <v>0.390625</v>
      </c>
      <c r="O1132" s="0" t="n">
        <f aca="false">E1132*E1132</f>
        <v>0.765625</v>
      </c>
      <c r="P1132" s="0" t="n">
        <f aca="false">F1132*F1132</f>
        <v>0.140625</v>
      </c>
      <c r="Q1132" s="0" t="n">
        <f aca="false">SUMPRODUCT(G1132:P1132,_XtX!$B$71:$K$71)</f>
        <v>44.4990553977273</v>
      </c>
      <c r="R1132" s="0" t="n">
        <f aca="false">SUMPRODUCT(MMULT(G1132:P1132,_XtX!$B$58:$K$67),G1132:P1132)</f>
        <v>0.337604869495739</v>
      </c>
      <c r="S1132" s="0" t="n">
        <f aca="false">04_回帰ANOVA!$K$19*04_回帰ANOVA!$K$14*SQRT(1+R1132)</f>
        <v>1.07530225516193</v>
      </c>
      <c r="T1132" s="0" t="n">
        <f aca="false">Q1132-S1132</f>
        <v>43.4237531425653</v>
      </c>
      <c r="U1132" s="0" t="n">
        <f aca="false">Q1132+S1132</f>
        <v>45.5743576528892</v>
      </c>
      <c r="V1132" s="54" t="b">
        <f aca="false">AND(D1132&gt;=01_因子設定!$L$5-0.000000001,D1132&lt;=01_因子設定!$M$5+0.000000001,E1132&gt;=01_因子設定!$L$6-0.000000001,E1132&lt;=01_因子設定!$M$6+0.000000001,F1132&gt;=01_因子設定!$L$7-0.000000001,F1132&lt;=01_因子設定!$M$7+0.000000001,IF(01_因子設定!$B$20="Box-Behnken",D1132^2+E1132^2+F1132^2&lt;=2+0.000000001,TRUE()))</f>
        <v>1</v>
      </c>
      <c r="W1132" s="55" t="n">
        <f aca="false">IF(V1132,IF(01_因子設定!$B$13="最大化",T1132-01_因子設定!$B$14,IF(01_因子設定!$B$13="最小化",01_因子設定!$B$15-U1132,MIN(T1132-01_因子設定!$B$14,01_因子設定!$B$15-U1132))),-1E+030)</f>
        <v>-5.07624685743465</v>
      </c>
      <c r="X1132" s="55" t="n">
        <f aca="false">IF(V1132,IF(01_因子設定!$B$13="最大化",Q1132,IF(01_因子設定!$B$13="最小化",-Q1132,-ABS(Q1132-01_因子設定!$B$16))),-1E+030)</f>
        <v>44.4990553977273</v>
      </c>
      <c r="Y1132" s="55" t="n">
        <f aca="false">W1132+ROW()*0.000000001</f>
        <v>-5.07624572543465</v>
      </c>
      <c r="Z1132" s="55" t="n">
        <f aca="false">X1132+ROW()*0.000000001</f>
        <v>44.4990565297273</v>
      </c>
    </row>
    <row r="1133" customFormat="false" ht="15" hidden="false" customHeight="false" outlineLevel="0" collapsed="false">
      <c r="A1133" s="0" t="n">
        <v>3</v>
      </c>
      <c r="B1133" s="0" t="n">
        <v>15</v>
      </c>
      <c r="C1133" s="0" t="n">
        <v>6</v>
      </c>
      <c r="D1133" s="0" t="n">
        <f aca="false">-1+A1133*0.125</f>
        <v>-0.625</v>
      </c>
      <c r="E1133" s="0" t="n">
        <f aca="false">-1+B1133*0.125</f>
        <v>0.875</v>
      </c>
      <c r="F1133" s="0" t="n">
        <f aca="false">-1+C1133*0.125</f>
        <v>-0.25</v>
      </c>
      <c r="G1133" s="0" t="n">
        <f aca="false">1</f>
        <v>1</v>
      </c>
      <c r="H1133" s="0" t="n">
        <f aca="false">D1133</f>
        <v>-0.625</v>
      </c>
      <c r="I1133" s="0" t="n">
        <f aca="false">E1133</f>
        <v>0.875</v>
      </c>
      <c r="J1133" s="0" t="n">
        <f aca="false">F1133</f>
        <v>-0.25</v>
      </c>
      <c r="K1133" s="0" t="n">
        <f aca="false">D1133*E1133</f>
        <v>-0.546875</v>
      </c>
      <c r="L1133" s="0" t="n">
        <f aca="false">D1133*F1133</f>
        <v>0.15625</v>
      </c>
      <c r="M1133" s="0" t="n">
        <f aca="false">E1133*F1133</f>
        <v>-0.21875</v>
      </c>
      <c r="N1133" s="0" t="n">
        <f aca="false">D1133*D1133</f>
        <v>0.390625</v>
      </c>
      <c r="O1133" s="0" t="n">
        <f aca="false">E1133*E1133</f>
        <v>0.765625</v>
      </c>
      <c r="P1133" s="0" t="n">
        <f aca="false">F1133*F1133</f>
        <v>0.0625</v>
      </c>
      <c r="Q1133" s="0" t="n">
        <f aca="false">SUMPRODUCT(G1133:P1133,_XtX!$B$71:$K$71)</f>
        <v>44.8244673295455</v>
      </c>
      <c r="R1133" s="0" t="n">
        <f aca="false">SUMPRODUCT(MMULT(G1133:P1133,_XtX!$B$58:$K$67),G1133:P1133)</f>
        <v>0.34446855024858</v>
      </c>
      <c r="S1133" s="0" t="n">
        <f aca="false">04_回帰ANOVA!$K$19*04_回帰ANOVA!$K$14*SQRT(1+R1133)</f>
        <v>1.07805758590432</v>
      </c>
      <c r="T1133" s="0" t="n">
        <f aca="false">Q1133-S1133</f>
        <v>43.7464097436411</v>
      </c>
      <c r="U1133" s="0" t="n">
        <f aca="false">Q1133+S1133</f>
        <v>45.9025249154498</v>
      </c>
      <c r="V1133" s="54" t="b">
        <f aca="false">AND(D1133&gt;=01_因子設定!$L$5-0.000000001,D1133&lt;=01_因子設定!$M$5+0.000000001,E1133&gt;=01_因子設定!$L$6-0.000000001,E1133&lt;=01_因子設定!$M$6+0.000000001,F1133&gt;=01_因子設定!$L$7-0.000000001,F1133&lt;=01_因子設定!$M$7+0.000000001,IF(01_因子設定!$B$20="Box-Behnken",D1133^2+E1133^2+F1133^2&lt;=2+0.000000001,TRUE()))</f>
        <v>1</v>
      </c>
      <c r="W1133" s="55" t="n">
        <f aca="false">IF(V1133,IF(01_因子設定!$B$13="最大化",T1133-01_因子設定!$B$14,IF(01_因子設定!$B$13="最小化",01_因子設定!$B$15-U1133,MIN(T1133-01_因子設定!$B$14,01_因子設定!$B$15-U1133))),-1E+030)</f>
        <v>-4.75359025635886</v>
      </c>
      <c r="X1133" s="55" t="n">
        <f aca="false">IF(V1133,IF(01_因子設定!$B$13="最大化",Q1133,IF(01_因子設定!$B$13="最小化",-Q1133,-ABS(Q1133-01_因子設定!$B$16))),-1E+030)</f>
        <v>44.8244673295455</v>
      </c>
      <c r="Y1133" s="55" t="n">
        <f aca="false">W1133+ROW()*0.000000001</f>
        <v>-4.75358912335886</v>
      </c>
      <c r="Z1133" s="55" t="n">
        <f aca="false">X1133+ROW()*0.000000001</f>
        <v>44.8244684625455</v>
      </c>
    </row>
    <row r="1134" customFormat="false" ht="15" hidden="false" customHeight="false" outlineLevel="0" collapsed="false">
      <c r="A1134" s="0" t="n">
        <v>3</v>
      </c>
      <c r="B1134" s="0" t="n">
        <v>15</v>
      </c>
      <c r="C1134" s="0" t="n">
        <v>7</v>
      </c>
      <c r="D1134" s="0" t="n">
        <f aca="false">-1+A1134*0.125</f>
        <v>-0.625</v>
      </c>
      <c r="E1134" s="0" t="n">
        <f aca="false">-1+B1134*0.125</f>
        <v>0.875</v>
      </c>
      <c r="F1134" s="0" t="n">
        <f aca="false">-1+C1134*0.125</f>
        <v>-0.125</v>
      </c>
      <c r="G1134" s="0" t="n">
        <f aca="false">1</f>
        <v>1</v>
      </c>
      <c r="H1134" s="0" t="n">
        <f aca="false">D1134</f>
        <v>-0.625</v>
      </c>
      <c r="I1134" s="0" t="n">
        <f aca="false">E1134</f>
        <v>0.875</v>
      </c>
      <c r="J1134" s="0" t="n">
        <f aca="false">F1134</f>
        <v>-0.125</v>
      </c>
      <c r="K1134" s="0" t="n">
        <f aca="false">D1134*E1134</f>
        <v>-0.546875</v>
      </c>
      <c r="L1134" s="0" t="n">
        <f aca="false">D1134*F1134</f>
        <v>0.078125</v>
      </c>
      <c r="M1134" s="0" t="n">
        <f aca="false">E1134*F1134</f>
        <v>-0.109375</v>
      </c>
      <c r="N1134" s="0" t="n">
        <f aca="false">D1134*D1134</f>
        <v>0.390625</v>
      </c>
      <c r="O1134" s="0" t="n">
        <f aca="false">E1134*E1134</f>
        <v>0.765625</v>
      </c>
      <c r="P1134" s="0" t="n">
        <f aca="false">F1134*F1134</f>
        <v>0.015625</v>
      </c>
      <c r="Q1134" s="0" t="n">
        <f aca="false">SUMPRODUCT(G1134:P1134,_XtX!$B$71:$K$71)</f>
        <v>45.1130894886364</v>
      </c>
      <c r="R1134" s="0" t="n">
        <f aca="false">SUMPRODUCT(MMULT(G1134:P1134,_XtX!$B$58:$K$67),G1134:P1134)</f>
        <v>0.350717440518466</v>
      </c>
      <c r="S1134" s="0" t="n">
        <f aca="false">04_回帰ANOVA!$K$19*04_回帰ANOVA!$K$14*SQRT(1+R1134)</f>
        <v>1.08056000737898</v>
      </c>
      <c r="T1134" s="0" t="n">
        <f aca="false">Q1134-S1134</f>
        <v>44.0325294812574</v>
      </c>
      <c r="U1134" s="0" t="n">
        <f aca="false">Q1134+S1134</f>
        <v>46.1936494960154</v>
      </c>
      <c r="V1134" s="54" t="b">
        <f aca="false">AND(D1134&gt;=01_因子設定!$L$5-0.000000001,D1134&lt;=01_因子設定!$M$5+0.000000001,E1134&gt;=01_因子設定!$L$6-0.000000001,E1134&lt;=01_因子設定!$M$6+0.000000001,F1134&gt;=01_因子設定!$L$7-0.000000001,F1134&lt;=01_因子設定!$M$7+0.000000001,IF(01_因子設定!$B$20="Box-Behnken",D1134^2+E1134^2+F1134^2&lt;=2+0.000000001,TRUE()))</f>
        <v>1</v>
      </c>
      <c r="W1134" s="55" t="n">
        <f aca="false">IF(V1134,IF(01_因子設定!$B$13="最大化",T1134-01_因子設定!$B$14,IF(01_因子設定!$B$13="最小化",01_因子設定!$B$15-U1134,MIN(T1134-01_因子設定!$B$14,01_因子設定!$B$15-U1134))),-1E+030)</f>
        <v>-4.46747051874261</v>
      </c>
      <c r="X1134" s="55" t="n">
        <f aca="false">IF(V1134,IF(01_因子設定!$B$13="最大化",Q1134,IF(01_因子設定!$B$13="最小化",-Q1134,-ABS(Q1134-01_因子設定!$B$16))),-1E+030)</f>
        <v>45.1130894886364</v>
      </c>
      <c r="Y1134" s="55" t="n">
        <f aca="false">W1134+ROW()*0.000000001</f>
        <v>-4.46746938474261</v>
      </c>
      <c r="Z1134" s="55" t="n">
        <f aca="false">X1134+ROW()*0.000000001</f>
        <v>45.1130906226364</v>
      </c>
    </row>
    <row r="1135" customFormat="false" ht="15" hidden="false" customHeight="false" outlineLevel="0" collapsed="false">
      <c r="A1135" s="0" t="n">
        <v>3</v>
      </c>
      <c r="B1135" s="0" t="n">
        <v>15</v>
      </c>
      <c r="C1135" s="0" t="n">
        <v>8</v>
      </c>
      <c r="D1135" s="0" t="n">
        <f aca="false">-1+A1135*0.125</f>
        <v>-0.625</v>
      </c>
      <c r="E1135" s="0" t="n">
        <f aca="false">-1+B1135*0.125</f>
        <v>0.875</v>
      </c>
      <c r="F1135" s="0" t="n">
        <f aca="false">-1+C1135*0.125</f>
        <v>0</v>
      </c>
      <c r="G1135" s="0" t="n">
        <f aca="false">1</f>
        <v>1</v>
      </c>
      <c r="H1135" s="0" t="n">
        <f aca="false">D1135</f>
        <v>-0.625</v>
      </c>
      <c r="I1135" s="0" t="n">
        <f aca="false">E1135</f>
        <v>0.875</v>
      </c>
      <c r="J1135" s="0" t="n">
        <f aca="false">F1135</f>
        <v>0</v>
      </c>
      <c r="K1135" s="0" t="n">
        <f aca="false">D1135*E1135</f>
        <v>-0.546875</v>
      </c>
      <c r="L1135" s="0" t="n">
        <f aca="false">D1135*F1135</f>
        <v>-0</v>
      </c>
      <c r="M1135" s="0" t="n">
        <f aca="false">E1135*F1135</f>
        <v>0</v>
      </c>
      <c r="N1135" s="0" t="n">
        <f aca="false">D1135*D1135</f>
        <v>0.390625</v>
      </c>
      <c r="O1135" s="0" t="n">
        <f aca="false">E1135*E1135</f>
        <v>0.765625</v>
      </c>
      <c r="P1135" s="0" t="n">
        <f aca="false">F1135*F1135</f>
        <v>0</v>
      </c>
      <c r="Q1135" s="0" t="n">
        <f aca="false">SUMPRODUCT(G1135:P1135,_XtX!$B$71:$K$71)</f>
        <v>45.364921875</v>
      </c>
      <c r="R1135" s="0" t="n">
        <f aca="false">SUMPRODUCT(MMULT(G1135:P1135,_XtX!$B$58:$K$67),G1135:P1135)</f>
        <v>0.353155517578125</v>
      </c>
      <c r="S1135" s="0" t="n">
        <f aca="false">04_回帰ANOVA!$K$19*04_回帰ANOVA!$K$14*SQRT(1+R1135)</f>
        <v>1.08153478594098</v>
      </c>
      <c r="T1135" s="0" t="n">
        <f aca="false">Q1135-S1135</f>
        <v>44.283387089059</v>
      </c>
      <c r="U1135" s="0" t="n">
        <f aca="false">Q1135+S1135</f>
        <v>46.446456660941</v>
      </c>
      <c r="V1135" s="54" t="b">
        <f aca="false">AND(D1135&gt;=01_因子設定!$L$5-0.000000001,D1135&lt;=01_因子設定!$M$5+0.000000001,E1135&gt;=01_因子設定!$L$6-0.000000001,E1135&lt;=01_因子設定!$M$6+0.000000001,F1135&gt;=01_因子設定!$L$7-0.000000001,F1135&lt;=01_因子設定!$M$7+0.000000001,IF(01_因子設定!$B$20="Box-Behnken",D1135^2+E1135^2+F1135^2&lt;=2+0.000000001,TRUE()))</f>
        <v>1</v>
      </c>
      <c r="W1135" s="55" t="n">
        <f aca="false">IF(V1135,IF(01_因子設定!$B$13="最大化",T1135-01_因子設定!$B$14,IF(01_因子設定!$B$13="最小化",01_因子設定!$B$15-U1135,MIN(T1135-01_因子設定!$B$14,01_因子設定!$B$15-U1135))),-1E+030)</f>
        <v>-4.21661291094098</v>
      </c>
      <c r="X1135" s="55" t="n">
        <f aca="false">IF(V1135,IF(01_因子設定!$B$13="最大化",Q1135,IF(01_因子設定!$B$13="最小化",-Q1135,-ABS(Q1135-01_因子設定!$B$16))),-1E+030)</f>
        <v>45.364921875</v>
      </c>
      <c r="Y1135" s="55" t="n">
        <f aca="false">W1135+ROW()*0.000000001</f>
        <v>-4.21661177594098</v>
      </c>
      <c r="Z1135" s="55" t="n">
        <f aca="false">X1135+ROW()*0.000000001</f>
        <v>45.36492301</v>
      </c>
    </row>
    <row r="1136" customFormat="false" ht="15" hidden="false" customHeight="false" outlineLevel="0" collapsed="false">
      <c r="A1136" s="0" t="n">
        <v>3</v>
      </c>
      <c r="B1136" s="0" t="n">
        <v>15</v>
      </c>
      <c r="C1136" s="0" t="n">
        <v>9</v>
      </c>
      <c r="D1136" s="0" t="n">
        <f aca="false">-1+A1136*0.125</f>
        <v>-0.625</v>
      </c>
      <c r="E1136" s="0" t="n">
        <f aca="false">-1+B1136*0.125</f>
        <v>0.875</v>
      </c>
      <c r="F1136" s="0" t="n">
        <f aca="false">-1+C1136*0.125</f>
        <v>0.125</v>
      </c>
      <c r="G1136" s="0" t="n">
        <f aca="false">1</f>
        <v>1</v>
      </c>
      <c r="H1136" s="0" t="n">
        <f aca="false">D1136</f>
        <v>-0.625</v>
      </c>
      <c r="I1136" s="0" t="n">
        <f aca="false">E1136</f>
        <v>0.875</v>
      </c>
      <c r="J1136" s="0" t="n">
        <f aca="false">F1136</f>
        <v>0.125</v>
      </c>
      <c r="K1136" s="0" t="n">
        <f aca="false">D1136*E1136</f>
        <v>-0.546875</v>
      </c>
      <c r="L1136" s="0" t="n">
        <f aca="false">D1136*F1136</f>
        <v>-0.078125</v>
      </c>
      <c r="M1136" s="0" t="n">
        <f aca="false">E1136*F1136</f>
        <v>0.109375</v>
      </c>
      <c r="N1136" s="0" t="n">
        <f aca="false">D1136*D1136</f>
        <v>0.390625</v>
      </c>
      <c r="O1136" s="0" t="n">
        <f aca="false">E1136*E1136</f>
        <v>0.765625</v>
      </c>
      <c r="P1136" s="0" t="n">
        <f aca="false">F1136*F1136</f>
        <v>0.015625</v>
      </c>
      <c r="Q1136" s="0" t="n">
        <f aca="false">SUMPRODUCT(G1136:P1136,_XtX!$B$71:$K$71)</f>
        <v>45.5799644886364</v>
      </c>
      <c r="R1136" s="0" t="n">
        <f aca="false">SUMPRODUCT(MMULT(G1136:P1136,_XtX!$B$58:$K$67),G1136:P1136)</f>
        <v>0.350717440518466</v>
      </c>
      <c r="S1136" s="0" t="n">
        <f aca="false">04_回帰ANOVA!$K$19*04_回帰ANOVA!$K$14*SQRT(1+R1136)</f>
        <v>1.08056000737898</v>
      </c>
      <c r="T1136" s="0" t="n">
        <f aca="false">Q1136-S1136</f>
        <v>44.4994044812574</v>
      </c>
      <c r="U1136" s="0" t="n">
        <f aca="false">Q1136+S1136</f>
        <v>46.6605244960153</v>
      </c>
      <c r="V1136" s="54" t="b">
        <f aca="false">AND(D1136&gt;=01_因子設定!$L$5-0.000000001,D1136&lt;=01_因子設定!$M$5+0.000000001,E1136&gt;=01_因子設定!$L$6-0.000000001,E1136&lt;=01_因子設定!$M$6+0.000000001,F1136&gt;=01_因子設定!$L$7-0.000000001,F1136&lt;=01_因子設定!$M$7+0.000000001,IF(01_因子設定!$B$20="Box-Behnken",D1136^2+E1136^2+F1136^2&lt;=2+0.000000001,TRUE()))</f>
        <v>1</v>
      </c>
      <c r="W1136" s="55" t="n">
        <f aca="false">IF(V1136,IF(01_因子設定!$B$13="最大化",T1136-01_因子設定!$B$14,IF(01_因子設定!$B$13="最小化",01_因子設定!$B$15-U1136,MIN(T1136-01_因子設定!$B$14,01_因子設定!$B$15-U1136))),-1E+030)</f>
        <v>-4.00059551874261</v>
      </c>
      <c r="X1136" s="55" t="n">
        <f aca="false">IF(V1136,IF(01_因子設定!$B$13="最大化",Q1136,IF(01_因子設定!$B$13="最小化",-Q1136,-ABS(Q1136-01_因子設定!$B$16))),-1E+030)</f>
        <v>45.5799644886364</v>
      </c>
      <c r="Y1136" s="55" t="n">
        <f aca="false">W1136+ROW()*0.000000001</f>
        <v>-4.00059438274261</v>
      </c>
      <c r="Z1136" s="55" t="n">
        <f aca="false">X1136+ROW()*0.000000001</f>
        <v>45.5799656246364</v>
      </c>
    </row>
    <row r="1137" customFormat="false" ht="15" hidden="false" customHeight="false" outlineLevel="0" collapsed="false">
      <c r="A1137" s="0" t="n">
        <v>3</v>
      </c>
      <c r="B1137" s="0" t="n">
        <v>15</v>
      </c>
      <c r="C1137" s="0" t="n">
        <v>10</v>
      </c>
      <c r="D1137" s="0" t="n">
        <f aca="false">-1+A1137*0.125</f>
        <v>-0.625</v>
      </c>
      <c r="E1137" s="0" t="n">
        <f aca="false">-1+B1137*0.125</f>
        <v>0.875</v>
      </c>
      <c r="F1137" s="0" t="n">
        <f aca="false">-1+C1137*0.125</f>
        <v>0.25</v>
      </c>
      <c r="G1137" s="0" t="n">
        <f aca="false">1</f>
        <v>1</v>
      </c>
      <c r="H1137" s="0" t="n">
        <f aca="false">D1137</f>
        <v>-0.625</v>
      </c>
      <c r="I1137" s="0" t="n">
        <f aca="false">E1137</f>
        <v>0.875</v>
      </c>
      <c r="J1137" s="0" t="n">
        <f aca="false">F1137</f>
        <v>0.25</v>
      </c>
      <c r="K1137" s="0" t="n">
        <f aca="false">D1137*E1137</f>
        <v>-0.546875</v>
      </c>
      <c r="L1137" s="0" t="n">
        <f aca="false">D1137*F1137</f>
        <v>-0.15625</v>
      </c>
      <c r="M1137" s="0" t="n">
        <f aca="false">E1137*F1137</f>
        <v>0.21875</v>
      </c>
      <c r="N1137" s="0" t="n">
        <f aca="false">D1137*D1137</f>
        <v>0.390625</v>
      </c>
      <c r="O1137" s="0" t="n">
        <f aca="false">E1137*E1137</f>
        <v>0.765625</v>
      </c>
      <c r="P1137" s="0" t="n">
        <f aca="false">F1137*F1137</f>
        <v>0.0625</v>
      </c>
      <c r="Q1137" s="0" t="n">
        <f aca="false">SUMPRODUCT(G1137:P1137,_XtX!$B$71:$K$71)</f>
        <v>45.7582173295455</v>
      </c>
      <c r="R1137" s="0" t="n">
        <f aca="false">SUMPRODUCT(MMULT(G1137:P1137,_XtX!$B$58:$K$67),G1137:P1137)</f>
        <v>0.34446855024858</v>
      </c>
      <c r="S1137" s="0" t="n">
        <f aca="false">04_回帰ANOVA!$K$19*04_回帰ANOVA!$K$14*SQRT(1+R1137)</f>
        <v>1.07805758590432</v>
      </c>
      <c r="T1137" s="0" t="n">
        <f aca="false">Q1137-S1137</f>
        <v>44.6801597436411</v>
      </c>
      <c r="U1137" s="0" t="n">
        <f aca="false">Q1137+S1137</f>
        <v>46.8362749154498</v>
      </c>
      <c r="V1137" s="54" t="b">
        <f aca="false">AND(D1137&gt;=01_因子設定!$L$5-0.000000001,D1137&lt;=01_因子設定!$M$5+0.000000001,E1137&gt;=01_因子設定!$L$6-0.000000001,E1137&lt;=01_因子設定!$M$6+0.000000001,F1137&gt;=01_因子設定!$L$7-0.000000001,F1137&lt;=01_因子設定!$M$7+0.000000001,IF(01_因子設定!$B$20="Box-Behnken",D1137^2+E1137^2+F1137^2&lt;=2+0.000000001,TRUE()))</f>
        <v>1</v>
      </c>
      <c r="W1137" s="55" t="n">
        <f aca="false">IF(V1137,IF(01_因子設定!$B$13="最大化",T1137-01_因子設定!$B$14,IF(01_因子設定!$B$13="最小化",01_因子設定!$B$15-U1137,MIN(T1137-01_因子設定!$B$14,01_因子設定!$B$15-U1137))),-1E+030)</f>
        <v>-3.81984025635886</v>
      </c>
      <c r="X1137" s="55" t="n">
        <f aca="false">IF(V1137,IF(01_因子設定!$B$13="最大化",Q1137,IF(01_因子設定!$B$13="最小化",-Q1137,-ABS(Q1137-01_因子設定!$B$16))),-1E+030)</f>
        <v>45.7582173295455</v>
      </c>
      <c r="Y1137" s="55" t="n">
        <f aca="false">W1137+ROW()*0.000000001</f>
        <v>-3.81983911935886</v>
      </c>
      <c r="Z1137" s="55" t="n">
        <f aca="false">X1137+ROW()*0.000000001</f>
        <v>45.7582184665455</v>
      </c>
    </row>
    <row r="1138" customFormat="false" ht="15" hidden="false" customHeight="false" outlineLevel="0" collapsed="false">
      <c r="A1138" s="0" t="n">
        <v>3</v>
      </c>
      <c r="B1138" s="0" t="n">
        <v>15</v>
      </c>
      <c r="C1138" s="0" t="n">
        <v>11</v>
      </c>
      <c r="D1138" s="0" t="n">
        <f aca="false">-1+A1138*0.125</f>
        <v>-0.625</v>
      </c>
      <c r="E1138" s="0" t="n">
        <f aca="false">-1+B1138*0.125</f>
        <v>0.875</v>
      </c>
      <c r="F1138" s="0" t="n">
        <f aca="false">-1+C1138*0.125</f>
        <v>0.375</v>
      </c>
      <c r="G1138" s="0" t="n">
        <f aca="false">1</f>
        <v>1</v>
      </c>
      <c r="H1138" s="0" t="n">
        <f aca="false">D1138</f>
        <v>-0.625</v>
      </c>
      <c r="I1138" s="0" t="n">
        <f aca="false">E1138</f>
        <v>0.875</v>
      </c>
      <c r="J1138" s="0" t="n">
        <f aca="false">F1138</f>
        <v>0.375</v>
      </c>
      <c r="K1138" s="0" t="n">
        <f aca="false">D1138*E1138</f>
        <v>-0.546875</v>
      </c>
      <c r="L1138" s="0" t="n">
        <f aca="false">D1138*F1138</f>
        <v>-0.234375</v>
      </c>
      <c r="M1138" s="0" t="n">
        <f aca="false">E1138*F1138</f>
        <v>0.328125</v>
      </c>
      <c r="N1138" s="0" t="n">
        <f aca="false">D1138*D1138</f>
        <v>0.390625</v>
      </c>
      <c r="O1138" s="0" t="n">
        <f aca="false">E1138*E1138</f>
        <v>0.765625</v>
      </c>
      <c r="P1138" s="0" t="n">
        <f aca="false">F1138*F1138</f>
        <v>0.140625</v>
      </c>
      <c r="Q1138" s="0" t="n">
        <f aca="false">SUMPRODUCT(G1138:P1138,_XtX!$B$71:$K$71)</f>
        <v>45.8996803977273</v>
      </c>
      <c r="R1138" s="0" t="n">
        <f aca="false">SUMPRODUCT(MMULT(G1138:P1138,_XtX!$B$58:$K$67),G1138:P1138)</f>
        <v>0.337604869495739</v>
      </c>
      <c r="S1138" s="0" t="n">
        <f aca="false">04_回帰ANOVA!$K$19*04_回帰ANOVA!$K$14*SQRT(1+R1138)</f>
        <v>1.07530225516193</v>
      </c>
      <c r="T1138" s="0" t="n">
        <f aca="false">Q1138-S1138</f>
        <v>44.8243781425654</v>
      </c>
      <c r="U1138" s="0" t="n">
        <f aca="false">Q1138+S1138</f>
        <v>46.9749826528892</v>
      </c>
      <c r="V1138" s="54" t="b">
        <f aca="false">AND(D1138&gt;=01_因子設定!$L$5-0.000000001,D1138&lt;=01_因子設定!$M$5+0.000000001,E1138&gt;=01_因子設定!$L$6-0.000000001,E1138&lt;=01_因子設定!$M$6+0.000000001,F1138&gt;=01_因子設定!$L$7-0.000000001,F1138&lt;=01_因子設定!$M$7+0.000000001,IF(01_因子設定!$B$20="Box-Behnken",D1138^2+E1138^2+F1138^2&lt;=2+0.000000001,TRUE()))</f>
        <v>1</v>
      </c>
      <c r="W1138" s="55" t="n">
        <f aca="false">IF(V1138,IF(01_因子設定!$B$13="最大化",T1138-01_因子設定!$B$14,IF(01_因子設定!$B$13="最小化",01_因子設定!$B$15-U1138,MIN(T1138-01_因子設定!$B$14,01_因子設定!$B$15-U1138))),-1E+030)</f>
        <v>-3.67562185743465</v>
      </c>
      <c r="X1138" s="55" t="n">
        <f aca="false">IF(V1138,IF(01_因子設定!$B$13="最大化",Q1138,IF(01_因子設定!$B$13="最小化",-Q1138,-ABS(Q1138-01_因子設定!$B$16))),-1E+030)</f>
        <v>45.8996803977273</v>
      </c>
      <c r="Y1138" s="55" t="n">
        <f aca="false">W1138+ROW()*0.000000001</f>
        <v>-3.67562071943465</v>
      </c>
      <c r="Z1138" s="55" t="n">
        <f aca="false">X1138+ROW()*0.000000001</f>
        <v>45.8996815357273</v>
      </c>
    </row>
    <row r="1139" customFormat="false" ht="15" hidden="false" customHeight="false" outlineLevel="0" collapsed="false">
      <c r="A1139" s="0" t="n">
        <v>3</v>
      </c>
      <c r="B1139" s="0" t="n">
        <v>15</v>
      </c>
      <c r="C1139" s="0" t="n">
        <v>12</v>
      </c>
      <c r="D1139" s="0" t="n">
        <f aca="false">-1+A1139*0.125</f>
        <v>-0.625</v>
      </c>
      <c r="E1139" s="0" t="n">
        <f aca="false">-1+B1139*0.125</f>
        <v>0.875</v>
      </c>
      <c r="F1139" s="0" t="n">
        <f aca="false">-1+C1139*0.125</f>
        <v>0.5</v>
      </c>
      <c r="G1139" s="0" t="n">
        <f aca="false">1</f>
        <v>1</v>
      </c>
      <c r="H1139" s="0" t="n">
        <f aca="false">D1139</f>
        <v>-0.625</v>
      </c>
      <c r="I1139" s="0" t="n">
        <f aca="false">E1139</f>
        <v>0.875</v>
      </c>
      <c r="J1139" s="0" t="n">
        <f aca="false">F1139</f>
        <v>0.5</v>
      </c>
      <c r="K1139" s="0" t="n">
        <f aca="false">D1139*E1139</f>
        <v>-0.546875</v>
      </c>
      <c r="L1139" s="0" t="n">
        <f aca="false">D1139*F1139</f>
        <v>-0.3125</v>
      </c>
      <c r="M1139" s="0" t="n">
        <f aca="false">E1139*F1139</f>
        <v>0.4375</v>
      </c>
      <c r="N1139" s="0" t="n">
        <f aca="false">D1139*D1139</f>
        <v>0.390625</v>
      </c>
      <c r="O1139" s="0" t="n">
        <f aca="false">E1139*E1139</f>
        <v>0.765625</v>
      </c>
      <c r="P1139" s="0" t="n">
        <f aca="false">F1139*F1139</f>
        <v>0.25</v>
      </c>
      <c r="Q1139" s="0" t="n">
        <f aca="false">SUMPRODUCT(G1139:P1139,_XtX!$B$71:$K$71)</f>
        <v>46.0043536931818</v>
      </c>
      <c r="R1139" s="0" t="n">
        <f aca="false">SUMPRODUCT(MMULT(G1139:P1139,_XtX!$B$58:$K$67),G1139:P1139)</f>
        <v>0.335453102805398</v>
      </c>
      <c r="S1139" s="0" t="n">
        <f aca="false">04_回帰ANOVA!$K$19*04_回帰ANOVA!$K$14*SQRT(1+R1139)</f>
        <v>1.07443700305628</v>
      </c>
      <c r="T1139" s="0" t="n">
        <f aca="false">Q1139-S1139</f>
        <v>44.9299166901256</v>
      </c>
      <c r="U1139" s="0" t="n">
        <f aca="false">Q1139+S1139</f>
        <v>47.0787906962381</v>
      </c>
      <c r="V1139" s="54" t="b">
        <f aca="false">AND(D1139&gt;=01_因子設定!$L$5-0.000000001,D1139&lt;=01_因子設定!$M$5+0.000000001,E1139&gt;=01_因子設定!$L$6-0.000000001,E1139&lt;=01_因子設定!$M$6+0.000000001,F1139&gt;=01_因子設定!$L$7-0.000000001,F1139&lt;=01_因子設定!$M$7+0.000000001,IF(01_因子設定!$B$20="Box-Behnken",D1139^2+E1139^2+F1139^2&lt;=2+0.000000001,TRUE()))</f>
        <v>1</v>
      </c>
      <c r="W1139" s="55" t="n">
        <f aca="false">IF(V1139,IF(01_因子設定!$B$13="最大化",T1139-01_因子設定!$B$14,IF(01_因子設定!$B$13="最小化",01_因子設定!$B$15-U1139,MIN(T1139-01_因子設定!$B$14,01_因子設定!$B$15-U1139))),-1E+030)</f>
        <v>-3.57008330987445</v>
      </c>
      <c r="X1139" s="55" t="n">
        <f aca="false">IF(V1139,IF(01_因子設定!$B$13="最大化",Q1139,IF(01_因子設定!$B$13="最小化",-Q1139,-ABS(Q1139-01_因子設定!$B$16))),-1E+030)</f>
        <v>46.0043536931818</v>
      </c>
      <c r="Y1139" s="55" t="n">
        <f aca="false">W1139+ROW()*0.000000001</f>
        <v>-3.57008217087445</v>
      </c>
      <c r="Z1139" s="55" t="n">
        <f aca="false">X1139+ROW()*0.000000001</f>
        <v>46.0043548321818</v>
      </c>
    </row>
    <row r="1140" customFormat="false" ht="15" hidden="false" customHeight="false" outlineLevel="0" collapsed="false">
      <c r="A1140" s="0" t="n">
        <v>3</v>
      </c>
      <c r="B1140" s="0" t="n">
        <v>15</v>
      </c>
      <c r="C1140" s="0" t="n">
        <v>13</v>
      </c>
      <c r="D1140" s="0" t="n">
        <f aca="false">-1+A1140*0.125</f>
        <v>-0.625</v>
      </c>
      <c r="E1140" s="0" t="n">
        <f aca="false">-1+B1140*0.125</f>
        <v>0.875</v>
      </c>
      <c r="F1140" s="0" t="n">
        <f aca="false">-1+C1140*0.125</f>
        <v>0.625</v>
      </c>
      <c r="G1140" s="0" t="n">
        <f aca="false">1</f>
        <v>1</v>
      </c>
      <c r="H1140" s="0" t="n">
        <f aca="false">D1140</f>
        <v>-0.625</v>
      </c>
      <c r="I1140" s="0" t="n">
        <f aca="false">E1140</f>
        <v>0.875</v>
      </c>
      <c r="J1140" s="0" t="n">
        <f aca="false">F1140</f>
        <v>0.625</v>
      </c>
      <c r="K1140" s="0" t="n">
        <f aca="false">D1140*E1140</f>
        <v>-0.546875</v>
      </c>
      <c r="L1140" s="0" t="n">
        <f aca="false">D1140*F1140</f>
        <v>-0.390625</v>
      </c>
      <c r="M1140" s="0" t="n">
        <f aca="false">E1140*F1140</f>
        <v>0.546875</v>
      </c>
      <c r="N1140" s="0" t="n">
        <f aca="false">D1140*D1140</f>
        <v>0.390625</v>
      </c>
      <c r="O1140" s="0" t="n">
        <f aca="false">E1140*E1140</f>
        <v>0.765625</v>
      </c>
      <c r="P1140" s="0" t="n">
        <f aca="false">F1140*F1140</f>
        <v>0.390625</v>
      </c>
      <c r="Q1140" s="0" t="n">
        <f aca="false">SUMPRODUCT(G1140:P1140,_XtX!$B$71:$K$71)</f>
        <v>46.0722372159091</v>
      </c>
      <c r="R1140" s="0" t="n">
        <f aca="false">SUMPRODUCT(MMULT(G1140:P1140,_XtX!$B$58:$K$67),G1140:P1140)</f>
        <v>0.345470636541193</v>
      </c>
      <c r="S1140" s="0" t="n">
        <f aca="false">04_回帰ANOVA!$K$19*04_回帰ANOVA!$K$14*SQRT(1+R1140)</f>
        <v>1.07845927083227</v>
      </c>
      <c r="T1140" s="0" t="n">
        <f aca="false">Q1140-S1140</f>
        <v>44.9937779450768</v>
      </c>
      <c r="U1140" s="0" t="n">
        <f aca="false">Q1140+S1140</f>
        <v>47.1506964867414</v>
      </c>
      <c r="V1140" s="54" t="b">
        <f aca="false">AND(D1140&gt;=01_因子設定!$L$5-0.000000001,D1140&lt;=01_因子設定!$M$5+0.000000001,E1140&gt;=01_因子設定!$L$6-0.000000001,E1140&lt;=01_因子設定!$M$6+0.000000001,F1140&gt;=01_因子設定!$L$7-0.000000001,F1140&lt;=01_因子設定!$M$7+0.000000001,IF(01_因子設定!$B$20="Box-Behnken",D1140^2+E1140^2+F1140^2&lt;=2+0.000000001,TRUE()))</f>
        <v>1</v>
      </c>
      <c r="W1140" s="55" t="n">
        <f aca="false">IF(V1140,IF(01_因子設定!$B$13="最大化",T1140-01_因子設定!$B$14,IF(01_因子設定!$B$13="最小化",01_因子設定!$B$15-U1140,MIN(T1140-01_因子設定!$B$14,01_因子設定!$B$15-U1140))),-1E+030)</f>
        <v>-3.50622205492317</v>
      </c>
      <c r="X1140" s="55" t="n">
        <f aca="false">IF(V1140,IF(01_因子設定!$B$13="最大化",Q1140,IF(01_因子設定!$B$13="最小化",-Q1140,-ABS(Q1140-01_因子設定!$B$16))),-1E+030)</f>
        <v>46.0722372159091</v>
      </c>
      <c r="Y1140" s="55" t="n">
        <f aca="false">W1140+ROW()*0.000000001</f>
        <v>-3.50622091492317</v>
      </c>
      <c r="Z1140" s="55" t="n">
        <f aca="false">X1140+ROW()*0.000000001</f>
        <v>46.0722383559091</v>
      </c>
    </row>
    <row r="1141" customFormat="false" ht="15" hidden="false" customHeight="false" outlineLevel="0" collapsed="false">
      <c r="A1141" s="0" t="n">
        <v>3</v>
      </c>
      <c r="B1141" s="0" t="n">
        <v>15</v>
      </c>
      <c r="C1141" s="0" t="n">
        <v>14</v>
      </c>
      <c r="D1141" s="0" t="n">
        <f aca="false">-1+A1141*0.125</f>
        <v>-0.625</v>
      </c>
      <c r="E1141" s="0" t="n">
        <f aca="false">-1+B1141*0.125</f>
        <v>0.875</v>
      </c>
      <c r="F1141" s="0" t="n">
        <f aca="false">-1+C1141*0.125</f>
        <v>0.75</v>
      </c>
      <c r="G1141" s="0" t="n">
        <f aca="false">1</f>
        <v>1</v>
      </c>
      <c r="H1141" s="0" t="n">
        <f aca="false">D1141</f>
        <v>-0.625</v>
      </c>
      <c r="I1141" s="0" t="n">
        <f aca="false">E1141</f>
        <v>0.875</v>
      </c>
      <c r="J1141" s="0" t="n">
        <f aca="false">F1141</f>
        <v>0.75</v>
      </c>
      <c r="K1141" s="0" t="n">
        <f aca="false">D1141*E1141</f>
        <v>-0.546875</v>
      </c>
      <c r="L1141" s="0" t="n">
        <f aca="false">D1141*F1141</f>
        <v>-0.46875</v>
      </c>
      <c r="M1141" s="0" t="n">
        <f aca="false">E1141*F1141</f>
        <v>0.65625</v>
      </c>
      <c r="N1141" s="0" t="n">
        <f aca="false">D1141*D1141</f>
        <v>0.390625</v>
      </c>
      <c r="O1141" s="0" t="n">
        <f aca="false">E1141*E1141</f>
        <v>0.765625</v>
      </c>
      <c r="P1141" s="0" t="n">
        <f aca="false">F1141*F1141</f>
        <v>0.5625</v>
      </c>
      <c r="Q1141" s="0" t="n">
        <f aca="false">SUMPRODUCT(G1141:P1141,_XtX!$B$71:$K$71)</f>
        <v>46.1033309659091</v>
      </c>
      <c r="R1141" s="0" t="n">
        <f aca="false">SUMPRODUCT(MMULT(G1141:P1141,_XtX!$B$58:$K$67),G1141:P1141)</f>
        <v>0.377245538884943</v>
      </c>
      <c r="S1141" s="0" t="n">
        <f aca="false">04_回帰ANOVA!$K$19*04_回帰ANOVA!$K$14*SQRT(1+R1141)</f>
        <v>1.09111951468927</v>
      </c>
      <c r="T1141" s="0" t="n">
        <f aca="false">Q1141-S1141</f>
        <v>45.0122114512198</v>
      </c>
      <c r="U1141" s="0" t="n">
        <f aca="false">Q1141+S1141</f>
        <v>47.1944504805984</v>
      </c>
      <c r="V1141" s="54" t="b">
        <f aca="false">AND(D1141&gt;=01_因子設定!$L$5-0.000000001,D1141&lt;=01_因子設定!$M$5+0.000000001,E1141&gt;=01_因子設定!$L$6-0.000000001,E1141&lt;=01_因子設定!$M$6+0.000000001,F1141&gt;=01_因子設定!$L$7-0.000000001,F1141&lt;=01_因子設定!$M$7+0.000000001,IF(01_因子設定!$B$20="Box-Behnken",D1141^2+E1141^2+F1141^2&lt;=2+0.000000001,TRUE()))</f>
        <v>1</v>
      </c>
      <c r="W1141" s="55" t="n">
        <f aca="false">IF(V1141,IF(01_因子設定!$B$13="最大化",T1141-01_因子設定!$B$14,IF(01_因子設定!$B$13="最小化",01_因子設定!$B$15-U1141,MIN(T1141-01_因子設定!$B$14,01_因子設定!$B$15-U1141))),-1E+030)</f>
        <v>-3.48778854878017</v>
      </c>
      <c r="X1141" s="55" t="n">
        <f aca="false">IF(V1141,IF(01_因子設定!$B$13="最大化",Q1141,IF(01_因子設定!$B$13="最小化",-Q1141,-ABS(Q1141-01_因子設定!$B$16))),-1E+030)</f>
        <v>46.1033309659091</v>
      </c>
      <c r="Y1141" s="55" t="n">
        <f aca="false">W1141+ROW()*0.000000001</f>
        <v>-3.48778740778017</v>
      </c>
      <c r="Z1141" s="55" t="n">
        <f aca="false">X1141+ROW()*0.000000001</f>
        <v>46.1033321069091</v>
      </c>
    </row>
    <row r="1142" customFormat="false" ht="15" hidden="false" customHeight="false" outlineLevel="0" collapsed="false">
      <c r="A1142" s="0" t="n">
        <v>3</v>
      </c>
      <c r="B1142" s="0" t="n">
        <v>15</v>
      </c>
      <c r="C1142" s="0" t="n">
        <v>15</v>
      </c>
      <c r="D1142" s="0" t="n">
        <f aca="false">-1+A1142*0.125</f>
        <v>-0.625</v>
      </c>
      <c r="E1142" s="0" t="n">
        <f aca="false">-1+B1142*0.125</f>
        <v>0.875</v>
      </c>
      <c r="F1142" s="0" t="n">
        <f aca="false">-1+C1142*0.125</f>
        <v>0.875</v>
      </c>
      <c r="G1142" s="0" t="n">
        <f aca="false">1</f>
        <v>1</v>
      </c>
      <c r="H1142" s="0" t="n">
        <f aca="false">D1142</f>
        <v>-0.625</v>
      </c>
      <c r="I1142" s="0" t="n">
        <f aca="false">E1142</f>
        <v>0.875</v>
      </c>
      <c r="J1142" s="0" t="n">
        <f aca="false">F1142</f>
        <v>0.875</v>
      </c>
      <c r="K1142" s="0" t="n">
        <f aca="false">D1142*E1142</f>
        <v>-0.546875</v>
      </c>
      <c r="L1142" s="0" t="n">
        <f aca="false">D1142*F1142</f>
        <v>-0.546875</v>
      </c>
      <c r="M1142" s="0" t="n">
        <f aca="false">E1142*F1142</f>
        <v>0.765625</v>
      </c>
      <c r="N1142" s="0" t="n">
        <f aca="false">D1142*D1142</f>
        <v>0.390625</v>
      </c>
      <c r="O1142" s="0" t="n">
        <f aca="false">E1142*E1142</f>
        <v>0.765625</v>
      </c>
      <c r="P1142" s="0" t="n">
        <f aca="false">F1142*F1142</f>
        <v>0.765625</v>
      </c>
      <c r="Q1142" s="0" t="n">
        <f aca="false">SUMPRODUCT(G1142:P1142,_XtX!$B$71:$K$71)</f>
        <v>46.0976349431818</v>
      </c>
      <c r="R1142" s="0" t="n">
        <f aca="false">SUMPRODUCT(MMULT(G1142:P1142,_XtX!$B$58:$K$67),G1142:P1142)</f>
        <v>0.442496559836648</v>
      </c>
      <c r="S1142" s="0" t="n">
        <f aca="false">04_回帰ANOVA!$K$19*04_回帰ANOVA!$K$14*SQRT(1+R1142)</f>
        <v>1.11666789259284</v>
      </c>
      <c r="T1142" s="0" t="n">
        <f aca="false">Q1142-S1142</f>
        <v>44.980967050589</v>
      </c>
      <c r="U1142" s="0" t="n">
        <f aca="false">Q1142+S1142</f>
        <v>47.2143028357747</v>
      </c>
      <c r="V1142" s="54" t="b">
        <f aca="false">AND(D1142&gt;=01_因子設定!$L$5-0.000000001,D1142&lt;=01_因子設定!$M$5+0.000000001,E1142&gt;=01_因子設定!$L$6-0.000000001,E1142&lt;=01_因子設定!$M$6+0.000000001,F1142&gt;=01_因子設定!$L$7-0.000000001,F1142&lt;=01_因子設定!$M$7+0.000000001,IF(01_因子設定!$B$20="Box-Behnken",D1142^2+E1142^2+F1142^2&lt;=2+0.000000001,TRUE()))</f>
        <v>1</v>
      </c>
      <c r="W1142" s="55" t="n">
        <f aca="false">IF(V1142,IF(01_因子設定!$B$13="最大化",T1142-01_因子設定!$B$14,IF(01_因子設定!$B$13="最小化",01_因子設定!$B$15-U1142,MIN(T1142-01_因子設定!$B$14,01_因子設定!$B$15-U1142))),-1E+030)</f>
        <v>-3.51903294941101</v>
      </c>
      <c r="X1142" s="55" t="n">
        <f aca="false">IF(V1142,IF(01_因子設定!$B$13="最大化",Q1142,IF(01_因子設定!$B$13="最小化",-Q1142,-ABS(Q1142-01_因子設定!$B$16))),-1E+030)</f>
        <v>46.0976349431818</v>
      </c>
      <c r="Y1142" s="55" t="n">
        <f aca="false">W1142+ROW()*0.000000001</f>
        <v>-3.51903180741101</v>
      </c>
      <c r="Z1142" s="55" t="n">
        <f aca="false">X1142+ROW()*0.000000001</f>
        <v>46.0976360851818</v>
      </c>
    </row>
    <row r="1143" customFormat="false" ht="15" hidden="false" customHeight="false" outlineLevel="0" collapsed="false">
      <c r="A1143" s="0" t="n">
        <v>3</v>
      </c>
      <c r="B1143" s="0" t="n">
        <v>15</v>
      </c>
      <c r="C1143" s="0" t="n">
        <v>16</v>
      </c>
      <c r="D1143" s="0" t="n">
        <f aca="false">-1+A1143*0.125</f>
        <v>-0.625</v>
      </c>
      <c r="E1143" s="0" t="n">
        <f aca="false">-1+B1143*0.125</f>
        <v>0.875</v>
      </c>
      <c r="F1143" s="0" t="n">
        <f aca="false">-1+C1143*0.125</f>
        <v>1</v>
      </c>
      <c r="G1143" s="0" t="n">
        <f aca="false">1</f>
        <v>1</v>
      </c>
      <c r="H1143" s="0" t="n">
        <f aca="false">D1143</f>
        <v>-0.625</v>
      </c>
      <c r="I1143" s="0" t="n">
        <f aca="false">E1143</f>
        <v>0.875</v>
      </c>
      <c r="J1143" s="0" t="n">
        <f aca="false">F1143</f>
        <v>1</v>
      </c>
      <c r="K1143" s="0" t="n">
        <f aca="false">D1143*E1143</f>
        <v>-0.546875</v>
      </c>
      <c r="L1143" s="0" t="n">
        <f aca="false">D1143*F1143</f>
        <v>-0.625</v>
      </c>
      <c r="M1143" s="0" t="n">
        <f aca="false">E1143*F1143</f>
        <v>0.875</v>
      </c>
      <c r="N1143" s="0" t="n">
        <f aca="false">D1143*D1143</f>
        <v>0.390625</v>
      </c>
      <c r="O1143" s="0" t="n">
        <f aca="false">E1143*E1143</f>
        <v>0.765625</v>
      </c>
      <c r="P1143" s="0" t="n">
        <f aca="false">F1143*F1143</f>
        <v>1</v>
      </c>
      <c r="Q1143" s="0" t="n">
        <f aca="false">SUMPRODUCT(G1143:P1143,_XtX!$B$71:$K$71)</f>
        <v>46.0551491477273</v>
      </c>
      <c r="R1143" s="0" t="n">
        <f aca="false">SUMPRODUCT(MMULT(G1143:P1143,_XtX!$B$58:$K$67),G1143:P1143)</f>
        <v>0.555073131214489</v>
      </c>
      <c r="S1143" s="0" t="n">
        <f aca="false">04_回帰ANOVA!$K$19*04_回帰ANOVA!$K$14*SQRT(1+R1143)</f>
        <v>1.15942335628341</v>
      </c>
      <c r="T1143" s="0" t="n">
        <f aca="false">Q1143-S1143</f>
        <v>44.8957257914439</v>
      </c>
      <c r="U1143" s="0" t="n">
        <f aca="false">Q1143+S1143</f>
        <v>47.2145725040107</v>
      </c>
      <c r="V1143" s="54" t="b">
        <f aca="false">AND(D1143&gt;=01_因子設定!$L$5-0.000000001,D1143&lt;=01_因子設定!$M$5+0.000000001,E1143&gt;=01_因子設定!$L$6-0.000000001,E1143&lt;=01_因子設定!$M$6+0.000000001,F1143&gt;=01_因子設定!$L$7-0.000000001,F1143&lt;=01_因子設定!$M$7+0.000000001,IF(01_因子設定!$B$20="Box-Behnken",D1143^2+E1143^2+F1143^2&lt;=2+0.000000001,TRUE()))</f>
        <v>1</v>
      </c>
      <c r="W1143" s="55" t="n">
        <f aca="false">IF(V1143,IF(01_因子設定!$B$13="最大化",T1143-01_因子設定!$B$14,IF(01_因子設定!$B$13="最小化",01_因子設定!$B$15-U1143,MIN(T1143-01_因子設定!$B$14,01_因子設定!$B$15-U1143))),-1E+030)</f>
        <v>-3.60427420855611</v>
      </c>
      <c r="X1143" s="55" t="n">
        <f aca="false">IF(V1143,IF(01_因子設定!$B$13="最大化",Q1143,IF(01_因子設定!$B$13="最小化",-Q1143,-ABS(Q1143-01_因子設定!$B$16))),-1E+030)</f>
        <v>46.0551491477273</v>
      </c>
      <c r="Y1143" s="55" t="n">
        <f aca="false">W1143+ROW()*0.000000001</f>
        <v>-3.60427306555611</v>
      </c>
      <c r="Z1143" s="55" t="n">
        <f aca="false">X1143+ROW()*0.000000001</f>
        <v>46.0551502907273</v>
      </c>
    </row>
    <row r="1144" customFormat="false" ht="15" hidden="false" customHeight="false" outlineLevel="0" collapsed="false">
      <c r="A1144" s="0" t="n">
        <v>3</v>
      </c>
      <c r="B1144" s="0" t="n">
        <v>16</v>
      </c>
      <c r="C1144" s="0" t="n">
        <v>0</v>
      </c>
      <c r="D1144" s="0" t="n">
        <f aca="false">-1+A1144*0.125</f>
        <v>-0.625</v>
      </c>
      <c r="E1144" s="0" t="n">
        <f aca="false">-1+B1144*0.125</f>
        <v>1</v>
      </c>
      <c r="F1144" s="0" t="n">
        <f aca="false">-1+C1144*0.125</f>
        <v>-1</v>
      </c>
      <c r="G1144" s="0" t="n">
        <f aca="false">1</f>
        <v>1</v>
      </c>
      <c r="H1144" s="0" t="n">
        <f aca="false">D1144</f>
        <v>-0.625</v>
      </c>
      <c r="I1144" s="0" t="n">
        <f aca="false">E1144</f>
        <v>1</v>
      </c>
      <c r="J1144" s="0" t="n">
        <f aca="false">F1144</f>
        <v>-1</v>
      </c>
      <c r="K1144" s="0" t="n">
        <f aca="false">D1144*E1144</f>
        <v>-0.625</v>
      </c>
      <c r="L1144" s="0" t="n">
        <f aca="false">D1144*F1144</f>
        <v>0.625</v>
      </c>
      <c r="M1144" s="0" t="n">
        <f aca="false">E1144*F1144</f>
        <v>-1</v>
      </c>
      <c r="N1144" s="0" t="n">
        <f aca="false">D1144*D1144</f>
        <v>0.390625</v>
      </c>
      <c r="O1144" s="0" t="n">
        <f aca="false">E1144*E1144</f>
        <v>1</v>
      </c>
      <c r="P1144" s="0" t="n">
        <f aca="false">F1144*F1144</f>
        <v>1</v>
      </c>
      <c r="Q1144" s="0" t="n">
        <f aca="false">SUMPRODUCT(G1144:P1144,_XtX!$B$71:$K$71)</f>
        <v>41.9518039772728</v>
      </c>
      <c r="R1144" s="0" t="n">
        <f aca="false">SUMPRODUCT(MMULT(G1144:P1144,_XtX!$B$58:$K$67),G1144:P1144)</f>
        <v>0.659534801136364</v>
      </c>
      <c r="S1144" s="0" t="n">
        <f aca="false">04_回帰ANOVA!$K$19*04_回帰ANOVA!$K$14*SQRT(1+R1144)</f>
        <v>1.19773245593097</v>
      </c>
      <c r="T1144" s="0" t="n">
        <f aca="false">Q1144-S1144</f>
        <v>40.7540715213418</v>
      </c>
      <c r="U1144" s="0" t="n">
        <f aca="false">Q1144+S1144</f>
        <v>43.1495364332037</v>
      </c>
      <c r="V1144" s="54" t="b">
        <f aca="false">AND(D1144&gt;=01_因子設定!$L$5-0.000000001,D1144&lt;=01_因子設定!$M$5+0.000000001,E1144&gt;=01_因子設定!$L$6-0.000000001,E1144&lt;=01_因子設定!$M$6+0.000000001,F1144&gt;=01_因子設定!$L$7-0.000000001,F1144&lt;=01_因子設定!$M$7+0.000000001,IF(01_因子設定!$B$20="Box-Behnken",D1144^2+E1144^2+F1144^2&lt;=2+0.000000001,TRUE()))</f>
        <v>1</v>
      </c>
      <c r="W1144" s="55" t="n">
        <f aca="false">IF(V1144,IF(01_因子設定!$B$13="最大化",T1144-01_因子設定!$B$14,IF(01_因子設定!$B$13="最小化",01_因子設定!$B$15-U1144,MIN(T1144-01_因子設定!$B$14,01_因子設定!$B$15-U1144))),-1E+030)</f>
        <v>-7.74592847865821</v>
      </c>
      <c r="X1144" s="55" t="n">
        <f aca="false">IF(V1144,IF(01_因子設定!$B$13="最大化",Q1144,IF(01_因子設定!$B$13="最小化",-Q1144,-ABS(Q1144-01_因子設定!$B$16))),-1E+030)</f>
        <v>41.9518039772728</v>
      </c>
      <c r="Y1144" s="55" t="n">
        <f aca="false">W1144+ROW()*0.000000001</f>
        <v>-7.74592733465822</v>
      </c>
      <c r="Z1144" s="55" t="n">
        <f aca="false">X1144+ROW()*0.000000001</f>
        <v>41.9518051212728</v>
      </c>
    </row>
    <row r="1145" customFormat="false" ht="15" hidden="false" customHeight="false" outlineLevel="0" collapsed="false">
      <c r="A1145" s="0" t="n">
        <v>3</v>
      </c>
      <c r="B1145" s="0" t="n">
        <v>16</v>
      </c>
      <c r="C1145" s="0" t="n">
        <v>1</v>
      </c>
      <c r="D1145" s="0" t="n">
        <f aca="false">-1+A1145*0.125</f>
        <v>-0.625</v>
      </c>
      <c r="E1145" s="0" t="n">
        <f aca="false">-1+B1145*0.125</f>
        <v>1</v>
      </c>
      <c r="F1145" s="0" t="n">
        <f aca="false">-1+C1145*0.125</f>
        <v>-0.875</v>
      </c>
      <c r="G1145" s="0" t="n">
        <f aca="false">1</f>
        <v>1</v>
      </c>
      <c r="H1145" s="0" t="n">
        <f aca="false">D1145</f>
        <v>-0.625</v>
      </c>
      <c r="I1145" s="0" t="n">
        <f aca="false">E1145</f>
        <v>1</v>
      </c>
      <c r="J1145" s="0" t="n">
        <f aca="false">F1145</f>
        <v>-0.875</v>
      </c>
      <c r="K1145" s="0" t="n">
        <f aca="false">D1145*E1145</f>
        <v>-0.625</v>
      </c>
      <c r="L1145" s="0" t="n">
        <f aca="false">D1145*F1145</f>
        <v>0.546875</v>
      </c>
      <c r="M1145" s="0" t="n">
        <f aca="false">E1145*F1145</f>
        <v>-0.875</v>
      </c>
      <c r="N1145" s="0" t="n">
        <f aca="false">D1145*D1145</f>
        <v>0.390625</v>
      </c>
      <c r="O1145" s="0" t="n">
        <f aca="false">E1145*E1145</f>
        <v>1</v>
      </c>
      <c r="P1145" s="0" t="n">
        <f aca="false">F1145*F1145</f>
        <v>0.765625</v>
      </c>
      <c r="Q1145" s="0" t="n">
        <f aca="false">SUMPRODUCT(G1145:P1145,_XtX!$B$71:$K$71)</f>
        <v>42.4681960227273</v>
      </c>
      <c r="R1145" s="0" t="n">
        <f aca="false">SUMPRODUCT(MMULT(G1145:P1145,_XtX!$B$58:$K$67),G1145:P1145)</f>
        <v>0.555073131214489</v>
      </c>
      <c r="S1145" s="0" t="n">
        <f aca="false">04_回帰ANOVA!$K$19*04_回帰ANOVA!$K$14*SQRT(1+R1145)</f>
        <v>1.15942335628341</v>
      </c>
      <c r="T1145" s="0" t="n">
        <f aca="false">Q1145-S1145</f>
        <v>41.3087726664439</v>
      </c>
      <c r="U1145" s="0" t="n">
        <f aca="false">Q1145+S1145</f>
        <v>43.6276193790107</v>
      </c>
      <c r="V1145" s="54" t="b">
        <f aca="false">AND(D1145&gt;=01_因子設定!$L$5-0.000000001,D1145&lt;=01_因子設定!$M$5+0.000000001,E1145&gt;=01_因子設定!$L$6-0.000000001,E1145&lt;=01_因子設定!$M$6+0.000000001,F1145&gt;=01_因子設定!$L$7-0.000000001,F1145&lt;=01_因子設定!$M$7+0.000000001,IF(01_因子設定!$B$20="Box-Behnken",D1145^2+E1145^2+F1145^2&lt;=2+0.000000001,TRUE()))</f>
        <v>1</v>
      </c>
      <c r="W1145" s="55" t="n">
        <f aca="false">IF(V1145,IF(01_因子設定!$B$13="最大化",T1145-01_因子設定!$B$14,IF(01_因子設定!$B$13="最小化",01_因子設定!$B$15-U1145,MIN(T1145-01_因子設定!$B$14,01_因子設定!$B$15-U1145))),-1E+030)</f>
        <v>-7.19122733355611</v>
      </c>
      <c r="X1145" s="55" t="n">
        <f aca="false">IF(V1145,IF(01_因子設定!$B$13="最大化",Q1145,IF(01_因子設定!$B$13="最小化",-Q1145,-ABS(Q1145-01_因子設定!$B$16))),-1E+030)</f>
        <v>42.4681960227273</v>
      </c>
      <c r="Y1145" s="55" t="n">
        <f aca="false">W1145+ROW()*0.000000001</f>
        <v>-7.19122618855611</v>
      </c>
      <c r="Z1145" s="55" t="n">
        <f aca="false">X1145+ROW()*0.000000001</f>
        <v>42.4681971677273</v>
      </c>
    </row>
    <row r="1146" customFormat="false" ht="15" hidden="false" customHeight="false" outlineLevel="0" collapsed="false">
      <c r="A1146" s="0" t="n">
        <v>3</v>
      </c>
      <c r="B1146" s="0" t="n">
        <v>16</v>
      </c>
      <c r="C1146" s="0" t="n">
        <v>2</v>
      </c>
      <c r="D1146" s="0" t="n">
        <f aca="false">-1+A1146*0.125</f>
        <v>-0.625</v>
      </c>
      <c r="E1146" s="0" t="n">
        <f aca="false">-1+B1146*0.125</f>
        <v>1</v>
      </c>
      <c r="F1146" s="0" t="n">
        <f aca="false">-1+C1146*0.125</f>
        <v>-0.75</v>
      </c>
      <c r="G1146" s="0" t="n">
        <f aca="false">1</f>
        <v>1</v>
      </c>
      <c r="H1146" s="0" t="n">
        <f aca="false">D1146</f>
        <v>-0.625</v>
      </c>
      <c r="I1146" s="0" t="n">
        <f aca="false">E1146</f>
        <v>1</v>
      </c>
      <c r="J1146" s="0" t="n">
        <f aca="false">F1146</f>
        <v>-0.75</v>
      </c>
      <c r="K1146" s="0" t="n">
        <f aca="false">D1146*E1146</f>
        <v>-0.625</v>
      </c>
      <c r="L1146" s="0" t="n">
        <f aca="false">D1146*F1146</f>
        <v>0.46875</v>
      </c>
      <c r="M1146" s="0" t="n">
        <f aca="false">E1146*F1146</f>
        <v>-0.75</v>
      </c>
      <c r="N1146" s="0" t="n">
        <f aca="false">D1146*D1146</f>
        <v>0.390625</v>
      </c>
      <c r="O1146" s="0" t="n">
        <f aca="false">E1146*E1146</f>
        <v>1</v>
      </c>
      <c r="P1146" s="0" t="n">
        <f aca="false">F1146*F1146</f>
        <v>0.5625</v>
      </c>
      <c r="Q1146" s="0" t="n">
        <f aca="false">SUMPRODUCT(G1146:P1146,_XtX!$B$71:$K$71)</f>
        <v>42.9477982954546</v>
      </c>
      <c r="R1146" s="0" t="n">
        <f aca="false">SUMPRODUCT(MMULT(G1146:P1146,_XtX!$B$58:$K$67),G1146:P1146)</f>
        <v>0.496855024857955</v>
      </c>
      <c r="S1146" s="0" t="n">
        <f aca="false">04_回帰ANOVA!$K$19*04_回帰ANOVA!$K$14*SQRT(1+R1146)</f>
        <v>1.1375133593161</v>
      </c>
      <c r="T1146" s="0" t="n">
        <f aca="false">Q1146-S1146</f>
        <v>41.8102849361385</v>
      </c>
      <c r="U1146" s="0" t="n">
        <f aca="false">Q1146+S1146</f>
        <v>44.0853116547707</v>
      </c>
      <c r="V1146" s="54" t="b">
        <f aca="false">AND(D1146&gt;=01_因子設定!$L$5-0.000000001,D1146&lt;=01_因子設定!$M$5+0.000000001,E1146&gt;=01_因子設定!$L$6-0.000000001,E1146&lt;=01_因子設定!$M$6+0.000000001,F1146&gt;=01_因子設定!$L$7-0.000000001,F1146&lt;=01_因子設定!$M$7+0.000000001,IF(01_因子設定!$B$20="Box-Behnken",D1146^2+E1146^2+F1146^2&lt;=2+0.000000001,TRUE()))</f>
        <v>1</v>
      </c>
      <c r="W1146" s="55" t="n">
        <f aca="false">IF(V1146,IF(01_因子設定!$B$13="最大化",T1146-01_因子設定!$B$14,IF(01_因子設定!$B$13="最小化",01_因子設定!$B$15-U1146,MIN(T1146-01_因子設定!$B$14,01_因子設定!$B$15-U1146))),-1E+030)</f>
        <v>-6.68971506386154</v>
      </c>
      <c r="X1146" s="55" t="n">
        <f aca="false">IF(V1146,IF(01_因子設定!$B$13="最大化",Q1146,IF(01_因子設定!$B$13="最小化",-Q1146,-ABS(Q1146-01_因子設定!$B$16))),-1E+030)</f>
        <v>42.9477982954546</v>
      </c>
      <c r="Y1146" s="55" t="n">
        <f aca="false">W1146+ROW()*0.000000001</f>
        <v>-6.68971391786154</v>
      </c>
      <c r="Z1146" s="55" t="n">
        <f aca="false">X1146+ROW()*0.000000001</f>
        <v>42.9477994414546</v>
      </c>
    </row>
    <row r="1147" customFormat="false" ht="15" hidden="false" customHeight="false" outlineLevel="0" collapsed="false">
      <c r="A1147" s="0" t="n">
        <v>3</v>
      </c>
      <c r="B1147" s="0" t="n">
        <v>16</v>
      </c>
      <c r="C1147" s="0" t="n">
        <v>3</v>
      </c>
      <c r="D1147" s="0" t="n">
        <f aca="false">-1+A1147*0.125</f>
        <v>-0.625</v>
      </c>
      <c r="E1147" s="0" t="n">
        <f aca="false">-1+B1147*0.125</f>
        <v>1</v>
      </c>
      <c r="F1147" s="0" t="n">
        <f aca="false">-1+C1147*0.125</f>
        <v>-0.625</v>
      </c>
      <c r="G1147" s="0" t="n">
        <f aca="false">1</f>
        <v>1</v>
      </c>
      <c r="H1147" s="0" t="n">
        <f aca="false">D1147</f>
        <v>-0.625</v>
      </c>
      <c r="I1147" s="0" t="n">
        <f aca="false">E1147</f>
        <v>1</v>
      </c>
      <c r="J1147" s="0" t="n">
        <f aca="false">F1147</f>
        <v>-0.625</v>
      </c>
      <c r="K1147" s="0" t="n">
        <f aca="false">D1147*E1147</f>
        <v>-0.625</v>
      </c>
      <c r="L1147" s="0" t="n">
        <f aca="false">D1147*F1147</f>
        <v>0.390625</v>
      </c>
      <c r="M1147" s="0" t="n">
        <f aca="false">E1147*F1147</f>
        <v>-0.625</v>
      </c>
      <c r="N1147" s="0" t="n">
        <f aca="false">D1147*D1147</f>
        <v>0.390625</v>
      </c>
      <c r="O1147" s="0" t="n">
        <f aca="false">E1147*E1147</f>
        <v>1</v>
      </c>
      <c r="P1147" s="0" t="n">
        <f aca="false">F1147*F1147</f>
        <v>0.390625</v>
      </c>
      <c r="Q1147" s="0" t="n">
        <f aca="false">SUMPRODUCT(G1147:P1147,_XtX!$B$71:$K$71)</f>
        <v>43.3906107954546</v>
      </c>
      <c r="R1147" s="0" t="n">
        <f aca="false">SUMPRODUCT(MMULT(G1147:P1147,_XtX!$B$58:$K$67),G1147:P1147)</f>
        <v>0.47103105024858</v>
      </c>
      <c r="S1147" s="0" t="n">
        <f aca="false">04_回帰ANOVA!$K$19*04_回帰ANOVA!$K$14*SQRT(1+R1147)</f>
        <v>1.1276583912499</v>
      </c>
      <c r="T1147" s="0" t="n">
        <f aca="false">Q1147-S1147</f>
        <v>42.2629524042047</v>
      </c>
      <c r="U1147" s="0" t="n">
        <f aca="false">Q1147+S1147</f>
        <v>44.5182691867045</v>
      </c>
      <c r="V1147" s="54" t="b">
        <f aca="false">AND(D1147&gt;=01_因子設定!$L$5-0.000000001,D1147&lt;=01_因子設定!$M$5+0.000000001,E1147&gt;=01_因子設定!$L$6-0.000000001,E1147&lt;=01_因子設定!$M$6+0.000000001,F1147&gt;=01_因子設定!$L$7-0.000000001,F1147&lt;=01_因子設定!$M$7+0.000000001,IF(01_因子設定!$B$20="Box-Behnken",D1147^2+E1147^2+F1147^2&lt;=2+0.000000001,TRUE()))</f>
        <v>1</v>
      </c>
      <c r="W1147" s="55" t="n">
        <f aca="false">IF(V1147,IF(01_因子設定!$B$13="最大化",T1147-01_因子設定!$B$14,IF(01_因子設定!$B$13="最小化",01_因子設定!$B$15-U1147,MIN(T1147-01_因子設定!$B$14,01_因子設定!$B$15-U1147))),-1E+030)</f>
        <v>-6.23704759579535</v>
      </c>
      <c r="X1147" s="55" t="n">
        <f aca="false">IF(V1147,IF(01_因子設定!$B$13="最大化",Q1147,IF(01_因子設定!$B$13="最小化",-Q1147,-ABS(Q1147-01_因子設定!$B$16))),-1E+030)</f>
        <v>43.3906107954546</v>
      </c>
      <c r="Y1147" s="55" t="n">
        <f aca="false">W1147+ROW()*0.000000001</f>
        <v>-6.23704644879535</v>
      </c>
      <c r="Z1147" s="55" t="n">
        <f aca="false">X1147+ROW()*0.000000001</f>
        <v>43.3906119424546</v>
      </c>
    </row>
    <row r="1148" customFormat="false" ht="15" hidden="false" customHeight="false" outlineLevel="0" collapsed="false">
      <c r="A1148" s="0" t="n">
        <v>3</v>
      </c>
      <c r="B1148" s="0" t="n">
        <v>16</v>
      </c>
      <c r="C1148" s="0" t="n">
        <v>4</v>
      </c>
      <c r="D1148" s="0" t="n">
        <f aca="false">-1+A1148*0.125</f>
        <v>-0.625</v>
      </c>
      <c r="E1148" s="0" t="n">
        <f aca="false">-1+B1148*0.125</f>
        <v>1</v>
      </c>
      <c r="F1148" s="0" t="n">
        <f aca="false">-1+C1148*0.125</f>
        <v>-0.5</v>
      </c>
      <c r="G1148" s="0" t="n">
        <f aca="false">1</f>
        <v>1</v>
      </c>
      <c r="H1148" s="0" t="n">
        <f aca="false">D1148</f>
        <v>-0.625</v>
      </c>
      <c r="I1148" s="0" t="n">
        <f aca="false">E1148</f>
        <v>1</v>
      </c>
      <c r="J1148" s="0" t="n">
        <f aca="false">F1148</f>
        <v>-0.5</v>
      </c>
      <c r="K1148" s="0" t="n">
        <f aca="false">D1148*E1148</f>
        <v>-0.625</v>
      </c>
      <c r="L1148" s="0" t="n">
        <f aca="false">D1148*F1148</f>
        <v>0.3125</v>
      </c>
      <c r="M1148" s="0" t="n">
        <f aca="false">E1148*F1148</f>
        <v>-0.5</v>
      </c>
      <c r="N1148" s="0" t="n">
        <f aca="false">D1148*D1148</f>
        <v>0.390625</v>
      </c>
      <c r="O1148" s="0" t="n">
        <f aca="false">E1148*E1148</f>
        <v>1</v>
      </c>
      <c r="P1148" s="0" t="n">
        <f aca="false">F1148*F1148</f>
        <v>0.25</v>
      </c>
      <c r="Q1148" s="0" t="n">
        <f aca="false">SUMPRODUCT(G1148:P1148,_XtX!$B$71:$K$71)</f>
        <v>43.7966335227273</v>
      </c>
      <c r="R1148" s="0" t="n">
        <f aca="false">SUMPRODUCT(MMULT(G1148:P1148,_XtX!$B$58:$K$67),G1148:P1148)</f>
        <v>0.465882457386364</v>
      </c>
      <c r="S1148" s="0" t="n">
        <f aca="false">04_回帰ANOVA!$K$19*04_回帰ANOVA!$K$14*SQRT(1+R1148)</f>
        <v>1.12568326538173</v>
      </c>
      <c r="T1148" s="0" t="n">
        <f aca="false">Q1148-S1148</f>
        <v>42.6709502573456</v>
      </c>
      <c r="U1148" s="0" t="n">
        <f aca="false">Q1148+S1148</f>
        <v>44.922316788109</v>
      </c>
      <c r="V1148" s="54" t="b">
        <f aca="false">AND(D1148&gt;=01_因子設定!$L$5-0.000000001,D1148&lt;=01_因子設定!$M$5+0.000000001,E1148&gt;=01_因子設定!$L$6-0.000000001,E1148&lt;=01_因子設定!$M$6+0.000000001,F1148&gt;=01_因子設定!$L$7-0.000000001,F1148&lt;=01_因子設定!$M$7+0.000000001,IF(01_因子設定!$B$20="Box-Behnken",D1148^2+E1148^2+F1148^2&lt;=2+0.000000001,TRUE()))</f>
        <v>1</v>
      </c>
      <c r="W1148" s="55" t="n">
        <f aca="false">IF(V1148,IF(01_因子設定!$B$13="最大化",T1148-01_因子設定!$B$14,IF(01_因子設定!$B$13="最小化",01_因子設定!$B$15-U1148,MIN(T1148-01_因子設定!$B$14,01_因子設定!$B$15-U1148))),-1E+030)</f>
        <v>-5.82904974265444</v>
      </c>
      <c r="X1148" s="55" t="n">
        <f aca="false">IF(V1148,IF(01_因子設定!$B$13="最大化",Q1148,IF(01_因子設定!$B$13="最小化",-Q1148,-ABS(Q1148-01_因子設定!$B$16))),-1E+030)</f>
        <v>43.7966335227273</v>
      </c>
      <c r="Y1148" s="55" t="n">
        <f aca="false">W1148+ROW()*0.000000001</f>
        <v>-5.82904859465444</v>
      </c>
      <c r="Z1148" s="55" t="n">
        <f aca="false">X1148+ROW()*0.000000001</f>
        <v>43.7966346707273</v>
      </c>
    </row>
    <row r="1149" customFormat="false" ht="15" hidden="false" customHeight="false" outlineLevel="0" collapsed="false">
      <c r="A1149" s="0" t="n">
        <v>3</v>
      </c>
      <c r="B1149" s="0" t="n">
        <v>16</v>
      </c>
      <c r="C1149" s="0" t="n">
        <v>5</v>
      </c>
      <c r="D1149" s="0" t="n">
        <f aca="false">-1+A1149*0.125</f>
        <v>-0.625</v>
      </c>
      <c r="E1149" s="0" t="n">
        <f aca="false">-1+B1149*0.125</f>
        <v>1</v>
      </c>
      <c r="F1149" s="0" t="n">
        <f aca="false">-1+C1149*0.125</f>
        <v>-0.375</v>
      </c>
      <c r="G1149" s="0" t="n">
        <f aca="false">1</f>
        <v>1</v>
      </c>
      <c r="H1149" s="0" t="n">
        <f aca="false">D1149</f>
        <v>-0.625</v>
      </c>
      <c r="I1149" s="0" t="n">
        <f aca="false">E1149</f>
        <v>1</v>
      </c>
      <c r="J1149" s="0" t="n">
        <f aca="false">F1149</f>
        <v>-0.375</v>
      </c>
      <c r="K1149" s="0" t="n">
        <f aca="false">D1149*E1149</f>
        <v>-0.625</v>
      </c>
      <c r="L1149" s="0" t="n">
        <f aca="false">D1149*F1149</f>
        <v>0.234375</v>
      </c>
      <c r="M1149" s="0" t="n">
        <f aca="false">E1149*F1149</f>
        <v>-0.375</v>
      </c>
      <c r="N1149" s="0" t="n">
        <f aca="false">D1149*D1149</f>
        <v>0.390625</v>
      </c>
      <c r="O1149" s="0" t="n">
        <f aca="false">E1149*E1149</f>
        <v>1</v>
      </c>
      <c r="P1149" s="0" t="n">
        <f aca="false">F1149*F1149</f>
        <v>0.140625</v>
      </c>
      <c r="Q1149" s="0" t="n">
        <f aca="false">SUMPRODUCT(G1149:P1149,_XtX!$B$71:$K$71)</f>
        <v>44.1658664772727</v>
      </c>
      <c r="R1149" s="0" t="n">
        <f aca="false">SUMPRODUCT(MMULT(G1149:P1149,_XtX!$B$58:$K$67),G1149:P1149)</f>
        <v>0.471821178089489</v>
      </c>
      <c r="S1149" s="0" t="n">
        <f aca="false">04_回帰ANOVA!$K$19*04_回帰ANOVA!$K$14*SQRT(1+R1149)</f>
        <v>1.12796119746125</v>
      </c>
      <c r="T1149" s="0" t="n">
        <f aca="false">Q1149-S1149</f>
        <v>43.0379052798115</v>
      </c>
      <c r="U1149" s="0" t="n">
        <f aca="false">Q1149+S1149</f>
        <v>45.293827674734</v>
      </c>
      <c r="V1149" s="54" t="b">
        <f aca="false">AND(D1149&gt;=01_因子設定!$L$5-0.000000001,D1149&lt;=01_因子設定!$M$5+0.000000001,E1149&gt;=01_因子設定!$L$6-0.000000001,E1149&lt;=01_因子設定!$M$6+0.000000001,F1149&gt;=01_因子設定!$L$7-0.000000001,F1149&lt;=01_因子設定!$M$7+0.000000001,IF(01_因子設定!$B$20="Box-Behnken",D1149^2+E1149^2+F1149^2&lt;=2+0.000000001,TRUE()))</f>
        <v>1</v>
      </c>
      <c r="W1149" s="55" t="n">
        <f aca="false">IF(V1149,IF(01_因子設定!$B$13="最大化",T1149-01_因子設定!$B$14,IF(01_因子設定!$B$13="最小化",01_因子設定!$B$15-U1149,MIN(T1149-01_因子設定!$B$14,01_因子設定!$B$15-U1149))),-1E+030)</f>
        <v>-5.46209472018852</v>
      </c>
      <c r="X1149" s="55" t="n">
        <f aca="false">IF(V1149,IF(01_因子設定!$B$13="最大化",Q1149,IF(01_因子設定!$B$13="最小化",-Q1149,-ABS(Q1149-01_因子設定!$B$16))),-1E+030)</f>
        <v>44.1658664772727</v>
      </c>
      <c r="Y1149" s="55" t="n">
        <f aca="false">W1149+ROW()*0.000000001</f>
        <v>-5.46209357118852</v>
      </c>
      <c r="Z1149" s="55" t="n">
        <f aca="false">X1149+ROW()*0.000000001</f>
        <v>44.1658676262727</v>
      </c>
    </row>
    <row r="1150" customFormat="false" ht="15" hidden="false" customHeight="false" outlineLevel="0" collapsed="false">
      <c r="A1150" s="0" t="n">
        <v>3</v>
      </c>
      <c r="B1150" s="0" t="n">
        <v>16</v>
      </c>
      <c r="C1150" s="0" t="n">
        <v>6</v>
      </c>
      <c r="D1150" s="0" t="n">
        <f aca="false">-1+A1150*0.125</f>
        <v>-0.625</v>
      </c>
      <c r="E1150" s="0" t="n">
        <f aca="false">-1+B1150*0.125</f>
        <v>1</v>
      </c>
      <c r="F1150" s="0" t="n">
        <f aca="false">-1+C1150*0.125</f>
        <v>-0.25</v>
      </c>
      <c r="G1150" s="0" t="n">
        <f aca="false">1</f>
        <v>1</v>
      </c>
      <c r="H1150" s="0" t="n">
        <f aca="false">D1150</f>
        <v>-0.625</v>
      </c>
      <c r="I1150" s="0" t="n">
        <f aca="false">E1150</f>
        <v>1</v>
      </c>
      <c r="J1150" s="0" t="n">
        <f aca="false">F1150</f>
        <v>-0.25</v>
      </c>
      <c r="K1150" s="0" t="n">
        <f aca="false">D1150*E1150</f>
        <v>-0.625</v>
      </c>
      <c r="L1150" s="0" t="n">
        <f aca="false">D1150*F1150</f>
        <v>0.15625</v>
      </c>
      <c r="M1150" s="0" t="n">
        <f aca="false">E1150*F1150</f>
        <v>-0.25</v>
      </c>
      <c r="N1150" s="0" t="n">
        <f aca="false">D1150*D1150</f>
        <v>0.390625</v>
      </c>
      <c r="O1150" s="0" t="n">
        <f aca="false">E1150*E1150</f>
        <v>1</v>
      </c>
      <c r="P1150" s="0" t="n">
        <f aca="false">F1150*F1150</f>
        <v>0.0625</v>
      </c>
      <c r="Q1150" s="0" t="n">
        <f aca="false">SUMPRODUCT(G1150:P1150,_XtX!$B$71:$K$71)</f>
        <v>44.4983096590909</v>
      </c>
      <c r="R1150" s="0" t="n">
        <f aca="false">SUMPRODUCT(MMULT(G1150:P1150,_XtX!$B$58:$K$67),G1150:P1150)</f>
        <v>0.481389825994318</v>
      </c>
      <c r="S1150" s="0" t="n">
        <f aca="false">04_回帰ANOVA!$K$19*04_回帰ANOVA!$K$14*SQRT(1+R1150)</f>
        <v>1.13162182500693</v>
      </c>
      <c r="T1150" s="0" t="n">
        <f aca="false">Q1150-S1150</f>
        <v>43.366687834084</v>
      </c>
      <c r="U1150" s="0" t="n">
        <f aca="false">Q1150+S1150</f>
        <v>45.6299314840978</v>
      </c>
      <c r="V1150" s="54" t="b">
        <f aca="false">AND(D1150&gt;=01_因子設定!$L$5-0.000000001,D1150&lt;=01_因子設定!$M$5+0.000000001,E1150&gt;=01_因子設定!$L$6-0.000000001,E1150&lt;=01_因子設定!$M$6+0.000000001,F1150&gt;=01_因子設定!$L$7-0.000000001,F1150&lt;=01_因子設定!$M$7+0.000000001,IF(01_因子設定!$B$20="Box-Behnken",D1150^2+E1150^2+F1150^2&lt;=2+0.000000001,TRUE()))</f>
        <v>1</v>
      </c>
      <c r="W1150" s="55" t="n">
        <f aca="false">IF(V1150,IF(01_因子設定!$B$13="最大化",T1150-01_因子設定!$B$14,IF(01_因子設定!$B$13="最小化",01_因子設定!$B$15-U1150,MIN(T1150-01_因子設定!$B$14,01_因子設定!$B$15-U1150))),-1E+030)</f>
        <v>-5.13331216591601</v>
      </c>
      <c r="X1150" s="55" t="n">
        <f aca="false">IF(V1150,IF(01_因子設定!$B$13="最大化",Q1150,IF(01_因子設定!$B$13="最小化",-Q1150,-ABS(Q1150-01_因子設定!$B$16))),-1E+030)</f>
        <v>44.4983096590909</v>
      </c>
      <c r="Y1150" s="55" t="n">
        <f aca="false">W1150+ROW()*0.000000001</f>
        <v>-5.13331101591601</v>
      </c>
      <c r="Z1150" s="55" t="n">
        <f aca="false">X1150+ROW()*0.000000001</f>
        <v>44.4983108090909</v>
      </c>
    </row>
    <row r="1151" customFormat="false" ht="15" hidden="false" customHeight="false" outlineLevel="0" collapsed="false">
      <c r="A1151" s="0" t="n">
        <v>3</v>
      </c>
      <c r="B1151" s="0" t="n">
        <v>16</v>
      </c>
      <c r="C1151" s="0" t="n">
        <v>7</v>
      </c>
      <c r="D1151" s="0" t="n">
        <f aca="false">-1+A1151*0.125</f>
        <v>-0.625</v>
      </c>
      <c r="E1151" s="0" t="n">
        <f aca="false">-1+B1151*0.125</f>
        <v>1</v>
      </c>
      <c r="F1151" s="0" t="n">
        <f aca="false">-1+C1151*0.125</f>
        <v>-0.125</v>
      </c>
      <c r="G1151" s="0" t="n">
        <f aca="false">1</f>
        <v>1</v>
      </c>
      <c r="H1151" s="0" t="n">
        <f aca="false">D1151</f>
        <v>-0.625</v>
      </c>
      <c r="I1151" s="0" t="n">
        <f aca="false">E1151</f>
        <v>1</v>
      </c>
      <c r="J1151" s="0" t="n">
        <f aca="false">F1151</f>
        <v>-0.125</v>
      </c>
      <c r="K1151" s="0" t="n">
        <f aca="false">D1151*E1151</f>
        <v>-0.625</v>
      </c>
      <c r="L1151" s="0" t="n">
        <f aca="false">D1151*F1151</f>
        <v>0.078125</v>
      </c>
      <c r="M1151" s="0" t="n">
        <f aca="false">E1151*F1151</f>
        <v>-0.125</v>
      </c>
      <c r="N1151" s="0" t="n">
        <f aca="false">D1151*D1151</f>
        <v>0.390625</v>
      </c>
      <c r="O1151" s="0" t="n">
        <f aca="false">E1151*E1151</f>
        <v>1</v>
      </c>
      <c r="P1151" s="0" t="n">
        <f aca="false">F1151*F1151</f>
        <v>0.015625</v>
      </c>
      <c r="Q1151" s="0" t="n">
        <f aca="false">SUMPRODUCT(G1151:P1151,_XtX!$B$71:$K$71)</f>
        <v>44.7939630681818</v>
      </c>
      <c r="R1151" s="0" t="n">
        <f aca="false">SUMPRODUCT(MMULT(G1151:P1151,_XtX!$B$58:$K$67),G1151:P1151)</f>
        <v>0.489261696555398</v>
      </c>
      <c r="S1151" s="0" t="n">
        <f aca="false">04_回帰ANOVA!$K$19*04_回帰ANOVA!$K$14*SQRT(1+R1151)</f>
        <v>1.13462447083763</v>
      </c>
      <c r="T1151" s="0" t="n">
        <f aca="false">Q1151-S1151</f>
        <v>43.6593385973442</v>
      </c>
      <c r="U1151" s="0" t="n">
        <f aca="false">Q1151+S1151</f>
        <v>45.9285875390195</v>
      </c>
      <c r="V1151" s="54" t="b">
        <f aca="false">AND(D1151&gt;=01_因子設定!$L$5-0.000000001,D1151&lt;=01_因子設定!$M$5+0.000000001,E1151&gt;=01_因子設定!$L$6-0.000000001,E1151&lt;=01_因子設定!$M$6+0.000000001,F1151&gt;=01_因子設定!$L$7-0.000000001,F1151&lt;=01_因子設定!$M$7+0.000000001,IF(01_因子設定!$B$20="Box-Behnken",D1151^2+E1151^2+F1151^2&lt;=2+0.000000001,TRUE()))</f>
        <v>1</v>
      </c>
      <c r="W1151" s="55" t="n">
        <f aca="false">IF(V1151,IF(01_因子設定!$B$13="最大化",T1151-01_因子設定!$B$14,IF(01_因子設定!$B$13="最小化",01_因子設定!$B$15-U1151,MIN(T1151-01_因子設定!$B$14,01_因子設定!$B$15-U1151))),-1E+030)</f>
        <v>-4.84066140265581</v>
      </c>
      <c r="X1151" s="55" t="n">
        <f aca="false">IF(V1151,IF(01_因子設定!$B$13="最大化",Q1151,IF(01_因子設定!$B$13="最小化",-Q1151,-ABS(Q1151-01_因子設定!$B$16))),-1E+030)</f>
        <v>44.7939630681818</v>
      </c>
      <c r="Y1151" s="55" t="n">
        <f aca="false">W1151+ROW()*0.000000001</f>
        <v>-4.84066025165581</v>
      </c>
      <c r="Z1151" s="55" t="n">
        <f aca="false">X1151+ROW()*0.000000001</f>
        <v>44.7939642191818</v>
      </c>
    </row>
    <row r="1152" customFormat="false" ht="15" hidden="false" customHeight="false" outlineLevel="0" collapsed="false">
      <c r="A1152" s="0" t="n">
        <v>3</v>
      </c>
      <c r="B1152" s="0" t="n">
        <v>16</v>
      </c>
      <c r="C1152" s="0" t="n">
        <v>8</v>
      </c>
      <c r="D1152" s="0" t="n">
        <f aca="false">-1+A1152*0.125</f>
        <v>-0.625</v>
      </c>
      <c r="E1152" s="0" t="n">
        <f aca="false">-1+B1152*0.125</f>
        <v>1</v>
      </c>
      <c r="F1152" s="0" t="n">
        <f aca="false">-1+C1152*0.125</f>
        <v>0</v>
      </c>
      <c r="G1152" s="0" t="n">
        <f aca="false">1</f>
        <v>1</v>
      </c>
      <c r="H1152" s="0" t="n">
        <f aca="false">D1152</f>
        <v>-0.625</v>
      </c>
      <c r="I1152" s="0" t="n">
        <f aca="false">E1152</f>
        <v>1</v>
      </c>
      <c r="J1152" s="0" t="n">
        <f aca="false">F1152</f>
        <v>0</v>
      </c>
      <c r="K1152" s="0" t="n">
        <f aca="false">D1152*E1152</f>
        <v>-0.625</v>
      </c>
      <c r="L1152" s="0" t="n">
        <f aca="false">D1152*F1152</f>
        <v>-0</v>
      </c>
      <c r="M1152" s="0" t="n">
        <f aca="false">E1152*F1152</f>
        <v>0</v>
      </c>
      <c r="N1152" s="0" t="n">
        <f aca="false">D1152*D1152</f>
        <v>0.390625</v>
      </c>
      <c r="O1152" s="0" t="n">
        <f aca="false">E1152*E1152</f>
        <v>1</v>
      </c>
      <c r="P1152" s="0" t="n">
        <f aca="false">F1152*F1152</f>
        <v>0</v>
      </c>
      <c r="Q1152" s="0" t="n">
        <f aca="false">SUMPRODUCT(G1152:P1152,_XtX!$B$71:$K$71)</f>
        <v>45.0528267045455</v>
      </c>
      <c r="R1152" s="0" t="n">
        <f aca="false">SUMPRODUCT(MMULT(G1152:P1152,_XtX!$B$58:$K$67),G1152:P1152)</f>
        <v>0.492240767045455</v>
      </c>
      <c r="S1152" s="0" t="n">
        <f aca="false">04_回帰ANOVA!$K$19*04_回帰ANOVA!$K$14*SQRT(1+R1152)</f>
        <v>1.13575873676322</v>
      </c>
      <c r="T1152" s="0" t="n">
        <f aca="false">Q1152-S1152</f>
        <v>43.9170679677822</v>
      </c>
      <c r="U1152" s="0" t="n">
        <f aca="false">Q1152+S1152</f>
        <v>46.1885854413087</v>
      </c>
      <c r="V1152" s="54" t="b">
        <f aca="false">AND(D1152&gt;=01_因子設定!$L$5-0.000000001,D1152&lt;=01_因子設定!$M$5+0.000000001,E1152&gt;=01_因子設定!$L$6-0.000000001,E1152&lt;=01_因子設定!$M$6+0.000000001,F1152&gt;=01_因子設定!$L$7-0.000000001,F1152&lt;=01_因子設定!$M$7+0.000000001,IF(01_因子設定!$B$20="Box-Behnken",D1152^2+E1152^2+F1152^2&lt;=2+0.000000001,TRUE()))</f>
        <v>1</v>
      </c>
      <c r="W1152" s="55" t="n">
        <f aca="false">IF(V1152,IF(01_因子設定!$B$13="最大化",T1152-01_因子設定!$B$14,IF(01_因子設定!$B$13="最小化",01_因子設定!$B$15-U1152,MIN(T1152-01_因子設定!$B$14,01_因子設定!$B$15-U1152))),-1E+030)</f>
        <v>-4.58293203221776</v>
      </c>
      <c r="X1152" s="55" t="n">
        <f aca="false">IF(V1152,IF(01_因子設定!$B$13="最大化",Q1152,IF(01_因子設定!$B$13="最小化",-Q1152,-ABS(Q1152-01_因子設定!$B$16))),-1E+030)</f>
        <v>45.0528267045455</v>
      </c>
      <c r="Y1152" s="55" t="n">
        <f aca="false">W1152+ROW()*0.000000001</f>
        <v>-4.58293088021776</v>
      </c>
      <c r="Z1152" s="55" t="n">
        <f aca="false">X1152+ROW()*0.000000001</f>
        <v>45.0528278565455</v>
      </c>
    </row>
    <row r="1153" customFormat="false" ht="15" hidden="false" customHeight="false" outlineLevel="0" collapsed="false">
      <c r="A1153" s="0" t="n">
        <v>3</v>
      </c>
      <c r="B1153" s="0" t="n">
        <v>16</v>
      </c>
      <c r="C1153" s="0" t="n">
        <v>9</v>
      </c>
      <c r="D1153" s="0" t="n">
        <f aca="false">-1+A1153*0.125</f>
        <v>-0.625</v>
      </c>
      <c r="E1153" s="0" t="n">
        <f aca="false">-1+B1153*0.125</f>
        <v>1</v>
      </c>
      <c r="F1153" s="0" t="n">
        <f aca="false">-1+C1153*0.125</f>
        <v>0.125</v>
      </c>
      <c r="G1153" s="0" t="n">
        <f aca="false">1</f>
        <v>1</v>
      </c>
      <c r="H1153" s="0" t="n">
        <f aca="false">D1153</f>
        <v>-0.625</v>
      </c>
      <c r="I1153" s="0" t="n">
        <f aca="false">E1153</f>
        <v>1</v>
      </c>
      <c r="J1153" s="0" t="n">
        <f aca="false">F1153</f>
        <v>0.125</v>
      </c>
      <c r="K1153" s="0" t="n">
        <f aca="false">D1153*E1153</f>
        <v>-0.625</v>
      </c>
      <c r="L1153" s="0" t="n">
        <f aca="false">D1153*F1153</f>
        <v>-0.078125</v>
      </c>
      <c r="M1153" s="0" t="n">
        <f aca="false">E1153*F1153</f>
        <v>0.125</v>
      </c>
      <c r="N1153" s="0" t="n">
        <f aca="false">D1153*D1153</f>
        <v>0.390625</v>
      </c>
      <c r="O1153" s="0" t="n">
        <f aca="false">E1153*E1153</f>
        <v>1</v>
      </c>
      <c r="P1153" s="0" t="n">
        <f aca="false">F1153*F1153</f>
        <v>0.015625</v>
      </c>
      <c r="Q1153" s="0" t="n">
        <f aca="false">SUMPRODUCT(G1153:P1153,_XtX!$B$71:$K$71)</f>
        <v>45.2749005681818</v>
      </c>
      <c r="R1153" s="0" t="n">
        <f aca="false">SUMPRODUCT(MMULT(G1153:P1153,_XtX!$B$58:$K$67),G1153:P1153)</f>
        <v>0.489261696555398</v>
      </c>
      <c r="S1153" s="0" t="n">
        <f aca="false">04_回帰ANOVA!$K$19*04_回帰ANOVA!$K$14*SQRT(1+R1153)</f>
        <v>1.13462447083763</v>
      </c>
      <c r="T1153" s="0" t="n">
        <f aca="false">Q1153-S1153</f>
        <v>44.1402760973442</v>
      </c>
      <c r="U1153" s="0" t="n">
        <f aca="false">Q1153+S1153</f>
        <v>46.4095250390195</v>
      </c>
      <c r="V1153" s="54" t="b">
        <f aca="false">AND(D1153&gt;=01_因子設定!$L$5-0.000000001,D1153&lt;=01_因子設定!$M$5+0.000000001,E1153&gt;=01_因子設定!$L$6-0.000000001,E1153&lt;=01_因子設定!$M$6+0.000000001,F1153&gt;=01_因子設定!$L$7-0.000000001,F1153&lt;=01_因子設定!$M$7+0.000000001,IF(01_因子設定!$B$20="Box-Behnken",D1153^2+E1153^2+F1153^2&lt;=2+0.000000001,TRUE()))</f>
        <v>1</v>
      </c>
      <c r="W1153" s="55" t="n">
        <f aca="false">IF(V1153,IF(01_因子設定!$B$13="最大化",T1153-01_因子設定!$B$14,IF(01_因子設定!$B$13="最小化",01_因子設定!$B$15-U1153,MIN(T1153-01_因子設定!$B$14,01_因子設定!$B$15-U1153))),-1E+030)</f>
        <v>-4.35972390265582</v>
      </c>
      <c r="X1153" s="55" t="n">
        <f aca="false">IF(V1153,IF(01_因子設定!$B$13="最大化",Q1153,IF(01_因子設定!$B$13="最小化",-Q1153,-ABS(Q1153-01_因子設定!$B$16))),-1E+030)</f>
        <v>45.2749005681818</v>
      </c>
      <c r="Y1153" s="55" t="n">
        <f aca="false">W1153+ROW()*0.000000001</f>
        <v>-4.35972274965582</v>
      </c>
      <c r="Z1153" s="55" t="n">
        <f aca="false">X1153+ROW()*0.000000001</f>
        <v>45.2749017211818</v>
      </c>
    </row>
    <row r="1154" customFormat="false" ht="15" hidden="false" customHeight="false" outlineLevel="0" collapsed="false">
      <c r="A1154" s="0" t="n">
        <v>3</v>
      </c>
      <c r="B1154" s="0" t="n">
        <v>16</v>
      </c>
      <c r="C1154" s="0" t="n">
        <v>10</v>
      </c>
      <c r="D1154" s="0" t="n">
        <f aca="false">-1+A1154*0.125</f>
        <v>-0.625</v>
      </c>
      <c r="E1154" s="0" t="n">
        <f aca="false">-1+B1154*0.125</f>
        <v>1</v>
      </c>
      <c r="F1154" s="0" t="n">
        <f aca="false">-1+C1154*0.125</f>
        <v>0.25</v>
      </c>
      <c r="G1154" s="0" t="n">
        <f aca="false">1</f>
        <v>1</v>
      </c>
      <c r="H1154" s="0" t="n">
        <f aca="false">D1154</f>
        <v>-0.625</v>
      </c>
      <c r="I1154" s="0" t="n">
        <f aca="false">E1154</f>
        <v>1</v>
      </c>
      <c r="J1154" s="0" t="n">
        <f aca="false">F1154</f>
        <v>0.25</v>
      </c>
      <c r="K1154" s="0" t="n">
        <f aca="false">D1154*E1154</f>
        <v>-0.625</v>
      </c>
      <c r="L1154" s="0" t="n">
        <f aca="false">D1154*F1154</f>
        <v>-0.15625</v>
      </c>
      <c r="M1154" s="0" t="n">
        <f aca="false">E1154*F1154</f>
        <v>0.25</v>
      </c>
      <c r="N1154" s="0" t="n">
        <f aca="false">D1154*D1154</f>
        <v>0.390625</v>
      </c>
      <c r="O1154" s="0" t="n">
        <f aca="false">E1154*E1154</f>
        <v>1</v>
      </c>
      <c r="P1154" s="0" t="n">
        <f aca="false">F1154*F1154</f>
        <v>0.0625</v>
      </c>
      <c r="Q1154" s="0" t="n">
        <f aca="false">SUMPRODUCT(G1154:P1154,_XtX!$B$71:$K$71)</f>
        <v>45.4601846590909</v>
      </c>
      <c r="R1154" s="0" t="n">
        <f aca="false">SUMPRODUCT(MMULT(G1154:P1154,_XtX!$B$58:$K$67),G1154:P1154)</f>
        <v>0.481389825994318</v>
      </c>
      <c r="S1154" s="0" t="n">
        <f aca="false">04_回帰ANOVA!$K$19*04_回帰ANOVA!$K$14*SQRT(1+R1154)</f>
        <v>1.13162182500693</v>
      </c>
      <c r="T1154" s="0" t="n">
        <f aca="false">Q1154-S1154</f>
        <v>44.328562834084</v>
      </c>
      <c r="U1154" s="0" t="n">
        <f aca="false">Q1154+S1154</f>
        <v>46.5918064840978</v>
      </c>
      <c r="V1154" s="54" t="b">
        <f aca="false">AND(D1154&gt;=01_因子設定!$L$5-0.000000001,D1154&lt;=01_因子設定!$M$5+0.000000001,E1154&gt;=01_因子設定!$L$6-0.000000001,E1154&lt;=01_因子設定!$M$6+0.000000001,F1154&gt;=01_因子設定!$L$7-0.000000001,F1154&lt;=01_因子設定!$M$7+0.000000001,IF(01_因子設定!$B$20="Box-Behnken",D1154^2+E1154^2+F1154^2&lt;=2+0.000000001,TRUE()))</f>
        <v>1</v>
      </c>
      <c r="W1154" s="55" t="n">
        <f aca="false">IF(V1154,IF(01_因子設定!$B$13="最大化",T1154-01_因子設定!$B$14,IF(01_因子設定!$B$13="最小化",01_因子設定!$B$15-U1154,MIN(T1154-01_因子設定!$B$14,01_因子設定!$B$15-U1154))),-1E+030)</f>
        <v>-4.17143716591601</v>
      </c>
      <c r="X1154" s="55" t="n">
        <f aca="false">IF(V1154,IF(01_因子設定!$B$13="最大化",Q1154,IF(01_因子設定!$B$13="最小化",-Q1154,-ABS(Q1154-01_因子設定!$B$16))),-1E+030)</f>
        <v>45.4601846590909</v>
      </c>
      <c r="Y1154" s="55" t="n">
        <f aca="false">W1154+ROW()*0.000000001</f>
        <v>-4.17143601191601</v>
      </c>
      <c r="Z1154" s="55" t="n">
        <f aca="false">X1154+ROW()*0.000000001</f>
        <v>45.4601858130909</v>
      </c>
    </row>
    <row r="1155" customFormat="false" ht="15" hidden="false" customHeight="false" outlineLevel="0" collapsed="false">
      <c r="A1155" s="0" t="n">
        <v>3</v>
      </c>
      <c r="B1155" s="0" t="n">
        <v>16</v>
      </c>
      <c r="C1155" s="0" t="n">
        <v>11</v>
      </c>
      <c r="D1155" s="0" t="n">
        <f aca="false">-1+A1155*0.125</f>
        <v>-0.625</v>
      </c>
      <c r="E1155" s="0" t="n">
        <f aca="false">-1+B1155*0.125</f>
        <v>1</v>
      </c>
      <c r="F1155" s="0" t="n">
        <f aca="false">-1+C1155*0.125</f>
        <v>0.375</v>
      </c>
      <c r="G1155" s="0" t="n">
        <f aca="false">1</f>
        <v>1</v>
      </c>
      <c r="H1155" s="0" t="n">
        <f aca="false">D1155</f>
        <v>-0.625</v>
      </c>
      <c r="I1155" s="0" t="n">
        <f aca="false">E1155</f>
        <v>1</v>
      </c>
      <c r="J1155" s="0" t="n">
        <f aca="false">F1155</f>
        <v>0.375</v>
      </c>
      <c r="K1155" s="0" t="n">
        <f aca="false">D1155*E1155</f>
        <v>-0.625</v>
      </c>
      <c r="L1155" s="0" t="n">
        <f aca="false">D1155*F1155</f>
        <v>-0.234375</v>
      </c>
      <c r="M1155" s="0" t="n">
        <f aca="false">E1155*F1155</f>
        <v>0.375</v>
      </c>
      <c r="N1155" s="0" t="n">
        <f aca="false">D1155*D1155</f>
        <v>0.390625</v>
      </c>
      <c r="O1155" s="0" t="n">
        <f aca="false">E1155*E1155</f>
        <v>1</v>
      </c>
      <c r="P1155" s="0" t="n">
        <f aca="false">F1155*F1155</f>
        <v>0.140625</v>
      </c>
      <c r="Q1155" s="0" t="n">
        <f aca="false">SUMPRODUCT(G1155:P1155,_XtX!$B$71:$K$71)</f>
        <v>45.6086789772727</v>
      </c>
      <c r="R1155" s="0" t="n">
        <f aca="false">SUMPRODUCT(MMULT(G1155:P1155,_XtX!$B$58:$K$67),G1155:P1155)</f>
        <v>0.471821178089489</v>
      </c>
      <c r="S1155" s="0" t="n">
        <f aca="false">04_回帰ANOVA!$K$19*04_回帰ANOVA!$K$14*SQRT(1+R1155)</f>
        <v>1.12796119746125</v>
      </c>
      <c r="T1155" s="0" t="n">
        <f aca="false">Q1155-S1155</f>
        <v>44.4807177798115</v>
      </c>
      <c r="U1155" s="0" t="n">
        <f aca="false">Q1155+S1155</f>
        <v>46.736640174734</v>
      </c>
      <c r="V1155" s="54" t="b">
        <f aca="false">AND(D1155&gt;=01_因子設定!$L$5-0.000000001,D1155&lt;=01_因子設定!$M$5+0.000000001,E1155&gt;=01_因子設定!$L$6-0.000000001,E1155&lt;=01_因子設定!$M$6+0.000000001,F1155&gt;=01_因子設定!$L$7-0.000000001,F1155&lt;=01_因子設定!$M$7+0.000000001,IF(01_因子設定!$B$20="Box-Behnken",D1155^2+E1155^2+F1155^2&lt;=2+0.000000001,TRUE()))</f>
        <v>1</v>
      </c>
      <c r="W1155" s="55" t="n">
        <f aca="false">IF(V1155,IF(01_因子設定!$B$13="最大化",T1155-01_因子設定!$B$14,IF(01_因子設定!$B$13="最小化",01_因子設定!$B$15-U1155,MIN(T1155-01_因子設定!$B$14,01_因子設定!$B$15-U1155))),-1E+030)</f>
        <v>-4.01928222018852</v>
      </c>
      <c r="X1155" s="55" t="n">
        <f aca="false">IF(V1155,IF(01_因子設定!$B$13="最大化",Q1155,IF(01_因子設定!$B$13="最小化",-Q1155,-ABS(Q1155-01_因子設定!$B$16))),-1E+030)</f>
        <v>45.6086789772727</v>
      </c>
      <c r="Y1155" s="55" t="n">
        <f aca="false">W1155+ROW()*0.000000001</f>
        <v>-4.01928106518852</v>
      </c>
      <c r="Z1155" s="55" t="n">
        <f aca="false">X1155+ROW()*0.000000001</f>
        <v>45.6086801322727</v>
      </c>
    </row>
    <row r="1156" customFormat="false" ht="15" hidden="false" customHeight="false" outlineLevel="0" collapsed="false">
      <c r="A1156" s="0" t="n">
        <v>3</v>
      </c>
      <c r="B1156" s="0" t="n">
        <v>16</v>
      </c>
      <c r="C1156" s="0" t="n">
        <v>12</v>
      </c>
      <c r="D1156" s="0" t="n">
        <f aca="false">-1+A1156*0.125</f>
        <v>-0.625</v>
      </c>
      <c r="E1156" s="0" t="n">
        <f aca="false">-1+B1156*0.125</f>
        <v>1</v>
      </c>
      <c r="F1156" s="0" t="n">
        <f aca="false">-1+C1156*0.125</f>
        <v>0.5</v>
      </c>
      <c r="G1156" s="0" t="n">
        <f aca="false">1</f>
        <v>1</v>
      </c>
      <c r="H1156" s="0" t="n">
        <f aca="false">D1156</f>
        <v>-0.625</v>
      </c>
      <c r="I1156" s="0" t="n">
        <f aca="false">E1156</f>
        <v>1</v>
      </c>
      <c r="J1156" s="0" t="n">
        <f aca="false">F1156</f>
        <v>0.5</v>
      </c>
      <c r="K1156" s="0" t="n">
        <f aca="false">D1156*E1156</f>
        <v>-0.625</v>
      </c>
      <c r="L1156" s="0" t="n">
        <f aca="false">D1156*F1156</f>
        <v>-0.3125</v>
      </c>
      <c r="M1156" s="0" t="n">
        <f aca="false">E1156*F1156</f>
        <v>0.5</v>
      </c>
      <c r="N1156" s="0" t="n">
        <f aca="false">D1156*D1156</f>
        <v>0.390625</v>
      </c>
      <c r="O1156" s="0" t="n">
        <f aca="false">E1156*E1156</f>
        <v>1</v>
      </c>
      <c r="P1156" s="0" t="n">
        <f aca="false">F1156*F1156</f>
        <v>0.25</v>
      </c>
      <c r="Q1156" s="0" t="n">
        <f aca="false">SUMPRODUCT(G1156:P1156,_XtX!$B$71:$K$71)</f>
        <v>45.7203835227273</v>
      </c>
      <c r="R1156" s="0" t="n">
        <f aca="false">SUMPRODUCT(MMULT(G1156:P1156,_XtX!$B$58:$K$67),G1156:P1156)</f>
        <v>0.465882457386364</v>
      </c>
      <c r="S1156" s="0" t="n">
        <f aca="false">04_回帰ANOVA!$K$19*04_回帰ANOVA!$K$14*SQRT(1+R1156)</f>
        <v>1.12568326538173</v>
      </c>
      <c r="T1156" s="0" t="n">
        <f aca="false">Q1156-S1156</f>
        <v>44.5947002573456</v>
      </c>
      <c r="U1156" s="0" t="n">
        <f aca="false">Q1156+S1156</f>
        <v>46.846066788109</v>
      </c>
      <c r="V1156" s="54" t="b">
        <f aca="false">AND(D1156&gt;=01_因子設定!$L$5-0.000000001,D1156&lt;=01_因子設定!$M$5+0.000000001,E1156&gt;=01_因子設定!$L$6-0.000000001,E1156&lt;=01_因子設定!$M$6+0.000000001,F1156&gt;=01_因子設定!$L$7-0.000000001,F1156&lt;=01_因子設定!$M$7+0.000000001,IF(01_因子設定!$B$20="Box-Behnken",D1156^2+E1156^2+F1156^2&lt;=2+0.000000001,TRUE()))</f>
        <v>1</v>
      </c>
      <c r="W1156" s="55" t="n">
        <f aca="false">IF(V1156,IF(01_因子設定!$B$13="最大化",T1156-01_因子設定!$B$14,IF(01_因子設定!$B$13="最小化",01_因子設定!$B$15-U1156,MIN(T1156-01_因子設定!$B$14,01_因子設定!$B$15-U1156))),-1E+030)</f>
        <v>-3.90529974265444</v>
      </c>
      <c r="X1156" s="55" t="n">
        <f aca="false">IF(V1156,IF(01_因子設定!$B$13="最大化",Q1156,IF(01_因子設定!$B$13="最小化",-Q1156,-ABS(Q1156-01_因子設定!$B$16))),-1E+030)</f>
        <v>45.7203835227273</v>
      </c>
      <c r="Y1156" s="55" t="n">
        <f aca="false">W1156+ROW()*0.000000001</f>
        <v>-3.90529858665444</v>
      </c>
      <c r="Z1156" s="55" t="n">
        <f aca="false">X1156+ROW()*0.000000001</f>
        <v>45.7203846787273</v>
      </c>
    </row>
    <row r="1157" customFormat="false" ht="15" hidden="false" customHeight="false" outlineLevel="0" collapsed="false">
      <c r="A1157" s="0" t="n">
        <v>3</v>
      </c>
      <c r="B1157" s="0" t="n">
        <v>16</v>
      </c>
      <c r="C1157" s="0" t="n">
        <v>13</v>
      </c>
      <c r="D1157" s="0" t="n">
        <f aca="false">-1+A1157*0.125</f>
        <v>-0.625</v>
      </c>
      <c r="E1157" s="0" t="n">
        <f aca="false">-1+B1157*0.125</f>
        <v>1</v>
      </c>
      <c r="F1157" s="0" t="n">
        <f aca="false">-1+C1157*0.125</f>
        <v>0.625</v>
      </c>
      <c r="G1157" s="0" t="n">
        <f aca="false">1</f>
        <v>1</v>
      </c>
      <c r="H1157" s="0" t="n">
        <f aca="false">D1157</f>
        <v>-0.625</v>
      </c>
      <c r="I1157" s="0" t="n">
        <f aca="false">E1157</f>
        <v>1</v>
      </c>
      <c r="J1157" s="0" t="n">
        <f aca="false">F1157</f>
        <v>0.625</v>
      </c>
      <c r="K1157" s="0" t="n">
        <f aca="false">D1157*E1157</f>
        <v>-0.625</v>
      </c>
      <c r="L1157" s="0" t="n">
        <f aca="false">D1157*F1157</f>
        <v>-0.390625</v>
      </c>
      <c r="M1157" s="0" t="n">
        <f aca="false">E1157*F1157</f>
        <v>0.625</v>
      </c>
      <c r="N1157" s="0" t="n">
        <f aca="false">D1157*D1157</f>
        <v>0.390625</v>
      </c>
      <c r="O1157" s="0" t="n">
        <f aca="false">E1157*E1157</f>
        <v>1</v>
      </c>
      <c r="P1157" s="0" t="n">
        <f aca="false">F1157*F1157</f>
        <v>0.390625</v>
      </c>
      <c r="Q1157" s="0" t="n">
        <f aca="false">SUMPRODUCT(G1157:P1157,_XtX!$B$71:$K$71)</f>
        <v>45.7952982954546</v>
      </c>
      <c r="R1157" s="0" t="n">
        <f aca="false">SUMPRODUCT(MMULT(G1157:P1157,_XtX!$B$58:$K$67),G1157:P1157)</f>
        <v>0.47103105024858</v>
      </c>
      <c r="S1157" s="0" t="n">
        <f aca="false">04_回帰ANOVA!$K$19*04_回帰ANOVA!$K$14*SQRT(1+R1157)</f>
        <v>1.1276583912499</v>
      </c>
      <c r="T1157" s="0" t="n">
        <f aca="false">Q1157-S1157</f>
        <v>44.6676399042047</v>
      </c>
      <c r="U1157" s="0" t="n">
        <f aca="false">Q1157+S1157</f>
        <v>46.9229566867045</v>
      </c>
      <c r="V1157" s="54" t="b">
        <f aca="false">AND(D1157&gt;=01_因子設定!$L$5-0.000000001,D1157&lt;=01_因子設定!$M$5+0.000000001,E1157&gt;=01_因子設定!$L$6-0.000000001,E1157&lt;=01_因子設定!$M$6+0.000000001,F1157&gt;=01_因子設定!$L$7-0.000000001,F1157&lt;=01_因子設定!$M$7+0.000000001,IF(01_因子設定!$B$20="Box-Behnken",D1157^2+E1157^2+F1157^2&lt;=2+0.000000001,TRUE()))</f>
        <v>1</v>
      </c>
      <c r="W1157" s="55" t="n">
        <f aca="false">IF(V1157,IF(01_因子設定!$B$13="最大化",T1157-01_因子設定!$B$14,IF(01_因子設定!$B$13="最小化",01_因子設定!$B$15-U1157,MIN(T1157-01_因子設定!$B$14,01_因子設定!$B$15-U1157))),-1E+030)</f>
        <v>-3.83236009579534</v>
      </c>
      <c r="X1157" s="55" t="n">
        <f aca="false">IF(V1157,IF(01_因子設定!$B$13="最大化",Q1157,IF(01_因子設定!$B$13="最小化",-Q1157,-ABS(Q1157-01_因子設定!$B$16))),-1E+030)</f>
        <v>45.7952982954546</v>
      </c>
      <c r="Y1157" s="55" t="n">
        <f aca="false">W1157+ROW()*0.000000001</f>
        <v>-3.83235893879534</v>
      </c>
      <c r="Z1157" s="55" t="n">
        <f aca="false">X1157+ROW()*0.000000001</f>
        <v>45.7952994524546</v>
      </c>
    </row>
    <row r="1158" customFormat="false" ht="15" hidden="false" customHeight="false" outlineLevel="0" collapsed="false">
      <c r="A1158" s="0" t="n">
        <v>3</v>
      </c>
      <c r="B1158" s="0" t="n">
        <v>16</v>
      </c>
      <c r="C1158" s="0" t="n">
        <v>14</v>
      </c>
      <c r="D1158" s="0" t="n">
        <f aca="false">-1+A1158*0.125</f>
        <v>-0.625</v>
      </c>
      <c r="E1158" s="0" t="n">
        <f aca="false">-1+B1158*0.125</f>
        <v>1</v>
      </c>
      <c r="F1158" s="0" t="n">
        <f aca="false">-1+C1158*0.125</f>
        <v>0.75</v>
      </c>
      <c r="G1158" s="0" t="n">
        <f aca="false">1</f>
        <v>1</v>
      </c>
      <c r="H1158" s="0" t="n">
        <f aca="false">D1158</f>
        <v>-0.625</v>
      </c>
      <c r="I1158" s="0" t="n">
        <f aca="false">E1158</f>
        <v>1</v>
      </c>
      <c r="J1158" s="0" t="n">
        <f aca="false">F1158</f>
        <v>0.75</v>
      </c>
      <c r="K1158" s="0" t="n">
        <f aca="false">D1158*E1158</f>
        <v>-0.625</v>
      </c>
      <c r="L1158" s="0" t="n">
        <f aca="false">D1158*F1158</f>
        <v>-0.46875</v>
      </c>
      <c r="M1158" s="0" t="n">
        <f aca="false">E1158*F1158</f>
        <v>0.75</v>
      </c>
      <c r="N1158" s="0" t="n">
        <f aca="false">D1158*D1158</f>
        <v>0.390625</v>
      </c>
      <c r="O1158" s="0" t="n">
        <f aca="false">E1158*E1158</f>
        <v>1</v>
      </c>
      <c r="P1158" s="0" t="n">
        <f aca="false">F1158*F1158</f>
        <v>0.5625</v>
      </c>
      <c r="Q1158" s="0" t="n">
        <f aca="false">SUMPRODUCT(G1158:P1158,_XtX!$B$71:$K$71)</f>
        <v>45.8334232954546</v>
      </c>
      <c r="R1158" s="0" t="n">
        <f aca="false">SUMPRODUCT(MMULT(G1158:P1158,_XtX!$B$58:$K$67),G1158:P1158)</f>
        <v>0.496855024857955</v>
      </c>
      <c r="S1158" s="0" t="n">
        <f aca="false">04_回帰ANOVA!$K$19*04_回帰ANOVA!$K$14*SQRT(1+R1158)</f>
        <v>1.1375133593161</v>
      </c>
      <c r="T1158" s="0" t="n">
        <f aca="false">Q1158-S1158</f>
        <v>44.6959099361385</v>
      </c>
      <c r="U1158" s="0" t="n">
        <f aca="false">Q1158+S1158</f>
        <v>46.9709366547707</v>
      </c>
      <c r="V1158" s="54" t="b">
        <f aca="false">AND(D1158&gt;=01_因子設定!$L$5-0.000000001,D1158&lt;=01_因子設定!$M$5+0.000000001,E1158&gt;=01_因子設定!$L$6-0.000000001,E1158&lt;=01_因子設定!$M$6+0.000000001,F1158&gt;=01_因子設定!$L$7-0.000000001,F1158&lt;=01_因子設定!$M$7+0.000000001,IF(01_因子設定!$B$20="Box-Behnken",D1158^2+E1158^2+F1158^2&lt;=2+0.000000001,TRUE()))</f>
        <v>1</v>
      </c>
      <c r="W1158" s="55" t="n">
        <f aca="false">IF(V1158,IF(01_因子設定!$B$13="最大化",T1158-01_因子設定!$B$14,IF(01_因子設定!$B$13="最小化",01_因子設定!$B$15-U1158,MIN(T1158-01_因子設定!$B$14,01_因子設定!$B$15-U1158))),-1E+030)</f>
        <v>-3.80409006386154</v>
      </c>
      <c r="X1158" s="55" t="n">
        <f aca="false">IF(V1158,IF(01_因子設定!$B$13="最大化",Q1158,IF(01_因子設定!$B$13="最小化",-Q1158,-ABS(Q1158-01_因子設定!$B$16))),-1E+030)</f>
        <v>45.8334232954546</v>
      </c>
      <c r="Y1158" s="55" t="n">
        <f aca="false">W1158+ROW()*0.000000001</f>
        <v>-3.80408890586154</v>
      </c>
      <c r="Z1158" s="55" t="n">
        <f aca="false">X1158+ROW()*0.000000001</f>
        <v>45.8334244534546</v>
      </c>
    </row>
    <row r="1159" customFormat="false" ht="15" hidden="false" customHeight="false" outlineLevel="0" collapsed="false">
      <c r="A1159" s="0" t="n">
        <v>3</v>
      </c>
      <c r="B1159" s="0" t="n">
        <v>16</v>
      </c>
      <c r="C1159" s="0" t="n">
        <v>15</v>
      </c>
      <c r="D1159" s="0" t="n">
        <f aca="false">-1+A1159*0.125</f>
        <v>-0.625</v>
      </c>
      <c r="E1159" s="0" t="n">
        <f aca="false">-1+B1159*0.125</f>
        <v>1</v>
      </c>
      <c r="F1159" s="0" t="n">
        <f aca="false">-1+C1159*0.125</f>
        <v>0.875</v>
      </c>
      <c r="G1159" s="0" t="n">
        <f aca="false">1</f>
        <v>1</v>
      </c>
      <c r="H1159" s="0" t="n">
        <f aca="false">D1159</f>
        <v>-0.625</v>
      </c>
      <c r="I1159" s="0" t="n">
        <f aca="false">E1159</f>
        <v>1</v>
      </c>
      <c r="J1159" s="0" t="n">
        <f aca="false">F1159</f>
        <v>0.875</v>
      </c>
      <c r="K1159" s="0" t="n">
        <f aca="false">D1159*E1159</f>
        <v>-0.625</v>
      </c>
      <c r="L1159" s="0" t="n">
        <f aca="false">D1159*F1159</f>
        <v>-0.546875</v>
      </c>
      <c r="M1159" s="0" t="n">
        <f aca="false">E1159*F1159</f>
        <v>0.875</v>
      </c>
      <c r="N1159" s="0" t="n">
        <f aca="false">D1159*D1159</f>
        <v>0.390625</v>
      </c>
      <c r="O1159" s="0" t="n">
        <f aca="false">E1159*E1159</f>
        <v>1</v>
      </c>
      <c r="P1159" s="0" t="n">
        <f aca="false">F1159*F1159</f>
        <v>0.765625</v>
      </c>
      <c r="Q1159" s="0" t="n">
        <f aca="false">SUMPRODUCT(G1159:P1159,_XtX!$B$71:$K$71)</f>
        <v>45.8347585227273</v>
      </c>
      <c r="R1159" s="0" t="n">
        <f aca="false">SUMPRODUCT(MMULT(G1159:P1159,_XtX!$B$58:$K$67),G1159:P1159)</f>
        <v>0.555073131214489</v>
      </c>
      <c r="S1159" s="0" t="n">
        <f aca="false">04_回帰ANOVA!$K$19*04_回帰ANOVA!$K$14*SQRT(1+R1159)</f>
        <v>1.15942335628341</v>
      </c>
      <c r="T1159" s="0" t="n">
        <f aca="false">Q1159-S1159</f>
        <v>44.6753351664439</v>
      </c>
      <c r="U1159" s="0" t="n">
        <f aca="false">Q1159+S1159</f>
        <v>46.9941818790107</v>
      </c>
      <c r="V1159" s="54" t="b">
        <f aca="false">AND(D1159&gt;=01_因子設定!$L$5-0.000000001,D1159&lt;=01_因子設定!$M$5+0.000000001,E1159&gt;=01_因子設定!$L$6-0.000000001,E1159&lt;=01_因子設定!$M$6+0.000000001,F1159&gt;=01_因子設定!$L$7-0.000000001,F1159&lt;=01_因子設定!$M$7+0.000000001,IF(01_因子設定!$B$20="Box-Behnken",D1159^2+E1159^2+F1159^2&lt;=2+0.000000001,TRUE()))</f>
        <v>1</v>
      </c>
      <c r="W1159" s="55" t="n">
        <f aca="false">IF(V1159,IF(01_因子設定!$B$13="最大化",T1159-01_因子設定!$B$14,IF(01_因子設定!$B$13="最小化",01_因子設定!$B$15-U1159,MIN(T1159-01_因子設定!$B$14,01_因子設定!$B$15-U1159))),-1E+030)</f>
        <v>-3.82466483355611</v>
      </c>
      <c r="X1159" s="55" t="n">
        <f aca="false">IF(V1159,IF(01_因子設定!$B$13="最大化",Q1159,IF(01_因子設定!$B$13="最小化",-Q1159,-ABS(Q1159-01_因子設定!$B$16))),-1E+030)</f>
        <v>45.8347585227273</v>
      </c>
      <c r="Y1159" s="55" t="n">
        <f aca="false">W1159+ROW()*0.000000001</f>
        <v>-3.82466367455611</v>
      </c>
      <c r="Z1159" s="55" t="n">
        <f aca="false">X1159+ROW()*0.000000001</f>
        <v>45.8347596817273</v>
      </c>
    </row>
    <row r="1160" customFormat="false" ht="15" hidden="false" customHeight="false" outlineLevel="0" collapsed="false">
      <c r="A1160" s="0" t="n">
        <v>3</v>
      </c>
      <c r="B1160" s="0" t="n">
        <v>16</v>
      </c>
      <c r="C1160" s="0" t="n">
        <v>16</v>
      </c>
      <c r="D1160" s="0" t="n">
        <f aca="false">-1+A1160*0.125</f>
        <v>-0.625</v>
      </c>
      <c r="E1160" s="0" t="n">
        <f aca="false">-1+B1160*0.125</f>
        <v>1</v>
      </c>
      <c r="F1160" s="0" t="n">
        <f aca="false">-1+C1160*0.125</f>
        <v>1</v>
      </c>
      <c r="G1160" s="0" t="n">
        <f aca="false">1</f>
        <v>1</v>
      </c>
      <c r="H1160" s="0" t="n">
        <f aca="false">D1160</f>
        <v>-0.625</v>
      </c>
      <c r="I1160" s="0" t="n">
        <f aca="false">E1160</f>
        <v>1</v>
      </c>
      <c r="J1160" s="0" t="n">
        <f aca="false">F1160</f>
        <v>1</v>
      </c>
      <c r="K1160" s="0" t="n">
        <f aca="false">D1160*E1160</f>
        <v>-0.625</v>
      </c>
      <c r="L1160" s="0" t="n">
        <f aca="false">D1160*F1160</f>
        <v>-0.625</v>
      </c>
      <c r="M1160" s="0" t="n">
        <f aca="false">E1160*F1160</f>
        <v>1</v>
      </c>
      <c r="N1160" s="0" t="n">
        <f aca="false">D1160*D1160</f>
        <v>0.390625</v>
      </c>
      <c r="O1160" s="0" t="n">
        <f aca="false">E1160*E1160</f>
        <v>1</v>
      </c>
      <c r="P1160" s="0" t="n">
        <f aca="false">F1160*F1160</f>
        <v>1</v>
      </c>
      <c r="Q1160" s="0" t="n">
        <f aca="false">SUMPRODUCT(G1160:P1160,_XtX!$B$71:$K$71)</f>
        <v>45.7993039772728</v>
      </c>
      <c r="R1160" s="0" t="n">
        <f aca="false">SUMPRODUCT(MMULT(G1160:P1160,_XtX!$B$58:$K$67),G1160:P1160)</f>
        <v>0.659534801136364</v>
      </c>
      <c r="S1160" s="0" t="n">
        <f aca="false">04_回帰ANOVA!$K$19*04_回帰ANOVA!$K$14*SQRT(1+R1160)</f>
        <v>1.19773245593097</v>
      </c>
      <c r="T1160" s="0" t="n">
        <f aca="false">Q1160-S1160</f>
        <v>44.6015715213418</v>
      </c>
      <c r="U1160" s="0" t="n">
        <f aca="false">Q1160+S1160</f>
        <v>46.9970364332037</v>
      </c>
      <c r="V1160" s="54" t="b">
        <f aca="false">AND(D1160&gt;=01_因子設定!$L$5-0.000000001,D1160&lt;=01_因子設定!$M$5+0.000000001,E1160&gt;=01_因子設定!$L$6-0.000000001,E1160&lt;=01_因子設定!$M$6+0.000000001,F1160&gt;=01_因子設定!$L$7-0.000000001,F1160&lt;=01_因子設定!$M$7+0.000000001,IF(01_因子設定!$B$20="Box-Behnken",D1160^2+E1160^2+F1160^2&lt;=2+0.000000001,TRUE()))</f>
        <v>1</v>
      </c>
      <c r="W1160" s="55" t="n">
        <f aca="false">IF(V1160,IF(01_因子設定!$B$13="最大化",T1160-01_因子設定!$B$14,IF(01_因子設定!$B$13="最小化",01_因子設定!$B$15-U1160,MIN(T1160-01_因子設定!$B$14,01_因子設定!$B$15-U1160))),-1E+030)</f>
        <v>-3.89842847865822</v>
      </c>
      <c r="X1160" s="55" t="n">
        <f aca="false">IF(V1160,IF(01_因子設定!$B$13="最大化",Q1160,IF(01_因子設定!$B$13="最小化",-Q1160,-ABS(Q1160-01_因子設定!$B$16))),-1E+030)</f>
        <v>45.7993039772728</v>
      </c>
      <c r="Y1160" s="55" t="n">
        <f aca="false">W1160+ROW()*0.000000001</f>
        <v>-3.89842731865822</v>
      </c>
      <c r="Z1160" s="55" t="n">
        <f aca="false">X1160+ROW()*0.000000001</f>
        <v>45.7993051372727</v>
      </c>
    </row>
    <row r="1161" customFormat="false" ht="15" hidden="false" customHeight="false" outlineLevel="0" collapsed="false">
      <c r="A1161" s="0" t="n">
        <v>4</v>
      </c>
      <c r="B1161" s="0" t="n">
        <v>0</v>
      </c>
      <c r="C1161" s="0" t="n">
        <v>0</v>
      </c>
      <c r="D1161" s="0" t="n">
        <f aca="false">-1+A1161*0.125</f>
        <v>-0.5</v>
      </c>
      <c r="E1161" s="0" t="n">
        <f aca="false">-1+B1161*0.125</f>
        <v>-1</v>
      </c>
      <c r="F1161" s="0" t="n">
        <f aca="false">-1+C1161*0.125</f>
        <v>-1</v>
      </c>
      <c r="G1161" s="0" t="n">
        <f aca="false">1</f>
        <v>1</v>
      </c>
      <c r="H1161" s="0" t="n">
        <f aca="false">D1161</f>
        <v>-0.5</v>
      </c>
      <c r="I1161" s="0" t="n">
        <f aca="false">E1161</f>
        <v>-1</v>
      </c>
      <c r="J1161" s="0" t="n">
        <f aca="false">F1161</f>
        <v>-1</v>
      </c>
      <c r="K1161" s="0" t="n">
        <f aca="false">D1161*E1161</f>
        <v>0.5</v>
      </c>
      <c r="L1161" s="0" t="n">
        <f aca="false">D1161*F1161</f>
        <v>0.5</v>
      </c>
      <c r="M1161" s="0" t="n">
        <f aca="false">E1161*F1161</f>
        <v>1</v>
      </c>
      <c r="N1161" s="0" t="n">
        <f aca="false">D1161*D1161</f>
        <v>0.25</v>
      </c>
      <c r="O1161" s="0" t="n">
        <f aca="false">E1161*E1161</f>
        <v>1</v>
      </c>
      <c r="P1161" s="0" t="n">
        <f aca="false">F1161*F1161</f>
        <v>1</v>
      </c>
      <c r="Q1161" s="0" t="n">
        <f aca="false">SUMPRODUCT(G1161:P1161,_XtX!$B$71:$K$71)</f>
        <v>40.7845454545455</v>
      </c>
      <c r="R1161" s="0" t="n">
        <f aca="false">SUMPRODUCT(MMULT(G1161:P1161,_XtX!$B$58:$K$67),G1161:P1161)</f>
        <v>0.667045454545455</v>
      </c>
      <c r="S1161" s="0" t="n">
        <f aca="false">04_回帰ANOVA!$K$19*04_回帰ANOVA!$K$14*SQRT(1+R1161)</f>
        <v>1.200439720088</v>
      </c>
      <c r="T1161" s="0" t="n">
        <f aca="false">Q1161-S1161</f>
        <v>39.5841057344575</v>
      </c>
      <c r="U1161" s="0" t="n">
        <f aca="false">Q1161+S1161</f>
        <v>41.9849851746335</v>
      </c>
      <c r="V1161" s="54" t="b">
        <f aca="false">AND(D1161&gt;=01_因子設定!$L$5-0.000000001,D1161&lt;=01_因子設定!$M$5+0.000000001,E1161&gt;=01_因子設定!$L$6-0.000000001,E1161&lt;=01_因子設定!$M$6+0.000000001,F1161&gt;=01_因子設定!$L$7-0.000000001,F1161&lt;=01_因子設定!$M$7+0.000000001,IF(01_因子設定!$B$20="Box-Behnken",D1161^2+E1161^2+F1161^2&lt;=2+0.000000001,TRUE()))</f>
        <v>1</v>
      </c>
      <c r="W1161" s="55" t="n">
        <f aca="false">IF(V1161,IF(01_因子設定!$B$13="最大化",T1161-01_因子設定!$B$14,IF(01_因子設定!$B$13="最小化",01_因子設定!$B$15-U1161,MIN(T1161-01_因子設定!$B$14,01_因子設定!$B$15-U1161))),-1E+030)</f>
        <v>-8.91589426554252</v>
      </c>
      <c r="X1161" s="55" t="n">
        <f aca="false">IF(V1161,IF(01_因子設定!$B$13="最大化",Q1161,IF(01_因子設定!$B$13="最小化",-Q1161,-ABS(Q1161-01_因子設定!$B$16))),-1E+030)</f>
        <v>40.7845454545455</v>
      </c>
      <c r="Y1161" s="55" t="n">
        <f aca="false">W1161+ROW()*0.000000001</f>
        <v>-8.91589310454252</v>
      </c>
      <c r="Z1161" s="55" t="n">
        <f aca="false">X1161+ROW()*0.000000001</f>
        <v>40.7845466155455</v>
      </c>
    </row>
    <row r="1162" customFormat="false" ht="15" hidden="false" customHeight="false" outlineLevel="0" collapsed="false">
      <c r="A1162" s="0" t="n">
        <v>4</v>
      </c>
      <c r="B1162" s="0" t="n">
        <v>0</v>
      </c>
      <c r="C1162" s="0" t="n">
        <v>1</v>
      </c>
      <c r="D1162" s="0" t="n">
        <f aca="false">-1+A1162*0.125</f>
        <v>-0.5</v>
      </c>
      <c r="E1162" s="0" t="n">
        <f aca="false">-1+B1162*0.125</f>
        <v>-1</v>
      </c>
      <c r="F1162" s="0" t="n">
        <f aca="false">-1+C1162*0.125</f>
        <v>-0.875</v>
      </c>
      <c r="G1162" s="0" t="n">
        <f aca="false">1</f>
        <v>1</v>
      </c>
      <c r="H1162" s="0" t="n">
        <f aca="false">D1162</f>
        <v>-0.5</v>
      </c>
      <c r="I1162" s="0" t="n">
        <f aca="false">E1162</f>
        <v>-1</v>
      </c>
      <c r="J1162" s="0" t="n">
        <f aca="false">F1162</f>
        <v>-0.875</v>
      </c>
      <c r="K1162" s="0" t="n">
        <f aca="false">D1162*E1162</f>
        <v>0.5</v>
      </c>
      <c r="L1162" s="0" t="n">
        <f aca="false">D1162*F1162</f>
        <v>0.4375</v>
      </c>
      <c r="M1162" s="0" t="n">
        <f aca="false">E1162*F1162</f>
        <v>0.875</v>
      </c>
      <c r="N1162" s="0" t="n">
        <f aca="false">D1162*D1162</f>
        <v>0.25</v>
      </c>
      <c r="O1162" s="0" t="n">
        <f aca="false">E1162*E1162</f>
        <v>1</v>
      </c>
      <c r="P1162" s="0" t="n">
        <f aca="false">F1162*F1162</f>
        <v>0.765625</v>
      </c>
      <c r="Q1162" s="0" t="n">
        <f aca="false">SUMPRODUCT(G1162:P1162,_XtX!$B$71:$K$71)</f>
        <v>41.18609375</v>
      </c>
      <c r="R1162" s="0" t="n">
        <f aca="false">SUMPRODUCT(MMULT(G1162:P1162,_XtX!$B$58:$K$67),G1162:P1162)</f>
        <v>0.55771484375</v>
      </c>
      <c r="S1162" s="0" t="n">
        <f aca="false">04_回帰ANOVA!$K$19*04_回帰ANOVA!$K$14*SQRT(1+R1162)</f>
        <v>1.16040773556467</v>
      </c>
      <c r="T1162" s="0" t="n">
        <f aca="false">Q1162-S1162</f>
        <v>40.0256860144353</v>
      </c>
      <c r="U1162" s="0" t="n">
        <f aca="false">Q1162+S1162</f>
        <v>42.3465014855647</v>
      </c>
      <c r="V1162" s="54" t="b">
        <f aca="false">AND(D1162&gt;=01_因子設定!$L$5-0.000000001,D1162&lt;=01_因子設定!$M$5+0.000000001,E1162&gt;=01_因子設定!$L$6-0.000000001,E1162&lt;=01_因子設定!$M$6+0.000000001,F1162&gt;=01_因子設定!$L$7-0.000000001,F1162&lt;=01_因子設定!$M$7+0.000000001,IF(01_因子設定!$B$20="Box-Behnken",D1162^2+E1162^2+F1162^2&lt;=2+0.000000001,TRUE()))</f>
        <v>1</v>
      </c>
      <c r="W1162" s="55" t="n">
        <f aca="false">IF(V1162,IF(01_因子設定!$B$13="最大化",T1162-01_因子設定!$B$14,IF(01_因子設定!$B$13="最小化",01_因子設定!$B$15-U1162,MIN(T1162-01_因子設定!$B$14,01_因子設定!$B$15-U1162))),-1E+030)</f>
        <v>-8.47431398556466</v>
      </c>
      <c r="X1162" s="55" t="n">
        <f aca="false">IF(V1162,IF(01_因子設定!$B$13="最大化",Q1162,IF(01_因子設定!$B$13="最小化",-Q1162,-ABS(Q1162-01_因子設定!$B$16))),-1E+030)</f>
        <v>41.18609375</v>
      </c>
      <c r="Y1162" s="55" t="n">
        <f aca="false">W1162+ROW()*0.000000001</f>
        <v>-8.47431282356466</v>
      </c>
      <c r="Z1162" s="55" t="n">
        <f aca="false">X1162+ROW()*0.000000001</f>
        <v>41.186094912</v>
      </c>
    </row>
    <row r="1163" customFormat="false" ht="15" hidden="false" customHeight="false" outlineLevel="0" collapsed="false">
      <c r="A1163" s="0" t="n">
        <v>4</v>
      </c>
      <c r="B1163" s="0" t="n">
        <v>0</v>
      </c>
      <c r="C1163" s="0" t="n">
        <v>2</v>
      </c>
      <c r="D1163" s="0" t="n">
        <f aca="false">-1+A1163*0.125</f>
        <v>-0.5</v>
      </c>
      <c r="E1163" s="0" t="n">
        <f aca="false">-1+B1163*0.125</f>
        <v>-1</v>
      </c>
      <c r="F1163" s="0" t="n">
        <f aca="false">-1+C1163*0.125</f>
        <v>-0.75</v>
      </c>
      <c r="G1163" s="0" t="n">
        <f aca="false">1</f>
        <v>1</v>
      </c>
      <c r="H1163" s="0" t="n">
        <f aca="false">D1163</f>
        <v>-0.5</v>
      </c>
      <c r="I1163" s="0" t="n">
        <f aca="false">E1163</f>
        <v>-1</v>
      </c>
      <c r="J1163" s="0" t="n">
        <f aca="false">F1163</f>
        <v>-0.75</v>
      </c>
      <c r="K1163" s="0" t="n">
        <f aca="false">D1163*E1163</f>
        <v>0.5</v>
      </c>
      <c r="L1163" s="0" t="n">
        <f aca="false">D1163*F1163</f>
        <v>0.375</v>
      </c>
      <c r="M1163" s="0" t="n">
        <f aca="false">E1163*F1163</f>
        <v>0.75</v>
      </c>
      <c r="N1163" s="0" t="n">
        <f aca="false">D1163*D1163</f>
        <v>0.25</v>
      </c>
      <c r="O1163" s="0" t="n">
        <f aca="false">E1163*E1163</f>
        <v>1</v>
      </c>
      <c r="P1163" s="0" t="n">
        <f aca="false">F1163*F1163</f>
        <v>0.5625</v>
      </c>
      <c r="Q1163" s="0" t="n">
        <f aca="false">SUMPRODUCT(G1163:P1163,_XtX!$B$71:$K$71)</f>
        <v>41.5508522727273</v>
      </c>
      <c r="R1163" s="0" t="n">
        <f aca="false">SUMPRODUCT(MMULT(G1163:P1163,_XtX!$B$58:$K$67),G1163:P1163)</f>
        <v>0.495276988636364</v>
      </c>
      <c r="S1163" s="0" t="n">
        <f aca="false">04_回帰ANOVA!$K$19*04_回帰ANOVA!$K$14*SQRT(1+R1163)</f>
        <v>1.13691359828352</v>
      </c>
      <c r="T1163" s="0" t="n">
        <f aca="false">Q1163-S1163</f>
        <v>40.4139386744438</v>
      </c>
      <c r="U1163" s="0" t="n">
        <f aca="false">Q1163+S1163</f>
        <v>42.6877658710108</v>
      </c>
      <c r="V1163" s="54" t="b">
        <f aca="false">AND(D1163&gt;=01_因子設定!$L$5-0.000000001,D1163&lt;=01_因子設定!$M$5+0.000000001,E1163&gt;=01_因子設定!$L$6-0.000000001,E1163&lt;=01_因子設定!$M$6+0.000000001,F1163&gt;=01_因子設定!$L$7-0.000000001,F1163&lt;=01_因子設定!$M$7+0.000000001,IF(01_因子設定!$B$20="Box-Behnken",D1163^2+E1163^2+F1163^2&lt;=2+0.000000001,TRUE()))</f>
        <v>1</v>
      </c>
      <c r="W1163" s="55" t="n">
        <f aca="false">IF(V1163,IF(01_因子設定!$B$13="最大化",T1163-01_因子設定!$B$14,IF(01_因子設定!$B$13="最小化",01_因子設定!$B$15-U1163,MIN(T1163-01_因子設定!$B$14,01_因子設定!$B$15-U1163))),-1E+030)</f>
        <v>-8.08606132555623</v>
      </c>
      <c r="X1163" s="55" t="n">
        <f aca="false">IF(V1163,IF(01_因子設定!$B$13="最大化",Q1163,IF(01_因子設定!$B$13="最小化",-Q1163,-ABS(Q1163-01_因子設定!$B$16))),-1E+030)</f>
        <v>41.5508522727273</v>
      </c>
      <c r="Y1163" s="55" t="n">
        <f aca="false">W1163+ROW()*0.000000001</f>
        <v>-8.08606016255623</v>
      </c>
      <c r="Z1163" s="55" t="n">
        <f aca="false">X1163+ROW()*0.000000001</f>
        <v>41.5508534357273</v>
      </c>
    </row>
    <row r="1164" customFormat="false" ht="15" hidden="false" customHeight="false" outlineLevel="0" collapsed="false">
      <c r="A1164" s="0" t="n">
        <v>4</v>
      </c>
      <c r="B1164" s="0" t="n">
        <v>0</v>
      </c>
      <c r="C1164" s="0" t="n">
        <v>3</v>
      </c>
      <c r="D1164" s="0" t="n">
        <f aca="false">-1+A1164*0.125</f>
        <v>-0.5</v>
      </c>
      <c r="E1164" s="0" t="n">
        <f aca="false">-1+B1164*0.125</f>
        <v>-1</v>
      </c>
      <c r="F1164" s="0" t="n">
        <f aca="false">-1+C1164*0.125</f>
        <v>-0.625</v>
      </c>
      <c r="G1164" s="0" t="n">
        <f aca="false">1</f>
        <v>1</v>
      </c>
      <c r="H1164" s="0" t="n">
        <f aca="false">D1164</f>
        <v>-0.5</v>
      </c>
      <c r="I1164" s="0" t="n">
        <f aca="false">E1164</f>
        <v>-1</v>
      </c>
      <c r="J1164" s="0" t="n">
        <f aca="false">F1164</f>
        <v>-0.625</v>
      </c>
      <c r="K1164" s="0" t="n">
        <f aca="false">D1164*E1164</f>
        <v>0.5</v>
      </c>
      <c r="L1164" s="0" t="n">
        <f aca="false">D1164*F1164</f>
        <v>0.3125</v>
      </c>
      <c r="M1164" s="0" t="n">
        <f aca="false">E1164*F1164</f>
        <v>0.625</v>
      </c>
      <c r="N1164" s="0" t="n">
        <f aca="false">D1164*D1164</f>
        <v>0.25</v>
      </c>
      <c r="O1164" s="0" t="n">
        <f aca="false">E1164*E1164</f>
        <v>1</v>
      </c>
      <c r="P1164" s="0" t="n">
        <f aca="false">F1164*F1164</f>
        <v>0.390625</v>
      </c>
      <c r="Q1164" s="0" t="n">
        <f aca="false">SUMPRODUCT(G1164:P1164,_XtX!$B$71:$K$71)</f>
        <v>41.8788210227273</v>
      </c>
      <c r="R1164" s="0" t="n">
        <f aca="false">SUMPRODUCT(MMULT(G1164:P1164,_XtX!$B$58:$K$67),G1164:P1164)</f>
        <v>0.465882457386364</v>
      </c>
      <c r="S1164" s="0" t="n">
        <f aca="false">04_回帰ANOVA!$K$19*04_回帰ANOVA!$K$14*SQRT(1+R1164)</f>
        <v>1.12568326538173</v>
      </c>
      <c r="T1164" s="0" t="n">
        <f aca="false">Q1164-S1164</f>
        <v>40.7531377573456</v>
      </c>
      <c r="U1164" s="0" t="n">
        <f aca="false">Q1164+S1164</f>
        <v>43.004504288109</v>
      </c>
      <c r="V1164" s="54" t="b">
        <f aca="false">AND(D1164&gt;=01_因子設定!$L$5-0.000000001,D1164&lt;=01_因子設定!$M$5+0.000000001,E1164&gt;=01_因子設定!$L$6-0.000000001,E1164&lt;=01_因子設定!$M$6+0.000000001,F1164&gt;=01_因子設定!$L$7-0.000000001,F1164&lt;=01_因子設定!$M$7+0.000000001,IF(01_因子設定!$B$20="Box-Behnken",D1164^2+E1164^2+F1164^2&lt;=2+0.000000001,TRUE()))</f>
        <v>1</v>
      </c>
      <c r="W1164" s="55" t="n">
        <f aca="false">IF(V1164,IF(01_因子設定!$B$13="最大化",T1164-01_因子設定!$B$14,IF(01_因子設定!$B$13="最小化",01_因子設定!$B$15-U1164,MIN(T1164-01_因子設定!$B$14,01_因子設定!$B$15-U1164))),-1E+030)</f>
        <v>-7.74686224265444</v>
      </c>
      <c r="X1164" s="55" t="n">
        <f aca="false">IF(V1164,IF(01_因子設定!$B$13="最大化",Q1164,IF(01_因子設定!$B$13="最小化",-Q1164,-ABS(Q1164-01_因子設定!$B$16))),-1E+030)</f>
        <v>41.8788210227273</v>
      </c>
      <c r="Y1164" s="55" t="n">
        <f aca="false">W1164+ROW()*0.000000001</f>
        <v>-7.74686107865444</v>
      </c>
      <c r="Z1164" s="55" t="n">
        <f aca="false">X1164+ROW()*0.000000001</f>
        <v>41.8788221867273</v>
      </c>
    </row>
    <row r="1165" customFormat="false" ht="15" hidden="false" customHeight="false" outlineLevel="0" collapsed="false">
      <c r="A1165" s="0" t="n">
        <v>4</v>
      </c>
      <c r="B1165" s="0" t="n">
        <v>0</v>
      </c>
      <c r="C1165" s="0" t="n">
        <v>4</v>
      </c>
      <c r="D1165" s="0" t="n">
        <f aca="false">-1+A1165*0.125</f>
        <v>-0.5</v>
      </c>
      <c r="E1165" s="0" t="n">
        <f aca="false">-1+B1165*0.125</f>
        <v>-1</v>
      </c>
      <c r="F1165" s="0" t="n">
        <f aca="false">-1+C1165*0.125</f>
        <v>-0.5</v>
      </c>
      <c r="G1165" s="0" t="n">
        <f aca="false">1</f>
        <v>1</v>
      </c>
      <c r="H1165" s="0" t="n">
        <f aca="false">D1165</f>
        <v>-0.5</v>
      </c>
      <c r="I1165" s="0" t="n">
        <f aca="false">E1165</f>
        <v>-1</v>
      </c>
      <c r="J1165" s="0" t="n">
        <f aca="false">F1165</f>
        <v>-0.5</v>
      </c>
      <c r="K1165" s="0" t="n">
        <f aca="false">D1165*E1165</f>
        <v>0.5</v>
      </c>
      <c r="L1165" s="0" t="n">
        <f aca="false">D1165*F1165</f>
        <v>0.25</v>
      </c>
      <c r="M1165" s="0" t="n">
        <f aca="false">E1165*F1165</f>
        <v>0.5</v>
      </c>
      <c r="N1165" s="0" t="n">
        <f aca="false">D1165*D1165</f>
        <v>0.25</v>
      </c>
      <c r="O1165" s="0" t="n">
        <f aca="false">E1165*E1165</f>
        <v>1</v>
      </c>
      <c r="P1165" s="0" t="n">
        <f aca="false">F1165*F1165</f>
        <v>0.25</v>
      </c>
      <c r="Q1165" s="0" t="n">
        <f aca="false">SUMPRODUCT(G1165:P1165,_XtX!$B$71:$K$71)</f>
        <v>42.17</v>
      </c>
      <c r="R1165" s="0" t="n">
        <f aca="false">SUMPRODUCT(MMULT(G1165:P1165,_XtX!$B$58:$K$67),G1165:P1165)</f>
        <v>0.4578125</v>
      </c>
      <c r="S1165" s="0" t="n">
        <f aca="false">04_回帰ANOVA!$K$19*04_回帰ANOVA!$K$14*SQRT(1+R1165)</f>
        <v>1.12258044051089</v>
      </c>
      <c r="T1165" s="0" t="n">
        <f aca="false">Q1165-S1165</f>
        <v>41.0474195594891</v>
      </c>
      <c r="U1165" s="0" t="n">
        <f aca="false">Q1165+S1165</f>
        <v>43.2925804405109</v>
      </c>
      <c r="V1165" s="54" t="b">
        <f aca="false">AND(D1165&gt;=01_因子設定!$L$5-0.000000001,D1165&lt;=01_因子設定!$M$5+0.000000001,E1165&gt;=01_因子設定!$L$6-0.000000001,E1165&lt;=01_因子設定!$M$6+0.000000001,F1165&gt;=01_因子設定!$L$7-0.000000001,F1165&lt;=01_因子設定!$M$7+0.000000001,IF(01_因子設定!$B$20="Box-Behnken",D1165^2+E1165^2+F1165^2&lt;=2+0.000000001,TRUE()))</f>
        <v>1</v>
      </c>
      <c r="W1165" s="55" t="n">
        <f aca="false">IF(V1165,IF(01_因子設定!$B$13="最大化",T1165-01_因子設定!$B$14,IF(01_因子設定!$B$13="最小化",01_因子設定!$B$15-U1165,MIN(T1165-01_因子設定!$B$14,01_因子設定!$B$15-U1165))),-1E+030)</f>
        <v>-7.45258044051088</v>
      </c>
      <c r="X1165" s="55" t="n">
        <f aca="false">IF(V1165,IF(01_因子設定!$B$13="最大化",Q1165,IF(01_因子設定!$B$13="最小化",-Q1165,-ABS(Q1165-01_因子設定!$B$16))),-1E+030)</f>
        <v>42.17</v>
      </c>
      <c r="Y1165" s="55" t="n">
        <f aca="false">W1165+ROW()*0.000000001</f>
        <v>-7.45257927551088</v>
      </c>
      <c r="Z1165" s="55" t="n">
        <f aca="false">X1165+ROW()*0.000000001</f>
        <v>42.170001165</v>
      </c>
    </row>
    <row r="1166" customFormat="false" ht="15" hidden="false" customHeight="false" outlineLevel="0" collapsed="false">
      <c r="A1166" s="0" t="n">
        <v>4</v>
      </c>
      <c r="B1166" s="0" t="n">
        <v>0</v>
      </c>
      <c r="C1166" s="0" t="n">
        <v>5</v>
      </c>
      <c r="D1166" s="0" t="n">
        <f aca="false">-1+A1166*0.125</f>
        <v>-0.5</v>
      </c>
      <c r="E1166" s="0" t="n">
        <f aca="false">-1+B1166*0.125</f>
        <v>-1</v>
      </c>
      <c r="F1166" s="0" t="n">
        <f aca="false">-1+C1166*0.125</f>
        <v>-0.375</v>
      </c>
      <c r="G1166" s="0" t="n">
        <f aca="false">1</f>
        <v>1</v>
      </c>
      <c r="H1166" s="0" t="n">
        <f aca="false">D1166</f>
        <v>-0.5</v>
      </c>
      <c r="I1166" s="0" t="n">
        <f aca="false">E1166</f>
        <v>-1</v>
      </c>
      <c r="J1166" s="0" t="n">
        <f aca="false">F1166</f>
        <v>-0.375</v>
      </c>
      <c r="K1166" s="0" t="n">
        <f aca="false">D1166*E1166</f>
        <v>0.5</v>
      </c>
      <c r="L1166" s="0" t="n">
        <f aca="false">D1166*F1166</f>
        <v>0.1875</v>
      </c>
      <c r="M1166" s="0" t="n">
        <f aca="false">E1166*F1166</f>
        <v>0.375</v>
      </c>
      <c r="N1166" s="0" t="n">
        <f aca="false">D1166*D1166</f>
        <v>0.25</v>
      </c>
      <c r="O1166" s="0" t="n">
        <f aca="false">E1166*E1166</f>
        <v>1</v>
      </c>
      <c r="P1166" s="0" t="n">
        <f aca="false">F1166*F1166</f>
        <v>0.140625</v>
      </c>
      <c r="Q1166" s="0" t="n">
        <f aca="false">SUMPRODUCT(G1166:P1166,_XtX!$B$71:$K$71)</f>
        <v>42.4243892045455</v>
      </c>
      <c r="R1166" s="0" t="n">
        <f aca="false">SUMPRODUCT(MMULT(G1166:P1166,_XtX!$B$58:$K$67),G1166:P1166)</f>
        <v>0.461479048295455</v>
      </c>
      <c r="S1166" s="0" t="n">
        <f aca="false">04_回帰ANOVA!$K$19*04_回帰ANOVA!$K$14*SQRT(1+R1166)</f>
        <v>1.12399125658369</v>
      </c>
      <c r="T1166" s="0" t="n">
        <f aca="false">Q1166-S1166</f>
        <v>41.3003979479618</v>
      </c>
      <c r="U1166" s="0" t="n">
        <f aca="false">Q1166+S1166</f>
        <v>43.5483804611292</v>
      </c>
      <c r="V1166" s="54" t="b">
        <f aca="false">AND(D1166&gt;=01_因子設定!$L$5-0.000000001,D1166&lt;=01_因子設定!$M$5+0.000000001,E1166&gt;=01_因子設定!$L$6-0.000000001,E1166&lt;=01_因子設定!$M$6+0.000000001,F1166&gt;=01_因子設定!$L$7-0.000000001,F1166&lt;=01_因子設定!$M$7+0.000000001,IF(01_因子設定!$B$20="Box-Behnken",D1166^2+E1166^2+F1166^2&lt;=2+0.000000001,TRUE()))</f>
        <v>1</v>
      </c>
      <c r="W1166" s="55" t="n">
        <f aca="false">IF(V1166,IF(01_因子設定!$B$13="最大化",T1166-01_因子設定!$B$14,IF(01_因子設定!$B$13="最小化",01_因子設定!$B$15-U1166,MIN(T1166-01_因子設定!$B$14,01_因子設定!$B$15-U1166))),-1E+030)</f>
        <v>-7.19960205203822</v>
      </c>
      <c r="X1166" s="55" t="n">
        <f aca="false">IF(V1166,IF(01_因子設定!$B$13="最大化",Q1166,IF(01_因子設定!$B$13="最小化",-Q1166,-ABS(Q1166-01_因子設定!$B$16))),-1E+030)</f>
        <v>42.4243892045455</v>
      </c>
      <c r="Y1166" s="55" t="n">
        <f aca="false">W1166+ROW()*0.000000001</f>
        <v>-7.19960088603822</v>
      </c>
      <c r="Z1166" s="55" t="n">
        <f aca="false">X1166+ROW()*0.000000001</f>
        <v>42.4243903705455</v>
      </c>
    </row>
    <row r="1167" customFormat="false" ht="15" hidden="false" customHeight="false" outlineLevel="0" collapsed="false">
      <c r="A1167" s="0" t="n">
        <v>4</v>
      </c>
      <c r="B1167" s="0" t="n">
        <v>0</v>
      </c>
      <c r="C1167" s="0" t="n">
        <v>6</v>
      </c>
      <c r="D1167" s="0" t="n">
        <f aca="false">-1+A1167*0.125</f>
        <v>-0.5</v>
      </c>
      <c r="E1167" s="0" t="n">
        <f aca="false">-1+B1167*0.125</f>
        <v>-1</v>
      </c>
      <c r="F1167" s="0" t="n">
        <f aca="false">-1+C1167*0.125</f>
        <v>-0.25</v>
      </c>
      <c r="G1167" s="0" t="n">
        <f aca="false">1</f>
        <v>1</v>
      </c>
      <c r="H1167" s="0" t="n">
        <f aca="false">D1167</f>
        <v>-0.5</v>
      </c>
      <c r="I1167" s="0" t="n">
        <f aca="false">E1167</f>
        <v>-1</v>
      </c>
      <c r="J1167" s="0" t="n">
        <f aca="false">F1167</f>
        <v>-0.25</v>
      </c>
      <c r="K1167" s="0" t="n">
        <f aca="false">D1167*E1167</f>
        <v>0.5</v>
      </c>
      <c r="L1167" s="0" t="n">
        <f aca="false">D1167*F1167</f>
        <v>0.125</v>
      </c>
      <c r="M1167" s="0" t="n">
        <f aca="false">E1167*F1167</f>
        <v>0.25</v>
      </c>
      <c r="N1167" s="0" t="n">
        <f aca="false">D1167*D1167</f>
        <v>0.25</v>
      </c>
      <c r="O1167" s="0" t="n">
        <f aca="false">E1167*E1167</f>
        <v>1</v>
      </c>
      <c r="P1167" s="0" t="n">
        <f aca="false">F1167*F1167</f>
        <v>0.0625</v>
      </c>
      <c r="Q1167" s="0" t="n">
        <f aca="false">SUMPRODUCT(G1167:P1167,_XtX!$B$71:$K$71)</f>
        <v>42.6419886363636</v>
      </c>
      <c r="R1167" s="0" t="n">
        <f aca="false">SUMPRODUCT(MMULT(G1167:P1167,_XtX!$B$58:$K$67),G1167:P1167)</f>
        <v>0.469424715909091</v>
      </c>
      <c r="S1167" s="0" t="n">
        <f aca="false">04_回帰ANOVA!$K$19*04_回帰ANOVA!$K$14*SQRT(1+R1167)</f>
        <v>1.12704253369596</v>
      </c>
      <c r="T1167" s="0" t="n">
        <f aca="false">Q1167-S1167</f>
        <v>41.5149461026677</v>
      </c>
      <c r="U1167" s="0" t="n">
        <f aca="false">Q1167+S1167</f>
        <v>43.7690311700596</v>
      </c>
      <c r="V1167" s="54" t="b">
        <f aca="false">AND(D1167&gt;=01_因子設定!$L$5-0.000000001,D1167&lt;=01_因子設定!$M$5+0.000000001,E1167&gt;=01_因子設定!$L$6-0.000000001,E1167&lt;=01_因子設定!$M$6+0.000000001,F1167&gt;=01_因子設定!$L$7-0.000000001,F1167&lt;=01_因子設定!$M$7+0.000000001,IF(01_因子設定!$B$20="Box-Behnken",D1167^2+E1167^2+F1167^2&lt;=2+0.000000001,TRUE()))</f>
        <v>1</v>
      </c>
      <c r="W1167" s="55" t="n">
        <f aca="false">IF(V1167,IF(01_因子設定!$B$13="最大化",T1167-01_因子設定!$B$14,IF(01_因子設定!$B$13="最小化",01_因子設定!$B$15-U1167,MIN(T1167-01_因子設定!$B$14,01_因子設定!$B$15-U1167))),-1E+030)</f>
        <v>-6.98505389733231</v>
      </c>
      <c r="X1167" s="55" t="n">
        <f aca="false">IF(V1167,IF(01_因子設定!$B$13="最大化",Q1167,IF(01_因子設定!$B$13="最小化",-Q1167,-ABS(Q1167-01_因子設定!$B$16))),-1E+030)</f>
        <v>42.6419886363636</v>
      </c>
      <c r="Y1167" s="55" t="n">
        <f aca="false">W1167+ROW()*0.000000001</f>
        <v>-6.98505273033231</v>
      </c>
      <c r="Z1167" s="55" t="n">
        <f aca="false">X1167+ROW()*0.000000001</f>
        <v>42.6419898033636</v>
      </c>
    </row>
    <row r="1168" customFormat="false" ht="15" hidden="false" customHeight="false" outlineLevel="0" collapsed="false">
      <c r="A1168" s="0" t="n">
        <v>4</v>
      </c>
      <c r="B1168" s="0" t="n">
        <v>0</v>
      </c>
      <c r="C1168" s="0" t="n">
        <v>7</v>
      </c>
      <c r="D1168" s="0" t="n">
        <f aca="false">-1+A1168*0.125</f>
        <v>-0.5</v>
      </c>
      <c r="E1168" s="0" t="n">
        <f aca="false">-1+B1168*0.125</f>
        <v>-1</v>
      </c>
      <c r="F1168" s="0" t="n">
        <f aca="false">-1+C1168*0.125</f>
        <v>-0.125</v>
      </c>
      <c r="G1168" s="0" t="n">
        <f aca="false">1</f>
        <v>1</v>
      </c>
      <c r="H1168" s="0" t="n">
        <f aca="false">D1168</f>
        <v>-0.5</v>
      </c>
      <c r="I1168" s="0" t="n">
        <f aca="false">E1168</f>
        <v>-1</v>
      </c>
      <c r="J1168" s="0" t="n">
        <f aca="false">F1168</f>
        <v>-0.125</v>
      </c>
      <c r="K1168" s="0" t="n">
        <f aca="false">D1168*E1168</f>
        <v>0.5</v>
      </c>
      <c r="L1168" s="0" t="n">
        <f aca="false">D1168*F1168</f>
        <v>0.0625</v>
      </c>
      <c r="M1168" s="0" t="n">
        <f aca="false">E1168*F1168</f>
        <v>0.125</v>
      </c>
      <c r="N1168" s="0" t="n">
        <f aca="false">D1168*D1168</f>
        <v>0.25</v>
      </c>
      <c r="O1168" s="0" t="n">
        <f aca="false">E1168*E1168</f>
        <v>1</v>
      </c>
      <c r="P1168" s="0" t="n">
        <f aca="false">F1168*F1168</f>
        <v>0.015625</v>
      </c>
      <c r="Q1168" s="0" t="n">
        <f aca="false">SUMPRODUCT(G1168:P1168,_XtX!$B$71:$K$71)</f>
        <v>42.8227982954546</v>
      </c>
      <c r="R1168" s="0" t="n">
        <f aca="false">SUMPRODUCT(MMULT(G1168:P1168,_XtX!$B$58:$K$67),G1168:P1168)</f>
        <v>0.476322798295455</v>
      </c>
      <c r="S1168" s="0" t="n">
        <f aca="false">04_回帰ANOVA!$K$19*04_回帰ANOVA!$K$14*SQRT(1+R1168)</f>
        <v>1.12968483630128</v>
      </c>
      <c r="T1168" s="0" t="n">
        <f aca="false">Q1168-S1168</f>
        <v>41.6931134591533</v>
      </c>
      <c r="U1168" s="0" t="n">
        <f aca="false">Q1168+S1168</f>
        <v>43.9524831317558</v>
      </c>
      <c r="V1168" s="54" t="b">
        <f aca="false">AND(D1168&gt;=01_因子設定!$L$5-0.000000001,D1168&lt;=01_因子設定!$M$5+0.000000001,E1168&gt;=01_因子設定!$L$6-0.000000001,E1168&lt;=01_因子設定!$M$6+0.000000001,F1168&gt;=01_因子設定!$L$7-0.000000001,F1168&lt;=01_因子設定!$M$7+0.000000001,IF(01_因子設定!$B$20="Box-Behnken",D1168^2+E1168^2+F1168^2&lt;=2+0.000000001,TRUE()))</f>
        <v>1</v>
      </c>
      <c r="W1168" s="55" t="n">
        <f aca="false">IF(V1168,IF(01_因子設定!$B$13="最大化",T1168-01_因子設定!$B$14,IF(01_因子設定!$B$13="最小化",01_因子設定!$B$15-U1168,MIN(T1168-01_因子設定!$B$14,01_因子設定!$B$15-U1168))),-1E+030)</f>
        <v>-6.80688654084673</v>
      </c>
      <c r="X1168" s="55" t="n">
        <f aca="false">IF(V1168,IF(01_因子設定!$B$13="最大化",Q1168,IF(01_因子設定!$B$13="最小化",-Q1168,-ABS(Q1168-01_因子設定!$B$16))),-1E+030)</f>
        <v>42.8227982954546</v>
      </c>
      <c r="Y1168" s="55" t="n">
        <f aca="false">W1168+ROW()*0.000000001</f>
        <v>-6.80688537284673</v>
      </c>
      <c r="Z1168" s="55" t="n">
        <f aca="false">X1168+ROW()*0.000000001</f>
        <v>42.8227994634546</v>
      </c>
    </row>
    <row r="1169" customFormat="false" ht="15" hidden="false" customHeight="false" outlineLevel="0" collapsed="false">
      <c r="A1169" s="0" t="n">
        <v>4</v>
      </c>
      <c r="B1169" s="0" t="n">
        <v>0</v>
      </c>
      <c r="C1169" s="0" t="n">
        <v>8</v>
      </c>
      <c r="D1169" s="0" t="n">
        <f aca="false">-1+A1169*0.125</f>
        <v>-0.5</v>
      </c>
      <c r="E1169" s="0" t="n">
        <f aca="false">-1+B1169*0.125</f>
        <v>-1</v>
      </c>
      <c r="F1169" s="0" t="n">
        <f aca="false">-1+C1169*0.125</f>
        <v>0</v>
      </c>
      <c r="G1169" s="0" t="n">
        <f aca="false">1</f>
        <v>1</v>
      </c>
      <c r="H1169" s="0" t="n">
        <f aca="false">D1169</f>
        <v>-0.5</v>
      </c>
      <c r="I1169" s="0" t="n">
        <f aca="false">E1169</f>
        <v>-1</v>
      </c>
      <c r="J1169" s="0" t="n">
        <f aca="false">F1169</f>
        <v>0</v>
      </c>
      <c r="K1169" s="0" t="n">
        <f aca="false">D1169*E1169</f>
        <v>0.5</v>
      </c>
      <c r="L1169" s="0" t="n">
        <f aca="false">D1169*F1169</f>
        <v>-0</v>
      </c>
      <c r="M1169" s="0" t="n">
        <f aca="false">E1169*F1169</f>
        <v>-0</v>
      </c>
      <c r="N1169" s="0" t="n">
        <f aca="false">D1169*D1169</f>
        <v>0.25</v>
      </c>
      <c r="O1169" s="0" t="n">
        <f aca="false">E1169*E1169</f>
        <v>1</v>
      </c>
      <c r="P1169" s="0" t="n">
        <f aca="false">F1169*F1169</f>
        <v>0</v>
      </c>
      <c r="Q1169" s="0" t="n">
        <f aca="false">SUMPRODUCT(G1169:P1169,_XtX!$B$71:$K$71)</f>
        <v>42.9668181818182</v>
      </c>
      <c r="R1169" s="0" t="n">
        <f aca="false">SUMPRODUCT(MMULT(G1169:P1169,_XtX!$B$58:$K$67),G1169:P1169)</f>
        <v>0.478977272727273</v>
      </c>
      <c r="S1169" s="0" t="n">
        <f aca="false">04_回帰ANOVA!$K$19*04_回帰ANOVA!$K$14*SQRT(1+R1169)</f>
        <v>1.13069998447216</v>
      </c>
      <c r="T1169" s="0" t="n">
        <f aca="false">Q1169-S1169</f>
        <v>41.836118197346</v>
      </c>
      <c r="U1169" s="0" t="n">
        <f aca="false">Q1169+S1169</f>
        <v>44.0975181662904</v>
      </c>
      <c r="V1169" s="54" t="b">
        <f aca="false">AND(D1169&gt;=01_因子設定!$L$5-0.000000001,D1169&lt;=01_因子設定!$M$5+0.000000001,E1169&gt;=01_因子設定!$L$6-0.000000001,E1169&lt;=01_因子設定!$M$6+0.000000001,F1169&gt;=01_因子設定!$L$7-0.000000001,F1169&lt;=01_因子設定!$M$7+0.000000001,IF(01_因子設定!$B$20="Box-Behnken",D1169^2+E1169^2+F1169^2&lt;=2+0.000000001,TRUE()))</f>
        <v>1</v>
      </c>
      <c r="W1169" s="55" t="n">
        <f aca="false">IF(V1169,IF(01_因子設定!$B$13="最大化",T1169-01_因子設定!$B$14,IF(01_因子設定!$B$13="最小化",01_因子設定!$B$15-U1169,MIN(T1169-01_因子設定!$B$14,01_因子設定!$B$15-U1169))),-1E+030)</f>
        <v>-6.66388180265397</v>
      </c>
      <c r="X1169" s="55" t="n">
        <f aca="false">IF(V1169,IF(01_因子設定!$B$13="最大化",Q1169,IF(01_因子設定!$B$13="最小化",-Q1169,-ABS(Q1169-01_因子設定!$B$16))),-1E+030)</f>
        <v>42.9668181818182</v>
      </c>
      <c r="Y1169" s="55" t="n">
        <f aca="false">W1169+ROW()*0.000000001</f>
        <v>-6.66388063365397</v>
      </c>
      <c r="Z1169" s="55" t="n">
        <f aca="false">X1169+ROW()*0.000000001</f>
        <v>42.9668193508182</v>
      </c>
    </row>
    <row r="1170" customFormat="false" ht="15" hidden="false" customHeight="false" outlineLevel="0" collapsed="false">
      <c r="A1170" s="0" t="n">
        <v>4</v>
      </c>
      <c r="B1170" s="0" t="n">
        <v>0</v>
      </c>
      <c r="C1170" s="0" t="n">
        <v>9</v>
      </c>
      <c r="D1170" s="0" t="n">
        <f aca="false">-1+A1170*0.125</f>
        <v>-0.5</v>
      </c>
      <c r="E1170" s="0" t="n">
        <f aca="false">-1+B1170*0.125</f>
        <v>-1</v>
      </c>
      <c r="F1170" s="0" t="n">
        <f aca="false">-1+C1170*0.125</f>
        <v>0.125</v>
      </c>
      <c r="G1170" s="0" t="n">
        <f aca="false">1</f>
        <v>1</v>
      </c>
      <c r="H1170" s="0" t="n">
        <f aca="false">D1170</f>
        <v>-0.5</v>
      </c>
      <c r="I1170" s="0" t="n">
        <f aca="false">E1170</f>
        <v>-1</v>
      </c>
      <c r="J1170" s="0" t="n">
        <f aca="false">F1170</f>
        <v>0.125</v>
      </c>
      <c r="K1170" s="0" t="n">
        <f aca="false">D1170*E1170</f>
        <v>0.5</v>
      </c>
      <c r="L1170" s="0" t="n">
        <f aca="false">D1170*F1170</f>
        <v>-0.0625</v>
      </c>
      <c r="M1170" s="0" t="n">
        <f aca="false">E1170*F1170</f>
        <v>-0.125</v>
      </c>
      <c r="N1170" s="0" t="n">
        <f aca="false">D1170*D1170</f>
        <v>0.25</v>
      </c>
      <c r="O1170" s="0" t="n">
        <f aca="false">E1170*E1170</f>
        <v>1</v>
      </c>
      <c r="P1170" s="0" t="n">
        <f aca="false">F1170*F1170</f>
        <v>0.015625</v>
      </c>
      <c r="Q1170" s="0" t="n">
        <f aca="false">SUMPRODUCT(G1170:P1170,_XtX!$B$71:$K$71)</f>
        <v>43.0740482954546</v>
      </c>
      <c r="R1170" s="0" t="n">
        <f aca="false">SUMPRODUCT(MMULT(G1170:P1170,_XtX!$B$58:$K$67),G1170:P1170)</f>
        <v>0.476322798295455</v>
      </c>
      <c r="S1170" s="0" t="n">
        <f aca="false">04_回帰ANOVA!$K$19*04_回帰ANOVA!$K$14*SQRT(1+R1170)</f>
        <v>1.12968483630128</v>
      </c>
      <c r="T1170" s="0" t="n">
        <f aca="false">Q1170-S1170</f>
        <v>41.9443634591533</v>
      </c>
      <c r="U1170" s="0" t="n">
        <f aca="false">Q1170+S1170</f>
        <v>44.2037331317558</v>
      </c>
      <c r="V1170" s="54" t="b">
        <f aca="false">AND(D1170&gt;=01_因子設定!$L$5-0.000000001,D1170&lt;=01_因子設定!$M$5+0.000000001,E1170&gt;=01_因子設定!$L$6-0.000000001,E1170&lt;=01_因子設定!$M$6+0.000000001,F1170&gt;=01_因子設定!$L$7-0.000000001,F1170&lt;=01_因子設定!$M$7+0.000000001,IF(01_因子設定!$B$20="Box-Behnken",D1170^2+E1170^2+F1170^2&lt;=2+0.000000001,TRUE()))</f>
        <v>1</v>
      </c>
      <c r="W1170" s="55" t="n">
        <f aca="false">IF(V1170,IF(01_因子設定!$B$13="最大化",T1170-01_因子設定!$B$14,IF(01_因子設定!$B$13="最小化",01_因子設定!$B$15-U1170,MIN(T1170-01_因子設定!$B$14,01_因子設定!$B$15-U1170))),-1E+030)</f>
        <v>-6.55563654084673</v>
      </c>
      <c r="X1170" s="55" t="n">
        <f aca="false">IF(V1170,IF(01_因子設定!$B$13="最大化",Q1170,IF(01_因子設定!$B$13="最小化",-Q1170,-ABS(Q1170-01_因子設定!$B$16))),-1E+030)</f>
        <v>43.0740482954546</v>
      </c>
      <c r="Y1170" s="55" t="n">
        <f aca="false">W1170+ROW()*0.000000001</f>
        <v>-6.55563537084673</v>
      </c>
      <c r="Z1170" s="55" t="n">
        <f aca="false">X1170+ROW()*0.000000001</f>
        <v>43.0740494654546</v>
      </c>
    </row>
    <row r="1171" customFormat="false" ht="15" hidden="false" customHeight="false" outlineLevel="0" collapsed="false">
      <c r="A1171" s="0" t="n">
        <v>4</v>
      </c>
      <c r="B1171" s="0" t="n">
        <v>0</v>
      </c>
      <c r="C1171" s="0" t="n">
        <v>10</v>
      </c>
      <c r="D1171" s="0" t="n">
        <f aca="false">-1+A1171*0.125</f>
        <v>-0.5</v>
      </c>
      <c r="E1171" s="0" t="n">
        <f aca="false">-1+B1171*0.125</f>
        <v>-1</v>
      </c>
      <c r="F1171" s="0" t="n">
        <f aca="false">-1+C1171*0.125</f>
        <v>0.25</v>
      </c>
      <c r="G1171" s="0" t="n">
        <f aca="false">1</f>
        <v>1</v>
      </c>
      <c r="H1171" s="0" t="n">
        <f aca="false">D1171</f>
        <v>-0.5</v>
      </c>
      <c r="I1171" s="0" t="n">
        <f aca="false">E1171</f>
        <v>-1</v>
      </c>
      <c r="J1171" s="0" t="n">
        <f aca="false">F1171</f>
        <v>0.25</v>
      </c>
      <c r="K1171" s="0" t="n">
        <f aca="false">D1171*E1171</f>
        <v>0.5</v>
      </c>
      <c r="L1171" s="0" t="n">
        <f aca="false">D1171*F1171</f>
        <v>-0.125</v>
      </c>
      <c r="M1171" s="0" t="n">
        <f aca="false">E1171*F1171</f>
        <v>-0.25</v>
      </c>
      <c r="N1171" s="0" t="n">
        <f aca="false">D1171*D1171</f>
        <v>0.25</v>
      </c>
      <c r="O1171" s="0" t="n">
        <f aca="false">E1171*E1171</f>
        <v>1</v>
      </c>
      <c r="P1171" s="0" t="n">
        <f aca="false">F1171*F1171</f>
        <v>0.0625</v>
      </c>
      <c r="Q1171" s="0" t="n">
        <f aca="false">SUMPRODUCT(G1171:P1171,_XtX!$B$71:$K$71)</f>
        <v>43.1444886363637</v>
      </c>
      <c r="R1171" s="0" t="n">
        <f aca="false">SUMPRODUCT(MMULT(G1171:P1171,_XtX!$B$58:$K$67),G1171:P1171)</f>
        <v>0.469424715909091</v>
      </c>
      <c r="S1171" s="0" t="n">
        <f aca="false">04_回帰ANOVA!$K$19*04_回帰ANOVA!$K$14*SQRT(1+R1171)</f>
        <v>1.12704253369596</v>
      </c>
      <c r="T1171" s="0" t="n">
        <f aca="false">Q1171-S1171</f>
        <v>42.0174461026677</v>
      </c>
      <c r="U1171" s="0" t="n">
        <f aca="false">Q1171+S1171</f>
        <v>44.2715311700596</v>
      </c>
      <c r="V1171" s="54" t="b">
        <f aca="false">AND(D1171&gt;=01_因子設定!$L$5-0.000000001,D1171&lt;=01_因子設定!$M$5+0.000000001,E1171&gt;=01_因子設定!$L$6-0.000000001,E1171&lt;=01_因子設定!$M$6+0.000000001,F1171&gt;=01_因子設定!$L$7-0.000000001,F1171&lt;=01_因子設定!$M$7+0.000000001,IF(01_因子設定!$B$20="Box-Behnken",D1171^2+E1171^2+F1171^2&lt;=2+0.000000001,TRUE()))</f>
        <v>1</v>
      </c>
      <c r="W1171" s="55" t="n">
        <f aca="false">IF(V1171,IF(01_因子設定!$B$13="最大化",T1171-01_因子設定!$B$14,IF(01_因子設定!$B$13="最小化",01_因子設定!$B$15-U1171,MIN(T1171-01_因子設定!$B$14,01_因子設定!$B$15-U1171))),-1E+030)</f>
        <v>-6.48255389733231</v>
      </c>
      <c r="X1171" s="55" t="n">
        <f aca="false">IF(V1171,IF(01_因子設定!$B$13="最大化",Q1171,IF(01_因子設定!$B$13="最小化",-Q1171,-ABS(Q1171-01_因子設定!$B$16))),-1E+030)</f>
        <v>43.1444886363637</v>
      </c>
      <c r="Y1171" s="55" t="n">
        <f aca="false">W1171+ROW()*0.000000001</f>
        <v>-6.48255272633231</v>
      </c>
      <c r="Z1171" s="55" t="n">
        <f aca="false">X1171+ROW()*0.000000001</f>
        <v>43.1444898073637</v>
      </c>
    </row>
    <row r="1172" customFormat="false" ht="15" hidden="false" customHeight="false" outlineLevel="0" collapsed="false">
      <c r="A1172" s="0" t="n">
        <v>4</v>
      </c>
      <c r="B1172" s="0" t="n">
        <v>0</v>
      </c>
      <c r="C1172" s="0" t="n">
        <v>11</v>
      </c>
      <c r="D1172" s="0" t="n">
        <f aca="false">-1+A1172*0.125</f>
        <v>-0.5</v>
      </c>
      <c r="E1172" s="0" t="n">
        <f aca="false">-1+B1172*0.125</f>
        <v>-1</v>
      </c>
      <c r="F1172" s="0" t="n">
        <f aca="false">-1+C1172*0.125</f>
        <v>0.375</v>
      </c>
      <c r="G1172" s="0" t="n">
        <f aca="false">1</f>
        <v>1</v>
      </c>
      <c r="H1172" s="0" t="n">
        <f aca="false">D1172</f>
        <v>-0.5</v>
      </c>
      <c r="I1172" s="0" t="n">
        <f aca="false">E1172</f>
        <v>-1</v>
      </c>
      <c r="J1172" s="0" t="n">
        <f aca="false">F1172</f>
        <v>0.375</v>
      </c>
      <c r="K1172" s="0" t="n">
        <f aca="false">D1172*E1172</f>
        <v>0.5</v>
      </c>
      <c r="L1172" s="0" t="n">
        <f aca="false">D1172*F1172</f>
        <v>-0.1875</v>
      </c>
      <c r="M1172" s="0" t="n">
        <f aca="false">E1172*F1172</f>
        <v>-0.375</v>
      </c>
      <c r="N1172" s="0" t="n">
        <f aca="false">D1172*D1172</f>
        <v>0.25</v>
      </c>
      <c r="O1172" s="0" t="n">
        <f aca="false">E1172*E1172</f>
        <v>1</v>
      </c>
      <c r="P1172" s="0" t="n">
        <f aca="false">F1172*F1172</f>
        <v>0.140625</v>
      </c>
      <c r="Q1172" s="0" t="n">
        <f aca="false">SUMPRODUCT(G1172:P1172,_XtX!$B$71:$K$71)</f>
        <v>43.1781392045455</v>
      </c>
      <c r="R1172" s="0" t="n">
        <f aca="false">SUMPRODUCT(MMULT(G1172:P1172,_XtX!$B$58:$K$67),G1172:P1172)</f>
        <v>0.461479048295455</v>
      </c>
      <c r="S1172" s="0" t="n">
        <f aca="false">04_回帰ANOVA!$K$19*04_回帰ANOVA!$K$14*SQRT(1+R1172)</f>
        <v>1.12399125658369</v>
      </c>
      <c r="T1172" s="0" t="n">
        <f aca="false">Q1172-S1172</f>
        <v>42.0541479479618</v>
      </c>
      <c r="U1172" s="0" t="n">
        <f aca="false">Q1172+S1172</f>
        <v>44.3021304611292</v>
      </c>
      <c r="V1172" s="54" t="b">
        <f aca="false">AND(D1172&gt;=01_因子設定!$L$5-0.000000001,D1172&lt;=01_因子設定!$M$5+0.000000001,E1172&gt;=01_因子設定!$L$6-0.000000001,E1172&lt;=01_因子設定!$M$6+0.000000001,F1172&gt;=01_因子設定!$L$7-0.000000001,F1172&lt;=01_因子設定!$M$7+0.000000001,IF(01_因子設定!$B$20="Box-Behnken",D1172^2+E1172^2+F1172^2&lt;=2+0.000000001,TRUE()))</f>
        <v>1</v>
      </c>
      <c r="W1172" s="55" t="n">
        <f aca="false">IF(V1172,IF(01_因子設定!$B$13="最大化",T1172-01_因子設定!$B$14,IF(01_因子設定!$B$13="最小化",01_因子設定!$B$15-U1172,MIN(T1172-01_因子設定!$B$14,01_因子設定!$B$15-U1172))),-1E+030)</f>
        <v>-6.44585205203822</v>
      </c>
      <c r="X1172" s="55" t="n">
        <f aca="false">IF(V1172,IF(01_因子設定!$B$13="最大化",Q1172,IF(01_因子設定!$B$13="最小化",-Q1172,-ABS(Q1172-01_因子設定!$B$16))),-1E+030)</f>
        <v>43.1781392045455</v>
      </c>
      <c r="Y1172" s="55" t="n">
        <f aca="false">W1172+ROW()*0.000000001</f>
        <v>-6.44585088003822</v>
      </c>
      <c r="Z1172" s="55" t="n">
        <f aca="false">X1172+ROW()*0.000000001</f>
        <v>43.1781403765455</v>
      </c>
    </row>
    <row r="1173" customFormat="false" ht="15" hidden="false" customHeight="false" outlineLevel="0" collapsed="false">
      <c r="A1173" s="0" t="n">
        <v>4</v>
      </c>
      <c r="B1173" s="0" t="n">
        <v>0</v>
      </c>
      <c r="C1173" s="0" t="n">
        <v>12</v>
      </c>
      <c r="D1173" s="0" t="n">
        <f aca="false">-1+A1173*0.125</f>
        <v>-0.5</v>
      </c>
      <c r="E1173" s="0" t="n">
        <f aca="false">-1+B1173*0.125</f>
        <v>-1</v>
      </c>
      <c r="F1173" s="0" t="n">
        <f aca="false">-1+C1173*0.125</f>
        <v>0.5</v>
      </c>
      <c r="G1173" s="0" t="n">
        <f aca="false">1</f>
        <v>1</v>
      </c>
      <c r="H1173" s="0" t="n">
        <f aca="false">D1173</f>
        <v>-0.5</v>
      </c>
      <c r="I1173" s="0" t="n">
        <f aca="false">E1173</f>
        <v>-1</v>
      </c>
      <c r="J1173" s="0" t="n">
        <f aca="false">F1173</f>
        <v>0.5</v>
      </c>
      <c r="K1173" s="0" t="n">
        <f aca="false">D1173*E1173</f>
        <v>0.5</v>
      </c>
      <c r="L1173" s="0" t="n">
        <f aca="false">D1173*F1173</f>
        <v>-0.25</v>
      </c>
      <c r="M1173" s="0" t="n">
        <f aca="false">E1173*F1173</f>
        <v>-0.5</v>
      </c>
      <c r="N1173" s="0" t="n">
        <f aca="false">D1173*D1173</f>
        <v>0.25</v>
      </c>
      <c r="O1173" s="0" t="n">
        <f aca="false">E1173*E1173</f>
        <v>1</v>
      </c>
      <c r="P1173" s="0" t="n">
        <f aca="false">F1173*F1173</f>
        <v>0.25</v>
      </c>
      <c r="Q1173" s="0" t="n">
        <f aca="false">SUMPRODUCT(G1173:P1173,_XtX!$B$71:$K$71)</f>
        <v>43.175</v>
      </c>
      <c r="R1173" s="0" t="n">
        <f aca="false">SUMPRODUCT(MMULT(G1173:P1173,_XtX!$B$58:$K$67),G1173:P1173)</f>
        <v>0.4578125</v>
      </c>
      <c r="S1173" s="0" t="n">
        <f aca="false">04_回帰ANOVA!$K$19*04_回帰ANOVA!$K$14*SQRT(1+R1173)</f>
        <v>1.12258044051089</v>
      </c>
      <c r="T1173" s="0" t="n">
        <f aca="false">Q1173-S1173</f>
        <v>42.0524195594891</v>
      </c>
      <c r="U1173" s="0" t="n">
        <f aca="false">Q1173+S1173</f>
        <v>44.2975804405109</v>
      </c>
      <c r="V1173" s="54" t="b">
        <f aca="false">AND(D1173&gt;=01_因子設定!$L$5-0.000000001,D1173&lt;=01_因子設定!$M$5+0.000000001,E1173&gt;=01_因子設定!$L$6-0.000000001,E1173&lt;=01_因子設定!$M$6+0.000000001,F1173&gt;=01_因子設定!$L$7-0.000000001,F1173&lt;=01_因子設定!$M$7+0.000000001,IF(01_因子設定!$B$20="Box-Behnken",D1173^2+E1173^2+F1173^2&lt;=2+0.000000001,TRUE()))</f>
        <v>1</v>
      </c>
      <c r="W1173" s="55" t="n">
        <f aca="false">IF(V1173,IF(01_因子設定!$B$13="最大化",T1173-01_因子設定!$B$14,IF(01_因子設定!$B$13="最小化",01_因子設定!$B$15-U1173,MIN(T1173-01_因子設定!$B$14,01_因子設定!$B$15-U1173))),-1E+030)</f>
        <v>-6.44758044051088</v>
      </c>
      <c r="X1173" s="55" t="n">
        <f aca="false">IF(V1173,IF(01_因子設定!$B$13="最大化",Q1173,IF(01_因子設定!$B$13="最小化",-Q1173,-ABS(Q1173-01_因子設定!$B$16))),-1E+030)</f>
        <v>43.175</v>
      </c>
      <c r="Y1173" s="55" t="n">
        <f aca="false">W1173+ROW()*0.000000001</f>
        <v>-6.44757926751088</v>
      </c>
      <c r="Z1173" s="55" t="n">
        <f aca="false">X1173+ROW()*0.000000001</f>
        <v>43.175001173</v>
      </c>
    </row>
    <row r="1174" customFormat="false" ht="15" hidden="false" customHeight="false" outlineLevel="0" collapsed="false">
      <c r="A1174" s="0" t="n">
        <v>4</v>
      </c>
      <c r="B1174" s="0" t="n">
        <v>0</v>
      </c>
      <c r="C1174" s="0" t="n">
        <v>13</v>
      </c>
      <c r="D1174" s="0" t="n">
        <f aca="false">-1+A1174*0.125</f>
        <v>-0.5</v>
      </c>
      <c r="E1174" s="0" t="n">
        <f aca="false">-1+B1174*0.125</f>
        <v>-1</v>
      </c>
      <c r="F1174" s="0" t="n">
        <f aca="false">-1+C1174*0.125</f>
        <v>0.625</v>
      </c>
      <c r="G1174" s="0" t="n">
        <f aca="false">1</f>
        <v>1</v>
      </c>
      <c r="H1174" s="0" t="n">
        <f aca="false">D1174</f>
        <v>-0.5</v>
      </c>
      <c r="I1174" s="0" t="n">
        <f aca="false">E1174</f>
        <v>-1</v>
      </c>
      <c r="J1174" s="0" t="n">
        <f aca="false">F1174</f>
        <v>0.625</v>
      </c>
      <c r="K1174" s="0" t="n">
        <f aca="false">D1174*E1174</f>
        <v>0.5</v>
      </c>
      <c r="L1174" s="0" t="n">
        <f aca="false">D1174*F1174</f>
        <v>-0.3125</v>
      </c>
      <c r="M1174" s="0" t="n">
        <f aca="false">E1174*F1174</f>
        <v>-0.625</v>
      </c>
      <c r="N1174" s="0" t="n">
        <f aca="false">D1174*D1174</f>
        <v>0.25</v>
      </c>
      <c r="O1174" s="0" t="n">
        <f aca="false">E1174*E1174</f>
        <v>1</v>
      </c>
      <c r="P1174" s="0" t="n">
        <f aca="false">F1174*F1174</f>
        <v>0.390625</v>
      </c>
      <c r="Q1174" s="0" t="n">
        <f aca="false">SUMPRODUCT(G1174:P1174,_XtX!$B$71:$K$71)</f>
        <v>43.1350710227273</v>
      </c>
      <c r="R1174" s="0" t="n">
        <f aca="false">SUMPRODUCT(MMULT(G1174:P1174,_XtX!$B$58:$K$67),G1174:P1174)</f>
        <v>0.465882457386364</v>
      </c>
      <c r="S1174" s="0" t="n">
        <f aca="false">04_回帰ANOVA!$K$19*04_回帰ANOVA!$K$14*SQRT(1+R1174)</f>
        <v>1.12568326538173</v>
      </c>
      <c r="T1174" s="0" t="n">
        <f aca="false">Q1174-S1174</f>
        <v>42.0093877573456</v>
      </c>
      <c r="U1174" s="0" t="n">
        <f aca="false">Q1174+S1174</f>
        <v>44.260754288109</v>
      </c>
      <c r="V1174" s="54" t="b">
        <f aca="false">AND(D1174&gt;=01_因子設定!$L$5-0.000000001,D1174&lt;=01_因子設定!$M$5+0.000000001,E1174&gt;=01_因子設定!$L$6-0.000000001,E1174&lt;=01_因子設定!$M$6+0.000000001,F1174&gt;=01_因子設定!$L$7-0.000000001,F1174&lt;=01_因子設定!$M$7+0.000000001,IF(01_因子設定!$B$20="Box-Behnken",D1174^2+E1174^2+F1174^2&lt;=2+0.000000001,TRUE()))</f>
        <v>1</v>
      </c>
      <c r="W1174" s="55" t="n">
        <f aca="false">IF(V1174,IF(01_因子設定!$B$13="最大化",T1174-01_因子設定!$B$14,IF(01_因子設定!$B$13="最小化",01_因子設定!$B$15-U1174,MIN(T1174-01_因子設定!$B$14,01_因子設定!$B$15-U1174))),-1E+030)</f>
        <v>-6.49061224265444</v>
      </c>
      <c r="X1174" s="55" t="n">
        <f aca="false">IF(V1174,IF(01_因子設定!$B$13="最大化",Q1174,IF(01_因子設定!$B$13="最小化",-Q1174,-ABS(Q1174-01_因子設定!$B$16))),-1E+030)</f>
        <v>43.1350710227273</v>
      </c>
      <c r="Y1174" s="55" t="n">
        <f aca="false">W1174+ROW()*0.000000001</f>
        <v>-6.49061106865444</v>
      </c>
      <c r="Z1174" s="55" t="n">
        <f aca="false">X1174+ROW()*0.000000001</f>
        <v>43.1350721967273</v>
      </c>
    </row>
    <row r="1175" customFormat="false" ht="15" hidden="false" customHeight="false" outlineLevel="0" collapsed="false">
      <c r="A1175" s="0" t="n">
        <v>4</v>
      </c>
      <c r="B1175" s="0" t="n">
        <v>0</v>
      </c>
      <c r="C1175" s="0" t="n">
        <v>14</v>
      </c>
      <c r="D1175" s="0" t="n">
        <f aca="false">-1+A1175*0.125</f>
        <v>-0.5</v>
      </c>
      <c r="E1175" s="0" t="n">
        <f aca="false">-1+B1175*0.125</f>
        <v>-1</v>
      </c>
      <c r="F1175" s="0" t="n">
        <f aca="false">-1+C1175*0.125</f>
        <v>0.75</v>
      </c>
      <c r="G1175" s="0" t="n">
        <f aca="false">1</f>
        <v>1</v>
      </c>
      <c r="H1175" s="0" t="n">
        <f aca="false">D1175</f>
        <v>-0.5</v>
      </c>
      <c r="I1175" s="0" t="n">
        <f aca="false">E1175</f>
        <v>-1</v>
      </c>
      <c r="J1175" s="0" t="n">
        <f aca="false">F1175</f>
        <v>0.75</v>
      </c>
      <c r="K1175" s="0" t="n">
        <f aca="false">D1175*E1175</f>
        <v>0.5</v>
      </c>
      <c r="L1175" s="0" t="n">
        <f aca="false">D1175*F1175</f>
        <v>-0.375</v>
      </c>
      <c r="M1175" s="0" t="n">
        <f aca="false">E1175*F1175</f>
        <v>-0.75</v>
      </c>
      <c r="N1175" s="0" t="n">
        <f aca="false">D1175*D1175</f>
        <v>0.25</v>
      </c>
      <c r="O1175" s="0" t="n">
        <f aca="false">E1175*E1175</f>
        <v>1</v>
      </c>
      <c r="P1175" s="0" t="n">
        <f aca="false">F1175*F1175</f>
        <v>0.5625</v>
      </c>
      <c r="Q1175" s="0" t="n">
        <f aca="false">SUMPRODUCT(G1175:P1175,_XtX!$B$71:$K$71)</f>
        <v>43.0583522727273</v>
      </c>
      <c r="R1175" s="0" t="n">
        <f aca="false">SUMPRODUCT(MMULT(G1175:P1175,_XtX!$B$58:$K$67),G1175:P1175)</f>
        <v>0.495276988636364</v>
      </c>
      <c r="S1175" s="0" t="n">
        <f aca="false">04_回帰ANOVA!$K$19*04_回帰ANOVA!$K$14*SQRT(1+R1175)</f>
        <v>1.13691359828352</v>
      </c>
      <c r="T1175" s="0" t="n">
        <f aca="false">Q1175-S1175</f>
        <v>41.9214386744438</v>
      </c>
      <c r="U1175" s="0" t="n">
        <f aca="false">Q1175+S1175</f>
        <v>44.1952658710108</v>
      </c>
      <c r="V1175" s="54" t="b">
        <f aca="false">AND(D1175&gt;=01_因子設定!$L$5-0.000000001,D1175&lt;=01_因子設定!$M$5+0.000000001,E1175&gt;=01_因子設定!$L$6-0.000000001,E1175&lt;=01_因子設定!$M$6+0.000000001,F1175&gt;=01_因子設定!$L$7-0.000000001,F1175&lt;=01_因子設定!$M$7+0.000000001,IF(01_因子設定!$B$20="Box-Behnken",D1175^2+E1175^2+F1175^2&lt;=2+0.000000001,TRUE()))</f>
        <v>1</v>
      </c>
      <c r="W1175" s="55" t="n">
        <f aca="false">IF(V1175,IF(01_因子設定!$B$13="最大化",T1175-01_因子設定!$B$14,IF(01_因子設定!$B$13="最小化",01_因子設定!$B$15-U1175,MIN(T1175-01_因子設定!$B$14,01_因子設定!$B$15-U1175))),-1E+030)</f>
        <v>-6.57856132555623</v>
      </c>
      <c r="X1175" s="55" t="n">
        <f aca="false">IF(V1175,IF(01_因子設定!$B$13="最大化",Q1175,IF(01_因子設定!$B$13="最小化",-Q1175,-ABS(Q1175-01_因子設定!$B$16))),-1E+030)</f>
        <v>43.0583522727273</v>
      </c>
      <c r="Y1175" s="55" t="n">
        <f aca="false">W1175+ROW()*0.000000001</f>
        <v>-6.57856015055623</v>
      </c>
      <c r="Z1175" s="55" t="n">
        <f aca="false">X1175+ROW()*0.000000001</f>
        <v>43.0583534477273</v>
      </c>
    </row>
    <row r="1176" customFormat="false" ht="15" hidden="false" customHeight="false" outlineLevel="0" collapsed="false">
      <c r="A1176" s="0" t="n">
        <v>4</v>
      </c>
      <c r="B1176" s="0" t="n">
        <v>0</v>
      </c>
      <c r="C1176" s="0" t="n">
        <v>15</v>
      </c>
      <c r="D1176" s="0" t="n">
        <f aca="false">-1+A1176*0.125</f>
        <v>-0.5</v>
      </c>
      <c r="E1176" s="0" t="n">
        <f aca="false">-1+B1176*0.125</f>
        <v>-1</v>
      </c>
      <c r="F1176" s="0" t="n">
        <f aca="false">-1+C1176*0.125</f>
        <v>0.875</v>
      </c>
      <c r="G1176" s="0" t="n">
        <f aca="false">1</f>
        <v>1</v>
      </c>
      <c r="H1176" s="0" t="n">
        <f aca="false">D1176</f>
        <v>-0.5</v>
      </c>
      <c r="I1176" s="0" t="n">
        <f aca="false">E1176</f>
        <v>-1</v>
      </c>
      <c r="J1176" s="0" t="n">
        <f aca="false">F1176</f>
        <v>0.875</v>
      </c>
      <c r="K1176" s="0" t="n">
        <f aca="false">D1176*E1176</f>
        <v>0.5</v>
      </c>
      <c r="L1176" s="0" t="n">
        <f aca="false">D1176*F1176</f>
        <v>-0.4375</v>
      </c>
      <c r="M1176" s="0" t="n">
        <f aca="false">E1176*F1176</f>
        <v>-0.875</v>
      </c>
      <c r="N1176" s="0" t="n">
        <f aca="false">D1176*D1176</f>
        <v>0.25</v>
      </c>
      <c r="O1176" s="0" t="n">
        <f aca="false">E1176*E1176</f>
        <v>1</v>
      </c>
      <c r="P1176" s="0" t="n">
        <f aca="false">F1176*F1176</f>
        <v>0.765625</v>
      </c>
      <c r="Q1176" s="0" t="n">
        <f aca="false">SUMPRODUCT(G1176:P1176,_XtX!$B$71:$K$71)</f>
        <v>42.94484375</v>
      </c>
      <c r="R1176" s="0" t="n">
        <f aca="false">SUMPRODUCT(MMULT(G1176:P1176,_XtX!$B$58:$K$67),G1176:P1176)</f>
        <v>0.55771484375</v>
      </c>
      <c r="S1176" s="0" t="n">
        <f aca="false">04_回帰ANOVA!$K$19*04_回帰ANOVA!$K$14*SQRT(1+R1176)</f>
        <v>1.16040773556467</v>
      </c>
      <c r="T1176" s="0" t="n">
        <f aca="false">Q1176-S1176</f>
        <v>41.7844360144353</v>
      </c>
      <c r="U1176" s="0" t="n">
        <f aca="false">Q1176+S1176</f>
        <v>44.1052514855647</v>
      </c>
      <c r="V1176" s="54" t="b">
        <f aca="false">AND(D1176&gt;=01_因子設定!$L$5-0.000000001,D1176&lt;=01_因子設定!$M$5+0.000000001,E1176&gt;=01_因子設定!$L$6-0.000000001,E1176&lt;=01_因子設定!$M$6+0.000000001,F1176&gt;=01_因子設定!$L$7-0.000000001,F1176&lt;=01_因子設定!$M$7+0.000000001,IF(01_因子設定!$B$20="Box-Behnken",D1176^2+E1176^2+F1176^2&lt;=2+0.000000001,TRUE()))</f>
        <v>1</v>
      </c>
      <c r="W1176" s="55" t="n">
        <f aca="false">IF(V1176,IF(01_因子設定!$B$13="最大化",T1176-01_因子設定!$B$14,IF(01_因子設定!$B$13="最小化",01_因子設定!$B$15-U1176,MIN(T1176-01_因子設定!$B$14,01_因子設定!$B$15-U1176))),-1E+030)</f>
        <v>-6.71556398556466</v>
      </c>
      <c r="X1176" s="55" t="n">
        <f aca="false">IF(V1176,IF(01_因子設定!$B$13="最大化",Q1176,IF(01_因子設定!$B$13="最小化",-Q1176,-ABS(Q1176-01_因子設定!$B$16))),-1E+030)</f>
        <v>42.94484375</v>
      </c>
      <c r="Y1176" s="55" t="n">
        <f aca="false">W1176+ROW()*0.000000001</f>
        <v>-6.71556280956466</v>
      </c>
      <c r="Z1176" s="55" t="n">
        <f aca="false">X1176+ROW()*0.000000001</f>
        <v>42.944844926</v>
      </c>
    </row>
    <row r="1177" customFormat="false" ht="15" hidden="false" customHeight="false" outlineLevel="0" collapsed="false">
      <c r="A1177" s="0" t="n">
        <v>4</v>
      </c>
      <c r="B1177" s="0" t="n">
        <v>0</v>
      </c>
      <c r="C1177" s="0" t="n">
        <v>16</v>
      </c>
      <c r="D1177" s="0" t="n">
        <f aca="false">-1+A1177*0.125</f>
        <v>-0.5</v>
      </c>
      <c r="E1177" s="0" t="n">
        <f aca="false">-1+B1177*0.125</f>
        <v>-1</v>
      </c>
      <c r="F1177" s="0" t="n">
        <f aca="false">-1+C1177*0.125</f>
        <v>1</v>
      </c>
      <c r="G1177" s="0" t="n">
        <f aca="false">1</f>
        <v>1</v>
      </c>
      <c r="H1177" s="0" t="n">
        <f aca="false">D1177</f>
        <v>-0.5</v>
      </c>
      <c r="I1177" s="0" t="n">
        <f aca="false">E1177</f>
        <v>-1</v>
      </c>
      <c r="J1177" s="0" t="n">
        <f aca="false">F1177</f>
        <v>1</v>
      </c>
      <c r="K1177" s="0" t="n">
        <f aca="false">D1177*E1177</f>
        <v>0.5</v>
      </c>
      <c r="L1177" s="0" t="n">
        <f aca="false">D1177*F1177</f>
        <v>-0.5</v>
      </c>
      <c r="M1177" s="0" t="n">
        <f aca="false">E1177*F1177</f>
        <v>-1</v>
      </c>
      <c r="N1177" s="0" t="n">
        <f aca="false">D1177*D1177</f>
        <v>0.25</v>
      </c>
      <c r="O1177" s="0" t="n">
        <f aca="false">E1177*E1177</f>
        <v>1</v>
      </c>
      <c r="P1177" s="0" t="n">
        <f aca="false">F1177*F1177</f>
        <v>1</v>
      </c>
      <c r="Q1177" s="0" t="n">
        <f aca="false">SUMPRODUCT(G1177:P1177,_XtX!$B$71:$K$71)</f>
        <v>42.7945454545455</v>
      </c>
      <c r="R1177" s="0" t="n">
        <f aca="false">SUMPRODUCT(MMULT(G1177:P1177,_XtX!$B$58:$K$67),G1177:P1177)</f>
        <v>0.667045454545455</v>
      </c>
      <c r="S1177" s="0" t="n">
        <f aca="false">04_回帰ANOVA!$K$19*04_回帰ANOVA!$K$14*SQRT(1+R1177)</f>
        <v>1.200439720088</v>
      </c>
      <c r="T1177" s="0" t="n">
        <f aca="false">Q1177-S1177</f>
        <v>41.5941057344575</v>
      </c>
      <c r="U1177" s="0" t="n">
        <f aca="false">Q1177+S1177</f>
        <v>43.9949851746335</v>
      </c>
      <c r="V1177" s="54" t="b">
        <f aca="false">AND(D1177&gt;=01_因子設定!$L$5-0.000000001,D1177&lt;=01_因子設定!$M$5+0.000000001,E1177&gt;=01_因子設定!$L$6-0.000000001,E1177&lt;=01_因子設定!$M$6+0.000000001,F1177&gt;=01_因子設定!$L$7-0.000000001,F1177&lt;=01_因子設定!$M$7+0.000000001,IF(01_因子設定!$B$20="Box-Behnken",D1177^2+E1177^2+F1177^2&lt;=2+0.000000001,TRUE()))</f>
        <v>1</v>
      </c>
      <c r="W1177" s="55" t="n">
        <f aca="false">IF(V1177,IF(01_因子設定!$B$13="最大化",T1177-01_因子設定!$B$14,IF(01_因子設定!$B$13="最小化",01_因子設定!$B$15-U1177,MIN(T1177-01_因子設定!$B$14,01_因子設定!$B$15-U1177))),-1E+030)</f>
        <v>-6.90589426554252</v>
      </c>
      <c r="X1177" s="55" t="n">
        <f aca="false">IF(V1177,IF(01_因子設定!$B$13="最大化",Q1177,IF(01_因子設定!$B$13="最小化",-Q1177,-ABS(Q1177-01_因子設定!$B$16))),-1E+030)</f>
        <v>42.7945454545455</v>
      </c>
      <c r="Y1177" s="55" t="n">
        <f aca="false">W1177+ROW()*0.000000001</f>
        <v>-6.90589308854252</v>
      </c>
      <c r="Z1177" s="55" t="n">
        <f aca="false">X1177+ROW()*0.000000001</f>
        <v>42.7945466315455</v>
      </c>
    </row>
    <row r="1178" customFormat="false" ht="15" hidden="false" customHeight="false" outlineLevel="0" collapsed="false">
      <c r="A1178" s="0" t="n">
        <v>4</v>
      </c>
      <c r="B1178" s="0" t="n">
        <v>1</v>
      </c>
      <c r="C1178" s="0" t="n">
        <v>0</v>
      </c>
      <c r="D1178" s="0" t="n">
        <f aca="false">-1+A1178*0.125</f>
        <v>-0.5</v>
      </c>
      <c r="E1178" s="0" t="n">
        <f aca="false">-1+B1178*0.125</f>
        <v>-0.875</v>
      </c>
      <c r="F1178" s="0" t="n">
        <f aca="false">-1+C1178*0.125</f>
        <v>-1</v>
      </c>
      <c r="G1178" s="0" t="n">
        <f aca="false">1</f>
        <v>1</v>
      </c>
      <c r="H1178" s="0" t="n">
        <f aca="false">D1178</f>
        <v>-0.5</v>
      </c>
      <c r="I1178" s="0" t="n">
        <f aca="false">E1178</f>
        <v>-0.875</v>
      </c>
      <c r="J1178" s="0" t="n">
        <f aca="false">F1178</f>
        <v>-1</v>
      </c>
      <c r="K1178" s="0" t="n">
        <f aca="false">D1178*E1178</f>
        <v>0.4375</v>
      </c>
      <c r="L1178" s="0" t="n">
        <f aca="false">D1178*F1178</f>
        <v>0.5</v>
      </c>
      <c r="M1178" s="0" t="n">
        <f aca="false">E1178*F1178</f>
        <v>0.875</v>
      </c>
      <c r="N1178" s="0" t="n">
        <f aca="false">D1178*D1178</f>
        <v>0.25</v>
      </c>
      <c r="O1178" s="0" t="n">
        <f aca="false">E1178*E1178</f>
        <v>0.765625</v>
      </c>
      <c r="P1178" s="0" t="n">
        <f aca="false">F1178*F1178</f>
        <v>1</v>
      </c>
      <c r="Q1178" s="0" t="n">
        <f aca="false">SUMPRODUCT(G1178:P1178,_XtX!$B$71:$K$71)</f>
        <v>41.385625</v>
      </c>
      <c r="R1178" s="0" t="n">
        <f aca="false">SUMPRODUCT(MMULT(G1178:P1178,_XtX!$B$58:$K$67),G1178:P1178)</f>
        <v>0.55771484375</v>
      </c>
      <c r="S1178" s="0" t="n">
        <f aca="false">04_回帰ANOVA!$K$19*04_回帰ANOVA!$K$14*SQRT(1+R1178)</f>
        <v>1.16040773556467</v>
      </c>
      <c r="T1178" s="0" t="n">
        <f aca="false">Q1178-S1178</f>
        <v>40.2252172644354</v>
      </c>
      <c r="U1178" s="0" t="n">
        <f aca="false">Q1178+S1178</f>
        <v>42.5460327355647</v>
      </c>
      <c r="V1178" s="54" t="b">
        <f aca="false">AND(D1178&gt;=01_因子設定!$L$5-0.000000001,D1178&lt;=01_因子設定!$M$5+0.000000001,E1178&gt;=01_因子設定!$L$6-0.000000001,E1178&lt;=01_因子設定!$M$6+0.000000001,F1178&gt;=01_因子設定!$L$7-0.000000001,F1178&lt;=01_因子設定!$M$7+0.000000001,IF(01_因子設定!$B$20="Box-Behnken",D1178^2+E1178^2+F1178^2&lt;=2+0.000000001,TRUE()))</f>
        <v>1</v>
      </c>
      <c r="W1178" s="55" t="n">
        <f aca="false">IF(V1178,IF(01_因子設定!$B$13="最大化",T1178-01_因子設定!$B$14,IF(01_因子設定!$B$13="最小化",01_因子設定!$B$15-U1178,MIN(T1178-01_因子設定!$B$14,01_因子設定!$B$15-U1178))),-1E+030)</f>
        <v>-8.27478273556465</v>
      </c>
      <c r="X1178" s="55" t="n">
        <f aca="false">IF(V1178,IF(01_因子設定!$B$13="最大化",Q1178,IF(01_因子設定!$B$13="最小化",-Q1178,-ABS(Q1178-01_因子設定!$B$16))),-1E+030)</f>
        <v>41.385625</v>
      </c>
      <c r="Y1178" s="55" t="n">
        <f aca="false">W1178+ROW()*0.000000001</f>
        <v>-8.27478155756465</v>
      </c>
      <c r="Z1178" s="55" t="n">
        <f aca="false">X1178+ROW()*0.000000001</f>
        <v>41.385626178</v>
      </c>
    </row>
    <row r="1179" customFormat="false" ht="15" hidden="false" customHeight="false" outlineLevel="0" collapsed="false">
      <c r="A1179" s="0" t="n">
        <v>4</v>
      </c>
      <c r="B1179" s="0" t="n">
        <v>1</v>
      </c>
      <c r="C1179" s="0" t="n">
        <v>1</v>
      </c>
      <c r="D1179" s="0" t="n">
        <f aca="false">-1+A1179*0.125</f>
        <v>-0.5</v>
      </c>
      <c r="E1179" s="0" t="n">
        <f aca="false">-1+B1179*0.125</f>
        <v>-0.875</v>
      </c>
      <c r="F1179" s="0" t="n">
        <f aca="false">-1+C1179*0.125</f>
        <v>-0.875</v>
      </c>
      <c r="G1179" s="0" t="n">
        <f aca="false">1</f>
        <v>1</v>
      </c>
      <c r="H1179" s="0" t="n">
        <f aca="false">D1179</f>
        <v>-0.5</v>
      </c>
      <c r="I1179" s="0" t="n">
        <f aca="false">E1179</f>
        <v>-0.875</v>
      </c>
      <c r="J1179" s="0" t="n">
        <f aca="false">F1179</f>
        <v>-0.875</v>
      </c>
      <c r="K1179" s="0" t="n">
        <f aca="false">D1179*E1179</f>
        <v>0.4375</v>
      </c>
      <c r="L1179" s="0" t="n">
        <f aca="false">D1179*F1179</f>
        <v>0.4375</v>
      </c>
      <c r="M1179" s="0" t="n">
        <f aca="false">E1179*F1179</f>
        <v>0.765625</v>
      </c>
      <c r="N1179" s="0" t="n">
        <f aca="false">D1179*D1179</f>
        <v>0.25</v>
      </c>
      <c r="O1179" s="0" t="n">
        <f aca="false">E1179*E1179</f>
        <v>0.765625</v>
      </c>
      <c r="P1179" s="0" t="n">
        <f aca="false">F1179*F1179</f>
        <v>0.765625</v>
      </c>
      <c r="Q1179" s="0" t="n">
        <f aca="false">SUMPRODUCT(G1179:P1179,_XtX!$B$71:$K$71)</f>
        <v>41.7942045454546</v>
      </c>
      <c r="R1179" s="0" t="n">
        <f aca="false">SUMPRODUCT(MMULT(G1179:P1179,_XtX!$B$58:$K$67),G1179:P1179)</f>
        <v>0.44026933149858</v>
      </c>
      <c r="S1179" s="0" t="n">
        <f aca="false">04_回帰ANOVA!$K$19*04_回帰ANOVA!$K$14*SQRT(1+R1179)</f>
        <v>1.11580548667718</v>
      </c>
      <c r="T1179" s="0" t="n">
        <f aca="false">Q1179-S1179</f>
        <v>40.6783990587774</v>
      </c>
      <c r="U1179" s="0" t="n">
        <f aca="false">Q1179+S1179</f>
        <v>42.9100100321318</v>
      </c>
      <c r="V1179" s="54" t="b">
        <f aca="false">AND(D1179&gt;=01_因子設定!$L$5-0.000000001,D1179&lt;=01_因子設定!$M$5+0.000000001,E1179&gt;=01_因子設定!$L$6-0.000000001,E1179&lt;=01_因子設定!$M$6+0.000000001,F1179&gt;=01_因子設定!$L$7-0.000000001,F1179&lt;=01_因子設定!$M$7+0.000000001,IF(01_因子設定!$B$20="Box-Behnken",D1179^2+E1179^2+F1179^2&lt;=2+0.000000001,TRUE()))</f>
        <v>1</v>
      </c>
      <c r="W1179" s="55" t="n">
        <f aca="false">IF(V1179,IF(01_因子設定!$B$13="最大化",T1179-01_因子設定!$B$14,IF(01_因子設定!$B$13="最小化",01_因子設定!$B$15-U1179,MIN(T1179-01_因子設定!$B$14,01_因子設定!$B$15-U1179))),-1E+030)</f>
        <v>-7.82160094122261</v>
      </c>
      <c r="X1179" s="55" t="n">
        <f aca="false">IF(V1179,IF(01_因子設定!$B$13="最大化",Q1179,IF(01_因子設定!$B$13="最小化",-Q1179,-ABS(Q1179-01_因子設定!$B$16))),-1E+030)</f>
        <v>41.7942045454546</v>
      </c>
      <c r="Y1179" s="55" t="n">
        <f aca="false">W1179+ROW()*0.000000001</f>
        <v>-7.82159976222261</v>
      </c>
      <c r="Z1179" s="55" t="n">
        <f aca="false">X1179+ROW()*0.000000001</f>
        <v>41.7942057244546</v>
      </c>
    </row>
    <row r="1180" customFormat="false" ht="15" hidden="false" customHeight="false" outlineLevel="0" collapsed="false">
      <c r="A1180" s="0" t="n">
        <v>4</v>
      </c>
      <c r="B1180" s="0" t="n">
        <v>1</v>
      </c>
      <c r="C1180" s="0" t="n">
        <v>2</v>
      </c>
      <c r="D1180" s="0" t="n">
        <f aca="false">-1+A1180*0.125</f>
        <v>-0.5</v>
      </c>
      <c r="E1180" s="0" t="n">
        <f aca="false">-1+B1180*0.125</f>
        <v>-0.875</v>
      </c>
      <c r="F1180" s="0" t="n">
        <f aca="false">-1+C1180*0.125</f>
        <v>-0.75</v>
      </c>
      <c r="G1180" s="0" t="n">
        <f aca="false">1</f>
        <v>1</v>
      </c>
      <c r="H1180" s="0" t="n">
        <f aca="false">D1180</f>
        <v>-0.5</v>
      </c>
      <c r="I1180" s="0" t="n">
        <f aca="false">E1180</f>
        <v>-0.875</v>
      </c>
      <c r="J1180" s="0" t="n">
        <f aca="false">F1180</f>
        <v>-0.75</v>
      </c>
      <c r="K1180" s="0" t="n">
        <f aca="false">D1180*E1180</f>
        <v>0.4375</v>
      </c>
      <c r="L1180" s="0" t="n">
        <f aca="false">D1180*F1180</f>
        <v>0.375</v>
      </c>
      <c r="M1180" s="0" t="n">
        <f aca="false">E1180*F1180</f>
        <v>0.65625</v>
      </c>
      <c r="N1180" s="0" t="n">
        <f aca="false">D1180*D1180</f>
        <v>0.25</v>
      </c>
      <c r="O1180" s="0" t="n">
        <f aca="false">E1180*E1180</f>
        <v>0.765625</v>
      </c>
      <c r="P1180" s="0" t="n">
        <f aca="false">F1180*F1180</f>
        <v>0.5625</v>
      </c>
      <c r="Q1180" s="0" t="n">
        <f aca="false">SUMPRODUCT(G1180:P1180,_XtX!$B$71:$K$71)</f>
        <v>42.1659943181818</v>
      </c>
      <c r="R1180" s="0" t="n">
        <f aca="false">SUMPRODUCT(MMULT(G1180:P1180,_XtX!$B$58:$K$67),G1180:P1180)</f>
        <v>0.370798561789773</v>
      </c>
      <c r="S1180" s="0" t="n">
        <f aca="false">04_回帰ANOVA!$K$19*04_回帰ANOVA!$K$14*SQRT(1+R1180)</f>
        <v>1.08856271788237</v>
      </c>
      <c r="T1180" s="0" t="n">
        <f aca="false">Q1180-S1180</f>
        <v>41.0774316002995</v>
      </c>
      <c r="U1180" s="0" t="n">
        <f aca="false">Q1180+S1180</f>
        <v>43.2545570360642</v>
      </c>
      <c r="V1180" s="54" t="b">
        <f aca="false">AND(D1180&gt;=01_因子設定!$L$5-0.000000001,D1180&lt;=01_因子設定!$M$5+0.000000001,E1180&gt;=01_因子設定!$L$6-0.000000001,E1180&lt;=01_因子設定!$M$6+0.000000001,F1180&gt;=01_因子設定!$L$7-0.000000001,F1180&lt;=01_因子設定!$M$7+0.000000001,IF(01_因子設定!$B$20="Box-Behnken",D1180^2+E1180^2+F1180^2&lt;=2+0.000000001,TRUE()))</f>
        <v>1</v>
      </c>
      <c r="W1180" s="55" t="n">
        <f aca="false">IF(V1180,IF(01_因子設定!$B$13="最大化",T1180-01_因子設定!$B$14,IF(01_因子設定!$B$13="最小化",01_因子設定!$B$15-U1180,MIN(T1180-01_因子設定!$B$14,01_因子設定!$B$15-U1180))),-1E+030)</f>
        <v>-7.42256839970054</v>
      </c>
      <c r="X1180" s="55" t="n">
        <f aca="false">IF(V1180,IF(01_因子設定!$B$13="最大化",Q1180,IF(01_因子設定!$B$13="最小化",-Q1180,-ABS(Q1180-01_因子設定!$B$16))),-1E+030)</f>
        <v>42.1659943181818</v>
      </c>
      <c r="Y1180" s="55" t="n">
        <f aca="false">W1180+ROW()*0.000000001</f>
        <v>-7.42256721970054</v>
      </c>
      <c r="Z1180" s="55" t="n">
        <f aca="false">X1180+ROW()*0.000000001</f>
        <v>42.1659954981818</v>
      </c>
    </row>
    <row r="1181" customFormat="false" ht="15" hidden="false" customHeight="false" outlineLevel="0" collapsed="false">
      <c r="A1181" s="0" t="n">
        <v>4</v>
      </c>
      <c r="B1181" s="0" t="n">
        <v>1</v>
      </c>
      <c r="C1181" s="0" t="n">
        <v>3</v>
      </c>
      <c r="D1181" s="0" t="n">
        <f aca="false">-1+A1181*0.125</f>
        <v>-0.5</v>
      </c>
      <c r="E1181" s="0" t="n">
        <f aca="false">-1+B1181*0.125</f>
        <v>-0.875</v>
      </c>
      <c r="F1181" s="0" t="n">
        <f aca="false">-1+C1181*0.125</f>
        <v>-0.625</v>
      </c>
      <c r="G1181" s="0" t="n">
        <f aca="false">1</f>
        <v>1</v>
      </c>
      <c r="H1181" s="0" t="n">
        <f aca="false">D1181</f>
        <v>-0.5</v>
      </c>
      <c r="I1181" s="0" t="n">
        <f aca="false">E1181</f>
        <v>-0.875</v>
      </c>
      <c r="J1181" s="0" t="n">
        <f aca="false">F1181</f>
        <v>-0.625</v>
      </c>
      <c r="K1181" s="0" t="n">
        <f aca="false">D1181*E1181</f>
        <v>0.4375</v>
      </c>
      <c r="L1181" s="0" t="n">
        <f aca="false">D1181*F1181</f>
        <v>0.3125</v>
      </c>
      <c r="M1181" s="0" t="n">
        <f aca="false">E1181*F1181</f>
        <v>0.546875</v>
      </c>
      <c r="N1181" s="0" t="n">
        <f aca="false">D1181*D1181</f>
        <v>0.25</v>
      </c>
      <c r="O1181" s="0" t="n">
        <f aca="false">E1181*E1181</f>
        <v>0.765625</v>
      </c>
      <c r="P1181" s="0" t="n">
        <f aca="false">F1181*F1181</f>
        <v>0.390625</v>
      </c>
      <c r="Q1181" s="0" t="n">
        <f aca="false">SUMPRODUCT(G1181:P1181,_XtX!$B$71:$K$71)</f>
        <v>42.5009943181818</v>
      </c>
      <c r="R1181" s="0" t="n">
        <f aca="false">SUMPRODUCT(MMULT(G1181:P1181,_XtX!$B$58:$K$67),G1181:P1181)</f>
        <v>0.335453102805398</v>
      </c>
      <c r="S1181" s="0" t="n">
        <f aca="false">04_回帰ANOVA!$K$19*04_回帰ANOVA!$K$14*SQRT(1+R1181)</f>
        <v>1.07443700305628</v>
      </c>
      <c r="T1181" s="0" t="n">
        <f aca="false">Q1181-S1181</f>
        <v>41.4265573151256</v>
      </c>
      <c r="U1181" s="0" t="n">
        <f aca="false">Q1181+S1181</f>
        <v>43.5754313212381</v>
      </c>
      <c r="V1181" s="54" t="b">
        <f aca="false">AND(D1181&gt;=01_因子設定!$L$5-0.000000001,D1181&lt;=01_因子設定!$M$5+0.000000001,E1181&gt;=01_因子設定!$L$6-0.000000001,E1181&lt;=01_因子設定!$M$6+0.000000001,F1181&gt;=01_因子設定!$L$7-0.000000001,F1181&lt;=01_因子設定!$M$7+0.000000001,IF(01_因子設定!$B$20="Box-Behnken",D1181^2+E1181^2+F1181^2&lt;=2+0.000000001,TRUE()))</f>
        <v>1</v>
      </c>
      <c r="W1181" s="55" t="n">
        <f aca="false">IF(V1181,IF(01_因子設定!$B$13="最大化",T1181-01_因子設定!$B$14,IF(01_因子設定!$B$13="最小化",01_因子設定!$B$15-U1181,MIN(T1181-01_因子設定!$B$14,01_因子設定!$B$15-U1181))),-1E+030)</f>
        <v>-7.07344268487444</v>
      </c>
      <c r="X1181" s="55" t="n">
        <f aca="false">IF(V1181,IF(01_因子設定!$B$13="最大化",Q1181,IF(01_因子設定!$B$13="最小化",-Q1181,-ABS(Q1181-01_因子設定!$B$16))),-1E+030)</f>
        <v>42.5009943181818</v>
      </c>
      <c r="Y1181" s="55" t="n">
        <f aca="false">W1181+ROW()*0.000000001</f>
        <v>-7.07344150387444</v>
      </c>
      <c r="Z1181" s="55" t="n">
        <f aca="false">X1181+ROW()*0.000000001</f>
        <v>42.5009954991818</v>
      </c>
    </row>
    <row r="1182" customFormat="false" ht="15" hidden="false" customHeight="false" outlineLevel="0" collapsed="false">
      <c r="A1182" s="0" t="n">
        <v>4</v>
      </c>
      <c r="B1182" s="0" t="n">
        <v>1</v>
      </c>
      <c r="C1182" s="0" t="n">
        <v>4</v>
      </c>
      <c r="D1182" s="0" t="n">
        <f aca="false">-1+A1182*0.125</f>
        <v>-0.5</v>
      </c>
      <c r="E1182" s="0" t="n">
        <f aca="false">-1+B1182*0.125</f>
        <v>-0.875</v>
      </c>
      <c r="F1182" s="0" t="n">
        <f aca="false">-1+C1182*0.125</f>
        <v>-0.5</v>
      </c>
      <c r="G1182" s="0" t="n">
        <f aca="false">1</f>
        <v>1</v>
      </c>
      <c r="H1182" s="0" t="n">
        <f aca="false">D1182</f>
        <v>-0.5</v>
      </c>
      <c r="I1182" s="0" t="n">
        <f aca="false">E1182</f>
        <v>-0.875</v>
      </c>
      <c r="J1182" s="0" t="n">
        <f aca="false">F1182</f>
        <v>-0.5</v>
      </c>
      <c r="K1182" s="0" t="n">
        <f aca="false">D1182*E1182</f>
        <v>0.4375</v>
      </c>
      <c r="L1182" s="0" t="n">
        <f aca="false">D1182*F1182</f>
        <v>0.25</v>
      </c>
      <c r="M1182" s="0" t="n">
        <f aca="false">E1182*F1182</f>
        <v>0.4375</v>
      </c>
      <c r="N1182" s="0" t="n">
        <f aca="false">D1182*D1182</f>
        <v>0.25</v>
      </c>
      <c r="O1182" s="0" t="n">
        <f aca="false">E1182*E1182</f>
        <v>0.765625</v>
      </c>
      <c r="P1182" s="0" t="n">
        <f aca="false">F1182*F1182</f>
        <v>0.25</v>
      </c>
      <c r="Q1182" s="0" t="n">
        <f aca="false">SUMPRODUCT(G1182:P1182,_XtX!$B$71:$K$71)</f>
        <v>42.7992045454546</v>
      </c>
      <c r="R1182" s="0" t="n">
        <f aca="false">SUMPRODUCT(MMULT(G1182:P1182,_XtX!$B$58:$K$67),G1182:P1182)</f>
        <v>0.322514204545455</v>
      </c>
      <c r="S1182" s="0" t="n">
        <f aca="false">04_回帰ANOVA!$K$19*04_回帰ANOVA!$K$14*SQRT(1+R1182)</f>
        <v>1.0692193475064</v>
      </c>
      <c r="T1182" s="0" t="n">
        <f aca="false">Q1182-S1182</f>
        <v>41.7299851979482</v>
      </c>
      <c r="U1182" s="0" t="n">
        <f aca="false">Q1182+S1182</f>
        <v>43.868423892961</v>
      </c>
      <c r="V1182" s="54" t="b">
        <f aca="false">AND(D1182&gt;=01_因子設定!$L$5-0.000000001,D1182&lt;=01_因子設定!$M$5+0.000000001,E1182&gt;=01_因子設定!$L$6-0.000000001,E1182&lt;=01_因子設定!$M$6+0.000000001,F1182&gt;=01_因子設定!$L$7-0.000000001,F1182&lt;=01_因子設定!$M$7+0.000000001,IF(01_因子設定!$B$20="Box-Behnken",D1182^2+E1182^2+F1182^2&lt;=2+0.000000001,TRUE()))</f>
        <v>1</v>
      </c>
      <c r="W1182" s="55" t="n">
        <f aca="false">IF(V1182,IF(01_因子設定!$B$13="最大化",T1182-01_因子設定!$B$14,IF(01_因子設定!$B$13="最小化",01_因子設定!$B$15-U1182,MIN(T1182-01_因子設定!$B$14,01_因子設定!$B$15-U1182))),-1E+030)</f>
        <v>-6.77001480205185</v>
      </c>
      <c r="X1182" s="55" t="n">
        <f aca="false">IF(V1182,IF(01_因子設定!$B$13="最大化",Q1182,IF(01_因子設定!$B$13="最小化",-Q1182,-ABS(Q1182-01_因子設定!$B$16))),-1E+030)</f>
        <v>42.7992045454546</v>
      </c>
      <c r="Y1182" s="55" t="n">
        <f aca="false">W1182+ROW()*0.000000001</f>
        <v>-6.77001362005185</v>
      </c>
      <c r="Z1182" s="55" t="n">
        <f aca="false">X1182+ROW()*0.000000001</f>
        <v>42.7992057274546</v>
      </c>
    </row>
    <row r="1183" customFormat="false" ht="15" hidden="false" customHeight="false" outlineLevel="0" collapsed="false">
      <c r="A1183" s="0" t="n">
        <v>4</v>
      </c>
      <c r="B1183" s="0" t="n">
        <v>1</v>
      </c>
      <c r="C1183" s="0" t="n">
        <v>5</v>
      </c>
      <c r="D1183" s="0" t="n">
        <f aca="false">-1+A1183*0.125</f>
        <v>-0.5</v>
      </c>
      <c r="E1183" s="0" t="n">
        <f aca="false">-1+B1183*0.125</f>
        <v>-0.875</v>
      </c>
      <c r="F1183" s="0" t="n">
        <f aca="false">-1+C1183*0.125</f>
        <v>-0.375</v>
      </c>
      <c r="G1183" s="0" t="n">
        <f aca="false">1</f>
        <v>1</v>
      </c>
      <c r="H1183" s="0" t="n">
        <f aca="false">D1183</f>
        <v>-0.5</v>
      </c>
      <c r="I1183" s="0" t="n">
        <f aca="false">E1183</f>
        <v>-0.875</v>
      </c>
      <c r="J1183" s="0" t="n">
        <f aca="false">F1183</f>
        <v>-0.375</v>
      </c>
      <c r="K1183" s="0" t="n">
        <f aca="false">D1183*E1183</f>
        <v>0.4375</v>
      </c>
      <c r="L1183" s="0" t="n">
        <f aca="false">D1183*F1183</f>
        <v>0.1875</v>
      </c>
      <c r="M1183" s="0" t="n">
        <f aca="false">E1183*F1183</f>
        <v>0.328125</v>
      </c>
      <c r="N1183" s="0" t="n">
        <f aca="false">D1183*D1183</f>
        <v>0.25</v>
      </c>
      <c r="O1183" s="0" t="n">
        <f aca="false">E1183*E1183</f>
        <v>0.765625</v>
      </c>
      <c r="P1183" s="0" t="n">
        <f aca="false">F1183*F1183</f>
        <v>0.140625</v>
      </c>
      <c r="Q1183" s="0" t="n">
        <f aca="false">SUMPRODUCT(G1183:P1183,_XtX!$B$71:$K$71)</f>
        <v>43.060625</v>
      </c>
      <c r="R1183" s="0" t="n">
        <f aca="false">SUMPRODUCT(MMULT(G1183:P1183,_XtX!$B$58:$K$67),G1183:P1183)</f>
        <v>0.322393798828125</v>
      </c>
      <c r="S1183" s="0" t="n">
        <f aca="false">04_回帰ANOVA!$K$19*04_回帰ANOVA!$K$14*SQRT(1+R1183)</f>
        <v>1.06917067390712</v>
      </c>
      <c r="T1183" s="0" t="n">
        <f aca="false">Q1183-S1183</f>
        <v>41.9914543260929</v>
      </c>
      <c r="U1183" s="0" t="n">
        <f aca="false">Q1183+S1183</f>
        <v>44.1297956739071</v>
      </c>
      <c r="V1183" s="54" t="b">
        <f aca="false">AND(D1183&gt;=01_因子設定!$L$5-0.000000001,D1183&lt;=01_因子設定!$M$5+0.000000001,E1183&gt;=01_因子設定!$L$6-0.000000001,E1183&lt;=01_因子設定!$M$6+0.000000001,F1183&gt;=01_因子設定!$L$7-0.000000001,F1183&lt;=01_因子設定!$M$7+0.000000001,IF(01_因子設定!$B$20="Box-Behnken",D1183^2+E1183^2+F1183^2&lt;=2+0.000000001,TRUE()))</f>
        <v>1</v>
      </c>
      <c r="W1183" s="55" t="n">
        <f aca="false">IF(V1183,IF(01_因子設定!$B$13="最大化",T1183-01_因子設定!$B$14,IF(01_因子設定!$B$13="最小化",01_因子設定!$B$15-U1183,MIN(T1183-01_因子設定!$B$14,01_因子設定!$B$15-U1183))),-1E+030)</f>
        <v>-6.50854567390711</v>
      </c>
      <c r="X1183" s="55" t="n">
        <f aca="false">IF(V1183,IF(01_因子設定!$B$13="最大化",Q1183,IF(01_因子設定!$B$13="最小化",-Q1183,-ABS(Q1183-01_因子設定!$B$16))),-1E+030)</f>
        <v>43.060625</v>
      </c>
      <c r="Y1183" s="55" t="n">
        <f aca="false">W1183+ROW()*0.000000001</f>
        <v>-6.50854449090711</v>
      </c>
      <c r="Z1183" s="55" t="n">
        <f aca="false">X1183+ROW()*0.000000001</f>
        <v>43.060626183</v>
      </c>
    </row>
    <row r="1184" customFormat="false" ht="15" hidden="false" customHeight="false" outlineLevel="0" collapsed="false">
      <c r="A1184" s="0" t="n">
        <v>4</v>
      </c>
      <c r="B1184" s="0" t="n">
        <v>1</v>
      </c>
      <c r="C1184" s="0" t="n">
        <v>6</v>
      </c>
      <c r="D1184" s="0" t="n">
        <f aca="false">-1+A1184*0.125</f>
        <v>-0.5</v>
      </c>
      <c r="E1184" s="0" t="n">
        <f aca="false">-1+B1184*0.125</f>
        <v>-0.875</v>
      </c>
      <c r="F1184" s="0" t="n">
        <f aca="false">-1+C1184*0.125</f>
        <v>-0.25</v>
      </c>
      <c r="G1184" s="0" t="n">
        <f aca="false">1</f>
        <v>1</v>
      </c>
      <c r="H1184" s="0" t="n">
        <f aca="false">D1184</f>
        <v>-0.5</v>
      </c>
      <c r="I1184" s="0" t="n">
        <f aca="false">E1184</f>
        <v>-0.875</v>
      </c>
      <c r="J1184" s="0" t="n">
        <f aca="false">F1184</f>
        <v>-0.25</v>
      </c>
      <c r="K1184" s="0" t="n">
        <f aca="false">D1184*E1184</f>
        <v>0.4375</v>
      </c>
      <c r="L1184" s="0" t="n">
        <f aca="false">D1184*F1184</f>
        <v>0.125</v>
      </c>
      <c r="M1184" s="0" t="n">
        <f aca="false">E1184*F1184</f>
        <v>0.21875</v>
      </c>
      <c r="N1184" s="0" t="n">
        <f aca="false">D1184*D1184</f>
        <v>0.25</v>
      </c>
      <c r="O1184" s="0" t="n">
        <f aca="false">E1184*E1184</f>
        <v>0.765625</v>
      </c>
      <c r="P1184" s="0" t="n">
        <f aca="false">F1184*F1184</f>
        <v>0.0625</v>
      </c>
      <c r="Q1184" s="0" t="n">
        <f aca="false">SUMPRODUCT(G1184:P1184,_XtX!$B$71:$K$71)</f>
        <v>43.2852556818182</v>
      </c>
      <c r="R1184" s="0" t="n">
        <f aca="false">SUMPRODUCT(MMULT(G1184:P1184,_XtX!$B$58:$K$67),G1184:P1184)</f>
        <v>0.327634499289773</v>
      </c>
      <c r="S1184" s="0" t="n">
        <f aca="false">04_回帰ANOVA!$K$19*04_回帰ANOVA!$K$14*SQRT(1+R1184)</f>
        <v>1.07128716250217</v>
      </c>
      <c r="T1184" s="0" t="n">
        <f aca="false">Q1184-S1184</f>
        <v>42.213968519316</v>
      </c>
      <c r="U1184" s="0" t="n">
        <f aca="false">Q1184+S1184</f>
        <v>44.3565428443204</v>
      </c>
      <c r="V1184" s="54" t="b">
        <f aca="false">AND(D1184&gt;=01_因子設定!$L$5-0.000000001,D1184&lt;=01_因子設定!$M$5+0.000000001,E1184&gt;=01_因子設定!$L$6-0.000000001,E1184&lt;=01_因子設定!$M$6+0.000000001,F1184&gt;=01_因子設定!$L$7-0.000000001,F1184&lt;=01_因子設定!$M$7+0.000000001,IF(01_因子設定!$B$20="Box-Behnken",D1184^2+E1184^2+F1184^2&lt;=2+0.000000001,TRUE()))</f>
        <v>1</v>
      </c>
      <c r="W1184" s="55" t="n">
        <f aca="false">IF(V1184,IF(01_因子設定!$B$13="最大化",T1184-01_因子設定!$B$14,IF(01_因子設定!$B$13="最小化",01_因子設定!$B$15-U1184,MIN(T1184-01_因子設定!$B$14,01_因子設定!$B$15-U1184))),-1E+030)</f>
        <v>-6.28603148068399</v>
      </c>
      <c r="X1184" s="55" t="n">
        <f aca="false">IF(V1184,IF(01_因子設定!$B$13="最大化",Q1184,IF(01_因子設定!$B$13="最小化",-Q1184,-ABS(Q1184-01_因子設定!$B$16))),-1E+030)</f>
        <v>43.2852556818182</v>
      </c>
      <c r="Y1184" s="55" t="n">
        <f aca="false">W1184+ROW()*0.000000001</f>
        <v>-6.28603029668399</v>
      </c>
      <c r="Z1184" s="55" t="n">
        <f aca="false">X1184+ROW()*0.000000001</f>
        <v>43.2852568658182</v>
      </c>
    </row>
    <row r="1185" customFormat="false" ht="15" hidden="false" customHeight="false" outlineLevel="0" collapsed="false">
      <c r="A1185" s="0" t="n">
        <v>4</v>
      </c>
      <c r="B1185" s="0" t="n">
        <v>1</v>
      </c>
      <c r="C1185" s="0" t="n">
        <v>7</v>
      </c>
      <c r="D1185" s="0" t="n">
        <f aca="false">-1+A1185*0.125</f>
        <v>-0.5</v>
      </c>
      <c r="E1185" s="0" t="n">
        <f aca="false">-1+B1185*0.125</f>
        <v>-0.875</v>
      </c>
      <c r="F1185" s="0" t="n">
        <f aca="false">-1+C1185*0.125</f>
        <v>-0.125</v>
      </c>
      <c r="G1185" s="0" t="n">
        <f aca="false">1</f>
        <v>1</v>
      </c>
      <c r="H1185" s="0" t="n">
        <f aca="false">D1185</f>
        <v>-0.5</v>
      </c>
      <c r="I1185" s="0" t="n">
        <f aca="false">E1185</f>
        <v>-0.875</v>
      </c>
      <c r="J1185" s="0" t="n">
        <f aca="false">F1185</f>
        <v>-0.125</v>
      </c>
      <c r="K1185" s="0" t="n">
        <f aca="false">D1185*E1185</f>
        <v>0.4375</v>
      </c>
      <c r="L1185" s="0" t="n">
        <f aca="false">D1185*F1185</f>
        <v>0.0625</v>
      </c>
      <c r="M1185" s="0" t="n">
        <f aca="false">E1185*F1185</f>
        <v>0.109375</v>
      </c>
      <c r="N1185" s="0" t="n">
        <f aca="false">D1185*D1185</f>
        <v>0.25</v>
      </c>
      <c r="O1185" s="0" t="n">
        <f aca="false">E1185*E1185</f>
        <v>0.765625</v>
      </c>
      <c r="P1185" s="0" t="n">
        <f aca="false">F1185*F1185</f>
        <v>0.015625</v>
      </c>
      <c r="Q1185" s="0" t="n">
        <f aca="false">SUMPRODUCT(G1185:P1185,_XtX!$B$71:$K$71)</f>
        <v>43.4730965909091</v>
      </c>
      <c r="R1185" s="0" t="n">
        <f aca="false">SUMPRODUCT(MMULT(G1185:P1185,_XtX!$B$58:$K$67),G1185:P1185)</f>
        <v>0.332909601384943</v>
      </c>
      <c r="S1185" s="0" t="n">
        <f aca="false">04_回帰ANOVA!$K$19*04_回帰ANOVA!$K$14*SQRT(1+R1185)</f>
        <v>1.07341333007404</v>
      </c>
      <c r="T1185" s="0" t="n">
        <f aca="false">Q1185-S1185</f>
        <v>42.3996832608351</v>
      </c>
      <c r="U1185" s="0" t="n">
        <f aca="false">Q1185+S1185</f>
        <v>44.5465099209831</v>
      </c>
      <c r="V1185" s="54" t="b">
        <f aca="false">AND(D1185&gt;=01_因子設定!$L$5-0.000000001,D1185&lt;=01_因子設定!$M$5+0.000000001,E1185&gt;=01_因子設定!$L$6-0.000000001,E1185&lt;=01_因子設定!$M$6+0.000000001,F1185&gt;=01_因子設定!$L$7-0.000000001,F1185&lt;=01_因子設定!$M$7+0.000000001,IF(01_因子設定!$B$20="Box-Behnken",D1185^2+E1185^2+F1185^2&lt;=2+0.000000001,TRUE()))</f>
        <v>1</v>
      </c>
      <c r="W1185" s="55" t="n">
        <f aca="false">IF(V1185,IF(01_因子設定!$B$13="最大化",T1185-01_因子設定!$B$14,IF(01_因子設定!$B$13="最小化",01_因子設定!$B$15-U1185,MIN(T1185-01_因子設定!$B$14,01_因子設定!$B$15-U1185))),-1E+030)</f>
        <v>-6.10031673916495</v>
      </c>
      <c r="X1185" s="55" t="n">
        <f aca="false">IF(V1185,IF(01_因子設定!$B$13="最大化",Q1185,IF(01_因子設定!$B$13="最小化",-Q1185,-ABS(Q1185-01_因子設定!$B$16))),-1E+030)</f>
        <v>43.4730965909091</v>
      </c>
      <c r="Y1185" s="55" t="n">
        <f aca="false">W1185+ROW()*0.000000001</f>
        <v>-6.10031555416495</v>
      </c>
      <c r="Z1185" s="55" t="n">
        <f aca="false">X1185+ROW()*0.000000001</f>
        <v>43.4730977759091</v>
      </c>
    </row>
    <row r="1186" customFormat="false" ht="15" hidden="false" customHeight="false" outlineLevel="0" collapsed="false">
      <c r="A1186" s="0" t="n">
        <v>4</v>
      </c>
      <c r="B1186" s="0" t="n">
        <v>1</v>
      </c>
      <c r="C1186" s="0" t="n">
        <v>8</v>
      </c>
      <c r="D1186" s="0" t="n">
        <f aca="false">-1+A1186*0.125</f>
        <v>-0.5</v>
      </c>
      <c r="E1186" s="0" t="n">
        <f aca="false">-1+B1186*0.125</f>
        <v>-0.875</v>
      </c>
      <c r="F1186" s="0" t="n">
        <f aca="false">-1+C1186*0.125</f>
        <v>0</v>
      </c>
      <c r="G1186" s="0" t="n">
        <f aca="false">1</f>
        <v>1</v>
      </c>
      <c r="H1186" s="0" t="n">
        <f aca="false">D1186</f>
        <v>-0.5</v>
      </c>
      <c r="I1186" s="0" t="n">
        <f aca="false">E1186</f>
        <v>-0.875</v>
      </c>
      <c r="J1186" s="0" t="n">
        <f aca="false">F1186</f>
        <v>0</v>
      </c>
      <c r="K1186" s="0" t="n">
        <f aca="false">D1186*E1186</f>
        <v>0.4375</v>
      </c>
      <c r="L1186" s="0" t="n">
        <f aca="false">D1186*F1186</f>
        <v>-0</v>
      </c>
      <c r="M1186" s="0" t="n">
        <f aca="false">E1186*F1186</f>
        <v>-0</v>
      </c>
      <c r="N1186" s="0" t="n">
        <f aca="false">D1186*D1186</f>
        <v>0.25</v>
      </c>
      <c r="O1186" s="0" t="n">
        <f aca="false">E1186*E1186</f>
        <v>0.765625</v>
      </c>
      <c r="P1186" s="0" t="n">
        <f aca="false">F1186*F1186</f>
        <v>0</v>
      </c>
      <c r="Q1186" s="0" t="n">
        <f aca="false">SUMPRODUCT(G1186:P1186,_XtX!$B$71:$K$71)</f>
        <v>43.6241477272727</v>
      </c>
      <c r="R1186" s="0" t="n">
        <f aca="false">SUMPRODUCT(MMULT(G1186:P1186,_XtX!$B$58:$K$67),G1186:P1186)</f>
        <v>0.335023082386364</v>
      </c>
      <c r="S1186" s="0" t="n">
        <f aca="false">04_回帰ANOVA!$K$19*04_回帰ANOVA!$K$14*SQRT(1+R1186)</f>
        <v>1.07426400295275</v>
      </c>
      <c r="T1186" s="0" t="n">
        <f aca="false">Q1186-S1186</f>
        <v>42.54988372432</v>
      </c>
      <c r="U1186" s="0" t="n">
        <f aca="false">Q1186+S1186</f>
        <v>44.6984117302255</v>
      </c>
      <c r="V1186" s="54" t="b">
        <f aca="false">AND(D1186&gt;=01_因子設定!$L$5-0.000000001,D1186&lt;=01_因子設定!$M$5+0.000000001,E1186&gt;=01_因子設定!$L$6-0.000000001,E1186&lt;=01_因子設定!$M$6+0.000000001,F1186&gt;=01_因子設定!$L$7-0.000000001,F1186&lt;=01_因子設定!$M$7+0.000000001,IF(01_因子設定!$B$20="Box-Behnken",D1186^2+E1186^2+F1186^2&lt;=2+0.000000001,TRUE()))</f>
        <v>1</v>
      </c>
      <c r="W1186" s="55" t="n">
        <f aca="false">IF(V1186,IF(01_因子設定!$B$13="最大化",T1186-01_因子設定!$B$14,IF(01_因子設定!$B$13="最小化",01_因子設定!$B$15-U1186,MIN(T1186-01_因子設定!$B$14,01_因子設定!$B$15-U1186))),-1E+030)</f>
        <v>-5.95011627568002</v>
      </c>
      <c r="X1186" s="55" t="n">
        <f aca="false">IF(V1186,IF(01_因子設定!$B$13="最大化",Q1186,IF(01_因子設定!$B$13="最小化",-Q1186,-ABS(Q1186-01_因子設定!$B$16))),-1E+030)</f>
        <v>43.6241477272727</v>
      </c>
      <c r="Y1186" s="55" t="n">
        <f aca="false">W1186+ROW()*0.000000001</f>
        <v>-5.95011508968002</v>
      </c>
      <c r="Z1186" s="55" t="n">
        <f aca="false">X1186+ROW()*0.000000001</f>
        <v>43.6241489132727</v>
      </c>
    </row>
    <row r="1187" customFormat="false" ht="15" hidden="false" customHeight="false" outlineLevel="0" collapsed="false">
      <c r="A1187" s="0" t="n">
        <v>4</v>
      </c>
      <c r="B1187" s="0" t="n">
        <v>1</v>
      </c>
      <c r="C1187" s="0" t="n">
        <v>9</v>
      </c>
      <c r="D1187" s="0" t="n">
        <f aca="false">-1+A1187*0.125</f>
        <v>-0.5</v>
      </c>
      <c r="E1187" s="0" t="n">
        <f aca="false">-1+B1187*0.125</f>
        <v>-0.875</v>
      </c>
      <c r="F1187" s="0" t="n">
        <f aca="false">-1+C1187*0.125</f>
        <v>0.125</v>
      </c>
      <c r="G1187" s="0" t="n">
        <f aca="false">1</f>
        <v>1</v>
      </c>
      <c r="H1187" s="0" t="n">
        <f aca="false">D1187</f>
        <v>-0.5</v>
      </c>
      <c r="I1187" s="0" t="n">
        <f aca="false">E1187</f>
        <v>-0.875</v>
      </c>
      <c r="J1187" s="0" t="n">
        <f aca="false">F1187</f>
        <v>0.125</v>
      </c>
      <c r="K1187" s="0" t="n">
        <f aca="false">D1187*E1187</f>
        <v>0.4375</v>
      </c>
      <c r="L1187" s="0" t="n">
        <f aca="false">D1187*F1187</f>
        <v>-0.0625</v>
      </c>
      <c r="M1187" s="0" t="n">
        <f aca="false">E1187*F1187</f>
        <v>-0.109375</v>
      </c>
      <c r="N1187" s="0" t="n">
        <f aca="false">D1187*D1187</f>
        <v>0.25</v>
      </c>
      <c r="O1187" s="0" t="n">
        <f aca="false">E1187*E1187</f>
        <v>0.765625</v>
      </c>
      <c r="P1187" s="0" t="n">
        <f aca="false">F1187*F1187</f>
        <v>0.015625</v>
      </c>
      <c r="Q1187" s="0" t="n">
        <f aca="false">SUMPRODUCT(G1187:P1187,_XtX!$B$71:$K$71)</f>
        <v>43.7384090909091</v>
      </c>
      <c r="R1187" s="0" t="n">
        <f aca="false">SUMPRODUCT(MMULT(G1187:P1187,_XtX!$B$58:$K$67),G1187:P1187)</f>
        <v>0.332909601384943</v>
      </c>
      <c r="S1187" s="0" t="n">
        <f aca="false">04_回帰ANOVA!$K$19*04_回帰ANOVA!$K$14*SQRT(1+R1187)</f>
        <v>1.07341333007404</v>
      </c>
      <c r="T1187" s="0" t="n">
        <f aca="false">Q1187-S1187</f>
        <v>42.6649957608351</v>
      </c>
      <c r="U1187" s="0" t="n">
        <f aca="false">Q1187+S1187</f>
        <v>44.8118224209831</v>
      </c>
      <c r="V1187" s="54" t="b">
        <f aca="false">AND(D1187&gt;=01_因子設定!$L$5-0.000000001,D1187&lt;=01_因子設定!$M$5+0.000000001,E1187&gt;=01_因子設定!$L$6-0.000000001,E1187&lt;=01_因子設定!$M$6+0.000000001,F1187&gt;=01_因子設定!$L$7-0.000000001,F1187&lt;=01_因子設定!$M$7+0.000000001,IF(01_因子設定!$B$20="Box-Behnken",D1187^2+E1187^2+F1187^2&lt;=2+0.000000001,TRUE()))</f>
        <v>1</v>
      </c>
      <c r="W1187" s="55" t="n">
        <f aca="false">IF(V1187,IF(01_因子設定!$B$13="最大化",T1187-01_因子設定!$B$14,IF(01_因子設定!$B$13="最小化",01_因子設定!$B$15-U1187,MIN(T1187-01_因子設定!$B$14,01_因子設定!$B$15-U1187))),-1E+030)</f>
        <v>-5.83500423916495</v>
      </c>
      <c r="X1187" s="55" t="n">
        <f aca="false">IF(V1187,IF(01_因子設定!$B$13="最大化",Q1187,IF(01_因子設定!$B$13="最小化",-Q1187,-ABS(Q1187-01_因子設定!$B$16))),-1E+030)</f>
        <v>43.7384090909091</v>
      </c>
      <c r="Y1187" s="55" t="n">
        <f aca="false">W1187+ROW()*0.000000001</f>
        <v>-5.83500305216495</v>
      </c>
      <c r="Z1187" s="55" t="n">
        <f aca="false">X1187+ROW()*0.000000001</f>
        <v>43.7384102779091</v>
      </c>
    </row>
    <row r="1188" customFormat="false" ht="15" hidden="false" customHeight="false" outlineLevel="0" collapsed="false">
      <c r="A1188" s="0" t="n">
        <v>4</v>
      </c>
      <c r="B1188" s="0" t="n">
        <v>1</v>
      </c>
      <c r="C1188" s="0" t="n">
        <v>10</v>
      </c>
      <c r="D1188" s="0" t="n">
        <f aca="false">-1+A1188*0.125</f>
        <v>-0.5</v>
      </c>
      <c r="E1188" s="0" t="n">
        <f aca="false">-1+B1188*0.125</f>
        <v>-0.875</v>
      </c>
      <c r="F1188" s="0" t="n">
        <f aca="false">-1+C1188*0.125</f>
        <v>0.25</v>
      </c>
      <c r="G1188" s="0" t="n">
        <f aca="false">1</f>
        <v>1</v>
      </c>
      <c r="H1188" s="0" t="n">
        <f aca="false">D1188</f>
        <v>-0.5</v>
      </c>
      <c r="I1188" s="0" t="n">
        <f aca="false">E1188</f>
        <v>-0.875</v>
      </c>
      <c r="J1188" s="0" t="n">
        <f aca="false">F1188</f>
        <v>0.25</v>
      </c>
      <c r="K1188" s="0" t="n">
        <f aca="false">D1188*E1188</f>
        <v>0.4375</v>
      </c>
      <c r="L1188" s="0" t="n">
        <f aca="false">D1188*F1188</f>
        <v>-0.125</v>
      </c>
      <c r="M1188" s="0" t="n">
        <f aca="false">E1188*F1188</f>
        <v>-0.21875</v>
      </c>
      <c r="N1188" s="0" t="n">
        <f aca="false">D1188*D1188</f>
        <v>0.25</v>
      </c>
      <c r="O1188" s="0" t="n">
        <f aca="false">E1188*E1188</f>
        <v>0.765625</v>
      </c>
      <c r="P1188" s="0" t="n">
        <f aca="false">F1188*F1188</f>
        <v>0.0625</v>
      </c>
      <c r="Q1188" s="0" t="n">
        <f aca="false">SUMPRODUCT(G1188:P1188,_XtX!$B$71:$K$71)</f>
        <v>43.8158806818182</v>
      </c>
      <c r="R1188" s="0" t="n">
        <f aca="false">SUMPRODUCT(MMULT(G1188:P1188,_XtX!$B$58:$K$67),G1188:P1188)</f>
        <v>0.327634499289773</v>
      </c>
      <c r="S1188" s="0" t="n">
        <f aca="false">04_回帰ANOVA!$K$19*04_回帰ANOVA!$K$14*SQRT(1+R1188)</f>
        <v>1.07128716250217</v>
      </c>
      <c r="T1188" s="0" t="n">
        <f aca="false">Q1188-S1188</f>
        <v>42.744593519316</v>
      </c>
      <c r="U1188" s="0" t="n">
        <f aca="false">Q1188+S1188</f>
        <v>44.8871678443204</v>
      </c>
      <c r="V1188" s="54" t="b">
        <f aca="false">AND(D1188&gt;=01_因子設定!$L$5-0.000000001,D1188&lt;=01_因子設定!$M$5+0.000000001,E1188&gt;=01_因子設定!$L$6-0.000000001,E1188&lt;=01_因子設定!$M$6+0.000000001,F1188&gt;=01_因子設定!$L$7-0.000000001,F1188&lt;=01_因子設定!$M$7+0.000000001,IF(01_因子設定!$B$20="Box-Behnken",D1188^2+E1188^2+F1188^2&lt;=2+0.000000001,TRUE()))</f>
        <v>1</v>
      </c>
      <c r="W1188" s="55" t="n">
        <f aca="false">IF(V1188,IF(01_因子設定!$B$13="最大化",T1188-01_因子設定!$B$14,IF(01_因子設定!$B$13="最小化",01_因子設定!$B$15-U1188,MIN(T1188-01_因子設定!$B$14,01_因子設定!$B$15-U1188))),-1E+030)</f>
        <v>-5.75540648068399</v>
      </c>
      <c r="X1188" s="55" t="n">
        <f aca="false">IF(V1188,IF(01_因子設定!$B$13="最大化",Q1188,IF(01_因子設定!$B$13="最小化",-Q1188,-ABS(Q1188-01_因子設定!$B$16))),-1E+030)</f>
        <v>43.8158806818182</v>
      </c>
      <c r="Y1188" s="55" t="n">
        <f aca="false">W1188+ROW()*0.000000001</f>
        <v>-5.75540529268399</v>
      </c>
      <c r="Z1188" s="55" t="n">
        <f aca="false">X1188+ROW()*0.000000001</f>
        <v>43.8158818698182</v>
      </c>
    </row>
    <row r="1189" customFormat="false" ht="15" hidden="false" customHeight="false" outlineLevel="0" collapsed="false">
      <c r="A1189" s="0" t="n">
        <v>4</v>
      </c>
      <c r="B1189" s="0" t="n">
        <v>1</v>
      </c>
      <c r="C1189" s="0" t="n">
        <v>11</v>
      </c>
      <c r="D1189" s="0" t="n">
        <f aca="false">-1+A1189*0.125</f>
        <v>-0.5</v>
      </c>
      <c r="E1189" s="0" t="n">
        <f aca="false">-1+B1189*0.125</f>
        <v>-0.875</v>
      </c>
      <c r="F1189" s="0" t="n">
        <f aca="false">-1+C1189*0.125</f>
        <v>0.375</v>
      </c>
      <c r="G1189" s="0" t="n">
        <f aca="false">1</f>
        <v>1</v>
      </c>
      <c r="H1189" s="0" t="n">
        <f aca="false">D1189</f>
        <v>-0.5</v>
      </c>
      <c r="I1189" s="0" t="n">
        <f aca="false">E1189</f>
        <v>-0.875</v>
      </c>
      <c r="J1189" s="0" t="n">
        <f aca="false">F1189</f>
        <v>0.375</v>
      </c>
      <c r="K1189" s="0" t="n">
        <f aca="false">D1189*E1189</f>
        <v>0.4375</v>
      </c>
      <c r="L1189" s="0" t="n">
        <f aca="false">D1189*F1189</f>
        <v>-0.1875</v>
      </c>
      <c r="M1189" s="0" t="n">
        <f aca="false">E1189*F1189</f>
        <v>-0.328125</v>
      </c>
      <c r="N1189" s="0" t="n">
        <f aca="false">D1189*D1189</f>
        <v>0.25</v>
      </c>
      <c r="O1189" s="0" t="n">
        <f aca="false">E1189*E1189</f>
        <v>0.765625</v>
      </c>
      <c r="P1189" s="0" t="n">
        <f aca="false">F1189*F1189</f>
        <v>0.140625</v>
      </c>
      <c r="Q1189" s="0" t="n">
        <f aca="false">SUMPRODUCT(G1189:P1189,_XtX!$B$71:$K$71)</f>
        <v>43.8565625</v>
      </c>
      <c r="R1189" s="0" t="n">
        <f aca="false">SUMPRODUCT(MMULT(G1189:P1189,_XtX!$B$58:$K$67),G1189:P1189)</f>
        <v>0.322393798828125</v>
      </c>
      <c r="S1189" s="0" t="n">
        <f aca="false">04_回帰ANOVA!$K$19*04_回帰ANOVA!$K$14*SQRT(1+R1189)</f>
        <v>1.06917067390712</v>
      </c>
      <c r="T1189" s="0" t="n">
        <f aca="false">Q1189-S1189</f>
        <v>42.7873918260929</v>
      </c>
      <c r="U1189" s="0" t="n">
        <f aca="false">Q1189+S1189</f>
        <v>44.9257331739071</v>
      </c>
      <c r="V1189" s="54" t="b">
        <f aca="false">AND(D1189&gt;=01_因子設定!$L$5-0.000000001,D1189&lt;=01_因子設定!$M$5+0.000000001,E1189&gt;=01_因子設定!$L$6-0.000000001,E1189&lt;=01_因子設定!$M$6+0.000000001,F1189&gt;=01_因子設定!$L$7-0.000000001,F1189&lt;=01_因子設定!$M$7+0.000000001,IF(01_因子設定!$B$20="Box-Behnken",D1189^2+E1189^2+F1189^2&lt;=2+0.000000001,TRUE()))</f>
        <v>1</v>
      </c>
      <c r="W1189" s="55" t="n">
        <f aca="false">IF(V1189,IF(01_因子設定!$B$13="最大化",T1189-01_因子設定!$B$14,IF(01_因子設定!$B$13="最小化",01_因子設定!$B$15-U1189,MIN(T1189-01_因子設定!$B$14,01_因子設定!$B$15-U1189))),-1E+030)</f>
        <v>-5.71260817390711</v>
      </c>
      <c r="X1189" s="55" t="n">
        <f aca="false">IF(V1189,IF(01_因子設定!$B$13="最大化",Q1189,IF(01_因子設定!$B$13="最小化",-Q1189,-ABS(Q1189-01_因子設定!$B$16))),-1E+030)</f>
        <v>43.8565625</v>
      </c>
      <c r="Y1189" s="55" t="n">
        <f aca="false">W1189+ROW()*0.000000001</f>
        <v>-5.71260698490711</v>
      </c>
      <c r="Z1189" s="55" t="n">
        <f aca="false">X1189+ROW()*0.000000001</f>
        <v>43.856563689</v>
      </c>
    </row>
    <row r="1190" customFormat="false" ht="15" hidden="false" customHeight="false" outlineLevel="0" collapsed="false">
      <c r="A1190" s="0" t="n">
        <v>4</v>
      </c>
      <c r="B1190" s="0" t="n">
        <v>1</v>
      </c>
      <c r="C1190" s="0" t="n">
        <v>12</v>
      </c>
      <c r="D1190" s="0" t="n">
        <f aca="false">-1+A1190*0.125</f>
        <v>-0.5</v>
      </c>
      <c r="E1190" s="0" t="n">
        <f aca="false">-1+B1190*0.125</f>
        <v>-0.875</v>
      </c>
      <c r="F1190" s="0" t="n">
        <f aca="false">-1+C1190*0.125</f>
        <v>0.5</v>
      </c>
      <c r="G1190" s="0" t="n">
        <f aca="false">1</f>
        <v>1</v>
      </c>
      <c r="H1190" s="0" t="n">
        <f aca="false">D1190</f>
        <v>-0.5</v>
      </c>
      <c r="I1190" s="0" t="n">
        <f aca="false">E1190</f>
        <v>-0.875</v>
      </c>
      <c r="J1190" s="0" t="n">
        <f aca="false">F1190</f>
        <v>0.5</v>
      </c>
      <c r="K1190" s="0" t="n">
        <f aca="false">D1190*E1190</f>
        <v>0.4375</v>
      </c>
      <c r="L1190" s="0" t="n">
        <f aca="false">D1190*F1190</f>
        <v>-0.25</v>
      </c>
      <c r="M1190" s="0" t="n">
        <f aca="false">E1190*F1190</f>
        <v>-0.4375</v>
      </c>
      <c r="N1190" s="0" t="n">
        <f aca="false">D1190*D1190</f>
        <v>0.25</v>
      </c>
      <c r="O1190" s="0" t="n">
        <f aca="false">E1190*E1190</f>
        <v>0.765625</v>
      </c>
      <c r="P1190" s="0" t="n">
        <f aca="false">F1190*F1190</f>
        <v>0.25</v>
      </c>
      <c r="Q1190" s="0" t="n">
        <f aca="false">SUMPRODUCT(G1190:P1190,_XtX!$B$71:$K$71)</f>
        <v>43.8604545454546</v>
      </c>
      <c r="R1190" s="0" t="n">
        <f aca="false">SUMPRODUCT(MMULT(G1190:P1190,_XtX!$B$58:$K$67),G1190:P1190)</f>
        <v>0.322514204545455</v>
      </c>
      <c r="S1190" s="0" t="n">
        <f aca="false">04_回帰ANOVA!$K$19*04_回帰ANOVA!$K$14*SQRT(1+R1190)</f>
        <v>1.0692193475064</v>
      </c>
      <c r="T1190" s="0" t="n">
        <f aca="false">Q1190-S1190</f>
        <v>42.7912351979482</v>
      </c>
      <c r="U1190" s="0" t="n">
        <f aca="false">Q1190+S1190</f>
        <v>44.929673892961</v>
      </c>
      <c r="V1190" s="54" t="b">
        <f aca="false">AND(D1190&gt;=01_因子設定!$L$5-0.000000001,D1190&lt;=01_因子設定!$M$5+0.000000001,E1190&gt;=01_因子設定!$L$6-0.000000001,E1190&lt;=01_因子設定!$M$6+0.000000001,F1190&gt;=01_因子設定!$L$7-0.000000001,F1190&lt;=01_因子設定!$M$7+0.000000001,IF(01_因子設定!$B$20="Box-Behnken",D1190^2+E1190^2+F1190^2&lt;=2+0.000000001,TRUE()))</f>
        <v>1</v>
      </c>
      <c r="W1190" s="55" t="n">
        <f aca="false">IF(V1190,IF(01_因子設定!$B$13="最大化",T1190-01_因子設定!$B$14,IF(01_因子設定!$B$13="最小化",01_因子設定!$B$15-U1190,MIN(T1190-01_因子設定!$B$14,01_因子設定!$B$15-U1190))),-1E+030)</f>
        <v>-5.70876480205185</v>
      </c>
      <c r="X1190" s="55" t="n">
        <f aca="false">IF(V1190,IF(01_因子設定!$B$13="最大化",Q1190,IF(01_因子設定!$B$13="最小化",-Q1190,-ABS(Q1190-01_因子設定!$B$16))),-1E+030)</f>
        <v>43.8604545454546</v>
      </c>
      <c r="Y1190" s="55" t="n">
        <f aca="false">W1190+ROW()*0.000000001</f>
        <v>-5.70876361205185</v>
      </c>
      <c r="Z1190" s="55" t="n">
        <f aca="false">X1190+ROW()*0.000000001</f>
        <v>43.8604557354546</v>
      </c>
    </row>
    <row r="1191" customFormat="false" ht="15" hidden="false" customHeight="false" outlineLevel="0" collapsed="false">
      <c r="A1191" s="0" t="n">
        <v>4</v>
      </c>
      <c r="B1191" s="0" t="n">
        <v>1</v>
      </c>
      <c r="C1191" s="0" t="n">
        <v>13</v>
      </c>
      <c r="D1191" s="0" t="n">
        <f aca="false">-1+A1191*0.125</f>
        <v>-0.5</v>
      </c>
      <c r="E1191" s="0" t="n">
        <f aca="false">-1+B1191*0.125</f>
        <v>-0.875</v>
      </c>
      <c r="F1191" s="0" t="n">
        <f aca="false">-1+C1191*0.125</f>
        <v>0.625</v>
      </c>
      <c r="G1191" s="0" t="n">
        <f aca="false">1</f>
        <v>1</v>
      </c>
      <c r="H1191" s="0" t="n">
        <f aca="false">D1191</f>
        <v>-0.5</v>
      </c>
      <c r="I1191" s="0" t="n">
        <f aca="false">E1191</f>
        <v>-0.875</v>
      </c>
      <c r="J1191" s="0" t="n">
        <f aca="false">F1191</f>
        <v>0.625</v>
      </c>
      <c r="K1191" s="0" t="n">
        <f aca="false">D1191*E1191</f>
        <v>0.4375</v>
      </c>
      <c r="L1191" s="0" t="n">
        <f aca="false">D1191*F1191</f>
        <v>-0.3125</v>
      </c>
      <c r="M1191" s="0" t="n">
        <f aca="false">E1191*F1191</f>
        <v>-0.546875</v>
      </c>
      <c r="N1191" s="0" t="n">
        <f aca="false">D1191*D1191</f>
        <v>0.25</v>
      </c>
      <c r="O1191" s="0" t="n">
        <f aca="false">E1191*E1191</f>
        <v>0.765625</v>
      </c>
      <c r="P1191" s="0" t="n">
        <f aca="false">F1191*F1191</f>
        <v>0.390625</v>
      </c>
      <c r="Q1191" s="0" t="n">
        <f aca="false">SUMPRODUCT(G1191:P1191,_XtX!$B$71:$K$71)</f>
        <v>43.8275568181818</v>
      </c>
      <c r="R1191" s="0" t="n">
        <f aca="false">SUMPRODUCT(MMULT(G1191:P1191,_XtX!$B$58:$K$67),G1191:P1191)</f>
        <v>0.335453102805398</v>
      </c>
      <c r="S1191" s="0" t="n">
        <f aca="false">04_回帰ANOVA!$K$19*04_回帰ANOVA!$K$14*SQRT(1+R1191)</f>
        <v>1.07443700305628</v>
      </c>
      <c r="T1191" s="0" t="n">
        <f aca="false">Q1191-S1191</f>
        <v>42.7531198151256</v>
      </c>
      <c r="U1191" s="0" t="n">
        <f aca="false">Q1191+S1191</f>
        <v>44.9019938212381</v>
      </c>
      <c r="V1191" s="54" t="b">
        <f aca="false">AND(D1191&gt;=01_因子設定!$L$5-0.000000001,D1191&lt;=01_因子設定!$M$5+0.000000001,E1191&gt;=01_因子設定!$L$6-0.000000001,E1191&lt;=01_因子設定!$M$6+0.000000001,F1191&gt;=01_因子設定!$L$7-0.000000001,F1191&lt;=01_因子設定!$M$7+0.000000001,IF(01_因子設定!$B$20="Box-Behnken",D1191^2+E1191^2+F1191^2&lt;=2+0.000000001,TRUE()))</f>
        <v>1</v>
      </c>
      <c r="W1191" s="55" t="n">
        <f aca="false">IF(V1191,IF(01_因子設定!$B$13="最大化",T1191-01_因子設定!$B$14,IF(01_因子設定!$B$13="最小化",01_因子設定!$B$15-U1191,MIN(T1191-01_因子設定!$B$14,01_因子設定!$B$15-U1191))),-1E+030)</f>
        <v>-5.74688018487444</v>
      </c>
      <c r="X1191" s="55" t="n">
        <f aca="false">IF(V1191,IF(01_因子設定!$B$13="最大化",Q1191,IF(01_因子設定!$B$13="最小化",-Q1191,-ABS(Q1191-01_因子設定!$B$16))),-1E+030)</f>
        <v>43.8275568181818</v>
      </c>
      <c r="Y1191" s="55" t="n">
        <f aca="false">W1191+ROW()*0.000000001</f>
        <v>-5.74687899387444</v>
      </c>
      <c r="Z1191" s="55" t="n">
        <f aca="false">X1191+ROW()*0.000000001</f>
        <v>43.8275580091818</v>
      </c>
    </row>
    <row r="1192" customFormat="false" ht="15" hidden="false" customHeight="false" outlineLevel="0" collapsed="false">
      <c r="A1192" s="0" t="n">
        <v>4</v>
      </c>
      <c r="B1192" s="0" t="n">
        <v>1</v>
      </c>
      <c r="C1192" s="0" t="n">
        <v>14</v>
      </c>
      <c r="D1192" s="0" t="n">
        <f aca="false">-1+A1192*0.125</f>
        <v>-0.5</v>
      </c>
      <c r="E1192" s="0" t="n">
        <f aca="false">-1+B1192*0.125</f>
        <v>-0.875</v>
      </c>
      <c r="F1192" s="0" t="n">
        <f aca="false">-1+C1192*0.125</f>
        <v>0.75</v>
      </c>
      <c r="G1192" s="0" t="n">
        <f aca="false">1</f>
        <v>1</v>
      </c>
      <c r="H1192" s="0" t="n">
        <f aca="false">D1192</f>
        <v>-0.5</v>
      </c>
      <c r="I1192" s="0" t="n">
        <f aca="false">E1192</f>
        <v>-0.875</v>
      </c>
      <c r="J1192" s="0" t="n">
        <f aca="false">F1192</f>
        <v>0.75</v>
      </c>
      <c r="K1192" s="0" t="n">
        <f aca="false">D1192*E1192</f>
        <v>0.4375</v>
      </c>
      <c r="L1192" s="0" t="n">
        <f aca="false">D1192*F1192</f>
        <v>-0.375</v>
      </c>
      <c r="M1192" s="0" t="n">
        <f aca="false">E1192*F1192</f>
        <v>-0.65625</v>
      </c>
      <c r="N1192" s="0" t="n">
        <f aca="false">D1192*D1192</f>
        <v>0.25</v>
      </c>
      <c r="O1192" s="0" t="n">
        <f aca="false">E1192*E1192</f>
        <v>0.765625</v>
      </c>
      <c r="P1192" s="0" t="n">
        <f aca="false">F1192*F1192</f>
        <v>0.5625</v>
      </c>
      <c r="Q1192" s="0" t="n">
        <f aca="false">SUMPRODUCT(G1192:P1192,_XtX!$B$71:$K$71)</f>
        <v>43.7578693181818</v>
      </c>
      <c r="R1192" s="0" t="n">
        <f aca="false">SUMPRODUCT(MMULT(G1192:P1192,_XtX!$B$58:$K$67),G1192:P1192)</f>
        <v>0.370798561789773</v>
      </c>
      <c r="S1192" s="0" t="n">
        <f aca="false">04_回帰ANOVA!$K$19*04_回帰ANOVA!$K$14*SQRT(1+R1192)</f>
        <v>1.08856271788237</v>
      </c>
      <c r="T1192" s="0" t="n">
        <f aca="false">Q1192-S1192</f>
        <v>42.6693066002995</v>
      </c>
      <c r="U1192" s="0" t="n">
        <f aca="false">Q1192+S1192</f>
        <v>44.8464320360642</v>
      </c>
      <c r="V1192" s="54" t="b">
        <f aca="false">AND(D1192&gt;=01_因子設定!$L$5-0.000000001,D1192&lt;=01_因子設定!$M$5+0.000000001,E1192&gt;=01_因子設定!$L$6-0.000000001,E1192&lt;=01_因子設定!$M$6+0.000000001,F1192&gt;=01_因子設定!$L$7-0.000000001,F1192&lt;=01_因子設定!$M$7+0.000000001,IF(01_因子設定!$B$20="Box-Behnken",D1192^2+E1192^2+F1192^2&lt;=2+0.000000001,TRUE()))</f>
        <v>1</v>
      </c>
      <c r="W1192" s="55" t="n">
        <f aca="false">IF(V1192,IF(01_因子設定!$B$13="最大化",T1192-01_因子設定!$B$14,IF(01_因子設定!$B$13="最小化",01_因子設定!$B$15-U1192,MIN(T1192-01_因子設定!$B$14,01_因子設定!$B$15-U1192))),-1E+030)</f>
        <v>-5.83069339970054</v>
      </c>
      <c r="X1192" s="55" t="n">
        <f aca="false">IF(V1192,IF(01_因子設定!$B$13="最大化",Q1192,IF(01_因子設定!$B$13="最小化",-Q1192,-ABS(Q1192-01_因子設定!$B$16))),-1E+030)</f>
        <v>43.7578693181818</v>
      </c>
      <c r="Y1192" s="55" t="n">
        <f aca="false">W1192+ROW()*0.000000001</f>
        <v>-5.83069220770054</v>
      </c>
      <c r="Z1192" s="55" t="n">
        <f aca="false">X1192+ROW()*0.000000001</f>
        <v>43.7578705101818</v>
      </c>
    </row>
    <row r="1193" customFormat="false" ht="15" hidden="false" customHeight="false" outlineLevel="0" collapsed="false">
      <c r="A1193" s="0" t="n">
        <v>4</v>
      </c>
      <c r="B1193" s="0" t="n">
        <v>1</v>
      </c>
      <c r="C1193" s="0" t="n">
        <v>15</v>
      </c>
      <c r="D1193" s="0" t="n">
        <f aca="false">-1+A1193*0.125</f>
        <v>-0.5</v>
      </c>
      <c r="E1193" s="0" t="n">
        <f aca="false">-1+B1193*0.125</f>
        <v>-0.875</v>
      </c>
      <c r="F1193" s="0" t="n">
        <f aca="false">-1+C1193*0.125</f>
        <v>0.875</v>
      </c>
      <c r="G1193" s="0" t="n">
        <f aca="false">1</f>
        <v>1</v>
      </c>
      <c r="H1193" s="0" t="n">
        <f aca="false">D1193</f>
        <v>-0.5</v>
      </c>
      <c r="I1193" s="0" t="n">
        <f aca="false">E1193</f>
        <v>-0.875</v>
      </c>
      <c r="J1193" s="0" t="n">
        <f aca="false">F1193</f>
        <v>0.875</v>
      </c>
      <c r="K1193" s="0" t="n">
        <f aca="false">D1193*E1193</f>
        <v>0.4375</v>
      </c>
      <c r="L1193" s="0" t="n">
        <f aca="false">D1193*F1193</f>
        <v>-0.4375</v>
      </c>
      <c r="M1193" s="0" t="n">
        <f aca="false">E1193*F1193</f>
        <v>-0.765625</v>
      </c>
      <c r="N1193" s="0" t="n">
        <f aca="false">D1193*D1193</f>
        <v>0.25</v>
      </c>
      <c r="O1193" s="0" t="n">
        <f aca="false">E1193*E1193</f>
        <v>0.765625</v>
      </c>
      <c r="P1193" s="0" t="n">
        <f aca="false">F1193*F1193</f>
        <v>0.765625</v>
      </c>
      <c r="Q1193" s="0" t="n">
        <f aca="false">SUMPRODUCT(G1193:P1193,_XtX!$B$71:$K$71)</f>
        <v>43.6513920454546</v>
      </c>
      <c r="R1193" s="0" t="n">
        <f aca="false">SUMPRODUCT(MMULT(G1193:P1193,_XtX!$B$58:$K$67),G1193:P1193)</f>
        <v>0.44026933149858</v>
      </c>
      <c r="S1193" s="0" t="n">
        <f aca="false">04_回帰ANOVA!$K$19*04_回帰ANOVA!$K$14*SQRT(1+R1193)</f>
        <v>1.11580548667718</v>
      </c>
      <c r="T1193" s="0" t="n">
        <f aca="false">Q1193-S1193</f>
        <v>42.5355865587774</v>
      </c>
      <c r="U1193" s="0" t="n">
        <f aca="false">Q1193+S1193</f>
        <v>44.7671975321317</v>
      </c>
      <c r="V1193" s="54" t="b">
        <f aca="false">AND(D1193&gt;=01_因子設定!$L$5-0.000000001,D1193&lt;=01_因子設定!$M$5+0.000000001,E1193&gt;=01_因子設定!$L$6-0.000000001,E1193&lt;=01_因子設定!$M$6+0.000000001,F1193&gt;=01_因子設定!$L$7-0.000000001,F1193&lt;=01_因子設定!$M$7+0.000000001,IF(01_因子設定!$B$20="Box-Behnken",D1193^2+E1193^2+F1193^2&lt;=2+0.000000001,TRUE()))</f>
        <v>1</v>
      </c>
      <c r="W1193" s="55" t="n">
        <f aca="false">IF(V1193,IF(01_因子設定!$B$13="最大化",T1193-01_因子設定!$B$14,IF(01_因子設定!$B$13="最小化",01_因子設定!$B$15-U1193,MIN(T1193-01_因子設定!$B$14,01_因子設定!$B$15-U1193))),-1E+030)</f>
        <v>-5.96441344122262</v>
      </c>
      <c r="X1193" s="55" t="n">
        <f aca="false">IF(V1193,IF(01_因子設定!$B$13="最大化",Q1193,IF(01_因子設定!$B$13="最小化",-Q1193,-ABS(Q1193-01_因子設定!$B$16))),-1E+030)</f>
        <v>43.6513920454546</v>
      </c>
      <c r="Y1193" s="55" t="n">
        <f aca="false">W1193+ROW()*0.000000001</f>
        <v>-5.96441224822262</v>
      </c>
      <c r="Z1193" s="55" t="n">
        <f aca="false">X1193+ROW()*0.000000001</f>
        <v>43.6513932384546</v>
      </c>
    </row>
    <row r="1194" customFormat="false" ht="15" hidden="false" customHeight="false" outlineLevel="0" collapsed="false">
      <c r="A1194" s="0" t="n">
        <v>4</v>
      </c>
      <c r="B1194" s="0" t="n">
        <v>1</v>
      </c>
      <c r="C1194" s="0" t="n">
        <v>16</v>
      </c>
      <c r="D1194" s="0" t="n">
        <f aca="false">-1+A1194*0.125</f>
        <v>-0.5</v>
      </c>
      <c r="E1194" s="0" t="n">
        <f aca="false">-1+B1194*0.125</f>
        <v>-0.875</v>
      </c>
      <c r="F1194" s="0" t="n">
        <f aca="false">-1+C1194*0.125</f>
        <v>1</v>
      </c>
      <c r="G1194" s="0" t="n">
        <f aca="false">1</f>
        <v>1</v>
      </c>
      <c r="H1194" s="0" t="n">
        <f aca="false">D1194</f>
        <v>-0.5</v>
      </c>
      <c r="I1194" s="0" t="n">
        <f aca="false">E1194</f>
        <v>-0.875</v>
      </c>
      <c r="J1194" s="0" t="n">
        <f aca="false">F1194</f>
        <v>1</v>
      </c>
      <c r="K1194" s="0" t="n">
        <f aca="false">D1194*E1194</f>
        <v>0.4375</v>
      </c>
      <c r="L1194" s="0" t="n">
        <f aca="false">D1194*F1194</f>
        <v>-0.5</v>
      </c>
      <c r="M1194" s="0" t="n">
        <f aca="false">E1194*F1194</f>
        <v>-0.875</v>
      </c>
      <c r="N1194" s="0" t="n">
        <f aca="false">D1194*D1194</f>
        <v>0.25</v>
      </c>
      <c r="O1194" s="0" t="n">
        <f aca="false">E1194*E1194</f>
        <v>0.765625</v>
      </c>
      <c r="P1194" s="0" t="n">
        <f aca="false">F1194*F1194</f>
        <v>1</v>
      </c>
      <c r="Q1194" s="0" t="n">
        <f aca="false">SUMPRODUCT(G1194:P1194,_XtX!$B$71:$K$71)</f>
        <v>43.508125</v>
      </c>
      <c r="R1194" s="0" t="n">
        <f aca="false">SUMPRODUCT(MMULT(G1194:P1194,_XtX!$B$58:$K$67),G1194:P1194)</f>
        <v>0.55771484375</v>
      </c>
      <c r="S1194" s="0" t="n">
        <f aca="false">04_回帰ANOVA!$K$19*04_回帰ANOVA!$K$14*SQRT(1+R1194)</f>
        <v>1.16040773556467</v>
      </c>
      <c r="T1194" s="0" t="n">
        <f aca="false">Q1194-S1194</f>
        <v>42.3477172644353</v>
      </c>
      <c r="U1194" s="0" t="n">
        <f aca="false">Q1194+S1194</f>
        <v>44.6685327355647</v>
      </c>
      <c r="V1194" s="54" t="b">
        <f aca="false">AND(D1194&gt;=01_因子設定!$L$5-0.000000001,D1194&lt;=01_因子設定!$M$5+0.000000001,E1194&gt;=01_因子設定!$L$6-0.000000001,E1194&lt;=01_因子設定!$M$6+0.000000001,F1194&gt;=01_因子設定!$L$7-0.000000001,F1194&lt;=01_因子設定!$M$7+0.000000001,IF(01_因子設定!$B$20="Box-Behnken",D1194^2+E1194^2+F1194^2&lt;=2+0.000000001,TRUE()))</f>
        <v>1</v>
      </c>
      <c r="W1194" s="55" t="n">
        <f aca="false">IF(V1194,IF(01_因子設定!$B$13="最大化",T1194-01_因子設定!$B$14,IF(01_因子設定!$B$13="最小化",01_因子設定!$B$15-U1194,MIN(T1194-01_因子設定!$B$14,01_因子設定!$B$15-U1194))),-1E+030)</f>
        <v>-6.15228273556465</v>
      </c>
      <c r="X1194" s="55" t="n">
        <f aca="false">IF(V1194,IF(01_因子設定!$B$13="最大化",Q1194,IF(01_因子設定!$B$13="最小化",-Q1194,-ABS(Q1194-01_因子設定!$B$16))),-1E+030)</f>
        <v>43.508125</v>
      </c>
      <c r="Y1194" s="55" t="n">
        <f aca="false">W1194+ROW()*0.000000001</f>
        <v>-6.15228154156465</v>
      </c>
      <c r="Z1194" s="55" t="n">
        <f aca="false">X1194+ROW()*0.000000001</f>
        <v>43.508126194</v>
      </c>
    </row>
    <row r="1195" customFormat="false" ht="15" hidden="false" customHeight="false" outlineLevel="0" collapsed="false">
      <c r="A1195" s="0" t="n">
        <v>4</v>
      </c>
      <c r="B1195" s="0" t="n">
        <v>2</v>
      </c>
      <c r="C1195" s="0" t="n">
        <v>0</v>
      </c>
      <c r="D1195" s="0" t="n">
        <f aca="false">-1+A1195*0.125</f>
        <v>-0.5</v>
      </c>
      <c r="E1195" s="0" t="n">
        <f aca="false">-1+B1195*0.125</f>
        <v>-0.75</v>
      </c>
      <c r="F1195" s="0" t="n">
        <f aca="false">-1+C1195*0.125</f>
        <v>-1</v>
      </c>
      <c r="G1195" s="0" t="n">
        <f aca="false">1</f>
        <v>1</v>
      </c>
      <c r="H1195" s="0" t="n">
        <f aca="false">D1195</f>
        <v>-0.5</v>
      </c>
      <c r="I1195" s="0" t="n">
        <f aca="false">E1195</f>
        <v>-0.75</v>
      </c>
      <c r="J1195" s="0" t="n">
        <f aca="false">F1195</f>
        <v>-1</v>
      </c>
      <c r="K1195" s="0" t="n">
        <f aca="false">D1195*E1195</f>
        <v>0.375</v>
      </c>
      <c r="L1195" s="0" t="n">
        <f aca="false">D1195*F1195</f>
        <v>0.5</v>
      </c>
      <c r="M1195" s="0" t="n">
        <f aca="false">E1195*F1195</f>
        <v>0.75</v>
      </c>
      <c r="N1195" s="0" t="n">
        <f aca="false">D1195*D1195</f>
        <v>0.25</v>
      </c>
      <c r="O1195" s="0" t="n">
        <f aca="false">E1195*E1195</f>
        <v>0.5625</v>
      </c>
      <c r="P1195" s="0" t="n">
        <f aca="false">F1195*F1195</f>
        <v>1</v>
      </c>
      <c r="Q1195" s="0" t="n">
        <f aca="false">SUMPRODUCT(G1195:P1195,_XtX!$B$71:$K$71)</f>
        <v>41.9233522727273</v>
      </c>
      <c r="R1195" s="0" t="n">
        <f aca="false">SUMPRODUCT(MMULT(G1195:P1195,_XtX!$B$58:$K$67),G1195:P1195)</f>
        <v>0.495276988636364</v>
      </c>
      <c r="S1195" s="0" t="n">
        <f aca="false">04_回帰ANOVA!$K$19*04_回帰ANOVA!$K$14*SQRT(1+R1195)</f>
        <v>1.13691359828352</v>
      </c>
      <c r="T1195" s="0" t="n">
        <f aca="false">Q1195-S1195</f>
        <v>40.7864386744438</v>
      </c>
      <c r="U1195" s="0" t="n">
        <f aca="false">Q1195+S1195</f>
        <v>43.0602658710108</v>
      </c>
      <c r="V1195" s="54" t="b">
        <f aca="false">AND(D1195&gt;=01_因子設定!$L$5-0.000000001,D1195&lt;=01_因子設定!$M$5+0.000000001,E1195&gt;=01_因子設定!$L$6-0.000000001,E1195&lt;=01_因子設定!$M$6+0.000000001,F1195&gt;=01_因子設定!$L$7-0.000000001,F1195&lt;=01_因子設定!$M$7+0.000000001,IF(01_因子設定!$B$20="Box-Behnken",D1195^2+E1195^2+F1195^2&lt;=2+0.000000001,TRUE()))</f>
        <v>1</v>
      </c>
      <c r="W1195" s="55" t="n">
        <f aca="false">IF(V1195,IF(01_因子設定!$B$13="最大化",T1195-01_因子設定!$B$14,IF(01_因子設定!$B$13="最小化",01_因子設定!$B$15-U1195,MIN(T1195-01_因子設定!$B$14,01_因子設定!$B$15-U1195))),-1E+030)</f>
        <v>-7.71356132555622</v>
      </c>
      <c r="X1195" s="55" t="n">
        <f aca="false">IF(V1195,IF(01_因子設定!$B$13="最大化",Q1195,IF(01_因子設定!$B$13="最小化",-Q1195,-ABS(Q1195-01_因子設定!$B$16))),-1E+030)</f>
        <v>41.9233522727273</v>
      </c>
      <c r="Y1195" s="55" t="n">
        <f aca="false">W1195+ROW()*0.000000001</f>
        <v>-7.71356013055622</v>
      </c>
      <c r="Z1195" s="55" t="n">
        <f aca="false">X1195+ROW()*0.000000001</f>
        <v>41.9233534677273</v>
      </c>
    </row>
    <row r="1196" customFormat="false" ht="15" hidden="false" customHeight="false" outlineLevel="0" collapsed="false">
      <c r="A1196" s="0" t="n">
        <v>4</v>
      </c>
      <c r="B1196" s="0" t="n">
        <v>2</v>
      </c>
      <c r="C1196" s="0" t="n">
        <v>1</v>
      </c>
      <c r="D1196" s="0" t="n">
        <f aca="false">-1+A1196*0.125</f>
        <v>-0.5</v>
      </c>
      <c r="E1196" s="0" t="n">
        <f aca="false">-1+B1196*0.125</f>
        <v>-0.75</v>
      </c>
      <c r="F1196" s="0" t="n">
        <f aca="false">-1+C1196*0.125</f>
        <v>-0.875</v>
      </c>
      <c r="G1196" s="0" t="n">
        <f aca="false">1</f>
        <v>1</v>
      </c>
      <c r="H1196" s="0" t="n">
        <f aca="false">D1196</f>
        <v>-0.5</v>
      </c>
      <c r="I1196" s="0" t="n">
        <f aca="false">E1196</f>
        <v>-0.75</v>
      </c>
      <c r="J1196" s="0" t="n">
        <f aca="false">F1196</f>
        <v>-0.875</v>
      </c>
      <c r="K1196" s="0" t="n">
        <f aca="false">D1196*E1196</f>
        <v>0.375</v>
      </c>
      <c r="L1196" s="0" t="n">
        <f aca="false">D1196*F1196</f>
        <v>0.4375</v>
      </c>
      <c r="M1196" s="0" t="n">
        <f aca="false">E1196*F1196</f>
        <v>0.65625</v>
      </c>
      <c r="N1196" s="0" t="n">
        <f aca="false">D1196*D1196</f>
        <v>0.25</v>
      </c>
      <c r="O1196" s="0" t="n">
        <f aca="false">E1196*E1196</f>
        <v>0.5625</v>
      </c>
      <c r="P1196" s="0" t="n">
        <f aca="false">F1196*F1196</f>
        <v>0.765625</v>
      </c>
      <c r="Q1196" s="0" t="n">
        <f aca="false">SUMPRODUCT(G1196:P1196,_XtX!$B$71:$K$71)</f>
        <v>42.3389630681818</v>
      </c>
      <c r="R1196" s="0" t="n">
        <f aca="false">SUMPRODUCT(MMULT(G1196:P1196,_XtX!$B$58:$K$67),G1196:P1196)</f>
        <v>0.370798561789773</v>
      </c>
      <c r="S1196" s="0" t="n">
        <f aca="false">04_回帰ANOVA!$K$19*04_回帰ANOVA!$K$14*SQRT(1+R1196)</f>
        <v>1.08856271788237</v>
      </c>
      <c r="T1196" s="0" t="n">
        <f aca="false">Q1196-S1196</f>
        <v>41.2504003502995</v>
      </c>
      <c r="U1196" s="0" t="n">
        <f aca="false">Q1196+S1196</f>
        <v>43.4275257860642</v>
      </c>
      <c r="V1196" s="54" t="b">
        <f aca="false">AND(D1196&gt;=01_因子設定!$L$5-0.000000001,D1196&lt;=01_因子設定!$M$5+0.000000001,E1196&gt;=01_因子設定!$L$6-0.000000001,E1196&lt;=01_因子設定!$M$6+0.000000001,F1196&gt;=01_因子設定!$L$7-0.000000001,F1196&lt;=01_因子設定!$M$7+0.000000001,IF(01_因子設定!$B$20="Box-Behnken",D1196^2+E1196^2+F1196^2&lt;=2+0.000000001,TRUE()))</f>
        <v>1</v>
      </c>
      <c r="W1196" s="55" t="n">
        <f aca="false">IF(V1196,IF(01_因子設定!$B$13="最大化",T1196-01_因子設定!$B$14,IF(01_因子設定!$B$13="最小化",01_因子設定!$B$15-U1196,MIN(T1196-01_因子設定!$B$14,01_因子設定!$B$15-U1196))),-1E+030)</f>
        <v>-7.24959964970054</v>
      </c>
      <c r="X1196" s="55" t="n">
        <f aca="false">IF(V1196,IF(01_因子設定!$B$13="最大化",Q1196,IF(01_因子設定!$B$13="最小化",-Q1196,-ABS(Q1196-01_因子設定!$B$16))),-1E+030)</f>
        <v>42.3389630681818</v>
      </c>
      <c r="Y1196" s="55" t="n">
        <f aca="false">W1196+ROW()*0.000000001</f>
        <v>-7.24959845370054</v>
      </c>
      <c r="Z1196" s="55" t="n">
        <f aca="false">X1196+ROW()*0.000000001</f>
        <v>42.3389642641818</v>
      </c>
    </row>
    <row r="1197" customFormat="false" ht="15" hidden="false" customHeight="false" outlineLevel="0" collapsed="false">
      <c r="A1197" s="0" t="n">
        <v>4</v>
      </c>
      <c r="B1197" s="0" t="n">
        <v>2</v>
      </c>
      <c r="C1197" s="0" t="n">
        <v>2</v>
      </c>
      <c r="D1197" s="0" t="n">
        <f aca="false">-1+A1197*0.125</f>
        <v>-0.5</v>
      </c>
      <c r="E1197" s="0" t="n">
        <f aca="false">-1+B1197*0.125</f>
        <v>-0.75</v>
      </c>
      <c r="F1197" s="0" t="n">
        <f aca="false">-1+C1197*0.125</f>
        <v>-0.75</v>
      </c>
      <c r="G1197" s="0" t="n">
        <f aca="false">1</f>
        <v>1</v>
      </c>
      <c r="H1197" s="0" t="n">
        <f aca="false">D1197</f>
        <v>-0.5</v>
      </c>
      <c r="I1197" s="0" t="n">
        <f aca="false">E1197</f>
        <v>-0.75</v>
      </c>
      <c r="J1197" s="0" t="n">
        <f aca="false">F1197</f>
        <v>-0.75</v>
      </c>
      <c r="K1197" s="0" t="n">
        <f aca="false">D1197*E1197</f>
        <v>0.375</v>
      </c>
      <c r="L1197" s="0" t="n">
        <f aca="false">D1197*F1197</f>
        <v>0.375</v>
      </c>
      <c r="M1197" s="0" t="n">
        <f aca="false">E1197*F1197</f>
        <v>0.5625</v>
      </c>
      <c r="N1197" s="0" t="n">
        <f aca="false">D1197*D1197</f>
        <v>0.25</v>
      </c>
      <c r="O1197" s="0" t="n">
        <f aca="false">E1197*E1197</f>
        <v>0.5625</v>
      </c>
      <c r="P1197" s="0" t="n">
        <f aca="false">F1197*F1197</f>
        <v>0.5625</v>
      </c>
      <c r="Q1197" s="0" t="n">
        <f aca="false">SUMPRODUCT(G1197:P1197,_XtX!$B$71:$K$71)</f>
        <v>42.7177840909091</v>
      </c>
      <c r="R1197" s="0" t="n">
        <f aca="false">SUMPRODUCT(MMULT(G1197:P1197,_XtX!$B$58:$K$67),G1197:P1197)</f>
        <v>0.295232599431818</v>
      </c>
      <c r="S1197" s="0" t="n">
        <f aca="false">04_回帰ANOVA!$K$19*04_回帰ANOVA!$K$14*SQRT(1+R1197)</f>
        <v>1.05813363442154</v>
      </c>
      <c r="T1197" s="0" t="n">
        <f aca="false">Q1197-S1197</f>
        <v>41.6596504564876</v>
      </c>
      <c r="U1197" s="0" t="n">
        <f aca="false">Q1197+S1197</f>
        <v>43.7759177253306</v>
      </c>
      <c r="V1197" s="54" t="b">
        <f aca="false">AND(D1197&gt;=01_因子設定!$L$5-0.000000001,D1197&lt;=01_因子設定!$M$5+0.000000001,E1197&gt;=01_因子設定!$L$6-0.000000001,E1197&lt;=01_因子設定!$M$6+0.000000001,F1197&gt;=01_因子設定!$L$7-0.000000001,F1197&lt;=01_因子設定!$M$7+0.000000001,IF(01_因子設定!$B$20="Box-Behnken",D1197^2+E1197^2+F1197^2&lt;=2+0.000000001,TRUE()))</f>
        <v>1</v>
      </c>
      <c r="W1197" s="55" t="n">
        <f aca="false">IF(V1197,IF(01_因子設定!$B$13="最大化",T1197-01_因子設定!$B$14,IF(01_因子設定!$B$13="最小化",01_因子設定!$B$15-U1197,MIN(T1197-01_因子設定!$B$14,01_因子設定!$B$15-U1197))),-1E+030)</f>
        <v>-6.84034954351243</v>
      </c>
      <c r="X1197" s="55" t="n">
        <f aca="false">IF(V1197,IF(01_因子設定!$B$13="最大化",Q1197,IF(01_因子設定!$B$13="最小化",-Q1197,-ABS(Q1197-01_因子設定!$B$16))),-1E+030)</f>
        <v>42.7177840909091</v>
      </c>
      <c r="Y1197" s="55" t="n">
        <f aca="false">W1197+ROW()*0.000000001</f>
        <v>-6.84034834651243</v>
      </c>
      <c r="Z1197" s="55" t="n">
        <f aca="false">X1197+ROW()*0.000000001</f>
        <v>42.7177852879091</v>
      </c>
    </row>
    <row r="1198" customFormat="false" ht="15" hidden="false" customHeight="false" outlineLevel="0" collapsed="false">
      <c r="A1198" s="0" t="n">
        <v>4</v>
      </c>
      <c r="B1198" s="0" t="n">
        <v>2</v>
      </c>
      <c r="C1198" s="0" t="n">
        <v>3</v>
      </c>
      <c r="D1198" s="0" t="n">
        <f aca="false">-1+A1198*0.125</f>
        <v>-0.5</v>
      </c>
      <c r="E1198" s="0" t="n">
        <f aca="false">-1+B1198*0.125</f>
        <v>-0.75</v>
      </c>
      <c r="F1198" s="0" t="n">
        <f aca="false">-1+C1198*0.125</f>
        <v>-0.625</v>
      </c>
      <c r="G1198" s="0" t="n">
        <f aca="false">1</f>
        <v>1</v>
      </c>
      <c r="H1198" s="0" t="n">
        <f aca="false">D1198</f>
        <v>-0.5</v>
      </c>
      <c r="I1198" s="0" t="n">
        <f aca="false">E1198</f>
        <v>-0.75</v>
      </c>
      <c r="J1198" s="0" t="n">
        <f aca="false">F1198</f>
        <v>-0.625</v>
      </c>
      <c r="K1198" s="0" t="n">
        <f aca="false">D1198*E1198</f>
        <v>0.375</v>
      </c>
      <c r="L1198" s="0" t="n">
        <f aca="false">D1198*F1198</f>
        <v>0.3125</v>
      </c>
      <c r="M1198" s="0" t="n">
        <f aca="false">E1198*F1198</f>
        <v>0.46875</v>
      </c>
      <c r="N1198" s="0" t="n">
        <f aca="false">D1198*D1198</f>
        <v>0.25</v>
      </c>
      <c r="O1198" s="0" t="n">
        <f aca="false">E1198*E1198</f>
        <v>0.5625</v>
      </c>
      <c r="P1198" s="0" t="n">
        <f aca="false">F1198*F1198</f>
        <v>0.390625</v>
      </c>
      <c r="Q1198" s="0" t="n">
        <f aca="false">SUMPRODUCT(G1198:P1198,_XtX!$B$71:$K$71)</f>
        <v>43.0598153409091</v>
      </c>
      <c r="R1198" s="0" t="n">
        <f aca="false">SUMPRODUCT(MMULT(G1198:P1198,_XtX!$B$58:$K$67),G1198:P1198)</f>
        <v>0.254729669744318</v>
      </c>
      <c r="S1198" s="0" t="n">
        <f aca="false">04_回帰ANOVA!$K$19*04_回帰ANOVA!$K$14*SQRT(1+R1198)</f>
        <v>1.04145790281631</v>
      </c>
      <c r="T1198" s="0" t="n">
        <f aca="false">Q1198-S1198</f>
        <v>42.0183574380928</v>
      </c>
      <c r="U1198" s="0" t="n">
        <f aca="false">Q1198+S1198</f>
        <v>44.1012732437254</v>
      </c>
      <c r="V1198" s="54" t="b">
        <f aca="false">AND(D1198&gt;=01_因子設定!$L$5-0.000000001,D1198&lt;=01_因子設定!$M$5+0.000000001,E1198&gt;=01_因子設定!$L$6-0.000000001,E1198&lt;=01_因子設定!$M$6+0.000000001,F1198&gt;=01_因子設定!$L$7-0.000000001,F1198&lt;=01_因子設定!$M$7+0.000000001,IF(01_因子設定!$B$20="Box-Behnken",D1198^2+E1198^2+F1198^2&lt;=2+0.000000001,TRUE()))</f>
        <v>1</v>
      </c>
      <c r="W1198" s="55" t="n">
        <f aca="false">IF(V1198,IF(01_因子設定!$B$13="最大化",T1198-01_因子設定!$B$14,IF(01_因子設定!$B$13="最小化",01_因子設定!$B$15-U1198,MIN(T1198-01_因子設定!$B$14,01_因子設定!$B$15-U1198))),-1E+030)</f>
        <v>-6.48164256190721</v>
      </c>
      <c r="X1198" s="55" t="n">
        <f aca="false">IF(V1198,IF(01_因子設定!$B$13="最大化",Q1198,IF(01_因子設定!$B$13="最小化",-Q1198,-ABS(Q1198-01_因子設定!$B$16))),-1E+030)</f>
        <v>43.0598153409091</v>
      </c>
      <c r="Y1198" s="55" t="n">
        <f aca="false">W1198+ROW()*0.000000001</f>
        <v>-6.48164136390721</v>
      </c>
      <c r="Z1198" s="55" t="n">
        <f aca="false">X1198+ROW()*0.000000001</f>
        <v>43.0598165389091</v>
      </c>
    </row>
    <row r="1199" customFormat="false" ht="15" hidden="false" customHeight="false" outlineLevel="0" collapsed="false">
      <c r="A1199" s="0" t="n">
        <v>4</v>
      </c>
      <c r="B1199" s="0" t="n">
        <v>2</v>
      </c>
      <c r="C1199" s="0" t="n">
        <v>4</v>
      </c>
      <c r="D1199" s="0" t="n">
        <f aca="false">-1+A1199*0.125</f>
        <v>-0.5</v>
      </c>
      <c r="E1199" s="0" t="n">
        <f aca="false">-1+B1199*0.125</f>
        <v>-0.75</v>
      </c>
      <c r="F1199" s="0" t="n">
        <f aca="false">-1+C1199*0.125</f>
        <v>-0.5</v>
      </c>
      <c r="G1199" s="0" t="n">
        <f aca="false">1</f>
        <v>1</v>
      </c>
      <c r="H1199" s="0" t="n">
        <f aca="false">D1199</f>
        <v>-0.5</v>
      </c>
      <c r="I1199" s="0" t="n">
        <f aca="false">E1199</f>
        <v>-0.75</v>
      </c>
      <c r="J1199" s="0" t="n">
        <f aca="false">F1199</f>
        <v>-0.5</v>
      </c>
      <c r="K1199" s="0" t="n">
        <f aca="false">D1199*E1199</f>
        <v>0.375</v>
      </c>
      <c r="L1199" s="0" t="n">
        <f aca="false">D1199*F1199</f>
        <v>0.25</v>
      </c>
      <c r="M1199" s="0" t="n">
        <f aca="false">E1199*F1199</f>
        <v>0.375</v>
      </c>
      <c r="N1199" s="0" t="n">
        <f aca="false">D1199*D1199</f>
        <v>0.25</v>
      </c>
      <c r="O1199" s="0" t="n">
        <f aca="false">E1199*E1199</f>
        <v>0.5625</v>
      </c>
      <c r="P1199" s="0" t="n">
        <f aca="false">F1199*F1199</f>
        <v>0.25</v>
      </c>
      <c r="Q1199" s="0" t="n">
        <f aca="false">SUMPRODUCT(G1199:P1199,_XtX!$B$71:$K$71)</f>
        <v>43.3650568181818</v>
      </c>
      <c r="R1199" s="0" t="n">
        <f aca="false">SUMPRODUCT(MMULT(G1199:P1199,_XtX!$B$58:$K$67),G1199:P1199)</f>
        <v>0.237571022727273</v>
      </c>
      <c r="S1199" s="0" t="n">
        <f aca="false">04_回帰ANOVA!$K$19*04_回帰ANOVA!$K$14*SQRT(1+R1199)</f>
        <v>1.0343123302758</v>
      </c>
      <c r="T1199" s="0" t="n">
        <f aca="false">Q1199-S1199</f>
        <v>42.330744487906</v>
      </c>
      <c r="U1199" s="0" t="n">
        <f aca="false">Q1199+S1199</f>
        <v>44.3993691484576</v>
      </c>
      <c r="V1199" s="54" t="b">
        <f aca="false">AND(D1199&gt;=01_因子設定!$L$5-0.000000001,D1199&lt;=01_因子設定!$M$5+0.000000001,E1199&gt;=01_因子設定!$L$6-0.000000001,E1199&lt;=01_因子設定!$M$6+0.000000001,F1199&gt;=01_因子設定!$L$7-0.000000001,F1199&lt;=01_因子設定!$M$7+0.000000001,IF(01_因子設定!$B$20="Box-Behnken",D1199^2+E1199^2+F1199^2&lt;=2+0.000000001,TRUE()))</f>
        <v>1</v>
      </c>
      <c r="W1199" s="55" t="n">
        <f aca="false">IF(V1199,IF(01_因子設定!$B$13="最大化",T1199-01_因子設定!$B$14,IF(01_因子設定!$B$13="最小化",01_因子設定!$B$15-U1199,MIN(T1199-01_因子設定!$B$14,01_因子設定!$B$15-U1199))),-1E+030)</f>
        <v>-6.16925551209398</v>
      </c>
      <c r="X1199" s="55" t="n">
        <f aca="false">IF(V1199,IF(01_因子設定!$B$13="最大化",Q1199,IF(01_因子設定!$B$13="最小化",-Q1199,-ABS(Q1199-01_因子設定!$B$16))),-1E+030)</f>
        <v>43.3650568181818</v>
      </c>
      <c r="Y1199" s="55" t="n">
        <f aca="false">W1199+ROW()*0.000000001</f>
        <v>-6.16925431309398</v>
      </c>
      <c r="Z1199" s="55" t="n">
        <f aca="false">X1199+ROW()*0.000000001</f>
        <v>43.3650580171818</v>
      </c>
    </row>
    <row r="1200" customFormat="false" ht="15" hidden="false" customHeight="false" outlineLevel="0" collapsed="false">
      <c r="A1200" s="0" t="n">
        <v>4</v>
      </c>
      <c r="B1200" s="0" t="n">
        <v>2</v>
      </c>
      <c r="C1200" s="0" t="n">
        <v>5</v>
      </c>
      <c r="D1200" s="0" t="n">
        <f aca="false">-1+A1200*0.125</f>
        <v>-0.5</v>
      </c>
      <c r="E1200" s="0" t="n">
        <f aca="false">-1+B1200*0.125</f>
        <v>-0.75</v>
      </c>
      <c r="F1200" s="0" t="n">
        <f aca="false">-1+C1200*0.125</f>
        <v>-0.375</v>
      </c>
      <c r="G1200" s="0" t="n">
        <f aca="false">1</f>
        <v>1</v>
      </c>
      <c r="H1200" s="0" t="n">
        <f aca="false">D1200</f>
        <v>-0.5</v>
      </c>
      <c r="I1200" s="0" t="n">
        <f aca="false">E1200</f>
        <v>-0.75</v>
      </c>
      <c r="J1200" s="0" t="n">
        <f aca="false">F1200</f>
        <v>-0.375</v>
      </c>
      <c r="K1200" s="0" t="n">
        <f aca="false">D1200*E1200</f>
        <v>0.375</v>
      </c>
      <c r="L1200" s="0" t="n">
        <f aca="false">D1200*F1200</f>
        <v>0.1875</v>
      </c>
      <c r="M1200" s="0" t="n">
        <f aca="false">E1200*F1200</f>
        <v>0.28125</v>
      </c>
      <c r="N1200" s="0" t="n">
        <f aca="false">D1200*D1200</f>
        <v>0.25</v>
      </c>
      <c r="O1200" s="0" t="n">
        <f aca="false">E1200*E1200</f>
        <v>0.5625</v>
      </c>
      <c r="P1200" s="0" t="n">
        <f aca="false">F1200*F1200</f>
        <v>0.140625</v>
      </c>
      <c r="Q1200" s="0" t="n">
        <f aca="false">SUMPRODUCT(G1200:P1200,_XtX!$B$71:$K$71)</f>
        <v>43.6335085227273</v>
      </c>
      <c r="R1200" s="0" t="n">
        <f aca="false">SUMPRODUCT(MMULT(G1200:P1200,_XtX!$B$58:$K$67),G1200:P1200)</f>
        <v>0.234168590198864</v>
      </c>
      <c r="S1200" s="0" t="n">
        <f aca="false">04_回帰ANOVA!$K$19*04_回帰ANOVA!$K$14*SQRT(1+R1200)</f>
        <v>1.03288954322488</v>
      </c>
      <c r="T1200" s="0" t="n">
        <f aca="false">Q1200-S1200</f>
        <v>42.6006189795024</v>
      </c>
      <c r="U1200" s="0" t="n">
        <f aca="false">Q1200+S1200</f>
        <v>44.6663980659522</v>
      </c>
      <c r="V1200" s="54" t="b">
        <f aca="false">AND(D1200&gt;=01_因子設定!$L$5-0.000000001,D1200&lt;=01_因子設定!$M$5+0.000000001,E1200&gt;=01_因子設定!$L$6-0.000000001,E1200&lt;=01_因子設定!$M$6+0.000000001,F1200&gt;=01_因子設定!$L$7-0.000000001,F1200&lt;=01_因子設定!$M$7+0.000000001,IF(01_因子設定!$B$20="Box-Behnken",D1200^2+E1200^2+F1200^2&lt;=2+0.000000001,TRUE()))</f>
        <v>1</v>
      </c>
      <c r="W1200" s="55" t="n">
        <f aca="false">IF(V1200,IF(01_因子設定!$B$13="最大化",T1200-01_因子設定!$B$14,IF(01_因子設定!$B$13="最小化",01_因子設定!$B$15-U1200,MIN(T1200-01_因子設定!$B$14,01_因子設定!$B$15-U1200))),-1E+030)</f>
        <v>-5.89938102049759</v>
      </c>
      <c r="X1200" s="55" t="n">
        <f aca="false">IF(V1200,IF(01_因子設定!$B$13="最大化",Q1200,IF(01_因子設定!$B$13="最小化",-Q1200,-ABS(Q1200-01_因子設定!$B$16))),-1E+030)</f>
        <v>43.6335085227273</v>
      </c>
      <c r="Y1200" s="55" t="n">
        <f aca="false">W1200+ROW()*0.000000001</f>
        <v>-5.89937982049759</v>
      </c>
      <c r="Z1200" s="55" t="n">
        <f aca="false">X1200+ROW()*0.000000001</f>
        <v>43.6335097227273</v>
      </c>
    </row>
    <row r="1201" customFormat="false" ht="15" hidden="false" customHeight="false" outlineLevel="0" collapsed="false">
      <c r="A1201" s="0" t="n">
        <v>4</v>
      </c>
      <c r="B1201" s="0" t="n">
        <v>2</v>
      </c>
      <c r="C1201" s="0" t="n">
        <v>6</v>
      </c>
      <c r="D1201" s="0" t="n">
        <f aca="false">-1+A1201*0.125</f>
        <v>-0.5</v>
      </c>
      <c r="E1201" s="0" t="n">
        <f aca="false">-1+B1201*0.125</f>
        <v>-0.75</v>
      </c>
      <c r="F1201" s="0" t="n">
        <f aca="false">-1+C1201*0.125</f>
        <v>-0.25</v>
      </c>
      <c r="G1201" s="0" t="n">
        <f aca="false">1</f>
        <v>1</v>
      </c>
      <c r="H1201" s="0" t="n">
        <f aca="false">D1201</f>
        <v>-0.5</v>
      </c>
      <c r="I1201" s="0" t="n">
        <f aca="false">E1201</f>
        <v>-0.75</v>
      </c>
      <c r="J1201" s="0" t="n">
        <f aca="false">F1201</f>
        <v>-0.25</v>
      </c>
      <c r="K1201" s="0" t="n">
        <f aca="false">D1201*E1201</f>
        <v>0.375</v>
      </c>
      <c r="L1201" s="0" t="n">
        <f aca="false">D1201*F1201</f>
        <v>0.125</v>
      </c>
      <c r="M1201" s="0" t="n">
        <f aca="false">E1201*F1201</f>
        <v>0.1875</v>
      </c>
      <c r="N1201" s="0" t="n">
        <f aca="false">D1201*D1201</f>
        <v>0.25</v>
      </c>
      <c r="O1201" s="0" t="n">
        <f aca="false">E1201*E1201</f>
        <v>0.5625</v>
      </c>
      <c r="P1201" s="0" t="n">
        <f aca="false">F1201*F1201</f>
        <v>0.0625</v>
      </c>
      <c r="Q1201" s="0" t="n">
        <f aca="false">SUMPRODUCT(G1201:P1201,_XtX!$B$71:$K$71)</f>
        <v>43.8651704545455</v>
      </c>
      <c r="R1201" s="0" t="n">
        <f aca="false">SUMPRODUCT(MMULT(G1201:P1201,_XtX!$B$58:$K$67),G1201:P1201)</f>
        <v>0.237064985795455</v>
      </c>
      <c r="S1201" s="0" t="n">
        <f aca="false">04_回帰ANOVA!$K$19*04_回帰ANOVA!$K$14*SQRT(1+R1201)</f>
        <v>1.03410084594745</v>
      </c>
      <c r="T1201" s="0" t="n">
        <f aca="false">Q1201-S1201</f>
        <v>42.831069608598</v>
      </c>
      <c r="U1201" s="0" t="n">
        <f aca="false">Q1201+S1201</f>
        <v>44.8992713004929</v>
      </c>
      <c r="V1201" s="54" t="b">
        <f aca="false">AND(D1201&gt;=01_因子設定!$L$5-0.000000001,D1201&lt;=01_因子設定!$M$5+0.000000001,E1201&gt;=01_因子設定!$L$6-0.000000001,E1201&lt;=01_因子設定!$M$6+0.000000001,F1201&gt;=01_因子設定!$L$7-0.000000001,F1201&lt;=01_因子設定!$M$7+0.000000001,IF(01_因子設定!$B$20="Box-Behnken",D1201^2+E1201^2+F1201^2&lt;=2+0.000000001,TRUE()))</f>
        <v>1</v>
      </c>
      <c r="W1201" s="55" t="n">
        <f aca="false">IF(V1201,IF(01_因子設定!$B$13="最大化",T1201-01_因子設定!$B$14,IF(01_因子設定!$B$13="最小化",01_因子設定!$B$15-U1201,MIN(T1201-01_因子設定!$B$14,01_因子設定!$B$15-U1201))),-1E+030)</f>
        <v>-5.66893039140198</v>
      </c>
      <c r="X1201" s="55" t="n">
        <f aca="false">IF(V1201,IF(01_因子設定!$B$13="最大化",Q1201,IF(01_因子設定!$B$13="最小化",-Q1201,-ABS(Q1201-01_因子設定!$B$16))),-1E+030)</f>
        <v>43.8651704545455</v>
      </c>
      <c r="Y1201" s="55" t="n">
        <f aca="false">W1201+ROW()*0.000000001</f>
        <v>-5.66892919040198</v>
      </c>
      <c r="Z1201" s="55" t="n">
        <f aca="false">X1201+ROW()*0.000000001</f>
        <v>43.8651716555455</v>
      </c>
    </row>
    <row r="1202" customFormat="false" ht="15" hidden="false" customHeight="false" outlineLevel="0" collapsed="false">
      <c r="A1202" s="0" t="n">
        <v>4</v>
      </c>
      <c r="B1202" s="0" t="n">
        <v>2</v>
      </c>
      <c r="C1202" s="0" t="n">
        <v>7</v>
      </c>
      <c r="D1202" s="0" t="n">
        <f aca="false">-1+A1202*0.125</f>
        <v>-0.5</v>
      </c>
      <c r="E1202" s="0" t="n">
        <f aca="false">-1+B1202*0.125</f>
        <v>-0.75</v>
      </c>
      <c r="F1202" s="0" t="n">
        <f aca="false">-1+C1202*0.125</f>
        <v>-0.125</v>
      </c>
      <c r="G1202" s="0" t="n">
        <f aca="false">1</f>
        <v>1</v>
      </c>
      <c r="H1202" s="0" t="n">
        <f aca="false">D1202</f>
        <v>-0.5</v>
      </c>
      <c r="I1202" s="0" t="n">
        <f aca="false">E1202</f>
        <v>-0.75</v>
      </c>
      <c r="J1202" s="0" t="n">
        <f aca="false">F1202</f>
        <v>-0.125</v>
      </c>
      <c r="K1202" s="0" t="n">
        <f aca="false">D1202*E1202</f>
        <v>0.375</v>
      </c>
      <c r="L1202" s="0" t="n">
        <f aca="false">D1202*F1202</f>
        <v>0.0625</v>
      </c>
      <c r="M1202" s="0" t="n">
        <f aca="false">E1202*F1202</f>
        <v>0.09375</v>
      </c>
      <c r="N1202" s="0" t="n">
        <f aca="false">D1202*D1202</f>
        <v>0.25</v>
      </c>
      <c r="O1202" s="0" t="n">
        <f aca="false">E1202*E1202</f>
        <v>0.5625</v>
      </c>
      <c r="P1202" s="0" t="n">
        <f aca="false">F1202*F1202</f>
        <v>0.015625</v>
      </c>
      <c r="Q1202" s="0" t="n">
        <f aca="false">SUMPRODUCT(G1202:P1202,_XtX!$B$71:$K$71)</f>
        <v>44.0600426136364</v>
      </c>
      <c r="R1202" s="0" t="n">
        <f aca="false">SUMPRODUCT(MMULT(G1202:P1202,_XtX!$B$58:$K$67),G1202:P1202)</f>
        <v>0.240933504971591</v>
      </c>
      <c r="S1202" s="0" t="n">
        <f aca="false">04_回帰ANOVA!$K$19*04_回帰ANOVA!$K$14*SQRT(1+R1202)</f>
        <v>1.03571649118863</v>
      </c>
      <c r="T1202" s="0" t="n">
        <f aca="false">Q1202-S1202</f>
        <v>43.0243261224478</v>
      </c>
      <c r="U1202" s="0" t="n">
        <f aca="false">Q1202+S1202</f>
        <v>45.095759104825</v>
      </c>
      <c r="V1202" s="54" t="b">
        <f aca="false">AND(D1202&gt;=01_因子設定!$L$5-0.000000001,D1202&lt;=01_因子設定!$M$5+0.000000001,E1202&gt;=01_因子設定!$L$6-0.000000001,E1202&lt;=01_因子設定!$M$6+0.000000001,F1202&gt;=01_因子設定!$L$7-0.000000001,F1202&lt;=01_因子設定!$M$7+0.000000001,IF(01_因子設定!$B$20="Box-Behnken",D1202^2+E1202^2+F1202^2&lt;=2+0.000000001,TRUE()))</f>
        <v>1</v>
      </c>
      <c r="W1202" s="55" t="n">
        <f aca="false">IF(V1202,IF(01_因子設定!$B$13="最大化",T1202-01_因子設定!$B$14,IF(01_因子設定!$B$13="最小化",01_因子設定!$B$15-U1202,MIN(T1202-01_因子設定!$B$14,01_因子設定!$B$15-U1202))),-1E+030)</f>
        <v>-5.47567387755225</v>
      </c>
      <c r="X1202" s="55" t="n">
        <f aca="false">IF(V1202,IF(01_因子設定!$B$13="最大化",Q1202,IF(01_因子設定!$B$13="最小化",-Q1202,-ABS(Q1202-01_因子設定!$B$16))),-1E+030)</f>
        <v>44.0600426136364</v>
      </c>
      <c r="Y1202" s="55" t="n">
        <f aca="false">W1202+ROW()*0.000000001</f>
        <v>-5.47567267555225</v>
      </c>
      <c r="Z1202" s="55" t="n">
        <f aca="false">X1202+ROW()*0.000000001</f>
        <v>44.0600438156364</v>
      </c>
    </row>
    <row r="1203" customFormat="false" ht="15" hidden="false" customHeight="false" outlineLevel="0" collapsed="false">
      <c r="A1203" s="0" t="n">
        <v>4</v>
      </c>
      <c r="B1203" s="0" t="n">
        <v>2</v>
      </c>
      <c r="C1203" s="0" t="n">
        <v>8</v>
      </c>
      <c r="D1203" s="0" t="n">
        <f aca="false">-1+A1203*0.125</f>
        <v>-0.5</v>
      </c>
      <c r="E1203" s="0" t="n">
        <f aca="false">-1+B1203*0.125</f>
        <v>-0.75</v>
      </c>
      <c r="F1203" s="0" t="n">
        <f aca="false">-1+C1203*0.125</f>
        <v>0</v>
      </c>
      <c r="G1203" s="0" t="n">
        <f aca="false">1</f>
        <v>1</v>
      </c>
      <c r="H1203" s="0" t="n">
        <f aca="false">D1203</f>
        <v>-0.5</v>
      </c>
      <c r="I1203" s="0" t="n">
        <f aca="false">E1203</f>
        <v>-0.75</v>
      </c>
      <c r="J1203" s="0" t="n">
        <f aca="false">F1203</f>
        <v>0</v>
      </c>
      <c r="K1203" s="0" t="n">
        <f aca="false">D1203*E1203</f>
        <v>0.375</v>
      </c>
      <c r="L1203" s="0" t="n">
        <f aca="false">D1203*F1203</f>
        <v>-0</v>
      </c>
      <c r="M1203" s="0" t="n">
        <f aca="false">E1203*F1203</f>
        <v>-0</v>
      </c>
      <c r="N1203" s="0" t="n">
        <f aca="false">D1203*D1203</f>
        <v>0.25</v>
      </c>
      <c r="O1203" s="0" t="n">
        <f aca="false">E1203*E1203</f>
        <v>0.5625</v>
      </c>
      <c r="P1203" s="0" t="n">
        <f aca="false">F1203*F1203</f>
        <v>0</v>
      </c>
      <c r="Q1203" s="0" t="n">
        <f aca="false">SUMPRODUCT(G1203:P1203,_XtX!$B$71:$K$71)</f>
        <v>44.218125</v>
      </c>
      <c r="R1203" s="0" t="n">
        <f aca="false">SUMPRODUCT(MMULT(G1203:P1203,_XtX!$B$58:$K$67),G1203:P1203)</f>
        <v>0.242578125</v>
      </c>
      <c r="S1203" s="0" t="n">
        <f aca="false">04_回帰ANOVA!$K$19*04_回帰ANOVA!$K$14*SQRT(1+R1203)</f>
        <v>1.03640258600455</v>
      </c>
      <c r="T1203" s="0" t="n">
        <f aca="false">Q1203-S1203</f>
        <v>43.1817224139955</v>
      </c>
      <c r="U1203" s="0" t="n">
        <f aca="false">Q1203+S1203</f>
        <v>45.2545275860046</v>
      </c>
      <c r="V1203" s="54" t="b">
        <f aca="false">AND(D1203&gt;=01_因子設定!$L$5-0.000000001,D1203&lt;=01_因子設定!$M$5+0.000000001,E1203&gt;=01_因子設定!$L$6-0.000000001,E1203&lt;=01_因子設定!$M$6+0.000000001,F1203&gt;=01_因子設定!$L$7-0.000000001,F1203&lt;=01_因子設定!$M$7+0.000000001,IF(01_因子設定!$B$20="Box-Behnken",D1203^2+E1203^2+F1203^2&lt;=2+0.000000001,TRUE()))</f>
        <v>1</v>
      </c>
      <c r="W1203" s="55" t="n">
        <f aca="false">IF(V1203,IF(01_因子設定!$B$13="最大化",T1203-01_因子設定!$B$14,IF(01_因子設定!$B$13="最小化",01_因子設定!$B$15-U1203,MIN(T1203-01_因子設定!$B$14,01_因子設定!$B$15-U1203))),-1E+030)</f>
        <v>-5.31827758600454</v>
      </c>
      <c r="X1203" s="55" t="n">
        <f aca="false">IF(V1203,IF(01_因子設定!$B$13="最大化",Q1203,IF(01_因子設定!$B$13="最小化",-Q1203,-ABS(Q1203-01_因子設定!$B$16))),-1E+030)</f>
        <v>44.218125</v>
      </c>
      <c r="Y1203" s="55" t="n">
        <f aca="false">W1203+ROW()*0.000000001</f>
        <v>-5.31827638300454</v>
      </c>
      <c r="Z1203" s="55" t="n">
        <f aca="false">X1203+ROW()*0.000000001</f>
        <v>44.218126203</v>
      </c>
    </row>
    <row r="1204" customFormat="false" ht="15" hidden="false" customHeight="false" outlineLevel="0" collapsed="false">
      <c r="A1204" s="0" t="n">
        <v>4</v>
      </c>
      <c r="B1204" s="0" t="n">
        <v>2</v>
      </c>
      <c r="C1204" s="0" t="n">
        <v>9</v>
      </c>
      <c r="D1204" s="0" t="n">
        <f aca="false">-1+A1204*0.125</f>
        <v>-0.5</v>
      </c>
      <c r="E1204" s="0" t="n">
        <f aca="false">-1+B1204*0.125</f>
        <v>-0.75</v>
      </c>
      <c r="F1204" s="0" t="n">
        <f aca="false">-1+C1204*0.125</f>
        <v>0.125</v>
      </c>
      <c r="G1204" s="0" t="n">
        <f aca="false">1</f>
        <v>1</v>
      </c>
      <c r="H1204" s="0" t="n">
        <f aca="false">D1204</f>
        <v>-0.5</v>
      </c>
      <c r="I1204" s="0" t="n">
        <f aca="false">E1204</f>
        <v>-0.75</v>
      </c>
      <c r="J1204" s="0" t="n">
        <f aca="false">F1204</f>
        <v>0.125</v>
      </c>
      <c r="K1204" s="0" t="n">
        <f aca="false">D1204*E1204</f>
        <v>0.375</v>
      </c>
      <c r="L1204" s="0" t="n">
        <f aca="false">D1204*F1204</f>
        <v>-0.0625</v>
      </c>
      <c r="M1204" s="0" t="n">
        <f aca="false">E1204*F1204</f>
        <v>-0.09375</v>
      </c>
      <c r="N1204" s="0" t="n">
        <f aca="false">D1204*D1204</f>
        <v>0.25</v>
      </c>
      <c r="O1204" s="0" t="n">
        <f aca="false">E1204*E1204</f>
        <v>0.5625</v>
      </c>
      <c r="P1204" s="0" t="n">
        <f aca="false">F1204*F1204</f>
        <v>0.015625</v>
      </c>
      <c r="Q1204" s="0" t="n">
        <f aca="false">SUMPRODUCT(G1204:P1204,_XtX!$B$71:$K$71)</f>
        <v>44.3394176136364</v>
      </c>
      <c r="R1204" s="0" t="n">
        <f aca="false">SUMPRODUCT(MMULT(G1204:P1204,_XtX!$B$58:$K$67),G1204:P1204)</f>
        <v>0.240933504971591</v>
      </c>
      <c r="S1204" s="0" t="n">
        <f aca="false">04_回帰ANOVA!$K$19*04_回帰ANOVA!$K$14*SQRT(1+R1204)</f>
        <v>1.03571649118863</v>
      </c>
      <c r="T1204" s="0" t="n">
        <f aca="false">Q1204-S1204</f>
        <v>43.3037011224478</v>
      </c>
      <c r="U1204" s="0" t="n">
        <f aca="false">Q1204+S1204</f>
        <v>45.375134104825</v>
      </c>
      <c r="V1204" s="54" t="b">
        <f aca="false">AND(D1204&gt;=01_因子設定!$L$5-0.000000001,D1204&lt;=01_因子設定!$M$5+0.000000001,E1204&gt;=01_因子設定!$L$6-0.000000001,E1204&lt;=01_因子設定!$M$6+0.000000001,F1204&gt;=01_因子設定!$L$7-0.000000001,F1204&lt;=01_因子設定!$M$7+0.000000001,IF(01_因子設定!$B$20="Box-Behnken",D1204^2+E1204^2+F1204^2&lt;=2+0.000000001,TRUE()))</f>
        <v>1</v>
      </c>
      <c r="W1204" s="55" t="n">
        <f aca="false">IF(V1204,IF(01_因子設定!$B$13="最大化",T1204-01_因子設定!$B$14,IF(01_因子設定!$B$13="最小化",01_因子設定!$B$15-U1204,MIN(T1204-01_因子設定!$B$14,01_因子設定!$B$15-U1204))),-1E+030)</f>
        <v>-5.19629887755225</v>
      </c>
      <c r="X1204" s="55" t="n">
        <f aca="false">IF(V1204,IF(01_因子設定!$B$13="最大化",Q1204,IF(01_因子設定!$B$13="最小化",-Q1204,-ABS(Q1204-01_因子設定!$B$16))),-1E+030)</f>
        <v>44.3394176136364</v>
      </c>
      <c r="Y1204" s="55" t="n">
        <f aca="false">W1204+ROW()*0.000000001</f>
        <v>-5.19629767355225</v>
      </c>
      <c r="Z1204" s="55" t="n">
        <f aca="false">X1204+ROW()*0.000000001</f>
        <v>44.3394188176364</v>
      </c>
    </row>
    <row r="1205" customFormat="false" ht="15" hidden="false" customHeight="false" outlineLevel="0" collapsed="false">
      <c r="A1205" s="0" t="n">
        <v>4</v>
      </c>
      <c r="B1205" s="0" t="n">
        <v>2</v>
      </c>
      <c r="C1205" s="0" t="n">
        <v>10</v>
      </c>
      <c r="D1205" s="0" t="n">
        <f aca="false">-1+A1205*0.125</f>
        <v>-0.5</v>
      </c>
      <c r="E1205" s="0" t="n">
        <f aca="false">-1+B1205*0.125</f>
        <v>-0.75</v>
      </c>
      <c r="F1205" s="0" t="n">
        <f aca="false">-1+C1205*0.125</f>
        <v>0.25</v>
      </c>
      <c r="G1205" s="0" t="n">
        <f aca="false">1</f>
        <v>1</v>
      </c>
      <c r="H1205" s="0" t="n">
        <f aca="false">D1205</f>
        <v>-0.5</v>
      </c>
      <c r="I1205" s="0" t="n">
        <f aca="false">E1205</f>
        <v>-0.75</v>
      </c>
      <c r="J1205" s="0" t="n">
        <f aca="false">F1205</f>
        <v>0.25</v>
      </c>
      <c r="K1205" s="0" t="n">
        <f aca="false">D1205*E1205</f>
        <v>0.375</v>
      </c>
      <c r="L1205" s="0" t="n">
        <f aca="false">D1205*F1205</f>
        <v>-0.125</v>
      </c>
      <c r="M1205" s="0" t="n">
        <f aca="false">E1205*F1205</f>
        <v>-0.1875</v>
      </c>
      <c r="N1205" s="0" t="n">
        <f aca="false">D1205*D1205</f>
        <v>0.25</v>
      </c>
      <c r="O1205" s="0" t="n">
        <f aca="false">E1205*E1205</f>
        <v>0.5625</v>
      </c>
      <c r="P1205" s="0" t="n">
        <f aca="false">F1205*F1205</f>
        <v>0.0625</v>
      </c>
      <c r="Q1205" s="0" t="n">
        <f aca="false">SUMPRODUCT(G1205:P1205,_XtX!$B$71:$K$71)</f>
        <v>44.4239204545455</v>
      </c>
      <c r="R1205" s="0" t="n">
        <f aca="false">SUMPRODUCT(MMULT(G1205:P1205,_XtX!$B$58:$K$67),G1205:P1205)</f>
        <v>0.237064985795455</v>
      </c>
      <c r="S1205" s="0" t="n">
        <f aca="false">04_回帰ANOVA!$K$19*04_回帰ANOVA!$K$14*SQRT(1+R1205)</f>
        <v>1.03410084594745</v>
      </c>
      <c r="T1205" s="0" t="n">
        <f aca="false">Q1205-S1205</f>
        <v>43.389819608598</v>
      </c>
      <c r="U1205" s="0" t="n">
        <f aca="false">Q1205+S1205</f>
        <v>45.4580213004929</v>
      </c>
      <c r="V1205" s="54" t="b">
        <f aca="false">AND(D1205&gt;=01_因子設定!$L$5-0.000000001,D1205&lt;=01_因子設定!$M$5+0.000000001,E1205&gt;=01_因子設定!$L$6-0.000000001,E1205&lt;=01_因子設定!$M$6+0.000000001,F1205&gt;=01_因子設定!$L$7-0.000000001,F1205&lt;=01_因子設定!$M$7+0.000000001,IF(01_因子設定!$B$20="Box-Behnken",D1205^2+E1205^2+F1205^2&lt;=2+0.000000001,TRUE()))</f>
        <v>1</v>
      </c>
      <c r="W1205" s="55" t="n">
        <f aca="false">IF(V1205,IF(01_因子設定!$B$13="最大化",T1205-01_因子設定!$B$14,IF(01_因子設定!$B$13="最小化",01_因子設定!$B$15-U1205,MIN(T1205-01_因子設定!$B$14,01_因子設定!$B$15-U1205))),-1E+030)</f>
        <v>-5.11018039140198</v>
      </c>
      <c r="X1205" s="55" t="n">
        <f aca="false">IF(V1205,IF(01_因子設定!$B$13="最大化",Q1205,IF(01_因子設定!$B$13="最小化",-Q1205,-ABS(Q1205-01_因子設定!$B$16))),-1E+030)</f>
        <v>44.4239204545455</v>
      </c>
      <c r="Y1205" s="55" t="n">
        <f aca="false">W1205+ROW()*0.000000001</f>
        <v>-5.11017918640198</v>
      </c>
      <c r="Z1205" s="55" t="n">
        <f aca="false">X1205+ROW()*0.000000001</f>
        <v>44.4239216595455</v>
      </c>
    </row>
    <row r="1206" customFormat="false" ht="15" hidden="false" customHeight="false" outlineLevel="0" collapsed="false">
      <c r="A1206" s="0" t="n">
        <v>4</v>
      </c>
      <c r="B1206" s="0" t="n">
        <v>2</v>
      </c>
      <c r="C1206" s="0" t="n">
        <v>11</v>
      </c>
      <c r="D1206" s="0" t="n">
        <f aca="false">-1+A1206*0.125</f>
        <v>-0.5</v>
      </c>
      <c r="E1206" s="0" t="n">
        <f aca="false">-1+B1206*0.125</f>
        <v>-0.75</v>
      </c>
      <c r="F1206" s="0" t="n">
        <f aca="false">-1+C1206*0.125</f>
        <v>0.375</v>
      </c>
      <c r="G1206" s="0" t="n">
        <f aca="false">1</f>
        <v>1</v>
      </c>
      <c r="H1206" s="0" t="n">
        <f aca="false">D1206</f>
        <v>-0.5</v>
      </c>
      <c r="I1206" s="0" t="n">
        <f aca="false">E1206</f>
        <v>-0.75</v>
      </c>
      <c r="J1206" s="0" t="n">
        <f aca="false">F1206</f>
        <v>0.375</v>
      </c>
      <c r="K1206" s="0" t="n">
        <f aca="false">D1206*E1206</f>
        <v>0.375</v>
      </c>
      <c r="L1206" s="0" t="n">
        <f aca="false">D1206*F1206</f>
        <v>-0.1875</v>
      </c>
      <c r="M1206" s="0" t="n">
        <f aca="false">E1206*F1206</f>
        <v>-0.28125</v>
      </c>
      <c r="N1206" s="0" t="n">
        <f aca="false">D1206*D1206</f>
        <v>0.25</v>
      </c>
      <c r="O1206" s="0" t="n">
        <f aca="false">E1206*E1206</f>
        <v>0.5625</v>
      </c>
      <c r="P1206" s="0" t="n">
        <f aca="false">F1206*F1206</f>
        <v>0.140625</v>
      </c>
      <c r="Q1206" s="0" t="n">
        <f aca="false">SUMPRODUCT(G1206:P1206,_XtX!$B$71:$K$71)</f>
        <v>44.4716335227273</v>
      </c>
      <c r="R1206" s="0" t="n">
        <f aca="false">SUMPRODUCT(MMULT(G1206:P1206,_XtX!$B$58:$K$67),G1206:P1206)</f>
        <v>0.234168590198864</v>
      </c>
      <c r="S1206" s="0" t="n">
        <f aca="false">04_回帰ANOVA!$K$19*04_回帰ANOVA!$K$14*SQRT(1+R1206)</f>
        <v>1.03288954322488</v>
      </c>
      <c r="T1206" s="0" t="n">
        <f aca="false">Q1206-S1206</f>
        <v>43.4387439795024</v>
      </c>
      <c r="U1206" s="0" t="n">
        <f aca="false">Q1206+S1206</f>
        <v>45.5045230659522</v>
      </c>
      <c r="V1206" s="54" t="b">
        <f aca="false">AND(D1206&gt;=01_因子設定!$L$5-0.000000001,D1206&lt;=01_因子設定!$M$5+0.000000001,E1206&gt;=01_因子設定!$L$6-0.000000001,E1206&lt;=01_因子設定!$M$6+0.000000001,F1206&gt;=01_因子設定!$L$7-0.000000001,F1206&lt;=01_因子設定!$M$7+0.000000001,IF(01_因子設定!$B$20="Box-Behnken",D1206^2+E1206^2+F1206^2&lt;=2+0.000000001,TRUE()))</f>
        <v>1</v>
      </c>
      <c r="W1206" s="55" t="n">
        <f aca="false">IF(V1206,IF(01_因子設定!$B$13="最大化",T1206-01_因子設定!$B$14,IF(01_因子設定!$B$13="最小化",01_因子設定!$B$15-U1206,MIN(T1206-01_因子設定!$B$14,01_因子設定!$B$15-U1206))),-1E+030)</f>
        <v>-5.0612560204976</v>
      </c>
      <c r="X1206" s="55" t="n">
        <f aca="false">IF(V1206,IF(01_因子設定!$B$13="最大化",Q1206,IF(01_因子設定!$B$13="最小化",-Q1206,-ABS(Q1206-01_因子設定!$B$16))),-1E+030)</f>
        <v>44.4716335227273</v>
      </c>
      <c r="Y1206" s="55" t="n">
        <f aca="false">W1206+ROW()*0.000000001</f>
        <v>-5.0612548144976</v>
      </c>
      <c r="Z1206" s="55" t="n">
        <f aca="false">X1206+ROW()*0.000000001</f>
        <v>44.4716347287273</v>
      </c>
    </row>
    <row r="1207" customFormat="false" ht="15" hidden="false" customHeight="false" outlineLevel="0" collapsed="false">
      <c r="A1207" s="0" t="n">
        <v>4</v>
      </c>
      <c r="B1207" s="0" t="n">
        <v>2</v>
      </c>
      <c r="C1207" s="0" t="n">
        <v>12</v>
      </c>
      <c r="D1207" s="0" t="n">
        <f aca="false">-1+A1207*0.125</f>
        <v>-0.5</v>
      </c>
      <c r="E1207" s="0" t="n">
        <f aca="false">-1+B1207*0.125</f>
        <v>-0.75</v>
      </c>
      <c r="F1207" s="0" t="n">
        <f aca="false">-1+C1207*0.125</f>
        <v>0.5</v>
      </c>
      <c r="G1207" s="0" t="n">
        <f aca="false">1</f>
        <v>1</v>
      </c>
      <c r="H1207" s="0" t="n">
        <f aca="false">D1207</f>
        <v>-0.5</v>
      </c>
      <c r="I1207" s="0" t="n">
        <f aca="false">E1207</f>
        <v>-0.75</v>
      </c>
      <c r="J1207" s="0" t="n">
        <f aca="false">F1207</f>
        <v>0.5</v>
      </c>
      <c r="K1207" s="0" t="n">
        <f aca="false">D1207*E1207</f>
        <v>0.375</v>
      </c>
      <c r="L1207" s="0" t="n">
        <f aca="false">D1207*F1207</f>
        <v>-0.25</v>
      </c>
      <c r="M1207" s="0" t="n">
        <f aca="false">E1207*F1207</f>
        <v>-0.375</v>
      </c>
      <c r="N1207" s="0" t="n">
        <f aca="false">D1207*D1207</f>
        <v>0.25</v>
      </c>
      <c r="O1207" s="0" t="n">
        <f aca="false">E1207*E1207</f>
        <v>0.5625</v>
      </c>
      <c r="P1207" s="0" t="n">
        <f aca="false">F1207*F1207</f>
        <v>0.25</v>
      </c>
      <c r="Q1207" s="0" t="n">
        <f aca="false">SUMPRODUCT(G1207:P1207,_XtX!$B$71:$K$71)</f>
        <v>44.4825568181818</v>
      </c>
      <c r="R1207" s="0" t="n">
        <f aca="false">SUMPRODUCT(MMULT(G1207:P1207,_XtX!$B$58:$K$67),G1207:P1207)</f>
        <v>0.237571022727273</v>
      </c>
      <c r="S1207" s="0" t="n">
        <f aca="false">04_回帰ANOVA!$K$19*04_回帰ANOVA!$K$14*SQRT(1+R1207)</f>
        <v>1.0343123302758</v>
      </c>
      <c r="T1207" s="0" t="n">
        <f aca="false">Q1207-S1207</f>
        <v>43.448244487906</v>
      </c>
      <c r="U1207" s="0" t="n">
        <f aca="false">Q1207+S1207</f>
        <v>45.5168691484576</v>
      </c>
      <c r="V1207" s="54" t="b">
        <f aca="false">AND(D1207&gt;=01_因子設定!$L$5-0.000000001,D1207&lt;=01_因子設定!$M$5+0.000000001,E1207&gt;=01_因子設定!$L$6-0.000000001,E1207&lt;=01_因子設定!$M$6+0.000000001,F1207&gt;=01_因子設定!$L$7-0.000000001,F1207&lt;=01_因子設定!$M$7+0.000000001,IF(01_因子設定!$B$20="Box-Behnken",D1207^2+E1207^2+F1207^2&lt;=2+0.000000001,TRUE()))</f>
        <v>1</v>
      </c>
      <c r="W1207" s="55" t="n">
        <f aca="false">IF(V1207,IF(01_因子設定!$B$13="最大化",T1207-01_因子設定!$B$14,IF(01_因子設定!$B$13="最小化",01_因子設定!$B$15-U1207,MIN(T1207-01_因子設定!$B$14,01_因子設定!$B$15-U1207))),-1E+030)</f>
        <v>-5.05175551209398</v>
      </c>
      <c r="X1207" s="55" t="n">
        <f aca="false">IF(V1207,IF(01_因子設定!$B$13="最大化",Q1207,IF(01_因子設定!$B$13="最小化",-Q1207,-ABS(Q1207-01_因子設定!$B$16))),-1E+030)</f>
        <v>44.4825568181818</v>
      </c>
      <c r="Y1207" s="55" t="n">
        <f aca="false">W1207+ROW()*0.000000001</f>
        <v>-5.05175430509398</v>
      </c>
      <c r="Z1207" s="55" t="n">
        <f aca="false">X1207+ROW()*0.000000001</f>
        <v>44.4825580251818</v>
      </c>
    </row>
    <row r="1208" customFormat="false" ht="15" hidden="false" customHeight="false" outlineLevel="0" collapsed="false">
      <c r="A1208" s="0" t="n">
        <v>4</v>
      </c>
      <c r="B1208" s="0" t="n">
        <v>2</v>
      </c>
      <c r="C1208" s="0" t="n">
        <v>13</v>
      </c>
      <c r="D1208" s="0" t="n">
        <f aca="false">-1+A1208*0.125</f>
        <v>-0.5</v>
      </c>
      <c r="E1208" s="0" t="n">
        <f aca="false">-1+B1208*0.125</f>
        <v>-0.75</v>
      </c>
      <c r="F1208" s="0" t="n">
        <f aca="false">-1+C1208*0.125</f>
        <v>0.625</v>
      </c>
      <c r="G1208" s="0" t="n">
        <f aca="false">1</f>
        <v>1</v>
      </c>
      <c r="H1208" s="0" t="n">
        <f aca="false">D1208</f>
        <v>-0.5</v>
      </c>
      <c r="I1208" s="0" t="n">
        <f aca="false">E1208</f>
        <v>-0.75</v>
      </c>
      <c r="J1208" s="0" t="n">
        <f aca="false">F1208</f>
        <v>0.625</v>
      </c>
      <c r="K1208" s="0" t="n">
        <f aca="false">D1208*E1208</f>
        <v>0.375</v>
      </c>
      <c r="L1208" s="0" t="n">
        <f aca="false">D1208*F1208</f>
        <v>-0.3125</v>
      </c>
      <c r="M1208" s="0" t="n">
        <f aca="false">E1208*F1208</f>
        <v>-0.46875</v>
      </c>
      <c r="N1208" s="0" t="n">
        <f aca="false">D1208*D1208</f>
        <v>0.25</v>
      </c>
      <c r="O1208" s="0" t="n">
        <f aca="false">E1208*E1208</f>
        <v>0.5625</v>
      </c>
      <c r="P1208" s="0" t="n">
        <f aca="false">F1208*F1208</f>
        <v>0.390625</v>
      </c>
      <c r="Q1208" s="0" t="n">
        <f aca="false">SUMPRODUCT(G1208:P1208,_XtX!$B$71:$K$71)</f>
        <v>44.4566903409091</v>
      </c>
      <c r="R1208" s="0" t="n">
        <f aca="false">SUMPRODUCT(MMULT(G1208:P1208,_XtX!$B$58:$K$67),G1208:P1208)</f>
        <v>0.254729669744318</v>
      </c>
      <c r="S1208" s="0" t="n">
        <f aca="false">04_回帰ANOVA!$K$19*04_回帰ANOVA!$K$14*SQRT(1+R1208)</f>
        <v>1.04145790281631</v>
      </c>
      <c r="T1208" s="0" t="n">
        <f aca="false">Q1208-S1208</f>
        <v>43.4152324380928</v>
      </c>
      <c r="U1208" s="0" t="n">
        <f aca="false">Q1208+S1208</f>
        <v>45.4981482437254</v>
      </c>
      <c r="V1208" s="54" t="b">
        <f aca="false">AND(D1208&gt;=01_因子設定!$L$5-0.000000001,D1208&lt;=01_因子設定!$M$5+0.000000001,E1208&gt;=01_因子設定!$L$6-0.000000001,E1208&lt;=01_因子設定!$M$6+0.000000001,F1208&gt;=01_因子設定!$L$7-0.000000001,F1208&lt;=01_因子設定!$M$7+0.000000001,IF(01_因子設定!$B$20="Box-Behnken",D1208^2+E1208^2+F1208^2&lt;=2+0.000000001,TRUE()))</f>
        <v>1</v>
      </c>
      <c r="W1208" s="55" t="n">
        <f aca="false">IF(V1208,IF(01_因子設定!$B$13="最大化",T1208-01_因子設定!$B$14,IF(01_因子設定!$B$13="最小化",01_因子設定!$B$15-U1208,MIN(T1208-01_因子設定!$B$14,01_因子設定!$B$15-U1208))),-1E+030)</f>
        <v>-5.08476756190721</v>
      </c>
      <c r="X1208" s="55" t="n">
        <f aca="false">IF(V1208,IF(01_因子設定!$B$13="最大化",Q1208,IF(01_因子設定!$B$13="最小化",-Q1208,-ABS(Q1208-01_因子設定!$B$16))),-1E+030)</f>
        <v>44.4566903409091</v>
      </c>
      <c r="Y1208" s="55" t="n">
        <f aca="false">W1208+ROW()*0.000000001</f>
        <v>-5.08476635390721</v>
      </c>
      <c r="Z1208" s="55" t="n">
        <f aca="false">X1208+ROW()*0.000000001</f>
        <v>44.4566915489091</v>
      </c>
    </row>
    <row r="1209" customFormat="false" ht="15" hidden="false" customHeight="false" outlineLevel="0" collapsed="false">
      <c r="A1209" s="0" t="n">
        <v>4</v>
      </c>
      <c r="B1209" s="0" t="n">
        <v>2</v>
      </c>
      <c r="C1209" s="0" t="n">
        <v>14</v>
      </c>
      <c r="D1209" s="0" t="n">
        <f aca="false">-1+A1209*0.125</f>
        <v>-0.5</v>
      </c>
      <c r="E1209" s="0" t="n">
        <f aca="false">-1+B1209*0.125</f>
        <v>-0.75</v>
      </c>
      <c r="F1209" s="0" t="n">
        <f aca="false">-1+C1209*0.125</f>
        <v>0.75</v>
      </c>
      <c r="G1209" s="0" t="n">
        <f aca="false">1</f>
        <v>1</v>
      </c>
      <c r="H1209" s="0" t="n">
        <f aca="false">D1209</f>
        <v>-0.5</v>
      </c>
      <c r="I1209" s="0" t="n">
        <f aca="false">E1209</f>
        <v>-0.75</v>
      </c>
      <c r="J1209" s="0" t="n">
        <f aca="false">F1209</f>
        <v>0.75</v>
      </c>
      <c r="K1209" s="0" t="n">
        <f aca="false">D1209*E1209</f>
        <v>0.375</v>
      </c>
      <c r="L1209" s="0" t="n">
        <f aca="false">D1209*F1209</f>
        <v>-0.375</v>
      </c>
      <c r="M1209" s="0" t="n">
        <f aca="false">E1209*F1209</f>
        <v>-0.5625</v>
      </c>
      <c r="N1209" s="0" t="n">
        <f aca="false">D1209*D1209</f>
        <v>0.25</v>
      </c>
      <c r="O1209" s="0" t="n">
        <f aca="false">E1209*E1209</f>
        <v>0.5625</v>
      </c>
      <c r="P1209" s="0" t="n">
        <f aca="false">F1209*F1209</f>
        <v>0.5625</v>
      </c>
      <c r="Q1209" s="0" t="n">
        <f aca="false">SUMPRODUCT(G1209:P1209,_XtX!$B$71:$K$71)</f>
        <v>44.3940340909091</v>
      </c>
      <c r="R1209" s="0" t="n">
        <f aca="false">SUMPRODUCT(MMULT(G1209:P1209,_XtX!$B$58:$K$67),G1209:P1209)</f>
        <v>0.295232599431818</v>
      </c>
      <c r="S1209" s="0" t="n">
        <f aca="false">04_回帰ANOVA!$K$19*04_回帰ANOVA!$K$14*SQRT(1+R1209)</f>
        <v>1.05813363442154</v>
      </c>
      <c r="T1209" s="0" t="n">
        <f aca="false">Q1209-S1209</f>
        <v>43.3359004564876</v>
      </c>
      <c r="U1209" s="0" t="n">
        <f aca="false">Q1209+S1209</f>
        <v>45.4521677253306</v>
      </c>
      <c r="V1209" s="54" t="b">
        <f aca="false">AND(D1209&gt;=01_因子設定!$L$5-0.000000001,D1209&lt;=01_因子設定!$M$5+0.000000001,E1209&gt;=01_因子設定!$L$6-0.000000001,E1209&lt;=01_因子設定!$M$6+0.000000001,F1209&gt;=01_因子設定!$L$7-0.000000001,F1209&lt;=01_因子設定!$M$7+0.000000001,IF(01_因子設定!$B$20="Box-Behnken",D1209^2+E1209^2+F1209^2&lt;=2+0.000000001,TRUE()))</f>
        <v>1</v>
      </c>
      <c r="W1209" s="55" t="n">
        <f aca="false">IF(V1209,IF(01_因子設定!$B$13="最大化",T1209-01_因子設定!$B$14,IF(01_因子設定!$B$13="最小化",01_因子設定!$B$15-U1209,MIN(T1209-01_因子設定!$B$14,01_因子設定!$B$15-U1209))),-1E+030)</f>
        <v>-5.16409954351243</v>
      </c>
      <c r="X1209" s="55" t="n">
        <f aca="false">IF(V1209,IF(01_因子設定!$B$13="最大化",Q1209,IF(01_因子設定!$B$13="最小化",-Q1209,-ABS(Q1209-01_因子設定!$B$16))),-1E+030)</f>
        <v>44.3940340909091</v>
      </c>
      <c r="Y1209" s="55" t="n">
        <f aca="false">W1209+ROW()*0.000000001</f>
        <v>-5.16409833451243</v>
      </c>
      <c r="Z1209" s="55" t="n">
        <f aca="false">X1209+ROW()*0.000000001</f>
        <v>44.3940352999091</v>
      </c>
    </row>
    <row r="1210" customFormat="false" ht="15" hidden="false" customHeight="false" outlineLevel="0" collapsed="false">
      <c r="A1210" s="0" t="n">
        <v>4</v>
      </c>
      <c r="B1210" s="0" t="n">
        <v>2</v>
      </c>
      <c r="C1210" s="0" t="n">
        <v>15</v>
      </c>
      <c r="D1210" s="0" t="n">
        <f aca="false">-1+A1210*0.125</f>
        <v>-0.5</v>
      </c>
      <c r="E1210" s="0" t="n">
        <f aca="false">-1+B1210*0.125</f>
        <v>-0.75</v>
      </c>
      <c r="F1210" s="0" t="n">
        <f aca="false">-1+C1210*0.125</f>
        <v>0.875</v>
      </c>
      <c r="G1210" s="0" t="n">
        <f aca="false">1</f>
        <v>1</v>
      </c>
      <c r="H1210" s="0" t="n">
        <f aca="false">D1210</f>
        <v>-0.5</v>
      </c>
      <c r="I1210" s="0" t="n">
        <f aca="false">E1210</f>
        <v>-0.75</v>
      </c>
      <c r="J1210" s="0" t="n">
        <f aca="false">F1210</f>
        <v>0.875</v>
      </c>
      <c r="K1210" s="0" t="n">
        <f aca="false">D1210*E1210</f>
        <v>0.375</v>
      </c>
      <c r="L1210" s="0" t="n">
        <f aca="false">D1210*F1210</f>
        <v>-0.4375</v>
      </c>
      <c r="M1210" s="0" t="n">
        <f aca="false">E1210*F1210</f>
        <v>-0.65625</v>
      </c>
      <c r="N1210" s="0" t="n">
        <f aca="false">D1210*D1210</f>
        <v>0.25</v>
      </c>
      <c r="O1210" s="0" t="n">
        <f aca="false">E1210*E1210</f>
        <v>0.5625</v>
      </c>
      <c r="P1210" s="0" t="n">
        <f aca="false">F1210*F1210</f>
        <v>0.765625</v>
      </c>
      <c r="Q1210" s="0" t="n">
        <f aca="false">SUMPRODUCT(G1210:P1210,_XtX!$B$71:$K$71)</f>
        <v>44.2945880681818</v>
      </c>
      <c r="R1210" s="0" t="n">
        <f aca="false">SUMPRODUCT(MMULT(G1210:P1210,_XtX!$B$58:$K$67),G1210:P1210)</f>
        <v>0.370798561789773</v>
      </c>
      <c r="S1210" s="0" t="n">
        <f aca="false">04_回帰ANOVA!$K$19*04_回帰ANOVA!$K$14*SQRT(1+R1210)</f>
        <v>1.08856271788237</v>
      </c>
      <c r="T1210" s="0" t="n">
        <f aca="false">Q1210-S1210</f>
        <v>43.2060253502995</v>
      </c>
      <c r="U1210" s="0" t="n">
        <f aca="false">Q1210+S1210</f>
        <v>45.3831507860642</v>
      </c>
      <c r="V1210" s="54" t="b">
        <f aca="false">AND(D1210&gt;=01_因子設定!$L$5-0.000000001,D1210&lt;=01_因子設定!$M$5+0.000000001,E1210&gt;=01_因子設定!$L$6-0.000000001,E1210&lt;=01_因子設定!$M$6+0.000000001,F1210&gt;=01_因子設定!$L$7-0.000000001,F1210&lt;=01_因子設定!$M$7+0.000000001,IF(01_因子設定!$B$20="Box-Behnken",D1210^2+E1210^2+F1210^2&lt;=2+0.000000001,TRUE()))</f>
        <v>1</v>
      </c>
      <c r="W1210" s="55" t="n">
        <f aca="false">IF(V1210,IF(01_因子設定!$B$13="最大化",T1210-01_因子設定!$B$14,IF(01_因子設定!$B$13="最小化",01_因子設定!$B$15-U1210,MIN(T1210-01_因子設定!$B$14,01_因子設定!$B$15-U1210))),-1E+030)</f>
        <v>-5.29397464970054</v>
      </c>
      <c r="X1210" s="55" t="n">
        <f aca="false">IF(V1210,IF(01_因子設定!$B$13="最大化",Q1210,IF(01_因子設定!$B$13="最小化",-Q1210,-ABS(Q1210-01_因子設定!$B$16))),-1E+030)</f>
        <v>44.2945880681818</v>
      </c>
      <c r="Y1210" s="55" t="n">
        <f aca="false">W1210+ROW()*0.000000001</f>
        <v>-5.29397343970054</v>
      </c>
      <c r="Z1210" s="55" t="n">
        <f aca="false">X1210+ROW()*0.000000001</f>
        <v>44.2945892781818</v>
      </c>
    </row>
    <row r="1211" customFormat="false" ht="15" hidden="false" customHeight="false" outlineLevel="0" collapsed="false">
      <c r="A1211" s="0" t="n">
        <v>4</v>
      </c>
      <c r="B1211" s="0" t="n">
        <v>2</v>
      </c>
      <c r="C1211" s="0" t="n">
        <v>16</v>
      </c>
      <c r="D1211" s="0" t="n">
        <f aca="false">-1+A1211*0.125</f>
        <v>-0.5</v>
      </c>
      <c r="E1211" s="0" t="n">
        <f aca="false">-1+B1211*0.125</f>
        <v>-0.75</v>
      </c>
      <c r="F1211" s="0" t="n">
        <f aca="false">-1+C1211*0.125</f>
        <v>1</v>
      </c>
      <c r="G1211" s="0" t="n">
        <f aca="false">1</f>
        <v>1</v>
      </c>
      <c r="H1211" s="0" t="n">
        <f aca="false">D1211</f>
        <v>-0.5</v>
      </c>
      <c r="I1211" s="0" t="n">
        <f aca="false">E1211</f>
        <v>-0.75</v>
      </c>
      <c r="J1211" s="0" t="n">
        <f aca="false">F1211</f>
        <v>1</v>
      </c>
      <c r="K1211" s="0" t="n">
        <f aca="false">D1211*E1211</f>
        <v>0.375</v>
      </c>
      <c r="L1211" s="0" t="n">
        <f aca="false">D1211*F1211</f>
        <v>-0.5</v>
      </c>
      <c r="M1211" s="0" t="n">
        <f aca="false">E1211*F1211</f>
        <v>-0.75</v>
      </c>
      <c r="N1211" s="0" t="n">
        <f aca="false">D1211*D1211</f>
        <v>0.25</v>
      </c>
      <c r="O1211" s="0" t="n">
        <f aca="false">E1211*E1211</f>
        <v>0.5625</v>
      </c>
      <c r="P1211" s="0" t="n">
        <f aca="false">F1211*F1211</f>
        <v>1</v>
      </c>
      <c r="Q1211" s="0" t="n">
        <f aca="false">SUMPRODUCT(G1211:P1211,_XtX!$B$71:$K$71)</f>
        <v>44.1583522727273</v>
      </c>
      <c r="R1211" s="0" t="n">
        <f aca="false">SUMPRODUCT(MMULT(G1211:P1211,_XtX!$B$58:$K$67),G1211:P1211)</f>
        <v>0.495276988636364</v>
      </c>
      <c r="S1211" s="0" t="n">
        <f aca="false">04_回帰ANOVA!$K$19*04_回帰ANOVA!$K$14*SQRT(1+R1211)</f>
        <v>1.13691359828352</v>
      </c>
      <c r="T1211" s="0" t="n">
        <f aca="false">Q1211-S1211</f>
        <v>43.0214386744438</v>
      </c>
      <c r="U1211" s="0" t="n">
        <f aca="false">Q1211+S1211</f>
        <v>45.2952658710108</v>
      </c>
      <c r="V1211" s="54" t="b">
        <f aca="false">AND(D1211&gt;=01_因子設定!$L$5-0.000000001,D1211&lt;=01_因子設定!$M$5+0.000000001,E1211&gt;=01_因子設定!$L$6-0.000000001,E1211&lt;=01_因子設定!$M$6+0.000000001,F1211&gt;=01_因子設定!$L$7-0.000000001,F1211&lt;=01_因子設定!$M$7+0.000000001,IF(01_因子設定!$B$20="Box-Behnken",D1211^2+E1211^2+F1211^2&lt;=2+0.000000001,TRUE()))</f>
        <v>1</v>
      </c>
      <c r="W1211" s="55" t="n">
        <f aca="false">IF(V1211,IF(01_因子設定!$B$13="最大化",T1211-01_因子設定!$B$14,IF(01_因子設定!$B$13="最小化",01_因子設定!$B$15-U1211,MIN(T1211-01_因子設定!$B$14,01_因子設定!$B$15-U1211))),-1E+030)</f>
        <v>-5.47856132555622</v>
      </c>
      <c r="X1211" s="55" t="n">
        <f aca="false">IF(V1211,IF(01_因子設定!$B$13="最大化",Q1211,IF(01_因子設定!$B$13="最小化",-Q1211,-ABS(Q1211-01_因子設定!$B$16))),-1E+030)</f>
        <v>44.1583522727273</v>
      </c>
      <c r="Y1211" s="55" t="n">
        <f aca="false">W1211+ROW()*0.000000001</f>
        <v>-5.47856011455622</v>
      </c>
      <c r="Z1211" s="55" t="n">
        <f aca="false">X1211+ROW()*0.000000001</f>
        <v>44.1583534837273</v>
      </c>
    </row>
    <row r="1212" customFormat="false" ht="15" hidden="false" customHeight="false" outlineLevel="0" collapsed="false">
      <c r="A1212" s="0" t="n">
        <v>4</v>
      </c>
      <c r="B1212" s="0" t="n">
        <v>3</v>
      </c>
      <c r="C1212" s="0" t="n">
        <v>0</v>
      </c>
      <c r="D1212" s="0" t="n">
        <f aca="false">-1+A1212*0.125</f>
        <v>-0.5</v>
      </c>
      <c r="E1212" s="0" t="n">
        <f aca="false">-1+B1212*0.125</f>
        <v>-0.625</v>
      </c>
      <c r="F1212" s="0" t="n">
        <f aca="false">-1+C1212*0.125</f>
        <v>-1</v>
      </c>
      <c r="G1212" s="0" t="n">
        <f aca="false">1</f>
        <v>1</v>
      </c>
      <c r="H1212" s="0" t="n">
        <f aca="false">D1212</f>
        <v>-0.5</v>
      </c>
      <c r="I1212" s="0" t="n">
        <f aca="false">E1212</f>
        <v>-0.625</v>
      </c>
      <c r="J1212" s="0" t="n">
        <f aca="false">F1212</f>
        <v>-1</v>
      </c>
      <c r="K1212" s="0" t="n">
        <f aca="false">D1212*E1212</f>
        <v>0.3125</v>
      </c>
      <c r="L1212" s="0" t="n">
        <f aca="false">D1212*F1212</f>
        <v>0.5</v>
      </c>
      <c r="M1212" s="0" t="n">
        <f aca="false">E1212*F1212</f>
        <v>0.625</v>
      </c>
      <c r="N1212" s="0" t="n">
        <f aca="false">D1212*D1212</f>
        <v>0.25</v>
      </c>
      <c r="O1212" s="0" t="n">
        <f aca="false">E1212*E1212</f>
        <v>0.390625</v>
      </c>
      <c r="P1212" s="0" t="n">
        <f aca="false">F1212*F1212</f>
        <v>1</v>
      </c>
      <c r="Q1212" s="0" t="n">
        <f aca="false">SUMPRODUCT(G1212:P1212,_XtX!$B$71:$K$71)</f>
        <v>42.3977272727273</v>
      </c>
      <c r="R1212" s="0" t="n">
        <f aca="false">SUMPRODUCT(MMULT(G1212:P1212,_XtX!$B$58:$K$67),G1212:P1212)</f>
        <v>0.465882457386364</v>
      </c>
      <c r="S1212" s="0" t="n">
        <f aca="false">04_回帰ANOVA!$K$19*04_回帰ANOVA!$K$14*SQRT(1+R1212)</f>
        <v>1.12568326538173</v>
      </c>
      <c r="T1212" s="0" t="n">
        <f aca="false">Q1212-S1212</f>
        <v>41.2720440073456</v>
      </c>
      <c r="U1212" s="0" t="n">
        <f aca="false">Q1212+S1212</f>
        <v>43.523410538109</v>
      </c>
      <c r="V1212" s="54" t="b">
        <f aca="false">AND(D1212&gt;=01_因子設定!$L$5-0.000000001,D1212&lt;=01_因子設定!$M$5+0.000000001,E1212&gt;=01_因子設定!$L$6-0.000000001,E1212&lt;=01_因子設定!$M$6+0.000000001,F1212&gt;=01_因子設定!$L$7-0.000000001,F1212&lt;=01_因子設定!$M$7+0.000000001,IF(01_因子設定!$B$20="Box-Behnken",D1212^2+E1212^2+F1212^2&lt;=2+0.000000001,TRUE()))</f>
        <v>1</v>
      </c>
      <c r="W1212" s="55" t="n">
        <f aca="false">IF(V1212,IF(01_因子設定!$B$13="最大化",T1212-01_因子設定!$B$14,IF(01_因子設定!$B$13="最小化",01_因子設定!$B$15-U1212,MIN(T1212-01_因子設定!$B$14,01_因子設定!$B$15-U1212))),-1E+030)</f>
        <v>-7.22795599265443</v>
      </c>
      <c r="X1212" s="55" t="n">
        <f aca="false">IF(V1212,IF(01_因子設定!$B$13="最大化",Q1212,IF(01_因子設定!$B$13="最小化",-Q1212,-ABS(Q1212-01_因子設定!$B$16))),-1E+030)</f>
        <v>42.3977272727273</v>
      </c>
      <c r="Y1212" s="55" t="n">
        <f aca="false">W1212+ROW()*0.000000001</f>
        <v>-7.22795478065443</v>
      </c>
      <c r="Z1212" s="55" t="n">
        <f aca="false">X1212+ROW()*0.000000001</f>
        <v>42.3977284847273</v>
      </c>
    </row>
    <row r="1213" customFormat="false" ht="15" hidden="false" customHeight="false" outlineLevel="0" collapsed="false">
      <c r="A1213" s="0" t="n">
        <v>4</v>
      </c>
      <c r="B1213" s="0" t="n">
        <v>3</v>
      </c>
      <c r="C1213" s="0" t="n">
        <v>1</v>
      </c>
      <c r="D1213" s="0" t="n">
        <f aca="false">-1+A1213*0.125</f>
        <v>-0.5</v>
      </c>
      <c r="E1213" s="0" t="n">
        <f aca="false">-1+B1213*0.125</f>
        <v>-0.625</v>
      </c>
      <c r="F1213" s="0" t="n">
        <f aca="false">-1+C1213*0.125</f>
        <v>-0.875</v>
      </c>
      <c r="G1213" s="0" t="n">
        <f aca="false">1</f>
        <v>1</v>
      </c>
      <c r="H1213" s="0" t="n">
        <f aca="false">D1213</f>
        <v>-0.5</v>
      </c>
      <c r="I1213" s="0" t="n">
        <f aca="false">E1213</f>
        <v>-0.625</v>
      </c>
      <c r="J1213" s="0" t="n">
        <f aca="false">F1213</f>
        <v>-0.875</v>
      </c>
      <c r="K1213" s="0" t="n">
        <f aca="false">D1213*E1213</f>
        <v>0.3125</v>
      </c>
      <c r="L1213" s="0" t="n">
        <f aca="false">D1213*F1213</f>
        <v>0.4375</v>
      </c>
      <c r="M1213" s="0" t="n">
        <f aca="false">E1213*F1213</f>
        <v>0.546875</v>
      </c>
      <c r="N1213" s="0" t="n">
        <f aca="false">D1213*D1213</f>
        <v>0.25</v>
      </c>
      <c r="O1213" s="0" t="n">
        <f aca="false">E1213*E1213</f>
        <v>0.390625</v>
      </c>
      <c r="P1213" s="0" t="n">
        <f aca="false">F1213*F1213</f>
        <v>0.765625</v>
      </c>
      <c r="Q1213" s="0" t="n">
        <f aca="false">SUMPRODUCT(G1213:P1213,_XtX!$B$71:$K$71)</f>
        <v>42.8203693181818</v>
      </c>
      <c r="R1213" s="0" t="n">
        <f aca="false">SUMPRODUCT(MMULT(G1213:P1213,_XtX!$B$58:$K$67),G1213:P1213)</f>
        <v>0.335453102805398</v>
      </c>
      <c r="S1213" s="0" t="n">
        <f aca="false">04_回帰ANOVA!$K$19*04_回帰ANOVA!$K$14*SQRT(1+R1213)</f>
        <v>1.07443700305628</v>
      </c>
      <c r="T1213" s="0" t="n">
        <f aca="false">Q1213-S1213</f>
        <v>41.7459323151256</v>
      </c>
      <c r="U1213" s="0" t="n">
        <f aca="false">Q1213+S1213</f>
        <v>43.8948063212381</v>
      </c>
      <c r="V1213" s="54" t="b">
        <f aca="false">AND(D1213&gt;=01_因子設定!$L$5-0.000000001,D1213&lt;=01_因子設定!$M$5+0.000000001,E1213&gt;=01_因子設定!$L$6-0.000000001,E1213&lt;=01_因子設定!$M$6+0.000000001,F1213&gt;=01_因子設定!$L$7-0.000000001,F1213&lt;=01_因子設定!$M$7+0.000000001,IF(01_因子設定!$B$20="Box-Behnken",D1213^2+E1213^2+F1213^2&lt;=2+0.000000001,TRUE()))</f>
        <v>1</v>
      </c>
      <c r="W1213" s="55" t="n">
        <f aca="false">IF(V1213,IF(01_因子設定!$B$13="最大化",T1213-01_因子設定!$B$14,IF(01_因子設定!$B$13="最小化",01_因子設定!$B$15-U1213,MIN(T1213-01_因子設定!$B$14,01_因子設定!$B$15-U1213))),-1E+030)</f>
        <v>-6.75406768487444</v>
      </c>
      <c r="X1213" s="55" t="n">
        <f aca="false">IF(V1213,IF(01_因子設定!$B$13="最大化",Q1213,IF(01_因子設定!$B$13="最小化",-Q1213,-ABS(Q1213-01_因子設定!$B$16))),-1E+030)</f>
        <v>42.8203693181818</v>
      </c>
      <c r="Y1213" s="55" t="n">
        <f aca="false">W1213+ROW()*0.000000001</f>
        <v>-6.75406647187444</v>
      </c>
      <c r="Z1213" s="55" t="n">
        <f aca="false">X1213+ROW()*0.000000001</f>
        <v>42.8203705311818</v>
      </c>
    </row>
    <row r="1214" customFormat="false" ht="15" hidden="false" customHeight="false" outlineLevel="0" collapsed="false">
      <c r="A1214" s="0" t="n">
        <v>4</v>
      </c>
      <c r="B1214" s="0" t="n">
        <v>3</v>
      </c>
      <c r="C1214" s="0" t="n">
        <v>2</v>
      </c>
      <c r="D1214" s="0" t="n">
        <f aca="false">-1+A1214*0.125</f>
        <v>-0.5</v>
      </c>
      <c r="E1214" s="0" t="n">
        <f aca="false">-1+B1214*0.125</f>
        <v>-0.625</v>
      </c>
      <c r="F1214" s="0" t="n">
        <f aca="false">-1+C1214*0.125</f>
        <v>-0.75</v>
      </c>
      <c r="G1214" s="0" t="n">
        <f aca="false">1</f>
        <v>1</v>
      </c>
      <c r="H1214" s="0" t="n">
        <f aca="false">D1214</f>
        <v>-0.5</v>
      </c>
      <c r="I1214" s="0" t="n">
        <f aca="false">E1214</f>
        <v>-0.625</v>
      </c>
      <c r="J1214" s="0" t="n">
        <f aca="false">F1214</f>
        <v>-0.75</v>
      </c>
      <c r="K1214" s="0" t="n">
        <f aca="false">D1214*E1214</f>
        <v>0.3125</v>
      </c>
      <c r="L1214" s="0" t="n">
        <f aca="false">D1214*F1214</f>
        <v>0.375</v>
      </c>
      <c r="M1214" s="0" t="n">
        <f aca="false">E1214*F1214</f>
        <v>0.46875</v>
      </c>
      <c r="N1214" s="0" t="n">
        <f aca="false">D1214*D1214</f>
        <v>0.25</v>
      </c>
      <c r="O1214" s="0" t="n">
        <f aca="false">E1214*E1214</f>
        <v>0.390625</v>
      </c>
      <c r="P1214" s="0" t="n">
        <f aca="false">F1214*F1214</f>
        <v>0.5625</v>
      </c>
      <c r="Q1214" s="0" t="n">
        <f aca="false">SUMPRODUCT(G1214:P1214,_XtX!$B$71:$K$71)</f>
        <v>43.2062215909091</v>
      </c>
      <c r="R1214" s="0" t="n">
        <f aca="false">SUMPRODUCT(MMULT(G1214:P1214,_XtX!$B$58:$K$67),G1214:P1214)</f>
        <v>0.254729669744318</v>
      </c>
      <c r="S1214" s="0" t="n">
        <f aca="false">04_回帰ANOVA!$K$19*04_回帰ANOVA!$K$14*SQRT(1+R1214)</f>
        <v>1.04145790281631</v>
      </c>
      <c r="T1214" s="0" t="n">
        <f aca="false">Q1214-S1214</f>
        <v>42.1647636880928</v>
      </c>
      <c r="U1214" s="0" t="n">
        <f aca="false">Q1214+S1214</f>
        <v>44.2476794937254</v>
      </c>
      <c r="V1214" s="54" t="b">
        <f aca="false">AND(D1214&gt;=01_因子設定!$L$5-0.000000001,D1214&lt;=01_因子設定!$M$5+0.000000001,E1214&gt;=01_因子設定!$L$6-0.000000001,E1214&lt;=01_因子設定!$M$6+0.000000001,F1214&gt;=01_因子設定!$L$7-0.000000001,F1214&lt;=01_因子設定!$M$7+0.000000001,IF(01_因子設定!$B$20="Box-Behnken",D1214^2+E1214^2+F1214^2&lt;=2+0.000000001,TRUE()))</f>
        <v>1</v>
      </c>
      <c r="W1214" s="55" t="n">
        <f aca="false">IF(V1214,IF(01_因子設定!$B$13="最大化",T1214-01_因子設定!$B$14,IF(01_因子設定!$B$13="最小化",01_因子設定!$B$15-U1214,MIN(T1214-01_因子設定!$B$14,01_因子設定!$B$15-U1214))),-1E+030)</f>
        <v>-6.3352363119072</v>
      </c>
      <c r="X1214" s="55" t="n">
        <f aca="false">IF(V1214,IF(01_因子設定!$B$13="最大化",Q1214,IF(01_因子設定!$B$13="最小化",-Q1214,-ABS(Q1214-01_因子設定!$B$16))),-1E+030)</f>
        <v>43.2062215909091</v>
      </c>
      <c r="Y1214" s="55" t="n">
        <f aca="false">W1214+ROW()*0.000000001</f>
        <v>-6.3352350979072</v>
      </c>
      <c r="Z1214" s="55" t="n">
        <f aca="false">X1214+ROW()*0.000000001</f>
        <v>43.2062228049091</v>
      </c>
    </row>
    <row r="1215" customFormat="false" ht="15" hidden="false" customHeight="false" outlineLevel="0" collapsed="false">
      <c r="A1215" s="0" t="n">
        <v>4</v>
      </c>
      <c r="B1215" s="0" t="n">
        <v>3</v>
      </c>
      <c r="C1215" s="0" t="n">
        <v>3</v>
      </c>
      <c r="D1215" s="0" t="n">
        <f aca="false">-1+A1215*0.125</f>
        <v>-0.5</v>
      </c>
      <c r="E1215" s="0" t="n">
        <f aca="false">-1+B1215*0.125</f>
        <v>-0.625</v>
      </c>
      <c r="F1215" s="0" t="n">
        <f aca="false">-1+C1215*0.125</f>
        <v>-0.625</v>
      </c>
      <c r="G1215" s="0" t="n">
        <f aca="false">1</f>
        <v>1</v>
      </c>
      <c r="H1215" s="0" t="n">
        <f aca="false">D1215</f>
        <v>-0.5</v>
      </c>
      <c r="I1215" s="0" t="n">
        <f aca="false">E1215</f>
        <v>-0.625</v>
      </c>
      <c r="J1215" s="0" t="n">
        <f aca="false">F1215</f>
        <v>-0.625</v>
      </c>
      <c r="K1215" s="0" t="n">
        <f aca="false">D1215*E1215</f>
        <v>0.3125</v>
      </c>
      <c r="L1215" s="0" t="n">
        <f aca="false">D1215*F1215</f>
        <v>0.3125</v>
      </c>
      <c r="M1215" s="0" t="n">
        <f aca="false">E1215*F1215</f>
        <v>0.390625</v>
      </c>
      <c r="N1215" s="0" t="n">
        <f aca="false">D1215*D1215</f>
        <v>0.25</v>
      </c>
      <c r="O1215" s="0" t="n">
        <f aca="false">E1215*E1215</f>
        <v>0.390625</v>
      </c>
      <c r="P1215" s="0" t="n">
        <f aca="false">F1215*F1215</f>
        <v>0.390625</v>
      </c>
      <c r="Q1215" s="0" t="n">
        <f aca="false">SUMPRODUCT(G1215:P1215,_XtX!$B$71:$K$71)</f>
        <v>43.5552840909091</v>
      </c>
      <c r="R1215" s="0" t="n">
        <f aca="false">SUMPRODUCT(MMULT(G1215:P1215,_XtX!$B$58:$K$67),G1215:P1215)</f>
        <v>0.209862726384943</v>
      </c>
      <c r="S1215" s="0" t="n">
        <f aca="false">04_回帰ANOVA!$K$19*04_回帰ANOVA!$K$14*SQRT(1+R1215)</f>
        <v>1.0226680420112</v>
      </c>
      <c r="T1215" s="0" t="n">
        <f aca="false">Q1215-S1215</f>
        <v>42.5326160488979</v>
      </c>
      <c r="U1215" s="0" t="n">
        <f aca="false">Q1215+S1215</f>
        <v>44.5779521329203</v>
      </c>
      <c r="V1215" s="54" t="b">
        <f aca="false">AND(D1215&gt;=01_因子設定!$L$5-0.000000001,D1215&lt;=01_因子設定!$M$5+0.000000001,E1215&gt;=01_因子設定!$L$6-0.000000001,E1215&lt;=01_因子設定!$M$6+0.000000001,F1215&gt;=01_因子設定!$L$7-0.000000001,F1215&lt;=01_因子設定!$M$7+0.000000001,IF(01_因子設定!$B$20="Box-Behnken",D1215^2+E1215^2+F1215^2&lt;=2+0.000000001,TRUE()))</f>
        <v>1</v>
      </c>
      <c r="W1215" s="55" t="n">
        <f aca="false">IF(V1215,IF(01_因子設定!$B$13="最大化",T1215-01_因子設定!$B$14,IF(01_因子設定!$B$13="最小化",01_因子設定!$B$15-U1215,MIN(T1215-01_因子設定!$B$14,01_因子設定!$B$15-U1215))),-1E+030)</f>
        <v>-5.96738395110209</v>
      </c>
      <c r="X1215" s="55" t="n">
        <f aca="false">IF(V1215,IF(01_因子設定!$B$13="最大化",Q1215,IF(01_因子設定!$B$13="最小化",-Q1215,-ABS(Q1215-01_因子設定!$B$16))),-1E+030)</f>
        <v>43.5552840909091</v>
      </c>
      <c r="Y1215" s="55" t="n">
        <f aca="false">W1215+ROW()*0.000000001</f>
        <v>-5.96738273610209</v>
      </c>
      <c r="Z1215" s="55" t="n">
        <f aca="false">X1215+ROW()*0.000000001</f>
        <v>43.5552853059091</v>
      </c>
    </row>
    <row r="1216" customFormat="false" ht="15" hidden="false" customHeight="false" outlineLevel="0" collapsed="false">
      <c r="A1216" s="0" t="n">
        <v>4</v>
      </c>
      <c r="B1216" s="0" t="n">
        <v>3</v>
      </c>
      <c r="C1216" s="0" t="n">
        <v>4</v>
      </c>
      <c r="D1216" s="0" t="n">
        <f aca="false">-1+A1216*0.125</f>
        <v>-0.5</v>
      </c>
      <c r="E1216" s="0" t="n">
        <f aca="false">-1+B1216*0.125</f>
        <v>-0.625</v>
      </c>
      <c r="F1216" s="0" t="n">
        <f aca="false">-1+C1216*0.125</f>
        <v>-0.5</v>
      </c>
      <c r="G1216" s="0" t="n">
        <f aca="false">1</f>
        <v>1</v>
      </c>
      <c r="H1216" s="0" t="n">
        <f aca="false">D1216</f>
        <v>-0.5</v>
      </c>
      <c r="I1216" s="0" t="n">
        <f aca="false">E1216</f>
        <v>-0.625</v>
      </c>
      <c r="J1216" s="0" t="n">
        <f aca="false">F1216</f>
        <v>-0.5</v>
      </c>
      <c r="K1216" s="0" t="n">
        <f aca="false">D1216*E1216</f>
        <v>0.3125</v>
      </c>
      <c r="L1216" s="0" t="n">
        <f aca="false">D1216*F1216</f>
        <v>0.25</v>
      </c>
      <c r="M1216" s="0" t="n">
        <f aca="false">E1216*F1216</f>
        <v>0.3125</v>
      </c>
      <c r="N1216" s="0" t="n">
        <f aca="false">D1216*D1216</f>
        <v>0.25</v>
      </c>
      <c r="O1216" s="0" t="n">
        <f aca="false">E1216*E1216</f>
        <v>0.390625</v>
      </c>
      <c r="P1216" s="0" t="n">
        <f aca="false">F1216*F1216</f>
        <v>0.25</v>
      </c>
      <c r="Q1216" s="0" t="n">
        <f aca="false">SUMPRODUCT(G1216:P1216,_XtX!$B$71:$K$71)</f>
        <v>43.8675568181818</v>
      </c>
      <c r="R1216" s="0" t="n">
        <f aca="false">SUMPRODUCT(MMULT(G1216:P1216,_XtX!$B$58:$K$67),G1216:P1216)</f>
        <v>0.189133522727273</v>
      </c>
      <c r="S1216" s="0" t="n">
        <f aca="false">04_回帰ANOVA!$K$19*04_回帰ANOVA!$K$14*SQRT(1+R1216)</f>
        <v>1.0138692404042</v>
      </c>
      <c r="T1216" s="0" t="n">
        <f aca="false">Q1216-S1216</f>
        <v>42.8536875777776</v>
      </c>
      <c r="U1216" s="0" t="n">
        <f aca="false">Q1216+S1216</f>
        <v>44.881426058586</v>
      </c>
      <c r="V1216" s="54" t="b">
        <f aca="false">AND(D1216&gt;=01_因子設定!$L$5-0.000000001,D1216&lt;=01_因子設定!$M$5+0.000000001,E1216&gt;=01_因子設定!$L$6-0.000000001,E1216&lt;=01_因子設定!$M$6+0.000000001,F1216&gt;=01_因子設定!$L$7-0.000000001,F1216&lt;=01_因子設定!$M$7+0.000000001,IF(01_因子設定!$B$20="Box-Behnken",D1216^2+E1216^2+F1216^2&lt;=2+0.000000001,TRUE()))</f>
        <v>1</v>
      </c>
      <c r="W1216" s="55" t="n">
        <f aca="false">IF(V1216,IF(01_因子設定!$B$13="最大化",T1216-01_因子設定!$B$14,IF(01_因子設定!$B$13="最小化",01_因子設定!$B$15-U1216,MIN(T1216-01_因子設定!$B$14,01_因子設定!$B$15-U1216))),-1E+030)</f>
        <v>-5.64631242222237</v>
      </c>
      <c r="X1216" s="55" t="n">
        <f aca="false">IF(V1216,IF(01_因子設定!$B$13="最大化",Q1216,IF(01_因子設定!$B$13="最小化",-Q1216,-ABS(Q1216-01_因子設定!$B$16))),-1E+030)</f>
        <v>43.8675568181818</v>
      </c>
      <c r="Y1216" s="55" t="n">
        <f aca="false">W1216+ROW()*0.000000001</f>
        <v>-5.64631120622237</v>
      </c>
      <c r="Z1216" s="55" t="n">
        <f aca="false">X1216+ROW()*0.000000001</f>
        <v>43.8675580341818</v>
      </c>
    </row>
    <row r="1217" customFormat="false" ht="15" hidden="false" customHeight="false" outlineLevel="0" collapsed="false">
      <c r="A1217" s="0" t="n">
        <v>4</v>
      </c>
      <c r="B1217" s="0" t="n">
        <v>3</v>
      </c>
      <c r="C1217" s="0" t="n">
        <v>5</v>
      </c>
      <c r="D1217" s="0" t="n">
        <f aca="false">-1+A1217*0.125</f>
        <v>-0.5</v>
      </c>
      <c r="E1217" s="0" t="n">
        <f aca="false">-1+B1217*0.125</f>
        <v>-0.625</v>
      </c>
      <c r="F1217" s="0" t="n">
        <f aca="false">-1+C1217*0.125</f>
        <v>-0.375</v>
      </c>
      <c r="G1217" s="0" t="n">
        <f aca="false">1</f>
        <v>1</v>
      </c>
      <c r="H1217" s="0" t="n">
        <f aca="false">D1217</f>
        <v>-0.5</v>
      </c>
      <c r="I1217" s="0" t="n">
        <f aca="false">E1217</f>
        <v>-0.625</v>
      </c>
      <c r="J1217" s="0" t="n">
        <f aca="false">F1217</f>
        <v>-0.375</v>
      </c>
      <c r="K1217" s="0" t="n">
        <f aca="false">D1217*E1217</f>
        <v>0.3125</v>
      </c>
      <c r="L1217" s="0" t="n">
        <f aca="false">D1217*F1217</f>
        <v>0.1875</v>
      </c>
      <c r="M1217" s="0" t="n">
        <f aca="false">E1217*F1217</f>
        <v>0.234375</v>
      </c>
      <c r="N1217" s="0" t="n">
        <f aca="false">D1217*D1217</f>
        <v>0.25</v>
      </c>
      <c r="O1217" s="0" t="n">
        <f aca="false">E1217*E1217</f>
        <v>0.390625</v>
      </c>
      <c r="P1217" s="0" t="n">
        <f aca="false">F1217*F1217</f>
        <v>0.140625</v>
      </c>
      <c r="Q1217" s="0" t="n">
        <f aca="false">SUMPRODUCT(G1217:P1217,_XtX!$B$71:$K$71)</f>
        <v>44.1430397727273</v>
      </c>
      <c r="R1217" s="0" t="n">
        <f aca="false">SUMPRODUCT(MMULT(G1217:P1217,_XtX!$B$58:$K$67),G1217:P1217)</f>
        <v>0.182953990589489</v>
      </c>
      <c r="S1217" s="0" t="n">
        <f aca="false">04_回帰ANOVA!$K$19*04_回帰ANOVA!$K$14*SQRT(1+R1217)</f>
        <v>1.01123143807044</v>
      </c>
      <c r="T1217" s="0" t="n">
        <f aca="false">Q1217-S1217</f>
        <v>43.1318083346568</v>
      </c>
      <c r="U1217" s="0" t="n">
        <f aca="false">Q1217+S1217</f>
        <v>45.1542712107977</v>
      </c>
      <c r="V1217" s="54" t="b">
        <f aca="false">AND(D1217&gt;=01_因子設定!$L$5-0.000000001,D1217&lt;=01_因子設定!$M$5+0.000000001,E1217&gt;=01_因子設定!$L$6-0.000000001,E1217&lt;=01_因子設定!$M$6+0.000000001,F1217&gt;=01_因子設定!$L$7-0.000000001,F1217&lt;=01_因子設定!$M$7+0.000000001,IF(01_因子設定!$B$20="Box-Behnken",D1217^2+E1217^2+F1217^2&lt;=2+0.000000001,TRUE()))</f>
        <v>1</v>
      </c>
      <c r="W1217" s="55" t="n">
        <f aca="false">IF(V1217,IF(01_因子設定!$B$13="最大化",T1217-01_因子設定!$B$14,IF(01_因子設定!$B$13="最小化",01_因子設定!$B$15-U1217,MIN(T1217-01_因子設定!$B$14,01_因子設定!$B$15-U1217))),-1E+030)</f>
        <v>-5.36819166534316</v>
      </c>
      <c r="X1217" s="55" t="n">
        <f aca="false">IF(V1217,IF(01_因子設定!$B$13="最大化",Q1217,IF(01_因子設定!$B$13="最小化",-Q1217,-ABS(Q1217-01_因子設定!$B$16))),-1E+030)</f>
        <v>44.1430397727273</v>
      </c>
      <c r="Y1217" s="55" t="n">
        <f aca="false">W1217+ROW()*0.000000001</f>
        <v>-5.36819044834316</v>
      </c>
      <c r="Z1217" s="55" t="n">
        <f aca="false">X1217+ROW()*0.000000001</f>
        <v>44.1430409897273</v>
      </c>
    </row>
    <row r="1218" customFormat="false" ht="15" hidden="false" customHeight="false" outlineLevel="0" collapsed="false">
      <c r="A1218" s="0" t="n">
        <v>4</v>
      </c>
      <c r="B1218" s="0" t="n">
        <v>3</v>
      </c>
      <c r="C1218" s="0" t="n">
        <v>6</v>
      </c>
      <c r="D1218" s="0" t="n">
        <f aca="false">-1+A1218*0.125</f>
        <v>-0.5</v>
      </c>
      <c r="E1218" s="0" t="n">
        <f aca="false">-1+B1218*0.125</f>
        <v>-0.625</v>
      </c>
      <c r="F1218" s="0" t="n">
        <f aca="false">-1+C1218*0.125</f>
        <v>-0.25</v>
      </c>
      <c r="G1218" s="0" t="n">
        <f aca="false">1</f>
        <v>1</v>
      </c>
      <c r="H1218" s="0" t="n">
        <f aca="false">D1218</f>
        <v>-0.5</v>
      </c>
      <c r="I1218" s="0" t="n">
        <f aca="false">E1218</f>
        <v>-0.625</v>
      </c>
      <c r="J1218" s="0" t="n">
        <f aca="false">F1218</f>
        <v>-0.25</v>
      </c>
      <c r="K1218" s="0" t="n">
        <f aca="false">D1218*E1218</f>
        <v>0.3125</v>
      </c>
      <c r="L1218" s="0" t="n">
        <f aca="false">D1218*F1218</f>
        <v>0.125</v>
      </c>
      <c r="M1218" s="0" t="n">
        <f aca="false">E1218*F1218</f>
        <v>0.15625</v>
      </c>
      <c r="N1218" s="0" t="n">
        <f aca="false">D1218*D1218</f>
        <v>0.25</v>
      </c>
      <c r="O1218" s="0" t="n">
        <f aca="false">E1218*E1218</f>
        <v>0.390625</v>
      </c>
      <c r="P1218" s="0" t="n">
        <f aca="false">F1218*F1218</f>
        <v>0.0625</v>
      </c>
      <c r="Q1218" s="0" t="n">
        <f aca="false">SUMPRODUCT(G1218:P1218,_XtX!$B$71:$K$71)</f>
        <v>44.3817329545455</v>
      </c>
      <c r="R1218" s="0" t="n">
        <f aca="false">SUMPRODUCT(MMULT(G1218:P1218,_XtX!$B$58:$K$67),G1218:P1218)</f>
        <v>0.183866743607955</v>
      </c>
      <c r="S1218" s="0" t="n">
        <f aca="false">04_回帰ANOVA!$K$19*04_回帰ANOVA!$K$14*SQRT(1+R1218)</f>
        <v>1.01162148983013</v>
      </c>
      <c r="T1218" s="0" t="n">
        <f aca="false">Q1218-S1218</f>
        <v>43.3701114647153</v>
      </c>
      <c r="U1218" s="0" t="n">
        <f aca="false">Q1218+S1218</f>
        <v>45.3933544443756</v>
      </c>
      <c r="V1218" s="54" t="b">
        <f aca="false">AND(D1218&gt;=01_因子設定!$L$5-0.000000001,D1218&lt;=01_因子設定!$M$5+0.000000001,E1218&gt;=01_因子設定!$L$6-0.000000001,E1218&lt;=01_因子設定!$M$6+0.000000001,F1218&gt;=01_因子設定!$L$7-0.000000001,F1218&lt;=01_因子設定!$M$7+0.000000001,IF(01_因子設定!$B$20="Box-Behnken",D1218^2+E1218^2+F1218^2&lt;=2+0.000000001,TRUE()))</f>
        <v>1</v>
      </c>
      <c r="W1218" s="55" t="n">
        <f aca="false">IF(V1218,IF(01_因子設定!$B$13="最大化",T1218-01_因子設定!$B$14,IF(01_因子設定!$B$13="最小化",01_因子設定!$B$15-U1218,MIN(T1218-01_因子設定!$B$14,01_因子設定!$B$15-U1218))),-1E+030)</f>
        <v>-5.12988853528467</v>
      </c>
      <c r="X1218" s="55" t="n">
        <f aca="false">IF(V1218,IF(01_因子設定!$B$13="最大化",Q1218,IF(01_因子設定!$B$13="最小化",-Q1218,-ABS(Q1218-01_因子設定!$B$16))),-1E+030)</f>
        <v>44.3817329545455</v>
      </c>
      <c r="Y1218" s="55" t="n">
        <f aca="false">W1218+ROW()*0.000000001</f>
        <v>-5.12988731728467</v>
      </c>
      <c r="Z1218" s="55" t="n">
        <f aca="false">X1218+ROW()*0.000000001</f>
        <v>44.3817341725455</v>
      </c>
    </row>
    <row r="1219" customFormat="false" ht="15" hidden="false" customHeight="false" outlineLevel="0" collapsed="false">
      <c r="A1219" s="0" t="n">
        <v>4</v>
      </c>
      <c r="B1219" s="0" t="n">
        <v>3</v>
      </c>
      <c r="C1219" s="0" t="n">
        <v>7</v>
      </c>
      <c r="D1219" s="0" t="n">
        <f aca="false">-1+A1219*0.125</f>
        <v>-0.5</v>
      </c>
      <c r="E1219" s="0" t="n">
        <f aca="false">-1+B1219*0.125</f>
        <v>-0.625</v>
      </c>
      <c r="F1219" s="0" t="n">
        <f aca="false">-1+C1219*0.125</f>
        <v>-0.125</v>
      </c>
      <c r="G1219" s="0" t="n">
        <f aca="false">1</f>
        <v>1</v>
      </c>
      <c r="H1219" s="0" t="n">
        <f aca="false">D1219</f>
        <v>-0.5</v>
      </c>
      <c r="I1219" s="0" t="n">
        <f aca="false">E1219</f>
        <v>-0.625</v>
      </c>
      <c r="J1219" s="0" t="n">
        <f aca="false">F1219</f>
        <v>-0.125</v>
      </c>
      <c r="K1219" s="0" t="n">
        <f aca="false">D1219*E1219</f>
        <v>0.3125</v>
      </c>
      <c r="L1219" s="0" t="n">
        <f aca="false">D1219*F1219</f>
        <v>0.0625</v>
      </c>
      <c r="M1219" s="0" t="n">
        <f aca="false">E1219*F1219</f>
        <v>0.078125</v>
      </c>
      <c r="N1219" s="0" t="n">
        <f aca="false">D1219*D1219</f>
        <v>0.25</v>
      </c>
      <c r="O1219" s="0" t="n">
        <f aca="false">E1219*E1219</f>
        <v>0.390625</v>
      </c>
      <c r="P1219" s="0" t="n">
        <f aca="false">F1219*F1219</f>
        <v>0.015625</v>
      </c>
      <c r="Q1219" s="0" t="n">
        <f aca="false">SUMPRODUCT(G1219:P1219,_XtX!$B$71:$K$71)</f>
        <v>44.5836363636364</v>
      </c>
      <c r="R1219" s="0" t="n">
        <f aca="false">SUMPRODUCT(MMULT(G1219:P1219,_XtX!$B$58:$K$67),G1219:P1219)</f>
        <v>0.186545077237216</v>
      </c>
      <c r="S1219" s="0" t="n">
        <f aca="false">04_回帰ANOVA!$K$19*04_回帰ANOVA!$K$14*SQRT(1+R1219)</f>
        <v>1.01276516970713</v>
      </c>
      <c r="T1219" s="0" t="n">
        <f aca="false">Q1219-S1219</f>
        <v>43.5708711939292</v>
      </c>
      <c r="U1219" s="0" t="n">
        <f aca="false">Q1219+S1219</f>
        <v>45.5964015333435</v>
      </c>
      <c r="V1219" s="54" t="b">
        <f aca="false">AND(D1219&gt;=01_因子設定!$L$5-0.000000001,D1219&lt;=01_因子設定!$M$5+0.000000001,E1219&gt;=01_因子設定!$L$6-0.000000001,E1219&lt;=01_因子設定!$M$6+0.000000001,F1219&gt;=01_因子設定!$L$7-0.000000001,F1219&lt;=01_因子設定!$M$7+0.000000001,IF(01_因子設定!$B$20="Box-Behnken",D1219^2+E1219^2+F1219^2&lt;=2+0.000000001,TRUE()))</f>
        <v>1</v>
      </c>
      <c r="W1219" s="55" t="n">
        <f aca="false">IF(V1219,IF(01_因子設定!$B$13="最大化",T1219-01_因子設定!$B$14,IF(01_因子設定!$B$13="最小化",01_因子設定!$B$15-U1219,MIN(T1219-01_因子設定!$B$14,01_因子設定!$B$15-U1219))),-1E+030)</f>
        <v>-4.92912880607076</v>
      </c>
      <c r="X1219" s="55" t="n">
        <f aca="false">IF(V1219,IF(01_因子設定!$B$13="最大化",Q1219,IF(01_因子設定!$B$13="最小化",-Q1219,-ABS(Q1219-01_因子設定!$B$16))),-1E+030)</f>
        <v>44.5836363636364</v>
      </c>
      <c r="Y1219" s="55" t="n">
        <f aca="false">W1219+ROW()*0.000000001</f>
        <v>-4.92912758707077</v>
      </c>
      <c r="Z1219" s="55" t="n">
        <f aca="false">X1219+ROW()*0.000000001</f>
        <v>44.5836375826364</v>
      </c>
    </row>
    <row r="1220" customFormat="false" ht="15" hidden="false" customHeight="false" outlineLevel="0" collapsed="false">
      <c r="A1220" s="0" t="n">
        <v>4</v>
      </c>
      <c r="B1220" s="0" t="n">
        <v>3</v>
      </c>
      <c r="C1220" s="0" t="n">
        <v>8</v>
      </c>
      <c r="D1220" s="0" t="n">
        <f aca="false">-1+A1220*0.125</f>
        <v>-0.5</v>
      </c>
      <c r="E1220" s="0" t="n">
        <f aca="false">-1+B1220*0.125</f>
        <v>-0.625</v>
      </c>
      <c r="F1220" s="0" t="n">
        <f aca="false">-1+C1220*0.125</f>
        <v>0</v>
      </c>
      <c r="G1220" s="0" t="n">
        <f aca="false">1</f>
        <v>1</v>
      </c>
      <c r="H1220" s="0" t="n">
        <f aca="false">D1220</f>
        <v>-0.5</v>
      </c>
      <c r="I1220" s="0" t="n">
        <f aca="false">E1220</f>
        <v>-0.625</v>
      </c>
      <c r="J1220" s="0" t="n">
        <f aca="false">F1220</f>
        <v>0</v>
      </c>
      <c r="K1220" s="0" t="n">
        <f aca="false">D1220*E1220</f>
        <v>0.3125</v>
      </c>
      <c r="L1220" s="0" t="n">
        <f aca="false">D1220*F1220</f>
        <v>-0</v>
      </c>
      <c r="M1220" s="0" t="n">
        <f aca="false">E1220*F1220</f>
        <v>-0</v>
      </c>
      <c r="N1220" s="0" t="n">
        <f aca="false">D1220*D1220</f>
        <v>0.25</v>
      </c>
      <c r="O1220" s="0" t="n">
        <f aca="false">E1220*E1220</f>
        <v>0.390625</v>
      </c>
      <c r="P1220" s="0" t="n">
        <f aca="false">F1220*F1220</f>
        <v>0</v>
      </c>
      <c r="Q1220" s="0" t="n">
        <f aca="false">SUMPRODUCT(G1220:P1220,_XtX!$B$71:$K$71)</f>
        <v>44.74875</v>
      </c>
      <c r="R1220" s="0" t="n">
        <f aca="false">SUMPRODUCT(MMULT(G1220:P1220,_XtX!$B$58:$K$67),G1220:P1220)</f>
        <v>0.18779296875</v>
      </c>
      <c r="S1220" s="0" t="n">
        <f aca="false">04_回帰ANOVA!$K$19*04_回帰ANOVA!$K$14*SQRT(1+R1220)</f>
        <v>1.01329759319777</v>
      </c>
      <c r="T1220" s="0" t="n">
        <f aca="false">Q1220-S1220</f>
        <v>43.7354524068022</v>
      </c>
      <c r="U1220" s="0" t="n">
        <f aca="false">Q1220+S1220</f>
        <v>45.7620475931978</v>
      </c>
      <c r="V1220" s="54" t="b">
        <f aca="false">AND(D1220&gt;=01_因子設定!$L$5-0.000000001,D1220&lt;=01_因子設定!$M$5+0.000000001,E1220&gt;=01_因子設定!$L$6-0.000000001,E1220&lt;=01_因子設定!$M$6+0.000000001,F1220&gt;=01_因子設定!$L$7-0.000000001,F1220&lt;=01_因子設定!$M$7+0.000000001,IF(01_因子設定!$B$20="Box-Behnken",D1220^2+E1220^2+F1220^2&lt;=2+0.000000001,TRUE()))</f>
        <v>1</v>
      </c>
      <c r="W1220" s="55" t="n">
        <f aca="false">IF(V1220,IF(01_因子設定!$B$13="最大化",T1220-01_因子設定!$B$14,IF(01_因子設定!$B$13="最小化",01_因子設定!$B$15-U1220,MIN(T1220-01_因子設定!$B$14,01_因子設定!$B$15-U1220))),-1E+030)</f>
        <v>-4.76454759319777</v>
      </c>
      <c r="X1220" s="55" t="n">
        <f aca="false">IF(V1220,IF(01_因子設定!$B$13="最大化",Q1220,IF(01_因子設定!$B$13="最小化",-Q1220,-ABS(Q1220-01_因子設定!$B$16))),-1E+030)</f>
        <v>44.74875</v>
      </c>
      <c r="Y1220" s="55" t="n">
        <f aca="false">W1220+ROW()*0.000000001</f>
        <v>-4.76454637319777</v>
      </c>
      <c r="Z1220" s="55" t="n">
        <f aca="false">X1220+ROW()*0.000000001</f>
        <v>44.74875122</v>
      </c>
    </row>
    <row r="1221" customFormat="false" ht="15" hidden="false" customHeight="false" outlineLevel="0" collapsed="false">
      <c r="A1221" s="0" t="n">
        <v>4</v>
      </c>
      <c r="B1221" s="0" t="n">
        <v>3</v>
      </c>
      <c r="C1221" s="0" t="n">
        <v>9</v>
      </c>
      <c r="D1221" s="0" t="n">
        <f aca="false">-1+A1221*0.125</f>
        <v>-0.5</v>
      </c>
      <c r="E1221" s="0" t="n">
        <f aca="false">-1+B1221*0.125</f>
        <v>-0.625</v>
      </c>
      <c r="F1221" s="0" t="n">
        <f aca="false">-1+C1221*0.125</f>
        <v>0.125</v>
      </c>
      <c r="G1221" s="0" t="n">
        <f aca="false">1</f>
        <v>1</v>
      </c>
      <c r="H1221" s="0" t="n">
        <f aca="false">D1221</f>
        <v>-0.5</v>
      </c>
      <c r="I1221" s="0" t="n">
        <f aca="false">E1221</f>
        <v>-0.625</v>
      </c>
      <c r="J1221" s="0" t="n">
        <f aca="false">F1221</f>
        <v>0.125</v>
      </c>
      <c r="K1221" s="0" t="n">
        <f aca="false">D1221*E1221</f>
        <v>0.3125</v>
      </c>
      <c r="L1221" s="0" t="n">
        <f aca="false">D1221*F1221</f>
        <v>-0.0625</v>
      </c>
      <c r="M1221" s="0" t="n">
        <f aca="false">E1221*F1221</f>
        <v>-0.078125</v>
      </c>
      <c r="N1221" s="0" t="n">
        <f aca="false">D1221*D1221</f>
        <v>0.25</v>
      </c>
      <c r="O1221" s="0" t="n">
        <f aca="false">E1221*E1221</f>
        <v>0.390625</v>
      </c>
      <c r="P1221" s="0" t="n">
        <f aca="false">F1221*F1221</f>
        <v>0.015625</v>
      </c>
      <c r="Q1221" s="0" t="n">
        <f aca="false">SUMPRODUCT(G1221:P1221,_XtX!$B$71:$K$71)</f>
        <v>44.8770738636364</v>
      </c>
      <c r="R1221" s="0" t="n">
        <f aca="false">SUMPRODUCT(MMULT(G1221:P1221,_XtX!$B$58:$K$67),G1221:P1221)</f>
        <v>0.186545077237216</v>
      </c>
      <c r="S1221" s="0" t="n">
        <f aca="false">04_回帰ANOVA!$K$19*04_回帰ANOVA!$K$14*SQRT(1+R1221)</f>
        <v>1.01276516970713</v>
      </c>
      <c r="T1221" s="0" t="n">
        <f aca="false">Q1221-S1221</f>
        <v>43.8643086939292</v>
      </c>
      <c r="U1221" s="0" t="n">
        <f aca="false">Q1221+S1221</f>
        <v>45.8898390333435</v>
      </c>
      <c r="V1221" s="54" t="b">
        <f aca="false">AND(D1221&gt;=01_因子設定!$L$5-0.000000001,D1221&lt;=01_因子設定!$M$5+0.000000001,E1221&gt;=01_因子設定!$L$6-0.000000001,E1221&lt;=01_因子設定!$M$6+0.000000001,F1221&gt;=01_因子設定!$L$7-0.000000001,F1221&lt;=01_因子設定!$M$7+0.000000001,IF(01_因子設定!$B$20="Box-Behnken",D1221^2+E1221^2+F1221^2&lt;=2+0.000000001,TRUE()))</f>
        <v>1</v>
      </c>
      <c r="W1221" s="55" t="n">
        <f aca="false">IF(V1221,IF(01_因子設定!$B$13="最大化",T1221-01_因子設定!$B$14,IF(01_因子設定!$B$13="最小化",01_因子設定!$B$15-U1221,MIN(T1221-01_因子設定!$B$14,01_因子設定!$B$15-U1221))),-1E+030)</f>
        <v>-4.63569130607076</v>
      </c>
      <c r="X1221" s="55" t="n">
        <f aca="false">IF(V1221,IF(01_因子設定!$B$13="最大化",Q1221,IF(01_因子設定!$B$13="最小化",-Q1221,-ABS(Q1221-01_因子設定!$B$16))),-1E+030)</f>
        <v>44.8770738636364</v>
      </c>
      <c r="Y1221" s="55" t="n">
        <f aca="false">W1221+ROW()*0.000000001</f>
        <v>-4.63569008507076</v>
      </c>
      <c r="Z1221" s="55" t="n">
        <f aca="false">X1221+ROW()*0.000000001</f>
        <v>44.8770750846364</v>
      </c>
    </row>
    <row r="1222" customFormat="false" ht="15" hidden="false" customHeight="false" outlineLevel="0" collapsed="false">
      <c r="A1222" s="0" t="n">
        <v>4</v>
      </c>
      <c r="B1222" s="0" t="n">
        <v>3</v>
      </c>
      <c r="C1222" s="0" t="n">
        <v>10</v>
      </c>
      <c r="D1222" s="0" t="n">
        <f aca="false">-1+A1222*0.125</f>
        <v>-0.5</v>
      </c>
      <c r="E1222" s="0" t="n">
        <f aca="false">-1+B1222*0.125</f>
        <v>-0.625</v>
      </c>
      <c r="F1222" s="0" t="n">
        <f aca="false">-1+C1222*0.125</f>
        <v>0.25</v>
      </c>
      <c r="G1222" s="0" t="n">
        <f aca="false">1</f>
        <v>1</v>
      </c>
      <c r="H1222" s="0" t="n">
        <f aca="false">D1222</f>
        <v>-0.5</v>
      </c>
      <c r="I1222" s="0" t="n">
        <f aca="false">E1222</f>
        <v>-0.625</v>
      </c>
      <c r="J1222" s="0" t="n">
        <f aca="false">F1222</f>
        <v>0.25</v>
      </c>
      <c r="K1222" s="0" t="n">
        <f aca="false">D1222*E1222</f>
        <v>0.3125</v>
      </c>
      <c r="L1222" s="0" t="n">
        <f aca="false">D1222*F1222</f>
        <v>-0.125</v>
      </c>
      <c r="M1222" s="0" t="n">
        <f aca="false">E1222*F1222</f>
        <v>-0.15625</v>
      </c>
      <c r="N1222" s="0" t="n">
        <f aca="false">D1222*D1222</f>
        <v>0.25</v>
      </c>
      <c r="O1222" s="0" t="n">
        <f aca="false">E1222*E1222</f>
        <v>0.390625</v>
      </c>
      <c r="P1222" s="0" t="n">
        <f aca="false">F1222*F1222</f>
        <v>0.0625</v>
      </c>
      <c r="Q1222" s="0" t="n">
        <f aca="false">SUMPRODUCT(G1222:P1222,_XtX!$B$71:$K$71)</f>
        <v>44.9686079545455</v>
      </c>
      <c r="R1222" s="0" t="n">
        <f aca="false">SUMPRODUCT(MMULT(G1222:P1222,_XtX!$B$58:$K$67),G1222:P1222)</f>
        <v>0.183866743607955</v>
      </c>
      <c r="S1222" s="0" t="n">
        <f aca="false">04_回帰ANOVA!$K$19*04_回帰ANOVA!$K$14*SQRT(1+R1222)</f>
        <v>1.01162148983013</v>
      </c>
      <c r="T1222" s="0" t="n">
        <f aca="false">Q1222-S1222</f>
        <v>43.9569864647153</v>
      </c>
      <c r="U1222" s="0" t="n">
        <f aca="false">Q1222+S1222</f>
        <v>45.9802294443756</v>
      </c>
      <c r="V1222" s="54" t="b">
        <f aca="false">AND(D1222&gt;=01_因子設定!$L$5-0.000000001,D1222&lt;=01_因子設定!$M$5+0.000000001,E1222&gt;=01_因子設定!$L$6-0.000000001,E1222&lt;=01_因子設定!$M$6+0.000000001,F1222&gt;=01_因子設定!$L$7-0.000000001,F1222&lt;=01_因子設定!$M$7+0.000000001,IF(01_因子設定!$B$20="Box-Behnken",D1222^2+E1222^2+F1222^2&lt;=2+0.000000001,TRUE()))</f>
        <v>1</v>
      </c>
      <c r="W1222" s="55" t="n">
        <f aca="false">IF(V1222,IF(01_因子設定!$B$13="最大化",T1222-01_因子設定!$B$14,IF(01_因子設定!$B$13="最小化",01_因子設定!$B$15-U1222,MIN(T1222-01_因子設定!$B$14,01_因子設定!$B$15-U1222))),-1E+030)</f>
        <v>-4.54301353528467</v>
      </c>
      <c r="X1222" s="55" t="n">
        <f aca="false">IF(V1222,IF(01_因子設定!$B$13="最大化",Q1222,IF(01_因子設定!$B$13="最小化",-Q1222,-ABS(Q1222-01_因子設定!$B$16))),-1E+030)</f>
        <v>44.9686079545455</v>
      </c>
      <c r="Y1222" s="55" t="n">
        <f aca="false">W1222+ROW()*0.000000001</f>
        <v>-4.54301231328467</v>
      </c>
      <c r="Z1222" s="55" t="n">
        <f aca="false">X1222+ROW()*0.000000001</f>
        <v>44.9686091765455</v>
      </c>
    </row>
    <row r="1223" customFormat="false" ht="15" hidden="false" customHeight="false" outlineLevel="0" collapsed="false">
      <c r="A1223" s="0" t="n">
        <v>4</v>
      </c>
      <c r="B1223" s="0" t="n">
        <v>3</v>
      </c>
      <c r="C1223" s="0" t="n">
        <v>11</v>
      </c>
      <c r="D1223" s="0" t="n">
        <f aca="false">-1+A1223*0.125</f>
        <v>-0.5</v>
      </c>
      <c r="E1223" s="0" t="n">
        <f aca="false">-1+B1223*0.125</f>
        <v>-0.625</v>
      </c>
      <c r="F1223" s="0" t="n">
        <f aca="false">-1+C1223*0.125</f>
        <v>0.375</v>
      </c>
      <c r="G1223" s="0" t="n">
        <f aca="false">1</f>
        <v>1</v>
      </c>
      <c r="H1223" s="0" t="n">
        <f aca="false">D1223</f>
        <v>-0.5</v>
      </c>
      <c r="I1223" s="0" t="n">
        <f aca="false">E1223</f>
        <v>-0.625</v>
      </c>
      <c r="J1223" s="0" t="n">
        <f aca="false">F1223</f>
        <v>0.375</v>
      </c>
      <c r="K1223" s="0" t="n">
        <f aca="false">D1223*E1223</f>
        <v>0.3125</v>
      </c>
      <c r="L1223" s="0" t="n">
        <f aca="false">D1223*F1223</f>
        <v>-0.1875</v>
      </c>
      <c r="M1223" s="0" t="n">
        <f aca="false">E1223*F1223</f>
        <v>-0.234375</v>
      </c>
      <c r="N1223" s="0" t="n">
        <f aca="false">D1223*D1223</f>
        <v>0.25</v>
      </c>
      <c r="O1223" s="0" t="n">
        <f aca="false">E1223*E1223</f>
        <v>0.390625</v>
      </c>
      <c r="P1223" s="0" t="n">
        <f aca="false">F1223*F1223</f>
        <v>0.140625</v>
      </c>
      <c r="Q1223" s="0" t="n">
        <f aca="false">SUMPRODUCT(G1223:P1223,_XtX!$B$71:$K$71)</f>
        <v>45.0233522727273</v>
      </c>
      <c r="R1223" s="0" t="n">
        <f aca="false">SUMPRODUCT(MMULT(G1223:P1223,_XtX!$B$58:$K$67),G1223:P1223)</f>
        <v>0.182953990589489</v>
      </c>
      <c r="S1223" s="0" t="n">
        <f aca="false">04_回帰ANOVA!$K$19*04_回帰ANOVA!$K$14*SQRT(1+R1223)</f>
        <v>1.01123143807044</v>
      </c>
      <c r="T1223" s="0" t="n">
        <f aca="false">Q1223-S1223</f>
        <v>44.0121208346568</v>
      </c>
      <c r="U1223" s="0" t="n">
        <f aca="false">Q1223+S1223</f>
        <v>46.0345837107977</v>
      </c>
      <c r="V1223" s="54" t="b">
        <f aca="false">AND(D1223&gt;=01_因子設定!$L$5-0.000000001,D1223&lt;=01_因子設定!$M$5+0.000000001,E1223&gt;=01_因子設定!$L$6-0.000000001,E1223&lt;=01_因子設定!$M$6+0.000000001,F1223&gt;=01_因子設定!$L$7-0.000000001,F1223&lt;=01_因子設定!$M$7+0.000000001,IF(01_因子設定!$B$20="Box-Behnken",D1223^2+E1223^2+F1223^2&lt;=2+0.000000001,TRUE()))</f>
        <v>1</v>
      </c>
      <c r="W1223" s="55" t="n">
        <f aca="false">IF(V1223,IF(01_因子設定!$B$13="最大化",T1223-01_因子設定!$B$14,IF(01_因子設定!$B$13="最小化",01_因子設定!$B$15-U1223,MIN(T1223-01_因子設定!$B$14,01_因子設定!$B$15-U1223))),-1E+030)</f>
        <v>-4.48787916534316</v>
      </c>
      <c r="X1223" s="55" t="n">
        <f aca="false">IF(V1223,IF(01_因子設定!$B$13="最大化",Q1223,IF(01_因子設定!$B$13="最小化",-Q1223,-ABS(Q1223-01_因子設定!$B$16))),-1E+030)</f>
        <v>45.0233522727273</v>
      </c>
      <c r="Y1223" s="55" t="n">
        <f aca="false">W1223+ROW()*0.000000001</f>
        <v>-4.48787794234316</v>
      </c>
      <c r="Z1223" s="55" t="n">
        <f aca="false">X1223+ROW()*0.000000001</f>
        <v>45.0233534957273</v>
      </c>
    </row>
    <row r="1224" customFormat="false" ht="15" hidden="false" customHeight="false" outlineLevel="0" collapsed="false">
      <c r="A1224" s="0" t="n">
        <v>4</v>
      </c>
      <c r="B1224" s="0" t="n">
        <v>3</v>
      </c>
      <c r="C1224" s="0" t="n">
        <v>12</v>
      </c>
      <c r="D1224" s="0" t="n">
        <f aca="false">-1+A1224*0.125</f>
        <v>-0.5</v>
      </c>
      <c r="E1224" s="0" t="n">
        <f aca="false">-1+B1224*0.125</f>
        <v>-0.625</v>
      </c>
      <c r="F1224" s="0" t="n">
        <f aca="false">-1+C1224*0.125</f>
        <v>0.5</v>
      </c>
      <c r="G1224" s="0" t="n">
        <f aca="false">1</f>
        <v>1</v>
      </c>
      <c r="H1224" s="0" t="n">
        <f aca="false">D1224</f>
        <v>-0.5</v>
      </c>
      <c r="I1224" s="0" t="n">
        <f aca="false">E1224</f>
        <v>-0.625</v>
      </c>
      <c r="J1224" s="0" t="n">
        <f aca="false">F1224</f>
        <v>0.5</v>
      </c>
      <c r="K1224" s="0" t="n">
        <f aca="false">D1224*E1224</f>
        <v>0.3125</v>
      </c>
      <c r="L1224" s="0" t="n">
        <f aca="false">D1224*F1224</f>
        <v>-0.25</v>
      </c>
      <c r="M1224" s="0" t="n">
        <f aca="false">E1224*F1224</f>
        <v>-0.3125</v>
      </c>
      <c r="N1224" s="0" t="n">
        <f aca="false">D1224*D1224</f>
        <v>0.25</v>
      </c>
      <c r="O1224" s="0" t="n">
        <f aca="false">E1224*E1224</f>
        <v>0.390625</v>
      </c>
      <c r="P1224" s="0" t="n">
        <f aca="false">F1224*F1224</f>
        <v>0.25</v>
      </c>
      <c r="Q1224" s="0" t="n">
        <f aca="false">SUMPRODUCT(G1224:P1224,_XtX!$B$71:$K$71)</f>
        <v>45.0413068181818</v>
      </c>
      <c r="R1224" s="0" t="n">
        <f aca="false">SUMPRODUCT(MMULT(G1224:P1224,_XtX!$B$58:$K$67),G1224:P1224)</f>
        <v>0.189133522727273</v>
      </c>
      <c r="S1224" s="0" t="n">
        <f aca="false">04_回帰ANOVA!$K$19*04_回帰ANOVA!$K$14*SQRT(1+R1224)</f>
        <v>1.0138692404042</v>
      </c>
      <c r="T1224" s="0" t="n">
        <f aca="false">Q1224-S1224</f>
        <v>44.0274375777776</v>
      </c>
      <c r="U1224" s="0" t="n">
        <f aca="false">Q1224+S1224</f>
        <v>46.055176058586</v>
      </c>
      <c r="V1224" s="54" t="b">
        <f aca="false">AND(D1224&gt;=01_因子設定!$L$5-0.000000001,D1224&lt;=01_因子設定!$M$5+0.000000001,E1224&gt;=01_因子設定!$L$6-0.000000001,E1224&lt;=01_因子設定!$M$6+0.000000001,F1224&gt;=01_因子設定!$L$7-0.000000001,F1224&lt;=01_因子設定!$M$7+0.000000001,IF(01_因子設定!$B$20="Box-Behnken",D1224^2+E1224^2+F1224^2&lt;=2+0.000000001,TRUE()))</f>
        <v>1</v>
      </c>
      <c r="W1224" s="55" t="n">
        <f aca="false">IF(V1224,IF(01_因子設定!$B$13="最大化",T1224-01_因子設定!$B$14,IF(01_因子設定!$B$13="最小化",01_因子設定!$B$15-U1224,MIN(T1224-01_因子設定!$B$14,01_因子設定!$B$15-U1224))),-1E+030)</f>
        <v>-4.47256242222237</v>
      </c>
      <c r="X1224" s="55" t="n">
        <f aca="false">IF(V1224,IF(01_因子設定!$B$13="最大化",Q1224,IF(01_因子設定!$B$13="最小化",-Q1224,-ABS(Q1224-01_因子設定!$B$16))),-1E+030)</f>
        <v>45.0413068181818</v>
      </c>
      <c r="Y1224" s="55" t="n">
        <f aca="false">W1224+ROW()*0.000000001</f>
        <v>-4.47256119822237</v>
      </c>
      <c r="Z1224" s="55" t="n">
        <f aca="false">X1224+ROW()*0.000000001</f>
        <v>45.0413080421818</v>
      </c>
    </row>
    <row r="1225" customFormat="false" ht="15" hidden="false" customHeight="false" outlineLevel="0" collapsed="false">
      <c r="A1225" s="0" t="n">
        <v>4</v>
      </c>
      <c r="B1225" s="0" t="n">
        <v>3</v>
      </c>
      <c r="C1225" s="0" t="n">
        <v>13</v>
      </c>
      <c r="D1225" s="0" t="n">
        <f aca="false">-1+A1225*0.125</f>
        <v>-0.5</v>
      </c>
      <c r="E1225" s="0" t="n">
        <f aca="false">-1+B1225*0.125</f>
        <v>-0.625</v>
      </c>
      <c r="F1225" s="0" t="n">
        <f aca="false">-1+C1225*0.125</f>
        <v>0.625</v>
      </c>
      <c r="G1225" s="0" t="n">
        <f aca="false">1</f>
        <v>1</v>
      </c>
      <c r="H1225" s="0" t="n">
        <f aca="false">D1225</f>
        <v>-0.5</v>
      </c>
      <c r="I1225" s="0" t="n">
        <f aca="false">E1225</f>
        <v>-0.625</v>
      </c>
      <c r="J1225" s="0" t="n">
        <f aca="false">F1225</f>
        <v>0.625</v>
      </c>
      <c r="K1225" s="0" t="n">
        <f aca="false">D1225*E1225</f>
        <v>0.3125</v>
      </c>
      <c r="L1225" s="0" t="n">
        <f aca="false">D1225*F1225</f>
        <v>-0.3125</v>
      </c>
      <c r="M1225" s="0" t="n">
        <f aca="false">E1225*F1225</f>
        <v>-0.390625</v>
      </c>
      <c r="N1225" s="0" t="n">
        <f aca="false">D1225*D1225</f>
        <v>0.25</v>
      </c>
      <c r="O1225" s="0" t="n">
        <f aca="false">E1225*E1225</f>
        <v>0.390625</v>
      </c>
      <c r="P1225" s="0" t="n">
        <f aca="false">F1225*F1225</f>
        <v>0.390625</v>
      </c>
      <c r="Q1225" s="0" t="n">
        <f aca="false">SUMPRODUCT(G1225:P1225,_XtX!$B$71:$K$71)</f>
        <v>45.0224715909091</v>
      </c>
      <c r="R1225" s="0" t="n">
        <f aca="false">SUMPRODUCT(MMULT(G1225:P1225,_XtX!$B$58:$K$67),G1225:P1225)</f>
        <v>0.209862726384943</v>
      </c>
      <c r="S1225" s="0" t="n">
        <f aca="false">04_回帰ANOVA!$K$19*04_回帰ANOVA!$K$14*SQRT(1+R1225)</f>
        <v>1.0226680420112</v>
      </c>
      <c r="T1225" s="0" t="n">
        <f aca="false">Q1225-S1225</f>
        <v>43.9998035488979</v>
      </c>
      <c r="U1225" s="0" t="n">
        <f aca="false">Q1225+S1225</f>
        <v>46.0451396329203</v>
      </c>
      <c r="V1225" s="54" t="b">
        <f aca="false">AND(D1225&gt;=01_因子設定!$L$5-0.000000001,D1225&lt;=01_因子設定!$M$5+0.000000001,E1225&gt;=01_因子設定!$L$6-0.000000001,E1225&lt;=01_因子設定!$M$6+0.000000001,F1225&gt;=01_因子設定!$L$7-0.000000001,F1225&lt;=01_因子設定!$M$7+0.000000001,IF(01_因子設定!$B$20="Box-Behnken",D1225^2+E1225^2+F1225^2&lt;=2+0.000000001,TRUE()))</f>
        <v>1</v>
      </c>
      <c r="W1225" s="55" t="n">
        <f aca="false">IF(V1225,IF(01_因子設定!$B$13="最大化",T1225-01_因子設定!$B$14,IF(01_因子設定!$B$13="最小化",01_因子設定!$B$15-U1225,MIN(T1225-01_因子設定!$B$14,01_因子設定!$B$15-U1225))),-1E+030)</f>
        <v>-4.5001964511021</v>
      </c>
      <c r="X1225" s="55" t="n">
        <f aca="false">IF(V1225,IF(01_因子設定!$B$13="最大化",Q1225,IF(01_因子設定!$B$13="最小化",-Q1225,-ABS(Q1225-01_因子設定!$B$16))),-1E+030)</f>
        <v>45.0224715909091</v>
      </c>
      <c r="Y1225" s="55" t="n">
        <f aca="false">W1225+ROW()*0.000000001</f>
        <v>-4.5001952261021</v>
      </c>
      <c r="Z1225" s="55" t="n">
        <f aca="false">X1225+ROW()*0.000000001</f>
        <v>45.0224728159091</v>
      </c>
    </row>
    <row r="1226" customFormat="false" ht="15" hidden="false" customHeight="false" outlineLevel="0" collapsed="false">
      <c r="A1226" s="0" t="n">
        <v>4</v>
      </c>
      <c r="B1226" s="0" t="n">
        <v>3</v>
      </c>
      <c r="C1226" s="0" t="n">
        <v>14</v>
      </c>
      <c r="D1226" s="0" t="n">
        <f aca="false">-1+A1226*0.125</f>
        <v>-0.5</v>
      </c>
      <c r="E1226" s="0" t="n">
        <f aca="false">-1+B1226*0.125</f>
        <v>-0.625</v>
      </c>
      <c r="F1226" s="0" t="n">
        <f aca="false">-1+C1226*0.125</f>
        <v>0.75</v>
      </c>
      <c r="G1226" s="0" t="n">
        <f aca="false">1</f>
        <v>1</v>
      </c>
      <c r="H1226" s="0" t="n">
        <f aca="false">D1226</f>
        <v>-0.5</v>
      </c>
      <c r="I1226" s="0" t="n">
        <f aca="false">E1226</f>
        <v>-0.625</v>
      </c>
      <c r="J1226" s="0" t="n">
        <f aca="false">F1226</f>
        <v>0.75</v>
      </c>
      <c r="K1226" s="0" t="n">
        <f aca="false">D1226*E1226</f>
        <v>0.3125</v>
      </c>
      <c r="L1226" s="0" t="n">
        <f aca="false">D1226*F1226</f>
        <v>-0.375</v>
      </c>
      <c r="M1226" s="0" t="n">
        <f aca="false">E1226*F1226</f>
        <v>-0.46875</v>
      </c>
      <c r="N1226" s="0" t="n">
        <f aca="false">D1226*D1226</f>
        <v>0.25</v>
      </c>
      <c r="O1226" s="0" t="n">
        <f aca="false">E1226*E1226</f>
        <v>0.390625</v>
      </c>
      <c r="P1226" s="0" t="n">
        <f aca="false">F1226*F1226</f>
        <v>0.5625</v>
      </c>
      <c r="Q1226" s="0" t="n">
        <f aca="false">SUMPRODUCT(G1226:P1226,_XtX!$B$71:$K$71)</f>
        <v>44.9668465909091</v>
      </c>
      <c r="R1226" s="0" t="n">
        <f aca="false">SUMPRODUCT(MMULT(G1226:P1226,_XtX!$B$58:$K$67),G1226:P1226)</f>
        <v>0.254729669744318</v>
      </c>
      <c r="S1226" s="0" t="n">
        <f aca="false">04_回帰ANOVA!$K$19*04_回帰ANOVA!$K$14*SQRT(1+R1226)</f>
        <v>1.04145790281631</v>
      </c>
      <c r="T1226" s="0" t="n">
        <f aca="false">Q1226-S1226</f>
        <v>43.9253886880928</v>
      </c>
      <c r="U1226" s="0" t="n">
        <f aca="false">Q1226+S1226</f>
        <v>46.0083044937254</v>
      </c>
      <c r="V1226" s="54" t="b">
        <f aca="false">AND(D1226&gt;=01_因子設定!$L$5-0.000000001,D1226&lt;=01_因子設定!$M$5+0.000000001,E1226&gt;=01_因子設定!$L$6-0.000000001,E1226&lt;=01_因子設定!$M$6+0.000000001,F1226&gt;=01_因子設定!$L$7-0.000000001,F1226&lt;=01_因子設定!$M$7+0.000000001,IF(01_因子設定!$B$20="Box-Behnken",D1226^2+E1226^2+F1226^2&lt;=2+0.000000001,TRUE()))</f>
        <v>1</v>
      </c>
      <c r="W1226" s="55" t="n">
        <f aca="false">IF(V1226,IF(01_因子設定!$B$13="最大化",T1226-01_因子設定!$B$14,IF(01_因子設定!$B$13="最小化",01_因子設定!$B$15-U1226,MIN(T1226-01_因子設定!$B$14,01_因子設定!$B$15-U1226))),-1E+030)</f>
        <v>-4.57461131190721</v>
      </c>
      <c r="X1226" s="55" t="n">
        <f aca="false">IF(V1226,IF(01_因子設定!$B$13="最大化",Q1226,IF(01_因子設定!$B$13="最小化",-Q1226,-ABS(Q1226-01_因子設定!$B$16))),-1E+030)</f>
        <v>44.9668465909091</v>
      </c>
      <c r="Y1226" s="55" t="n">
        <f aca="false">W1226+ROW()*0.000000001</f>
        <v>-4.57461008590721</v>
      </c>
      <c r="Z1226" s="55" t="n">
        <f aca="false">X1226+ROW()*0.000000001</f>
        <v>44.9668478169091</v>
      </c>
    </row>
    <row r="1227" customFormat="false" ht="15" hidden="false" customHeight="false" outlineLevel="0" collapsed="false">
      <c r="A1227" s="0" t="n">
        <v>4</v>
      </c>
      <c r="B1227" s="0" t="n">
        <v>3</v>
      </c>
      <c r="C1227" s="0" t="n">
        <v>15</v>
      </c>
      <c r="D1227" s="0" t="n">
        <f aca="false">-1+A1227*0.125</f>
        <v>-0.5</v>
      </c>
      <c r="E1227" s="0" t="n">
        <f aca="false">-1+B1227*0.125</f>
        <v>-0.625</v>
      </c>
      <c r="F1227" s="0" t="n">
        <f aca="false">-1+C1227*0.125</f>
        <v>0.875</v>
      </c>
      <c r="G1227" s="0" t="n">
        <f aca="false">1</f>
        <v>1</v>
      </c>
      <c r="H1227" s="0" t="n">
        <f aca="false">D1227</f>
        <v>-0.5</v>
      </c>
      <c r="I1227" s="0" t="n">
        <f aca="false">E1227</f>
        <v>-0.625</v>
      </c>
      <c r="J1227" s="0" t="n">
        <f aca="false">F1227</f>
        <v>0.875</v>
      </c>
      <c r="K1227" s="0" t="n">
        <f aca="false">D1227*E1227</f>
        <v>0.3125</v>
      </c>
      <c r="L1227" s="0" t="n">
        <f aca="false">D1227*F1227</f>
        <v>-0.4375</v>
      </c>
      <c r="M1227" s="0" t="n">
        <f aca="false">E1227*F1227</f>
        <v>-0.546875</v>
      </c>
      <c r="N1227" s="0" t="n">
        <f aca="false">D1227*D1227</f>
        <v>0.25</v>
      </c>
      <c r="O1227" s="0" t="n">
        <f aca="false">E1227*E1227</f>
        <v>0.390625</v>
      </c>
      <c r="P1227" s="0" t="n">
        <f aca="false">F1227*F1227</f>
        <v>0.765625</v>
      </c>
      <c r="Q1227" s="0" t="n">
        <f aca="false">SUMPRODUCT(G1227:P1227,_XtX!$B$71:$K$71)</f>
        <v>44.8744318181818</v>
      </c>
      <c r="R1227" s="0" t="n">
        <f aca="false">SUMPRODUCT(MMULT(G1227:P1227,_XtX!$B$58:$K$67),G1227:P1227)</f>
        <v>0.335453102805398</v>
      </c>
      <c r="S1227" s="0" t="n">
        <f aca="false">04_回帰ANOVA!$K$19*04_回帰ANOVA!$K$14*SQRT(1+R1227)</f>
        <v>1.07443700305628</v>
      </c>
      <c r="T1227" s="0" t="n">
        <f aca="false">Q1227-S1227</f>
        <v>43.7999948151256</v>
      </c>
      <c r="U1227" s="0" t="n">
        <f aca="false">Q1227+S1227</f>
        <v>45.9488688212381</v>
      </c>
      <c r="V1227" s="54" t="b">
        <f aca="false">AND(D1227&gt;=01_因子設定!$L$5-0.000000001,D1227&lt;=01_因子設定!$M$5+0.000000001,E1227&gt;=01_因子設定!$L$6-0.000000001,E1227&lt;=01_因子設定!$M$6+0.000000001,F1227&gt;=01_因子設定!$L$7-0.000000001,F1227&lt;=01_因子設定!$M$7+0.000000001,IF(01_因子設定!$B$20="Box-Behnken",D1227^2+E1227^2+F1227^2&lt;=2+0.000000001,TRUE()))</f>
        <v>1</v>
      </c>
      <c r="W1227" s="55" t="n">
        <f aca="false">IF(V1227,IF(01_因子設定!$B$13="最大化",T1227-01_因子設定!$B$14,IF(01_因子設定!$B$13="最小化",01_因子設定!$B$15-U1227,MIN(T1227-01_因子設定!$B$14,01_因子設定!$B$15-U1227))),-1E+030)</f>
        <v>-4.70000518487444</v>
      </c>
      <c r="X1227" s="55" t="n">
        <f aca="false">IF(V1227,IF(01_因子設定!$B$13="最大化",Q1227,IF(01_因子設定!$B$13="最小化",-Q1227,-ABS(Q1227-01_因子設定!$B$16))),-1E+030)</f>
        <v>44.8744318181818</v>
      </c>
      <c r="Y1227" s="55" t="n">
        <f aca="false">W1227+ROW()*0.000000001</f>
        <v>-4.70000395787444</v>
      </c>
      <c r="Z1227" s="55" t="n">
        <f aca="false">X1227+ROW()*0.000000001</f>
        <v>44.8744330451818</v>
      </c>
    </row>
    <row r="1228" customFormat="false" ht="15" hidden="false" customHeight="false" outlineLevel="0" collapsed="false">
      <c r="A1228" s="0" t="n">
        <v>4</v>
      </c>
      <c r="B1228" s="0" t="n">
        <v>3</v>
      </c>
      <c r="C1228" s="0" t="n">
        <v>16</v>
      </c>
      <c r="D1228" s="0" t="n">
        <f aca="false">-1+A1228*0.125</f>
        <v>-0.5</v>
      </c>
      <c r="E1228" s="0" t="n">
        <f aca="false">-1+B1228*0.125</f>
        <v>-0.625</v>
      </c>
      <c r="F1228" s="0" t="n">
        <f aca="false">-1+C1228*0.125</f>
        <v>1</v>
      </c>
      <c r="G1228" s="0" t="n">
        <f aca="false">1</f>
        <v>1</v>
      </c>
      <c r="H1228" s="0" t="n">
        <f aca="false">D1228</f>
        <v>-0.5</v>
      </c>
      <c r="I1228" s="0" t="n">
        <f aca="false">E1228</f>
        <v>-0.625</v>
      </c>
      <c r="J1228" s="0" t="n">
        <f aca="false">F1228</f>
        <v>1</v>
      </c>
      <c r="K1228" s="0" t="n">
        <f aca="false">D1228*E1228</f>
        <v>0.3125</v>
      </c>
      <c r="L1228" s="0" t="n">
        <f aca="false">D1228*F1228</f>
        <v>-0.5</v>
      </c>
      <c r="M1228" s="0" t="n">
        <f aca="false">E1228*F1228</f>
        <v>-0.625</v>
      </c>
      <c r="N1228" s="0" t="n">
        <f aca="false">D1228*D1228</f>
        <v>0.25</v>
      </c>
      <c r="O1228" s="0" t="n">
        <f aca="false">E1228*E1228</f>
        <v>0.390625</v>
      </c>
      <c r="P1228" s="0" t="n">
        <f aca="false">F1228*F1228</f>
        <v>1</v>
      </c>
      <c r="Q1228" s="0" t="n">
        <f aca="false">SUMPRODUCT(G1228:P1228,_XtX!$B$71:$K$71)</f>
        <v>44.7452272727273</v>
      </c>
      <c r="R1228" s="0" t="n">
        <f aca="false">SUMPRODUCT(MMULT(G1228:P1228,_XtX!$B$58:$K$67),G1228:P1228)</f>
        <v>0.465882457386364</v>
      </c>
      <c r="S1228" s="0" t="n">
        <f aca="false">04_回帰ANOVA!$K$19*04_回帰ANOVA!$K$14*SQRT(1+R1228)</f>
        <v>1.12568326538173</v>
      </c>
      <c r="T1228" s="0" t="n">
        <f aca="false">Q1228-S1228</f>
        <v>43.6195440073456</v>
      </c>
      <c r="U1228" s="0" t="n">
        <f aca="false">Q1228+S1228</f>
        <v>45.870910538109</v>
      </c>
      <c r="V1228" s="54" t="b">
        <f aca="false">AND(D1228&gt;=01_因子設定!$L$5-0.000000001,D1228&lt;=01_因子設定!$M$5+0.000000001,E1228&gt;=01_因子設定!$L$6-0.000000001,E1228&lt;=01_因子設定!$M$6+0.000000001,F1228&gt;=01_因子設定!$L$7-0.000000001,F1228&lt;=01_因子設定!$M$7+0.000000001,IF(01_因子設定!$B$20="Box-Behnken",D1228^2+E1228^2+F1228^2&lt;=2+0.000000001,TRUE()))</f>
        <v>1</v>
      </c>
      <c r="W1228" s="55" t="n">
        <f aca="false">IF(V1228,IF(01_因子設定!$B$13="最大化",T1228-01_因子設定!$B$14,IF(01_因子設定!$B$13="最小化",01_因子設定!$B$15-U1228,MIN(T1228-01_因子設定!$B$14,01_因子設定!$B$15-U1228))),-1E+030)</f>
        <v>-4.88045599265443</v>
      </c>
      <c r="X1228" s="55" t="n">
        <f aca="false">IF(V1228,IF(01_因子設定!$B$13="最大化",Q1228,IF(01_因子設定!$B$13="最小化",-Q1228,-ABS(Q1228-01_因子設定!$B$16))),-1E+030)</f>
        <v>44.7452272727273</v>
      </c>
      <c r="Y1228" s="55" t="n">
        <f aca="false">W1228+ROW()*0.000000001</f>
        <v>-4.88045476465443</v>
      </c>
      <c r="Z1228" s="55" t="n">
        <f aca="false">X1228+ROW()*0.000000001</f>
        <v>44.7452285007273</v>
      </c>
    </row>
    <row r="1229" customFormat="false" ht="15" hidden="false" customHeight="false" outlineLevel="0" collapsed="false">
      <c r="A1229" s="0" t="n">
        <v>4</v>
      </c>
      <c r="B1229" s="0" t="n">
        <v>4</v>
      </c>
      <c r="C1229" s="0" t="n">
        <v>0</v>
      </c>
      <c r="D1229" s="0" t="n">
        <f aca="false">-1+A1229*0.125</f>
        <v>-0.5</v>
      </c>
      <c r="E1229" s="0" t="n">
        <f aca="false">-1+B1229*0.125</f>
        <v>-0.5</v>
      </c>
      <c r="F1229" s="0" t="n">
        <f aca="false">-1+C1229*0.125</f>
        <v>-1</v>
      </c>
      <c r="G1229" s="0" t="n">
        <f aca="false">1</f>
        <v>1</v>
      </c>
      <c r="H1229" s="0" t="n">
        <f aca="false">D1229</f>
        <v>-0.5</v>
      </c>
      <c r="I1229" s="0" t="n">
        <f aca="false">E1229</f>
        <v>-0.5</v>
      </c>
      <c r="J1229" s="0" t="n">
        <f aca="false">F1229</f>
        <v>-1</v>
      </c>
      <c r="K1229" s="0" t="n">
        <f aca="false">D1229*E1229</f>
        <v>0.25</v>
      </c>
      <c r="L1229" s="0" t="n">
        <f aca="false">D1229*F1229</f>
        <v>0.5</v>
      </c>
      <c r="M1229" s="0" t="n">
        <f aca="false">E1229*F1229</f>
        <v>0.5</v>
      </c>
      <c r="N1229" s="0" t="n">
        <f aca="false">D1229*D1229</f>
        <v>0.25</v>
      </c>
      <c r="O1229" s="0" t="n">
        <f aca="false">E1229*E1229</f>
        <v>0.25</v>
      </c>
      <c r="P1229" s="0" t="n">
        <f aca="false">F1229*F1229</f>
        <v>1</v>
      </c>
      <c r="Q1229" s="0" t="n">
        <f aca="false">SUMPRODUCT(G1229:P1229,_XtX!$B$71:$K$71)</f>
        <v>42.80875</v>
      </c>
      <c r="R1229" s="0" t="n">
        <f aca="false">SUMPRODUCT(MMULT(G1229:P1229,_XtX!$B$58:$K$67),G1229:P1229)</f>
        <v>0.4578125</v>
      </c>
      <c r="S1229" s="0" t="n">
        <f aca="false">04_回帰ANOVA!$K$19*04_回帰ANOVA!$K$14*SQRT(1+R1229)</f>
        <v>1.12258044051089</v>
      </c>
      <c r="T1229" s="0" t="n">
        <f aca="false">Q1229-S1229</f>
        <v>41.6861695594891</v>
      </c>
      <c r="U1229" s="0" t="n">
        <f aca="false">Q1229+S1229</f>
        <v>43.9313304405109</v>
      </c>
      <c r="V1229" s="54" t="b">
        <f aca="false">AND(D1229&gt;=01_因子設定!$L$5-0.000000001,D1229&lt;=01_因子設定!$M$5+0.000000001,E1229&gt;=01_因子設定!$L$6-0.000000001,E1229&lt;=01_因子設定!$M$6+0.000000001,F1229&gt;=01_因子設定!$L$7-0.000000001,F1229&lt;=01_因子設定!$M$7+0.000000001,IF(01_因子設定!$B$20="Box-Behnken",D1229^2+E1229^2+F1229^2&lt;=2+0.000000001,TRUE()))</f>
        <v>1</v>
      </c>
      <c r="W1229" s="55" t="n">
        <f aca="false">IF(V1229,IF(01_因子設定!$B$13="最大化",T1229-01_因子設定!$B$14,IF(01_因子設定!$B$13="最小化",01_因子設定!$B$15-U1229,MIN(T1229-01_因子設定!$B$14,01_因子設定!$B$15-U1229))),-1E+030)</f>
        <v>-6.81383044051086</v>
      </c>
      <c r="X1229" s="55" t="n">
        <f aca="false">IF(V1229,IF(01_因子設定!$B$13="最大化",Q1229,IF(01_因子設定!$B$13="最小化",-Q1229,-ABS(Q1229-01_因子設定!$B$16))),-1E+030)</f>
        <v>42.80875</v>
      </c>
      <c r="Y1229" s="55" t="n">
        <f aca="false">W1229+ROW()*0.000000001</f>
        <v>-6.81382921151086</v>
      </c>
      <c r="Z1229" s="55" t="n">
        <f aca="false">X1229+ROW()*0.000000001</f>
        <v>42.808751229</v>
      </c>
    </row>
    <row r="1230" customFormat="false" ht="15" hidden="false" customHeight="false" outlineLevel="0" collapsed="false">
      <c r="A1230" s="0" t="n">
        <v>4</v>
      </c>
      <c r="B1230" s="0" t="n">
        <v>4</v>
      </c>
      <c r="C1230" s="0" t="n">
        <v>1</v>
      </c>
      <c r="D1230" s="0" t="n">
        <f aca="false">-1+A1230*0.125</f>
        <v>-0.5</v>
      </c>
      <c r="E1230" s="0" t="n">
        <f aca="false">-1+B1230*0.125</f>
        <v>-0.5</v>
      </c>
      <c r="F1230" s="0" t="n">
        <f aca="false">-1+C1230*0.125</f>
        <v>-0.875</v>
      </c>
      <c r="G1230" s="0" t="n">
        <f aca="false">1</f>
        <v>1</v>
      </c>
      <c r="H1230" s="0" t="n">
        <f aca="false">D1230</f>
        <v>-0.5</v>
      </c>
      <c r="I1230" s="0" t="n">
        <f aca="false">E1230</f>
        <v>-0.5</v>
      </c>
      <c r="J1230" s="0" t="n">
        <f aca="false">F1230</f>
        <v>-0.875</v>
      </c>
      <c r="K1230" s="0" t="n">
        <f aca="false">D1230*E1230</f>
        <v>0.25</v>
      </c>
      <c r="L1230" s="0" t="n">
        <f aca="false">D1230*F1230</f>
        <v>0.4375</v>
      </c>
      <c r="M1230" s="0" t="n">
        <f aca="false">E1230*F1230</f>
        <v>0.4375</v>
      </c>
      <c r="N1230" s="0" t="n">
        <f aca="false">D1230*D1230</f>
        <v>0.25</v>
      </c>
      <c r="O1230" s="0" t="n">
        <f aca="false">E1230*E1230</f>
        <v>0.25</v>
      </c>
      <c r="P1230" s="0" t="n">
        <f aca="false">F1230*F1230</f>
        <v>0.765625</v>
      </c>
      <c r="Q1230" s="0" t="n">
        <f aca="false">SUMPRODUCT(G1230:P1230,_XtX!$B$71:$K$71)</f>
        <v>43.2384232954546</v>
      </c>
      <c r="R1230" s="0" t="n">
        <f aca="false">SUMPRODUCT(MMULT(G1230:P1230,_XtX!$B$58:$K$67),G1230:P1230)</f>
        <v>0.322514204545455</v>
      </c>
      <c r="S1230" s="0" t="n">
        <f aca="false">04_回帰ANOVA!$K$19*04_回帰ANOVA!$K$14*SQRT(1+R1230)</f>
        <v>1.0692193475064</v>
      </c>
      <c r="T1230" s="0" t="n">
        <f aca="false">Q1230-S1230</f>
        <v>42.1692039479482</v>
      </c>
      <c r="U1230" s="0" t="n">
        <f aca="false">Q1230+S1230</f>
        <v>44.307642642961</v>
      </c>
      <c r="V1230" s="54" t="b">
        <f aca="false">AND(D1230&gt;=01_因子設定!$L$5-0.000000001,D1230&lt;=01_因子設定!$M$5+0.000000001,E1230&gt;=01_因子設定!$L$6-0.000000001,E1230&lt;=01_因子設定!$M$6+0.000000001,F1230&gt;=01_因子設定!$L$7-0.000000001,F1230&lt;=01_因子設定!$M$7+0.000000001,IF(01_因子設定!$B$20="Box-Behnken",D1230^2+E1230^2+F1230^2&lt;=2+0.000000001,TRUE()))</f>
        <v>1</v>
      </c>
      <c r="W1230" s="55" t="n">
        <f aca="false">IF(V1230,IF(01_因子設定!$B$13="最大化",T1230-01_因子設定!$B$14,IF(01_因子設定!$B$13="最小化",01_因子設定!$B$15-U1230,MIN(T1230-01_因子設定!$B$14,01_因子設定!$B$15-U1230))),-1E+030)</f>
        <v>-6.33079605205184</v>
      </c>
      <c r="X1230" s="55" t="n">
        <f aca="false">IF(V1230,IF(01_因子設定!$B$13="最大化",Q1230,IF(01_因子設定!$B$13="最小化",-Q1230,-ABS(Q1230-01_因子設定!$B$16))),-1E+030)</f>
        <v>43.2384232954546</v>
      </c>
      <c r="Y1230" s="55" t="n">
        <f aca="false">W1230+ROW()*0.000000001</f>
        <v>-6.33079482205184</v>
      </c>
      <c r="Z1230" s="55" t="n">
        <f aca="false">X1230+ROW()*0.000000001</f>
        <v>43.2384245254546</v>
      </c>
    </row>
    <row r="1231" customFormat="false" ht="15" hidden="false" customHeight="false" outlineLevel="0" collapsed="false">
      <c r="A1231" s="0" t="n">
        <v>4</v>
      </c>
      <c r="B1231" s="0" t="n">
        <v>4</v>
      </c>
      <c r="C1231" s="0" t="n">
        <v>2</v>
      </c>
      <c r="D1231" s="0" t="n">
        <f aca="false">-1+A1231*0.125</f>
        <v>-0.5</v>
      </c>
      <c r="E1231" s="0" t="n">
        <f aca="false">-1+B1231*0.125</f>
        <v>-0.5</v>
      </c>
      <c r="F1231" s="0" t="n">
        <f aca="false">-1+C1231*0.125</f>
        <v>-0.75</v>
      </c>
      <c r="G1231" s="0" t="n">
        <f aca="false">1</f>
        <v>1</v>
      </c>
      <c r="H1231" s="0" t="n">
        <f aca="false">D1231</f>
        <v>-0.5</v>
      </c>
      <c r="I1231" s="0" t="n">
        <f aca="false">E1231</f>
        <v>-0.5</v>
      </c>
      <c r="J1231" s="0" t="n">
        <f aca="false">F1231</f>
        <v>-0.75</v>
      </c>
      <c r="K1231" s="0" t="n">
        <f aca="false">D1231*E1231</f>
        <v>0.25</v>
      </c>
      <c r="L1231" s="0" t="n">
        <f aca="false">D1231*F1231</f>
        <v>0.375</v>
      </c>
      <c r="M1231" s="0" t="n">
        <f aca="false">E1231*F1231</f>
        <v>0.375</v>
      </c>
      <c r="N1231" s="0" t="n">
        <f aca="false">D1231*D1231</f>
        <v>0.25</v>
      </c>
      <c r="O1231" s="0" t="n">
        <f aca="false">E1231*E1231</f>
        <v>0.25</v>
      </c>
      <c r="P1231" s="0" t="n">
        <f aca="false">F1231*F1231</f>
        <v>0.5625</v>
      </c>
      <c r="Q1231" s="0" t="n">
        <f aca="false">SUMPRODUCT(G1231:P1231,_XtX!$B$71:$K$71)</f>
        <v>43.6313068181818</v>
      </c>
      <c r="R1231" s="0" t="n">
        <f aca="false">SUMPRODUCT(MMULT(G1231:P1231,_XtX!$B$58:$K$67),G1231:P1231)</f>
        <v>0.237571022727273</v>
      </c>
      <c r="S1231" s="0" t="n">
        <f aca="false">04_回帰ANOVA!$K$19*04_回帰ANOVA!$K$14*SQRT(1+R1231)</f>
        <v>1.0343123302758</v>
      </c>
      <c r="T1231" s="0" t="n">
        <f aca="false">Q1231-S1231</f>
        <v>42.596994487906</v>
      </c>
      <c r="U1231" s="0" t="n">
        <f aca="false">Q1231+S1231</f>
        <v>44.6656191484576</v>
      </c>
      <c r="V1231" s="54" t="b">
        <f aca="false">AND(D1231&gt;=01_因子設定!$L$5-0.000000001,D1231&lt;=01_因子設定!$M$5+0.000000001,E1231&gt;=01_因子設定!$L$6-0.000000001,E1231&lt;=01_因子設定!$M$6+0.000000001,F1231&gt;=01_因子設定!$L$7-0.000000001,F1231&lt;=01_因子設定!$M$7+0.000000001,IF(01_因子設定!$B$20="Box-Behnken",D1231^2+E1231^2+F1231^2&lt;=2+0.000000001,TRUE()))</f>
        <v>1</v>
      </c>
      <c r="W1231" s="55" t="n">
        <f aca="false">IF(V1231,IF(01_因子設定!$B$13="最大化",T1231-01_因子設定!$B$14,IF(01_因子設定!$B$13="最小化",01_因子設定!$B$15-U1231,MIN(T1231-01_因子設定!$B$14,01_因子設定!$B$15-U1231))),-1E+030)</f>
        <v>-5.90300551209397</v>
      </c>
      <c r="X1231" s="55" t="n">
        <f aca="false">IF(V1231,IF(01_因子設定!$B$13="最大化",Q1231,IF(01_因子設定!$B$13="最小化",-Q1231,-ABS(Q1231-01_因子設定!$B$16))),-1E+030)</f>
        <v>43.6313068181818</v>
      </c>
      <c r="Y1231" s="55" t="n">
        <f aca="false">W1231+ROW()*0.000000001</f>
        <v>-5.90300428109397</v>
      </c>
      <c r="Z1231" s="55" t="n">
        <f aca="false">X1231+ROW()*0.000000001</f>
        <v>43.6313080491818</v>
      </c>
    </row>
    <row r="1232" customFormat="false" ht="15" hidden="false" customHeight="false" outlineLevel="0" collapsed="false">
      <c r="A1232" s="0" t="n">
        <v>4</v>
      </c>
      <c r="B1232" s="0" t="n">
        <v>4</v>
      </c>
      <c r="C1232" s="0" t="n">
        <v>3</v>
      </c>
      <c r="D1232" s="0" t="n">
        <f aca="false">-1+A1232*0.125</f>
        <v>-0.5</v>
      </c>
      <c r="E1232" s="0" t="n">
        <f aca="false">-1+B1232*0.125</f>
        <v>-0.5</v>
      </c>
      <c r="F1232" s="0" t="n">
        <f aca="false">-1+C1232*0.125</f>
        <v>-0.625</v>
      </c>
      <c r="G1232" s="0" t="n">
        <f aca="false">1</f>
        <v>1</v>
      </c>
      <c r="H1232" s="0" t="n">
        <f aca="false">D1232</f>
        <v>-0.5</v>
      </c>
      <c r="I1232" s="0" t="n">
        <f aca="false">E1232</f>
        <v>-0.5</v>
      </c>
      <c r="J1232" s="0" t="n">
        <f aca="false">F1232</f>
        <v>-0.625</v>
      </c>
      <c r="K1232" s="0" t="n">
        <f aca="false">D1232*E1232</f>
        <v>0.25</v>
      </c>
      <c r="L1232" s="0" t="n">
        <f aca="false">D1232*F1232</f>
        <v>0.3125</v>
      </c>
      <c r="M1232" s="0" t="n">
        <f aca="false">E1232*F1232</f>
        <v>0.3125</v>
      </c>
      <c r="N1232" s="0" t="n">
        <f aca="false">D1232*D1232</f>
        <v>0.25</v>
      </c>
      <c r="O1232" s="0" t="n">
        <f aca="false">E1232*E1232</f>
        <v>0.25</v>
      </c>
      <c r="P1232" s="0" t="n">
        <f aca="false">F1232*F1232</f>
        <v>0.390625</v>
      </c>
      <c r="Q1232" s="0" t="n">
        <f aca="false">SUMPRODUCT(G1232:P1232,_XtX!$B$71:$K$71)</f>
        <v>43.9874005681818</v>
      </c>
      <c r="R1232" s="0" t="n">
        <f aca="false">SUMPRODUCT(MMULT(G1232:P1232,_XtX!$B$58:$K$67),G1232:P1232)</f>
        <v>0.189133522727273</v>
      </c>
      <c r="S1232" s="0" t="n">
        <f aca="false">04_回帰ANOVA!$K$19*04_回帰ANOVA!$K$14*SQRT(1+R1232)</f>
        <v>1.0138692404042</v>
      </c>
      <c r="T1232" s="0" t="n">
        <f aca="false">Q1232-S1232</f>
        <v>42.9735313277776</v>
      </c>
      <c r="U1232" s="0" t="n">
        <f aca="false">Q1232+S1232</f>
        <v>45.001269808586</v>
      </c>
      <c r="V1232" s="54" t="b">
        <f aca="false">AND(D1232&gt;=01_因子設定!$L$5-0.000000001,D1232&lt;=01_因子設定!$M$5+0.000000001,E1232&gt;=01_因子設定!$L$6-0.000000001,E1232&lt;=01_因子設定!$M$6+0.000000001,F1232&gt;=01_因子設定!$L$7-0.000000001,F1232&lt;=01_因子設定!$M$7+0.000000001,IF(01_因子設定!$B$20="Box-Behnken",D1232^2+E1232^2+F1232^2&lt;=2+0.000000001,TRUE()))</f>
        <v>1</v>
      </c>
      <c r="W1232" s="55" t="n">
        <f aca="false">IF(V1232,IF(01_因子設定!$B$13="最大化",T1232-01_因子設定!$B$14,IF(01_因子設定!$B$13="最小化",01_因子設定!$B$15-U1232,MIN(T1232-01_因子設定!$B$14,01_因子設定!$B$15-U1232))),-1E+030)</f>
        <v>-5.52646867222236</v>
      </c>
      <c r="X1232" s="55" t="n">
        <f aca="false">IF(V1232,IF(01_因子設定!$B$13="最大化",Q1232,IF(01_因子設定!$B$13="最小化",-Q1232,-ABS(Q1232-01_因子設定!$B$16))),-1E+030)</f>
        <v>43.9874005681818</v>
      </c>
      <c r="Y1232" s="55" t="n">
        <f aca="false">W1232+ROW()*0.000000001</f>
        <v>-5.52646744022237</v>
      </c>
      <c r="Z1232" s="55" t="n">
        <f aca="false">X1232+ROW()*0.000000001</f>
        <v>43.9874018001818</v>
      </c>
    </row>
    <row r="1233" customFormat="false" ht="15" hidden="false" customHeight="false" outlineLevel="0" collapsed="false">
      <c r="A1233" s="0" t="n">
        <v>4</v>
      </c>
      <c r="B1233" s="0" t="n">
        <v>4</v>
      </c>
      <c r="C1233" s="0" t="n">
        <v>4</v>
      </c>
      <c r="D1233" s="0" t="n">
        <f aca="false">-1+A1233*0.125</f>
        <v>-0.5</v>
      </c>
      <c r="E1233" s="0" t="n">
        <f aca="false">-1+B1233*0.125</f>
        <v>-0.5</v>
      </c>
      <c r="F1233" s="0" t="n">
        <f aca="false">-1+C1233*0.125</f>
        <v>-0.5</v>
      </c>
      <c r="G1233" s="0" t="n">
        <f aca="false">1</f>
        <v>1</v>
      </c>
      <c r="H1233" s="0" t="n">
        <f aca="false">D1233</f>
        <v>-0.5</v>
      </c>
      <c r="I1233" s="0" t="n">
        <f aca="false">E1233</f>
        <v>-0.5</v>
      </c>
      <c r="J1233" s="0" t="n">
        <f aca="false">F1233</f>
        <v>-0.5</v>
      </c>
      <c r="K1233" s="0" t="n">
        <f aca="false">D1233*E1233</f>
        <v>0.25</v>
      </c>
      <c r="L1233" s="0" t="n">
        <f aca="false">D1233*F1233</f>
        <v>0.25</v>
      </c>
      <c r="M1233" s="0" t="n">
        <f aca="false">E1233*F1233</f>
        <v>0.25</v>
      </c>
      <c r="N1233" s="0" t="n">
        <f aca="false">D1233*D1233</f>
        <v>0.25</v>
      </c>
      <c r="O1233" s="0" t="n">
        <f aca="false">E1233*E1233</f>
        <v>0.25</v>
      </c>
      <c r="P1233" s="0" t="n">
        <f aca="false">F1233*F1233</f>
        <v>0.25</v>
      </c>
      <c r="Q1233" s="0" t="n">
        <f aca="false">SUMPRODUCT(G1233:P1233,_XtX!$B$71:$K$71)</f>
        <v>44.3067045454546</v>
      </c>
      <c r="R1233" s="0" t="n">
        <f aca="false">SUMPRODUCT(MMULT(G1233:P1233,_XtX!$B$58:$K$67),G1233:P1233)</f>
        <v>0.165482954545455</v>
      </c>
      <c r="S1233" s="0" t="n">
        <f aca="false">04_回帰ANOVA!$K$19*04_回帰ANOVA!$K$14*SQRT(1+R1233)</f>
        <v>1.00373622729159</v>
      </c>
      <c r="T1233" s="0" t="n">
        <f aca="false">Q1233-S1233</f>
        <v>43.302968318163</v>
      </c>
      <c r="U1233" s="0" t="n">
        <f aca="false">Q1233+S1233</f>
        <v>45.3104407727461</v>
      </c>
      <c r="V1233" s="54" t="b">
        <f aca="false">AND(D1233&gt;=01_因子設定!$L$5-0.000000001,D1233&lt;=01_因子設定!$M$5+0.000000001,E1233&gt;=01_因子設定!$L$6-0.000000001,E1233&lt;=01_因子設定!$M$6+0.000000001,F1233&gt;=01_因子設定!$L$7-0.000000001,F1233&lt;=01_因子設定!$M$7+0.000000001,IF(01_因子設定!$B$20="Box-Behnken",D1233^2+E1233^2+F1233^2&lt;=2+0.000000001,TRUE()))</f>
        <v>1</v>
      </c>
      <c r="W1233" s="55" t="n">
        <f aca="false">IF(V1233,IF(01_因子設定!$B$13="最大化",T1233-01_因子設定!$B$14,IF(01_因子設定!$B$13="最小化",01_因子設定!$B$15-U1233,MIN(T1233-01_因子設定!$B$14,01_因子設定!$B$15-U1233))),-1E+030)</f>
        <v>-5.19703168183703</v>
      </c>
      <c r="X1233" s="55" t="n">
        <f aca="false">IF(V1233,IF(01_因子設定!$B$13="最大化",Q1233,IF(01_因子設定!$B$13="最小化",-Q1233,-ABS(Q1233-01_因子設定!$B$16))),-1E+030)</f>
        <v>44.3067045454546</v>
      </c>
      <c r="Y1233" s="55" t="n">
        <f aca="false">W1233+ROW()*0.000000001</f>
        <v>-5.19703044883703</v>
      </c>
      <c r="Z1233" s="55" t="n">
        <f aca="false">X1233+ROW()*0.000000001</f>
        <v>44.3067057784546</v>
      </c>
    </row>
    <row r="1234" customFormat="false" ht="15" hidden="false" customHeight="false" outlineLevel="0" collapsed="false">
      <c r="A1234" s="0" t="n">
        <v>4</v>
      </c>
      <c r="B1234" s="0" t="n">
        <v>4</v>
      </c>
      <c r="C1234" s="0" t="n">
        <v>5</v>
      </c>
      <c r="D1234" s="0" t="n">
        <f aca="false">-1+A1234*0.125</f>
        <v>-0.5</v>
      </c>
      <c r="E1234" s="0" t="n">
        <f aca="false">-1+B1234*0.125</f>
        <v>-0.5</v>
      </c>
      <c r="F1234" s="0" t="n">
        <f aca="false">-1+C1234*0.125</f>
        <v>-0.375</v>
      </c>
      <c r="G1234" s="0" t="n">
        <f aca="false">1</f>
        <v>1</v>
      </c>
      <c r="H1234" s="0" t="n">
        <f aca="false">D1234</f>
        <v>-0.5</v>
      </c>
      <c r="I1234" s="0" t="n">
        <f aca="false">E1234</f>
        <v>-0.5</v>
      </c>
      <c r="J1234" s="0" t="n">
        <f aca="false">F1234</f>
        <v>-0.375</v>
      </c>
      <c r="K1234" s="0" t="n">
        <f aca="false">D1234*E1234</f>
        <v>0.25</v>
      </c>
      <c r="L1234" s="0" t="n">
        <f aca="false">D1234*F1234</f>
        <v>0.1875</v>
      </c>
      <c r="M1234" s="0" t="n">
        <f aca="false">E1234*F1234</f>
        <v>0.1875</v>
      </c>
      <c r="N1234" s="0" t="n">
        <f aca="false">D1234*D1234</f>
        <v>0.25</v>
      </c>
      <c r="O1234" s="0" t="n">
        <f aca="false">E1234*E1234</f>
        <v>0.25</v>
      </c>
      <c r="P1234" s="0" t="n">
        <f aca="false">F1234*F1234</f>
        <v>0.140625</v>
      </c>
      <c r="Q1234" s="0" t="n">
        <f aca="false">SUMPRODUCT(G1234:P1234,_XtX!$B$71:$K$71)</f>
        <v>44.58921875</v>
      </c>
      <c r="R1234" s="0" t="n">
        <f aca="false">SUMPRODUCT(MMULT(G1234:P1234,_XtX!$B$58:$K$67),G1234:P1234)</f>
        <v>0.15703125</v>
      </c>
      <c r="S1234" s="0" t="n">
        <f aca="false">04_回帰ANOVA!$K$19*04_回帰ANOVA!$K$14*SQRT(1+R1234)</f>
        <v>1.00009022049162</v>
      </c>
      <c r="T1234" s="0" t="n">
        <f aca="false">Q1234-S1234</f>
        <v>43.5891285295084</v>
      </c>
      <c r="U1234" s="0" t="n">
        <f aca="false">Q1234+S1234</f>
        <v>45.5893089704916</v>
      </c>
      <c r="V1234" s="54" t="b">
        <f aca="false">AND(D1234&gt;=01_因子設定!$L$5-0.000000001,D1234&lt;=01_因子設定!$M$5+0.000000001,E1234&gt;=01_因子設定!$L$6-0.000000001,E1234&lt;=01_因子設定!$M$6+0.000000001,F1234&gt;=01_因子設定!$L$7-0.000000001,F1234&lt;=01_因子設定!$M$7+0.000000001,IF(01_因子設定!$B$20="Box-Behnken",D1234^2+E1234^2+F1234^2&lt;=2+0.000000001,TRUE()))</f>
        <v>1</v>
      </c>
      <c r="W1234" s="55" t="n">
        <f aca="false">IF(V1234,IF(01_因子設定!$B$13="最大化",T1234-01_因子設定!$B$14,IF(01_因子設定!$B$13="最小化",01_因子設定!$B$15-U1234,MIN(T1234-01_因子設定!$B$14,01_因子設定!$B$15-U1234))),-1E+030)</f>
        <v>-4.91087147049161</v>
      </c>
      <c r="X1234" s="55" t="n">
        <f aca="false">IF(V1234,IF(01_因子設定!$B$13="最大化",Q1234,IF(01_因子設定!$B$13="最小化",-Q1234,-ABS(Q1234-01_因子設定!$B$16))),-1E+030)</f>
        <v>44.58921875</v>
      </c>
      <c r="Y1234" s="55" t="n">
        <f aca="false">W1234+ROW()*0.000000001</f>
        <v>-4.91087023649161</v>
      </c>
      <c r="Z1234" s="55" t="n">
        <f aca="false">X1234+ROW()*0.000000001</f>
        <v>44.589219984</v>
      </c>
    </row>
    <row r="1235" customFormat="false" ht="15" hidden="false" customHeight="false" outlineLevel="0" collapsed="false">
      <c r="A1235" s="0" t="n">
        <v>4</v>
      </c>
      <c r="B1235" s="0" t="n">
        <v>4</v>
      </c>
      <c r="C1235" s="0" t="n">
        <v>6</v>
      </c>
      <c r="D1235" s="0" t="n">
        <f aca="false">-1+A1235*0.125</f>
        <v>-0.5</v>
      </c>
      <c r="E1235" s="0" t="n">
        <f aca="false">-1+B1235*0.125</f>
        <v>-0.5</v>
      </c>
      <c r="F1235" s="0" t="n">
        <f aca="false">-1+C1235*0.125</f>
        <v>-0.25</v>
      </c>
      <c r="G1235" s="0" t="n">
        <f aca="false">1</f>
        <v>1</v>
      </c>
      <c r="H1235" s="0" t="n">
        <f aca="false">D1235</f>
        <v>-0.5</v>
      </c>
      <c r="I1235" s="0" t="n">
        <f aca="false">E1235</f>
        <v>-0.5</v>
      </c>
      <c r="J1235" s="0" t="n">
        <f aca="false">F1235</f>
        <v>-0.25</v>
      </c>
      <c r="K1235" s="0" t="n">
        <f aca="false">D1235*E1235</f>
        <v>0.25</v>
      </c>
      <c r="L1235" s="0" t="n">
        <f aca="false">D1235*F1235</f>
        <v>0.125</v>
      </c>
      <c r="M1235" s="0" t="n">
        <f aca="false">E1235*F1235</f>
        <v>0.125</v>
      </c>
      <c r="N1235" s="0" t="n">
        <f aca="false">D1235*D1235</f>
        <v>0.25</v>
      </c>
      <c r="O1235" s="0" t="n">
        <f aca="false">E1235*E1235</f>
        <v>0.25</v>
      </c>
      <c r="P1235" s="0" t="n">
        <f aca="false">F1235*F1235</f>
        <v>0.0625</v>
      </c>
      <c r="Q1235" s="0" t="n">
        <f aca="false">SUMPRODUCT(G1235:P1235,_XtX!$B$71:$K$71)</f>
        <v>44.8349431818182</v>
      </c>
      <c r="R1235" s="0" t="n">
        <f aca="false">SUMPRODUCT(MMULT(G1235:P1235,_XtX!$B$58:$K$67),G1235:P1235)</f>
        <v>0.156321022727273</v>
      </c>
      <c r="S1235" s="0" t="n">
        <f aca="false">04_回帰ANOVA!$K$19*04_回帰ANOVA!$K$14*SQRT(1+R1235)</f>
        <v>0.999783227753172</v>
      </c>
      <c r="T1235" s="0" t="n">
        <f aca="false">Q1235-S1235</f>
        <v>43.835159954065</v>
      </c>
      <c r="U1235" s="0" t="n">
        <f aca="false">Q1235+S1235</f>
        <v>45.8347264095714</v>
      </c>
      <c r="V1235" s="54" t="b">
        <f aca="false">AND(D1235&gt;=01_因子設定!$L$5-0.000000001,D1235&lt;=01_因子設定!$M$5+0.000000001,E1235&gt;=01_因子設定!$L$6-0.000000001,E1235&lt;=01_因子設定!$M$6+0.000000001,F1235&gt;=01_因子設定!$L$7-0.000000001,F1235&lt;=01_因子設定!$M$7+0.000000001,IF(01_因子設定!$B$20="Box-Behnken",D1235^2+E1235^2+F1235^2&lt;=2+0.000000001,TRUE()))</f>
        <v>1</v>
      </c>
      <c r="W1235" s="55" t="n">
        <f aca="false">IF(V1235,IF(01_因子設定!$B$13="最大化",T1235-01_因子設定!$B$14,IF(01_因子設定!$B$13="最小化",01_因子設定!$B$15-U1235,MIN(T1235-01_因子設定!$B$14,01_因子設定!$B$15-U1235))),-1E+030)</f>
        <v>-4.66484004593498</v>
      </c>
      <c r="X1235" s="55" t="n">
        <f aca="false">IF(V1235,IF(01_因子設定!$B$13="最大化",Q1235,IF(01_因子設定!$B$13="最小化",-Q1235,-ABS(Q1235-01_因子設定!$B$16))),-1E+030)</f>
        <v>44.8349431818182</v>
      </c>
      <c r="Y1235" s="55" t="n">
        <f aca="false">W1235+ROW()*0.000000001</f>
        <v>-4.66483881093498</v>
      </c>
      <c r="Z1235" s="55" t="n">
        <f aca="false">X1235+ROW()*0.000000001</f>
        <v>44.8349444168182</v>
      </c>
    </row>
    <row r="1236" customFormat="false" ht="15" hidden="false" customHeight="false" outlineLevel="0" collapsed="false">
      <c r="A1236" s="0" t="n">
        <v>4</v>
      </c>
      <c r="B1236" s="0" t="n">
        <v>4</v>
      </c>
      <c r="C1236" s="0" t="n">
        <v>7</v>
      </c>
      <c r="D1236" s="0" t="n">
        <f aca="false">-1+A1236*0.125</f>
        <v>-0.5</v>
      </c>
      <c r="E1236" s="0" t="n">
        <f aca="false">-1+B1236*0.125</f>
        <v>-0.5</v>
      </c>
      <c r="F1236" s="0" t="n">
        <f aca="false">-1+C1236*0.125</f>
        <v>-0.125</v>
      </c>
      <c r="G1236" s="0" t="n">
        <f aca="false">1</f>
        <v>1</v>
      </c>
      <c r="H1236" s="0" t="n">
        <f aca="false">D1236</f>
        <v>-0.5</v>
      </c>
      <c r="I1236" s="0" t="n">
        <f aca="false">E1236</f>
        <v>-0.5</v>
      </c>
      <c r="J1236" s="0" t="n">
        <f aca="false">F1236</f>
        <v>-0.125</v>
      </c>
      <c r="K1236" s="0" t="n">
        <f aca="false">D1236*E1236</f>
        <v>0.25</v>
      </c>
      <c r="L1236" s="0" t="n">
        <f aca="false">D1236*F1236</f>
        <v>0.0625</v>
      </c>
      <c r="M1236" s="0" t="n">
        <f aca="false">E1236*F1236</f>
        <v>0.0625</v>
      </c>
      <c r="N1236" s="0" t="n">
        <f aca="false">D1236*D1236</f>
        <v>0.25</v>
      </c>
      <c r="O1236" s="0" t="n">
        <f aca="false">E1236*E1236</f>
        <v>0.25</v>
      </c>
      <c r="P1236" s="0" t="n">
        <f aca="false">F1236*F1236</f>
        <v>0.015625</v>
      </c>
      <c r="Q1236" s="0" t="n">
        <f aca="false">SUMPRODUCT(G1236:P1236,_XtX!$B$71:$K$71)</f>
        <v>45.0438778409091</v>
      </c>
      <c r="R1236" s="0" t="n">
        <f aca="false">SUMPRODUCT(MMULT(G1236:P1236,_XtX!$B$58:$K$67),G1236:P1236)</f>
        <v>0.158025568181818</v>
      </c>
      <c r="S1236" s="0" t="n">
        <f aca="false">04_回帰ANOVA!$K$19*04_回帰ANOVA!$K$14*SQRT(1+R1236)</f>
        <v>1.00051985207691</v>
      </c>
      <c r="T1236" s="0" t="n">
        <f aca="false">Q1236-S1236</f>
        <v>44.0433579888322</v>
      </c>
      <c r="U1236" s="0" t="n">
        <f aca="false">Q1236+S1236</f>
        <v>46.044397692986</v>
      </c>
      <c r="V1236" s="54" t="b">
        <f aca="false">AND(D1236&gt;=01_因子設定!$L$5-0.000000001,D1236&lt;=01_因子設定!$M$5+0.000000001,E1236&gt;=01_因子設定!$L$6-0.000000001,E1236&lt;=01_因子設定!$M$6+0.000000001,F1236&gt;=01_因子設定!$L$7-0.000000001,F1236&lt;=01_因子設定!$M$7+0.000000001,IF(01_因子設定!$B$20="Box-Behnken",D1236^2+E1236^2+F1236^2&lt;=2+0.000000001,TRUE()))</f>
        <v>1</v>
      </c>
      <c r="W1236" s="55" t="n">
        <f aca="false">IF(V1236,IF(01_因子設定!$B$13="最大化",T1236-01_因子設定!$B$14,IF(01_因子設定!$B$13="最小化",01_因子設定!$B$15-U1236,MIN(T1236-01_因子設定!$B$14,01_因子設定!$B$15-U1236))),-1E+030)</f>
        <v>-4.45664201116781</v>
      </c>
      <c r="X1236" s="55" t="n">
        <f aca="false">IF(V1236,IF(01_因子設定!$B$13="最大化",Q1236,IF(01_因子設定!$B$13="最小化",-Q1236,-ABS(Q1236-01_因子設定!$B$16))),-1E+030)</f>
        <v>45.0438778409091</v>
      </c>
      <c r="Y1236" s="55" t="n">
        <f aca="false">W1236+ROW()*0.000000001</f>
        <v>-4.45664077516781</v>
      </c>
      <c r="Z1236" s="55" t="n">
        <f aca="false">X1236+ROW()*0.000000001</f>
        <v>45.0438790769091</v>
      </c>
    </row>
    <row r="1237" customFormat="false" ht="15" hidden="false" customHeight="false" outlineLevel="0" collapsed="false">
      <c r="A1237" s="0" t="n">
        <v>4</v>
      </c>
      <c r="B1237" s="0" t="n">
        <v>4</v>
      </c>
      <c r="C1237" s="0" t="n">
        <v>8</v>
      </c>
      <c r="D1237" s="0" t="n">
        <f aca="false">-1+A1237*0.125</f>
        <v>-0.5</v>
      </c>
      <c r="E1237" s="0" t="n">
        <f aca="false">-1+B1237*0.125</f>
        <v>-0.5</v>
      </c>
      <c r="F1237" s="0" t="n">
        <f aca="false">-1+C1237*0.125</f>
        <v>0</v>
      </c>
      <c r="G1237" s="0" t="n">
        <f aca="false">1</f>
        <v>1</v>
      </c>
      <c r="H1237" s="0" t="n">
        <f aca="false">D1237</f>
        <v>-0.5</v>
      </c>
      <c r="I1237" s="0" t="n">
        <f aca="false">E1237</f>
        <v>-0.5</v>
      </c>
      <c r="J1237" s="0" t="n">
        <f aca="false">F1237</f>
        <v>0</v>
      </c>
      <c r="K1237" s="0" t="n">
        <f aca="false">D1237*E1237</f>
        <v>0.25</v>
      </c>
      <c r="L1237" s="0" t="n">
        <f aca="false">D1237*F1237</f>
        <v>-0</v>
      </c>
      <c r="M1237" s="0" t="n">
        <f aca="false">E1237*F1237</f>
        <v>-0</v>
      </c>
      <c r="N1237" s="0" t="n">
        <f aca="false">D1237*D1237</f>
        <v>0.25</v>
      </c>
      <c r="O1237" s="0" t="n">
        <f aca="false">E1237*E1237</f>
        <v>0.25</v>
      </c>
      <c r="P1237" s="0" t="n">
        <f aca="false">F1237*F1237</f>
        <v>0</v>
      </c>
      <c r="Q1237" s="0" t="n">
        <f aca="false">SUMPRODUCT(G1237:P1237,_XtX!$B$71:$K$71)</f>
        <v>45.2160227272727</v>
      </c>
      <c r="R1237" s="0" t="n">
        <f aca="false">SUMPRODUCT(MMULT(G1237:P1237,_XtX!$B$58:$K$67),G1237:P1237)</f>
        <v>0.158948863636364</v>
      </c>
      <c r="S1237" s="0" t="n">
        <f aca="false">04_回帰ANOVA!$K$19*04_回帰ANOVA!$K$14*SQRT(1+R1237)</f>
        <v>1.00091863056612</v>
      </c>
      <c r="T1237" s="0" t="n">
        <f aca="false">Q1237-S1237</f>
        <v>44.2151040967066</v>
      </c>
      <c r="U1237" s="0" t="n">
        <f aca="false">Q1237+S1237</f>
        <v>46.2169413578389</v>
      </c>
      <c r="V1237" s="54" t="b">
        <f aca="false">AND(D1237&gt;=01_因子設定!$L$5-0.000000001,D1237&lt;=01_因子設定!$M$5+0.000000001,E1237&gt;=01_因子設定!$L$6-0.000000001,E1237&lt;=01_因子設定!$M$6+0.000000001,F1237&gt;=01_因子設定!$L$7-0.000000001,F1237&lt;=01_因子設定!$M$7+0.000000001,IF(01_因子設定!$B$20="Box-Behnken",D1237^2+E1237^2+F1237^2&lt;=2+0.000000001,TRUE()))</f>
        <v>1</v>
      </c>
      <c r="W1237" s="55" t="n">
        <f aca="false">IF(V1237,IF(01_因子設定!$B$13="最大化",T1237-01_因子設定!$B$14,IF(01_因子設定!$B$13="最小化",01_因子設定!$B$15-U1237,MIN(T1237-01_因子設定!$B$14,01_因子設定!$B$15-U1237))),-1E+030)</f>
        <v>-4.28489590329339</v>
      </c>
      <c r="X1237" s="55" t="n">
        <f aca="false">IF(V1237,IF(01_因子設定!$B$13="最大化",Q1237,IF(01_因子設定!$B$13="最小化",-Q1237,-ABS(Q1237-01_因子設定!$B$16))),-1E+030)</f>
        <v>45.2160227272727</v>
      </c>
      <c r="Y1237" s="55" t="n">
        <f aca="false">W1237+ROW()*0.000000001</f>
        <v>-4.28489466629339</v>
      </c>
      <c r="Z1237" s="55" t="n">
        <f aca="false">X1237+ROW()*0.000000001</f>
        <v>45.2160239642727</v>
      </c>
    </row>
    <row r="1238" customFormat="false" ht="15" hidden="false" customHeight="false" outlineLevel="0" collapsed="false">
      <c r="A1238" s="0" t="n">
        <v>4</v>
      </c>
      <c r="B1238" s="0" t="n">
        <v>4</v>
      </c>
      <c r="C1238" s="0" t="n">
        <v>9</v>
      </c>
      <c r="D1238" s="0" t="n">
        <f aca="false">-1+A1238*0.125</f>
        <v>-0.5</v>
      </c>
      <c r="E1238" s="0" t="n">
        <f aca="false">-1+B1238*0.125</f>
        <v>-0.5</v>
      </c>
      <c r="F1238" s="0" t="n">
        <f aca="false">-1+C1238*0.125</f>
        <v>0.125</v>
      </c>
      <c r="G1238" s="0" t="n">
        <f aca="false">1</f>
        <v>1</v>
      </c>
      <c r="H1238" s="0" t="n">
        <f aca="false">D1238</f>
        <v>-0.5</v>
      </c>
      <c r="I1238" s="0" t="n">
        <f aca="false">E1238</f>
        <v>-0.5</v>
      </c>
      <c r="J1238" s="0" t="n">
        <f aca="false">F1238</f>
        <v>0.125</v>
      </c>
      <c r="K1238" s="0" t="n">
        <f aca="false">D1238*E1238</f>
        <v>0.25</v>
      </c>
      <c r="L1238" s="0" t="n">
        <f aca="false">D1238*F1238</f>
        <v>-0.0625</v>
      </c>
      <c r="M1238" s="0" t="n">
        <f aca="false">E1238*F1238</f>
        <v>-0.0625</v>
      </c>
      <c r="N1238" s="0" t="n">
        <f aca="false">D1238*D1238</f>
        <v>0.25</v>
      </c>
      <c r="O1238" s="0" t="n">
        <f aca="false">E1238*E1238</f>
        <v>0.25</v>
      </c>
      <c r="P1238" s="0" t="n">
        <f aca="false">F1238*F1238</f>
        <v>0.015625</v>
      </c>
      <c r="Q1238" s="0" t="n">
        <f aca="false">SUMPRODUCT(G1238:P1238,_XtX!$B$71:$K$71)</f>
        <v>45.3513778409091</v>
      </c>
      <c r="R1238" s="0" t="n">
        <f aca="false">SUMPRODUCT(MMULT(G1238:P1238,_XtX!$B$58:$K$67),G1238:P1238)</f>
        <v>0.158025568181818</v>
      </c>
      <c r="S1238" s="0" t="n">
        <f aca="false">04_回帰ANOVA!$K$19*04_回帰ANOVA!$K$14*SQRT(1+R1238)</f>
        <v>1.00051985207691</v>
      </c>
      <c r="T1238" s="0" t="n">
        <f aca="false">Q1238-S1238</f>
        <v>44.3508579888322</v>
      </c>
      <c r="U1238" s="0" t="n">
        <f aca="false">Q1238+S1238</f>
        <v>46.351897692986</v>
      </c>
      <c r="V1238" s="54" t="b">
        <f aca="false">AND(D1238&gt;=01_因子設定!$L$5-0.000000001,D1238&lt;=01_因子設定!$M$5+0.000000001,E1238&gt;=01_因子設定!$L$6-0.000000001,E1238&lt;=01_因子設定!$M$6+0.000000001,F1238&gt;=01_因子設定!$L$7-0.000000001,F1238&lt;=01_因子設定!$M$7+0.000000001,IF(01_因子設定!$B$20="Box-Behnken",D1238^2+E1238^2+F1238^2&lt;=2+0.000000001,TRUE()))</f>
        <v>1</v>
      </c>
      <c r="W1238" s="55" t="n">
        <f aca="false">IF(V1238,IF(01_因子設定!$B$13="最大化",T1238-01_因子設定!$B$14,IF(01_因子設定!$B$13="最小化",01_因子設定!$B$15-U1238,MIN(T1238-01_因子設定!$B$14,01_因子設定!$B$15-U1238))),-1E+030)</f>
        <v>-4.14914201116781</v>
      </c>
      <c r="X1238" s="55" t="n">
        <f aca="false">IF(V1238,IF(01_因子設定!$B$13="最大化",Q1238,IF(01_因子設定!$B$13="最小化",-Q1238,-ABS(Q1238-01_因子設定!$B$16))),-1E+030)</f>
        <v>45.3513778409091</v>
      </c>
      <c r="Y1238" s="55" t="n">
        <f aca="false">W1238+ROW()*0.000000001</f>
        <v>-4.14914077316781</v>
      </c>
      <c r="Z1238" s="55" t="n">
        <f aca="false">X1238+ROW()*0.000000001</f>
        <v>45.3513790789091</v>
      </c>
    </row>
    <row r="1239" customFormat="false" ht="15" hidden="false" customHeight="false" outlineLevel="0" collapsed="false">
      <c r="A1239" s="0" t="n">
        <v>4</v>
      </c>
      <c r="B1239" s="0" t="n">
        <v>4</v>
      </c>
      <c r="C1239" s="0" t="n">
        <v>10</v>
      </c>
      <c r="D1239" s="0" t="n">
        <f aca="false">-1+A1239*0.125</f>
        <v>-0.5</v>
      </c>
      <c r="E1239" s="0" t="n">
        <f aca="false">-1+B1239*0.125</f>
        <v>-0.5</v>
      </c>
      <c r="F1239" s="0" t="n">
        <f aca="false">-1+C1239*0.125</f>
        <v>0.25</v>
      </c>
      <c r="G1239" s="0" t="n">
        <f aca="false">1</f>
        <v>1</v>
      </c>
      <c r="H1239" s="0" t="n">
        <f aca="false">D1239</f>
        <v>-0.5</v>
      </c>
      <c r="I1239" s="0" t="n">
        <f aca="false">E1239</f>
        <v>-0.5</v>
      </c>
      <c r="J1239" s="0" t="n">
        <f aca="false">F1239</f>
        <v>0.25</v>
      </c>
      <c r="K1239" s="0" t="n">
        <f aca="false">D1239*E1239</f>
        <v>0.25</v>
      </c>
      <c r="L1239" s="0" t="n">
        <f aca="false">D1239*F1239</f>
        <v>-0.125</v>
      </c>
      <c r="M1239" s="0" t="n">
        <f aca="false">E1239*F1239</f>
        <v>-0.125</v>
      </c>
      <c r="N1239" s="0" t="n">
        <f aca="false">D1239*D1239</f>
        <v>0.25</v>
      </c>
      <c r="O1239" s="0" t="n">
        <f aca="false">E1239*E1239</f>
        <v>0.25</v>
      </c>
      <c r="P1239" s="0" t="n">
        <f aca="false">F1239*F1239</f>
        <v>0.0625</v>
      </c>
      <c r="Q1239" s="0" t="n">
        <f aca="false">SUMPRODUCT(G1239:P1239,_XtX!$B$71:$K$71)</f>
        <v>45.4499431818182</v>
      </c>
      <c r="R1239" s="0" t="n">
        <f aca="false">SUMPRODUCT(MMULT(G1239:P1239,_XtX!$B$58:$K$67),G1239:P1239)</f>
        <v>0.156321022727273</v>
      </c>
      <c r="S1239" s="0" t="n">
        <f aca="false">04_回帰ANOVA!$K$19*04_回帰ANOVA!$K$14*SQRT(1+R1239)</f>
        <v>0.999783227753172</v>
      </c>
      <c r="T1239" s="0" t="n">
        <f aca="false">Q1239-S1239</f>
        <v>44.450159954065</v>
      </c>
      <c r="U1239" s="0" t="n">
        <f aca="false">Q1239+S1239</f>
        <v>46.4497264095714</v>
      </c>
      <c r="V1239" s="54" t="b">
        <f aca="false">AND(D1239&gt;=01_因子設定!$L$5-0.000000001,D1239&lt;=01_因子設定!$M$5+0.000000001,E1239&gt;=01_因子設定!$L$6-0.000000001,E1239&lt;=01_因子設定!$M$6+0.000000001,F1239&gt;=01_因子設定!$L$7-0.000000001,F1239&lt;=01_因子設定!$M$7+0.000000001,IF(01_因子設定!$B$20="Box-Behnken",D1239^2+E1239^2+F1239^2&lt;=2+0.000000001,TRUE()))</f>
        <v>1</v>
      </c>
      <c r="W1239" s="55" t="n">
        <f aca="false">IF(V1239,IF(01_因子設定!$B$13="最大化",T1239-01_因子設定!$B$14,IF(01_因子設定!$B$13="最小化",01_因子設定!$B$15-U1239,MIN(T1239-01_因子設定!$B$14,01_因子設定!$B$15-U1239))),-1E+030)</f>
        <v>-4.04984004593499</v>
      </c>
      <c r="X1239" s="55" t="n">
        <f aca="false">IF(V1239,IF(01_因子設定!$B$13="最大化",Q1239,IF(01_因子設定!$B$13="最小化",-Q1239,-ABS(Q1239-01_因子設定!$B$16))),-1E+030)</f>
        <v>45.4499431818182</v>
      </c>
      <c r="Y1239" s="55" t="n">
        <f aca="false">W1239+ROW()*0.000000001</f>
        <v>-4.04983880693499</v>
      </c>
      <c r="Z1239" s="55" t="n">
        <f aca="false">X1239+ROW()*0.000000001</f>
        <v>45.4499444208182</v>
      </c>
    </row>
    <row r="1240" customFormat="false" ht="15" hidden="false" customHeight="false" outlineLevel="0" collapsed="false">
      <c r="A1240" s="0" t="n">
        <v>4</v>
      </c>
      <c r="B1240" s="0" t="n">
        <v>4</v>
      </c>
      <c r="C1240" s="0" t="n">
        <v>11</v>
      </c>
      <c r="D1240" s="0" t="n">
        <f aca="false">-1+A1240*0.125</f>
        <v>-0.5</v>
      </c>
      <c r="E1240" s="0" t="n">
        <f aca="false">-1+B1240*0.125</f>
        <v>-0.5</v>
      </c>
      <c r="F1240" s="0" t="n">
        <f aca="false">-1+C1240*0.125</f>
        <v>0.375</v>
      </c>
      <c r="G1240" s="0" t="n">
        <f aca="false">1</f>
        <v>1</v>
      </c>
      <c r="H1240" s="0" t="n">
        <f aca="false">D1240</f>
        <v>-0.5</v>
      </c>
      <c r="I1240" s="0" t="n">
        <f aca="false">E1240</f>
        <v>-0.5</v>
      </c>
      <c r="J1240" s="0" t="n">
        <f aca="false">F1240</f>
        <v>0.375</v>
      </c>
      <c r="K1240" s="0" t="n">
        <f aca="false">D1240*E1240</f>
        <v>0.25</v>
      </c>
      <c r="L1240" s="0" t="n">
        <f aca="false">D1240*F1240</f>
        <v>-0.1875</v>
      </c>
      <c r="M1240" s="0" t="n">
        <f aca="false">E1240*F1240</f>
        <v>-0.1875</v>
      </c>
      <c r="N1240" s="0" t="n">
        <f aca="false">D1240*D1240</f>
        <v>0.25</v>
      </c>
      <c r="O1240" s="0" t="n">
        <f aca="false">E1240*E1240</f>
        <v>0.25</v>
      </c>
      <c r="P1240" s="0" t="n">
        <f aca="false">F1240*F1240</f>
        <v>0.140625</v>
      </c>
      <c r="Q1240" s="0" t="n">
        <f aca="false">SUMPRODUCT(G1240:P1240,_XtX!$B$71:$K$71)</f>
        <v>45.51171875</v>
      </c>
      <c r="R1240" s="0" t="n">
        <f aca="false">SUMPRODUCT(MMULT(G1240:P1240,_XtX!$B$58:$K$67),G1240:P1240)</f>
        <v>0.15703125</v>
      </c>
      <c r="S1240" s="0" t="n">
        <f aca="false">04_回帰ANOVA!$K$19*04_回帰ANOVA!$K$14*SQRT(1+R1240)</f>
        <v>1.00009022049162</v>
      </c>
      <c r="T1240" s="0" t="n">
        <f aca="false">Q1240-S1240</f>
        <v>44.5116285295084</v>
      </c>
      <c r="U1240" s="0" t="n">
        <f aca="false">Q1240+S1240</f>
        <v>46.5118089704916</v>
      </c>
      <c r="V1240" s="54" t="b">
        <f aca="false">AND(D1240&gt;=01_因子設定!$L$5-0.000000001,D1240&lt;=01_因子設定!$M$5+0.000000001,E1240&gt;=01_因子設定!$L$6-0.000000001,E1240&lt;=01_因子設定!$M$6+0.000000001,F1240&gt;=01_因子設定!$L$7-0.000000001,F1240&lt;=01_因子設定!$M$7+0.000000001,IF(01_因子設定!$B$20="Box-Behnken",D1240^2+E1240^2+F1240^2&lt;=2+0.000000001,TRUE()))</f>
        <v>1</v>
      </c>
      <c r="W1240" s="55" t="n">
        <f aca="false">IF(V1240,IF(01_因子設定!$B$13="最大化",T1240-01_因子設定!$B$14,IF(01_因子設定!$B$13="最小化",01_因子設定!$B$15-U1240,MIN(T1240-01_因子設定!$B$14,01_因子設定!$B$15-U1240))),-1E+030)</f>
        <v>-3.98837147049161</v>
      </c>
      <c r="X1240" s="55" t="n">
        <f aca="false">IF(V1240,IF(01_因子設定!$B$13="最大化",Q1240,IF(01_因子設定!$B$13="最小化",-Q1240,-ABS(Q1240-01_因子設定!$B$16))),-1E+030)</f>
        <v>45.51171875</v>
      </c>
      <c r="Y1240" s="55" t="n">
        <f aca="false">W1240+ROW()*0.000000001</f>
        <v>-3.98837023049161</v>
      </c>
      <c r="Z1240" s="55" t="n">
        <f aca="false">X1240+ROW()*0.000000001</f>
        <v>45.51171999</v>
      </c>
    </row>
    <row r="1241" customFormat="false" ht="15" hidden="false" customHeight="false" outlineLevel="0" collapsed="false">
      <c r="A1241" s="0" t="n">
        <v>4</v>
      </c>
      <c r="B1241" s="0" t="n">
        <v>4</v>
      </c>
      <c r="C1241" s="0" t="n">
        <v>12</v>
      </c>
      <c r="D1241" s="0" t="n">
        <f aca="false">-1+A1241*0.125</f>
        <v>-0.5</v>
      </c>
      <c r="E1241" s="0" t="n">
        <f aca="false">-1+B1241*0.125</f>
        <v>-0.5</v>
      </c>
      <c r="F1241" s="0" t="n">
        <f aca="false">-1+C1241*0.125</f>
        <v>0.5</v>
      </c>
      <c r="G1241" s="0" t="n">
        <f aca="false">1</f>
        <v>1</v>
      </c>
      <c r="H1241" s="0" t="n">
        <f aca="false">D1241</f>
        <v>-0.5</v>
      </c>
      <c r="I1241" s="0" t="n">
        <f aca="false">E1241</f>
        <v>-0.5</v>
      </c>
      <c r="J1241" s="0" t="n">
        <f aca="false">F1241</f>
        <v>0.5</v>
      </c>
      <c r="K1241" s="0" t="n">
        <f aca="false">D1241*E1241</f>
        <v>0.25</v>
      </c>
      <c r="L1241" s="0" t="n">
        <f aca="false">D1241*F1241</f>
        <v>-0.25</v>
      </c>
      <c r="M1241" s="0" t="n">
        <f aca="false">E1241*F1241</f>
        <v>-0.25</v>
      </c>
      <c r="N1241" s="0" t="n">
        <f aca="false">D1241*D1241</f>
        <v>0.25</v>
      </c>
      <c r="O1241" s="0" t="n">
        <f aca="false">E1241*E1241</f>
        <v>0.25</v>
      </c>
      <c r="P1241" s="0" t="n">
        <f aca="false">F1241*F1241</f>
        <v>0.25</v>
      </c>
      <c r="Q1241" s="0" t="n">
        <f aca="false">SUMPRODUCT(G1241:P1241,_XtX!$B$71:$K$71)</f>
        <v>45.5367045454546</v>
      </c>
      <c r="R1241" s="0" t="n">
        <f aca="false">SUMPRODUCT(MMULT(G1241:P1241,_XtX!$B$58:$K$67),G1241:P1241)</f>
        <v>0.165482954545455</v>
      </c>
      <c r="S1241" s="0" t="n">
        <f aca="false">04_回帰ANOVA!$K$19*04_回帰ANOVA!$K$14*SQRT(1+R1241)</f>
        <v>1.00373622729159</v>
      </c>
      <c r="T1241" s="0" t="n">
        <f aca="false">Q1241-S1241</f>
        <v>44.532968318163</v>
      </c>
      <c r="U1241" s="0" t="n">
        <f aca="false">Q1241+S1241</f>
        <v>46.5404407727461</v>
      </c>
      <c r="V1241" s="54" t="b">
        <f aca="false">AND(D1241&gt;=01_因子設定!$L$5-0.000000001,D1241&lt;=01_因子設定!$M$5+0.000000001,E1241&gt;=01_因子設定!$L$6-0.000000001,E1241&lt;=01_因子設定!$M$6+0.000000001,F1241&gt;=01_因子設定!$L$7-0.000000001,F1241&lt;=01_因子設定!$M$7+0.000000001,IF(01_因子設定!$B$20="Box-Behnken",D1241^2+E1241^2+F1241^2&lt;=2+0.000000001,TRUE()))</f>
        <v>1</v>
      </c>
      <c r="W1241" s="55" t="n">
        <f aca="false">IF(V1241,IF(01_因子設定!$B$13="最大化",T1241-01_因子設定!$B$14,IF(01_因子設定!$B$13="最小化",01_因子設定!$B$15-U1241,MIN(T1241-01_因子設定!$B$14,01_因子設定!$B$15-U1241))),-1E+030)</f>
        <v>-3.96703168183703</v>
      </c>
      <c r="X1241" s="55" t="n">
        <f aca="false">IF(V1241,IF(01_因子設定!$B$13="最大化",Q1241,IF(01_因子設定!$B$13="最小化",-Q1241,-ABS(Q1241-01_因子設定!$B$16))),-1E+030)</f>
        <v>45.5367045454546</v>
      </c>
      <c r="Y1241" s="55" t="n">
        <f aca="false">W1241+ROW()*0.000000001</f>
        <v>-3.96703044083703</v>
      </c>
      <c r="Z1241" s="55" t="n">
        <f aca="false">X1241+ROW()*0.000000001</f>
        <v>45.5367057864546</v>
      </c>
    </row>
    <row r="1242" customFormat="false" ht="15" hidden="false" customHeight="false" outlineLevel="0" collapsed="false">
      <c r="A1242" s="0" t="n">
        <v>4</v>
      </c>
      <c r="B1242" s="0" t="n">
        <v>4</v>
      </c>
      <c r="C1242" s="0" t="n">
        <v>13</v>
      </c>
      <c r="D1242" s="0" t="n">
        <f aca="false">-1+A1242*0.125</f>
        <v>-0.5</v>
      </c>
      <c r="E1242" s="0" t="n">
        <f aca="false">-1+B1242*0.125</f>
        <v>-0.5</v>
      </c>
      <c r="F1242" s="0" t="n">
        <f aca="false">-1+C1242*0.125</f>
        <v>0.625</v>
      </c>
      <c r="G1242" s="0" t="n">
        <f aca="false">1</f>
        <v>1</v>
      </c>
      <c r="H1242" s="0" t="n">
        <f aca="false">D1242</f>
        <v>-0.5</v>
      </c>
      <c r="I1242" s="0" t="n">
        <f aca="false">E1242</f>
        <v>-0.5</v>
      </c>
      <c r="J1242" s="0" t="n">
        <f aca="false">F1242</f>
        <v>0.625</v>
      </c>
      <c r="K1242" s="0" t="n">
        <f aca="false">D1242*E1242</f>
        <v>0.25</v>
      </c>
      <c r="L1242" s="0" t="n">
        <f aca="false">D1242*F1242</f>
        <v>-0.3125</v>
      </c>
      <c r="M1242" s="0" t="n">
        <f aca="false">E1242*F1242</f>
        <v>-0.3125</v>
      </c>
      <c r="N1242" s="0" t="n">
        <f aca="false">D1242*D1242</f>
        <v>0.25</v>
      </c>
      <c r="O1242" s="0" t="n">
        <f aca="false">E1242*E1242</f>
        <v>0.25</v>
      </c>
      <c r="P1242" s="0" t="n">
        <f aca="false">F1242*F1242</f>
        <v>0.390625</v>
      </c>
      <c r="Q1242" s="0" t="n">
        <f aca="false">SUMPRODUCT(G1242:P1242,_XtX!$B$71:$K$71)</f>
        <v>45.5249005681818</v>
      </c>
      <c r="R1242" s="0" t="n">
        <f aca="false">SUMPRODUCT(MMULT(G1242:P1242,_XtX!$B$58:$K$67),G1242:P1242)</f>
        <v>0.189133522727273</v>
      </c>
      <c r="S1242" s="0" t="n">
        <f aca="false">04_回帰ANOVA!$K$19*04_回帰ANOVA!$K$14*SQRT(1+R1242)</f>
        <v>1.0138692404042</v>
      </c>
      <c r="T1242" s="0" t="n">
        <f aca="false">Q1242-S1242</f>
        <v>44.5110313277776</v>
      </c>
      <c r="U1242" s="0" t="n">
        <f aca="false">Q1242+S1242</f>
        <v>46.538769808586</v>
      </c>
      <c r="V1242" s="54" t="b">
        <f aca="false">AND(D1242&gt;=01_因子設定!$L$5-0.000000001,D1242&lt;=01_因子設定!$M$5+0.000000001,E1242&gt;=01_因子設定!$L$6-0.000000001,E1242&lt;=01_因子設定!$M$6+0.000000001,F1242&gt;=01_因子設定!$L$7-0.000000001,F1242&lt;=01_因子設定!$M$7+0.000000001,IF(01_因子設定!$B$20="Box-Behnken",D1242^2+E1242^2+F1242^2&lt;=2+0.000000001,TRUE()))</f>
        <v>1</v>
      </c>
      <c r="W1242" s="55" t="n">
        <f aca="false">IF(V1242,IF(01_因子設定!$B$13="最大化",T1242-01_因子設定!$B$14,IF(01_因子設定!$B$13="最小化",01_因子設定!$B$15-U1242,MIN(T1242-01_因子設定!$B$14,01_因子設定!$B$15-U1242))),-1E+030)</f>
        <v>-3.98896867222237</v>
      </c>
      <c r="X1242" s="55" t="n">
        <f aca="false">IF(V1242,IF(01_因子設定!$B$13="最大化",Q1242,IF(01_因子設定!$B$13="最小化",-Q1242,-ABS(Q1242-01_因子設定!$B$16))),-1E+030)</f>
        <v>45.5249005681818</v>
      </c>
      <c r="Y1242" s="55" t="n">
        <f aca="false">W1242+ROW()*0.000000001</f>
        <v>-3.98896743022237</v>
      </c>
      <c r="Z1242" s="55" t="n">
        <f aca="false">X1242+ROW()*0.000000001</f>
        <v>45.5249018101818</v>
      </c>
    </row>
    <row r="1243" customFormat="false" ht="15" hidden="false" customHeight="false" outlineLevel="0" collapsed="false">
      <c r="A1243" s="0" t="n">
        <v>4</v>
      </c>
      <c r="B1243" s="0" t="n">
        <v>4</v>
      </c>
      <c r="C1243" s="0" t="n">
        <v>14</v>
      </c>
      <c r="D1243" s="0" t="n">
        <f aca="false">-1+A1243*0.125</f>
        <v>-0.5</v>
      </c>
      <c r="E1243" s="0" t="n">
        <f aca="false">-1+B1243*0.125</f>
        <v>-0.5</v>
      </c>
      <c r="F1243" s="0" t="n">
        <f aca="false">-1+C1243*0.125</f>
        <v>0.75</v>
      </c>
      <c r="G1243" s="0" t="n">
        <f aca="false">1</f>
        <v>1</v>
      </c>
      <c r="H1243" s="0" t="n">
        <f aca="false">D1243</f>
        <v>-0.5</v>
      </c>
      <c r="I1243" s="0" t="n">
        <f aca="false">E1243</f>
        <v>-0.5</v>
      </c>
      <c r="J1243" s="0" t="n">
        <f aca="false">F1243</f>
        <v>0.75</v>
      </c>
      <c r="K1243" s="0" t="n">
        <f aca="false">D1243*E1243</f>
        <v>0.25</v>
      </c>
      <c r="L1243" s="0" t="n">
        <f aca="false">D1243*F1243</f>
        <v>-0.375</v>
      </c>
      <c r="M1243" s="0" t="n">
        <f aca="false">E1243*F1243</f>
        <v>-0.375</v>
      </c>
      <c r="N1243" s="0" t="n">
        <f aca="false">D1243*D1243</f>
        <v>0.25</v>
      </c>
      <c r="O1243" s="0" t="n">
        <f aca="false">E1243*E1243</f>
        <v>0.25</v>
      </c>
      <c r="P1243" s="0" t="n">
        <f aca="false">F1243*F1243</f>
        <v>0.5625</v>
      </c>
      <c r="Q1243" s="0" t="n">
        <f aca="false">SUMPRODUCT(G1243:P1243,_XtX!$B$71:$K$71)</f>
        <v>45.4763068181818</v>
      </c>
      <c r="R1243" s="0" t="n">
        <f aca="false">SUMPRODUCT(MMULT(G1243:P1243,_XtX!$B$58:$K$67),G1243:P1243)</f>
        <v>0.237571022727273</v>
      </c>
      <c r="S1243" s="0" t="n">
        <f aca="false">04_回帰ANOVA!$K$19*04_回帰ANOVA!$K$14*SQRT(1+R1243)</f>
        <v>1.0343123302758</v>
      </c>
      <c r="T1243" s="0" t="n">
        <f aca="false">Q1243-S1243</f>
        <v>44.441994487906</v>
      </c>
      <c r="U1243" s="0" t="n">
        <f aca="false">Q1243+S1243</f>
        <v>46.5106191484576</v>
      </c>
      <c r="V1243" s="54" t="b">
        <f aca="false">AND(D1243&gt;=01_因子設定!$L$5-0.000000001,D1243&lt;=01_因子設定!$M$5+0.000000001,E1243&gt;=01_因子設定!$L$6-0.000000001,E1243&lt;=01_因子設定!$M$6+0.000000001,F1243&gt;=01_因子設定!$L$7-0.000000001,F1243&lt;=01_因子設定!$M$7+0.000000001,IF(01_因子設定!$B$20="Box-Behnken",D1243^2+E1243^2+F1243^2&lt;=2+0.000000001,TRUE()))</f>
        <v>1</v>
      </c>
      <c r="W1243" s="55" t="n">
        <f aca="false">IF(V1243,IF(01_因子設定!$B$13="最大化",T1243-01_因子設定!$B$14,IF(01_因子設定!$B$13="最小化",01_因子設定!$B$15-U1243,MIN(T1243-01_因子設定!$B$14,01_因子設定!$B$15-U1243))),-1E+030)</f>
        <v>-4.05800551209397</v>
      </c>
      <c r="X1243" s="55" t="n">
        <f aca="false">IF(V1243,IF(01_因子設定!$B$13="最大化",Q1243,IF(01_因子設定!$B$13="最小化",-Q1243,-ABS(Q1243-01_因子設定!$B$16))),-1E+030)</f>
        <v>45.4763068181818</v>
      </c>
      <c r="Y1243" s="55" t="n">
        <f aca="false">W1243+ROW()*0.000000001</f>
        <v>-4.05800426909397</v>
      </c>
      <c r="Z1243" s="55" t="n">
        <f aca="false">X1243+ROW()*0.000000001</f>
        <v>45.4763080611818</v>
      </c>
    </row>
    <row r="1244" customFormat="false" ht="15" hidden="false" customHeight="false" outlineLevel="0" collapsed="false">
      <c r="A1244" s="0" t="n">
        <v>4</v>
      </c>
      <c r="B1244" s="0" t="n">
        <v>4</v>
      </c>
      <c r="C1244" s="0" t="n">
        <v>15</v>
      </c>
      <c r="D1244" s="0" t="n">
        <f aca="false">-1+A1244*0.125</f>
        <v>-0.5</v>
      </c>
      <c r="E1244" s="0" t="n">
        <f aca="false">-1+B1244*0.125</f>
        <v>-0.5</v>
      </c>
      <c r="F1244" s="0" t="n">
        <f aca="false">-1+C1244*0.125</f>
        <v>0.875</v>
      </c>
      <c r="G1244" s="0" t="n">
        <f aca="false">1</f>
        <v>1</v>
      </c>
      <c r="H1244" s="0" t="n">
        <f aca="false">D1244</f>
        <v>-0.5</v>
      </c>
      <c r="I1244" s="0" t="n">
        <f aca="false">E1244</f>
        <v>-0.5</v>
      </c>
      <c r="J1244" s="0" t="n">
        <f aca="false">F1244</f>
        <v>0.875</v>
      </c>
      <c r="K1244" s="0" t="n">
        <f aca="false">D1244*E1244</f>
        <v>0.25</v>
      </c>
      <c r="L1244" s="0" t="n">
        <f aca="false">D1244*F1244</f>
        <v>-0.4375</v>
      </c>
      <c r="M1244" s="0" t="n">
        <f aca="false">E1244*F1244</f>
        <v>-0.4375</v>
      </c>
      <c r="N1244" s="0" t="n">
        <f aca="false">D1244*D1244</f>
        <v>0.25</v>
      </c>
      <c r="O1244" s="0" t="n">
        <f aca="false">E1244*E1244</f>
        <v>0.25</v>
      </c>
      <c r="P1244" s="0" t="n">
        <f aca="false">F1244*F1244</f>
        <v>0.765625</v>
      </c>
      <c r="Q1244" s="0" t="n">
        <f aca="false">SUMPRODUCT(G1244:P1244,_XtX!$B$71:$K$71)</f>
        <v>45.3909232954546</v>
      </c>
      <c r="R1244" s="0" t="n">
        <f aca="false">SUMPRODUCT(MMULT(G1244:P1244,_XtX!$B$58:$K$67),G1244:P1244)</f>
        <v>0.322514204545455</v>
      </c>
      <c r="S1244" s="0" t="n">
        <f aca="false">04_回帰ANOVA!$K$19*04_回帰ANOVA!$K$14*SQRT(1+R1244)</f>
        <v>1.0692193475064</v>
      </c>
      <c r="T1244" s="0" t="n">
        <f aca="false">Q1244-S1244</f>
        <v>44.3217039479482</v>
      </c>
      <c r="U1244" s="0" t="n">
        <f aca="false">Q1244+S1244</f>
        <v>46.460142642961</v>
      </c>
      <c r="V1244" s="54" t="b">
        <f aca="false">AND(D1244&gt;=01_因子設定!$L$5-0.000000001,D1244&lt;=01_因子設定!$M$5+0.000000001,E1244&gt;=01_因子設定!$L$6-0.000000001,E1244&lt;=01_因子設定!$M$6+0.000000001,F1244&gt;=01_因子設定!$L$7-0.000000001,F1244&lt;=01_因子設定!$M$7+0.000000001,IF(01_因子設定!$B$20="Box-Behnken",D1244^2+E1244^2+F1244^2&lt;=2+0.000000001,TRUE()))</f>
        <v>1</v>
      </c>
      <c r="W1244" s="55" t="n">
        <f aca="false">IF(V1244,IF(01_因子設定!$B$13="最大化",T1244-01_因子設定!$B$14,IF(01_因子設定!$B$13="最小化",01_因子設定!$B$15-U1244,MIN(T1244-01_因子設定!$B$14,01_因子設定!$B$15-U1244))),-1E+030)</f>
        <v>-4.17829605205184</v>
      </c>
      <c r="X1244" s="55" t="n">
        <f aca="false">IF(V1244,IF(01_因子設定!$B$13="最大化",Q1244,IF(01_因子設定!$B$13="最小化",-Q1244,-ABS(Q1244-01_因子設定!$B$16))),-1E+030)</f>
        <v>45.3909232954546</v>
      </c>
      <c r="Y1244" s="55" t="n">
        <f aca="false">W1244+ROW()*0.000000001</f>
        <v>-4.17829480805184</v>
      </c>
      <c r="Z1244" s="55" t="n">
        <f aca="false">X1244+ROW()*0.000000001</f>
        <v>45.3909245394546</v>
      </c>
    </row>
    <row r="1245" customFormat="false" ht="15" hidden="false" customHeight="false" outlineLevel="0" collapsed="false">
      <c r="A1245" s="0" t="n">
        <v>4</v>
      </c>
      <c r="B1245" s="0" t="n">
        <v>4</v>
      </c>
      <c r="C1245" s="0" t="n">
        <v>16</v>
      </c>
      <c r="D1245" s="0" t="n">
        <f aca="false">-1+A1245*0.125</f>
        <v>-0.5</v>
      </c>
      <c r="E1245" s="0" t="n">
        <f aca="false">-1+B1245*0.125</f>
        <v>-0.5</v>
      </c>
      <c r="F1245" s="0" t="n">
        <f aca="false">-1+C1245*0.125</f>
        <v>1</v>
      </c>
      <c r="G1245" s="0" t="n">
        <f aca="false">1</f>
        <v>1</v>
      </c>
      <c r="H1245" s="0" t="n">
        <f aca="false">D1245</f>
        <v>-0.5</v>
      </c>
      <c r="I1245" s="0" t="n">
        <f aca="false">E1245</f>
        <v>-0.5</v>
      </c>
      <c r="J1245" s="0" t="n">
        <f aca="false">F1245</f>
        <v>1</v>
      </c>
      <c r="K1245" s="0" t="n">
        <f aca="false">D1245*E1245</f>
        <v>0.25</v>
      </c>
      <c r="L1245" s="0" t="n">
        <f aca="false">D1245*F1245</f>
        <v>-0.5</v>
      </c>
      <c r="M1245" s="0" t="n">
        <f aca="false">E1245*F1245</f>
        <v>-0.5</v>
      </c>
      <c r="N1245" s="0" t="n">
        <f aca="false">D1245*D1245</f>
        <v>0.25</v>
      </c>
      <c r="O1245" s="0" t="n">
        <f aca="false">E1245*E1245</f>
        <v>0.25</v>
      </c>
      <c r="P1245" s="0" t="n">
        <f aca="false">F1245*F1245</f>
        <v>1</v>
      </c>
      <c r="Q1245" s="0" t="n">
        <f aca="false">SUMPRODUCT(G1245:P1245,_XtX!$B$71:$K$71)</f>
        <v>45.26875</v>
      </c>
      <c r="R1245" s="0" t="n">
        <f aca="false">SUMPRODUCT(MMULT(G1245:P1245,_XtX!$B$58:$K$67),G1245:P1245)</f>
        <v>0.4578125</v>
      </c>
      <c r="S1245" s="0" t="n">
        <f aca="false">04_回帰ANOVA!$K$19*04_回帰ANOVA!$K$14*SQRT(1+R1245)</f>
        <v>1.12258044051089</v>
      </c>
      <c r="T1245" s="0" t="n">
        <f aca="false">Q1245-S1245</f>
        <v>44.1461695594891</v>
      </c>
      <c r="U1245" s="0" t="n">
        <f aca="false">Q1245+S1245</f>
        <v>46.3913304405109</v>
      </c>
      <c r="V1245" s="54" t="b">
        <f aca="false">AND(D1245&gt;=01_因子設定!$L$5-0.000000001,D1245&lt;=01_因子設定!$M$5+0.000000001,E1245&gt;=01_因子設定!$L$6-0.000000001,E1245&lt;=01_因子設定!$M$6+0.000000001,F1245&gt;=01_因子設定!$L$7-0.000000001,F1245&lt;=01_因子設定!$M$7+0.000000001,IF(01_因子設定!$B$20="Box-Behnken",D1245^2+E1245^2+F1245^2&lt;=2+0.000000001,TRUE()))</f>
        <v>1</v>
      </c>
      <c r="W1245" s="55" t="n">
        <f aca="false">IF(V1245,IF(01_因子設定!$B$13="最大化",T1245-01_因子設定!$B$14,IF(01_因子設定!$B$13="最小化",01_因子設定!$B$15-U1245,MIN(T1245-01_因子設定!$B$14,01_因子設定!$B$15-U1245))),-1E+030)</f>
        <v>-4.35383044051086</v>
      </c>
      <c r="X1245" s="55" t="n">
        <f aca="false">IF(V1245,IF(01_因子設定!$B$13="最大化",Q1245,IF(01_因子設定!$B$13="最小化",-Q1245,-ABS(Q1245-01_因子設定!$B$16))),-1E+030)</f>
        <v>45.26875</v>
      </c>
      <c r="Y1245" s="55" t="n">
        <f aca="false">W1245+ROW()*0.000000001</f>
        <v>-4.35382919551086</v>
      </c>
      <c r="Z1245" s="55" t="n">
        <f aca="false">X1245+ROW()*0.000000001</f>
        <v>45.268751245</v>
      </c>
    </row>
    <row r="1246" customFormat="false" ht="15" hidden="false" customHeight="false" outlineLevel="0" collapsed="false">
      <c r="A1246" s="0" t="n">
        <v>4</v>
      </c>
      <c r="B1246" s="0" t="n">
        <v>5</v>
      </c>
      <c r="C1246" s="0" t="n">
        <v>0</v>
      </c>
      <c r="D1246" s="0" t="n">
        <f aca="false">-1+A1246*0.125</f>
        <v>-0.5</v>
      </c>
      <c r="E1246" s="0" t="n">
        <f aca="false">-1+B1246*0.125</f>
        <v>-0.375</v>
      </c>
      <c r="F1246" s="0" t="n">
        <f aca="false">-1+C1246*0.125</f>
        <v>-1</v>
      </c>
      <c r="G1246" s="0" t="n">
        <f aca="false">1</f>
        <v>1</v>
      </c>
      <c r="H1246" s="0" t="n">
        <f aca="false">D1246</f>
        <v>-0.5</v>
      </c>
      <c r="I1246" s="0" t="n">
        <f aca="false">E1246</f>
        <v>-0.375</v>
      </c>
      <c r="J1246" s="0" t="n">
        <f aca="false">F1246</f>
        <v>-1</v>
      </c>
      <c r="K1246" s="0" t="n">
        <f aca="false">D1246*E1246</f>
        <v>0.1875</v>
      </c>
      <c r="L1246" s="0" t="n">
        <f aca="false">D1246*F1246</f>
        <v>0.5</v>
      </c>
      <c r="M1246" s="0" t="n">
        <f aca="false">E1246*F1246</f>
        <v>0.375</v>
      </c>
      <c r="N1246" s="0" t="n">
        <f aca="false">D1246*D1246</f>
        <v>0.25</v>
      </c>
      <c r="O1246" s="0" t="n">
        <f aca="false">E1246*E1246</f>
        <v>0.140625</v>
      </c>
      <c r="P1246" s="0" t="n">
        <f aca="false">F1246*F1246</f>
        <v>1</v>
      </c>
      <c r="Q1246" s="0" t="n">
        <f aca="false">SUMPRODUCT(G1246:P1246,_XtX!$B$71:$K$71)</f>
        <v>43.1564204545455</v>
      </c>
      <c r="R1246" s="0" t="n">
        <f aca="false">SUMPRODUCT(MMULT(G1246:P1246,_XtX!$B$58:$K$67),G1246:P1246)</f>
        <v>0.461479048295455</v>
      </c>
      <c r="S1246" s="0" t="n">
        <f aca="false">04_回帰ANOVA!$K$19*04_回帰ANOVA!$K$14*SQRT(1+R1246)</f>
        <v>1.12399125658369</v>
      </c>
      <c r="T1246" s="0" t="n">
        <f aca="false">Q1246-S1246</f>
        <v>42.0324291979618</v>
      </c>
      <c r="U1246" s="0" t="n">
        <f aca="false">Q1246+S1246</f>
        <v>44.2804117111292</v>
      </c>
      <c r="V1246" s="54" t="b">
        <f aca="false">AND(D1246&gt;=01_因子設定!$L$5-0.000000001,D1246&lt;=01_因子設定!$M$5+0.000000001,E1246&gt;=01_因子設定!$L$6-0.000000001,E1246&lt;=01_因子設定!$M$6+0.000000001,F1246&gt;=01_因子設定!$L$7-0.000000001,F1246&lt;=01_因子設定!$M$7+0.000000001,IF(01_因子設定!$B$20="Box-Behnken",D1246^2+E1246^2+F1246^2&lt;=2+0.000000001,TRUE()))</f>
        <v>1</v>
      </c>
      <c r="W1246" s="55" t="n">
        <f aca="false">IF(V1246,IF(01_因子設定!$B$13="最大化",T1246-01_因子設定!$B$14,IF(01_因子設定!$B$13="最小化",01_因子設定!$B$15-U1246,MIN(T1246-01_因子設定!$B$14,01_因子設定!$B$15-U1246))),-1E+030)</f>
        <v>-6.46757080203821</v>
      </c>
      <c r="X1246" s="55" t="n">
        <f aca="false">IF(V1246,IF(01_因子設定!$B$13="最大化",Q1246,IF(01_因子設定!$B$13="最小化",-Q1246,-ABS(Q1246-01_因子設定!$B$16))),-1E+030)</f>
        <v>43.1564204545455</v>
      </c>
      <c r="Y1246" s="55" t="n">
        <f aca="false">W1246+ROW()*0.000000001</f>
        <v>-6.46756955603821</v>
      </c>
      <c r="Z1246" s="55" t="n">
        <f aca="false">X1246+ROW()*0.000000001</f>
        <v>43.1564217005455</v>
      </c>
    </row>
    <row r="1247" customFormat="false" ht="15" hidden="false" customHeight="false" outlineLevel="0" collapsed="false">
      <c r="A1247" s="0" t="n">
        <v>4</v>
      </c>
      <c r="B1247" s="0" t="n">
        <v>5</v>
      </c>
      <c r="C1247" s="0" t="n">
        <v>1</v>
      </c>
      <c r="D1247" s="0" t="n">
        <f aca="false">-1+A1247*0.125</f>
        <v>-0.5</v>
      </c>
      <c r="E1247" s="0" t="n">
        <f aca="false">-1+B1247*0.125</f>
        <v>-0.375</v>
      </c>
      <c r="F1247" s="0" t="n">
        <f aca="false">-1+C1247*0.125</f>
        <v>-0.875</v>
      </c>
      <c r="G1247" s="0" t="n">
        <f aca="false">1</f>
        <v>1</v>
      </c>
      <c r="H1247" s="0" t="n">
        <f aca="false">D1247</f>
        <v>-0.5</v>
      </c>
      <c r="I1247" s="0" t="n">
        <f aca="false">E1247</f>
        <v>-0.375</v>
      </c>
      <c r="J1247" s="0" t="n">
        <f aca="false">F1247</f>
        <v>-0.875</v>
      </c>
      <c r="K1247" s="0" t="n">
        <f aca="false">D1247*E1247</f>
        <v>0.1875</v>
      </c>
      <c r="L1247" s="0" t="n">
        <f aca="false">D1247*F1247</f>
        <v>0.4375</v>
      </c>
      <c r="M1247" s="0" t="n">
        <f aca="false">E1247*F1247</f>
        <v>0.328125</v>
      </c>
      <c r="N1247" s="0" t="n">
        <f aca="false">D1247*D1247</f>
        <v>0.25</v>
      </c>
      <c r="O1247" s="0" t="n">
        <f aca="false">E1247*E1247</f>
        <v>0.140625</v>
      </c>
      <c r="P1247" s="0" t="n">
        <f aca="false">F1247*F1247</f>
        <v>0.765625</v>
      </c>
      <c r="Q1247" s="0" t="n">
        <f aca="false">SUMPRODUCT(G1247:P1247,_XtX!$B$71:$K$71)</f>
        <v>43.593125</v>
      </c>
      <c r="R1247" s="0" t="n">
        <f aca="false">SUMPRODUCT(MMULT(G1247:P1247,_XtX!$B$58:$K$67),G1247:P1247)</f>
        <v>0.322393798828125</v>
      </c>
      <c r="S1247" s="0" t="n">
        <f aca="false">04_回帰ANOVA!$K$19*04_回帰ANOVA!$K$14*SQRT(1+R1247)</f>
        <v>1.06917067390712</v>
      </c>
      <c r="T1247" s="0" t="n">
        <f aca="false">Q1247-S1247</f>
        <v>42.5239543260929</v>
      </c>
      <c r="U1247" s="0" t="n">
        <f aca="false">Q1247+S1247</f>
        <v>44.6622956739071</v>
      </c>
      <c r="V1247" s="54" t="b">
        <f aca="false">AND(D1247&gt;=01_因子設定!$L$5-0.000000001,D1247&lt;=01_因子設定!$M$5+0.000000001,E1247&gt;=01_因子設定!$L$6-0.000000001,E1247&lt;=01_因子設定!$M$6+0.000000001,F1247&gt;=01_因子設定!$L$7-0.000000001,F1247&lt;=01_因子設定!$M$7+0.000000001,IF(01_因子設定!$B$20="Box-Behnken",D1247^2+E1247^2+F1247^2&lt;=2+0.000000001,TRUE()))</f>
        <v>1</v>
      </c>
      <c r="W1247" s="55" t="n">
        <f aca="false">IF(V1247,IF(01_因子設定!$B$13="最大化",T1247-01_因子設定!$B$14,IF(01_因子設定!$B$13="最小化",01_因子設定!$B$15-U1247,MIN(T1247-01_因子設定!$B$14,01_因子設定!$B$15-U1247))),-1E+030)</f>
        <v>-5.9760456739071</v>
      </c>
      <c r="X1247" s="55" t="n">
        <f aca="false">IF(V1247,IF(01_因子設定!$B$13="最大化",Q1247,IF(01_因子設定!$B$13="最小化",-Q1247,-ABS(Q1247-01_因子設定!$B$16))),-1E+030)</f>
        <v>43.593125</v>
      </c>
      <c r="Y1247" s="55" t="n">
        <f aca="false">W1247+ROW()*0.000000001</f>
        <v>-5.97604442690709</v>
      </c>
      <c r="Z1247" s="55" t="n">
        <f aca="false">X1247+ROW()*0.000000001</f>
        <v>43.593126247</v>
      </c>
    </row>
    <row r="1248" customFormat="false" ht="15" hidden="false" customHeight="false" outlineLevel="0" collapsed="false">
      <c r="A1248" s="0" t="n">
        <v>4</v>
      </c>
      <c r="B1248" s="0" t="n">
        <v>5</v>
      </c>
      <c r="C1248" s="0" t="n">
        <v>2</v>
      </c>
      <c r="D1248" s="0" t="n">
        <f aca="false">-1+A1248*0.125</f>
        <v>-0.5</v>
      </c>
      <c r="E1248" s="0" t="n">
        <f aca="false">-1+B1248*0.125</f>
        <v>-0.375</v>
      </c>
      <c r="F1248" s="0" t="n">
        <f aca="false">-1+C1248*0.125</f>
        <v>-0.75</v>
      </c>
      <c r="G1248" s="0" t="n">
        <f aca="false">1</f>
        <v>1</v>
      </c>
      <c r="H1248" s="0" t="n">
        <f aca="false">D1248</f>
        <v>-0.5</v>
      </c>
      <c r="I1248" s="0" t="n">
        <f aca="false">E1248</f>
        <v>-0.375</v>
      </c>
      <c r="J1248" s="0" t="n">
        <f aca="false">F1248</f>
        <v>-0.75</v>
      </c>
      <c r="K1248" s="0" t="n">
        <f aca="false">D1248*E1248</f>
        <v>0.1875</v>
      </c>
      <c r="L1248" s="0" t="n">
        <f aca="false">D1248*F1248</f>
        <v>0.375</v>
      </c>
      <c r="M1248" s="0" t="n">
        <f aca="false">E1248*F1248</f>
        <v>0.28125</v>
      </c>
      <c r="N1248" s="0" t="n">
        <f aca="false">D1248*D1248</f>
        <v>0.25</v>
      </c>
      <c r="O1248" s="0" t="n">
        <f aca="false">E1248*E1248</f>
        <v>0.140625</v>
      </c>
      <c r="P1248" s="0" t="n">
        <f aca="false">F1248*F1248</f>
        <v>0.5625</v>
      </c>
      <c r="Q1248" s="0" t="n">
        <f aca="false">SUMPRODUCT(G1248:P1248,_XtX!$B$71:$K$71)</f>
        <v>43.9930397727273</v>
      </c>
      <c r="R1248" s="0" t="n">
        <f aca="false">SUMPRODUCT(MMULT(G1248:P1248,_XtX!$B$58:$K$67),G1248:P1248)</f>
        <v>0.234168590198864</v>
      </c>
      <c r="S1248" s="0" t="n">
        <f aca="false">04_回帰ANOVA!$K$19*04_回帰ANOVA!$K$14*SQRT(1+R1248)</f>
        <v>1.03288954322488</v>
      </c>
      <c r="T1248" s="0" t="n">
        <f aca="false">Q1248-S1248</f>
        <v>42.9601502295024</v>
      </c>
      <c r="U1248" s="0" t="n">
        <f aca="false">Q1248+S1248</f>
        <v>45.0259293159522</v>
      </c>
      <c r="V1248" s="54" t="b">
        <f aca="false">AND(D1248&gt;=01_因子設定!$L$5-0.000000001,D1248&lt;=01_因子設定!$M$5+0.000000001,E1248&gt;=01_因子設定!$L$6-0.000000001,E1248&lt;=01_因子設定!$M$6+0.000000001,F1248&gt;=01_因子設定!$L$7-0.000000001,F1248&lt;=01_因子設定!$M$7+0.000000001,IF(01_因子設定!$B$20="Box-Behnken",D1248^2+E1248^2+F1248^2&lt;=2+0.000000001,TRUE()))</f>
        <v>1</v>
      </c>
      <c r="W1248" s="55" t="n">
        <f aca="false">IF(V1248,IF(01_因子設定!$B$13="最大化",T1248-01_因子設定!$B$14,IF(01_因子設定!$B$13="最小化",01_因子設定!$B$15-U1248,MIN(T1248-01_因子設定!$B$14,01_因子設定!$B$15-U1248))),-1E+030)</f>
        <v>-5.53984977049759</v>
      </c>
      <c r="X1248" s="55" t="n">
        <f aca="false">IF(V1248,IF(01_因子設定!$B$13="最大化",Q1248,IF(01_因子設定!$B$13="最小化",-Q1248,-ABS(Q1248-01_因子設定!$B$16))),-1E+030)</f>
        <v>43.9930397727273</v>
      </c>
      <c r="Y1248" s="55" t="n">
        <f aca="false">W1248+ROW()*0.000000001</f>
        <v>-5.53984852249759</v>
      </c>
      <c r="Z1248" s="55" t="n">
        <f aca="false">X1248+ROW()*0.000000001</f>
        <v>43.9930410207273</v>
      </c>
    </row>
    <row r="1249" customFormat="false" ht="15" hidden="false" customHeight="false" outlineLevel="0" collapsed="false">
      <c r="A1249" s="0" t="n">
        <v>4</v>
      </c>
      <c r="B1249" s="0" t="n">
        <v>5</v>
      </c>
      <c r="C1249" s="0" t="n">
        <v>3</v>
      </c>
      <c r="D1249" s="0" t="n">
        <f aca="false">-1+A1249*0.125</f>
        <v>-0.5</v>
      </c>
      <c r="E1249" s="0" t="n">
        <f aca="false">-1+B1249*0.125</f>
        <v>-0.375</v>
      </c>
      <c r="F1249" s="0" t="n">
        <f aca="false">-1+C1249*0.125</f>
        <v>-0.625</v>
      </c>
      <c r="G1249" s="0" t="n">
        <f aca="false">1</f>
        <v>1</v>
      </c>
      <c r="H1249" s="0" t="n">
        <f aca="false">D1249</f>
        <v>-0.5</v>
      </c>
      <c r="I1249" s="0" t="n">
        <f aca="false">E1249</f>
        <v>-0.375</v>
      </c>
      <c r="J1249" s="0" t="n">
        <f aca="false">F1249</f>
        <v>-0.625</v>
      </c>
      <c r="K1249" s="0" t="n">
        <f aca="false">D1249*E1249</f>
        <v>0.1875</v>
      </c>
      <c r="L1249" s="0" t="n">
        <f aca="false">D1249*F1249</f>
        <v>0.3125</v>
      </c>
      <c r="M1249" s="0" t="n">
        <f aca="false">E1249*F1249</f>
        <v>0.234375</v>
      </c>
      <c r="N1249" s="0" t="n">
        <f aca="false">D1249*D1249</f>
        <v>0.25</v>
      </c>
      <c r="O1249" s="0" t="n">
        <f aca="false">E1249*E1249</f>
        <v>0.140625</v>
      </c>
      <c r="P1249" s="0" t="n">
        <f aca="false">F1249*F1249</f>
        <v>0.390625</v>
      </c>
      <c r="Q1249" s="0" t="n">
        <f aca="false">SUMPRODUCT(G1249:P1249,_XtX!$B$71:$K$71)</f>
        <v>44.3561647727273</v>
      </c>
      <c r="R1249" s="0" t="n">
        <f aca="false">SUMPRODUCT(MMULT(G1249:P1249,_XtX!$B$58:$K$67),G1249:P1249)</f>
        <v>0.182953990589489</v>
      </c>
      <c r="S1249" s="0" t="n">
        <f aca="false">04_回帰ANOVA!$K$19*04_回帰ANOVA!$K$14*SQRT(1+R1249)</f>
        <v>1.01123143807044</v>
      </c>
      <c r="T1249" s="0" t="n">
        <f aca="false">Q1249-S1249</f>
        <v>43.3449333346568</v>
      </c>
      <c r="U1249" s="0" t="n">
        <f aca="false">Q1249+S1249</f>
        <v>45.3673962107977</v>
      </c>
      <c r="V1249" s="54" t="b">
        <f aca="false">AND(D1249&gt;=01_因子設定!$L$5-0.000000001,D1249&lt;=01_因子設定!$M$5+0.000000001,E1249&gt;=01_因子設定!$L$6-0.000000001,E1249&lt;=01_因子設定!$M$6+0.000000001,F1249&gt;=01_因子設定!$L$7-0.000000001,F1249&lt;=01_因子設定!$M$7+0.000000001,IF(01_因子設定!$B$20="Box-Behnken",D1249^2+E1249^2+F1249^2&lt;=2+0.000000001,TRUE()))</f>
        <v>1</v>
      </c>
      <c r="W1249" s="55" t="n">
        <f aca="false">IF(V1249,IF(01_因子設定!$B$13="最大化",T1249-01_因子設定!$B$14,IF(01_因子設定!$B$13="最小化",01_因子設定!$B$15-U1249,MIN(T1249-01_因子設定!$B$14,01_因子設定!$B$15-U1249))),-1E+030)</f>
        <v>-5.15506666534316</v>
      </c>
      <c r="X1249" s="55" t="n">
        <f aca="false">IF(V1249,IF(01_因子設定!$B$13="最大化",Q1249,IF(01_因子設定!$B$13="最小化",-Q1249,-ABS(Q1249-01_因子設定!$B$16))),-1E+030)</f>
        <v>44.3561647727273</v>
      </c>
      <c r="Y1249" s="55" t="n">
        <f aca="false">W1249+ROW()*0.000000001</f>
        <v>-5.15506541634316</v>
      </c>
      <c r="Z1249" s="55" t="n">
        <f aca="false">X1249+ROW()*0.000000001</f>
        <v>44.3561660217273</v>
      </c>
    </row>
    <row r="1250" customFormat="false" ht="15" hidden="false" customHeight="false" outlineLevel="0" collapsed="false">
      <c r="A1250" s="0" t="n">
        <v>4</v>
      </c>
      <c r="B1250" s="0" t="n">
        <v>5</v>
      </c>
      <c r="C1250" s="0" t="n">
        <v>4</v>
      </c>
      <c r="D1250" s="0" t="n">
        <f aca="false">-1+A1250*0.125</f>
        <v>-0.5</v>
      </c>
      <c r="E1250" s="0" t="n">
        <f aca="false">-1+B1250*0.125</f>
        <v>-0.375</v>
      </c>
      <c r="F1250" s="0" t="n">
        <f aca="false">-1+C1250*0.125</f>
        <v>-0.5</v>
      </c>
      <c r="G1250" s="0" t="n">
        <f aca="false">1</f>
        <v>1</v>
      </c>
      <c r="H1250" s="0" t="n">
        <f aca="false">D1250</f>
        <v>-0.5</v>
      </c>
      <c r="I1250" s="0" t="n">
        <f aca="false">E1250</f>
        <v>-0.375</v>
      </c>
      <c r="J1250" s="0" t="n">
        <f aca="false">F1250</f>
        <v>-0.5</v>
      </c>
      <c r="K1250" s="0" t="n">
        <f aca="false">D1250*E1250</f>
        <v>0.1875</v>
      </c>
      <c r="L1250" s="0" t="n">
        <f aca="false">D1250*F1250</f>
        <v>0.25</v>
      </c>
      <c r="M1250" s="0" t="n">
        <f aca="false">E1250*F1250</f>
        <v>0.1875</v>
      </c>
      <c r="N1250" s="0" t="n">
        <f aca="false">D1250*D1250</f>
        <v>0.25</v>
      </c>
      <c r="O1250" s="0" t="n">
        <f aca="false">E1250*E1250</f>
        <v>0.140625</v>
      </c>
      <c r="P1250" s="0" t="n">
        <f aca="false">F1250*F1250</f>
        <v>0.25</v>
      </c>
      <c r="Q1250" s="0" t="n">
        <f aca="false">SUMPRODUCT(G1250:P1250,_XtX!$B$71:$K$71)</f>
        <v>44.6825</v>
      </c>
      <c r="R1250" s="0" t="n">
        <f aca="false">SUMPRODUCT(MMULT(G1250:P1250,_XtX!$B$58:$K$67),G1250:P1250)</f>
        <v>0.15703125</v>
      </c>
      <c r="S1250" s="0" t="n">
        <f aca="false">04_回帰ANOVA!$K$19*04_回帰ANOVA!$K$14*SQRT(1+R1250)</f>
        <v>1.00009022049162</v>
      </c>
      <c r="T1250" s="0" t="n">
        <f aca="false">Q1250-S1250</f>
        <v>43.6824097795084</v>
      </c>
      <c r="U1250" s="0" t="n">
        <f aca="false">Q1250+S1250</f>
        <v>45.6825902204916</v>
      </c>
      <c r="V1250" s="54" t="b">
        <f aca="false">AND(D1250&gt;=01_因子設定!$L$5-0.000000001,D1250&lt;=01_因子設定!$M$5+0.000000001,E1250&gt;=01_因子設定!$L$6-0.000000001,E1250&lt;=01_因子設定!$M$6+0.000000001,F1250&gt;=01_因子設定!$L$7-0.000000001,F1250&lt;=01_因子設定!$M$7+0.000000001,IF(01_因子設定!$B$20="Box-Behnken",D1250^2+E1250^2+F1250^2&lt;=2+0.000000001,TRUE()))</f>
        <v>1</v>
      </c>
      <c r="W1250" s="55" t="n">
        <f aca="false">IF(V1250,IF(01_因子設定!$B$13="最大化",T1250-01_因子設定!$B$14,IF(01_因子設定!$B$13="最小化",01_因子設定!$B$15-U1250,MIN(T1250-01_因子設定!$B$14,01_因子設定!$B$15-U1250))),-1E+030)</f>
        <v>-4.81759022049161</v>
      </c>
      <c r="X1250" s="55" t="n">
        <f aca="false">IF(V1250,IF(01_因子設定!$B$13="最大化",Q1250,IF(01_因子設定!$B$13="最小化",-Q1250,-ABS(Q1250-01_因子設定!$B$16))),-1E+030)</f>
        <v>44.6825</v>
      </c>
      <c r="Y1250" s="55" t="n">
        <f aca="false">W1250+ROW()*0.000000001</f>
        <v>-4.81758897049161</v>
      </c>
      <c r="Z1250" s="55" t="n">
        <f aca="false">X1250+ROW()*0.000000001</f>
        <v>44.68250125</v>
      </c>
    </row>
    <row r="1251" customFormat="false" ht="15" hidden="false" customHeight="false" outlineLevel="0" collapsed="false">
      <c r="A1251" s="0" t="n">
        <v>4</v>
      </c>
      <c r="B1251" s="0" t="n">
        <v>5</v>
      </c>
      <c r="C1251" s="0" t="n">
        <v>5</v>
      </c>
      <c r="D1251" s="0" t="n">
        <f aca="false">-1+A1251*0.125</f>
        <v>-0.5</v>
      </c>
      <c r="E1251" s="0" t="n">
        <f aca="false">-1+B1251*0.125</f>
        <v>-0.375</v>
      </c>
      <c r="F1251" s="0" t="n">
        <f aca="false">-1+C1251*0.125</f>
        <v>-0.375</v>
      </c>
      <c r="G1251" s="0" t="n">
        <f aca="false">1</f>
        <v>1</v>
      </c>
      <c r="H1251" s="0" t="n">
        <f aca="false">D1251</f>
        <v>-0.5</v>
      </c>
      <c r="I1251" s="0" t="n">
        <f aca="false">E1251</f>
        <v>-0.375</v>
      </c>
      <c r="J1251" s="0" t="n">
        <f aca="false">F1251</f>
        <v>-0.375</v>
      </c>
      <c r="K1251" s="0" t="n">
        <f aca="false">D1251*E1251</f>
        <v>0.1875</v>
      </c>
      <c r="L1251" s="0" t="n">
        <f aca="false">D1251*F1251</f>
        <v>0.1875</v>
      </c>
      <c r="M1251" s="0" t="n">
        <f aca="false">E1251*F1251</f>
        <v>0.140625</v>
      </c>
      <c r="N1251" s="0" t="n">
        <f aca="false">D1251*D1251</f>
        <v>0.25</v>
      </c>
      <c r="O1251" s="0" t="n">
        <f aca="false">E1251*E1251</f>
        <v>0.140625</v>
      </c>
      <c r="P1251" s="0" t="n">
        <f aca="false">F1251*F1251</f>
        <v>0.140625</v>
      </c>
      <c r="Q1251" s="0" t="n">
        <f aca="false">SUMPRODUCT(G1251:P1251,_XtX!$B$71:$K$71)</f>
        <v>44.9720454545455</v>
      </c>
      <c r="R1251" s="0" t="n">
        <f aca="false">SUMPRODUCT(MMULT(G1251:P1251,_XtX!$B$58:$K$67),G1251:P1251)</f>
        <v>0.14681230024858</v>
      </c>
      <c r="S1251" s="0" t="n">
        <f aca="false">04_回帰ANOVA!$K$19*04_回帰ANOVA!$K$14*SQRT(1+R1251)</f>
        <v>0.995664005771711</v>
      </c>
      <c r="T1251" s="0" t="n">
        <f aca="false">Q1251-S1251</f>
        <v>43.9763814487738</v>
      </c>
      <c r="U1251" s="0" t="n">
        <f aca="false">Q1251+S1251</f>
        <v>45.9677094603172</v>
      </c>
      <c r="V1251" s="54" t="b">
        <f aca="false">AND(D1251&gt;=01_因子設定!$L$5-0.000000001,D1251&lt;=01_因子設定!$M$5+0.000000001,E1251&gt;=01_因子設定!$L$6-0.000000001,E1251&lt;=01_因子設定!$M$6+0.000000001,F1251&gt;=01_因子設定!$L$7-0.000000001,F1251&lt;=01_因子設定!$M$7+0.000000001,IF(01_因子設定!$B$20="Box-Behnken",D1251^2+E1251^2+F1251^2&lt;=2+0.000000001,TRUE()))</f>
        <v>1</v>
      </c>
      <c r="W1251" s="55" t="n">
        <f aca="false">IF(V1251,IF(01_因子設定!$B$13="最大化",T1251-01_因子設定!$B$14,IF(01_因子設定!$B$13="最小化",01_因子設定!$B$15-U1251,MIN(T1251-01_因子設定!$B$14,01_因子設定!$B$15-U1251))),-1E+030)</f>
        <v>-4.52361855122625</v>
      </c>
      <c r="X1251" s="55" t="n">
        <f aca="false">IF(V1251,IF(01_因子設定!$B$13="最大化",Q1251,IF(01_因子設定!$B$13="最小化",-Q1251,-ABS(Q1251-01_因子設定!$B$16))),-1E+030)</f>
        <v>44.9720454545455</v>
      </c>
      <c r="Y1251" s="55" t="n">
        <f aca="false">W1251+ROW()*0.000000001</f>
        <v>-4.52361730022625</v>
      </c>
      <c r="Z1251" s="55" t="n">
        <f aca="false">X1251+ROW()*0.000000001</f>
        <v>44.9720467055455</v>
      </c>
    </row>
    <row r="1252" customFormat="false" ht="15" hidden="false" customHeight="false" outlineLevel="0" collapsed="false">
      <c r="A1252" s="0" t="n">
        <v>4</v>
      </c>
      <c r="B1252" s="0" t="n">
        <v>5</v>
      </c>
      <c r="C1252" s="0" t="n">
        <v>6</v>
      </c>
      <c r="D1252" s="0" t="n">
        <f aca="false">-1+A1252*0.125</f>
        <v>-0.5</v>
      </c>
      <c r="E1252" s="0" t="n">
        <f aca="false">-1+B1252*0.125</f>
        <v>-0.375</v>
      </c>
      <c r="F1252" s="0" t="n">
        <f aca="false">-1+C1252*0.125</f>
        <v>-0.25</v>
      </c>
      <c r="G1252" s="0" t="n">
        <f aca="false">1</f>
        <v>1</v>
      </c>
      <c r="H1252" s="0" t="n">
        <f aca="false">D1252</f>
        <v>-0.5</v>
      </c>
      <c r="I1252" s="0" t="n">
        <f aca="false">E1252</f>
        <v>-0.375</v>
      </c>
      <c r="J1252" s="0" t="n">
        <f aca="false">F1252</f>
        <v>-0.25</v>
      </c>
      <c r="K1252" s="0" t="n">
        <f aca="false">D1252*E1252</f>
        <v>0.1875</v>
      </c>
      <c r="L1252" s="0" t="n">
        <f aca="false">D1252*F1252</f>
        <v>0.125</v>
      </c>
      <c r="M1252" s="0" t="n">
        <f aca="false">E1252*F1252</f>
        <v>0.09375</v>
      </c>
      <c r="N1252" s="0" t="n">
        <f aca="false">D1252*D1252</f>
        <v>0.25</v>
      </c>
      <c r="O1252" s="0" t="n">
        <f aca="false">E1252*E1252</f>
        <v>0.140625</v>
      </c>
      <c r="P1252" s="0" t="n">
        <f aca="false">F1252*F1252</f>
        <v>0.0625</v>
      </c>
      <c r="Q1252" s="0" t="n">
        <f aca="false">SUMPRODUCT(G1252:P1252,_XtX!$B$71:$K$71)</f>
        <v>45.2248011363636</v>
      </c>
      <c r="R1252" s="0" t="n">
        <f aca="false">SUMPRODUCT(MMULT(G1252:P1252,_XtX!$B$58:$K$67),G1252:P1252)</f>
        <v>0.144839754971591</v>
      </c>
      <c r="S1252" s="0" t="n">
        <f aca="false">04_回帰ANOVA!$K$19*04_回帰ANOVA!$K$14*SQRT(1+R1252)</f>
        <v>0.994807353995542</v>
      </c>
      <c r="T1252" s="0" t="n">
        <f aca="false">Q1252-S1252</f>
        <v>44.2299937823681</v>
      </c>
      <c r="U1252" s="0" t="n">
        <f aca="false">Q1252+S1252</f>
        <v>46.2196084903592</v>
      </c>
      <c r="V1252" s="54" t="b">
        <f aca="false">AND(D1252&gt;=01_因子設定!$L$5-0.000000001,D1252&lt;=01_因子設定!$M$5+0.000000001,E1252&gt;=01_因子設定!$L$6-0.000000001,E1252&lt;=01_因子設定!$M$6+0.000000001,F1252&gt;=01_因子設定!$L$7-0.000000001,F1252&lt;=01_因子設定!$M$7+0.000000001,IF(01_因子設定!$B$20="Box-Behnken",D1252^2+E1252^2+F1252^2&lt;=2+0.000000001,TRUE()))</f>
        <v>1</v>
      </c>
      <c r="W1252" s="55" t="n">
        <f aca="false">IF(V1252,IF(01_因子設定!$B$13="最大化",T1252-01_因子設定!$B$14,IF(01_因子設定!$B$13="最小化",01_因子設定!$B$15-U1252,MIN(T1252-01_因子設定!$B$14,01_因子設定!$B$15-U1252))),-1E+030)</f>
        <v>-4.2700062176319</v>
      </c>
      <c r="X1252" s="55" t="n">
        <f aca="false">IF(V1252,IF(01_因子設定!$B$13="最大化",Q1252,IF(01_因子設定!$B$13="最小化",-Q1252,-ABS(Q1252-01_因子設定!$B$16))),-1E+030)</f>
        <v>45.2248011363636</v>
      </c>
      <c r="Y1252" s="55" t="n">
        <f aca="false">W1252+ROW()*0.000000001</f>
        <v>-4.2700049656319</v>
      </c>
      <c r="Z1252" s="55" t="n">
        <f aca="false">X1252+ROW()*0.000000001</f>
        <v>45.2248023883636</v>
      </c>
    </row>
    <row r="1253" customFormat="false" ht="15" hidden="false" customHeight="false" outlineLevel="0" collapsed="false">
      <c r="A1253" s="0" t="n">
        <v>4</v>
      </c>
      <c r="B1253" s="0" t="n">
        <v>5</v>
      </c>
      <c r="C1253" s="0" t="n">
        <v>7</v>
      </c>
      <c r="D1253" s="0" t="n">
        <f aca="false">-1+A1253*0.125</f>
        <v>-0.5</v>
      </c>
      <c r="E1253" s="0" t="n">
        <f aca="false">-1+B1253*0.125</f>
        <v>-0.375</v>
      </c>
      <c r="F1253" s="0" t="n">
        <f aca="false">-1+C1253*0.125</f>
        <v>-0.125</v>
      </c>
      <c r="G1253" s="0" t="n">
        <f aca="false">1</f>
        <v>1</v>
      </c>
      <c r="H1253" s="0" t="n">
        <f aca="false">D1253</f>
        <v>-0.5</v>
      </c>
      <c r="I1253" s="0" t="n">
        <f aca="false">E1253</f>
        <v>-0.375</v>
      </c>
      <c r="J1253" s="0" t="n">
        <f aca="false">F1253</f>
        <v>-0.125</v>
      </c>
      <c r="K1253" s="0" t="n">
        <f aca="false">D1253*E1253</f>
        <v>0.1875</v>
      </c>
      <c r="L1253" s="0" t="n">
        <f aca="false">D1253*F1253</f>
        <v>0.0625</v>
      </c>
      <c r="M1253" s="0" t="n">
        <f aca="false">E1253*F1253</f>
        <v>0.046875</v>
      </c>
      <c r="N1253" s="0" t="n">
        <f aca="false">D1253*D1253</f>
        <v>0.25</v>
      </c>
      <c r="O1253" s="0" t="n">
        <f aca="false">E1253*E1253</f>
        <v>0.140625</v>
      </c>
      <c r="P1253" s="0" t="n">
        <f aca="false">F1253*F1253</f>
        <v>0.015625</v>
      </c>
      <c r="Q1253" s="0" t="n">
        <f aca="false">SUMPRODUCT(G1253:P1253,_XtX!$B$71:$K$71)</f>
        <v>45.4407670454546</v>
      </c>
      <c r="R1253" s="0" t="n">
        <f aca="false">SUMPRODUCT(MMULT(G1253:P1253,_XtX!$B$58:$K$67),G1253:P1253)</f>
        <v>0.14578690962358</v>
      </c>
      <c r="S1253" s="0" t="n">
        <f aca="false">04_回帰ANOVA!$K$19*04_回帰ANOVA!$K$14*SQRT(1+R1253)</f>
        <v>0.995218783457917</v>
      </c>
      <c r="T1253" s="0" t="n">
        <f aca="false">Q1253-S1253</f>
        <v>44.4455482619966</v>
      </c>
      <c r="U1253" s="0" t="n">
        <f aca="false">Q1253+S1253</f>
        <v>46.4359858289125</v>
      </c>
      <c r="V1253" s="54" t="b">
        <f aca="false">AND(D1253&gt;=01_因子設定!$L$5-0.000000001,D1253&lt;=01_因子設定!$M$5+0.000000001,E1253&gt;=01_因子設定!$L$6-0.000000001,E1253&lt;=01_因子設定!$M$6+0.000000001,F1253&gt;=01_因子設定!$L$7-0.000000001,F1253&lt;=01_因子設定!$M$7+0.000000001,IF(01_因子設定!$B$20="Box-Behnken",D1253^2+E1253^2+F1253^2&lt;=2+0.000000001,TRUE()))</f>
        <v>1</v>
      </c>
      <c r="W1253" s="55" t="n">
        <f aca="false">IF(V1253,IF(01_因子設定!$B$13="最大化",T1253-01_因子設定!$B$14,IF(01_因子設定!$B$13="最小化",01_因子設定!$B$15-U1253,MIN(T1253-01_因子設定!$B$14,01_因子設定!$B$15-U1253))),-1E+030)</f>
        <v>-4.05445173800337</v>
      </c>
      <c r="X1253" s="55" t="n">
        <f aca="false">IF(V1253,IF(01_因子設定!$B$13="最大化",Q1253,IF(01_因子設定!$B$13="最小化",-Q1253,-ABS(Q1253-01_因子設定!$B$16))),-1E+030)</f>
        <v>45.4407670454546</v>
      </c>
      <c r="Y1253" s="55" t="n">
        <f aca="false">W1253+ROW()*0.000000001</f>
        <v>-4.05445048500337</v>
      </c>
      <c r="Z1253" s="55" t="n">
        <f aca="false">X1253+ROW()*0.000000001</f>
        <v>45.4407682984546</v>
      </c>
    </row>
    <row r="1254" customFormat="false" ht="15" hidden="false" customHeight="false" outlineLevel="0" collapsed="false">
      <c r="A1254" s="0" t="n">
        <v>4</v>
      </c>
      <c r="B1254" s="0" t="n">
        <v>5</v>
      </c>
      <c r="C1254" s="0" t="n">
        <v>8</v>
      </c>
      <c r="D1254" s="0" t="n">
        <f aca="false">-1+A1254*0.125</f>
        <v>-0.5</v>
      </c>
      <c r="E1254" s="0" t="n">
        <f aca="false">-1+B1254*0.125</f>
        <v>-0.375</v>
      </c>
      <c r="F1254" s="0" t="n">
        <f aca="false">-1+C1254*0.125</f>
        <v>0</v>
      </c>
      <c r="G1254" s="0" t="n">
        <f aca="false">1</f>
        <v>1</v>
      </c>
      <c r="H1254" s="0" t="n">
        <f aca="false">D1254</f>
        <v>-0.5</v>
      </c>
      <c r="I1254" s="0" t="n">
        <f aca="false">E1254</f>
        <v>-0.375</v>
      </c>
      <c r="J1254" s="0" t="n">
        <f aca="false">F1254</f>
        <v>0</v>
      </c>
      <c r="K1254" s="0" t="n">
        <f aca="false">D1254*E1254</f>
        <v>0.1875</v>
      </c>
      <c r="L1254" s="0" t="n">
        <f aca="false">D1254*F1254</f>
        <v>-0</v>
      </c>
      <c r="M1254" s="0" t="n">
        <f aca="false">E1254*F1254</f>
        <v>-0</v>
      </c>
      <c r="N1254" s="0" t="n">
        <f aca="false">D1254*D1254</f>
        <v>0.25</v>
      </c>
      <c r="O1254" s="0" t="n">
        <f aca="false">E1254*E1254</f>
        <v>0.140625</v>
      </c>
      <c r="P1254" s="0" t="n">
        <f aca="false">F1254*F1254</f>
        <v>0</v>
      </c>
      <c r="Q1254" s="0" t="n">
        <f aca="false">SUMPRODUCT(G1254:P1254,_XtX!$B$71:$K$71)</f>
        <v>45.6199431818182</v>
      </c>
      <c r="R1254" s="0" t="n">
        <f aca="false">SUMPRODUCT(MMULT(G1254:P1254,_XtX!$B$58:$K$67),G1254:P1254)</f>
        <v>0.146457741477273</v>
      </c>
      <c r="S1254" s="0" t="n">
        <f aca="false">04_回帰ANOVA!$K$19*04_回帰ANOVA!$K$14*SQRT(1+R1254)</f>
        <v>0.995510079668687</v>
      </c>
      <c r="T1254" s="0" t="n">
        <f aca="false">Q1254-S1254</f>
        <v>44.6244331021495</v>
      </c>
      <c r="U1254" s="0" t="n">
        <f aca="false">Q1254+S1254</f>
        <v>46.6154532614869</v>
      </c>
      <c r="V1254" s="54" t="b">
        <f aca="false">AND(D1254&gt;=01_因子設定!$L$5-0.000000001,D1254&lt;=01_因子設定!$M$5+0.000000001,E1254&gt;=01_因子設定!$L$6-0.000000001,E1254&lt;=01_因子設定!$M$6+0.000000001,F1254&gt;=01_因子設定!$L$7-0.000000001,F1254&lt;=01_因子設定!$M$7+0.000000001,IF(01_因子設定!$B$20="Box-Behnken",D1254^2+E1254^2+F1254^2&lt;=2+0.000000001,TRUE()))</f>
        <v>1</v>
      </c>
      <c r="W1254" s="55" t="n">
        <f aca="false">IF(V1254,IF(01_因子設定!$B$13="最大化",T1254-01_因子設定!$B$14,IF(01_因子設定!$B$13="最小化",01_因子設定!$B$15-U1254,MIN(T1254-01_因子設定!$B$14,01_因子設定!$B$15-U1254))),-1E+030)</f>
        <v>-3.8755668978505</v>
      </c>
      <c r="X1254" s="55" t="n">
        <f aca="false">IF(V1254,IF(01_因子設定!$B$13="最大化",Q1254,IF(01_因子設定!$B$13="最小化",-Q1254,-ABS(Q1254-01_因子設定!$B$16))),-1E+030)</f>
        <v>45.6199431818182</v>
      </c>
      <c r="Y1254" s="55" t="n">
        <f aca="false">W1254+ROW()*0.000000001</f>
        <v>-3.8755656438505</v>
      </c>
      <c r="Z1254" s="55" t="n">
        <f aca="false">X1254+ROW()*0.000000001</f>
        <v>45.6199444358182</v>
      </c>
    </row>
    <row r="1255" customFormat="false" ht="15" hidden="false" customHeight="false" outlineLevel="0" collapsed="false">
      <c r="A1255" s="0" t="n">
        <v>4</v>
      </c>
      <c r="B1255" s="0" t="n">
        <v>5</v>
      </c>
      <c r="C1255" s="0" t="n">
        <v>9</v>
      </c>
      <c r="D1255" s="0" t="n">
        <f aca="false">-1+A1255*0.125</f>
        <v>-0.5</v>
      </c>
      <c r="E1255" s="0" t="n">
        <f aca="false">-1+B1255*0.125</f>
        <v>-0.375</v>
      </c>
      <c r="F1255" s="0" t="n">
        <f aca="false">-1+C1255*0.125</f>
        <v>0.125</v>
      </c>
      <c r="G1255" s="0" t="n">
        <f aca="false">1</f>
        <v>1</v>
      </c>
      <c r="H1255" s="0" t="n">
        <f aca="false">D1255</f>
        <v>-0.5</v>
      </c>
      <c r="I1255" s="0" t="n">
        <f aca="false">E1255</f>
        <v>-0.375</v>
      </c>
      <c r="J1255" s="0" t="n">
        <f aca="false">F1255</f>
        <v>0.125</v>
      </c>
      <c r="K1255" s="0" t="n">
        <f aca="false">D1255*E1255</f>
        <v>0.1875</v>
      </c>
      <c r="L1255" s="0" t="n">
        <f aca="false">D1255*F1255</f>
        <v>-0.0625</v>
      </c>
      <c r="M1255" s="0" t="n">
        <f aca="false">E1255*F1255</f>
        <v>-0.046875</v>
      </c>
      <c r="N1255" s="0" t="n">
        <f aca="false">D1255*D1255</f>
        <v>0.25</v>
      </c>
      <c r="O1255" s="0" t="n">
        <f aca="false">E1255*E1255</f>
        <v>0.140625</v>
      </c>
      <c r="P1255" s="0" t="n">
        <f aca="false">F1255*F1255</f>
        <v>0.015625</v>
      </c>
      <c r="Q1255" s="0" t="n">
        <f aca="false">SUMPRODUCT(G1255:P1255,_XtX!$B$71:$K$71)</f>
        <v>45.7623295454546</v>
      </c>
      <c r="R1255" s="0" t="n">
        <f aca="false">SUMPRODUCT(MMULT(G1255:P1255,_XtX!$B$58:$K$67),G1255:P1255)</f>
        <v>0.14578690962358</v>
      </c>
      <c r="S1255" s="0" t="n">
        <f aca="false">04_回帰ANOVA!$K$19*04_回帰ANOVA!$K$14*SQRT(1+R1255)</f>
        <v>0.995218783457917</v>
      </c>
      <c r="T1255" s="0" t="n">
        <f aca="false">Q1255-S1255</f>
        <v>44.7671107619966</v>
      </c>
      <c r="U1255" s="0" t="n">
        <f aca="false">Q1255+S1255</f>
        <v>46.7575483289125</v>
      </c>
      <c r="V1255" s="54" t="b">
        <f aca="false">AND(D1255&gt;=01_因子設定!$L$5-0.000000001,D1255&lt;=01_因子設定!$M$5+0.000000001,E1255&gt;=01_因子設定!$L$6-0.000000001,E1255&lt;=01_因子設定!$M$6+0.000000001,F1255&gt;=01_因子設定!$L$7-0.000000001,F1255&lt;=01_因子設定!$M$7+0.000000001,IF(01_因子設定!$B$20="Box-Behnken",D1255^2+E1255^2+F1255^2&lt;=2+0.000000001,TRUE()))</f>
        <v>1</v>
      </c>
      <c r="W1255" s="55" t="n">
        <f aca="false">IF(V1255,IF(01_因子設定!$B$13="最大化",T1255-01_因子設定!$B$14,IF(01_因子設定!$B$13="最小化",01_因子設定!$B$15-U1255,MIN(T1255-01_因子設定!$B$14,01_因子設定!$B$15-U1255))),-1E+030)</f>
        <v>-3.73288923800337</v>
      </c>
      <c r="X1255" s="55" t="n">
        <f aca="false">IF(V1255,IF(01_因子設定!$B$13="最大化",Q1255,IF(01_因子設定!$B$13="最小化",-Q1255,-ABS(Q1255-01_因子設定!$B$16))),-1E+030)</f>
        <v>45.7623295454546</v>
      </c>
      <c r="Y1255" s="55" t="n">
        <f aca="false">W1255+ROW()*0.000000001</f>
        <v>-3.73288798300337</v>
      </c>
      <c r="Z1255" s="55" t="n">
        <f aca="false">X1255+ROW()*0.000000001</f>
        <v>45.7623308004546</v>
      </c>
    </row>
    <row r="1256" customFormat="false" ht="15" hidden="false" customHeight="false" outlineLevel="0" collapsed="false">
      <c r="A1256" s="0" t="n">
        <v>4</v>
      </c>
      <c r="B1256" s="0" t="n">
        <v>5</v>
      </c>
      <c r="C1256" s="0" t="n">
        <v>10</v>
      </c>
      <c r="D1256" s="0" t="n">
        <f aca="false">-1+A1256*0.125</f>
        <v>-0.5</v>
      </c>
      <c r="E1256" s="0" t="n">
        <f aca="false">-1+B1256*0.125</f>
        <v>-0.375</v>
      </c>
      <c r="F1256" s="0" t="n">
        <f aca="false">-1+C1256*0.125</f>
        <v>0.25</v>
      </c>
      <c r="G1256" s="0" t="n">
        <f aca="false">1</f>
        <v>1</v>
      </c>
      <c r="H1256" s="0" t="n">
        <f aca="false">D1256</f>
        <v>-0.5</v>
      </c>
      <c r="I1256" s="0" t="n">
        <f aca="false">E1256</f>
        <v>-0.375</v>
      </c>
      <c r="J1256" s="0" t="n">
        <f aca="false">F1256</f>
        <v>0.25</v>
      </c>
      <c r="K1256" s="0" t="n">
        <f aca="false">D1256*E1256</f>
        <v>0.1875</v>
      </c>
      <c r="L1256" s="0" t="n">
        <f aca="false">D1256*F1256</f>
        <v>-0.125</v>
      </c>
      <c r="M1256" s="0" t="n">
        <f aca="false">E1256*F1256</f>
        <v>-0.09375</v>
      </c>
      <c r="N1256" s="0" t="n">
        <f aca="false">D1256*D1256</f>
        <v>0.25</v>
      </c>
      <c r="O1256" s="0" t="n">
        <f aca="false">E1256*E1256</f>
        <v>0.140625</v>
      </c>
      <c r="P1256" s="0" t="n">
        <f aca="false">F1256*F1256</f>
        <v>0.0625</v>
      </c>
      <c r="Q1256" s="0" t="n">
        <f aca="false">SUMPRODUCT(G1256:P1256,_XtX!$B$71:$K$71)</f>
        <v>45.8679261363636</v>
      </c>
      <c r="R1256" s="0" t="n">
        <f aca="false">SUMPRODUCT(MMULT(G1256:P1256,_XtX!$B$58:$K$67),G1256:P1256)</f>
        <v>0.144839754971591</v>
      </c>
      <c r="S1256" s="0" t="n">
        <f aca="false">04_回帰ANOVA!$K$19*04_回帰ANOVA!$K$14*SQRT(1+R1256)</f>
        <v>0.994807353995542</v>
      </c>
      <c r="T1256" s="0" t="n">
        <f aca="false">Q1256-S1256</f>
        <v>44.8731187823681</v>
      </c>
      <c r="U1256" s="0" t="n">
        <f aca="false">Q1256+S1256</f>
        <v>46.8627334903592</v>
      </c>
      <c r="V1256" s="54" t="b">
        <f aca="false">AND(D1256&gt;=01_因子設定!$L$5-0.000000001,D1256&lt;=01_因子設定!$M$5+0.000000001,E1256&gt;=01_因子設定!$L$6-0.000000001,E1256&lt;=01_因子設定!$M$6+0.000000001,F1256&gt;=01_因子設定!$L$7-0.000000001,F1256&lt;=01_因子設定!$M$7+0.000000001,IF(01_因子設定!$B$20="Box-Behnken",D1256^2+E1256^2+F1256^2&lt;=2+0.000000001,TRUE()))</f>
        <v>1</v>
      </c>
      <c r="W1256" s="55" t="n">
        <f aca="false">IF(V1256,IF(01_因子設定!$B$13="最大化",T1256-01_因子設定!$B$14,IF(01_因子設定!$B$13="最小化",01_因子設定!$B$15-U1256,MIN(T1256-01_因子設定!$B$14,01_因子設定!$B$15-U1256))),-1E+030)</f>
        <v>-3.6268812176319</v>
      </c>
      <c r="X1256" s="55" t="n">
        <f aca="false">IF(V1256,IF(01_因子設定!$B$13="最大化",Q1256,IF(01_因子設定!$B$13="最小化",-Q1256,-ABS(Q1256-01_因子設定!$B$16))),-1E+030)</f>
        <v>45.8679261363636</v>
      </c>
      <c r="Y1256" s="55" t="n">
        <f aca="false">W1256+ROW()*0.000000001</f>
        <v>-3.6268799616319</v>
      </c>
      <c r="Z1256" s="55" t="n">
        <f aca="false">X1256+ROW()*0.000000001</f>
        <v>45.8679273923636</v>
      </c>
    </row>
    <row r="1257" customFormat="false" ht="15" hidden="false" customHeight="false" outlineLevel="0" collapsed="false">
      <c r="A1257" s="0" t="n">
        <v>4</v>
      </c>
      <c r="B1257" s="0" t="n">
        <v>5</v>
      </c>
      <c r="C1257" s="0" t="n">
        <v>11</v>
      </c>
      <c r="D1257" s="0" t="n">
        <f aca="false">-1+A1257*0.125</f>
        <v>-0.5</v>
      </c>
      <c r="E1257" s="0" t="n">
        <f aca="false">-1+B1257*0.125</f>
        <v>-0.375</v>
      </c>
      <c r="F1257" s="0" t="n">
        <f aca="false">-1+C1257*0.125</f>
        <v>0.375</v>
      </c>
      <c r="G1257" s="0" t="n">
        <f aca="false">1</f>
        <v>1</v>
      </c>
      <c r="H1257" s="0" t="n">
        <f aca="false">D1257</f>
        <v>-0.5</v>
      </c>
      <c r="I1257" s="0" t="n">
        <f aca="false">E1257</f>
        <v>-0.375</v>
      </c>
      <c r="J1257" s="0" t="n">
        <f aca="false">F1257</f>
        <v>0.375</v>
      </c>
      <c r="K1257" s="0" t="n">
        <f aca="false">D1257*E1257</f>
        <v>0.1875</v>
      </c>
      <c r="L1257" s="0" t="n">
        <f aca="false">D1257*F1257</f>
        <v>-0.1875</v>
      </c>
      <c r="M1257" s="0" t="n">
        <f aca="false">E1257*F1257</f>
        <v>-0.140625</v>
      </c>
      <c r="N1257" s="0" t="n">
        <f aca="false">D1257*D1257</f>
        <v>0.25</v>
      </c>
      <c r="O1257" s="0" t="n">
        <f aca="false">E1257*E1257</f>
        <v>0.140625</v>
      </c>
      <c r="P1257" s="0" t="n">
        <f aca="false">F1257*F1257</f>
        <v>0.140625</v>
      </c>
      <c r="Q1257" s="0" t="n">
        <f aca="false">SUMPRODUCT(G1257:P1257,_XtX!$B$71:$K$71)</f>
        <v>45.9367329545455</v>
      </c>
      <c r="R1257" s="0" t="n">
        <f aca="false">SUMPRODUCT(MMULT(G1257:P1257,_XtX!$B$58:$K$67),G1257:P1257)</f>
        <v>0.14681230024858</v>
      </c>
      <c r="S1257" s="0" t="n">
        <f aca="false">04_回帰ANOVA!$K$19*04_回帰ANOVA!$K$14*SQRT(1+R1257)</f>
        <v>0.995664005771711</v>
      </c>
      <c r="T1257" s="0" t="n">
        <f aca="false">Q1257-S1257</f>
        <v>44.9410689487738</v>
      </c>
      <c r="U1257" s="0" t="n">
        <f aca="false">Q1257+S1257</f>
        <v>46.9323969603172</v>
      </c>
      <c r="V1257" s="54" t="b">
        <f aca="false">AND(D1257&gt;=01_因子設定!$L$5-0.000000001,D1257&lt;=01_因子設定!$M$5+0.000000001,E1257&gt;=01_因子設定!$L$6-0.000000001,E1257&lt;=01_因子設定!$M$6+0.000000001,F1257&gt;=01_因子設定!$L$7-0.000000001,F1257&lt;=01_因子設定!$M$7+0.000000001,IF(01_因子設定!$B$20="Box-Behnken",D1257^2+E1257^2+F1257^2&lt;=2+0.000000001,TRUE()))</f>
        <v>1</v>
      </c>
      <c r="W1257" s="55" t="n">
        <f aca="false">IF(V1257,IF(01_因子設定!$B$13="最大化",T1257-01_因子設定!$B$14,IF(01_因子設定!$B$13="最小化",01_因子設定!$B$15-U1257,MIN(T1257-01_因子設定!$B$14,01_因子設定!$B$15-U1257))),-1E+030)</f>
        <v>-3.55893105122625</v>
      </c>
      <c r="X1257" s="55" t="n">
        <f aca="false">IF(V1257,IF(01_因子設定!$B$13="最大化",Q1257,IF(01_因子設定!$B$13="最小化",-Q1257,-ABS(Q1257-01_因子設定!$B$16))),-1E+030)</f>
        <v>45.9367329545455</v>
      </c>
      <c r="Y1257" s="55" t="n">
        <f aca="false">W1257+ROW()*0.000000001</f>
        <v>-3.55892979422625</v>
      </c>
      <c r="Z1257" s="55" t="n">
        <f aca="false">X1257+ROW()*0.000000001</f>
        <v>45.9367342115455</v>
      </c>
    </row>
    <row r="1258" customFormat="false" ht="15" hidden="false" customHeight="false" outlineLevel="0" collapsed="false">
      <c r="A1258" s="0" t="n">
        <v>4</v>
      </c>
      <c r="B1258" s="0" t="n">
        <v>5</v>
      </c>
      <c r="C1258" s="0" t="n">
        <v>12</v>
      </c>
      <c r="D1258" s="0" t="n">
        <f aca="false">-1+A1258*0.125</f>
        <v>-0.5</v>
      </c>
      <c r="E1258" s="0" t="n">
        <f aca="false">-1+B1258*0.125</f>
        <v>-0.375</v>
      </c>
      <c r="F1258" s="0" t="n">
        <f aca="false">-1+C1258*0.125</f>
        <v>0.5</v>
      </c>
      <c r="G1258" s="0" t="n">
        <f aca="false">1</f>
        <v>1</v>
      </c>
      <c r="H1258" s="0" t="n">
        <f aca="false">D1258</f>
        <v>-0.5</v>
      </c>
      <c r="I1258" s="0" t="n">
        <f aca="false">E1258</f>
        <v>-0.375</v>
      </c>
      <c r="J1258" s="0" t="n">
        <f aca="false">F1258</f>
        <v>0.5</v>
      </c>
      <c r="K1258" s="0" t="n">
        <f aca="false">D1258*E1258</f>
        <v>0.1875</v>
      </c>
      <c r="L1258" s="0" t="n">
        <f aca="false">D1258*F1258</f>
        <v>-0.25</v>
      </c>
      <c r="M1258" s="0" t="n">
        <f aca="false">E1258*F1258</f>
        <v>-0.1875</v>
      </c>
      <c r="N1258" s="0" t="n">
        <f aca="false">D1258*D1258</f>
        <v>0.25</v>
      </c>
      <c r="O1258" s="0" t="n">
        <f aca="false">E1258*E1258</f>
        <v>0.140625</v>
      </c>
      <c r="P1258" s="0" t="n">
        <f aca="false">F1258*F1258</f>
        <v>0.25</v>
      </c>
      <c r="Q1258" s="0" t="n">
        <f aca="false">SUMPRODUCT(G1258:P1258,_XtX!$B$71:$K$71)</f>
        <v>45.96875</v>
      </c>
      <c r="R1258" s="0" t="n">
        <f aca="false">SUMPRODUCT(MMULT(G1258:P1258,_XtX!$B$58:$K$67),G1258:P1258)</f>
        <v>0.15703125</v>
      </c>
      <c r="S1258" s="0" t="n">
        <f aca="false">04_回帰ANOVA!$K$19*04_回帰ANOVA!$K$14*SQRT(1+R1258)</f>
        <v>1.00009022049162</v>
      </c>
      <c r="T1258" s="0" t="n">
        <f aca="false">Q1258-S1258</f>
        <v>44.9686597795084</v>
      </c>
      <c r="U1258" s="0" t="n">
        <f aca="false">Q1258+S1258</f>
        <v>46.9688402204916</v>
      </c>
      <c r="V1258" s="54" t="b">
        <f aca="false">AND(D1258&gt;=01_因子設定!$L$5-0.000000001,D1258&lt;=01_因子設定!$M$5+0.000000001,E1258&gt;=01_因子設定!$L$6-0.000000001,E1258&lt;=01_因子設定!$M$6+0.000000001,F1258&gt;=01_因子設定!$L$7-0.000000001,F1258&lt;=01_因子設定!$M$7+0.000000001,IF(01_因子設定!$B$20="Box-Behnken",D1258^2+E1258^2+F1258^2&lt;=2+0.000000001,TRUE()))</f>
        <v>1</v>
      </c>
      <c r="W1258" s="55" t="n">
        <f aca="false">IF(V1258,IF(01_因子設定!$B$13="最大化",T1258-01_因子設定!$B$14,IF(01_因子設定!$B$13="最小化",01_因子設定!$B$15-U1258,MIN(T1258-01_因子設定!$B$14,01_因子設定!$B$15-U1258))),-1E+030)</f>
        <v>-3.53134022049161</v>
      </c>
      <c r="X1258" s="55" t="n">
        <f aca="false">IF(V1258,IF(01_因子設定!$B$13="最大化",Q1258,IF(01_因子設定!$B$13="最小化",-Q1258,-ABS(Q1258-01_因子設定!$B$16))),-1E+030)</f>
        <v>45.96875</v>
      </c>
      <c r="Y1258" s="55" t="n">
        <f aca="false">W1258+ROW()*0.000000001</f>
        <v>-3.53133896249161</v>
      </c>
      <c r="Z1258" s="55" t="n">
        <f aca="false">X1258+ROW()*0.000000001</f>
        <v>45.968751258</v>
      </c>
    </row>
    <row r="1259" customFormat="false" ht="15" hidden="false" customHeight="false" outlineLevel="0" collapsed="false">
      <c r="A1259" s="0" t="n">
        <v>4</v>
      </c>
      <c r="B1259" s="0" t="n">
        <v>5</v>
      </c>
      <c r="C1259" s="0" t="n">
        <v>13</v>
      </c>
      <c r="D1259" s="0" t="n">
        <f aca="false">-1+A1259*0.125</f>
        <v>-0.5</v>
      </c>
      <c r="E1259" s="0" t="n">
        <f aca="false">-1+B1259*0.125</f>
        <v>-0.375</v>
      </c>
      <c r="F1259" s="0" t="n">
        <f aca="false">-1+C1259*0.125</f>
        <v>0.625</v>
      </c>
      <c r="G1259" s="0" t="n">
        <f aca="false">1</f>
        <v>1</v>
      </c>
      <c r="H1259" s="0" t="n">
        <f aca="false">D1259</f>
        <v>-0.5</v>
      </c>
      <c r="I1259" s="0" t="n">
        <f aca="false">E1259</f>
        <v>-0.375</v>
      </c>
      <c r="J1259" s="0" t="n">
        <f aca="false">F1259</f>
        <v>0.625</v>
      </c>
      <c r="K1259" s="0" t="n">
        <f aca="false">D1259*E1259</f>
        <v>0.1875</v>
      </c>
      <c r="L1259" s="0" t="n">
        <f aca="false">D1259*F1259</f>
        <v>-0.3125</v>
      </c>
      <c r="M1259" s="0" t="n">
        <f aca="false">E1259*F1259</f>
        <v>-0.234375</v>
      </c>
      <c r="N1259" s="0" t="n">
        <f aca="false">D1259*D1259</f>
        <v>0.25</v>
      </c>
      <c r="O1259" s="0" t="n">
        <f aca="false">E1259*E1259</f>
        <v>0.140625</v>
      </c>
      <c r="P1259" s="0" t="n">
        <f aca="false">F1259*F1259</f>
        <v>0.390625</v>
      </c>
      <c r="Q1259" s="0" t="n">
        <f aca="false">SUMPRODUCT(G1259:P1259,_XtX!$B$71:$K$71)</f>
        <v>45.9639772727273</v>
      </c>
      <c r="R1259" s="0" t="n">
        <f aca="false">SUMPRODUCT(MMULT(G1259:P1259,_XtX!$B$58:$K$67),G1259:P1259)</f>
        <v>0.182953990589489</v>
      </c>
      <c r="S1259" s="0" t="n">
        <f aca="false">04_回帰ANOVA!$K$19*04_回帰ANOVA!$K$14*SQRT(1+R1259)</f>
        <v>1.01123143807044</v>
      </c>
      <c r="T1259" s="0" t="n">
        <f aca="false">Q1259-S1259</f>
        <v>44.9527458346568</v>
      </c>
      <c r="U1259" s="0" t="n">
        <f aca="false">Q1259+S1259</f>
        <v>46.9752087107977</v>
      </c>
      <c r="V1259" s="54" t="b">
        <f aca="false">AND(D1259&gt;=01_因子設定!$L$5-0.000000001,D1259&lt;=01_因子設定!$M$5+0.000000001,E1259&gt;=01_因子設定!$L$6-0.000000001,E1259&lt;=01_因子設定!$M$6+0.000000001,F1259&gt;=01_因子設定!$L$7-0.000000001,F1259&lt;=01_因子設定!$M$7+0.000000001,IF(01_因子設定!$B$20="Box-Behnken",D1259^2+E1259^2+F1259^2&lt;=2+0.000000001,TRUE()))</f>
        <v>1</v>
      </c>
      <c r="W1259" s="55" t="n">
        <f aca="false">IF(V1259,IF(01_因子設定!$B$13="最大化",T1259-01_因子設定!$B$14,IF(01_因子設定!$B$13="最小化",01_因子設定!$B$15-U1259,MIN(T1259-01_因子設定!$B$14,01_因子設定!$B$15-U1259))),-1E+030)</f>
        <v>-3.54725416534316</v>
      </c>
      <c r="X1259" s="55" t="n">
        <f aca="false">IF(V1259,IF(01_因子設定!$B$13="最大化",Q1259,IF(01_因子設定!$B$13="最小化",-Q1259,-ABS(Q1259-01_因子設定!$B$16))),-1E+030)</f>
        <v>45.9639772727273</v>
      </c>
      <c r="Y1259" s="55" t="n">
        <f aca="false">W1259+ROW()*0.000000001</f>
        <v>-3.54725290634316</v>
      </c>
      <c r="Z1259" s="55" t="n">
        <f aca="false">X1259+ROW()*0.000000001</f>
        <v>45.9639785317273</v>
      </c>
    </row>
    <row r="1260" customFormat="false" ht="15" hidden="false" customHeight="false" outlineLevel="0" collapsed="false">
      <c r="A1260" s="0" t="n">
        <v>4</v>
      </c>
      <c r="B1260" s="0" t="n">
        <v>5</v>
      </c>
      <c r="C1260" s="0" t="n">
        <v>14</v>
      </c>
      <c r="D1260" s="0" t="n">
        <f aca="false">-1+A1260*0.125</f>
        <v>-0.5</v>
      </c>
      <c r="E1260" s="0" t="n">
        <f aca="false">-1+B1260*0.125</f>
        <v>-0.375</v>
      </c>
      <c r="F1260" s="0" t="n">
        <f aca="false">-1+C1260*0.125</f>
        <v>0.75</v>
      </c>
      <c r="G1260" s="0" t="n">
        <f aca="false">1</f>
        <v>1</v>
      </c>
      <c r="H1260" s="0" t="n">
        <f aca="false">D1260</f>
        <v>-0.5</v>
      </c>
      <c r="I1260" s="0" t="n">
        <f aca="false">E1260</f>
        <v>-0.375</v>
      </c>
      <c r="J1260" s="0" t="n">
        <f aca="false">F1260</f>
        <v>0.75</v>
      </c>
      <c r="K1260" s="0" t="n">
        <f aca="false">D1260*E1260</f>
        <v>0.1875</v>
      </c>
      <c r="L1260" s="0" t="n">
        <f aca="false">D1260*F1260</f>
        <v>-0.375</v>
      </c>
      <c r="M1260" s="0" t="n">
        <f aca="false">E1260*F1260</f>
        <v>-0.28125</v>
      </c>
      <c r="N1260" s="0" t="n">
        <f aca="false">D1260*D1260</f>
        <v>0.25</v>
      </c>
      <c r="O1260" s="0" t="n">
        <f aca="false">E1260*E1260</f>
        <v>0.140625</v>
      </c>
      <c r="P1260" s="0" t="n">
        <f aca="false">F1260*F1260</f>
        <v>0.5625</v>
      </c>
      <c r="Q1260" s="0" t="n">
        <f aca="false">SUMPRODUCT(G1260:P1260,_XtX!$B$71:$K$71)</f>
        <v>45.9224147727273</v>
      </c>
      <c r="R1260" s="0" t="n">
        <f aca="false">SUMPRODUCT(MMULT(G1260:P1260,_XtX!$B$58:$K$67),G1260:P1260)</f>
        <v>0.234168590198864</v>
      </c>
      <c r="S1260" s="0" t="n">
        <f aca="false">04_回帰ANOVA!$K$19*04_回帰ANOVA!$K$14*SQRT(1+R1260)</f>
        <v>1.03288954322488</v>
      </c>
      <c r="T1260" s="0" t="n">
        <f aca="false">Q1260-S1260</f>
        <v>44.8895252295024</v>
      </c>
      <c r="U1260" s="0" t="n">
        <f aca="false">Q1260+S1260</f>
        <v>46.9553043159522</v>
      </c>
      <c r="V1260" s="54" t="b">
        <f aca="false">AND(D1260&gt;=01_因子設定!$L$5-0.000000001,D1260&lt;=01_因子設定!$M$5+0.000000001,E1260&gt;=01_因子設定!$L$6-0.000000001,E1260&lt;=01_因子設定!$M$6+0.000000001,F1260&gt;=01_因子設定!$L$7-0.000000001,F1260&lt;=01_因子設定!$M$7+0.000000001,IF(01_因子設定!$B$20="Box-Behnken",D1260^2+E1260^2+F1260^2&lt;=2+0.000000001,TRUE()))</f>
        <v>1</v>
      </c>
      <c r="W1260" s="55" t="n">
        <f aca="false">IF(V1260,IF(01_因子設定!$B$13="最大化",T1260-01_因子設定!$B$14,IF(01_因子設定!$B$13="最小化",01_因子設定!$B$15-U1260,MIN(T1260-01_因子設定!$B$14,01_因子設定!$B$15-U1260))),-1E+030)</f>
        <v>-3.61047477049759</v>
      </c>
      <c r="X1260" s="55" t="n">
        <f aca="false">IF(V1260,IF(01_因子設定!$B$13="最大化",Q1260,IF(01_因子設定!$B$13="最小化",-Q1260,-ABS(Q1260-01_因子設定!$B$16))),-1E+030)</f>
        <v>45.9224147727273</v>
      </c>
      <c r="Y1260" s="55" t="n">
        <f aca="false">W1260+ROW()*0.000000001</f>
        <v>-3.61047351049759</v>
      </c>
      <c r="Z1260" s="55" t="n">
        <f aca="false">X1260+ROW()*0.000000001</f>
        <v>45.9224160327273</v>
      </c>
    </row>
    <row r="1261" customFormat="false" ht="15" hidden="false" customHeight="false" outlineLevel="0" collapsed="false">
      <c r="A1261" s="0" t="n">
        <v>4</v>
      </c>
      <c r="B1261" s="0" t="n">
        <v>5</v>
      </c>
      <c r="C1261" s="0" t="n">
        <v>15</v>
      </c>
      <c r="D1261" s="0" t="n">
        <f aca="false">-1+A1261*0.125</f>
        <v>-0.5</v>
      </c>
      <c r="E1261" s="0" t="n">
        <f aca="false">-1+B1261*0.125</f>
        <v>-0.375</v>
      </c>
      <c r="F1261" s="0" t="n">
        <f aca="false">-1+C1261*0.125</f>
        <v>0.875</v>
      </c>
      <c r="G1261" s="0" t="n">
        <f aca="false">1</f>
        <v>1</v>
      </c>
      <c r="H1261" s="0" t="n">
        <f aca="false">D1261</f>
        <v>-0.5</v>
      </c>
      <c r="I1261" s="0" t="n">
        <f aca="false">E1261</f>
        <v>-0.375</v>
      </c>
      <c r="J1261" s="0" t="n">
        <f aca="false">F1261</f>
        <v>0.875</v>
      </c>
      <c r="K1261" s="0" t="n">
        <f aca="false">D1261*E1261</f>
        <v>0.1875</v>
      </c>
      <c r="L1261" s="0" t="n">
        <f aca="false">D1261*F1261</f>
        <v>-0.4375</v>
      </c>
      <c r="M1261" s="0" t="n">
        <f aca="false">E1261*F1261</f>
        <v>-0.328125</v>
      </c>
      <c r="N1261" s="0" t="n">
        <f aca="false">D1261*D1261</f>
        <v>0.25</v>
      </c>
      <c r="O1261" s="0" t="n">
        <f aca="false">E1261*E1261</f>
        <v>0.140625</v>
      </c>
      <c r="P1261" s="0" t="n">
        <f aca="false">F1261*F1261</f>
        <v>0.765625</v>
      </c>
      <c r="Q1261" s="0" t="n">
        <f aca="false">SUMPRODUCT(G1261:P1261,_XtX!$B$71:$K$71)</f>
        <v>45.8440625</v>
      </c>
      <c r="R1261" s="0" t="n">
        <f aca="false">SUMPRODUCT(MMULT(G1261:P1261,_XtX!$B$58:$K$67),G1261:P1261)</f>
        <v>0.322393798828125</v>
      </c>
      <c r="S1261" s="0" t="n">
        <f aca="false">04_回帰ANOVA!$K$19*04_回帰ANOVA!$K$14*SQRT(1+R1261)</f>
        <v>1.06917067390712</v>
      </c>
      <c r="T1261" s="0" t="n">
        <f aca="false">Q1261-S1261</f>
        <v>44.7748918260929</v>
      </c>
      <c r="U1261" s="0" t="n">
        <f aca="false">Q1261+S1261</f>
        <v>46.9132331739071</v>
      </c>
      <c r="V1261" s="54" t="b">
        <f aca="false">AND(D1261&gt;=01_因子設定!$L$5-0.000000001,D1261&lt;=01_因子設定!$M$5+0.000000001,E1261&gt;=01_因子設定!$L$6-0.000000001,E1261&lt;=01_因子設定!$M$6+0.000000001,F1261&gt;=01_因子設定!$L$7-0.000000001,F1261&lt;=01_因子設定!$M$7+0.000000001,IF(01_因子設定!$B$20="Box-Behnken",D1261^2+E1261^2+F1261^2&lt;=2+0.000000001,TRUE()))</f>
        <v>1</v>
      </c>
      <c r="W1261" s="55" t="n">
        <f aca="false">IF(V1261,IF(01_因子設定!$B$13="最大化",T1261-01_因子設定!$B$14,IF(01_因子設定!$B$13="最小化",01_因子設定!$B$15-U1261,MIN(T1261-01_因子設定!$B$14,01_因子設定!$B$15-U1261))),-1E+030)</f>
        <v>-3.7251081739071</v>
      </c>
      <c r="X1261" s="55" t="n">
        <f aca="false">IF(V1261,IF(01_因子設定!$B$13="最大化",Q1261,IF(01_因子設定!$B$13="最小化",-Q1261,-ABS(Q1261-01_因子設定!$B$16))),-1E+030)</f>
        <v>45.8440625</v>
      </c>
      <c r="Y1261" s="55" t="n">
        <f aca="false">W1261+ROW()*0.000000001</f>
        <v>-3.7251069129071</v>
      </c>
      <c r="Z1261" s="55" t="n">
        <f aca="false">X1261+ROW()*0.000000001</f>
        <v>45.844063761</v>
      </c>
    </row>
    <row r="1262" customFormat="false" ht="15" hidden="false" customHeight="false" outlineLevel="0" collapsed="false">
      <c r="A1262" s="0" t="n">
        <v>4</v>
      </c>
      <c r="B1262" s="0" t="n">
        <v>5</v>
      </c>
      <c r="C1262" s="0" t="n">
        <v>16</v>
      </c>
      <c r="D1262" s="0" t="n">
        <f aca="false">-1+A1262*0.125</f>
        <v>-0.5</v>
      </c>
      <c r="E1262" s="0" t="n">
        <f aca="false">-1+B1262*0.125</f>
        <v>-0.375</v>
      </c>
      <c r="F1262" s="0" t="n">
        <f aca="false">-1+C1262*0.125</f>
        <v>1</v>
      </c>
      <c r="G1262" s="0" t="n">
        <f aca="false">1</f>
        <v>1</v>
      </c>
      <c r="H1262" s="0" t="n">
        <f aca="false">D1262</f>
        <v>-0.5</v>
      </c>
      <c r="I1262" s="0" t="n">
        <f aca="false">E1262</f>
        <v>-0.375</v>
      </c>
      <c r="J1262" s="0" t="n">
        <f aca="false">F1262</f>
        <v>1</v>
      </c>
      <c r="K1262" s="0" t="n">
        <f aca="false">D1262*E1262</f>
        <v>0.1875</v>
      </c>
      <c r="L1262" s="0" t="n">
        <f aca="false">D1262*F1262</f>
        <v>-0.5</v>
      </c>
      <c r="M1262" s="0" t="n">
        <f aca="false">E1262*F1262</f>
        <v>-0.375</v>
      </c>
      <c r="N1262" s="0" t="n">
        <f aca="false">D1262*D1262</f>
        <v>0.25</v>
      </c>
      <c r="O1262" s="0" t="n">
        <f aca="false">E1262*E1262</f>
        <v>0.140625</v>
      </c>
      <c r="P1262" s="0" t="n">
        <f aca="false">F1262*F1262</f>
        <v>1</v>
      </c>
      <c r="Q1262" s="0" t="n">
        <f aca="false">SUMPRODUCT(G1262:P1262,_XtX!$B$71:$K$71)</f>
        <v>45.7289204545455</v>
      </c>
      <c r="R1262" s="0" t="n">
        <f aca="false">SUMPRODUCT(MMULT(G1262:P1262,_XtX!$B$58:$K$67),G1262:P1262)</f>
        <v>0.461479048295455</v>
      </c>
      <c r="S1262" s="0" t="n">
        <f aca="false">04_回帰ANOVA!$K$19*04_回帰ANOVA!$K$14*SQRT(1+R1262)</f>
        <v>1.12399125658369</v>
      </c>
      <c r="T1262" s="0" t="n">
        <f aca="false">Q1262-S1262</f>
        <v>44.6049291979618</v>
      </c>
      <c r="U1262" s="0" t="n">
        <f aca="false">Q1262+S1262</f>
        <v>46.8529117111292</v>
      </c>
      <c r="V1262" s="54" t="b">
        <f aca="false">AND(D1262&gt;=01_因子設定!$L$5-0.000000001,D1262&lt;=01_因子設定!$M$5+0.000000001,E1262&gt;=01_因子設定!$L$6-0.000000001,E1262&lt;=01_因子設定!$M$6+0.000000001,F1262&gt;=01_因子設定!$L$7-0.000000001,F1262&lt;=01_因子設定!$M$7+0.000000001,IF(01_因子設定!$B$20="Box-Behnken",D1262^2+E1262^2+F1262^2&lt;=2+0.000000001,TRUE()))</f>
        <v>1</v>
      </c>
      <c r="W1262" s="55" t="n">
        <f aca="false">IF(V1262,IF(01_因子設定!$B$13="最大化",T1262-01_因子設定!$B$14,IF(01_因子設定!$B$13="最小化",01_因子設定!$B$15-U1262,MIN(T1262-01_因子設定!$B$14,01_因子設定!$B$15-U1262))),-1E+030)</f>
        <v>-3.89507080203821</v>
      </c>
      <c r="X1262" s="55" t="n">
        <f aca="false">IF(V1262,IF(01_因子設定!$B$13="最大化",Q1262,IF(01_因子設定!$B$13="最小化",-Q1262,-ABS(Q1262-01_因子設定!$B$16))),-1E+030)</f>
        <v>45.7289204545455</v>
      </c>
      <c r="Y1262" s="55" t="n">
        <f aca="false">W1262+ROW()*0.000000001</f>
        <v>-3.89506954003821</v>
      </c>
      <c r="Z1262" s="55" t="n">
        <f aca="false">X1262+ROW()*0.000000001</f>
        <v>45.7289217165455</v>
      </c>
    </row>
    <row r="1263" customFormat="false" ht="15" hidden="false" customHeight="false" outlineLevel="0" collapsed="false">
      <c r="A1263" s="0" t="n">
        <v>4</v>
      </c>
      <c r="B1263" s="0" t="n">
        <v>6</v>
      </c>
      <c r="C1263" s="0" t="n">
        <v>0</v>
      </c>
      <c r="D1263" s="0" t="n">
        <f aca="false">-1+A1263*0.125</f>
        <v>-0.5</v>
      </c>
      <c r="E1263" s="0" t="n">
        <f aca="false">-1+B1263*0.125</f>
        <v>-0.25</v>
      </c>
      <c r="F1263" s="0" t="n">
        <f aca="false">-1+C1263*0.125</f>
        <v>-1</v>
      </c>
      <c r="G1263" s="0" t="n">
        <f aca="false">1</f>
        <v>1</v>
      </c>
      <c r="H1263" s="0" t="n">
        <f aca="false">D1263</f>
        <v>-0.5</v>
      </c>
      <c r="I1263" s="0" t="n">
        <f aca="false">E1263</f>
        <v>-0.25</v>
      </c>
      <c r="J1263" s="0" t="n">
        <f aca="false">F1263</f>
        <v>-1</v>
      </c>
      <c r="K1263" s="0" t="n">
        <f aca="false">D1263*E1263</f>
        <v>0.125</v>
      </c>
      <c r="L1263" s="0" t="n">
        <f aca="false">D1263*F1263</f>
        <v>0.5</v>
      </c>
      <c r="M1263" s="0" t="n">
        <f aca="false">E1263*F1263</f>
        <v>0.25</v>
      </c>
      <c r="N1263" s="0" t="n">
        <f aca="false">D1263*D1263</f>
        <v>0.25</v>
      </c>
      <c r="O1263" s="0" t="n">
        <f aca="false">E1263*E1263</f>
        <v>0.0625</v>
      </c>
      <c r="P1263" s="0" t="n">
        <f aca="false">F1263*F1263</f>
        <v>1</v>
      </c>
      <c r="Q1263" s="0" t="n">
        <f aca="false">SUMPRODUCT(G1263:P1263,_XtX!$B$71:$K$71)</f>
        <v>43.4407386363637</v>
      </c>
      <c r="R1263" s="0" t="n">
        <f aca="false">SUMPRODUCT(MMULT(G1263:P1263,_XtX!$B$58:$K$67),G1263:P1263)</f>
        <v>0.469424715909091</v>
      </c>
      <c r="S1263" s="0" t="n">
        <f aca="false">04_回帰ANOVA!$K$19*04_回帰ANOVA!$K$14*SQRT(1+R1263)</f>
        <v>1.12704253369596</v>
      </c>
      <c r="T1263" s="0" t="n">
        <f aca="false">Q1263-S1263</f>
        <v>42.3136961026677</v>
      </c>
      <c r="U1263" s="0" t="n">
        <f aca="false">Q1263+S1263</f>
        <v>44.5677811700596</v>
      </c>
      <c r="V1263" s="54" t="b">
        <f aca="false">AND(D1263&gt;=01_因子設定!$L$5-0.000000001,D1263&lt;=01_因子設定!$M$5+0.000000001,E1263&gt;=01_因子設定!$L$6-0.000000001,E1263&lt;=01_因子設定!$M$6+0.000000001,F1263&gt;=01_因子設定!$L$7-0.000000001,F1263&lt;=01_因子設定!$M$7+0.000000001,IF(01_因子設定!$B$20="Box-Behnken",D1263^2+E1263^2+F1263^2&lt;=2+0.000000001,TRUE()))</f>
        <v>1</v>
      </c>
      <c r="W1263" s="55" t="n">
        <f aca="false">IF(V1263,IF(01_因子設定!$B$13="最大化",T1263-01_因子設定!$B$14,IF(01_因子設定!$B$13="最小化",01_因子設定!$B$15-U1263,MIN(T1263-01_因子設定!$B$14,01_因子設定!$B$15-U1263))),-1E+030)</f>
        <v>-6.18630389733229</v>
      </c>
      <c r="X1263" s="55" t="n">
        <f aca="false">IF(V1263,IF(01_因子設定!$B$13="最大化",Q1263,IF(01_因子設定!$B$13="最小化",-Q1263,-ABS(Q1263-01_因子設定!$B$16))),-1E+030)</f>
        <v>43.4407386363637</v>
      </c>
      <c r="Y1263" s="55" t="n">
        <f aca="false">W1263+ROW()*0.000000001</f>
        <v>-6.1863026343323</v>
      </c>
      <c r="Z1263" s="55" t="n">
        <f aca="false">X1263+ROW()*0.000000001</f>
        <v>43.4407398993637</v>
      </c>
    </row>
    <row r="1264" customFormat="false" ht="15" hidden="false" customHeight="false" outlineLevel="0" collapsed="false">
      <c r="A1264" s="0" t="n">
        <v>4</v>
      </c>
      <c r="B1264" s="0" t="n">
        <v>6</v>
      </c>
      <c r="C1264" s="0" t="n">
        <v>1</v>
      </c>
      <c r="D1264" s="0" t="n">
        <f aca="false">-1+A1264*0.125</f>
        <v>-0.5</v>
      </c>
      <c r="E1264" s="0" t="n">
        <f aca="false">-1+B1264*0.125</f>
        <v>-0.25</v>
      </c>
      <c r="F1264" s="0" t="n">
        <f aca="false">-1+C1264*0.125</f>
        <v>-0.875</v>
      </c>
      <c r="G1264" s="0" t="n">
        <f aca="false">1</f>
        <v>1</v>
      </c>
      <c r="H1264" s="0" t="n">
        <f aca="false">D1264</f>
        <v>-0.5</v>
      </c>
      <c r="I1264" s="0" t="n">
        <f aca="false">E1264</f>
        <v>-0.25</v>
      </c>
      <c r="J1264" s="0" t="n">
        <f aca="false">F1264</f>
        <v>-0.875</v>
      </c>
      <c r="K1264" s="0" t="n">
        <f aca="false">D1264*E1264</f>
        <v>0.125</v>
      </c>
      <c r="L1264" s="0" t="n">
        <f aca="false">D1264*F1264</f>
        <v>0.4375</v>
      </c>
      <c r="M1264" s="0" t="n">
        <f aca="false">E1264*F1264</f>
        <v>0.21875</v>
      </c>
      <c r="N1264" s="0" t="n">
        <f aca="false">D1264*D1264</f>
        <v>0.25</v>
      </c>
      <c r="O1264" s="0" t="n">
        <f aca="false">E1264*E1264</f>
        <v>0.0625</v>
      </c>
      <c r="P1264" s="0" t="n">
        <f aca="false">F1264*F1264</f>
        <v>0.765625</v>
      </c>
      <c r="Q1264" s="0" t="n">
        <f aca="false">SUMPRODUCT(G1264:P1264,_XtX!$B$71:$K$71)</f>
        <v>43.8844744318182</v>
      </c>
      <c r="R1264" s="0" t="n">
        <f aca="false">SUMPRODUCT(MMULT(G1264:P1264,_XtX!$B$58:$K$67),G1264:P1264)</f>
        <v>0.327634499289773</v>
      </c>
      <c r="S1264" s="0" t="n">
        <f aca="false">04_回帰ANOVA!$K$19*04_回帰ANOVA!$K$14*SQRT(1+R1264)</f>
        <v>1.07128716250217</v>
      </c>
      <c r="T1264" s="0" t="n">
        <f aca="false">Q1264-S1264</f>
        <v>42.813187269316</v>
      </c>
      <c r="U1264" s="0" t="n">
        <f aca="false">Q1264+S1264</f>
        <v>44.9557615943204</v>
      </c>
      <c r="V1264" s="54" t="b">
        <f aca="false">AND(D1264&gt;=01_因子設定!$L$5-0.000000001,D1264&lt;=01_因子設定!$M$5+0.000000001,E1264&gt;=01_因子設定!$L$6-0.000000001,E1264&lt;=01_因子設定!$M$6+0.000000001,F1264&gt;=01_因子設定!$L$7-0.000000001,F1264&lt;=01_因子設定!$M$7+0.000000001,IF(01_因子設定!$B$20="Box-Behnken",D1264^2+E1264^2+F1264^2&lt;=2+0.000000001,TRUE()))</f>
        <v>1</v>
      </c>
      <c r="W1264" s="55" t="n">
        <f aca="false">IF(V1264,IF(01_因子設定!$B$13="最大化",T1264-01_因子設定!$B$14,IF(01_因子設定!$B$13="最小化",01_因子設定!$B$15-U1264,MIN(T1264-01_因子設定!$B$14,01_因子設定!$B$15-U1264))),-1E+030)</f>
        <v>-5.68681273068398</v>
      </c>
      <c r="X1264" s="55" t="n">
        <f aca="false">IF(V1264,IF(01_因子設定!$B$13="最大化",Q1264,IF(01_因子設定!$B$13="最小化",-Q1264,-ABS(Q1264-01_因子設定!$B$16))),-1E+030)</f>
        <v>43.8844744318182</v>
      </c>
      <c r="Y1264" s="55" t="n">
        <f aca="false">W1264+ROW()*0.000000001</f>
        <v>-5.68681146668398</v>
      </c>
      <c r="Z1264" s="55" t="n">
        <f aca="false">X1264+ROW()*0.000000001</f>
        <v>43.8844756958182</v>
      </c>
    </row>
    <row r="1265" customFormat="false" ht="15" hidden="false" customHeight="false" outlineLevel="0" collapsed="false">
      <c r="A1265" s="0" t="n">
        <v>4</v>
      </c>
      <c r="B1265" s="0" t="n">
        <v>6</v>
      </c>
      <c r="C1265" s="0" t="n">
        <v>2</v>
      </c>
      <c r="D1265" s="0" t="n">
        <f aca="false">-1+A1265*0.125</f>
        <v>-0.5</v>
      </c>
      <c r="E1265" s="0" t="n">
        <f aca="false">-1+B1265*0.125</f>
        <v>-0.25</v>
      </c>
      <c r="F1265" s="0" t="n">
        <f aca="false">-1+C1265*0.125</f>
        <v>-0.75</v>
      </c>
      <c r="G1265" s="0" t="n">
        <f aca="false">1</f>
        <v>1</v>
      </c>
      <c r="H1265" s="0" t="n">
        <f aca="false">D1265</f>
        <v>-0.5</v>
      </c>
      <c r="I1265" s="0" t="n">
        <f aca="false">E1265</f>
        <v>-0.25</v>
      </c>
      <c r="J1265" s="0" t="n">
        <f aca="false">F1265</f>
        <v>-0.75</v>
      </c>
      <c r="K1265" s="0" t="n">
        <f aca="false">D1265*E1265</f>
        <v>0.125</v>
      </c>
      <c r="L1265" s="0" t="n">
        <f aca="false">D1265*F1265</f>
        <v>0.375</v>
      </c>
      <c r="M1265" s="0" t="n">
        <f aca="false">E1265*F1265</f>
        <v>0.1875</v>
      </c>
      <c r="N1265" s="0" t="n">
        <f aca="false">D1265*D1265</f>
        <v>0.25</v>
      </c>
      <c r="O1265" s="0" t="n">
        <f aca="false">E1265*E1265</f>
        <v>0.0625</v>
      </c>
      <c r="P1265" s="0" t="n">
        <f aca="false">F1265*F1265</f>
        <v>0.5625</v>
      </c>
      <c r="Q1265" s="0" t="n">
        <f aca="false">SUMPRODUCT(G1265:P1265,_XtX!$B$71:$K$71)</f>
        <v>44.2914204545455</v>
      </c>
      <c r="R1265" s="0" t="n">
        <f aca="false">SUMPRODUCT(MMULT(G1265:P1265,_XtX!$B$58:$K$67),G1265:P1265)</f>
        <v>0.237064985795455</v>
      </c>
      <c r="S1265" s="0" t="n">
        <f aca="false">04_回帰ANOVA!$K$19*04_回帰ANOVA!$K$14*SQRT(1+R1265)</f>
        <v>1.03410084594745</v>
      </c>
      <c r="T1265" s="0" t="n">
        <f aca="false">Q1265-S1265</f>
        <v>43.257319608598</v>
      </c>
      <c r="U1265" s="0" t="n">
        <f aca="false">Q1265+S1265</f>
        <v>45.3255213004929</v>
      </c>
      <c r="V1265" s="54" t="b">
        <f aca="false">AND(D1265&gt;=01_因子設定!$L$5-0.000000001,D1265&lt;=01_因子設定!$M$5+0.000000001,E1265&gt;=01_因子設定!$L$6-0.000000001,E1265&lt;=01_因子設定!$M$6+0.000000001,F1265&gt;=01_因子設定!$L$7-0.000000001,F1265&lt;=01_因子設定!$M$7+0.000000001,IF(01_因子設定!$B$20="Box-Behnken",D1265^2+E1265^2+F1265^2&lt;=2+0.000000001,TRUE()))</f>
        <v>1</v>
      </c>
      <c r="W1265" s="55" t="n">
        <f aca="false">IF(V1265,IF(01_因子設定!$B$13="最大化",T1265-01_因子設定!$B$14,IF(01_因子設定!$B$13="最小化",01_因子設定!$B$15-U1265,MIN(T1265-01_因子設定!$B$14,01_因子設定!$B$15-U1265))),-1E+030)</f>
        <v>-5.24268039140198</v>
      </c>
      <c r="X1265" s="55" t="n">
        <f aca="false">IF(V1265,IF(01_因子設定!$B$13="最大化",Q1265,IF(01_因子設定!$B$13="最小化",-Q1265,-ABS(Q1265-01_因子設定!$B$16))),-1E+030)</f>
        <v>44.2914204545455</v>
      </c>
      <c r="Y1265" s="55" t="n">
        <f aca="false">W1265+ROW()*0.000000001</f>
        <v>-5.24267912640198</v>
      </c>
      <c r="Z1265" s="55" t="n">
        <f aca="false">X1265+ROW()*0.000000001</f>
        <v>44.2914217195455</v>
      </c>
    </row>
    <row r="1266" customFormat="false" ht="15" hidden="false" customHeight="false" outlineLevel="0" collapsed="false">
      <c r="A1266" s="0" t="n">
        <v>4</v>
      </c>
      <c r="B1266" s="0" t="n">
        <v>6</v>
      </c>
      <c r="C1266" s="0" t="n">
        <v>3</v>
      </c>
      <c r="D1266" s="0" t="n">
        <f aca="false">-1+A1266*0.125</f>
        <v>-0.5</v>
      </c>
      <c r="E1266" s="0" t="n">
        <f aca="false">-1+B1266*0.125</f>
        <v>-0.25</v>
      </c>
      <c r="F1266" s="0" t="n">
        <f aca="false">-1+C1266*0.125</f>
        <v>-0.625</v>
      </c>
      <c r="G1266" s="0" t="n">
        <f aca="false">1</f>
        <v>1</v>
      </c>
      <c r="H1266" s="0" t="n">
        <f aca="false">D1266</f>
        <v>-0.5</v>
      </c>
      <c r="I1266" s="0" t="n">
        <f aca="false">E1266</f>
        <v>-0.25</v>
      </c>
      <c r="J1266" s="0" t="n">
        <f aca="false">F1266</f>
        <v>-0.625</v>
      </c>
      <c r="K1266" s="0" t="n">
        <f aca="false">D1266*E1266</f>
        <v>0.125</v>
      </c>
      <c r="L1266" s="0" t="n">
        <f aca="false">D1266*F1266</f>
        <v>0.3125</v>
      </c>
      <c r="M1266" s="0" t="n">
        <f aca="false">E1266*F1266</f>
        <v>0.15625</v>
      </c>
      <c r="N1266" s="0" t="n">
        <f aca="false">D1266*D1266</f>
        <v>0.25</v>
      </c>
      <c r="O1266" s="0" t="n">
        <f aca="false">E1266*E1266</f>
        <v>0.0625</v>
      </c>
      <c r="P1266" s="0" t="n">
        <f aca="false">F1266*F1266</f>
        <v>0.390625</v>
      </c>
      <c r="Q1266" s="0" t="n">
        <f aca="false">SUMPRODUCT(G1266:P1266,_XtX!$B$71:$K$71)</f>
        <v>44.6615767045455</v>
      </c>
      <c r="R1266" s="0" t="n">
        <f aca="false">SUMPRODUCT(MMULT(G1266:P1266,_XtX!$B$58:$K$67),G1266:P1266)</f>
        <v>0.183866743607955</v>
      </c>
      <c r="S1266" s="0" t="n">
        <f aca="false">04_回帰ANOVA!$K$19*04_回帰ANOVA!$K$14*SQRT(1+R1266)</f>
        <v>1.01162148983013</v>
      </c>
      <c r="T1266" s="0" t="n">
        <f aca="false">Q1266-S1266</f>
        <v>43.6499552147153</v>
      </c>
      <c r="U1266" s="0" t="n">
        <f aca="false">Q1266+S1266</f>
        <v>45.6731981943756</v>
      </c>
      <c r="V1266" s="54" t="b">
        <f aca="false">AND(D1266&gt;=01_因子設定!$L$5-0.000000001,D1266&lt;=01_因子設定!$M$5+0.000000001,E1266&gt;=01_因子設定!$L$6-0.000000001,E1266&lt;=01_因子設定!$M$6+0.000000001,F1266&gt;=01_因子設定!$L$7-0.000000001,F1266&lt;=01_因子設定!$M$7+0.000000001,IF(01_因子設定!$B$20="Box-Behnken",D1266^2+E1266^2+F1266^2&lt;=2+0.000000001,TRUE()))</f>
        <v>1</v>
      </c>
      <c r="W1266" s="55" t="n">
        <f aca="false">IF(V1266,IF(01_因子設定!$B$13="最大化",T1266-01_因子設定!$B$14,IF(01_因子設定!$B$13="最小化",01_因子設定!$B$15-U1266,MIN(T1266-01_因子設定!$B$14,01_因子設定!$B$15-U1266))),-1E+030)</f>
        <v>-4.85004478528467</v>
      </c>
      <c r="X1266" s="55" t="n">
        <f aca="false">IF(V1266,IF(01_因子設定!$B$13="最大化",Q1266,IF(01_因子設定!$B$13="最小化",-Q1266,-ABS(Q1266-01_因子設定!$B$16))),-1E+030)</f>
        <v>44.6615767045455</v>
      </c>
      <c r="Y1266" s="55" t="n">
        <f aca="false">W1266+ROW()*0.000000001</f>
        <v>-4.85004351928467</v>
      </c>
      <c r="Z1266" s="55" t="n">
        <f aca="false">X1266+ROW()*0.000000001</f>
        <v>44.6615779705455</v>
      </c>
    </row>
    <row r="1267" customFormat="false" ht="15" hidden="false" customHeight="false" outlineLevel="0" collapsed="false">
      <c r="A1267" s="0" t="n">
        <v>4</v>
      </c>
      <c r="B1267" s="0" t="n">
        <v>6</v>
      </c>
      <c r="C1267" s="0" t="n">
        <v>4</v>
      </c>
      <c r="D1267" s="0" t="n">
        <f aca="false">-1+A1267*0.125</f>
        <v>-0.5</v>
      </c>
      <c r="E1267" s="0" t="n">
        <f aca="false">-1+B1267*0.125</f>
        <v>-0.25</v>
      </c>
      <c r="F1267" s="0" t="n">
        <f aca="false">-1+C1267*0.125</f>
        <v>-0.5</v>
      </c>
      <c r="G1267" s="0" t="n">
        <f aca="false">1</f>
        <v>1</v>
      </c>
      <c r="H1267" s="0" t="n">
        <f aca="false">D1267</f>
        <v>-0.5</v>
      </c>
      <c r="I1267" s="0" t="n">
        <f aca="false">E1267</f>
        <v>-0.25</v>
      </c>
      <c r="J1267" s="0" t="n">
        <f aca="false">F1267</f>
        <v>-0.5</v>
      </c>
      <c r="K1267" s="0" t="n">
        <f aca="false">D1267*E1267</f>
        <v>0.125</v>
      </c>
      <c r="L1267" s="0" t="n">
        <f aca="false">D1267*F1267</f>
        <v>0.25</v>
      </c>
      <c r="M1267" s="0" t="n">
        <f aca="false">E1267*F1267</f>
        <v>0.125</v>
      </c>
      <c r="N1267" s="0" t="n">
        <f aca="false">D1267*D1267</f>
        <v>0.25</v>
      </c>
      <c r="O1267" s="0" t="n">
        <f aca="false">E1267*E1267</f>
        <v>0.0625</v>
      </c>
      <c r="P1267" s="0" t="n">
        <f aca="false">F1267*F1267</f>
        <v>0.25</v>
      </c>
      <c r="Q1267" s="0" t="n">
        <f aca="false">SUMPRODUCT(G1267:P1267,_XtX!$B$71:$K$71)</f>
        <v>44.9949431818182</v>
      </c>
      <c r="R1267" s="0" t="n">
        <f aca="false">SUMPRODUCT(MMULT(G1267:P1267,_XtX!$B$58:$K$67),G1267:P1267)</f>
        <v>0.156321022727273</v>
      </c>
      <c r="S1267" s="0" t="n">
        <f aca="false">04_回帰ANOVA!$K$19*04_回帰ANOVA!$K$14*SQRT(1+R1267)</f>
        <v>0.999783227753172</v>
      </c>
      <c r="T1267" s="0" t="n">
        <f aca="false">Q1267-S1267</f>
        <v>43.995159954065</v>
      </c>
      <c r="U1267" s="0" t="n">
        <f aca="false">Q1267+S1267</f>
        <v>45.9947264095714</v>
      </c>
      <c r="V1267" s="54" t="b">
        <f aca="false">AND(D1267&gt;=01_因子設定!$L$5-0.000000001,D1267&lt;=01_因子設定!$M$5+0.000000001,E1267&gt;=01_因子設定!$L$6-0.000000001,E1267&lt;=01_因子設定!$M$6+0.000000001,F1267&gt;=01_因子設定!$L$7-0.000000001,F1267&lt;=01_因子設定!$M$7+0.000000001,IF(01_因子設定!$B$20="Box-Behnken",D1267^2+E1267^2+F1267^2&lt;=2+0.000000001,TRUE()))</f>
        <v>1</v>
      </c>
      <c r="W1267" s="55" t="n">
        <f aca="false">IF(V1267,IF(01_因子設定!$B$13="最大化",T1267-01_因子設定!$B$14,IF(01_因子設定!$B$13="最小化",01_因子設定!$B$15-U1267,MIN(T1267-01_因子設定!$B$14,01_因子設定!$B$15-U1267))),-1E+030)</f>
        <v>-4.50484004593498</v>
      </c>
      <c r="X1267" s="55" t="n">
        <f aca="false">IF(V1267,IF(01_因子設定!$B$13="最大化",Q1267,IF(01_因子設定!$B$13="最小化",-Q1267,-ABS(Q1267-01_因子設定!$B$16))),-1E+030)</f>
        <v>44.9949431818182</v>
      </c>
      <c r="Y1267" s="55" t="n">
        <f aca="false">W1267+ROW()*0.000000001</f>
        <v>-4.50483877893498</v>
      </c>
      <c r="Z1267" s="55" t="n">
        <f aca="false">X1267+ROW()*0.000000001</f>
        <v>44.9949444488182</v>
      </c>
    </row>
    <row r="1268" customFormat="false" ht="15" hidden="false" customHeight="false" outlineLevel="0" collapsed="false">
      <c r="A1268" s="0" t="n">
        <v>4</v>
      </c>
      <c r="B1268" s="0" t="n">
        <v>6</v>
      </c>
      <c r="C1268" s="0" t="n">
        <v>5</v>
      </c>
      <c r="D1268" s="0" t="n">
        <f aca="false">-1+A1268*0.125</f>
        <v>-0.5</v>
      </c>
      <c r="E1268" s="0" t="n">
        <f aca="false">-1+B1268*0.125</f>
        <v>-0.25</v>
      </c>
      <c r="F1268" s="0" t="n">
        <f aca="false">-1+C1268*0.125</f>
        <v>-0.375</v>
      </c>
      <c r="G1268" s="0" t="n">
        <f aca="false">1</f>
        <v>1</v>
      </c>
      <c r="H1268" s="0" t="n">
        <f aca="false">D1268</f>
        <v>-0.5</v>
      </c>
      <c r="I1268" s="0" t="n">
        <f aca="false">E1268</f>
        <v>-0.25</v>
      </c>
      <c r="J1268" s="0" t="n">
        <f aca="false">F1268</f>
        <v>-0.375</v>
      </c>
      <c r="K1268" s="0" t="n">
        <f aca="false">D1268*E1268</f>
        <v>0.125</v>
      </c>
      <c r="L1268" s="0" t="n">
        <f aca="false">D1268*F1268</f>
        <v>0.1875</v>
      </c>
      <c r="M1268" s="0" t="n">
        <f aca="false">E1268*F1268</f>
        <v>0.09375</v>
      </c>
      <c r="N1268" s="0" t="n">
        <f aca="false">D1268*D1268</f>
        <v>0.25</v>
      </c>
      <c r="O1268" s="0" t="n">
        <f aca="false">E1268*E1268</f>
        <v>0.0625</v>
      </c>
      <c r="P1268" s="0" t="n">
        <f aca="false">F1268*F1268</f>
        <v>0.140625</v>
      </c>
      <c r="Q1268" s="0" t="n">
        <f aca="false">SUMPRODUCT(G1268:P1268,_XtX!$B$71:$K$71)</f>
        <v>45.2915198863636</v>
      </c>
      <c r="R1268" s="0" t="n">
        <f aca="false">SUMPRODUCT(MMULT(G1268:P1268,_XtX!$B$58:$K$67),G1268:P1268)</f>
        <v>0.144839754971591</v>
      </c>
      <c r="S1268" s="0" t="n">
        <f aca="false">04_回帰ANOVA!$K$19*04_回帰ANOVA!$K$14*SQRT(1+R1268)</f>
        <v>0.994807353995542</v>
      </c>
      <c r="T1268" s="0" t="n">
        <f aca="false">Q1268-S1268</f>
        <v>44.2967125323681</v>
      </c>
      <c r="U1268" s="0" t="n">
        <f aca="false">Q1268+S1268</f>
        <v>46.2863272403592</v>
      </c>
      <c r="V1268" s="54" t="b">
        <f aca="false">AND(D1268&gt;=01_因子設定!$L$5-0.000000001,D1268&lt;=01_因子設定!$M$5+0.000000001,E1268&gt;=01_因子設定!$L$6-0.000000001,E1268&lt;=01_因子設定!$M$6+0.000000001,F1268&gt;=01_因子設定!$L$7-0.000000001,F1268&lt;=01_因子設定!$M$7+0.000000001,IF(01_因子設定!$B$20="Box-Behnken",D1268^2+E1268^2+F1268^2&lt;=2+0.000000001,TRUE()))</f>
        <v>1</v>
      </c>
      <c r="W1268" s="55" t="n">
        <f aca="false">IF(V1268,IF(01_因子設定!$B$13="最大化",T1268-01_因子設定!$B$14,IF(01_因子設定!$B$13="最小化",01_因子設定!$B$15-U1268,MIN(T1268-01_因子設定!$B$14,01_因子設定!$B$15-U1268))),-1E+030)</f>
        <v>-4.2032874676319</v>
      </c>
      <c r="X1268" s="55" t="n">
        <f aca="false">IF(V1268,IF(01_因子設定!$B$13="最大化",Q1268,IF(01_因子設定!$B$13="最小化",-Q1268,-ABS(Q1268-01_因子設定!$B$16))),-1E+030)</f>
        <v>45.2915198863636</v>
      </c>
      <c r="Y1268" s="55" t="n">
        <f aca="false">W1268+ROW()*0.000000001</f>
        <v>-4.2032861996319</v>
      </c>
      <c r="Z1268" s="55" t="n">
        <f aca="false">X1268+ROW()*0.000000001</f>
        <v>45.2915211543636</v>
      </c>
    </row>
    <row r="1269" customFormat="false" ht="15" hidden="false" customHeight="false" outlineLevel="0" collapsed="false">
      <c r="A1269" s="0" t="n">
        <v>4</v>
      </c>
      <c r="B1269" s="0" t="n">
        <v>6</v>
      </c>
      <c r="C1269" s="0" t="n">
        <v>6</v>
      </c>
      <c r="D1269" s="0" t="n">
        <f aca="false">-1+A1269*0.125</f>
        <v>-0.5</v>
      </c>
      <c r="E1269" s="0" t="n">
        <f aca="false">-1+B1269*0.125</f>
        <v>-0.25</v>
      </c>
      <c r="F1269" s="0" t="n">
        <f aca="false">-1+C1269*0.125</f>
        <v>-0.25</v>
      </c>
      <c r="G1269" s="0" t="n">
        <f aca="false">1</f>
        <v>1</v>
      </c>
      <c r="H1269" s="0" t="n">
        <f aca="false">D1269</f>
        <v>-0.5</v>
      </c>
      <c r="I1269" s="0" t="n">
        <f aca="false">E1269</f>
        <v>-0.25</v>
      </c>
      <c r="J1269" s="0" t="n">
        <f aca="false">F1269</f>
        <v>-0.25</v>
      </c>
      <c r="K1269" s="0" t="n">
        <f aca="false">D1269*E1269</f>
        <v>0.125</v>
      </c>
      <c r="L1269" s="0" t="n">
        <f aca="false">D1269*F1269</f>
        <v>0.125</v>
      </c>
      <c r="M1269" s="0" t="n">
        <f aca="false">E1269*F1269</f>
        <v>0.0625</v>
      </c>
      <c r="N1269" s="0" t="n">
        <f aca="false">D1269*D1269</f>
        <v>0.25</v>
      </c>
      <c r="O1269" s="0" t="n">
        <f aca="false">E1269*E1269</f>
        <v>0.0625</v>
      </c>
      <c r="P1269" s="0" t="n">
        <f aca="false">F1269*F1269</f>
        <v>0.0625</v>
      </c>
      <c r="Q1269" s="0" t="n">
        <f aca="false">SUMPRODUCT(G1269:P1269,_XtX!$B$71:$K$71)</f>
        <v>45.5513068181818</v>
      </c>
      <c r="R1269" s="0" t="n">
        <f aca="false">SUMPRODUCT(MMULT(G1269:P1269,_XtX!$B$58:$K$67),G1269:P1269)</f>
        <v>0.141965553977273</v>
      </c>
      <c r="S1269" s="0" t="n">
        <f aca="false">04_回帰ANOVA!$K$19*04_回帰ANOVA!$K$14*SQRT(1+R1269)</f>
        <v>0.993557802198625</v>
      </c>
      <c r="T1269" s="0" t="n">
        <f aca="false">Q1269-S1269</f>
        <v>44.5577490159832</v>
      </c>
      <c r="U1269" s="0" t="n">
        <f aca="false">Q1269+S1269</f>
        <v>46.5448646203804</v>
      </c>
      <c r="V1269" s="54" t="b">
        <f aca="false">AND(D1269&gt;=01_因子設定!$L$5-0.000000001,D1269&lt;=01_因子設定!$M$5+0.000000001,E1269&gt;=01_因子設定!$L$6-0.000000001,E1269&lt;=01_因子設定!$M$6+0.000000001,F1269&gt;=01_因子設定!$L$7-0.000000001,F1269&lt;=01_因子設定!$M$7+0.000000001,IF(01_因子設定!$B$20="Box-Behnken",D1269^2+E1269^2+F1269^2&lt;=2+0.000000001,TRUE()))</f>
        <v>1</v>
      </c>
      <c r="W1269" s="55" t="n">
        <f aca="false">IF(V1269,IF(01_因子設定!$B$13="最大化",T1269-01_因子設定!$B$14,IF(01_因子設定!$B$13="最小化",01_因子設定!$B$15-U1269,MIN(T1269-01_因子設定!$B$14,01_因子設定!$B$15-U1269))),-1E+030)</f>
        <v>-3.9422509840168</v>
      </c>
      <c r="X1269" s="55" t="n">
        <f aca="false">IF(V1269,IF(01_因子設定!$B$13="最大化",Q1269,IF(01_因子設定!$B$13="最小化",-Q1269,-ABS(Q1269-01_因子設定!$B$16))),-1E+030)</f>
        <v>45.5513068181818</v>
      </c>
      <c r="Y1269" s="55" t="n">
        <f aca="false">W1269+ROW()*0.000000001</f>
        <v>-3.9422497150168</v>
      </c>
      <c r="Z1269" s="55" t="n">
        <f aca="false">X1269+ROW()*0.000000001</f>
        <v>45.5513080871818</v>
      </c>
    </row>
    <row r="1270" customFormat="false" ht="15" hidden="false" customHeight="false" outlineLevel="0" collapsed="false">
      <c r="A1270" s="0" t="n">
        <v>4</v>
      </c>
      <c r="B1270" s="0" t="n">
        <v>6</v>
      </c>
      <c r="C1270" s="0" t="n">
        <v>7</v>
      </c>
      <c r="D1270" s="0" t="n">
        <f aca="false">-1+A1270*0.125</f>
        <v>-0.5</v>
      </c>
      <c r="E1270" s="0" t="n">
        <f aca="false">-1+B1270*0.125</f>
        <v>-0.25</v>
      </c>
      <c r="F1270" s="0" t="n">
        <f aca="false">-1+C1270*0.125</f>
        <v>-0.125</v>
      </c>
      <c r="G1270" s="0" t="n">
        <f aca="false">1</f>
        <v>1</v>
      </c>
      <c r="H1270" s="0" t="n">
        <f aca="false">D1270</f>
        <v>-0.5</v>
      </c>
      <c r="I1270" s="0" t="n">
        <f aca="false">E1270</f>
        <v>-0.25</v>
      </c>
      <c r="J1270" s="0" t="n">
        <f aca="false">F1270</f>
        <v>-0.125</v>
      </c>
      <c r="K1270" s="0" t="n">
        <f aca="false">D1270*E1270</f>
        <v>0.125</v>
      </c>
      <c r="L1270" s="0" t="n">
        <f aca="false">D1270*F1270</f>
        <v>0.0625</v>
      </c>
      <c r="M1270" s="0" t="n">
        <f aca="false">E1270*F1270</f>
        <v>0.03125</v>
      </c>
      <c r="N1270" s="0" t="n">
        <f aca="false">D1270*D1270</f>
        <v>0.25</v>
      </c>
      <c r="O1270" s="0" t="n">
        <f aca="false">E1270*E1270</f>
        <v>0.0625</v>
      </c>
      <c r="P1270" s="0" t="n">
        <f aca="false">F1270*F1270</f>
        <v>0.015625</v>
      </c>
      <c r="Q1270" s="0" t="n">
        <f aca="false">SUMPRODUCT(G1270:P1270,_XtX!$B$71:$K$71)</f>
        <v>45.7743039772727</v>
      </c>
      <c r="R1270" s="0" t="n">
        <f aca="false">SUMPRODUCT(MMULT(G1270:P1270,_XtX!$B$58:$K$67),G1270:P1270)</f>
        <v>0.142371715198864</v>
      </c>
      <c r="S1270" s="0" t="n">
        <f aca="false">04_回帰ANOVA!$K$19*04_回帰ANOVA!$K$14*SQRT(1+R1270)</f>
        <v>0.99373447511735</v>
      </c>
      <c r="T1270" s="0" t="n">
        <f aca="false">Q1270-S1270</f>
        <v>44.7805695021554</v>
      </c>
      <c r="U1270" s="0" t="n">
        <f aca="false">Q1270+S1270</f>
        <v>46.7680384523901</v>
      </c>
      <c r="V1270" s="54" t="b">
        <f aca="false">AND(D1270&gt;=01_因子設定!$L$5-0.000000001,D1270&lt;=01_因子設定!$M$5+0.000000001,E1270&gt;=01_因子設定!$L$6-0.000000001,E1270&lt;=01_因子設定!$M$6+0.000000001,F1270&gt;=01_因子設定!$L$7-0.000000001,F1270&lt;=01_因子設定!$M$7+0.000000001,IF(01_因子設定!$B$20="Box-Behnken",D1270^2+E1270^2+F1270^2&lt;=2+0.000000001,TRUE()))</f>
        <v>1</v>
      </c>
      <c r="W1270" s="55" t="n">
        <f aca="false">IF(V1270,IF(01_因子設定!$B$13="最大化",T1270-01_因子設定!$B$14,IF(01_因子設定!$B$13="最小化",01_因子設定!$B$15-U1270,MIN(T1270-01_因子設定!$B$14,01_因子設定!$B$15-U1270))),-1E+030)</f>
        <v>-3.71943049784462</v>
      </c>
      <c r="X1270" s="55" t="n">
        <f aca="false">IF(V1270,IF(01_因子設定!$B$13="最大化",Q1270,IF(01_因子設定!$B$13="最小化",-Q1270,-ABS(Q1270-01_因子設定!$B$16))),-1E+030)</f>
        <v>45.7743039772727</v>
      </c>
      <c r="Y1270" s="55" t="n">
        <f aca="false">W1270+ROW()*0.000000001</f>
        <v>-3.71942922784462</v>
      </c>
      <c r="Z1270" s="55" t="n">
        <f aca="false">X1270+ROW()*0.000000001</f>
        <v>45.7743052472727</v>
      </c>
    </row>
    <row r="1271" customFormat="false" ht="15" hidden="false" customHeight="false" outlineLevel="0" collapsed="false">
      <c r="A1271" s="0" t="n">
        <v>4</v>
      </c>
      <c r="B1271" s="0" t="n">
        <v>6</v>
      </c>
      <c r="C1271" s="0" t="n">
        <v>8</v>
      </c>
      <c r="D1271" s="0" t="n">
        <f aca="false">-1+A1271*0.125</f>
        <v>-0.5</v>
      </c>
      <c r="E1271" s="0" t="n">
        <f aca="false">-1+B1271*0.125</f>
        <v>-0.25</v>
      </c>
      <c r="F1271" s="0" t="n">
        <f aca="false">-1+C1271*0.125</f>
        <v>0</v>
      </c>
      <c r="G1271" s="0" t="n">
        <f aca="false">1</f>
        <v>1</v>
      </c>
      <c r="H1271" s="0" t="n">
        <f aca="false">D1271</f>
        <v>-0.5</v>
      </c>
      <c r="I1271" s="0" t="n">
        <f aca="false">E1271</f>
        <v>-0.25</v>
      </c>
      <c r="J1271" s="0" t="n">
        <f aca="false">F1271</f>
        <v>0</v>
      </c>
      <c r="K1271" s="0" t="n">
        <f aca="false">D1271*E1271</f>
        <v>0.125</v>
      </c>
      <c r="L1271" s="0" t="n">
        <f aca="false">D1271*F1271</f>
        <v>-0</v>
      </c>
      <c r="M1271" s="0" t="n">
        <f aca="false">E1271*F1271</f>
        <v>-0</v>
      </c>
      <c r="N1271" s="0" t="n">
        <f aca="false">D1271*D1271</f>
        <v>0.25</v>
      </c>
      <c r="O1271" s="0" t="n">
        <f aca="false">E1271*E1271</f>
        <v>0.0625</v>
      </c>
      <c r="P1271" s="0" t="n">
        <f aca="false">F1271*F1271</f>
        <v>0</v>
      </c>
      <c r="Q1271" s="0" t="n">
        <f aca="false">SUMPRODUCT(G1271:P1271,_XtX!$B$71:$K$71)</f>
        <v>45.9605113636364</v>
      </c>
      <c r="R1271" s="0" t="n">
        <f aca="false">SUMPRODUCT(MMULT(G1271:P1271,_XtX!$B$58:$K$67),G1271:P1271)</f>
        <v>0.142862215909091</v>
      </c>
      <c r="S1271" s="0" t="n">
        <f aca="false">04_回帰ANOVA!$K$19*04_回帰ANOVA!$K$14*SQRT(1+R1271)</f>
        <v>0.993947792354123</v>
      </c>
      <c r="T1271" s="0" t="n">
        <f aca="false">Q1271-S1271</f>
        <v>44.9665635712822</v>
      </c>
      <c r="U1271" s="0" t="n">
        <f aca="false">Q1271+S1271</f>
        <v>46.9544591559905</v>
      </c>
      <c r="V1271" s="54" t="b">
        <f aca="false">AND(D1271&gt;=01_因子設定!$L$5-0.000000001,D1271&lt;=01_因子設定!$M$5+0.000000001,E1271&gt;=01_因子設定!$L$6-0.000000001,E1271&lt;=01_因子設定!$M$6+0.000000001,F1271&gt;=01_因子設定!$L$7-0.000000001,F1271&lt;=01_因子設定!$M$7+0.000000001,IF(01_因子設定!$B$20="Box-Behnken",D1271^2+E1271^2+F1271^2&lt;=2+0.000000001,TRUE()))</f>
        <v>1</v>
      </c>
      <c r="W1271" s="55" t="n">
        <f aca="false">IF(V1271,IF(01_因子設定!$B$13="最大化",T1271-01_因子設定!$B$14,IF(01_因子設定!$B$13="最小化",01_因子設定!$B$15-U1271,MIN(T1271-01_因子設定!$B$14,01_因子設定!$B$15-U1271))),-1E+030)</f>
        <v>-3.53343642871776</v>
      </c>
      <c r="X1271" s="55" t="n">
        <f aca="false">IF(V1271,IF(01_因子設定!$B$13="最大化",Q1271,IF(01_因子設定!$B$13="最小化",-Q1271,-ABS(Q1271-01_因子設定!$B$16))),-1E+030)</f>
        <v>45.9605113636364</v>
      </c>
      <c r="Y1271" s="55" t="n">
        <f aca="false">W1271+ROW()*0.000000001</f>
        <v>-3.53343515771776</v>
      </c>
      <c r="Z1271" s="55" t="n">
        <f aca="false">X1271+ROW()*0.000000001</f>
        <v>45.9605126346364</v>
      </c>
    </row>
    <row r="1272" customFormat="false" ht="15" hidden="false" customHeight="false" outlineLevel="0" collapsed="false">
      <c r="A1272" s="0" t="n">
        <v>4</v>
      </c>
      <c r="B1272" s="0" t="n">
        <v>6</v>
      </c>
      <c r="C1272" s="0" t="n">
        <v>9</v>
      </c>
      <c r="D1272" s="0" t="n">
        <f aca="false">-1+A1272*0.125</f>
        <v>-0.5</v>
      </c>
      <c r="E1272" s="0" t="n">
        <f aca="false">-1+B1272*0.125</f>
        <v>-0.25</v>
      </c>
      <c r="F1272" s="0" t="n">
        <f aca="false">-1+C1272*0.125</f>
        <v>0.125</v>
      </c>
      <c r="G1272" s="0" t="n">
        <f aca="false">1</f>
        <v>1</v>
      </c>
      <c r="H1272" s="0" t="n">
        <f aca="false">D1272</f>
        <v>-0.5</v>
      </c>
      <c r="I1272" s="0" t="n">
        <f aca="false">E1272</f>
        <v>-0.25</v>
      </c>
      <c r="J1272" s="0" t="n">
        <f aca="false">F1272</f>
        <v>0.125</v>
      </c>
      <c r="K1272" s="0" t="n">
        <f aca="false">D1272*E1272</f>
        <v>0.125</v>
      </c>
      <c r="L1272" s="0" t="n">
        <f aca="false">D1272*F1272</f>
        <v>-0.0625</v>
      </c>
      <c r="M1272" s="0" t="n">
        <f aca="false">E1272*F1272</f>
        <v>-0.03125</v>
      </c>
      <c r="N1272" s="0" t="n">
        <f aca="false">D1272*D1272</f>
        <v>0.25</v>
      </c>
      <c r="O1272" s="0" t="n">
        <f aca="false">E1272*E1272</f>
        <v>0.0625</v>
      </c>
      <c r="P1272" s="0" t="n">
        <f aca="false">F1272*F1272</f>
        <v>0.015625</v>
      </c>
      <c r="Q1272" s="0" t="n">
        <f aca="false">SUMPRODUCT(G1272:P1272,_XtX!$B$71:$K$71)</f>
        <v>46.1099289772727</v>
      </c>
      <c r="R1272" s="0" t="n">
        <f aca="false">SUMPRODUCT(MMULT(G1272:P1272,_XtX!$B$58:$K$67),G1272:P1272)</f>
        <v>0.142371715198864</v>
      </c>
      <c r="S1272" s="0" t="n">
        <f aca="false">04_回帰ANOVA!$K$19*04_回帰ANOVA!$K$14*SQRT(1+R1272)</f>
        <v>0.99373447511735</v>
      </c>
      <c r="T1272" s="0" t="n">
        <f aca="false">Q1272-S1272</f>
        <v>45.1161945021554</v>
      </c>
      <c r="U1272" s="0" t="n">
        <f aca="false">Q1272+S1272</f>
        <v>47.1036634523901</v>
      </c>
      <c r="V1272" s="54" t="b">
        <f aca="false">AND(D1272&gt;=01_因子設定!$L$5-0.000000001,D1272&lt;=01_因子設定!$M$5+0.000000001,E1272&gt;=01_因子設定!$L$6-0.000000001,E1272&lt;=01_因子設定!$M$6+0.000000001,F1272&gt;=01_因子設定!$L$7-0.000000001,F1272&lt;=01_因子設定!$M$7+0.000000001,IF(01_因子設定!$B$20="Box-Behnken",D1272^2+E1272^2+F1272^2&lt;=2+0.000000001,TRUE()))</f>
        <v>1</v>
      </c>
      <c r="W1272" s="55" t="n">
        <f aca="false">IF(V1272,IF(01_因子設定!$B$13="最大化",T1272-01_因子設定!$B$14,IF(01_因子設定!$B$13="最小化",01_因子設定!$B$15-U1272,MIN(T1272-01_因子設定!$B$14,01_因子設定!$B$15-U1272))),-1E+030)</f>
        <v>-3.38380549784462</v>
      </c>
      <c r="X1272" s="55" t="n">
        <f aca="false">IF(V1272,IF(01_因子設定!$B$13="最大化",Q1272,IF(01_因子設定!$B$13="最小化",-Q1272,-ABS(Q1272-01_因子設定!$B$16))),-1E+030)</f>
        <v>46.1099289772727</v>
      </c>
      <c r="Y1272" s="55" t="n">
        <f aca="false">W1272+ROW()*0.000000001</f>
        <v>-3.38380422584462</v>
      </c>
      <c r="Z1272" s="55" t="n">
        <f aca="false">X1272+ROW()*0.000000001</f>
        <v>46.1099302492727</v>
      </c>
    </row>
    <row r="1273" customFormat="false" ht="15" hidden="false" customHeight="false" outlineLevel="0" collapsed="false">
      <c r="A1273" s="0" t="n">
        <v>4</v>
      </c>
      <c r="B1273" s="0" t="n">
        <v>6</v>
      </c>
      <c r="C1273" s="0" t="n">
        <v>10</v>
      </c>
      <c r="D1273" s="0" t="n">
        <f aca="false">-1+A1273*0.125</f>
        <v>-0.5</v>
      </c>
      <c r="E1273" s="0" t="n">
        <f aca="false">-1+B1273*0.125</f>
        <v>-0.25</v>
      </c>
      <c r="F1273" s="0" t="n">
        <f aca="false">-1+C1273*0.125</f>
        <v>0.25</v>
      </c>
      <c r="G1273" s="0" t="n">
        <f aca="false">1</f>
        <v>1</v>
      </c>
      <c r="H1273" s="0" t="n">
        <f aca="false">D1273</f>
        <v>-0.5</v>
      </c>
      <c r="I1273" s="0" t="n">
        <f aca="false">E1273</f>
        <v>-0.25</v>
      </c>
      <c r="J1273" s="0" t="n">
        <f aca="false">F1273</f>
        <v>0.25</v>
      </c>
      <c r="K1273" s="0" t="n">
        <f aca="false">D1273*E1273</f>
        <v>0.125</v>
      </c>
      <c r="L1273" s="0" t="n">
        <f aca="false">D1273*F1273</f>
        <v>-0.125</v>
      </c>
      <c r="M1273" s="0" t="n">
        <f aca="false">E1273*F1273</f>
        <v>-0.0625</v>
      </c>
      <c r="N1273" s="0" t="n">
        <f aca="false">D1273*D1273</f>
        <v>0.25</v>
      </c>
      <c r="O1273" s="0" t="n">
        <f aca="false">E1273*E1273</f>
        <v>0.0625</v>
      </c>
      <c r="P1273" s="0" t="n">
        <f aca="false">F1273*F1273</f>
        <v>0.0625</v>
      </c>
      <c r="Q1273" s="0" t="n">
        <f aca="false">SUMPRODUCT(G1273:P1273,_XtX!$B$71:$K$71)</f>
        <v>46.2225568181818</v>
      </c>
      <c r="R1273" s="0" t="n">
        <f aca="false">SUMPRODUCT(MMULT(G1273:P1273,_XtX!$B$58:$K$67),G1273:P1273)</f>
        <v>0.141965553977273</v>
      </c>
      <c r="S1273" s="0" t="n">
        <f aca="false">04_回帰ANOVA!$K$19*04_回帰ANOVA!$K$14*SQRT(1+R1273)</f>
        <v>0.993557802198625</v>
      </c>
      <c r="T1273" s="0" t="n">
        <f aca="false">Q1273-S1273</f>
        <v>45.2289990159832</v>
      </c>
      <c r="U1273" s="0" t="n">
        <f aca="false">Q1273+S1273</f>
        <v>47.2161146203804</v>
      </c>
      <c r="V1273" s="54" t="b">
        <f aca="false">AND(D1273&gt;=01_因子設定!$L$5-0.000000001,D1273&lt;=01_因子設定!$M$5+0.000000001,E1273&gt;=01_因子設定!$L$6-0.000000001,E1273&lt;=01_因子設定!$M$6+0.000000001,F1273&gt;=01_因子設定!$L$7-0.000000001,F1273&lt;=01_因子設定!$M$7+0.000000001,IF(01_因子設定!$B$20="Box-Behnken",D1273^2+E1273^2+F1273^2&lt;=2+0.000000001,TRUE()))</f>
        <v>1</v>
      </c>
      <c r="W1273" s="55" t="n">
        <f aca="false">IF(V1273,IF(01_因子設定!$B$13="最大化",T1273-01_因子設定!$B$14,IF(01_因子設定!$B$13="最小化",01_因子設定!$B$15-U1273,MIN(T1273-01_因子設定!$B$14,01_因子設定!$B$15-U1273))),-1E+030)</f>
        <v>-3.2710009840168</v>
      </c>
      <c r="X1273" s="55" t="n">
        <f aca="false">IF(V1273,IF(01_因子設定!$B$13="最大化",Q1273,IF(01_因子設定!$B$13="最小化",-Q1273,-ABS(Q1273-01_因子設定!$B$16))),-1E+030)</f>
        <v>46.2225568181818</v>
      </c>
      <c r="Y1273" s="55" t="n">
        <f aca="false">W1273+ROW()*0.000000001</f>
        <v>-3.2709997110168</v>
      </c>
      <c r="Z1273" s="55" t="n">
        <f aca="false">X1273+ROW()*0.000000001</f>
        <v>46.2225580911818</v>
      </c>
    </row>
    <row r="1274" customFormat="false" ht="15" hidden="false" customHeight="false" outlineLevel="0" collapsed="false">
      <c r="A1274" s="0" t="n">
        <v>4</v>
      </c>
      <c r="B1274" s="0" t="n">
        <v>6</v>
      </c>
      <c r="C1274" s="0" t="n">
        <v>11</v>
      </c>
      <c r="D1274" s="0" t="n">
        <f aca="false">-1+A1274*0.125</f>
        <v>-0.5</v>
      </c>
      <c r="E1274" s="0" t="n">
        <f aca="false">-1+B1274*0.125</f>
        <v>-0.25</v>
      </c>
      <c r="F1274" s="0" t="n">
        <f aca="false">-1+C1274*0.125</f>
        <v>0.375</v>
      </c>
      <c r="G1274" s="0" t="n">
        <f aca="false">1</f>
        <v>1</v>
      </c>
      <c r="H1274" s="0" t="n">
        <f aca="false">D1274</f>
        <v>-0.5</v>
      </c>
      <c r="I1274" s="0" t="n">
        <f aca="false">E1274</f>
        <v>-0.25</v>
      </c>
      <c r="J1274" s="0" t="n">
        <f aca="false">F1274</f>
        <v>0.375</v>
      </c>
      <c r="K1274" s="0" t="n">
        <f aca="false">D1274*E1274</f>
        <v>0.125</v>
      </c>
      <c r="L1274" s="0" t="n">
        <f aca="false">D1274*F1274</f>
        <v>-0.1875</v>
      </c>
      <c r="M1274" s="0" t="n">
        <f aca="false">E1274*F1274</f>
        <v>-0.09375</v>
      </c>
      <c r="N1274" s="0" t="n">
        <f aca="false">D1274*D1274</f>
        <v>0.25</v>
      </c>
      <c r="O1274" s="0" t="n">
        <f aca="false">E1274*E1274</f>
        <v>0.0625</v>
      </c>
      <c r="P1274" s="0" t="n">
        <f aca="false">F1274*F1274</f>
        <v>0.140625</v>
      </c>
      <c r="Q1274" s="0" t="n">
        <f aca="false">SUMPRODUCT(G1274:P1274,_XtX!$B$71:$K$71)</f>
        <v>46.2983948863636</v>
      </c>
      <c r="R1274" s="0" t="n">
        <f aca="false">SUMPRODUCT(MMULT(G1274:P1274,_XtX!$B$58:$K$67),G1274:P1274)</f>
        <v>0.144839754971591</v>
      </c>
      <c r="S1274" s="0" t="n">
        <f aca="false">04_回帰ANOVA!$K$19*04_回帰ANOVA!$K$14*SQRT(1+R1274)</f>
        <v>0.994807353995542</v>
      </c>
      <c r="T1274" s="0" t="n">
        <f aca="false">Q1274-S1274</f>
        <v>45.3035875323681</v>
      </c>
      <c r="U1274" s="0" t="n">
        <f aca="false">Q1274+S1274</f>
        <v>47.2932022403592</v>
      </c>
      <c r="V1274" s="54" t="b">
        <f aca="false">AND(D1274&gt;=01_因子設定!$L$5-0.000000001,D1274&lt;=01_因子設定!$M$5+0.000000001,E1274&gt;=01_因子設定!$L$6-0.000000001,E1274&lt;=01_因子設定!$M$6+0.000000001,F1274&gt;=01_因子設定!$L$7-0.000000001,F1274&lt;=01_因子設定!$M$7+0.000000001,IF(01_因子設定!$B$20="Box-Behnken",D1274^2+E1274^2+F1274^2&lt;=2+0.000000001,TRUE()))</f>
        <v>1</v>
      </c>
      <c r="W1274" s="55" t="n">
        <f aca="false">IF(V1274,IF(01_因子設定!$B$13="最大化",T1274-01_因子設定!$B$14,IF(01_因子設定!$B$13="最小化",01_因子設定!$B$15-U1274,MIN(T1274-01_因子設定!$B$14,01_因子設定!$B$15-U1274))),-1E+030)</f>
        <v>-3.19641246763189</v>
      </c>
      <c r="X1274" s="55" t="n">
        <f aca="false">IF(V1274,IF(01_因子設定!$B$13="最大化",Q1274,IF(01_因子設定!$B$13="最小化",-Q1274,-ABS(Q1274-01_因子設定!$B$16))),-1E+030)</f>
        <v>46.2983948863636</v>
      </c>
      <c r="Y1274" s="55" t="n">
        <f aca="false">W1274+ROW()*0.000000001</f>
        <v>-3.19641119363189</v>
      </c>
      <c r="Z1274" s="55" t="n">
        <f aca="false">X1274+ROW()*0.000000001</f>
        <v>46.2983961603636</v>
      </c>
    </row>
    <row r="1275" customFormat="false" ht="15" hidden="false" customHeight="false" outlineLevel="0" collapsed="false">
      <c r="A1275" s="0" t="n">
        <v>4</v>
      </c>
      <c r="B1275" s="0" t="n">
        <v>6</v>
      </c>
      <c r="C1275" s="0" t="n">
        <v>12</v>
      </c>
      <c r="D1275" s="0" t="n">
        <f aca="false">-1+A1275*0.125</f>
        <v>-0.5</v>
      </c>
      <c r="E1275" s="0" t="n">
        <f aca="false">-1+B1275*0.125</f>
        <v>-0.25</v>
      </c>
      <c r="F1275" s="0" t="n">
        <f aca="false">-1+C1275*0.125</f>
        <v>0.5</v>
      </c>
      <c r="G1275" s="0" t="n">
        <f aca="false">1</f>
        <v>1</v>
      </c>
      <c r="H1275" s="0" t="n">
        <f aca="false">D1275</f>
        <v>-0.5</v>
      </c>
      <c r="I1275" s="0" t="n">
        <f aca="false">E1275</f>
        <v>-0.25</v>
      </c>
      <c r="J1275" s="0" t="n">
        <f aca="false">F1275</f>
        <v>0.5</v>
      </c>
      <c r="K1275" s="0" t="n">
        <f aca="false">D1275*E1275</f>
        <v>0.125</v>
      </c>
      <c r="L1275" s="0" t="n">
        <f aca="false">D1275*F1275</f>
        <v>-0.25</v>
      </c>
      <c r="M1275" s="0" t="n">
        <f aca="false">E1275*F1275</f>
        <v>-0.125</v>
      </c>
      <c r="N1275" s="0" t="n">
        <f aca="false">D1275*D1275</f>
        <v>0.25</v>
      </c>
      <c r="O1275" s="0" t="n">
        <f aca="false">E1275*E1275</f>
        <v>0.0625</v>
      </c>
      <c r="P1275" s="0" t="n">
        <f aca="false">F1275*F1275</f>
        <v>0.25</v>
      </c>
      <c r="Q1275" s="0" t="n">
        <f aca="false">SUMPRODUCT(G1275:P1275,_XtX!$B$71:$K$71)</f>
        <v>46.3374431818182</v>
      </c>
      <c r="R1275" s="0" t="n">
        <f aca="false">SUMPRODUCT(MMULT(G1275:P1275,_XtX!$B$58:$K$67),G1275:P1275)</f>
        <v>0.156321022727273</v>
      </c>
      <c r="S1275" s="0" t="n">
        <f aca="false">04_回帰ANOVA!$K$19*04_回帰ANOVA!$K$14*SQRT(1+R1275)</f>
        <v>0.999783227753172</v>
      </c>
      <c r="T1275" s="0" t="n">
        <f aca="false">Q1275-S1275</f>
        <v>45.337659954065</v>
      </c>
      <c r="U1275" s="0" t="n">
        <f aca="false">Q1275+S1275</f>
        <v>47.3372264095714</v>
      </c>
      <c r="V1275" s="54" t="b">
        <f aca="false">AND(D1275&gt;=01_因子設定!$L$5-0.000000001,D1275&lt;=01_因子設定!$M$5+0.000000001,E1275&gt;=01_因子設定!$L$6-0.000000001,E1275&lt;=01_因子設定!$M$6+0.000000001,F1275&gt;=01_因子設定!$L$7-0.000000001,F1275&lt;=01_因子設定!$M$7+0.000000001,IF(01_因子設定!$B$20="Box-Behnken",D1275^2+E1275^2+F1275^2&lt;=2+0.000000001,TRUE()))</f>
        <v>1</v>
      </c>
      <c r="W1275" s="55" t="n">
        <f aca="false">IF(V1275,IF(01_因子設定!$B$13="最大化",T1275-01_因子設定!$B$14,IF(01_因子設定!$B$13="最小化",01_因子設定!$B$15-U1275,MIN(T1275-01_因子設定!$B$14,01_因子設定!$B$15-U1275))),-1E+030)</f>
        <v>-3.16234004593498</v>
      </c>
      <c r="X1275" s="55" t="n">
        <f aca="false">IF(V1275,IF(01_因子設定!$B$13="最大化",Q1275,IF(01_因子設定!$B$13="最小化",-Q1275,-ABS(Q1275-01_因子設定!$B$16))),-1E+030)</f>
        <v>46.3374431818182</v>
      </c>
      <c r="Y1275" s="55" t="n">
        <f aca="false">W1275+ROW()*0.000000001</f>
        <v>-3.16233877093498</v>
      </c>
      <c r="Z1275" s="55" t="n">
        <f aca="false">X1275+ROW()*0.000000001</f>
        <v>46.3374444568182</v>
      </c>
    </row>
    <row r="1276" customFormat="false" ht="15" hidden="false" customHeight="false" outlineLevel="0" collapsed="false">
      <c r="A1276" s="0" t="n">
        <v>4</v>
      </c>
      <c r="B1276" s="0" t="n">
        <v>6</v>
      </c>
      <c r="C1276" s="0" t="n">
        <v>13</v>
      </c>
      <c r="D1276" s="0" t="n">
        <f aca="false">-1+A1276*0.125</f>
        <v>-0.5</v>
      </c>
      <c r="E1276" s="0" t="n">
        <f aca="false">-1+B1276*0.125</f>
        <v>-0.25</v>
      </c>
      <c r="F1276" s="0" t="n">
        <f aca="false">-1+C1276*0.125</f>
        <v>0.625</v>
      </c>
      <c r="G1276" s="0" t="n">
        <f aca="false">1</f>
        <v>1</v>
      </c>
      <c r="H1276" s="0" t="n">
        <f aca="false">D1276</f>
        <v>-0.5</v>
      </c>
      <c r="I1276" s="0" t="n">
        <f aca="false">E1276</f>
        <v>-0.25</v>
      </c>
      <c r="J1276" s="0" t="n">
        <f aca="false">F1276</f>
        <v>0.625</v>
      </c>
      <c r="K1276" s="0" t="n">
        <f aca="false">D1276*E1276</f>
        <v>0.125</v>
      </c>
      <c r="L1276" s="0" t="n">
        <f aca="false">D1276*F1276</f>
        <v>-0.3125</v>
      </c>
      <c r="M1276" s="0" t="n">
        <f aca="false">E1276*F1276</f>
        <v>-0.15625</v>
      </c>
      <c r="N1276" s="0" t="n">
        <f aca="false">D1276*D1276</f>
        <v>0.25</v>
      </c>
      <c r="O1276" s="0" t="n">
        <f aca="false">E1276*E1276</f>
        <v>0.0625</v>
      </c>
      <c r="P1276" s="0" t="n">
        <f aca="false">F1276*F1276</f>
        <v>0.390625</v>
      </c>
      <c r="Q1276" s="0" t="n">
        <f aca="false">SUMPRODUCT(G1276:P1276,_XtX!$B$71:$K$71)</f>
        <v>46.3397017045455</v>
      </c>
      <c r="R1276" s="0" t="n">
        <f aca="false">SUMPRODUCT(MMULT(G1276:P1276,_XtX!$B$58:$K$67),G1276:P1276)</f>
        <v>0.183866743607955</v>
      </c>
      <c r="S1276" s="0" t="n">
        <f aca="false">04_回帰ANOVA!$K$19*04_回帰ANOVA!$K$14*SQRT(1+R1276)</f>
        <v>1.01162148983013</v>
      </c>
      <c r="T1276" s="0" t="n">
        <f aca="false">Q1276-S1276</f>
        <v>45.3280802147153</v>
      </c>
      <c r="U1276" s="0" t="n">
        <f aca="false">Q1276+S1276</f>
        <v>47.3513231943756</v>
      </c>
      <c r="V1276" s="54" t="b">
        <f aca="false">AND(D1276&gt;=01_因子設定!$L$5-0.000000001,D1276&lt;=01_因子設定!$M$5+0.000000001,E1276&gt;=01_因子設定!$L$6-0.000000001,E1276&lt;=01_因子設定!$M$6+0.000000001,F1276&gt;=01_因子設定!$L$7-0.000000001,F1276&lt;=01_因子設定!$M$7+0.000000001,IF(01_因子設定!$B$20="Box-Behnken",D1276^2+E1276^2+F1276^2&lt;=2+0.000000001,TRUE()))</f>
        <v>1</v>
      </c>
      <c r="W1276" s="55" t="n">
        <f aca="false">IF(V1276,IF(01_因子設定!$B$13="最大化",T1276-01_因子設定!$B$14,IF(01_因子設定!$B$13="最小化",01_因子設定!$B$15-U1276,MIN(T1276-01_因子設定!$B$14,01_因子設定!$B$15-U1276))),-1E+030)</f>
        <v>-3.17191978528467</v>
      </c>
      <c r="X1276" s="55" t="n">
        <f aca="false">IF(V1276,IF(01_因子設定!$B$13="最大化",Q1276,IF(01_因子設定!$B$13="最小化",-Q1276,-ABS(Q1276-01_因子設定!$B$16))),-1E+030)</f>
        <v>46.3397017045455</v>
      </c>
      <c r="Y1276" s="55" t="n">
        <f aca="false">W1276+ROW()*0.000000001</f>
        <v>-3.17191850928467</v>
      </c>
      <c r="Z1276" s="55" t="n">
        <f aca="false">X1276+ROW()*0.000000001</f>
        <v>46.3397029805455</v>
      </c>
    </row>
    <row r="1277" customFormat="false" ht="15" hidden="false" customHeight="false" outlineLevel="0" collapsed="false">
      <c r="A1277" s="0" t="n">
        <v>4</v>
      </c>
      <c r="B1277" s="0" t="n">
        <v>6</v>
      </c>
      <c r="C1277" s="0" t="n">
        <v>14</v>
      </c>
      <c r="D1277" s="0" t="n">
        <f aca="false">-1+A1277*0.125</f>
        <v>-0.5</v>
      </c>
      <c r="E1277" s="0" t="n">
        <f aca="false">-1+B1277*0.125</f>
        <v>-0.25</v>
      </c>
      <c r="F1277" s="0" t="n">
        <f aca="false">-1+C1277*0.125</f>
        <v>0.75</v>
      </c>
      <c r="G1277" s="0" t="n">
        <f aca="false">1</f>
        <v>1</v>
      </c>
      <c r="H1277" s="0" t="n">
        <f aca="false">D1277</f>
        <v>-0.5</v>
      </c>
      <c r="I1277" s="0" t="n">
        <f aca="false">E1277</f>
        <v>-0.25</v>
      </c>
      <c r="J1277" s="0" t="n">
        <f aca="false">F1277</f>
        <v>0.75</v>
      </c>
      <c r="K1277" s="0" t="n">
        <f aca="false">D1277*E1277</f>
        <v>0.125</v>
      </c>
      <c r="L1277" s="0" t="n">
        <f aca="false">D1277*F1277</f>
        <v>-0.375</v>
      </c>
      <c r="M1277" s="0" t="n">
        <f aca="false">E1277*F1277</f>
        <v>-0.1875</v>
      </c>
      <c r="N1277" s="0" t="n">
        <f aca="false">D1277*D1277</f>
        <v>0.25</v>
      </c>
      <c r="O1277" s="0" t="n">
        <f aca="false">E1277*E1277</f>
        <v>0.0625</v>
      </c>
      <c r="P1277" s="0" t="n">
        <f aca="false">F1277*F1277</f>
        <v>0.5625</v>
      </c>
      <c r="Q1277" s="0" t="n">
        <f aca="false">SUMPRODUCT(G1277:P1277,_XtX!$B$71:$K$71)</f>
        <v>46.3051704545455</v>
      </c>
      <c r="R1277" s="0" t="n">
        <f aca="false">SUMPRODUCT(MMULT(G1277:P1277,_XtX!$B$58:$K$67),G1277:P1277)</f>
        <v>0.237064985795455</v>
      </c>
      <c r="S1277" s="0" t="n">
        <f aca="false">04_回帰ANOVA!$K$19*04_回帰ANOVA!$K$14*SQRT(1+R1277)</f>
        <v>1.03410084594745</v>
      </c>
      <c r="T1277" s="0" t="n">
        <f aca="false">Q1277-S1277</f>
        <v>45.271069608598</v>
      </c>
      <c r="U1277" s="0" t="n">
        <f aca="false">Q1277+S1277</f>
        <v>47.3392713004929</v>
      </c>
      <c r="V1277" s="54" t="b">
        <f aca="false">AND(D1277&gt;=01_因子設定!$L$5-0.000000001,D1277&lt;=01_因子設定!$M$5+0.000000001,E1277&gt;=01_因子設定!$L$6-0.000000001,E1277&lt;=01_因子設定!$M$6+0.000000001,F1277&gt;=01_因子設定!$L$7-0.000000001,F1277&lt;=01_因子設定!$M$7+0.000000001,IF(01_因子設定!$B$20="Box-Behnken",D1277^2+E1277^2+F1277^2&lt;=2+0.000000001,TRUE()))</f>
        <v>1</v>
      </c>
      <c r="W1277" s="55" t="n">
        <f aca="false">IF(V1277,IF(01_因子設定!$B$13="最大化",T1277-01_因子設定!$B$14,IF(01_因子設定!$B$13="最小化",01_因子設定!$B$15-U1277,MIN(T1277-01_因子設定!$B$14,01_因子設定!$B$15-U1277))),-1E+030)</f>
        <v>-3.22893039140197</v>
      </c>
      <c r="X1277" s="55" t="n">
        <f aca="false">IF(V1277,IF(01_因子設定!$B$13="最大化",Q1277,IF(01_因子設定!$B$13="最小化",-Q1277,-ABS(Q1277-01_因子設定!$B$16))),-1E+030)</f>
        <v>46.3051704545455</v>
      </c>
      <c r="Y1277" s="55" t="n">
        <f aca="false">W1277+ROW()*0.000000001</f>
        <v>-3.22892911440197</v>
      </c>
      <c r="Z1277" s="55" t="n">
        <f aca="false">X1277+ROW()*0.000000001</f>
        <v>46.3051717315455</v>
      </c>
    </row>
    <row r="1278" customFormat="false" ht="15" hidden="false" customHeight="false" outlineLevel="0" collapsed="false">
      <c r="A1278" s="0" t="n">
        <v>4</v>
      </c>
      <c r="B1278" s="0" t="n">
        <v>6</v>
      </c>
      <c r="C1278" s="0" t="n">
        <v>15</v>
      </c>
      <c r="D1278" s="0" t="n">
        <f aca="false">-1+A1278*0.125</f>
        <v>-0.5</v>
      </c>
      <c r="E1278" s="0" t="n">
        <f aca="false">-1+B1278*0.125</f>
        <v>-0.25</v>
      </c>
      <c r="F1278" s="0" t="n">
        <f aca="false">-1+C1278*0.125</f>
        <v>0.875</v>
      </c>
      <c r="G1278" s="0" t="n">
        <f aca="false">1</f>
        <v>1</v>
      </c>
      <c r="H1278" s="0" t="n">
        <f aca="false">D1278</f>
        <v>-0.5</v>
      </c>
      <c r="I1278" s="0" t="n">
        <f aca="false">E1278</f>
        <v>-0.25</v>
      </c>
      <c r="J1278" s="0" t="n">
        <f aca="false">F1278</f>
        <v>0.875</v>
      </c>
      <c r="K1278" s="0" t="n">
        <f aca="false">D1278*E1278</f>
        <v>0.125</v>
      </c>
      <c r="L1278" s="0" t="n">
        <f aca="false">D1278*F1278</f>
        <v>-0.4375</v>
      </c>
      <c r="M1278" s="0" t="n">
        <f aca="false">E1278*F1278</f>
        <v>-0.21875</v>
      </c>
      <c r="N1278" s="0" t="n">
        <f aca="false">D1278*D1278</f>
        <v>0.25</v>
      </c>
      <c r="O1278" s="0" t="n">
        <f aca="false">E1278*E1278</f>
        <v>0.0625</v>
      </c>
      <c r="P1278" s="0" t="n">
        <f aca="false">F1278*F1278</f>
        <v>0.765625</v>
      </c>
      <c r="Q1278" s="0" t="n">
        <f aca="false">SUMPRODUCT(G1278:P1278,_XtX!$B$71:$K$71)</f>
        <v>46.2338494318182</v>
      </c>
      <c r="R1278" s="0" t="n">
        <f aca="false">SUMPRODUCT(MMULT(G1278:P1278,_XtX!$B$58:$K$67),G1278:P1278)</f>
        <v>0.327634499289773</v>
      </c>
      <c r="S1278" s="0" t="n">
        <f aca="false">04_回帰ANOVA!$K$19*04_回帰ANOVA!$K$14*SQRT(1+R1278)</f>
        <v>1.07128716250217</v>
      </c>
      <c r="T1278" s="0" t="n">
        <f aca="false">Q1278-S1278</f>
        <v>45.162562269316</v>
      </c>
      <c r="U1278" s="0" t="n">
        <f aca="false">Q1278+S1278</f>
        <v>47.3051365943204</v>
      </c>
      <c r="V1278" s="54" t="b">
        <f aca="false">AND(D1278&gt;=01_因子設定!$L$5-0.000000001,D1278&lt;=01_因子設定!$M$5+0.000000001,E1278&gt;=01_因子設定!$L$6-0.000000001,E1278&lt;=01_因子設定!$M$6+0.000000001,F1278&gt;=01_因子設定!$L$7-0.000000001,F1278&lt;=01_因子設定!$M$7+0.000000001,IF(01_因子設定!$B$20="Box-Behnken",D1278^2+E1278^2+F1278^2&lt;=2+0.000000001,TRUE()))</f>
        <v>1</v>
      </c>
      <c r="W1278" s="55" t="n">
        <f aca="false">IF(V1278,IF(01_因子設定!$B$13="最大化",T1278-01_因子設定!$B$14,IF(01_因子設定!$B$13="最小化",01_因子設定!$B$15-U1278,MIN(T1278-01_因子設定!$B$14,01_因子設定!$B$15-U1278))),-1E+030)</f>
        <v>-3.33743773068397</v>
      </c>
      <c r="X1278" s="55" t="n">
        <f aca="false">IF(V1278,IF(01_因子設定!$B$13="最大化",Q1278,IF(01_因子設定!$B$13="最小化",-Q1278,-ABS(Q1278-01_因子設定!$B$16))),-1E+030)</f>
        <v>46.2338494318182</v>
      </c>
      <c r="Y1278" s="55" t="n">
        <f aca="false">W1278+ROW()*0.000000001</f>
        <v>-3.33743645268397</v>
      </c>
      <c r="Z1278" s="55" t="n">
        <f aca="false">X1278+ROW()*0.000000001</f>
        <v>46.2338507098182</v>
      </c>
    </row>
    <row r="1279" customFormat="false" ht="15" hidden="false" customHeight="false" outlineLevel="0" collapsed="false">
      <c r="A1279" s="0" t="n">
        <v>4</v>
      </c>
      <c r="B1279" s="0" t="n">
        <v>6</v>
      </c>
      <c r="C1279" s="0" t="n">
        <v>16</v>
      </c>
      <c r="D1279" s="0" t="n">
        <f aca="false">-1+A1279*0.125</f>
        <v>-0.5</v>
      </c>
      <c r="E1279" s="0" t="n">
        <f aca="false">-1+B1279*0.125</f>
        <v>-0.25</v>
      </c>
      <c r="F1279" s="0" t="n">
        <f aca="false">-1+C1279*0.125</f>
        <v>1</v>
      </c>
      <c r="G1279" s="0" t="n">
        <f aca="false">1</f>
        <v>1</v>
      </c>
      <c r="H1279" s="0" t="n">
        <f aca="false">D1279</f>
        <v>-0.5</v>
      </c>
      <c r="I1279" s="0" t="n">
        <f aca="false">E1279</f>
        <v>-0.25</v>
      </c>
      <c r="J1279" s="0" t="n">
        <f aca="false">F1279</f>
        <v>1</v>
      </c>
      <c r="K1279" s="0" t="n">
        <f aca="false">D1279*E1279</f>
        <v>0.125</v>
      </c>
      <c r="L1279" s="0" t="n">
        <f aca="false">D1279*F1279</f>
        <v>-0.5</v>
      </c>
      <c r="M1279" s="0" t="n">
        <f aca="false">E1279*F1279</f>
        <v>-0.25</v>
      </c>
      <c r="N1279" s="0" t="n">
        <f aca="false">D1279*D1279</f>
        <v>0.25</v>
      </c>
      <c r="O1279" s="0" t="n">
        <f aca="false">E1279*E1279</f>
        <v>0.0625</v>
      </c>
      <c r="P1279" s="0" t="n">
        <f aca="false">F1279*F1279</f>
        <v>1</v>
      </c>
      <c r="Q1279" s="0" t="n">
        <f aca="false">SUMPRODUCT(G1279:P1279,_XtX!$B$71:$K$71)</f>
        <v>46.1257386363637</v>
      </c>
      <c r="R1279" s="0" t="n">
        <f aca="false">SUMPRODUCT(MMULT(G1279:P1279,_XtX!$B$58:$K$67),G1279:P1279)</f>
        <v>0.469424715909091</v>
      </c>
      <c r="S1279" s="0" t="n">
        <f aca="false">04_回帰ANOVA!$K$19*04_回帰ANOVA!$K$14*SQRT(1+R1279)</f>
        <v>1.12704253369596</v>
      </c>
      <c r="T1279" s="0" t="n">
        <f aca="false">Q1279-S1279</f>
        <v>44.9986961026677</v>
      </c>
      <c r="U1279" s="0" t="n">
        <f aca="false">Q1279+S1279</f>
        <v>47.2527811700596</v>
      </c>
      <c r="V1279" s="54" t="b">
        <f aca="false">AND(D1279&gt;=01_因子設定!$L$5-0.000000001,D1279&lt;=01_因子設定!$M$5+0.000000001,E1279&gt;=01_因子設定!$L$6-0.000000001,E1279&lt;=01_因子設定!$M$6+0.000000001,F1279&gt;=01_因子設定!$L$7-0.000000001,F1279&lt;=01_因子設定!$M$7+0.000000001,IF(01_因子設定!$B$20="Box-Behnken",D1279^2+E1279^2+F1279^2&lt;=2+0.000000001,TRUE()))</f>
        <v>1</v>
      </c>
      <c r="W1279" s="55" t="n">
        <f aca="false">IF(V1279,IF(01_因子設定!$B$13="最大化",T1279-01_因子設定!$B$14,IF(01_因子設定!$B$13="最小化",01_因子設定!$B$15-U1279,MIN(T1279-01_因子設定!$B$14,01_因子設定!$B$15-U1279))),-1E+030)</f>
        <v>-3.5013038973323</v>
      </c>
      <c r="X1279" s="55" t="n">
        <f aca="false">IF(V1279,IF(01_因子設定!$B$13="最大化",Q1279,IF(01_因子設定!$B$13="最小化",-Q1279,-ABS(Q1279-01_因子設定!$B$16))),-1E+030)</f>
        <v>46.1257386363637</v>
      </c>
      <c r="Y1279" s="55" t="n">
        <f aca="false">W1279+ROW()*0.000000001</f>
        <v>-3.5013026183323</v>
      </c>
      <c r="Z1279" s="55" t="n">
        <f aca="false">X1279+ROW()*0.000000001</f>
        <v>46.1257399153637</v>
      </c>
    </row>
    <row r="1280" customFormat="false" ht="15" hidden="false" customHeight="false" outlineLevel="0" collapsed="false">
      <c r="A1280" s="0" t="n">
        <v>4</v>
      </c>
      <c r="B1280" s="0" t="n">
        <v>7</v>
      </c>
      <c r="C1280" s="0" t="n">
        <v>0</v>
      </c>
      <c r="D1280" s="0" t="n">
        <f aca="false">-1+A1280*0.125</f>
        <v>-0.5</v>
      </c>
      <c r="E1280" s="0" t="n">
        <f aca="false">-1+B1280*0.125</f>
        <v>-0.125</v>
      </c>
      <c r="F1280" s="0" t="n">
        <f aca="false">-1+C1280*0.125</f>
        <v>-1</v>
      </c>
      <c r="G1280" s="0" t="n">
        <f aca="false">1</f>
        <v>1</v>
      </c>
      <c r="H1280" s="0" t="n">
        <f aca="false">D1280</f>
        <v>-0.5</v>
      </c>
      <c r="I1280" s="0" t="n">
        <f aca="false">E1280</f>
        <v>-0.125</v>
      </c>
      <c r="J1280" s="0" t="n">
        <f aca="false">F1280</f>
        <v>-1</v>
      </c>
      <c r="K1280" s="0" t="n">
        <f aca="false">D1280*E1280</f>
        <v>0.0625</v>
      </c>
      <c r="L1280" s="0" t="n">
        <f aca="false">D1280*F1280</f>
        <v>0.5</v>
      </c>
      <c r="M1280" s="0" t="n">
        <f aca="false">E1280*F1280</f>
        <v>0.125</v>
      </c>
      <c r="N1280" s="0" t="n">
        <f aca="false">D1280*D1280</f>
        <v>0.25</v>
      </c>
      <c r="O1280" s="0" t="n">
        <f aca="false">E1280*E1280</f>
        <v>0.015625</v>
      </c>
      <c r="P1280" s="0" t="n">
        <f aca="false">F1280*F1280</f>
        <v>1</v>
      </c>
      <c r="Q1280" s="0" t="n">
        <f aca="false">SUMPRODUCT(G1280:P1280,_XtX!$B$71:$K$71)</f>
        <v>43.6617045454546</v>
      </c>
      <c r="R1280" s="0" t="n">
        <f aca="false">SUMPRODUCT(MMULT(G1280:P1280,_XtX!$B$58:$K$67),G1280:P1280)</f>
        <v>0.476322798295455</v>
      </c>
      <c r="S1280" s="0" t="n">
        <f aca="false">04_回帰ANOVA!$K$19*04_回帰ANOVA!$K$14*SQRT(1+R1280)</f>
        <v>1.12968483630128</v>
      </c>
      <c r="T1280" s="0" t="n">
        <f aca="false">Q1280-S1280</f>
        <v>42.5320197091533</v>
      </c>
      <c r="U1280" s="0" t="n">
        <f aca="false">Q1280+S1280</f>
        <v>44.7913893817559</v>
      </c>
      <c r="V1280" s="54" t="b">
        <f aca="false">AND(D1280&gt;=01_因子設定!$L$5-0.000000001,D1280&lt;=01_因子設定!$M$5+0.000000001,E1280&gt;=01_因子設定!$L$6-0.000000001,E1280&lt;=01_因子設定!$M$6+0.000000001,F1280&gt;=01_因子設定!$L$7-0.000000001,F1280&lt;=01_因子設定!$M$7+0.000000001,IF(01_因子設定!$B$20="Box-Behnken",D1280^2+E1280^2+F1280^2&lt;=2+0.000000001,TRUE()))</f>
        <v>1</v>
      </c>
      <c r="W1280" s="55" t="n">
        <f aca="false">IF(V1280,IF(01_因子設定!$B$13="最大化",T1280-01_因子設定!$B$14,IF(01_因子設定!$B$13="最小化",01_因子設定!$B$15-U1280,MIN(T1280-01_因子設定!$B$14,01_因子設定!$B$15-U1280))),-1E+030)</f>
        <v>-5.96798029084671</v>
      </c>
      <c r="X1280" s="55" t="n">
        <f aca="false">IF(V1280,IF(01_因子設定!$B$13="最大化",Q1280,IF(01_因子設定!$B$13="最小化",-Q1280,-ABS(Q1280-01_因子設定!$B$16))),-1E+030)</f>
        <v>43.6617045454546</v>
      </c>
      <c r="Y1280" s="55" t="n">
        <f aca="false">W1280+ROW()*0.000000001</f>
        <v>-5.96797901084671</v>
      </c>
      <c r="Z1280" s="55" t="n">
        <f aca="false">X1280+ROW()*0.000000001</f>
        <v>43.6617058254546</v>
      </c>
    </row>
    <row r="1281" customFormat="false" ht="15" hidden="false" customHeight="false" outlineLevel="0" collapsed="false">
      <c r="A1281" s="0" t="n">
        <v>4</v>
      </c>
      <c r="B1281" s="0" t="n">
        <v>7</v>
      </c>
      <c r="C1281" s="0" t="n">
        <v>1</v>
      </c>
      <c r="D1281" s="0" t="n">
        <f aca="false">-1+A1281*0.125</f>
        <v>-0.5</v>
      </c>
      <c r="E1281" s="0" t="n">
        <f aca="false">-1+B1281*0.125</f>
        <v>-0.125</v>
      </c>
      <c r="F1281" s="0" t="n">
        <f aca="false">-1+C1281*0.125</f>
        <v>-0.875</v>
      </c>
      <c r="G1281" s="0" t="n">
        <f aca="false">1</f>
        <v>1</v>
      </c>
      <c r="H1281" s="0" t="n">
        <f aca="false">D1281</f>
        <v>-0.5</v>
      </c>
      <c r="I1281" s="0" t="n">
        <f aca="false">E1281</f>
        <v>-0.125</v>
      </c>
      <c r="J1281" s="0" t="n">
        <f aca="false">F1281</f>
        <v>-0.875</v>
      </c>
      <c r="K1281" s="0" t="n">
        <f aca="false">D1281*E1281</f>
        <v>0.0625</v>
      </c>
      <c r="L1281" s="0" t="n">
        <f aca="false">D1281*F1281</f>
        <v>0.4375</v>
      </c>
      <c r="M1281" s="0" t="n">
        <f aca="false">E1281*F1281</f>
        <v>0.109375</v>
      </c>
      <c r="N1281" s="0" t="n">
        <f aca="false">D1281*D1281</f>
        <v>0.25</v>
      </c>
      <c r="O1281" s="0" t="n">
        <f aca="false">E1281*E1281</f>
        <v>0.015625</v>
      </c>
      <c r="P1281" s="0" t="n">
        <f aca="false">F1281*F1281</f>
        <v>0.765625</v>
      </c>
      <c r="Q1281" s="0" t="n">
        <f aca="false">SUMPRODUCT(G1281:P1281,_XtX!$B$71:$K$71)</f>
        <v>44.1124715909091</v>
      </c>
      <c r="R1281" s="0" t="n">
        <f aca="false">SUMPRODUCT(MMULT(G1281:P1281,_XtX!$B$58:$K$67),G1281:P1281)</f>
        <v>0.332909601384943</v>
      </c>
      <c r="S1281" s="0" t="n">
        <f aca="false">04_回帰ANOVA!$K$19*04_回帰ANOVA!$K$14*SQRT(1+R1281)</f>
        <v>1.07341333007404</v>
      </c>
      <c r="T1281" s="0" t="n">
        <f aca="false">Q1281-S1281</f>
        <v>43.0390582608351</v>
      </c>
      <c r="U1281" s="0" t="n">
        <f aca="false">Q1281+S1281</f>
        <v>45.1858849209832</v>
      </c>
      <c r="V1281" s="54" t="b">
        <f aca="false">AND(D1281&gt;=01_因子設定!$L$5-0.000000001,D1281&lt;=01_因子設定!$M$5+0.000000001,E1281&gt;=01_因子設定!$L$6-0.000000001,E1281&lt;=01_因子設定!$M$6+0.000000001,F1281&gt;=01_因子設定!$L$7-0.000000001,F1281&lt;=01_因子設定!$M$7+0.000000001,IF(01_因子設定!$B$20="Box-Behnken",D1281^2+E1281^2+F1281^2&lt;=2+0.000000001,TRUE()))</f>
        <v>1</v>
      </c>
      <c r="W1281" s="55" t="n">
        <f aca="false">IF(V1281,IF(01_因子設定!$B$13="最大化",T1281-01_因子設定!$B$14,IF(01_因子設定!$B$13="最小化",01_因子設定!$B$15-U1281,MIN(T1281-01_因子設定!$B$14,01_因子設定!$B$15-U1281))),-1E+030)</f>
        <v>-5.46094173916493</v>
      </c>
      <c r="X1281" s="55" t="n">
        <f aca="false">IF(V1281,IF(01_因子設定!$B$13="最大化",Q1281,IF(01_因子設定!$B$13="最小化",-Q1281,-ABS(Q1281-01_因子設定!$B$16))),-1E+030)</f>
        <v>44.1124715909091</v>
      </c>
      <c r="Y1281" s="55" t="n">
        <f aca="false">W1281+ROW()*0.000000001</f>
        <v>-5.46094045816493</v>
      </c>
      <c r="Z1281" s="55" t="n">
        <f aca="false">X1281+ROW()*0.000000001</f>
        <v>44.1124728719091</v>
      </c>
    </row>
    <row r="1282" customFormat="false" ht="15" hidden="false" customHeight="false" outlineLevel="0" collapsed="false">
      <c r="A1282" s="0" t="n">
        <v>4</v>
      </c>
      <c r="B1282" s="0" t="n">
        <v>7</v>
      </c>
      <c r="C1282" s="0" t="n">
        <v>2</v>
      </c>
      <c r="D1282" s="0" t="n">
        <f aca="false">-1+A1282*0.125</f>
        <v>-0.5</v>
      </c>
      <c r="E1282" s="0" t="n">
        <f aca="false">-1+B1282*0.125</f>
        <v>-0.125</v>
      </c>
      <c r="F1282" s="0" t="n">
        <f aca="false">-1+C1282*0.125</f>
        <v>-0.75</v>
      </c>
      <c r="G1282" s="0" t="n">
        <f aca="false">1</f>
        <v>1</v>
      </c>
      <c r="H1282" s="0" t="n">
        <f aca="false">D1282</f>
        <v>-0.5</v>
      </c>
      <c r="I1282" s="0" t="n">
        <f aca="false">E1282</f>
        <v>-0.125</v>
      </c>
      <c r="J1282" s="0" t="n">
        <f aca="false">F1282</f>
        <v>-0.75</v>
      </c>
      <c r="K1282" s="0" t="n">
        <f aca="false">D1282*E1282</f>
        <v>0.0625</v>
      </c>
      <c r="L1282" s="0" t="n">
        <f aca="false">D1282*F1282</f>
        <v>0.375</v>
      </c>
      <c r="M1282" s="0" t="n">
        <f aca="false">E1282*F1282</f>
        <v>0.09375</v>
      </c>
      <c r="N1282" s="0" t="n">
        <f aca="false">D1282*D1282</f>
        <v>0.25</v>
      </c>
      <c r="O1282" s="0" t="n">
        <f aca="false">E1282*E1282</f>
        <v>0.015625</v>
      </c>
      <c r="P1282" s="0" t="n">
        <f aca="false">F1282*F1282</f>
        <v>0.5625</v>
      </c>
      <c r="Q1282" s="0" t="n">
        <f aca="false">SUMPRODUCT(G1282:P1282,_XtX!$B$71:$K$71)</f>
        <v>44.5264488636364</v>
      </c>
      <c r="R1282" s="0" t="n">
        <f aca="false">SUMPRODUCT(MMULT(G1282:P1282,_XtX!$B$58:$K$67),G1282:P1282)</f>
        <v>0.240933504971591</v>
      </c>
      <c r="S1282" s="0" t="n">
        <f aca="false">04_回帰ANOVA!$K$19*04_回帰ANOVA!$K$14*SQRT(1+R1282)</f>
        <v>1.03571649118863</v>
      </c>
      <c r="T1282" s="0" t="n">
        <f aca="false">Q1282-S1282</f>
        <v>43.4907323724478</v>
      </c>
      <c r="U1282" s="0" t="n">
        <f aca="false">Q1282+S1282</f>
        <v>45.562165354825</v>
      </c>
      <c r="V1282" s="54" t="b">
        <f aca="false">AND(D1282&gt;=01_因子設定!$L$5-0.000000001,D1282&lt;=01_因子設定!$M$5+0.000000001,E1282&gt;=01_因子設定!$L$6-0.000000001,E1282&lt;=01_因子設定!$M$6+0.000000001,F1282&gt;=01_因子設定!$L$7-0.000000001,F1282&lt;=01_因子設定!$M$7+0.000000001,IF(01_因子設定!$B$20="Box-Behnken",D1282^2+E1282^2+F1282^2&lt;=2+0.000000001,TRUE()))</f>
        <v>1</v>
      </c>
      <c r="W1282" s="55" t="n">
        <f aca="false">IF(V1282,IF(01_因子設定!$B$13="最大化",T1282-01_因子設定!$B$14,IF(01_因子設定!$B$13="最小化",01_因子設定!$B$15-U1282,MIN(T1282-01_因子設定!$B$14,01_因子設定!$B$15-U1282))),-1E+030)</f>
        <v>-5.00926762755225</v>
      </c>
      <c r="X1282" s="55" t="n">
        <f aca="false">IF(V1282,IF(01_因子設定!$B$13="最大化",Q1282,IF(01_因子設定!$B$13="最小化",-Q1282,-ABS(Q1282-01_因子設定!$B$16))),-1E+030)</f>
        <v>44.5264488636364</v>
      </c>
      <c r="Y1282" s="55" t="n">
        <f aca="false">W1282+ROW()*0.000000001</f>
        <v>-5.00926634555225</v>
      </c>
      <c r="Z1282" s="55" t="n">
        <f aca="false">X1282+ROW()*0.000000001</f>
        <v>44.5264501456364</v>
      </c>
    </row>
    <row r="1283" customFormat="false" ht="15" hidden="false" customHeight="false" outlineLevel="0" collapsed="false">
      <c r="A1283" s="0" t="n">
        <v>4</v>
      </c>
      <c r="B1283" s="0" t="n">
        <v>7</v>
      </c>
      <c r="C1283" s="0" t="n">
        <v>3</v>
      </c>
      <c r="D1283" s="0" t="n">
        <f aca="false">-1+A1283*0.125</f>
        <v>-0.5</v>
      </c>
      <c r="E1283" s="0" t="n">
        <f aca="false">-1+B1283*0.125</f>
        <v>-0.125</v>
      </c>
      <c r="F1283" s="0" t="n">
        <f aca="false">-1+C1283*0.125</f>
        <v>-0.625</v>
      </c>
      <c r="G1283" s="0" t="n">
        <f aca="false">1</f>
        <v>1</v>
      </c>
      <c r="H1283" s="0" t="n">
        <f aca="false">D1283</f>
        <v>-0.5</v>
      </c>
      <c r="I1283" s="0" t="n">
        <f aca="false">E1283</f>
        <v>-0.125</v>
      </c>
      <c r="J1283" s="0" t="n">
        <f aca="false">F1283</f>
        <v>-0.625</v>
      </c>
      <c r="K1283" s="0" t="n">
        <f aca="false">D1283*E1283</f>
        <v>0.0625</v>
      </c>
      <c r="L1283" s="0" t="n">
        <f aca="false">D1283*F1283</f>
        <v>0.3125</v>
      </c>
      <c r="M1283" s="0" t="n">
        <f aca="false">E1283*F1283</f>
        <v>0.078125</v>
      </c>
      <c r="N1283" s="0" t="n">
        <f aca="false">D1283*D1283</f>
        <v>0.25</v>
      </c>
      <c r="O1283" s="0" t="n">
        <f aca="false">E1283*E1283</f>
        <v>0.015625</v>
      </c>
      <c r="P1283" s="0" t="n">
        <f aca="false">F1283*F1283</f>
        <v>0.390625</v>
      </c>
      <c r="Q1283" s="0" t="n">
        <f aca="false">SUMPRODUCT(G1283:P1283,_XtX!$B$71:$K$71)</f>
        <v>44.9036363636364</v>
      </c>
      <c r="R1283" s="0" t="n">
        <f aca="false">SUMPRODUCT(MMULT(G1283:P1283,_XtX!$B$58:$K$67),G1283:P1283)</f>
        <v>0.186545077237216</v>
      </c>
      <c r="S1283" s="0" t="n">
        <f aca="false">04_回帰ANOVA!$K$19*04_回帰ANOVA!$K$14*SQRT(1+R1283)</f>
        <v>1.01276516970713</v>
      </c>
      <c r="T1283" s="0" t="n">
        <f aca="false">Q1283-S1283</f>
        <v>43.8908711939292</v>
      </c>
      <c r="U1283" s="0" t="n">
        <f aca="false">Q1283+S1283</f>
        <v>45.9164015333435</v>
      </c>
      <c r="V1283" s="54" t="b">
        <f aca="false">AND(D1283&gt;=01_因子設定!$L$5-0.000000001,D1283&lt;=01_因子設定!$M$5+0.000000001,E1283&gt;=01_因子設定!$L$6-0.000000001,E1283&lt;=01_因子設定!$M$6+0.000000001,F1283&gt;=01_因子設定!$L$7-0.000000001,F1283&lt;=01_因子設定!$M$7+0.000000001,IF(01_因子設定!$B$20="Box-Behnken",D1283^2+E1283^2+F1283^2&lt;=2+0.000000001,TRUE()))</f>
        <v>1</v>
      </c>
      <c r="W1283" s="55" t="n">
        <f aca="false">IF(V1283,IF(01_因子設定!$B$13="最大化",T1283-01_因子設定!$B$14,IF(01_因子設定!$B$13="最小化",01_因子設定!$B$15-U1283,MIN(T1283-01_因子設定!$B$14,01_因子設定!$B$15-U1283))),-1E+030)</f>
        <v>-4.60912880607076</v>
      </c>
      <c r="X1283" s="55" t="n">
        <f aca="false">IF(V1283,IF(01_因子設定!$B$13="最大化",Q1283,IF(01_因子設定!$B$13="最小化",-Q1283,-ABS(Q1283-01_因子設定!$B$16))),-1E+030)</f>
        <v>44.9036363636364</v>
      </c>
      <c r="Y1283" s="55" t="n">
        <f aca="false">W1283+ROW()*0.000000001</f>
        <v>-4.60912752307076</v>
      </c>
      <c r="Z1283" s="55" t="n">
        <f aca="false">X1283+ROW()*0.000000001</f>
        <v>44.9036376466364</v>
      </c>
    </row>
    <row r="1284" customFormat="false" ht="15" hidden="false" customHeight="false" outlineLevel="0" collapsed="false">
      <c r="A1284" s="0" t="n">
        <v>4</v>
      </c>
      <c r="B1284" s="0" t="n">
        <v>7</v>
      </c>
      <c r="C1284" s="0" t="n">
        <v>4</v>
      </c>
      <c r="D1284" s="0" t="n">
        <f aca="false">-1+A1284*0.125</f>
        <v>-0.5</v>
      </c>
      <c r="E1284" s="0" t="n">
        <f aca="false">-1+B1284*0.125</f>
        <v>-0.125</v>
      </c>
      <c r="F1284" s="0" t="n">
        <f aca="false">-1+C1284*0.125</f>
        <v>-0.5</v>
      </c>
      <c r="G1284" s="0" t="n">
        <f aca="false">1</f>
        <v>1</v>
      </c>
      <c r="H1284" s="0" t="n">
        <f aca="false">D1284</f>
        <v>-0.5</v>
      </c>
      <c r="I1284" s="0" t="n">
        <f aca="false">E1284</f>
        <v>-0.125</v>
      </c>
      <c r="J1284" s="0" t="n">
        <f aca="false">F1284</f>
        <v>-0.5</v>
      </c>
      <c r="K1284" s="0" t="n">
        <f aca="false">D1284*E1284</f>
        <v>0.0625</v>
      </c>
      <c r="L1284" s="0" t="n">
        <f aca="false">D1284*F1284</f>
        <v>0.25</v>
      </c>
      <c r="M1284" s="0" t="n">
        <f aca="false">E1284*F1284</f>
        <v>0.0625</v>
      </c>
      <c r="N1284" s="0" t="n">
        <f aca="false">D1284*D1284</f>
        <v>0.25</v>
      </c>
      <c r="O1284" s="0" t="n">
        <f aca="false">E1284*E1284</f>
        <v>0.015625</v>
      </c>
      <c r="P1284" s="0" t="n">
        <f aca="false">F1284*F1284</f>
        <v>0.25</v>
      </c>
      <c r="Q1284" s="0" t="n">
        <f aca="false">SUMPRODUCT(G1284:P1284,_XtX!$B$71:$K$71)</f>
        <v>45.2440340909091</v>
      </c>
      <c r="R1284" s="0" t="n">
        <f aca="false">SUMPRODUCT(MMULT(G1284:P1284,_XtX!$B$58:$K$67),G1284:P1284)</f>
        <v>0.158025568181818</v>
      </c>
      <c r="S1284" s="0" t="n">
        <f aca="false">04_回帰ANOVA!$K$19*04_回帰ANOVA!$K$14*SQRT(1+R1284)</f>
        <v>1.00051985207691</v>
      </c>
      <c r="T1284" s="0" t="n">
        <f aca="false">Q1284-S1284</f>
        <v>44.2435142388322</v>
      </c>
      <c r="U1284" s="0" t="n">
        <f aca="false">Q1284+S1284</f>
        <v>46.244553942986</v>
      </c>
      <c r="V1284" s="54" t="b">
        <f aca="false">AND(D1284&gt;=01_因子設定!$L$5-0.000000001,D1284&lt;=01_因子設定!$M$5+0.000000001,E1284&gt;=01_因子設定!$L$6-0.000000001,E1284&lt;=01_因子設定!$M$6+0.000000001,F1284&gt;=01_因子設定!$L$7-0.000000001,F1284&lt;=01_因子設定!$M$7+0.000000001,IF(01_因子設定!$B$20="Box-Behnken",D1284^2+E1284^2+F1284^2&lt;=2+0.000000001,TRUE()))</f>
        <v>1</v>
      </c>
      <c r="W1284" s="55" t="n">
        <f aca="false">IF(V1284,IF(01_因子設定!$B$13="最大化",T1284-01_因子設定!$B$14,IF(01_因子設定!$B$13="最小化",01_因子設定!$B$15-U1284,MIN(T1284-01_因子設定!$B$14,01_因子設定!$B$15-U1284))),-1E+030)</f>
        <v>-4.25648576116781</v>
      </c>
      <c r="X1284" s="55" t="n">
        <f aca="false">IF(V1284,IF(01_因子設定!$B$13="最大化",Q1284,IF(01_因子設定!$B$13="最小化",-Q1284,-ABS(Q1284-01_因子設定!$B$16))),-1E+030)</f>
        <v>45.2440340909091</v>
      </c>
      <c r="Y1284" s="55" t="n">
        <f aca="false">W1284+ROW()*0.000000001</f>
        <v>-4.25648447716781</v>
      </c>
      <c r="Z1284" s="55" t="n">
        <f aca="false">X1284+ROW()*0.000000001</f>
        <v>45.2440353749091</v>
      </c>
    </row>
    <row r="1285" customFormat="false" ht="15" hidden="false" customHeight="false" outlineLevel="0" collapsed="false">
      <c r="A1285" s="0" t="n">
        <v>4</v>
      </c>
      <c r="B1285" s="0" t="n">
        <v>7</v>
      </c>
      <c r="C1285" s="0" t="n">
        <v>5</v>
      </c>
      <c r="D1285" s="0" t="n">
        <f aca="false">-1+A1285*0.125</f>
        <v>-0.5</v>
      </c>
      <c r="E1285" s="0" t="n">
        <f aca="false">-1+B1285*0.125</f>
        <v>-0.125</v>
      </c>
      <c r="F1285" s="0" t="n">
        <f aca="false">-1+C1285*0.125</f>
        <v>-0.375</v>
      </c>
      <c r="G1285" s="0" t="n">
        <f aca="false">1</f>
        <v>1</v>
      </c>
      <c r="H1285" s="0" t="n">
        <f aca="false">D1285</f>
        <v>-0.5</v>
      </c>
      <c r="I1285" s="0" t="n">
        <f aca="false">E1285</f>
        <v>-0.125</v>
      </c>
      <c r="J1285" s="0" t="n">
        <f aca="false">F1285</f>
        <v>-0.375</v>
      </c>
      <c r="K1285" s="0" t="n">
        <f aca="false">D1285*E1285</f>
        <v>0.0625</v>
      </c>
      <c r="L1285" s="0" t="n">
        <f aca="false">D1285*F1285</f>
        <v>0.1875</v>
      </c>
      <c r="M1285" s="0" t="n">
        <f aca="false">E1285*F1285</f>
        <v>0.046875</v>
      </c>
      <c r="N1285" s="0" t="n">
        <f aca="false">D1285*D1285</f>
        <v>0.25</v>
      </c>
      <c r="O1285" s="0" t="n">
        <f aca="false">E1285*E1285</f>
        <v>0.015625</v>
      </c>
      <c r="P1285" s="0" t="n">
        <f aca="false">F1285*F1285</f>
        <v>0.140625</v>
      </c>
      <c r="Q1285" s="0" t="n">
        <f aca="false">SUMPRODUCT(G1285:P1285,_XtX!$B$71:$K$71)</f>
        <v>45.5476420454546</v>
      </c>
      <c r="R1285" s="0" t="n">
        <f aca="false">SUMPRODUCT(MMULT(G1285:P1285,_XtX!$B$58:$K$67),G1285:P1285)</f>
        <v>0.14578690962358</v>
      </c>
      <c r="S1285" s="0" t="n">
        <f aca="false">04_回帰ANOVA!$K$19*04_回帰ANOVA!$K$14*SQRT(1+R1285)</f>
        <v>0.995218783457917</v>
      </c>
      <c r="T1285" s="0" t="n">
        <f aca="false">Q1285-S1285</f>
        <v>44.5524232619966</v>
      </c>
      <c r="U1285" s="0" t="n">
        <f aca="false">Q1285+S1285</f>
        <v>46.5428608289125</v>
      </c>
      <c r="V1285" s="54" t="b">
        <f aca="false">AND(D1285&gt;=01_因子設定!$L$5-0.000000001,D1285&lt;=01_因子設定!$M$5+0.000000001,E1285&gt;=01_因子設定!$L$6-0.000000001,E1285&lt;=01_因子設定!$M$6+0.000000001,F1285&gt;=01_因子設定!$L$7-0.000000001,F1285&lt;=01_因子設定!$M$7+0.000000001,IF(01_因子設定!$B$20="Box-Behnken",D1285^2+E1285^2+F1285^2&lt;=2+0.000000001,TRUE()))</f>
        <v>1</v>
      </c>
      <c r="W1285" s="55" t="n">
        <f aca="false">IF(V1285,IF(01_因子設定!$B$13="最大化",T1285-01_因子設定!$B$14,IF(01_因子設定!$B$13="最小化",01_因子設定!$B$15-U1285,MIN(T1285-01_因子設定!$B$14,01_因子設定!$B$15-U1285))),-1E+030)</f>
        <v>-3.94757673800336</v>
      </c>
      <c r="X1285" s="55" t="n">
        <f aca="false">IF(V1285,IF(01_因子設定!$B$13="最大化",Q1285,IF(01_因子設定!$B$13="最小化",-Q1285,-ABS(Q1285-01_因子設定!$B$16))),-1E+030)</f>
        <v>45.5476420454546</v>
      </c>
      <c r="Y1285" s="55" t="n">
        <f aca="false">W1285+ROW()*0.000000001</f>
        <v>-3.94757545300336</v>
      </c>
      <c r="Z1285" s="55" t="n">
        <f aca="false">X1285+ROW()*0.000000001</f>
        <v>45.5476433304546</v>
      </c>
    </row>
    <row r="1286" customFormat="false" ht="15" hidden="false" customHeight="false" outlineLevel="0" collapsed="false">
      <c r="A1286" s="0" t="n">
        <v>4</v>
      </c>
      <c r="B1286" s="0" t="n">
        <v>7</v>
      </c>
      <c r="C1286" s="0" t="n">
        <v>6</v>
      </c>
      <c r="D1286" s="0" t="n">
        <f aca="false">-1+A1286*0.125</f>
        <v>-0.5</v>
      </c>
      <c r="E1286" s="0" t="n">
        <f aca="false">-1+B1286*0.125</f>
        <v>-0.125</v>
      </c>
      <c r="F1286" s="0" t="n">
        <f aca="false">-1+C1286*0.125</f>
        <v>-0.25</v>
      </c>
      <c r="G1286" s="0" t="n">
        <f aca="false">1</f>
        <v>1</v>
      </c>
      <c r="H1286" s="0" t="n">
        <f aca="false">D1286</f>
        <v>-0.5</v>
      </c>
      <c r="I1286" s="0" t="n">
        <f aca="false">E1286</f>
        <v>-0.125</v>
      </c>
      <c r="J1286" s="0" t="n">
        <f aca="false">F1286</f>
        <v>-0.25</v>
      </c>
      <c r="K1286" s="0" t="n">
        <f aca="false">D1286*E1286</f>
        <v>0.0625</v>
      </c>
      <c r="L1286" s="0" t="n">
        <f aca="false">D1286*F1286</f>
        <v>0.125</v>
      </c>
      <c r="M1286" s="0" t="n">
        <f aca="false">E1286*F1286</f>
        <v>0.03125</v>
      </c>
      <c r="N1286" s="0" t="n">
        <f aca="false">D1286*D1286</f>
        <v>0.25</v>
      </c>
      <c r="O1286" s="0" t="n">
        <f aca="false">E1286*E1286</f>
        <v>0.015625</v>
      </c>
      <c r="P1286" s="0" t="n">
        <f aca="false">F1286*F1286</f>
        <v>0.0625</v>
      </c>
      <c r="Q1286" s="0" t="n">
        <f aca="false">SUMPRODUCT(G1286:P1286,_XtX!$B$71:$K$71)</f>
        <v>45.8144602272727</v>
      </c>
      <c r="R1286" s="0" t="n">
        <f aca="false">SUMPRODUCT(MMULT(G1286:P1286,_XtX!$B$58:$K$67),G1286:P1286)</f>
        <v>0.142371715198864</v>
      </c>
      <c r="S1286" s="0" t="n">
        <f aca="false">04_回帰ANOVA!$K$19*04_回帰ANOVA!$K$14*SQRT(1+R1286)</f>
        <v>0.99373447511735</v>
      </c>
      <c r="T1286" s="0" t="n">
        <f aca="false">Q1286-S1286</f>
        <v>44.8207257521554</v>
      </c>
      <c r="U1286" s="0" t="n">
        <f aca="false">Q1286+S1286</f>
        <v>46.8081947023901</v>
      </c>
      <c r="V1286" s="54" t="b">
        <f aca="false">AND(D1286&gt;=01_因子設定!$L$5-0.000000001,D1286&lt;=01_因子設定!$M$5+0.000000001,E1286&gt;=01_因子設定!$L$6-0.000000001,E1286&lt;=01_因子設定!$M$6+0.000000001,F1286&gt;=01_因子設定!$L$7-0.000000001,F1286&lt;=01_因子設定!$M$7+0.000000001,IF(01_因子設定!$B$20="Box-Behnken",D1286^2+E1286^2+F1286^2&lt;=2+0.000000001,TRUE()))</f>
        <v>1</v>
      </c>
      <c r="W1286" s="55" t="n">
        <f aca="false">IF(V1286,IF(01_因子設定!$B$13="最大化",T1286-01_因子設定!$B$14,IF(01_因子設定!$B$13="最小化",01_因子設定!$B$15-U1286,MIN(T1286-01_因子設定!$B$14,01_因子設定!$B$15-U1286))),-1E+030)</f>
        <v>-3.67927424784462</v>
      </c>
      <c r="X1286" s="55" t="n">
        <f aca="false">IF(V1286,IF(01_因子設定!$B$13="最大化",Q1286,IF(01_因子設定!$B$13="最小化",-Q1286,-ABS(Q1286-01_因子設定!$B$16))),-1E+030)</f>
        <v>45.8144602272727</v>
      </c>
      <c r="Y1286" s="55" t="n">
        <f aca="false">W1286+ROW()*0.000000001</f>
        <v>-3.67927296184462</v>
      </c>
      <c r="Z1286" s="55" t="n">
        <f aca="false">X1286+ROW()*0.000000001</f>
        <v>45.8144615132727</v>
      </c>
    </row>
    <row r="1287" customFormat="false" ht="15" hidden="false" customHeight="false" outlineLevel="0" collapsed="false">
      <c r="A1287" s="0" t="n">
        <v>4</v>
      </c>
      <c r="B1287" s="0" t="n">
        <v>7</v>
      </c>
      <c r="C1287" s="0" t="n">
        <v>7</v>
      </c>
      <c r="D1287" s="0" t="n">
        <f aca="false">-1+A1287*0.125</f>
        <v>-0.5</v>
      </c>
      <c r="E1287" s="0" t="n">
        <f aca="false">-1+B1287*0.125</f>
        <v>-0.125</v>
      </c>
      <c r="F1287" s="0" t="n">
        <f aca="false">-1+C1287*0.125</f>
        <v>-0.125</v>
      </c>
      <c r="G1287" s="0" t="n">
        <f aca="false">1</f>
        <v>1</v>
      </c>
      <c r="H1287" s="0" t="n">
        <f aca="false">D1287</f>
        <v>-0.5</v>
      </c>
      <c r="I1287" s="0" t="n">
        <f aca="false">E1287</f>
        <v>-0.125</v>
      </c>
      <c r="J1287" s="0" t="n">
        <f aca="false">F1287</f>
        <v>-0.125</v>
      </c>
      <c r="K1287" s="0" t="n">
        <f aca="false">D1287*E1287</f>
        <v>0.0625</v>
      </c>
      <c r="L1287" s="0" t="n">
        <f aca="false">D1287*F1287</f>
        <v>0.0625</v>
      </c>
      <c r="M1287" s="0" t="n">
        <f aca="false">E1287*F1287</f>
        <v>0.015625</v>
      </c>
      <c r="N1287" s="0" t="n">
        <f aca="false">D1287*D1287</f>
        <v>0.25</v>
      </c>
      <c r="O1287" s="0" t="n">
        <f aca="false">E1287*E1287</f>
        <v>0.015625</v>
      </c>
      <c r="P1287" s="0" t="n">
        <f aca="false">F1287*F1287</f>
        <v>0.015625</v>
      </c>
      <c r="Q1287" s="0" t="n">
        <f aca="false">SUMPRODUCT(G1287:P1287,_XtX!$B$71:$K$71)</f>
        <v>46.0444886363636</v>
      </c>
      <c r="R1287" s="0" t="n">
        <f aca="false">SUMPRODUCT(MMULT(G1287:P1287,_XtX!$B$58:$K$67),G1287:P1287)</f>
        <v>0.142453280362216</v>
      </c>
      <c r="S1287" s="0" t="n">
        <f aca="false">04_回帰ANOVA!$K$19*04_回帰ANOVA!$K$14*SQRT(1+R1287)</f>
        <v>0.99376995072785</v>
      </c>
      <c r="T1287" s="0" t="n">
        <f aca="false">Q1287-S1287</f>
        <v>45.0507186856358</v>
      </c>
      <c r="U1287" s="0" t="n">
        <f aca="false">Q1287+S1287</f>
        <v>47.0382585870915</v>
      </c>
      <c r="V1287" s="54" t="b">
        <f aca="false">AND(D1287&gt;=01_因子設定!$L$5-0.000000001,D1287&lt;=01_因子設定!$M$5+0.000000001,E1287&gt;=01_因子設定!$L$6-0.000000001,E1287&lt;=01_因子設定!$M$6+0.000000001,F1287&gt;=01_因子設定!$L$7-0.000000001,F1287&lt;=01_因子設定!$M$7+0.000000001,IF(01_因子設定!$B$20="Box-Behnken",D1287^2+E1287^2+F1287^2&lt;=2+0.000000001,TRUE()))</f>
        <v>1</v>
      </c>
      <c r="W1287" s="55" t="n">
        <f aca="false">IF(V1287,IF(01_因子設定!$B$13="最大化",T1287-01_因子設定!$B$14,IF(01_因子設定!$B$13="最小化",01_因子設定!$B$15-U1287,MIN(T1287-01_因子設定!$B$14,01_因子設定!$B$15-U1287))),-1E+030)</f>
        <v>-3.44928131436421</v>
      </c>
      <c r="X1287" s="55" t="n">
        <f aca="false">IF(V1287,IF(01_因子設定!$B$13="最大化",Q1287,IF(01_因子設定!$B$13="最小化",-Q1287,-ABS(Q1287-01_因子設定!$B$16))),-1E+030)</f>
        <v>46.0444886363636</v>
      </c>
      <c r="Y1287" s="55" t="n">
        <f aca="false">W1287+ROW()*0.000000001</f>
        <v>-3.44928002736421</v>
      </c>
      <c r="Z1287" s="55" t="n">
        <f aca="false">X1287+ROW()*0.000000001</f>
        <v>46.0444899233636</v>
      </c>
    </row>
    <row r="1288" customFormat="false" ht="15" hidden="false" customHeight="false" outlineLevel="0" collapsed="false">
      <c r="A1288" s="0" t="n">
        <v>4</v>
      </c>
      <c r="B1288" s="0" t="n">
        <v>7</v>
      </c>
      <c r="C1288" s="0" t="n">
        <v>8</v>
      </c>
      <c r="D1288" s="0" t="n">
        <f aca="false">-1+A1288*0.125</f>
        <v>-0.5</v>
      </c>
      <c r="E1288" s="0" t="n">
        <f aca="false">-1+B1288*0.125</f>
        <v>-0.125</v>
      </c>
      <c r="F1288" s="0" t="n">
        <f aca="false">-1+C1288*0.125</f>
        <v>0</v>
      </c>
      <c r="G1288" s="0" t="n">
        <f aca="false">1</f>
        <v>1</v>
      </c>
      <c r="H1288" s="0" t="n">
        <f aca="false">D1288</f>
        <v>-0.5</v>
      </c>
      <c r="I1288" s="0" t="n">
        <f aca="false">E1288</f>
        <v>-0.125</v>
      </c>
      <c r="J1288" s="0" t="n">
        <f aca="false">F1288</f>
        <v>0</v>
      </c>
      <c r="K1288" s="0" t="n">
        <f aca="false">D1288*E1288</f>
        <v>0.0625</v>
      </c>
      <c r="L1288" s="0" t="n">
        <f aca="false">D1288*F1288</f>
        <v>-0</v>
      </c>
      <c r="M1288" s="0" t="n">
        <f aca="false">E1288*F1288</f>
        <v>-0</v>
      </c>
      <c r="N1288" s="0" t="n">
        <f aca="false">D1288*D1288</f>
        <v>0.25</v>
      </c>
      <c r="O1288" s="0" t="n">
        <f aca="false">E1288*E1288</f>
        <v>0.015625</v>
      </c>
      <c r="P1288" s="0" t="n">
        <f aca="false">F1288*F1288</f>
        <v>0</v>
      </c>
      <c r="Q1288" s="0" t="n">
        <f aca="false">SUMPRODUCT(G1288:P1288,_XtX!$B$71:$K$71)</f>
        <v>46.2377272727273</v>
      </c>
      <c r="R1288" s="0" t="n">
        <f aca="false">SUMPRODUCT(MMULT(G1288:P1288,_XtX!$B$58:$K$67),G1288:P1288)</f>
        <v>0.142835582386364</v>
      </c>
      <c r="S1288" s="0" t="n">
        <f aca="false">04_回帰ANOVA!$K$19*04_回帰ANOVA!$K$14*SQRT(1+R1288)</f>
        <v>0.993936210693193</v>
      </c>
      <c r="T1288" s="0" t="n">
        <f aca="false">Q1288-S1288</f>
        <v>45.2437910620341</v>
      </c>
      <c r="U1288" s="0" t="n">
        <f aca="false">Q1288+S1288</f>
        <v>47.2316634834205</v>
      </c>
      <c r="V1288" s="54" t="b">
        <f aca="false">AND(D1288&gt;=01_因子設定!$L$5-0.000000001,D1288&lt;=01_因子設定!$M$5+0.000000001,E1288&gt;=01_因子設定!$L$6-0.000000001,E1288&lt;=01_因子設定!$M$6+0.000000001,F1288&gt;=01_因子設定!$L$7-0.000000001,F1288&lt;=01_因子設定!$M$7+0.000000001,IF(01_因子設定!$B$20="Box-Behnken",D1288^2+E1288^2+F1288^2&lt;=2+0.000000001,TRUE()))</f>
        <v>1</v>
      </c>
      <c r="W1288" s="55" t="n">
        <f aca="false">IF(V1288,IF(01_因子設定!$B$13="最大化",T1288-01_因子設定!$B$14,IF(01_因子設定!$B$13="最小化",01_因子設定!$B$15-U1288,MIN(T1288-01_因子設定!$B$14,01_因子設定!$B$15-U1288))),-1E+030)</f>
        <v>-3.25620893796592</v>
      </c>
      <c r="X1288" s="55" t="n">
        <f aca="false">IF(V1288,IF(01_因子設定!$B$13="最大化",Q1288,IF(01_因子設定!$B$13="最小化",-Q1288,-ABS(Q1288-01_因子設定!$B$16))),-1E+030)</f>
        <v>46.2377272727273</v>
      </c>
      <c r="Y1288" s="55" t="n">
        <f aca="false">W1288+ROW()*0.000000001</f>
        <v>-3.25620764996592</v>
      </c>
      <c r="Z1288" s="55" t="n">
        <f aca="false">X1288+ROW()*0.000000001</f>
        <v>46.2377285607273</v>
      </c>
    </row>
    <row r="1289" customFormat="false" ht="15" hidden="false" customHeight="false" outlineLevel="0" collapsed="false">
      <c r="A1289" s="0" t="n">
        <v>4</v>
      </c>
      <c r="B1289" s="0" t="n">
        <v>7</v>
      </c>
      <c r="C1289" s="0" t="n">
        <v>9</v>
      </c>
      <c r="D1289" s="0" t="n">
        <f aca="false">-1+A1289*0.125</f>
        <v>-0.5</v>
      </c>
      <c r="E1289" s="0" t="n">
        <f aca="false">-1+B1289*0.125</f>
        <v>-0.125</v>
      </c>
      <c r="F1289" s="0" t="n">
        <f aca="false">-1+C1289*0.125</f>
        <v>0.125</v>
      </c>
      <c r="G1289" s="0" t="n">
        <f aca="false">1</f>
        <v>1</v>
      </c>
      <c r="H1289" s="0" t="n">
        <f aca="false">D1289</f>
        <v>-0.5</v>
      </c>
      <c r="I1289" s="0" t="n">
        <f aca="false">E1289</f>
        <v>-0.125</v>
      </c>
      <c r="J1289" s="0" t="n">
        <f aca="false">F1289</f>
        <v>0.125</v>
      </c>
      <c r="K1289" s="0" t="n">
        <f aca="false">D1289*E1289</f>
        <v>0.0625</v>
      </c>
      <c r="L1289" s="0" t="n">
        <f aca="false">D1289*F1289</f>
        <v>-0.0625</v>
      </c>
      <c r="M1289" s="0" t="n">
        <f aca="false">E1289*F1289</f>
        <v>-0.015625</v>
      </c>
      <c r="N1289" s="0" t="n">
        <f aca="false">D1289*D1289</f>
        <v>0.25</v>
      </c>
      <c r="O1289" s="0" t="n">
        <f aca="false">E1289*E1289</f>
        <v>0.015625</v>
      </c>
      <c r="P1289" s="0" t="n">
        <f aca="false">F1289*F1289</f>
        <v>0.015625</v>
      </c>
      <c r="Q1289" s="0" t="n">
        <f aca="false">SUMPRODUCT(G1289:P1289,_XtX!$B$71:$K$71)</f>
        <v>46.3941761363636</v>
      </c>
      <c r="R1289" s="0" t="n">
        <f aca="false">SUMPRODUCT(MMULT(G1289:P1289,_XtX!$B$58:$K$67),G1289:P1289)</f>
        <v>0.142453280362216</v>
      </c>
      <c r="S1289" s="0" t="n">
        <f aca="false">04_回帰ANOVA!$K$19*04_回帰ANOVA!$K$14*SQRT(1+R1289)</f>
        <v>0.99376995072785</v>
      </c>
      <c r="T1289" s="0" t="n">
        <f aca="false">Q1289-S1289</f>
        <v>45.4004061856358</v>
      </c>
      <c r="U1289" s="0" t="n">
        <f aca="false">Q1289+S1289</f>
        <v>47.3879460870915</v>
      </c>
      <c r="V1289" s="54" t="b">
        <f aca="false">AND(D1289&gt;=01_因子設定!$L$5-0.000000001,D1289&lt;=01_因子設定!$M$5+0.000000001,E1289&gt;=01_因子設定!$L$6-0.000000001,E1289&lt;=01_因子設定!$M$6+0.000000001,F1289&gt;=01_因子設定!$L$7-0.000000001,F1289&lt;=01_因子設定!$M$7+0.000000001,IF(01_因子設定!$B$20="Box-Behnken",D1289^2+E1289^2+F1289^2&lt;=2+0.000000001,TRUE()))</f>
        <v>1</v>
      </c>
      <c r="W1289" s="55" t="n">
        <f aca="false">IF(V1289,IF(01_因子設定!$B$13="最大化",T1289-01_因子設定!$B$14,IF(01_因子設定!$B$13="最小化",01_因子設定!$B$15-U1289,MIN(T1289-01_因子設定!$B$14,01_因子設定!$B$15-U1289))),-1E+030)</f>
        <v>-3.09959381436421</v>
      </c>
      <c r="X1289" s="55" t="n">
        <f aca="false">IF(V1289,IF(01_因子設定!$B$13="最大化",Q1289,IF(01_因子設定!$B$13="最小化",-Q1289,-ABS(Q1289-01_因子設定!$B$16))),-1E+030)</f>
        <v>46.3941761363636</v>
      </c>
      <c r="Y1289" s="55" t="n">
        <f aca="false">W1289+ROW()*0.000000001</f>
        <v>-3.09959252536421</v>
      </c>
      <c r="Z1289" s="55" t="n">
        <f aca="false">X1289+ROW()*0.000000001</f>
        <v>46.3941774253636</v>
      </c>
    </row>
    <row r="1290" customFormat="false" ht="15" hidden="false" customHeight="false" outlineLevel="0" collapsed="false">
      <c r="A1290" s="0" t="n">
        <v>4</v>
      </c>
      <c r="B1290" s="0" t="n">
        <v>7</v>
      </c>
      <c r="C1290" s="0" t="n">
        <v>10</v>
      </c>
      <c r="D1290" s="0" t="n">
        <f aca="false">-1+A1290*0.125</f>
        <v>-0.5</v>
      </c>
      <c r="E1290" s="0" t="n">
        <f aca="false">-1+B1290*0.125</f>
        <v>-0.125</v>
      </c>
      <c r="F1290" s="0" t="n">
        <f aca="false">-1+C1290*0.125</f>
        <v>0.25</v>
      </c>
      <c r="G1290" s="0" t="n">
        <f aca="false">1</f>
        <v>1</v>
      </c>
      <c r="H1290" s="0" t="n">
        <f aca="false">D1290</f>
        <v>-0.5</v>
      </c>
      <c r="I1290" s="0" t="n">
        <f aca="false">E1290</f>
        <v>-0.125</v>
      </c>
      <c r="J1290" s="0" t="n">
        <f aca="false">F1290</f>
        <v>0.25</v>
      </c>
      <c r="K1290" s="0" t="n">
        <f aca="false">D1290*E1290</f>
        <v>0.0625</v>
      </c>
      <c r="L1290" s="0" t="n">
        <f aca="false">D1290*F1290</f>
        <v>-0.125</v>
      </c>
      <c r="M1290" s="0" t="n">
        <f aca="false">E1290*F1290</f>
        <v>-0.03125</v>
      </c>
      <c r="N1290" s="0" t="n">
        <f aca="false">D1290*D1290</f>
        <v>0.25</v>
      </c>
      <c r="O1290" s="0" t="n">
        <f aca="false">E1290*E1290</f>
        <v>0.015625</v>
      </c>
      <c r="P1290" s="0" t="n">
        <f aca="false">F1290*F1290</f>
        <v>0.0625</v>
      </c>
      <c r="Q1290" s="0" t="n">
        <f aca="false">SUMPRODUCT(G1290:P1290,_XtX!$B$71:$K$71)</f>
        <v>46.5138352272727</v>
      </c>
      <c r="R1290" s="0" t="n">
        <f aca="false">SUMPRODUCT(MMULT(G1290:P1290,_XtX!$B$58:$K$67),G1290:P1290)</f>
        <v>0.142371715198864</v>
      </c>
      <c r="S1290" s="0" t="n">
        <f aca="false">04_回帰ANOVA!$K$19*04_回帰ANOVA!$K$14*SQRT(1+R1290)</f>
        <v>0.99373447511735</v>
      </c>
      <c r="T1290" s="0" t="n">
        <f aca="false">Q1290-S1290</f>
        <v>45.5201007521554</v>
      </c>
      <c r="U1290" s="0" t="n">
        <f aca="false">Q1290+S1290</f>
        <v>47.5075697023901</v>
      </c>
      <c r="V1290" s="54" t="b">
        <f aca="false">AND(D1290&gt;=01_因子設定!$L$5-0.000000001,D1290&lt;=01_因子設定!$M$5+0.000000001,E1290&gt;=01_因子設定!$L$6-0.000000001,E1290&lt;=01_因子設定!$M$6+0.000000001,F1290&gt;=01_因子設定!$L$7-0.000000001,F1290&lt;=01_因子設定!$M$7+0.000000001,IF(01_因子設定!$B$20="Box-Behnken",D1290^2+E1290^2+F1290^2&lt;=2+0.000000001,TRUE()))</f>
        <v>1</v>
      </c>
      <c r="W1290" s="55" t="n">
        <f aca="false">IF(V1290,IF(01_因子設定!$B$13="最大化",T1290-01_因子設定!$B$14,IF(01_因子設定!$B$13="最小化",01_因子設定!$B$15-U1290,MIN(T1290-01_因子設定!$B$14,01_因子設定!$B$15-U1290))),-1E+030)</f>
        <v>-2.97989924784462</v>
      </c>
      <c r="X1290" s="55" t="n">
        <f aca="false">IF(V1290,IF(01_因子設定!$B$13="最大化",Q1290,IF(01_因子設定!$B$13="最小化",-Q1290,-ABS(Q1290-01_因子設定!$B$16))),-1E+030)</f>
        <v>46.5138352272727</v>
      </c>
      <c r="Y1290" s="55" t="n">
        <f aca="false">W1290+ROW()*0.000000001</f>
        <v>-2.97989795784462</v>
      </c>
      <c r="Z1290" s="55" t="n">
        <f aca="false">X1290+ROW()*0.000000001</f>
        <v>46.5138365172727</v>
      </c>
    </row>
    <row r="1291" customFormat="false" ht="15" hidden="false" customHeight="false" outlineLevel="0" collapsed="false">
      <c r="A1291" s="0" t="n">
        <v>4</v>
      </c>
      <c r="B1291" s="0" t="n">
        <v>7</v>
      </c>
      <c r="C1291" s="0" t="n">
        <v>11</v>
      </c>
      <c r="D1291" s="0" t="n">
        <f aca="false">-1+A1291*0.125</f>
        <v>-0.5</v>
      </c>
      <c r="E1291" s="0" t="n">
        <f aca="false">-1+B1291*0.125</f>
        <v>-0.125</v>
      </c>
      <c r="F1291" s="0" t="n">
        <f aca="false">-1+C1291*0.125</f>
        <v>0.375</v>
      </c>
      <c r="G1291" s="0" t="n">
        <f aca="false">1</f>
        <v>1</v>
      </c>
      <c r="H1291" s="0" t="n">
        <f aca="false">D1291</f>
        <v>-0.5</v>
      </c>
      <c r="I1291" s="0" t="n">
        <f aca="false">E1291</f>
        <v>-0.125</v>
      </c>
      <c r="J1291" s="0" t="n">
        <f aca="false">F1291</f>
        <v>0.375</v>
      </c>
      <c r="K1291" s="0" t="n">
        <f aca="false">D1291*E1291</f>
        <v>0.0625</v>
      </c>
      <c r="L1291" s="0" t="n">
        <f aca="false">D1291*F1291</f>
        <v>-0.1875</v>
      </c>
      <c r="M1291" s="0" t="n">
        <f aca="false">E1291*F1291</f>
        <v>-0.046875</v>
      </c>
      <c r="N1291" s="0" t="n">
        <f aca="false">D1291*D1291</f>
        <v>0.25</v>
      </c>
      <c r="O1291" s="0" t="n">
        <f aca="false">E1291*E1291</f>
        <v>0.015625</v>
      </c>
      <c r="P1291" s="0" t="n">
        <f aca="false">F1291*F1291</f>
        <v>0.140625</v>
      </c>
      <c r="Q1291" s="0" t="n">
        <f aca="false">SUMPRODUCT(G1291:P1291,_XtX!$B$71:$K$71)</f>
        <v>46.5967045454546</v>
      </c>
      <c r="R1291" s="0" t="n">
        <f aca="false">SUMPRODUCT(MMULT(G1291:P1291,_XtX!$B$58:$K$67),G1291:P1291)</f>
        <v>0.14578690962358</v>
      </c>
      <c r="S1291" s="0" t="n">
        <f aca="false">04_回帰ANOVA!$K$19*04_回帰ANOVA!$K$14*SQRT(1+R1291)</f>
        <v>0.995218783457917</v>
      </c>
      <c r="T1291" s="0" t="n">
        <f aca="false">Q1291-S1291</f>
        <v>45.6014857619966</v>
      </c>
      <c r="U1291" s="0" t="n">
        <f aca="false">Q1291+S1291</f>
        <v>47.5919233289125</v>
      </c>
      <c r="V1291" s="54" t="b">
        <f aca="false">AND(D1291&gt;=01_因子設定!$L$5-0.000000001,D1291&lt;=01_因子設定!$M$5+0.000000001,E1291&gt;=01_因子設定!$L$6-0.000000001,E1291&lt;=01_因子設定!$M$6+0.000000001,F1291&gt;=01_因子設定!$L$7-0.000000001,F1291&lt;=01_因子設定!$M$7+0.000000001,IF(01_因子設定!$B$20="Box-Behnken",D1291^2+E1291^2+F1291^2&lt;=2+0.000000001,TRUE()))</f>
        <v>1</v>
      </c>
      <c r="W1291" s="55" t="n">
        <f aca="false">IF(V1291,IF(01_因子設定!$B$13="最大化",T1291-01_因子設定!$B$14,IF(01_因子設定!$B$13="最小化",01_因子設定!$B$15-U1291,MIN(T1291-01_因子設定!$B$14,01_因子設定!$B$15-U1291))),-1E+030)</f>
        <v>-2.89851423800337</v>
      </c>
      <c r="X1291" s="55" t="n">
        <f aca="false">IF(V1291,IF(01_因子設定!$B$13="最大化",Q1291,IF(01_因子設定!$B$13="最小化",-Q1291,-ABS(Q1291-01_因子設定!$B$16))),-1E+030)</f>
        <v>46.5967045454546</v>
      </c>
      <c r="Y1291" s="55" t="n">
        <f aca="false">W1291+ROW()*0.000000001</f>
        <v>-2.89851294700337</v>
      </c>
      <c r="Z1291" s="55" t="n">
        <f aca="false">X1291+ROW()*0.000000001</f>
        <v>46.5967058364546</v>
      </c>
    </row>
    <row r="1292" customFormat="false" ht="15" hidden="false" customHeight="false" outlineLevel="0" collapsed="false">
      <c r="A1292" s="0" t="n">
        <v>4</v>
      </c>
      <c r="B1292" s="0" t="n">
        <v>7</v>
      </c>
      <c r="C1292" s="0" t="n">
        <v>12</v>
      </c>
      <c r="D1292" s="0" t="n">
        <f aca="false">-1+A1292*0.125</f>
        <v>-0.5</v>
      </c>
      <c r="E1292" s="0" t="n">
        <f aca="false">-1+B1292*0.125</f>
        <v>-0.125</v>
      </c>
      <c r="F1292" s="0" t="n">
        <f aca="false">-1+C1292*0.125</f>
        <v>0.5</v>
      </c>
      <c r="G1292" s="0" t="n">
        <f aca="false">1</f>
        <v>1</v>
      </c>
      <c r="H1292" s="0" t="n">
        <f aca="false">D1292</f>
        <v>-0.5</v>
      </c>
      <c r="I1292" s="0" t="n">
        <f aca="false">E1292</f>
        <v>-0.125</v>
      </c>
      <c r="J1292" s="0" t="n">
        <f aca="false">F1292</f>
        <v>0.5</v>
      </c>
      <c r="K1292" s="0" t="n">
        <f aca="false">D1292*E1292</f>
        <v>0.0625</v>
      </c>
      <c r="L1292" s="0" t="n">
        <f aca="false">D1292*F1292</f>
        <v>-0.25</v>
      </c>
      <c r="M1292" s="0" t="n">
        <f aca="false">E1292*F1292</f>
        <v>-0.0625</v>
      </c>
      <c r="N1292" s="0" t="n">
        <f aca="false">D1292*D1292</f>
        <v>0.25</v>
      </c>
      <c r="O1292" s="0" t="n">
        <f aca="false">E1292*E1292</f>
        <v>0.015625</v>
      </c>
      <c r="P1292" s="0" t="n">
        <f aca="false">F1292*F1292</f>
        <v>0.25</v>
      </c>
      <c r="Q1292" s="0" t="n">
        <f aca="false">SUMPRODUCT(G1292:P1292,_XtX!$B$71:$K$71)</f>
        <v>46.6427840909091</v>
      </c>
      <c r="R1292" s="0" t="n">
        <f aca="false">SUMPRODUCT(MMULT(G1292:P1292,_XtX!$B$58:$K$67),G1292:P1292)</f>
        <v>0.158025568181818</v>
      </c>
      <c r="S1292" s="0" t="n">
        <f aca="false">04_回帰ANOVA!$K$19*04_回帰ANOVA!$K$14*SQRT(1+R1292)</f>
        <v>1.00051985207691</v>
      </c>
      <c r="T1292" s="0" t="n">
        <f aca="false">Q1292-S1292</f>
        <v>45.6422642388322</v>
      </c>
      <c r="U1292" s="0" t="n">
        <f aca="false">Q1292+S1292</f>
        <v>47.643303942986</v>
      </c>
      <c r="V1292" s="54" t="b">
        <f aca="false">AND(D1292&gt;=01_因子設定!$L$5-0.000000001,D1292&lt;=01_因子設定!$M$5+0.000000001,E1292&gt;=01_因子設定!$L$6-0.000000001,E1292&lt;=01_因子設定!$M$6+0.000000001,F1292&gt;=01_因子設定!$L$7-0.000000001,F1292&lt;=01_因子設定!$M$7+0.000000001,IF(01_因子設定!$B$20="Box-Behnken",D1292^2+E1292^2+F1292^2&lt;=2+0.000000001,TRUE()))</f>
        <v>1</v>
      </c>
      <c r="W1292" s="55" t="n">
        <f aca="false">IF(V1292,IF(01_因子設定!$B$13="最大化",T1292-01_因子設定!$B$14,IF(01_因子設定!$B$13="最小化",01_因子設定!$B$15-U1292,MIN(T1292-01_因子設定!$B$14,01_因子設定!$B$15-U1292))),-1E+030)</f>
        <v>-2.85773576116781</v>
      </c>
      <c r="X1292" s="55" t="n">
        <f aca="false">IF(V1292,IF(01_因子設定!$B$13="最大化",Q1292,IF(01_因子設定!$B$13="最小化",-Q1292,-ABS(Q1292-01_因子設定!$B$16))),-1E+030)</f>
        <v>46.6427840909091</v>
      </c>
      <c r="Y1292" s="55" t="n">
        <f aca="false">W1292+ROW()*0.000000001</f>
        <v>-2.85773446916781</v>
      </c>
      <c r="Z1292" s="55" t="n">
        <f aca="false">X1292+ROW()*0.000000001</f>
        <v>46.6427853829091</v>
      </c>
    </row>
    <row r="1293" customFormat="false" ht="15" hidden="false" customHeight="false" outlineLevel="0" collapsed="false">
      <c r="A1293" s="0" t="n">
        <v>4</v>
      </c>
      <c r="B1293" s="0" t="n">
        <v>7</v>
      </c>
      <c r="C1293" s="0" t="n">
        <v>13</v>
      </c>
      <c r="D1293" s="0" t="n">
        <f aca="false">-1+A1293*0.125</f>
        <v>-0.5</v>
      </c>
      <c r="E1293" s="0" t="n">
        <f aca="false">-1+B1293*0.125</f>
        <v>-0.125</v>
      </c>
      <c r="F1293" s="0" t="n">
        <f aca="false">-1+C1293*0.125</f>
        <v>0.625</v>
      </c>
      <c r="G1293" s="0" t="n">
        <f aca="false">1</f>
        <v>1</v>
      </c>
      <c r="H1293" s="0" t="n">
        <f aca="false">D1293</f>
        <v>-0.5</v>
      </c>
      <c r="I1293" s="0" t="n">
        <f aca="false">E1293</f>
        <v>-0.125</v>
      </c>
      <c r="J1293" s="0" t="n">
        <f aca="false">F1293</f>
        <v>0.625</v>
      </c>
      <c r="K1293" s="0" t="n">
        <f aca="false">D1293*E1293</f>
        <v>0.0625</v>
      </c>
      <c r="L1293" s="0" t="n">
        <f aca="false">D1293*F1293</f>
        <v>-0.3125</v>
      </c>
      <c r="M1293" s="0" t="n">
        <f aca="false">E1293*F1293</f>
        <v>-0.078125</v>
      </c>
      <c r="N1293" s="0" t="n">
        <f aca="false">D1293*D1293</f>
        <v>0.25</v>
      </c>
      <c r="O1293" s="0" t="n">
        <f aca="false">E1293*E1293</f>
        <v>0.015625</v>
      </c>
      <c r="P1293" s="0" t="n">
        <f aca="false">F1293*F1293</f>
        <v>0.390625</v>
      </c>
      <c r="Q1293" s="0" t="n">
        <f aca="false">SUMPRODUCT(G1293:P1293,_XtX!$B$71:$K$71)</f>
        <v>46.6520738636364</v>
      </c>
      <c r="R1293" s="0" t="n">
        <f aca="false">SUMPRODUCT(MMULT(G1293:P1293,_XtX!$B$58:$K$67),G1293:P1293)</f>
        <v>0.186545077237216</v>
      </c>
      <c r="S1293" s="0" t="n">
        <f aca="false">04_回帰ANOVA!$K$19*04_回帰ANOVA!$K$14*SQRT(1+R1293)</f>
        <v>1.01276516970713</v>
      </c>
      <c r="T1293" s="0" t="n">
        <f aca="false">Q1293-S1293</f>
        <v>45.6393086939292</v>
      </c>
      <c r="U1293" s="0" t="n">
        <f aca="false">Q1293+S1293</f>
        <v>47.6648390333435</v>
      </c>
      <c r="V1293" s="54" t="b">
        <f aca="false">AND(D1293&gt;=01_因子設定!$L$5-0.000000001,D1293&lt;=01_因子設定!$M$5+0.000000001,E1293&gt;=01_因子設定!$L$6-0.000000001,E1293&lt;=01_因子設定!$M$6+0.000000001,F1293&gt;=01_因子設定!$L$7-0.000000001,F1293&lt;=01_因子設定!$M$7+0.000000001,IF(01_因子設定!$B$20="Box-Behnken",D1293^2+E1293^2+F1293^2&lt;=2+0.000000001,TRUE()))</f>
        <v>1</v>
      </c>
      <c r="W1293" s="55" t="n">
        <f aca="false">IF(V1293,IF(01_因子設定!$B$13="最大化",T1293-01_因子設定!$B$14,IF(01_因子設定!$B$13="最小化",01_因子設定!$B$15-U1293,MIN(T1293-01_因子設定!$B$14,01_因子設定!$B$15-U1293))),-1E+030)</f>
        <v>-2.86069130607076</v>
      </c>
      <c r="X1293" s="55" t="n">
        <f aca="false">IF(V1293,IF(01_因子設定!$B$13="最大化",Q1293,IF(01_因子設定!$B$13="最小化",-Q1293,-ABS(Q1293-01_因子設定!$B$16))),-1E+030)</f>
        <v>46.6520738636364</v>
      </c>
      <c r="Y1293" s="55" t="n">
        <f aca="false">W1293+ROW()*0.000000001</f>
        <v>-2.86069001307076</v>
      </c>
      <c r="Z1293" s="55" t="n">
        <f aca="false">X1293+ROW()*0.000000001</f>
        <v>46.6520751566364</v>
      </c>
    </row>
    <row r="1294" customFormat="false" ht="15" hidden="false" customHeight="false" outlineLevel="0" collapsed="false">
      <c r="A1294" s="0" t="n">
        <v>4</v>
      </c>
      <c r="B1294" s="0" t="n">
        <v>7</v>
      </c>
      <c r="C1294" s="0" t="n">
        <v>14</v>
      </c>
      <c r="D1294" s="0" t="n">
        <f aca="false">-1+A1294*0.125</f>
        <v>-0.5</v>
      </c>
      <c r="E1294" s="0" t="n">
        <f aca="false">-1+B1294*0.125</f>
        <v>-0.125</v>
      </c>
      <c r="F1294" s="0" t="n">
        <f aca="false">-1+C1294*0.125</f>
        <v>0.75</v>
      </c>
      <c r="G1294" s="0" t="n">
        <f aca="false">1</f>
        <v>1</v>
      </c>
      <c r="H1294" s="0" t="n">
        <f aca="false">D1294</f>
        <v>-0.5</v>
      </c>
      <c r="I1294" s="0" t="n">
        <f aca="false">E1294</f>
        <v>-0.125</v>
      </c>
      <c r="J1294" s="0" t="n">
        <f aca="false">F1294</f>
        <v>0.75</v>
      </c>
      <c r="K1294" s="0" t="n">
        <f aca="false">D1294*E1294</f>
        <v>0.0625</v>
      </c>
      <c r="L1294" s="0" t="n">
        <f aca="false">D1294*F1294</f>
        <v>-0.375</v>
      </c>
      <c r="M1294" s="0" t="n">
        <f aca="false">E1294*F1294</f>
        <v>-0.09375</v>
      </c>
      <c r="N1294" s="0" t="n">
        <f aca="false">D1294*D1294</f>
        <v>0.25</v>
      </c>
      <c r="O1294" s="0" t="n">
        <f aca="false">E1294*E1294</f>
        <v>0.015625</v>
      </c>
      <c r="P1294" s="0" t="n">
        <f aca="false">F1294*F1294</f>
        <v>0.5625</v>
      </c>
      <c r="Q1294" s="0" t="n">
        <f aca="false">SUMPRODUCT(G1294:P1294,_XtX!$B$71:$K$71)</f>
        <v>46.6245738636364</v>
      </c>
      <c r="R1294" s="0" t="n">
        <f aca="false">SUMPRODUCT(MMULT(G1294:P1294,_XtX!$B$58:$K$67),G1294:P1294)</f>
        <v>0.240933504971591</v>
      </c>
      <c r="S1294" s="0" t="n">
        <f aca="false">04_回帰ANOVA!$K$19*04_回帰ANOVA!$K$14*SQRT(1+R1294)</f>
        <v>1.03571649118863</v>
      </c>
      <c r="T1294" s="0" t="n">
        <f aca="false">Q1294-S1294</f>
        <v>45.5888573724478</v>
      </c>
      <c r="U1294" s="0" t="n">
        <f aca="false">Q1294+S1294</f>
        <v>47.660290354825</v>
      </c>
      <c r="V1294" s="54" t="b">
        <f aca="false">AND(D1294&gt;=01_因子設定!$L$5-0.000000001,D1294&lt;=01_因子設定!$M$5+0.000000001,E1294&gt;=01_因子設定!$L$6-0.000000001,E1294&lt;=01_因子設定!$M$6+0.000000001,F1294&gt;=01_因子設定!$L$7-0.000000001,F1294&lt;=01_因子設定!$M$7+0.000000001,IF(01_因子設定!$B$20="Box-Behnken",D1294^2+E1294^2+F1294^2&lt;=2+0.000000001,TRUE()))</f>
        <v>1</v>
      </c>
      <c r="W1294" s="55" t="n">
        <f aca="false">IF(V1294,IF(01_因子設定!$B$13="最大化",T1294-01_因子設定!$B$14,IF(01_因子設定!$B$13="最小化",01_因子設定!$B$15-U1294,MIN(T1294-01_因子設定!$B$14,01_因子設定!$B$15-U1294))),-1E+030)</f>
        <v>-2.91114262755224</v>
      </c>
      <c r="X1294" s="55" t="n">
        <f aca="false">IF(V1294,IF(01_因子設定!$B$13="最大化",Q1294,IF(01_因子設定!$B$13="最小化",-Q1294,-ABS(Q1294-01_因子設定!$B$16))),-1E+030)</f>
        <v>46.6245738636364</v>
      </c>
      <c r="Y1294" s="55" t="n">
        <f aca="false">W1294+ROW()*0.000000001</f>
        <v>-2.91114133355224</v>
      </c>
      <c r="Z1294" s="55" t="n">
        <f aca="false">X1294+ROW()*0.000000001</f>
        <v>46.6245751576364</v>
      </c>
    </row>
    <row r="1295" customFormat="false" ht="15" hidden="false" customHeight="false" outlineLevel="0" collapsed="false">
      <c r="A1295" s="0" t="n">
        <v>4</v>
      </c>
      <c r="B1295" s="0" t="n">
        <v>7</v>
      </c>
      <c r="C1295" s="0" t="n">
        <v>15</v>
      </c>
      <c r="D1295" s="0" t="n">
        <f aca="false">-1+A1295*0.125</f>
        <v>-0.5</v>
      </c>
      <c r="E1295" s="0" t="n">
        <f aca="false">-1+B1295*0.125</f>
        <v>-0.125</v>
      </c>
      <c r="F1295" s="0" t="n">
        <f aca="false">-1+C1295*0.125</f>
        <v>0.875</v>
      </c>
      <c r="G1295" s="0" t="n">
        <f aca="false">1</f>
        <v>1</v>
      </c>
      <c r="H1295" s="0" t="n">
        <f aca="false">D1295</f>
        <v>-0.5</v>
      </c>
      <c r="I1295" s="0" t="n">
        <f aca="false">E1295</f>
        <v>-0.125</v>
      </c>
      <c r="J1295" s="0" t="n">
        <f aca="false">F1295</f>
        <v>0.875</v>
      </c>
      <c r="K1295" s="0" t="n">
        <f aca="false">D1295*E1295</f>
        <v>0.0625</v>
      </c>
      <c r="L1295" s="0" t="n">
        <f aca="false">D1295*F1295</f>
        <v>-0.4375</v>
      </c>
      <c r="M1295" s="0" t="n">
        <f aca="false">E1295*F1295</f>
        <v>-0.109375</v>
      </c>
      <c r="N1295" s="0" t="n">
        <f aca="false">D1295*D1295</f>
        <v>0.25</v>
      </c>
      <c r="O1295" s="0" t="n">
        <f aca="false">E1295*E1295</f>
        <v>0.015625</v>
      </c>
      <c r="P1295" s="0" t="n">
        <f aca="false">F1295*F1295</f>
        <v>0.765625</v>
      </c>
      <c r="Q1295" s="0" t="n">
        <f aca="false">SUMPRODUCT(G1295:P1295,_XtX!$B$71:$K$71)</f>
        <v>46.5602840909091</v>
      </c>
      <c r="R1295" s="0" t="n">
        <f aca="false">SUMPRODUCT(MMULT(G1295:P1295,_XtX!$B$58:$K$67),G1295:P1295)</f>
        <v>0.332909601384943</v>
      </c>
      <c r="S1295" s="0" t="n">
        <f aca="false">04_回帰ANOVA!$K$19*04_回帰ANOVA!$K$14*SQRT(1+R1295)</f>
        <v>1.07341333007404</v>
      </c>
      <c r="T1295" s="0" t="n">
        <f aca="false">Q1295-S1295</f>
        <v>45.4868707608351</v>
      </c>
      <c r="U1295" s="0" t="n">
        <f aca="false">Q1295+S1295</f>
        <v>47.6336974209832</v>
      </c>
      <c r="V1295" s="54" t="b">
        <f aca="false">AND(D1295&gt;=01_因子設定!$L$5-0.000000001,D1295&lt;=01_因子設定!$M$5+0.000000001,E1295&gt;=01_因子設定!$L$6-0.000000001,E1295&lt;=01_因子設定!$M$6+0.000000001,F1295&gt;=01_因子設定!$L$7-0.000000001,F1295&lt;=01_因子設定!$M$7+0.000000001,IF(01_因子設定!$B$20="Box-Behnken",D1295^2+E1295^2+F1295^2&lt;=2+0.000000001,TRUE()))</f>
        <v>1</v>
      </c>
      <c r="W1295" s="55" t="n">
        <f aca="false">IF(V1295,IF(01_因子設定!$B$13="最大化",T1295-01_因子設定!$B$14,IF(01_因子設定!$B$13="最小化",01_因子設定!$B$15-U1295,MIN(T1295-01_因子設定!$B$14,01_因子設定!$B$15-U1295))),-1E+030)</f>
        <v>-3.01312923916493</v>
      </c>
      <c r="X1295" s="55" t="n">
        <f aca="false">IF(V1295,IF(01_因子設定!$B$13="最大化",Q1295,IF(01_因子設定!$B$13="最小化",-Q1295,-ABS(Q1295-01_因子設定!$B$16))),-1E+030)</f>
        <v>46.5602840909091</v>
      </c>
      <c r="Y1295" s="55" t="n">
        <f aca="false">W1295+ROW()*0.000000001</f>
        <v>-3.01312794416493</v>
      </c>
      <c r="Z1295" s="55" t="n">
        <f aca="false">X1295+ROW()*0.000000001</f>
        <v>46.5602853859091</v>
      </c>
    </row>
    <row r="1296" customFormat="false" ht="15" hidden="false" customHeight="false" outlineLevel="0" collapsed="false">
      <c r="A1296" s="0" t="n">
        <v>4</v>
      </c>
      <c r="B1296" s="0" t="n">
        <v>7</v>
      </c>
      <c r="C1296" s="0" t="n">
        <v>16</v>
      </c>
      <c r="D1296" s="0" t="n">
        <f aca="false">-1+A1296*0.125</f>
        <v>-0.5</v>
      </c>
      <c r="E1296" s="0" t="n">
        <f aca="false">-1+B1296*0.125</f>
        <v>-0.125</v>
      </c>
      <c r="F1296" s="0" t="n">
        <f aca="false">-1+C1296*0.125</f>
        <v>1</v>
      </c>
      <c r="G1296" s="0" t="n">
        <f aca="false">1</f>
        <v>1</v>
      </c>
      <c r="H1296" s="0" t="n">
        <f aca="false">D1296</f>
        <v>-0.5</v>
      </c>
      <c r="I1296" s="0" t="n">
        <f aca="false">E1296</f>
        <v>-0.125</v>
      </c>
      <c r="J1296" s="0" t="n">
        <f aca="false">F1296</f>
        <v>1</v>
      </c>
      <c r="K1296" s="0" t="n">
        <f aca="false">D1296*E1296</f>
        <v>0.0625</v>
      </c>
      <c r="L1296" s="0" t="n">
        <f aca="false">D1296*F1296</f>
        <v>-0.5</v>
      </c>
      <c r="M1296" s="0" t="n">
        <f aca="false">E1296*F1296</f>
        <v>-0.125</v>
      </c>
      <c r="N1296" s="0" t="n">
        <f aca="false">D1296*D1296</f>
        <v>0.25</v>
      </c>
      <c r="O1296" s="0" t="n">
        <f aca="false">E1296*E1296</f>
        <v>0.015625</v>
      </c>
      <c r="P1296" s="0" t="n">
        <f aca="false">F1296*F1296</f>
        <v>1</v>
      </c>
      <c r="Q1296" s="0" t="n">
        <f aca="false">SUMPRODUCT(G1296:P1296,_XtX!$B$71:$K$71)</f>
        <v>46.4592045454546</v>
      </c>
      <c r="R1296" s="0" t="n">
        <f aca="false">SUMPRODUCT(MMULT(G1296:P1296,_XtX!$B$58:$K$67),G1296:P1296)</f>
        <v>0.476322798295455</v>
      </c>
      <c r="S1296" s="0" t="n">
        <f aca="false">04_回帰ANOVA!$K$19*04_回帰ANOVA!$K$14*SQRT(1+R1296)</f>
        <v>1.12968483630128</v>
      </c>
      <c r="T1296" s="0" t="n">
        <f aca="false">Q1296-S1296</f>
        <v>45.3295197091533</v>
      </c>
      <c r="U1296" s="0" t="n">
        <f aca="false">Q1296+S1296</f>
        <v>47.5888893817559</v>
      </c>
      <c r="V1296" s="54" t="b">
        <f aca="false">AND(D1296&gt;=01_因子設定!$L$5-0.000000001,D1296&lt;=01_因子設定!$M$5+0.000000001,E1296&gt;=01_因子設定!$L$6-0.000000001,E1296&lt;=01_因子設定!$M$6+0.000000001,F1296&gt;=01_因子設定!$L$7-0.000000001,F1296&lt;=01_因子設定!$M$7+0.000000001,IF(01_因子設定!$B$20="Box-Behnken",D1296^2+E1296^2+F1296^2&lt;=2+0.000000001,TRUE()))</f>
        <v>1</v>
      </c>
      <c r="W1296" s="55" t="n">
        <f aca="false">IF(V1296,IF(01_因子設定!$B$13="最大化",T1296-01_因子設定!$B$14,IF(01_因子設定!$B$13="最小化",01_因子設定!$B$15-U1296,MIN(T1296-01_因子設定!$B$14,01_因子設定!$B$15-U1296))),-1E+030)</f>
        <v>-3.17048029084671</v>
      </c>
      <c r="X1296" s="55" t="n">
        <f aca="false">IF(V1296,IF(01_因子設定!$B$13="最大化",Q1296,IF(01_因子設定!$B$13="最小化",-Q1296,-ABS(Q1296-01_因子設定!$B$16))),-1E+030)</f>
        <v>46.4592045454546</v>
      </c>
      <c r="Y1296" s="55" t="n">
        <f aca="false">W1296+ROW()*0.000000001</f>
        <v>-3.17047899484671</v>
      </c>
      <c r="Z1296" s="55" t="n">
        <f aca="false">X1296+ROW()*0.000000001</f>
        <v>46.4592058414546</v>
      </c>
    </row>
    <row r="1297" customFormat="false" ht="15" hidden="false" customHeight="false" outlineLevel="0" collapsed="false">
      <c r="A1297" s="0" t="n">
        <v>4</v>
      </c>
      <c r="B1297" s="0" t="n">
        <v>8</v>
      </c>
      <c r="C1297" s="0" t="n">
        <v>0</v>
      </c>
      <c r="D1297" s="0" t="n">
        <f aca="false">-1+A1297*0.125</f>
        <v>-0.5</v>
      </c>
      <c r="E1297" s="0" t="n">
        <f aca="false">-1+B1297*0.125</f>
        <v>0</v>
      </c>
      <c r="F1297" s="0" t="n">
        <f aca="false">-1+C1297*0.125</f>
        <v>-1</v>
      </c>
      <c r="G1297" s="0" t="n">
        <f aca="false">1</f>
        <v>1</v>
      </c>
      <c r="H1297" s="0" t="n">
        <f aca="false">D1297</f>
        <v>-0.5</v>
      </c>
      <c r="I1297" s="0" t="n">
        <f aca="false">E1297</f>
        <v>0</v>
      </c>
      <c r="J1297" s="0" t="n">
        <f aca="false">F1297</f>
        <v>-1</v>
      </c>
      <c r="K1297" s="0" t="n">
        <f aca="false">D1297*E1297</f>
        <v>-0</v>
      </c>
      <c r="L1297" s="0" t="n">
        <f aca="false">D1297*F1297</f>
        <v>0.5</v>
      </c>
      <c r="M1297" s="0" t="n">
        <f aca="false">E1297*F1297</f>
        <v>-0</v>
      </c>
      <c r="N1297" s="0" t="n">
        <f aca="false">D1297*D1297</f>
        <v>0.25</v>
      </c>
      <c r="O1297" s="0" t="n">
        <f aca="false">E1297*E1297</f>
        <v>0</v>
      </c>
      <c r="P1297" s="0" t="n">
        <f aca="false">F1297*F1297</f>
        <v>1</v>
      </c>
      <c r="Q1297" s="0" t="n">
        <f aca="false">SUMPRODUCT(G1297:P1297,_XtX!$B$71:$K$71)</f>
        <v>43.8193181818182</v>
      </c>
      <c r="R1297" s="0" t="n">
        <f aca="false">SUMPRODUCT(MMULT(G1297:P1297,_XtX!$B$58:$K$67),G1297:P1297)</f>
        <v>0.478977272727273</v>
      </c>
      <c r="S1297" s="0" t="n">
        <f aca="false">04_回帰ANOVA!$K$19*04_回帰ANOVA!$K$14*SQRT(1+R1297)</f>
        <v>1.13069998447216</v>
      </c>
      <c r="T1297" s="0" t="n">
        <f aca="false">Q1297-S1297</f>
        <v>42.688618197346</v>
      </c>
      <c r="U1297" s="0" t="n">
        <f aca="false">Q1297+S1297</f>
        <v>44.9500181662904</v>
      </c>
      <c r="V1297" s="54" t="b">
        <f aca="false">AND(D1297&gt;=01_因子設定!$L$5-0.000000001,D1297&lt;=01_因子設定!$M$5+0.000000001,E1297&gt;=01_因子設定!$L$6-0.000000001,E1297&lt;=01_因子設定!$M$6+0.000000001,F1297&gt;=01_因子設定!$L$7-0.000000001,F1297&lt;=01_因子設定!$M$7+0.000000001,IF(01_因子設定!$B$20="Box-Behnken",D1297^2+E1297^2+F1297^2&lt;=2+0.000000001,TRUE()))</f>
        <v>1</v>
      </c>
      <c r="W1297" s="55" t="n">
        <f aca="false">IF(V1297,IF(01_因子設定!$B$13="最大化",T1297-01_因子設定!$B$14,IF(01_因子設定!$B$13="最小化",01_因子設定!$B$15-U1297,MIN(T1297-01_因子設定!$B$14,01_因子設定!$B$15-U1297))),-1E+030)</f>
        <v>-5.81138180265396</v>
      </c>
      <c r="X1297" s="55" t="n">
        <f aca="false">IF(V1297,IF(01_因子設定!$B$13="最大化",Q1297,IF(01_因子設定!$B$13="最小化",-Q1297,-ABS(Q1297-01_因子設定!$B$16))),-1E+030)</f>
        <v>43.8193181818182</v>
      </c>
      <c r="Y1297" s="55" t="n">
        <f aca="false">W1297+ROW()*0.000000001</f>
        <v>-5.81138050565396</v>
      </c>
      <c r="Z1297" s="55" t="n">
        <f aca="false">X1297+ROW()*0.000000001</f>
        <v>43.8193194788182</v>
      </c>
    </row>
    <row r="1298" customFormat="false" ht="15" hidden="false" customHeight="false" outlineLevel="0" collapsed="false">
      <c r="A1298" s="0" t="n">
        <v>4</v>
      </c>
      <c r="B1298" s="0" t="n">
        <v>8</v>
      </c>
      <c r="C1298" s="0" t="n">
        <v>1</v>
      </c>
      <c r="D1298" s="0" t="n">
        <f aca="false">-1+A1298*0.125</f>
        <v>-0.5</v>
      </c>
      <c r="E1298" s="0" t="n">
        <f aca="false">-1+B1298*0.125</f>
        <v>0</v>
      </c>
      <c r="F1298" s="0" t="n">
        <f aca="false">-1+C1298*0.125</f>
        <v>-0.875</v>
      </c>
      <c r="G1298" s="0" t="n">
        <f aca="false">1</f>
        <v>1</v>
      </c>
      <c r="H1298" s="0" t="n">
        <f aca="false">D1298</f>
        <v>-0.5</v>
      </c>
      <c r="I1298" s="0" t="n">
        <f aca="false">E1298</f>
        <v>0</v>
      </c>
      <c r="J1298" s="0" t="n">
        <f aca="false">F1298</f>
        <v>-0.875</v>
      </c>
      <c r="K1298" s="0" t="n">
        <f aca="false">D1298*E1298</f>
        <v>-0</v>
      </c>
      <c r="L1298" s="0" t="n">
        <f aca="false">D1298*F1298</f>
        <v>0.4375</v>
      </c>
      <c r="M1298" s="0" t="n">
        <f aca="false">E1298*F1298</f>
        <v>-0</v>
      </c>
      <c r="N1298" s="0" t="n">
        <f aca="false">D1298*D1298</f>
        <v>0.25</v>
      </c>
      <c r="O1298" s="0" t="n">
        <f aca="false">E1298*E1298</f>
        <v>0</v>
      </c>
      <c r="P1298" s="0" t="n">
        <f aca="false">F1298*F1298</f>
        <v>0.765625</v>
      </c>
      <c r="Q1298" s="0" t="n">
        <f aca="false">SUMPRODUCT(G1298:P1298,_XtX!$B$71:$K$71)</f>
        <v>44.2771164772728</v>
      </c>
      <c r="R1298" s="0" t="n">
        <f aca="false">SUMPRODUCT(MMULT(G1298:P1298,_XtX!$B$58:$K$67),G1298:P1298)</f>
        <v>0.335023082386364</v>
      </c>
      <c r="S1298" s="0" t="n">
        <f aca="false">04_回帰ANOVA!$K$19*04_回帰ANOVA!$K$14*SQRT(1+R1298)</f>
        <v>1.07426400295275</v>
      </c>
      <c r="T1298" s="0" t="n">
        <f aca="false">Q1298-S1298</f>
        <v>43.20285247432</v>
      </c>
      <c r="U1298" s="0" t="n">
        <f aca="false">Q1298+S1298</f>
        <v>45.3513804802255</v>
      </c>
      <c r="V1298" s="54" t="b">
        <f aca="false">AND(D1298&gt;=01_因子設定!$L$5-0.000000001,D1298&lt;=01_因子設定!$M$5+0.000000001,E1298&gt;=01_因子設定!$L$6-0.000000001,E1298&lt;=01_因子設定!$M$6+0.000000001,F1298&gt;=01_因子設定!$L$7-0.000000001,F1298&lt;=01_因子設定!$M$7+0.000000001,IF(01_因子設定!$B$20="Box-Behnken",D1298^2+E1298^2+F1298^2&lt;=2+0.000000001,TRUE()))</f>
        <v>1</v>
      </c>
      <c r="W1298" s="55" t="n">
        <f aca="false">IF(V1298,IF(01_因子設定!$B$13="最大化",T1298-01_因子設定!$B$14,IF(01_因子設定!$B$13="最小化",01_因子設定!$B$15-U1298,MIN(T1298-01_因子設定!$B$14,01_因子設定!$B$15-U1298))),-1E+030)</f>
        <v>-5.29714752568</v>
      </c>
      <c r="X1298" s="55" t="n">
        <f aca="false">IF(V1298,IF(01_因子設定!$B$13="最大化",Q1298,IF(01_因子設定!$B$13="最小化",-Q1298,-ABS(Q1298-01_因子設定!$B$16))),-1E+030)</f>
        <v>44.2771164772728</v>
      </c>
      <c r="Y1298" s="55" t="n">
        <f aca="false">W1298+ROW()*0.000000001</f>
        <v>-5.29714622768</v>
      </c>
      <c r="Z1298" s="55" t="n">
        <f aca="false">X1298+ROW()*0.000000001</f>
        <v>44.2771177752728</v>
      </c>
    </row>
    <row r="1299" customFormat="false" ht="15" hidden="false" customHeight="false" outlineLevel="0" collapsed="false">
      <c r="A1299" s="0" t="n">
        <v>4</v>
      </c>
      <c r="B1299" s="0" t="n">
        <v>8</v>
      </c>
      <c r="C1299" s="0" t="n">
        <v>2</v>
      </c>
      <c r="D1299" s="0" t="n">
        <f aca="false">-1+A1299*0.125</f>
        <v>-0.5</v>
      </c>
      <c r="E1299" s="0" t="n">
        <f aca="false">-1+B1299*0.125</f>
        <v>0</v>
      </c>
      <c r="F1299" s="0" t="n">
        <f aca="false">-1+C1299*0.125</f>
        <v>-0.75</v>
      </c>
      <c r="G1299" s="0" t="n">
        <f aca="false">1</f>
        <v>1</v>
      </c>
      <c r="H1299" s="0" t="n">
        <f aca="false">D1299</f>
        <v>-0.5</v>
      </c>
      <c r="I1299" s="0" t="n">
        <f aca="false">E1299</f>
        <v>0</v>
      </c>
      <c r="J1299" s="0" t="n">
        <f aca="false">F1299</f>
        <v>-0.75</v>
      </c>
      <c r="K1299" s="0" t="n">
        <f aca="false">D1299*E1299</f>
        <v>-0</v>
      </c>
      <c r="L1299" s="0" t="n">
        <f aca="false">D1299*F1299</f>
        <v>0.375</v>
      </c>
      <c r="M1299" s="0" t="n">
        <f aca="false">E1299*F1299</f>
        <v>-0</v>
      </c>
      <c r="N1299" s="0" t="n">
        <f aca="false">D1299*D1299</f>
        <v>0.25</v>
      </c>
      <c r="O1299" s="0" t="n">
        <f aca="false">E1299*E1299</f>
        <v>0</v>
      </c>
      <c r="P1299" s="0" t="n">
        <f aca="false">F1299*F1299</f>
        <v>0.5625</v>
      </c>
      <c r="Q1299" s="0" t="n">
        <f aca="false">SUMPRODUCT(G1299:P1299,_XtX!$B$71:$K$71)</f>
        <v>44.698125</v>
      </c>
      <c r="R1299" s="0" t="n">
        <f aca="false">SUMPRODUCT(MMULT(G1299:P1299,_XtX!$B$58:$K$67),G1299:P1299)</f>
        <v>0.242578125</v>
      </c>
      <c r="S1299" s="0" t="n">
        <f aca="false">04_回帰ANOVA!$K$19*04_回帰ANOVA!$K$14*SQRT(1+R1299)</f>
        <v>1.03640258600455</v>
      </c>
      <c r="T1299" s="0" t="n">
        <f aca="false">Q1299-S1299</f>
        <v>43.6617224139955</v>
      </c>
      <c r="U1299" s="0" t="n">
        <f aca="false">Q1299+S1299</f>
        <v>45.7345275860046</v>
      </c>
      <c r="V1299" s="54" t="b">
        <f aca="false">AND(D1299&gt;=01_因子設定!$L$5-0.000000001,D1299&lt;=01_因子設定!$M$5+0.000000001,E1299&gt;=01_因子設定!$L$6-0.000000001,E1299&lt;=01_因子設定!$M$6+0.000000001,F1299&gt;=01_因子設定!$L$7-0.000000001,F1299&lt;=01_因子設定!$M$7+0.000000001,IF(01_因子設定!$B$20="Box-Behnken",D1299^2+E1299^2+F1299^2&lt;=2+0.000000001,TRUE()))</f>
        <v>1</v>
      </c>
      <c r="W1299" s="55" t="n">
        <f aca="false">IF(V1299,IF(01_因子設定!$B$13="最大化",T1299-01_因子設定!$B$14,IF(01_因子設定!$B$13="最小化",01_因子設定!$B$15-U1299,MIN(T1299-01_因子設定!$B$14,01_因子設定!$B$15-U1299))),-1E+030)</f>
        <v>-4.83827758600454</v>
      </c>
      <c r="X1299" s="55" t="n">
        <f aca="false">IF(V1299,IF(01_因子設定!$B$13="最大化",Q1299,IF(01_因子設定!$B$13="最小化",-Q1299,-ABS(Q1299-01_因子設定!$B$16))),-1E+030)</f>
        <v>44.698125</v>
      </c>
      <c r="Y1299" s="55" t="n">
        <f aca="false">W1299+ROW()*0.000000001</f>
        <v>-4.83827628700454</v>
      </c>
      <c r="Z1299" s="55" t="n">
        <f aca="false">X1299+ROW()*0.000000001</f>
        <v>44.698126299</v>
      </c>
    </row>
    <row r="1300" customFormat="false" ht="15" hidden="false" customHeight="false" outlineLevel="0" collapsed="false">
      <c r="A1300" s="0" t="n">
        <v>4</v>
      </c>
      <c r="B1300" s="0" t="n">
        <v>8</v>
      </c>
      <c r="C1300" s="0" t="n">
        <v>3</v>
      </c>
      <c r="D1300" s="0" t="n">
        <f aca="false">-1+A1300*0.125</f>
        <v>-0.5</v>
      </c>
      <c r="E1300" s="0" t="n">
        <f aca="false">-1+B1300*0.125</f>
        <v>0</v>
      </c>
      <c r="F1300" s="0" t="n">
        <f aca="false">-1+C1300*0.125</f>
        <v>-0.625</v>
      </c>
      <c r="G1300" s="0" t="n">
        <f aca="false">1</f>
        <v>1</v>
      </c>
      <c r="H1300" s="0" t="n">
        <f aca="false">D1300</f>
        <v>-0.5</v>
      </c>
      <c r="I1300" s="0" t="n">
        <f aca="false">E1300</f>
        <v>0</v>
      </c>
      <c r="J1300" s="0" t="n">
        <f aca="false">F1300</f>
        <v>-0.625</v>
      </c>
      <c r="K1300" s="0" t="n">
        <f aca="false">D1300*E1300</f>
        <v>-0</v>
      </c>
      <c r="L1300" s="0" t="n">
        <f aca="false">D1300*F1300</f>
        <v>0.3125</v>
      </c>
      <c r="M1300" s="0" t="n">
        <f aca="false">E1300*F1300</f>
        <v>-0</v>
      </c>
      <c r="N1300" s="0" t="n">
        <f aca="false">D1300*D1300</f>
        <v>0.25</v>
      </c>
      <c r="O1300" s="0" t="n">
        <f aca="false">E1300*E1300</f>
        <v>0</v>
      </c>
      <c r="P1300" s="0" t="n">
        <f aca="false">F1300*F1300</f>
        <v>0.390625</v>
      </c>
      <c r="Q1300" s="0" t="n">
        <f aca="false">SUMPRODUCT(G1300:P1300,_XtX!$B$71:$K$71)</f>
        <v>45.08234375</v>
      </c>
      <c r="R1300" s="0" t="n">
        <f aca="false">SUMPRODUCT(MMULT(G1300:P1300,_XtX!$B$58:$K$67),G1300:P1300)</f>
        <v>0.18779296875</v>
      </c>
      <c r="S1300" s="0" t="n">
        <f aca="false">04_回帰ANOVA!$K$19*04_回帰ANOVA!$K$14*SQRT(1+R1300)</f>
        <v>1.01329759319777</v>
      </c>
      <c r="T1300" s="0" t="n">
        <f aca="false">Q1300-S1300</f>
        <v>44.0690461568022</v>
      </c>
      <c r="U1300" s="0" t="n">
        <f aca="false">Q1300+S1300</f>
        <v>46.0956413431978</v>
      </c>
      <c r="V1300" s="54" t="b">
        <f aca="false">AND(D1300&gt;=01_因子設定!$L$5-0.000000001,D1300&lt;=01_因子設定!$M$5+0.000000001,E1300&gt;=01_因子設定!$L$6-0.000000001,E1300&lt;=01_因子設定!$M$6+0.000000001,F1300&gt;=01_因子設定!$L$7-0.000000001,F1300&lt;=01_因子設定!$M$7+0.000000001,IF(01_因子設定!$B$20="Box-Behnken",D1300^2+E1300^2+F1300^2&lt;=2+0.000000001,TRUE()))</f>
        <v>1</v>
      </c>
      <c r="W1300" s="55" t="n">
        <f aca="false">IF(V1300,IF(01_因子設定!$B$13="最大化",T1300-01_因子設定!$B$14,IF(01_因子設定!$B$13="最小化",01_因子設定!$B$15-U1300,MIN(T1300-01_因子設定!$B$14,01_因子設定!$B$15-U1300))),-1E+030)</f>
        <v>-4.43095384319776</v>
      </c>
      <c r="X1300" s="55" t="n">
        <f aca="false">IF(V1300,IF(01_因子設定!$B$13="最大化",Q1300,IF(01_因子設定!$B$13="最小化",-Q1300,-ABS(Q1300-01_因子設定!$B$16))),-1E+030)</f>
        <v>45.08234375</v>
      </c>
      <c r="Y1300" s="55" t="n">
        <f aca="false">W1300+ROW()*0.000000001</f>
        <v>-4.43095254319776</v>
      </c>
      <c r="Z1300" s="55" t="n">
        <f aca="false">X1300+ROW()*0.000000001</f>
        <v>45.08234505</v>
      </c>
    </row>
    <row r="1301" customFormat="false" ht="15" hidden="false" customHeight="false" outlineLevel="0" collapsed="false">
      <c r="A1301" s="0" t="n">
        <v>4</v>
      </c>
      <c r="B1301" s="0" t="n">
        <v>8</v>
      </c>
      <c r="C1301" s="0" t="n">
        <v>4</v>
      </c>
      <c r="D1301" s="0" t="n">
        <f aca="false">-1+A1301*0.125</f>
        <v>-0.5</v>
      </c>
      <c r="E1301" s="0" t="n">
        <f aca="false">-1+B1301*0.125</f>
        <v>0</v>
      </c>
      <c r="F1301" s="0" t="n">
        <f aca="false">-1+C1301*0.125</f>
        <v>-0.5</v>
      </c>
      <c r="G1301" s="0" t="n">
        <f aca="false">1</f>
        <v>1</v>
      </c>
      <c r="H1301" s="0" t="n">
        <f aca="false">D1301</f>
        <v>-0.5</v>
      </c>
      <c r="I1301" s="0" t="n">
        <f aca="false">E1301</f>
        <v>0</v>
      </c>
      <c r="J1301" s="0" t="n">
        <f aca="false">F1301</f>
        <v>-0.5</v>
      </c>
      <c r="K1301" s="0" t="n">
        <f aca="false">D1301*E1301</f>
        <v>-0</v>
      </c>
      <c r="L1301" s="0" t="n">
        <f aca="false">D1301*F1301</f>
        <v>0.25</v>
      </c>
      <c r="M1301" s="0" t="n">
        <f aca="false">E1301*F1301</f>
        <v>-0</v>
      </c>
      <c r="N1301" s="0" t="n">
        <f aca="false">D1301*D1301</f>
        <v>0.25</v>
      </c>
      <c r="O1301" s="0" t="n">
        <f aca="false">E1301*E1301</f>
        <v>0</v>
      </c>
      <c r="P1301" s="0" t="n">
        <f aca="false">F1301*F1301</f>
        <v>0.25</v>
      </c>
      <c r="Q1301" s="0" t="n">
        <f aca="false">SUMPRODUCT(G1301:P1301,_XtX!$B$71:$K$71)</f>
        <v>45.4297727272727</v>
      </c>
      <c r="R1301" s="0" t="n">
        <f aca="false">SUMPRODUCT(MMULT(G1301:P1301,_XtX!$B$58:$K$67),G1301:P1301)</f>
        <v>0.158948863636364</v>
      </c>
      <c r="S1301" s="0" t="n">
        <f aca="false">04_回帰ANOVA!$K$19*04_回帰ANOVA!$K$14*SQRT(1+R1301)</f>
        <v>1.00091863056612</v>
      </c>
      <c r="T1301" s="0" t="n">
        <f aca="false">Q1301-S1301</f>
        <v>44.4288540967066</v>
      </c>
      <c r="U1301" s="0" t="n">
        <f aca="false">Q1301+S1301</f>
        <v>46.4306913578389</v>
      </c>
      <c r="V1301" s="54" t="b">
        <f aca="false">AND(D1301&gt;=01_因子設定!$L$5-0.000000001,D1301&lt;=01_因子設定!$M$5+0.000000001,E1301&gt;=01_因子設定!$L$6-0.000000001,E1301&lt;=01_因子設定!$M$6+0.000000001,F1301&gt;=01_因子設定!$L$7-0.000000001,F1301&lt;=01_因子設定!$M$7+0.000000001,IF(01_因子設定!$B$20="Box-Behnken",D1301^2+E1301^2+F1301^2&lt;=2+0.000000001,TRUE()))</f>
        <v>1</v>
      </c>
      <c r="W1301" s="55" t="n">
        <f aca="false">IF(V1301,IF(01_因子設定!$B$13="最大化",T1301-01_因子設定!$B$14,IF(01_因子設定!$B$13="最小化",01_因子設定!$B$15-U1301,MIN(T1301-01_因子設定!$B$14,01_因子設定!$B$15-U1301))),-1E+030)</f>
        <v>-4.07114590329338</v>
      </c>
      <c r="X1301" s="55" t="n">
        <f aca="false">IF(V1301,IF(01_因子設定!$B$13="最大化",Q1301,IF(01_因子設定!$B$13="最小化",-Q1301,-ABS(Q1301-01_因子設定!$B$16))),-1E+030)</f>
        <v>45.4297727272727</v>
      </c>
      <c r="Y1301" s="55" t="n">
        <f aca="false">W1301+ROW()*0.000000001</f>
        <v>-4.07114460229338</v>
      </c>
      <c r="Z1301" s="55" t="n">
        <f aca="false">X1301+ROW()*0.000000001</f>
        <v>45.4297740282727</v>
      </c>
    </row>
    <row r="1302" customFormat="false" ht="15" hidden="false" customHeight="false" outlineLevel="0" collapsed="false">
      <c r="A1302" s="0" t="n">
        <v>4</v>
      </c>
      <c r="B1302" s="0" t="n">
        <v>8</v>
      </c>
      <c r="C1302" s="0" t="n">
        <v>5</v>
      </c>
      <c r="D1302" s="0" t="n">
        <f aca="false">-1+A1302*0.125</f>
        <v>-0.5</v>
      </c>
      <c r="E1302" s="0" t="n">
        <f aca="false">-1+B1302*0.125</f>
        <v>0</v>
      </c>
      <c r="F1302" s="0" t="n">
        <f aca="false">-1+C1302*0.125</f>
        <v>-0.375</v>
      </c>
      <c r="G1302" s="0" t="n">
        <f aca="false">1</f>
        <v>1</v>
      </c>
      <c r="H1302" s="0" t="n">
        <f aca="false">D1302</f>
        <v>-0.5</v>
      </c>
      <c r="I1302" s="0" t="n">
        <f aca="false">E1302</f>
        <v>0</v>
      </c>
      <c r="J1302" s="0" t="n">
        <f aca="false">F1302</f>
        <v>-0.375</v>
      </c>
      <c r="K1302" s="0" t="n">
        <f aca="false">D1302*E1302</f>
        <v>-0</v>
      </c>
      <c r="L1302" s="0" t="n">
        <f aca="false">D1302*F1302</f>
        <v>0.1875</v>
      </c>
      <c r="M1302" s="0" t="n">
        <f aca="false">E1302*F1302</f>
        <v>-0</v>
      </c>
      <c r="N1302" s="0" t="n">
        <f aca="false">D1302*D1302</f>
        <v>0.25</v>
      </c>
      <c r="O1302" s="0" t="n">
        <f aca="false">E1302*E1302</f>
        <v>0</v>
      </c>
      <c r="P1302" s="0" t="n">
        <f aca="false">F1302*F1302</f>
        <v>0.140625</v>
      </c>
      <c r="Q1302" s="0" t="n">
        <f aca="false">SUMPRODUCT(G1302:P1302,_XtX!$B$71:$K$71)</f>
        <v>45.7404119318182</v>
      </c>
      <c r="R1302" s="0" t="n">
        <f aca="false">SUMPRODUCT(MMULT(G1302:P1302,_XtX!$B$58:$K$67),G1302:P1302)</f>
        <v>0.146457741477273</v>
      </c>
      <c r="S1302" s="0" t="n">
        <f aca="false">04_回帰ANOVA!$K$19*04_回帰ANOVA!$K$14*SQRT(1+R1302)</f>
        <v>0.995510079668687</v>
      </c>
      <c r="T1302" s="0" t="n">
        <f aca="false">Q1302-S1302</f>
        <v>44.7449018521495</v>
      </c>
      <c r="U1302" s="0" t="n">
        <f aca="false">Q1302+S1302</f>
        <v>46.7359220114869</v>
      </c>
      <c r="V1302" s="54" t="b">
        <f aca="false">AND(D1302&gt;=01_因子設定!$L$5-0.000000001,D1302&lt;=01_因子設定!$M$5+0.000000001,E1302&gt;=01_因子設定!$L$6-0.000000001,E1302&lt;=01_因子設定!$M$6+0.000000001,F1302&gt;=01_因子設定!$L$7-0.000000001,F1302&lt;=01_因子設定!$M$7+0.000000001,IF(01_因子設定!$B$20="Box-Behnken",D1302^2+E1302^2+F1302^2&lt;=2+0.000000001,TRUE()))</f>
        <v>1</v>
      </c>
      <c r="W1302" s="55" t="n">
        <f aca="false">IF(V1302,IF(01_因子設定!$B$13="最大化",T1302-01_因子設定!$B$14,IF(01_因子設定!$B$13="最小化",01_因子設定!$B$15-U1302,MIN(T1302-01_因子設定!$B$14,01_因子設定!$B$15-U1302))),-1E+030)</f>
        <v>-3.7550981478505</v>
      </c>
      <c r="X1302" s="55" t="n">
        <f aca="false">IF(V1302,IF(01_因子設定!$B$13="最大化",Q1302,IF(01_因子設定!$B$13="最小化",-Q1302,-ABS(Q1302-01_因子設定!$B$16))),-1E+030)</f>
        <v>45.7404119318182</v>
      </c>
      <c r="Y1302" s="55" t="n">
        <f aca="false">W1302+ROW()*0.000000001</f>
        <v>-3.7550968458505</v>
      </c>
      <c r="Z1302" s="55" t="n">
        <f aca="false">X1302+ROW()*0.000000001</f>
        <v>45.7404132338182</v>
      </c>
    </row>
    <row r="1303" customFormat="false" ht="15" hidden="false" customHeight="false" outlineLevel="0" collapsed="false">
      <c r="A1303" s="0" t="n">
        <v>4</v>
      </c>
      <c r="B1303" s="0" t="n">
        <v>8</v>
      </c>
      <c r="C1303" s="0" t="n">
        <v>6</v>
      </c>
      <c r="D1303" s="0" t="n">
        <f aca="false">-1+A1303*0.125</f>
        <v>-0.5</v>
      </c>
      <c r="E1303" s="0" t="n">
        <f aca="false">-1+B1303*0.125</f>
        <v>0</v>
      </c>
      <c r="F1303" s="0" t="n">
        <f aca="false">-1+C1303*0.125</f>
        <v>-0.25</v>
      </c>
      <c r="G1303" s="0" t="n">
        <f aca="false">1</f>
        <v>1</v>
      </c>
      <c r="H1303" s="0" t="n">
        <f aca="false">D1303</f>
        <v>-0.5</v>
      </c>
      <c r="I1303" s="0" t="n">
        <f aca="false">E1303</f>
        <v>0</v>
      </c>
      <c r="J1303" s="0" t="n">
        <f aca="false">F1303</f>
        <v>-0.25</v>
      </c>
      <c r="K1303" s="0" t="n">
        <f aca="false">D1303*E1303</f>
        <v>-0</v>
      </c>
      <c r="L1303" s="0" t="n">
        <f aca="false">D1303*F1303</f>
        <v>0.125</v>
      </c>
      <c r="M1303" s="0" t="n">
        <f aca="false">E1303*F1303</f>
        <v>-0</v>
      </c>
      <c r="N1303" s="0" t="n">
        <f aca="false">D1303*D1303</f>
        <v>0.25</v>
      </c>
      <c r="O1303" s="0" t="n">
        <f aca="false">E1303*E1303</f>
        <v>0</v>
      </c>
      <c r="P1303" s="0" t="n">
        <f aca="false">F1303*F1303</f>
        <v>0.0625</v>
      </c>
      <c r="Q1303" s="0" t="n">
        <f aca="false">SUMPRODUCT(G1303:P1303,_XtX!$B$71:$K$71)</f>
        <v>46.0142613636364</v>
      </c>
      <c r="R1303" s="0" t="n">
        <f aca="false">SUMPRODUCT(MMULT(G1303:P1303,_XtX!$B$58:$K$67),G1303:P1303)</f>
        <v>0.142862215909091</v>
      </c>
      <c r="S1303" s="0" t="n">
        <f aca="false">04_回帰ANOVA!$K$19*04_回帰ANOVA!$K$14*SQRT(1+R1303)</f>
        <v>0.993947792354123</v>
      </c>
      <c r="T1303" s="0" t="n">
        <f aca="false">Q1303-S1303</f>
        <v>45.0203135712822</v>
      </c>
      <c r="U1303" s="0" t="n">
        <f aca="false">Q1303+S1303</f>
        <v>47.0082091559905</v>
      </c>
      <c r="V1303" s="54" t="b">
        <f aca="false">AND(D1303&gt;=01_因子設定!$L$5-0.000000001,D1303&lt;=01_因子設定!$M$5+0.000000001,E1303&gt;=01_因子設定!$L$6-0.000000001,E1303&lt;=01_因子設定!$M$6+0.000000001,F1303&gt;=01_因子設定!$L$7-0.000000001,F1303&lt;=01_因子設定!$M$7+0.000000001,IF(01_因子設定!$B$20="Box-Behnken",D1303^2+E1303^2+F1303^2&lt;=2+0.000000001,TRUE()))</f>
        <v>1</v>
      </c>
      <c r="W1303" s="55" t="n">
        <f aca="false">IF(V1303,IF(01_因子設定!$B$13="最大化",T1303-01_因子設定!$B$14,IF(01_因子設定!$B$13="最小化",01_因子設定!$B$15-U1303,MIN(T1303-01_因子設定!$B$14,01_因子設定!$B$15-U1303))),-1E+030)</f>
        <v>-3.47968642871776</v>
      </c>
      <c r="X1303" s="55" t="n">
        <f aca="false">IF(V1303,IF(01_因子設定!$B$13="最大化",Q1303,IF(01_因子設定!$B$13="最小化",-Q1303,-ABS(Q1303-01_因子設定!$B$16))),-1E+030)</f>
        <v>46.0142613636364</v>
      </c>
      <c r="Y1303" s="55" t="n">
        <f aca="false">W1303+ROW()*0.000000001</f>
        <v>-3.47968512571776</v>
      </c>
      <c r="Z1303" s="55" t="n">
        <f aca="false">X1303+ROW()*0.000000001</f>
        <v>46.0142626666364</v>
      </c>
    </row>
    <row r="1304" customFormat="false" ht="15" hidden="false" customHeight="false" outlineLevel="0" collapsed="false">
      <c r="A1304" s="0" t="n">
        <v>4</v>
      </c>
      <c r="B1304" s="0" t="n">
        <v>8</v>
      </c>
      <c r="C1304" s="0" t="n">
        <v>7</v>
      </c>
      <c r="D1304" s="0" t="n">
        <f aca="false">-1+A1304*0.125</f>
        <v>-0.5</v>
      </c>
      <c r="E1304" s="0" t="n">
        <f aca="false">-1+B1304*0.125</f>
        <v>0</v>
      </c>
      <c r="F1304" s="0" t="n">
        <f aca="false">-1+C1304*0.125</f>
        <v>-0.125</v>
      </c>
      <c r="G1304" s="0" t="n">
        <f aca="false">1</f>
        <v>1</v>
      </c>
      <c r="H1304" s="0" t="n">
        <f aca="false">D1304</f>
        <v>-0.5</v>
      </c>
      <c r="I1304" s="0" t="n">
        <f aca="false">E1304</f>
        <v>0</v>
      </c>
      <c r="J1304" s="0" t="n">
        <f aca="false">F1304</f>
        <v>-0.125</v>
      </c>
      <c r="K1304" s="0" t="n">
        <f aca="false">D1304*E1304</f>
        <v>-0</v>
      </c>
      <c r="L1304" s="0" t="n">
        <f aca="false">D1304*F1304</f>
        <v>0.0625</v>
      </c>
      <c r="M1304" s="0" t="n">
        <f aca="false">E1304*F1304</f>
        <v>-0</v>
      </c>
      <c r="N1304" s="0" t="n">
        <f aca="false">D1304*D1304</f>
        <v>0.25</v>
      </c>
      <c r="O1304" s="0" t="n">
        <f aca="false">E1304*E1304</f>
        <v>0</v>
      </c>
      <c r="P1304" s="0" t="n">
        <f aca="false">F1304*F1304</f>
        <v>0.015625</v>
      </c>
      <c r="Q1304" s="0" t="n">
        <f aca="false">SUMPRODUCT(G1304:P1304,_XtX!$B$71:$K$71)</f>
        <v>46.2513210227273</v>
      </c>
      <c r="R1304" s="0" t="n">
        <f aca="false">SUMPRODUCT(MMULT(G1304:P1304,_XtX!$B$58:$K$67),G1304:P1304)</f>
        <v>0.142835582386364</v>
      </c>
      <c r="S1304" s="0" t="n">
        <f aca="false">04_回帰ANOVA!$K$19*04_回帰ANOVA!$K$14*SQRT(1+R1304)</f>
        <v>0.993936210693193</v>
      </c>
      <c r="T1304" s="0" t="n">
        <f aca="false">Q1304-S1304</f>
        <v>45.2573848120341</v>
      </c>
      <c r="U1304" s="0" t="n">
        <f aca="false">Q1304+S1304</f>
        <v>47.2452572334205</v>
      </c>
      <c r="V1304" s="54" t="b">
        <f aca="false">AND(D1304&gt;=01_因子設定!$L$5-0.000000001,D1304&lt;=01_因子設定!$M$5+0.000000001,E1304&gt;=01_因子設定!$L$6-0.000000001,E1304&lt;=01_因子設定!$M$6+0.000000001,F1304&gt;=01_因子設定!$L$7-0.000000001,F1304&lt;=01_因子設定!$M$7+0.000000001,IF(01_因子設定!$B$20="Box-Behnken",D1304^2+E1304^2+F1304^2&lt;=2+0.000000001,TRUE()))</f>
        <v>1</v>
      </c>
      <c r="W1304" s="55" t="n">
        <f aca="false">IF(V1304,IF(01_因子設定!$B$13="最大化",T1304-01_因子設定!$B$14,IF(01_因子設定!$B$13="最小化",01_因子設定!$B$15-U1304,MIN(T1304-01_因子設定!$B$14,01_因子設定!$B$15-U1304))),-1E+030)</f>
        <v>-3.24261518796592</v>
      </c>
      <c r="X1304" s="55" t="n">
        <f aca="false">IF(V1304,IF(01_因子設定!$B$13="最大化",Q1304,IF(01_因子設定!$B$13="最小化",-Q1304,-ABS(Q1304-01_因子設定!$B$16))),-1E+030)</f>
        <v>46.2513210227273</v>
      </c>
      <c r="Y1304" s="55" t="n">
        <f aca="false">W1304+ROW()*0.000000001</f>
        <v>-3.24261388396592</v>
      </c>
      <c r="Z1304" s="55" t="n">
        <f aca="false">X1304+ROW()*0.000000001</f>
        <v>46.2513223267273</v>
      </c>
    </row>
    <row r="1305" customFormat="false" ht="15" hidden="false" customHeight="false" outlineLevel="0" collapsed="false">
      <c r="A1305" s="0" t="n">
        <v>4</v>
      </c>
      <c r="B1305" s="0" t="n">
        <v>8</v>
      </c>
      <c r="C1305" s="0" t="n">
        <v>8</v>
      </c>
      <c r="D1305" s="0" t="n">
        <f aca="false">-1+A1305*0.125</f>
        <v>-0.5</v>
      </c>
      <c r="E1305" s="0" t="n">
        <f aca="false">-1+B1305*0.125</f>
        <v>0</v>
      </c>
      <c r="F1305" s="0" t="n">
        <f aca="false">-1+C1305*0.125</f>
        <v>0</v>
      </c>
      <c r="G1305" s="0" t="n">
        <f aca="false">1</f>
        <v>1</v>
      </c>
      <c r="H1305" s="0" t="n">
        <f aca="false">D1305</f>
        <v>-0.5</v>
      </c>
      <c r="I1305" s="0" t="n">
        <f aca="false">E1305</f>
        <v>0</v>
      </c>
      <c r="J1305" s="0" t="n">
        <f aca="false">F1305</f>
        <v>0</v>
      </c>
      <c r="K1305" s="0" t="n">
        <f aca="false">D1305*E1305</f>
        <v>-0</v>
      </c>
      <c r="L1305" s="0" t="n">
        <f aca="false">D1305*F1305</f>
        <v>-0</v>
      </c>
      <c r="M1305" s="0" t="n">
        <f aca="false">E1305*F1305</f>
        <v>0</v>
      </c>
      <c r="N1305" s="0" t="n">
        <f aca="false">D1305*D1305</f>
        <v>0.25</v>
      </c>
      <c r="O1305" s="0" t="n">
        <f aca="false">E1305*E1305</f>
        <v>0</v>
      </c>
      <c r="P1305" s="0" t="n">
        <f aca="false">F1305*F1305</f>
        <v>0</v>
      </c>
      <c r="Q1305" s="0" t="n">
        <f aca="false">SUMPRODUCT(G1305:P1305,_XtX!$B$71:$K$71)</f>
        <v>46.4515909090909</v>
      </c>
      <c r="R1305" s="0" t="n">
        <f aca="false">SUMPRODUCT(MMULT(G1305:P1305,_XtX!$B$58:$K$67),G1305:P1305)</f>
        <v>0.143181818181818</v>
      </c>
      <c r="S1305" s="0" t="n">
        <f aca="false">04_回帰ANOVA!$K$19*04_回帰ANOVA!$K$14*SQRT(1+R1305)</f>
        <v>0.994086761760527</v>
      </c>
      <c r="T1305" s="0" t="n">
        <f aca="false">Q1305-S1305</f>
        <v>45.4575041473304</v>
      </c>
      <c r="U1305" s="0" t="n">
        <f aca="false">Q1305+S1305</f>
        <v>47.4456776708514</v>
      </c>
      <c r="V1305" s="54" t="b">
        <f aca="false">AND(D1305&gt;=01_因子設定!$L$5-0.000000001,D1305&lt;=01_因子設定!$M$5+0.000000001,E1305&gt;=01_因子設定!$L$6-0.000000001,E1305&lt;=01_因子設定!$M$6+0.000000001,F1305&gt;=01_因子設定!$L$7-0.000000001,F1305&lt;=01_因子設定!$M$7+0.000000001,IF(01_因子設定!$B$20="Box-Behnken",D1305^2+E1305^2+F1305^2&lt;=2+0.000000001,TRUE()))</f>
        <v>1</v>
      </c>
      <c r="W1305" s="55" t="n">
        <f aca="false">IF(V1305,IF(01_因子設定!$B$13="最大化",T1305-01_因子設定!$B$14,IF(01_因子設定!$B$13="最小化",01_因子設定!$B$15-U1305,MIN(T1305-01_因子設定!$B$14,01_因子設定!$B$15-U1305))),-1E+030)</f>
        <v>-3.04249585266962</v>
      </c>
      <c r="X1305" s="55" t="n">
        <f aca="false">IF(V1305,IF(01_因子設定!$B$13="最大化",Q1305,IF(01_因子設定!$B$13="最小化",-Q1305,-ABS(Q1305-01_因子設定!$B$16))),-1E+030)</f>
        <v>46.4515909090909</v>
      </c>
      <c r="Y1305" s="55" t="n">
        <f aca="false">W1305+ROW()*0.000000001</f>
        <v>-3.04249454766962</v>
      </c>
      <c r="Z1305" s="55" t="n">
        <f aca="false">X1305+ROW()*0.000000001</f>
        <v>46.4515922140909</v>
      </c>
    </row>
    <row r="1306" customFormat="false" ht="15" hidden="false" customHeight="false" outlineLevel="0" collapsed="false">
      <c r="A1306" s="0" t="n">
        <v>4</v>
      </c>
      <c r="B1306" s="0" t="n">
        <v>8</v>
      </c>
      <c r="C1306" s="0" t="n">
        <v>9</v>
      </c>
      <c r="D1306" s="0" t="n">
        <f aca="false">-1+A1306*0.125</f>
        <v>-0.5</v>
      </c>
      <c r="E1306" s="0" t="n">
        <f aca="false">-1+B1306*0.125</f>
        <v>0</v>
      </c>
      <c r="F1306" s="0" t="n">
        <f aca="false">-1+C1306*0.125</f>
        <v>0.125</v>
      </c>
      <c r="G1306" s="0" t="n">
        <f aca="false">1</f>
        <v>1</v>
      </c>
      <c r="H1306" s="0" t="n">
        <f aca="false">D1306</f>
        <v>-0.5</v>
      </c>
      <c r="I1306" s="0" t="n">
        <f aca="false">E1306</f>
        <v>0</v>
      </c>
      <c r="J1306" s="0" t="n">
        <f aca="false">F1306</f>
        <v>0.125</v>
      </c>
      <c r="K1306" s="0" t="n">
        <f aca="false">D1306*E1306</f>
        <v>-0</v>
      </c>
      <c r="L1306" s="0" t="n">
        <f aca="false">D1306*F1306</f>
        <v>-0.0625</v>
      </c>
      <c r="M1306" s="0" t="n">
        <f aca="false">E1306*F1306</f>
        <v>0</v>
      </c>
      <c r="N1306" s="0" t="n">
        <f aca="false">D1306*D1306</f>
        <v>0.25</v>
      </c>
      <c r="O1306" s="0" t="n">
        <f aca="false">E1306*E1306</f>
        <v>0</v>
      </c>
      <c r="P1306" s="0" t="n">
        <f aca="false">F1306*F1306</f>
        <v>0.015625</v>
      </c>
      <c r="Q1306" s="0" t="n">
        <f aca="false">SUMPRODUCT(G1306:P1306,_XtX!$B$71:$K$71)</f>
        <v>46.6150710227273</v>
      </c>
      <c r="R1306" s="0" t="n">
        <f aca="false">SUMPRODUCT(MMULT(G1306:P1306,_XtX!$B$58:$K$67),G1306:P1306)</f>
        <v>0.142835582386364</v>
      </c>
      <c r="S1306" s="0" t="n">
        <f aca="false">04_回帰ANOVA!$K$19*04_回帰ANOVA!$K$14*SQRT(1+R1306)</f>
        <v>0.993936210693193</v>
      </c>
      <c r="T1306" s="0" t="n">
        <f aca="false">Q1306-S1306</f>
        <v>45.6211348120341</v>
      </c>
      <c r="U1306" s="0" t="n">
        <f aca="false">Q1306+S1306</f>
        <v>47.6090072334205</v>
      </c>
      <c r="V1306" s="54" t="b">
        <f aca="false">AND(D1306&gt;=01_因子設定!$L$5-0.000000001,D1306&lt;=01_因子設定!$M$5+0.000000001,E1306&gt;=01_因子設定!$L$6-0.000000001,E1306&lt;=01_因子設定!$M$6+0.000000001,F1306&gt;=01_因子設定!$L$7-0.000000001,F1306&lt;=01_因子設定!$M$7+0.000000001,IF(01_因子設定!$B$20="Box-Behnken",D1306^2+E1306^2+F1306^2&lt;=2+0.000000001,TRUE()))</f>
        <v>1</v>
      </c>
      <c r="W1306" s="55" t="n">
        <f aca="false">IF(V1306,IF(01_因子設定!$B$13="最大化",T1306-01_因子設定!$B$14,IF(01_因子設定!$B$13="最小化",01_因子設定!$B$15-U1306,MIN(T1306-01_因子設定!$B$14,01_因子設定!$B$15-U1306))),-1E+030)</f>
        <v>-2.87886518796591</v>
      </c>
      <c r="X1306" s="55" t="n">
        <f aca="false">IF(V1306,IF(01_因子設定!$B$13="最大化",Q1306,IF(01_因子設定!$B$13="最小化",-Q1306,-ABS(Q1306-01_因子設定!$B$16))),-1E+030)</f>
        <v>46.6150710227273</v>
      </c>
      <c r="Y1306" s="55" t="n">
        <f aca="false">W1306+ROW()*0.000000001</f>
        <v>-2.87886388196591</v>
      </c>
      <c r="Z1306" s="55" t="n">
        <f aca="false">X1306+ROW()*0.000000001</f>
        <v>46.6150723287273</v>
      </c>
    </row>
    <row r="1307" customFormat="false" ht="15" hidden="false" customHeight="false" outlineLevel="0" collapsed="false">
      <c r="A1307" s="0" t="n">
        <v>4</v>
      </c>
      <c r="B1307" s="0" t="n">
        <v>8</v>
      </c>
      <c r="C1307" s="0" t="n">
        <v>10</v>
      </c>
      <c r="D1307" s="0" t="n">
        <f aca="false">-1+A1307*0.125</f>
        <v>-0.5</v>
      </c>
      <c r="E1307" s="0" t="n">
        <f aca="false">-1+B1307*0.125</f>
        <v>0</v>
      </c>
      <c r="F1307" s="0" t="n">
        <f aca="false">-1+C1307*0.125</f>
        <v>0.25</v>
      </c>
      <c r="G1307" s="0" t="n">
        <f aca="false">1</f>
        <v>1</v>
      </c>
      <c r="H1307" s="0" t="n">
        <f aca="false">D1307</f>
        <v>-0.5</v>
      </c>
      <c r="I1307" s="0" t="n">
        <f aca="false">E1307</f>
        <v>0</v>
      </c>
      <c r="J1307" s="0" t="n">
        <f aca="false">F1307</f>
        <v>0.25</v>
      </c>
      <c r="K1307" s="0" t="n">
        <f aca="false">D1307*E1307</f>
        <v>-0</v>
      </c>
      <c r="L1307" s="0" t="n">
        <f aca="false">D1307*F1307</f>
        <v>-0.125</v>
      </c>
      <c r="M1307" s="0" t="n">
        <f aca="false">E1307*F1307</f>
        <v>0</v>
      </c>
      <c r="N1307" s="0" t="n">
        <f aca="false">D1307*D1307</f>
        <v>0.25</v>
      </c>
      <c r="O1307" s="0" t="n">
        <f aca="false">E1307*E1307</f>
        <v>0</v>
      </c>
      <c r="P1307" s="0" t="n">
        <f aca="false">F1307*F1307</f>
        <v>0.0625</v>
      </c>
      <c r="Q1307" s="0" t="n">
        <f aca="false">SUMPRODUCT(G1307:P1307,_XtX!$B$71:$K$71)</f>
        <v>46.7417613636364</v>
      </c>
      <c r="R1307" s="0" t="n">
        <f aca="false">SUMPRODUCT(MMULT(G1307:P1307,_XtX!$B$58:$K$67),G1307:P1307)</f>
        <v>0.142862215909091</v>
      </c>
      <c r="S1307" s="0" t="n">
        <f aca="false">04_回帰ANOVA!$K$19*04_回帰ANOVA!$K$14*SQRT(1+R1307)</f>
        <v>0.993947792354123</v>
      </c>
      <c r="T1307" s="0" t="n">
        <f aca="false">Q1307-S1307</f>
        <v>45.7478135712823</v>
      </c>
      <c r="U1307" s="0" t="n">
        <f aca="false">Q1307+S1307</f>
        <v>47.7357091559905</v>
      </c>
      <c r="V1307" s="54" t="b">
        <f aca="false">AND(D1307&gt;=01_因子設定!$L$5-0.000000001,D1307&lt;=01_因子設定!$M$5+0.000000001,E1307&gt;=01_因子設定!$L$6-0.000000001,E1307&lt;=01_因子設定!$M$6+0.000000001,F1307&gt;=01_因子設定!$L$7-0.000000001,F1307&lt;=01_因子設定!$M$7+0.000000001,IF(01_因子設定!$B$20="Box-Behnken",D1307^2+E1307^2+F1307^2&lt;=2+0.000000001,TRUE()))</f>
        <v>1</v>
      </c>
      <c r="W1307" s="55" t="n">
        <f aca="false">IF(V1307,IF(01_因子設定!$B$13="最大化",T1307-01_因子設定!$B$14,IF(01_因子設定!$B$13="最小化",01_因子設定!$B$15-U1307,MIN(T1307-01_因子設定!$B$14,01_因子設定!$B$15-U1307))),-1E+030)</f>
        <v>-2.75218642871775</v>
      </c>
      <c r="X1307" s="55" t="n">
        <f aca="false">IF(V1307,IF(01_因子設定!$B$13="最大化",Q1307,IF(01_因子設定!$B$13="最小化",-Q1307,-ABS(Q1307-01_因子設定!$B$16))),-1E+030)</f>
        <v>46.7417613636364</v>
      </c>
      <c r="Y1307" s="55" t="n">
        <f aca="false">W1307+ROW()*0.000000001</f>
        <v>-2.75218512171775</v>
      </c>
      <c r="Z1307" s="55" t="n">
        <f aca="false">X1307+ROW()*0.000000001</f>
        <v>46.7417626706364</v>
      </c>
    </row>
    <row r="1308" customFormat="false" ht="15" hidden="false" customHeight="false" outlineLevel="0" collapsed="false">
      <c r="A1308" s="0" t="n">
        <v>4</v>
      </c>
      <c r="B1308" s="0" t="n">
        <v>8</v>
      </c>
      <c r="C1308" s="0" t="n">
        <v>11</v>
      </c>
      <c r="D1308" s="0" t="n">
        <f aca="false">-1+A1308*0.125</f>
        <v>-0.5</v>
      </c>
      <c r="E1308" s="0" t="n">
        <f aca="false">-1+B1308*0.125</f>
        <v>0</v>
      </c>
      <c r="F1308" s="0" t="n">
        <f aca="false">-1+C1308*0.125</f>
        <v>0.375</v>
      </c>
      <c r="G1308" s="0" t="n">
        <f aca="false">1</f>
        <v>1</v>
      </c>
      <c r="H1308" s="0" t="n">
        <f aca="false">D1308</f>
        <v>-0.5</v>
      </c>
      <c r="I1308" s="0" t="n">
        <f aca="false">E1308</f>
        <v>0</v>
      </c>
      <c r="J1308" s="0" t="n">
        <f aca="false">F1308</f>
        <v>0.375</v>
      </c>
      <c r="K1308" s="0" t="n">
        <f aca="false">D1308*E1308</f>
        <v>-0</v>
      </c>
      <c r="L1308" s="0" t="n">
        <f aca="false">D1308*F1308</f>
        <v>-0.1875</v>
      </c>
      <c r="M1308" s="0" t="n">
        <f aca="false">E1308*F1308</f>
        <v>0</v>
      </c>
      <c r="N1308" s="0" t="n">
        <f aca="false">D1308*D1308</f>
        <v>0.25</v>
      </c>
      <c r="O1308" s="0" t="n">
        <f aca="false">E1308*E1308</f>
        <v>0</v>
      </c>
      <c r="P1308" s="0" t="n">
        <f aca="false">F1308*F1308</f>
        <v>0.140625</v>
      </c>
      <c r="Q1308" s="0" t="n">
        <f aca="false">SUMPRODUCT(G1308:P1308,_XtX!$B$71:$K$71)</f>
        <v>46.8316619318182</v>
      </c>
      <c r="R1308" s="0" t="n">
        <f aca="false">SUMPRODUCT(MMULT(G1308:P1308,_XtX!$B$58:$K$67),G1308:P1308)</f>
        <v>0.146457741477273</v>
      </c>
      <c r="S1308" s="0" t="n">
        <f aca="false">04_回帰ANOVA!$K$19*04_回帰ANOVA!$K$14*SQRT(1+R1308)</f>
        <v>0.995510079668687</v>
      </c>
      <c r="T1308" s="0" t="n">
        <f aca="false">Q1308-S1308</f>
        <v>45.8361518521495</v>
      </c>
      <c r="U1308" s="0" t="n">
        <f aca="false">Q1308+S1308</f>
        <v>47.8271720114869</v>
      </c>
      <c r="V1308" s="54" t="b">
        <f aca="false">AND(D1308&gt;=01_因子設定!$L$5-0.000000001,D1308&lt;=01_因子設定!$M$5+0.000000001,E1308&gt;=01_因子設定!$L$6-0.000000001,E1308&lt;=01_因子設定!$M$6+0.000000001,F1308&gt;=01_因子設定!$L$7-0.000000001,F1308&lt;=01_因子設定!$M$7+0.000000001,IF(01_因子設定!$B$20="Box-Behnken",D1308^2+E1308^2+F1308^2&lt;=2+0.000000001,TRUE()))</f>
        <v>1</v>
      </c>
      <c r="W1308" s="55" t="n">
        <f aca="false">IF(V1308,IF(01_因子設定!$B$13="最大化",T1308-01_因子設定!$B$14,IF(01_因子設定!$B$13="最小化",01_因子設定!$B$15-U1308,MIN(T1308-01_因子設定!$B$14,01_因子設定!$B$15-U1308))),-1E+030)</f>
        <v>-2.66384814785049</v>
      </c>
      <c r="X1308" s="55" t="n">
        <f aca="false">IF(V1308,IF(01_因子設定!$B$13="最大化",Q1308,IF(01_因子設定!$B$13="最小化",-Q1308,-ABS(Q1308-01_因子設定!$B$16))),-1E+030)</f>
        <v>46.8316619318182</v>
      </c>
      <c r="Y1308" s="55" t="n">
        <f aca="false">W1308+ROW()*0.000000001</f>
        <v>-2.66384683985049</v>
      </c>
      <c r="Z1308" s="55" t="n">
        <f aca="false">X1308+ROW()*0.000000001</f>
        <v>46.8316632398182</v>
      </c>
    </row>
    <row r="1309" customFormat="false" ht="15" hidden="false" customHeight="false" outlineLevel="0" collapsed="false">
      <c r="A1309" s="0" t="n">
        <v>4</v>
      </c>
      <c r="B1309" s="0" t="n">
        <v>8</v>
      </c>
      <c r="C1309" s="0" t="n">
        <v>12</v>
      </c>
      <c r="D1309" s="0" t="n">
        <f aca="false">-1+A1309*0.125</f>
        <v>-0.5</v>
      </c>
      <c r="E1309" s="0" t="n">
        <f aca="false">-1+B1309*0.125</f>
        <v>0</v>
      </c>
      <c r="F1309" s="0" t="n">
        <f aca="false">-1+C1309*0.125</f>
        <v>0.5</v>
      </c>
      <c r="G1309" s="0" t="n">
        <f aca="false">1</f>
        <v>1</v>
      </c>
      <c r="H1309" s="0" t="n">
        <f aca="false">D1309</f>
        <v>-0.5</v>
      </c>
      <c r="I1309" s="0" t="n">
        <f aca="false">E1309</f>
        <v>0</v>
      </c>
      <c r="J1309" s="0" t="n">
        <f aca="false">F1309</f>
        <v>0.5</v>
      </c>
      <c r="K1309" s="0" t="n">
        <f aca="false">D1309*E1309</f>
        <v>-0</v>
      </c>
      <c r="L1309" s="0" t="n">
        <f aca="false">D1309*F1309</f>
        <v>-0.25</v>
      </c>
      <c r="M1309" s="0" t="n">
        <f aca="false">E1309*F1309</f>
        <v>0</v>
      </c>
      <c r="N1309" s="0" t="n">
        <f aca="false">D1309*D1309</f>
        <v>0.25</v>
      </c>
      <c r="O1309" s="0" t="n">
        <f aca="false">E1309*E1309</f>
        <v>0</v>
      </c>
      <c r="P1309" s="0" t="n">
        <f aca="false">F1309*F1309</f>
        <v>0.25</v>
      </c>
      <c r="Q1309" s="0" t="n">
        <f aca="false">SUMPRODUCT(G1309:P1309,_XtX!$B$71:$K$71)</f>
        <v>46.8847727272727</v>
      </c>
      <c r="R1309" s="0" t="n">
        <f aca="false">SUMPRODUCT(MMULT(G1309:P1309,_XtX!$B$58:$K$67),G1309:P1309)</f>
        <v>0.158948863636364</v>
      </c>
      <c r="S1309" s="0" t="n">
        <f aca="false">04_回帰ANOVA!$K$19*04_回帰ANOVA!$K$14*SQRT(1+R1309)</f>
        <v>1.00091863056612</v>
      </c>
      <c r="T1309" s="0" t="n">
        <f aca="false">Q1309-S1309</f>
        <v>45.8838540967066</v>
      </c>
      <c r="U1309" s="0" t="n">
        <f aca="false">Q1309+S1309</f>
        <v>47.8856913578389</v>
      </c>
      <c r="V1309" s="54" t="b">
        <f aca="false">AND(D1309&gt;=01_因子設定!$L$5-0.000000001,D1309&lt;=01_因子設定!$M$5+0.000000001,E1309&gt;=01_因子設定!$L$6-0.000000001,E1309&lt;=01_因子設定!$M$6+0.000000001,F1309&gt;=01_因子設定!$L$7-0.000000001,F1309&lt;=01_因子設定!$M$7+0.000000001,IF(01_因子設定!$B$20="Box-Behnken",D1309^2+E1309^2+F1309^2&lt;=2+0.000000001,TRUE()))</f>
        <v>1</v>
      </c>
      <c r="W1309" s="55" t="n">
        <f aca="false">IF(V1309,IF(01_因子設定!$B$13="最大化",T1309-01_因子設定!$B$14,IF(01_因子設定!$B$13="最小化",01_因子設定!$B$15-U1309,MIN(T1309-01_因子設定!$B$14,01_因子設定!$B$15-U1309))),-1E+030)</f>
        <v>-2.61614590329339</v>
      </c>
      <c r="X1309" s="55" t="n">
        <f aca="false">IF(V1309,IF(01_因子設定!$B$13="最大化",Q1309,IF(01_因子設定!$B$13="最小化",-Q1309,-ABS(Q1309-01_因子設定!$B$16))),-1E+030)</f>
        <v>46.8847727272727</v>
      </c>
      <c r="Y1309" s="55" t="n">
        <f aca="false">W1309+ROW()*0.000000001</f>
        <v>-2.61614459429339</v>
      </c>
      <c r="Z1309" s="55" t="n">
        <f aca="false">X1309+ROW()*0.000000001</f>
        <v>46.8847740362727</v>
      </c>
    </row>
    <row r="1310" customFormat="false" ht="15" hidden="false" customHeight="false" outlineLevel="0" collapsed="false">
      <c r="A1310" s="0" t="n">
        <v>4</v>
      </c>
      <c r="B1310" s="0" t="n">
        <v>8</v>
      </c>
      <c r="C1310" s="0" t="n">
        <v>13</v>
      </c>
      <c r="D1310" s="0" t="n">
        <f aca="false">-1+A1310*0.125</f>
        <v>-0.5</v>
      </c>
      <c r="E1310" s="0" t="n">
        <f aca="false">-1+B1310*0.125</f>
        <v>0</v>
      </c>
      <c r="F1310" s="0" t="n">
        <f aca="false">-1+C1310*0.125</f>
        <v>0.625</v>
      </c>
      <c r="G1310" s="0" t="n">
        <f aca="false">1</f>
        <v>1</v>
      </c>
      <c r="H1310" s="0" t="n">
        <f aca="false">D1310</f>
        <v>-0.5</v>
      </c>
      <c r="I1310" s="0" t="n">
        <f aca="false">E1310</f>
        <v>0</v>
      </c>
      <c r="J1310" s="0" t="n">
        <f aca="false">F1310</f>
        <v>0.625</v>
      </c>
      <c r="K1310" s="0" t="n">
        <f aca="false">D1310*E1310</f>
        <v>-0</v>
      </c>
      <c r="L1310" s="0" t="n">
        <f aca="false">D1310*F1310</f>
        <v>-0.3125</v>
      </c>
      <c r="M1310" s="0" t="n">
        <f aca="false">E1310*F1310</f>
        <v>0</v>
      </c>
      <c r="N1310" s="0" t="n">
        <f aca="false">D1310*D1310</f>
        <v>0.25</v>
      </c>
      <c r="O1310" s="0" t="n">
        <f aca="false">E1310*E1310</f>
        <v>0</v>
      </c>
      <c r="P1310" s="0" t="n">
        <f aca="false">F1310*F1310</f>
        <v>0.390625</v>
      </c>
      <c r="Q1310" s="0" t="n">
        <f aca="false">SUMPRODUCT(G1310:P1310,_XtX!$B$71:$K$71)</f>
        <v>46.90109375</v>
      </c>
      <c r="R1310" s="0" t="n">
        <f aca="false">SUMPRODUCT(MMULT(G1310:P1310,_XtX!$B$58:$K$67),G1310:P1310)</f>
        <v>0.18779296875</v>
      </c>
      <c r="S1310" s="0" t="n">
        <f aca="false">04_回帰ANOVA!$K$19*04_回帰ANOVA!$K$14*SQRT(1+R1310)</f>
        <v>1.01329759319777</v>
      </c>
      <c r="T1310" s="0" t="n">
        <f aca="false">Q1310-S1310</f>
        <v>45.8877961568022</v>
      </c>
      <c r="U1310" s="0" t="n">
        <f aca="false">Q1310+S1310</f>
        <v>47.9143913431978</v>
      </c>
      <c r="V1310" s="54" t="b">
        <f aca="false">AND(D1310&gt;=01_因子設定!$L$5-0.000000001,D1310&lt;=01_因子設定!$M$5+0.000000001,E1310&gt;=01_因子設定!$L$6-0.000000001,E1310&lt;=01_因子設定!$M$6+0.000000001,F1310&gt;=01_因子設定!$L$7-0.000000001,F1310&lt;=01_因子設定!$M$7+0.000000001,IF(01_因子設定!$B$20="Box-Behnken",D1310^2+E1310^2+F1310^2&lt;=2+0.000000001,TRUE()))</f>
        <v>1</v>
      </c>
      <c r="W1310" s="55" t="n">
        <f aca="false">IF(V1310,IF(01_因子設定!$B$13="最大化",T1310-01_因子設定!$B$14,IF(01_因子設定!$B$13="最小化",01_因子設定!$B$15-U1310,MIN(T1310-01_因子設定!$B$14,01_因子設定!$B$15-U1310))),-1E+030)</f>
        <v>-2.61220384319776</v>
      </c>
      <c r="X1310" s="55" t="n">
        <f aca="false">IF(V1310,IF(01_因子設定!$B$13="最大化",Q1310,IF(01_因子設定!$B$13="最小化",-Q1310,-ABS(Q1310-01_因子設定!$B$16))),-1E+030)</f>
        <v>46.90109375</v>
      </c>
      <c r="Y1310" s="55" t="n">
        <f aca="false">W1310+ROW()*0.000000001</f>
        <v>-2.61220253319776</v>
      </c>
      <c r="Z1310" s="55" t="n">
        <f aca="false">X1310+ROW()*0.000000001</f>
        <v>46.90109506</v>
      </c>
    </row>
    <row r="1311" customFormat="false" ht="15" hidden="false" customHeight="false" outlineLevel="0" collapsed="false">
      <c r="A1311" s="0" t="n">
        <v>4</v>
      </c>
      <c r="B1311" s="0" t="n">
        <v>8</v>
      </c>
      <c r="C1311" s="0" t="n">
        <v>14</v>
      </c>
      <c r="D1311" s="0" t="n">
        <f aca="false">-1+A1311*0.125</f>
        <v>-0.5</v>
      </c>
      <c r="E1311" s="0" t="n">
        <f aca="false">-1+B1311*0.125</f>
        <v>0</v>
      </c>
      <c r="F1311" s="0" t="n">
        <f aca="false">-1+C1311*0.125</f>
        <v>0.75</v>
      </c>
      <c r="G1311" s="0" t="n">
        <f aca="false">1</f>
        <v>1</v>
      </c>
      <c r="H1311" s="0" t="n">
        <f aca="false">D1311</f>
        <v>-0.5</v>
      </c>
      <c r="I1311" s="0" t="n">
        <f aca="false">E1311</f>
        <v>0</v>
      </c>
      <c r="J1311" s="0" t="n">
        <f aca="false">F1311</f>
        <v>0.75</v>
      </c>
      <c r="K1311" s="0" t="n">
        <f aca="false">D1311*E1311</f>
        <v>-0</v>
      </c>
      <c r="L1311" s="0" t="n">
        <f aca="false">D1311*F1311</f>
        <v>-0.375</v>
      </c>
      <c r="M1311" s="0" t="n">
        <f aca="false">E1311*F1311</f>
        <v>0</v>
      </c>
      <c r="N1311" s="0" t="n">
        <f aca="false">D1311*D1311</f>
        <v>0.25</v>
      </c>
      <c r="O1311" s="0" t="n">
        <f aca="false">E1311*E1311</f>
        <v>0</v>
      </c>
      <c r="P1311" s="0" t="n">
        <f aca="false">F1311*F1311</f>
        <v>0.5625</v>
      </c>
      <c r="Q1311" s="0" t="n">
        <f aca="false">SUMPRODUCT(G1311:P1311,_XtX!$B$71:$K$71)</f>
        <v>46.880625</v>
      </c>
      <c r="R1311" s="0" t="n">
        <f aca="false">SUMPRODUCT(MMULT(G1311:P1311,_XtX!$B$58:$K$67),G1311:P1311)</f>
        <v>0.242578125</v>
      </c>
      <c r="S1311" s="0" t="n">
        <f aca="false">04_回帰ANOVA!$K$19*04_回帰ANOVA!$K$14*SQRT(1+R1311)</f>
        <v>1.03640258600455</v>
      </c>
      <c r="T1311" s="0" t="n">
        <f aca="false">Q1311-S1311</f>
        <v>45.8442224139955</v>
      </c>
      <c r="U1311" s="0" t="n">
        <f aca="false">Q1311+S1311</f>
        <v>47.9170275860046</v>
      </c>
      <c r="V1311" s="54" t="b">
        <f aca="false">AND(D1311&gt;=01_因子設定!$L$5-0.000000001,D1311&lt;=01_因子設定!$M$5+0.000000001,E1311&gt;=01_因子設定!$L$6-0.000000001,E1311&lt;=01_因子設定!$M$6+0.000000001,F1311&gt;=01_因子設定!$L$7-0.000000001,F1311&lt;=01_因子設定!$M$7+0.000000001,IF(01_因子設定!$B$20="Box-Behnken",D1311^2+E1311^2+F1311^2&lt;=2+0.000000001,TRUE()))</f>
        <v>1</v>
      </c>
      <c r="W1311" s="55" t="n">
        <f aca="false">IF(V1311,IF(01_因子設定!$B$13="最大化",T1311-01_因子設定!$B$14,IF(01_因子設定!$B$13="最小化",01_因子設定!$B$15-U1311,MIN(T1311-01_因子設定!$B$14,01_因子設定!$B$15-U1311))),-1E+030)</f>
        <v>-2.65577758600453</v>
      </c>
      <c r="X1311" s="55" t="n">
        <f aca="false">IF(V1311,IF(01_因子設定!$B$13="最大化",Q1311,IF(01_因子設定!$B$13="最小化",-Q1311,-ABS(Q1311-01_因子設定!$B$16))),-1E+030)</f>
        <v>46.880625</v>
      </c>
      <c r="Y1311" s="55" t="n">
        <f aca="false">W1311+ROW()*0.000000001</f>
        <v>-2.65577627500453</v>
      </c>
      <c r="Z1311" s="55" t="n">
        <f aca="false">X1311+ROW()*0.000000001</f>
        <v>46.880626311</v>
      </c>
    </row>
    <row r="1312" customFormat="false" ht="15" hidden="false" customHeight="false" outlineLevel="0" collapsed="false">
      <c r="A1312" s="0" t="n">
        <v>4</v>
      </c>
      <c r="B1312" s="0" t="n">
        <v>8</v>
      </c>
      <c r="C1312" s="0" t="n">
        <v>15</v>
      </c>
      <c r="D1312" s="0" t="n">
        <f aca="false">-1+A1312*0.125</f>
        <v>-0.5</v>
      </c>
      <c r="E1312" s="0" t="n">
        <f aca="false">-1+B1312*0.125</f>
        <v>0</v>
      </c>
      <c r="F1312" s="0" t="n">
        <f aca="false">-1+C1312*0.125</f>
        <v>0.875</v>
      </c>
      <c r="G1312" s="0" t="n">
        <f aca="false">1</f>
        <v>1</v>
      </c>
      <c r="H1312" s="0" t="n">
        <f aca="false">D1312</f>
        <v>-0.5</v>
      </c>
      <c r="I1312" s="0" t="n">
        <f aca="false">E1312</f>
        <v>0</v>
      </c>
      <c r="J1312" s="0" t="n">
        <f aca="false">F1312</f>
        <v>0.875</v>
      </c>
      <c r="K1312" s="0" t="n">
        <f aca="false">D1312*E1312</f>
        <v>-0</v>
      </c>
      <c r="L1312" s="0" t="n">
        <f aca="false">D1312*F1312</f>
        <v>-0.4375</v>
      </c>
      <c r="M1312" s="0" t="n">
        <f aca="false">E1312*F1312</f>
        <v>0</v>
      </c>
      <c r="N1312" s="0" t="n">
        <f aca="false">D1312*D1312</f>
        <v>0.25</v>
      </c>
      <c r="O1312" s="0" t="n">
        <f aca="false">E1312*E1312</f>
        <v>0</v>
      </c>
      <c r="P1312" s="0" t="n">
        <f aca="false">F1312*F1312</f>
        <v>0.765625</v>
      </c>
      <c r="Q1312" s="0" t="n">
        <f aca="false">SUMPRODUCT(G1312:P1312,_XtX!$B$71:$K$71)</f>
        <v>46.8233664772727</v>
      </c>
      <c r="R1312" s="0" t="n">
        <f aca="false">SUMPRODUCT(MMULT(G1312:P1312,_XtX!$B$58:$K$67),G1312:P1312)</f>
        <v>0.335023082386364</v>
      </c>
      <c r="S1312" s="0" t="n">
        <f aca="false">04_回帰ANOVA!$K$19*04_回帰ANOVA!$K$14*SQRT(1+R1312)</f>
        <v>1.07426400295275</v>
      </c>
      <c r="T1312" s="0" t="n">
        <f aca="false">Q1312-S1312</f>
        <v>45.74910247432</v>
      </c>
      <c r="U1312" s="0" t="n">
        <f aca="false">Q1312+S1312</f>
        <v>47.8976304802255</v>
      </c>
      <c r="V1312" s="54" t="b">
        <f aca="false">AND(D1312&gt;=01_因子設定!$L$5-0.000000001,D1312&lt;=01_因子設定!$M$5+0.000000001,E1312&gt;=01_因子設定!$L$6-0.000000001,E1312&lt;=01_因子設定!$M$6+0.000000001,F1312&gt;=01_因子設定!$L$7-0.000000001,F1312&lt;=01_因子設定!$M$7+0.000000001,IF(01_因子設定!$B$20="Box-Behnken",D1312^2+E1312^2+F1312^2&lt;=2+0.000000001,TRUE()))</f>
        <v>1</v>
      </c>
      <c r="W1312" s="55" t="n">
        <f aca="false">IF(V1312,IF(01_因子設定!$B$13="最大化",T1312-01_因子設定!$B$14,IF(01_因子設定!$B$13="最小化",01_因子設定!$B$15-U1312,MIN(T1312-01_因子設定!$B$14,01_因子設定!$B$15-U1312))),-1E+030)</f>
        <v>-2.75089752568001</v>
      </c>
      <c r="X1312" s="55" t="n">
        <f aca="false">IF(V1312,IF(01_因子設定!$B$13="最大化",Q1312,IF(01_因子設定!$B$13="最小化",-Q1312,-ABS(Q1312-01_因子設定!$B$16))),-1E+030)</f>
        <v>46.8233664772727</v>
      </c>
      <c r="Y1312" s="55" t="n">
        <f aca="false">W1312+ROW()*0.000000001</f>
        <v>-2.75089621368001</v>
      </c>
      <c r="Z1312" s="55" t="n">
        <f aca="false">X1312+ROW()*0.000000001</f>
        <v>46.8233677892727</v>
      </c>
    </row>
    <row r="1313" customFormat="false" ht="15" hidden="false" customHeight="false" outlineLevel="0" collapsed="false">
      <c r="A1313" s="0" t="n">
        <v>4</v>
      </c>
      <c r="B1313" s="0" t="n">
        <v>8</v>
      </c>
      <c r="C1313" s="0" t="n">
        <v>16</v>
      </c>
      <c r="D1313" s="0" t="n">
        <f aca="false">-1+A1313*0.125</f>
        <v>-0.5</v>
      </c>
      <c r="E1313" s="0" t="n">
        <f aca="false">-1+B1313*0.125</f>
        <v>0</v>
      </c>
      <c r="F1313" s="0" t="n">
        <f aca="false">-1+C1313*0.125</f>
        <v>1</v>
      </c>
      <c r="G1313" s="0" t="n">
        <f aca="false">1</f>
        <v>1</v>
      </c>
      <c r="H1313" s="0" t="n">
        <f aca="false">D1313</f>
        <v>-0.5</v>
      </c>
      <c r="I1313" s="0" t="n">
        <f aca="false">E1313</f>
        <v>0</v>
      </c>
      <c r="J1313" s="0" t="n">
        <f aca="false">F1313</f>
        <v>1</v>
      </c>
      <c r="K1313" s="0" t="n">
        <f aca="false">D1313*E1313</f>
        <v>-0</v>
      </c>
      <c r="L1313" s="0" t="n">
        <f aca="false">D1313*F1313</f>
        <v>-0.5</v>
      </c>
      <c r="M1313" s="0" t="n">
        <f aca="false">E1313*F1313</f>
        <v>0</v>
      </c>
      <c r="N1313" s="0" t="n">
        <f aca="false">D1313*D1313</f>
        <v>0.25</v>
      </c>
      <c r="O1313" s="0" t="n">
        <f aca="false">E1313*E1313</f>
        <v>0</v>
      </c>
      <c r="P1313" s="0" t="n">
        <f aca="false">F1313*F1313</f>
        <v>1</v>
      </c>
      <c r="Q1313" s="0" t="n">
        <f aca="false">SUMPRODUCT(G1313:P1313,_XtX!$B$71:$K$71)</f>
        <v>46.7293181818182</v>
      </c>
      <c r="R1313" s="0" t="n">
        <f aca="false">SUMPRODUCT(MMULT(G1313:P1313,_XtX!$B$58:$K$67),G1313:P1313)</f>
        <v>0.478977272727273</v>
      </c>
      <c r="S1313" s="0" t="n">
        <f aca="false">04_回帰ANOVA!$K$19*04_回帰ANOVA!$K$14*SQRT(1+R1313)</f>
        <v>1.13069998447216</v>
      </c>
      <c r="T1313" s="0" t="n">
        <f aca="false">Q1313-S1313</f>
        <v>45.598618197346</v>
      </c>
      <c r="U1313" s="0" t="n">
        <f aca="false">Q1313+S1313</f>
        <v>47.8600181662904</v>
      </c>
      <c r="V1313" s="54" t="b">
        <f aca="false">AND(D1313&gt;=01_因子設定!$L$5-0.000000001,D1313&lt;=01_因子設定!$M$5+0.000000001,E1313&gt;=01_因子設定!$L$6-0.000000001,E1313&lt;=01_因子設定!$M$6+0.000000001,F1313&gt;=01_因子設定!$L$7-0.000000001,F1313&lt;=01_因子設定!$M$7+0.000000001,IF(01_因子設定!$B$20="Box-Behnken",D1313^2+E1313^2+F1313^2&lt;=2+0.000000001,TRUE()))</f>
        <v>1</v>
      </c>
      <c r="W1313" s="55" t="n">
        <f aca="false">IF(V1313,IF(01_因子設定!$B$13="最大化",T1313-01_因子設定!$B$14,IF(01_因子設定!$B$13="最小化",01_因子設定!$B$15-U1313,MIN(T1313-01_因子設定!$B$14,01_因子設定!$B$15-U1313))),-1E+030)</f>
        <v>-2.90138180265396</v>
      </c>
      <c r="X1313" s="55" t="n">
        <f aca="false">IF(V1313,IF(01_因子設定!$B$13="最大化",Q1313,IF(01_因子設定!$B$13="最小化",-Q1313,-ABS(Q1313-01_因子設定!$B$16))),-1E+030)</f>
        <v>46.7293181818182</v>
      </c>
      <c r="Y1313" s="55" t="n">
        <f aca="false">W1313+ROW()*0.000000001</f>
        <v>-2.90138048965396</v>
      </c>
      <c r="Z1313" s="55" t="n">
        <f aca="false">X1313+ROW()*0.000000001</f>
        <v>46.7293194948182</v>
      </c>
    </row>
    <row r="1314" customFormat="false" ht="15" hidden="false" customHeight="false" outlineLevel="0" collapsed="false">
      <c r="A1314" s="0" t="n">
        <v>4</v>
      </c>
      <c r="B1314" s="0" t="n">
        <v>9</v>
      </c>
      <c r="C1314" s="0" t="n">
        <v>0</v>
      </c>
      <c r="D1314" s="0" t="n">
        <f aca="false">-1+A1314*0.125</f>
        <v>-0.5</v>
      </c>
      <c r="E1314" s="0" t="n">
        <f aca="false">-1+B1314*0.125</f>
        <v>0.125</v>
      </c>
      <c r="F1314" s="0" t="n">
        <f aca="false">-1+C1314*0.125</f>
        <v>-1</v>
      </c>
      <c r="G1314" s="0" t="n">
        <f aca="false">1</f>
        <v>1</v>
      </c>
      <c r="H1314" s="0" t="n">
        <f aca="false">D1314</f>
        <v>-0.5</v>
      </c>
      <c r="I1314" s="0" t="n">
        <f aca="false">E1314</f>
        <v>0.125</v>
      </c>
      <c r="J1314" s="0" t="n">
        <f aca="false">F1314</f>
        <v>-1</v>
      </c>
      <c r="K1314" s="0" t="n">
        <f aca="false">D1314*E1314</f>
        <v>-0.0625</v>
      </c>
      <c r="L1314" s="0" t="n">
        <f aca="false">D1314*F1314</f>
        <v>0.5</v>
      </c>
      <c r="M1314" s="0" t="n">
        <f aca="false">E1314*F1314</f>
        <v>-0.125</v>
      </c>
      <c r="N1314" s="0" t="n">
        <f aca="false">D1314*D1314</f>
        <v>0.25</v>
      </c>
      <c r="O1314" s="0" t="n">
        <f aca="false">E1314*E1314</f>
        <v>0.015625</v>
      </c>
      <c r="P1314" s="0" t="n">
        <f aca="false">F1314*F1314</f>
        <v>1</v>
      </c>
      <c r="Q1314" s="0" t="n">
        <f aca="false">SUMPRODUCT(G1314:P1314,_XtX!$B$71:$K$71)</f>
        <v>43.9135795454546</v>
      </c>
      <c r="R1314" s="0" t="n">
        <f aca="false">SUMPRODUCT(MMULT(G1314:P1314,_XtX!$B$58:$K$67),G1314:P1314)</f>
        <v>0.476322798295455</v>
      </c>
      <c r="S1314" s="0" t="n">
        <f aca="false">04_回帰ANOVA!$K$19*04_回帰ANOVA!$K$14*SQRT(1+R1314)</f>
        <v>1.12968483630128</v>
      </c>
      <c r="T1314" s="0" t="n">
        <f aca="false">Q1314-S1314</f>
        <v>42.7838947091533</v>
      </c>
      <c r="U1314" s="0" t="n">
        <f aca="false">Q1314+S1314</f>
        <v>45.0432643817559</v>
      </c>
      <c r="V1314" s="54" t="b">
        <f aca="false">AND(D1314&gt;=01_因子設定!$L$5-0.000000001,D1314&lt;=01_因子設定!$M$5+0.000000001,E1314&gt;=01_因子設定!$L$6-0.000000001,E1314&lt;=01_因子設定!$M$6+0.000000001,F1314&gt;=01_因子設定!$L$7-0.000000001,F1314&lt;=01_因子設定!$M$7+0.000000001,IF(01_因子設定!$B$20="Box-Behnken",D1314^2+E1314^2+F1314^2&lt;=2+0.000000001,TRUE()))</f>
        <v>1</v>
      </c>
      <c r="W1314" s="55" t="n">
        <f aca="false">IF(V1314,IF(01_因子設定!$B$13="最大化",T1314-01_因子設定!$B$14,IF(01_因子設定!$B$13="最小化",01_因子設定!$B$15-U1314,MIN(T1314-01_因子設定!$B$14,01_因子設定!$B$15-U1314))),-1E+030)</f>
        <v>-5.71610529084671</v>
      </c>
      <c r="X1314" s="55" t="n">
        <f aca="false">IF(V1314,IF(01_因子設定!$B$13="最大化",Q1314,IF(01_因子設定!$B$13="最小化",-Q1314,-ABS(Q1314-01_因子設定!$B$16))),-1E+030)</f>
        <v>43.9135795454546</v>
      </c>
      <c r="Y1314" s="55" t="n">
        <f aca="false">W1314+ROW()*0.000000001</f>
        <v>-5.71610397684671</v>
      </c>
      <c r="Z1314" s="55" t="n">
        <f aca="false">X1314+ROW()*0.000000001</f>
        <v>43.9135808594546</v>
      </c>
    </row>
    <row r="1315" customFormat="false" ht="15" hidden="false" customHeight="false" outlineLevel="0" collapsed="false">
      <c r="A1315" s="0" t="n">
        <v>4</v>
      </c>
      <c r="B1315" s="0" t="n">
        <v>9</v>
      </c>
      <c r="C1315" s="0" t="n">
        <v>1</v>
      </c>
      <c r="D1315" s="0" t="n">
        <f aca="false">-1+A1315*0.125</f>
        <v>-0.5</v>
      </c>
      <c r="E1315" s="0" t="n">
        <f aca="false">-1+B1315*0.125</f>
        <v>0.125</v>
      </c>
      <c r="F1315" s="0" t="n">
        <f aca="false">-1+C1315*0.125</f>
        <v>-0.875</v>
      </c>
      <c r="G1315" s="0" t="n">
        <f aca="false">1</f>
        <v>1</v>
      </c>
      <c r="H1315" s="0" t="n">
        <f aca="false">D1315</f>
        <v>-0.5</v>
      </c>
      <c r="I1315" s="0" t="n">
        <f aca="false">E1315</f>
        <v>0.125</v>
      </c>
      <c r="J1315" s="0" t="n">
        <f aca="false">F1315</f>
        <v>-0.875</v>
      </c>
      <c r="K1315" s="0" t="n">
        <f aca="false">D1315*E1315</f>
        <v>-0.0625</v>
      </c>
      <c r="L1315" s="0" t="n">
        <f aca="false">D1315*F1315</f>
        <v>0.4375</v>
      </c>
      <c r="M1315" s="0" t="n">
        <f aca="false">E1315*F1315</f>
        <v>-0.109375</v>
      </c>
      <c r="N1315" s="0" t="n">
        <f aca="false">D1315*D1315</f>
        <v>0.25</v>
      </c>
      <c r="O1315" s="0" t="n">
        <f aca="false">E1315*E1315</f>
        <v>0.015625</v>
      </c>
      <c r="P1315" s="0" t="n">
        <f aca="false">F1315*F1315</f>
        <v>0.765625</v>
      </c>
      <c r="Q1315" s="0" t="n">
        <f aca="false">SUMPRODUCT(G1315:P1315,_XtX!$B$71:$K$71)</f>
        <v>44.3784090909091</v>
      </c>
      <c r="R1315" s="0" t="n">
        <f aca="false">SUMPRODUCT(MMULT(G1315:P1315,_XtX!$B$58:$K$67),G1315:P1315)</f>
        <v>0.332909601384943</v>
      </c>
      <c r="S1315" s="0" t="n">
        <f aca="false">04_回帰ANOVA!$K$19*04_回帰ANOVA!$K$14*SQRT(1+R1315)</f>
        <v>1.07341333007404</v>
      </c>
      <c r="T1315" s="0" t="n">
        <f aca="false">Q1315-S1315</f>
        <v>43.3049957608351</v>
      </c>
      <c r="U1315" s="0" t="n">
        <f aca="false">Q1315+S1315</f>
        <v>45.4518224209832</v>
      </c>
      <c r="V1315" s="54" t="b">
        <f aca="false">AND(D1315&gt;=01_因子設定!$L$5-0.000000001,D1315&lt;=01_因子設定!$M$5+0.000000001,E1315&gt;=01_因子設定!$L$6-0.000000001,E1315&lt;=01_因子設定!$M$6+0.000000001,F1315&gt;=01_因子設定!$L$7-0.000000001,F1315&lt;=01_因子設定!$M$7+0.000000001,IF(01_因子設定!$B$20="Box-Behnken",D1315^2+E1315^2+F1315^2&lt;=2+0.000000001,TRUE()))</f>
        <v>1</v>
      </c>
      <c r="W1315" s="55" t="n">
        <f aca="false">IF(V1315,IF(01_因子設定!$B$13="最大化",T1315-01_因子設定!$B$14,IF(01_因子設定!$B$13="最小化",01_因子設定!$B$15-U1315,MIN(T1315-01_因子設定!$B$14,01_因子設定!$B$15-U1315))),-1E+030)</f>
        <v>-5.19500423916493</v>
      </c>
      <c r="X1315" s="55" t="n">
        <f aca="false">IF(V1315,IF(01_因子設定!$B$13="最大化",Q1315,IF(01_因子設定!$B$13="最小化",-Q1315,-ABS(Q1315-01_因子設定!$B$16))),-1E+030)</f>
        <v>44.3784090909091</v>
      </c>
      <c r="Y1315" s="55" t="n">
        <f aca="false">W1315+ROW()*0.000000001</f>
        <v>-5.19500292416493</v>
      </c>
      <c r="Z1315" s="55" t="n">
        <f aca="false">X1315+ROW()*0.000000001</f>
        <v>44.3784104059091</v>
      </c>
    </row>
    <row r="1316" customFormat="false" ht="15" hidden="false" customHeight="false" outlineLevel="0" collapsed="false">
      <c r="A1316" s="0" t="n">
        <v>4</v>
      </c>
      <c r="B1316" s="0" t="n">
        <v>9</v>
      </c>
      <c r="C1316" s="0" t="n">
        <v>2</v>
      </c>
      <c r="D1316" s="0" t="n">
        <f aca="false">-1+A1316*0.125</f>
        <v>-0.5</v>
      </c>
      <c r="E1316" s="0" t="n">
        <f aca="false">-1+B1316*0.125</f>
        <v>0.125</v>
      </c>
      <c r="F1316" s="0" t="n">
        <f aca="false">-1+C1316*0.125</f>
        <v>-0.75</v>
      </c>
      <c r="G1316" s="0" t="n">
        <f aca="false">1</f>
        <v>1</v>
      </c>
      <c r="H1316" s="0" t="n">
        <f aca="false">D1316</f>
        <v>-0.5</v>
      </c>
      <c r="I1316" s="0" t="n">
        <f aca="false">E1316</f>
        <v>0.125</v>
      </c>
      <c r="J1316" s="0" t="n">
        <f aca="false">F1316</f>
        <v>-0.75</v>
      </c>
      <c r="K1316" s="0" t="n">
        <f aca="false">D1316*E1316</f>
        <v>-0.0625</v>
      </c>
      <c r="L1316" s="0" t="n">
        <f aca="false">D1316*F1316</f>
        <v>0.375</v>
      </c>
      <c r="M1316" s="0" t="n">
        <f aca="false">E1316*F1316</f>
        <v>-0.09375</v>
      </c>
      <c r="N1316" s="0" t="n">
        <f aca="false">D1316*D1316</f>
        <v>0.25</v>
      </c>
      <c r="O1316" s="0" t="n">
        <f aca="false">E1316*E1316</f>
        <v>0.015625</v>
      </c>
      <c r="P1316" s="0" t="n">
        <f aca="false">F1316*F1316</f>
        <v>0.5625</v>
      </c>
      <c r="Q1316" s="0" t="n">
        <f aca="false">SUMPRODUCT(G1316:P1316,_XtX!$B$71:$K$71)</f>
        <v>44.8064488636364</v>
      </c>
      <c r="R1316" s="0" t="n">
        <f aca="false">SUMPRODUCT(MMULT(G1316:P1316,_XtX!$B$58:$K$67),G1316:P1316)</f>
        <v>0.240933504971591</v>
      </c>
      <c r="S1316" s="0" t="n">
        <f aca="false">04_回帰ANOVA!$K$19*04_回帰ANOVA!$K$14*SQRT(1+R1316)</f>
        <v>1.03571649118863</v>
      </c>
      <c r="T1316" s="0" t="n">
        <f aca="false">Q1316-S1316</f>
        <v>43.7707323724478</v>
      </c>
      <c r="U1316" s="0" t="n">
        <f aca="false">Q1316+S1316</f>
        <v>45.842165354825</v>
      </c>
      <c r="V1316" s="54" t="b">
        <f aca="false">AND(D1316&gt;=01_因子設定!$L$5-0.000000001,D1316&lt;=01_因子設定!$M$5+0.000000001,E1316&gt;=01_因子設定!$L$6-0.000000001,E1316&lt;=01_因子設定!$M$6+0.000000001,F1316&gt;=01_因子設定!$L$7-0.000000001,F1316&lt;=01_因子設定!$M$7+0.000000001,IF(01_因子設定!$B$20="Box-Behnken",D1316^2+E1316^2+F1316^2&lt;=2+0.000000001,TRUE()))</f>
        <v>1</v>
      </c>
      <c r="W1316" s="55" t="n">
        <f aca="false">IF(V1316,IF(01_因子設定!$B$13="最大化",T1316-01_因子設定!$B$14,IF(01_因子設定!$B$13="最小化",01_因子設定!$B$15-U1316,MIN(T1316-01_因子設定!$B$14,01_因子設定!$B$15-U1316))),-1E+030)</f>
        <v>-4.72926762755225</v>
      </c>
      <c r="X1316" s="55" t="n">
        <f aca="false">IF(V1316,IF(01_因子設定!$B$13="最大化",Q1316,IF(01_因子設定!$B$13="最小化",-Q1316,-ABS(Q1316-01_因子設定!$B$16))),-1E+030)</f>
        <v>44.8064488636364</v>
      </c>
      <c r="Y1316" s="55" t="n">
        <f aca="false">W1316+ROW()*0.000000001</f>
        <v>-4.72926631155225</v>
      </c>
      <c r="Z1316" s="55" t="n">
        <f aca="false">X1316+ROW()*0.000000001</f>
        <v>44.8064501796364</v>
      </c>
    </row>
    <row r="1317" customFormat="false" ht="15" hidden="false" customHeight="false" outlineLevel="0" collapsed="false">
      <c r="A1317" s="0" t="n">
        <v>4</v>
      </c>
      <c r="B1317" s="0" t="n">
        <v>9</v>
      </c>
      <c r="C1317" s="0" t="n">
        <v>3</v>
      </c>
      <c r="D1317" s="0" t="n">
        <f aca="false">-1+A1317*0.125</f>
        <v>-0.5</v>
      </c>
      <c r="E1317" s="0" t="n">
        <f aca="false">-1+B1317*0.125</f>
        <v>0.125</v>
      </c>
      <c r="F1317" s="0" t="n">
        <f aca="false">-1+C1317*0.125</f>
        <v>-0.625</v>
      </c>
      <c r="G1317" s="0" t="n">
        <f aca="false">1</f>
        <v>1</v>
      </c>
      <c r="H1317" s="0" t="n">
        <f aca="false">D1317</f>
        <v>-0.5</v>
      </c>
      <c r="I1317" s="0" t="n">
        <f aca="false">E1317</f>
        <v>0.125</v>
      </c>
      <c r="J1317" s="0" t="n">
        <f aca="false">F1317</f>
        <v>-0.625</v>
      </c>
      <c r="K1317" s="0" t="n">
        <f aca="false">D1317*E1317</f>
        <v>-0.0625</v>
      </c>
      <c r="L1317" s="0" t="n">
        <f aca="false">D1317*F1317</f>
        <v>0.3125</v>
      </c>
      <c r="M1317" s="0" t="n">
        <f aca="false">E1317*F1317</f>
        <v>-0.078125</v>
      </c>
      <c r="N1317" s="0" t="n">
        <f aca="false">D1317*D1317</f>
        <v>0.25</v>
      </c>
      <c r="O1317" s="0" t="n">
        <f aca="false">E1317*E1317</f>
        <v>0.015625</v>
      </c>
      <c r="P1317" s="0" t="n">
        <f aca="false">F1317*F1317</f>
        <v>0.390625</v>
      </c>
      <c r="Q1317" s="0" t="n">
        <f aca="false">SUMPRODUCT(G1317:P1317,_XtX!$B$71:$K$71)</f>
        <v>45.1976988636364</v>
      </c>
      <c r="R1317" s="0" t="n">
        <f aca="false">SUMPRODUCT(MMULT(G1317:P1317,_XtX!$B$58:$K$67),G1317:P1317)</f>
        <v>0.186545077237216</v>
      </c>
      <c r="S1317" s="0" t="n">
        <f aca="false">04_回帰ANOVA!$K$19*04_回帰ANOVA!$K$14*SQRT(1+R1317)</f>
        <v>1.01276516970713</v>
      </c>
      <c r="T1317" s="0" t="n">
        <f aca="false">Q1317-S1317</f>
        <v>44.1849336939292</v>
      </c>
      <c r="U1317" s="0" t="n">
        <f aca="false">Q1317+S1317</f>
        <v>46.2104640333435</v>
      </c>
      <c r="V1317" s="54" t="b">
        <f aca="false">AND(D1317&gt;=01_因子設定!$L$5-0.000000001,D1317&lt;=01_因子設定!$M$5+0.000000001,E1317&gt;=01_因子設定!$L$6-0.000000001,E1317&lt;=01_因子設定!$M$6+0.000000001,F1317&gt;=01_因子設定!$L$7-0.000000001,F1317&lt;=01_因子設定!$M$7+0.000000001,IF(01_因子設定!$B$20="Box-Behnken",D1317^2+E1317^2+F1317^2&lt;=2+0.000000001,TRUE()))</f>
        <v>1</v>
      </c>
      <c r="W1317" s="55" t="n">
        <f aca="false">IF(V1317,IF(01_因子設定!$B$13="最大化",T1317-01_因子設定!$B$14,IF(01_因子設定!$B$13="最小化",01_因子設定!$B$15-U1317,MIN(T1317-01_因子設定!$B$14,01_因子設定!$B$15-U1317))),-1E+030)</f>
        <v>-4.31506630607075</v>
      </c>
      <c r="X1317" s="55" t="n">
        <f aca="false">IF(V1317,IF(01_因子設定!$B$13="最大化",Q1317,IF(01_因子設定!$B$13="最小化",-Q1317,-ABS(Q1317-01_因子設定!$B$16))),-1E+030)</f>
        <v>45.1976988636364</v>
      </c>
      <c r="Y1317" s="55" t="n">
        <f aca="false">W1317+ROW()*0.000000001</f>
        <v>-4.31506498907076</v>
      </c>
      <c r="Z1317" s="55" t="n">
        <f aca="false">X1317+ROW()*0.000000001</f>
        <v>45.1977001806364</v>
      </c>
    </row>
    <row r="1318" customFormat="false" ht="15" hidden="false" customHeight="false" outlineLevel="0" collapsed="false">
      <c r="A1318" s="0" t="n">
        <v>4</v>
      </c>
      <c r="B1318" s="0" t="n">
        <v>9</v>
      </c>
      <c r="C1318" s="0" t="n">
        <v>4</v>
      </c>
      <c r="D1318" s="0" t="n">
        <f aca="false">-1+A1318*0.125</f>
        <v>-0.5</v>
      </c>
      <c r="E1318" s="0" t="n">
        <f aca="false">-1+B1318*0.125</f>
        <v>0.125</v>
      </c>
      <c r="F1318" s="0" t="n">
        <f aca="false">-1+C1318*0.125</f>
        <v>-0.5</v>
      </c>
      <c r="G1318" s="0" t="n">
        <f aca="false">1</f>
        <v>1</v>
      </c>
      <c r="H1318" s="0" t="n">
        <f aca="false">D1318</f>
        <v>-0.5</v>
      </c>
      <c r="I1318" s="0" t="n">
        <f aca="false">E1318</f>
        <v>0.125</v>
      </c>
      <c r="J1318" s="0" t="n">
        <f aca="false">F1318</f>
        <v>-0.5</v>
      </c>
      <c r="K1318" s="0" t="n">
        <f aca="false">D1318*E1318</f>
        <v>-0.0625</v>
      </c>
      <c r="L1318" s="0" t="n">
        <f aca="false">D1318*F1318</f>
        <v>0.25</v>
      </c>
      <c r="M1318" s="0" t="n">
        <f aca="false">E1318*F1318</f>
        <v>-0.0625</v>
      </c>
      <c r="N1318" s="0" t="n">
        <f aca="false">D1318*D1318</f>
        <v>0.25</v>
      </c>
      <c r="O1318" s="0" t="n">
        <f aca="false">E1318*E1318</f>
        <v>0.015625</v>
      </c>
      <c r="P1318" s="0" t="n">
        <f aca="false">F1318*F1318</f>
        <v>0.25</v>
      </c>
      <c r="Q1318" s="0" t="n">
        <f aca="false">SUMPRODUCT(G1318:P1318,_XtX!$B$71:$K$71)</f>
        <v>45.5521590909091</v>
      </c>
      <c r="R1318" s="0" t="n">
        <f aca="false">SUMPRODUCT(MMULT(G1318:P1318,_XtX!$B$58:$K$67),G1318:P1318)</f>
        <v>0.158025568181818</v>
      </c>
      <c r="S1318" s="0" t="n">
        <f aca="false">04_回帰ANOVA!$K$19*04_回帰ANOVA!$K$14*SQRT(1+R1318)</f>
        <v>1.00051985207691</v>
      </c>
      <c r="T1318" s="0" t="n">
        <f aca="false">Q1318-S1318</f>
        <v>44.5516392388322</v>
      </c>
      <c r="U1318" s="0" t="n">
        <f aca="false">Q1318+S1318</f>
        <v>46.552678942986</v>
      </c>
      <c r="V1318" s="54" t="b">
        <f aca="false">AND(D1318&gt;=01_因子設定!$L$5-0.000000001,D1318&lt;=01_因子設定!$M$5+0.000000001,E1318&gt;=01_因子設定!$L$6-0.000000001,E1318&lt;=01_因子設定!$M$6+0.000000001,F1318&gt;=01_因子設定!$L$7-0.000000001,F1318&lt;=01_因子設定!$M$7+0.000000001,IF(01_因子設定!$B$20="Box-Behnken",D1318^2+E1318^2+F1318^2&lt;=2+0.000000001,TRUE()))</f>
        <v>1</v>
      </c>
      <c r="W1318" s="55" t="n">
        <f aca="false">IF(V1318,IF(01_因子設定!$B$13="最大化",T1318-01_因子設定!$B$14,IF(01_因子設定!$B$13="最小化",01_因子設定!$B$15-U1318,MIN(T1318-01_因子設定!$B$14,01_因子設定!$B$15-U1318))),-1E+030)</f>
        <v>-3.94836076116781</v>
      </c>
      <c r="X1318" s="55" t="n">
        <f aca="false">IF(V1318,IF(01_因子設定!$B$13="最大化",Q1318,IF(01_因子設定!$B$13="最小化",-Q1318,-ABS(Q1318-01_因子設定!$B$16))),-1E+030)</f>
        <v>45.5521590909091</v>
      </c>
      <c r="Y1318" s="55" t="n">
        <f aca="false">W1318+ROW()*0.000000001</f>
        <v>-3.94835944316781</v>
      </c>
      <c r="Z1318" s="55" t="n">
        <f aca="false">X1318+ROW()*0.000000001</f>
        <v>45.5521604089091</v>
      </c>
    </row>
    <row r="1319" customFormat="false" ht="15" hidden="false" customHeight="false" outlineLevel="0" collapsed="false">
      <c r="A1319" s="0" t="n">
        <v>4</v>
      </c>
      <c r="B1319" s="0" t="n">
        <v>9</v>
      </c>
      <c r="C1319" s="0" t="n">
        <v>5</v>
      </c>
      <c r="D1319" s="0" t="n">
        <f aca="false">-1+A1319*0.125</f>
        <v>-0.5</v>
      </c>
      <c r="E1319" s="0" t="n">
        <f aca="false">-1+B1319*0.125</f>
        <v>0.125</v>
      </c>
      <c r="F1319" s="0" t="n">
        <f aca="false">-1+C1319*0.125</f>
        <v>-0.375</v>
      </c>
      <c r="G1319" s="0" t="n">
        <f aca="false">1</f>
        <v>1</v>
      </c>
      <c r="H1319" s="0" t="n">
        <f aca="false">D1319</f>
        <v>-0.5</v>
      </c>
      <c r="I1319" s="0" t="n">
        <f aca="false">E1319</f>
        <v>0.125</v>
      </c>
      <c r="J1319" s="0" t="n">
        <f aca="false">F1319</f>
        <v>-0.375</v>
      </c>
      <c r="K1319" s="0" t="n">
        <f aca="false">D1319*E1319</f>
        <v>-0.0625</v>
      </c>
      <c r="L1319" s="0" t="n">
        <f aca="false">D1319*F1319</f>
        <v>0.1875</v>
      </c>
      <c r="M1319" s="0" t="n">
        <f aca="false">E1319*F1319</f>
        <v>-0.046875</v>
      </c>
      <c r="N1319" s="0" t="n">
        <f aca="false">D1319*D1319</f>
        <v>0.25</v>
      </c>
      <c r="O1319" s="0" t="n">
        <f aca="false">E1319*E1319</f>
        <v>0.015625</v>
      </c>
      <c r="P1319" s="0" t="n">
        <f aca="false">F1319*F1319</f>
        <v>0.140625</v>
      </c>
      <c r="Q1319" s="0" t="n">
        <f aca="false">SUMPRODUCT(G1319:P1319,_XtX!$B$71:$K$71)</f>
        <v>45.8698295454546</v>
      </c>
      <c r="R1319" s="0" t="n">
        <f aca="false">SUMPRODUCT(MMULT(G1319:P1319,_XtX!$B$58:$K$67),G1319:P1319)</f>
        <v>0.14578690962358</v>
      </c>
      <c r="S1319" s="0" t="n">
        <f aca="false">04_回帰ANOVA!$K$19*04_回帰ANOVA!$K$14*SQRT(1+R1319)</f>
        <v>0.995218783457917</v>
      </c>
      <c r="T1319" s="0" t="n">
        <f aca="false">Q1319-S1319</f>
        <v>44.8746107619966</v>
      </c>
      <c r="U1319" s="0" t="n">
        <f aca="false">Q1319+S1319</f>
        <v>46.8650483289125</v>
      </c>
      <c r="V1319" s="54" t="b">
        <f aca="false">AND(D1319&gt;=01_因子設定!$L$5-0.000000001,D1319&lt;=01_因子設定!$M$5+0.000000001,E1319&gt;=01_因子設定!$L$6-0.000000001,E1319&lt;=01_因子設定!$M$6+0.000000001,F1319&gt;=01_因子設定!$L$7-0.000000001,F1319&lt;=01_因子設定!$M$7+0.000000001,IF(01_因子設定!$B$20="Box-Behnken",D1319^2+E1319^2+F1319^2&lt;=2+0.000000001,TRUE()))</f>
        <v>1</v>
      </c>
      <c r="W1319" s="55" t="n">
        <f aca="false">IF(V1319,IF(01_因子設定!$B$13="最大化",T1319-01_因子設定!$B$14,IF(01_因子設定!$B$13="最小化",01_因子設定!$B$15-U1319,MIN(T1319-01_因子設定!$B$14,01_因子設定!$B$15-U1319))),-1E+030)</f>
        <v>-3.62538923800336</v>
      </c>
      <c r="X1319" s="55" t="n">
        <f aca="false">IF(V1319,IF(01_因子設定!$B$13="最大化",Q1319,IF(01_因子設定!$B$13="最小化",-Q1319,-ABS(Q1319-01_因子設定!$B$16))),-1E+030)</f>
        <v>45.8698295454546</v>
      </c>
      <c r="Y1319" s="55" t="n">
        <f aca="false">W1319+ROW()*0.000000001</f>
        <v>-3.62538791900337</v>
      </c>
      <c r="Z1319" s="55" t="n">
        <f aca="false">X1319+ROW()*0.000000001</f>
        <v>45.8698308644546</v>
      </c>
    </row>
    <row r="1320" customFormat="false" ht="15" hidden="false" customHeight="false" outlineLevel="0" collapsed="false">
      <c r="A1320" s="0" t="n">
        <v>4</v>
      </c>
      <c r="B1320" s="0" t="n">
        <v>9</v>
      </c>
      <c r="C1320" s="0" t="n">
        <v>6</v>
      </c>
      <c r="D1320" s="0" t="n">
        <f aca="false">-1+A1320*0.125</f>
        <v>-0.5</v>
      </c>
      <c r="E1320" s="0" t="n">
        <f aca="false">-1+B1320*0.125</f>
        <v>0.125</v>
      </c>
      <c r="F1320" s="0" t="n">
        <f aca="false">-1+C1320*0.125</f>
        <v>-0.25</v>
      </c>
      <c r="G1320" s="0" t="n">
        <f aca="false">1</f>
        <v>1</v>
      </c>
      <c r="H1320" s="0" t="n">
        <f aca="false">D1320</f>
        <v>-0.5</v>
      </c>
      <c r="I1320" s="0" t="n">
        <f aca="false">E1320</f>
        <v>0.125</v>
      </c>
      <c r="J1320" s="0" t="n">
        <f aca="false">F1320</f>
        <v>-0.25</v>
      </c>
      <c r="K1320" s="0" t="n">
        <f aca="false">D1320*E1320</f>
        <v>-0.0625</v>
      </c>
      <c r="L1320" s="0" t="n">
        <f aca="false">D1320*F1320</f>
        <v>0.125</v>
      </c>
      <c r="M1320" s="0" t="n">
        <f aca="false">E1320*F1320</f>
        <v>-0.03125</v>
      </c>
      <c r="N1320" s="0" t="n">
        <f aca="false">D1320*D1320</f>
        <v>0.25</v>
      </c>
      <c r="O1320" s="0" t="n">
        <f aca="false">E1320*E1320</f>
        <v>0.015625</v>
      </c>
      <c r="P1320" s="0" t="n">
        <f aca="false">F1320*F1320</f>
        <v>0.0625</v>
      </c>
      <c r="Q1320" s="0" t="n">
        <f aca="false">SUMPRODUCT(G1320:P1320,_XtX!$B$71:$K$71)</f>
        <v>46.1507102272727</v>
      </c>
      <c r="R1320" s="0" t="n">
        <f aca="false">SUMPRODUCT(MMULT(G1320:P1320,_XtX!$B$58:$K$67),G1320:P1320)</f>
        <v>0.142371715198864</v>
      </c>
      <c r="S1320" s="0" t="n">
        <f aca="false">04_回帰ANOVA!$K$19*04_回帰ANOVA!$K$14*SQRT(1+R1320)</f>
        <v>0.99373447511735</v>
      </c>
      <c r="T1320" s="0" t="n">
        <f aca="false">Q1320-S1320</f>
        <v>45.1569757521554</v>
      </c>
      <c r="U1320" s="0" t="n">
        <f aca="false">Q1320+S1320</f>
        <v>47.1444447023901</v>
      </c>
      <c r="V1320" s="54" t="b">
        <f aca="false">AND(D1320&gt;=01_因子設定!$L$5-0.000000001,D1320&lt;=01_因子設定!$M$5+0.000000001,E1320&gt;=01_因子設定!$L$6-0.000000001,E1320&lt;=01_因子設定!$M$6+0.000000001,F1320&gt;=01_因子設定!$L$7-0.000000001,F1320&lt;=01_因子設定!$M$7+0.000000001,IF(01_因子設定!$B$20="Box-Behnken",D1320^2+E1320^2+F1320^2&lt;=2+0.000000001,TRUE()))</f>
        <v>1</v>
      </c>
      <c r="W1320" s="55" t="n">
        <f aca="false">IF(V1320,IF(01_因子設定!$B$13="最大化",T1320-01_因子設定!$B$14,IF(01_因子設定!$B$13="最小化",01_因子設定!$B$15-U1320,MIN(T1320-01_因子設定!$B$14,01_因子設定!$B$15-U1320))),-1E+030)</f>
        <v>-3.34302424784462</v>
      </c>
      <c r="X1320" s="55" t="n">
        <f aca="false">IF(V1320,IF(01_因子設定!$B$13="最大化",Q1320,IF(01_因子設定!$B$13="最小化",-Q1320,-ABS(Q1320-01_因子設定!$B$16))),-1E+030)</f>
        <v>46.1507102272727</v>
      </c>
      <c r="Y1320" s="55" t="n">
        <f aca="false">W1320+ROW()*0.000000001</f>
        <v>-3.34302292784462</v>
      </c>
      <c r="Z1320" s="55" t="n">
        <f aca="false">X1320+ROW()*0.000000001</f>
        <v>46.1507115472727</v>
      </c>
    </row>
    <row r="1321" customFormat="false" ht="15" hidden="false" customHeight="false" outlineLevel="0" collapsed="false">
      <c r="A1321" s="0" t="n">
        <v>4</v>
      </c>
      <c r="B1321" s="0" t="n">
        <v>9</v>
      </c>
      <c r="C1321" s="0" t="n">
        <v>7</v>
      </c>
      <c r="D1321" s="0" t="n">
        <f aca="false">-1+A1321*0.125</f>
        <v>-0.5</v>
      </c>
      <c r="E1321" s="0" t="n">
        <f aca="false">-1+B1321*0.125</f>
        <v>0.125</v>
      </c>
      <c r="F1321" s="0" t="n">
        <f aca="false">-1+C1321*0.125</f>
        <v>-0.125</v>
      </c>
      <c r="G1321" s="0" t="n">
        <f aca="false">1</f>
        <v>1</v>
      </c>
      <c r="H1321" s="0" t="n">
        <f aca="false">D1321</f>
        <v>-0.5</v>
      </c>
      <c r="I1321" s="0" t="n">
        <f aca="false">E1321</f>
        <v>0.125</v>
      </c>
      <c r="J1321" s="0" t="n">
        <f aca="false">F1321</f>
        <v>-0.125</v>
      </c>
      <c r="K1321" s="0" t="n">
        <f aca="false">D1321*E1321</f>
        <v>-0.0625</v>
      </c>
      <c r="L1321" s="0" t="n">
        <f aca="false">D1321*F1321</f>
        <v>0.0625</v>
      </c>
      <c r="M1321" s="0" t="n">
        <f aca="false">E1321*F1321</f>
        <v>-0.015625</v>
      </c>
      <c r="N1321" s="0" t="n">
        <f aca="false">D1321*D1321</f>
        <v>0.25</v>
      </c>
      <c r="O1321" s="0" t="n">
        <f aca="false">E1321*E1321</f>
        <v>0.015625</v>
      </c>
      <c r="P1321" s="0" t="n">
        <f aca="false">F1321*F1321</f>
        <v>0.015625</v>
      </c>
      <c r="Q1321" s="0" t="n">
        <f aca="false">SUMPRODUCT(G1321:P1321,_XtX!$B$71:$K$71)</f>
        <v>46.3948011363636</v>
      </c>
      <c r="R1321" s="0" t="n">
        <f aca="false">SUMPRODUCT(MMULT(G1321:P1321,_XtX!$B$58:$K$67),G1321:P1321)</f>
        <v>0.142453280362216</v>
      </c>
      <c r="S1321" s="0" t="n">
        <f aca="false">04_回帰ANOVA!$K$19*04_回帰ANOVA!$K$14*SQRT(1+R1321)</f>
        <v>0.99376995072785</v>
      </c>
      <c r="T1321" s="0" t="n">
        <f aca="false">Q1321-S1321</f>
        <v>45.4010311856358</v>
      </c>
      <c r="U1321" s="0" t="n">
        <f aca="false">Q1321+S1321</f>
        <v>47.3885710870915</v>
      </c>
      <c r="V1321" s="54" t="b">
        <f aca="false">AND(D1321&gt;=01_因子設定!$L$5-0.000000001,D1321&lt;=01_因子設定!$M$5+0.000000001,E1321&gt;=01_因子設定!$L$6-0.000000001,E1321&lt;=01_因子設定!$M$6+0.000000001,F1321&gt;=01_因子設定!$L$7-0.000000001,F1321&lt;=01_因子設定!$M$7+0.000000001,IF(01_因子設定!$B$20="Box-Behnken",D1321^2+E1321^2+F1321^2&lt;=2+0.000000001,TRUE()))</f>
        <v>1</v>
      </c>
      <c r="W1321" s="55" t="n">
        <f aca="false">IF(V1321,IF(01_因子設定!$B$13="最大化",T1321-01_因子設定!$B$14,IF(01_因子設定!$B$13="最小化",01_因子設定!$B$15-U1321,MIN(T1321-01_因子設定!$B$14,01_因子設定!$B$15-U1321))),-1E+030)</f>
        <v>-3.09896881436421</v>
      </c>
      <c r="X1321" s="55" t="n">
        <f aca="false">IF(V1321,IF(01_因子設定!$B$13="最大化",Q1321,IF(01_因子設定!$B$13="最小化",-Q1321,-ABS(Q1321-01_因子設定!$B$16))),-1E+030)</f>
        <v>46.3948011363636</v>
      </c>
      <c r="Y1321" s="55" t="n">
        <f aca="false">W1321+ROW()*0.000000001</f>
        <v>-3.09896749336421</v>
      </c>
      <c r="Z1321" s="55" t="n">
        <f aca="false">X1321+ROW()*0.000000001</f>
        <v>46.3948024573636</v>
      </c>
    </row>
    <row r="1322" customFormat="false" ht="15" hidden="false" customHeight="false" outlineLevel="0" collapsed="false">
      <c r="A1322" s="0" t="n">
        <v>4</v>
      </c>
      <c r="B1322" s="0" t="n">
        <v>9</v>
      </c>
      <c r="C1322" s="0" t="n">
        <v>8</v>
      </c>
      <c r="D1322" s="0" t="n">
        <f aca="false">-1+A1322*0.125</f>
        <v>-0.5</v>
      </c>
      <c r="E1322" s="0" t="n">
        <f aca="false">-1+B1322*0.125</f>
        <v>0.125</v>
      </c>
      <c r="F1322" s="0" t="n">
        <f aca="false">-1+C1322*0.125</f>
        <v>0</v>
      </c>
      <c r="G1322" s="0" t="n">
        <f aca="false">1</f>
        <v>1</v>
      </c>
      <c r="H1322" s="0" t="n">
        <f aca="false">D1322</f>
        <v>-0.5</v>
      </c>
      <c r="I1322" s="0" t="n">
        <f aca="false">E1322</f>
        <v>0.125</v>
      </c>
      <c r="J1322" s="0" t="n">
        <f aca="false">F1322</f>
        <v>0</v>
      </c>
      <c r="K1322" s="0" t="n">
        <f aca="false">D1322*E1322</f>
        <v>-0.0625</v>
      </c>
      <c r="L1322" s="0" t="n">
        <f aca="false">D1322*F1322</f>
        <v>-0</v>
      </c>
      <c r="M1322" s="0" t="n">
        <f aca="false">E1322*F1322</f>
        <v>0</v>
      </c>
      <c r="N1322" s="0" t="n">
        <f aca="false">D1322*D1322</f>
        <v>0.25</v>
      </c>
      <c r="O1322" s="0" t="n">
        <f aca="false">E1322*E1322</f>
        <v>0.015625</v>
      </c>
      <c r="P1322" s="0" t="n">
        <f aca="false">F1322*F1322</f>
        <v>0</v>
      </c>
      <c r="Q1322" s="0" t="n">
        <f aca="false">SUMPRODUCT(G1322:P1322,_XtX!$B$71:$K$71)</f>
        <v>46.6021022727273</v>
      </c>
      <c r="R1322" s="0" t="n">
        <f aca="false">SUMPRODUCT(MMULT(G1322:P1322,_XtX!$B$58:$K$67),G1322:P1322)</f>
        <v>0.142835582386364</v>
      </c>
      <c r="S1322" s="0" t="n">
        <f aca="false">04_回帰ANOVA!$K$19*04_回帰ANOVA!$K$14*SQRT(1+R1322)</f>
        <v>0.993936210693193</v>
      </c>
      <c r="T1322" s="0" t="n">
        <f aca="false">Q1322-S1322</f>
        <v>45.6081660620341</v>
      </c>
      <c r="U1322" s="0" t="n">
        <f aca="false">Q1322+S1322</f>
        <v>47.5960384834205</v>
      </c>
      <c r="V1322" s="54" t="b">
        <f aca="false">AND(D1322&gt;=01_因子設定!$L$5-0.000000001,D1322&lt;=01_因子設定!$M$5+0.000000001,E1322&gt;=01_因子設定!$L$6-0.000000001,E1322&lt;=01_因子設定!$M$6+0.000000001,F1322&gt;=01_因子設定!$L$7-0.000000001,F1322&lt;=01_因子設定!$M$7+0.000000001,IF(01_因子設定!$B$20="Box-Behnken",D1322^2+E1322^2+F1322^2&lt;=2+0.000000001,TRUE()))</f>
        <v>1</v>
      </c>
      <c r="W1322" s="55" t="n">
        <f aca="false">IF(V1322,IF(01_因子設定!$B$13="最大化",T1322-01_因子設定!$B$14,IF(01_因子設定!$B$13="最小化",01_因子設定!$B$15-U1322,MIN(T1322-01_因子設定!$B$14,01_因子設定!$B$15-U1322))),-1E+030)</f>
        <v>-2.89183393796591</v>
      </c>
      <c r="X1322" s="55" t="n">
        <f aca="false">IF(V1322,IF(01_因子設定!$B$13="最大化",Q1322,IF(01_因子設定!$B$13="最小化",-Q1322,-ABS(Q1322-01_因子設定!$B$16))),-1E+030)</f>
        <v>46.6021022727273</v>
      </c>
      <c r="Y1322" s="55" t="n">
        <f aca="false">W1322+ROW()*0.000000001</f>
        <v>-2.89183261596591</v>
      </c>
      <c r="Z1322" s="55" t="n">
        <f aca="false">X1322+ROW()*0.000000001</f>
        <v>46.6021035947273</v>
      </c>
    </row>
    <row r="1323" customFormat="false" ht="15" hidden="false" customHeight="false" outlineLevel="0" collapsed="false">
      <c r="A1323" s="0" t="n">
        <v>4</v>
      </c>
      <c r="B1323" s="0" t="n">
        <v>9</v>
      </c>
      <c r="C1323" s="0" t="n">
        <v>9</v>
      </c>
      <c r="D1323" s="0" t="n">
        <f aca="false">-1+A1323*0.125</f>
        <v>-0.5</v>
      </c>
      <c r="E1323" s="0" t="n">
        <f aca="false">-1+B1323*0.125</f>
        <v>0.125</v>
      </c>
      <c r="F1323" s="0" t="n">
        <f aca="false">-1+C1323*0.125</f>
        <v>0.125</v>
      </c>
      <c r="G1323" s="0" t="n">
        <f aca="false">1</f>
        <v>1</v>
      </c>
      <c r="H1323" s="0" t="n">
        <f aca="false">D1323</f>
        <v>-0.5</v>
      </c>
      <c r="I1323" s="0" t="n">
        <f aca="false">E1323</f>
        <v>0.125</v>
      </c>
      <c r="J1323" s="0" t="n">
        <f aca="false">F1323</f>
        <v>0.125</v>
      </c>
      <c r="K1323" s="0" t="n">
        <f aca="false">D1323*E1323</f>
        <v>-0.0625</v>
      </c>
      <c r="L1323" s="0" t="n">
        <f aca="false">D1323*F1323</f>
        <v>-0.0625</v>
      </c>
      <c r="M1323" s="0" t="n">
        <f aca="false">E1323*F1323</f>
        <v>0.015625</v>
      </c>
      <c r="N1323" s="0" t="n">
        <f aca="false">D1323*D1323</f>
        <v>0.25</v>
      </c>
      <c r="O1323" s="0" t="n">
        <f aca="false">E1323*E1323</f>
        <v>0.015625</v>
      </c>
      <c r="P1323" s="0" t="n">
        <f aca="false">F1323*F1323</f>
        <v>0.015625</v>
      </c>
      <c r="Q1323" s="0" t="n">
        <f aca="false">SUMPRODUCT(G1323:P1323,_XtX!$B$71:$K$71)</f>
        <v>46.7726136363636</v>
      </c>
      <c r="R1323" s="0" t="n">
        <f aca="false">SUMPRODUCT(MMULT(G1323:P1323,_XtX!$B$58:$K$67),G1323:P1323)</f>
        <v>0.142453280362216</v>
      </c>
      <c r="S1323" s="0" t="n">
        <f aca="false">04_回帰ANOVA!$K$19*04_回帰ANOVA!$K$14*SQRT(1+R1323)</f>
        <v>0.99376995072785</v>
      </c>
      <c r="T1323" s="0" t="n">
        <f aca="false">Q1323-S1323</f>
        <v>45.7788436856358</v>
      </c>
      <c r="U1323" s="0" t="n">
        <f aca="false">Q1323+S1323</f>
        <v>47.7663835870915</v>
      </c>
      <c r="V1323" s="54" t="b">
        <f aca="false">AND(D1323&gt;=01_因子設定!$L$5-0.000000001,D1323&lt;=01_因子設定!$M$5+0.000000001,E1323&gt;=01_因子設定!$L$6-0.000000001,E1323&lt;=01_因子設定!$M$6+0.000000001,F1323&gt;=01_因子設定!$L$7-0.000000001,F1323&lt;=01_因子設定!$M$7+0.000000001,IF(01_因子設定!$B$20="Box-Behnken",D1323^2+E1323^2+F1323^2&lt;=2+0.000000001,TRUE()))</f>
        <v>1</v>
      </c>
      <c r="W1323" s="55" t="n">
        <f aca="false">IF(V1323,IF(01_因子設定!$B$13="最大化",T1323-01_因子設定!$B$14,IF(01_因子設定!$B$13="最小化",01_因子設定!$B$15-U1323,MIN(T1323-01_因子設定!$B$14,01_因子設定!$B$15-U1323))),-1E+030)</f>
        <v>-2.72115631436422</v>
      </c>
      <c r="X1323" s="55" t="n">
        <f aca="false">IF(V1323,IF(01_因子設定!$B$13="最大化",Q1323,IF(01_因子設定!$B$13="最小化",-Q1323,-ABS(Q1323-01_因子設定!$B$16))),-1E+030)</f>
        <v>46.7726136363636</v>
      </c>
      <c r="Y1323" s="55" t="n">
        <f aca="false">W1323+ROW()*0.000000001</f>
        <v>-2.72115499136422</v>
      </c>
      <c r="Z1323" s="55" t="n">
        <f aca="false">X1323+ROW()*0.000000001</f>
        <v>46.7726149593636</v>
      </c>
    </row>
    <row r="1324" customFormat="false" ht="15" hidden="false" customHeight="false" outlineLevel="0" collapsed="false">
      <c r="A1324" s="0" t="n">
        <v>4</v>
      </c>
      <c r="B1324" s="0" t="n">
        <v>9</v>
      </c>
      <c r="C1324" s="0" t="n">
        <v>10</v>
      </c>
      <c r="D1324" s="0" t="n">
        <f aca="false">-1+A1324*0.125</f>
        <v>-0.5</v>
      </c>
      <c r="E1324" s="0" t="n">
        <f aca="false">-1+B1324*0.125</f>
        <v>0.125</v>
      </c>
      <c r="F1324" s="0" t="n">
        <f aca="false">-1+C1324*0.125</f>
        <v>0.25</v>
      </c>
      <c r="G1324" s="0" t="n">
        <f aca="false">1</f>
        <v>1</v>
      </c>
      <c r="H1324" s="0" t="n">
        <f aca="false">D1324</f>
        <v>-0.5</v>
      </c>
      <c r="I1324" s="0" t="n">
        <f aca="false">E1324</f>
        <v>0.125</v>
      </c>
      <c r="J1324" s="0" t="n">
        <f aca="false">F1324</f>
        <v>0.25</v>
      </c>
      <c r="K1324" s="0" t="n">
        <f aca="false">D1324*E1324</f>
        <v>-0.0625</v>
      </c>
      <c r="L1324" s="0" t="n">
        <f aca="false">D1324*F1324</f>
        <v>-0.125</v>
      </c>
      <c r="M1324" s="0" t="n">
        <f aca="false">E1324*F1324</f>
        <v>0.03125</v>
      </c>
      <c r="N1324" s="0" t="n">
        <f aca="false">D1324*D1324</f>
        <v>0.25</v>
      </c>
      <c r="O1324" s="0" t="n">
        <f aca="false">E1324*E1324</f>
        <v>0.015625</v>
      </c>
      <c r="P1324" s="0" t="n">
        <f aca="false">F1324*F1324</f>
        <v>0.0625</v>
      </c>
      <c r="Q1324" s="0" t="n">
        <f aca="false">SUMPRODUCT(G1324:P1324,_XtX!$B$71:$K$71)</f>
        <v>46.9063352272727</v>
      </c>
      <c r="R1324" s="0" t="n">
        <f aca="false">SUMPRODUCT(MMULT(G1324:P1324,_XtX!$B$58:$K$67),G1324:P1324)</f>
        <v>0.142371715198864</v>
      </c>
      <c r="S1324" s="0" t="n">
        <f aca="false">04_回帰ANOVA!$K$19*04_回帰ANOVA!$K$14*SQRT(1+R1324)</f>
        <v>0.99373447511735</v>
      </c>
      <c r="T1324" s="0" t="n">
        <f aca="false">Q1324-S1324</f>
        <v>45.9126007521554</v>
      </c>
      <c r="U1324" s="0" t="n">
        <f aca="false">Q1324+S1324</f>
        <v>47.9000697023901</v>
      </c>
      <c r="V1324" s="54" t="b">
        <f aca="false">AND(D1324&gt;=01_因子設定!$L$5-0.000000001,D1324&lt;=01_因子設定!$M$5+0.000000001,E1324&gt;=01_因子設定!$L$6-0.000000001,E1324&lt;=01_因子設定!$M$6+0.000000001,F1324&gt;=01_因子設定!$L$7-0.000000001,F1324&lt;=01_因子設定!$M$7+0.000000001,IF(01_因子設定!$B$20="Box-Behnken",D1324^2+E1324^2+F1324^2&lt;=2+0.000000001,TRUE()))</f>
        <v>1</v>
      </c>
      <c r="W1324" s="55" t="n">
        <f aca="false">IF(V1324,IF(01_因子設定!$B$13="最大化",T1324-01_因子設定!$B$14,IF(01_因子設定!$B$13="最小化",01_因子設定!$B$15-U1324,MIN(T1324-01_因子設定!$B$14,01_因子設定!$B$15-U1324))),-1E+030)</f>
        <v>-2.58739924784462</v>
      </c>
      <c r="X1324" s="55" t="n">
        <f aca="false">IF(V1324,IF(01_因子設定!$B$13="最大化",Q1324,IF(01_因子設定!$B$13="最小化",-Q1324,-ABS(Q1324-01_因子設定!$B$16))),-1E+030)</f>
        <v>46.9063352272727</v>
      </c>
      <c r="Y1324" s="55" t="n">
        <f aca="false">W1324+ROW()*0.000000001</f>
        <v>-2.58739792384462</v>
      </c>
      <c r="Z1324" s="55" t="n">
        <f aca="false">X1324+ROW()*0.000000001</f>
        <v>46.9063365512727</v>
      </c>
    </row>
    <row r="1325" customFormat="false" ht="15" hidden="false" customHeight="false" outlineLevel="0" collapsed="false">
      <c r="A1325" s="0" t="n">
        <v>4</v>
      </c>
      <c r="B1325" s="0" t="n">
        <v>9</v>
      </c>
      <c r="C1325" s="0" t="n">
        <v>11</v>
      </c>
      <c r="D1325" s="0" t="n">
        <f aca="false">-1+A1325*0.125</f>
        <v>-0.5</v>
      </c>
      <c r="E1325" s="0" t="n">
        <f aca="false">-1+B1325*0.125</f>
        <v>0.125</v>
      </c>
      <c r="F1325" s="0" t="n">
        <f aca="false">-1+C1325*0.125</f>
        <v>0.375</v>
      </c>
      <c r="G1325" s="0" t="n">
        <f aca="false">1</f>
        <v>1</v>
      </c>
      <c r="H1325" s="0" t="n">
        <f aca="false">D1325</f>
        <v>-0.5</v>
      </c>
      <c r="I1325" s="0" t="n">
        <f aca="false">E1325</f>
        <v>0.125</v>
      </c>
      <c r="J1325" s="0" t="n">
        <f aca="false">F1325</f>
        <v>0.375</v>
      </c>
      <c r="K1325" s="0" t="n">
        <f aca="false">D1325*E1325</f>
        <v>-0.0625</v>
      </c>
      <c r="L1325" s="0" t="n">
        <f aca="false">D1325*F1325</f>
        <v>-0.1875</v>
      </c>
      <c r="M1325" s="0" t="n">
        <f aca="false">E1325*F1325</f>
        <v>0.046875</v>
      </c>
      <c r="N1325" s="0" t="n">
        <f aca="false">D1325*D1325</f>
        <v>0.25</v>
      </c>
      <c r="O1325" s="0" t="n">
        <f aca="false">E1325*E1325</f>
        <v>0.015625</v>
      </c>
      <c r="P1325" s="0" t="n">
        <f aca="false">F1325*F1325</f>
        <v>0.140625</v>
      </c>
      <c r="Q1325" s="0" t="n">
        <f aca="false">SUMPRODUCT(G1325:P1325,_XtX!$B$71:$K$71)</f>
        <v>47.0032670454546</v>
      </c>
      <c r="R1325" s="0" t="n">
        <f aca="false">SUMPRODUCT(MMULT(G1325:P1325,_XtX!$B$58:$K$67),G1325:P1325)</f>
        <v>0.14578690962358</v>
      </c>
      <c r="S1325" s="0" t="n">
        <f aca="false">04_回帰ANOVA!$K$19*04_回帰ANOVA!$K$14*SQRT(1+R1325)</f>
        <v>0.995218783457917</v>
      </c>
      <c r="T1325" s="0" t="n">
        <f aca="false">Q1325-S1325</f>
        <v>46.0080482619966</v>
      </c>
      <c r="U1325" s="0" t="n">
        <f aca="false">Q1325+S1325</f>
        <v>47.9984858289125</v>
      </c>
      <c r="V1325" s="54" t="b">
        <f aca="false">AND(D1325&gt;=01_因子設定!$L$5-0.000000001,D1325&lt;=01_因子設定!$M$5+0.000000001,E1325&gt;=01_因子設定!$L$6-0.000000001,E1325&lt;=01_因子設定!$M$6+0.000000001,F1325&gt;=01_因子設定!$L$7-0.000000001,F1325&lt;=01_因子設定!$M$7+0.000000001,IF(01_因子設定!$B$20="Box-Behnken",D1325^2+E1325^2+F1325^2&lt;=2+0.000000001,TRUE()))</f>
        <v>1</v>
      </c>
      <c r="W1325" s="55" t="n">
        <f aca="false">IF(V1325,IF(01_因子設定!$B$13="最大化",T1325-01_因子設定!$B$14,IF(01_因子設定!$B$13="最小化",01_因子設定!$B$15-U1325,MIN(T1325-01_因子設定!$B$14,01_因子設定!$B$15-U1325))),-1E+030)</f>
        <v>-2.49195173800337</v>
      </c>
      <c r="X1325" s="55" t="n">
        <f aca="false">IF(V1325,IF(01_因子設定!$B$13="最大化",Q1325,IF(01_因子設定!$B$13="最小化",-Q1325,-ABS(Q1325-01_因子設定!$B$16))),-1E+030)</f>
        <v>47.0032670454546</v>
      </c>
      <c r="Y1325" s="55" t="n">
        <f aca="false">W1325+ROW()*0.000000001</f>
        <v>-2.49195041300337</v>
      </c>
      <c r="Z1325" s="55" t="n">
        <f aca="false">X1325+ROW()*0.000000001</f>
        <v>47.0032683704546</v>
      </c>
    </row>
    <row r="1326" customFormat="false" ht="15" hidden="false" customHeight="false" outlineLevel="0" collapsed="false">
      <c r="A1326" s="0" t="n">
        <v>4</v>
      </c>
      <c r="B1326" s="0" t="n">
        <v>9</v>
      </c>
      <c r="C1326" s="0" t="n">
        <v>12</v>
      </c>
      <c r="D1326" s="0" t="n">
        <f aca="false">-1+A1326*0.125</f>
        <v>-0.5</v>
      </c>
      <c r="E1326" s="0" t="n">
        <f aca="false">-1+B1326*0.125</f>
        <v>0.125</v>
      </c>
      <c r="F1326" s="0" t="n">
        <f aca="false">-1+C1326*0.125</f>
        <v>0.5</v>
      </c>
      <c r="G1326" s="0" t="n">
        <f aca="false">1</f>
        <v>1</v>
      </c>
      <c r="H1326" s="0" t="n">
        <f aca="false">D1326</f>
        <v>-0.5</v>
      </c>
      <c r="I1326" s="0" t="n">
        <f aca="false">E1326</f>
        <v>0.125</v>
      </c>
      <c r="J1326" s="0" t="n">
        <f aca="false">F1326</f>
        <v>0.5</v>
      </c>
      <c r="K1326" s="0" t="n">
        <f aca="false">D1326*E1326</f>
        <v>-0.0625</v>
      </c>
      <c r="L1326" s="0" t="n">
        <f aca="false">D1326*F1326</f>
        <v>-0.25</v>
      </c>
      <c r="M1326" s="0" t="n">
        <f aca="false">E1326*F1326</f>
        <v>0.0625</v>
      </c>
      <c r="N1326" s="0" t="n">
        <f aca="false">D1326*D1326</f>
        <v>0.25</v>
      </c>
      <c r="O1326" s="0" t="n">
        <f aca="false">E1326*E1326</f>
        <v>0.015625</v>
      </c>
      <c r="P1326" s="0" t="n">
        <f aca="false">F1326*F1326</f>
        <v>0.25</v>
      </c>
      <c r="Q1326" s="0" t="n">
        <f aca="false">SUMPRODUCT(G1326:P1326,_XtX!$B$71:$K$71)</f>
        <v>47.0634090909091</v>
      </c>
      <c r="R1326" s="0" t="n">
        <f aca="false">SUMPRODUCT(MMULT(G1326:P1326,_XtX!$B$58:$K$67),G1326:P1326)</f>
        <v>0.158025568181818</v>
      </c>
      <c r="S1326" s="0" t="n">
        <f aca="false">04_回帰ANOVA!$K$19*04_回帰ANOVA!$K$14*SQRT(1+R1326)</f>
        <v>1.00051985207691</v>
      </c>
      <c r="T1326" s="0" t="n">
        <f aca="false">Q1326-S1326</f>
        <v>46.0628892388322</v>
      </c>
      <c r="U1326" s="0" t="n">
        <f aca="false">Q1326+S1326</f>
        <v>48.063928942986</v>
      </c>
      <c r="V1326" s="54" t="b">
        <f aca="false">AND(D1326&gt;=01_因子設定!$L$5-0.000000001,D1326&lt;=01_因子設定!$M$5+0.000000001,E1326&gt;=01_因子設定!$L$6-0.000000001,E1326&lt;=01_因子設定!$M$6+0.000000001,F1326&gt;=01_因子設定!$L$7-0.000000001,F1326&lt;=01_因子設定!$M$7+0.000000001,IF(01_因子設定!$B$20="Box-Behnken",D1326^2+E1326^2+F1326^2&lt;=2+0.000000001,TRUE()))</f>
        <v>1</v>
      </c>
      <c r="W1326" s="55" t="n">
        <f aca="false">IF(V1326,IF(01_因子設定!$B$13="最大化",T1326-01_因子設定!$B$14,IF(01_因子設定!$B$13="最小化",01_因子設定!$B$15-U1326,MIN(T1326-01_因子設定!$B$14,01_因子設定!$B$15-U1326))),-1E+030)</f>
        <v>-2.43711076116781</v>
      </c>
      <c r="X1326" s="55" t="n">
        <f aca="false">IF(V1326,IF(01_因子設定!$B$13="最大化",Q1326,IF(01_因子設定!$B$13="最小化",-Q1326,-ABS(Q1326-01_因子設定!$B$16))),-1E+030)</f>
        <v>47.0634090909091</v>
      </c>
      <c r="Y1326" s="55" t="n">
        <f aca="false">W1326+ROW()*0.000000001</f>
        <v>-2.43710943516781</v>
      </c>
      <c r="Z1326" s="55" t="n">
        <f aca="false">X1326+ROW()*0.000000001</f>
        <v>47.0634104169091</v>
      </c>
    </row>
    <row r="1327" customFormat="false" ht="15" hidden="false" customHeight="false" outlineLevel="0" collapsed="false">
      <c r="A1327" s="0" t="n">
        <v>4</v>
      </c>
      <c r="B1327" s="0" t="n">
        <v>9</v>
      </c>
      <c r="C1327" s="0" t="n">
        <v>13</v>
      </c>
      <c r="D1327" s="0" t="n">
        <f aca="false">-1+A1327*0.125</f>
        <v>-0.5</v>
      </c>
      <c r="E1327" s="0" t="n">
        <f aca="false">-1+B1327*0.125</f>
        <v>0.125</v>
      </c>
      <c r="F1327" s="0" t="n">
        <f aca="false">-1+C1327*0.125</f>
        <v>0.625</v>
      </c>
      <c r="G1327" s="0" t="n">
        <f aca="false">1</f>
        <v>1</v>
      </c>
      <c r="H1327" s="0" t="n">
        <f aca="false">D1327</f>
        <v>-0.5</v>
      </c>
      <c r="I1327" s="0" t="n">
        <f aca="false">E1327</f>
        <v>0.125</v>
      </c>
      <c r="J1327" s="0" t="n">
        <f aca="false">F1327</f>
        <v>0.625</v>
      </c>
      <c r="K1327" s="0" t="n">
        <f aca="false">D1327*E1327</f>
        <v>-0.0625</v>
      </c>
      <c r="L1327" s="0" t="n">
        <f aca="false">D1327*F1327</f>
        <v>-0.3125</v>
      </c>
      <c r="M1327" s="0" t="n">
        <f aca="false">E1327*F1327</f>
        <v>0.078125</v>
      </c>
      <c r="N1327" s="0" t="n">
        <f aca="false">D1327*D1327</f>
        <v>0.25</v>
      </c>
      <c r="O1327" s="0" t="n">
        <f aca="false">E1327*E1327</f>
        <v>0.015625</v>
      </c>
      <c r="P1327" s="0" t="n">
        <f aca="false">F1327*F1327</f>
        <v>0.390625</v>
      </c>
      <c r="Q1327" s="0" t="n">
        <f aca="false">SUMPRODUCT(G1327:P1327,_XtX!$B$71:$K$71)</f>
        <v>47.0867613636364</v>
      </c>
      <c r="R1327" s="0" t="n">
        <f aca="false">SUMPRODUCT(MMULT(G1327:P1327,_XtX!$B$58:$K$67),G1327:P1327)</f>
        <v>0.186545077237216</v>
      </c>
      <c r="S1327" s="0" t="n">
        <f aca="false">04_回帰ANOVA!$K$19*04_回帰ANOVA!$K$14*SQRT(1+R1327)</f>
        <v>1.01276516970713</v>
      </c>
      <c r="T1327" s="0" t="n">
        <f aca="false">Q1327-S1327</f>
        <v>46.0739961939293</v>
      </c>
      <c r="U1327" s="0" t="n">
        <f aca="false">Q1327+S1327</f>
        <v>48.0995265333435</v>
      </c>
      <c r="V1327" s="54" t="b">
        <f aca="false">AND(D1327&gt;=01_因子設定!$L$5-0.000000001,D1327&lt;=01_因子設定!$M$5+0.000000001,E1327&gt;=01_因子設定!$L$6-0.000000001,E1327&lt;=01_因子設定!$M$6+0.000000001,F1327&gt;=01_因子設定!$L$7-0.000000001,F1327&lt;=01_因子設定!$M$7+0.000000001,IF(01_因子設定!$B$20="Box-Behnken",D1327^2+E1327^2+F1327^2&lt;=2+0.000000001,TRUE()))</f>
        <v>1</v>
      </c>
      <c r="W1327" s="55" t="n">
        <f aca="false">IF(V1327,IF(01_因子設定!$B$13="最大化",T1327-01_因子設定!$B$14,IF(01_因子設定!$B$13="最小化",01_因子設定!$B$15-U1327,MIN(T1327-01_因子設定!$B$14,01_因子設定!$B$15-U1327))),-1E+030)</f>
        <v>-2.42600380607075</v>
      </c>
      <c r="X1327" s="55" t="n">
        <f aca="false">IF(V1327,IF(01_因子設定!$B$13="最大化",Q1327,IF(01_因子設定!$B$13="最小化",-Q1327,-ABS(Q1327-01_因子設定!$B$16))),-1E+030)</f>
        <v>47.0867613636364</v>
      </c>
      <c r="Y1327" s="55" t="n">
        <f aca="false">W1327+ROW()*0.000000001</f>
        <v>-2.42600247907075</v>
      </c>
      <c r="Z1327" s="55" t="n">
        <f aca="false">X1327+ROW()*0.000000001</f>
        <v>47.0867626906364</v>
      </c>
    </row>
    <row r="1328" customFormat="false" ht="15" hidden="false" customHeight="false" outlineLevel="0" collapsed="false">
      <c r="A1328" s="0" t="n">
        <v>4</v>
      </c>
      <c r="B1328" s="0" t="n">
        <v>9</v>
      </c>
      <c r="C1328" s="0" t="n">
        <v>14</v>
      </c>
      <c r="D1328" s="0" t="n">
        <f aca="false">-1+A1328*0.125</f>
        <v>-0.5</v>
      </c>
      <c r="E1328" s="0" t="n">
        <f aca="false">-1+B1328*0.125</f>
        <v>0.125</v>
      </c>
      <c r="F1328" s="0" t="n">
        <f aca="false">-1+C1328*0.125</f>
        <v>0.75</v>
      </c>
      <c r="G1328" s="0" t="n">
        <f aca="false">1</f>
        <v>1</v>
      </c>
      <c r="H1328" s="0" t="n">
        <f aca="false">D1328</f>
        <v>-0.5</v>
      </c>
      <c r="I1328" s="0" t="n">
        <f aca="false">E1328</f>
        <v>0.125</v>
      </c>
      <c r="J1328" s="0" t="n">
        <f aca="false">F1328</f>
        <v>0.75</v>
      </c>
      <c r="K1328" s="0" t="n">
        <f aca="false">D1328*E1328</f>
        <v>-0.0625</v>
      </c>
      <c r="L1328" s="0" t="n">
        <f aca="false">D1328*F1328</f>
        <v>-0.375</v>
      </c>
      <c r="M1328" s="0" t="n">
        <f aca="false">E1328*F1328</f>
        <v>0.09375</v>
      </c>
      <c r="N1328" s="0" t="n">
        <f aca="false">D1328*D1328</f>
        <v>0.25</v>
      </c>
      <c r="O1328" s="0" t="n">
        <f aca="false">E1328*E1328</f>
        <v>0.015625</v>
      </c>
      <c r="P1328" s="0" t="n">
        <f aca="false">F1328*F1328</f>
        <v>0.5625</v>
      </c>
      <c r="Q1328" s="0" t="n">
        <f aca="false">SUMPRODUCT(G1328:P1328,_XtX!$B$71:$K$71)</f>
        <v>47.0733238636364</v>
      </c>
      <c r="R1328" s="0" t="n">
        <f aca="false">SUMPRODUCT(MMULT(G1328:P1328,_XtX!$B$58:$K$67),G1328:P1328)</f>
        <v>0.240933504971591</v>
      </c>
      <c r="S1328" s="0" t="n">
        <f aca="false">04_回帰ANOVA!$K$19*04_回帰ANOVA!$K$14*SQRT(1+R1328)</f>
        <v>1.03571649118863</v>
      </c>
      <c r="T1328" s="0" t="n">
        <f aca="false">Q1328-S1328</f>
        <v>46.0376073724478</v>
      </c>
      <c r="U1328" s="0" t="n">
        <f aca="false">Q1328+S1328</f>
        <v>48.109040354825</v>
      </c>
      <c r="V1328" s="54" t="b">
        <f aca="false">AND(D1328&gt;=01_因子設定!$L$5-0.000000001,D1328&lt;=01_因子設定!$M$5+0.000000001,E1328&gt;=01_因子設定!$L$6-0.000000001,E1328&lt;=01_因子設定!$M$6+0.000000001,F1328&gt;=01_因子設定!$L$7-0.000000001,F1328&lt;=01_因子設定!$M$7+0.000000001,IF(01_因子設定!$B$20="Box-Behnken",D1328^2+E1328^2+F1328^2&lt;=2+0.000000001,TRUE()))</f>
        <v>1</v>
      </c>
      <c r="W1328" s="55" t="n">
        <f aca="false">IF(V1328,IF(01_因子設定!$B$13="最大化",T1328-01_因子設定!$B$14,IF(01_因子設定!$B$13="最小化",01_因子設定!$B$15-U1328,MIN(T1328-01_因子設定!$B$14,01_因子設定!$B$15-U1328))),-1E+030)</f>
        <v>-2.46239262755225</v>
      </c>
      <c r="X1328" s="55" t="n">
        <f aca="false">IF(V1328,IF(01_因子設定!$B$13="最大化",Q1328,IF(01_因子設定!$B$13="最小化",-Q1328,-ABS(Q1328-01_因子設定!$B$16))),-1E+030)</f>
        <v>47.0733238636364</v>
      </c>
      <c r="Y1328" s="55" t="n">
        <f aca="false">W1328+ROW()*0.000000001</f>
        <v>-2.46239129955225</v>
      </c>
      <c r="Z1328" s="55" t="n">
        <f aca="false">X1328+ROW()*0.000000001</f>
        <v>47.0733251916364</v>
      </c>
    </row>
    <row r="1329" customFormat="false" ht="15" hidden="false" customHeight="false" outlineLevel="0" collapsed="false">
      <c r="A1329" s="0" t="n">
        <v>4</v>
      </c>
      <c r="B1329" s="0" t="n">
        <v>9</v>
      </c>
      <c r="C1329" s="0" t="n">
        <v>15</v>
      </c>
      <c r="D1329" s="0" t="n">
        <f aca="false">-1+A1329*0.125</f>
        <v>-0.5</v>
      </c>
      <c r="E1329" s="0" t="n">
        <f aca="false">-1+B1329*0.125</f>
        <v>0.125</v>
      </c>
      <c r="F1329" s="0" t="n">
        <f aca="false">-1+C1329*0.125</f>
        <v>0.875</v>
      </c>
      <c r="G1329" s="0" t="n">
        <f aca="false">1</f>
        <v>1</v>
      </c>
      <c r="H1329" s="0" t="n">
        <f aca="false">D1329</f>
        <v>-0.5</v>
      </c>
      <c r="I1329" s="0" t="n">
        <f aca="false">E1329</f>
        <v>0.125</v>
      </c>
      <c r="J1329" s="0" t="n">
        <f aca="false">F1329</f>
        <v>0.875</v>
      </c>
      <c r="K1329" s="0" t="n">
        <f aca="false">D1329*E1329</f>
        <v>-0.0625</v>
      </c>
      <c r="L1329" s="0" t="n">
        <f aca="false">D1329*F1329</f>
        <v>-0.4375</v>
      </c>
      <c r="M1329" s="0" t="n">
        <f aca="false">E1329*F1329</f>
        <v>0.109375</v>
      </c>
      <c r="N1329" s="0" t="n">
        <f aca="false">D1329*D1329</f>
        <v>0.25</v>
      </c>
      <c r="O1329" s="0" t="n">
        <f aca="false">E1329*E1329</f>
        <v>0.015625</v>
      </c>
      <c r="P1329" s="0" t="n">
        <f aca="false">F1329*F1329</f>
        <v>0.765625</v>
      </c>
      <c r="Q1329" s="0" t="n">
        <f aca="false">SUMPRODUCT(G1329:P1329,_XtX!$B$71:$K$71)</f>
        <v>47.0230965909091</v>
      </c>
      <c r="R1329" s="0" t="n">
        <f aca="false">SUMPRODUCT(MMULT(G1329:P1329,_XtX!$B$58:$K$67),G1329:P1329)</f>
        <v>0.332909601384943</v>
      </c>
      <c r="S1329" s="0" t="n">
        <f aca="false">04_回帰ANOVA!$K$19*04_回帰ANOVA!$K$14*SQRT(1+R1329)</f>
        <v>1.07341333007404</v>
      </c>
      <c r="T1329" s="0" t="n">
        <f aca="false">Q1329-S1329</f>
        <v>45.9496832608351</v>
      </c>
      <c r="U1329" s="0" t="n">
        <f aca="false">Q1329+S1329</f>
        <v>48.0965099209831</v>
      </c>
      <c r="V1329" s="54" t="b">
        <f aca="false">AND(D1329&gt;=01_因子設定!$L$5-0.000000001,D1329&lt;=01_因子設定!$M$5+0.000000001,E1329&gt;=01_因子設定!$L$6-0.000000001,E1329&lt;=01_因子設定!$M$6+0.000000001,F1329&gt;=01_因子設定!$L$7-0.000000001,F1329&lt;=01_因子設定!$M$7+0.000000001,IF(01_因子設定!$B$20="Box-Behnken",D1329^2+E1329^2+F1329^2&lt;=2+0.000000001,TRUE()))</f>
        <v>1</v>
      </c>
      <c r="W1329" s="55" t="n">
        <f aca="false">IF(V1329,IF(01_因子設定!$B$13="最大化",T1329-01_因子設定!$B$14,IF(01_因子設定!$B$13="最小化",01_因子設定!$B$15-U1329,MIN(T1329-01_因子設定!$B$14,01_因子設定!$B$15-U1329))),-1E+030)</f>
        <v>-2.55031673916493</v>
      </c>
      <c r="X1329" s="55" t="n">
        <f aca="false">IF(V1329,IF(01_因子設定!$B$13="最大化",Q1329,IF(01_因子設定!$B$13="最小化",-Q1329,-ABS(Q1329-01_因子設定!$B$16))),-1E+030)</f>
        <v>47.0230965909091</v>
      </c>
      <c r="Y1329" s="55" t="n">
        <f aca="false">W1329+ROW()*0.000000001</f>
        <v>-2.55031541016493</v>
      </c>
      <c r="Z1329" s="55" t="n">
        <f aca="false">X1329+ROW()*0.000000001</f>
        <v>47.0230979199091</v>
      </c>
    </row>
    <row r="1330" customFormat="false" ht="15" hidden="false" customHeight="false" outlineLevel="0" collapsed="false">
      <c r="A1330" s="0" t="n">
        <v>4</v>
      </c>
      <c r="B1330" s="0" t="n">
        <v>9</v>
      </c>
      <c r="C1330" s="0" t="n">
        <v>16</v>
      </c>
      <c r="D1330" s="0" t="n">
        <f aca="false">-1+A1330*0.125</f>
        <v>-0.5</v>
      </c>
      <c r="E1330" s="0" t="n">
        <f aca="false">-1+B1330*0.125</f>
        <v>0.125</v>
      </c>
      <c r="F1330" s="0" t="n">
        <f aca="false">-1+C1330*0.125</f>
        <v>1</v>
      </c>
      <c r="G1330" s="0" t="n">
        <f aca="false">1</f>
        <v>1</v>
      </c>
      <c r="H1330" s="0" t="n">
        <f aca="false">D1330</f>
        <v>-0.5</v>
      </c>
      <c r="I1330" s="0" t="n">
        <f aca="false">E1330</f>
        <v>0.125</v>
      </c>
      <c r="J1330" s="0" t="n">
        <f aca="false">F1330</f>
        <v>1</v>
      </c>
      <c r="K1330" s="0" t="n">
        <f aca="false">D1330*E1330</f>
        <v>-0.0625</v>
      </c>
      <c r="L1330" s="0" t="n">
        <f aca="false">D1330*F1330</f>
        <v>-0.5</v>
      </c>
      <c r="M1330" s="0" t="n">
        <f aca="false">E1330*F1330</f>
        <v>0.125</v>
      </c>
      <c r="N1330" s="0" t="n">
        <f aca="false">D1330*D1330</f>
        <v>0.25</v>
      </c>
      <c r="O1330" s="0" t="n">
        <f aca="false">E1330*E1330</f>
        <v>0.015625</v>
      </c>
      <c r="P1330" s="0" t="n">
        <f aca="false">F1330*F1330</f>
        <v>1</v>
      </c>
      <c r="Q1330" s="0" t="n">
        <f aca="false">SUMPRODUCT(G1330:P1330,_XtX!$B$71:$K$71)</f>
        <v>46.9360795454546</v>
      </c>
      <c r="R1330" s="0" t="n">
        <f aca="false">SUMPRODUCT(MMULT(G1330:P1330,_XtX!$B$58:$K$67),G1330:P1330)</f>
        <v>0.476322798295455</v>
      </c>
      <c r="S1330" s="0" t="n">
        <f aca="false">04_回帰ANOVA!$K$19*04_回帰ANOVA!$K$14*SQRT(1+R1330)</f>
        <v>1.12968483630128</v>
      </c>
      <c r="T1330" s="0" t="n">
        <f aca="false">Q1330-S1330</f>
        <v>45.8063947091533</v>
      </c>
      <c r="U1330" s="0" t="n">
        <f aca="false">Q1330+S1330</f>
        <v>48.0657643817559</v>
      </c>
      <c r="V1330" s="54" t="b">
        <f aca="false">AND(D1330&gt;=01_因子設定!$L$5-0.000000001,D1330&lt;=01_因子設定!$M$5+0.000000001,E1330&gt;=01_因子設定!$L$6-0.000000001,E1330&lt;=01_因子設定!$M$6+0.000000001,F1330&gt;=01_因子設定!$L$7-0.000000001,F1330&lt;=01_因子設定!$M$7+0.000000001,IF(01_因子設定!$B$20="Box-Behnken",D1330^2+E1330^2+F1330^2&lt;=2+0.000000001,TRUE()))</f>
        <v>1</v>
      </c>
      <c r="W1330" s="55" t="n">
        <f aca="false">IF(V1330,IF(01_因子設定!$B$13="最大化",T1330-01_因子設定!$B$14,IF(01_因子設定!$B$13="最小化",01_因子設定!$B$15-U1330,MIN(T1330-01_因子設定!$B$14,01_因子設定!$B$15-U1330))),-1E+030)</f>
        <v>-2.69360529084671</v>
      </c>
      <c r="X1330" s="55" t="n">
        <f aca="false">IF(V1330,IF(01_因子設定!$B$13="最大化",Q1330,IF(01_因子設定!$B$13="最小化",-Q1330,-ABS(Q1330-01_因子設定!$B$16))),-1E+030)</f>
        <v>46.9360795454546</v>
      </c>
      <c r="Y1330" s="55" t="n">
        <f aca="false">W1330+ROW()*0.000000001</f>
        <v>-2.69360396084671</v>
      </c>
      <c r="Z1330" s="55" t="n">
        <f aca="false">X1330+ROW()*0.000000001</f>
        <v>46.9360808754546</v>
      </c>
    </row>
    <row r="1331" customFormat="false" ht="15" hidden="false" customHeight="false" outlineLevel="0" collapsed="false">
      <c r="A1331" s="0" t="n">
        <v>4</v>
      </c>
      <c r="B1331" s="0" t="n">
        <v>10</v>
      </c>
      <c r="C1331" s="0" t="n">
        <v>0</v>
      </c>
      <c r="D1331" s="0" t="n">
        <f aca="false">-1+A1331*0.125</f>
        <v>-0.5</v>
      </c>
      <c r="E1331" s="0" t="n">
        <f aca="false">-1+B1331*0.125</f>
        <v>0.25</v>
      </c>
      <c r="F1331" s="0" t="n">
        <f aca="false">-1+C1331*0.125</f>
        <v>-1</v>
      </c>
      <c r="G1331" s="0" t="n">
        <f aca="false">1</f>
        <v>1</v>
      </c>
      <c r="H1331" s="0" t="n">
        <f aca="false">D1331</f>
        <v>-0.5</v>
      </c>
      <c r="I1331" s="0" t="n">
        <f aca="false">E1331</f>
        <v>0.25</v>
      </c>
      <c r="J1331" s="0" t="n">
        <f aca="false">F1331</f>
        <v>-1</v>
      </c>
      <c r="K1331" s="0" t="n">
        <f aca="false">D1331*E1331</f>
        <v>-0.125</v>
      </c>
      <c r="L1331" s="0" t="n">
        <f aca="false">D1331*F1331</f>
        <v>0.5</v>
      </c>
      <c r="M1331" s="0" t="n">
        <f aca="false">E1331*F1331</f>
        <v>-0.25</v>
      </c>
      <c r="N1331" s="0" t="n">
        <f aca="false">D1331*D1331</f>
        <v>0.25</v>
      </c>
      <c r="O1331" s="0" t="n">
        <f aca="false">E1331*E1331</f>
        <v>0.0625</v>
      </c>
      <c r="P1331" s="0" t="n">
        <f aca="false">F1331*F1331</f>
        <v>1</v>
      </c>
      <c r="Q1331" s="0" t="n">
        <f aca="false">SUMPRODUCT(G1331:P1331,_XtX!$B$71:$K$71)</f>
        <v>43.9444886363637</v>
      </c>
      <c r="R1331" s="0" t="n">
        <f aca="false">SUMPRODUCT(MMULT(G1331:P1331,_XtX!$B$58:$K$67),G1331:P1331)</f>
        <v>0.469424715909091</v>
      </c>
      <c r="S1331" s="0" t="n">
        <f aca="false">04_回帰ANOVA!$K$19*04_回帰ANOVA!$K$14*SQRT(1+R1331)</f>
        <v>1.12704253369596</v>
      </c>
      <c r="T1331" s="0" t="n">
        <f aca="false">Q1331-S1331</f>
        <v>42.8174461026677</v>
      </c>
      <c r="U1331" s="0" t="n">
        <f aca="false">Q1331+S1331</f>
        <v>45.0715311700596</v>
      </c>
      <c r="V1331" s="54" t="b">
        <f aca="false">AND(D1331&gt;=01_因子設定!$L$5-0.000000001,D1331&lt;=01_因子設定!$M$5+0.000000001,E1331&gt;=01_因子設定!$L$6-0.000000001,E1331&lt;=01_因子設定!$M$6+0.000000001,F1331&gt;=01_因子設定!$L$7-0.000000001,F1331&lt;=01_因子設定!$M$7+0.000000001,IF(01_因子設定!$B$20="Box-Behnken",D1331^2+E1331^2+F1331^2&lt;=2+0.000000001,TRUE()))</f>
        <v>1</v>
      </c>
      <c r="W1331" s="55" t="n">
        <f aca="false">IF(V1331,IF(01_因子設定!$B$13="最大化",T1331-01_因子設定!$B$14,IF(01_因子設定!$B$13="最小化",01_因子設定!$B$15-U1331,MIN(T1331-01_因子設定!$B$14,01_因子設定!$B$15-U1331))),-1E+030)</f>
        <v>-5.6825538973323</v>
      </c>
      <c r="X1331" s="55" t="n">
        <f aca="false">IF(V1331,IF(01_因子設定!$B$13="最大化",Q1331,IF(01_因子設定!$B$13="最小化",-Q1331,-ABS(Q1331-01_因子設定!$B$16))),-1E+030)</f>
        <v>43.9444886363637</v>
      </c>
      <c r="Y1331" s="55" t="n">
        <f aca="false">W1331+ROW()*0.000000001</f>
        <v>-5.6825525663323</v>
      </c>
      <c r="Z1331" s="55" t="n">
        <f aca="false">X1331+ROW()*0.000000001</f>
        <v>43.9444899673637</v>
      </c>
    </row>
    <row r="1332" customFormat="false" ht="15" hidden="false" customHeight="false" outlineLevel="0" collapsed="false">
      <c r="A1332" s="0" t="n">
        <v>4</v>
      </c>
      <c r="B1332" s="0" t="n">
        <v>10</v>
      </c>
      <c r="C1332" s="0" t="n">
        <v>1</v>
      </c>
      <c r="D1332" s="0" t="n">
        <f aca="false">-1+A1332*0.125</f>
        <v>-0.5</v>
      </c>
      <c r="E1332" s="0" t="n">
        <f aca="false">-1+B1332*0.125</f>
        <v>0.25</v>
      </c>
      <c r="F1332" s="0" t="n">
        <f aca="false">-1+C1332*0.125</f>
        <v>-0.875</v>
      </c>
      <c r="G1332" s="0" t="n">
        <f aca="false">1</f>
        <v>1</v>
      </c>
      <c r="H1332" s="0" t="n">
        <f aca="false">D1332</f>
        <v>-0.5</v>
      </c>
      <c r="I1332" s="0" t="n">
        <f aca="false">E1332</f>
        <v>0.25</v>
      </c>
      <c r="J1332" s="0" t="n">
        <f aca="false">F1332</f>
        <v>-0.875</v>
      </c>
      <c r="K1332" s="0" t="n">
        <f aca="false">D1332*E1332</f>
        <v>-0.125</v>
      </c>
      <c r="L1332" s="0" t="n">
        <f aca="false">D1332*F1332</f>
        <v>0.4375</v>
      </c>
      <c r="M1332" s="0" t="n">
        <f aca="false">E1332*F1332</f>
        <v>-0.21875</v>
      </c>
      <c r="N1332" s="0" t="n">
        <f aca="false">D1332*D1332</f>
        <v>0.25</v>
      </c>
      <c r="O1332" s="0" t="n">
        <f aca="false">E1332*E1332</f>
        <v>0.0625</v>
      </c>
      <c r="P1332" s="0" t="n">
        <f aca="false">F1332*F1332</f>
        <v>0.765625</v>
      </c>
      <c r="Q1332" s="0" t="n">
        <f aca="false">SUMPRODUCT(G1332:P1332,_XtX!$B$71:$K$71)</f>
        <v>44.4163494318182</v>
      </c>
      <c r="R1332" s="0" t="n">
        <f aca="false">SUMPRODUCT(MMULT(G1332:P1332,_XtX!$B$58:$K$67),G1332:P1332)</f>
        <v>0.327634499289773</v>
      </c>
      <c r="S1332" s="0" t="n">
        <f aca="false">04_回帰ANOVA!$K$19*04_回帰ANOVA!$K$14*SQRT(1+R1332)</f>
        <v>1.07128716250217</v>
      </c>
      <c r="T1332" s="0" t="n">
        <f aca="false">Q1332-S1332</f>
        <v>43.345062269316</v>
      </c>
      <c r="U1332" s="0" t="n">
        <f aca="false">Q1332+S1332</f>
        <v>45.4876365943204</v>
      </c>
      <c r="V1332" s="54" t="b">
        <f aca="false">AND(D1332&gt;=01_因子設定!$L$5-0.000000001,D1332&lt;=01_因子設定!$M$5+0.000000001,E1332&gt;=01_因子設定!$L$6-0.000000001,E1332&lt;=01_因子設定!$M$6+0.000000001,F1332&gt;=01_因子設定!$L$7-0.000000001,F1332&lt;=01_因子設定!$M$7+0.000000001,IF(01_因子設定!$B$20="Box-Behnken",D1332^2+E1332^2+F1332^2&lt;=2+0.000000001,TRUE()))</f>
        <v>1</v>
      </c>
      <c r="W1332" s="55" t="n">
        <f aca="false">IF(V1332,IF(01_因子設定!$B$13="最大化",T1332-01_因子設定!$B$14,IF(01_因子設定!$B$13="最小化",01_因子設定!$B$15-U1332,MIN(T1332-01_因子設定!$B$14,01_因子設定!$B$15-U1332))),-1E+030)</f>
        <v>-5.15493773068398</v>
      </c>
      <c r="X1332" s="55" t="n">
        <f aca="false">IF(V1332,IF(01_因子設定!$B$13="最大化",Q1332,IF(01_因子設定!$B$13="最小化",-Q1332,-ABS(Q1332-01_因子設定!$B$16))),-1E+030)</f>
        <v>44.4163494318182</v>
      </c>
      <c r="Y1332" s="55" t="n">
        <f aca="false">W1332+ROW()*0.000000001</f>
        <v>-5.15493639868398</v>
      </c>
      <c r="Z1332" s="55" t="n">
        <f aca="false">X1332+ROW()*0.000000001</f>
        <v>44.4163507638182</v>
      </c>
    </row>
    <row r="1333" customFormat="false" ht="15" hidden="false" customHeight="false" outlineLevel="0" collapsed="false">
      <c r="A1333" s="0" t="n">
        <v>4</v>
      </c>
      <c r="B1333" s="0" t="n">
        <v>10</v>
      </c>
      <c r="C1333" s="0" t="n">
        <v>2</v>
      </c>
      <c r="D1333" s="0" t="n">
        <f aca="false">-1+A1333*0.125</f>
        <v>-0.5</v>
      </c>
      <c r="E1333" s="0" t="n">
        <f aca="false">-1+B1333*0.125</f>
        <v>0.25</v>
      </c>
      <c r="F1333" s="0" t="n">
        <f aca="false">-1+C1333*0.125</f>
        <v>-0.75</v>
      </c>
      <c r="G1333" s="0" t="n">
        <f aca="false">1</f>
        <v>1</v>
      </c>
      <c r="H1333" s="0" t="n">
        <f aca="false">D1333</f>
        <v>-0.5</v>
      </c>
      <c r="I1333" s="0" t="n">
        <f aca="false">E1333</f>
        <v>0.25</v>
      </c>
      <c r="J1333" s="0" t="n">
        <f aca="false">F1333</f>
        <v>-0.75</v>
      </c>
      <c r="K1333" s="0" t="n">
        <f aca="false">D1333*E1333</f>
        <v>-0.125</v>
      </c>
      <c r="L1333" s="0" t="n">
        <f aca="false">D1333*F1333</f>
        <v>0.375</v>
      </c>
      <c r="M1333" s="0" t="n">
        <f aca="false">E1333*F1333</f>
        <v>-0.1875</v>
      </c>
      <c r="N1333" s="0" t="n">
        <f aca="false">D1333*D1333</f>
        <v>0.25</v>
      </c>
      <c r="O1333" s="0" t="n">
        <f aca="false">E1333*E1333</f>
        <v>0.0625</v>
      </c>
      <c r="P1333" s="0" t="n">
        <f aca="false">F1333*F1333</f>
        <v>0.5625</v>
      </c>
      <c r="Q1333" s="0" t="n">
        <f aca="false">SUMPRODUCT(G1333:P1333,_XtX!$B$71:$K$71)</f>
        <v>44.8514204545455</v>
      </c>
      <c r="R1333" s="0" t="n">
        <f aca="false">SUMPRODUCT(MMULT(G1333:P1333,_XtX!$B$58:$K$67),G1333:P1333)</f>
        <v>0.237064985795455</v>
      </c>
      <c r="S1333" s="0" t="n">
        <f aca="false">04_回帰ANOVA!$K$19*04_回帰ANOVA!$K$14*SQRT(1+R1333)</f>
        <v>1.03410084594745</v>
      </c>
      <c r="T1333" s="0" t="n">
        <f aca="false">Q1333-S1333</f>
        <v>43.817319608598</v>
      </c>
      <c r="U1333" s="0" t="n">
        <f aca="false">Q1333+S1333</f>
        <v>45.8855213004929</v>
      </c>
      <c r="V1333" s="54" t="b">
        <f aca="false">AND(D1333&gt;=01_因子設定!$L$5-0.000000001,D1333&lt;=01_因子設定!$M$5+0.000000001,E1333&gt;=01_因子設定!$L$6-0.000000001,E1333&lt;=01_因子設定!$M$6+0.000000001,F1333&gt;=01_因子設定!$L$7-0.000000001,F1333&lt;=01_因子設定!$M$7+0.000000001,IF(01_因子設定!$B$20="Box-Behnken",D1333^2+E1333^2+F1333^2&lt;=2+0.000000001,TRUE()))</f>
        <v>1</v>
      </c>
      <c r="W1333" s="55" t="n">
        <f aca="false">IF(V1333,IF(01_因子設定!$B$13="最大化",T1333-01_因子設定!$B$14,IF(01_因子設定!$B$13="最小化",01_因子設定!$B$15-U1333,MIN(T1333-01_因子設定!$B$14,01_因子設定!$B$15-U1333))),-1E+030)</f>
        <v>-4.68268039140197</v>
      </c>
      <c r="X1333" s="55" t="n">
        <f aca="false">IF(V1333,IF(01_因子設定!$B$13="最大化",Q1333,IF(01_因子設定!$B$13="最小化",-Q1333,-ABS(Q1333-01_因子設定!$B$16))),-1E+030)</f>
        <v>44.8514204545455</v>
      </c>
      <c r="Y1333" s="55" t="n">
        <f aca="false">W1333+ROW()*0.000000001</f>
        <v>-4.68267905840197</v>
      </c>
      <c r="Z1333" s="55" t="n">
        <f aca="false">X1333+ROW()*0.000000001</f>
        <v>44.8514217875455</v>
      </c>
    </row>
    <row r="1334" customFormat="false" ht="15" hidden="false" customHeight="false" outlineLevel="0" collapsed="false">
      <c r="A1334" s="0" t="n">
        <v>4</v>
      </c>
      <c r="B1334" s="0" t="n">
        <v>10</v>
      </c>
      <c r="C1334" s="0" t="n">
        <v>3</v>
      </c>
      <c r="D1334" s="0" t="n">
        <f aca="false">-1+A1334*0.125</f>
        <v>-0.5</v>
      </c>
      <c r="E1334" s="0" t="n">
        <f aca="false">-1+B1334*0.125</f>
        <v>0.25</v>
      </c>
      <c r="F1334" s="0" t="n">
        <f aca="false">-1+C1334*0.125</f>
        <v>-0.625</v>
      </c>
      <c r="G1334" s="0" t="n">
        <f aca="false">1</f>
        <v>1</v>
      </c>
      <c r="H1334" s="0" t="n">
        <f aca="false">D1334</f>
        <v>-0.5</v>
      </c>
      <c r="I1334" s="0" t="n">
        <f aca="false">E1334</f>
        <v>0.25</v>
      </c>
      <c r="J1334" s="0" t="n">
        <f aca="false">F1334</f>
        <v>-0.625</v>
      </c>
      <c r="K1334" s="0" t="n">
        <f aca="false">D1334*E1334</f>
        <v>-0.125</v>
      </c>
      <c r="L1334" s="0" t="n">
        <f aca="false">D1334*F1334</f>
        <v>0.3125</v>
      </c>
      <c r="M1334" s="0" t="n">
        <f aca="false">E1334*F1334</f>
        <v>-0.15625</v>
      </c>
      <c r="N1334" s="0" t="n">
        <f aca="false">D1334*D1334</f>
        <v>0.25</v>
      </c>
      <c r="O1334" s="0" t="n">
        <f aca="false">E1334*E1334</f>
        <v>0.0625</v>
      </c>
      <c r="P1334" s="0" t="n">
        <f aca="false">F1334*F1334</f>
        <v>0.390625</v>
      </c>
      <c r="Q1334" s="0" t="n">
        <f aca="false">SUMPRODUCT(G1334:P1334,_XtX!$B$71:$K$71)</f>
        <v>45.2497017045455</v>
      </c>
      <c r="R1334" s="0" t="n">
        <f aca="false">SUMPRODUCT(MMULT(G1334:P1334,_XtX!$B$58:$K$67),G1334:P1334)</f>
        <v>0.183866743607955</v>
      </c>
      <c r="S1334" s="0" t="n">
        <f aca="false">04_回帰ANOVA!$K$19*04_回帰ANOVA!$K$14*SQRT(1+R1334)</f>
        <v>1.01162148983013</v>
      </c>
      <c r="T1334" s="0" t="n">
        <f aca="false">Q1334-S1334</f>
        <v>44.2380802147153</v>
      </c>
      <c r="U1334" s="0" t="n">
        <f aca="false">Q1334+S1334</f>
        <v>46.2613231943756</v>
      </c>
      <c r="V1334" s="54" t="b">
        <f aca="false">AND(D1334&gt;=01_因子設定!$L$5-0.000000001,D1334&lt;=01_因子設定!$M$5+0.000000001,E1334&gt;=01_因子設定!$L$6-0.000000001,E1334&lt;=01_因子設定!$M$6+0.000000001,F1334&gt;=01_因子設定!$L$7-0.000000001,F1334&lt;=01_因子設定!$M$7+0.000000001,IF(01_因子設定!$B$20="Box-Behnken",D1334^2+E1334^2+F1334^2&lt;=2+0.000000001,TRUE()))</f>
        <v>1</v>
      </c>
      <c r="W1334" s="55" t="n">
        <f aca="false">IF(V1334,IF(01_因子設定!$B$13="最大化",T1334-01_因子設定!$B$14,IF(01_因子設定!$B$13="最小化",01_因子設定!$B$15-U1334,MIN(T1334-01_因子設定!$B$14,01_因子設定!$B$15-U1334))),-1E+030)</f>
        <v>-4.26191978528467</v>
      </c>
      <c r="X1334" s="55" t="n">
        <f aca="false">IF(V1334,IF(01_因子設定!$B$13="最大化",Q1334,IF(01_因子設定!$B$13="最小化",-Q1334,-ABS(Q1334-01_因子設定!$B$16))),-1E+030)</f>
        <v>45.2497017045455</v>
      </c>
      <c r="Y1334" s="55" t="n">
        <f aca="false">W1334+ROW()*0.000000001</f>
        <v>-4.26191845128467</v>
      </c>
      <c r="Z1334" s="55" t="n">
        <f aca="false">X1334+ROW()*0.000000001</f>
        <v>45.2497030385455</v>
      </c>
    </row>
    <row r="1335" customFormat="false" ht="15" hidden="false" customHeight="false" outlineLevel="0" collapsed="false">
      <c r="A1335" s="0" t="n">
        <v>4</v>
      </c>
      <c r="B1335" s="0" t="n">
        <v>10</v>
      </c>
      <c r="C1335" s="0" t="n">
        <v>4</v>
      </c>
      <c r="D1335" s="0" t="n">
        <f aca="false">-1+A1335*0.125</f>
        <v>-0.5</v>
      </c>
      <c r="E1335" s="0" t="n">
        <f aca="false">-1+B1335*0.125</f>
        <v>0.25</v>
      </c>
      <c r="F1335" s="0" t="n">
        <f aca="false">-1+C1335*0.125</f>
        <v>-0.5</v>
      </c>
      <c r="G1335" s="0" t="n">
        <f aca="false">1</f>
        <v>1</v>
      </c>
      <c r="H1335" s="0" t="n">
        <f aca="false">D1335</f>
        <v>-0.5</v>
      </c>
      <c r="I1335" s="0" t="n">
        <f aca="false">E1335</f>
        <v>0.25</v>
      </c>
      <c r="J1335" s="0" t="n">
        <f aca="false">F1335</f>
        <v>-0.5</v>
      </c>
      <c r="K1335" s="0" t="n">
        <f aca="false">D1335*E1335</f>
        <v>-0.125</v>
      </c>
      <c r="L1335" s="0" t="n">
        <f aca="false">D1335*F1335</f>
        <v>0.25</v>
      </c>
      <c r="M1335" s="0" t="n">
        <f aca="false">E1335*F1335</f>
        <v>-0.125</v>
      </c>
      <c r="N1335" s="0" t="n">
        <f aca="false">D1335*D1335</f>
        <v>0.25</v>
      </c>
      <c r="O1335" s="0" t="n">
        <f aca="false">E1335*E1335</f>
        <v>0.0625</v>
      </c>
      <c r="P1335" s="0" t="n">
        <f aca="false">F1335*F1335</f>
        <v>0.25</v>
      </c>
      <c r="Q1335" s="0" t="n">
        <f aca="false">SUMPRODUCT(G1335:P1335,_XtX!$B$71:$K$71)</f>
        <v>45.6111931818182</v>
      </c>
      <c r="R1335" s="0" t="n">
        <f aca="false">SUMPRODUCT(MMULT(G1335:P1335,_XtX!$B$58:$K$67),G1335:P1335)</f>
        <v>0.156321022727273</v>
      </c>
      <c r="S1335" s="0" t="n">
        <f aca="false">04_回帰ANOVA!$K$19*04_回帰ANOVA!$K$14*SQRT(1+R1335)</f>
        <v>0.999783227753172</v>
      </c>
      <c r="T1335" s="0" t="n">
        <f aca="false">Q1335-S1335</f>
        <v>44.611409954065</v>
      </c>
      <c r="U1335" s="0" t="n">
        <f aca="false">Q1335+S1335</f>
        <v>46.6109764095714</v>
      </c>
      <c r="V1335" s="54" t="b">
        <f aca="false">AND(D1335&gt;=01_因子設定!$L$5-0.000000001,D1335&lt;=01_因子設定!$M$5+0.000000001,E1335&gt;=01_因子設定!$L$6-0.000000001,E1335&lt;=01_因子設定!$M$6+0.000000001,F1335&gt;=01_因子設定!$L$7-0.000000001,F1335&lt;=01_因子設定!$M$7+0.000000001,IF(01_因子設定!$B$20="Box-Behnken",D1335^2+E1335^2+F1335^2&lt;=2+0.000000001,TRUE()))</f>
        <v>1</v>
      </c>
      <c r="W1335" s="55" t="n">
        <f aca="false">IF(V1335,IF(01_因子設定!$B$13="最大化",T1335-01_因子設定!$B$14,IF(01_因子設定!$B$13="最小化",01_因子設定!$B$15-U1335,MIN(T1335-01_因子設定!$B$14,01_因子設定!$B$15-U1335))),-1E+030)</f>
        <v>-3.88859004593498</v>
      </c>
      <c r="X1335" s="55" t="n">
        <f aca="false">IF(V1335,IF(01_因子設定!$B$13="最大化",Q1335,IF(01_因子設定!$B$13="最小化",-Q1335,-ABS(Q1335-01_因子設定!$B$16))),-1E+030)</f>
        <v>45.6111931818182</v>
      </c>
      <c r="Y1335" s="55" t="n">
        <f aca="false">W1335+ROW()*0.000000001</f>
        <v>-3.88858871093498</v>
      </c>
      <c r="Z1335" s="55" t="n">
        <f aca="false">X1335+ROW()*0.000000001</f>
        <v>45.6111945168182</v>
      </c>
    </row>
    <row r="1336" customFormat="false" ht="15" hidden="false" customHeight="false" outlineLevel="0" collapsed="false">
      <c r="A1336" s="0" t="n">
        <v>4</v>
      </c>
      <c r="B1336" s="0" t="n">
        <v>10</v>
      </c>
      <c r="C1336" s="0" t="n">
        <v>5</v>
      </c>
      <c r="D1336" s="0" t="n">
        <f aca="false">-1+A1336*0.125</f>
        <v>-0.5</v>
      </c>
      <c r="E1336" s="0" t="n">
        <f aca="false">-1+B1336*0.125</f>
        <v>0.25</v>
      </c>
      <c r="F1336" s="0" t="n">
        <f aca="false">-1+C1336*0.125</f>
        <v>-0.375</v>
      </c>
      <c r="G1336" s="0" t="n">
        <f aca="false">1</f>
        <v>1</v>
      </c>
      <c r="H1336" s="0" t="n">
        <f aca="false">D1336</f>
        <v>-0.5</v>
      </c>
      <c r="I1336" s="0" t="n">
        <f aca="false">E1336</f>
        <v>0.25</v>
      </c>
      <c r="J1336" s="0" t="n">
        <f aca="false">F1336</f>
        <v>-0.375</v>
      </c>
      <c r="K1336" s="0" t="n">
        <f aca="false">D1336*E1336</f>
        <v>-0.125</v>
      </c>
      <c r="L1336" s="0" t="n">
        <f aca="false">D1336*F1336</f>
        <v>0.1875</v>
      </c>
      <c r="M1336" s="0" t="n">
        <f aca="false">E1336*F1336</f>
        <v>-0.09375</v>
      </c>
      <c r="N1336" s="0" t="n">
        <f aca="false">D1336*D1336</f>
        <v>0.25</v>
      </c>
      <c r="O1336" s="0" t="n">
        <f aca="false">E1336*E1336</f>
        <v>0.0625</v>
      </c>
      <c r="P1336" s="0" t="n">
        <f aca="false">F1336*F1336</f>
        <v>0.140625</v>
      </c>
      <c r="Q1336" s="0" t="n">
        <f aca="false">SUMPRODUCT(G1336:P1336,_XtX!$B$71:$K$71)</f>
        <v>45.9358948863636</v>
      </c>
      <c r="R1336" s="0" t="n">
        <f aca="false">SUMPRODUCT(MMULT(G1336:P1336,_XtX!$B$58:$K$67),G1336:P1336)</f>
        <v>0.144839754971591</v>
      </c>
      <c r="S1336" s="0" t="n">
        <f aca="false">04_回帰ANOVA!$K$19*04_回帰ANOVA!$K$14*SQRT(1+R1336)</f>
        <v>0.994807353995542</v>
      </c>
      <c r="T1336" s="0" t="n">
        <f aca="false">Q1336-S1336</f>
        <v>44.9410875323681</v>
      </c>
      <c r="U1336" s="0" t="n">
        <f aca="false">Q1336+S1336</f>
        <v>46.9307022403592</v>
      </c>
      <c r="V1336" s="54" t="b">
        <f aca="false">AND(D1336&gt;=01_因子設定!$L$5-0.000000001,D1336&lt;=01_因子設定!$M$5+0.000000001,E1336&gt;=01_因子設定!$L$6-0.000000001,E1336&lt;=01_因子設定!$M$6+0.000000001,F1336&gt;=01_因子設定!$L$7-0.000000001,F1336&lt;=01_因子設定!$M$7+0.000000001,IF(01_因子設定!$B$20="Box-Behnken",D1336^2+E1336^2+F1336^2&lt;=2+0.000000001,TRUE()))</f>
        <v>1</v>
      </c>
      <c r="W1336" s="55" t="n">
        <f aca="false">IF(V1336,IF(01_因子設定!$B$13="最大化",T1336-01_因子設定!$B$14,IF(01_因子設定!$B$13="最小化",01_因子設定!$B$15-U1336,MIN(T1336-01_因子設定!$B$14,01_因子設定!$B$15-U1336))),-1E+030)</f>
        <v>-3.5589124676319</v>
      </c>
      <c r="X1336" s="55" t="n">
        <f aca="false">IF(V1336,IF(01_因子設定!$B$13="最大化",Q1336,IF(01_因子設定!$B$13="最小化",-Q1336,-ABS(Q1336-01_因子設定!$B$16))),-1E+030)</f>
        <v>45.9358948863636</v>
      </c>
      <c r="Y1336" s="55" t="n">
        <f aca="false">W1336+ROW()*0.000000001</f>
        <v>-3.5589111316319</v>
      </c>
      <c r="Z1336" s="55" t="n">
        <f aca="false">X1336+ROW()*0.000000001</f>
        <v>45.9358962223636</v>
      </c>
    </row>
    <row r="1337" customFormat="false" ht="15" hidden="false" customHeight="false" outlineLevel="0" collapsed="false">
      <c r="A1337" s="0" t="n">
        <v>4</v>
      </c>
      <c r="B1337" s="0" t="n">
        <v>10</v>
      </c>
      <c r="C1337" s="0" t="n">
        <v>6</v>
      </c>
      <c r="D1337" s="0" t="n">
        <f aca="false">-1+A1337*0.125</f>
        <v>-0.5</v>
      </c>
      <c r="E1337" s="0" t="n">
        <f aca="false">-1+B1337*0.125</f>
        <v>0.25</v>
      </c>
      <c r="F1337" s="0" t="n">
        <f aca="false">-1+C1337*0.125</f>
        <v>-0.25</v>
      </c>
      <c r="G1337" s="0" t="n">
        <f aca="false">1</f>
        <v>1</v>
      </c>
      <c r="H1337" s="0" t="n">
        <f aca="false">D1337</f>
        <v>-0.5</v>
      </c>
      <c r="I1337" s="0" t="n">
        <f aca="false">E1337</f>
        <v>0.25</v>
      </c>
      <c r="J1337" s="0" t="n">
        <f aca="false">F1337</f>
        <v>-0.25</v>
      </c>
      <c r="K1337" s="0" t="n">
        <f aca="false">D1337*E1337</f>
        <v>-0.125</v>
      </c>
      <c r="L1337" s="0" t="n">
        <f aca="false">D1337*F1337</f>
        <v>0.125</v>
      </c>
      <c r="M1337" s="0" t="n">
        <f aca="false">E1337*F1337</f>
        <v>-0.0625</v>
      </c>
      <c r="N1337" s="0" t="n">
        <f aca="false">D1337*D1337</f>
        <v>0.25</v>
      </c>
      <c r="O1337" s="0" t="n">
        <f aca="false">E1337*E1337</f>
        <v>0.0625</v>
      </c>
      <c r="P1337" s="0" t="n">
        <f aca="false">F1337*F1337</f>
        <v>0.0625</v>
      </c>
      <c r="Q1337" s="0" t="n">
        <f aca="false">SUMPRODUCT(G1337:P1337,_XtX!$B$71:$K$71)</f>
        <v>46.2238068181818</v>
      </c>
      <c r="R1337" s="0" t="n">
        <f aca="false">SUMPRODUCT(MMULT(G1337:P1337,_XtX!$B$58:$K$67),G1337:P1337)</f>
        <v>0.141965553977273</v>
      </c>
      <c r="S1337" s="0" t="n">
        <f aca="false">04_回帰ANOVA!$K$19*04_回帰ANOVA!$K$14*SQRT(1+R1337)</f>
        <v>0.993557802198625</v>
      </c>
      <c r="T1337" s="0" t="n">
        <f aca="false">Q1337-S1337</f>
        <v>45.2302490159832</v>
      </c>
      <c r="U1337" s="0" t="n">
        <f aca="false">Q1337+S1337</f>
        <v>47.2173646203804</v>
      </c>
      <c r="V1337" s="54" t="b">
        <f aca="false">AND(D1337&gt;=01_因子設定!$L$5-0.000000001,D1337&lt;=01_因子設定!$M$5+0.000000001,E1337&gt;=01_因子設定!$L$6-0.000000001,E1337&lt;=01_因子設定!$M$6+0.000000001,F1337&gt;=01_因子設定!$L$7-0.000000001,F1337&lt;=01_因子設定!$M$7+0.000000001,IF(01_因子設定!$B$20="Box-Behnken",D1337^2+E1337^2+F1337^2&lt;=2+0.000000001,TRUE()))</f>
        <v>1</v>
      </c>
      <c r="W1337" s="55" t="n">
        <f aca="false">IF(V1337,IF(01_因子設定!$B$13="最大化",T1337-01_因子設定!$B$14,IF(01_因子設定!$B$13="最小化",01_因子設定!$B$15-U1337,MIN(T1337-01_因子設定!$B$14,01_因子設定!$B$15-U1337))),-1E+030)</f>
        <v>-3.2697509840168</v>
      </c>
      <c r="X1337" s="55" t="n">
        <f aca="false">IF(V1337,IF(01_因子設定!$B$13="最大化",Q1337,IF(01_因子設定!$B$13="最小化",-Q1337,-ABS(Q1337-01_因子設定!$B$16))),-1E+030)</f>
        <v>46.2238068181818</v>
      </c>
      <c r="Y1337" s="55" t="n">
        <f aca="false">W1337+ROW()*0.000000001</f>
        <v>-3.2697496470168</v>
      </c>
      <c r="Z1337" s="55" t="n">
        <f aca="false">X1337+ROW()*0.000000001</f>
        <v>46.2238081551818</v>
      </c>
    </row>
    <row r="1338" customFormat="false" ht="15" hidden="false" customHeight="false" outlineLevel="0" collapsed="false">
      <c r="A1338" s="0" t="n">
        <v>4</v>
      </c>
      <c r="B1338" s="0" t="n">
        <v>10</v>
      </c>
      <c r="C1338" s="0" t="n">
        <v>7</v>
      </c>
      <c r="D1338" s="0" t="n">
        <f aca="false">-1+A1338*0.125</f>
        <v>-0.5</v>
      </c>
      <c r="E1338" s="0" t="n">
        <f aca="false">-1+B1338*0.125</f>
        <v>0.25</v>
      </c>
      <c r="F1338" s="0" t="n">
        <f aca="false">-1+C1338*0.125</f>
        <v>-0.125</v>
      </c>
      <c r="G1338" s="0" t="n">
        <f aca="false">1</f>
        <v>1</v>
      </c>
      <c r="H1338" s="0" t="n">
        <f aca="false">D1338</f>
        <v>-0.5</v>
      </c>
      <c r="I1338" s="0" t="n">
        <f aca="false">E1338</f>
        <v>0.25</v>
      </c>
      <c r="J1338" s="0" t="n">
        <f aca="false">F1338</f>
        <v>-0.125</v>
      </c>
      <c r="K1338" s="0" t="n">
        <f aca="false">D1338*E1338</f>
        <v>-0.125</v>
      </c>
      <c r="L1338" s="0" t="n">
        <f aca="false">D1338*F1338</f>
        <v>0.0625</v>
      </c>
      <c r="M1338" s="0" t="n">
        <f aca="false">E1338*F1338</f>
        <v>-0.03125</v>
      </c>
      <c r="N1338" s="0" t="n">
        <f aca="false">D1338*D1338</f>
        <v>0.25</v>
      </c>
      <c r="O1338" s="0" t="n">
        <f aca="false">E1338*E1338</f>
        <v>0.0625</v>
      </c>
      <c r="P1338" s="0" t="n">
        <f aca="false">F1338*F1338</f>
        <v>0.015625</v>
      </c>
      <c r="Q1338" s="0" t="n">
        <f aca="false">SUMPRODUCT(G1338:P1338,_XtX!$B$71:$K$71)</f>
        <v>46.4749289772727</v>
      </c>
      <c r="R1338" s="0" t="n">
        <f aca="false">SUMPRODUCT(MMULT(G1338:P1338,_XtX!$B$58:$K$67),G1338:P1338)</f>
        <v>0.142371715198864</v>
      </c>
      <c r="S1338" s="0" t="n">
        <f aca="false">04_回帰ANOVA!$K$19*04_回帰ANOVA!$K$14*SQRT(1+R1338)</f>
        <v>0.99373447511735</v>
      </c>
      <c r="T1338" s="0" t="n">
        <f aca="false">Q1338-S1338</f>
        <v>45.4811945021554</v>
      </c>
      <c r="U1338" s="0" t="n">
        <f aca="false">Q1338+S1338</f>
        <v>47.4686634523901</v>
      </c>
      <c r="V1338" s="54" t="b">
        <f aca="false">AND(D1338&gt;=01_因子設定!$L$5-0.000000001,D1338&lt;=01_因子設定!$M$5+0.000000001,E1338&gt;=01_因子設定!$L$6-0.000000001,E1338&lt;=01_因子設定!$M$6+0.000000001,F1338&gt;=01_因子設定!$L$7-0.000000001,F1338&lt;=01_因子設定!$M$7+0.000000001,IF(01_因子設定!$B$20="Box-Behnken",D1338^2+E1338^2+F1338^2&lt;=2+0.000000001,TRUE()))</f>
        <v>1</v>
      </c>
      <c r="W1338" s="55" t="n">
        <f aca="false">IF(V1338,IF(01_因子設定!$B$13="最大化",T1338-01_因子設定!$B$14,IF(01_因子設定!$B$13="最小化",01_因子設定!$B$15-U1338,MIN(T1338-01_因子設定!$B$14,01_因子設定!$B$15-U1338))),-1E+030)</f>
        <v>-3.01880549784462</v>
      </c>
      <c r="X1338" s="55" t="n">
        <f aca="false">IF(V1338,IF(01_因子設定!$B$13="最大化",Q1338,IF(01_因子設定!$B$13="最小化",-Q1338,-ABS(Q1338-01_因子設定!$B$16))),-1E+030)</f>
        <v>46.4749289772727</v>
      </c>
      <c r="Y1338" s="55" t="n">
        <f aca="false">W1338+ROW()*0.000000001</f>
        <v>-3.01880415984462</v>
      </c>
      <c r="Z1338" s="55" t="n">
        <f aca="false">X1338+ROW()*0.000000001</f>
        <v>46.4749303152727</v>
      </c>
    </row>
    <row r="1339" customFormat="false" ht="15" hidden="false" customHeight="false" outlineLevel="0" collapsed="false">
      <c r="A1339" s="0" t="n">
        <v>4</v>
      </c>
      <c r="B1339" s="0" t="n">
        <v>10</v>
      </c>
      <c r="C1339" s="0" t="n">
        <v>8</v>
      </c>
      <c r="D1339" s="0" t="n">
        <f aca="false">-1+A1339*0.125</f>
        <v>-0.5</v>
      </c>
      <c r="E1339" s="0" t="n">
        <f aca="false">-1+B1339*0.125</f>
        <v>0.25</v>
      </c>
      <c r="F1339" s="0" t="n">
        <f aca="false">-1+C1339*0.125</f>
        <v>0</v>
      </c>
      <c r="G1339" s="0" t="n">
        <f aca="false">1</f>
        <v>1</v>
      </c>
      <c r="H1339" s="0" t="n">
        <f aca="false">D1339</f>
        <v>-0.5</v>
      </c>
      <c r="I1339" s="0" t="n">
        <f aca="false">E1339</f>
        <v>0.25</v>
      </c>
      <c r="J1339" s="0" t="n">
        <f aca="false">F1339</f>
        <v>0</v>
      </c>
      <c r="K1339" s="0" t="n">
        <f aca="false">D1339*E1339</f>
        <v>-0.125</v>
      </c>
      <c r="L1339" s="0" t="n">
        <f aca="false">D1339*F1339</f>
        <v>-0</v>
      </c>
      <c r="M1339" s="0" t="n">
        <f aca="false">E1339*F1339</f>
        <v>0</v>
      </c>
      <c r="N1339" s="0" t="n">
        <f aca="false">D1339*D1339</f>
        <v>0.25</v>
      </c>
      <c r="O1339" s="0" t="n">
        <f aca="false">E1339*E1339</f>
        <v>0.0625</v>
      </c>
      <c r="P1339" s="0" t="n">
        <f aca="false">F1339*F1339</f>
        <v>0</v>
      </c>
      <c r="Q1339" s="0" t="n">
        <f aca="false">SUMPRODUCT(G1339:P1339,_XtX!$B$71:$K$71)</f>
        <v>46.6892613636364</v>
      </c>
      <c r="R1339" s="0" t="n">
        <f aca="false">SUMPRODUCT(MMULT(G1339:P1339,_XtX!$B$58:$K$67),G1339:P1339)</f>
        <v>0.142862215909091</v>
      </c>
      <c r="S1339" s="0" t="n">
        <f aca="false">04_回帰ANOVA!$K$19*04_回帰ANOVA!$K$14*SQRT(1+R1339)</f>
        <v>0.993947792354123</v>
      </c>
      <c r="T1339" s="0" t="n">
        <f aca="false">Q1339-S1339</f>
        <v>45.6953135712823</v>
      </c>
      <c r="U1339" s="0" t="n">
        <f aca="false">Q1339+S1339</f>
        <v>47.6832091559905</v>
      </c>
      <c r="V1339" s="54" t="b">
        <f aca="false">AND(D1339&gt;=01_因子設定!$L$5-0.000000001,D1339&lt;=01_因子設定!$M$5+0.000000001,E1339&gt;=01_因子設定!$L$6-0.000000001,E1339&lt;=01_因子設定!$M$6+0.000000001,F1339&gt;=01_因子設定!$L$7-0.000000001,F1339&lt;=01_因子設定!$M$7+0.000000001,IF(01_因子設定!$B$20="Box-Behnken",D1339^2+E1339^2+F1339^2&lt;=2+0.000000001,TRUE()))</f>
        <v>1</v>
      </c>
      <c r="W1339" s="55" t="n">
        <f aca="false">IF(V1339,IF(01_因子設定!$B$13="最大化",T1339-01_因子設定!$B$14,IF(01_因子設定!$B$13="最小化",01_因子設定!$B$15-U1339,MIN(T1339-01_因子設定!$B$14,01_因子設定!$B$15-U1339))),-1E+030)</f>
        <v>-2.80468642871775</v>
      </c>
      <c r="X1339" s="55" t="n">
        <f aca="false">IF(V1339,IF(01_因子設定!$B$13="最大化",Q1339,IF(01_因子設定!$B$13="最小化",-Q1339,-ABS(Q1339-01_因子設定!$B$16))),-1E+030)</f>
        <v>46.6892613636364</v>
      </c>
      <c r="Y1339" s="55" t="n">
        <f aca="false">W1339+ROW()*0.000000001</f>
        <v>-2.80468508971775</v>
      </c>
      <c r="Z1339" s="55" t="n">
        <f aca="false">X1339+ROW()*0.000000001</f>
        <v>46.6892627026364</v>
      </c>
    </row>
    <row r="1340" customFormat="false" ht="15" hidden="false" customHeight="false" outlineLevel="0" collapsed="false">
      <c r="A1340" s="0" t="n">
        <v>4</v>
      </c>
      <c r="B1340" s="0" t="n">
        <v>10</v>
      </c>
      <c r="C1340" s="0" t="n">
        <v>9</v>
      </c>
      <c r="D1340" s="0" t="n">
        <f aca="false">-1+A1340*0.125</f>
        <v>-0.5</v>
      </c>
      <c r="E1340" s="0" t="n">
        <f aca="false">-1+B1340*0.125</f>
        <v>0.25</v>
      </c>
      <c r="F1340" s="0" t="n">
        <f aca="false">-1+C1340*0.125</f>
        <v>0.125</v>
      </c>
      <c r="G1340" s="0" t="n">
        <f aca="false">1</f>
        <v>1</v>
      </c>
      <c r="H1340" s="0" t="n">
        <f aca="false">D1340</f>
        <v>-0.5</v>
      </c>
      <c r="I1340" s="0" t="n">
        <f aca="false">E1340</f>
        <v>0.25</v>
      </c>
      <c r="J1340" s="0" t="n">
        <f aca="false">F1340</f>
        <v>0.125</v>
      </c>
      <c r="K1340" s="0" t="n">
        <f aca="false">D1340*E1340</f>
        <v>-0.125</v>
      </c>
      <c r="L1340" s="0" t="n">
        <f aca="false">D1340*F1340</f>
        <v>-0.0625</v>
      </c>
      <c r="M1340" s="0" t="n">
        <f aca="false">E1340*F1340</f>
        <v>0.03125</v>
      </c>
      <c r="N1340" s="0" t="n">
        <f aca="false">D1340*D1340</f>
        <v>0.25</v>
      </c>
      <c r="O1340" s="0" t="n">
        <f aca="false">E1340*E1340</f>
        <v>0.0625</v>
      </c>
      <c r="P1340" s="0" t="n">
        <f aca="false">F1340*F1340</f>
        <v>0.015625</v>
      </c>
      <c r="Q1340" s="0" t="n">
        <f aca="false">SUMPRODUCT(G1340:P1340,_XtX!$B$71:$K$71)</f>
        <v>46.8668039772727</v>
      </c>
      <c r="R1340" s="0" t="n">
        <f aca="false">SUMPRODUCT(MMULT(G1340:P1340,_XtX!$B$58:$K$67),G1340:P1340)</f>
        <v>0.142371715198864</v>
      </c>
      <c r="S1340" s="0" t="n">
        <f aca="false">04_回帰ANOVA!$K$19*04_回帰ANOVA!$K$14*SQRT(1+R1340)</f>
        <v>0.99373447511735</v>
      </c>
      <c r="T1340" s="0" t="n">
        <f aca="false">Q1340-S1340</f>
        <v>45.8730695021554</v>
      </c>
      <c r="U1340" s="0" t="n">
        <f aca="false">Q1340+S1340</f>
        <v>47.8605384523901</v>
      </c>
      <c r="V1340" s="54" t="b">
        <f aca="false">AND(D1340&gt;=01_因子設定!$L$5-0.000000001,D1340&lt;=01_因子設定!$M$5+0.000000001,E1340&gt;=01_因子設定!$L$6-0.000000001,E1340&lt;=01_因子設定!$M$6+0.000000001,F1340&gt;=01_因子設定!$L$7-0.000000001,F1340&lt;=01_因子設定!$M$7+0.000000001,IF(01_因子設定!$B$20="Box-Behnken",D1340^2+E1340^2+F1340^2&lt;=2+0.000000001,TRUE()))</f>
        <v>1</v>
      </c>
      <c r="W1340" s="55" t="n">
        <f aca="false">IF(V1340,IF(01_因子設定!$B$13="最大化",T1340-01_因子設定!$B$14,IF(01_因子設定!$B$13="最小化",01_因子設定!$B$15-U1340,MIN(T1340-01_因子設定!$B$14,01_因子設定!$B$15-U1340))),-1E+030)</f>
        <v>-2.62693049784462</v>
      </c>
      <c r="X1340" s="55" t="n">
        <f aca="false">IF(V1340,IF(01_因子設定!$B$13="最大化",Q1340,IF(01_因子設定!$B$13="最小化",-Q1340,-ABS(Q1340-01_因子設定!$B$16))),-1E+030)</f>
        <v>46.8668039772727</v>
      </c>
      <c r="Y1340" s="55" t="n">
        <f aca="false">W1340+ROW()*0.000000001</f>
        <v>-2.62692915784462</v>
      </c>
      <c r="Z1340" s="55" t="n">
        <f aca="false">X1340+ROW()*0.000000001</f>
        <v>46.8668053172727</v>
      </c>
    </row>
    <row r="1341" customFormat="false" ht="15" hidden="false" customHeight="false" outlineLevel="0" collapsed="false">
      <c r="A1341" s="0" t="n">
        <v>4</v>
      </c>
      <c r="B1341" s="0" t="n">
        <v>10</v>
      </c>
      <c r="C1341" s="0" t="n">
        <v>10</v>
      </c>
      <c r="D1341" s="0" t="n">
        <f aca="false">-1+A1341*0.125</f>
        <v>-0.5</v>
      </c>
      <c r="E1341" s="0" t="n">
        <f aca="false">-1+B1341*0.125</f>
        <v>0.25</v>
      </c>
      <c r="F1341" s="0" t="n">
        <f aca="false">-1+C1341*0.125</f>
        <v>0.25</v>
      </c>
      <c r="G1341" s="0" t="n">
        <f aca="false">1</f>
        <v>1</v>
      </c>
      <c r="H1341" s="0" t="n">
        <f aca="false">D1341</f>
        <v>-0.5</v>
      </c>
      <c r="I1341" s="0" t="n">
        <f aca="false">E1341</f>
        <v>0.25</v>
      </c>
      <c r="J1341" s="0" t="n">
        <f aca="false">F1341</f>
        <v>0.25</v>
      </c>
      <c r="K1341" s="0" t="n">
        <f aca="false">D1341*E1341</f>
        <v>-0.125</v>
      </c>
      <c r="L1341" s="0" t="n">
        <f aca="false">D1341*F1341</f>
        <v>-0.125</v>
      </c>
      <c r="M1341" s="0" t="n">
        <f aca="false">E1341*F1341</f>
        <v>0.0625</v>
      </c>
      <c r="N1341" s="0" t="n">
        <f aca="false">D1341*D1341</f>
        <v>0.25</v>
      </c>
      <c r="O1341" s="0" t="n">
        <f aca="false">E1341*E1341</f>
        <v>0.0625</v>
      </c>
      <c r="P1341" s="0" t="n">
        <f aca="false">F1341*F1341</f>
        <v>0.0625</v>
      </c>
      <c r="Q1341" s="0" t="n">
        <f aca="false">SUMPRODUCT(G1341:P1341,_XtX!$B$71:$K$71)</f>
        <v>47.0075568181818</v>
      </c>
      <c r="R1341" s="0" t="n">
        <f aca="false">SUMPRODUCT(MMULT(G1341:P1341,_XtX!$B$58:$K$67),G1341:P1341)</f>
        <v>0.141965553977273</v>
      </c>
      <c r="S1341" s="0" t="n">
        <f aca="false">04_回帰ANOVA!$K$19*04_回帰ANOVA!$K$14*SQRT(1+R1341)</f>
        <v>0.993557802198625</v>
      </c>
      <c r="T1341" s="0" t="n">
        <f aca="false">Q1341-S1341</f>
        <v>46.0139990159832</v>
      </c>
      <c r="U1341" s="0" t="n">
        <f aca="false">Q1341+S1341</f>
        <v>48.0011146203805</v>
      </c>
      <c r="V1341" s="54" t="b">
        <f aca="false">AND(D1341&gt;=01_因子設定!$L$5-0.000000001,D1341&lt;=01_因子設定!$M$5+0.000000001,E1341&gt;=01_因子設定!$L$6-0.000000001,E1341&lt;=01_因子設定!$M$6+0.000000001,F1341&gt;=01_因子設定!$L$7-0.000000001,F1341&lt;=01_因子設定!$M$7+0.000000001,IF(01_因子設定!$B$20="Box-Behnken",D1341^2+E1341^2+F1341^2&lt;=2+0.000000001,TRUE()))</f>
        <v>1</v>
      </c>
      <c r="W1341" s="55" t="n">
        <f aca="false">IF(V1341,IF(01_因子設定!$B$13="最大化",T1341-01_因子設定!$B$14,IF(01_因子設定!$B$13="最小化",01_因子設定!$B$15-U1341,MIN(T1341-01_因子設定!$B$14,01_因子設定!$B$15-U1341))),-1E+030)</f>
        <v>-2.4860009840168</v>
      </c>
      <c r="X1341" s="55" t="n">
        <f aca="false">IF(V1341,IF(01_因子設定!$B$13="最大化",Q1341,IF(01_因子設定!$B$13="最小化",-Q1341,-ABS(Q1341-01_因子設定!$B$16))),-1E+030)</f>
        <v>47.0075568181818</v>
      </c>
      <c r="Y1341" s="55" t="n">
        <f aca="false">W1341+ROW()*0.000000001</f>
        <v>-2.4859996430168</v>
      </c>
      <c r="Z1341" s="55" t="n">
        <f aca="false">X1341+ROW()*0.000000001</f>
        <v>47.0075581591818</v>
      </c>
    </row>
    <row r="1342" customFormat="false" ht="15" hidden="false" customHeight="false" outlineLevel="0" collapsed="false">
      <c r="A1342" s="0" t="n">
        <v>4</v>
      </c>
      <c r="B1342" s="0" t="n">
        <v>10</v>
      </c>
      <c r="C1342" s="0" t="n">
        <v>11</v>
      </c>
      <c r="D1342" s="0" t="n">
        <f aca="false">-1+A1342*0.125</f>
        <v>-0.5</v>
      </c>
      <c r="E1342" s="0" t="n">
        <f aca="false">-1+B1342*0.125</f>
        <v>0.25</v>
      </c>
      <c r="F1342" s="0" t="n">
        <f aca="false">-1+C1342*0.125</f>
        <v>0.375</v>
      </c>
      <c r="G1342" s="0" t="n">
        <f aca="false">1</f>
        <v>1</v>
      </c>
      <c r="H1342" s="0" t="n">
        <f aca="false">D1342</f>
        <v>-0.5</v>
      </c>
      <c r="I1342" s="0" t="n">
        <f aca="false">E1342</f>
        <v>0.25</v>
      </c>
      <c r="J1342" s="0" t="n">
        <f aca="false">F1342</f>
        <v>0.375</v>
      </c>
      <c r="K1342" s="0" t="n">
        <f aca="false">D1342*E1342</f>
        <v>-0.125</v>
      </c>
      <c r="L1342" s="0" t="n">
        <f aca="false">D1342*F1342</f>
        <v>-0.1875</v>
      </c>
      <c r="M1342" s="0" t="n">
        <f aca="false">E1342*F1342</f>
        <v>0.09375</v>
      </c>
      <c r="N1342" s="0" t="n">
        <f aca="false">D1342*D1342</f>
        <v>0.25</v>
      </c>
      <c r="O1342" s="0" t="n">
        <f aca="false">E1342*E1342</f>
        <v>0.0625</v>
      </c>
      <c r="P1342" s="0" t="n">
        <f aca="false">F1342*F1342</f>
        <v>0.140625</v>
      </c>
      <c r="Q1342" s="0" t="n">
        <f aca="false">SUMPRODUCT(G1342:P1342,_XtX!$B$71:$K$71)</f>
        <v>47.1115198863636</v>
      </c>
      <c r="R1342" s="0" t="n">
        <f aca="false">SUMPRODUCT(MMULT(G1342:P1342,_XtX!$B$58:$K$67),G1342:P1342)</f>
        <v>0.144839754971591</v>
      </c>
      <c r="S1342" s="0" t="n">
        <f aca="false">04_回帰ANOVA!$K$19*04_回帰ANOVA!$K$14*SQRT(1+R1342)</f>
        <v>0.994807353995542</v>
      </c>
      <c r="T1342" s="0" t="n">
        <f aca="false">Q1342-S1342</f>
        <v>46.1167125323681</v>
      </c>
      <c r="U1342" s="0" t="n">
        <f aca="false">Q1342+S1342</f>
        <v>48.1063272403592</v>
      </c>
      <c r="V1342" s="54" t="b">
        <f aca="false">AND(D1342&gt;=01_因子設定!$L$5-0.000000001,D1342&lt;=01_因子設定!$M$5+0.000000001,E1342&gt;=01_因子設定!$L$6-0.000000001,E1342&lt;=01_因子設定!$M$6+0.000000001,F1342&gt;=01_因子設定!$L$7-0.000000001,F1342&lt;=01_因子設定!$M$7+0.000000001,IF(01_因子設定!$B$20="Box-Behnken",D1342^2+E1342^2+F1342^2&lt;=2+0.000000001,TRUE()))</f>
        <v>1</v>
      </c>
      <c r="W1342" s="55" t="n">
        <f aca="false">IF(V1342,IF(01_因子設定!$B$13="最大化",T1342-01_因子設定!$B$14,IF(01_因子設定!$B$13="最小化",01_因子設定!$B$15-U1342,MIN(T1342-01_因子設定!$B$14,01_因子設定!$B$15-U1342))),-1E+030)</f>
        <v>-2.3832874676319</v>
      </c>
      <c r="X1342" s="55" t="n">
        <f aca="false">IF(V1342,IF(01_因子設定!$B$13="最大化",Q1342,IF(01_因子設定!$B$13="最小化",-Q1342,-ABS(Q1342-01_因子設定!$B$16))),-1E+030)</f>
        <v>47.1115198863636</v>
      </c>
      <c r="Y1342" s="55" t="n">
        <f aca="false">W1342+ROW()*0.000000001</f>
        <v>-2.3832861256319</v>
      </c>
      <c r="Z1342" s="55" t="n">
        <f aca="false">X1342+ROW()*0.000000001</f>
        <v>47.1115212283636</v>
      </c>
    </row>
    <row r="1343" customFormat="false" ht="15" hidden="false" customHeight="false" outlineLevel="0" collapsed="false">
      <c r="A1343" s="0" t="n">
        <v>4</v>
      </c>
      <c r="B1343" s="0" t="n">
        <v>10</v>
      </c>
      <c r="C1343" s="0" t="n">
        <v>12</v>
      </c>
      <c r="D1343" s="0" t="n">
        <f aca="false">-1+A1343*0.125</f>
        <v>-0.5</v>
      </c>
      <c r="E1343" s="0" t="n">
        <f aca="false">-1+B1343*0.125</f>
        <v>0.25</v>
      </c>
      <c r="F1343" s="0" t="n">
        <f aca="false">-1+C1343*0.125</f>
        <v>0.5</v>
      </c>
      <c r="G1343" s="0" t="n">
        <f aca="false">1</f>
        <v>1</v>
      </c>
      <c r="H1343" s="0" t="n">
        <f aca="false">D1343</f>
        <v>-0.5</v>
      </c>
      <c r="I1343" s="0" t="n">
        <f aca="false">E1343</f>
        <v>0.25</v>
      </c>
      <c r="J1343" s="0" t="n">
        <f aca="false">F1343</f>
        <v>0.5</v>
      </c>
      <c r="K1343" s="0" t="n">
        <f aca="false">D1343*E1343</f>
        <v>-0.125</v>
      </c>
      <c r="L1343" s="0" t="n">
        <f aca="false">D1343*F1343</f>
        <v>-0.25</v>
      </c>
      <c r="M1343" s="0" t="n">
        <f aca="false">E1343*F1343</f>
        <v>0.125</v>
      </c>
      <c r="N1343" s="0" t="n">
        <f aca="false">D1343*D1343</f>
        <v>0.25</v>
      </c>
      <c r="O1343" s="0" t="n">
        <f aca="false">E1343*E1343</f>
        <v>0.0625</v>
      </c>
      <c r="P1343" s="0" t="n">
        <f aca="false">F1343*F1343</f>
        <v>0.25</v>
      </c>
      <c r="Q1343" s="0" t="n">
        <f aca="false">SUMPRODUCT(G1343:P1343,_XtX!$B$71:$K$71)</f>
        <v>47.1786931818182</v>
      </c>
      <c r="R1343" s="0" t="n">
        <f aca="false">SUMPRODUCT(MMULT(G1343:P1343,_XtX!$B$58:$K$67),G1343:P1343)</f>
        <v>0.156321022727273</v>
      </c>
      <c r="S1343" s="0" t="n">
        <f aca="false">04_回帰ANOVA!$K$19*04_回帰ANOVA!$K$14*SQRT(1+R1343)</f>
        <v>0.999783227753172</v>
      </c>
      <c r="T1343" s="0" t="n">
        <f aca="false">Q1343-S1343</f>
        <v>46.178909954065</v>
      </c>
      <c r="U1343" s="0" t="n">
        <f aca="false">Q1343+S1343</f>
        <v>48.1784764095714</v>
      </c>
      <c r="V1343" s="54" t="b">
        <f aca="false">AND(D1343&gt;=01_因子設定!$L$5-0.000000001,D1343&lt;=01_因子設定!$M$5+0.000000001,E1343&gt;=01_因子設定!$L$6-0.000000001,E1343&lt;=01_因子設定!$M$6+0.000000001,F1343&gt;=01_因子設定!$L$7-0.000000001,F1343&lt;=01_因子設定!$M$7+0.000000001,IF(01_因子設定!$B$20="Box-Behnken",D1343^2+E1343^2+F1343^2&lt;=2+0.000000001,TRUE()))</f>
        <v>1</v>
      </c>
      <c r="W1343" s="55" t="n">
        <f aca="false">IF(V1343,IF(01_因子設定!$B$13="最大化",T1343-01_因子設定!$B$14,IF(01_因子設定!$B$13="最小化",01_因子設定!$B$15-U1343,MIN(T1343-01_因子設定!$B$14,01_因子設定!$B$15-U1343))),-1E+030)</f>
        <v>-2.32109004593498</v>
      </c>
      <c r="X1343" s="55" t="n">
        <f aca="false">IF(V1343,IF(01_因子設定!$B$13="最大化",Q1343,IF(01_因子設定!$B$13="最小化",-Q1343,-ABS(Q1343-01_因子設定!$B$16))),-1E+030)</f>
        <v>47.1786931818182</v>
      </c>
      <c r="Y1343" s="55" t="n">
        <f aca="false">W1343+ROW()*0.000000001</f>
        <v>-2.32108870293498</v>
      </c>
      <c r="Z1343" s="55" t="n">
        <f aca="false">X1343+ROW()*0.000000001</f>
        <v>47.1786945248182</v>
      </c>
    </row>
    <row r="1344" customFormat="false" ht="15" hidden="false" customHeight="false" outlineLevel="0" collapsed="false">
      <c r="A1344" s="0" t="n">
        <v>4</v>
      </c>
      <c r="B1344" s="0" t="n">
        <v>10</v>
      </c>
      <c r="C1344" s="0" t="n">
        <v>13</v>
      </c>
      <c r="D1344" s="0" t="n">
        <f aca="false">-1+A1344*0.125</f>
        <v>-0.5</v>
      </c>
      <c r="E1344" s="0" t="n">
        <f aca="false">-1+B1344*0.125</f>
        <v>0.25</v>
      </c>
      <c r="F1344" s="0" t="n">
        <f aca="false">-1+C1344*0.125</f>
        <v>0.625</v>
      </c>
      <c r="G1344" s="0" t="n">
        <f aca="false">1</f>
        <v>1</v>
      </c>
      <c r="H1344" s="0" t="n">
        <f aca="false">D1344</f>
        <v>-0.5</v>
      </c>
      <c r="I1344" s="0" t="n">
        <f aca="false">E1344</f>
        <v>0.25</v>
      </c>
      <c r="J1344" s="0" t="n">
        <f aca="false">F1344</f>
        <v>0.625</v>
      </c>
      <c r="K1344" s="0" t="n">
        <f aca="false">D1344*E1344</f>
        <v>-0.125</v>
      </c>
      <c r="L1344" s="0" t="n">
        <f aca="false">D1344*F1344</f>
        <v>-0.3125</v>
      </c>
      <c r="M1344" s="0" t="n">
        <f aca="false">E1344*F1344</f>
        <v>0.15625</v>
      </c>
      <c r="N1344" s="0" t="n">
        <f aca="false">D1344*D1344</f>
        <v>0.25</v>
      </c>
      <c r="O1344" s="0" t="n">
        <f aca="false">E1344*E1344</f>
        <v>0.0625</v>
      </c>
      <c r="P1344" s="0" t="n">
        <f aca="false">F1344*F1344</f>
        <v>0.390625</v>
      </c>
      <c r="Q1344" s="0" t="n">
        <f aca="false">SUMPRODUCT(G1344:P1344,_XtX!$B$71:$K$71)</f>
        <v>47.2090767045455</v>
      </c>
      <c r="R1344" s="0" t="n">
        <f aca="false">SUMPRODUCT(MMULT(G1344:P1344,_XtX!$B$58:$K$67),G1344:P1344)</f>
        <v>0.183866743607955</v>
      </c>
      <c r="S1344" s="0" t="n">
        <f aca="false">04_回帰ANOVA!$K$19*04_回帰ANOVA!$K$14*SQRT(1+R1344)</f>
        <v>1.01162148983013</v>
      </c>
      <c r="T1344" s="0" t="n">
        <f aca="false">Q1344-S1344</f>
        <v>46.1974552147153</v>
      </c>
      <c r="U1344" s="0" t="n">
        <f aca="false">Q1344+S1344</f>
        <v>48.2206981943756</v>
      </c>
      <c r="V1344" s="54" t="b">
        <f aca="false">AND(D1344&gt;=01_因子設定!$L$5-0.000000001,D1344&lt;=01_因子設定!$M$5+0.000000001,E1344&gt;=01_因子設定!$L$6-0.000000001,E1344&lt;=01_因子設定!$M$6+0.000000001,F1344&gt;=01_因子設定!$L$7-0.000000001,F1344&lt;=01_因子設定!$M$7+0.000000001,IF(01_因子設定!$B$20="Box-Behnken",D1344^2+E1344^2+F1344^2&lt;=2+0.000000001,TRUE()))</f>
        <v>1</v>
      </c>
      <c r="W1344" s="55" t="n">
        <f aca="false">IF(V1344,IF(01_因子設定!$B$13="最大化",T1344-01_因子設定!$B$14,IF(01_因子設定!$B$13="最小化",01_因子設定!$B$15-U1344,MIN(T1344-01_因子設定!$B$14,01_因子設定!$B$15-U1344))),-1E+030)</f>
        <v>-2.30254478528467</v>
      </c>
      <c r="X1344" s="55" t="n">
        <f aca="false">IF(V1344,IF(01_因子設定!$B$13="最大化",Q1344,IF(01_因子設定!$B$13="最小化",-Q1344,-ABS(Q1344-01_因子設定!$B$16))),-1E+030)</f>
        <v>47.2090767045455</v>
      </c>
      <c r="Y1344" s="55" t="n">
        <f aca="false">W1344+ROW()*0.000000001</f>
        <v>-2.30254344128467</v>
      </c>
      <c r="Z1344" s="55" t="n">
        <f aca="false">X1344+ROW()*0.000000001</f>
        <v>47.2090780485455</v>
      </c>
    </row>
    <row r="1345" customFormat="false" ht="15" hidden="false" customHeight="false" outlineLevel="0" collapsed="false">
      <c r="A1345" s="0" t="n">
        <v>4</v>
      </c>
      <c r="B1345" s="0" t="n">
        <v>10</v>
      </c>
      <c r="C1345" s="0" t="n">
        <v>14</v>
      </c>
      <c r="D1345" s="0" t="n">
        <f aca="false">-1+A1345*0.125</f>
        <v>-0.5</v>
      </c>
      <c r="E1345" s="0" t="n">
        <f aca="false">-1+B1345*0.125</f>
        <v>0.25</v>
      </c>
      <c r="F1345" s="0" t="n">
        <f aca="false">-1+C1345*0.125</f>
        <v>0.75</v>
      </c>
      <c r="G1345" s="0" t="n">
        <f aca="false">1</f>
        <v>1</v>
      </c>
      <c r="H1345" s="0" t="n">
        <f aca="false">D1345</f>
        <v>-0.5</v>
      </c>
      <c r="I1345" s="0" t="n">
        <f aca="false">E1345</f>
        <v>0.25</v>
      </c>
      <c r="J1345" s="0" t="n">
        <f aca="false">F1345</f>
        <v>0.75</v>
      </c>
      <c r="K1345" s="0" t="n">
        <f aca="false">D1345*E1345</f>
        <v>-0.125</v>
      </c>
      <c r="L1345" s="0" t="n">
        <f aca="false">D1345*F1345</f>
        <v>-0.375</v>
      </c>
      <c r="M1345" s="0" t="n">
        <f aca="false">E1345*F1345</f>
        <v>0.1875</v>
      </c>
      <c r="N1345" s="0" t="n">
        <f aca="false">D1345*D1345</f>
        <v>0.25</v>
      </c>
      <c r="O1345" s="0" t="n">
        <f aca="false">E1345*E1345</f>
        <v>0.0625</v>
      </c>
      <c r="P1345" s="0" t="n">
        <f aca="false">F1345*F1345</f>
        <v>0.5625</v>
      </c>
      <c r="Q1345" s="0" t="n">
        <f aca="false">SUMPRODUCT(G1345:P1345,_XtX!$B$71:$K$71)</f>
        <v>47.2026704545455</v>
      </c>
      <c r="R1345" s="0" t="n">
        <f aca="false">SUMPRODUCT(MMULT(G1345:P1345,_XtX!$B$58:$K$67),G1345:P1345)</f>
        <v>0.237064985795455</v>
      </c>
      <c r="S1345" s="0" t="n">
        <f aca="false">04_回帰ANOVA!$K$19*04_回帰ANOVA!$K$14*SQRT(1+R1345)</f>
        <v>1.03410084594745</v>
      </c>
      <c r="T1345" s="0" t="n">
        <f aca="false">Q1345-S1345</f>
        <v>46.168569608598</v>
      </c>
      <c r="U1345" s="0" t="n">
        <f aca="false">Q1345+S1345</f>
        <v>48.2367713004929</v>
      </c>
      <c r="V1345" s="54" t="b">
        <f aca="false">AND(D1345&gt;=01_因子設定!$L$5-0.000000001,D1345&lt;=01_因子設定!$M$5+0.000000001,E1345&gt;=01_因子設定!$L$6-0.000000001,E1345&lt;=01_因子設定!$M$6+0.000000001,F1345&gt;=01_因子設定!$L$7-0.000000001,F1345&lt;=01_因子設定!$M$7+0.000000001,IF(01_因子設定!$B$20="Box-Behnken",D1345^2+E1345^2+F1345^2&lt;=2+0.000000001,TRUE()))</f>
        <v>1</v>
      </c>
      <c r="W1345" s="55" t="n">
        <f aca="false">IF(V1345,IF(01_因子設定!$B$13="最大化",T1345-01_因子設定!$B$14,IF(01_因子設定!$B$13="最小化",01_因子設定!$B$15-U1345,MIN(T1345-01_因子設定!$B$14,01_因子設定!$B$15-U1345))),-1E+030)</f>
        <v>-2.33143039140197</v>
      </c>
      <c r="X1345" s="55" t="n">
        <f aca="false">IF(V1345,IF(01_因子設定!$B$13="最大化",Q1345,IF(01_因子設定!$B$13="最小化",-Q1345,-ABS(Q1345-01_因子設定!$B$16))),-1E+030)</f>
        <v>47.2026704545455</v>
      </c>
      <c r="Y1345" s="55" t="n">
        <f aca="false">W1345+ROW()*0.000000001</f>
        <v>-2.33142904640197</v>
      </c>
      <c r="Z1345" s="55" t="n">
        <f aca="false">X1345+ROW()*0.000000001</f>
        <v>47.2026717995455</v>
      </c>
    </row>
    <row r="1346" customFormat="false" ht="15" hidden="false" customHeight="false" outlineLevel="0" collapsed="false">
      <c r="A1346" s="0" t="n">
        <v>4</v>
      </c>
      <c r="B1346" s="0" t="n">
        <v>10</v>
      </c>
      <c r="C1346" s="0" t="n">
        <v>15</v>
      </c>
      <c r="D1346" s="0" t="n">
        <f aca="false">-1+A1346*0.125</f>
        <v>-0.5</v>
      </c>
      <c r="E1346" s="0" t="n">
        <f aca="false">-1+B1346*0.125</f>
        <v>0.25</v>
      </c>
      <c r="F1346" s="0" t="n">
        <f aca="false">-1+C1346*0.125</f>
        <v>0.875</v>
      </c>
      <c r="G1346" s="0" t="n">
        <f aca="false">1</f>
        <v>1</v>
      </c>
      <c r="H1346" s="0" t="n">
        <f aca="false">D1346</f>
        <v>-0.5</v>
      </c>
      <c r="I1346" s="0" t="n">
        <f aca="false">E1346</f>
        <v>0.25</v>
      </c>
      <c r="J1346" s="0" t="n">
        <f aca="false">F1346</f>
        <v>0.875</v>
      </c>
      <c r="K1346" s="0" t="n">
        <f aca="false">D1346*E1346</f>
        <v>-0.125</v>
      </c>
      <c r="L1346" s="0" t="n">
        <f aca="false">D1346*F1346</f>
        <v>-0.4375</v>
      </c>
      <c r="M1346" s="0" t="n">
        <f aca="false">E1346*F1346</f>
        <v>0.21875</v>
      </c>
      <c r="N1346" s="0" t="n">
        <f aca="false">D1346*D1346</f>
        <v>0.25</v>
      </c>
      <c r="O1346" s="0" t="n">
        <f aca="false">E1346*E1346</f>
        <v>0.0625</v>
      </c>
      <c r="P1346" s="0" t="n">
        <f aca="false">F1346*F1346</f>
        <v>0.765625</v>
      </c>
      <c r="Q1346" s="0" t="n">
        <f aca="false">SUMPRODUCT(G1346:P1346,_XtX!$B$71:$K$71)</f>
        <v>47.1594744318182</v>
      </c>
      <c r="R1346" s="0" t="n">
        <f aca="false">SUMPRODUCT(MMULT(G1346:P1346,_XtX!$B$58:$K$67),G1346:P1346)</f>
        <v>0.327634499289773</v>
      </c>
      <c r="S1346" s="0" t="n">
        <f aca="false">04_回帰ANOVA!$K$19*04_回帰ANOVA!$K$14*SQRT(1+R1346)</f>
        <v>1.07128716250217</v>
      </c>
      <c r="T1346" s="0" t="n">
        <f aca="false">Q1346-S1346</f>
        <v>46.088187269316</v>
      </c>
      <c r="U1346" s="0" t="n">
        <f aca="false">Q1346+S1346</f>
        <v>48.2307615943204</v>
      </c>
      <c r="V1346" s="54" t="b">
        <f aca="false">AND(D1346&gt;=01_因子設定!$L$5-0.000000001,D1346&lt;=01_因子設定!$M$5+0.000000001,E1346&gt;=01_因子設定!$L$6-0.000000001,E1346&lt;=01_因子設定!$M$6+0.000000001,F1346&gt;=01_因子設定!$L$7-0.000000001,F1346&lt;=01_因子設定!$M$7+0.000000001,IF(01_因子設定!$B$20="Box-Behnken",D1346^2+E1346^2+F1346^2&lt;=2+0.000000001,TRUE()))</f>
        <v>1</v>
      </c>
      <c r="W1346" s="55" t="n">
        <f aca="false">IF(V1346,IF(01_因子設定!$B$13="最大化",T1346-01_因子設定!$B$14,IF(01_因子設定!$B$13="最小化",01_因子設定!$B$15-U1346,MIN(T1346-01_因子設定!$B$14,01_因子設定!$B$15-U1346))),-1E+030)</f>
        <v>-2.41181273068398</v>
      </c>
      <c r="X1346" s="55" t="n">
        <f aca="false">IF(V1346,IF(01_因子設定!$B$13="最大化",Q1346,IF(01_因子設定!$B$13="最小化",-Q1346,-ABS(Q1346-01_因子設定!$B$16))),-1E+030)</f>
        <v>47.1594744318182</v>
      </c>
      <c r="Y1346" s="55" t="n">
        <f aca="false">W1346+ROW()*0.000000001</f>
        <v>-2.41181138468398</v>
      </c>
      <c r="Z1346" s="55" t="n">
        <f aca="false">X1346+ROW()*0.000000001</f>
        <v>47.1594757778182</v>
      </c>
    </row>
    <row r="1347" customFormat="false" ht="15" hidden="false" customHeight="false" outlineLevel="0" collapsed="false">
      <c r="A1347" s="0" t="n">
        <v>4</v>
      </c>
      <c r="B1347" s="0" t="n">
        <v>10</v>
      </c>
      <c r="C1347" s="0" t="n">
        <v>16</v>
      </c>
      <c r="D1347" s="0" t="n">
        <f aca="false">-1+A1347*0.125</f>
        <v>-0.5</v>
      </c>
      <c r="E1347" s="0" t="n">
        <f aca="false">-1+B1347*0.125</f>
        <v>0.25</v>
      </c>
      <c r="F1347" s="0" t="n">
        <f aca="false">-1+C1347*0.125</f>
        <v>1</v>
      </c>
      <c r="G1347" s="0" t="n">
        <f aca="false">1</f>
        <v>1</v>
      </c>
      <c r="H1347" s="0" t="n">
        <f aca="false">D1347</f>
        <v>-0.5</v>
      </c>
      <c r="I1347" s="0" t="n">
        <f aca="false">E1347</f>
        <v>0.25</v>
      </c>
      <c r="J1347" s="0" t="n">
        <f aca="false">F1347</f>
        <v>1</v>
      </c>
      <c r="K1347" s="0" t="n">
        <f aca="false">D1347*E1347</f>
        <v>-0.125</v>
      </c>
      <c r="L1347" s="0" t="n">
        <f aca="false">D1347*F1347</f>
        <v>-0.5</v>
      </c>
      <c r="M1347" s="0" t="n">
        <f aca="false">E1347*F1347</f>
        <v>0.25</v>
      </c>
      <c r="N1347" s="0" t="n">
        <f aca="false">D1347*D1347</f>
        <v>0.25</v>
      </c>
      <c r="O1347" s="0" t="n">
        <f aca="false">E1347*E1347</f>
        <v>0.0625</v>
      </c>
      <c r="P1347" s="0" t="n">
        <f aca="false">F1347*F1347</f>
        <v>1</v>
      </c>
      <c r="Q1347" s="0" t="n">
        <f aca="false">SUMPRODUCT(G1347:P1347,_XtX!$B$71:$K$71)</f>
        <v>47.0794886363637</v>
      </c>
      <c r="R1347" s="0" t="n">
        <f aca="false">SUMPRODUCT(MMULT(G1347:P1347,_XtX!$B$58:$K$67),G1347:P1347)</f>
        <v>0.469424715909091</v>
      </c>
      <c r="S1347" s="0" t="n">
        <f aca="false">04_回帰ANOVA!$K$19*04_回帰ANOVA!$K$14*SQRT(1+R1347)</f>
        <v>1.12704253369596</v>
      </c>
      <c r="T1347" s="0" t="n">
        <f aca="false">Q1347-S1347</f>
        <v>45.9524461026677</v>
      </c>
      <c r="U1347" s="0" t="n">
        <f aca="false">Q1347+S1347</f>
        <v>48.2065311700596</v>
      </c>
      <c r="V1347" s="54" t="b">
        <f aca="false">AND(D1347&gt;=01_因子設定!$L$5-0.000000001,D1347&lt;=01_因子設定!$M$5+0.000000001,E1347&gt;=01_因子設定!$L$6-0.000000001,E1347&lt;=01_因子設定!$M$6+0.000000001,F1347&gt;=01_因子設定!$L$7-0.000000001,F1347&lt;=01_因子設定!$M$7+0.000000001,IF(01_因子設定!$B$20="Box-Behnken",D1347^2+E1347^2+F1347^2&lt;=2+0.000000001,TRUE()))</f>
        <v>1</v>
      </c>
      <c r="W1347" s="55" t="n">
        <f aca="false">IF(V1347,IF(01_因子設定!$B$13="最大化",T1347-01_因子設定!$B$14,IF(01_因子設定!$B$13="最小化",01_因子設定!$B$15-U1347,MIN(T1347-01_因子設定!$B$14,01_因子設定!$B$15-U1347))),-1E+030)</f>
        <v>-2.5475538973323</v>
      </c>
      <c r="X1347" s="55" t="n">
        <f aca="false">IF(V1347,IF(01_因子設定!$B$13="最大化",Q1347,IF(01_因子設定!$B$13="最小化",-Q1347,-ABS(Q1347-01_因子設定!$B$16))),-1E+030)</f>
        <v>47.0794886363637</v>
      </c>
      <c r="Y1347" s="55" t="n">
        <f aca="false">W1347+ROW()*0.000000001</f>
        <v>-2.5475525503323</v>
      </c>
      <c r="Z1347" s="55" t="n">
        <f aca="false">X1347+ROW()*0.000000001</f>
        <v>47.0794899833637</v>
      </c>
    </row>
    <row r="1348" customFormat="false" ht="15" hidden="false" customHeight="false" outlineLevel="0" collapsed="false">
      <c r="A1348" s="0" t="n">
        <v>4</v>
      </c>
      <c r="B1348" s="0" t="n">
        <v>11</v>
      </c>
      <c r="C1348" s="0" t="n">
        <v>0</v>
      </c>
      <c r="D1348" s="0" t="n">
        <f aca="false">-1+A1348*0.125</f>
        <v>-0.5</v>
      </c>
      <c r="E1348" s="0" t="n">
        <f aca="false">-1+B1348*0.125</f>
        <v>0.375</v>
      </c>
      <c r="F1348" s="0" t="n">
        <f aca="false">-1+C1348*0.125</f>
        <v>-1</v>
      </c>
      <c r="G1348" s="0" t="n">
        <f aca="false">1</f>
        <v>1</v>
      </c>
      <c r="H1348" s="0" t="n">
        <f aca="false">D1348</f>
        <v>-0.5</v>
      </c>
      <c r="I1348" s="0" t="n">
        <f aca="false">E1348</f>
        <v>0.375</v>
      </c>
      <c r="J1348" s="0" t="n">
        <f aca="false">F1348</f>
        <v>-1</v>
      </c>
      <c r="K1348" s="0" t="n">
        <f aca="false">D1348*E1348</f>
        <v>-0.1875</v>
      </c>
      <c r="L1348" s="0" t="n">
        <f aca="false">D1348*F1348</f>
        <v>0.5</v>
      </c>
      <c r="M1348" s="0" t="n">
        <f aca="false">E1348*F1348</f>
        <v>-0.375</v>
      </c>
      <c r="N1348" s="0" t="n">
        <f aca="false">D1348*D1348</f>
        <v>0.25</v>
      </c>
      <c r="O1348" s="0" t="n">
        <f aca="false">E1348*E1348</f>
        <v>0.140625</v>
      </c>
      <c r="P1348" s="0" t="n">
        <f aca="false">F1348*F1348</f>
        <v>1</v>
      </c>
      <c r="Q1348" s="0" t="n">
        <f aca="false">SUMPRODUCT(G1348:P1348,_XtX!$B$71:$K$71)</f>
        <v>43.9120454545455</v>
      </c>
      <c r="R1348" s="0" t="n">
        <f aca="false">SUMPRODUCT(MMULT(G1348:P1348,_XtX!$B$58:$K$67),G1348:P1348)</f>
        <v>0.461479048295455</v>
      </c>
      <c r="S1348" s="0" t="n">
        <f aca="false">04_回帰ANOVA!$K$19*04_回帰ANOVA!$K$14*SQRT(1+R1348)</f>
        <v>1.12399125658369</v>
      </c>
      <c r="T1348" s="0" t="n">
        <f aca="false">Q1348-S1348</f>
        <v>42.7880541979618</v>
      </c>
      <c r="U1348" s="0" t="n">
        <f aca="false">Q1348+S1348</f>
        <v>45.0360367111292</v>
      </c>
      <c r="V1348" s="54" t="b">
        <f aca="false">AND(D1348&gt;=01_因子設定!$L$5-0.000000001,D1348&lt;=01_因子設定!$M$5+0.000000001,E1348&gt;=01_因子設定!$L$6-0.000000001,E1348&lt;=01_因子設定!$M$6+0.000000001,F1348&gt;=01_因子設定!$L$7-0.000000001,F1348&lt;=01_因子設定!$M$7+0.000000001,IF(01_因子設定!$B$20="Box-Behnken",D1348^2+E1348^2+F1348^2&lt;=2+0.000000001,TRUE()))</f>
        <v>1</v>
      </c>
      <c r="W1348" s="55" t="n">
        <f aca="false">IF(V1348,IF(01_因子設定!$B$13="最大化",T1348-01_因子設定!$B$14,IF(01_因子設定!$B$13="最小化",01_因子設定!$B$15-U1348,MIN(T1348-01_因子設定!$B$14,01_因子設定!$B$15-U1348))),-1E+030)</f>
        <v>-5.71194580203821</v>
      </c>
      <c r="X1348" s="55" t="n">
        <f aca="false">IF(V1348,IF(01_因子設定!$B$13="最大化",Q1348,IF(01_因子設定!$B$13="最小化",-Q1348,-ABS(Q1348-01_因子設定!$B$16))),-1E+030)</f>
        <v>43.9120454545455</v>
      </c>
      <c r="Y1348" s="55" t="n">
        <f aca="false">W1348+ROW()*0.000000001</f>
        <v>-5.71194445403821</v>
      </c>
      <c r="Z1348" s="55" t="n">
        <f aca="false">X1348+ROW()*0.000000001</f>
        <v>43.9120468025455</v>
      </c>
    </row>
    <row r="1349" customFormat="false" ht="15" hidden="false" customHeight="false" outlineLevel="0" collapsed="false">
      <c r="A1349" s="0" t="n">
        <v>4</v>
      </c>
      <c r="B1349" s="0" t="n">
        <v>11</v>
      </c>
      <c r="C1349" s="0" t="n">
        <v>1</v>
      </c>
      <c r="D1349" s="0" t="n">
        <f aca="false">-1+A1349*0.125</f>
        <v>-0.5</v>
      </c>
      <c r="E1349" s="0" t="n">
        <f aca="false">-1+B1349*0.125</f>
        <v>0.375</v>
      </c>
      <c r="F1349" s="0" t="n">
        <f aca="false">-1+C1349*0.125</f>
        <v>-0.875</v>
      </c>
      <c r="G1349" s="0" t="n">
        <f aca="false">1</f>
        <v>1</v>
      </c>
      <c r="H1349" s="0" t="n">
        <f aca="false">D1349</f>
        <v>-0.5</v>
      </c>
      <c r="I1349" s="0" t="n">
        <f aca="false">E1349</f>
        <v>0.375</v>
      </c>
      <c r="J1349" s="0" t="n">
        <f aca="false">F1349</f>
        <v>-0.875</v>
      </c>
      <c r="K1349" s="0" t="n">
        <f aca="false">D1349*E1349</f>
        <v>-0.1875</v>
      </c>
      <c r="L1349" s="0" t="n">
        <f aca="false">D1349*F1349</f>
        <v>0.4375</v>
      </c>
      <c r="M1349" s="0" t="n">
        <f aca="false">E1349*F1349</f>
        <v>-0.328125</v>
      </c>
      <c r="N1349" s="0" t="n">
        <f aca="false">D1349*D1349</f>
        <v>0.25</v>
      </c>
      <c r="O1349" s="0" t="n">
        <f aca="false">E1349*E1349</f>
        <v>0.140625</v>
      </c>
      <c r="P1349" s="0" t="n">
        <f aca="false">F1349*F1349</f>
        <v>0.765625</v>
      </c>
      <c r="Q1349" s="0" t="n">
        <f aca="false">SUMPRODUCT(G1349:P1349,_XtX!$B$71:$K$71)</f>
        <v>44.3909375</v>
      </c>
      <c r="R1349" s="0" t="n">
        <f aca="false">SUMPRODUCT(MMULT(G1349:P1349,_XtX!$B$58:$K$67),G1349:P1349)</f>
        <v>0.322393798828125</v>
      </c>
      <c r="S1349" s="0" t="n">
        <f aca="false">04_回帰ANOVA!$K$19*04_回帰ANOVA!$K$14*SQRT(1+R1349)</f>
        <v>1.06917067390712</v>
      </c>
      <c r="T1349" s="0" t="n">
        <f aca="false">Q1349-S1349</f>
        <v>43.3217668260929</v>
      </c>
      <c r="U1349" s="0" t="n">
        <f aca="false">Q1349+S1349</f>
        <v>45.4601081739071</v>
      </c>
      <c r="V1349" s="54" t="b">
        <f aca="false">AND(D1349&gt;=01_因子設定!$L$5-0.000000001,D1349&lt;=01_因子設定!$M$5+0.000000001,E1349&gt;=01_因子設定!$L$6-0.000000001,E1349&lt;=01_因子設定!$M$6+0.000000001,F1349&gt;=01_因子設定!$L$7-0.000000001,F1349&lt;=01_因子設定!$M$7+0.000000001,IF(01_因子設定!$B$20="Box-Behnken",D1349^2+E1349^2+F1349^2&lt;=2+0.000000001,TRUE()))</f>
        <v>1</v>
      </c>
      <c r="W1349" s="55" t="n">
        <f aca="false">IF(V1349,IF(01_因子設定!$B$13="最大化",T1349-01_因子設定!$B$14,IF(01_因子設定!$B$13="最小化",01_因子設定!$B$15-U1349,MIN(T1349-01_因子設定!$B$14,01_因子設定!$B$15-U1349))),-1E+030)</f>
        <v>-5.1782331739071</v>
      </c>
      <c r="X1349" s="55" t="n">
        <f aca="false">IF(V1349,IF(01_因子設定!$B$13="最大化",Q1349,IF(01_因子設定!$B$13="最小化",-Q1349,-ABS(Q1349-01_因子設定!$B$16))),-1E+030)</f>
        <v>44.3909375</v>
      </c>
      <c r="Y1349" s="55" t="n">
        <f aca="false">W1349+ROW()*0.000000001</f>
        <v>-5.1782318249071</v>
      </c>
      <c r="Z1349" s="55" t="n">
        <f aca="false">X1349+ROW()*0.000000001</f>
        <v>44.390938849</v>
      </c>
    </row>
    <row r="1350" customFormat="false" ht="15" hidden="false" customHeight="false" outlineLevel="0" collapsed="false">
      <c r="A1350" s="0" t="n">
        <v>4</v>
      </c>
      <c r="B1350" s="0" t="n">
        <v>11</v>
      </c>
      <c r="C1350" s="0" t="n">
        <v>2</v>
      </c>
      <c r="D1350" s="0" t="n">
        <f aca="false">-1+A1350*0.125</f>
        <v>-0.5</v>
      </c>
      <c r="E1350" s="0" t="n">
        <f aca="false">-1+B1350*0.125</f>
        <v>0.375</v>
      </c>
      <c r="F1350" s="0" t="n">
        <f aca="false">-1+C1350*0.125</f>
        <v>-0.75</v>
      </c>
      <c r="G1350" s="0" t="n">
        <f aca="false">1</f>
        <v>1</v>
      </c>
      <c r="H1350" s="0" t="n">
        <f aca="false">D1350</f>
        <v>-0.5</v>
      </c>
      <c r="I1350" s="0" t="n">
        <f aca="false">E1350</f>
        <v>0.375</v>
      </c>
      <c r="J1350" s="0" t="n">
        <f aca="false">F1350</f>
        <v>-0.75</v>
      </c>
      <c r="K1350" s="0" t="n">
        <f aca="false">D1350*E1350</f>
        <v>-0.1875</v>
      </c>
      <c r="L1350" s="0" t="n">
        <f aca="false">D1350*F1350</f>
        <v>0.375</v>
      </c>
      <c r="M1350" s="0" t="n">
        <f aca="false">E1350*F1350</f>
        <v>-0.28125</v>
      </c>
      <c r="N1350" s="0" t="n">
        <f aca="false">D1350*D1350</f>
        <v>0.25</v>
      </c>
      <c r="O1350" s="0" t="n">
        <f aca="false">E1350*E1350</f>
        <v>0.140625</v>
      </c>
      <c r="P1350" s="0" t="n">
        <f aca="false">F1350*F1350</f>
        <v>0.5625</v>
      </c>
      <c r="Q1350" s="0" t="n">
        <f aca="false">SUMPRODUCT(G1350:P1350,_XtX!$B$71:$K$71)</f>
        <v>44.8330397727273</v>
      </c>
      <c r="R1350" s="0" t="n">
        <f aca="false">SUMPRODUCT(MMULT(G1350:P1350,_XtX!$B$58:$K$67),G1350:P1350)</f>
        <v>0.234168590198864</v>
      </c>
      <c r="S1350" s="0" t="n">
        <f aca="false">04_回帰ANOVA!$K$19*04_回帰ANOVA!$K$14*SQRT(1+R1350)</f>
        <v>1.03288954322488</v>
      </c>
      <c r="T1350" s="0" t="n">
        <f aca="false">Q1350-S1350</f>
        <v>43.8001502295024</v>
      </c>
      <c r="U1350" s="0" t="n">
        <f aca="false">Q1350+S1350</f>
        <v>45.8659293159522</v>
      </c>
      <c r="V1350" s="54" t="b">
        <f aca="false">AND(D1350&gt;=01_因子設定!$L$5-0.000000001,D1350&lt;=01_因子設定!$M$5+0.000000001,E1350&gt;=01_因子設定!$L$6-0.000000001,E1350&lt;=01_因子設定!$M$6+0.000000001,F1350&gt;=01_因子設定!$L$7-0.000000001,F1350&lt;=01_因子設定!$M$7+0.000000001,IF(01_因子設定!$B$20="Box-Behnken",D1350^2+E1350^2+F1350^2&lt;=2+0.000000001,TRUE()))</f>
        <v>1</v>
      </c>
      <c r="W1350" s="55" t="n">
        <f aca="false">IF(V1350,IF(01_因子設定!$B$13="最大化",T1350-01_因子設定!$B$14,IF(01_因子設定!$B$13="最小化",01_因子設定!$B$15-U1350,MIN(T1350-01_因子設定!$B$14,01_因子設定!$B$15-U1350))),-1E+030)</f>
        <v>-4.69984977049759</v>
      </c>
      <c r="X1350" s="55" t="n">
        <f aca="false">IF(V1350,IF(01_因子設定!$B$13="最大化",Q1350,IF(01_因子設定!$B$13="最小化",-Q1350,-ABS(Q1350-01_因子設定!$B$16))),-1E+030)</f>
        <v>44.8330397727273</v>
      </c>
      <c r="Y1350" s="55" t="n">
        <f aca="false">W1350+ROW()*0.000000001</f>
        <v>-4.69984842049759</v>
      </c>
      <c r="Z1350" s="55" t="n">
        <f aca="false">X1350+ROW()*0.000000001</f>
        <v>44.8330411227273</v>
      </c>
    </row>
    <row r="1351" customFormat="false" ht="15" hidden="false" customHeight="false" outlineLevel="0" collapsed="false">
      <c r="A1351" s="0" t="n">
        <v>4</v>
      </c>
      <c r="B1351" s="0" t="n">
        <v>11</v>
      </c>
      <c r="C1351" s="0" t="n">
        <v>3</v>
      </c>
      <c r="D1351" s="0" t="n">
        <f aca="false">-1+A1351*0.125</f>
        <v>-0.5</v>
      </c>
      <c r="E1351" s="0" t="n">
        <f aca="false">-1+B1351*0.125</f>
        <v>0.375</v>
      </c>
      <c r="F1351" s="0" t="n">
        <f aca="false">-1+C1351*0.125</f>
        <v>-0.625</v>
      </c>
      <c r="G1351" s="0" t="n">
        <f aca="false">1</f>
        <v>1</v>
      </c>
      <c r="H1351" s="0" t="n">
        <f aca="false">D1351</f>
        <v>-0.5</v>
      </c>
      <c r="I1351" s="0" t="n">
        <f aca="false">E1351</f>
        <v>0.375</v>
      </c>
      <c r="J1351" s="0" t="n">
        <f aca="false">F1351</f>
        <v>-0.625</v>
      </c>
      <c r="K1351" s="0" t="n">
        <f aca="false">D1351*E1351</f>
        <v>-0.1875</v>
      </c>
      <c r="L1351" s="0" t="n">
        <f aca="false">D1351*F1351</f>
        <v>0.3125</v>
      </c>
      <c r="M1351" s="0" t="n">
        <f aca="false">E1351*F1351</f>
        <v>-0.234375</v>
      </c>
      <c r="N1351" s="0" t="n">
        <f aca="false">D1351*D1351</f>
        <v>0.25</v>
      </c>
      <c r="O1351" s="0" t="n">
        <f aca="false">E1351*E1351</f>
        <v>0.140625</v>
      </c>
      <c r="P1351" s="0" t="n">
        <f aca="false">F1351*F1351</f>
        <v>0.390625</v>
      </c>
      <c r="Q1351" s="0" t="n">
        <f aca="false">SUMPRODUCT(G1351:P1351,_XtX!$B$71:$K$71)</f>
        <v>45.2383522727273</v>
      </c>
      <c r="R1351" s="0" t="n">
        <f aca="false">SUMPRODUCT(MMULT(G1351:P1351,_XtX!$B$58:$K$67),G1351:P1351)</f>
        <v>0.182953990589489</v>
      </c>
      <c r="S1351" s="0" t="n">
        <f aca="false">04_回帰ANOVA!$K$19*04_回帰ANOVA!$K$14*SQRT(1+R1351)</f>
        <v>1.01123143807044</v>
      </c>
      <c r="T1351" s="0" t="n">
        <f aca="false">Q1351-S1351</f>
        <v>44.2271208346568</v>
      </c>
      <c r="U1351" s="0" t="n">
        <f aca="false">Q1351+S1351</f>
        <v>46.2495837107977</v>
      </c>
      <c r="V1351" s="54" t="b">
        <f aca="false">AND(D1351&gt;=01_因子設定!$L$5-0.000000001,D1351&lt;=01_因子設定!$M$5+0.000000001,E1351&gt;=01_因子設定!$L$6-0.000000001,E1351&lt;=01_因子設定!$M$6+0.000000001,F1351&gt;=01_因子設定!$L$7-0.000000001,F1351&lt;=01_因子設定!$M$7+0.000000001,IF(01_因子設定!$B$20="Box-Behnken",D1351^2+E1351^2+F1351^2&lt;=2+0.000000001,TRUE()))</f>
        <v>1</v>
      </c>
      <c r="W1351" s="55" t="n">
        <f aca="false">IF(V1351,IF(01_因子設定!$B$13="最大化",T1351-01_因子設定!$B$14,IF(01_因子設定!$B$13="最小化",01_因子設定!$B$15-U1351,MIN(T1351-01_因子設定!$B$14,01_因子設定!$B$15-U1351))),-1E+030)</f>
        <v>-4.27287916534316</v>
      </c>
      <c r="X1351" s="55" t="n">
        <f aca="false">IF(V1351,IF(01_因子設定!$B$13="最大化",Q1351,IF(01_因子設定!$B$13="最小化",-Q1351,-ABS(Q1351-01_因子設定!$B$16))),-1E+030)</f>
        <v>45.2383522727273</v>
      </c>
      <c r="Y1351" s="55" t="n">
        <f aca="false">W1351+ROW()*0.000000001</f>
        <v>-4.27287781434316</v>
      </c>
      <c r="Z1351" s="55" t="n">
        <f aca="false">X1351+ROW()*0.000000001</f>
        <v>45.2383536237273</v>
      </c>
    </row>
    <row r="1352" customFormat="false" ht="15" hidden="false" customHeight="false" outlineLevel="0" collapsed="false">
      <c r="A1352" s="0" t="n">
        <v>4</v>
      </c>
      <c r="B1352" s="0" t="n">
        <v>11</v>
      </c>
      <c r="C1352" s="0" t="n">
        <v>4</v>
      </c>
      <c r="D1352" s="0" t="n">
        <f aca="false">-1+A1352*0.125</f>
        <v>-0.5</v>
      </c>
      <c r="E1352" s="0" t="n">
        <f aca="false">-1+B1352*0.125</f>
        <v>0.375</v>
      </c>
      <c r="F1352" s="0" t="n">
        <f aca="false">-1+C1352*0.125</f>
        <v>-0.5</v>
      </c>
      <c r="G1352" s="0" t="n">
        <f aca="false">1</f>
        <v>1</v>
      </c>
      <c r="H1352" s="0" t="n">
        <f aca="false">D1352</f>
        <v>-0.5</v>
      </c>
      <c r="I1352" s="0" t="n">
        <f aca="false">E1352</f>
        <v>0.375</v>
      </c>
      <c r="J1352" s="0" t="n">
        <f aca="false">F1352</f>
        <v>-0.5</v>
      </c>
      <c r="K1352" s="0" t="n">
        <f aca="false">D1352*E1352</f>
        <v>-0.1875</v>
      </c>
      <c r="L1352" s="0" t="n">
        <f aca="false">D1352*F1352</f>
        <v>0.25</v>
      </c>
      <c r="M1352" s="0" t="n">
        <f aca="false">E1352*F1352</f>
        <v>-0.1875</v>
      </c>
      <c r="N1352" s="0" t="n">
        <f aca="false">D1352*D1352</f>
        <v>0.25</v>
      </c>
      <c r="O1352" s="0" t="n">
        <f aca="false">E1352*E1352</f>
        <v>0.140625</v>
      </c>
      <c r="P1352" s="0" t="n">
        <f aca="false">F1352*F1352</f>
        <v>0.25</v>
      </c>
      <c r="Q1352" s="0" t="n">
        <f aca="false">SUMPRODUCT(G1352:P1352,_XtX!$B$71:$K$71)</f>
        <v>45.606875</v>
      </c>
      <c r="R1352" s="0" t="n">
        <f aca="false">SUMPRODUCT(MMULT(G1352:P1352,_XtX!$B$58:$K$67),G1352:P1352)</f>
        <v>0.15703125</v>
      </c>
      <c r="S1352" s="0" t="n">
        <f aca="false">04_回帰ANOVA!$K$19*04_回帰ANOVA!$K$14*SQRT(1+R1352)</f>
        <v>1.00009022049162</v>
      </c>
      <c r="T1352" s="0" t="n">
        <f aca="false">Q1352-S1352</f>
        <v>44.6067847795084</v>
      </c>
      <c r="U1352" s="0" t="n">
        <f aca="false">Q1352+S1352</f>
        <v>46.6069652204916</v>
      </c>
      <c r="V1352" s="54" t="b">
        <f aca="false">AND(D1352&gt;=01_因子設定!$L$5-0.000000001,D1352&lt;=01_因子設定!$M$5+0.000000001,E1352&gt;=01_因子設定!$L$6-0.000000001,E1352&lt;=01_因子設定!$M$6+0.000000001,F1352&gt;=01_因子設定!$L$7-0.000000001,F1352&lt;=01_因子設定!$M$7+0.000000001,IF(01_因子設定!$B$20="Box-Behnken",D1352^2+E1352^2+F1352^2&lt;=2+0.000000001,TRUE()))</f>
        <v>1</v>
      </c>
      <c r="W1352" s="55" t="n">
        <f aca="false">IF(V1352,IF(01_因子設定!$B$13="最大化",T1352-01_因子設定!$B$14,IF(01_因子設定!$B$13="最小化",01_因子設定!$B$15-U1352,MIN(T1352-01_因子設定!$B$14,01_因子設定!$B$15-U1352))),-1E+030)</f>
        <v>-3.89321522049161</v>
      </c>
      <c r="X1352" s="55" t="n">
        <f aca="false">IF(V1352,IF(01_因子設定!$B$13="最大化",Q1352,IF(01_因子設定!$B$13="最小化",-Q1352,-ABS(Q1352-01_因子設定!$B$16))),-1E+030)</f>
        <v>45.606875</v>
      </c>
      <c r="Y1352" s="55" t="n">
        <f aca="false">W1352+ROW()*0.000000001</f>
        <v>-3.89321386849161</v>
      </c>
      <c r="Z1352" s="55" t="n">
        <f aca="false">X1352+ROW()*0.000000001</f>
        <v>45.606876352</v>
      </c>
    </row>
    <row r="1353" customFormat="false" ht="15" hidden="false" customHeight="false" outlineLevel="0" collapsed="false">
      <c r="A1353" s="0" t="n">
        <v>4</v>
      </c>
      <c r="B1353" s="0" t="n">
        <v>11</v>
      </c>
      <c r="C1353" s="0" t="n">
        <v>5</v>
      </c>
      <c r="D1353" s="0" t="n">
        <f aca="false">-1+A1353*0.125</f>
        <v>-0.5</v>
      </c>
      <c r="E1353" s="0" t="n">
        <f aca="false">-1+B1353*0.125</f>
        <v>0.375</v>
      </c>
      <c r="F1353" s="0" t="n">
        <f aca="false">-1+C1353*0.125</f>
        <v>-0.375</v>
      </c>
      <c r="G1353" s="0" t="n">
        <f aca="false">1</f>
        <v>1</v>
      </c>
      <c r="H1353" s="0" t="n">
        <f aca="false">D1353</f>
        <v>-0.5</v>
      </c>
      <c r="I1353" s="0" t="n">
        <f aca="false">E1353</f>
        <v>0.375</v>
      </c>
      <c r="J1353" s="0" t="n">
        <f aca="false">F1353</f>
        <v>-0.375</v>
      </c>
      <c r="K1353" s="0" t="n">
        <f aca="false">D1353*E1353</f>
        <v>-0.1875</v>
      </c>
      <c r="L1353" s="0" t="n">
        <f aca="false">D1353*F1353</f>
        <v>0.1875</v>
      </c>
      <c r="M1353" s="0" t="n">
        <f aca="false">E1353*F1353</f>
        <v>-0.140625</v>
      </c>
      <c r="N1353" s="0" t="n">
        <f aca="false">D1353*D1353</f>
        <v>0.25</v>
      </c>
      <c r="O1353" s="0" t="n">
        <f aca="false">E1353*E1353</f>
        <v>0.140625</v>
      </c>
      <c r="P1353" s="0" t="n">
        <f aca="false">F1353*F1353</f>
        <v>0.140625</v>
      </c>
      <c r="Q1353" s="0" t="n">
        <f aca="false">SUMPRODUCT(G1353:P1353,_XtX!$B$71:$K$71)</f>
        <v>45.9386079545455</v>
      </c>
      <c r="R1353" s="0" t="n">
        <f aca="false">SUMPRODUCT(MMULT(G1353:P1353,_XtX!$B$58:$K$67),G1353:P1353)</f>
        <v>0.14681230024858</v>
      </c>
      <c r="S1353" s="0" t="n">
        <f aca="false">04_回帰ANOVA!$K$19*04_回帰ANOVA!$K$14*SQRT(1+R1353)</f>
        <v>0.995664005771711</v>
      </c>
      <c r="T1353" s="0" t="n">
        <f aca="false">Q1353-S1353</f>
        <v>44.9429439487738</v>
      </c>
      <c r="U1353" s="0" t="n">
        <f aca="false">Q1353+S1353</f>
        <v>46.9342719603172</v>
      </c>
      <c r="V1353" s="54" t="b">
        <f aca="false">AND(D1353&gt;=01_因子設定!$L$5-0.000000001,D1353&lt;=01_因子設定!$M$5+0.000000001,E1353&gt;=01_因子設定!$L$6-0.000000001,E1353&lt;=01_因子設定!$M$6+0.000000001,F1353&gt;=01_因子設定!$L$7-0.000000001,F1353&lt;=01_因子設定!$M$7+0.000000001,IF(01_因子設定!$B$20="Box-Behnken",D1353^2+E1353^2+F1353^2&lt;=2+0.000000001,TRUE()))</f>
        <v>1</v>
      </c>
      <c r="W1353" s="55" t="n">
        <f aca="false">IF(V1353,IF(01_因子設定!$B$13="最大化",T1353-01_因子設定!$B$14,IF(01_因子設定!$B$13="最小化",01_因子設定!$B$15-U1353,MIN(T1353-01_因子設定!$B$14,01_因子設定!$B$15-U1353))),-1E+030)</f>
        <v>-3.55705605122625</v>
      </c>
      <c r="X1353" s="55" t="n">
        <f aca="false">IF(V1353,IF(01_因子設定!$B$13="最大化",Q1353,IF(01_因子設定!$B$13="最小化",-Q1353,-ABS(Q1353-01_因子設定!$B$16))),-1E+030)</f>
        <v>45.9386079545455</v>
      </c>
      <c r="Y1353" s="55" t="n">
        <f aca="false">W1353+ROW()*0.000000001</f>
        <v>-3.55705469822625</v>
      </c>
      <c r="Z1353" s="55" t="n">
        <f aca="false">X1353+ROW()*0.000000001</f>
        <v>45.9386093075455</v>
      </c>
    </row>
    <row r="1354" customFormat="false" ht="15" hidden="false" customHeight="false" outlineLevel="0" collapsed="false">
      <c r="A1354" s="0" t="n">
        <v>4</v>
      </c>
      <c r="B1354" s="0" t="n">
        <v>11</v>
      </c>
      <c r="C1354" s="0" t="n">
        <v>6</v>
      </c>
      <c r="D1354" s="0" t="n">
        <f aca="false">-1+A1354*0.125</f>
        <v>-0.5</v>
      </c>
      <c r="E1354" s="0" t="n">
        <f aca="false">-1+B1354*0.125</f>
        <v>0.375</v>
      </c>
      <c r="F1354" s="0" t="n">
        <f aca="false">-1+C1354*0.125</f>
        <v>-0.25</v>
      </c>
      <c r="G1354" s="0" t="n">
        <f aca="false">1</f>
        <v>1</v>
      </c>
      <c r="H1354" s="0" t="n">
        <f aca="false">D1354</f>
        <v>-0.5</v>
      </c>
      <c r="I1354" s="0" t="n">
        <f aca="false">E1354</f>
        <v>0.375</v>
      </c>
      <c r="J1354" s="0" t="n">
        <f aca="false">F1354</f>
        <v>-0.25</v>
      </c>
      <c r="K1354" s="0" t="n">
        <f aca="false">D1354*E1354</f>
        <v>-0.1875</v>
      </c>
      <c r="L1354" s="0" t="n">
        <f aca="false">D1354*F1354</f>
        <v>0.125</v>
      </c>
      <c r="M1354" s="0" t="n">
        <f aca="false">E1354*F1354</f>
        <v>-0.09375</v>
      </c>
      <c r="N1354" s="0" t="n">
        <f aca="false">D1354*D1354</f>
        <v>0.25</v>
      </c>
      <c r="O1354" s="0" t="n">
        <f aca="false">E1354*E1354</f>
        <v>0.140625</v>
      </c>
      <c r="P1354" s="0" t="n">
        <f aca="false">F1354*F1354</f>
        <v>0.0625</v>
      </c>
      <c r="Q1354" s="0" t="n">
        <f aca="false">SUMPRODUCT(G1354:P1354,_XtX!$B$71:$K$71)</f>
        <v>46.2335511363636</v>
      </c>
      <c r="R1354" s="0" t="n">
        <f aca="false">SUMPRODUCT(MMULT(G1354:P1354,_XtX!$B$58:$K$67),G1354:P1354)</f>
        <v>0.144839754971591</v>
      </c>
      <c r="S1354" s="0" t="n">
        <f aca="false">04_回帰ANOVA!$K$19*04_回帰ANOVA!$K$14*SQRT(1+R1354)</f>
        <v>0.994807353995542</v>
      </c>
      <c r="T1354" s="0" t="n">
        <f aca="false">Q1354-S1354</f>
        <v>45.2387437823681</v>
      </c>
      <c r="U1354" s="0" t="n">
        <f aca="false">Q1354+S1354</f>
        <v>47.2283584903592</v>
      </c>
      <c r="V1354" s="54" t="b">
        <f aca="false">AND(D1354&gt;=01_因子設定!$L$5-0.000000001,D1354&lt;=01_因子設定!$M$5+0.000000001,E1354&gt;=01_因子設定!$L$6-0.000000001,E1354&lt;=01_因子設定!$M$6+0.000000001,F1354&gt;=01_因子設定!$L$7-0.000000001,F1354&lt;=01_因子設定!$M$7+0.000000001,IF(01_因子設定!$B$20="Box-Behnken",D1354^2+E1354^2+F1354^2&lt;=2+0.000000001,TRUE()))</f>
        <v>1</v>
      </c>
      <c r="W1354" s="55" t="n">
        <f aca="false">IF(V1354,IF(01_因子設定!$B$13="最大化",T1354-01_因子設定!$B$14,IF(01_因子設定!$B$13="最小化",01_因子設定!$B$15-U1354,MIN(T1354-01_因子設定!$B$14,01_因子設定!$B$15-U1354))),-1E+030)</f>
        <v>-3.2612562176319</v>
      </c>
      <c r="X1354" s="55" t="n">
        <f aca="false">IF(V1354,IF(01_因子設定!$B$13="最大化",Q1354,IF(01_因子設定!$B$13="最小化",-Q1354,-ABS(Q1354-01_因子設定!$B$16))),-1E+030)</f>
        <v>46.2335511363636</v>
      </c>
      <c r="Y1354" s="55" t="n">
        <f aca="false">W1354+ROW()*0.000000001</f>
        <v>-3.2612548636319</v>
      </c>
      <c r="Z1354" s="55" t="n">
        <f aca="false">X1354+ROW()*0.000000001</f>
        <v>46.2335524903636</v>
      </c>
    </row>
    <row r="1355" customFormat="false" ht="15" hidden="false" customHeight="false" outlineLevel="0" collapsed="false">
      <c r="A1355" s="0" t="n">
        <v>4</v>
      </c>
      <c r="B1355" s="0" t="n">
        <v>11</v>
      </c>
      <c r="C1355" s="0" t="n">
        <v>7</v>
      </c>
      <c r="D1355" s="0" t="n">
        <f aca="false">-1+A1355*0.125</f>
        <v>-0.5</v>
      </c>
      <c r="E1355" s="0" t="n">
        <f aca="false">-1+B1355*0.125</f>
        <v>0.375</v>
      </c>
      <c r="F1355" s="0" t="n">
        <f aca="false">-1+C1355*0.125</f>
        <v>-0.125</v>
      </c>
      <c r="G1355" s="0" t="n">
        <f aca="false">1</f>
        <v>1</v>
      </c>
      <c r="H1355" s="0" t="n">
        <f aca="false">D1355</f>
        <v>-0.5</v>
      </c>
      <c r="I1355" s="0" t="n">
        <f aca="false">E1355</f>
        <v>0.375</v>
      </c>
      <c r="J1355" s="0" t="n">
        <f aca="false">F1355</f>
        <v>-0.125</v>
      </c>
      <c r="K1355" s="0" t="n">
        <f aca="false">D1355*E1355</f>
        <v>-0.1875</v>
      </c>
      <c r="L1355" s="0" t="n">
        <f aca="false">D1355*F1355</f>
        <v>0.0625</v>
      </c>
      <c r="M1355" s="0" t="n">
        <f aca="false">E1355*F1355</f>
        <v>-0.046875</v>
      </c>
      <c r="N1355" s="0" t="n">
        <f aca="false">D1355*D1355</f>
        <v>0.25</v>
      </c>
      <c r="O1355" s="0" t="n">
        <f aca="false">E1355*E1355</f>
        <v>0.140625</v>
      </c>
      <c r="P1355" s="0" t="n">
        <f aca="false">F1355*F1355</f>
        <v>0.015625</v>
      </c>
      <c r="Q1355" s="0" t="n">
        <f aca="false">SUMPRODUCT(G1355:P1355,_XtX!$B$71:$K$71)</f>
        <v>46.4917045454546</v>
      </c>
      <c r="R1355" s="0" t="n">
        <f aca="false">SUMPRODUCT(MMULT(G1355:P1355,_XtX!$B$58:$K$67),G1355:P1355)</f>
        <v>0.14578690962358</v>
      </c>
      <c r="S1355" s="0" t="n">
        <f aca="false">04_回帰ANOVA!$K$19*04_回帰ANOVA!$K$14*SQRT(1+R1355)</f>
        <v>0.995218783457917</v>
      </c>
      <c r="T1355" s="0" t="n">
        <f aca="false">Q1355-S1355</f>
        <v>45.4964857619966</v>
      </c>
      <c r="U1355" s="0" t="n">
        <f aca="false">Q1355+S1355</f>
        <v>47.4869233289125</v>
      </c>
      <c r="V1355" s="54" t="b">
        <f aca="false">AND(D1355&gt;=01_因子設定!$L$5-0.000000001,D1355&lt;=01_因子設定!$M$5+0.000000001,E1355&gt;=01_因子設定!$L$6-0.000000001,E1355&lt;=01_因子設定!$M$6+0.000000001,F1355&gt;=01_因子設定!$L$7-0.000000001,F1355&lt;=01_因子設定!$M$7+0.000000001,IF(01_因子設定!$B$20="Box-Behnken",D1355^2+E1355^2+F1355^2&lt;=2+0.000000001,TRUE()))</f>
        <v>1</v>
      </c>
      <c r="W1355" s="55" t="n">
        <f aca="false">IF(V1355,IF(01_因子設定!$B$13="最大化",T1355-01_因子設定!$B$14,IF(01_因子設定!$B$13="最小化",01_因子設定!$B$15-U1355,MIN(T1355-01_因子設定!$B$14,01_因子設定!$B$15-U1355))),-1E+030)</f>
        <v>-3.00351423800336</v>
      </c>
      <c r="X1355" s="55" t="n">
        <f aca="false">IF(V1355,IF(01_因子設定!$B$13="最大化",Q1355,IF(01_因子設定!$B$13="最小化",-Q1355,-ABS(Q1355-01_因子設定!$B$16))),-1E+030)</f>
        <v>46.4917045454546</v>
      </c>
      <c r="Y1355" s="55" t="n">
        <f aca="false">W1355+ROW()*0.000000001</f>
        <v>-3.00351288300336</v>
      </c>
      <c r="Z1355" s="55" t="n">
        <f aca="false">X1355+ROW()*0.000000001</f>
        <v>46.4917059004546</v>
      </c>
    </row>
    <row r="1356" customFormat="false" ht="15" hidden="false" customHeight="false" outlineLevel="0" collapsed="false">
      <c r="A1356" s="0" t="n">
        <v>4</v>
      </c>
      <c r="B1356" s="0" t="n">
        <v>11</v>
      </c>
      <c r="C1356" s="0" t="n">
        <v>8</v>
      </c>
      <c r="D1356" s="0" t="n">
        <f aca="false">-1+A1356*0.125</f>
        <v>-0.5</v>
      </c>
      <c r="E1356" s="0" t="n">
        <f aca="false">-1+B1356*0.125</f>
        <v>0.375</v>
      </c>
      <c r="F1356" s="0" t="n">
        <f aca="false">-1+C1356*0.125</f>
        <v>0</v>
      </c>
      <c r="G1356" s="0" t="n">
        <f aca="false">1</f>
        <v>1</v>
      </c>
      <c r="H1356" s="0" t="n">
        <f aca="false">D1356</f>
        <v>-0.5</v>
      </c>
      <c r="I1356" s="0" t="n">
        <f aca="false">E1356</f>
        <v>0.375</v>
      </c>
      <c r="J1356" s="0" t="n">
        <f aca="false">F1356</f>
        <v>0</v>
      </c>
      <c r="K1356" s="0" t="n">
        <f aca="false">D1356*E1356</f>
        <v>-0.1875</v>
      </c>
      <c r="L1356" s="0" t="n">
        <f aca="false">D1356*F1356</f>
        <v>-0</v>
      </c>
      <c r="M1356" s="0" t="n">
        <f aca="false">E1356*F1356</f>
        <v>0</v>
      </c>
      <c r="N1356" s="0" t="n">
        <f aca="false">D1356*D1356</f>
        <v>0.25</v>
      </c>
      <c r="O1356" s="0" t="n">
        <f aca="false">E1356*E1356</f>
        <v>0.140625</v>
      </c>
      <c r="P1356" s="0" t="n">
        <f aca="false">F1356*F1356</f>
        <v>0</v>
      </c>
      <c r="Q1356" s="0" t="n">
        <f aca="false">SUMPRODUCT(G1356:P1356,_XtX!$B$71:$K$71)</f>
        <v>46.7130681818182</v>
      </c>
      <c r="R1356" s="0" t="n">
        <f aca="false">SUMPRODUCT(MMULT(G1356:P1356,_XtX!$B$58:$K$67),G1356:P1356)</f>
        <v>0.146457741477273</v>
      </c>
      <c r="S1356" s="0" t="n">
        <f aca="false">04_回帰ANOVA!$K$19*04_回帰ANOVA!$K$14*SQRT(1+R1356)</f>
        <v>0.995510079668687</v>
      </c>
      <c r="T1356" s="0" t="n">
        <f aca="false">Q1356-S1356</f>
        <v>45.7175581021495</v>
      </c>
      <c r="U1356" s="0" t="n">
        <f aca="false">Q1356+S1356</f>
        <v>47.7085782614869</v>
      </c>
      <c r="V1356" s="54" t="b">
        <f aca="false">AND(D1356&gt;=01_因子設定!$L$5-0.000000001,D1356&lt;=01_因子設定!$M$5+0.000000001,E1356&gt;=01_因子設定!$L$6-0.000000001,E1356&lt;=01_因子設定!$M$6+0.000000001,F1356&gt;=01_因子設定!$L$7-0.000000001,F1356&lt;=01_因子設定!$M$7+0.000000001,IF(01_因子設定!$B$20="Box-Behnken",D1356^2+E1356^2+F1356^2&lt;=2+0.000000001,TRUE()))</f>
        <v>1</v>
      </c>
      <c r="W1356" s="55" t="n">
        <f aca="false">IF(V1356,IF(01_因子設定!$B$13="最大化",T1356-01_因子設定!$B$14,IF(01_因子設定!$B$13="最小化",01_因子設定!$B$15-U1356,MIN(T1356-01_因子設定!$B$14,01_因子設定!$B$15-U1356))),-1E+030)</f>
        <v>-2.7824418978505</v>
      </c>
      <c r="X1356" s="55" t="n">
        <f aca="false">IF(V1356,IF(01_因子設定!$B$13="最大化",Q1356,IF(01_因子設定!$B$13="最小化",-Q1356,-ABS(Q1356-01_因子設定!$B$16))),-1E+030)</f>
        <v>46.7130681818182</v>
      </c>
      <c r="Y1356" s="55" t="n">
        <f aca="false">W1356+ROW()*0.000000001</f>
        <v>-2.7824405418505</v>
      </c>
      <c r="Z1356" s="55" t="n">
        <f aca="false">X1356+ROW()*0.000000001</f>
        <v>46.7130695378182</v>
      </c>
    </row>
    <row r="1357" customFormat="false" ht="15" hidden="false" customHeight="false" outlineLevel="0" collapsed="false">
      <c r="A1357" s="0" t="n">
        <v>4</v>
      </c>
      <c r="B1357" s="0" t="n">
        <v>11</v>
      </c>
      <c r="C1357" s="0" t="n">
        <v>9</v>
      </c>
      <c r="D1357" s="0" t="n">
        <f aca="false">-1+A1357*0.125</f>
        <v>-0.5</v>
      </c>
      <c r="E1357" s="0" t="n">
        <f aca="false">-1+B1357*0.125</f>
        <v>0.375</v>
      </c>
      <c r="F1357" s="0" t="n">
        <f aca="false">-1+C1357*0.125</f>
        <v>0.125</v>
      </c>
      <c r="G1357" s="0" t="n">
        <f aca="false">1</f>
        <v>1</v>
      </c>
      <c r="H1357" s="0" t="n">
        <f aca="false">D1357</f>
        <v>-0.5</v>
      </c>
      <c r="I1357" s="0" t="n">
        <f aca="false">E1357</f>
        <v>0.375</v>
      </c>
      <c r="J1357" s="0" t="n">
        <f aca="false">F1357</f>
        <v>0.125</v>
      </c>
      <c r="K1357" s="0" t="n">
        <f aca="false">D1357*E1357</f>
        <v>-0.1875</v>
      </c>
      <c r="L1357" s="0" t="n">
        <f aca="false">D1357*F1357</f>
        <v>-0.0625</v>
      </c>
      <c r="M1357" s="0" t="n">
        <f aca="false">E1357*F1357</f>
        <v>0.046875</v>
      </c>
      <c r="N1357" s="0" t="n">
        <f aca="false">D1357*D1357</f>
        <v>0.25</v>
      </c>
      <c r="O1357" s="0" t="n">
        <f aca="false">E1357*E1357</f>
        <v>0.140625</v>
      </c>
      <c r="P1357" s="0" t="n">
        <f aca="false">F1357*F1357</f>
        <v>0.015625</v>
      </c>
      <c r="Q1357" s="0" t="n">
        <f aca="false">SUMPRODUCT(G1357:P1357,_XtX!$B$71:$K$71)</f>
        <v>46.8976420454545</v>
      </c>
      <c r="R1357" s="0" t="n">
        <f aca="false">SUMPRODUCT(MMULT(G1357:P1357,_XtX!$B$58:$K$67),G1357:P1357)</f>
        <v>0.14578690962358</v>
      </c>
      <c r="S1357" s="0" t="n">
        <f aca="false">04_回帰ANOVA!$K$19*04_回帰ANOVA!$K$14*SQRT(1+R1357)</f>
        <v>0.995218783457917</v>
      </c>
      <c r="T1357" s="0" t="n">
        <f aca="false">Q1357-S1357</f>
        <v>45.9024232619966</v>
      </c>
      <c r="U1357" s="0" t="n">
        <f aca="false">Q1357+S1357</f>
        <v>47.8928608289125</v>
      </c>
      <c r="V1357" s="54" t="b">
        <f aca="false">AND(D1357&gt;=01_因子設定!$L$5-0.000000001,D1357&lt;=01_因子設定!$M$5+0.000000001,E1357&gt;=01_因子設定!$L$6-0.000000001,E1357&lt;=01_因子設定!$M$6+0.000000001,F1357&gt;=01_因子設定!$L$7-0.000000001,F1357&lt;=01_因子設定!$M$7+0.000000001,IF(01_因子設定!$B$20="Box-Behnken",D1357^2+E1357^2+F1357^2&lt;=2+0.000000001,TRUE()))</f>
        <v>1</v>
      </c>
      <c r="W1357" s="55" t="n">
        <f aca="false">IF(V1357,IF(01_因子設定!$B$13="最大化",T1357-01_因子設定!$B$14,IF(01_因子設定!$B$13="最小化",01_因子設定!$B$15-U1357,MIN(T1357-01_因子設定!$B$14,01_因子設定!$B$15-U1357))),-1E+030)</f>
        <v>-2.59757673800337</v>
      </c>
      <c r="X1357" s="55" t="n">
        <f aca="false">IF(V1357,IF(01_因子設定!$B$13="最大化",Q1357,IF(01_因子設定!$B$13="最小化",-Q1357,-ABS(Q1357-01_因子設定!$B$16))),-1E+030)</f>
        <v>46.8976420454545</v>
      </c>
      <c r="Y1357" s="55" t="n">
        <f aca="false">W1357+ROW()*0.000000001</f>
        <v>-2.59757538100337</v>
      </c>
      <c r="Z1357" s="55" t="n">
        <f aca="false">X1357+ROW()*0.000000001</f>
        <v>46.8976434024546</v>
      </c>
    </row>
    <row r="1358" customFormat="false" ht="15" hidden="false" customHeight="false" outlineLevel="0" collapsed="false">
      <c r="A1358" s="0" t="n">
        <v>4</v>
      </c>
      <c r="B1358" s="0" t="n">
        <v>11</v>
      </c>
      <c r="C1358" s="0" t="n">
        <v>10</v>
      </c>
      <c r="D1358" s="0" t="n">
        <f aca="false">-1+A1358*0.125</f>
        <v>-0.5</v>
      </c>
      <c r="E1358" s="0" t="n">
        <f aca="false">-1+B1358*0.125</f>
        <v>0.375</v>
      </c>
      <c r="F1358" s="0" t="n">
        <f aca="false">-1+C1358*0.125</f>
        <v>0.25</v>
      </c>
      <c r="G1358" s="0" t="n">
        <f aca="false">1</f>
        <v>1</v>
      </c>
      <c r="H1358" s="0" t="n">
        <f aca="false">D1358</f>
        <v>-0.5</v>
      </c>
      <c r="I1358" s="0" t="n">
        <f aca="false">E1358</f>
        <v>0.375</v>
      </c>
      <c r="J1358" s="0" t="n">
        <f aca="false">F1358</f>
        <v>0.25</v>
      </c>
      <c r="K1358" s="0" t="n">
        <f aca="false">D1358*E1358</f>
        <v>-0.1875</v>
      </c>
      <c r="L1358" s="0" t="n">
        <f aca="false">D1358*F1358</f>
        <v>-0.125</v>
      </c>
      <c r="M1358" s="0" t="n">
        <f aca="false">E1358*F1358</f>
        <v>0.09375</v>
      </c>
      <c r="N1358" s="0" t="n">
        <f aca="false">D1358*D1358</f>
        <v>0.25</v>
      </c>
      <c r="O1358" s="0" t="n">
        <f aca="false">E1358*E1358</f>
        <v>0.140625</v>
      </c>
      <c r="P1358" s="0" t="n">
        <f aca="false">F1358*F1358</f>
        <v>0.0625</v>
      </c>
      <c r="Q1358" s="0" t="n">
        <f aca="false">SUMPRODUCT(G1358:P1358,_XtX!$B$71:$K$71)</f>
        <v>47.0454261363636</v>
      </c>
      <c r="R1358" s="0" t="n">
        <f aca="false">SUMPRODUCT(MMULT(G1358:P1358,_XtX!$B$58:$K$67),G1358:P1358)</f>
        <v>0.144839754971591</v>
      </c>
      <c r="S1358" s="0" t="n">
        <f aca="false">04_回帰ANOVA!$K$19*04_回帰ANOVA!$K$14*SQRT(1+R1358)</f>
        <v>0.994807353995542</v>
      </c>
      <c r="T1358" s="0" t="n">
        <f aca="false">Q1358-S1358</f>
        <v>46.0506187823681</v>
      </c>
      <c r="U1358" s="0" t="n">
        <f aca="false">Q1358+S1358</f>
        <v>48.0402334903592</v>
      </c>
      <c r="V1358" s="54" t="b">
        <f aca="false">AND(D1358&gt;=01_因子設定!$L$5-0.000000001,D1358&lt;=01_因子設定!$M$5+0.000000001,E1358&gt;=01_因子設定!$L$6-0.000000001,E1358&lt;=01_因子設定!$M$6+0.000000001,F1358&gt;=01_因子設定!$L$7-0.000000001,F1358&lt;=01_因子設定!$M$7+0.000000001,IF(01_因子設定!$B$20="Box-Behnken",D1358^2+E1358^2+F1358^2&lt;=2+0.000000001,TRUE()))</f>
        <v>1</v>
      </c>
      <c r="W1358" s="55" t="n">
        <f aca="false">IF(V1358,IF(01_因子設定!$B$13="最大化",T1358-01_因子設定!$B$14,IF(01_因子設定!$B$13="最小化",01_因子設定!$B$15-U1358,MIN(T1358-01_因子設定!$B$14,01_因子設定!$B$15-U1358))),-1E+030)</f>
        <v>-2.4493812176319</v>
      </c>
      <c r="X1358" s="55" t="n">
        <f aca="false">IF(V1358,IF(01_因子設定!$B$13="最大化",Q1358,IF(01_因子設定!$B$13="最小化",-Q1358,-ABS(Q1358-01_因子設定!$B$16))),-1E+030)</f>
        <v>47.0454261363636</v>
      </c>
      <c r="Y1358" s="55" t="n">
        <f aca="false">W1358+ROW()*0.000000001</f>
        <v>-2.4493798596319</v>
      </c>
      <c r="Z1358" s="55" t="n">
        <f aca="false">X1358+ROW()*0.000000001</f>
        <v>47.0454274943636</v>
      </c>
    </row>
    <row r="1359" customFormat="false" ht="15" hidden="false" customHeight="false" outlineLevel="0" collapsed="false">
      <c r="A1359" s="0" t="n">
        <v>4</v>
      </c>
      <c r="B1359" s="0" t="n">
        <v>11</v>
      </c>
      <c r="C1359" s="0" t="n">
        <v>11</v>
      </c>
      <c r="D1359" s="0" t="n">
        <f aca="false">-1+A1359*0.125</f>
        <v>-0.5</v>
      </c>
      <c r="E1359" s="0" t="n">
        <f aca="false">-1+B1359*0.125</f>
        <v>0.375</v>
      </c>
      <c r="F1359" s="0" t="n">
        <f aca="false">-1+C1359*0.125</f>
        <v>0.375</v>
      </c>
      <c r="G1359" s="0" t="n">
        <f aca="false">1</f>
        <v>1</v>
      </c>
      <c r="H1359" s="0" t="n">
        <f aca="false">D1359</f>
        <v>-0.5</v>
      </c>
      <c r="I1359" s="0" t="n">
        <f aca="false">E1359</f>
        <v>0.375</v>
      </c>
      <c r="J1359" s="0" t="n">
        <f aca="false">F1359</f>
        <v>0.375</v>
      </c>
      <c r="K1359" s="0" t="n">
        <f aca="false">D1359*E1359</f>
        <v>-0.1875</v>
      </c>
      <c r="L1359" s="0" t="n">
        <f aca="false">D1359*F1359</f>
        <v>-0.1875</v>
      </c>
      <c r="M1359" s="0" t="n">
        <f aca="false">E1359*F1359</f>
        <v>0.140625</v>
      </c>
      <c r="N1359" s="0" t="n">
        <f aca="false">D1359*D1359</f>
        <v>0.25</v>
      </c>
      <c r="O1359" s="0" t="n">
        <f aca="false">E1359*E1359</f>
        <v>0.140625</v>
      </c>
      <c r="P1359" s="0" t="n">
        <f aca="false">F1359*F1359</f>
        <v>0.140625</v>
      </c>
      <c r="Q1359" s="0" t="n">
        <f aca="false">SUMPRODUCT(G1359:P1359,_XtX!$B$71:$K$71)</f>
        <v>47.1564204545455</v>
      </c>
      <c r="R1359" s="0" t="n">
        <f aca="false">SUMPRODUCT(MMULT(G1359:P1359,_XtX!$B$58:$K$67),G1359:P1359)</f>
        <v>0.14681230024858</v>
      </c>
      <c r="S1359" s="0" t="n">
        <f aca="false">04_回帰ANOVA!$K$19*04_回帰ANOVA!$K$14*SQRT(1+R1359)</f>
        <v>0.995664005771711</v>
      </c>
      <c r="T1359" s="0" t="n">
        <f aca="false">Q1359-S1359</f>
        <v>46.1607564487738</v>
      </c>
      <c r="U1359" s="0" t="n">
        <f aca="false">Q1359+S1359</f>
        <v>48.1520844603172</v>
      </c>
      <c r="V1359" s="54" t="b">
        <f aca="false">AND(D1359&gt;=01_因子設定!$L$5-0.000000001,D1359&lt;=01_因子設定!$M$5+0.000000001,E1359&gt;=01_因子設定!$L$6-0.000000001,E1359&lt;=01_因子設定!$M$6+0.000000001,F1359&gt;=01_因子設定!$L$7-0.000000001,F1359&lt;=01_因子設定!$M$7+0.000000001,IF(01_因子設定!$B$20="Box-Behnken",D1359^2+E1359^2+F1359^2&lt;=2+0.000000001,TRUE()))</f>
        <v>1</v>
      </c>
      <c r="W1359" s="55" t="n">
        <f aca="false">IF(V1359,IF(01_因子設定!$B$13="最大化",T1359-01_因子設定!$B$14,IF(01_因子設定!$B$13="最小化",01_因子設定!$B$15-U1359,MIN(T1359-01_因子設定!$B$14,01_因子設定!$B$15-U1359))),-1E+030)</f>
        <v>-2.33924355122625</v>
      </c>
      <c r="X1359" s="55" t="n">
        <f aca="false">IF(V1359,IF(01_因子設定!$B$13="最大化",Q1359,IF(01_因子設定!$B$13="最小化",-Q1359,-ABS(Q1359-01_因子設定!$B$16))),-1E+030)</f>
        <v>47.1564204545455</v>
      </c>
      <c r="Y1359" s="55" t="n">
        <f aca="false">W1359+ROW()*0.000000001</f>
        <v>-2.33924219222625</v>
      </c>
      <c r="Z1359" s="55" t="n">
        <f aca="false">X1359+ROW()*0.000000001</f>
        <v>47.1564218135455</v>
      </c>
    </row>
    <row r="1360" customFormat="false" ht="15" hidden="false" customHeight="false" outlineLevel="0" collapsed="false">
      <c r="A1360" s="0" t="n">
        <v>4</v>
      </c>
      <c r="B1360" s="0" t="n">
        <v>11</v>
      </c>
      <c r="C1360" s="0" t="n">
        <v>12</v>
      </c>
      <c r="D1360" s="0" t="n">
        <f aca="false">-1+A1360*0.125</f>
        <v>-0.5</v>
      </c>
      <c r="E1360" s="0" t="n">
        <f aca="false">-1+B1360*0.125</f>
        <v>0.375</v>
      </c>
      <c r="F1360" s="0" t="n">
        <f aca="false">-1+C1360*0.125</f>
        <v>0.5</v>
      </c>
      <c r="G1360" s="0" t="n">
        <f aca="false">1</f>
        <v>1</v>
      </c>
      <c r="H1360" s="0" t="n">
        <f aca="false">D1360</f>
        <v>-0.5</v>
      </c>
      <c r="I1360" s="0" t="n">
        <f aca="false">E1360</f>
        <v>0.375</v>
      </c>
      <c r="J1360" s="0" t="n">
        <f aca="false">F1360</f>
        <v>0.5</v>
      </c>
      <c r="K1360" s="0" t="n">
        <f aca="false">D1360*E1360</f>
        <v>-0.1875</v>
      </c>
      <c r="L1360" s="0" t="n">
        <f aca="false">D1360*F1360</f>
        <v>-0.25</v>
      </c>
      <c r="M1360" s="0" t="n">
        <f aca="false">E1360*F1360</f>
        <v>0.1875</v>
      </c>
      <c r="N1360" s="0" t="n">
        <f aca="false">D1360*D1360</f>
        <v>0.25</v>
      </c>
      <c r="O1360" s="0" t="n">
        <f aca="false">E1360*E1360</f>
        <v>0.140625</v>
      </c>
      <c r="P1360" s="0" t="n">
        <f aca="false">F1360*F1360</f>
        <v>0.25</v>
      </c>
      <c r="Q1360" s="0" t="n">
        <f aca="false">SUMPRODUCT(G1360:P1360,_XtX!$B$71:$K$71)</f>
        <v>47.230625</v>
      </c>
      <c r="R1360" s="0" t="n">
        <f aca="false">SUMPRODUCT(MMULT(G1360:P1360,_XtX!$B$58:$K$67),G1360:P1360)</f>
        <v>0.15703125</v>
      </c>
      <c r="S1360" s="0" t="n">
        <f aca="false">04_回帰ANOVA!$K$19*04_回帰ANOVA!$K$14*SQRT(1+R1360)</f>
        <v>1.00009022049162</v>
      </c>
      <c r="T1360" s="0" t="n">
        <f aca="false">Q1360-S1360</f>
        <v>46.2305347795084</v>
      </c>
      <c r="U1360" s="0" t="n">
        <f aca="false">Q1360+S1360</f>
        <v>48.2307152204916</v>
      </c>
      <c r="V1360" s="54" t="b">
        <f aca="false">AND(D1360&gt;=01_因子設定!$L$5-0.000000001,D1360&lt;=01_因子設定!$M$5+0.000000001,E1360&gt;=01_因子設定!$L$6-0.000000001,E1360&lt;=01_因子設定!$M$6+0.000000001,F1360&gt;=01_因子設定!$L$7-0.000000001,F1360&lt;=01_因子設定!$M$7+0.000000001,IF(01_因子設定!$B$20="Box-Behnken",D1360^2+E1360^2+F1360^2&lt;=2+0.000000001,TRUE()))</f>
        <v>1</v>
      </c>
      <c r="W1360" s="55" t="n">
        <f aca="false">IF(V1360,IF(01_因子設定!$B$13="最大化",T1360-01_因子設定!$B$14,IF(01_因子設定!$B$13="最小化",01_因子設定!$B$15-U1360,MIN(T1360-01_因子設定!$B$14,01_因子設定!$B$15-U1360))),-1E+030)</f>
        <v>-2.26946522049161</v>
      </c>
      <c r="X1360" s="55" t="n">
        <f aca="false">IF(V1360,IF(01_因子設定!$B$13="最大化",Q1360,IF(01_因子設定!$B$13="最小化",-Q1360,-ABS(Q1360-01_因子設定!$B$16))),-1E+030)</f>
        <v>47.230625</v>
      </c>
      <c r="Y1360" s="55" t="n">
        <f aca="false">W1360+ROW()*0.000000001</f>
        <v>-2.26946386049161</v>
      </c>
      <c r="Z1360" s="55" t="n">
        <f aca="false">X1360+ROW()*0.000000001</f>
        <v>47.23062636</v>
      </c>
    </row>
    <row r="1361" customFormat="false" ht="15" hidden="false" customHeight="false" outlineLevel="0" collapsed="false">
      <c r="A1361" s="0" t="n">
        <v>4</v>
      </c>
      <c r="B1361" s="0" t="n">
        <v>11</v>
      </c>
      <c r="C1361" s="0" t="n">
        <v>13</v>
      </c>
      <c r="D1361" s="0" t="n">
        <f aca="false">-1+A1361*0.125</f>
        <v>-0.5</v>
      </c>
      <c r="E1361" s="0" t="n">
        <f aca="false">-1+B1361*0.125</f>
        <v>0.375</v>
      </c>
      <c r="F1361" s="0" t="n">
        <f aca="false">-1+C1361*0.125</f>
        <v>0.625</v>
      </c>
      <c r="G1361" s="0" t="n">
        <f aca="false">1</f>
        <v>1</v>
      </c>
      <c r="H1361" s="0" t="n">
        <f aca="false">D1361</f>
        <v>-0.5</v>
      </c>
      <c r="I1361" s="0" t="n">
        <f aca="false">E1361</f>
        <v>0.375</v>
      </c>
      <c r="J1361" s="0" t="n">
        <f aca="false">F1361</f>
        <v>0.625</v>
      </c>
      <c r="K1361" s="0" t="n">
        <f aca="false">D1361*E1361</f>
        <v>-0.1875</v>
      </c>
      <c r="L1361" s="0" t="n">
        <f aca="false">D1361*F1361</f>
        <v>-0.3125</v>
      </c>
      <c r="M1361" s="0" t="n">
        <f aca="false">E1361*F1361</f>
        <v>0.234375</v>
      </c>
      <c r="N1361" s="0" t="n">
        <f aca="false">D1361*D1361</f>
        <v>0.25</v>
      </c>
      <c r="O1361" s="0" t="n">
        <f aca="false">E1361*E1361</f>
        <v>0.140625</v>
      </c>
      <c r="P1361" s="0" t="n">
        <f aca="false">F1361*F1361</f>
        <v>0.390625</v>
      </c>
      <c r="Q1361" s="0" t="n">
        <f aca="false">SUMPRODUCT(G1361:P1361,_XtX!$B$71:$K$71)</f>
        <v>47.2680397727273</v>
      </c>
      <c r="R1361" s="0" t="n">
        <f aca="false">SUMPRODUCT(MMULT(G1361:P1361,_XtX!$B$58:$K$67),G1361:P1361)</f>
        <v>0.182953990589489</v>
      </c>
      <c r="S1361" s="0" t="n">
        <f aca="false">04_回帰ANOVA!$K$19*04_回帰ANOVA!$K$14*SQRT(1+R1361)</f>
        <v>1.01123143807044</v>
      </c>
      <c r="T1361" s="0" t="n">
        <f aca="false">Q1361-S1361</f>
        <v>46.2568083346568</v>
      </c>
      <c r="U1361" s="0" t="n">
        <f aca="false">Q1361+S1361</f>
        <v>48.2792712107977</v>
      </c>
      <c r="V1361" s="54" t="b">
        <f aca="false">AND(D1361&gt;=01_因子設定!$L$5-0.000000001,D1361&lt;=01_因子設定!$M$5+0.000000001,E1361&gt;=01_因子設定!$L$6-0.000000001,E1361&lt;=01_因子設定!$M$6+0.000000001,F1361&gt;=01_因子設定!$L$7-0.000000001,F1361&lt;=01_因子設定!$M$7+0.000000001,IF(01_因子設定!$B$20="Box-Behnken",D1361^2+E1361^2+F1361^2&lt;=2+0.000000001,TRUE()))</f>
        <v>1</v>
      </c>
      <c r="W1361" s="55" t="n">
        <f aca="false">IF(V1361,IF(01_因子設定!$B$13="最大化",T1361-01_因子設定!$B$14,IF(01_因子設定!$B$13="最小化",01_因子設定!$B$15-U1361,MIN(T1361-01_因子設定!$B$14,01_因子設定!$B$15-U1361))),-1E+030)</f>
        <v>-2.24319166534315</v>
      </c>
      <c r="X1361" s="55" t="n">
        <f aca="false">IF(V1361,IF(01_因子設定!$B$13="最大化",Q1361,IF(01_因子設定!$B$13="最小化",-Q1361,-ABS(Q1361-01_因子設定!$B$16))),-1E+030)</f>
        <v>47.2680397727273</v>
      </c>
      <c r="Y1361" s="55" t="n">
        <f aca="false">W1361+ROW()*0.000000001</f>
        <v>-2.24319030434315</v>
      </c>
      <c r="Z1361" s="55" t="n">
        <f aca="false">X1361+ROW()*0.000000001</f>
        <v>47.2680411337273</v>
      </c>
    </row>
    <row r="1362" customFormat="false" ht="15" hidden="false" customHeight="false" outlineLevel="0" collapsed="false">
      <c r="A1362" s="0" t="n">
        <v>4</v>
      </c>
      <c r="B1362" s="0" t="n">
        <v>11</v>
      </c>
      <c r="C1362" s="0" t="n">
        <v>14</v>
      </c>
      <c r="D1362" s="0" t="n">
        <f aca="false">-1+A1362*0.125</f>
        <v>-0.5</v>
      </c>
      <c r="E1362" s="0" t="n">
        <f aca="false">-1+B1362*0.125</f>
        <v>0.375</v>
      </c>
      <c r="F1362" s="0" t="n">
        <f aca="false">-1+C1362*0.125</f>
        <v>0.75</v>
      </c>
      <c r="G1362" s="0" t="n">
        <f aca="false">1</f>
        <v>1</v>
      </c>
      <c r="H1362" s="0" t="n">
        <f aca="false">D1362</f>
        <v>-0.5</v>
      </c>
      <c r="I1362" s="0" t="n">
        <f aca="false">E1362</f>
        <v>0.375</v>
      </c>
      <c r="J1362" s="0" t="n">
        <f aca="false">F1362</f>
        <v>0.75</v>
      </c>
      <c r="K1362" s="0" t="n">
        <f aca="false">D1362*E1362</f>
        <v>-0.1875</v>
      </c>
      <c r="L1362" s="0" t="n">
        <f aca="false">D1362*F1362</f>
        <v>-0.375</v>
      </c>
      <c r="M1362" s="0" t="n">
        <f aca="false">E1362*F1362</f>
        <v>0.28125</v>
      </c>
      <c r="N1362" s="0" t="n">
        <f aca="false">D1362*D1362</f>
        <v>0.25</v>
      </c>
      <c r="O1362" s="0" t="n">
        <f aca="false">E1362*E1362</f>
        <v>0.140625</v>
      </c>
      <c r="P1362" s="0" t="n">
        <f aca="false">F1362*F1362</f>
        <v>0.5625</v>
      </c>
      <c r="Q1362" s="0" t="n">
        <f aca="false">SUMPRODUCT(G1362:P1362,_XtX!$B$71:$K$71)</f>
        <v>47.2686647727273</v>
      </c>
      <c r="R1362" s="0" t="n">
        <f aca="false">SUMPRODUCT(MMULT(G1362:P1362,_XtX!$B$58:$K$67),G1362:P1362)</f>
        <v>0.234168590198864</v>
      </c>
      <c r="S1362" s="0" t="n">
        <f aca="false">04_回帰ANOVA!$K$19*04_回帰ANOVA!$K$14*SQRT(1+R1362)</f>
        <v>1.03288954322488</v>
      </c>
      <c r="T1362" s="0" t="n">
        <f aca="false">Q1362-S1362</f>
        <v>46.2357752295024</v>
      </c>
      <c r="U1362" s="0" t="n">
        <f aca="false">Q1362+S1362</f>
        <v>48.3015543159522</v>
      </c>
      <c r="V1362" s="54" t="b">
        <f aca="false">AND(D1362&gt;=01_因子設定!$L$5-0.000000001,D1362&lt;=01_因子設定!$M$5+0.000000001,E1362&gt;=01_因子設定!$L$6-0.000000001,E1362&lt;=01_因子設定!$M$6+0.000000001,F1362&gt;=01_因子設定!$L$7-0.000000001,F1362&lt;=01_因子設定!$M$7+0.000000001,IF(01_因子設定!$B$20="Box-Behnken",D1362^2+E1362^2+F1362^2&lt;=2+0.000000001,TRUE()))</f>
        <v>1</v>
      </c>
      <c r="W1362" s="55" t="n">
        <f aca="false">IF(V1362,IF(01_因子設定!$B$13="最大化",T1362-01_因子設定!$B$14,IF(01_因子設定!$B$13="最小化",01_因子設定!$B$15-U1362,MIN(T1362-01_因子設定!$B$14,01_因子設定!$B$15-U1362))),-1E+030)</f>
        <v>-2.26422477049759</v>
      </c>
      <c r="X1362" s="55" t="n">
        <f aca="false">IF(V1362,IF(01_因子設定!$B$13="最大化",Q1362,IF(01_因子設定!$B$13="最小化",-Q1362,-ABS(Q1362-01_因子設定!$B$16))),-1E+030)</f>
        <v>47.2686647727273</v>
      </c>
      <c r="Y1362" s="55" t="n">
        <f aca="false">W1362+ROW()*0.000000001</f>
        <v>-2.26422340849759</v>
      </c>
      <c r="Z1362" s="55" t="n">
        <f aca="false">X1362+ROW()*0.000000001</f>
        <v>47.2686661347273</v>
      </c>
    </row>
    <row r="1363" customFormat="false" ht="15" hidden="false" customHeight="false" outlineLevel="0" collapsed="false">
      <c r="A1363" s="0" t="n">
        <v>4</v>
      </c>
      <c r="B1363" s="0" t="n">
        <v>11</v>
      </c>
      <c r="C1363" s="0" t="n">
        <v>15</v>
      </c>
      <c r="D1363" s="0" t="n">
        <f aca="false">-1+A1363*0.125</f>
        <v>-0.5</v>
      </c>
      <c r="E1363" s="0" t="n">
        <f aca="false">-1+B1363*0.125</f>
        <v>0.375</v>
      </c>
      <c r="F1363" s="0" t="n">
        <f aca="false">-1+C1363*0.125</f>
        <v>0.875</v>
      </c>
      <c r="G1363" s="0" t="n">
        <f aca="false">1</f>
        <v>1</v>
      </c>
      <c r="H1363" s="0" t="n">
        <f aca="false">D1363</f>
        <v>-0.5</v>
      </c>
      <c r="I1363" s="0" t="n">
        <f aca="false">E1363</f>
        <v>0.375</v>
      </c>
      <c r="J1363" s="0" t="n">
        <f aca="false">F1363</f>
        <v>0.875</v>
      </c>
      <c r="K1363" s="0" t="n">
        <f aca="false">D1363*E1363</f>
        <v>-0.1875</v>
      </c>
      <c r="L1363" s="0" t="n">
        <f aca="false">D1363*F1363</f>
        <v>-0.4375</v>
      </c>
      <c r="M1363" s="0" t="n">
        <f aca="false">E1363*F1363</f>
        <v>0.328125</v>
      </c>
      <c r="N1363" s="0" t="n">
        <f aca="false">D1363*D1363</f>
        <v>0.25</v>
      </c>
      <c r="O1363" s="0" t="n">
        <f aca="false">E1363*E1363</f>
        <v>0.140625</v>
      </c>
      <c r="P1363" s="0" t="n">
        <f aca="false">F1363*F1363</f>
        <v>0.765625</v>
      </c>
      <c r="Q1363" s="0" t="n">
        <f aca="false">SUMPRODUCT(G1363:P1363,_XtX!$B$71:$K$71)</f>
        <v>47.2325</v>
      </c>
      <c r="R1363" s="0" t="n">
        <f aca="false">SUMPRODUCT(MMULT(G1363:P1363,_XtX!$B$58:$K$67),G1363:P1363)</f>
        <v>0.322393798828125</v>
      </c>
      <c r="S1363" s="0" t="n">
        <f aca="false">04_回帰ANOVA!$K$19*04_回帰ANOVA!$K$14*SQRT(1+R1363)</f>
        <v>1.06917067390712</v>
      </c>
      <c r="T1363" s="0" t="n">
        <f aca="false">Q1363-S1363</f>
        <v>46.1633293260929</v>
      </c>
      <c r="U1363" s="0" t="n">
        <f aca="false">Q1363+S1363</f>
        <v>48.3016706739071</v>
      </c>
      <c r="V1363" s="54" t="b">
        <f aca="false">AND(D1363&gt;=01_因子設定!$L$5-0.000000001,D1363&lt;=01_因子設定!$M$5+0.000000001,E1363&gt;=01_因子設定!$L$6-0.000000001,E1363&lt;=01_因子設定!$M$6+0.000000001,F1363&gt;=01_因子設定!$L$7-0.000000001,F1363&lt;=01_因子設定!$M$7+0.000000001,IF(01_因子設定!$B$20="Box-Behnken",D1363^2+E1363^2+F1363^2&lt;=2+0.000000001,TRUE()))</f>
        <v>1</v>
      </c>
      <c r="W1363" s="55" t="n">
        <f aca="false">IF(V1363,IF(01_因子設定!$B$13="最大化",T1363-01_因子設定!$B$14,IF(01_因子設定!$B$13="最小化",01_因子設定!$B$15-U1363,MIN(T1363-01_因子設定!$B$14,01_因子設定!$B$15-U1363))),-1E+030)</f>
        <v>-2.3366706739071</v>
      </c>
      <c r="X1363" s="55" t="n">
        <f aca="false">IF(V1363,IF(01_因子設定!$B$13="最大化",Q1363,IF(01_因子設定!$B$13="最小化",-Q1363,-ABS(Q1363-01_因子設定!$B$16))),-1E+030)</f>
        <v>47.2325</v>
      </c>
      <c r="Y1363" s="55" t="n">
        <f aca="false">W1363+ROW()*0.000000001</f>
        <v>-2.3366693109071</v>
      </c>
      <c r="Z1363" s="55" t="n">
        <f aca="false">X1363+ROW()*0.000000001</f>
        <v>47.232501363</v>
      </c>
    </row>
    <row r="1364" customFormat="false" ht="15" hidden="false" customHeight="false" outlineLevel="0" collapsed="false">
      <c r="A1364" s="0" t="n">
        <v>4</v>
      </c>
      <c r="B1364" s="0" t="n">
        <v>11</v>
      </c>
      <c r="C1364" s="0" t="n">
        <v>16</v>
      </c>
      <c r="D1364" s="0" t="n">
        <f aca="false">-1+A1364*0.125</f>
        <v>-0.5</v>
      </c>
      <c r="E1364" s="0" t="n">
        <f aca="false">-1+B1364*0.125</f>
        <v>0.375</v>
      </c>
      <c r="F1364" s="0" t="n">
        <f aca="false">-1+C1364*0.125</f>
        <v>1</v>
      </c>
      <c r="G1364" s="0" t="n">
        <f aca="false">1</f>
        <v>1</v>
      </c>
      <c r="H1364" s="0" t="n">
        <f aca="false">D1364</f>
        <v>-0.5</v>
      </c>
      <c r="I1364" s="0" t="n">
        <f aca="false">E1364</f>
        <v>0.375</v>
      </c>
      <c r="J1364" s="0" t="n">
        <f aca="false">F1364</f>
        <v>1</v>
      </c>
      <c r="K1364" s="0" t="n">
        <f aca="false">D1364*E1364</f>
        <v>-0.1875</v>
      </c>
      <c r="L1364" s="0" t="n">
        <f aca="false">D1364*F1364</f>
        <v>-0.5</v>
      </c>
      <c r="M1364" s="0" t="n">
        <f aca="false">E1364*F1364</f>
        <v>0.375</v>
      </c>
      <c r="N1364" s="0" t="n">
        <f aca="false">D1364*D1364</f>
        <v>0.25</v>
      </c>
      <c r="O1364" s="0" t="n">
        <f aca="false">E1364*E1364</f>
        <v>0.140625</v>
      </c>
      <c r="P1364" s="0" t="n">
        <f aca="false">F1364*F1364</f>
        <v>1</v>
      </c>
      <c r="Q1364" s="0" t="n">
        <f aca="false">SUMPRODUCT(G1364:P1364,_XtX!$B$71:$K$71)</f>
        <v>47.1595454545455</v>
      </c>
      <c r="R1364" s="0" t="n">
        <f aca="false">SUMPRODUCT(MMULT(G1364:P1364,_XtX!$B$58:$K$67),G1364:P1364)</f>
        <v>0.461479048295455</v>
      </c>
      <c r="S1364" s="0" t="n">
        <f aca="false">04_回帰ANOVA!$K$19*04_回帰ANOVA!$K$14*SQRT(1+R1364)</f>
        <v>1.12399125658369</v>
      </c>
      <c r="T1364" s="0" t="n">
        <f aca="false">Q1364-S1364</f>
        <v>46.0355541979618</v>
      </c>
      <c r="U1364" s="0" t="n">
        <f aca="false">Q1364+S1364</f>
        <v>48.2835367111292</v>
      </c>
      <c r="V1364" s="54" t="b">
        <f aca="false">AND(D1364&gt;=01_因子設定!$L$5-0.000000001,D1364&lt;=01_因子設定!$M$5+0.000000001,E1364&gt;=01_因子設定!$L$6-0.000000001,E1364&lt;=01_因子設定!$M$6+0.000000001,F1364&gt;=01_因子設定!$L$7-0.000000001,F1364&lt;=01_因子設定!$M$7+0.000000001,IF(01_因子設定!$B$20="Box-Behnken",D1364^2+E1364^2+F1364^2&lt;=2+0.000000001,TRUE()))</f>
        <v>1</v>
      </c>
      <c r="W1364" s="55" t="n">
        <f aca="false">IF(V1364,IF(01_因子設定!$B$13="最大化",T1364-01_因子設定!$B$14,IF(01_因子設定!$B$13="最小化",01_因子設定!$B$15-U1364,MIN(T1364-01_因子設定!$B$14,01_因子設定!$B$15-U1364))),-1E+030)</f>
        <v>-2.46444580203821</v>
      </c>
      <c r="X1364" s="55" t="n">
        <f aca="false">IF(V1364,IF(01_因子設定!$B$13="最大化",Q1364,IF(01_因子設定!$B$13="最小化",-Q1364,-ABS(Q1364-01_因子設定!$B$16))),-1E+030)</f>
        <v>47.1595454545455</v>
      </c>
      <c r="Y1364" s="55" t="n">
        <f aca="false">W1364+ROW()*0.000000001</f>
        <v>-2.46444443803821</v>
      </c>
      <c r="Z1364" s="55" t="n">
        <f aca="false">X1364+ROW()*0.000000001</f>
        <v>47.1595468185455</v>
      </c>
    </row>
    <row r="1365" customFormat="false" ht="15" hidden="false" customHeight="false" outlineLevel="0" collapsed="false">
      <c r="A1365" s="0" t="n">
        <v>4</v>
      </c>
      <c r="B1365" s="0" t="n">
        <v>12</v>
      </c>
      <c r="C1365" s="0" t="n">
        <v>0</v>
      </c>
      <c r="D1365" s="0" t="n">
        <f aca="false">-1+A1365*0.125</f>
        <v>-0.5</v>
      </c>
      <c r="E1365" s="0" t="n">
        <f aca="false">-1+B1365*0.125</f>
        <v>0.5</v>
      </c>
      <c r="F1365" s="0" t="n">
        <f aca="false">-1+C1365*0.125</f>
        <v>-1</v>
      </c>
      <c r="G1365" s="0" t="n">
        <f aca="false">1</f>
        <v>1</v>
      </c>
      <c r="H1365" s="0" t="n">
        <f aca="false">D1365</f>
        <v>-0.5</v>
      </c>
      <c r="I1365" s="0" t="n">
        <f aca="false">E1365</f>
        <v>0.5</v>
      </c>
      <c r="J1365" s="0" t="n">
        <f aca="false">F1365</f>
        <v>-1</v>
      </c>
      <c r="K1365" s="0" t="n">
        <f aca="false">D1365*E1365</f>
        <v>-0.25</v>
      </c>
      <c r="L1365" s="0" t="n">
        <f aca="false">D1365*F1365</f>
        <v>0.5</v>
      </c>
      <c r="M1365" s="0" t="n">
        <f aca="false">E1365*F1365</f>
        <v>-0.5</v>
      </c>
      <c r="N1365" s="0" t="n">
        <f aca="false">D1365*D1365</f>
        <v>0.25</v>
      </c>
      <c r="O1365" s="0" t="n">
        <f aca="false">E1365*E1365</f>
        <v>0.25</v>
      </c>
      <c r="P1365" s="0" t="n">
        <f aca="false">F1365*F1365</f>
        <v>1</v>
      </c>
      <c r="Q1365" s="0" t="n">
        <f aca="false">SUMPRODUCT(G1365:P1365,_XtX!$B$71:$K$71)</f>
        <v>43.81625</v>
      </c>
      <c r="R1365" s="0" t="n">
        <f aca="false">SUMPRODUCT(MMULT(G1365:P1365,_XtX!$B$58:$K$67),G1365:P1365)</f>
        <v>0.4578125</v>
      </c>
      <c r="S1365" s="0" t="n">
        <f aca="false">04_回帰ANOVA!$K$19*04_回帰ANOVA!$K$14*SQRT(1+R1365)</f>
        <v>1.12258044051089</v>
      </c>
      <c r="T1365" s="0" t="n">
        <f aca="false">Q1365-S1365</f>
        <v>42.6936695594891</v>
      </c>
      <c r="U1365" s="0" t="n">
        <f aca="false">Q1365+S1365</f>
        <v>44.9388304405109</v>
      </c>
      <c r="V1365" s="54" t="b">
        <f aca="false">AND(D1365&gt;=01_因子設定!$L$5-0.000000001,D1365&lt;=01_因子設定!$M$5+0.000000001,E1365&gt;=01_因子設定!$L$6-0.000000001,E1365&lt;=01_因子設定!$M$6+0.000000001,F1365&gt;=01_因子設定!$L$7-0.000000001,F1365&lt;=01_因子設定!$M$7+0.000000001,IF(01_因子設定!$B$20="Box-Behnken",D1365^2+E1365^2+F1365^2&lt;=2+0.000000001,TRUE()))</f>
        <v>1</v>
      </c>
      <c r="W1365" s="55" t="n">
        <f aca="false">IF(V1365,IF(01_因子設定!$B$13="最大化",T1365-01_因子設定!$B$14,IF(01_因子設定!$B$13="最小化",01_因子設定!$B$15-U1365,MIN(T1365-01_因子設定!$B$14,01_因子設定!$B$15-U1365))),-1E+030)</f>
        <v>-5.80633044051086</v>
      </c>
      <c r="X1365" s="55" t="n">
        <f aca="false">IF(V1365,IF(01_因子設定!$B$13="最大化",Q1365,IF(01_因子設定!$B$13="最小化",-Q1365,-ABS(Q1365-01_因子設定!$B$16))),-1E+030)</f>
        <v>43.81625</v>
      </c>
      <c r="Y1365" s="55" t="n">
        <f aca="false">W1365+ROW()*0.000000001</f>
        <v>-5.80632907551086</v>
      </c>
      <c r="Z1365" s="55" t="n">
        <f aca="false">X1365+ROW()*0.000000001</f>
        <v>43.816251365</v>
      </c>
    </row>
    <row r="1366" customFormat="false" ht="15" hidden="false" customHeight="false" outlineLevel="0" collapsed="false">
      <c r="A1366" s="0" t="n">
        <v>4</v>
      </c>
      <c r="B1366" s="0" t="n">
        <v>12</v>
      </c>
      <c r="C1366" s="0" t="n">
        <v>1</v>
      </c>
      <c r="D1366" s="0" t="n">
        <f aca="false">-1+A1366*0.125</f>
        <v>-0.5</v>
      </c>
      <c r="E1366" s="0" t="n">
        <f aca="false">-1+B1366*0.125</f>
        <v>0.5</v>
      </c>
      <c r="F1366" s="0" t="n">
        <f aca="false">-1+C1366*0.125</f>
        <v>-0.875</v>
      </c>
      <c r="G1366" s="0" t="n">
        <f aca="false">1</f>
        <v>1</v>
      </c>
      <c r="H1366" s="0" t="n">
        <f aca="false">D1366</f>
        <v>-0.5</v>
      </c>
      <c r="I1366" s="0" t="n">
        <f aca="false">E1366</f>
        <v>0.5</v>
      </c>
      <c r="J1366" s="0" t="n">
        <f aca="false">F1366</f>
        <v>-0.875</v>
      </c>
      <c r="K1366" s="0" t="n">
        <f aca="false">D1366*E1366</f>
        <v>-0.25</v>
      </c>
      <c r="L1366" s="0" t="n">
        <f aca="false">D1366*F1366</f>
        <v>0.4375</v>
      </c>
      <c r="M1366" s="0" t="n">
        <f aca="false">E1366*F1366</f>
        <v>-0.4375</v>
      </c>
      <c r="N1366" s="0" t="n">
        <f aca="false">D1366*D1366</f>
        <v>0.25</v>
      </c>
      <c r="O1366" s="0" t="n">
        <f aca="false">E1366*E1366</f>
        <v>0.25</v>
      </c>
      <c r="P1366" s="0" t="n">
        <f aca="false">F1366*F1366</f>
        <v>0.765625</v>
      </c>
      <c r="Q1366" s="0" t="n">
        <f aca="false">SUMPRODUCT(G1366:P1366,_XtX!$B$71:$K$71)</f>
        <v>44.3021732954546</v>
      </c>
      <c r="R1366" s="0" t="n">
        <f aca="false">SUMPRODUCT(MMULT(G1366:P1366,_XtX!$B$58:$K$67),G1366:P1366)</f>
        <v>0.322514204545455</v>
      </c>
      <c r="S1366" s="0" t="n">
        <f aca="false">04_回帰ANOVA!$K$19*04_回帰ANOVA!$K$14*SQRT(1+R1366)</f>
        <v>1.0692193475064</v>
      </c>
      <c r="T1366" s="0" t="n">
        <f aca="false">Q1366-S1366</f>
        <v>43.2329539479482</v>
      </c>
      <c r="U1366" s="0" t="n">
        <f aca="false">Q1366+S1366</f>
        <v>45.371392642961</v>
      </c>
      <c r="V1366" s="54" t="b">
        <f aca="false">AND(D1366&gt;=01_因子設定!$L$5-0.000000001,D1366&lt;=01_因子設定!$M$5+0.000000001,E1366&gt;=01_因子設定!$L$6-0.000000001,E1366&lt;=01_因子設定!$M$6+0.000000001,F1366&gt;=01_因子設定!$L$7-0.000000001,F1366&lt;=01_因子設定!$M$7+0.000000001,IF(01_因子設定!$B$20="Box-Behnken",D1366^2+E1366^2+F1366^2&lt;=2+0.000000001,TRUE()))</f>
        <v>1</v>
      </c>
      <c r="W1366" s="55" t="n">
        <f aca="false">IF(V1366,IF(01_因子設定!$B$13="最大化",T1366-01_因子設定!$B$14,IF(01_因子設定!$B$13="最小化",01_因子設定!$B$15-U1366,MIN(T1366-01_因子設定!$B$14,01_因子設定!$B$15-U1366))),-1E+030)</f>
        <v>-5.26704605205184</v>
      </c>
      <c r="X1366" s="55" t="n">
        <f aca="false">IF(V1366,IF(01_因子設定!$B$13="最大化",Q1366,IF(01_因子設定!$B$13="最小化",-Q1366,-ABS(Q1366-01_因子設定!$B$16))),-1E+030)</f>
        <v>44.3021732954546</v>
      </c>
      <c r="Y1366" s="55" t="n">
        <f aca="false">W1366+ROW()*0.000000001</f>
        <v>-5.26704468605184</v>
      </c>
      <c r="Z1366" s="55" t="n">
        <f aca="false">X1366+ROW()*0.000000001</f>
        <v>44.3021746614546</v>
      </c>
    </row>
    <row r="1367" customFormat="false" ht="15" hidden="false" customHeight="false" outlineLevel="0" collapsed="false">
      <c r="A1367" s="0" t="n">
        <v>4</v>
      </c>
      <c r="B1367" s="0" t="n">
        <v>12</v>
      </c>
      <c r="C1367" s="0" t="n">
        <v>2</v>
      </c>
      <c r="D1367" s="0" t="n">
        <f aca="false">-1+A1367*0.125</f>
        <v>-0.5</v>
      </c>
      <c r="E1367" s="0" t="n">
        <f aca="false">-1+B1367*0.125</f>
        <v>0.5</v>
      </c>
      <c r="F1367" s="0" t="n">
        <f aca="false">-1+C1367*0.125</f>
        <v>-0.75</v>
      </c>
      <c r="G1367" s="0" t="n">
        <f aca="false">1</f>
        <v>1</v>
      </c>
      <c r="H1367" s="0" t="n">
        <f aca="false">D1367</f>
        <v>-0.5</v>
      </c>
      <c r="I1367" s="0" t="n">
        <f aca="false">E1367</f>
        <v>0.5</v>
      </c>
      <c r="J1367" s="0" t="n">
        <f aca="false">F1367</f>
        <v>-0.75</v>
      </c>
      <c r="K1367" s="0" t="n">
        <f aca="false">D1367*E1367</f>
        <v>-0.25</v>
      </c>
      <c r="L1367" s="0" t="n">
        <f aca="false">D1367*F1367</f>
        <v>0.375</v>
      </c>
      <c r="M1367" s="0" t="n">
        <f aca="false">E1367*F1367</f>
        <v>-0.375</v>
      </c>
      <c r="N1367" s="0" t="n">
        <f aca="false">D1367*D1367</f>
        <v>0.25</v>
      </c>
      <c r="O1367" s="0" t="n">
        <f aca="false">E1367*E1367</f>
        <v>0.25</v>
      </c>
      <c r="P1367" s="0" t="n">
        <f aca="false">F1367*F1367</f>
        <v>0.5625</v>
      </c>
      <c r="Q1367" s="0" t="n">
        <f aca="false">SUMPRODUCT(G1367:P1367,_XtX!$B$71:$K$71)</f>
        <v>44.7513068181818</v>
      </c>
      <c r="R1367" s="0" t="n">
        <f aca="false">SUMPRODUCT(MMULT(G1367:P1367,_XtX!$B$58:$K$67),G1367:P1367)</f>
        <v>0.237571022727273</v>
      </c>
      <c r="S1367" s="0" t="n">
        <f aca="false">04_回帰ANOVA!$K$19*04_回帰ANOVA!$K$14*SQRT(1+R1367)</f>
        <v>1.0343123302758</v>
      </c>
      <c r="T1367" s="0" t="n">
        <f aca="false">Q1367-S1367</f>
        <v>43.716994487906</v>
      </c>
      <c r="U1367" s="0" t="n">
        <f aca="false">Q1367+S1367</f>
        <v>45.7856191484576</v>
      </c>
      <c r="V1367" s="54" t="b">
        <f aca="false">AND(D1367&gt;=01_因子設定!$L$5-0.000000001,D1367&lt;=01_因子設定!$M$5+0.000000001,E1367&gt;=01_因子設定!$L$6-0.000000001,E1367&lt;=01_因子設定!$M$6+0.000000001,F1367&gt;=01_因子設定!$L$7-0.000000001,F1367&lt;=01_因子設定!$M$7+0.000000001,IF(01_因子設定!$B$20="Box-Behnken",D1367^2+E1367^2+F1367^2&lt;=2+0.000000001,TRUE()))</f>
        <v>1</v>
      </c>
      <c r="W1367" s="55" t="n">
        <f aca="false">IF(V1367,IF(01_因子設定!$B$13="最大化",T1367-01_因子設定!$B$14,IF(01_因子設定!$B$13="最小化",01_因子設定!$B$15-U1367,MIN(T1367-01_因子設定!$B$14,01_因子設定!$B$15-U1367))),-1E+030)</f>
        <v>-4.78300551209397</v>
      </c>
      <c r="X1367" s="55" t="n">
        <f aca="false">IF(V1367,IF(01_因子設定!$B$13="最大化",Q1367,IF(01_因子設定!$B$13="最小化",-Q1367,-ABS(Q1367-01_因子設定!$B$16))),-1E+030)</f>
        <v>44.7513068181818</v>
      </c>
      <c r="Y1367" s="55" t="n">
        <f aca="false">W1367+ROW()*0.000000001</f>
        <v>-4.78300414509397</v>
      </c>
      <c r="Z1367" s="55" t="n">
        <f aca="false">X1367+ROW()*0.000000001</f>
        <v>44.7513081851818</v>
      </c>
    </row>
    <row r="1368" customFormat="false" ht="15" hidden="false" customHeight="false" outlineLevel="0" collapsed="false">
      <c r="A1368" s="0" t="n">
        <v>4</v>
      </c>
      <c r="B1368" s="0" t="n">
        <v>12</v>
      </c>
      <c r="C1368" s="0" t="n">
        <v>3</v>
      </c>
      <c r="D1368" s="0" t="n">
        <f aca="false">-1+A1368*0.125</f>
        <v>-0.5</v>
      </c>
      <c r="E1368" s="0" t="n">
        <f aca="false">-1+B1368*0.125</f>
        <v>0.5</v>
      </c>
      <c r="F1368" s="0" t="n">
        <f aca="false">-1+C1368*0.125</f>
        <v>-0.625</v>
      </c>
      <c r="G1368" s="0" t="n">
        <f aca="false">1</f>
        <v>1</v>
      </c>
      <c r="H1368" s="0" t="n">
        <f aca="false">D1368</f>
        <v>-0.5</v>
      </c>
      <c r="I1368" s="0" t="n">
        <f aca="false">E1368</f>
        <v>0.5</v>
      </c>
      <c r="J1368" s="0" t="n">
        <f aca="false">F1368</f>
        <v>-0.625</v>
      </c>
      <c r="K1368" s="0" t="n">
        <f aca="false">D1368*E1368</f>
        <v>-0.25</v>
      </c>
      <c r="L1368" s="0" t="n">
        <f aca="false">D1368*F1368</f>
        <v>0.3125</v>
      </c>
      <c r="M1368" s="0" t="n">
        <f aca="false">E1368*F1368</f>
        <v>-0.3125</v>
      </c>
      <c r="N1368" s="0" t="n">
        <f aca="false">D1368*D1368</f>
        <v>0.25</v>
      </c>
      <c r="O1368" s="0" t="n">
        <f aca="false">E1368*E1368</f>
        <v>0.25</v>
      </c>
      <c r="P1368" s="0" t="n">
        <f aca="false">F1368*F1368</f>
        <v>0.390625</v>
      </c>
      <c r="Q1368" s="0" t="n">
        <f aca="false">SUMPRODUCT(G1368:P1368,_XtX!$B$71:$K$71)</f>
        <v>45.1636505681818</v>
      </c>
      <c r="R1368" s="0" t="n">
        <f aca="false">SUMPRODUCT(MMULT(G1368:P1368,_XtX!$B$58:$K$67),G1368:P1368)</f>
        <v>0.189133522727273</v>
      </c>
      <c r="S1368" s="0" t="n">
        <f aca="false">04_回帰ANOVA!$K$19*04_回帰ANOVA!$K$14*SQRT(1+R1368)</f>
        <v>1.0138692404042</v>
      </c>
      <c r="T1368" s="0" t="n">
        <f aca="false">Q1368-S1368</f>
        <v>44.1497813277776</v>
      </c>
      <c r="U1368" s="0" t="n">
        <f aca="false">Q1368+S1368</f>
        <v>46.177519808586</v>
      </c>
      <c r="V1368" s="54" t="b">
        <f aca="false">AND(D1368&gt;=01_因子設定!$L$5-0.000000001,D1368&lt;=01_因子設定!$M$5+0.000000001,E1368&gt;=01_因子設定!$L$6-0.000000001,E1368&lt;=01_因子設定!$M$6+0.000000001,F1368&gt;=01_因子設定!$L$7-0.000000001,F1368&lt;=01_因子設定!$M$7+0.000000001,IF(01_因子設定!$B$20="Box-Behnken",D1368^2+E1368^2+F1368^2&lt;=2+0.000000001,TRUE()))</f>
        <v>1</v>
      </c>
      <c r="W1368" s="55" t="n">
        <f aca="false">IF(V1368,IF(01_因子設定!$B$13="最大化",T1368-01_因子設定!$B$14,IF(01_因子設定!$B$13="最小化",01_因子設定!$B$15-U1368,MIN(T1368-01_因子設定!$B$14,01_因子設定!$B$15-U1368))),-1E+030)</f>
        <v>-4.35021867222237</v>
      </c>
      <c r="X1368" s="55" t="n">
        <f aca="false">IF(V1368,IF(01_因子設定!$B$13="最大化",Q1368,IF(01_因子設定!$B$13="最小化",-Q1368,-ABS(Q1368-01_因子設定!$B$16))),-1E+030)</f>
        <v>45.1636505681818</v>
      </c>
      <c r="Y1368" s="55" t="n">
        <f aca="false">W1368+ROW()*0.000000001</f>
        <v>-4.35021730422237</v>
      </c>
      <c r="Z1368" s="55" t="n">
        <f aca="false">X1368+ROW()*0.000000001</f>
        <v>45.1636519361818</v>
      </c>
    </row>
    <row r="1369" customFormat="false" ht="15" hidden="false" customHeight="false" outlineLevel="0" collapsed="false">
      <c r="A1369" s="0" t="n">
        <v>4</v>
      </c>
      <c r="B1369" s="0" t="n">
        <v>12</v>
      </c>
      <c r="C1369" s="0" t="n">
        <v>4</v>
      </c>
      <c r="D1369" s="0" t="n">
        <f aca="false">-1+A1369*0.125</f>
        <v>-0.5</v>
      </c>
      <c r="E1369" s="0" t="n">
        <f aca="false">-1+B1369*0.125</f>
        <v>0.5</v>
      </c>
      <c r="F1369" s="0" t="n">
        <f aca="false">-1+C1369*0.125</f>
        <v>-0.5</v>
      </c>
      <c r="G1369" s="0" t="n">
        <f aca="false">1</f>
        <v>1</v>
      </c>
      <c r="H1369" s="0" t="n">
        <f aca="false">D1369</f>
        <v>-0.5</v>
      </c>
      <c r="I1369" s="0" t="n">
        <f aca="false">E1369</f>
        <v>0.5</v>
      </c>
      <c r="J1369" s="0" t="n">
        <f aca="false">F1369</f>
        <v>-0.5</v>
      </c>
      <c r="K1369" s="0" t="n">
        <f aca="false">D1369*E1369</f>
        <v>-0.25</v>
      </c>
      <c r="L1369" s="0" t="n">
        <f aca="false">D1369*F1369</f>
        <v>0.25</v>
      </c>
      <c r="M1369" s="0" t="n">
        <f aca="false">E1369*F1369</f>
        <v>-0.25</v>
      </c>
      <c r="N1369" s="0" t="n">
        <f aca="false">D1369*D1369</f>
        <v>0.25</v>
      </c>
      <c r="O1369" s="0" t="n">
        <f aca="false">E1369*E1369</f>
        <v>0.25</v>
      </c>
      <c r="P1369" s="0" t="n">
        <f aca="false">F1369*F1369</f>
        <v>0.25</v>
      </c>
      <c r="Q1369" s="0" t="n">
        <f aca="false">SUMPRODUCT(G1369:P1369,_XtX!$B$71:$K$71)</f>
        <v>45.5392045454546</v>
      </c>
      <c r="R1369" s="0" t="n">
        <f aca="false">SUMPRODUCT(MMULT(G1369:P1369,_XtX!$B$58:$K$67),G1369:P1369)</f>
        <v>0.165482954545455</v>
      </c>
      <c r="S1369" s="0" t="n">
        <f aca="false">04_回帰ANOVA!$K$19*04_回帰ANOVA!$K$14*SQRT(1+R1369)</f>
        <v>1.00373622729159</v>
      </c>
      <c r="T1369" s="0" t="n">
        <f aca="false">Q1369-S1369</f>
        <v>44.535468318163</v>
      </c>
      <c r="U1369" s="0" t="n">
        <f aca="false">Q1369+S1369</f>
        <v>46.5429407727461</v>
      </c>
      <c r="V1369" s="54" t="b">
        <f aca="false">AND(D1369&gt;=01_因子設定!$L$5-0.000000001,D1369&lt;=01_因子設定!$M$5+0.000000001,E1369&gt;=01_因子設定!$L$6-0.000000001,E1369&lt;=01_因子設定!$M$6+0.000000001,F1369&gt;=01_因子設定!$L$7-0.000000001,F1369&lt;=01_因子設定!$M$7+0.000000001,IF(01_因子設定!$B$20="Box-Behnken",D1369^2+E1369^2+F1369^2&lt;=2+0.000000001,TRUE()))</f>
        <v>1</v>
      </c>
      <c r="W1369" s="55" t="n">
        <f aca="false">IF(V1369,IF(01_因子設定!$B$13="最大化",T1369-01_因子設定!$B$14,IF(01_因子設定!$B$13="最小化",01_因子設定!$B$15-U1369,MIN(T1369-01_因子設定!$B$14,01_因子設定!$B$15-U1369))),-1E+030)</f>
        <v>-3.96453168183703</v>
      </c>
      <c r="X1369" s="55" t="n">
        <f aca="false">IF(V1369,IF(01_因子設定!$B$13="最大化",Q1369,IF(01_因子設定!$B$13="最小化",-Q1369,-ABS(Q1369-01_因子設定!$B$16))),-1E+030)</f>
        <v>45.5392045454546</v>
      </c>
      <c r="Y1369" s="55" t="n">
        <f aca="false">W1369+ROW()*0.000000001</f>
        <v>-3.96453031283703</v>
      </c>
      <c r="Z1369" s="55" t="n">
        <f aca="false">X1369+ROW()*0.000000001</f>
        <v>45.5392059144546</v>
      </c>
    </row>
    <row r="1370" customFormat="false" ht="15" hidden="false" customHeight="false" outlineLevel="0" collapsed="false">
      <c r="A1370" s="0" t="n">
        <v>4</v>
      </c>
      <c r="B1370" s="0" t="n">
        <v>12</v>
      </c>
      <c r="C1370" s="0" t="n">
        <v>5</v>
      </c>
      <c r="D1370" s="0" t="n">
        <f aca="false">-1+A1370*0.125</f>
        <v>-0.5</v>
      </c>
      <c r="E1370" s="0" t="n">
        <f aca="false">-1+B1370*0.125</f>
        <v>0.5</v>
      </c>
      <c r="F1370" s="0" t="n">
        <f aca="false">-1+C1370*0.125</f>
        <v>-0.375</v>
      </c>
      <c r="G1370" s="0" t="n">
        <f aca="false">1</f>
        <v>1</v>
      </c>
      <c r="H1370" s="0" t="n">
        <f aca="false">D1370</f>
        <v>-0.5</v>
      </c>
      <c r="I1370" s="0" t="n">
        <f aca="false">E1370</f>
        <v>0.5</v>
      </c>
      <c r="J1370" s="0" t="n">
        <f aca="false">F1370</f>
        <v>-0.375</v>
      </c>
      <c r="K1370" s="0" t="n">
        <f aca="false">D1370*E1370</f>
        <v>-0.25</v>
      </c>
      <c r="L1370" s="0" t="n">
        <f aca="false">D1370*F1370</f>
        <v>0.1875</v>
      </c>
      <c r="M1370" s="0" t="n">
        <f aca="false">E1370*F1370</f>
        <v>-0.1875</v>
      </c>
      <c r="N1370" s="0" t="n">
        <f aca="false">D1370*D1370</f>
        <v>0.25</v>
      </c>
      <c r="O1370" s="0" t="n">
        <f aca="false">E1370*E1370</f>
        <v>0.25</v>
      </c>
      <c r="P1370" s="0" t="n">
        <f aca="false">F1370*F1370</f>
        <v>0.140625</v>
      </c>
      <c r="Q1370" s="0" t="n">
        <f aca="false">SUMPRODUCT(G1370:P1370,_XtX!$B$71:$K$71)</f>
        <v>45.87796875</v>
      </c>
      <c r="R1370" s="0" t="n">
        <f aca="false">SUMPRODUCT(MMULT(G1370:P1370,_XtX!$B$58:$K$67),G1370:P1370)</f>
        <v>0.15703125</v>
      </c>
      <c r="S1370" s="0" t="n">
        <f aca="false">04_回帰ANOVA!$K$19*04_回帰ANOVA!$K$14*SQRT(1+R1370)</f>
        <v>1.00009022049162</v>
      </c>
      <c r="T1370" s="0" t="n">
        <f aca="false">Q1370-S1370</f>
        <v>44.8778785295084</v>
      </c>
      <c r="U1370" s="0" t="n">
        <f aca="false">Q1370+S1370</f>
        <v>46.8780589704916</v>
      </c>
      <c r="V1370" s="54" t="b">
        <f aca="false">AND(D1370&gt;=01_因子設定!$L$5-0.000000001,D1370&lt;=01_因子設定!$M$5+0.000000001,E1370&gt;=01_因子設定!$L$6-0.000000001,E1370&lt;=01_因子設定!$M$6+0.000000001,F1370&gt;=01_因子設定!$L$7-0.000000001,F1370&lt;=01_因子設定!$M$7+0.000000001,IF(01_因子設定!$B$20="Box-Behnken",D1370^2+E1370^2+F1370^2&lt;=2+0.000000001,TRUE()))</f>
        <v>1</v>
      </c>
      <c r="W1370" s="55" t="n">
        <f aca="false">IF(V1370,IF(01_因子設定!$B$13="最大化",T1370-01_因子設定!$B$14,IF(01_因子設定!$B$13="最小化",01_因子設定!$B$15-U1370,MIN(T1370-01_因子設定!$B$14,01_因子設定!$B$15-U1370))),-1E+030)</f>
        <v>-3.62212147049161</v>
      </c>
      <c r="X1370" s="55" t="n">
        <f aca="false">IF(V1370,IF(01_因子設定!$B$13="最大化",Q1370,IF(01_因子設定!$B$13="最小化",-Q1370,-ABS(Q1370-01_因子設定!$B$16))),-1E+030)</f>
        <v>45.87796875</v>
      </c>
      <c r="Y1370" s="55" t="n">
        <f aca="false">W1370+ROW()*0.000000001</f>
        <v>-3.62212010049161</v>
      </c>
      <c r="Z1370" s="55" t="n">
        <f aca="false">X1370+ROW()*0.000000001</f>
        <v>45.87797012</v>
      </c>
    </row>
    <row r="1371" customFormat="false" ht="15" hidden="false" customHeight="false" outlineLevel="0" collapsed="false">
      <c r="A1371" s="0" t="n">
        <v>4</v>
      </c>
      <c r="B1371" s="0" t="n">
        <v>12</v>
      </c>
      <c r="C1371" s="0" t="n">
        <v>6</v>
      </c>
      <c r="D1371" s="0" t="n">
        <f aca="false">-1+A1371*0.125</f>
        <v>-0.5</v>
      </c>
      <c r="E1371" s="0" t="n">
        <f aca="false">-1+B1371*0.125</f>
        <v>0.5</v>
      </c>
      <c r="F1371" s="0" t="n">
        <f aca="false">-1+C1371*0.125</f>
        <v>-0.25</v>
      </c>
      <c r="G1371" s="0" t="n">
        <f aca="false">1</f>
        <v>1</v>
      </c>
      <c r="H1371" s="0" t="n">
        <f aca="false">D1371</f>
        <v>-0.5</v>
      </c>
      <c r="I1371" s="0" t="n">
        <f aca="false">E1371</f>
        <v>0.5</v>
      </c>
      <c r="J1371" s="0" t="n">
        <f aca="false">F1371</f>
        <v>-0.25</v>
      </c>
      <c r="K1371" s="0" t="n">
        <f aca="false">D1371*E1371</f>
        <v>-0.25</v>
      </c>
      <c r="L1371" s="0" t="n">
        <f aca="false">D1371*F1371</f>
        <v>0.125</v>
      </c>
      <c r="M1371" s="0" t="n">
        <f aca="false">E1371*F1371</f>
        <v>-0.125</v>
      </c>
      <c r="N1371" s="0" t="n">
        <f aca="false">D1371*D1371</f>
        <v>0.25</v>
      </c>
      <c r="O1371" s="0" t="n">
        <f aca="false">E1371*E1371</f>
        <v>0.25</v>
      </c>
      <c r="P1371" s="0" t="n">
        <f aca="false">F1371*F1371</f>
        <v>0.0625</v>
      </c>
      <c r="Q1371" s="0" t="n">
        <f aca="false">SUMPRODUCT(G1371:P1371,_XtX!$B$71:$K$71)</f>
        <v>46.1799431818182</v>
      </c>
      <c r="R1371" s="0" t="n">
        <f aca="false">SUMPRODUCT(MMULT(G1371:P1371,_XtX!$B$58:$K$67),G1371:P1371)</f>
        <v>0.156321022727273</v>
      </c>
      <c r="S1371" s="0" t="n">
        <f aca="false">04_回帰ANOVA!$K$19*04_回帰ANOVA!$K$14*SQRT(1+R1371)</f>
        <v>0.999783227753172</v>
      </c>
      <c r="T1371" s="0" t="n">
        <f aca="false">Q1371-S1371</f>
        <v>45.180159954065</v>
      </c>
      <c r="U1371" s="0" t="n">
        <f aca="false">Q1371+S1371</f>
        <v>47.1797264095714</v>
      </c>
      <c r="V1371" s="54" t="b">
        <f aca="false">AND(D1371&gt;=01_因子設定!$L$5-0.000000001,D1371&lt;=01_因子設定!$M$5+0.000000001,E1371&gt;=01_因子設定!$L$6-0.000000001,E1371&lt;=01_因子設定!$M$6+0.000000001,F1371&gt;=01_因子設定!$L$7-0.000000001,F1371&lt;=01_因子設定!$M$7+0.000000001,IF(01_因子設定!$B$20="Box-Behnken",D1371^2+E1371^2+F1371^2&lt;=2+0.000000001,TRUE()))</f>
        <v>1</v>
      </c>
      <c r="W1371" s="55" t="n">
        <f aca="false">IF(V1371,IF(01_因子設定!$B$13="最大化",T1371-01_因子設定!$B$14,IF(01_因子設定!$B$13="最小化",01_因子設定!$B$15-U1371,MIN(T1371-01_因子設定!$B$14,01_因子設定!$B$15-U1371))),-1E+030)</f>
        <v>-3.31984004593498</v>
      </c>
      <c r="X1371" s="55" t="n">
        <f aca="false">IF(V1371,IF(01_因子設定!$B$13="最大化",Q1371,IF(01_因子設定!$B$13="最小化",-Q1371,-ABS(Q1371-01_因子設定!$B$16))),-1E+030)</f>
        <v>46.1799431818182</v>
      </c>
      <c r="Y1371" s="55" t="n">
        <f aca="false">W1371+ROW()*0.000000001</f>
        <v>-3.31983867493498</v>
      </c>
      <c r="Z1371" s="55" t="n">
        <f aca="false">X1371+ROW()*0.000000001</f>
        <v>46.1799445528182</v>
      </c>
    </row>
    <row r="1372" customFormat="false" ht="15" hidden="false" customHeight="false" outlineLevel="0" collapsed="false">
      <c r="A1372" s="0" t="n">
        <v>4</v>
      </c>
      <c r="B1372" s="0" t="n">
        <v>12</v>
      </c>
      <c r="C1372" s="0" t="n">
        <v>7</v>
      </c>
      <c r="D1372" s="0" t="n">
        <f aca="false">-1+A1372*0.125</f>
        <v>-0.5</v>
      </c>
      <c r="E1372" s="0" t="n">
        <f aca="false">-1+B1372*0.125</f>
        <v>0.5</v>
      </c>
      <c r="F1372" s="0" t="n">
        <f aca="false">-1+C1372*0.125</f>
        <v>-0.125</v>
      </c>
      <c r="G1372" s="0" t="n">
        <f aca="false">1</f>
        <v>1</v>
      </c>
      <c r="H1372" s="0" t="n">
        <f aca="false">D1372</f>
        <v>-0.5</v>
      </c>
      <c r="I1372" s="0" t="n">
        <f aca="false">E1372</f>
        <v>0.5</v>
      </c>
      <c r="J1372" s="0" t="n">
        <f aca="false">F1372</f>
        <v>-0.125</v>
      </c>
      <c r="K1372" s="0" t="n">
        <f aca="false">D1372*E1372</f>
        <v>-0.25</v>
      </c>
      <c r="L1372" s="0" t="n">
        <f aca="false">D1372*F1372</f>
        <v>0.0625</v>
      </c>
      <c r="M1372" s="0" t="n">
        <f aca="false">E1372*F1372</f>
        <v>-0.0625</v>
      </c>
      <c r="N1372" s="0" t="n">
        <f aca="false">D1372*D1372</f>
        <v>0.25</v>
      </c>
      <c r="O1372" s="0" t="n">
        <f aca="false">E1372*E1372</f>
        <v>0.25</v>
      </c>
      <c r="P1372" s="0" t="n">
        <f aca="false">F1372*F1372</f>
        <v>0.015625</v>
      </c>
      <c r="Q1372" s="0" t="n">
        <f aca="false">SUMPRODUCT(G1372:P1372,_XtX!$B$71:$K$71)</f>
        <v>46.4451278409091</v>
      </c>
      <c r="R1372" s="0" t="n">
        <f aca="false">SUMPRODUCT(MMULT(G1372:P1372,_XtX!$B$58:$K$67),G1372:P1372)</f>
        <v>0.158025568181818</v>
      </c>
      <c r="S1372" s="0" t="n">
        <f aca="false">04_回帰ANOVA!$K$19*04_回帰ANOVA!$K$14*SQRT(1+R1372)</f>
        <v>1.00051985207691</v>
      </c>
      <c r="T1372" s="0" t="n">
        <f aca="false">Q1372-S1372</f>
        <v>45.4446079888322</v>
      </c>
      <c r="U1372" s="0" t="n">
        <f aca="false">Q1372+S1372</f>
        <v>47.445647692986</v>
      </c>
      <c r="V1372" s="54" t="b">
        <f aca="false">AND(D1372&gt;=01_因子設定!$L$5-0.000000001,D1372&lt;=01_因子設定!$M$5+0.000000001,E1372&gt;=01_因子設定!$L$6-0.000000001,E1372&lt;=01_因子設定!$M$6+0.000000001,F1372&gt;=01_因子設定!$L$7-0.000000001,F1372&lt;=01_因子設定!$M$7+0.000000001,IF(01_因子設定!$B$20="Box-Behnken",D1372^2+E1372^2+F1372^2&lt;=2+0.000000001,TRUE()))</f>
        <v>1</v>
      </c>
      <c r="W1372" s="55" t="n">
        <f aca="false">IF(V1372,IF(01_因子設定!$B$13="最大化",T1372-01_因子設定!$B$14,IF(01_因子設定!$B$13="最小化",01_因子設定!$B$15-U1372,MIN(T1372-01_因子設定!$B$14,01_因子設定!$B$15-U1372))),-1E+030)</f>
        <v>-3.05539201116781</v>
      </c>
      <c r="X1372" s="55" t="n">
        <f aca="false">IF(V1372,IF(01_因子設定!$B$13="最大化",Q1372,IF(01_因子設定!$B$13="最小化",-Q1372,-ABS(Q1372-01_因子設定!$B$16))),-1E+030)</f>
        <v>46.4451278409091</v>
      </c>
      <c r="Y1372" s="55" t="n">
        <f aca="false">W1372+ROW()*0.000000001</f>
        <v>-3.05539063916781</v>
      </c>
      <c r="Z1372" s="55" t="n">
        <f aca="false">X1372+ROW()*0.000000001</f>
        <v>46.4451292129091</v>
      </c>
    </row>
    <row r="1373" customFormat="false" ht="15" hidden="false" customHeight="false" outlineLevel="0" collapsed="false">
      <c r="A1373" s="0" t="n">
        <v>4</v>
      </c>
      <c r="B1373" s="0" t="n">
        <v>12</v>
      </c>
      <c r="C1373" s="0" t="n">
        <v>8</v>
      </c>
      <c r="D1373" s="0" t="n">
        <f aca="false">-1+A1373*0.125</f>
        <v>-0.5</v>
      </c>
      <c r="E1373" s="0" t="n">
        <f aca="false">-1+B1373*0.125</f>
        <v>0.5</v>
      </c>
      <c r="F1373" s="0" t="n">
        <f aca="false">-1+C1373*0.125</f>
        <v>0</v>
      </c>
      <c r="G1373" s="0" t="n">
        <f aca="false">1</f>
        <v>1</v>
      </c>
      <c r="H1373" s="0" t="n">
        <f aca="false">D1373</f>
        <v>-0.5</v>
      </c>
      <c r="I1373" s="0" t="n">
        <f aca="false">E1373</f>
        <v>0.5</v>
      </c>
      <c r="J1373" s="0" t="n">
        <f aca="false">F1373</f>
        <v>0</v>
      </c>
      <c r="K1373" s="0" t="n">
        <f aca="false">D1373*E1373</f>
        <v>-0.25</v>
      </c>
      <c r="L1373" s="0" t="n">
        <f aca="false">D1373*F1373</f>
        <v>-0</v>
      </c>
      <c r="M1373" s="0" t="n">
        <f aca="false">E1373*F1373</f>
        <v>0</v>
      </c>
      <c r="N1373" s="0" t="n">
        <f aca="false">D1373*D1373</f>
        <v>0.25</v>
      </c>
      <c r="O1373" s="0" t="n">
        <f aca="false">E1373*E1373</f>
        <v>0.25</v>
      </c>
      <c r="P1373" s="0" t="n">
        <f aca="false">F1373*F1373</f>
        <v>0</v>
      </c>
      <c r="Q1373" s="0" t="n">
        <f aca="false">SUMPRODUCT(G1373:P1373,_XtX!$B$71:$K$71)</f>
        <v>46.6735227272727</v>
      </c>
      <c r="R1373" s="0" t="n">
        <f aca="false">SUMPRODUCT(MMULT(G1373:P1373,_XtX!$B$58:$K$67),G1373:P1373)</f>
        <v>0.158948863636364</v>
      </c>
      <c r="S1373" s="0" t="n">
        <f aca="false">04_回帰ANOVA!$K$19*04_回帰ANOVA!$K$14*SQRT(1+R1373)</f>
        <v>1.00091863056612</v>
      </c>
      <c r="T1373" s="0" t="n">
        <f aca="false">Q1373-S1373</f>
        <v>45.6726040967066</v>
      </c>
      <c r="U1373" s="0" t="n">
        <f aca="false">Q1373+S1373</f>
        <v>47.6744413578389</v>
      </c>
      <c r="V1373" s="54" t="b">
        <f aca="false">AND(D1373&gt;=01_因子設定!$L$5-0.000000001,D1373&lt;=01_因子設定!$M$5+0.000000001,E1373&gt;=01_因子設定!$L$6-0.000000001,E1373&lt;=01_因子設定!$M$6+0.000000001,F1373&gt;=01_因子設定!$L$7-0.000000001,F1373&lt;=01_因子設定!$M$7+0.000000001,IF(01_因子設定!$B$20="Box-Behnken",D1373^2+E1373^2+F1373^2&lt;=2+0.000000001,TRUE()))</f>
        <v>1</v>
      </c>
      <c r="W1373" s="55" t="n">
        <f aca="false">IF(V1373,IF(01_因子設定!$B$13="最大化",T1373-01_因子設定!$B$14,IF(01_因子設定!$B$13="最小化",01_因子設定!$B$15-U1373,MIN(T1373-01_因子設定!$B$14,01_因子設定!$B$15-U1373))),-1E+030)</f>
        <v>-2.82739590329339</v>
      </c>
      <c r="X1373" s="55" t="n">
        <f aca="false">IF(V1373,IF(01_因子設定!$B$13="最大化",Q1373,IF(01_因子設定!$B$13="最小化",-Q1373,-ABS(Q1373-01_因子設定!$B$16))),-1E+030)</f>
        <v>46.6735227272727</v>
      </c>
      <c r="Y1373" s="55" t="n">
        <f aca="false">W1373+ROW()*0.000000001</f>
        <v>-2.82739453029339</v>
      </c>
      <c r="Z1373" s="55" t="n">
        <f aca="false">X1373+ROW()*0.000000001</f>
        <v>46.6735241002727</v>
      </c>
    </row>
    <row r="1374" customFormat="false" ht="15" hidden="false" customHeight="false" outlineLevel="0" collapsed="false">
      <c r="A1374" s="0" t="n">
        <v>4</v>
      </c>
      <c r="B1374" s="0" t="n">
        <v>12</v>
      </c>
      <c r="C1374" s="0" t="n">
        <v>9</v>
      </c>
      <c r="D1374" s="0" t="n">
        <f aca="false">-1+A1374*0.125</f>
        <v>-0.5</v>
      </c>
      <c r="E1374" s="0" t="n">
        <f aca="false">-1+B1374*0.125</f>
        <v>0.5</v>
      </c>
      <c r="F1374" s="0" t="n">
        <f aca="false">-1+C1374*0.125</f>
        <v>0.125</v>
      </c>
      <c r="G1374" s="0" t="n">
        <f aca="false">1</f>
        <v>1</v>
      </c>
      <c r="H1374" s="0" t="n">
        <f aca="false">D1374</f>
        <v>-0.5</v>
      </c>
      <c r="I1374" s="0" t="n">
        <f aca="false">E1374</f>
        <v>0.5</v>
      </c>
      <c r="J1374" s="0" t="n">
        <f aca="false">F1374</f>
        <v>0.125</v>
      </c>
      <c r="K1374" s="0" t="n">
        <f aca="false">D1374*E1374</f>
        <v>-0.25</v>
      </c>
      <c r="L1374" s="0" t="n">
        <f aca="false">D1374*F1374</f>
        <v>-0.0625</v>
      </c>
      <c r="M1374" s="0" t="n">
        <f aca="false">E1374*F1374</f>
        <v>0.0625</v>
      </c>
      <c r="N1374" s="0" t="n">
        <f aca="false">D1374*D1374</f>
        <v>0.25</v>
      </c>
      <c r="O1374" s="0" t="n">
        <f aca="false">E1374*E1374</f>
        <v>0.25</v>
      </c>
      <c r="P1374" s="0" t="n">
        <f aca="false">F1374*F1374</f>
        <v>0.015625</v>
      </c>
      <c r="Q1374" s="0" t="n">
        <f aca="false">SUMPRODUCT(G1374:P1374,_XtX!$B$71:$K$71)</f>
        <v>46.8651278409091</v>
      </c>
      <c r="R1374" s="0" t="n">
        <f aca="false">SUMPRODUCT(MMULT(G1374:P1374,_XtX!$B$58:$K$67),G1374:P1374)</f>
        <v>0.158025568181818</v>
      </c>
      <c r="S1374" s="0" t="n">
        <f aca="false">04_回帰ANOVA!$K$19*04_回帰ANOVA!$K$14*SQRT(1+R1374)</f>
        <v>1.00051985207691</v>
      </c>
      <c r="T1374" s="0" t="n">
        <f aca="false">Q1374-S1374</f>
        <v>45.8646079888322</v>
      </c>
      <c r="U1374" s="0" t="n">
        <f aca="false">Q1374+S1374</f>
        <v>47.865647692986</v>
      </c>
      <c r="V1374" s="54" t="b">
        <f aca="false">AND(D1374&gt;=01_因子設定!$L$5-0.000000001,D1374&lt;=01_因子設定!$M$5+0.000000001,E1374&gt;=01_因子設定!$L$6-0.000000001,E1374&lt;=01_因子設定!$M$6+0.000000001,F1374&gt;=01_因子設定!$L$7-0.000000001,F1374&lt;=01_因子設定!$M$7+0.000000001,IF(01_因子設定!$B$20="Box-Behnken",D1374^2+E1374^2+F1374^2&lt;=2+0.000000001,TRUE()))</f>
        <v>1</v>
      </c>
      <c r="W1374" s="55" t="n">
        <f aca="false">IF(V1374,IF(01_因子設定!$B$13="最大化",T1374-01_因子設定!$B$14,IF(01_因子設定!$B$13="最小化",01_因子設定!$B$15-U1374,MIN(T1374-01_因子設定!$B$14,01_因子設定!$B$15-U1374))),-1E+030)</f>
        <v>-2.63539201116781</v>
      </c>
      <c r="X1374" s="55" t="n">
        <f aca="false">IF(V1374,IF(01_因子設定!$B$13="最大化",Q1374,IF(01_因子設定!$B$13="最小化",-Q1374,-ABS(Q1374-01_因子設定!$B$16))),-1E+030)</f>
        <v>46.8651278409091</v>
      </c>
      <c r="Y1374" s="55" t="n">
        <f aca="false">W1374+ROW()*0.000000001</f>
        <v>-2.63539063716781</v>
      </c>
      <c r="Z1374" s="55" t="n">
        <f aca="false">X1374+ROW()*0.000000001</f>
        <v>46.8651292149091</v>
      </c>
    </row>
    <row r="1375" customFormat="false" ht="15" hidden="false" customHeight="false" outlineLevel="0" collapsed="false">
      <c r="A1375" s="0" t="n">
        <v>4</v>
      </c>
      <c r="B1375" s="0" t="n">
        <v>12</v>
      </c>
      <c r="C1375" s="0" t="n">
        <v>10</v>
      </c>
      <c r="D1375" s="0" t="n">
        <f aca="false">-1+A1375*0.125</f>
        <v>-0.5</v>
      </c>
      <c r="E1375" s="0" t="n">
        <f aca="false">-1+B1375*0.125</f>
        <v>0.5</v>
      </c>
      <c r="F1375" s="0" t="n">
        <f aca="false">-1+C1375*0.125</f>
        <v>0.25</v>
      </c>
      <c r="G1375" s="0" t="n">
        <f aca="false">1</f>
        <v>1</v>
      </c>
      <c r="H1375" s="0" t="n">
        <f aca="false">D1375</f>
        <v>-0.5</v>
      </c>
      <c r="I1375" s="0" t="n">
        <f aca="false">E1375</f>
        <v>0.5</v>
      </c>
      <c r="J1375" s="0" t="n">
        <f aca="false">F1375</f>
        <v>0.25</v>
      </c>
      <c r="K1375" s="0" t="n">
        <f aca="false">D1375*E1375</f>
        <v>-0.25</v>
      </c>
      <c r="L1375" s="0" t="n">
        <f aca="false">D1375*F1375</f>
        <v>-0.125</v>
      </c>
      <c r="M1375" s="0" t="n">
        <f aca="false">E1375*F1375</f>
        <v>0.125</v>
      </c>
      <c r="N1375" s="0" t="n">
        <f aca="false">D1375*D1375</f>
        <v>0.25</v>
      </c>
      <c r="O1375" s="0" t="n">
        <f aca="false">E1375*E1375</f>
        <v>0.25</v>
      </c>
      <c r="P1375" s="0" t="n">
        <f aca="false">F1375*F1375</f>
        <v>0.0625</v>
      </c>
      <c r="Q1375" s="0" t="n">
        <f aca="false">SUMPRODUCT(G1375:P1375,_XtX!$B$71:$K$71)</f>
        <v>47.0199431818182</v>
      </c>
      <c r="R1375" s="0" t="n">
        <f aca="false">SUMPRODUCT(MMULT(G1375:P1375,_XtX!$B$58:$K$67),G1375:P1375)</f>
        <v>0.156321022727273</v>
      </c>
      <c r="S1375" s="0" t="n">
        <f aca="false">04_回帰ANOVA!$K$19*04_回帰ANOVA!$K$14*SQRT(1+R1375)</f>
        <v>0.999783227753172</v>
      </c>
      <c r="T1375" s="0" t="n">
        <f aca="false">Q1375-S1375</f>
        <v>46.020159954065</v>
      </c>
      <c r="U1375" s="0" t="n">
        <f aca="false">Q1375+S1375</f>
        <v>48.0197264095714</v>
      </c>
      <c r="V1375" s="54" t="b">
        <f aca="false">AND(D1375&gt;=01_因子設定!$L$5-0.000000001,D1375&lt;=01_因子設定!$M$5+0.000000001,E1375&gt;=01_因子設定!$L$6-0.000000001,E1375&lt;=01_因子設定!$M$6+0.000000001,F1375&gt;=01_因子設定!$L$7-0.000000001,F1375&lt;=01_因子設定!$M$7+0.000000001,IF(01_因子設定!$B$20="Box-Behnken",D1375^2+E1375^2+F1375^2&lt;=2+0.000000001,TRUE()))</f>
        <v>1</v>
      </c>
      <c r="W1375" s="55" t="n">
        <f aca="false">IF(V1375,IF(01_因子設定!$B$13="最大化",T1375-01_因子設定!$B$14,IF(01_因子設定!$B$13="最小化",01_因子設定!$B$15-U1375,MIN(T1375-01_因子設定!$B$14,01_因子設定!$B$15-U1375))),-1E+030)</f>
        <v>-2.47984004593499</v>
      </c>
      <c r="X1375" s="55" t="n">
        <f aca="false">IF(V1375,IF(01_因子設定!$B$13="最大化",Q1375,IF(01_因子設定!$B$13="最小化",-Q1375,-ABS(Q1375-01_因子設定!$B$16))),-1E+030)</f>
        <v>47.0199431818182</v>
      </c>
      <c r="Y1375" s="55" t="n">
        <f aca="false">W1375+ROW()*0.000000001</f>
        <v>-2.47983867093499</v>
      </c>
      <c r="Z1375" s="55" t="n">
        <f aca="false">X1375+ROW()*0.000000001</f>
        <v>47.0199445568182</v>
      </c>
    </row>
    <row r="1376" customFormat="false" ht="15" hidden="false" customHeight="false" outlineLevel="0" collapsed="false">
      <c r="A1376" s="0" t="n">
        <v>4</v>
      </c>
      <c r="B1376" s="0" t="n">
        <v>12</v>
      </c>
      <c r="C1376" s="0" t="n">
        <v>11</v>
      </c>
      <c r="D1376" s="0" t="n">
        <f aca="false">-1+A1376*0.125</f>
        <v>-0.5</v>
      </c>
      <c r="E1376" s="0" t="n">
        <f aca="false">-1+B1376*0.125</f>
        <v>0.5</v>
      </c>
      <c r="F1376" s="0" t="n">
        <f aca="false">-1+C1376*0.125</f>
        <v>0.375</v>
      </c>
      <c r="G1376" s="0" t="n">
        <f aca="false">1</f>
        <v>1</v>
      </c>
      <c r="H1376" s="0" t="n">
        <f aca="false">D1376</f>
        <v>-0.5</v>
      </c>
      <c r="I1376" s="0" t="n">
        <f aca="false">E1376</f>
        <v>0.5</v>
      </c>
      <c r="J1376" s="0" t="n">
        <f aca="false">F1376</f>
        <v>0.375</v>
      </c>
      <c r="K1376" s="0" t="n">
        <f aca="false">D1376*E1376</f>
        <v>-0.25</v>
      </c>
      <c r="L1376" s="0" t="n">
        <f aca="false">D1376*F1376</f>
        <v>-0.1875</v>
      </c>
      <c r="M1376" s="0" t="n">
        <f aca="false">E1376*F1376</f>
        <v>0.1875</v>
      </c>
      <c r="N1376" s="0" t="n">
        <f aca="false">D1376*D1376</f>
        <v>0.25</v>
      </c>
      <c r="O1376" s="0" t="n">
        <f aca="false">E1376*E1376</f>
        <v>0.25</v>
      </c>
      <c r="P1376" s="0" t="n">
        <f aca="false">F1376*F1376</f>
        <v>0.140625</v>
      </c>
      <c r="Q1376" s="0" t="n">
        <f aca="false">SUMPRODUCT(G1376:P1376,_XtX!$B$71:$K$71)</f>
        <v>47.13796875</v>
      </c>
      <c r="R1376" s="0" t="n">
        <f aca="false">SUMPRODUCT(MMULT(G1376:P1376,_XtX!$B$58:$K$67),G1376:P1376)</f>
        <v>0.15703125</v>
      </c>
      <c r="S1376" s="0" t="n">
        <f aca="false">04_回帰ANOVA!$K$19*04_回帰ANOVA!$K$14*SQRT(1+R1376)</f>
        <v>1.00009022049162</v>
      </c>
      <c r="T1376" s="0" t="n">
        <f aca="false">Q1376-S1376</f>
        <v>46.1378785295084</v>
      </c>
      <c r="U1376" s="0" t="n">
        <f aca="false">Q1376+S1376</f>
        <v>48.1380589704916</v>
      </c>
      <c r="V1376" s="54" t="b">
        <f aca="false">AND(D1376&gt;=01_因子設定!$L$5-0.000000001,D1376&lt;=01_因子設定!$M$5+0.000000001,E1376&gt;=01_因子設定!$L$6-0.000000001,E1376&lt;=01_因子設定!$M$6+0.000000001,F1376&gt;=01_因子設定!$L$7-0.000000001,F1376&lt;=01_因子設定!$M$7+0.000000001,IF(01_因子設定!$B$20="Box-Behnken",D1376^2+E1376^2+F1376^2&lt;=2+0.000000001,TRUE()))</f>
        <v>1</v>
      </c>
      <c r="W1376" s="55" t="n">
        <f aca="false">IF(V1376,IF(01_因子設定!$B$13="最大化",T1376-01_因子設定!$B$14,IF(01_因子設定!$B$13="最小化",01_因子設定!$B$15-U1376,MIN(T1376-01_因子設定!$B$14,01_因子設定!$B$15-U1376))),-1E+030)</f>
        <v>-2.36212147049162</v>
      </c>
      <c r="X1376" s="55" t="n">
        <f aca="false">IF(V1376,IF(01_因子設定!$B$13="最大化",Q1376,IF(01_因子設定!$B$13="最小化",-Q1376,-ABS(Q1376-01_因子設定!$B$16))),-1E+030)</f>
        <v>47.13796875</v>
      </c>
      <c r="Y1376" s="55" t="n">
        <f aca="false">W1376+ROW()*0.000000001</f>
        <v>-2.36212009449162</v>
      </c>
      <c r="Z1376" s="55" t="n">
        <f aca="false">X1376+ROW()*0.000000001</f>
        <v>47.137970126</v>
      </c>
    </row>
    <row r="1377" customFormat="false" ht="15" hidden="false" customHeight="false" outlineLevel="0" collapsed="false">
      <c r="A1377" s="0" t="n">
        <v>4</v>
      </c>
      <c r="B1377" s="0" t="n">
        <v>12</v>
      </c>
      <c r="C1377" s="0" t="n">
        <v>12</v>
      </c>
      <c r="D1377" s="0" t="n">
        <f aca="false">-1+A1377*0.125</f>
        <v>-0.5</v>
      </c>
      <c r="E1377" s="0" t="n">
        <f aca="false">-1+B1377*0.125</f>
        <v>0.5</v>
      </c>
      <c r="F1377" s="0" t="n">
        <f aca="false">-1+C1377*0.125</f>
        <v>0.5</v>
      </c>
      <c r="G1377" s="0" t="n">
        <f aca="false">1</f>
        <v>1</v>
      </c>
      <c r="H1377" s="0" t="n">
        <f aca="false">D1377</f>
        <v>-0.5</v>
      </c>
      <c r="I1377" s="0" t="n">
        <f aca="false">E1377</f>
        <v>0.5</v>
      </c>
      <c r="J1377" s="0" t="n">
        <f aca="false">F1377</f>
        <v>0.5</v>
      </c>
      <c r="K1377" s="0" t="n">
        <f aca="false">D1377*E1377</f>
        <v>-0.25</v>
      </c>
      <c r="L1377" s="0" t="n">
        <f aca="false">D1377*F1377</f>
        <v>-0.25</v>
      </c>
      <c r="M1377" s="0" t="n">
        <f aca="false">E1377*F1377</f>
        <v>0.25</v>
      </c>
      <c r="N1377" s="0" t="n">
        <f aca="false">D1377*D1377</f>
        <v>0.25</v>
      </c>
      <c r="O1377" s="0" t="n">
        <f aca="false">E1377*E1377</f>
        <v>0.25</v>
      </c>
      <c r="P1377" s="0" t="n">
        <f aca="false">F1377*F1377</f>
        <v>0.25</v>
      </c>
      <c r="Q1377" s="0" t="n">
        <f aca="false">SUMPRODUCT(G1377:P1377,_XtX!$B$71:$K$71)</f>
        <v>47.2192045454546</v>
      </c>
      <c r="R1377" s="0" t="n">
        <f aca="false">SUMPRODUCT(MMULT(G1377:P1377,_XtX!$B$58:$K$67),G1377:P1377)</f>
        <v>0.165482954545455</v>
      </c>
      <c r="S1377" s="0" t="n">
        <f aca="false">04_回帰ANOVA!$K$19*04_回帰ANOVA!$K$14*SQRT(1+R1377)</f>
        <v>1.00373622729159</v>
      </c>
      <c r="T1377" s="0" t="n">
        <f aca="false">Q1377-S1377</f>
        <v>46.215468318163</v>
      </c>
      <c r="U1377" s="0" t="n">
        <f aca="false">Q1377+S1377</f>
        <v>48.2229407727461</v>
      </c>
      <c r="V1377" s="54" t="b">
        <f aca="false">AND(D1377&gt;=01_因子設定!$L$5-0.000000001,D1377&lt;=01_因子設定!$M$5+0.000000001,E1377&gt;=01_因子設定!$L$6-0.000000001,E1377&lt;=01_因子設定!$M$6+0.000000001,F1377&gt;=01_因子設定!$L$7-0.000000001,F1377&lt;=01_因子設定!$M$7+0.000000001,IF(01_因子設定!$B$20="Box-Behnken",D1377^2+E1377^2+F1377^2&lt;=2+0.000000001,TRUE()))</f>
        <v>1</v>
      </c>
      <c r="W1377" s="55" t="n">
        <f aca="false">IF(V1377,IF(01_因子設定!$B$13="最大化",T1377-01_因子設定!$B$14,IF(01_因子設定!$B$13="最小化",01_因子設定!$B$15-U1377,MIN(T1377-01_因子設定!$B$14,01_因子設定!$B$15-U1377))),-1E+030)</f>
        <v>-2.28453168183703</v>
      </c>
      <c r="X1377" s="55" t="n">
        <f aca="false">IF(V1377,IF(01_因子設定!$B$13="最大化",Q1377,IF(01_因子設定!$B$13="最小化",-Q1377,-ABS(Q1377-01_因子設定!$B$16))),-1E+030)</f>
        <v>47.2192045454546</v>
      </c>
      <c r="Y1377" s="55" t="n">
        <f aca="false">W1377+ROW()*0.000000001</f>
        <v>-2.28453030483703</v>
      </c>
      <c r="Z1377" s="55" t="n">
        <f aca="false">X1377+ROW()*0.000000001</f>
        <v>47.2192059224546</v>
      </c>
    </row>
    <row r="1378" customFormat="false" ht="15" hidden="false" customHeight="false" outlineLevel="0" collapsed="false">
      <c r="A1378" s="0" t="n">
        <v>4</v>
      </c>
      <c r="B1378" s="0" t="n">
        <v>12</v>
      </c>
      <c r="C1378" s="0" t="n">
        <v>13</v>
      </c>
      <c r="D1378" s="0" t="n">
        <f aca="false">-1+A1378*0.125</f>
        <v>-0.5</v>
      </c>
      <c r="E1378" s="0" t="n">
        <f aca="false">-1+B1378*0.125</f>
        <v>0.5</v>
      </c>
      <c r="F1378" s="0" t="n">
        <f aca="false">-1+C1378*0.125</f>
        <v>0.625</v>
      </c>
      <c r="G1378" s="0" t="n">
        <f aca="false">1</f>
        <v>1</v>
      </c>
      <c r="H1378" s="0" t="n">
        <f aca="false">D1378</f>
        <v>-0.5</v>
      </c>
      <c r="I1378" s="0" t="n">
        <f aca="false">E1378</f>
        <v>0.5</v>
      </c>
      <c r="J1378" s="0" t="n">
        <f aca="false">F1378</f>
        <v>0.625</v>
      </c>
      <c r="K1378" s="0" t="n">
        <f aca="false">D1378*E1378</f>
        <v>-0.25</v>
      </c>
      <c r="L1378" s="0" t="n">
        <f aca="false">D1378*F1378</f>
        <v>-0.3125</v>
      </c>
      <c r="M1378" s="0" t="n">
        <f aca="false">E1378*F1378</f>
        <v>0.3125</v>
      </c>
      <c r="N1378" s="0" t="n">
        <f aca="false">D1378*D1378</f>
        <v>0.25</v>
      </c>
      <c r="O1378" s="0" t="n">
        <f aca="false">E1378*E1378</f>
        <v>0.25</v>
      </c>
      <c r="P1378" s="0" t="n">
        <f aca="false">F1378*F1378</f>
        <v>0.390625</v>
      </c>
      <c r="Q1378" s="0" t="n">
        <f aca="false">SUMPRODUCT(G1378:P1378,_XtX!$B$71:$K$71)</f>
        <v>47.2636505681818</v>
      </c>
      <c r="R1378" s="0" t="n">
        <f aca="false">SUMPRODUCT(MMULT(G1378:P1378,_XtX!$B$58:$K$67),G1378:P1378)</f>
        <v>0.189133522727273</v>
      </c>
      <c r="S1378" s="0" t="n">
        <f aca="false">04_回帰ANOVA!$K$19*04_回帰ANOVA!$K$14*SQRT(1+R1378)</f>
        <v>1.0138692404042</v>
      </c>
      <c r="T1378" s="0" t="n">
        <f aca="false">Q1378-S1378</f>
        <v>46.2497813277776</v>
      </c>
      <c r="U1378" s="0" t="n">
        <f aca="false">Q1378+S1378</f>
        <v>48.277519808586</v>
      </c>
      <c r="V1378" s="54" t="b">
        <f aca="false">AND(D1378&gt;=01_因子設定!$L$5-0.000000001,D1378&lt;=01_因子設定!$M$5+0.000000001,E1378&gt;=01_因子設定!$L$6-0.000000001,E1378&lt;=01_因子設定!$M$6+0.000000001,F1378&gt;=01_因子設定!$L$7-0.000000001,F1378&lt;=01_因子設定!$M$7+0.000000001,IF(01_因子設定!$B$20="Box-Behnken",D1378^2+E1378^2+F1378^2&lt;=2+0.000000001,TRUE()))</f>
        <v>1</v>
      </c>
      <c r="W1378" s="55" t="n">
        <f aca="false">IF(V1378,IF(01_因子設定!$B$13="最大化",T1378-01_因子設定!$B$14,IF(01_因子設定!$B$13="最小化",01_因子設定!$B$15-U1378,MIN(T1378-01_因子設定!$B$14,01_因子設定!$B$15-U1378))),-1E+030)</f>
        <v>-2.25021867222237</v>
      </c>
      <c r="X1378" s="55" t="n">
        <f aca="false">IF(V1378,IF(01_因子設定!$B$13="最大化",Q1378,IF(01_因子設定!$B$13="最小化",-Q1378,-ABS(Q1378-01_因子設定!$B$16))),-1E+030)</f>
        <v>47.2636505681818</v>
      </c>
      <c r="Y1378" s="55" t="n">
        <f aca="false">W1378+ROW()*0.000000001</f>
        <v>-2.25021729422237</v>
      </c>
      <c r="Z1378" s="55" t="n">
        <f aca="false">X1378+ROW()*0.000000001</f>
        <v>47.2636519461818</v>
      </c>
    </row>
    <row r="1379" customFormat="false" ht="15" hidden="false" customHeight="false" outlineLevel="0" collapsed="false">
      <c r="A1379" s="0" t="n">
        <v>4</v>
      </c>
      <c r="B1379" s="0" t="n">
        <v>12</v>
      </c>
      <c r="C1379" s="0" t="n">
        <v>14</v>
      </c>
      <c r="D1379" s="0" t="n">
        <f aca="false">-1+A1379*0.125</f>
        <v>-0.5</v>
      </c>
      <c r="E1379" s="0" t="n">
        <f aca="false">-1+B1379*0.125</f>
        <v>0.5</v>
      </c>
      <c r="F1379" s="0" t="n">
        <f aca="false">-1+C1379*0.125</f>
        <v>0.75</v>
      </c>
      <c r="G1379" s="0" t="n">
        <f aca="false">1</f>
        <v>1</v>
      </c>
      <c r="H1379" s="0" t="n">
        <f aca="false">D1379</f>
        <v>-0.5</v>
      </c>
      <c r="I1379" s="0" t="n">
        <f aca="false">E1379</f>
        <v>0.5</v>
      </c>
      <c r="J1379" s="0" t="n">
        <f aca="false">F1379</f>
        <v>0.75</v>
      </c>
      <c r="K1379" s="0" t="n">
        <f aca="false">D1379*E1379</f>
        <v>-0.25</v>
      </c>
      <c r="L1379" s="0" t="n">
        <f aca="false">D1379*F1379</f>
        <v>-0.375</v>
      </c>
      <c r="M1379" s="0" t="n">
        <f aca="false">E1379*F1379</f>
        <v>0.375</v>
      </c>
      <c r="N1379" s="0" t="n">
        <f aca="false">D1379*D1379</f>
        <v>0.25</v>
      </c>
      <c r="O1379" s="0" t="n">
        <f aca="false">E1379*E1379</f>
        <v>0.25</v>
      </c>
      <c r="P1379" s="0" t="n">
        <f aca="false">F1379*F1379</f>
        <v>0.5625</v>
      </c>
      <c r="Q1379" s="0" t="n">
        <f aca="false">SUMPRODUCT(G1379:P1379,_XtX!$B$71:$K$71)</f>
        <v>47.2713068181818</v>
      </c>
      <c r="R1379" s="0" t="n">
        <f aca="false">SUMPRODUCT(MMULT(G1379:P1379,_XtX!$B$58:$K$67),G1379:P1379)</f>
        <v>0.237571022727273</v>
      </c>
      <c r="S1379" s="0" t="n">
        <f aca="false">04_回帰ANOVA!$K$19*04_回帰ANOVA!$K$14*SQRT(1+R1379)</f>
        <v>1.0343123302758</v>
      </c>
      <c r="T1379" s="0" t="n">
        <f aca="false">Q1379-S1379</f>
        <v>46.236994487906</v>
      </c>
      <c r="U1379" s="0" t="n">
        <f aca="false">Q1379+S1379</f>
        <v>48.3056191484576</v>
      </c>
      <c r="V1379" s="54" t="b">
        <f aca="false">AND(D1379&gt;=01_因子設定!$L$5-0.000000001,D1379&lt;=01_因子設定!$M$5+0.000000001,E1379&gt;=01_因子設定!$L$6-0.000000001,E1379&lt;=01_因子設定!$M$6+0.000000001,F1379&gt;=01_因子設定!$L$7-0.000000001,F1379&lt;=01_因子設定!$M$7+0.000000001,IF(01_因子設定!$B$20="Box-Behnken",D1379^2+E1379^2+F1379^2&lt;=2+0.000000001,TRUE()))</f>
        <v>1</v>
      </c>
      <c r="W1379" s="55" t="n">
        <f aca="false">IF(V1379,IF(01_因子設定!$B$13="最大化",T1379-01_因子設定!$B$14,IF(01_因子設定!$B$13="最小化",01_因子設定!$B$15-U1379,MIN(T1379-01_因子設定!$B$14,01_因子設定!$B$15-U1379))),-1E+030)</f>
        <v>-2.26300551209397</v>
      </c>
      <c r="X1379" s="55" t="n">
        <f aca="false">IF(V1379,IF(01_因子設定!$B$13="最大化",Q1379,IF(01_因子設定!$B$13="最小化",-Q1379,-ABS(Q1379-01_因子設定!$B$16))),-1E+030)</f>
        <v>47.2713068181818</v>
      </c>
      <c r="Y1379" s="55" t="n">
        <f aca="false">W1379+ROW()*0.000000001</f>
        <v>-2.26300413309397</v>
      </c>
      <c r="Z1379" s="55" t="n">
        <f aca="false">X1379+ROW()*0.000000001</f>
        <v>47.2713081971818</v>
      </c>
    </row>
    <row r="1380" customFormat="false" ht="15" hidden="false" customHeight="false" outlineLevel="0" collapsed="false">
      <c r="A1380" s="0" t="n">
        <v>4</v>
      </c>
      <c r="B1380" s="0" t="n">
        <v>12</v>
      </c>
      <c r="C1380" s="0" t="n">
        <v>15</v>
      </c>
      <c r="D1380" s="0" t="n">
        <f aca="false">-1+A1380*0.125</f>
        <v>-0.5</v>
      </c>
      <c r="E1380" s="0" t="n">
        <f aca="false">-1+B1380*0.125</f>
        <v>0.5</v>
      </c>
      <c r="F1380" s="0" t="n">
        <f aca="false">-1+C1380*0.125</f>
        <v>0.875</v>
      </c>
      <c r="G1380" s="0" t="n">
        <f aca="false">1</f>
        <v>1</v>
      </c>
      <c r="H1380" s="0" t="n">
        <f aca="false">D1380</f>
        <v>-0.5</v>
      </c>
      <c r="I1380" s="0" t="n">
        <f aca="false">E1380</f>
        <v>0.5</v>
      </c>
      <c r="J1380" s="0" t="n">
        <f aca="false">F1380</f>
        <v>0.875</v>
      </c>
      <c r="K1380" s="0" t="n">
        <f aca="false">D1380*E1380</f>
        <v>-0.25</v>
      </c>
      <c r="L1380" s="0" t="n">
        <f aca="false">D1380*F1380</f>
        <v>-0.4375</v>
      </c>
      <c r="M1380" s="0" t="n">
        <f aca="false">E1380*F1380</f>
        <v>0.4375</v>
      </c>
      <c r="N1380" s="0" t="n">
        <f aca="false">D1380*D1380</f>
        <v>0.25</v>
      </c>
      <c r="O1380" s="0" t="n">
        <f aca="false">E1380*E1380</f>
        <v>0.25</v>
      </c>
      <c r="P1380" s="0" t="n">
        <f aca="false">F1380*F1380</f>
        <v>0.765625</v>
      </c>
      <c r="Q1380" s="0" t="n">
        <f aca="false">SUMPRODUCT(G1380:P1380,_XtX!$B$71:$K$71)</f>
        <v>47.2421732954546</v>
      </c>
      <c r="R1380" s="0" t="n">
        <f aca="false">SUMPRODUCT(MMULT(G1380:P1380,_XtX!$B$58:$K$67),G1380:P1380)</f>
        <v>0.322514204545455</v>
      </c>
      <c r="S1380" s="0" t="n">
        <f aca="false">04_回帰ANOVA!$K$19*04_回帰ANOVA!$K$14*SQRT(1+R1380)</f>
        <v>1.0692193475064</v>
      </c>
      <c r="T1380" s="0" t="n">
        <f aca="false">Q1380-S1380</f>
        <v>46.1729539479482</v>
      </c>
      <c r="U1380" s="0" t="n">
        <f aca="false">Q1380+S1380</f>
        <v>48.311392642961</v>
      </c>
      <c r="V1380" s="54" t="b">
        <f aca="false">AND(D1380&gt;=01_因子設定!$L$5-0.000000001,D1380&lt;=01_因子設定!$M$5+0.000000001,E1380&gt;=01_因子設定!$L$6-0.000000001,E1380&lt;=01_因子設定!$M$6+0.000000001,F1380&gt;=01_因子設定!$L$7-0.000000001,F1380&lt;=01_因子設定!$M$7+0.000000001,IF(01_因子設定!$B$20="Box-Behnken",D1380^2+E1380^2+F1380^2&lt;=2+0.000000001,TRUE()))</f>
        <v>1</v>
      </c>
      <c r="W1380" s="55" t="n">
        <f aca="false">IF(V1380,IF(01_因子設定!$B$13="最大化",T1380-01_因子設定!$B$14,IF(01_因子設定!$B$13="最小化",01_因子設定!$B$15-U1380,MIN(T1380-01_因子設定!$B$14,01_因子設定!$B$15-U1380))),-1E+030)</f>
        <v>-2.32704605205184</v>
      </c>
      <c r="X1380" s="55" t="n">
        <f aca="false">IF(V1380,IF(01_因子設定!$B$13="最大化",Q1380,IF(01_因子設定!$B$13="最小化",-Q1380,-ABS(Q1380-01_因子設定!$B$16))),-1E+030)</f>
        <v>47.2421732954546</v>
      </c>
      <c r="Y1380" s="55" t="n">
        <f aca="false">W1380+ROW()*0.000000001</f>
        <v>-2.32704467205184</v>
      </c>
      <c r="Z1380" s="55" t="n">
        <f aca="false">X1380+ROW()*0.000000001</f>
        <v>47.2421746754546</v>
      </c>
    </row>
    <row r="1381" customFormat="false" ht="15" hidden="false" customHeight="false" outlineLevel="0" collapsed="false">
      <c r="A1381" s="0" t="n">
        <v>4</v>
      </c>
      <c r="B1381" s="0" t="n">
        <v>12</v>
      </c>
      <c r="C1381" s="0" t="n">
        <v>16</v>
      </c>
      <c r="D1381" s="0" t="n">
        <f aca="false">-1+A1381*0.125</f>
        <v>-0.5</v>
      </c>
      <c r="E1381" s="0" t="n">
        <f aca="false">-1+B1381*0.125</f>
        <v>0.5</v>
      </c>
      <c r="F1381" s="0" t="n">
        <f aca="false">-1+C1381*0.125</f>
        <v>1</v>
      </c>
      <c r="G1381" s="0" t="n">
        <f aca="false">1</f>
        <v>1</v>
      </c>
      <c r="H1381" s="0" t="n">
        <f aca="false">D1381</f>
        <v>-0.5</v>
      </c>
      <c r="I1381" s="0" t="n">
        <f aca="false">E1381</f>
        <v>0.5</v>
      </c>
      <c r="J1381" s="0" t="n">
        <f aca="false">F1381</f>
        <v>1</v>
      </c>
      <c r="K1381" s="0" t="n">
        <f aca="false">D1381*E1381</f>
        <v>-0.25</v>
      </c>
      <c r="L1381" s="0" t="n">
        <f aca="false">D1381*F1381</f>
        <v>-0.5</v>
      </c>
      <c r="M1381" s="0" t="n">
        <f aca="false">E1381*F1381</f>
        <v>0.5</v>
      </c>
      <c r="N1381" s="0" t="n">
        <f aca="false">D1381*D1381</f>
        <v>0.25</v>
      </c>
      <c r="O1381" s="0" t="n">
        <f aca="false">E1381*E1381</f>
        <v>0.25</v>
      </c>
      <c r="P1381" s="0" t="n">
        <f aca="false">F1381*F1381</f>
        <v>1</v>
      </c>
      <c r="Q1381" s="0" t="n">
        <f aca="false">SUMPRODUCT(G1381:P1381,_XtX!$B$71:$K$71)</f>
        <v>47.17625</v>
      </c>
      <c r="R1381" s="0" t="n">
        <f aca="false">SUMPRODUCT(MMULT(G1381:P1381,_XtX!$B$58:$K$67),G1381:P1381)</f>
        <v>0.4578125</v>
      </c>
      <c r="S1381" s="0" t="n">
        <f aca="false">04_回帰ANOVA!$K$19*04_回帰ANOVA!$K$14*SQRT(1+R1381)</f>
        <v>1.12258044051089</v>
      </c>
      <c r="T1381" s="0" t="n">
        <f aca="false">Q1381-S1381</f>
        <v>46.0536695594891</v>
      </c>
      <c r="U1381" s="0" t="n">
        <f aca="false">Q1381+S1381</f>
        <v>48.2988304405109</v>
      </c>
      <c r="V1381" s="54" t="b">
        <f aca="false">AND(D1381&gt;=01_因子設定!$L$5-0.000000001,D1381&lt;=01_因子設定!$M$5+0.000000001,E1381&gt;=01_因子設定!$L$6-0.000000001,E1381&lt;=01_因子設定!$M$6+0.000000001,F1381&gt;=01_因子設定!$L$7-0.000000001,F1381&lt;=01_因子設定!$M$7+0.000000001,IF(01_因子設定!$B$20="Box-Behnken",D1381^2+E1381^2+F1381^2&lt;=2+0.000000001,TRUE()))</f>
        <v>1</v>
      </c>
      <c r="W1381" s="55" t="n">
        <f aca="false">IF(V1381,IF(01_因子設定!$B$13="最大化",T1381-01_因子設定!$B$14,IF(01_因子設定!$B$13="最小化",01_因子設定!$B$15-U1381,MIN(T1381-01_因子設定!$B$14,01_因子設定!$B$15-U1381))),-1E+030)</f>
        <v>-2.44633044051086</v>
      </c>
      <c r="X1381" s="55" t="n">
        <f aca="false">IF(V1381,IF(01_因子設定!$B$13="最大化",Q1381,IF(01_因子設定!$B$13="最小化",-Q1381,-ABS(Q1381-01_因子設定!$B$16))),-1E+030)</f>
        <v>47.17625</v>
      </c>
      <c r="Y1381" s="55" t="n">
        <f aca="false">W1381+ROW()*0.000000001</f>
        <v>-2.44632905951086</v>
      </c>
      <c r="Z1381" s="55" t="n">
        <f aca="false">X1381+ROW()*0.000000001</f>
        <v>47.176251381</v>
      </c>
    </row>
    <row r="1382" customFormat="false" ht="15" hidden="false" customHeight="false" outlineLevel="0" collapsed="false">
      <c r="A1382" s="0" t="n">
        <v>4</v>
      </c>
      <c r="B1382" s="0" t="n">
        <v>13</v>
      </c>
      <c r="C1382" s="0" t="n">
        <v>0</v>
      </c>
      <c r="D1382" s="0" t="n">
        <f aca="false">-1+A1382*0.125</f>
        <v>-0.5</v>
      </c>
      <c r="E1382" s="0" t="n">
        <f aca="false">-1+B1382*0.125</f>
        <v>0.625</v>
      </c>
      <c r="F1382" s="0" t="n">
        <f aca="false">-1+C1382*0.125</f>
        <v>-1</v>
      </c>
      <c r="G1382" s="0" t="n">
        <f aca="false">1</f>
        <v>1</v>
      </c>
      <c r="H1382" s="0" t="n">
        <f aca="false">D1382</f>
        <v>-0.5</v>
      </c>
      <c r="I1382" s="0" t="n">
        <f aca="false">E1382</f>
        <v>0.625</v>
      </c>
      <c r="J1382" s="0" t="n">
        <f aca="false">F1382</f>
        <v>-1</v>
      </c>
      <c r="K1382" s="0" t="n">
        <f aca="false">D1382*E1382</f>
        <v>-0.3125</v>
      </c>
      <c r="L1382" s="0" t="n">
        <f aca="false">D1382*F1382</f>
        <v>0.5</v>
      </c>
      <c r="M1382" s="0" t="n">
        <f aca="false">E1382*F1382</f>
        <v>-0.625</v>
      </c>
      <c r="N1382" s="0" t="n">
        <f aca="false">D1382*D1382</f>
        <v>0.25</v>
      </c>
      <c r="O1382" s="0" t="n">
        <f aca="false">E1382*E1382</f>
        <v>0.390625</v>
      </c>
      <c r="P1382" s="0" t="n">
        <f aca="false">F1382*F1382</f>
        <v>1</v>
      </c>
      <c r="Q1382" s="0" t="n">
        <f aca="false">SUMPRODUCT(G1382:P1382,_XtX!$B$71:$K$71)</f>
        <v>43.6571022727273</v>
      </c>
      <c r="R1382" s="0" t="n">
        <f aca="false">SUMPRODUCT(MMULT(G1382:P1382,_XtX!$B$58:$K$67),G1382:P1382)</f>
        <v>0.465882457386364</v>
      </c>
      <c r="S1382" s="0" t="n">
        <f aca="false">04_回帰ANOVA!$K$19*04_回帰ANOVA!$K$14*SQRT(1+R1382)</f>
        <v>1.12568326538173</v>
      </c>
      <c r="T1382" s="0" t="n">
        <f aca="false">Q1382-S1382</f>
        <v>42.5314190073456</v>
      </c>
      <c r="U1382" s="0" t="n">
        <f aca="false">Q1382+S1382</f>
        <v>44.782785538109</v>
      </c>
      <c r="V1382" s="54" t="b">
        <f aca="false">AND(D1382&gt;=01_因子設定!$L$5-0.000000001,D1382&lt;=01_因子設定!$M$5+0.000000001,E1382&gt;=01_因子設定!$L$6-0.000000001,E1382&lt;=01_因子設定!$M$6+0.000000001,F1382&gt;=01_因子設定!$L$7-0.000000001,F1382&lt;=01_因子設定!$M$7+0.000000001,IF(01_因子設定!$B$20="Box-Behnken",D1382^2+E1382^2+F1382^2&lt;=2+0.000000001,TRUE()))</f>
        <v>1</v>
      </c>
      <c r="W1382" s="55" t="n">
        <f aca="false">IF(V1382,IF(01_因子設定!$B$13="最大化",T1382-01_因子設定!$B$14,IF(01_因子設定!$B$13="最小化",01_因子設定!$B$15-U1382,MIN(T1382-01_因子設定!$B$14,01_因子設定!$B$15-U1382))),-1E+030)</f>
        <v>-5.96858099265442</v>
      </c>
      <c r="X1382" s="55" t="n">
        <f aca="false">IF(V1382,IF(01_因子設定!$B$13="最大化",Q1382,IF(01_因子設定!$B$13="最小化",-Q1382,-ABS(Q1382-01_因子設定!$B$16))),-1E+030)</f>
        <v>43.6571022727273</v>
      </c>
      <c r="Y1382" s="55" t="n">
        <f aca="false">W1382+ROW()*0.000000001</f>
        <v>-5.96857961065442</v>
      </c>
      <c r="Z1382" s="55" t="n">
        <f aca="false">X1382+ROW()*0.000000001</f>
        <v>43.6571036547273</v>
      </c>
    </row>
    <row r="1383" customFormat="false" ht="15" hidden="false" customHeight="false" outlineLevel="0" collapsed="false">
      <c r="A1383" s="0" t="n">
        <v>4</v>
      </c>
      <c r="B1383" s="0" t="n">
        <v>13</v>
      </c>
      <c r="C1383" s="0" t="n">
        <v>1</v>
      </c>
      <c r="D1383" s="0" t="n">
        <f aca="false">-1+A1383*0.125</f>
        <v>-0.5</v>
      </c>
      <c r="E1383" s="0" t="n">
        <f aca="false">-1+B1383*0.125</f>
        <v>0.625</v>
      </c>
      <c r="F1383" s="0" t="n">
        <f aca="false">-1+C1383*0.125</f>
        <v>-0.875</v>
      </c>
      <c r="G1383" s="0" t="n">
        <f aca="false">1</f>
        <v>1</v>
      </c>
      <c r="H1383" s="0" t="n">
        <f aca="false">D1383</f>
        <v>-0.5</v>
      </c>
      <c r="I1383" s="0" t="n">
        <f aca="false">E1383</f>
        <v>0.625</v>
      </c>
      <c r="J1383" s="0" t="n">
        <f aca="false">F1383</f>
        <v>-0.875</v>
      </c>
      <c r="K1383" s="0" t="n">
        <f aca="false">D1383*E1383</f>
        <v>-0.3125</v>
      </c>
      <c r="L1383" s="0" t="n">
        <f aca="false">D1383*F1383</f>
        <v>0.4375</v>
      </c>
      <c r="M1383" s="0" t="n">
        <f aca="false">E1383*F1383</f>
        <v>-0.546875</v>
      </c>
      <c r="N1383" s="0" t="n">
        <f aca="false">D1383*D1383</f>
        <v>0.25</v>
      </c>
      <c r="O1383" s="0" t="n">
        <f aca="false">E1383*E1383</f>
        <v>0.390625</v>
      </c>
      <c r="P1383" s="0" t="n">
        <f aca="false">F1383*F1383</f>
        <v>0.765625</v>
      </c>
      <c r="Q1383" s="0" t="n">
        <f aca="false">SUMPRODUCT(G1383:P1383,_XtX!$B$71:$K$71)</f>
        <v>44.1500568181818</v>
      </c>
      <c r="R1383" s="0" t="n">
        <f aca="false">SUMPRODUCT(MMULT(G1383:P1383,_XtX!$B$58:$K$67),G1383:P1383)</f>
        <v>0.335453102805398</v>
      </c>
      <c r="S1383" s="0" t="n">
        <f aca="false">04_回帰ANOVA!$K$19*04_回帰ANOVA!$K$14*SQRT(1+R1383)</f>
        <v>1.07443700305628</v>
      </c>
      <c r="T1383" s="0" t="n">
        <f aca="false">Q1383-S1383</f>
        <v>43.0756198151256</v>
      </c>
      <c r="U1383" s="0" t="n">
        <f aca="false">Q1383+S1383</f>
        <v>45.2244938212381</v>
      </c>
      <c r="V1383" s="54" t="b">
        <f aca="false">AND(D1383&gt;=01_因子設定!$L$5-0.000000001,D1383&lt;=01_因子設定!$M$5+0.000000001,E1383&gt;=01_因子設定!$L$6-0.000000001,E1383&lt;=01_因子設定!$M$6+0.000000001,F1383&gt;=01_因子設定!$L$7-0.000000001,F1383&lt;=01_因子設定!$M$7+0.000000001,IF(01_因子設定!$B$20="Box-Behnken",D1383^2+E1383^2+F1383^2&lt;=2+0.000000001,TRUE()))</f>
        <v>1</v>
      </c>
      <c r="W1383" s="55" t="n">
        <f aca="false">IF(V1383,IF(01_因子設定!$B$13="最大化",T1383-01_因子設定!$B$14,IF(01_因子設定!$B$13="最小化",01_因子設定!$B$15-U1383,MIN(T1383-01_因子設定!$B$14,01_因子設定!$B$15-U1383))),-1E+030)</f>
        <v>-5.42438018487444</v>
      </c>
      <c r="X1383" s="55" t="n">
        <f aca="false">IF(V1383,IF(01_因子設定!$B$13="最大化",Q1383,IF(01_因子設定!$B$13="最小化",-Q1383,-ABS(Q1383-01_因子設定!$B$16))),-1E+030)</f>
        <v>44.1500568181818</v>
      </c>
      <c r="Y1383" s="55" t="n">
        <f aca="false">W1383+ROW()*0.000000001</f>
        <v>-5.42437880187444</v>
      </c>
      <c r="Z1383" s="55" t="n">
        <f aca="false">X1383+ROW()*0.000000001</f>
        <v>44.1500582011818</v>
      </c>
    </row>
    <row r="1384" customFormat="false" ht="15" hidden="false" customHeight="false" outlineLevel="0" collapsed="false">
      <c r="A1384" s="0" t="n">
        <v>4</v>
      </c>
      <c r="B1384" s="0" t="n">
        <v>13</v>
      </c>
      <c r="C1384" s="0" t="n">
        <v>2</v>
      </c>
      <c r="D1384" s="0" t="n">
        <f aca="false">-1+A1384*0.125</f>
        <v>-0.5</v>
      </c>
      <c r="E1384" s="0" t="n">
        <f aca="false">-1+B1384*0.125</f>
        <v>0.625</v>
      </c>
      <c r="F1384" s="0" t="n">
        <f aca="false">-1+C1384*0.125</f>
        <v>-0.75</v>
      </c>
      <c r="G1384" s="0" t="n">
        <f aca="false">1</f>
        <v>1</v>
      </c>
      <c r="H1384" s="0" t="n">
        <f aca="false">D1384</f>
        <v>-0.5</v>
      </c>
      <c r="I1384" s="0" t="n">
        <f aca="false">E1384</f>
        <v>0.625</v>
      </c>
      <c r="J1384" s="0" t="n">
        <f aca="false">F1384</f>
        <v>-0.75</v>
      </c>
      <c r="K1384" s="0" t="n">
        <f aca="false">D1384*E1384</f>
        <v>-0.3125</v>
      </c>
      <c r="L1384" s="0" t="n">
        <f aca="false">D1384*F1384</f>
        <v>0.375</v>
      </c>
      <c r="M1384" s="0" t="n">
        <f aca="false">E1384*F1384</f>
        <v>-0.46875</v>
      </c>
      <c r="N1384" s="0" t="n">
        <f aca="false">D1384*D1384</f>
        <v>0.25</v>
      </c>
      <c r="O1384" s="0" t="n">
        <f aca="false">E1384*E1384</f>
        <v>0.390625</v>
      </c>
      <c r="P1384" s="0" t="n">
        <f aca="false">F1384*F1384</f>
        <v>0.5625</v>
      </c>
      <c r="Q1384" s="0" t="n">
        <f aca="false">SUMPRODUCT(G1384:P1384,_XtX!$B$71:$K$71)</f>
        <v>44.6062215909091</v>
      </c>
      <c r="R1384" s="0" t="n">
        <f aca="false">SUMPRODUCT(MMULT(G1384:P1384,_XtX!$B$58:$K$67),G1384:P1384)</f>
        <v>0.254729669744318</v>
      </c>
      <c r="S1384" s="0" t="n">
        <f aca="false">04_回帰ANOVA!$K$19*04_回帰ANOVA!$K$14*SQRT(1+R1384)</f>
        <v>1.04145790281631</v>
      </c>
      <c r="T1384" s="0" t="n">
        <f aca="false">Q1384-S1384</f>
        <v>43.5647636880928</v>
      </c>
      <c r="U1384" s="0" t="n">
        <f aca="false">Q1384+S1384</f>
        <v>45.6476794937254</v>
      </c>
      <c r="V1384" s="54" t="b">
        <f aca="false">AND(D1384&gt;=01_因子設定!$L$5-0.000000001,D1384&lt;=01_因子設定!$M$5+0.000000001,E1384&gt;=01_因子設定!$L$6-0.000000001,E1384&lt;=01_因子設定!$M$6+0.000000001,F1384&gt;=01_因子設定!$L$7-0.000000001,F1384&lt;=01_因子設定!$M$7+0.000000001,IF(01_因子設定!$B$20="Box-Behnken",D1384^2+E1384^2+F1384^2&lt;=2+0.000000001,TRUE()))</f>
        <v>1</v>
      </c>
      <c r="W1384" s="55" t="n">
        <f aca="false">IF(V1384,IF(01_因子設定!$B$13="最大化",T1384-01_因子設定!$B$14,IF(01_因子設定!$B$13="最小化",01_因子設定!$B$15-U1384,MIN(T1384-01_因子設定!$B$14,01_因子設定!$B$15-U1384))),-1E+030)</f>
        <v>-4.9352363119072</v>
      </c>
      <c r="X1384" s="55" t="n">
        <f aca="false">IF(V1384,IF(01_因子設定!$B$13="最大化",Q1384,IF(01_因子設定!$B$13="最小化",-Q1384,-ABS(Q1384-01_因子設定!$B$16))),-1E+030)</f>
        <v>44.6062215909091</v>
      </c>
      <c r="Y1384" s="55" t="n">
        <f aca="false">W1384+ROW()*0.000000001</f>
        <v>-4.9352349279072</v>
      </c>
      <c r="Z1384" s="55" t="n">
        <f aca="false">X1384+ROW()*0.000000001</f>
        <v>44.6062229749091</v>
      </c>
    </row>
    <row r="1385" customFormat="false" ht="15" hidden="false" customHeight="false" outlineLevel="0" collapsed="false">
      <c r="A1385" s="0" t="n">
        <v>4</v>
      </c>
      <c r="B1385" s="0" t="n">
        <v>13</v>
      </c>
      <c r="C1385" s="0" t="n">
        <v>3</v>
      </c>
      <c r="D1385" s="0" t="n">
        <f aca="false">-1+A1385*0.125</f>
        <v>-0.5</v>
      </c>
      <c r="E1385" s="0" t="n">
        <f aca="false">-1+B1385*0.125</f>
        <v>0.625</v>
      </c>
      <c r="F1385" s="0" t="n">
        <f aca="false">-1+C1385*0.125</f>
        <v>-0.625</v>
      </c>
      <c r="G1385" s="0" t="n">
        <f aca="false">1</f>
        <v>1</v>
      </c>
      <c r="H1385" s="0" t="n">
        <f aca="false">D1385</f>
        <v>-0.5</v>
      </c>
      <c r="I1385" s="0" t="n">
        <f aca="false">E1385</f>
        <v>0.625</v>
      </c>
      <c r="J1385" s="0" t="n">
        <f aca="false">F1385</f>
        <v>-0.625</v>
      </c>
      <c r="K1385" s="0" t="n">
        <f aca="false">D1385*E1385</f>
        <v>-0.3125</v>
      </c>
      <c r="L1385" s="0" t="n">
        <f aca="false">D1385*F1385</f>
        <v>0.3125</v>
      </c>
      <c r="M1385" s="0" t="n">
        <f aca="false">E1385*F1385</f>
        <v>-0.390625</v>
      </c>
      <c r="N1385" s="0" t="n">
        <f aca="false">D1385*D1385</f>
        <v>0.25</v>
      </c>
      <c r="O1385" s="0" t="n">
        <f aca="false">E1385*E1385</f>
        <v>0.390625</v>
      </c>
      <c r="P1385" s="0" t="n">
        <f aca="false">F1385*F1385</f>
        <v>0.390625</v>
      </c>
      <c r="Q1385" s="0" t="n">
        <f aca="false">SUMPRODUCT(G1385:P1385,_XtX!$B$71:$K$71)</f>
        <v>45.0255965909091</v>
      </c>
      <c r="R1385" s="0" t="n">
        <f aca="false">SUMPRODUCT(MMULT(G1385:P1385,_XtX!$B$58:$K$67),G1385:P1385)</f>
        <v>0.209862726384943</v>
      </c>
      <c r="S1385" s="0" t="n">
        <f aca="false">04_回帰ANOVA!$K$19*04_回帰ANOVA!$K$14*SQRT(1+R1385)</f>
        <v>1.0226680420112</v>
      </c>
      <c r="T1385" s="0" t="n">
        <f aca="false">Q1385-S1385</f>
        <v>44.0029285488979</v>
      </c>
      <c r="U1385" s="0" t="n">
        <f aca="false">Q1385+S1385</f>
        <v>46.0482646329203</v>
      </c>
      <c r="V1385" s="54" t="b">
        <f aca="false">AND(D1385&gt;=01_因子設定!$L$5-0.000000001,D1385&lt;=01_因子設定!$M$5+0.000000001,E1385&gt;=01_因子設定!$L$6-0.000000001,E1385&lt;=01_因子設定!$M$6+0.000000001,F1385&gt;=01_因子設定!$L$7-0.000000001,F1385&lt;=01_因子設定!$M$7+0.000000001,IF(01_因子設定!$B$20="Box-Behnken",D1385^2+E1385^2+F1385^2&lt;=2+0.000000001,TRUE()))</f>
        <v>1</v>
      </c>
      <c r="W1385" s="55" t="n">
        <f aca="false">IF(V1385,IF(01_因子設定!$B$13="最大化",T1385-01_因子設定!$B$14,IF(01_因子設定!$B$13="最小化",01_因子設定!$B$15-U1385,MIN(T1385-01_因子設定!$B$14,01_因子設定!$B$15-U1385))),-1E+030)</f>
        <v>-4.49707145110209</v>
      </c>
      <c r="X1385" s="55" t="n">
        <f aca="false">IF(V1385,IF(01_因子設定!$B$13="最大化",Q1385,IF(01_因子設定!$B$13="最小化",-Q1385,-ABS(Q1385-01_因子設定!$B$16))),-1E+030)</f>
        <v>45.0255965909091</v>
      </c>
      <c r="Y1385" s="55" t="n">
        <f aca="false">W1385+ROW()*0.000000001</f>
        <v>-4.49707006610209</v>
      </c>
      <c r="Z1385" s="55" t="n">
        <f aca="false">X1385+ROW()*0.000000001</f>
        <v>45.0255979759091</v>
      </c>
    </row>
    <row r="1386" customFormat="false" ht="15" hidden="false" customHeight="false" outlineLevel="0" collapsed="false">
      <c r="A1386" s="0" t="n">
        <v>4</v>
      </c>
      <c r="B1386" s="0" t="n">
        <v>13</v>
      </c>
      <c r="C1386" s="0" t="n">
        <v>4</v>
      </c>
      <c r="D1386" s="0" t="n">
        <f aca="false">-1+A1386*0.125</f>
        <v>-0.5</v>
      </c>
      <c r="E1386" s="0" t="n">
        <f aca="false">-1+B1386*0.125</f>
        <v>0.625</v>
      </c>
      <c r="F1386" s="0" t="n">
        <f aca="false">-1+C1386*0.125</f>
        <v>-0.5</v>
      </c>
      <c r="G1386" s="0" t="n">
        <f aca="false">1</f>
        <v>1</v>
      </c>
      <c r="H1386" s="0" t="n">
        <f aca="false">D1386</f>
        <v>-0.5</v>
      </c>
      <c r="I1386" s="0" t="n">
        <f aca="false">E1386</f>
        <v>0.625</v>
      </c>
      <c r="J1386" s="0" t="n">
        <f aca="false">F1386</f>
        <v>-0.5</v>
      </c>
      <c r="K1386" s="0" t="n">
        <f aca="false">D1386*E1386</f>
        <v>-0.3125</v>
      </c>
      <c r="L1386" s="0" t="n">
        <f aca="false">D1386*F1386</f>
        <v>0.25</v>
      </c>
      <c r="M1386" s="0" t="n">
        <f aca="false">E1386*F1386</f>
        <v>-0.3125</v>
      </c>
      <c r="N1386" s="0" t="n">
        <f aca="false">D1386*D1386</f>
        <v>0.25</v>
      </c>
      <c r="O1386" s="0" t="n">
        <f aca="false">E1386*E1386</f>
        <v>0.390625</v>
      </c>
      <c r="P1386" s="0" t="n">
        <f aca="false">F1386*F1386</f>
        <v>0.25</v>
      </c>
      <c r="Q1386" s="0" t="n">
        <f aca="false">SUMPRODUCT(G1386:P1386,_XtX!$B$71:$K$71)</f>
        <v>45.4081818181818</v>
      </c>
      <c r="R1386" s="0" t="n">
        <f aca="false">SUMPRODUCT(MMULT(G1386:P1386,_XtX!$B$58:$K$67),G1386:P1386)</f>
        <v>0.189133522727273</v>
      </c>
      <c r="S1386" s="0" t="n">
        <f aca="false">04_回帰ANOVA!$K$19*04_回帰ANOVA!$K$14*SQRT(1+R1386)</f>
        <v>1.0138692404042</v>
      </c>
      <c r="T1386" s="0" t="n">
        <f aca="false">Q1386-S1386</f>
        <v>44.3943125777776</v>
      </c>
      <c r="U1386" s="0" t="n">
        <f aca="false">Q1386+S1386</f>
        <v>46.422051058586</v>
      </c>
      <c r="V1386" s="54" t="b">
        <f aca="false">AND(D1386&gt;=01_因子設定!$L$5-0.000000001,D1386&lt;=01_因子設定!$M$5+0.000000001,E1386&gt;=01_因子設定!$L$6-0.000000001,E1386&lt;=01_因子設定!$M$6+0.000000001,F1386&gt;=01_因子設定!$L$7-0.000000001,F1386&lt;=01_因子設定!$M$7+0.000000001,IF(01_因子設定!$B$20="Box-Behnken",D1386^2+E1386^2+F1386^2&lt;=2+0.000000001,TRUE()))</f>
        <v>1</v>
      </c>
      <c r="W1386" s="55" t="n">
        <f aca="false">IF(V1386,IF(01_因子設定!$B$13="最大化",T1386-01_因子設定!$B$14,IF(01_因子設定!$B$13="最小化",01_因子設定!$B$15-U1386,MIN(T1386-01_因子設定!$B$14,01_因子設定!$B$15-U1386))),-1E+030)</f>
        <v>-4.10568742222237</v>
      </c>
      <c r="X1386" s="55" t="n">
        <f aca="false">IF(V1386,IF(01_因子設定!$B$13="最大化",Q1386,IF(01_因子設定!$B$13="最小化",-Q1386,-ABS(Q1386-01_因子設定!$B$16))),-1E+030)</f>
        <v>45.4081818181818</v>
      </c>
      <c r="Y1386" s="55" t="n">
        <f aca="false">W1386+ROW()*0.000000001</f>
        <v>-4.10568603622237</v>
      </c>
      <c r="Z1386" s="55" t="n">
        <f aca="false">X1386+ROW()*0.000000001</f>
        <v>45.4081832041818</v>
      </c>
    </row>
    <row r="1387" customFormat="false" ht="15" hidden="false" customHeight="false" outlineLevel="0" collapsed="false">
      <c r="A1387" s="0" t="n">
        <v>4</v>
      </c>
      <c r="B1387" s="0" t="n">
        <v>13</v>
      </c>
      <c r="C1387" s="0" t="n">
        <v>5</v>
      </c>
      <c r="D1387" s="0" t="n">
        <f aca="false">-1+A1387*0.125</f>
        <v>-0.5</v>
      </c>
      <c r="E1387" s="0" t="n">
        <f aca="false">-1+B1387*0.125</f>
        <v>0.625</v>
      </c>
      <c r="F1387" s="0" t="n">
        <f aca="false">-1+C1387*0.125</f>
        <v>-0.375</v>
      </c>
      <c r="G1387" s="0" t="n">
        <f aca="false">1</f>
        <v>1</v>
      </c>
      <c r="H1387" s="0" t="n">
        <f aca="false">D1387</f>
        <v>-0.5</v>
      </c>
      <c r="I1387" s="0" t="n">
        <f aca="false">E1387</f>
        <v>0.625</v>
      </c>
      <c r="J1387" s="0" t="n">
        <f aca="false">F1387</f>
        <v>-0.375</v>
      </c>
      <c r="K1387" s="0" t="n">
        <f aca="false">D1387*E1387</f>
        <v>-0.3125</v>
      </c>
      <c r="L1387" s="0" t="n">
        <f aca="false">D1387*F1387</f>
        <v>0.1875</v>
      </c>
      <c r="M1387" s="0" t="n">
        <f aca="false">E1387*F1387</f>
        <v>-0.234375</v>
      </c>
      <c r="N1387" s="0" t="n">
        <f aca="false">D1387*D1387</f>
        <v>0.25</v>
      </c>
      <c r="O1387" s="0" t="n">
        <f aca="false">E1387*E1387</f>
        <v>0.390625</v>
      </c>
      <c r="P1387" s="0" t="n">
        <f aca="false">F1387*F1387</f>
        <v>0.140625</v>
      </c>
      <c r="Q1387" s="0" t="n">
        <f aca="false">SUMPRODUCT(G1387:P1387,_XtX!$B$71:$K$71)</f>
        <v>45.7539772727273</v>
      </c>
      <c r="R1387" s="0" t="n">
        <f aca="false">SUMPRODUCT(MMULT(G1387:P1387,_XtX!$B$58:$K$67),G1387:P1387)</f>
        <v>0.182953990589489</v>
      </c>
      <c r="S1387" s="0" t="n">
        <f aca="false">04_回帰ANOVA!$K$19*04_回帰ANOVA!$K$14*SQRT(1+R1387)</f>
        <v>1.01123143807044</v>
      </c>
      <c r="T1387" s="0" t="n">
        <f aca="false">Q1387-S1387</f>
        <v>44.7427458346568</v>
      </c>
      <c r="U1387" s="0" t="n">
        <f aca="false">Q1387+S1387</f>
        <v>46.7652087107977</v>
      </c>
      <c r="V1387" s="54" t="b">
        <f aca="false">AND(D1387&gt;=01_因子設定!$L$5-0.000000001,D1387&lt;=01_因子設定!$M$5+0.000000001,E1387&gt;=01_因子設定!$L$6-0.000000001,E1387&lt;=01_因子設定!$M$6+0.000000001,F1387&gt;=01_因子設定!$L$7-0.000000001,F1387&lt;=01_因子設定!$M$7+0.000000001,IF(01_因子設定!$B$20="Box-Behnken",D1387^2+E1387^2+F1387^2&lt;=2+0.000000001,TRUE()))</f>
        <v>1</v>
      </c>
      <c r="W1387" s="55" t="n">
        <f aca="false">IF(V1387,IF(01_因子設定!$B$13="最大化",T1387-01_因子設定!$B$14,IF(01_因子設定!$B$13="最小化",01_因子設定!$B$15-U1387,MIN(T1387-01_因子設定!$B$14,01_因子設定!$B$15-U1387))),-1E+030)</f>
        <v>-3.75725416534316</v>
      </c>
      <c r="X1387" s="55" t="n">
        <f aca="false">IF(V1387,IF(01_因子設定!$B$13="最大化",Q1387,IF(01_因子設定!$B$13="最小化",-Q1387,-ABS(Q1387-01_因子設定!$B$16))),-1E+030)</f>
        <v>45.7539772727273</v>
      </c>
      <c r="Y1387" s="55" t="n">
        <f aca="false">W1387+ROW()*0.000000001</f>
        <v>-3.75725277834316</v>
      </c>
      <c r="Z1387" s="55" t="n">
        <f aca="false">X1387+ROW()*0.000000001</f>
        <v>45.7539786597273</v>
      </c>
    </row>
    <row r="1388" customFormat="false" ht="15" hidden="false" customHeight="false" outlineLevel="0" collapsed="false">
      <c r="A1388" s="0" t="n">
        <v>4</v>
      </c>
      <c r="B1388" s="0" t="n">
        <v>13</v>
      </c>
      <c r="C1388" s="0" t="n">
        <v>6</v>
      </c>
      <c r="D1388" s="0" t="n">
        <f aca="false">-1+A1388*0.125</f>
        <v>-0.5</v>
      </c>
      <c r="E1388" s="0" t="n">
        <f aca="false">-1+B1388*0.125</f>
        <v>0.625</v>
      </c>
      <c r="F1388" s="0" t="n">
        <f aca="false">-1+C1388*0.125</f>
        <v>-0.25</v>
      </c>
      <c r="G1388" s="0" t="n">
        <f aca="false">1</f>
        <v>1</v>
      </c>
      <c r="H1388" s="0" t="n">
        <f aca="false">D1388</f>
        <v>-0.5</v>
      </c>
      <c r="I1388" s="0" t="n">
        <f aca="false">E1388</f>
        <v>0.625</v>
      </c>
      <c r="J1388" s="0" t="n">
        <f aca="false">F1388</f>
        <v>-0.25</v>
      </c>
      <c r="K1388" s="0" t="n">
        <f aca="false">D1388*E1388</f>
        <v>-0.3125</v>
      </c>
      <c r="L1388" s="0" t="n">
        <f aca="false">D1388*F1388</f>
        <v>0.125</v>
      </c>
      <c r="M1388" s="0" t="n">
        <f aca="false">E1388*F1388</f>
        <v>-0.15625</v>
      </c>
      <c r="N1388" s="0" t="n">
        <f aca="false">D1388*D1388</f>
        <v>0.25</v>
      </c>
      <c r="O1388" s="0" t="n">
        <f aca="false">E1388*E1388</f>
        <v>0.390625</v>
      </c>
      <c r="P1388" s="0" t="n">
        <f aca="false">F1388*F1388</f>
        <v>0.0625</v>
      </c>
      <c r="Q1388" s="0" t="n">
        <f aca="false">SUMPRODUCT(G1388:P1388,_XtX!$B$71:$K$71)</f>
        <v>46.0629829545455</v>
      </c>
      <c r="R1388" s="0" t="n">
        <f aca="false">SUMPRODUCT(MMULT(G1388:P1388,_XtX!$B$58:$K$67),G1388:P1388)</f>
        <v>0.183866743607955</v>
      </c>
      <c r="S1388" s="0" t="n">
        <f aca="false">04_回帰ANOVA!$K$19*04_回帰ANOVA!$K$14*SQRT(1+R1388)</f>
        <v>1.01162148983013</v>
      </c>
      <c r="T1388" s="0" t="n">
        <f aca="false">Q1388-S1388</f>
        <v>45.0513614647153</v>
      </c>
      <c r="U1388" s="0" t="n">
        <f aca="false">Q1388+S1388</f>
        <v>47.0746044443756</v>
      </c>
      <c r="V1388" s="54" t="b">
        <f aca="false">AND(D1388&gt;=01_因子設定!$L$5-0.000000001,D1388&lt;=01_因子設定!$M$5+0.000000001,E1388&gt;=01_因子設定!$L$6-0.000000001,E1388&lt;=01_因子設定!$M$6+0.000000001,F1388&gt;=01_因子設定!$L$7-0.000000001,F1388&lt;=01_因子設定!$M$7+0.000000001,IF(01_因子設定!$B$20="Box-Behnken",D1388^2+E1388^2+F1388^2&lt;=2+0.000000001,TRUE()))</f>
        <v>1</v>
      </c>
      <c r="W1388" s="55" t="n">
        <f aca="false">IF(V1388,IF(01_因子設定!$B$13="最大化",T1388-01_因子設定!$B$14,IF(01_因子設定!$B$13="最小化",01_因子設定!$B$15-U1388,MIN(T1388-01_因子設定!$B$14,01_因子設定!$B$15-U1388))),-1E+030)</f>
        <v>-3.44863853528467</v>
      </c>
      <c r="X1388" s="55" t="n">
        <f aca="false">IF(V1388,IF(01_因子設定!$B$13="最大化",Q1388,IF(01_因子設定!$B$13="最小化",-Q1388,-ABS(Q1388-01_因子設定!$B$16))),-1E+030)</f>
        <v>46.0629829545455</v>
      </c>
      <c r="Y1388" s="55" t="n">
        <f aca="false">W1388+ROW()*0.000000001</f>
        <v>-3.44863714728467</v>
      </c>
      <c r="Z1388" s="55" t="n">
        <f aca="false">X1388+ROW()*0.000000001</f>
        <v>46.0629843425455</v>
      </c>
    </row>
    <row r="1389" customFormat="false" ht="15" hidden="false" customHeight="false" outlineLevel="0" collapsed="false">
      <c r="A1389" s="0" t="n">
        <v>4</v>
      </c>
      <c r="B1389" s="0" t="n">
        <v>13</v>
      </c>
      <c r="C1389" s="0" t="n">
        <v>7</v>
      </c>
      <c r="D1389" s="0" t="n">
        <f aca="false">-1+A1389*0.125</f>
        <v>-0.5</v>
      </c>
      <c r="E1389" s="0" t="n">
        <f aca="false">-1+B1389*0.125</f>
        <v>0.625</v>
      </c>
      <c r="F1389" s="0" t="n">
        <f aca="false">-1+C1389*0.125</f>
        <v>-0.125</v>
      </c>
      <c r="G1389" s="0" t="n">
        <f aca="false">1</f>
        <v>1</v>
      </c>
      <c r="H1389" s="0" t="n">
        <f aca="false">D1389</f>
        <v>-0.5</v>
      </c>
      <c r="I1389" s="0" t="n">
        <f aca="false">E1389</f>
        <v>0.625</v>
      </c>
      <c r="J1389" s="0" t="n">
        <f aca="false">F1389</f>
        <v>-0.125</v>
      </c>
      <c r="K1389" s="0" t="n">
        <f aca="false">D1389*E1389</f>
        <v>-0.3125</v>
      </c>
      <c r="L1389" s="0" t="n">
        <f aca="false">D1389*F1389</f>
        <v>0.0625</v>
      </c>
      <c r="M1389" s="0" t="n">
        <f aca="false">E1389*F1389</f>
        <v>-0.078125</v>
      </c>
      <c r="N1389" s="0" t="n">
        <f aca="false">D1389*D1389</f>
        <v>0.25</v>
      </c>
      <c r="O1389" s="0" t="n">
        <f aca="false">E1389*E1389</f>
        <v>0.390625</v>
      </c>
      <c r="P1389" s="0" t="n">
        <f aca="false">F1389*F1389</f>
        <v>0.015625</v>
      </c>
      <c r="Q1389" s="0" t="n">
        <f aca="false">SUMPRODUCT(G1389:P1389,_XtX!$B$71:$K$71)</f>
        <v>46.3351988636364</v>
      </c>
      <c r="R1389" s="0" t="n">
        <f aca="false">SUMPRODUCT(MMULT(G1389:P1389,_XtX!$B$58:$K$67),G1389:P1389)</f>
        <v>0.186545077237216</v>
      </c>
      <c r="S1389" s="0" t="n">
        <f aca="false">04_回帰ANOVA!$K$19*04_回帰ANOVA!$K$14*SQRT(1+R1389)</f>
        <v>1.01276516970713</v>
      </c>
      <c r="T1389" s="0" t="n">
        <f aca="false">Q1389-S1389</f>
        <v>45.3224336939292</v>
      </c>
      <c r="U1389" s="0" t="n">
        <f aca="false">Q1389+S1389</f>
        <v>47.3479640333435</v>
      </c>
      <c r="V1389" s="54" t="b">
        <f aca="false">AND(D1389&gt;=01_因子設定!$L$5-0.000000001,D1389&lt;=01_因子設定!$M$5+0.000000001,E1389&gt;=01_因子設定!$L$6-0.000000001,E1389&lt;=01_因子設定!$M$6+0.000000001,F1389&gt;=01_因子設定!$L$7-0.000000001,F1389&lt;=01_因子設定!$M$7+0.000000001,IF(01_因子設定!$B$20="Box-Behnken",D1389^2+E1389^2+F1389^2&lt;=2+0.000000001,TRUE()))</f>
        <v>1</v>
      </c>
      <c r="W1389" s="55" t="n">
        <f aca="false">IF(V1389,IF(01_因子設定!$B$13="最大化",T1389-01_因子設定!$B$14,IF(01_因子設定!$B$13="最小化",01_因子設定!$B$15-U1389,MIN(T1389-01_因子設定!$B$14,01_因子設定!$B$15-U1389))),-1E+030)</f>
        <v>-3.17756630607076</v>
      </c>
      <c r="X1389" s="55" t="n">
        <f aca="false">IF(V1389,IF(01_因子設定!$B$13="最大化",Q1389,IF(01_因子設定!$B$13="最小化",-Q1389,-ABS(Q1389-01_因子設定!$B$16))),-1E+030)</f>
        <v>46.3351988636364</v>
      </c>
      <c r="Y1389" s="55" t="n">
        <f aca="false">W1389+ROW()*0.000000001</f>
        <v>-3.17756491707076</v>
      </c>
      <c r="Z1389" s="55" t="n">
        <f aca="false">X1389+ROW()*0.000000001</f>
        <v>46.3352002526364</v>
      </c>
    </row>
    <row r="1390" customFormat="false" ht="15" hidden="false" customHeight="false" outlineLevel="0" collapsed="false">
      <c r="A1390" s="0" t="n">
        <v>4</v>
      </c>
      <c r="B1390" s="0" t="n">
        <v>13</v>
      </c>
      <c r="C1390" s="0" t="n">
        <v>8</v>
      </c>
      <c r="D1390" s="0" t="n">
        <f aca="false">-1+A1390*0.125</f>
        <v>-0.5</v>
      </c>
      <c r="E1390" s="0" t="n">
        <f aca="false">-1+B1390*0.125</f>
        <v>0.625</v>
      </c>
      <c r="F1390" s="0" t="n">
        <f aca="false">-1+C1390*0.125</f>
        <v>0</v>
      </c>
      <c r="G1390" s="0" t="n">
        <f aca="false">1</f>
        <v>1</v>
      </c>
      <c r="H1390" s="0" t="n">
        <f aca="false">D1390</f>
        <v>-0.5</v>
      </c>
      <c r="I1390" s="0" t="n">
        <f aca="false">E1390</f>
        <v>0.625</v>
      </c>
      <c r="J1390" s="0" t="n">
        <f aca="false">F1390</f>
        <v>0</v>
      </c>
      <c r="K1390" s="0" t="n">
        <f aca="false">D1390*E1390</f>
        <v>-0.3125</v>
      </c>
      <c r="L1390" s="0" t="n">
        <f aca="false">D1390*F1390</f>
        <v>-0</v>
      </c>
      <c r="M1390" s="0" t="n">
        <f aca="false">E1390*F1390</f>
        <v>0</v>
      </c>
      <c r="N1390" s="0" t="n">
        <f aca="false">D1390*D1390</f>
        <v>0.25</v>
      </c>
      <c r="O1390" s="0" t="n">
        <f aca="false">E1390*E1390</f>
        <v>0.390625</v>
      </c>
      <c r="P1390" s="0" t="n">
        <f aca="false">F1390*F1390</f>
        <v>0</v>
      </c>
      <c r="Q1390" s="0" t="n">
        <f aca="false">SUMPRODUCT(G1390:P1390,_XtX!$B$71:$K$71)</f>
        <v>46.570625</v>
      </c>
      <c r="R1390" s="0" t="n">
        <f aca="false">SUMPRODUCT(MMULT(G1390:P1390,_XtX!$B$58:$K$67),G1390:P1390)</f>
        <v>0.18779296875</v>
      </c>
      <c r="S1390" s="0" t="n">
        <f aca="false">04_回帰ANOVA!$K$19*04_回帰ANOVA!$K$14*SQRT(1+R1390)</f>
        <v>1.01329759319777</v>
      </c>
      <c r="T1390" s="0" t="n">
        <f aca="false">Q1390-S1390</f>
        <v>45.5573274068022</v>
      </c>
      <c r="U1390" s="0" t="n">
        <f aca="false">Q1390+S1390</f>
        <v>47.5839225931978</v>
      </c>
      <c r="V1390" s="54" t="b">
        <f aca="false">AND(D1390&gt;=01_因子設定!$L$5-0.000000001,D1390&lt;=01_因子設定!$M$5+0.000000001,E1390&gt;=01_因子設定!$L$6-0.000000001,E1390&lt;=01_因子設定!$M$6+0.000000001,F1390&gt;=01_因子設定!$L$7-0.000000001,F1390&lt;=01_因子設定!$M$7+0.000000001,IF(01_因子設定!$B$20="Box-Behnken",D1390^2+E1390^2+F1390^2&lt;=2+0.000000001,TRUE()))</f>
        <v>1</v>
      </c>
      <c r="W1390" s="55" t="n">
        <f aca="false">IF(V1390,IF(01_因子設定!$B$13="最大化",T1390-01_因子設定!$B$14,IF(01_因子設定!$B$13="最小化",01_因子設定!$B$15-U1390,MIN(T1390-01_因子設定!$B$14,01_因子設定!$B$15-U1390))),-1E+030)</f>
        <v>-2.94267259319776</v>
      </c>
      <c r="X1390" s="55" t="n">
        <f aca="false">IF(V1390,IF(01_因子設定!$B$13="最大化",Q1390,IF(01_因子設定!$B$13="最小化",-Q1390,-ABS(Q1390-01_因子設定!$B$16))),-1E+030)</f>
        <v>46.570625</v>
      </c>
      <c r="Y1390" s="55" t="n">
        <f aca="false">W1390+ROW()*0.000000001</f>
        <v>-2.94267120319776</v>
      </c>
      <c r="Z1390" s="55" t="n">
        <f aca="false">X1390+ROW()*0.000000001</f>
        <v>46.57062639</v>
      </c>
    </row>
    <row r="1391" customFormat="false" ht="15" hidden="false" customHeight="false" outlineLevel="0" collapsed="false">
      <c r="A1391" s="0" t="n">
        <v>4</v>
      </c>
      <c r="B1391" s="0" t="n">
        <v>13</v>
      </c>
      <c r="C1391" s="0" t="n">
        <v>9</v>
      </c>
      <c r="D1391" s="0" t="n">
        <f aca="false">-1+A1391*0.125</f>
        <v>-0.5</v>
      </c>
      <c r="E1391" s="0" t="n">
        <f aca="false">-1+B1391*0.125</f>
        <v>0.625</v>
      </c>
      <c r="F1391" s="0" t="n">
        <f aca="false">-1+C1391*0.125</f>
        <v>0.125</v>
      </c>
      <c r="G1391" s="0" t="n">
        <f aca="false">1</f>
        <v>1</v>
      </c>
      <c r="H1391" s="0" t="n">
        <f aca="false">D1391</f>
        <v>-0.5</v>
      </c>
      <c r="I1391" s="0" t="n">
        <f aca="false">E1391</f>
        <v>0.625</v>
      </c>
      <c r="J1391" s="0" t="n">
        <f aca="false">F1391</f>
        <v>0.125</v>
      </c>
      <c r="K1391" s="0" t="n">
        <f aca="false">D1391*E1391</f>
        <v>-0.3125</v>
      </c>
      <c r="L1391" s="0" t="n">
        <f aca="false">D1391*F1391</f>
        <v>-0.0625</v>
      </c>
      <c r="M1391" s="0" t="n">
        <f aca="false">E1391*F1391</f>
        <v>0.078125</v>
      </c>
      <c r="N1391" s="0" t="n">
        <f aca="false">D1391*D1391</f>
        <v>0.25</v>
      </c>
      <c r="O1391" s="0" t="n">
        <f aca="false">E1391*E1391</f>
        <v>0.390625</v>
      </c>
      <c r="P1391" s="0" t="n">
        <f aca="false">F1391*F1391</f>
        <v>0.015625</v>
      </c>
      <c r="Q1391" s="0" t="n">
        <f aca="false">SUMPRODUCT(G1391:P1391,_XtX!$B$71:$K$71)</f>
        <v>46.7692613636364</v>
      </c>
      <c r="R1391" s="0" t="n">
        <f aca="false">SUMPRODUCT(MMULT(G1391:P1391,_XtX!$B$58:$K$67),G1391:P1391)</f>
        <v>0.186545077237216</v>
      </c>
      <c r="S1391" s="0" t="n">
        <f aca="false">04_回帰ANOVA!$K$19*04_回帰ANOVA!$K$14*SQRT(1+R1391)</f>
        <v>1.01276516970713</v>
      </c>
      <c r="T1391" s="0" t="n">
        <f aca="false">Q1391-S1391</f>
        <v>45.7564961939292</v>
      </c>
      <c r="U1391" s="0" t="n">
        <f aca="false">Q1391+S1391</f>
        <v>47.7820265333435</v>
      </c>
      <c r="V1391" s="54" t="b">
        <f aca="false">AND(D1391&gt;=01_因子設定!$L$5-0.000000001,D1391&lt;=01_因子設定!$M$5+0.000000001,E1391&gt;=01_因子設定!$L$6-0.000000001,E1391&lt;=01_因子設定!$M$6+0.000000001,F1391&gt;=01_因子設定!$L$7-0.000000001,F1391&lt;=01_因子設定!$M$7+0.000000001,IF(01_因子設定!$B$20="Box-Behnken",D1391^2+E1391^2+F1391^2&lt;=2+0.000000001,TRUE()))</f>
        <v>1</v>
      </c>
      <c r="W1391" s="55" t="n">
        <f aca="false">IF(V1391,IF(01_因子設定!$B$13="最大化",T1391-01_因子設定!$B$14,IF(01_因子設定!$B$13="最小化",01_因子設定!$B$15-U1391,MIN(T1391-01_因子設定!$B$14,01_因子設定!$B$15-U1391))),-1E+030)</f>
        <v>-2.74350380607076</v>
      </c>
      <c r="X1391" s="55" t="n">
        <f aca="false">IF(V1391,IF(01_因子設定!$B$13="最大化",Q1391,IF(01_因子設定!$B$13="最小化",-Q1391,-ABS(Q1391-01_因子設定!$B$16))),-1E+030)</f>
        <v>46.7692613636364</v>
      </c>
      <c r="Y1391" s="55" t="n">
        <f aca="false">W1391+ROW()*0.000000001</f>
        <v>-2.74350241507076</v>
      </c>
      <c r="Z1391" s="55" t="n">
        <f aca="false">X1391+ROW()*0.000000001</f>
        <v>46.7692627546364</v>
      </c>
    </row>
    <row r="1392" customFormat="false" ht="15" hidden="false" customHeight="false" outlineLevel="0" collapsed="false">
      <c r="A1392" s="0" t="n">
        <v>4</v>
      </c>
      <c r="B1392" s="0" t="n">
        <v>13</v>
      </c>
      <c r="C1392" s="0" t="n">
        <v>10</v>
      </c>
      <c r="D1392" s="0" t="n">
        <f aca="false">-1+A1392*0.125</f>
        <v>-0.5</v>
      </c>
      <c r="E1392" s="0" t="n">
        <f aca="false">-1+B1392*0.125</f>
        <v>0.625</v>
      </c>
      <c r="F1392" s="0" t="n">
        <f aca="false">-1+C1392*0.125</f>
        <v>0.25</v>
      </c>
      <c r="G1392" s="0" t="n">
        <f aca="false">1</f>
        <v>1</v>
      </c>
      <c r="H1392" s="0" t="n">
        <f aca="false">D1392</f>
        <v>-0.5</v>
      </c>
      <c r="I1392" s="0" t="n">
        <f aca="false">E1392</f>
        <v>0.625</v>
      </c>
      <c r="J1392" s="0" t="n">
        <f aca="false">F1392</f>
        <v>0.25</v>
      </c>
      <c r="K1392" s="0" t="n">
        <f aca="false">D1392*E1392</f>
        <v>-0.3125</v>
      </c>
      <c r="L1392" s="0" t="n">
        <f aca="false">D1392*F1392</f>
        <v>-0.125</v>
      </c>
      <c r="M1392" s="0" t="n">
        <f aca="false">E1392*F1392</f>
        <v>0.15625</v>
      </c>
      <c r="N1392" s="0" t="n">
        <f aca="false">D1392*D1392</f>
        <v>0.25</v>
      </c>
      <c r="O1392" s="0" t="n">
        <f aca="false">E1392*E1392</f>
        <v>0.390625</v>
      </c>
      <c r="P1392" s="0" t="n">
        <f aca="false">F1392*F1392</f>
        <v>0.0625</v>
      </c>
      <c r="Q1392" s="0" t="n">
        <f aca="false">SUMPRODUCT(G1392:P1392,_XtX!$B$71:$K$71)</f>
        <v>46.9311079545455</v>
      </c>
      <c r="R1392" s="0" t="n">
        <f aca="false">SUMPRODUCT(MMULT(G1392:P1392,_XtX!$B$58:$K$67),G1392:P1392)</f>
        <v>0.183866743607955</v>
      </c>
      <c r="S1392" s="0" t="n">
        <f aca="false">04_回帰ANOVA!$K$19*04_回帰ANOVA!$K$14*SQRT(1+R1392)</f>
        <v>1.01162148983013</v>
      </c>
      <c r="T1392" s="0" t="n">
        <f aca="false">Q1392-S1392</f>
        <v>45.9194864647153</v>
      </c>
      <c r="U1392" s="0" t="n">
        <f aca="false">Q1392+S1392</f>
        <v>47.9427294443756</v>
      </c>
      <c r="V1392" s="54" t="b">
        <f aca="false">AND(D1392&gt;=01_因子設定!$L$5-0.000000001,D1392&lt;=01_因子設定!$M$5+0.000000001,E1392&gt;=01_因子設定!$L$6-0.000000001,E1392&lt;=01_因子設定!$M$6+0.000000001,F1392&gt;=01_因子設定!$L$7-0.000000001,F1392&lt;=01_因子設定!$M$7+0.000000001,IF(01_因子設定!$B$20="Box-Behnken",D1392^2+E1392^2+F1392^2&lt;=2+0.000000001,TRUE()))</f>
        <v>1</v>
      </c>
      <c r="W1392" s="55" t="n">
        <f aca="false">IF(V1392,IF(01_因子設定!$B$13="最大化",T1392-01_因子設定!$B$14,IF(01_因子設定!$B$13="最小化",01_因子設定!$B$15-U1392,MIN(T1392-01_因子設定!$B$14,01_因子設定!$B$15-U1392))),-1E+030)</f>
        <v>-2.58051353528467</v>
      </c>
      <c r="X1392" s="55" t="n">
        <f aca="false">IF(V1392,IF(01_因子設定!$B$13="最大化",Q1392,IF(01_因子設定!$B$13="最小化",-Q1392,-ABS(Q1392-01_因子設定!$B$16))),-1E+030)</f>
        <v>46.9311079545455</v>
      </c>
      <c r="Y1392" s="55" t="n">
        <f aca="false">W1392+ROW()*0.000000001</f>
        <v>-2.58051214328467</v>
      </c>
      <c r="Z1392" s="55" t="n">
        <f aca="false">X1392+ROW()*0.000000001</f>
        <v>46.9311093465455</v>
      </c>
    </row>
    <row r="1393" customFormat="false" ht="15" hidden="false" customHeight="false" outlineLevel="0" collapsed="false">
      <c r="A1393" s="0" t="n">
        <v>4</v>
      </c>
      <c r="B1393" s="0" t="n">
        <v>13</v>
      </c>
      <c r="C1393" s="0" t="n">
        <v>11</v>
      </c>
      <c r="D1393" s="0" t="n">
        <f aca="false">-1+A1393*0.125</f>
        <v>-0.5</v>
      </c>
      <c r="E1393" s="0" t="n">
        <f aca="false">-1+B1393*0.125</f>
        <v>0.625</v>
      </c>
      <c r="F1393" s="0" t="n">
        <f aca="false">-1+C1393*0.125</f>
        <v>0.375</v>
      </c>
      <c r="G1393" s="0" t="n">
        <f aca="false">1</f>
        <v>1</v>
      </c>
      <c r="H1393" s="0" t="n">
        <f aca="false">D1393</f>
        <v>-0.5</v>
      </c>
      <c r="I1393" s="0" t="n">
        <f aca="false">E1393</f>
        <v>0.625</v>
      </c>
      <c r="J1393" s="0" t="n">
        <f aca="false">F1393</f>
        <v>0.375</v>
      </c>
      <c r="K1393" s="0" t="n">
        <f aca="false">D1393*E1393</f>
        <v>-0.3125</v>
      </c>
      <c r="L1393" s="0" t="n">
        <f aca="false">D1393*F1393</f>
        <v>-0.1875</v>
      </c>
      <c r="M1393" s="0" t="n">
        <f aca="false">E1393*F1393</f>
        <v>0.234375</v>
      </c>
      <c r="N1393" s="0" t="n">
        <f aca="false">D1393*D1393</f>
        <v>0.25</v>
      </c>
      <c r="O1393" s="0" t="n">
        <f aca="false">E1393*E1393</f>
        <v>0.390625</v>
      </c>
      <c r="P1393" s="0" t="n">
        <f aca="false">F1393*F1393</f>
        <v>0.140625</v>
      </c>
      <c r="Q1393" s="0" t="n">
        <f aca="false">SUMPRODUCT(G1393:P1393,_XtX!$B$71:$K$71)</f>
        <v>47.0561647727273</v>
      </c>
      <c r="R1393" s="0" t="n">
        <f aca="false">SUMPRODUCT(MMULT(G1393:P1393,_XtX!$B$58:$K$67),G1393:P1393)</f>
        <v>0.182953990589489</v>
      </c>
      <c r="S1393" s="0" t="n">
        <f aca="false">04_回帰ANOVA!$K$19*04_回帰ANOVA!$K$14*SQRT(1+R1393)</f>
        <v>1.01123143807044</v>
      </c>
      <c r="T1393" s="0" t="n">
        <f aca="false">Q1393-S1393</f>
        <v>46.0449333346568</v>
      </c>
      <c r="U1393" s="0" t="n">
        <f aca="false">Q1393+S1393</f>
        <v>48.0673962107977</v>
      </c>
      <c r="V1393" s="54" t="b">
        <f aca="false">AND(D1393&gt;=01_因子設定!$L$5-0.000000001,D1393&lt;=01_因子設定!$M$5+0.000000001,E1393&gt;=01_因子設定!$L$6-0.000000001,E1393&lt;=01_因子設定!$M$6+0.000000001,F1393&gt;=01_因子設定!$L$7-0.000000001,F1393&lt;=01_因子設定!$M$7+0.000000001,IF(01_因子設定!$B$20="Box-Behnken",D1393^2+E1393^2+F1393^2&lt;=2+0.000000001,TRUE()))</f>
        <v>1</v>
      </c>
      <c r="W1393" s="55" t="n">
        <f aca="false">IF(V1393,IF(01_因子設定!$B$13="最大化",T1393-01_因子設定!$B$14,IF(01_因子設定!$B$13="最小化",01_因子設定!$B$15-U1393,MIN(T1393-01_因子設定!$B$14,01_因子設定!$B$15-U1393))),-1E+030)</f>
        <v>-2.45506666534316</v>
      </c>
      <c r="X1393" s="55" t="n">
        <f aca="false">IF(V1393,IF(01_因子設定!$B$13="最大化",Q1393,IF(01_因子設定!$B$13="最小化",-Q1393,-ABS(Q1393-01_因子設定!$B$16))),-1E+030)</f>
        <v>47.0561647727273</v>
      </c>
      <c r="Y1393" s="55" t="n">
        <f aca="false">W1393+ROW()*0.000000001</f>
        <v>-2.45506527234316</v>
      </c>
      <c r="Z1393" s="55" t="n">
        <f aca="false">X1393+ROW()*0.000000001</f>
        <v>47.0561661657273</v>
      </c>
    </row>
    <row r="1394" customFormat="false" ht="15" hidden="false" customHeight="false" outlineLevel="0" collapsed="false">
      <c r="A1394" s="0" t="n">
        <v>4</v>
      </c>
      <c r="B1394" s="0" t="n">
        <v>13</v>
      </c>
      <c r="C1394" s="0" t="n">
        <v>12</v>
      </c>
      <c r="D1394" s="0" t="n">
        <f aca="false">-1+A1394*0.125</f>
        <v>-0.5</v>
      </c>
      <c r="E1394" s="0" t="n">
        <f aca="false">-1+B1394*0.125</f>
        <v>0.625</v>
      </c>
      <c r="F1394" s="0" t="n">
        <f aca="false">-1+C1394*0.125</f>
        <v>0.5</v>
      </c>
      <c r="G1394" s="0" t="n">
        <f aca="false">1</f>
        <v>1</v>
      </c>
      <c r="H1394" s="0" t="n">
        <f aca="false">D1394</f>
        <v>-0.5</v>
      </c>
      <c r="I1394" s="0" t="n">
        <f aca="false">E1394</f>
        <v>0.625</v>
      </c>
      <c r="J1394" s="0" t="n">
        <f aca="false">F1394</f>
        <v>0.5</v>
      </c>
      <c r="K1394" s="0" t="n">
        <f aca="false">D1394*E1394</f>
        <v>-0.3125</v>
      </c>
      <c r="L1394" s="0" t="n">
        <f aca="false">D1394*F1394</f>
        <v>-0.25</v>
      </c>
      <c r="M1394" s="0" t="n">
        <f aca="false">E1394*F1394</f>
        <v>0.3125</v>
      </c>
      <c r="N1394" s="0" t="n">
        <f aca="false">D1394*D1394</f>
        <v>0.25</v>
      </c>
      <c r="O1394" s="0" t="n">
        <f aca="false">E1394*E1394</f>
        <v>0.390625</v>
      </c>
      <c r="P1394" s="0" t="n">
        <f aca="false">F1394*F1394</f>
        <v>0.25</v>
      </c>
      <c r="Q1394" s="0" t="n">
        <f aca="false">SUMPRODUCT(G1394:P1394,_XtX!$B$71:$K$71)</f>
        <v>47.1444318181818</v>
      </c>
      <c r="R1394" s="0" t="n">
        <f aca="false">SUMPRODUCT(MMULT(G1394:P1394,_XtX!$B$58:$K$67),G1394:P1394)</f>
        <v>0.189133522727273</v>
      </c>
      <c r="S1394" s="0" t="n">
        <f aca="false">04_回帰ANOVA!$K$19*04_回帰ANOVA!$K$14*SQRT(1+R1394)</f>
        <v>1.0138692404042</v>
      </c>
      <c r="T1394" s="0" t="n">
        <f aca="false">Q1394-S1394</f>
        <v>46.1305625777776</v>
      </c>
      <c r="U1394" s="0" t="n">
        <f aca="false">Q1394+S1394</f>
        <v>48.158301058586</v>
      </c>
      <c r="V1394" s="54" t="b">
        <f aca="false">AND(D1394&gt;=01_因子設定!$L$5-0.000000001,D1394&lt;=01_因子設定!$M$5+0.000000001,E1394&gt;=01_因子設定!$L$6-0.000000001,E1394&lt;=01_因子設定!$M$6+0.000000001,F1394&gt;=01_因子設定!$L$7-0.000000001,F1394&lt;=01_因子設定!$M$7+0.000000001,IF(01_因子設定!$B$20="Box-Behnken",D1394^2+E1394^2+F1394^2&lt;=2+0.000000001,TRUE()))</f>
        <v>1</v>
      </c>
      <c r="W1394" s="55" t="n">
        <f aca="false">IF(V1394,IF(01_因子設定!$B$13="最大化",T1394-01_因子設定!$B$14,IF(01_因子設定!$B$13="最小化",01_因子設定!$B$15-U1394,MIN(T1394-01_因子設定!$B$14,01_因子設定!$B$15-U1394))),-1E+030)</f>
        <v>-2.36943742222237</v>
      </c>
      <c r="X1394" s="55" t="n">
        <f aca="false">IF(V1394,IF(01_因子設定!$B$13="最大化",Q1394,IF(01_因子設定!$B$13="最小化",-Q1394,-ABS(Q1394-01_因子設定!$B$16))),-1E+030)</f>
        <v>47.1444318181818</v>
      </c>
      <c r="Y1394" s="55" t="n">
        <f aca="false">W1394+ROW()*0.000000001</f>
        <v>-2.36943602822237</v>
      </c>
      <c r="Z1394" s="55" t="n">
        <f aca="false">X1394+ROW()*0.000000001</f>
        <v>47.1444332121818</v>
      </c>
    </row>
    <row r="1395" customFormat="false" ht="15" hidden="false" customHeight="false" outlineLevel="0" collapsed="false">
      <c r="A1395" s="0" t="n">
        <v>4</v>
      </c>
      <c r="B1395" s="0" t="n">
        <v>13</v>
      </c>
      <c r="C1395" s="0" t="n">
        <v>13</v>
      </c>
      <c r="D1395" s="0" t="n">
        <f aca="false">-1+A1395*0.125</f>
        <v>-0.5</v>
      </c>
      <c r="E1395" s="0" t="n">
        <f aca="false">-1+B1395*0.125</f>
        <v>0.625</v>
      </c>
      <c r="F1395" s="0" t="n">
        <f aca="false">-1+C1395*0.125</f>
        <v>0.625</v>
      </c>
      <c r="G1395" s="0" t="n">
        <f aca="false">1</f>
        <v>1</v>
      </c>
      <c r="H1395" s="0" t="n">
        <f aca="false">D1395</f>
        <v>-0.5</v>
      </c>
      <c r="I1395" s="0" t="n">
        <f aca="false">E1395</f>
        <v>0.625</v>
      </c>
      <c r="J1395" s="0" t="n">
        <f aca="false">F1395</f>
        <v>0.625</v>
      </c>
      <c r="K1395" s="0" t="n">
        <f aca="false">D1395*E1395</f>
        <v>-0.3125</v>
      </c>
      <c r="L1395" s="0" t="n">
        <f aca="false">D1395*F1395</f>
        <v>-0.3125</v>
      </c>
      <c r="M1395" s="0" t="n">
        <f aca="false">E1395*F1395</f>
        <v>0.390625</v>
      </c>
      <c r="N1395" s="0" t="n">
        <f aca="false">D1395*D1395</f>
        <v>0.25</v>
      </c>
      <c r="O1395" s="0" t="n">
        <f aca="false">E1395*E1395</f>
        <v>0.390625</v>
      </c>
      <c r="P1395" s="0" t="n">
        <f aca="false">F1395*F1395</f>
        <v>0.390625</v>
      </c>
      <c r="Q1395" s="0" t="n">
        <f aca="false">SUMPRODUCT(G1395:P1395,_XtX!$B$71:$K$71)</f>
        <v>47.1959090909091</v>
      </c>
      <c r="R1395" s="0" t="n">
        <f aca="false">SUMPRODUCT(MMULT(G1395:P1395,_XtX!$B$58:$K$67),G1395:P1395)</f>
        <v>0.209862726384943</v>
      </c>
      <c r="S1395" s="0" t="n">
        <f aca="false">04_回帰ANOVA!$K$19*04_回帰ANOVA!$K$14*SQRT(1+R1395)</f>
        <v>1.0226680420112</v>
      </c>
      <c r="T1395" s="0" t="n">
        <f aca="false">Q1395-S1395</f>
        <v>46.1732410488979</v>
      </c>
      <c r="U1395" s="0" t="n">
        <f aca="false">Q1395+S1395</f>
        <v>48.2185771329203</v>
      </c>
      <c r="V1395" s="54" t="b">
        <f aca="false">AND(D1395&gt;=01_因子設定!$L$5-0.000000001,D1395&lt;=01_因子設定!$M$5+0.000000001,E1395&gt;=01_因子設定!$L$6-0.000000001,E1395&lt;=01_因子設定!$M$6+0.000000001,F1395&gt;=01_因子設定!$L$7-0.000000001,F1395&lt;=01_因子設定!$M$7+0.000000001,IF(01_因子設定!$B$20="Box-Behnken",D1395^2+E1395^2+F1395^2&lt;=2+0.000000001,TRUE()))</f>
        <v>1</v>
      </c>
      <c r="W1395" s="55" t="n">
        <f aca="false">IF(V1395,IF(01_因子設定!$B$13="最大化",T1395-01_因子設定!$B$14,IF(01_因子設定!$B$13="最小化",01_因子設定!$B$15-U1395,MIN(T1395-01_因子設定!$B$14,01_因子設定!$B$15-U1395))),-1E+030)</f>
        <v>-2.32675895110209</v>
      </c>
      <c r="X1395" s="55" t="n">
        <f aca="false">IF(V1395,IF(01_因子設定!$B$13="最大化",Q1395,IF(01_因子設定!$B$13="最小化",-Q1395,-ABS(Q1395-01_因子設定!$B$16))),-1E+030)</f>
        <v>47.1959090909091</v>
      </c>
      <c r="Y1395" s="55" t="n">
        <f aca="false">W1395+ROW()*0.000000001</f>
        <v>-2.32675755610209</v>
      </c>
      <c r="Z1395" s="55" t="n">
        <f aca="false">X1395+ROW()*0.000000001</f>
        <v>47.1959104859091</v>
      </c>
    </row>
    <row r="1396" customFormat="false" ht="15" hidden="false" customHeight="false" outlineLevel="0" collapsed="false">
      <c r="A1396" s="0" t="n">
        <v>4</v>
      </c>
      <c r="B1396" s="0" t="n">
        <v>13</v>
      </c>
      <c r="C1396" s="0" t="n">
        <v>14</v>
      </c>
      <c r="D1396" s="0" t="n">
        <f aca="false">-1+A1396*0.125</f>
        <v>-0.5</v>
      </c>
      <c r="E1396" s="0" t="n">
        <f aca="false">-1+B1396*0.125</f>
        <v>0.625</v>
      </c>
      <c r="F1396" s="0" t="n">
        <f aca="false">-1+C1396*0.125</f>
        <v>0.75</v>
      </c>
      <c r="G1396" s="0" t="n">
        <f aca="false">1</f>
        <v>1</v>
      </c>
      <c r="H1396" s="0" t="n">
        <f aca="false">D1396</f>
        <v>-0.5</v>
      </c>
      <c r="I1396" s="0" t="n">
        <f aca="false">E1396</f>
        <v>0.625</v>
      </c>
      <c r="J1396" s="0" t="n">
        <f aca="false">F1396</f>
        <v>0.75</v>
      </c>
      <c r="K1396" s="0" t="n">
        <f aca="false">D1396*E1396</f>
        <v>-0.3125</v>
      </c>
      <c r="L1396" s="0" t="n">
        <f aca="false">D1396*F1396</f>
        <v>-0.375</v>
      </c>
      <c r="M1396" s="0" t="n">
        <f aca="false">E1396*F1396</f>
        <v>0.46875</v>
      </c>
      <c r="N1396" s="0" t="n">
        <f aca="false">D1396*D1396</f>
        <v>0.25</v>
      </c>
      <c r="O1396" s="0" t="n">
        <f aca="false">E1396*E1396</f>
        <v>0.390625</v>
      </c>
      <c r="P1396" s="0" t="n">
        <f aca="false">F1396*F1396</f>
        <v>0.5625</v>
      </c>
      <c r="Q1396" s="0" t="n">
        <f aca="false">SUMPRODUCT(G1396:P1396,_XtX!$B$71:$K$71)</f>
        <v>47.2105965909091</v>
      </c>
      <c r="R1396" s="0" t="n">
        <f aca="false">SUMPRODUCT(MMULT(G1396:P1396,_XtX!$B$58:$K$67),G1396:P1396)</f>
        <v>0.254729669744318</v>
      </c>
      <c r="S1396" s="0" t="n">
        <f aca="false">04_回帰ANOVA!$K$19*04_回帰ANOVA!$K$14*SQRT(1+R1396)</f>
        <v>1.04145790281631</v>
      </c>
      <c r="T1396" s="0" t="n">
        <f aca="false">Q1396-S1396</f>
        <v>46.1691386880928</v>
      </c>
      <c r="U1396" s="0" t="n">
        <f aca="false">Q1396+S1396</f>
        <v>48.2520544937254</v>
      </c>
      <c r="V1396" s="54" t="b">
        <f aca="false">AND(D1396&gt;=01_因子設定!$L$5-0.000000001,D1396&lt;=01_因子設定!$M$5+0.000000001,E1396&gt;=01_因子設定!$L$6-0.000000001,E1396&lt;=01_因子設定!$M$6+0.000000001,F1396&gt;=01_因子設定!$L$7-0.000000001,F1396&lt;=01_因子設定!$M$7+0.000000001,IF(01_因子設定!$B$20="Box-Behnken",D1396^2+E1396^2+F1396^2&lt;=2+0.000000001,TRUE()))</f>
        <v>1</v>
      </c>
      <c r="W1396" s="55" t="n">
        <f aca="false">IF(V1396,IF(01_因子設定!$B$13="最大化",T1396-01_因子設定!$B$14,IF(01_因子設定!$B$13="最小化",01_因子設定!$B$15-U1396,MIN(T1396-01_因子設定!$B$14,01_因子設定!$B$15-U1396))),-1E+030)</f>
        <v>-2.33086131190721</v>
      </c>
      <c r="X1396" s="55" t="n">
        <f aca="false">IF(V1396,IF(01_因子設定!$B$13="最大化",Q1396,IF(01_因子設定!$B$13="最小化",-Q1396,-ABS(Q1396-01_因子設定!$B$16))),-1E+030)</f>
        <v>47.2105965909091</v>
      </c>
      <c r="Y1396" s="55" t="n">
        <f aca="false">W1396+ROW()*0.000000001</f>
        <v>-2.33085991590721</v>
      </c>
      <c r="Z1396" s="55" t="n">
        <f aca="false">X1396+ROW()*0.000000001</f>
        <v>47.2105979869091</v>
      </c>
    </row>
    <row r="1397" customFormat="false" ht="15" hidden="false" customHeight="false" outlineLevel="0" collapsed="false">
      <c r="A1397" s="0" t="n">
        <v>4</v>
      </c>
      <c r="B1397" s="0" t="n">
        <v>13</v>
      </c>
      <c r="C1397" s="0" t="n">
        <v>15</v>
      </c>
      <c r="D1397" s="0" t="n">
        <f aca="false">-1+A1397*0.125</f>
        <v>-0.5</v>
      </c>
      <c r="E1397" s="0" t="n">
        <f aca="false">-1+B1397*0.125</f>
        <v>0.625</v>
      </c>
      <c r="F1397" s="0" t="n">
        <f aca="false">-1+C1397*0.125</f>
        <v>0.875</v>
      </c>
      <c r="G1397" s="0" t="n">
        <f aca="false">1</f>
        <v>1</v>
      </c>
      <c r="H1397" s="0" t="n">
        <f aca="false">D1397</f>
        <v>-0.5</v>
      </c>
      <c r="I1397" s="0" t="n">
        <f aca="false">E1397</f>
        <v>0.625</v>
      </c>
      <c r="J1397" s="0" t="n">
        <f aca="false">F1397</f>
        <v>0.875</v>
      </c>
      <c r="K1397" s="0" t="n">
        <f aca="false">D1397*E1397</f>
        <v>-0.3125</v>
      </c>
      <c r="L1397" s="0" t="n">
        <f aca="false">D1397*F1397</f>
        <v>-0.4375</v>
      </c>
      <c r="M1397" s="0" t="n">
        <f aca="false">E1397*F1397</f>
        <v>0.546875</v>
      </c>
      <c r="N1397" s="0" t="n">
        <f aca="false">D1397*D1397</f>
        <v>0.25</v>
      </c>
      <c r="O1397" s="0" t="n">
        <f aca="false">E1397*E1397</f>
        <v>0.390625</v>
      </c>
      <c r="P1397" s="0" t="n">
        <f aca="false">F1397*F1397</f>
        <v>0.765625</v>
      </c>
      <c r="Q1397" s="0" t="n">
        <f aca="false">SUMPRODUCT(G1397:P1397,_XtX!$B$71:$K$71)</f>
        <v>47.1884943181818</v>
      </c>
      <c r="R1397" s="0" t="n">
        <f aca="false">SUMPRODUCT(MMULT(G1397:P1397,_XtX!$B$58:$K$67),G1397:P1397)</f>
        <v>0.335453102805398</v>
      </c>
      <c r="S1397" s="0" t="n">
        <f aca="false">04_回帰ANOVA!$K$19*04_回帰ANOVA!$K$14*SQRT(1+R1397)</f>
        <v>1.07443700305628</v>
      </c>
      <c r="T1397" s="0" t="n">
        <f aca="false">Q1397-S1397</f>
        <v>46.1140573151256</v>
      </c>
      <c r="U1397" s="0" t="n">
        <f aca="false">Q1397+S1397</f>
        <v>48.2629313212381</v>
      </c>
      <c r="V1397" s="54" t="b">
        <f aca="false">AND(D1397&gt;=01_因子設定!$L$5-0.000000001,D1397&lt;=01_因子設定!$M$5+0.000000001,E1397&gt;=01_因子設定!$L$6-0.000000001,E1397&lt;=01_因子設定!$M$6+0.000000001,F1397&gt;=01_因子設定!$L$7-0.000000001,F1397&lt;=01_因子設定!$M$7+0.000000001,IF(01_因子設定!$B$20="Box-Behnken",D1397^2+E1397^2+F1397^2&lt;=2+0.000000001,TRUE()))</f>
        <v>1</v>
      </c>
      <c r="W1397" s="55" t="n">
        <f aca="false">IF(V1397,IF(01_因子設定!$B$13="最大化",T1397-01_因子設定!$B$14,IF(01_因子設定!$B$13="最小化",01_因子設定!$B$15-U1397,MIN(T1397-01_因子設定!$B$14,01_因子設定!$B$15-U1397))),-1E+030)</f>
        <v>-2.38594268487444</v>
      </c>
      <c r="X1397" s="55" t="n">
        <f aca="false">IF(V1397,IF(01_因子設定!$B$13="最大化",Q1397,IF(01_因子設定!$B$13="最小化",-Q1397,-ABS(Q1397-01_因子設定!$B$16))),-1E+030)</f>
        <v>47.1884943181818</v>
      </c>
      <c r="Y1397" s="55" t="n">
        <f aca="false">W1397+ROW()*0.000000001</f>
        <v>-2.38594128787444</v>
      </c>
      <c r="Z1397" s="55" t="n">
        <f aca="false">X1397+ROW()*0.000000001</f>
        <v>47.1884957151818</v>
      </c>
    </row>
    <row r="1398" customFormat="false" ht="15" hidden="false" customHeight="false" outlineLevel="0" collapsed="false">
      <c r="A1398" s="0" t="n">
        <v>4</v>
      </c>
      <c r="B1398" s="0" t="n">
        <v>13</v>
      </c>
      <c r="C1398" s="0" t="n">
        <v>16</v>
      </c>
      <c r="D1398" s="0" t="n">
        <f aca="false">-1+A1398*0.125</f>
        <v>-0.5</v>
      </c>
      <c r="E1398" s="0" t="n">
        <f aca="false">-1+B1398*0.125</f>
        <v>0.625</v>
      </c>
      <c r="F1398" s="0" t="n">
        <f aca="false">-1+C1398*0.125</f>
        <v>1</v>
      </c>
      <c r="G1398" s="0" t="n">
        <f aca="false">1</f>
        <v>1</v>
      </c>
      <c r="H1398" s="0" t="n">
        <f aca="false">D1398</f>
        <v>-0.5</v>
      </c>
      <c r="I1398" s="0" t="n">
        <f aca="false">E1398</f>
        <v>0.625</v>
      </c>
      <c r="J1398" s="0" t="n">
        <f aca="false">F1398</f>
        <v>1</v>
      </c>
      <c r="K1398" s="0" t="n">
        <f aca="false">D1398*E1398</f>
        <v>-0.3125</v>
      </c>
      <c r="L1398" s="0" t="n">
        <f aca="false">D1398*F1398</f>
        <v>-0.5</v>
      </c>
      <c r="M1398" s="0" t="n">
        <f aca="false">E1398*F1398</f>
        <v>0.625</v>
      </c>
      <c r="N1398" s="0" t="n">
        <f aca="false">D1398*D1398</f>
        <v>0.25</v>
      </c>
      <c r="O1398" s="0" t="n">
        <f aca="false">E1398*E1398</f>
        <v>0.390625</v>
      </c>
      <c r="P1398" s="0" t="n">
        <f aca="false">F1398*F1398</f>
        <v>1</v>
      </c>
      <c r="Q1398" s="0" t="n">
        <f aca="false">SUMPRODUCT(G1398:P1398,_XtX!$B$71:$K$71)</f>
        <v>47.1296022727273</v>
      </c>
      <c r="R1398" s="0" t="n">
        <f aca="false">SUMPRODUCT(MMULT(G1398:P1398,_XtX!$B$58:$K$67),G1398:P1398)</f>
        <v>0.465882457386364</v>
      </c>
      <c r="S1398" s="0" t="n">
        <f aca="false">04_回帰ANOVA!$K$19*04_回帰ANOVA!$K$14*SQRT(1+R1398)</f>
        <v>1.12568326538173</v>
      </c>
      <c r="T1398" s="0" t="n">
        <f aca="false">Q1398-S1398</f>
        <v>46.0039190073456</v>
      </c>
      <c r="U1398" s="0" t="n">
        <f aca="false">Q1398+S1398</f>
        <v>48.255285538109</v>
      </c>
      <c r="V1398" s="54" t="b">
        <f aca="false">AND(D1398&gt;=01_因子設定!$L$5-0.000000001,D1398&lt;=01_因子設定!$M$5+0.000000001,E1398&gt;=01_因子設定!$L$6-0.000000001,E1398&lt;=01_因子設定!$M$6+0.000000001,F1398&gt;=01_因子設定!$L$7-0.000000001,F1398&lt;=01_因子設定!$M$7+0.000000001,IF(01_因子設定!$B$20="Box-Behnken",D1398^2+E1398^2+F1398^2&lt;=2+0.000000001,TRUE()))</f>
        <v>1</v>
      </c>
      <c r="W1398" s="55" t="n">
        <f aca="false">IF(V1398,IF(01_因子設定!$B$13="最大化",T1398-01_因子設定!$B$14,IF(01_因子設定!$B$13="最小化",01_因子設定!$B$15-U1398,MIN(T1398-01_因子設定!$B$14,01_因子設定!$B$15-U1398))),-1E+030)</f>
        <v>-2.49608099265443</v>
      </c>
      <c r="X1398" s="55" t="n">
        <f aca="false">IF(V1398,IF(01_因子設定!$B$13="最大化",Q1398,IF(01_因子設定!$B$13="最小化",-Q1398,-ABS(Q1398-01_因子設定!$B$16))),-1E+030)</f>
        <v>47.1296022727273</v>
      </c>
      <c r="Y1398" s="55" t="n">
        <f aca="false">W1398+ROW()*0.000000001</f>
        <v>-2.49607959465443</v>
      </c>
      <c r="Z1398" s="55" t="n">
        <f aca="false">X1398+ROW()*0.000000001</f>
        <v>47.1296036707273</v>
      </c>
    </row>
    <row r="1399" customFormat="false" ht="15" hidden="false" customHeight="false" outlineLevel="0" collapsed="false">
      <c r="A1399" s="0" t="n">
        <v>4</v>
      </c>
      <c r="B1399" s="0" t="n">
        <v>14</v>
      </c>
      <c r="C1399" s="0" t="n">
        <v>0</v>
      </c>
      <c r="D1399" s="0" t="n">
        <f aca="false">-1+A1399*0.125</f>
        <v>-0.5</v>
      </c>
      <c r="E1399" s="0" t="n">
        <f aca="false">-1+B1399*0.125</f>
        <v>0.75</v>
      </c>
      <c r="F1399" s="0" t="n">
        <f aca="false">-1+C1399*0.125</f>
        <v>-1</v>
      </c>
      <c r="G1399" s="0" t="n">
        <f aca="false">1</f>
        <v>1</v>
      </c>
      <c r="H1399" s="0" t="n">
        <f aca="false">D1399</f>
        <v>-0.5</v>
      </c>
      <c r="I1399" s="0" t="n">
        <f aca="false">E1399</f>
        <v>0.75</v>
      </c>
      <c r="J1399" s="0" t="n">
        <f aca="false">F1399</f>
        <v>-1</v>
      </c>
      <c r="K1399" s="0" t="n">
        <f aca="false">D1399*E1399</f>
        <v>-0.375</v>
      </c>
      <c r="L1399" s="0" t="n">
        <f aca="false">D1399*F1399</f>
        <v>0.5</v>
      </c>
      <c r="M1399" s="0" t="n">
        <f aca="false">E1399*F1399</f>
        <v>-0.75</v>
      </c>
      <c r="N1399" s="0" t="n">
        <f aca="false">D1399*D1399</f>
        <v>0.25</v>
      </c>
      <c r="O1399" s="0" t="n">
        <f aca="false">E1399*E1399</f>
        <v>0.5625</v>
      </c>
      <c r="P1399" s="0" t="n">
        <f aca="false">F1399*F1399</f>
        <v>1</v>
      </c>
      <c r="Q1399" s="0" t="n">
        <f aca="false">SUMPRODUCT(G1399:P1399,_XtX!$B$71:$K$71)</f>
        <v>43.4346022727273</v>
      </c>
      <c r="R1399" s="0" t="n">
        <f aca="false">SUMPRODUCT(MMULT(G1399:P1399,_XtX!$B$58:$K$67),G1399:P1399)</f>
        <v>0.495276988636364</v>
      </c>
      <c r="S1399" s="0" t="n">
        <f aca="false">04_回帰ANOVA!$K$19*04_回帰ANOVA!$K$14*SQRT(1+R1399)</f>
        <v>1.13691359828352</v>
      </c>
      <c r="T1399" s="0" t="n">
        <f aca="false">Q1399-S1399</f>
        <v>42.2976886744438</v>
      </c>
      <c r="U1399" s="0" t="n">
        <f aca="false">Q1399+S1399</f>
        <v>44.5715158710108</v>
      </c>
      <c r="V1399" s="54" t="b">
        <f aca="false">AND(D1399&gt;=01_因子設定!$L$5-0.000000001,D1399&lt;=01_因子設定!$M$5+0.000000001,E1399&gt;=01_因子設定!$L$6-0.000000001,E1399&lt;=01_因子設定!$M$6+0.000000001,F1399&gt;=01_因子設定!$L$7-0.000000001,F1399&lt;=01_因子設定!$M$7+0.000000001,IF(01_因子設定!$B$20="Box-Behnken",D1399^2+E1399^2+F1399^2&lt;=2+0.000000001,TRUE()))</f>
        <v>1</v>
      </c>
      <c r="W1399" s="55" t="n">
        <f aca="false">IF(V1399,IF(01_因子設定!$B$13="最大化",T1399-01_因子設定!$B$14,IF(01_因子設定!$B$13="最小化",01_因子設定!$B$15-U1399,MIN(T1399-01_因子設定!$B$14,01_因子設定!$B$15-U1399))),-1E+030)</f>
        <v>-6.20231132555622</v>
      </c>
      <c r="X1399" s="55" t="n">
        <f aca="false">IF(V1399,IF(01_因子設定!$B$13="最大化",Q1399,IF(01_因子設定!$B$13="最小化",-Q1399,-ABS(Q1399-01_因子設定!$B$16))),-1E+030)</f>
        <v>43.4346022727273</v>
      </c>
      <c r="Y1399" s="55" t="n">
        <f aca="false">W1399+ROW()*0.000000001</f>
        <v>-6.20230992655622</v>
      </c>
      <c r="Z1399" s="55" t="n">
        <f aca="false">X1399+ROW()*0.000000001</f>
        <v>43.4346036717273</v>
      </c>
    </row>
    <row r="1400" customFormat="false" ht="15" hidden="false" customHeight="false" outlineLevel="0" collapsed="false">
      <c r="A1400" s="0" t="n">
        <v>4</v>
      </c>
      <c r="B1400" s="0" t="n">
        <v>14</v>
      </c>
      <c r="C1400" s="0" t="n">
        <v>1</v>
      </c>
      <c r="D1400" s="0" t="n">
        <f aca="false">-1+A1400*0.125</f>
        <v>-0.5</v>
      </c>
      <c r="E1400" s="0" t="n">
        <f aca="false">-1+B1400*0.125</f>
        <v>0.75</v>
      </c>
      <c r="F1400" s="0" t="n">
        <f aca="false">-1+C1400*0.125</f>
        <v>-0.875</v>
      </c>
      <c r="G1400" s="0" t="n">
        <f aca="false">1</f>
        <v>1</v>
      </c>
      <c r="H1400" s="0" t="n">
        <f aca="false">D1400</f>
        <v>-0.5</v>
      </c>
      <c r="I1400" s="0" t="n">
        <f aca="false">E1400</f>
        <v>0.75</v>
      </c>
      <c r="J1400" s="0" t="n">
        <f aca="false">F1400</f>
        <v>-0.875</v>
      </c>
      <c r="K1400" s="0" t="n">
        <f aca="false">D1400*E1400</f>
        <v>-0.375</v>
      </c>
      <c r="L1400" s="0" t="n">
        <f aca="false">D1400*F1400</f>
        <v>0.4375</v>
      </c>
      <c r="M1400" s="0" t="n">
        <f aca="false">E1400*F1400</f>
        <v>-0.65625</v>
      </c>
      <c r="N1400" s="0" t="n">
        <f aca="false">D1400*D1400</f>
        <v>0.25</v>
      </c>
      <c r="O1400" s="0" t="n">
        <f aca="false">E1400*E1400</f>
        <v>0.5625</v>
      </c>
      <c r="P1400" s="0" t="n">
        <f aca="false">F1400*F1400</f>
        <v>0.765625</v>
      </c>
      <c r="Q1400" s="0" t="n">
        <f aca="false">SUMPRODUCT(G1400:P1400,_XtX!$B$71:$K$71)</f>
        <v>43.9345880681818</v>
      </c>
      <c r="R1400" s="0" t="n">
        <f aca="false">SUMPRODUCT(MMULT(G1400:P1400,_XtX!$B$58:$K$67),G1400:P1400)</f>
        <v>0.370798561789773</v>
      </c>
      <c r="S1400" s="0" t="n">
        <f aca="false">04_回帰ANOVA!$K$19*04_回帰ANOVA!$K$14*SQRT(1+R1400)</f>
        <v>1.08856271788237</v>
      </c>
      <c r="T1400" s="0" t="n">
        <f aca="false">Q1400-S1400</f>
        <v>42.8460253502995</v>
      </c>
      <c r="U1400" s="0" t="n">
        <f aca="false">Q1400+S1400</f>
        <v>45.0231507860642</v>
      </c>
      <c r="V1400" s="54" t="b">
        <f aca="false">AND(D1400&gt;=01_因子設定!$L$5-0.000000001,D1400&lt;=01_因子設定!$M$5+0.000000001,E1400&gt;=01_因子設定!$L$6-0.000000001,E1400&lt;=01_因子設定!$M$6+0.000000001,F1400&gt;=01_因子設定!$L$7-0.000000001,F1400&lt;=01_因子設定!$M$7+0.000000001,IF(01_因子設定!$B$20="Box-Behnken",D1400^2+E1400^2+F1400^2&lt;=2+0.000000001,TRUE()))</f>
        <v>1</v>
      </c>
      <c r="W1400" s="55" t="n">
        <f aca="false">IF(V1400,IF(01_因子設定!$B$13="最大化",T1400-01_因子設定!$B$14,IF(01_因子設定!$B$13="最小化",01_因子設定!$B$15-U1400,MIN(T1400-01_因子設定!$B$14,01_因子設定!$B$15-U1400))),-1E+030)</f>
        <v>-5.65397464970054</v>
      </c>
      <c r="X1400" s="55" t="n">
        <f aca="false">IF(V1400,IF(01_因子設定!$B$13="最大化",Q1400,IF(01_因子設定!$B$13="最小化",-Q1400,-ABS(Q1400-01_因子設定!$B$16))),-1E+030)</f>
        <v>43.9345880681818</v>
      </c>
      <c r="Y1400" s="55" t="n">
        <f aca="false">W1400+ROW()*0.000000001</f>
        <v>-5.65397324970054</v>
      </c>
      <c r="Z1400" s="55" t="n">
        <f aca="false">X1400+ROW()*0.000000001</f>
        <v>43.9345894681818</v>
      </c>
    </row>
    <row r="1401" customFormat="false" ht="15" hidden="false" customHeight="false" outlineLevel="0" collapsed="false">
      <c r="A1401" s="0" t="n">
        <v>4</v>
      </c>
      <c r="B1401" s="0" t="n">
        <v>14</v>
      </c>
      <c r="C1401" s="0" t="n">
        <v>2</v>
      </c>
      <c r="D1401" s="0" t="n">
        <f aca="false">-1+A1401*0.125</f>
        <v>-0.5</v>
      </c>
      <c r="E1401" s="0" t="n">
        <f aca="false">-1+B1401*0.125</f>
        <v>0.75</v>
      </c>
      <c r="F1401" s="0" t="n">
        <f aca="false">-1+C1401*0.125</f>
        <v>-0.75</v>
      </c>
      <c r="G1401" s="0" t="n">
        <f aca="false">1</f>
        <v>1</v>
      </c>
      <c r="H1401" s="0" t="n">
        <f aca="false">D1401</f>
        <v>-0.5</v>
      </c>
      <c r="I1401" s="0" t="n">
        <f aca="false">E1401</f>
        <v>0.75</v>
      </c>
      <c r="J1401" s="0" t="n">
        <f aca="false">F1401</f>
        <v>-0.75</v>
      </c>
      <c r="K1401" s="0" t="n">
        <f aca="false">D1401*E1401</f>
        <v>-0.375</v>
      </c>
      <c r="L1401" s="0" t="n">
        <f aca="false">D1401*F1401</f>
        <v>0.375</v>
      </c>
      <c r="M1401" s="0" t="n">
        <f aca="false">E1401*F1401</f>
        <v>-0.5625</v>
      </c>
      <c r="N1401" s="0" t="n">
        <f aca="false">D1401*D1401</f>
        <v>0.25</v>
      </c>
      <c r="O1401" s="0" t="n">
        <f aca="false">E1401*E1401</f>
        <v>0.5625</v>
      </c>
      <c r="P1401" s="0" t="n">
        <f aca="false">F1401*F1401</f>
        <v>0.5625</v>
      </c>
      <c r="Q1401" s="0" t="n">
        <f aca="false">SUMPRODUCT(G1401:P1401,_XtX!$B$71:$K$71)</f>
        <v>44.3977840909091</v>
      </c>
      <c r="R1401" s="0" t="n">
        <f aca="false">SUMPRODUCT(MMULT(G1401:P1401,_XtX!$B$58:$K$67),G1401:P1401)</f>
        <v>0.295232599431818</v>
      </c>
      <c r="S1401" s="0" t="n">
        <f aca="false">04_回帰ANOVA!$K$19*04_回帰ANOVA!$K$14*SQRT(1+R1401)</f>
        <v>1.05813363442154</v>
      </c>
      <c r="T1401" s="0" t="n">
        <f aca="false">Q1401-S1401</f>
        <v>43.3396504564876</v>
      </c>
      <c r="U1401" s="0" t="n">
        <f aca="false">Q1401+S1401</f>
        <v>45.4559177253306</v>
      </c>
      <c r="V1401" s="54" t="b">
        <f aca="false">AND(D1401&gt;=01_因子設定!$L$5-0.000000001,D1401&lt;=01_因子設定!$M$5+0.000000001,E1401&gt;=01_因子設定!$L$6-0.000000001,E1401&lt;=01_因子設定!$M$6+0.000000001,F1401&gt;=01_因子設定!$L$7-0.000000001,F1401&lt;=01_因子設定!$M$7+0.000000001,IF(01_因子設定!$B$20="Box-Behnken",D1401^2+E1401^2+F1401^2&lt;=2+0.000000001,TRUE()))</f>
        <v>1</v>
      </c>
      <c r="W1401" s="55" t="n">
        <f aca="false">IF(V1401,IF(01_因子設定!$B$13="最大化",T1401-01_因子設定!$B$14,IF(01_因子設定!$B$13="最小化",01_因子設定!$B$15-U1401,MIN(T1401-01_因子設定!$B$14,01_因子設定!$B$15-U1401))),-1E+030)</f>
        <v>-5.16034954351243</v>
      </c>
      <c r="X1401" s="55" t="n">
        <f aca="false">IF(V1401,IF(01_因子設定!$B$13="最大化",Q1401,IF(01_因子設定!$B$13="最小化",-Q1401,-ABS(Q1401-01_因子設定!$B$16))),-1E+030)</f>
        <v>44.3977840909091</v>
      </c>
      <c r="Y1401" s="55" t="n">
        <f aca="false">W1401+ROW()*0.000000001</f>
        <v>-5.16034814251243</v>
      </c>
      <c r="Z1401" s="55" t="n">
        <f aca="false">X1401+ROW()*0.000000001</f>
        <v>44.3977854919091</v>
      </c>
    </row>
    <row r="1402" customFormat="false" ht="15" hidden="false" customHeight="false" outlineLevel="0" collapsed="false">
      <c r="A1402" s="0" t="n">
        <v>4</v>
      </c>
      <c r="B1402" s="0" t="n">
        <v>14</v>
      </c>
      <c r="C1402" s="0" t="n">
        <v>3</v>
      </c>
      <c r="D1402" s="0" t="n">
        <f aca="false">-1+A1402*0.125</f>
        <v>-0.5</v>
      </c>
      <c r="E1402" s="0" t="n">
        <f aca="false">-1+B1402*0.125</f>
        <v>0.75</v>
      </c>
      <c r="F1402" s="0" t="n">
        <f aca="false">-1+C1402*0.125</f>
        <v>-0.625</v>
      </c>
      <c r="G1402" s="0" t="n">
        <f aca="false">1</f>
        <v>1</v>
      </c>
      <c r="H1402" s="0" t="n">
        <f aca="false">D1402</f>
        <v>-0.5</v>
      </c>
      <c r="I1402" s="0" t="n">
        <f aca="false">E1402</f>
        <v>0.75</v>
      </c>
      <c r="J1402" s="0" t="n">
        <f aca="false">F1402</f>
        <v>-0.625</v>
      </c>
      <c r="K1402" s="0" t="n">
        <f aca="false">D1402*E1402</f>
        <v>-0.375</v>
      </c>
      <c r="L1402" s="0" t="n">
        <f aca="false">D1402*F1402</f>
        <v>0.3125</v>
      </c>
      <c r="M1402" s="0" t="n">
        <f aca="false">E1402*F1402</f>
        <v>-0.46875</v>
      </c>
      <c r="N1402" s="0" t="n">
        <f aca="false">D1402*D1402</f>
        <v>0.25</v>
      </c>
      <c r="O1402" s="0" t="n">
        <f aca="false">E1402*E1402</f>
        <v>0.5625</v>
      </c>
      <c r="P1402" s="0" t="n">
        <f aca="false">F1402*F1402</f>
        <v>0.390625</v>
      </c>
      <c r="Q1402" s="0" t="n">
        <f aca="false">SUMPRODUCT(G1402:P1402,_XtX!$B$71:$K$71)</f>
        <v>44.8241903409091</v>
      </c>
      <c r="R1402" s="0" t="n">
        <f aca="false">SUMPRODUCT(MMULT(G1402:P1402,_XtX!$B$58:$K$67),G1402:P1402)</f>
        <v>0.254729669744318</v>
      </c>
      <c r="S1402" s="0" t="n">
        <f aca="false">04_回帰ANOVA!$K$19*04_回帰ANOVA!$K$14*SQRT(1+R1402)</f>
        <v>1.04145790281631</v>
      </c>
      <c r="T1402" s="0" t="n">
        <f aca="false">Q1402-S1402</f>
        <v>43.7827324380928</v>
      </c>
      <c r="U1402" s="0" t="n">
        <f aca="false">Q1402+S1402</f>
        <v>45.8656482437254</v>
      </c>
      <c r="V1402" s="54" t="b">
        <f aca="false">AND(D1402&gt;=01_因子設定!$L$5-0.000000001,D1402&lt;=01_因子設定!$M$5+0.000000001,E1402&gt;=01_因子設定!$L$6-0.000000001,E1402&lt;=01_因子設定!$M$6+0.000000001,F1402&gt;=01_因子設定!$L$7-0.000000001,F1402&lt;=01_因子設定!$M$7+0.000000001,IF(01_因子設定!$B$20="Box-Behnken",D1402^2+E1402^2+F1402^2&lt;=2+0.000000001,TRUE()))</f>
        <v>1</v>
      </c>
      <c r="W1402" s="55" t="n">
        <f aca="false">IF(V1402,IF(01_因子設定!$B$13="最大化",T1402-01_因子設定!$B$14,IF(01_因子設定!$B$13="最小化",01_因子設定!$B$15-U1402,MIN(T1402-01_因子設定!$B$14,01_因子設定!$B$15-U1402))),-1E+030)</f>
        <v>-4.71726756190721</v>
      </c>
      <c r="X1402" s="55" t="n">
        <f aca="false">IF(V1402,IF(01_因子設定!$B$13="最大化",Q1402,IF(01_因子設定!$B$13="最小化",-Q1402,-ABS(Q1402-01_因子設定!$B$16))),-1E+030)</f>
        <v>44.8241903409091</v>
      </c>
      <c r="Y1402" s="55" t="n">
        <f aca="false">W1402+ROW()*0.000000001</f>
        <v>-4.71726615990721</v>
      </c>
      <c r="Z1402" s="55" t="n">
        <f aca="false">X1402+ROW()*0.000000001</f>
        <v>44.8241917429091</v>
      </c>
    </row>
    <row r="1403" customFormat="false" ht="15" hidden="false" customHeight="false" outlineLevel="0" collapsed="false">
      <c r="A1403" s="0" t="n">
        <v>4</v>
      </c>
      <c r="B1403" s="0" t="n">
        <v>14</v>
      </c>
      <c r="C1403" s="0" t="n">
        <v>4</v>
      </c>
      <c r="D1403" s="0" t="n">
        <f aca="false">-1+A1403*0.125</f>
        <v>-0.5</v>
      </c>
      <c r="E1403" s="0" t="n">
        <f aca="false">-1+B1403*0.125</f>
        <v>0.75</v>
      </c>
      <c r="F1403" s="0" t="n">
        <f aca="false">-1+C1403*0.125</f>
        <v>-0.5</v>
      </c>
      <c r="G1403" s="0" t="n">
        <f aca="false">1</f>
        <v>1</v>
      </c>
      <c r="H1403" s="0" t="n">
        <f aca="false">D1403</f>
        <v>-0.5</v>
      </c>
      <c r="I1403" s="0" t="n">
        <f aca="false">E1403</f>
        <v>0.75</v>
      </c>
      <c r="J1403" s="0" t="n">
        <f aca="false">F1403</f>
        <v>-0.5</v>
      </c>
      <c r="K1403" s="0" t="n">
        <f aca="false">D1403*E1403</f>
        <v>-0.375</v>
      </c>
      <c r="L1403" s="0" t="n">
        <f aca="false">D1403*F1403</f>
        <v>0.25</v>
      </c>
      <c r="M1403" s="0" t="n">
        <f aca="false">E1403*F1403</f>
        <v>-0.375</v>
      </c>
      <c r="N1403" s="0" t="n">
        <f aca="false">D1403*D1403</f>
        <v>0.25</v>
      </c>
      <c r="O1403" s="0" t="n">
        <f aca="false">E1403*E1403</f>
        <v>0.5625</v>
      </c>
      <c r="P1403" s="0" t="n">
        <f aca="false">F1403*F1403</f>
        <v>0.25</v>
      </c>
      <c r="Q1403" s="0" t="n">
        <f aca="false">SUMPRODUCT(G1403:P1403,_XtX!$B$71:$K$71)</f>
        <v>45.2138068181818</v>
      </c>
      <c r="R1403" s="0" t="n">
        <f aca="false">SUMPRODUCT(MMULT(G1403:P1403,_XtX!$B$58:$K$67),G1403:P1403)</f>
        <v>0.237571022727273</v>
      </c>
      <c r="S1403" s="0" t="n">
        <f aca="false">04_回帰ANOVA!$K$19*04_回帰ANOVA!$K$14*SQRT(1+R1403)</f>
        <v>1.0343123302758</v>
      </c>
      <c r="T1403" s="0" t="n">
        <f aca="false">Q1403-S1403</f>
        <v>44.179494487906</v>
      </c>
      <c r="U1403" s="0" t="n">
        <f aca="false">Q1403+S1403</f>
        <v>46.2481191484576</v>
      </c>
      <c r="V1403" s="54" t="b">
        <f aca="false">AND(D1403&gt;=01_因子設定!$L$5-0.000000001,D1403&lt;=01_因子設定!$M$5+0.000000001,E1403&gt;=01_因子設定!$L$6-0.000000001,E1403&lt;=01_因子設定!$M$6+0.000000001,F1403&gt;=01_因子設定!$L$7-0.000000001,F1403&lt;=01_因子設定!$M$7+0.000000001,IF(01_因子設定!$B$20="Box-Behnken",D1403^2+E1403^2+F1403^2&lt;=2+0.000000001,TRUE()))</f>
        <v>1</v>
      </c>
      <c r="W1403" s="55" t="n">
        <f aca="false">IF(V1403,IF(01_因子設定!$B$13="最大化",T1403-01_因子設定!$B$14,IF(01_因子設定!$B$13="最小化",01_因子設定!$B$15-U1403,MIN(T1403-01_因子設定!$B$14,01_因子設定!$B$15-U1403))),-1E+030)</f>
        <v>-4.32050551209397</v>
      </c>
      <c r="X1403" s="55" t="n">
        <f aca="false">IF(V1403,IF(01_因子設定!$B$13="最大化",Q1403,IF(01_因子設定!$B$13="最小化",-Q1403,-ABS(Q1403-01_因子設定!$B$16))),-1E+030)</f>
        <v>45.2138068181818</v>
      </c>
      <c r="Y1403" s="55" t="n">
        <f aca="false">W1403+ROW()*0.000000001</f>
        <v>-4.32050410909397</v>
      </c>
      <c r="Z1403" s="55" t="n">
        <f aca="false">X1403+ROW()*0.000000001</f>
        <v>45.2138082211818</v>
      </c>
    </row>
    <row r="1404" customFormat="false" ht="15" hidden="false" customHeight="false" outlineLevel="0" collapsed="false">
      <c r="A1404" s="0" t="n">
        <v>4</v>
      </c>
      <c r="B1404" s="0" t="n">
        <v>14</v>
      </c>
      <c r="C1404" s="0" t="n">
        <v>5</v>
      </c>
      <c r="D1404" s="0" t="n">
        <f aca="false">-1+A1404*0.125</f>
        <v>-0.5</v>
      </c>
      <c r="E1404" s="0" t="n">
        <f aca="false">-1+B1404*0.125</f>
        <v>0.75</v>
      </c>
      <c r="F1404" s="0" t="n">
        <f aca="false">-1+C1404*0.125</f>
        <v>-0.375</v>
      </c>
      <c r="G1404" s="0" t="n">
        <f aca="false">1</f>
        <v>1</v>
      </c>
      <c r="H1404" s="0" t="n">
        <f aca="false">D1404</f>
        <v>-0.5</v>
      </c>
      <c r="I1404" s="0" t="n">
        <f aca="false">E1404</f>
        <v>0.75</v>
      </c>
      <c r="J1404" s="0" t="n">
        <f aca="false">F1404</f>
        <v>-0.375</v>
      </c>
      <c r="K1404" s="0" t="n">
        <f aca="false">D1404*E1404</f>
        <v>-0.375</v>
      </c>
      <c r="L1404" s="0" t="n">
        <f aca="false">D1404*F1404</f>
        <v>0.1875</v>
      </c>
      <c r="M1404" s="0" t="n">
        <f aca="false">E1404*F1404</f>
        <v>-0.28125</v>
      </c>
      <c r="N1404" s="0" t="n">
        <f aca="false">D1404*D1404</f>
        <v>0.25</v>
      </c>
      <c r="O1404" s="0" t="n">
        <f aca="false">E1404*E1404</f>
        <v>0.5625</v>
      </c>
      <c r="P1404" s="0" t="n">
        <f aca="false">F1404*F1404</f>
        <v>0.140625</v>
      </c>
      <c r="Q1404" s="0" t="n">
        <f aca="false">SUMPRODUCT(G1404:P1404,_XtX!$B$71:$K$71)</f>
        <v>45.5666335227273</v>
      </c>
      <c r="R1404" s="0" t="n">
        <f aca="false">SUMPRODUCT(MMULT(G1404:P1404,_XtX!$B$58:$K$67),G1404:P1404)</f>
        <v>0.234168590198864</v>
      </c>
      <c r="S1404" s="0" t="n">
        <f aca="false">04_回帰ANOVA!$K$19*04_回帰ANOVA!$K$14*SQRT(1+R1404)</f>
        <v>1.03288954322488</v>
      </c>
      <c r="T1404" s="0" t="n">
        <f aca="false">Q1404-S1404</f>
        <v>44.5337439795024</v>
      </c>
      <c r="U1404" s="0" t="n">
        <f aca="false">Q1404+S1404</f>
        <v>46.5995230659522</v>
      </c>
      <c r="V1404" s="54" t="b">
        <f aca="false">AND(D1404&gt;=01_因子設定!$L$5-0.000000001,D1404&lt;=01_因子設定!$M$5+0.000000001,E1404&gt;=01_因子設定!$L$6-0.000000001,E1404&lt;=01_因子設定!$M$6+0.000000001,F1404&gt;=01_因子設定!$L$7-0.000000001,F1404&lt;=01_因子設定!$M$7+0.000000001,IF(01_因子設定!$B$20="Box-Behnken",D1404^2+E1404^2+F1404^2&lt;=2+0.000000001,TRUE()))</f>
        <v>1</v>
      </c>
      <c r="W1404" s="55" t="n">
        <f aca="false">IF(V1404,IF(01_因子設定!$B$13="最大化",T1404-01_因子設定!$B$14,IF(01_因子設定!$B$13="最小化",01_因子設定!$B$15-U1404,MIN(T1404-01_因子設定!$B$14,01_因子設定!$B$15-U1404))),-1E+030)</f>
        <v>-3.9662560204976</v>
      </c>
      <c r="X1404" s="55" t="n">
        <f aca="false">IF(V1404,IF(01_因子設定!$B$13="最大化",Q1404,IF(01_因子設定!$B$13="最小化",-Q1404,-ABS(Q1404-01_因子設定!$B$16))),-1E+030)</f>
        <v>45.5666335227273</v>
      </c>
      <c r="Y1404" s="55" t="n">
        <f aca="false">W1404+ROW()*0.000000001</f>
        <v>-3.9662546164976</v>
      </c>
      <c r="Z1404" s="55" t="n">
        <f aca="false">X1404+ROW()*0.000000001</f>
        <v>45.5666349267273</v>
      </c>
    </row>
    <row r="1405" customFormat="false" ht="15" hidden="false" customHeight="false" outlineLevel="0" collapsed="false">
      <c r="A1405" s="0" t="n">
        <v>4</v>
      </c>
      <c r="B1405" s="0" t="n">
        <v>14</v>
      </c>
      <c r="C1405" s="0" t="n">
        <v>6</v>
      </c>
      <c r="D1405" s="0" t="n">
        <f aca="false">-1+A1405*0.125</f>
        <v>-0.5</v>
      </c>
      <c r="E1405" s="0" t="n">
        <f aca="false">-1+B1405*0.125</f>
        <v>0.75</v>
      </c>
      <c r="F1405" s="0" t="n">
        <f aca="false">-1+C1405*0.125</f>
        <v>-0.25</v>
      </c>
      <c r="G1405" s="0" t="n">
        <f aca="false">1</f>
        <v>1</v>
      </c>
      <c r="H1405" s="0" t="n">
        <f aca="false">D1405</f>
        <v>-0.5</v>
      </c>
      <c r="I1405" s="0" t="n">
        <f aca="false">E1405</f>
        <v>0.75</v>
      </c>
      <c r="J1405" s="0" t="n">
        <f aca="false">F1405</f>
        <v>-0.25</v>
      </c>
      <c r="K1405" s="0" t="n">
        <f aca="false">D1405*E1405</f>
        <v>-0.375</v>
      </c>
      <c r="L1405" s="0" t="n">
        <f aca="false">D1405*F1405</f>
        <v>0.125</v>
      </c>
      <c r="M1405" s="0" t="n">
        <f aca="false">E1405*F1405</f>
        <v>-0.1875</v>
      </c>
      <c r="N1405" s="0" t="n">
        <f aca="false">D1405*D1405</f>
        <v>0.25</v>
      </c>
      <c r="O1405" s="0" t="n">
        <f aca="false">E1405*E1405</f>
        <v>0.5625</v>
      </c>
      <c r="P1405" s="0" t="n">
        <f aca="false">F1405*F1405</f>
        <v>0.0625</v>
      </c>
      <c r="Q1405" s="0" t="n">
        <f aca="false">SUMPRODUCT(G1405:P1405,_XtX!$B$71:$K$71)</f>
        <v>45.8826704545455</v>
      </c>
      <c r="R1405" s="0" t="n">
        <f aca="false">SUMPRODUCT(MMULT(G1405:P1405,_XtX!$B$58:$K$67),G1405:P1405)</f>
        <v>0.237064985795455</v>
      </c>
      <c r="S1405" s="0" t="n">
        <f aca="false">04_回帰ANOVA!$K$19*04_回帰ANOVA!$K$14*SQRT(1+R1405)</f>
        <v>1.03410084594745</v>
      </c>
      <c r="T1405" s="0" t="n">
        <f aca="false">Q1405-S1405</f>
        <v>44.848569608598</v>
      </c>
      <c r="U1405" s="0" t="n">
        <f aca="false">Q1405+S1405</f>
        <v>46.9167713004929</v>
      </c>
      <c r="V1405" s="54" t="b">
        <f aca="false">AND(D1405&gt;=01_因子設定!$L$5-0.000000001,D1405&lt;=01_因子設定!$M$5+0.000000001,E1405&gt;=01_因子設定!$L$6-0.000000001,E1405&lt;=01_因子設定!$M$6+0.000000001,F1405&gt;=01_因子設定!$L$7-0.000000001,F1405&lt;=01_因子設定!$M$7+0.000000001,IF(01_因子設定!$B$20="Box-Behnken",D1405^2+E1405^2+F1405^2&lt;=2+0.000000001,TRUE()))</f>
        <v>1</v>
      </c>
      <c r="W1405" s="55" t="n">
        <f aca="false">IF(V1405,IF(01_因子設定!$B$13="最大化",T1405-01_因子設定!$B$14,IF(01_因子設定!$B$13="最小化",01_因子設定!$B$15-U1405,MIN(T1405-01_因子設定!$B$14,01_因子設定!$B$15-U1405))),-1E+030)</f>
        <v>-3.65143039140198</v>
      </c>
      <c r="X1405" s="55" t="n">
        <f aca="false">IF(V1405,IF(01_因子設定!$B$13="最大化",Q1405,IF(01_因子設定!$B$13="最小化",-Q1405,-ABS(Q1405-01_因子設定!$B$16))),-1E+030)</f>
        <v>45.8826704545455</v>
      </c>
      <c r="Y1405" s="55" t="n">
        <f aca="false">W1405+ROW()*0.000000001</f>
        <v>-3.65142898640198</v>
      </c>
      <c r="Z1405" s="55" t="n">
        <f aca="false">X1405+ROW()*0.000000001</f>
        <v>45.8826718595455</v>
      </c>
    </row>
    <row r="1406" customFormat="false" ht="15" hidden="false" customHeight="false" outlineLevel="0" collapsed="false">
      <c r="A1406" s="0" t="n">
        <v>4</v>
      </c>
      <c r="B1406" s="0" t="n">
        <v>14</v>
      </c>
      <c r="C1406" s="0" t="n">
        <v>7</v>
      </c>
      <c r="D1406" s="0" t="n">
        <f aca="false">-1+A1406*0.125</f>
        <v>-0.5</v>
      </c>
      <c r="E1406" s="0" t="n">
        <f aca="false">-1+B1406*0.125</f>
        <v>0.75</v>
      </c>
      <c r="F1406" s="0" t="n">
        <f aca="false">-1+C1406*0.125</f>
        <v>-0.125</v>
      </c>
      <c r="G1406" s="0" t="n">
        <f aca="false">1</f>
        <v>1</v>
      </c>
      <c r="H1406" s="0" t="n">
        <f aca="false">D1406</f>
        <v>-0.5</v>
      </c>
      <c r="I1406" s="0" t="n">
        <f aca="false">E1406</f>
        <v>0.75</v>
      </c>
      <c r="J1406" s="0" t="n">
        <f aca="false">F1406</f>
        <v>-0.125</v>
      </c>
      <c r="K1406" s="0" t="n">
        <f aca="false">D1406*E1406</f>
        <v>-0.375</v>
      </c>
      <c r="L1406" s="0" t="n">
        <f aca="false">D1406*F1406</f>
        <v>0.0625</v>
      </c>
      <c r="M1406" s="0" t="n">
        <f aca="false">E1406*F1406</f>
        <v>-0.09375</v>
      </c>
      <c r="N1406" s="0" t="n">
        <f aca="false">D1406*D1406</f>
        <v>0.25</v>
      </c>
      <c r="O1406" s="0" t="n">
        <f aca="false">E1406*E1406</f>
        <v>0.5625</v>
      </c>
      <c r="P1406" s="0" t="n">
        <f aca="false">F1406*F1406</f>
        <v>0.015625</v>
      </c>
      <c r="Q1406" s="0" t="n">
        <f aca="false">SUMPRODUCT(G1406:P1406,_XtX!$B$71:$K$71)</f>
        <v>46.1619176136364</v>
      </c>
      <c r="R1406" s="0" t="n">
        <f aca="false">SUMPRODUCT(MMULT(G1406:P1406,_XtX!$B$58:$K$67),G1406:P1406)</f>
        <v>0.240933504971591</v>
      </c>
      <c r="S1406" s="0" t="n">
        <f aca="false">04_回帰ANOVA!$K$19*04_回帰ANOVA!$K$14*SQRT(1+R1406)</f>
        <v>1.03571649118863</v>
      </c>
      <c r="T1406" s="0" t="n">
        <f aca="false">Q1406-S1406</f>
        <v>45.1262011224477</v>
      </c>
      <c r="U1406" s="0" t="n">
        <f aca="false">Q1406+S1406</f>
        <v>47.197634104825</v>
      </c>
      <c r="V1406" s="54" t="b">
        <f aca="false">AND(D1406&gt;=01_因子設定!$L$5-0.000000001,D1406&lt;=01_因子設定!$M$5+0.000000001,E1406&gt;=01_因子設定!$L$6-0.000000001,E1406&lt;=01_因子設定!$M$6+0.000000001,F1406&gt;=01_因子設定!$L$7-0.000000001,F1406&lt;=01_因子設定!$M$7+0.000000001,IF(01_因子設定!$B$20="Box-Behnken",D1406^2+E1406^2+F1406^2&lt;=2+0.000000001,TRUE()))</f>
        <v>1</v>
      </c>
      <c r="W1406" s="55" t="n">
        <f aca="false">IF(V1406,IF(01_因子設定!$B$13="最大化",T1406-01_因子設定!$B$14,IF(01_因子設定!$B$13="最小化",01_因子設定!$B$15-U1406,MIN(T1406-01_因子設定!$B$14,01_因子設定!$B$15-U1406))),-1E+030)</f>
        <v>-3.37379887755225</v>
      </c>
      <c r="X1406" s="55" t="n">
        <f aca="false">IF(V1406,IF(01_因子設定!$B$13="最大化",Q1406,IF(01_因子設定!$B$13="最小化",-Q1406,-ABS(Q1406-01_因子設定!$B$16))),-1E+030)</f>
        <v>46.1619176136364</v>
      </c>
      <c r="Y1406" s="55" t="n">
        <f aca="false">W1406+ROW()*0.000000001</f>
        <v>-3.37379747155225</v>
      </c>
      <c r="Z1406" s="55" t="n">
        <f aca="false">X1406+ROW()*0.000000001</f>
        <v>46.1619190196364</v>
      </c>
    </row>
    <row r="1407" customFormat="false" ht="15" hidden="false" customHeight="false" outlineLevel="0" collapsed="false">
      <c r="A1407" s="0" t="n">
        <v>4</v>
      </c>
      <c r="B1407" s="0" t="n">
        <v>14</v>
      </c>
      <c r="C1407" s="0" t="n">
        <v>8</v>
      </c>
      <c r="D1407" s="0" t="n">
        <f aca="false">-1+A1407*0.125</f>
        <v>-0.5</v>
      </c>
      <c r="E1407" s="0" t="n">
        <f aca="false">-1+B1407*0.125</f>
        <v>0.75</v>
      </c>
      <c r="F1407" s="0" t="n">
        <f aca="false">-1+C1407*0.125</f>
        <v>0</v>
      </c>
      <c r="G1407" s="0" t="n">
        <f aca="false">1</f>
        <v>1</v>
      </c>
      <c r="H1407" s="0" t="n">
        <f aca="false">D1407</f>
        <v>-0.5</v>
      </c>
      <c r="I1407" s="0" t="n">
        <f aca="false">E1407</f>
        <v>0.75</v>
      </c>
      <c r="J1407" s="0" t="n">
        <f aca="false">F1407</f>
        <v>0</v>
      </c>
      <c r="K1407" s="0" t="n">
        <f aca="false">D1407*E1407</f>
        <v>-0.375</v>
      </c>
      <c r="L1407" s="0" t="n">
        <f aca="false">D1407*F1407</f>
        <v>-0</v>
      </c>
      <c r="M1407" s="0" t="n">
        <f aca="false">E1407*F1407</f>
        <v>0</v>
      </c>
      <c r="N1407" s="0" t="n">
        <f aca="false">D1407*D1407</f>
        <v>0.25</v>
      </c>
      <c r="O1407" s="0" t="n">
        <f aca="false">E1407*E1407</f>
        <v>0.5625</v>
      </c>
      <c r="P1407" s="0" t="n">
        <f aca="false">F1407*F1407</f>
        <v>0</v>
      </c>
      <c r="Q1407" s="0" t="n">
        <f aca="false">SUMPRODUCT(G1407:P1407,_XtX!$B$71:$K$71)</f>
        <v>46.404375</v>
      </c>
      <c r="R1407" s="0" t="n">
        <f aca="false">SUMPRODUCT(MMULT(G1407:P1407,_XtX!$B$58:$K$67),G1407:P1407)</f>
        <v>0.242578125</v>
      </c>
      <c r="S1407" s="0" t="n">
        <f aca="false">04_回帰ANOVA!$K$19*04_回帰ANOVA!$K$14*SQRT(1+R1407)</f>
        <v>1.03640258600455</v>
      </c>
      <c r="T1407" s="0" t="n">
        <f aca="false">Q1407-S1407</f>
        <v>45.3679724139955</v>
      </c>
      <c r="U1407" s="0" t="n">
        <f aca="false">Q1407+S1407</f>
        <v>47.4407775860046</v>
      </c>
      <c r="V1407" s="54" t="b">
        <f aca="false">AND(D1407&gt;=01_因子設定!$L$5-0.000000001,D1407&lt;=01_因子設定!$M$5+0.000000001,E1407&gt;=01_因子設定!$L$6-0.000000001,E1407&lt;=01_因子設定!$M$6+0.000000001,F1407&gt;=01_因子設定!$L$7-0.000000001,F1407&lt;=01_因子設定!$M$7+0.000000001,IF(01_因子設定!$B$20="Box-Behnken",D1407^2+E1407^2+F1407^2&lt;=2+0.000000001,TRUE()))</f>
        <v>1</v>
      </c>
      <c r="W1407" s="55" t="n">
        <f aca="false">IF(V1407,IF(01_因子設定!$B$13="最大化",T1407-01_因子設定!$B$14,IF(01_因子設定!$B$13="最小化",01_因子設定!$B$15-U1407,MIN(T1407-01_因子設定!$B$14,01_因子設定!$B$15-U1407))),-1E+030)</f>
        <v>-3.13202758600454</v>
      </c>
      <c r="X1407" s="55" t="n">
        <f aca="false">IF(V1407,IF(01_因子設定!$B$13="最大化",Q1407,IF(01_因子設定!$B$13="最小化",-Q1407,-ABS(Q1407-01_因子設定!$B$16))),-1E+030)</f>
        <v>46.404375</v>
      </c>
      <c r="Y1407" s="55" t="n">
        <f aca="false">W1407+ROW()*0.000000001</f>
        <v>-3.13202617900454</v>
      </c>
      <c r="Z1407" s="55" t="n">
        <f aca="false">X1407+ROW()*0.000000001</f>
        <v>46.404376407</v>
      </c>
    </row>
    <row r="1408" customFormat="false" ht="15" hidden="false" customHeight="false" outlineLevel="0" collapsed="false">
      <c r="A1408" s="0" t="n">
        <v>4</v>
      </c>
      <c r="B1408" s="0" t="n">
        <v>14</v>
      </c>
      <c r="C1408" s="0" t="n">
        <v>9</v>
      </c>
      <c r="D1408" s="0" t="n">
        <f aca="false">-1+A1408*0.125</f>
        <v>-0.5</v>
      </c>
      <c r="E1408" s="0" t="n">
        <f aca="false">-1+B1408*0.125</f>
        <v>0.75</v>
      </c>
      <c r="F1408" s="0" t="n">
        <f aca="false">-1+C1408*0.125</f>
        <v>0.125</v>
      </c>
      <c r="G1408" s="0" t="n">
        <f aca="false">1</f>
        <v>1</v>
      </c>
      <c r="H1408" s="0" t="n">
        <f aca="false">D1408</f>
        <v>-0.5</v>
      </c>
      <c r="I1408" s="0" t="n">
        <f aca="false">E1408</f>
        <v>0.75</v>
      </c>
      <c r="J1408" s="0" t="n">
        <f aca="false">F1408</f>
        <v>0.125</v>
      </c>
      <c r="K1408" s="0" t="n">
        <f aca="false">D1408*E1408</f>
        <v>-0.375</v>
      </c>
      <c r="L1408" s="0" t="n">
        <f aca="false">D1408*F1408</f>
        <v>-0.0625</v>
      </c>
      <c r="M1408" s="0" t="n">
        <f aca="false">E1408*F1408</f>
        <v>0.09375</v>
      </c>
      <c r="N1408" s="0" t="n">
        <f aca="false">D1408*D1408</f>
        <v>0.25</v>
      </c>
      <c r="O1408" s="0" t="n">
        <f aca="false">E1408*E1408</f>
        <v>0.5625</v>
      </c>
      <c r="P1408" s="0" t="n">
        <f aca="false">F1408*F1408</f>
        <v>0.015625</v>
      </c>
      <c r="Q1408" s="0" t="n">
        <f aca="false">SUMPRODUCT(G1408:P1408,_XtX!$B$71:$K$71)</f>
        <v>46.6100426136364</v>
      </c>
      <c r="R1408" s="0" t="n">
        <f aca="false">SUMPRODUCT(MMULT(G1408:P1408,_XtX!$B$58:$K$67),G1408:P1408)</f>
        <v>0.240933504971591</v>
      </c>
      <c r="S1408" s="0" t="n">
        <f aca="false">04_回帰ANOVA!$K$19*04_回帰ANOVA!$K$14*SQRT(1+R1408)</f>
        <v>1.03571649118863</v>
      </c>
      <c r="T1408" s="0" t="n">
        <f aca="false">Q1408-S1408</f>
        <v>45.5743261224477</v>
      </c>
      <c r="U1408" s="0" t="n">
        <f aca="false">Q1408+S1408</f>
        <v>47.645759104825</v>
      </c>
      <c r="V1408" s="54" t="b">
        <f aca="false">AND(D1408&gt;=01_因子設定!$L$5-0.000000001,D1408&lt;=01_因子設定!$M$5+0.000000001,E1408&gt;=01_因子設定!$L$6-0.000000001,E1408&lt;=01_因子設定!$M$6+0.000000001,F1408&gt;=01_因子設定!$L$7-0.000000001,F1408&lt;=01_因子設定!$M$7+0.000000001,IF(01_因子設定!$B$20="Box-Behnken",D1408^2+E1408^2+F1408^2&lt;=2+0.000000001,TRUE()))</f>
        <v>1</v>
      </c>
      <c r="W1408" s="55" t="n">
        <f aca="false">IF(V1408,IF(01_因子設定!$B$13="最大化",T1408-01_因子設定!$B$14,IF(01_因子設定!$B$13="最小化",01_因子設定!$B$15-U1408,MIN(T1408-01_因子設定!$B$14,01_因子設定!$B$15-U1408))),-1E+030)</f>
        <v>-2.92567387755226</v>
      </c>
      <c r="X1408" s="55" t="n">
        <f aca="false">IF(V1408,IF(01_因子設定!$B$13="最大化",Q1408,IF(01_因子設定!$B$13="最小化",-Q1408,-ABS(Q1408-01_因子設定!$B$16))),-1E+030)</f>
        <v>46.6100426136364</v>
      </c>
      <c r="Y1408" s="55" t="n">
        <f aca="false">W1408+ROW()*0.000000001</f>
        <v>-2.92567246955226</v>
      </c>
      <c r="Z1408" s="55" t="n">
        <f aca="false">X1408+ROW()*0.000000001</f>
        <v>46.6100440216364</v>
      </c>
    </row>
    <row r="1409" customFormat="false" ht="15" hidden="false" customHeight="false" outlineLevel="0" collapsed="false">
      <c r="A1409" s="0" t="n">
        <v>4</v>
      </c>
      <c r="B1409" s="0" t="n">
        <v>14</v>
      </c>
      <c r="C1409" s="0" t="n">
        <v>10</v>
      </c>
      <c r="D1409" s="0" t="n">
        <f aca="false">-1+A1409*0.125</f>
        <v>-0.5</v>
      </c>
      <c r="E1409" s="0" t="n">
        <f aca="false">-1+B1409*0.125</f>
        <v>0.75</v>
      </c>
      <c r="F1409" s="0" t="n">
        <f aca="false">-1+C1409*0.125</f>
        <v>0.25</v>
      </c>
      <c r="G1409" s="0" t="n">
        <f aca="false">1</f>
        <v>1</v>
      </c>
      <c r="H1409" s="0" t="n">
        <f aca="false">D1409</f>
        <v>-0.5</v>
      </c>
      <c r="I1409" s="0" t="n">
        <f aca="false">E1409</f>
        <v>0.75</v>
      </c>
      <c r="J1409" s="0" t="n">
        <f aca="false">F1409</f>
        <v>0.25</v>
      </c>
      <c r="K1409" s="0" t="n">
        <f aca="false">D1409*E1409</f>
        <v>-0.375</v>
      </c>
      <c r="L1409" s="0" t="n">
        <f aca="false">D1409*F1409</f>
        <v>-0.125</v>
      </c>
      <c r="M1409" s="0" t="n">
        <f aca="false">E1409*F1409</f>
        <v>0.1875</v>
      </c>
      <c r="N1409" s="0" t="n">
        <f aca="false">D1409*D1409</f>
        <v>0.25</v>
      </c>
      <c r="O1409" s="0" t="n">
        <f aca="false">E1409*E1409</f>
        <v>0.5625</v>
      </c>
      <c r="P1409" s="0" t="n">
        <f aca="false">F1409*F1409</f>
        <v>0.0625</v>
      </c>
      <c r="Q1409" s="0" t="n">
        <f aca="false">SUMPRODUCT(G1409:P1409,_XtX!$B$71:$K$71)</f>
        <v>46.7789204545455</v>
      </c>
      <c r="R1409" s="0" t="n">
        <f aca="false">SUMPRODUCT(MMULT(G1409:P1409,_XtX!$B$58:$K$67),G1409:P1409)</f>
        <v>0.237064985795455</v>
      </c>
      <c r="S1409" s="0" t="n">
        <f aca="false">04_回帰ANOVA!$K$19*04_回帰ANOVA!$K$14*SQRT(1+R1409)</f>
        <v>1.03410084594745</v>
      </c>
      <c r="T1409" s="0" t="n">
        <f aca="false">Q1409-S1409</f>
        <v>45.744819608598</v>
      </c>
      <c r="U1409" s="0" t="n">
        <f aca="false">Q1409+S1409</f>
        <v>47.8130213004929</v>
      </c>
      <c r="V1409" s="54" t="b">
        <f aca="false">AND(D1409&gt;=01_因子設定!$L$5-0.000000001,D1409&lt;=01_因子設定!$M$5+0.000000001,E1409&gt;=01_因子設定!$L$6-0.000000001,E1409&lt;=01_因子設定!$M$6+0.000000001,F1409&gt;=01_因子設定!$L$7-0.000000001,F1409&lt;=01_因子設定!$M$7+0.000000001,IF(01_因子設定!$B$20="Box-Behnken",D1409^2+E1409^2+F1409^2&lt;=2+0.000000001,TRUE()))</f>
        <v>1</v>
      </c>
      <c r="W1409" s="55" t="n">
        <f aca="false">IF(V1409,IF(01_因子設定!$B$13="最大化",T1409-01_因子設定!$B$14,IF(01_因子設定!$B$13="最小化",01_因子設定!$B$15-U1409,MIN(T1409-01_因子設定!$B$14,01_因子設定!$B$15-U1409))),-1E+030)</f>
        <v>-2.75518039140198</v>
      </c>
      <c r="X1409" s="55" t="n">
        <f aca="false">IF(V1409,IF(01_因子設定!$B$13="最大化",Q1409,IF(01_因子設定!$B$13="最小化",-Q1409,-ABS(Q1409-01_因子設定!$B$16))),-1E+030)</f>
        <v>46.7789204545455</v>
      </c>
      <c r="Y1409" s="55" t="n">
        <f aca="false">W1409+ROW()*0.000000001</f>
        <v>-2.75517898240198</v>
      </c>
      <c r="Z1409" s="55" t="n">
        <f aca="false">X1409+ROW()*0.000000001</f>
        <v>46.7789218635455</v>
      </c>
    </row>
    <row r="1410" customFormat="false" ht="15" hidden="false" customHeight="false" outlineLevel="0" collapsed="false">
      <c r="A1410" s="0" t="n">
        <v>4</v>
      </c>
      <c r="B1410" s="0" t="n">
        <v>14</v>
      </c>
      <c r="C1410" s="0" t="n">
        <v>11</v>
      </c>
      <c r="D1410" s="0" t="n">
        <f aca="false">-1+A1410*0.125</f>
        <v>-0.5</v>
      </c>
      <c r="E1410" s="0" t="n">
        <f aca="false">-1+B1410*0.125</f>
        <v>0.75</v>
      </c>
      <c r="F1410" s="0" t="n">
        <f aca="false">-1+C1410*0.125</f>
        <v>0.375</v>
      </c>
      <c r="G1410" s="0" t="n">
        <f aca="false">1</f>
        <v>1</v>
      </c>
      <c r="H1410" s="0" t="n">
        <f aca="false">D1410</f>
        <v>-0.5</v>
      </c>
      <c r="I1410" s="0" t="n">
        <f aca="false">E1410</f>
        <v>0.75</v>
      </c>
      <c r="J1410" s="0" t="n">
        <f aca="false">F1410</f>
        <v>0.375</v>
      </c>
      <c r="K1410" s="0" t="n">
        <f aca="false">D1410*E1410</f>
        <v>-0.375</v>
      </c>
      <c r="L1410" s="0" t="n">
        <f aca="false">D1410*F1410</f>
        <v>-0.1875</v>
      </c>
      <c r="M1410" s="0" t="n">
        <f aca="false">E1410*F1410</f>
        <v>0.28125</v>
      </c>
      <c r="N1410" s="0" t="n">
        <f aca="false">D1410*D1410</f>
        <v>0.25</v>
      </c>
      <c r="O1410" s="0" t="n">
        <f aca="false">E1410*E1410</f>
        <v>0.5625</v>
      </c>
      <c r="P1410" s="0" t="n">
        <f aca="false">F1410*F1410</f>
        <v>0.140625</v>
      </c>
      <c r="Q1410" s="0" t="n">
        <f aca="false">SUMPRODUCT(G1410:P1410,_XtX!$B$71:$K$71)</f>
        <v>46.9110085227273</v>
      </c>
      <c r="R1410" s="0" t="n">
        <f aca="false">SUMPRODUCT(MMULT(G1410:P1410,_XtX!$B$58:$K$67),G1410:P1410)</f>
        <v>0.234168590198864</v>
      </c>
      <c r="S1410" s="0" t="n">
        <f aca="false">04_回帰ANOVA!$K$19*04_回帰ANOVA!$K$14*SQRT(1+R1410)</f>
        <v>1.03288954322488</v>
      </c>
      <c r="T1410" s="0" t="n">
        <f aca="false">Q1410-S1410</f>
        <v>45.8781189795024</v>
      </c>
      <c r="U1410" s="0" t="n">
        <f aca="false">Q1410+S1410</f>
        <v>47.9438980659522</v>
      </c>
      <c r="V1410" s="54" t="b">
        <f aca="false">AND(D1410&gt;=01_因子設定!$L$5-0.000000001,D1410&lt;=01_因子設定!$M$5+0.000000001,E1410&gt;=01_因子設定!$L$6-0.000000001,E1410&lt;=01_因子設定!$M$6+0.000000001,F1410&gt;=01_因子設定!$L$7-0.000000001,F1410&lt;=01_因子設定!$M$7+0.000000001,IF(01_因子設定!$B$20="Box-Behnken",D1410^2+E1410^2+F1410^2&lt;=2+0.000000001,TRUE()))</f>
        <v>1</v>
      </c>
      <c r="W1410" s="55" t="n">
        <f aca="false">IF(V1410,IF(01_因子設定!$B$13="最大化",T1410-01_因子設定!$B$14,IF(01_因子設定!$B$13="最小化",01_因子設定!$B$15-U1410,MIN(T1410-01_因子設定!$B$14,01_因子設定!$B$15-U1410))),-1E+030)</f>
        <v>-2.6218810204976</v>
      </c>
      <c r="X1410" s="55" t="n">
        <f aca="false">IF(V1410,IF(01_因子設定!$B$13="最大化",Q1410,IF(01_因子設定!$B$13="最小化",-Q1410,-ABS(Q1410-01_因子設定!$B$16))),-1E+030)</f>
        <v>46.9110085227273</v>
      </c>
      <c r="Y1410" s="55" t="n">
        <f aca="false">W1410+ROW()*0.000000001</f>
        <v>-2.6218796104976</v>
      </c>
      <c r="Z1410" s="55" t="n">
        <f aca="false">X1410+ROW()*0.000000001</f>
        <v>46.9110099327273</v>
      </c>
    </row>
    <row r="1411" customFormat="false" ht="15" hidden="false" customHeight="false" outlineLevel="0" collapsed="false">
      <c r="A1411" s="0" t="n">
        <v>4</v>
      </c>
      <c r="B1411" s="0" t="n">
        <v>14</v>
      </c>
      <c r="C1411" s="0" t="n">
        <v>12</v>
      </c>
      <c r="D1411" s="0" t="n">
        <f aca="false">-1+A1411*0.125</f>
        <v>-0.5</v>
      </c>
      <c r="E1411" s="0" t="n">
        <f aca="false">-1+B1411*0.125</f>
        <v>0.75</v>
      </c>
      <c r="F1411" s="0" t="n">
        <f aca="false">-1+C1411*0.125</f>
        <v>0.5</v>
      </c>
      <c r="G1411" s="0" t="n">
        <f aca="false">1</f>
        <v>1</v>
      </c>
      <c r="H1411" s="0" t="n">
        <f aca="false">D1411</f>
        <v>-0.5</v>
      </c>
      <c r="I1411" s="0" t="n">
        <f aca="false">E1411</f>
        <v>0.75</v>
      </c>
      <c r="J1411" s="0" t="n">
        <f aca="false">F1411</f>
        <v>0.5</v>
      </c>
      <c r="K1411" s="0" t="n">
        <f aca="false">D1411*E1411</f>
        <v>-0.375</v>
      </c>
      <c r="L1411" s="0" t="n">
        <f aca="false">D1411*F1411</f>
        <v>-0.25</v>
      </c>
      <c r="M1411" s="0" t="n">
        <f aca="false">E1411*F1411</f>
        <v>0.375</v>
      </c>
      <c r="N1411" s="0" t="n">
        <f aca="false">D1411*D1411</f>
        <v>0.25</v>
      </c>
      <c r="O1411" s="0" t="n">
        <f aca="false">E1411*E1411</f>
        <v>0.5625</v>
      </c>
      <c r="P1411" s="0" t="n">
        <f aca="false">F1411*F1411</f>
        <v>0.25</v>
      </c>
      <c r="Q1411" s="0" t="n">
        <f aca="false">SUMPRODUCT(G1411:P1411,_XtX!$B$71:$K$71)</f>
        <v>47.0063068181818</v>
      </c>
      <c r="R1411" s="0" t="n">
        <f aca="false">SUMPRODUCT(MMULT(G1411:P1411,_XtX!$B$58:$K$67),G1411:P1411)</f>
        <v>0.237571022727273</v>
      </c>
      <c r="S1411" s="0" t="n">
        <f aca="false">04_回帰ANOVA!$K$19*04_回帰ANOVA!$K$14*SQRT(1+R1411)</f>
        <v>1.0343123302758</v>
      </c>
      <c r="T1411" s="0" t="n">
        <f aca="false">Q1411-S1411</f>
        <v>45.971994487906</v>
      </c>
      <c r="U1411" s="0" t="n">
        <f aca="false">Q1411+S1411</f>
        <v>48.0406191484576</v>
      </c>
      <c r="V1411" s="54" t="b">
        <f aca="false">AND(D1411&gt;=01_因子設定!$L$5-0.000000001,D1411&lt;=01_因子設定!$M$5+0.000000001,E1411&gt;=01_因子設定!$L$6-0.000000001,E1411&lt;=01_因子設定!$M$6+0.000000001,F1411&gt;=01_因子設定!$L$7-0.000000001,F1411&lt;=01_因子設定!$M$7+0.000000001,IF(01_因子設定!$B$20="Box-Behnken",D1411^2+E1411^2+F1411^2&lt;=2+0.000000001,TRUE()))</f>
        <v>1</v>
      </c>
      <c r="W1411" s="55" t="n">
        <f aca="false">IF(V1411,IF(01_因子設定!$B$13="最大化",T1411-01_因子設定!$B$14,IF(01_因子設定!$B$13="最小化",01_因子設定!$B$15-U1411,MIN(T1411-01_因子設定!$B$14,01_因子設定!$B$15-U1411))),-1E+030)</f>
        <v>-2.52800551209398</v>
      </c>
      <c r="X1411" s="55" t="n">
        <f aca="false">IF(V1411,IF(01_因子設定!$B$13="最大化",Q1411,IF(01_因子設定!$B$13="最小化",-Q1411,-ABS(Q1411-01_因子設定!$B$16))),-1E+030)</f>
        <v>47.0063068181818</v>
      </c>
      <c r="Y1411" s="55" t="n">
        <f aca="false">W1411+ROW()*0.000000001</f>
        <v>-2.52800410109398</v>
      </c>
      <c r="Z1411" s="55" t="n">
        <f aca="false">X1411+ROW()*0.000000001</f>
        <v>47.0063082291818</v>
      </c>
    </row>
    <row r="1412" customFormat="false" ht="15" hidden="false" customHeight="false" outlineLevel="0" collapsed="false">
      <c r="A1412" s="0" t="n">
        <v>4</v>
      </c>
      <c r="B1412" s="0" t="n">
        <v>14</v>
      </c>
      <c r="C1412" s="0" t="n">
        <v>13</v>
      </c>
      <c r="D1412" s="0" t="n">
        <f aca="false">-1+A1412*0.125</f>
        <v>-0.5</v>
      </c>
      <c r="E1412" s="0" t="n">
        <f aca="false">-1+B1412*0.125</f>
        <v>0.75</v>
      </c>
      <c r="F1412" s="0" t="n">
        <f aca="false">-1+C1412*0.125</f>
        <v>0.625</v>
      </c>
      <c r="G1412" s="0" t="n">
        <f aca="false">1</f>
        <v>1</v>
      </c>
      <c r="H1412" s="0" t="n">
        <f aca="false">D1412</f>
        <v>-0.5</v>
      </c>
      <c r="I1412" s="0" t="n">
        <f aca="false">E1412</f>
        <v>0.75</v>
      </c>
      <c r="J1412" s="0" t="n">
        <f aca="false">F1412</f>
        <v>0.625</v>
      </c>
      <c r="K1412" s="0" t="n">
        <f aca="false">D1412*E1412</f>
        <v>-0.375</v>
      </c>
      <c r="L1412" s="0" t="n">
        <f aca="false">D1412*F1412</f>
        <v>-0.3125</v>
      </c>
      <c r="M1412" s="0" t="n">
        <f aca="false">E1412*F1412</f>
        <v>0.46875</v>
      </c>
      <c r="N1412" s="0" t="n">
        <f aca="false">D1412*D1412</f>
        <v>0.25</v>
      </c>
      <c r="O1412" s="0" t="n">
        <f aca="false">E1412*E1412</f>
        <v>0.5625</v>
      </c>
      <c r="P1412" s="0" t="n">
        <f aca="false">F1412*F1412</f>
        <v>0.390625</v>
      </c>
      <c r="Q1412" s="0" t="n">
        <f aca="false">SUMPRODUCT(G1412:P1412,_XtX!$B$71:$K$71)</f>
        <v>47.0648153409091</v>
      </c>
      <c r="R1412" s="0" t="n">
        <f aca="false">SUMPRODUCT(MMULT(G1412:P1412,_XtX!$B$58:$K$67),G1412:P1412)</f>
        <v>0.254729669744318</v>
      </c>
      <c r="S1412" s="0" t="n">
        <f aca="false">04_回帰ANOVA!$K$19*04_回帰ANOVA!$K$14*SQRT(1+R1412)</f>
        <v>1.04145790281631</v>
      </c>
      <c r="T1412" s="0" t="n">
        <f aca="false">Q1412-S1412</f>
        <v>46.0233574380928</v>
      </c>
      <c r="U1412" s="0" t="n">
        <f aca="false">Q1412+S1412</f>
        <v>48.1062732437254</v>
      </c>
      <c r="V1412" s="54" t="b">
        <f aca="false">AND(D1412&gt;=01_因子設定!$L$5-0.000000001,D1412&lt;=01_因子設定!$M$5+0.000000001,E1412&gt;=01_因子設定!$L$6-0.000000001,E1412&lt;=01_因子設定!$M$6+0.000000001,F1412&gt;=01_因子設定!$L$7-0.000000001,F1412&lt;=01_因子設定!$M$7+0.000000001,IF(01_因子設定!$B$20="Box-Behnken",D1412^2+E1412^2+F1412^2&lt;=2+0.000000001,TRUE()))</f>
        <v>1</v>
      </c>
      <c r="W1412" s="55" t="n">
        <f aca="false">IF(V1412,IF(01_因子設定!$B$13="最大化",T1412-01_因子設定!$B$14,IF(01_因子設定!$B$13="最小化",01_因子設定!$B$15-U1412,MIN(T1412-01_因子設定!$B$14,01_因子設定!$B$15-U1412))),-1E+030)</f>
        <v>-2.47664256190721</v>
      </c>
      <c r="X1412" s="55" t="n">
        <f aca="false">IF(V1412,IF(01_因子設定!$B$13="最大化",Q1412,IF(01_因子設定!$B$13="最小化",-Q1412,-ABS(Q1412-01_因子設定!$B$16))),-1E+030)</f>
        <v>47.0648153409091</v>
      </c>
      <c r="Y1412" s="55" t="n">
        <f aca="false">W1412+ROW()*0.000000001</f>
        <v>-2.47664114990721</v>
      </c>
      <c r="Z1412" s="55" t="n">
        <f aca="false">X1412+ROW()*0.000000001</f>
        <v>47.0648167529091</v>
      </c>
    </row>
    <row r="1413" customFormat="false" ht="15" hidden="false" customHeight="false" outlineLevel="0" collapsed="false">
      <c r="A1413" s="0" t="n">
        <v>4</v>
      </c>
      <c r="B1413" s="0" t="n">
        <v>14</v>
      </c>
      <c r="C1413" s="0" t="n">
        <v>14</v>
      </c>
      <c r="D1413" s="0" t="n">
        <f aca="false">-1+A1413*0.125</f>
        <v>-0.5</v>
      </c>
      <c r="E1413" s="0" t="n">
        <f aca="false">-1+B1413*0.125</f>
        <v>0.75</v>
      </c>
      <c r="F1413" s="0" t="n">
        <f aca="false">-1+C1413*0.125</f>
        <v>0.75</v>
      </c>
      <c r="G1413" s="0" t="n">
        <f aca="false">1</f>
        <v>1</v>
      </c>
      <c r="H1413" s="0" t="n">
        <f aca="false">D1413</f>
        <v>-0.5</v>
      </c>
      <c r="I1413" s="0" t="n">
        <f aca="false">E1413</f>
        <v>0.75</v>
      </c>
      <c r="J1413" s="0" t="n">
        <f aca="false">F1413</f>
        <v>0.75</v>
      </c>
      <c r="K1413" s="0" t="n">
        <f aca="false">D1413*E1413</f>
        <v>-0.375</v>
      </c>
      <c r="L1413" s="0" t="n">
        <f aca="false">D1413*F1413</f>
        <v>-0.375</v>
      </c>
      <c r="M1413" s="0" t="n">
        <f aca="false">E1413*F1413</f>
        <v>0.5625</v>
      </c>
      <c r="N1413" s="0" t="n">
        <f aca="false">D1413*D1413</f>
        <v>0.25</v>
      </c>
      <c r="O1413" s="0" t="n">
        <f aca="false">E1413*E1413</f>
        <v>0.5625</v>
      </c>
      <c r="P1413" s="0" t="n">
        <f aca="false">F1413*F1413</f>
        <v>0.5625</v>
      </c>
      <c r="Q1413" s="0" t="n">
        <f aca="false">SUMPRODUCT(G1413:P1413,_XtX!$B$71:$K$71)</f>
        <v>47.0865340909091</v>
      </c>
      <c r="R1413" s="0" t="n">
        <f aca="false">SUMPRODUCT(MMULT(G1413:P1413,_XtX!$B$58:$K$67),G1413:P1413)</f>
        <v>0.295232599431818</v>
      </c>
      <c r="S1413" s="0" t="n">
        <f aca="false">04_回帰ANOVA!$K$19*04_回帰ANOVA!$K$14*SQRT(1+R1413)</f>
        <v>1.05813363442154</v>
      </c>
      <c r="T1413" s="0" t="n">
        <f aca="false">Q1413-S1413</f>
        <v>46.0284004564876</v>
      </c>
      <c r="U1413" s="0" t="n">
        <f aca="false">Q1413+S1413</f>
        <v>48.1446677253306</v>
      </c>
      <c r="V1413" s="54" t="b">
        <f aca="false">AND(D1413&gt;=01_因子設定!$L$5-0.000000001,D1413&lt;=01_因子設定!$M$5+0.000000001,E1413&gt;=01_因子設定!$L$6-0.000000001,E1413&lt;=01_因子設定!$M$6+0.000000001,F1413&gt;=01_因子設定!$L$7-0.000000001,F1413&lt;=01_因子設定!$M$7+0.000000001,IF(01_因子設定!$B$20="Box-Behnken",D1413^2+E1413^2+F1413^2&lt;=2+0.000000001,TRUE()))</f>
        <v>1</v>
      </c>
      <c r="W1413" s="55" t="n">
        <f aca="false">IF(V1413,IF(01_因子設定!$B$13="最大化",T1413-01_因子設定!$B$14,IF(01_因子設定!$B$13="最小化",01_因子設定!$B$15-U1413,MIN(T1413-01_因子設定!$B$14,01_因子設定!$B$15-U1413))),-1E+030)</f>
        <v>-2.47159954351243</v>
      </c>
      <c r="X1413" s="55" t="n">
        <f aca="false">IF(V1413,IF(01_因子設定!$B$13="最大化",Q1413,IF(01_因子設定!$B$13="最小化",-Q1413,-ABS(Q1413-01_因子設定!$B$16))),-1E+030)</f>
        <v>47.0865340909091</v>
      </c>
      <c r="Y1413" s="55" t="n">
        <f aca="false">W1413+ROW()*0.000000001</f>
        <v>-2.47159813051243</v>
      </c>
      <c r="Z1413" s="55" t="n">
        <f aca="false">X1413+ROW()*0.000000001</f>
        <v>47.0865355039091</v>
      </c>
    </row>
    <row r="1414" customFormat="false" ht="15" hidden="false" customHeight="false" outlineLevel="0" collapsed="false">
      <c r="A1414" s="0" t="n">
        <v>4</v>
      </c>
      <c r="B1414" s="0" t="n">
        <v>14</v>
      </c>
      <c r="C1414" s="0" t="n">
        <v>15</v>
      </c>
      <c r="D1414" s="0" t="n">
        <f aca="false">-1+A1414*0.125</f>
        <v>-0.5</v>
      </c>
      <c r="E1414" s="0" t="n">
        <f aca="false">-1+B1414*0.125</f>
        <v>0.75</v>
      </c>
      <c r="F1414" s="0" t="n">
        <f aca="false">-1+C1414*0.125</f>
        <v>0.875</v>
      </c>
      <c r="G1414" s="0" t="n">
        <f aca="false">1</f>
        <v>1</v>
      </c>
      <c r="H1414" s="0" t="n">
        <f aca="false">D1414</f>
        <v>-0.5</v>
      </c>
      <c r="I1414" s="0" t="n">
        <f aca="false">E1414</f>
        <v>0.75</v>
      </c>
      <c r="J1414" s="0" t="n">
        <f aca="false">F1414</f>
        <v>0.875</v>
      </c>
      <c r="K1414" s="0" t="n">
        <f aca="false">D1414*E1414</f>
        <v>-0.375</v>
      </c>
      <c r="L1414" s="0" t="n">
        <f aca="false">D1414*F1414</f>
        <v>-0.4375</v>
      </c>
      <c r="M1414" s="0" t="n">
        <f aca="false">E1414*F1414</f>
        <v>0.65625</v>
      </c>
      <c r="N1414" s="0" t="n">
        <f aca="false">D1414*D1414</f>
        <v>0.25</v>
      </c>
      <c r="O1414" s="0" t="n">
        <f aca="false">E1414*E1414</f>
        <v>0.5625</v>
      </c>
      <c r="P1414" s="0" t="n">
        <f aca="false">F1414*F1414</f>
        <v>0.765625</v>
      </c>
      <c r="Q1414" s="0" t="n">
        <f aca="false">SUMPRODUCT(G1414:P1414,_XtX!$B$71:$K$71)</f>
        <v>47.0714630681818</v>
      </c>
      <c r="R1414" s="0" t="n">
        <f aca="false">SUMPRODUCT(MMULT(G1414:P1414,_XtX!$B$58:$K$67),G1414:P1414)</f>
        <v>0.370798561789773</v>
      </c>
      <c r="S1414" s="0" t="n">
        <f aca="false">04_回帰ANOVA!$K$19*04_回帰ANOVA!$K$14*SQRT(1+R1414)</f>
        <v>1.08856271788237</v>
      </c>
      <c r="T1414" s="0" t="n">
        <f aca="false">Q1414-S1414</f>
        <v>45.9829003502995</v>
      </c>
      <c r="U1414" s="0" t="n">
        <f aca="false">Q1414+S1414</f>
        <v>48.1600257860642</v>
      </c>
      <c r="V1414" s="54" t="b">
        <f aca="false">AND(D1414&gt;=01_因子設定!$L$5-0.000000001,D1414&lt;=01_因子設定!$M$5+0.000000001,E1414&gt;=01_因子設定!$L$6-0.000000001,E1414&lt;=01_因子設定!$M$6+0.000000001,F1414&gt;=01_因子設定!$L$7-0.000000001,F1414&lt;=01_因子設定!$M$7+0.000000001,IF(01_因子設定!$B$20="Box-Behnken",D1414^2+E1414^2+F1414^2&lt;=2+0.000000001,TRUE()))</f>
        <v>1</v>
      </c>
      <c r="W1414" s="55" t="n">
        <f aca="false">IF(V1414,IF(01_因子設定!$B$13="最大化",T1414-01_因子設定!$B$14,IF(01_因子設定!$B$13="最小化",01_因子設定!$B$15-U1414,MIN(T1414-01_因子設定!$B$14,01_因子設定!$B$15-U1414))),-1E+030)</f>
        <v>-2.51709964970054</v>
      </c>
      <c r="X1414" s="55" t="n">
        <f aca="false">IF(V1414,IF(01_因子設定!$B$13="最大化",Q1414,IF(01_因子設定!$B$13="最小化",-Q1414,-ABS(Q1414-01_因子設定!$B$16))),-1E+030)</f>
        <v>47.0714630681818</v>
      </c>
      <c r="Y1414" s="55" t="n">
        <f aca="false">W1414+ROW()*0.000000001</f>
        <v>-2.51709823570054</v>
      </c>
      <c r="Z1414" s="55" t="n">
        <f aca="false">X1414+ROW()*0.000000001</f>
        <v>47.0714644821818</v>
      </c>
    </row>
    <row r="1415" customFormat="false" ht="15" hidden="false" customHeight="false" outlineLevel="0" collapsed="false">
      <c r="A1415" s="0" t="n">
        <v>4</v>
      </c>
      <c r="B1415" s="0" t="n">
        <v>14</v>
      </c>
      <c r="C1415" s="0" t="n">
        <v>16</v>
      </c>
      <c r="D1415" s="0" t="n">
        <f aca="false">-1+A1415*0.125</f>
        <v>-0.5</v>
      </c>
      <c r="E1415" s="0" t="n">
        <f aca="false">-1+B1415*0.125</f>
        <v>0.75</v>
      </c>
      <c r="F1415" s="0" t="n">
        <f aca="false">-1+C1415*0.125</f>
        <v>1</v>
      </c>
      <c r="G1415" s="0" t="n">
        <f aca="false">1</f>
        <v>1</v>
      </c>
      <c r="H1415" s="0" t="n">
        <f aca="false">D1415</f>
        <v>-0.5</v>
      </c>
      <c r="I1415" s="0" t="n">
        <f aca="false">E1415</f>
        <v>0.75</v>
      </c>
      <c r="J1415" s="0" t="n">
        <f aca="false">F1415</f>
        <v>1</v>
      </c>
      <c r="K1415" s="0" t="n">
        <f aca="false">D1415*E1415</f>
        <v>-0.375</v>
      </c>
      <c r="L1415" s="0" t="n">
        <f aca="false">D1415*F1415</f>
        <v>-0.5</v>
      </c>
      <c r="M1415" s="0" t="n">
        <f aca="false">E1415*F1415</f>
        <v>0.75</v>
      </c>
      <c r="N1415" s="0" t="n">
        <f aca="false">D1415*D1415</f>
        <v>0.25</v>
      </c>
      <c r="O1415" s="0" t="n">
        <f aca="false">E1415*E1415</f>
        <v>0.5625</v>
      </c>
      <c r="P1415" s="0" t="n">
        <f aca="false">F1415*F1415</f>
        <v>1</v>
      </c>
      <c r="Q1415" s="0" t="n">
        <f aca="false">SUMPRODUCT(G1415:P1415,_XtX!$B$71:$K$71)</f>
        <v>47.0196022727273</v>
      </c>
      <c r="R1415" s="0" t="n">
        <f aca="false">SUMPRODUCT(MMULT(G1415:P1415,_XtX!$B$58:$K$67),G1415:P1415)</f>
        <v>0.495276988636364</v>
      </c>
      <c r="S1415" s="0" t="n">
        <f aca="false">04_回帰ANOVA!$K$19*04_回帰ANOVA!$K$14*SQRT(1+R1415)</f>
        <v>1.13691359828352</v>
      </c>
      <c r="T1415" s="0" t="n">
        <f aca="false">Q1415-S1415</f>
        <v>45.8826886744438</v>
      </c>
      <c r="U1415" s="0" t="n">
        <f aca="false">Q1415+S1415</f>
        <v>48.1565158710108</v>
      </c>
      <c r="V1415" s="54" t="b">
        <f aca="false">AND(D1415&gt;=01_因子設定!$L$5-0.000000001,D1415&lt;=01_因子設定!$M$5+0.000000001,E1415&gt;=01_因子設定!$L$6-0.000000001,E1415&lt;=01_因子設定!$M$6+0.000000001,F1415&gt;=01_因子設定!$L$7-0.000000001,F1415&lt;=01_因子設定!$M$7+0.000000001,IF(01_因子設定!$B$20="Box-Behnken",D1415^2+E1415^2+F1415^2&lt;=2+0.000000001,TRUE()))</f>
        <v>1</v>
      </c>
      <c r="W1415" s="55" t="n">
        <f aca="false">IF(V1415,IF(01_因子設定!$B$13="最大化",T1415-01_因子設定!$B$14,IF(01_因子設定!$B$13="最小化",01_因子設定!$B$15-U1415,MIN(T1415-01_因子設定!$B$14,01_因子設定!$B$15-U1415))),-1E+030)</f>
        <v>-2.61731132555622</v>
      </c>
      <c r="X1415" s="55" t="n">
        <f aca="false">IF(V1415,IF(01_因子設定!$B$13="最大化",Q1415,IF(01_因子設定!$B$13="最小化",-Q1415,-ABS(Q1415-01_因子設定!$B$16))),-1E+030)</f>
        <v>47.0196022727273</v>
      </c>
      <c r="Y1415" s="55" t="n">
        <f aca="false">W1415+ROW()*0.000000001</f>
        <v>-2.61730991055622</v>
      </c>
      <c r="Z1415" s="55" t="n">
        <f aca="false">X1415+ROW()*0.000000001</f>
        <v>47.0196036877273</v>
      </c>
    </row>
    <row r="1416" customFormat="false" ht="15" hidden="false" customHeight="false" outlineLevel="0" collapsed="false">
      <c r="A1416" s="0" t="n">
        <v>4</v>
      </c>
      <c r="B1416" s="0" t="n">
        <v>15</v>
      </c>
      <c r="C1416" s="0" t="n">
        <v>0</v>
      </c>
      <c r="D1416" s="0" t="n">
        <f aca="false">-1+A1416*0.125</f>
        <v>-0.5</v>
      </c>
      <c r="E1416" s="0" t="n">
        <f aca="false">-1+B1416*0.125</f>
        <v>0.875</v>
      </c>
      <c r="F1416" s="0" t="n">
        <f aca="false">-1+C1416*0.125</f>
        <v>-1</v>
      </c>
      <c r="G1416" s="0" t="n">
        <f aca="false">1</f>
        <v>1</v>
      </c>
      <c r="H1416" s="0" t="n">
        <f aca="false">D1416</f>
        <v>-0.5</v>
      </c>
      <c r="I1416" s="0" t="n">
        <f aca="false">E1416</f>
        <v>0.875</v>
      </c>
      <c r="J1416" s="0" t="n">
        <f aca="false">F1416</f>
        <v>-1</v>
      </c>
      <c r="K1416" s="0" t="n">
        <f aca="false">D1416*E1416</f>
        <v>-0.4375</v>
      </c>
      <c r="L1416" s="0" t="n">
        <f aca="false">D1416*F1416</f>
        <v>0.5</v>
      </c>
      <c r="M1416" s="0" t="n">
        <f aca="false">E1416*F1416</f>
        <v>-0.875</v>
      </c>
      <c r="N1416" s="0" t="n">
        <f aca="false">D1416*D1416</f>
        <v>0.25</v>
      </c>
      <c r="O1416" s="0" t="n">
        <f aca="false">E1416*E1416</f>
        <v>0.765625</v>
      </c>
      <c r="P1416" s="0" t="n">
        <f aca="false">F1416*F1416</f>
        <v>1</v>
      </c>
      <c r="Q1416" s="0" t="n">
        <f aca="false">SUMPRODUCT(G1416:P1416,_XtX!$B$71:$K$71)</f>
        <v>43.14875</v>
      </c>
      <c r="R1416" s="0" t="n">
        <f aca="false">SUMPRODUCT(MMULT(G1416:P1416,_XtX!$B$58:$K$67),G1416:P1416)</f>
        <v>0.55771484375</v>
      </c>
      <c r="S1416" s="0" t="n">
        <f aca="false">04_回帰ANOVA!$K$19*04_回帰ANOVA!$K$14*SQRT(1+R1416)</f>
        <v>1.16040773556467</v>
      </c>
      <c r="T1416" s="0" t="n">
        <f aca="false">Q1416-S1416</f>
        <v>41.9883422644354</v>
      </c>
      <c r="U1416" s="0" t="n">
        <f aca="false">Q1416+S1416</f>
        <v>44.3091577355647</v>
      </c>
      <c r="V1416" s="54" t="b">
        <f aca="false">AND(D1416&gt;=01_因子設定!$L$5-0.000000001,D1416&lt;=01_因子設定!$M$5+0.000000001,E1416&gt;=01_因子設定!$L$6-0.000000001,E1416&lt;=01_因子設定!$M$6+0.000000001,F1416&gt;=01_因子設定!$L$7-0.000000001,F1416&lt;=01_因子設定!$M$7+0.000000001,IF(01_因子設定!$B$20="Box-Behnken",D1416^2+E1416^2+F1416^2&lt;=2+0.000000001,TRUE()))</f>
        <v>1</v>
      </c>
      <c r="W1416" s="55" t="n">
        <f aca="false">IF(V1416,IF(01_因子設定!$B$13="最大化",T1416-01_因子設定!$B$14,IF(01_因子設定!$B$13="最小化",01_因子設定!$B$15-U1416,MIN(T1416-01_因子設定!$B$14,01_因子設定!$B$15-U1416))),-1E+030)</f>
        <v>-6.51165773556465</v>
      </c>
      <c r="X1416" s="55" t="n">
        <f aca="false">IF(V1416,IF(01_因子設定!$B$13="最大化",Q1416,IF(01_因子設定!$B$13="最小化",-Q1416,-ABS(Q1416-01_因子設定!$B$16))),-1E+030)</f>
        <v>43.14875</v>
      </c>
      <c r="Y1416" s="55" t="n">
        <f aca="false">W1416+ROW()*0.000000001</f>
        <v>-6.51165631956465</v>
      </c>
      <c r="Z1416" s="55" t="n">
        <f aca="false">X1416+ROW()*0.000000001</f>
        <v>43.148751416</v>
      </c>
    </row>
    <row r="1417" customFormat="false" ht="15" hidden="false" customHeight="false" outlineLevel="0" collapsed="false">
      <c r="A1417" s="0" t="n">
        <v>4</v>
      </c>
      <c r="B1417" s="0" t="n">
        <v>15</v>
      </c>
      <c r="C1417" s="0" t="n">
        <v>1</v>
      </c>
      <c r="D1417" s="0" t="n">
        <f aca="false">-1+A1417*0.125</f>
        <v>-0.5</v>
      </c>
      <c r="E1417" s="0" t="n">
        <f aca="false">-1+B1417*0.125</f>
        <v>0.875</v>
      </c>
      <c r="F1417" s="0" t="n">
        <f aca="false">-1+C1417*0.125</f>
        <v>-0.875</v>
      </c>
      <c r="G1417" s="0" t="n">
        <f aca="false">1</f>
        <v>1</v>
      </c>
      <c r="H1417" s="0" t="n">
        <f aca="false">D1417</f>
        <v>-0.5</v>
      </c>
      <c r="I1417" s="0" t="n">
        <f aca="false">E1417</f>
        <v>0.875</v>
      </c>
      <c r="J1417" s="0" t="n">
        <f aca="false">F1417</f>
        <v>-0.875</v>
      </c>
      <c r="K1417" s="0" t="n">
        <f aca="false">D1417*E1417</f>
        <v>-0.4375</v>
      </c>
      <c r="L1417" s="0" t="n">
        <f aca="false">D1417*F1417</f>
        <v>0.4375</v>
      </c>
      <c r="M1417" s="0" t="n">
        <f aca="false">E1417*F1417</f>
        <v>-0.765625</v>
      </c>
      <c r="N1417" s="0" t="n">
        <f aca="false">D1417*D1417</f>
        <v>0.25</v>
      </c>
      <c r="O1417" s="0" t="n">
        <f aca="false">E1417*E1417</f>
        <v>0.765625</v>
      </c>
      <c r="P1417" s="0" t="n">
        <f aca="false">F1417*F1417</f>
        <v>0.765625</v>
      </c>
      <c r="Q1417" s="0" t="n">
        <f aca="false">SUMPRODUCT(G1417:P1417,_XtX!$B$71:$K$71)</f>
        <v>43.6557670454546</v>
      </c>
      <c r="R1417" s="0" t="n">
        <f aca="false">SUMPRODUCT(MMULT(G1417:P1417,_XtX!$B$58:$K$67),G1417:P1417)</f>
        <v>0.44026933149858</v>
      </c>
      <c r="S1417" s="0" t="n">
        <f aca="false">04_回帰ANOVA!$K$19*04_回帰ANOVA!$K$14*SQRT(1+R1417)</f>
        <v>1.11580548667718</v>
      </c>
      <c r="T1417" s="0" t="n">
        <f aca="false">Q1417-S1417</f>
        <v>42.5399615587774</v>
      </c>
      <c r="U1417" s="0" t="n">
        <f aca="false">Q1417+S1417</f>
        <v>44.7715725321318</v>
      </c>
      <c r="V1417" s="54" t="b">
        <f aca="false">AND(D1417&gt;=01_因子設定!$L$5-0.000000001,D1417&lt;=01_因子設定!$M$5+0.000000001,E1417&gt;=01_因子設定!$L$6-0.000000001,E1417&lt;=01_因子設定!$M$6+0.000000001,F1417&gt;=01_因子設定!$L$7-0.000000001,F1417&lt;=01_因子設定!$M$7+0.000000001,IF(01_因子設定!$B$20="Box-Behnken",D1417^2+E1417^2+F1417^2&lt;=2+0.000000001,TRUE()))</f>
        <v>1</v>
      </c>
      <c r="W1417" s="55" t="n">
        <f aca="false">IF(V1417,IF(01_因子設定!$B$13="最大化",T1417-01_因子設定!$B$14,IF(01_因子設定!$B$13="最小化",01_因子設定!$B$15-U1417,MIN(T1417-01_因子設定!$B$14,01_因子設定!$B$15-U1417))),-1E+030)</f>
        <v>-5.96003844122262</v>
      </c>
      <c r="X1417" s="55" t="n">
        <f aca="false">IF(V1417,IF(01_因子設定!$B$13="最大化",Q1417,IF(01_因子設定!$B$13="最小化",-Q1417,-ABS(Q1417-01_因子設定!$B$16))),-1E+030)</f>
        <v>43.6557670454546</v>
      </c>
      <c r="Y1417" s="55" t="n">
        <f aca="false">W1417+ROW()*0.000000001</f>
        <v>-5.96003702422262</v>
      </c>
      <c r="Z1417" s="55" t="n">
        <f aca="false">X1417+ROW()*0.000000001</f>
        <v>43.6557684624546</v>
      </c>
    </row>
    <row r="1418" customFormat="false" ht="15" hidden="false" customHeight="false" outlineLevel="0" collapsed="false">
      <c r="A1418" s="0" t="n">
        <v>4</v>
      </c>
      <c r="B1418" s="0" t="n">
        <v>15</v>
      </c>
      <c r="C1418" s="0" t="n">
        <v>2</v>
      </c>
      <c r="D1418" s="0" t="n">
        <f aca="false">-1+A1418*0.125</f>
        <v>-0.5</v>
      </c>
      <c r="E1418" s="0" t="n">
        <f aca="false">-1+B1418*0.125</f>
        <v>0.875</v>
      </c>
      <c r="F1418" s="0" t="n">
        <f aca="false">-1+C1418*0.125</f>
        <v>-0.75</v>
      </c>
      <c r="G1418" s="0" t="n">
        <f aca="false">1</f>
        <v>1</v>
      </c>
      <c r="H1418" s="0" t="n">
        <f aca="false">D1418</f>
        <v>-0.5</v>
      </c>
      <c r="I1418" s="0" t="n">
        <f aca="false">E1418</f>
        <v>0.875</v>
      </c>
      <c r="J1418" s="0" t="n">
        <f aca="false">F1418</f>
        <v>-0.75</v>
      </c>
      <c r="K1418" s="0" t="n">
        <f aca="false">D1418*E1418</f>
        <v>-0.4375</v>
      </c>
      <c r="L1418" s="0" t="n">
        <f aca="false">D1418*F1418</f>
        <v>0.375</v>
      </c>
      <c r="M1418" s="0" t="n">
        <f aca="false">E1418*F1418</f>
        <v>-0.65625</v>
      </c>
      <c r="N1418" s="0" t="n">
        <f aca="false">D1418*D1418</f>
        <v>0.25</v>
      </c>
      <c r="O1418" s="0" t="n">
        <f aca="false">E1418*E1418</f>
        <v>0.765625</v>
      </c>
      <c r="P1418" s="0" t="n">
        <f aca="false">F1418*F1418</f>
        <v>0.5625</v>
      </c>
      <c r="Q1418" s="0" t="n">
        <f aca="false">SUMPRODUCT(G1418:P1418,_XtX!$B$71:$K$71)</f>
        <v>44.1259943181818</v>
      </c>
      <c r="R1418" s="0" t="n">
        <f aca="false">SUMPRODUCT(MMULT(G1418:P1418,_XtX!$B$58:$K$67),G1418:P1418)</f>
        <v>0.370798561789773</v>
      </c>
      <c r="S1418" s="0" t="n">
        <f aca="false">04_回帰ANOVA!$K$19*04_回帰ANOVA!$K$14*SQRT(1+R1418)</f>
        <v>1.08856271788237</v>
      </c>
      <c r="T1418" s="0" t="n">
        <f aca="false">Q1418-S1418</f>
        <v>43.0374316002995</v>
      </c>
      <c r="U1418" s="0" t="n">
        <f aca="false">Q1418+S1418</f>
        <v>45.2145570360642</v>
      </c>
      <c r="V1418" s="54" t="b">
        <f aca="false">AND(D1418&gt;=01_因子設定!$L$5-0.000000001,D1418&lt;=01_因子設定!$M$5+0.000000001,E1418&gt;=01_因子設定!$L$6-0.000000001,E1418&lt;=01_因子設定!$M$6+0.000000001,F1418&gt;=01_因子設定!$L$7-0.000000001,F1418&lt;=01_因子設定!$M$7+0.000000001,IF(01_因子設定!$B$20="Box-Behnken",D1418^2+E1418^2+F1418^2&lt;=2+0.000000001,TRUE()))</f>
        <v>1</v>
      </c>
      <c r="W1418" s="55" t="n">
        <f aca="false">IF(V1418,IF(01_因子設定!$B$13="最大化",T1418-01_因子設定!$B$14,IF(01_因子設定!$B$13="最小化",01_因子設定!$B$15-U1418,MIN(T1418-01_因子設定!$B$14,01_因子設定!$B$15-U1418))),-1E+030)</f>
        <v>-5.46256839970054</v>
      </c>
      <c r="X1418" s="55" t="n">
        <f aca="false">IF(V1418,IF(01_因子設定!$B$13="最大化",Q1418,IF(01_因子設定!$B$13="最小化",-Q1418,-ABS(Q1418-01_因子設定!$B$16))),-1E+030)</f>
        <v>44.1259943181818</v>
      </c>
      <c r="Y1418" s="55" t="n">
        <f aca="false">W1418+ROW()*0.000000001</f>
        <v>-5.46256698170054</v>
      </c>
      <c r="Z1418" s="55" t="n">
        <f aca="false">X1418+ROW()*0.000000001</f>
        <v>44.1259957361818</v>
      </c>
    </row>
    <row r="1419" customFormat="false" ht="15" hidden="false" customHeight="false" outlineLevel="0" collapsed="false">
      <c r="A1419" s="0" t="n">
        <v>4</v>
      </c>
      <c r="B1419" s="0" t="n">
        <v>15</v>
      </c>
      <c r="C1419" s="0" t="n">
        <v>3</v>
      </c>
      <c r="D1419" s="0" t="n">
        <f aca="false">-1+A1419*0.125</f>
        <v>-0.5</v>
      </c>
      <c r="E1419" s="0" t="n">
        <f aca="false">-1+B1419*0.125</f>
        <v>0.875</v>
      </c>
      <c r="F1419" s="0" t="n">
        <f aca="false">-1+C1419*0.125</f>
        <v>-0.625</v>
      </c>
      <c r="G1419" s="0" t="n">
        <f aca="false">1</f>
        <v>1</v>
      </c>
      <c r="H1419" s="0" t="n">
        <f aca="false">D1419</f>
        <v>-0.5</v>
      </c>
      <c r="I1419" s="0" t="n">
        <f aca="false">E1419</f>
        <v>0.875</v>
      </c>
      <c r="J1419" s="0" t="n">
        <f aca="false">F1419</f>
        <v>-0.625</v>
      </c>
      <c r="K1419" s="0" t="n">
        <f aca="false">D1419*E1419</f>
        <v>-0.4375</v>
      </c>
      <c r="L1419" s="0" t="n">
        <f aca="false">D1419*F1419</f>
        <v>0.3125</v>
      </c>
      <c r="M1419" s="0" t="n">
        <f aca="false">E1419*F1419</f>
        <v>-0.546875</v>
      </c>
      <c r="N1419" s="0" t="n">
        <f aca="false">D1419*D1419</f>
        <v>0.25</v>
      </c>
      <c r="O1419" s="0" t="n">
        <f aca="false">E1419*E1419</f>
        <v>0.765625</v>
      </c>
      <c r="P1419" s="0" t="n">
        <f aca="false">F1419*F1419</f>
        <v>0.390625</v>
      </c>
      <c r="Q1419" s="0" t="n">
        <f aca="false">SUMPRODUCT(G1419:P1419,_XtX!$B$71:$K$71)</f>
        <v>44.5594318181818</v>
      </c>
      <c r="R1419" s="0" t="n">
        <f aca="false">SUMPRODUCT(MMULT(G1419:P1419,_XtX!$B$58:$K$67),G1419:P1419)</f>
        <v>0.335453102805398</v>
      </c>
      <c r="S1419" s="0" t="n">
        <f aca="false">04_回帰ANOVA!$K$19*04_回帰ANOVA!$K$14*SQRT(1+R1419)</f>
        <v>1.07443700305628</v>
      </c>
      <c r="T1419" s="0" t="n">
        <f aca="false">Q1419-S1419</f>
        <v>43.4849948151256</v>
      </c>
      <c r="U1419" s="0" t="n">
        <f aca="false">Q1419+S1419</f>
        <v>45.6338688212381</v>
      </c>
      <c r="V1419" s="54" t="b">
        <f aca="false">AND(D1419&gt;=01_因子設定!$L$5-0.000000001,D1419&lt;=01_因子設定!$M$5+0.000000001,E1419&gt;=01_因子設定!$L$6-0.000000001,E1419&lt;=01_因子設定!$M$6+0.000000001,F1419&gt;=01_因子設定!$L$7-0.000000001,F1419&lt;=01_因子設定!$M$7+0.000000001,IF(01_因子設定!$B$20="Box-Behnken",D1419^2+E1419^2+F1419^2&lt;=2+0.000000001,TRUE()))</f>
        <v>1</v>
      </c>
      <c r="W1419" s="55" t="n">
        <f aca="false">IF(V1419,IF(01_因子設定!$B$13="最大化",T1419-01_因子設定!$B$14,IF(01_因子設定!$B$13="最小化",01_因子設定!$B$15-U1419,MIN(T1419-01_因子設定!$B$14,01_因子設定!$B$15-U1419))),-1E+030)</f>
        <v>-5.01500518487444</v>
      </c>
      <c r="X1419" s="55" t="n">
        <f aca="false">IF(V1419,IF(01_因子設定!$B$13="最大化",Q1419,IF(01_因子設定!$B$13="最小化",-Q1419,-ABS(Q1419-01_因子設定!$B$16))),-1E+030)</f>
        <v>44.5594318181818</v>
      </c>
      <c r="Y1419" s="55" t="n">
        <f aca="false">W1419+ROW()*0.000000001</f>
        <v>-5.01500376587444</v>
      </c>
      <c r="Z1419" s="55" t="n">
        <f aca="false">X1419+ROW()*0.000000001</f>
        <v>44.5594332371818</v>
      </c>
    </row>
    <row r="1420" customFormat="false" ht="15" hidden="false" customHeight="false" outlineLevel="0" collapsed="false">
      <c r="A1420" s="0" t="n">
        <v>4</v>
      </c>
      <c r="B1420" s="0" t="n">
        <v>15</v>
      </c>
      <c r="C1420" s="0" t="n">
        <v>4</v>
      </c>
      <c r="D1420" s="0" t="n">
        <f aca="false">-1+A1420*0.125</f>
        <v>-0.5</v>
      </c>
      <c r="E1420" s="0" t="n">
        <f aca="false">-1+B1420*0.125</f>
        <v>0.875</v>
      </c>
      <c r="F1420" s="0" t="n">
        <f aca="false">-1+C1420*0.125</f>
        <v>-0.5</v>
      </c>
      <c r="G1420" s="0" t="n">
        <f aca="false">1</f>
        <v>1</v>
      </c>
      <c r="H1420" s="0" t="n">
        <f aca="false">D1420</f>
        <v>-0.5</v>
      </c>
      <c r="I1420" s="0" t="n">
        <f aca="false">E1420</f>
        <v>0.875</v>
      </c>
      <c r="J1420" s="0" t="n">
        <f aca="false">F1420</f>
        <v>-0.5</v>
      </c>
      <c r="K1420" s="0" t="n">
        <f aca="false">D1420*E1420</f>
        <v>-0.4375</v>
      </c>
      <c r="L1420" s="0" t="n">
        <f aca="false">D1420*F1420</f>
        <v>0.25</v>
      </c>
      <c r="M1420" s="0" t="n">
        <f aca="false">E1420*F1420</f>
        <v>-0.4375</v>
      </c>
      <c r="N1420" s="0" t="n">
        <f aca="false">D1420*D1420</f>
        <v>0.25</v>
      </c>
      <c r="O1420" s="0" t="n">
        <f aca="false">E1420*E1420</f>
        <v>0.765625</v>
      </c>
      <c r="P1420" s="0" t="n">
        <f aca="false">F1420*F1420</f>
        <v>0.25</v>
      </c>
      <c r="Q1420" s="0" t="n">
        <f aca="false">SUMPRODUCT(G1420:P1420,_XtX!$B$71:$K$71)</f>
        <v>44.9560795454546</v>
      </c>
      <c r="R1420" s="0" t="n">
        <f aca="false">SUMPRODUCT(MMULT(G1420:P1420,_XtX!$B$58:$K$67),G1420:P1420)</f>
        <v>0.322514204545455</v>
      </c>
      <c r="S1420" s="0" t="n">
        <f aca="false">04_回帰ANOVA!$K$19*04_回帰ANOVA!$K$14*SQRT(1+R1420)</f>
        <v>1.0692193475064</v>
      </c>
      <c r="T1420" s="0" t="n">
        <f aca="false">Q1420-S1420</f>
        <v>43.8868601979482</v>
      </c>
      <c r="U1420" s="0" t="n">
        <f aca="false">Q1420+S1420</f>
        <v>46.025298892961</v>
      </c>
      <c r="V1420" s="54" t="b">
        <f aca="false">AND(D1420&gt;=01_因子設定!$L$5-0.000000001,D1420&lt;=01_因子設定!$M$5+0.000000001,E1420&gt;=01_因子設定!$L$6-0.000000001,E1420&lt;=01_因子設定!$M$6+0.000000001,F1420&gt;=01_因子設定!$L$7-0.000000001,F1420&lt;=01_因子設定!$M$7+0.000000001,IF(01_因子設定!$B$20="Box-Behnken",D1420^2+E1420^2+F1420^2&lt;=2+0.000000001,TRUE()))</f>
        <v>1</v>
      </c>
      <c r="W1420" s="55" t="n">
        <f aca="false">IF(V1420,IF(01_因子設定!$B$13="最大化",T1420-01_因子設定!$B$14,IF(01_因子設定!$B$13="最小化",01_因子設定!$B$15-U1420,MIN(T1420-01_因子設定!$B$14,01_因子設定!$B$15-U1420))),-1E+030)</f>
        <v>-4.61313980205185</v>
      </c>
      <c r="X1420" s="55" t="n">
        <f aca="false">IF(V1420,IF(01_因子設定!$B$13="最大化",Q1420,IF(01_因子設定!$B$13="最小化",-Q1420,-ABS(Q1420-01_因子設定!$B$16))),-1E+030)</f>
        <v>44.9560795454546</v>
      </c>
      <c r="Y1420" s="55" t="n">
        <f aca="false">W1420+ROW()*0.000000001</f>
        <v>-4.61313838205185</v>
      </c>
      <c r="Z1420" s="55" t="n">
        <f aca="false">X1420+ROW()*0.000000001</f>
        <v>44.9560809654546</v>
      </c>
    </row>
    <row r="1421" customFormat="false" ht="15" hidden="false" customHeight="false" outlineLevel="0" collapsed="false">
      <c r="A1421" s="0" t="n">
        <v>4</v>
      </c>
      <c r="B1421" s="0" t="n">
        <v>15</v>
      </c>
      <c r="C1421" s="0" t="n">
        <v>5</v>
      </c>
      <c r="D1421" s="0" t="n">
        <f aca="false">-1+A1421*0.125</f>
        <v>-0.5</v>
      </c>
      <c r="E1421" s="0" t="n">
        <f aca="false">-1+B1421*0.125</f>
        <v>0.875</v>
      </c>
      <c r="F1421" s="0" t="n">
        <f aca="false">-1+C1421*0.125</f>
        <v>-0.375</v>
      </c>
      <c r="G1421" s="0" t="n">
        <f aca="false">1</f>
        <v>1</v>
      </c>
      <c r="H1421" s="0" t="n">
        <f aca="false">D1421</f>
        <v>-0.5</v>
      </c>
      <c r="I1421" s="0" t="n">
        <f aca="false">E1421</f>
        <v>0.875</v>
      </c>
      <c r="J1421" s="0" t="n">
        <f aca="false">F1421</f>
        <v>-0.375</v>
      </c>
      <c r="K1421" s="0" t="n">
        <f aca="false">D1421*E1421</f>
        <v>-0.4375</v>
      </c>
      <c r="L1421" s="0" t="n">
        <f aca="false">D1421*F1421</f>
        <v>0.1875</v>
      </c>
      <c r="M1421" s="0" t="n">
        <f aca="false">E1421*F1421</f>
        <v>-0.328125</v>
      </c>
      <c r="N1421" s="0" t="n">
        <f aca="false">D1421*D1421</f>
        <v>0.25</v>
      </c>
      <c r="O1421" s="0" t="n">
        <f aca="false">E1421*E1421</f>
        <v>0.765625</v>
      </c>
      <c r="P1421" s="0" t="n">
        <f aca="false">F1421*F1421</f>
        <v>0.140625</v>
      </c>
      <c r="Q1421" s="0" t="n">
        <f aca="false">SUMPRODUCT(G1421:P1421,_XtX!$B$71:$K$71)</f>
        <v>45.3159375</v>
      </c>
      <c r="R1421" s="0" t="n">
        <f aca="false">SUMPRODUCT(MMULT(G1421:P1421,_XtX!$B$58:$K$67),G1421:P1421)</f>
        <v>0.322393798828125</v>
      </c>
      <c r="S1421" s="0" t="n">
        <f aca="false">04_回帰ANOVA!$K$19*04_回帰ANOVA!$K$14*SQRT(1+R1421)</f>
        <v>1.06917067390712</v>
      </c>
      <c r="T1421" s="0" t="n">
        <f aca="false">Q1421-S1421</f>
        <v>44.2467668260929</v>
      </c>
      <c r="U1421" s="0" t="n">
        <f aca="false">Q1421+S1421</f>
        <v>46.3851081739071</v>
      </c>
      <c r="V1421" s="54" t="b">
        <f aca="false">AND(D1421&gt;=01_因子設定!$L$5-0.000000001,D1421&lt;=01_因子設定!$M$5+0.000000001,E1421&gt;=01_因子設定!$L$6-0.000000001,E1421&lt;=01_因子設定!$M$6+0.000000001,F1421&gt;=01_因子設定!$L$7-0.000000001,F1421&lt;=01_因子設定!$M$7+0.000000001,IF(01_因子設定!$B$20="Box-Behnken",D1421^2+E1421^2+F1421^2&lt;=2+0.000000001,TRUE()))</f>
        <v>1</v>
      </c>
      <c r="W1421" s="55" t="n">
        <f aca="false">IF(V1421,IF(01_因子設定!$B$13="最大化",T1421-01_因子設定!$B$14,IF(01_因子設定!$B$13="最小化",01_因子設定!$B$15-U1421,MIN(T1421-01_因子設定!$B$14,01_因子設定!$B$15-U1421))),-1E+030)</f>
        <v>-4.25323317390711</v>
      </c>
      <c r="X1421" s="55" t="n">
        <f aca="false">IF(V1421,IF(01_因子設定!$B$13="最大化",Q1421,IF(01_因子設定!$B$13="最小化",-Q1421,-ABS(Q1421-01_因子設定!$B$16))),-1E+030)</f>
        <v>45.3159375</v>
      </c>
      <c r="Y1421" s="55" t="n">
        <f aca="false">W1421+ROW()*0.000000001</f>
        <v>-4.25323175290711</v>
      </c>
      <c r="Z1421" s="55" t="n">
        <f aca="false">X1421+ROW()*0.000000001</f>
        <v>45.315938921</v>
      </c>
    </row>
    <row r="1422" customFormat="false" ht="15" hidden="false" customHeight="false" outlineLevel="0" collapsed="false">
      <c r="A1422" s="0" t="n">
        <v>4</v>
      </c>
      <c r="B1422" s="0" t="n">
        <v>15</v>
      </c>
      <c r="C1422" s="0" t="n">
        <v>6</v>
      </c>
      <c r="D1422" s="0" t="n">
        <f aca="false">-1+A1422*0.125</f>
        <v>-0.5</v>
      </c>
      <c r="E1422" s="0" t="n">
        <f aca="false">-1+B1422*0.125</f>
        <v>0.875</v>
      </c>
      <c r="F1422" s="0" t="n">
        <f aca="false">-1+C1422*0.125</f>
        <v>-0.25</v>
      </c>
      <c r="G1422" s="0" t="n">
        <f aca="false">1</f>
        <v>1</v>
      </c>
      <c r="H1422" s="0" t="n">
        <f aca="false">D1422</f>
        <v>-0.5</v>
      </c>
      <c r="I1422" s="0" t="n">
        <f aca="false">E1422</f>
        <v>0.875</v>
      </c>
      <c r="J1422" s="0" t="n">
        <f aca="false">F1422</f>
        <v>-0.25</v>
      </c>
      <c r="K1422" s="0" t="n">
        <f aca="false">D1422*E1422</f>
        <v>-0.4375</v>
      </c>
      <c r="L1422" s="0" t="n">
        <f aca="false">D1422*F1422</f>
        <v>0.125</v>
      </c>
      <c r="M1422" s="0" t="n">
        <f aca="false">E1422*F1422</f>
        <v>-0.21875</v>
      </c>
      <c r="N1422" s="0" t="n">
        <f aca="false">D1422*D1422</f>
        <v>0.25</v>
      </c>
      <c r="O1422" s="0" t="n">
        <f aca="false">E1422*E1422</f>
        <v>0.765625</v>
      </c>
      <c r="P1422" s="0" t="n">
        <f aca="false">F1422*F1422</f>
        <v>0.0625</v>
      </c>
      <c r="Q1422" s="0" t="n">
        <f aca="false">SUMPRODUCT(G1422:P1422,_XtX!$B$71:$K$71)</f>
        <v>45.6390056818182</v>
      </c>
      <c r="R1422" s="0" t="n">
        <f aca="false">SUMPRODUCT(MMULT(G1422:P1422,_XtX!$B$58:$K$67),G1422:P1422)</f>
        <v>0.327634499289773</v>
      </c>
      <c r="S1422" s="0" t="n">
        <f aca="false">04_回帰ANOVA!$K$19*04_回帰ANOVA!$K$14*SQRT(1+R1422)</f>
        <v>1.07128716250217</v>
      </c>
      <c r="T1422" s="0" t="n">
        <f aca="false">Q1422-S1422</f>
        <v>44.567718519316</v>
      </c>
      <c r="U1422" s="0" t="n">
        <f aca="false">Q1422+S1422</f>
        <v>46.7102928443204</v>
      </c>
      <c r="V1422" s="54" t="b">
        <f aca="false">AND(D1422&gt;=01_因子設定!$L$5-0.000000001,D1422&lt;=01_因子設定!$M$5+0.000000001,E1422&gt;=01_因子設定!$L$6-0.000000001,E1422&lt;=01_因子設定!$M$6+0.000000001,F1422&gt;=01_因子設定!$L$7-0.000000001,F1422&lt;=01_因子設定!$M$7+0.000000001,IF(01_因子設定!$B$20="Box-Behnken",D1422^2+E1422^2+F1422^2&lt;=2+0.000000001,TRUE()))</f>
        <v>1</v>
      </c>
      <c r="W1422" s="55" t="n">
        <f aca="false">IF(V1422,IF(01_因子設定!$B$13="最大化",T1422-01_因子設定!$B$14,IF(01_因子設定!$B$13="最小化",01_因子設定!$B$15-U1422,MIN(T1422-01_因子設定!$B$14,01_因子設定!$B$15-U1422))),-1E+030)</f>
        <v>-3.93228148068398</v>
      </c>
      <c r="X1422" s="55" t="n">
        <f aca="false">IF(V1422,IF(01_因子設定!$B$13="最大化",Q1422,IF(01_因子設定!$B$13="最小化",-Q1422,-ABS(Q1422-01_因子設定!$B$16))),-1E+030)</f>
        <v>45.6390056818182</v>
      </c>
      <c r="Y1422" s="55" t="n">
        <f aca="false">W1422+ROW()*0.000000001</f>
        <v>-3.93228005868398</v>
      </c>
      <c r="Z1422" s="55" t="n">
        <f aca="false">X1422+ROW()*0.000000001</f>
        <v>45.6390071038182</v>
      </c>
    </row>
    <row r="1423" customFormat="false" ht="15" hidden="false" customHeight="false" outlineLevel="0" collapsed="false">
      <c r="A1423" s="0" t="n">
        <v>4</v>
      </c>
      <c r="B1423" s="0" t="n">
        <v>15</v>
      </c>
      <c r="C1423" s="0" t="n">
        <v>7</v>
      </c>
      <c r="D1423" s="0" t="n">
        <f aca="false">-1+A1423*0.125</f>
        <v>-0.5</v>
      </c>
      <c r="E1423" s="0" t="n">
        <f aca="false">-1+B1423*0.125</f>
        <v>0.875</v>
      </c>
      <c r="F1423" s="0" t="n">
        <f aca="false">-1+C1423*0.125</f>
        <v>-0.125</v>
      </c>
      <c r="G1423" s="0" t="n">
        <f aca="false">1</f>
        <v>1</v>
      </c>
      <c r="H1423" s="0" t="n">
        <f aca="false">D1423</f>
        <v>-0.5</v>
      </c>
      <c r="I1423" s="0" t="n">
        <f aca="false">E1423</f>
        <v>0.875</v>
      </c>
      <c r="J1423" s="0" t="n">
        <f aca="false">F1423</f>
        <v>-0.125</v>
      </c>
      <c r="K1423" s="0" t="n">
        <f aca="false">D1423*E1423</f>
        <v>-0.4375</v>
      </c>
      <c r="L1423" s="0" t="n">
        <f aca="false">D1423*F1423</f>
        <v>0.0625</v>
      </c>
      <c r="M1423" s="0" t="n">
        <f aca="false">E1423*F1423</f>
        <v>-0.109375</v>
      </c>
      <c r="N1423" s="0" t="n">
        <f aca="false">D1423*D1423</f>
        <v>0.25</v>
      </c>
      <c r="O1423" s="0" t="n">
        <f aca="false">E1423*E1423</f>
        <v>0.765625</v>
      </c>
      <c r="P1423" s="0" t="n">
        <f aca="false">F1423*F1423</f>
        <v>0.015625</v>
      </c>
      <c r="Q1423" s="0" t="n">
        <f aca="false">SUMPRODUCT(G1423:P1423,_XtX!$B$71:$K$71)</f>
        <v>45.9252840909091</v>
      </c>
      <c r="R1423" s="0" t="n">
        <f aca="false">SUMPRODUCT(MMULT(G1423:P1423,_XtX!$B$58:$K$67),G1423:P1423)</f>
        <v>0.332909601384943</v>
      </c>
      <c r="S1423" s="0" t="n">
        <f aca="false">04_回帰ANOVA!$K$19*04_回帰ANOVA!$K$14*SQRT(1+R1423)</f>
        <v>1.07341333007404</v>
      </c>
      <c r="T1423" s="0" t="n">
        <f aca="false">Q1423-S1423</f>
        <v>44.8518707608351</v>
      </c>
      <c r="U1423" s="0" t="n">
        <f aca="false">Q1423+S1423</f>
        <v>46.9986974209831</v>
      </c>
      <c r="V1423" s="54" t="b">
        <f aca="false">AND(D1423&gt;=01_因子設定!$L$5-0.000000001,D1423&lt;=01_因子設定!$M$5+0.000000001,E1423&gt;=01_因子設定!$L$6-0.000000001,E1423&lt;=01_因子設定!$M$6+0.000000001,F1423&gt;=01_因子設定!$L$7-0.000000001,F1423&lt;=01_因子設定!$M$7+0.000000001,IF(01_因子設定!$B$20="Box-Behnken",D1423^2+E1423^2+F1423^2&lt;=2+0.000000001,TRUE()))</f>
        <v>1</v>
      </c>
      <c r="W1423" s="55" t="n">
        <f aca="false">IF(V1423,IF(01_因子設定!$B$13="最大化",T1423-01_因子設定!$B$14,IF(01_因子設定!$B$13="最小化",01_因子設定!$B$15-U1423,MIN(T1423-01_因子設定!$B$14,01_因子設定!$B$15-U1423))),-1E+030)</f>
        <v>-3.64812923916494</v>
      </c>
      <c r="X1423" s="55" t="n">
        <f aca="false">IF(V1423,IF(01_因子設定!$B$13="最大化",Q1423,IF(01_因子設定!$B$13="最小化",-Q1423,-ABS(Q1423-01_因子設定!$B$16))),-1E+030)</f>
        <v>45.9252840909091</v>
      </c>
      <c r="Y1423" s="55" t="n">
        <f aca="false">W1423+ROW()*0.000000001</f>
        <v>-3.64812781616494</v>
      </c>
      <c r="Z1423" s="55" t="n">
        <f aca="false">X1423+ROW()*0.000000001</f>
        <v>45.9252855139091</v>
      </c>
    </row>
    <row r="1424" customFormat="false" ht="15" hidden="false" customHeight="false" outlineLevel="0" collapsed="false">
      <c r="A1424" s="0" t="n">
        <v>4</v>
      </c>
      <c r="B1424" s="0" t="n">
        <v>15</v>
      </c>
      <c r="C1424" s="0" t="n">
        <v>8</v>
      </c>
      <c r="D1424" s="0" t="n">
        <f aca="false">-1+A1424*0.125</f>
        <v>-0.5</v>
      </c>
      <c r="E1424" s="0" t="n">
        <f aca="false">-1+B1424*0.125</f>
        <v>0.875</v>
      </c>
      <c r="F1424" s="0" t="n">
        <f aca="false">-1+C1424*0.125</f>
        <v>0</v>
      </c>
      <c r="G1424" s="0" t="n">
        <f aca="false">1</f>
        <v>1</v>
      </c>
      <c r="H1424" s="0" t="n">
        <f aca="false">D1424</f>
        <v>-0.5</v>
      </c>
      <c r="I1424" s="0" t="n">
        <f aca="false">E1424</f>
        <v>0.875</v>
      </c>
      <c r="J1424" s="0" t="n">
        <f aca="false">F1424</f>
        <v>0</v>
      </c>
      <c r="K1424" s="0" t="n">
        <f aca="false">D1424*E1424</f>
        <v>-0.4375</v>
      </c>
      <c r="L1424" s="0" t="n">
        <f aca="false">D1424*F1424</f>
        <v>-0</v>
      </c>
      <c r="M1424" s="0" t="n">
        <f aca="false">E1424*F1424</f>
        <v>0</v>
      </c>
      <c r="N1424" s="0" t="n">
        <f aca="false">D1424*D1424</f>
        <v>0.25</v>
      </c>
      <c r="O1424" s="0" t="n">
        <f aca="false">E1424*E1424</f>
        <v>0.765625</v>
      </c>
      <c r="P1424" s="0" t="n">
        <f aca="false">F1424*F1424</f>
        <v>0</v>
      </c>
      <c r="Q1424" s="0" t="n">
        <f aca="false">SUMPRODUCT(G1424:P1424,_XtX!$B$71:$K$71)</f>
        <v>46.1747727272727</v>
      </c>
      <c r="R1424" s="0" t="n">
        <f aca="false">SUMPRODUCT(MMULT(G1424:P1424,_XtX!$B$58:$K$67),G1424:P1424)</f>
        <v>0.335023082386364</v>
      </c>
      <c r="S1424" s="0" t="n">
        <f aca="false">04_回帰ANOVA!$K$19*04_回帰ANOVA!$K$14*SQRT(1+R1424)</f>
        <v>1.07426400295275</v>
      </c>
      <c r="T1424" s="0" t="n">
        <f aca="false">Q1424-S1424</f>
        <v>45.10050872432</v>
      </c>
      <c r="U1424" s="0" t="n">
        <f aca="false">Q1424+S1424</f>
        <v>47.2490367302255</v>
      </c>
      <c r="V1424" s="54" t="b">
        <f aca="false">AND(D1424&gt;=01_因子設定!$L$5-0.000000001,D1424&lt;=01_因子設定!$M$5+0.000000001,E1424&gt;=01_因子設定!$L$6-0.000000001,E1424&lt;=01_因子設定!$M$6+0.000000001,F1424&gt;=01_因子設定!$L$7-0.000000001,F1424&lt;=01_因子設定!$M$7+0.000000001,IF(01_因子設定!$B$20="Box-Behnken",D1424^2+E1424^2+F1424^2&lt;=2+0.000000001,TRUE()))</f>
        <v>1</v>
      </c>
      <c r="W1424" s="55" t="n">
        <f aca="false">IF(V1424,IF(01_因子設定!$B$13="最大化",T1424-01_因子設定!$B$14,IF(01_因子設定!$B$13="最小化",01_因子設定!$B$15-U1424,MIN(T1424-01_因子設定!$B$14,01_因子設定!$B$15-U1424))),-1E+030)</f>
        <v>-3.39949127568002</v>
      </c>
      <c r="X1424" s="55" t="n">
        <f aca="false">IF(V1424,IF(01_因子設定!$B$13="最大化",Q1424,IF(01_因子設定!$B$13="最小化",-Q1424,-ABS(Q1424-01_因子設定!$B$16))),-1E+030)</f>
        <v>46.1747727272727</v>
      </c>
      <c r="Y1424" s="55" t="n">
        <f aca="false">W1424+ROW()*0.000000001</f>
        <v>-3.39948985168002</v>
      </c>
      <c r="Z1424" s="55" t="n">
        <f aca="false">X1424+ROW()*0.000000001</f>
        <v>46.1747741512727</v>
      </c>
    </row>
    <row r="1425" customFormat="false" ht="15" hidden="false" customHeight="false" outlineLevel="0" collapsed="false">
      <c r="A1425" s="0" t="n">
        <v>4</v>
      </c>
      <c r="B1425" s="0" t="n">
        <v>15</v>
      </c>
      <c r="C1425" s="0" t="n">
        <v>9</v>
      </c>
      <c r="D1425" s="0" t="n">
        <f aca="false">-1+A1425*0.125</f>
        <v>-0.5</v>
      </c>
      <c r="E1425" s="0" t="n">
        <f aca="false">-1+B1425*0.125</f>
        <v>0.875</v>
      </c>
      <c r="F1425" s="0" t="n">
        <f aca="false">-1+C1425*0.125</f>
        <v>0.125</v>
      </c>
      <c r="G1425" s="0" t="n">
        <f aca="false">1</f>
        <v>1</v>
      </c>
      <c r="H1425" s="0" t="n">
        <f aca="false">D1425</f>
        <v>-0.5</v>
      </c>
      <c r="I1425" s="0" t="n">
        <f aca="false">E1425</f>
        <v>0.875</v>
      </c>
      <c r="J1425" s="0" t="n">
        <f aca="false">F1425</f>
        <v>0.125</v>
      </c>
      <c r="K1425" s="0" t="n">
        <f aca="false">D1425*E1425</f>
        <v>-0.4375</v>
      </c>
      <c r="L1425" s="0" t="n">
        <f aca="false">D1425*F1425</f>
        <v>-0.0625</v>
      </c>
      <c r="M1425" s="0" t="n">
        <f aca="false">E1425*F1425</f>
        <v>0.109375</v>
      </c>
      <c r="N1425" s="0" t="n">
        <f aca="false">D1425*D1425</f>
        <v>0.25</v>
      </c>
      <c r="O1425" s="0" t="n">
        <f aca="false">E1425*E1425</f>
        <v>0.765625</v>
      </c>
      <c r="P1425" s="0" t="n">
        <f aca="false">F1425*F1425</f>
        <v>0.015625</v>
      </c>
      <c r="Q1425" s="0" t="n">
        <f aca="false">SUMPRODUCT(G1425:P1425,_XtX!$B$71:$K$71)</f>
        <v>46.3874715909091</v>
      </c>
      <c r="R1425" s="0" t="n">
        <f aca="false">SUMPRODUCT(MMULT(G1425:P1425,_XtX!$B$58:$K$67),G1425:P1425)</f>
        <v>0.332909601384943</v>
      </c>
      <c r="S1425" s="0" t="n">
        <f aca="false">04_回帰ANOVA!$K$19*04_回帰ANOVA!$K$14*SQRT(1+R1425)</f>
        <v>1.07341333007404</v>
      </c>
      <c r="T1425" s="0" t="n">
        <f aca="false">Q1425-S1425</f>
        <v>45.3140582608351</v>
      </c>
      <c r="U1425" s="0" t="n">
        <f aca="false">Q1425+S1425</f>
        <v>47.4608849209831</v>
      </c>
      <c r="V1425" s="54" t="b">
        <f aca="false">AND(D1425&gt;=01_因子設定!$L$5-0.000000001,D1425&lt;=01_因子設定!$M$5+0.000000001,E1425&gt;=01_因子設定!$L$6-0.000000001,E1425&lt;=01_因子設定!$M$6+0.000000001,F1425&gt;=01_因子設定!$L$7-0.000000001,F1425&lt;=01_因子設定!$M$7+0.000000001,IF(01_因子設定!$B$20="Box-Behnken",D1425^2+E1425^2+F1425^2&lt;=2+0.000000001,TRUE()))</f>
        <v>1</v>
      </c>
      <c r="W1425" s="55" t="n">
        <f aca="false">IF(V1425,IF(01_因子設定!$B$13="最大化",T1425-01_因子設定!$B$14,IF(01_因子設定!$B$13="最小化",01_因子設定!$B$15-U1425,MIN(T1425-01_因子設定!$B$14,01_因子設定!$B$15-U1425))),-1E+030)</f>
        <v>-3.18594173916495</v>
      </c>
      <c r="X1425" s="55" t="n">
        <f aca="false">IF(V1425,IF(01_因子設定!$B$13="最大化",Q1425,IF(01_因子設定!$B$13="最小化",-Q1425,-ABS(Q1425-01_因子設定!$B$16))),-1E+030)</f>
        <v>46.3874715909091</v>
      </c>
      <c r="Y1425" s="55" t="n">
        <f aca="false">W1425+ROW()*0.000000001</f>
        <v>-3.18594031416495</v>
      </c>
      <c r="Z1425" s="55" t="n">
        <f aca="false">X1425+ROW()*0.000000001</f>
        <v>46.3874730159091</v>
      </c>
    </row>
    <row r="1426" customFormat="false" ht="15" hidden="false" customHeight="false" outlineLevel="0" collapsed="false">
      <c r="A1426" s="0" t="n">
        <v>4</v>
      </c>
      <c r="B1426" s="0" t="n">
        <v>15</v>
      </c>
      <c r="C1426" s="0" t="n">
        <v>10</v>
      </c>
      <c r="D1426" s="0" t="n">
        <f aca="false">-1+A1426*0.125</f>
        <v>-0.5</v>
      </c>
      <c r="E1426" s="0" t="n">
        <f aca="false">-1+B1426*0.125</f>
        <v>0.875</v>
      </c>
      <c r="F1426" s="0" t="n">
        <f aca="false">-1+C1426*0.125</f>
        <v>0.25</v>
      </c>
      <c r="G1426" s="0" t="n">
        <f aca="false">1</f>
        <v>1</v>
      </c>
      <c r="H1426" s="0" t="n">
        <f aca="false">D1426</f>
        <v>-0.5</v>
      </c>
      <c r="I1426" s="0" t="n">
        <f aca="false">E1426</f>
        <v>0.875</v>
      </c>
      <c r="J1426" s="0" t="n">
        <f aca="false">F1426</f>
        <v>0.25</v>
      </c>
      <c r="K1426" s="0" t="n">
        <f aca="false">D1426*E1426</f>
        <v>-0.4375</v>
      </c>
      <c r="L1426" s="0" t="n">
        <f aca="false">D1426*F1426</f>
        <v>-0.125</v>
      </c>
      <c r="M1426" s="0" t="n">
        <f aca="false">E1426*F1426</f>
        <v>0.21875</v>
      </c>
      <c r="N1426" s="0" t="n">
        <f aca="false">D1426*D1426</f>
        <v>0.25</v>
      </c>
      <c r="O1426" s="0" t="n">
        <f aca="false">E1426*E1426</f>
        <v>0.765625</v>
      </c>
      <c r="P1426" s="0" t="n">
        <f aca="false">F1426*F1426</f>
        <v>0.0625</v>
      </c>
      <c r="Q1426" s="0" t="n">
        <f aca="false">SUMPRODUCT(G1426:P1426,_XtX!$B$71:$K$71)</f>
        <v>46.5633806818182</v>
      </c>
      <c r="R1426" s="0" t="n">
        <f aca="false">SUMPRODUCT(MMULT(G1426:P1426,_XtX!$B$58:$K$67),G1426:P1426)</f>
        <v>0.327634499289773</v>
      </c>
      <c r="S1426" s="0" t="n">
        <f aca="false">04_回帰ANOVA!$K$19*04_回帰ANOVA!$K$14*SQRT(1+R1426)</f>
        <v>1.07128716250217</v>
      </c>
      <c r="T1426" s="0" t="n">
        <f aca="false">Q1426-S1426</f>
        <v>45.492093519316</v>
      </c>
      <c r="U1426" s="0" t="n">
        <f aca="false">Q1426+S1426</f>
        <v>47.6346678443204</v>
      </c>
      <c r="V1426" s="54" t="b">
        <f aca="false">AND(D1426&gt;=01_因子設定!$L$5-0.000000001,D1426&lt;=01_因子設定!$M$5+0.000000001,E1426&gt;=01_因子設定!$L$6-0.000000001,E1426&lt;=01_因子設定!$M$6+0.000000001,F1426&gt;=01_因子設定!$L$7-0.000000001,F1426&lt;=01_因子設定!$M$7+0.000000001,IF(01_因子設定!$B$20="Box-Behnken",D1426^2+E1426^2+F1426^2&lt;=2+0.000000001,TRUE()))</f>
        <v>1</v>
      </c>
      <c r="W1426" s="55" t="n">
        <f aca="false">IF(V1426,IF(01_因子設定!$B$13="最大化",T1426-01_因子設定!$B$14,IF(01_因子設定!$B$13="最小化",01_因子設定!$B$15-U1426,MIN(T1426-01_因子設定!$B$14,01_因子設定!$B$15-U1426))),-1E+030)</f>
        <v>-3.00790648068399</v>
      </c>
      <c r="X1426" s="55" t="n">
        <f aca="false">IF(V1426,IF(01_因子設定!$B$13="最大化",Q1426,IF(01_因子設定!$B$13="最小化",-Q1426,-ABS(Q1426-01_因子設定!$B$16))),-1E+030)</f>
        <v>46.5633806818182</v>
      </c>
      <c r="Y1426" s="55" t="n">
        <f aca="false">W1426+ROW()*0.000000001</f>
        <v>-3.00790505468399</v>
      </c>
      <c r="Z1426" s="55" t="n">
        <f aca="false">X1426+ROW()*0.000000001</f>
        <v>46.5633821078182</v>
      </c>
    </row>
    <row r="1427" customFormat="false" ht="15" hidden="false" customHeight="false" outlineLevel="0" collapsed="false">
      <c r="A1427" s="0" t="n">
        <v>4</v>
      </c>
      <c r="B1427" s="0" t="n">
        <v>15</v>
      </c>
      <c r="C1427" s="0" t="n">
        <v>11</v>
      </c>
      <c r="D1427" s="0" t="n">
        <f aca="false">-1+A1427*0.125</f>
        <v>-0.5</v>
      </c>
      <c r="E1427" s="0" t="n">
        <f aca="false">-1+B1427*0.125</f>
        <v>0.875</v>
      </c>
      <c r="F1427" s="0" t="n">
        <f aca="false">-1+C1427*0.125</f>
        <v>0.375</v>
      </c>
      <c r="G1427" s="0" t="n">
        <f aca="false">1</f>
        <v>1</v>
      </c>
      <c r="H1427" s="0" t="n">
        <f aca="false">D1427</f>
        <v>-0.5</v>
      </c>
      <c r="I1427" s="0" t="n">
        <f aca="false">E1427</f>
        <v>0.875</v>
      </c>
      <c r="J1427" s="0" t="n">
        <f aca="false">F1427</f>
        <v>0.375</v>
      </c>
      <c r="K1427" s="0" t="n">
        <f aca="false">D1427*E1427</f>
        <v>-0.4375</v>
      </c>
      <c r="L1427" s="0" t="n">
        <f aca="false">D1427*F1427</f>
        <v>-0.1875</v>
      </c>
      <c r="M1427" s="0" t="n">
        <f aca="false">E1427*F1427</f>
        <v>0.328125</v>
      </c>
      <c r="N1427" s="0" t="n">
        <f aca="false">D1427*D1427</f>
        <v>0.25</v>
      </c>
      <c r="O1427" s="0" t="n">
        <f aca="false">E1427*E1427</f>
        <v>0.765625</v>
      </c>
      <c r="P1427" s="0" t="n">
        <f aca="false">F1427*F1427</f>
        <v>0.140625</v>
      </c>
      <c r="Q1427" s="0" t="n">
        <f aca="false">SUMPRODUCT(G1427:P1427,_XtX!$B$71:$K$71)</f>
        <v>46.7025</v>
      </c>
      <c r="R1427" s="0" t="n">
        <f aca="false">SUMPRODUCT(MMULT(G1427:P1427,_XtX!$B$58:$K$67),G1427:P1427)</f>
        <v>0.322393798828125</v>
      </c>
      <c r="S1427" s="0" t="n">
        <f aca="false">04_回帰ANOVA!$K$19*04_回帰ANOVA!$K$14*SQRT(1+R1427)</f>
        <v>1.06917067390712</v>
      </c>
      <c r="T1427" s="0" t="n">
        <f aca="false">Q1427-S1427</f>
        <v>45.6333293260929</v>
      </c>
      <c r="U1427" s="0" t="n">
        <f aca="false">Q1427+S1427</f>
        <v>47.7716706739071</v>
      </c>
      <c r="V1427" s="54" t="b">
        <f aca="false">AND(D1427&gt;=01_因子設定!$L$5-0.000000001,D1427&lt;=01_因子設定!$M$5+0.000000001,E1427&gt;=01_因子設定!$L$6-0.000000001,E1427&lt;=01_因子設定!$M$6+0.000000001,F1427&gt;=01_因子設定!$L$7-0.000000001,F1427&lt;=01_因子設定!$M$7+0.000000001,IF(01_因子設定!$B$20="Box-Behnken",D1427^2+E1427^2+F1427^2&lt;=2+0.000000001,TRUE()))</f>
        <v>1</v>
      </c>
      <c r="W1427" s="55" t="n">
        <f aca="false">IF(V1427,IF(01_因子設定!$B$13="最大化",T1427-01_因子設定!$B$14,IF(01_因子設定!$B$13="最小化",01_因子設定!$B$15-U1427,MIN(T1427-01_因子設定!$B$14,01_因子設定!$B$15-U1427))),-1E+030)</f>
        <v>-2.86667067390711</v>
      </c>
      <c r="X1427" s="55" t="n">
        <f aca="false">IF(V1427,IF(01_因子設定!$B$13="最大化",Q1427,IF(01_因子設定!$B$13="最小化",-Q1427,-ABS(Q1427-01_因子設定!$B$16))),-1E+030)</f>
        <v>46.7025</v>
      </c>
      <c r="Y1427" s="55" t="n">
        <f aca="false">W1427+ROW()*0.000000001</f>
        <v>-2.86666924690711</v>
      </c>
      <c r="Z1427" s="55" t="n">
        <f aca="false">X1427+ROW()*0.000000001</f>
        <v>46.702501427</v>
      </c>
    </row>
    <row r="1428" customFormat="false" ht="15" hidden="false" customHeight="false" outlineLevel="0" collapsed="false">
      <c r="A1428" s="0" t="n">
        <v>4</v>
      </c>
      <c r="B1428" s="0" t="n">
        <v>15</v>
      </c>
      <c r="C1428" s="0" t="n">
        <v>12</v>
      </c>
      <c r="D1428" s="0" t="n">
        <f aca="false">-1+A1428*0.125</f>
        <v>-0.5</v>
      </c>
      <c r="E1428" s="0" t="n">
        <f aca="false">-1+B1428*0.125</f>
        <v>0.875</v>
      </c>
      <c r="F1428" s="0" t="n">
        <f aca="false">-1+C1428*0.125</f>
        <v>0.5</v>
      </c>
      <c r="G1428" s="0" t="n">
        <f aca="false">1</f>
        <v>1</v>
      </c>
      <c r="H1428" s="0" t="n">
        <f aca="false">D1428</f>
        <v>-0.5</v>
      </c>
      <c r="I1428" s="0" t="n">
        <f aca="false">E1428</f>
        <v>0.875</v>
      </c>
      <c r="J1428" s="0" t="n">
        <f aca="false">F1428</f>
        <v>0.5</v>
      </c>
      <c r="K1428" s="0" t="n">
        <f aca="false">D1428*E1428</f>
        <v>-0.4375</v>
      </c>
      <c r="L1428" s="0" t="n">
        <f aca="false">D1428*F1428</f>
        <v>-0.25</v>
      </c>
      <c r="M1428" s="0" t="n">
        <f aca="false">E1428*F1428</f>
        <v>0.4375</v>
      </c>
      <c r="N1428" s="0" t="n">
        <f aca="false">D1428*D1428</f>
        <v>0.25</v>
      </c>
      <c r="O1428" s="0" t="n">
        <f aca="false">E1428*E1428</f>
        <v>0.765625</v>
      </c>
      <c r="P1428" s="0" t="n">
        <f aca="false">F1428*F1428</f>
        <v>0.25</v>
      </c>
      <c r="Q1428" s="0" t="n">
        <f aca="false">SUMPRODUCT(G1428:P1428,_XtX!$B$71:$K$71)</f>
        <v>46.8048295454546</v>
      </c>
      <c r="R1428" s="0" t="n">
        <f aca="false">SUMPRODUCT(MMULT(G1428:P1428,_XtX!$B$58:$K$67),G1428:P1428)</f>
        <v>0.322514204545455</v>
      </c>
      <c r="S1428" s="0" t="n">
        <f aca="false">04_回帰ANOVA!$K$19*04_回帰ANOVA!$K$14*SQRT(1+R1428)</f>
        <v>1.0692193475064</v>
      </c>
      <c r="T1428" s="0" t="n">
        <f aca="false">Q1428-S1428</f>
        <v>45.7356101979482</v>
      </c>
      <c r="U1428" s="0" t="n">
        <f aca="false">Q1428+S1428</f>
        <v>47.874048892961</v>
      </c>
      <c r="V1428" s="54" t="b">
        <f aca="false">AND(D1428&gt;=01_因子設定!$L$5-0.000000001,D1428&lt;=01_因子設定!$M$5+0.000000001,E1428&gt;=01_因子設定!$L$6-0.000000001,E1428&lt;=01_因子設定!$M$6+0.000000001,F1428&gt;=01_因子設定!$L$7-0.000000001,F1428&lt;=01_因子設定!$M$7+0.000000001,IF(01_因子設定!$B$20="Box-Behnken",D1428^2+E1428^2+F1428^2&lt;=2+0.000000001,TRUE()))</f>
        <v>1</v>
      </c>
      <c r="W1428" s="55" t="n">
        <f aca="false">IF(V1428,IF(01_因子設定!$B$13="最大化",T1428-01_因子設定!$B$14,IF(01_因子設定!$B$13="最小化",01_因子設定!$B$15-U1428,MIN(T1428-01_因子設定!$B$14,01_因子設定!$B$15-U1428))),-1E+030)</f>
        <v>-2.76438980205185</v>
      </c>
      <c r="X1428" s="55" t="n">
        <f aca="false">IF(V1428,IF(01_因子設定!$B$13="最大化",Q1428,IF(01_因子設定!$B$13="最小化",-Q1428,-ABS(Q1428-01_因子設定!$B$16))),-1E+030)</f>
        <v>46.8048295454546</v>
      </c>
      <c r="Y1428" s="55" t="n">
        <f aca="false">W1428+ROW()*0.000000001</f>
        <v>-2.76438837405185</v>
      </c>
      <c r="Z1428" s="55" t="n">
        <f aca="false">X1428+ROW()*0.000000001</f>
        <v>46.8048309734546</v>
      </c>
    </row>
    <row r="1429" customFormat="false" ht="15" hidden="false" customHeight="false" outlineLevel="0" collapsed="false">
      <c r="A1429" s="0" t="n">
        <v>4</v>
      </c>
      <c r="B1429" s="0" t="n">
        <v>15</v>
      </c>
      <c r="C1429" s="0" t="n">
        <v>13</v>
      </c>
      <c r="D1429" s="0" t="n">
        <f aca="false">-1+A1429*0.125</f>
        <v>-0.5</v>
      </c>
      <c r="E1429" s="0" t="n">
        <f aca="false">-1+B1429*0.125</f>
        <v>0.875</v>
      </c>
      <c r="F1429" s="0" t="n">
        <f aca="false">-1+C1429*0.125</f>
        <v>0.625</v>
      </c>
      <c r="G1429" s="0" t="n">
        <f aca="false">1</f>
        <v>1</v>
      </c>
      <c r="H1429" s="0" t="n">
        <f aca="false">D1429</f>
        <v>-0.5</v>
      </c>
      <c r="I1429" s="0" t="n">
        <f aca="false">E1429</f>
        <v>0.875</v>
      </c>
      <c r="J1429" s="0" t="n">
        <f aca="false">F1429</f>
        <v>0.625</v>
      </c>
      <c r="K1429" s="0" t="n">
        <f aca="false">D1429*E1429</f>
        <v>-0.4375</v>
      </c>
      <c r="L1429" s="0" t="n">
        <f aca="false">D1429*F1429</f>
        <v>-0.3125</v>
      </c>
      <c r="M1429" s="0" t="n">
        <f aca="false">E1429*F1429</f>
        <v>0.546875</v>
      </c>
      <c r="N1429" s="0" t="n">
        <f aca="false">D1429*D1429</f>
        <v>0.25</v>
      </c>
      <c r="O1429" s="0" t="n">
        <f aca="false">E1429*E1429</f>
        <v>0.765625</v>
      </c>
      <c r="P1429" s="0" t="n">
        <f aca="false">F1429*F1429</f>
        <v>0.390625</v>
      </c>
      <c r="Q1429" s="0" t="n">
        <f aca="false">SUMPRODUCT(G1429:P1429,_XtX!$B$71:$K$71)</f>
        <v>46.8703693181818</v>
      </c>
      <c r="R1429" s="0" t="n">
        <f aca="false">SUMPRODUCT(MMULT(G1429:P1429,_XtX!$B$58:$K$67),G1429:P1429)</f>
        <v>0.335453102805398</v>
      </c>
      <c r="S1429" s="0" t="n">
        <f aca="false">04_回帰ANOVA!$K$19*04_回帰ANOVA!$K$14*SQRT(1+R1429)</f>
        <v>1.07443700305628</v>
      </c>
      <c r="T1429" s="0" t="n">
        <f aca="false">Q1429-S1429</f>
        <v>45.7959323151256</v>
      </c>
      <c r="U1429" s="0" t="n">
        <f aca="false">Q1429+S1429</f>
        <v>47.9448063212381</v>
      </c>
      <c r="V1429" s="54" t="b">
        <f aca="false">AND(D1429&gt;=01_因子設定!$L$5-0.000000001,D1429&lt;=01_因子設定!$M$5+0.000000001,E1429&gt;=01_因子設定!$L$6-0.000000001,E1429&lt;=01_因子設定!$M$6+0.000000001,F1429&gt;=01_因子設定!$L$7-0.000000001,F1429&lt;=01_因子設定!$M$7+0.000000001,IF(01_因子設定!$B$20="Box-Behnken",D1429^2+E1429^2+F1429^2&lt;=2+0.000000001,TRUE()))</f>
        <v>1</v>
      </c>
      <c r="W1429" s="55" t="n">
        <f aca="false">IF(V1429,IF(01_因子設定!$B$13="最大化",T1429-01_因子設定!$B$14,IF(01_因子設定!$B$13="最小化",01_因子設定!$B$15-U1429,MIN(T1429-01_因子設定!$B$14,01_因子設定!$B$15-U1429))),-1E+030)</f>
        <v>-2.70406768487445</v>
      </c>
      <c r="X1429" s="55" t="n">
        <f aca="false">IF(V1429,IF(01_因子設定!$B$13="最大化",Q1429,IF(01_因子設定!$B$13="最小化",-Q1429,-ABS(Q1429-01_因子設定!$B$16))),-1E+030)</f>
        <v>46.8703693181818</v>
      </c>
      <c r="Y1429" s="55" t="n">
        <f aca="false">W1429+ROW()*0.000000001</f>
        <v>-2.70406625587445</v>
      </c>
      <c r="Z1429" s="55" t="n">
        <f aca="false">X1429+ROW()*0.000000001</f>
        <v>46.8703707471818</v>
      </c>
    </row>
    <row r="1430" customFormat="false" ht="15" hidden="false" customHeight="false" outlineLevel="0" collapsed="false">
      <c r="A1430" s="0" t="n">
        <v>4</v>
      </c>
      <c r="B1430" s="0" t="n">
        <v>15</v>
      </c>
      <c r="C1430" s="0" t="n">
        <v>14</v>
      </c>
      <c r="D1430" s="0" t="n">
        <f aca="false">-1+A1430*0.125</f>
        <v>-0.5</v>
      </c>
      <c r="E1430" s="0" t="n">
        <f aca="false">-1+B1430*0.125</f>
        <v>0.875</v>
      </c>
      <c r="F1430" s="0" t="n">
        <f aca="false">-1+C1430*0.125</f>
        <v>0.75</v>
      </c>
      <c r="G1430" s="0" t="n">
        <f aca="false">1</f>
        <v>1</v>
      </c>
      <c r="H1430" s="0" t="n">
        <f aca="false">D1430</f>
        <v>-0.5</v>
      </c>
      <c r="I1430" s="0" t="n">
        <f aca="false">E1430</f>
        <v>0.875</v>
      </c>
      <c r="J1430" s="0" t="n">
        <f aca="false">F1430</f>
        <v>0.75</v>
      </c>
      <c r="K1430" s="0" t="n">
        <f aca="false">D1430*E1430</f>
        <v>-0.4375</v>
      </c>
      <c r="L1430" s="0" t="n">
        <f aca="false">D1430*F1430</f>
        <v>-0.375</v>
      </c>
      <c r="M1430" s="0" t="n">
        <f aca="false">E1430*F1430</f>
        <v>0.65625</v>
      </c>
      <c r="N1430" s="0" t="n">
        <f aca="false">D1430*D1430</f>
        <v>0.25</v>
      </c>
      <c r="O1430" s="0" t="n">
        <f aca="false">E1430*E1430</f>
        <v>0.765625</v>
      </c>
      <c r="P1430" s="0" t="n">
        <f aca="false">F1430*F1430</f>
        <v>0.5625</v>
      </c>
      <c r="Q1430" s="0" t="n">
        <f aca="false">SUMPRODUCT(G1430:P1430,_XtX!$B$71:$K$71)</f>
        <v>46.8991193181818</v>
      </c>
      <c r="R1430" s="0" t="n">
        <f aca="false">SUMPRODUCT(MMULT(G1430:P1430,_XtX!$B$58:$K$67),G1430:P1430)</f>
        <v>0.370798561789773</v>
      </c>
      <c r="S1430" s="0" t="n">
        <f aca="false">04_回帰ANOVA!$K$19*04_回帰ANOVA!$K$14*SQRT(1+R1430)</f>
        <v>1.08856271788237</v>
      </c>
      <c r="T1430" s="0" t="n">
        <f aca="false">Q1430-S1430</f>
        <v>45.8105566002995</v>
      </c>
      <c r="U1430" s="0" t="n">
        <f aca="false">Q1430+S1430</f>
        <v>47.9876820360642</v>
      </c>
      <c r="V1430" s="54" t="b">
        <f aca="false">AND(D1430&gt;=01_因子設定!$L$5-0.000000001,D1430&lt;=01_因子設定!$M$5+0.000000001,E1430&gt;=01_因子設定!$L$6-0.000000001,E1430&lt;=01_因子設定!$M$6+0.000000001,F1430&gt;=01_因子設定!$L$7-0.000000001,F1430&lt;=01_因子設定!$M$7+0.000000001,IF(01_因子設定!$B$20="Box-Behnken",D1430^2+E1430^2+F1430^2&lt;=2+0.000000001,TRUE()))</f>
        <v>1</v>
      </c>
      <c r="W1430" s="55" t="n">
        <f aca="false">IF(V1430,IF(01_因子設定!$B$13="最大化",T1430-01_因子設定!$B$14,IF(01_因子設定!$B$13="最小化",01_因子設定!$B$15-U1430,MIN(T1430-01_因子設定!$B$14,01_因子設定!$B$15-U1430))),-1E+030)</f>
        <v>-2.68944339970054</v>
      </c>
      <c r="X1430" s="55" t="n">
        <f aca="false">IF(V1430,IF(01_因子設定!$B$13="最大化",Q1430,IF(01_因子設定!$B$13="最小化",-Q1430,-ABS(Q1430-01_因子設定!$B$16))),-1E+030)</f>
        <v>46.8991193181818</v>
      </c>
      <c r="Y1430" s="55" t="n">
        <f aca="false">W1430+ROW()*0.000000001</f>
        <v>-2.68944196970054</v>
      </c>
      <c r="Z1430" s="55" t="n">
        <f aca="false">X1430+ROW()*0.000000001</f>
        <v>46.8991207481818</v>
      </c>
    </row>
    <row r="1431" customFormat="false" ht="15" hidden="false" customHeight="false" outlineLevel="0" collapsed="false">
      <c r="A1431" s="0" t="n">
        <v>4</v>
      </c>
      <c r="B1431" s="0" t="n">
        <v>15</v>
      </c>
      <c r="C1431" s="0" t="n">
        <v>15</v>
      </c>
      <c r="D1431" s="0" t="n">
        <f aca="false">-1+A1431*0.125</f>
        <v>-0.5</v>
      </c>
      <c r="E1431" s="0" t="n">
        <f aca="false">-1+B1431*0.125</f>
        <v>0.875</v>
      </c>
      <c r="F1431" s="0" t="n">
        <f aca="false">-1+C1431*0.125</f>
        <v>0.875</v>
      </c>
      <c r="G1431" s="0" t="n">
        <f aca="false">1</f>
        <v>1</v>
      </c>
      <c r="H1431" s="0" t="n">
        <f aca="false">D1431</f>
        <v>-0.5</v>
      </c>
      <c r="I1431" s="0" t="n">
        <f aca="false">E1431</f>
        <v>0.875</v>
      </c>
      <c r="J1431" s="0" t="n">
        <f aca="false">F1431</f>
        <v>0.875</v>
      </c>
      <c r="K1431" s="0" t="n">
        <f aca="false">D1431*E1431</f>
        <v>-0.4375</v>
      </c>
      <c r="L1431" s="0" t="n">
        <f aca="false">D1431*F1431</f>
        <v>-0.4375</v>
      </c>
      <c r="M1431" s="0" t="n">
        <f aca="false">E1431*F1431</f>
        <v>0.765625</v>
      </c>
      <c r="N1431" s="0" t="n">
        <f aca="false">D1431*D1431</f>
        <v>0.25</v>
      </c>
      <c r="O1431" s="0" t="n">
        <f aca="false">E1431*E1431</f>
        <v>0.765625</v>
      </c>
      <c r="P1431" s="0" t="n">
        <f aca="false">F1431*F1431</f>
        <v>0.765625</v>
      </c>
      <c r="Q1431" s="0" t="n">
        <f aca="false">SUMPRODUCT(G1431:P1431,_XtX!$B$71:$K$71)</f>
        <v>46.8910795454546</v>
      </c>
      <c r="R1431" s="0" t="n">
        <f aca="false">SUMPRODUCT(MMULT(G1431:P1431,_XtX!$B$58:$K$67),G1431:P1431)</f>
        <v>0.44026933149858</v>
      </c>
      <c r="S1431" s="0" t="n">
        <f aca="false">04_回帰ANOVA!$K$19*04_回帰ANOVA!$K$14*SQRT(1+R1431)</f>
        <v>1.11580548667718</v>
      </c>
      <c r="T1431" s="0" t="n">
        <f aca="false">Q1431-S1431</f>
        <v>45.7752740587774</v>
      </c>
      <c r="U1431" s="0" t="n">
        <f aca="false">Q1431+S1431</f>
        <v>48.0068850321318</v>
      </c>
      <c r="V1431" s="54" t="b">
        <f aca="false">AND(D1431&gt;=01_因子設定!$L$5-0.000000001,D1431&lt;=01_因子設定!$M$5+0.000000001,E1431&gt;=01_因子設定!$L$6-0.000000001,E1431&lt;=01_因子設定!$M$6+0.000000001,F1431&gt;=01_因子設定!$L$7-0.000000001,F1431&lt;=01_因子設定!$M$7+0.000000001,IF(01_因子設定!$B$20="Box-Behnken",D1431^2+E1431^2+F1431^2&lt;=2+0.000000001,TRUE()))</f>
        <v>1</v>
      </c>
      <c r="W1431" s="55" t="n">
        <f aca="false">IF(V1431,IF(01_因子設定!$B$13="最大化",T1431-01_因子設定!$B$14,IF(01_因子設定!$B$13="最小化",01_因子設定!$B$15-U1431,MIN(T1431-01_因子設定!$B$14,01_因子設定!$B$15-U1431))),-1E+030)</f>
        <v>-2.72472594122262</v>
      </c>
      <c r="X1431" s="55" t="n">
        <f aca="false">IF(V1431,IF(01_因子設定!$B$13="最大化",Q1431,IF(01_因子設定!$B$13="最小化",-Q1431,-ABS(Q1431-01_因子設定!$B$16))),-1E+030)</f>
        <v>46.8910795454546</v>
      </c>
      <c r="Y1431" s="55" t="n">
        <f aca="false">W1431+ROW()*0.000000001</f>
        <v>-2.72472451022262</v>
      </c>
      <c r="Z1431" s="55" t="n">
        <f aca="false">X1431+ROW()*0.000000001</f>
        <v>46.8910809764546</v>
      </c>
    </row>
    <row r="1432" customFormat="false" ht="15" hidden="false" customHeight="false" outlineLevel="0" collapsed="false">
      <c r="A1432" s="0" t="n">
        <v>4</v>
      </c>
      <c r="B1432" s="0" t="n">
        <v>15</v>
      </c>
      <c r="C1432" s="0" t="n">
        <v>16</v>
      </c>
      <c r="D1432" s="0" t="n">
        <f aca="false">-1+A1432*0.125</f>
        <v>-0.5</v>
      </c>
      <c r="E1432" s="0" t="n">
        <f aca="false">-1+B1432*0.125</f>
        <v>0.875</v>
      </c>
      <c r="F1432" s="0" t="n">
        <f aca="false">-1+C1432*0.125</f>
        <v>1</v>
      </c>
      <c r="G1432" s="0" t="n">
        <f aca="false">1</f>
        <v>1</v>
      </c>
      <c r="H1432" s="0" t="n">
        <f aca="false">D1432</f>
        <v>-0.5</v>
      </c>
      <c r="I1432" s="0" t="n">
        <f aca="false">E1432</f>
        <v>0.875</v>
      </c>
      <c r="J1432" s="0" t="n">
        <f aca="false">F1432</f>
        <v>1</v>
      </c>
      <c r="K1432" s="0" t="n">
        <f aca="false">D1432*E1432</f>
        <v>-0.4375</v>
      </c>
      <c r="L1432" s="0" t="n">
        <f aca="false">D1432*F1432</f>
        <v>-0.5</v>
      </c>
      <c r="M1432" s="0" t="n">
        <f aca="false">E1432*F1432</f>
        <v>0.875</v>
      </c>
      <c r="N1432" s="0" t="n">
        <f aca="false">D1432*D1432</f>
        <v>0.25</v>
      </c>
      <c r="O1432" s="0" t="n">
        <f aca="false">E1432*E1432</f>
        <v>0.765625</v>
      </c>
      <c r="P1432" s="0" t="n">
        <f aca="false">F1432*F1432</f>
        <v>1</v>
      </c>
      <c r="Q1432" s="0" t="n">
        <f aca="false">SUMPRODUCT(G1432:P1432,_XtX!$B$71:$K$71)</f>
        <v>46.84625</v>
      </c>
      <c r="R1432" s="0" t="n">
        <f aca="false">SUMPRODUCT(MMULT(G1432:P1432,_XtX!$B$58:$K$67),G1432:P1432)</f>
        <v>0.55771484375</v>
      </c>
      <c r="S1432" s="0" t="n">
        <f aca="false">04_回帰ANOVA!$K$19*04_回帰ANOVA!$K$14*SQRT(1+R1432)</f>
        <v>1.16040773556467</v>
      </c>
      <c r="T1432" s="0" t="n">
        <f aca="false">Q1432-S1432</f>
        <v>45.6858422644354</v>
      </c>
      <c r="U1432" s="0" t="n">
        <f aca="false">Q1432+S1432</f>
        <v>48.0066577355647</v>
      </c>
      <c r="V1432" s="54" t="b">
        <f aca="false">AND(D1432&gt;=01_因子設定!$L$5-0.000000001,D1432&lt;=01_因子設定!$M$5+0.000000001,E1432&gt;=01_因子設定!$L$6-0.000000001,E1432&lt;=01_因子設定!$M$6+0.000000001,F1432&gt;=01_因子設定!$L$7-0.000000001,F1432&lt;=01_因子設定!$M$7+0.000000001,IF(01_因子設定!$B$20="Box-Behnken",D1432^2+E1432^2+F1432^2&lt;=2+0.000000001,TRUE()))</f>
        <v>1</v>
      </c>
      <c r="W1432" s="55" t="n">
        <f aca="false">IF(V1432,IF(01_因子設定!$B$13="最大化",T1432-01_因子設定!$B$14,IF(01_因子設定!$B$13="最小化",01_因子設定!$B$15-U1432,MIN(T1432-01_因子設定!$B$14,01_因子設定!$B$15-U1432))),-1E+030)</f>
        <v>-2.81415773556465</v>
      </c>
      <c r="X1432" s="55" t="n">
        <f aca="false">IF(V1432,IF(01_因子設定!$B$13="最大化",Q1432,IF(01_因子設定!$B$13="最小化",-Q1432,-ABS(Q1432-01_因子設定!$B$16))),-1E+030)</f>
        <v>46.84625</v>
      </c>
      <c r="Y1432" s="55" t="n">
        <f aca="false">W1432+ROW()*0.000000001</f>
        <v>-2.81415630356465</v>
      </c>
      <c r="Z1432" s="55" t="n">
        <f aca="false">X1432+ROW()*0.000000001</f>
        <v>46.846251432</v>
      </c>
    </row>
    <row r="1433" customFormat="false" ht="15" hidden="false" customHeight="false" outlineLevel="0" collapsed="false">
      <c r="A1433" s="0" t="n">
        <v>4</v>
      </c>
      <c r="B1433" s="0" t="n">
        <v>16</v>
      </c>
      <c r="C1433" s="0" t="n">
        <v>0</v>
      </c>
      <c r="D1433" s="0" t="n">
        <f aca="false">-1+A1433*0.125</f>
        <v>-0.5</v>
      </c>
      <c r="E1433" s="0" t="n">
        <f aca="false">-1+B1433*0.125</f>
        <v>1</v>
      </c>
      <c r="F1433" s="0" t="n">
        <f aca="false">-1+C1433*0.125</f>
        <v>-1</v>
      </c>
      <c r="G1433" s="0" t="n">
        <f aca="false">1</f>
        <v>1</v>
      </c>
      <c r="H1433" s="0" t="n">
        <f aca="false">D1433</f>
        <v>-0.5</v>
      </c>
      <c r="I1433" s="0" t="n">
        <f aca="false">E1433</f>
        <v>1</v>
      </c>
      <c r="J1433" s="0" t="n">
        <f aca="false">F1433</f>
        <v>-1</v>
      </c>
      <c r="K1433" s="0" t="n">
        <f aca="false">D1433*E1433</f>
        <v>-0.5</v>
      </c>
      <c r="L1433" s="0" t="n">
        <f aca="false">D1433*F1433</f>
        <v>0.5</v>
      </c>
      <c r="M1433" s="0" t="n">
        <f aca="false">E1433*F1433</f>
        <v>-1</v>
      </c>
      <c r="N1433" s="0" t="n">
        <f aca="false">D1433*D1433</f>
        <v>0.25</v>
      </c>
      <c r="O1433" s="0" t="n">
        <f aca="false">E1433*E1433</f>
        <v>1</v>
      </c>
      <c r="P1433" s="0" t="n">
        <f aca="false">F1433*F1433</f>
        <v>1</v>
      </c>
      <c r="Q1433" s="0" t="n">
        <f aca="false">SUMPRODUCT(G1433:P1433,_XtX!$B$71:$K$71)</f>
        <v>42.7995454545455</v>
      </c>
      <c r="R1433" s="0" t="n">
        <f aca="false">SUMPRODUCT(MMULT(G1433:P1433,_XtX!$B$58:$K$67),G1433:P1433)</f>
        <v>0.667045454545455</v>
      </c>
      <c r="S1433" s="0" t="n">
        <f aca="false">04_回帰ANOVA!$K$19*04_回帰ANOVA!$K$14*SQRT(1+R1433)</f>
        <v>1.200439720088</v>
      </c>
      <c r="T1433" s="0" t="n">
        <f aca="false">Q1433-S1433</f>
        <v>41.5991057344575</v>
      </c>
      <c r="U1433" s="0" t="n">
        <f aca="false">Q1433+S1433</f>
        <v>43.9999851746335</v>
      </c>
      <c r="V1433" s="54" t="b">
        <f aca="false">AND(D1433&gt;=01_因子設定!$L$5-0.000000001,D1433&lt;=01_因子設定!$M$5+0.000000001,E1433&gt;=01_因子設定!$L$6-0.000000001,E1433&lt;=01_因子設定!$M$6+0.000000001,F1433&gt;=01_因子設定!$L$7-0.000000001,F1433&lt;=01_因子設定!$M$7+0.000000001,IF(01_因子設定!$B$20="Box-Behnken",D1433^2+E1433^2+F1433^2&lt;=2+0.000000001,TRUE()))</f>
        <v>1</v>
      </c>
      <c r="W1433" s="55" t="n">
        <f aca="false">IF(V1433,IF(01_因子設定!$B$13="最大化",T1433-01_因子設定!$B$14,IF(01_因子設定!$B$13="最小化",01_因子設定!$B$15-U1433,MIN(T1433-01_因子設定!$B$14,01_因子設定!$B$15-U1433))),-1E+030)</f>
        <v>-6.90089426554252</v>
      </c>
      <c r="X1433" s="55" t="n">
        <f aca="false">IF(V1433,IF(01_因子設定!$B$13="最大化",Q1433,IF(01_因子設定!$B$13="最小化",-Q1433,-ABS(Q1433-01_因子設定!$B$16))),-1E+030)</f>
        <v>42.7995454545455</v>
      </c>
      <c r="Y1433" s="55" t="n">
        <f aca="false">W1433+ROW()*0.000000001</f>
        <v>-6.90089283254252</v>
      </c>
      <c r="Z1433" s="55" t="n">
        <f aca="false">X1433+ROW()*0.000000001</f>
        <v>42.7995468875455</v>
      </c>
    </row>
    <row r="1434" customFormat="false" ht="15" hidden="false" customHeight="false" outlineLevel="0" collapsed="false">
      <c r="A1434" s="0" t="n">
        <v>4</v>
      </c>
      <c r="B1434" s="0" t="n">
        <v>16</v>
      </c>
      <c r="C1434" s="0" t="n">
        <v>1</v>
      </c>
      <c r="D1434" s="0" t="n">
        <f aca="false">-1+A1434*0.125</f>
        <v>-0.5</v>
      </c>
      <c r="E1434" s="0" t="n">
        <f aca="false">-1+B1434*0.125</f>
        <v>1</v>
      </c>
      <c r="F1434" s="0" t="n">
        <f aca="false">-1+C1434*0.125</f>
        <v>-0.875</v>
      </c>
      <c r="G1434" s="0" t="n">
        <f aca="false">1</f>
        <v>1</v>
      </c>
      <c r="H1434" s="0" t="n">
        <f aca="false">D1434</f>
        <v>-0.5</v>
      </c>
      <c r="I1434" s="0" t="n">
        <f aca="false">E1434</f>
        <v>1</v>
      </c>
      <c r="J1434" s="0" t="n">
        <f aca="false">F1434</f>
        <v>-0.875</v>
      </c>
      <c r="K1434" s="0" t="n">
        <f aca="false">D1434*E1434</f>
        <v>-0.5</v>
      </c>
      <c r="L1434" s="0" t="n">
        <f aca="false">D1434*F1434</f>
        <v>0.4375</v>
      </c>
      <c r="M1434" s="0" t="n">
        <f aca="false">E1434*F1434</f>
        <v>-0.875</v>
      </c>
      <c r="N1434" s="0" t="n">
        <f aca="false">D1434*D1434</f>
        <v>0.25</v>
      </c>
      <c r="O1434" s="0" t="n">
        <f aca="false">E1434*E1434</f>
        <v>1</v>
      </c>
      <c r="P1434" s="0" t="n">
        <f aca="false">F1434*F1434</f>
        <v>0.765625</v>
      </c>
      <c r="Q1434" s="0" t="n">
        <f aca="false">SUMPRODUCT(G1434:P1434,_XtX!$B$71:$K$71)</f>
        <v>43.31359375</v>
      </c>
      <c r="R1434" s="0" t="n">
        <f aca="false">SUMPRODUCT(MMULT(G1434:P1434,_XtX!$B$58:$K$67),G1434:P1434)</f>
        <v>0.55771484375</v>
      </c>
      <c r="S1434" s="0" t="n">
        <f aca="false">04_回帰ANOVA!$K$19*04_回帰ANOVA!$K$14*SQRT(1+R1434)</f>
        <v>1.16040773556467</v>
      </c>
      <c r="T1434" s="0" t="n">
        <f aca="false">Q1434-S1434</f>
        <v>42.1531860144354</v>
      </c>
      <c r="U1434" s="0" t="n">
        <f aca="false">Q1434+S1434</f>
        <v>44.4740014855647</v>
      </c>
      <c r="V1434" s="54" t="b">
        <f aca="false">AND(D1434&gt;=01_因子設定!$L$5-0.000000001,D1434&lt;=01_因子設定!$M$5+0.000000001,E1434&gt;=01_因子設定!$L$6-0.000000001,E1434&lt;=01_因子設定!$M$6+0.000000001,F1434&gt;=01_因子設定!$L$7-0.000000001,F1434&lt;=01_因子設定!$M$7+0.000000001,IF(01_因子設定!$B$20="Box-Behnken",D1434^2+E1434^2+F1434^2&lt;=2+0.000000001,TRUE()))</f>
        <v>1</v>
      </c>
      <c r="W1434" s="55" t="n">
        <f aca="false">IF(V1434,IF(01_因子設定!$B$13="最大化",T1434-01_因子設定!$B$14,IF(01_因子設定!$B$13="最小化",01_因子設定!$B$15-U1434,MIN(T1434-01_因子設定!$B$14,01_因子設定!$B$15-U1434))),-1E+030)</f>
        <v>-6.34681398556465</v>
      </c>
      <c r="X1434" s="55" t="n">
        <f aca="false">IF(V1434,IF(01_因子設定!$B$13="最大化",Q1434,IF(01_因子設定!$B$13="最小化",-Q1434,-ABS(Q1434-01_因子設定!$B$16))),-1E+030)</f>
        <v>43.31359375</v>
      </c>
      <c r="Y1434" s="55" t="n">
        <f aca="false">W1434+ROW()*0.000000001</f>
        <v>-6.34681255156465</v>
      </c>
      <c r="Z1434" s="55" t="n">
        <f aca="false">X1434+ROW()*0.000000001</f>
        <v>43.313595184</v>
      </c>
    </row>
    <row r="1435" customFormat="false" ht="15" hidden="false" customHeight="false" outlineLevel="0" collapsed="false">
      <c r="A1435" s="0" t="n">
        <v>4</v>
      </c>
      <c r="B1435" s="0" t="n">
        <v>16</v>
      </c>
      <c r="C1435" s="0" t="n">
        <v>2</v>
      </c>
      <c r="D1435" s="0" t="n">
        <f aca="false">-1+A1435*0.125</f>
        <v>-0.5</v>
      </c>
      <c r="E1435" s="0" t="n">
        <f aca="false">-1+B1435*0.125</f>
        <v>1</v>
      </c>
      <c r="F1435" s="0" t="n">
        <f aca="false">-1+C1435*0.125</f>
        <v>-0.75</v>
      </c>
      <c r="G1435" s="0" t="n">
        <f aca="false">1</f>
        <v>1</v>
      </c>
      <c r="H1435" s="0" t="n">
        <f aca="false">D1435</f>
        <v>-0.5</v>
      </c>
      <c r="I1435" s="0" t="n">
        <f aca="false">E1435</f>
        <v>1</v>
      </c>
      <c r="J1435" s="0" t="n">
        <f aca="false">F1435</f>
        <v>-0.75</v>
      </c>
      <c r="K1435" s="0" t="n">
        <f aca="false">D1435*E1435</f>
        <v>-0.5</v>
      </c>
      <c r="L1435" s="0" t="n">
        <f aca="false">D1435*F1435</f>
        <v>0.375</v>
      </c>
      <c r="M1435" s="0" t="n">
        <f aca="false">E1435*F1435</f>
        <v>-0.75</v>
      </c>
      <c r="N1435" s="0" t="n">
        <f aca="false">D1435*D1435</f>
        <v>0.25</v>
      </c>
      <c r="O1435" s="0" t="n">
        <f aca="false">E1435*E1435</f>
        <v>1</v>
      </c>
      <c r="P1435" s="0" t="n">
        <f aca="false">F1435*F1435</f>
        <v>0.5625</v>
      </c>
      <c r="Q1435" s="0" t="n">
        <f aca="false">SUMPRODUCT(G1435:P1435,_XtX!$B$71:$K$71)</f>
        <v>43.7908522727273</v>
      </c>
      <c r="R1435" s="0" t="n">
        <f aca="false">SUMPRODUCT(MMULT(G1435:P1435,_XtX!$B$58:$K$67),G1435:P1435)</f>
        <v>0.495276988636364</v>
      </c>
      <c r="S1435" s="0" t="n">
        <f aca="false">04_回帰ANOVA!$K$19*04_回帰ANOVA!$K$14*SQRT(1+R1435)</f>
        <v>1.13691359828352</v>
      </c>
      <c r="T1435" s="0" t="n">
        <f aca="false">Q1435-S1435</f>
        <v>42.6539386744438</v>
      </c>
      <c r="U1435" s="0" t="n">
        <f aca="false">Q1435+S1435</f>
        <v>44.9277658710108</v>
      </c>
      <c r="V1435" s="54" t="b">
        <f aca="false">AND(D1435&gt;=01_因子設定!$L$5-0.000000001,D1435&lt;=01_因子設定!$M$5+0.000000001,E1435&gt;=01_因子設定!$L$6-0.000000001,E1435&lt;=01_因子設定!$M$6+0.000000001,F1435&gt;=01_因子設定!$L$7-0.000000001,F1435&lt;=01_因子設定!$M$7+0.000000001,IF(01_因子設定!$B$20="Box-Behnken",D1435^2+E1435^2+F1435^2&lt;=2+0.000000001,TRUE()))</f>
        <v>1</v>
      </c>
      <c r="W1435" s="55" t="n">
        <f aca="false">IF(V1435,IF(01_因子設定!$B$13="最大化",T1435-01_因子設定!$B$14,IF(01_因子設定!$B$13="最小化",01_因子設定!$B$15-U1435,MIN(T1435-01_因子設定!$B$14,01_因子設定!$B$15-U1435))),-1E+030)</f>
        <v>-5.84606132555623</v>
      </c>
      <c r="X1435" s="55" t="n">
        <f aca="false">IF(V1435,IF(01_因子設定!$B$13="最大化",Q1435,IF(01_因子設定!$B$13="最小化",-Q1435,-ABS(Q1435-01_因子設定!$B$16))),-1E+030)</f>
        <v>43.7908522727273</v>
      </c>
      <c r="Y1435" s="55" t="n">
        <f aca="false">W1435+ROW()*0.000000001</f>
        <v>-5.84605989055623</v>
      </c>
      <c r="Z1435" s="55" t="n">
        <f aca="false">X1435+ROW()*0.000000001</f>
        <v>43.7908537077273</v>
      </c>
    </row>
    <row r="1436" customFormat="false" ht="15" hidden="false" customHeight="false" outlineLevel="0" collapsed="false">
      <c r="A1436" s="0" t="n">
        <v>4</v>
      </c>
      <c r="B1436" s="0" t="n">
        <v>16</v>
      </c>
      <c r="C1436" s="0" t="n">
        <v>3</v>
      </c>
      <c r="D1436" s="0" t="n">
        <f aca="false">-1+A1436*0.125</f>
        <v>-0.5</v>
      </c>
      <c r="E1436" s="0" t="n">
        <f aca="false">-1+B1436*0.125</f>
        <v>1</v>
      </c>
      <c r="F1436" s="0" t="n">
        <f aca="false">-1+C1436*0.125</f>
        <v>-0.625</v>
      </c>
      <c r="G1436" s="0" t="n">
        <f aca="false">1</f>
        <v>1</v>
      </c>
      <c r="H1436" s="0" t="n">
        <f aca="false">D1436</f>
        <v>-0.5</v>
      </c>
      <c r="I1436" s="0" t="n">
        <f aca="false">E1436</f>
        <v>1</v>
      </c>
      <c r="J1436" s="0" t="n">
        <f aca="false">F1436</f>
        <v>-0.625</v>
      </c>
      <c r="K1436" s="0" t="n">
        <f aca="false">D1436*E1436</f>
        <v>-0.5</v>
      </c>
      <c r="L1436" s="0" t="n">
        <f aca="false">D1436*F1436</f>
        <v>0.3125</v>
      </c>
      <c r="M1436" s="0" t="n">
        <f aca="false">E1436*F1436</f>
        <v>-0.625</v>
      </c>
      <c r="N1436" s="0" t="n">
        <f aca="false">D1436*D1436</f>
        <v>0.25</v>
      </c>
      <c r="O1436" s="0" t="n">
        <f aca="false">E1436*E1436</f>
        <v>1</v>
      </c>
      <c r="P1436" s="0" t="n">
        <f aca="false">F1436*F1436</f>
        <v>0.390625</v>
      </c>
      <c r="Q1436" s="0" t="n">
        <f aca="false">SUMPRODUCT(G1436:P1436,_XtX!$B$71:$K$71)</f>
        <v>44.2313210227273</v>
      </c>
      <c r="R1436" s="0" t="n">
        <f aca="false">SUMPRODUCT(MMULT(G1436:P1436,_XtX!$B$58:$K$67),G1436:P1436)</f>
        <v>0.465882457386364</v>
      </c>
      <c r="S1436" s="0" t="n">
        <f aca="false">04_回帰ANOVA!$K$19*04_回帰ANOVA!$K$14*SQRT(1+R1436)</f>
        <v>1.12568326538173</v>
      </c>
      <c r="T1436" s="0" t="n">
        <f aca="false">Q1436-S1436</f>
        <v>43.1056377573456</v>
      </c>
      <c r="U1436" s="0" t="n">
        <f aca="false">Q1436+S1436</f>
        <v>45.357004288109</v>
      </c>
      <c r="V1436" s="54" t="b">
        <f aca="false">AND(D1436&gt;=01_因子設定!$L$5-0.000000001,D1436&lt;=01_因子設定!$M$5+0.000000001,E1436&gt;=01_因子設定!$L$6-0.000000001,E1436&lt;=01_因子設定!$M$6+0.000000001,F1436&gt;=01_因子設定!$L$7-0.000000001,F1436&lt;=01_因子設定!$M$7+0.000000001,IF(01_因子設定!$B$20="Box-Behnken",D1436^2+E1436^2+F1436^2&lt;=2+0.000000001,TRUE()))</f>
        <v>1</v>
      </c>
      <c r="W1436" s="55" t="n">
        <f aca="false">IF(V1436,IF(01_因子設定!$B$13="最大化",T1436-01_因子設定!$B$14,IF(01_因子設定!$B$13="最小化",01_因子設定!$B$15-U1436,MIN(T1436-01_因子設定!$B$14,01_因子設定!$B$15-U1436))),-1E+030)</f>
        <v>-5.39436224265444</v>
      </c>
      <c r="X1436" s="55" t="n">
        <f aca="false">IF(V1436,IF(01_因子設定!$B$13="最大化",Q1436,IF(01_因子設定!$B$13="最小化",-Q1436,-ABS(Q1436-01_因子設定!$B$16))),-1E+030)</f>
        <v>44.2313210227273</v>
      </c>
      <c r="Y1436" s="55" t="n">
        <f aca="false">W1436+ROW()*0.000000001</f>
        <v>-5.39436080665444</v>
      </c>
      <c r="Z1436" s="55" t="n">
        <f aca="false">X1436+ROW()*0.000000001</f>
        <v>44.2313224587273</v>
      </c>
    </row>
    <row r="1437" customFormat="false" ht="15" hidden="false" customHeight="false" outlineLevel="0" collapsed="false">
      <c r="A1437" s="0" t="n">
        <v>4</v>
      </c>
      <c r="B1437" s="0" t="n">
        <v>16</v>
      </c>
      <c r="C1437" s="0" t="n">
        <v>4</v>
      </c>
      <c r="D1437" s="0" t="n">
        <f aca="false">-1+A1437*0.125</f>
        <v>-0.5</v>
      </c>
      <c r="E1437" s="0" t="n">
        <f aca="false">-1+B1437*0.125</f>
        <v>1</v>
      </c>
      <c r="F1437" s="0" t="n">
        <f aca="false">-1+C1437*0.125</f>
        <v>-0.5</v>
      </c>
      <c r="G1437" s="0" t="n">
        <f aca="false">1</f>
        <v>1</v>
      </c>
      <c r="H1437" s="0" t="n">
        <f aca="false">D1437</f>
        <v>-0.5</v>
      </c>
      <c r="I1437" s="0" t="n">
        <f aca="false">E1437</f>
        <v>1</v>
      </c>
      <c r="J1437" s="0" t="n">
        <f aca="false">F1437</f>
        <v>-0.5</v>
      </c>
      <c r="K1437" s="0" t="n">
        <f aca="false">D1437*E1437</f>
        <v>-0.5</v>
      </c>
      <c r="L1437" s="0" t="n">
        <f aca="false">D1437*F1437</f>
        <v>0.25</v>
      </c>
      <c r="M1437" s="0" t="n">
        <f aca="false">E1437*F1437</f>
        <v>-0.5</v>
      </c>
      <c r="N1437" s="0" t="n">
        <f aca="false">D1437*D1437</f>
        <v>0.25</v>
      </c>
      <c r="O1437" s="0" t="n">
        <f aca="false">E1437*E1437</f>
        <v>1</v>
      </c>
      <c r="P1437" s="0" t="n">
        <f aca="false">F1437*F1437</f>
        <v>0.25</v>
      </c>
      <c r="Q1437" s="0" t="n">
        <f aca="false">SUMPRODUCT(G1437:P1437,_XtX!$B$71:$K$71)</f>
        <v>44.635</v>
      </c>
      <c r="R1437" s="0" t="n">
        <f aca="false">SUMPRODUCT(MMULT(G1437:P1437,_XtX!$B$58:$K$67),G1437:P1437)</f>
        <v>0.4578125</v>
      </c>
      <c r="S1437" s="0" t="n">
        <f aca="false">04_回帰ANOVA!$K$19*04_回帰ANOVA!$K$14*SQRT(1+R1437)</f>
        <v>1.12258044051089</v>
      </c>
      <c r="T1437" s="0" t="n">
        <f aca="false">Q1437-S1437</f>
        <v>43.5124195594891</v>
      </c>
      <c r="U1437" s="0" t="n">
        <f aca="false">Q1437+S1437</f>
        <v>45.7575804405109</v>
      </c>
      <c r="V1437" s="54" t="b">
        <f aca="false">AND(D1437&gt;=01_因子設定!$L$5-0.000000001,D1437&lt;=01_因子設定!$M$5+0.000000001,E1437&gt;=01_因子設定!$L$6-0.000000001,E1437&lt;=01_因子設定!$M$6+0.000000001,F1437&gt;=01_因子設定!$L$7-0.000000001,F1437&lt;=01_因子設定!$M$7+0.000000001,IF(01_因子設定!$B$20="Box-Behnken",D1437^2+E1437^2+F1437^2&lt;=2+0.000000001,TRUE()))</f>
        <v>1</v>
      </c>
      <c r="W1437" s="55" t="n">
        <f aca="false">IF(V1437,IF(01_因子設定!$B$13="最大化",T1437-01_因子設定!$B$14,IF(01_因子設定!$B$13="最小化",01_因子設定!$B$15-U1437,MIN(T1437-01_因子設定!$B$14,01_因子設定!$B$15-U1437))),-1E+030)</f>
        <v>-4.98758044051088</v>
      </c>
      <c r="X1437" s="55" t="n">
        <f aca="false">IF(V1437,IF(01_因子設定!$B$13="最大化",Q1437,IF(01_因子設定!$B$13="最小化",-Q1437,-ABS(Q1437-01_因子設定!$B$16))),-1E+030)</f>
        <v>44.635</v>
      </c>
      <c r="Y1437" s="55" t="n">
        <f aca="false">W1437+ROW()*0.000000001</f>
        <v>-4.98757900351088</v>
      </c>
      <c r="Z1437" s="55" t="n">
        <f aca="false">X1437+ROW()*0.000000001</f>
        <v>44.635001437</v>
      </c>
    </row>
    <row r="1438" customFormat="false" ht="15" hidden="false" customHeight="false" outlineLevel="0" collapsed="false">
      <c r="A1438" s="0" t="n">
        <v>4</v>
      </c>
      <c r="B1438" s="0" t="n">
        <v>16</v>
      </c>
      <c r="C1438" s="0" t="n">
        <v>5</v>
      </c>
      <c r="D1438" s="0" t="n">
        <f aca="false">-1+A1438*0.125</f>
        <v>-0.5</v>
      </c>
      <c r="E1438" s="0" t="n">
        <f aca="false">-1+B1438*0.125</f>
        <v>1</v>
      </c>
      <c r="F1438" s="0" t="n">
        <f aca="false">-1+C1438*0.125</f>
        <v>-0.375</v>
      </c>
      <c r="G1438" s="0" t="n">
        <f aca="false">1</f>
        <v>1</v>
      </c>
      <c r="H1438" s="0" t="n">
        <f aca="false">D1438</f>
        <v>-0.5</v>
      </c>
      <c r="I1438" s="0" t="n">
        <f aca="false">E1438</f>
        <v>1</v>
      </c>
      <c r="J1438" s="0" t="n">
        <f aca="false">F1438</f>
        <v>-0.375</v>
      </c>
      <c r="K1438" s="0" t="n">
        <f aca="false">D1438*E1438</f>
        <v>-0.5</v>
      </c>
      <c r="L1438" s="0" t="n">
        <f aca="false">D1438*F1438</f>
        <v>0.1875</v>
      </c>
      <c r="M1438" s="0" t="n">
        <f aca="false">E1438*F1438</f>
        <v>-0.375</v>
      </c>
      <c r="N1438" s="0" t="n">
        <f aca="false">D1438*D1438</f>
        <v>0.25</v>
      </c>
      <c r="O1438" s="0" t="n">
        <f aca="false">E1438*E1438</f>
        <v>1</v>
      </c>
      <c r="P1438" s="0" t="n">
        <f aca="false">F1438*F1438</f>
        <v>0.140625</v>
      </c>
      <c r="Q1438" s="0" t="n">
        <f aca="false">SUMPRODUCT(G1438:P1438,_XtX!$B$71:$K$71)</f>
        <v>45.0018892045455</v>
      </c>
      <c r="R1438" s="0" t="n">
        <f aca="false">SUMPRODUCT(MMULT(G1438:P1438,_XtX!$B$58:$K$67),G1438:P1438)</f>
        <v>0.461479048295455</v>
      </c>
      <c r="S1438" s="0" t="n">
        <f aca="false">04_回帰ANOVA!$K$19*04_回帰ANOVA!$K$14*SQRT(1+R1438)</f>
        <v>1.12399125658369</v>
      </c>
      <c r="T1438" s="0" t="n">
        <f aca="false">Q1438-S1438</f>
        <v>43.8778979479618</v>
      </c>
      <c r="U1438" s="0" t="n">
        <f aca="false">Q1438+S1438</f>
        <v>46.1258804611292</v>
      </c>
      <c r="V1438" s="54" t="b">
        <f aca="false">AND(D1438&gt;=01_因子設定!$L$5-0.000000001,D1438&lt;=01_因子設定!$M$5+0.000000001,E1438&gt;=01_因子設定!$L$6-0.000000001,E1438&lt;=01_因子設定!$M$6+0.000000001,F1438&gt;=01_因子設定!$L$7-0.000000001,F1438&lt;=01_因子設定!$M$7+0.000000001,IF(01_因子設定!$B$20="Box-Behnken",D1438^2+E1438^2+F1438^2&lt;=2+0.000000001,TRUE()))</f>
        <v>1</v>
      </c>
      <c r="W1438" s="55" t="n">
        <f aca="false">IF(V1438,IF(01_因子設定!$B$13="最大化",T1438-01_因子設定!$B$14,IF(01_因子設定!$B$13="最小化",01_因子設定!$B$15-U1438,MIN(T1438-01_因子設定!$B$14,01_因子設定!$B$15-U1438))),-1E+030)</f>
        <v>-4.62210205203822</v>
      </c>
      <c r="X1438" s="55" t="n">
        <f aca="false">IF(V1438,IF(01_因子設定!$B$13="最大化",Q1438,IF(01_因子設定!$B$13="最小化",-Q1438,-ABS(Q1438-01_因子設定!$B$16))),-1E+030)</f>
        <v>45.0018892045455</v>
      </c>
      <c r="Y1438" s="55" t="n">
        <f aca="false">W1438+ROW()*0.000000001</f>
        <v>-4.62210061403822</v>
      </c>
      <c r="Z1438" s="55" t="n">
        <f aca="false">X1438+ROW()*0.000000001</f>
        <v>45.0018906425455</v>
      </c>
    </row>
    <row r="1439" customFormat="false" ht="15" hidden="false" customHeight="false" outlineLevel="0" collapsed="false">
      <c r="A1439" s="0" t="n">
        <v>4</v>
      </c>
      <c r="B1439" s="0" t="n">
        <v>16</v>
      </c>
      <c r="C1439" s="0" t="n">
        <v>6</v>
      </c>
      <c r="D1439" s="0" t="n">
        <f aca="false">-1+A1439*0.125</f>
        <v>-0.5</v>
      </c>
      <c r="E1439" s="0" t="n">
        <f aca="false">-1+B1439*0.125</f>
        <v>1</v>
      </c>
      <c r="F1439" s="0" t="n">
        <f aca="false">-1+C1439*0.125</f>
        <v>-0.25</v>
      </c>
      <c r="G1439" s="0" t="n">
        <f aca="false">1</f>
        <v>1</v>
      </c>
      <c r="H1439" s="0" t="n">
        <f aca="false">D1439</f>
        <v>-0.5</v>
      </c>
      <c r="I1439" s="0" t="n">
        <f aca="false">E1439</f>
        <v>1</v>
      </c>
      <c r="J1439" s="0" t="n">
        <f aca="false">F1439</f>
        <v>-0.25</v>
      </c>
      <c r="K1439" s="0" t="n">
        <f aca="false">D1439*E1439</f>
        <v>-0.5</v>
      </c>
      <c r="L1439" s="0" t="n">
        <f aca="false">D1439*F1439</f>
        <v>0.125</v>
      </c>
      <c r="M1439" s="0" t="n">
        <f aca="false">E1439*F1439</f>
        <v>-0.25</v>
      </c>
      <c r="N1439" s="0" t="n">
        <f aca="false">D1439*D1439</f>
        <v>0.25</v>
      </c>
      <c r="O1439" s="0" t="n">
        <f aca="false">E1439*E1439</f>
        <v>1</v>
      </c>
      <c r="P1439" s="0" t="n">
        <f aca="false">F1439*F1439</f>
        <v>0.0625</v>
      </c>
      <c r="Q1439" s="0" t="n">
        <f aca="false">SUMPRODUCT(G1439:P1439,_XtX!$B$71:$K$71)</f>
        <v>45.3319886363637</v>
      </c>
      <c r="R1439" s="0" t="n">
        <f aca="false">SUMPRODUCT(MMULT(G1439:P1439,_XtX!$B$58:$K$67),G1439:P1439)</f>
        <v>0.469424715909091</v>
      </c>
      <c r="S1439" s="0" t="n">
        <f aca="false">04_回帰ANOVA!$K$19*04_回帰ANOVA!$K$14*SQRT(1+R1439)</f>
        <v>1.12704253369596</v>
      </c>
      <c r="T1439" s="0" t="n">
        <f aca="false">Q1439-S1439</f>
        <v>44.2049461026677</v>
      </c>
      <c r="U1439" s="0" t="n">
        <f aca="false">Q1439+S1439</f>
        <v>46.4590311700596</v>
      </c>
      <c r="V1439" s="54" t="b">
        <f aca="false">AND(D1439&gt;=01_因子設定!$L$5-0.000000001,D1439&lt;=01_因子設定!$M$5+0.000000001,E1439&gt;=01_因子設定!$L$6-0.000000001,E1439&lt;=01_因子設定!$M$6+0.000000001,F1439&gt;=01_因子設定!$L$7-0.000000001,F1439&lt;=01_因子設定!$M$7+0.000000001,IF(01_因子設定!$B$20="Box-Behnken",D1439^2+E1439^2+F1439^2&lt;=2+0.000000001,TRUE()))</f>
        <v>1</v>
      </c>
      <c r="W1439" s="55" t="n">
        <f aca="false">IF(V1439,IF(01_因子設定!$B$13="最大化",T1439-01_因子設定!$B$14,IF(01_因子設定!$B$13="最小化",01_因子設定!$B$15-U1439,MIN(T1439-01_因子設定!$B$14,01_因子設定!$B$15-U1439))),-1E+030)</f>
        <v>-4.29505389733231</v>
      </c>
      <c r="X1439" s="55" t="n">
        <f aca="false">IF(V1439,IF(01_因子設定!$B$13="最大化",Q1439,IF(01_因子設定!$B$13="最小化",-Q1439,-ABS(Q1439-01_因子設定!$B$16))),-1E+030)</f>
        <v>45.3319886363637</v>
      </c>
      <c r="Y1439" s="55" t="n">
        <f aca="false">W1439+ROW()*0.000000001</f>
        <v>-4.29505245833231</v>
      </c>
      <c r="Z1439" s="55" t="n">
        <f aca="false">X1439+ROW()*0.000000001</f>
        <v>45.3319900753637</v>
      </c>
    </row>
    <row r="1440" customFormat="false" ht="15" hidden="false" customHeight="false" outlineLevel="0" collapsed="false">
      <c r="A1440" s="0" t="n">
        <v>4</v>
      </c>
      <c r="B1440" s="0" t="n">
        <v>16</v>
      </c>
      <c r="C1440" s="0" t="n">
        <v>7</v>
      </c>
      <c r="D1440" s="0" t="n">
        <f aca="false">-1+A1440*0.125</f>
        <v>-0.5</v>
      </c>
      <c r="E1440" s="0" t="n">
        <f aca="false">-1+B1440*0.125</f>
        <v>1</v>
      </c>
      <c r="F1440" s="0" t="n">
        <f aca="false">-1+C1440*0.125</f>
        <v>-0.125</v>
      </c>
      <c r="G1440" s="0" t="n">
        <f aca="false">1</f>
        <v>1</v>
      </c>
      <c r="H1440" s="0" t="n">
        <f aca="false">D1440</f>
        <v>-0.5</v>
      </c>
      <c r="I1440" s="0" t="n">
        <f aca="false">E1440</f>
        <v>1</v>
      </c>
      <c r="J1440" s="0" t="n">
        <f aca="false">F1440</f>
        <v>-0.125</v>
      </c>
      <c r="K1440" s="0" t="n">
        <f aca="false">D1440*E1440</f>
        <v>-0.5</v>
      </c>
      <c r="L1440" s="0" t="n">
        <f aca="false">D1440*F1440</f>
        <v>0.0625</v>
      </c>
      <c r="M1440" s="0" t="n">
        <f aca="false">E1440*F1440</f>
        <v>-0.125</v>
      </c>
      <c r="N1440" s="0" t="n">
        <f aca="false">D1440*D1440</f>
        <v>0.25</v>
      </c>
      <c r="O1440" s="0" t="n">
        <f aca="false">E1440*E1440</f>
        <v>1</v>
      </c>
      <c r="P1440" s="0" t="n">
        <f aca="false">F1440*F1440</f>
        <v>0.015625</v>
      </c>
      <c r="Q1440" s="0" t="n">
        <f aca="false">SUMPRODUCT(G1440:P1440,_XtX!$B$71:$K$71)</f>
        <v>45.6252982954546</v>
      </c>
      <c r="R1440" s="0" t="n">
        <f aca="false">SUMPRODUCT(MMULT(G1440:P1440,_XtX!$B$58:$K$67),G1440:P1440)</f>
        <v>0.476322798295455</v>
      </c>
      <c r="S1440" s="0" t="n">
        <f aca="false">04_回帰ANOVA!$K$19*04_回帰ANOVA!$K$14*SQRT(1+R1440)</f>
        <v>1.12968483630128</v>
      </c>
      <c r="T1440" s="0" t="n">
        <f aca="false">Q1440-S1440</f>
        <v>44.4956134591533</v>
      </c>
      <c r="U1440" s="0" t="n">
        <f aca="false">Q1440+S1440</f>
        <v>46.7549831317558</v>
      </c>
      <c r="V1440" s="54" t="b">
        <f aca="false">AND(D1440&gt;=01_因子設定!$L$5-0.000000001,D1440&lt;=01_因子設定!$M$5+0.000000001,E1440&gt;=01_因子設定!$L$6-0.000000001,E1440&lt;=01_因子設定!$M$6+0.000000001,F1440&gt;=01_因子設定!$L$7-0.000000001,F1440&lt;=01_因子設定!$M$7+0.000000001,IF(01_因子設定!$B$20="Box-Behnken",D1440^2+E1440^2+F1440^2&lt;=2+0.000000001,TRUE()))</f>
        <v>1</v>
      </c>
      <c r="W1440" s="55" t="n">
        <f aca="false">IF(V1440,IF(01_因子設定!$B$13="最大化",T1440-01_因子設定!$B$14,IF(01_因子設定!$B$13="最小化",01_因子設定!$B$15-U1440,MIN(T1440-01_因子設定!$B$14,01_因子設定!$B$15-U1440))),-1E+030)</f>
        <v>-4.00438654084672</v>
      </c>
      <c r="X1440" s="55" t="n">
        <f aca="false">IF(V1440,IF(01_因子設定!$B$13="最大化",Q1440,IF(01_因子設定!$B$13="最小化",-Q1440,-ABS(Q1440-01_因子設定!$B$16))),-1E+030)</f>
        <v>45.6252982954546</v>
      </c>
      <c r="Y1440" s="55" t="n">
        <f aca="false">W1440+ROW()*0.000000001</f>
        <v>-4.00438510084672</v>
      </c>
      <c r="Z1440" s="55" t="n">
        <f aca="false">X1440+ROW()*0.000000001</f>
        <v>45.6252997354546</v>
      </c>
    </row>
    <row r="1441" customFormat="false" ht="15" hidden="false" customHeight="false" outlineLevel="0" collapsed="false">
      <c r="A1441" s="0" t="n">
        <v>4</v>
      </c>
      <c r="B1441" s="0" t="n">
        <v>16</v>
      </c>
      <c r="C1441" s="0" t="n">
        <v>8</v>
      </c>
      <c r="D1441" s="0" t="n">
        <f aca="false">-1+A1441*0.125</f>
        <v>-0.5</v>
      </c>
      <c r="E1441" s="0" t="n">
        <f aca="false">-1+B1441*0.125</f>
        <v>1</v>
      </c>
      <c r="F1441" s="0" t="n">
        <f aca="false">-1+C1441*0.125</f>
        <v>0</v>
      </c>
      <c r="G1441" s="0" t="n">
        <f aca="false">1</f>
        <v>1</v>
      </c>
      <c r="H1441" s="0" t="n">
        <f aca="false">D1441</f>
        <v>-0.5</v>
      </c>
      <c r="I1441" s="0" t="n">
        <f aca="false">E1441</f>
        <v>1</v>
      </c>
      <c r="J1441" s="0" t="n">
        <f aca="false">F1441</f>
        <v>0</v>
      </c>
      <c r="K1441" s="0" t="n">
        <f aca="false">D1441*E1441</f>
        <v>-0.5</v>
      </c>
      <c r="L1441" s="0" t="n">
        <f aca="false">D1441*F1441</f>
        <v>-0</v>
      </c>
      <c r="M1441" s="0" t="n">
        <f aca="false">E1441*F1441</f>
        <v>0</v>
      </c>
      <c r="N1441" s="0" t="n">
        <f aca="false">D1441*D1441</f>
        <v>0.25</v>
      </c>
      <c r="O1441" s="0" t="n">
        <f aca="false">E1441*E1441</f>
        <v>1</v>
      </c>
      <c r="P1441" s="0" t="n">
        <f aca="false">F1441*F1441</f>
        <v>0</v>
      </c>
      <c r="Q1441" s="0" t="n">
        <f aca="false">SUMPRODUCT(G1441:P1441,_XtX!$B$71:$K$71)</f>
        <v>45.8818181818182</v>
      </c>
      <c r="R1441" s="0" t="n">
        <f aca="false">SUMPRODUCT(MMULT(G1441:P1441,_XtX!$B$58:$K$67),G1441:P1441)</f>
        <v>0.478977272727273</v>
      </c>
      <c r="S1441" s="0" t="n">
        <f aca="false">04_回帰ANOVA!$K$19*04_回帰ANOVA!$K$14*SQRT(1+R1441)</f>
        <v>1.13069998447216</v>
      </c>
      <c r="T1441" s="0" t="n">
        <f aca="false">Q1441-S1441</f>
        <v>44.751118197346</v>
      </c>
      <c r="U1441" s="0" t="n">
        <f aca="false">Q1441+S1441</f>
        <v>47.0125181662904</v>
      </c>
      <c r="V1441" s="54" t="b">
        <f aca="false">AND(D1441&gt;=01_因子設定!$L$5-0.000000001,D1441&lt;=01_因子設定!$M$5+0.000000001,E1441&gt;=01_因子設定!$L$6-0.000000001,E1441&lt;=01_因子設定!$M$6+0.000000001,F1441&gt;=01_因子設定!$L$7-0.000000001,F1441&lt;=01_因子設定!$M$7+0.000000001,IF(01_因子設定!$B$20="Box-Behnken",D1441^2+E1441^2+F1441^2&lt;=2+0.000000001,TRUE()))</f>
        <v>1</v>
      </c>
      <c r="W1441" s="55" t="n">
        <f aca="false">IF(V1441,IF(01_因子設定!$B$13="最大化",T1441-01_因子設定!$B$14,IF(01_因子設定!$B$13="最小化",01_因子設定!$B$15-U1441,MIN(T1441-01_因子設定!$B$14,01_因子設定!$B$15-U1441))),-1E+030)</f>
        <v>-3.74888180265397</v>
      </c>
      <c r="X1441" s="55" t="n">
        <f aca="false">IF(V1441,IF(01_因子設定!$B$13="最大化",Q1441,IF(01_因子設定!$B$13="最小化",-Q1441,-ABS(Q1441-01_因子設定!$B$16))),-1E+030)</f>
        <v>45.8818181818182</v>
      </c>
      <c r="Y1441" s="55" t="n">
        <f aca="false">W1441+ROW()*0.000000001</f>
        <v>-3.74888036165397</v>
      </c>
      <c r="Z1441" s="55" t="n">
        <f aca="false">X1441+ROW()*0.000000001</f>
        <v>45.8818196228182</v>
      </c>
    </row>
    <row r="1442" customFormat="false" ht="15" hidden="false" customHeight="false" outlineLevel="0" collapsed="false">
      <c r="A1442" s="0" t="n">
        <v>4</v>
      </c>
      <c r="B1442" s="0" t="n">
        <v>16</v>
      </c>
      <c r="C1442" s="0" t="n">
        <v>9</v>
      </c>
      <c r="D1442" s="0" t="n">
        <f aca="false">-1+A1442*0.125</f>
        <v>-0.5</v>
      </c>
      <c r="E1442" s="0" t="n">
        <f aca="false">-1+B1442*0.125</f>
        <v>1</v>
      </c>
      <c r="F1442" s="0" t="n">
        <f aca="false">-1+C1442*0.125</f>
        <v>0.125</v>
      </c>
      <c r="G1442" s="0" t="n">
        <f aca="false">1</f>
        <v>1</v>
      </c>
      <c r="H1442" s="0" t="n">
        <f aca="false">D1442</f>
        <v>-0.5</v>
      </c>
      <c r="I1442" s="0" t="n">
        <f aca="false">E1442</f>
        <v>1</v>
      </c>
      <c r="J1442" s="0" t="n">
        <f aca="false">F1442</f>
        <v>0.125</v>
      </c>
      <c r="K1442" s="0" t="n">
        <f aca="false">D1442*E1442</f>
        <v>-0.5</v>
      </c>
      <c r="L1442" s="0" t="n">
        <f aca="false">D1442*F1442</f>
        <v>-0.0625</v>
      </c>
      <c r="M1442" s="0" t="n">
        <f aca="false">E1442*F1442</f>
        <v>0.125</v>
      </c>
      <c r="N1442" s="0" t="n">
        <f aca="false">D1442*D1442</f>
        <v>0.25</v>
      </c>
      <c r="O1442" s="0" t="n">
        <f aca="false">E1442*E1442</f>
        <v>1</v>
      </c>
      <c r="P1442" s="0" t="n">
        <f aca="false">F1442*F1442</f>
        <v>0.015625</v>
      </c>
      <c r="Q1442" s="0" t="n">
        <f aca="false">SUMPRODUCT(G1442:P1442,_XtX!$B$71:$K$71)</f>
        <v>46.1015482954546</v>
      </c>
      <c r="R1442" s="0" t="n">
        <f aca="false">SUMPRODUCT(MMULT(G1442:P1442,_XtX!$B$58:$K$67),G1442:P1442)</f>
        <v>0.476322798295455</v>
      </c>
      <c r="S1442" s="0" t="n">
        <f aca="false">04_回帰ANOVA!$K$19*04_回帰ANOVA!$K$14*SQRT(1+R1442)</f>
        <v>1.12968483630128</v>
      </c>
      <c r="T1442" s="0" t="n">
        <f aca="false">Q1442-S1442</f>
        <v>44.9718634591533</v>
      </c>
      <c r="U1442" s="0" t="n">
        <f aca="false">Q1442+S1442</f>
        <v>47.2312331317558</v>
      </c>
      <c r="V1442" s="54" t="b">
        <f aca="false">AND(D1442&gt;=01_因子設定!$L$5-0.000000001,D1442&lt;=01_因子設定!$M$5+0.000000001,E1442&gt;=01_因子設定!$L$6-0.000000001,E1442&lt;=01_因子設定!$M$6+0.000000001,F1442&gt;=01_因子設定!$L$7-0.000000001,F1442&lt;=01_因子設定!$M$7+0.000000001,IF(01_因子設定!$B$20="Box-Behnken",D1442^2+E1442^2+F1442^2&lt;=2+0.000000001,TRUE()))</f>
        <v>1</v>
      </c>
      <c r="W1442" s="55" t="n">
        <f aca="false">IF(V1442,IF(01_因子設定!$B$13="最大化",T1442-01_因子設定!$B$14,IF(01_因子設定!$B$13="最小化",01_因子設定!$B$15-U1442,MIN(T1442-01_因子設定!$B$14,01_因子設定!$B$15-U1442))),-1E+030)</f>
        <v>-3.52813654084672</v>
      </c>
      <c r="X1442" s="55" t="n">
        <f aca="false">IF(V1442,IF(01_因子設定!$B$13="最大化",Q1442,IF(01_因子設定!$B$13="最小化",-Q1442,-ABS(Q1442-01_因子設定!$B$16))),-1E+030)</f>
        <v>46.1015482954546</v>
      </c>
      <c r="Y1442" s="55" t="n">
        <f aca="false">W1442+ROW()*0.000000001</f>
        <v>-3.52813509884672</v>
      </c>
      <c r="Z1442" s="55" t="n">
        <f aca="false">X1442+ROW()*0.000000001</f>
        <v>46.1015497374546</v>
      </c>
    </row>
    <row r="1443" customFormat="false" ht="15" hidden="false" customHeight="false" outlineLevel="0" collapsed="false">
      <c r="A1443" s="0" t="n">
        <v>4</v>
      </c>
      <c r="B1443" s="0" t="n">
        <v>16</v>
      </c>
      <c r="C1443" s="0" t="n">
        <v>10</v>
      </c>
      <c r="D1443" s="0" t="n">
        <f aca="false">-1+A1443*0.125</f>
        <v>-0.5</v>
      </c>
      <c r="E1443" s="0" t="n">
        <f aca="false">-1+B1443*0.125</f>
        <v>1</v>
      </c>
      <c r="F1443" s="0" t="n">
        <f aca="false">-1+C1443*0.125</f>
        <v>0.25</v>
      </c>
      <c r="G1443" s="0" t="n">
        <f aca="false">1</f>
        <v>1</v>
      </c>
      <c r="H1443" s="0" t="n">
        <f aca="false">D1443</f>
        <v>-0.5</v>
      </c>
      <c r="I1443" s="0" t="n">
        <f aca="false">E1443</f>
        <v>1</v>
      </c>
      <c r="J1443" s="0" t="n">
        <f aca="false">F1443</f>
        <v>0.25</v>
      </c>
      <c r="K1443" s="0" t="n">
        <f aca="false">D1443*E1443</f>
        <v>-0.5</v>
      </c>
      <c r="L1443" s="0" t="n">
        <f aca="false">D1443*F1443</f>
        <v>-0.125</v>
      </c>
      <c r="M1443" s="0" t="n">
        <f aca="false">E1443*F1443</f>
        <v>0.25</v>
      </c>
      <c r="N1443" s="0" t="n">
        <f aca="false">D1443*D1443</f>
        <v>0.25</v>
      </c>
      <c r="O1443" s="0" t="n">
        <f aca="false">E1443*E1443</f>
        <v>1</v>
      </c>
      <c r="P1443" s="0" t="n">
        <f aca="false">F1443*F1443</f>
        <v>0.0625</v>
      </c>
      <c r="Q1443" s="0" t="n">
        <f aca="false">SUMPRODUCT(G1443:P1443,_XtX!$B$71:$K$71)</f>
        <v>46.2844886363637</v>
      </c>
      <c r="R1443" s="0" t="n">
        <f aca="false">SUMPRODUCT(MMULT(G1443:P1443,_XtX!$B$58:$K$67),G1443:P1443)</f>
        <v>0.469424715909091</v>
      </c>
      <c r="S1443" s="0" t="n">
        <f aca="false">04_回帰ANOVA!$K$19*04_回帰ANOVA!$K$14*SQRT(1+R1443)</f>
        <v>1.12704253369596</v>
      </c>
      <c r="T1443" s="0" t="n">
        <f aca="false">Q1443-S1443</f>
        <v>45.1574461026677</v>
      </c>
      <c r="U1443" s="0" t="n">
        <f aca="false">Q1443+S1443</f>
        <v>47.4115311700596</v>
      </c>
      <c r="V1443" s="54" t="b">
        <f aca="false">AND(D1443&gt;=01_因子設定!$L$5-0.000000001,D1443&lt;=01_因子設定!$M$5+0.000000001,E1443&gt;=01_因子設定!$L$6-0.000000001,E1443&lt;=01_因子設定!$M$6+0.000000001,F1443&gt;=01_因子設定!$L$7-0.000000001,F1443&lt;=01_因子設定!$M$7+0.000000001,IF(01_因子設定!$B$20="Box-Behnken",D1443^2+E1443^2+F1443^2&lt;=2+0.000000001,TRUE()))</f>
        <v>1</v>
      </c>
      <c r="W1443" s="55" t="n">
        <f aca="false">IF(V1443,IF(01_因子設定!$B$13="最大化",T1443-01_因子設定!$B$14,IF(01_因子設定!$B$13="最小化",01_因子設定!$B$15-U1443,MIN(T1443-01_因子設定!$B$14,01_因子設定!$B$15-U1443))),-1E+030)</f>
        <v>-3.34255389733231</v>
      </c>
      <c r="X1443" s="55" t="n">
        <f aca="false">IF(V1443,IF(01_因子設定!$B$13="最大化",Q1443,IF(01_因子設定!$B$13="最小化",-Q1443,-ABS(Q1443-01_因子設定!$B$16))),-1E+030)</f>
        <v>46.2844886363637</v>
      </c>
      <c r="Y1443" s="55" t="n">
        <f aca="false">W1443+ROW()*0.000000001</f>
        <v>-3.34255245433231</v>
      </c>
      <c r="Z1443" s="55" t="n">
        <f aca="false">X1443+ROW()*0.000000001</f>
        <v>46.2844900793637</v>
      </c>
    </row>
    <row r="1444" customFormat="false" ht="15" hidden="false" customHeight="false" outlineLevel="0" collapsed="false">
      <c r="A1444" s="0" t="n">
        <v>4</v>
      </c>
      <c r="B1444" s="0" t="n">
        <v>16</v>
      </c>
      <c r="C1444" s="0" t="n">
        <v>11</v>
      </c>
      <c r="D1444" s="0" t="n">
        <f aca="false">-1+A1444*0.125</f>
        <v>-0.5</v>
      </c>
      <c r="E1444" s="0" t="n">
        <f aca="false">-1+B1444*0.125</f>
        <v>1</v>
      </c>
      <c r="F1444" s="0" t="n">
        <f aca="false">-1+C1444*0.125</f>
        <v>0.375</v>
      </c>
      <c r="G1444" s="0" t="n">
        <f aca="false">1</f>
        <v>1</v>
      </c>
      <c r="H1444" s="0" t="n">
        <f aca="false">D1444</f>
        <v>-0.5</v>
      </c>
      <c r="I1444" s="0" t="n">
        <f aca="false">E1444</f>
        <v>1</v>
      </c>
      <c r="J1444" s="0" t="n">
        <f aca="false">F1444</f>
        <v>0.375</v>
      </c>
      <c r="K1444" s="0" t="n">
        <f aca="false">D1444*E1444</f>
        <v>-0.5</v>
      </c>
      <c r="L1444" s="0" t="n">
        <f aca="false">D1444*F1444</f>
        <v>-0.1875</v>
      </c>
      <c r="M1444" s="0" t="n">
        <f aca="false">E1444*F1444</f>
        <v>0.375</v>
      </c>
      <c r="N1444" s="0" t="n">
        <f aca="false">D1444*D1444</f>
        <v>0.25</v>
      </c>
      <c r="O1444" s="0" t="n">
        <f aca="false">E1444*E1444</f>
        <v>1</v>
      </c>
      <c r="P1444" s="0" t="n">
        <f aca="false">F1444*F1444</f>
        <v>0.140625</v>
      </c>
      <c r="Q1444" s="0" t="n">
        <f aca="false">SUMPRODUCT(G1444:P1444,_XtX!$B$71:$K$71)</f>
        <v>46.4306392045455</v>
      </c>
      <c r="R1444" s="0" t="n">
        <f aca="false">SUMPRODUCT(MMULT(G1444:P1444,_XtX!$B$58:$K$67),G1444:P1444)</f>
        <v>0.461479048295455</v>
      </c>
      <c r="S1444" s="0" t="n">
        <f aca="false">04_回帰ANOVA!$K$19*04_回帰ANOVA!$K$14*SQRT(1+R1444)</f>
        <v>1.12399125658369</v>
      </c>
      <c r="T1444" s="0" t="n">
        <f aca="false">Q1444-S1444</f>
        <v>45.3066479479618</v>
      </c>
      <c r="U1444" s="0" t="n">
        <f aca="false">Q1444+S1444</f>
        <v>47.5546304611292</v>
      </c>
      <c r="V1444" s="54" t="b">
        <f aca="false">AND(D1444&gt;=01_因子設定!$L$5-0.000000001,D1444&lt;=01_因子設定!$M$5+0.000000001,E1444&gt;=01_因子設定!$L$6-0.000000001,E1444&lt;=01_因子設定!$M$6+0.000000001,F1444&gt;=01_因子設定!$L$7-0.000000001,F1444&lt;=01_因子設定!$M$7+0.000000001,IF(01_因子設定!$B$20="Box-Behnken",D1444^2+E1444^2+F1444^2&lt;=2+0.000000001,TRUE()))</f>
        <v>1</v>
      </c>
      <c r="W1444" s="55" t="n">
        <f aca="false">IF(V1444,IF(01_因子設定!$B$13="最大化",T1444-01_因子設定!$B$14,IF(01_因子設定!$B$13="最小化",01_因子設定!$B$15-U1444,MIN(T1444-01_因子設定!$B$14,01_因子設定!$B$15-U1444))),-1E+030)</f>
        <v>-3.19335205203822</v>
      </c>
      <c r="X1444" s="55" t="n">
        <f aca="false">IF(V1444,IF(01_因子設定!$B$13="最大化",Q1444,IF(01_因子設定!$B$13="最小化",-Q1444,-ABS(Q1444-01_因子設定!$B$16))),-1E+030)</f>
        <v>46.4306392045455</v>
      </c>
      <c r="Y1444" s="55" t="n">
        <f aca="false">W1444+ROW()*0.000000001</f>
        <v>-3.19335060803822</v>
      </c>
      <c r="Z1444" s="55" t="n">
        <f aca="false">X1444+ROW()*0.000000001</f>
        <v>46.4306406485455</v>
      </c>
    </row>
    <row r="1445" customFormat="false" ht="15" hidden="false" customHeight="false" outlineLevel="0" collapsed="false">
      <c r="A1445" s="0" t="n">
        <v>4</v>
      </c>
      <c r="B1445" s="0" t="n">
        <v>16</v>
      </c>
      <c r="C1445" s="0" t="n">
        <v>12</v>
      </c>
      <c r="D1445" s="0" t="n">
        <f aca="false">-1+A1445*0.125</f>
        <v>-0.5</v>
      </c>
      <c r="E1445" s="0" t="n">
        <f aca="false">-1+B1445*0.125</f>
        <v>1</v>
      </c>
      <c r="F1445" s="0" t="n">
        <f aca="false">-1+C1445*0.125</f>
        <v>0.5</v>
      </c>
      <c r="G1445" s="0" t="n">
        <f aca="false">1</f>
        <v>1</v>
      </c>
      <c r="H1445" s="0" t="n">
        <f aca="false">D1445</f>
        <v>-0.5</v>
      </c>
      <c r="I1445" s="0" t="n">
        <f aca="false">E1445</f>
        <v>1</v>
      </c>
      <c r="J1445" s="0" t="n">
        <f aca="false">F1445</f>
        <v>0.5</v>
      </c>
      <c r="K1445" s="0" t="n">
        <f aca="false">D1445*E1445</f>
        <v>-0.5</v>
      </c>
      <c r="L1445" s="0" t="n">
        <f aca="false">D1445*F1445</f>
        <v>-0.25</v>
      </c>
      <c r="M1445" s="0" t="n">
        <f aca="false">E1445*F1445</f>
        <v>0.5</v>
      </c>
      <c r="N1445" s="0" t="n">
        <f aca="false">D1445*D1445</f>
        <v>0.25</v>
      </c>
      <c r="O1445" s="0" t="n">
        <f aca="false">E1445*E1445</f>
        <v>1</v>
      </c>
      <c r="P1445" s="0" t="n">
        <f aca="false">F1445*F1445</f>
        <v>0.25</v>
      </c>
      <c r="Q1445" s="0" t="n">
        <f aca="false">SUMPRODUCT(G1445:P1445,_XtX!$B$71:$K$71)</f>
        <v>46.54</v>
      </c>
      <c r="R1445" s="0" t="n">
        <f aca="false">SUMPRODUCT(MMULT(G1445:P1445,_XtX!$B$58:$K$67),G1445:P1445)</f>
        <v>0.4578125</v>
      </c>
      <c r="S1445" s="0" t="n">
        <f aca="false">04_回帰ANOVA!$K$19*04_回帰ANOVA!$K$14*SQRT(1+R1445)</f>
        <v>1.12258044051089</v>
      </c>
      <c r="T1445" s="0" t="n">
        <f aca="false">Q1445-S1445</f>
        <v>45.4174195594891</v>
      </c>
      <c r="U1445" s="0" t="n">
        <f aca="false">Q1445+S1445</f>
        <v>47.6625804405109</v>
      </c>
      <c r="V1445" s="54" t="b">
        <f aca="false">AND(D1445&gt;=01_因子設定!$L$5-0.000000001,D1445&lt;=01_因子設定!$M$5+0.000000001,E1445&gt;=01_因子設定!$L$6-0.000000001,E1445&lt;=01_因子設定!$M$6+0.000000001,F1445&gt;=01_因子設定!$L$7-0.000000001,F1445&lt;=01_因子設定!$M$7+0.000000001,IF(01_因子設定!$B$20="Box-Behnken",D1445^2+E1445^2+F1445^2&lt;=2+0.000000001,TRUE()))</f>
        <v>1</v>
      </c>
      <c r="W1445" s="55" t="n">
        <f aca="false">IF(V1445,IF(01_因子設定!$B$13="最大化",T1445-01_因子設定!$B$14,IF(01_因子設定!$B$13="最小化",01_因子設定!$B$15-U1445,MIN(T1445-01_因子設定!$B$14,01_因子設定!$B$15-U1445))),-1E+030)</f>
        <v>-3.08258044051087</v>
      </c>
      <c r="X1445" s="55" t="n">
        <f aca="false">IF(V1445,IF(01_因子設定!$B$13="最大化",Q1445,IF(01_因子設定!$B$13="最小化",-Q1445,-ABS(Q1445-01_因子設定!$B$16))),-1E+030)</f>
        <v>46.54</v>
      </c>
      <c r="Y1445" s="55" t="n">
        <f aca="false">W1445+ROW()*0.000000001</f>
        <v>-3.08257899551087</v>
      </c>
      <c r="Z1445" s="55" t="n">
        <f aca="false">X1445+ROW()*0.000000001</f>
        <v>46.540001445</v>
      </c>
    </row>
    <row r="1446" customFormat="false" ht="15" hidden="false" customHeight="false" outlineLevel="0" collapsed="false">
      <c r="A1446" s="0" t="n">
        <v>4</v>
      </c>
      <c r="B1446" s="0" t="n">
        <v>16</v>
      </c>
      <c r="C1446" s="0" t="n">
        <v>13</v>
      </c>
      <c r="D1446" s="0" t="n">
        <f aca="false">-1+A1446*0.125</f>
        <v>-0.5</v>
      </c>
      <c r="E1446" s="0" t="n">
        <f aca="false">-1+B1446*0.125</f>
        <v>1</v>
      </c>
      <c r="F1446" s="0" t="n">
        <f aca="false">-1+C1446*0.125</f>
        <v>0.625</v>
      </c>
      <c r="G1446" s="0" t="n">
        <f aca="false">1</f>
        <v>1</v>
      </c>
      <c r="H1446" s="0" t="n">
        <f aca="false">D1446</f>
        <v>-0.5</v>
      </c>
      <c r="I1446" s="0" t="n">
        <f aca="false">E1446</f>
        <v>1</v>
      </c>
      <c r="J1446" s="0" t="n">
        <f aca="false">F1446</f>
        <v>0.625</v>
      </c>
      <c r="K1446" s="0" t="n">
        <f aca="false">D1446*E1446</f>
        <v>-0.5</v>
      </c>
      <c r="L1446" s="0" t="n">
        <f aca="false">D1446*F1446</f>
        <v>-0.3125</v>
      </c>
      <c r="M1446" s="0" t="n">
        <f aca="false">E1446*F1446</f>
        <v>0.625</v>
      </c>
      <c r="N1446" s="0" t="n">
        <f aca="false">D1446*D1446</f>
        <v>0.25</v>
      </c>
      <c r="O1446" s="0" t="n">
        <f aca="false">E1446*E1446</f>
        <v>1</v>
      </c>
      <c r="P1446" s="0" t="n">
        <f aca="false">F1446*F1446</f>
        <v>0.390625</v>
      </c>
      <c r="Q1446" s="0" t="n">
        <f aca="false">SUMPRODUCT(G1446:P1446,_XtX!$B$71:$K$71)</f>
        <v>46.6125710227273</v>
      </c>
      <c r="R1446" s="0" t="n">
        <f aca="false">SUMPRODUCT(MMULT(G1446:P1446,_XtX!$B$58:$K$67),G1446:P1446)</f>
        <v>0.465882457386364</v>
      </c>
      <c r="S1446" s="0" t="n">
        <f aca="false">04_回帰ANOVA!$K$19*04_回帰ANOVA!$K$14*SQRT(1+R1446)</f>
        <v>1.12568326538173</v>
      </c>
      <c r="T1446" s="0" t="n">
        <f aca="false">Q1446-S1446</f>
        <v>45.4868877573456</v>
      </c>
      <c r="U1446" s="0" t="n">
        <f aca="false">Q1446+S1446</f>
        <v>47.738254288109</v>
      </c>
      <c r="V1446" s="54" t="b">
        <f aca="false">AND(D1446&gt;=01_因子設定!$L$5-0.000000001,D1446&lt;=01_因子設定!$M$5+0.000000001,E1446&gt;=01_因子設定!$L$6-0.000000001,E1446&lt;=01_因子設定!$M$6+0.000000001,F1446&gt;=01_因子設定!$L$7-0.000000001,F1446&lt;=01_因子設定!$M$7+0.000000001,IF(01_因子設定!$B$20="Box-Behnken",D1446^2+E1446^2+F1446^2&lt;=2+0.000000001,TRUE()))</f>
        <v>1</v>
      </c>
      <c r="W1446" s="55" t="n">
        <f aca="false">IF(V1446,IF(01_因子設定!$B$13="最大化",T1446-01_因子設定!$B$14,IF(01_因子設定!$B$13="最小化",01_因子設定!$B$15-U1446,MIN(T1446-01_因子設定!$B$14,01_因子設定!$B$15-U1446))),-1E+030)</f>
        <v>-3.01311224265444</v>
      </c>
      <c r="X1446" s="55" t="n">
        <f aca="false">IF(V1446,IF(01_因子設定!$B$13="最大化",Q1446,IF(01_因子設定!$B$13="最小化",-Q1446,-ABS(Q1446-01_因子設定!$B$16))),-1E+030)</f>
        <v>46.6125710227273</v>
      </c>
      <c r="Y1446" s="55" t="n">
        <f aca="false">W1446+ROW()*0.000000001</f>
        <v>-3.01311079665444</v>
      </c>
      <c r="Z1446" s="55" t="n">
        <f aca="false">X1446+ROW()*0.000000001</f>
        <v>46.6125724687273</v>
      </c>
    </row>
    <row r="1447" customFormat="false" ht="15" hidden="false" customHeight="false" outlineLevel="0" collapsed="false">
      <c r="A1447" s="0" t="n">
        <v>4</v>
      </c>
      <c r="B1447" s="0" t="n">
        <v>16</v>
      </c>
      <c r="C1447" s="0" t="n">
        <v>14</v>
      </c>
      <c r="D1447" s="0" t="n">
        <f aca="false">-1+A1447*0.125</f>
        <v>-0.5</v>
      </c>
      <c r="E1447" s="0" t="n">
        <f aca="false">-1+B1447*0.125</f>
        <v>1</v>
      </c>
      <c r="F1447" s="0" t="n">
        <f aca="false">-1+C1447*0.125</f>
        <v>0.75</v>
      </c>
      <c r="G1447" s="0" t="n">
        <f aca="false">1</f>
        <v>1</v>
      </c>
      <c r="H1447" s="0" t="n">
        <f aca="false">D1447</f>
        <v>-0.5</v>
      </c>
      <c r="I1447" s="0" t="n">
        <f aca="false">E1447</f>
        <v>1</v>
      </c>
      <c r="J1447" s="0" t="n">
        <f aca="false">F1447</f>
        <v>0.75</v>
      </c>
      <c r="K1447" s="0" t="n">
        <f aca="false">D1447*E1447</f>
        <v>-0.5</v>
      </c>
      <c r="L1447" s="0" t="n">
        <f aca="false">D1447*F1447</f>
        <v>-0.375</v>
      </c>
      <c r="M1447" s="0" t="n">
        <f aca="false">E1447*F1447</f>
        <v>0.75</v>
      </c>
      <c r="N1447" s="0" t="n">
        <f aca="false">D1447*D1447</f>
        <v>0.25</v>
      </c>
      <c r="O1447" s="0" t="n">
        <f aca="false">E1447*E1447</f>
        <v>1</v>
      </c>
      <c r="P1447" s="0" t="n">
        <f aca="false">F1447*F1447</f>
        <v>0.5625</v>
      </c>
      <c r="Q1447" s="0" t="n">
        <f aca="false">SUMPRODUCT(G1447:P1447,_XtX!$B$71:$K$71)</f>
        <v>46.6483522727273</v>
      </c>
      <c r="R1447" s="0" t="n">
        <f aca="false">SUMPRODUCT(MMULT(G1447:P1447,_XtX!$B$58:$K$67),G1447:P1447)</f>
        <v>0.495276988636364</v>
      </c>
      <c r="S1447" s="0" t="n">
        <f aca="false">04_回帰ANOVA!$K$19*04_回帰ANOVA!$K$14*SQRT(1+R1447)</f>
        <v>1.13691359828352</v>
      </c>
      <c r="T1447" s="0" t="n">
        <f aca="false">Q1447-S1447</f>
        <v>45.5114386744438</v>
      </c>
      <c r="U1447" s="0" t="n">
        <f aca="false">Q1447+S1447</f>
        <v>47.7852658710108</v>
      </c>
      <c r="V1447" s="54" t="b">
        <f aca="false">AND(D1447&gt;=01_因子設定!$L$5-0.000000001,D1447&lt;=01_因子設定!$M$5+0.000000001,E1447&gt;=01_因子設定!$L$6-0.000000001,E1447&lt;=01_因子設定!$M$6+0.000000001,F1447&gt;=01_因子設定!$L$7-0.000000001,F1447&lt;=01_因子設定!$M$7+0.000000001,IF(01_因子設定!$B$20="Box-Behnken",D1447^2+E1447^2+F1447^2&lt;=2+0.000000001,TRUE()))</f>
        <v>1</v>
      </c>
      <c r="W1447" s="55" t="n">
        <f aca="false">IF(V1447,IF(01_因子設定!$B$13="最大化",T1447-01_因子設定!$B$14,IF(01_因子設定!$B$13="最小化",01_因子設定!$B$15-U1447,MIN(T1447-01_因子設定!$B$14,01_因子設定!$B$15-U1447))),-1E+030)</f>
        <v>-2.98856132555623</v>
      </c>
      <c r="X1447" s="55" t="n">
        <f aca="false">IF(V1447,IF(01_因子設定!$B$13="最大化",Q1447,IF(01_因子設定!$B$13="最小化",-Q1447,-ABS(Q1447-01_因子設定!$B$16))),-1E+030)</f>
        <v>46.6483522727273</v>
      </c>
      <c r="Y1447" s="55" t="n">
        <f aca="false">W1447+ROW()*0.000000001</f>
        <v>-2.98855987855623</v>
      </c>
      <c r="Z1447" s="55" t="n">
        <f aca="false">X1447+ROW()*0.000000001</f>
        <v>46.6483537197273</v>
      </c>
    </row>
    <row r="1448" customFormat="false" ht="15" hidden="false" customHeight="false" outlineLevel="0" collapsed="false">
      <c r="A1448" s="0" t="n">
        <v>4</v>
      </c>
      <c r="B1448" s="0" t="n">
        <v>16</v>
      </c>
      <c r="C1448" s="0" t="n">
        <v>15</v>
      </c>
      <c r="D1448" s="0" t="n">
        <f aca="false">-1+A1448*0.125</f>
        <v>-0.5</v>
      </c>
      <c r="E1448" s="0" t="n">
        <f aca="false">-1+B1448*0.125</f>
        <v>1</v>
      </c>
      <c r="F1448" s="0" t="n">
        <f aca="false">-1+C1448*0.125</f>
        <v>0.875</v>
      </c>
      <c r="G1448" s="0" t="n">
        <f aca="false">1</f>
        <v>1</v>
      </c>
      <c r="H1448" s="0" t="n">
        <f aca="false">D1448</f>
        <v>-0.5</v>
      </c>
      <c r="I1448" s="0" t="n">
        <f aca="false">E1448</f>
        <v>1</v>
      </c>
      <c r="J1448" s="0" t="n">
        <f aca="false">F1448</f>
        <v>0.875</v>
      </c>
      <c r="K1448" s="0" t="n">
        <f aca="false">D1448*E1448</f>
        <v>-0.5</v>
      </c>
      <c r="L1448" s="0" t="n">
        <f aca="false">D1448*F1448</f>
        <v>-0.4375</v>
      </c>
      <c r="M1448" s="0" t="n">
        <f aca="false">E1448*F1448</f>
        <v>0.875</v>
      </c>
      <c r="N1448" s="0" t="n">
        <f aca="false">D1448*D1448</f>
        <v>0.25</v>
      </c>
      <c r="O1448" s="0" t="n">
        <f aca="false">E1448*E1448</f>
        <v>1</v>
      </c>
      <c r="P1448" s="0" t="n">
        <f aca="false">F1448*F1448</f>
        <v>0.765625</v>
      </c>
      <c r="Q1448" s="0" t="n">
        <f aca="false">SUMPRODUCT(G1448:P1448,_XtX!$B$71:$K$71)</f>
        <v>46.64734375</v>
      </c>
      <c r="R1448" s="0" t="n">
        <f aca="false">SUMPRODUCT(MMULT(G1448:P1448,_XtX!$B$58:$K$67),G1448:P1448)</f>
        <v>0.55771484375</v>
      </c>
      <c r="S1448" s="0" t="n">
        <f aca="false">04_回帰ANOVA!$K$19*04_回帰ANOVA!$K$14*SQRT(1+R1448)</f>
        <v>1.16040773556467</v>
      </c>
      <c r="T1448" s="0" t="n">
        <f aca="false">Q1448-S1448</f>
        <v>45.4869360144353</v>
      </c>
      <c r="U1448" s="0" t="n">
        <f aca="false">Q1448+S1448</f>
        <v>47.8077514855647</v>
      </c>
      <c r="V1448" s="54" t="b">
        <f aca="false">AND(D1448&gt;=01_因子設定!$L$5-0.000000001,D1448&lt;=01_因子設定!$M$5+0.000000001,E1448&gt;=01_因子設定!$L$6-0.000000001,E1448&lt;=01_因子設定!$M$6+0.000000001,F1448&gt;=01_因子設定!$L$7-0.000000001,F1448&lt;=01_因子設定!$M$7+0.000000001,IF(01_因子設定!$B$20="Box-Behnken",D1448^2+E1448^2+F1448^2&lt;=2+0.000000001,TRUE()))</f>
        <v>1</v>
      </c>
      <c r="W1448" s="55" t="n">
        <f aca="false">IF(V1448,IF(01_因子設定!$B$13="最大化",T1448-01_因子設定!$B$14,IF(01_因子設定!$B$13="最小化",01_因子設定!$B$15-U1448,MIN(T1448-01_因子設定!$B$14,01_因子設定!$B$15-U1448))),-1E+030)</f>
        <v>-3.01306398556466</v>
      </c>
      <c r="X1448" s="55" t="n">
        <f aca="false">IF(V1448,IF(01_因子設定!$B$13="最大化",Q1448,IF(01_因子設定!$B$13="最小化",-Q1448,-ABS(Q1448-01_因子設定!$B$16))),-1E+030)</f>
        <v>46.64734375</v>
      </c>
      <c r="Y1448" s="55" t="n">
        <f aca="false">W1448+ROW()*0.000000001</f>
        <v>-3.01306253756466</v>
      </c>
      <c r="Z1448" s="55" t="n">
        <f aca="false">X1448+ROW()*0.000000001</f>
        <v>46.647345198</v>
      </c>
    </row>
    <row r="1449" customFormat="false" ht="15" hidden="false" customHeight="false" outlineLevel="0" collapsed="false">
      <c r="A1449" s="0" t="n">
        <v>4</v>
      </c>
      <c r="B1449" s="0" t="n">
        <v>16</v>
      </c>
      <c r="C1449" s="0" t="n">
        <v>16</v>
      </c>
      <c r="D1449" s="0" t="n">
        <f aca="false">-1+A1449*0.125</f>
        <v>-0.5</v>
      </c>
      <c r="E1449" s="0" t="n">
        <f aca="false">-1+B1449*0.125</f>
        <v>1</v>
      </c>
      <c r="F1449" s="0" t="n">
        <f aca="false">-1+C1449*0.125</f>
        <v>1</v>
      </c>
      <c r="G1449" s="0" t="n">
        <f aca="false">1</f>
        <v>1</v>
      </c>
      <c r="H1449" s="0" t="n">
        <f aca="false">D1449</f>
        <v>-0.5</v>
      </c>
      <c r="I1449" s="0" t="n">
        <f aca="false">E1449</f>
        <v>1</v>
      </c>
      <c r="J1449" s="0" t="n">
        <f aca="false">F1449</f>
        <v>1</v>
      </c>
      <c r="K1449" s="0" t="n">
        <f aca="false">D1449*E1449</f>
        <v>-0.5</v>
      </c>
      <c r="L1449" s="0" t="n">
        <f aca="false">D1449*F1449</f>
        <v>-0.5</v>
      </c>
      <c r="M1449" s="0" t="n">
        <f aca="false">E1449*F1449</f>
        <v>1</v>
      </c>
      <c r="N1449" s="0" t="n">
        <f aca="false">D1449*D1449</f>
        <v>0.25</v>
      </c>
      <c r="O1449" s="0" t="n">
        <f aca="false">E1449*E1449</f>
        <v>1</v>
      </c>
      <c r="P1449" s="0" t="n">
        <f aca="false">F1449*F1449</f>
        <v>1</v>
      </c>
      <c r="Q1449" s="0" t="n">
        <f aca="false">SUMPRODUCT(G1449:P1449,_XtX!$B$71:$K$71)</f>
        <v>46.6095454545455</v>
      </c>
      <c r="R1449" s="0" t="n">
        <f aca="false">SUMPRODUCT(MMULT(G1449:P1449,_XtX!$B$58:$K$67),G1449:P1449)</f>
        <v>0.667045454545455</v>
      </c>
      <c r="S1449" s="0" t="n">
        <f aca="false">04_回帰ANOVA!$K$19*04_回帰ANOVA!$K$14*SQRT(1+R1449)</f>
        <v>1.200439720088</v>
      </c>
      <c r="T1449" s="0" t="n">
        <f aca="false">Q1449-S1449</f>
        <v>45.4091057344575</v>
      </c>
      <c r="U1449" s="0" t="n">
        <f aca="false">Q1449+S1449</f>
        <v>47.8099851746335</v>
      </c>
      <c r="V1449" s="54" t="b">
        <f aca="false">AND(D1449&gt;=01_因子設定!$L$5-0.000000001,D1449&lt;=01_因子設定!$M$5+0.000000001,E1449&gt;=01_因子設定!$L$6-0.000000001,E1449&lt;=01_因子設定!$M$6+0.000000001,F1449&gt;=01_因子設定!$L$7-0.000000001,F1449&lt;=01_因子設定!$M$7+0.000000001,IF(01_因子設定!$B$20="Box-Behnken",D1449^2+E1449^2+F1449^2&lt;=2+0.000000001,TRUE()))</f>
        <v>1</v>
      </c>
      <c r="W1449" s="55" t="n">
        <f aca="false">IF(V1449,IF(01_因子設定!$B$13="最大化",T1449-01_因子設定!$B$14,IF(01_因子設定!$B$13="最小化",01_因子設定!$B$15-U1449,MIN(T1449-01_因子設定!$B$14,01_因子設定!$B$15-U1449))),-1E+030)</f>
        <v>-3.09089426554252</v>
      </c>
      <c r="X1449" s="55" t="n">
        <f aca="false">IF(V1449,IF(01_因子設定!$B$13="最大化",Q1449,IF(01_因子設定!$B$13="最小化",-Q1449,-ABS(Q1449-01_因子設定!$B$16))),-1E+030)</f>
        <v>46.6095454545455</v>
      </c>
      <c r="Y1449" s="55" t="n">
        <f aca="false">W1449+ROW()*0.000000001</f>
        <v>-3.09089281654252</v>
      </c>
      <c r="Z1449" s="55" t="n">
        <f aca="false">X1449+ROW()*0.000000001</f>
        <v>46.6095469035455</v>
      </c>
    </row>
    <row r="1450" customFormat="false" ht="15" hidden="false" customHeight="false" outlineLevel="0" collapsed="false">
      <c r="A1450" s="0" t="n">
        <v>5</v>
      </c>
      <c r="B1450" s="0" t="n">
        <v>0</v>
      </c>
      <c r="C1450" s="0" t="n">
        <v>0</v>
      </c>
      <c r="D1450" s="0" t="n">
        <f aca="false">-1+A1450*0.125</f>
        <v>-0.375</v>
      </c>
      <c r="E1450" s="0" t="n">
        <f aca="false">-1+B1450*0.125</f>
        <v>-1</v>
      </c>
      <c r="F1450" s="0" t="n">
        <f aca="false">-1+C1450*0.125</f>
        <v>-1</v>
      </c>
      <c r="G1450" s="0" t="n">
        <f aca="false">1</f>
        <v>1</v>
      </c>
      <c r="H1450" s="0" t="n">
        <f aca="false">D1450</f>
        <v>-0.375</v>
      </c>
      <c r="I1450" s="0" t="n">
        <f aca="false">E1450</f>
        <v>-1</v>
      </c>
      <c r="J1450" s="0" t="n">
        <f aca="false">F1450</f>
        <v>-1</v>
      </c>
      <c r="K1450" s="0" t="n">
        <f aca="false">D1450*E1450</f>
        <v>0.375</v>
      </c>
      <c r="L1450" s="0" t="n">
        <f aca="false">D1450*F1450</f>
        <v>0.375</v>
      </c>
      <c r="M1450" s="0" t="n">
        <f aca="false">E1450*F1450</f>
        <v>1</v>
      </c>
      <c r="N1450" s="0" t="n">
        <f aca="false">D1450*D1450</f>
        <v>0.140625</v>
      </c>
      <c r="O1450" s="0" t="n">
        <f aca="false">E1450*E1450</f>
        <v>1</v>
      </c>
      <c r="P1450" s="0" t="n">
        <f aca="false">F1450*F1450</f>
        <v>1</v>
      </c>
      <c r="Q1450" s="0" t="n">
        <f aca="false">SUMPRODUCT(G1450:P1450,_XtX!$B$71:$K$71)</f>
        <v>41.2486221590909</v>
      </c>
      <c r="R1450" s="0" t="n">
        <f aca="false">SUMPRODUCT(MMULT(G1450:P1450,_XtX!$B$58:$K$67),G1450:P1450)</f>
        <v>0.682830255681818</v>
      </c>
      <c r="S1450" s="0" t="n">
        <f aca="false">04_回帰ANOVA!$K$19*04_回帰ANOVA!$K$14*SQRT(1+R1450)</f>
        <v>1.20610964896955</v>
      </c>
      <c r="T1450" s="0" t="n">
        <f aca="false">Q1450-S1450</f>
        <v>40.0425125101214</v>
      </c>
      <c r="U1450" s="0" t="n">
        <f aca="false">Q1450+S1450</f>
        <v>42.4547318080605</v>
      </c>
      <c r="V1450" s="54" t="b">
        <f aca="false">AND(D1450&gt;=01_因子設定!$L$5-0.000000001,D1450&lt;=01_因子設定!$M$5+0.000000001,E1450&gt;=01_因子設定!$L$6-0.000000001,E1450&lt;=01_因子設定!$M$6+0.000000001,F1450&gt;=01_因子設定!$L$7-0.000000001,F1450&lt;=01_因子設定!$M$7+0.000000001,IF(01_因子設定!$B$20="Box-Behnken",D1450^2+E1450^2+F1450^2&lt;=2+0.000000001,TRUE()))</f>
        <v>1</v>
      </c>
      <c r="W1450" s="55" t="n">
        <f aca="false">IF(V1450,IF(01_因子設定!$B$13="最大化",T1450-01_因子設定!$B$14,IF(01_因子設定!$B$13="最小化",01_因子設定!$B$15-U1450,MIN(T1450-01_因子設定!$B$14,01_因子設定!$B$15-U1450))),-1E+030)</f>
        <v>-8.45748748987861</v>
      </c>
      <c r="X1450" s="55" t="n">
        <f aca="false">IF(V1450,IF(01_因子設定!$B$13="最大化",Q1450,IF(01_因子設定!$B$13="最小化",-Q1450,-ABS(Q1450-01_因子設定!$B$16))),-1E+030)</f>
        <v>41.2486221590909</v>
      </c>
      <c r="Y1450" s="55" t="n">
        <f aca="false">W1450+ROW()*0.000000001</f>
        <v>-8.45748603987861</v>
      </c>
      <c r="Z1450" s="55" t="n">
        <f aca="false">X1450+ROW()*0.000000001</f>
        <v>41.2486236090909</v>
      </c>
    </row>
    <row r="1451" customFormat="false" ht="15" hidden="false" customHeight="false" outlineLevel="0" collapsed="false">
      <c r="A1451" s="0" t="n">
        <v>5</v>
      </c>
      <c r="B1451" s="0" t="n">
        <v>0</v>
      </c>
      <c r="C1451" s="0" t="n">
        <v>1</v>
      </c>
      <c r="D1451" s="0" t="n">
        <f aca="false">-1+A1451*0.125</f>
        <v>-0.375</v>
      </c>
      <c r="E1451" s="0" t="n">
        <f aca="false">-1+B1451*0.125</f>
        <v>-1</v>
      </c>
      <c r="F1451" s="0" t="n">
        <f aca="false">-1+C1451*0.125</f>
        <v>-0.875</v>
      </c>
      <c r="G1451" s="0" t="n">
        <f aca="false">1</f>
        <v>1</v>
      </c>
      <c r="H1451" s="0" t="n">
        <f aca="false">D1451</f>
        <v>-0.375</v>
      </c>
      <c r="I1451" s="0" t="n">
        <f aca="false">E1451</f>
        <v>-1</v>
      </c>
      <c r="J1451" s="0" t="n">
        <f aca="false">F1451</f>
        <v>-0.875</v>
      </c>
      <c r="K1451" s="0" t="n">
        <f aca="false">D1451*E1451</f>
        <v>0.375</v>
      </c>
      <c r="L1451" s="0" t="n">
        <f aca="false">D1451*F1451</f>
        <v>0.328125</v>
      </c>
      <c r="M1451" s="0" t="n">
        <f aca="false">E1451*F1451</f>
        <v>0.875</v>
      </c>
      <c r="N1451" s="0" t="n">
        <f aca="false">D1451*D1451</f>
        <v>0.140625</v>
      </c>
      <c r="O1451" s="0" t="n">
        <f aca="false">E1451*E1451</f>
        <v>1</v>
      </c>
      <c r="P1451" s="0" t="n">
        <f aca="false">F1451*F1451</f>
        <v>0.765625</v>
      </c>
      <c r="Q1451" s="0" t="n">
        <f aca="false">SUMPRODUCT(G1451:P1451,_XtX!$B$71:$K$71)</f>
        <v>41.6478267045455</v>
      </c>
      <c r="R1451" s="0" t="n">
        <f aca="false">SUMPRODUCT(MMULT(G1451:P1451,_XtX!$B$58:$K$67),G1451:P1451)</f>
        <v>0.56971269087358</v>
      </c>
      <c r="S1451" s="0" t="n">
        <f aca="false">04_回帰ANOVA!$K$19*04_回帰ANOVA!$K$14*SQRT(1+R1451)</f>
        <v>1.16486801567081</v>
      </c>
      <c r="T1451" s="0" t="n">
        <f aca="false">Q1451-S1451</f>
        <v>40.4829586888747</v>
      </c>
      <c r="U1451" s="0" t="n">
        <f aca="false">Q1451+S1451</f>
        <v>42.8126947202163</v>
      </c>
      <c r="V1451" s="54" t="b">
        <f aca="false">AND(D1451&gt;=01_因子設定!$L$5-0.000000001,D1451&lt;=01_因子設定!$M$5+0.000000001,E1451&gt;=01_因子設定!$L$6-0.000000001,E1451&lt;=01_因子設定!$M$6+0.000000001,F1451&gt;=01_因子設定!$L$7-0.000000001,F1451&lt;=01_因子設定!$M$7+0.000000001,IF(01_因子設定!$B$20="Box-Behnken",D1451^2+E1451^2+F1451^2&lt;=2+0.000000001,TRUE()))</f>
        <v>1</v>
      </c>
      <c r="W1451" s="55" t="n">
        <f aca="false">IF(V1451,IF(01_因子設定!$B$13="最大化",T1451-01_因子設定!$B$14,IF(01_因子設定!$B$13="最小化",01_因子設定!$B$15-U1451,MIN(T1451-01_因子設定!$B$14,01_因子設定!$B$15-U1451))),-1E+030)</f>
        <v>-8.01704131112533</v>
      </c>
      <c r="X1451" s="55" t="n">
        <f aca="false">IF(V1451,IF(01_因子設定!$B$13="最大化",Q1451,IF(01_因子設定!$B$13="最小化",-Q1451,-ABS(Q1451-01_因子設定!$B$16))),-1E+030)</f>
        <v>41.6478267045455</v>
      </c>
      <c r="Y1451" s="55" t="n">
        <f aca="false">W1451+ROW()*0.000000001</f>
        <v>-8.01703986012533</v>
      </c>
      <c r="Z1451" s="55" t="n">
        <f aca="false">X1451+ROW()*0.000000001</f>
        <v>41.6478281555455</v>
      </c>
    </row>
    <row r="1452" customFormat="false" ht="15" hidden="false" customHeight="false" outlineLevel="0" collapsed="false">
      <c r="A1452" s="0" t="n">
        <v>5</v>
      </c>
      <c r="B1452" s="0" t="n">
        <v>0</v>
      </c>
      <c r="C1452" s="0" t="n">
        <v>2</v>
      </c>
      <c r="D1452" s="0" t="n">
        <f aca="false">-1+A1452*0.125</f>
        <v>-0.375</v>
      </c>
      <c r="E1452" s="0" t="n">
        <f aca="false">-1+B1452*0.125</f>
        <v>-1</v>
      </c>
      <c r="F1452" s="0" t="n">
        <f aca="false">-1+C1452*0.125</f>
        <v>-0.75</v>
      </c>
      <c r="G1452" s="0" t="n">
        <f aca="false">1</f>
        <v>1</v>
      </c>
      <c r="H1452" s="0" t="n">
        <f aca="false">D1452</f>
        <v>-0.375</v>
      </c>
      <c r="I1452" s="0" t="n">
        <f aca="false">E1452</f>
        <v>-1</v>
      </c>
      <c r="J1452" s="0" t="n">
        <f aca="false">F1452</f>
        <v>-0.75</v>
      </c>
      <c r="K1452" s="0" t="n">
        <f aca="false">D1452*E1452</f>
        <v>0.375</v>
      </c>
      <c r="L1452" s="0" t="n">
        <f aca="false">D1452*F1452</f>
        <v>0.28125</v>
      </c>
      <c r="M1452" s="0" t="n">
        <f aca="false">E1452*F1452</f>
        <v>0.75</v>
      </c>
      <c r="N1452" s="0" t="n">
        <f aca="false">D1452*D1452</f>
        <v>0.140625</v>
      </c>
      <c r="O1452" s="0" t="n">
        <f aca="false">E1452*E1452</f>
        <v>1</v>
      </c>
      <c r="P1452" s="0" t="n">
        <f aca="false">F1452*F1452</f>
        <v>0.5625</v>
      </c>
      <c r="Q1452" s="0" t="n">
        <f aca="false">SUMPRODUCT(G1452:P1452,_XtX!$B$71:$K$71)</f>
        <v>42.0102414772728</v>
      </c>
      <c r="R1452" s="0" t="n">
        <f aca="false">SUMPRODUCT(MMULT(G1452:P1452,_XtX!$B$58:$K$67),G1452:P1452)</f>
        <v>0.503992808948864</v>
      </c>
      <c r="S1452" s="0" t="n">
        <f aca="false">04_回帰ANOVA!$K$19*04_回帰ANOVA!$K$14*SQRT(1+R1452)</f>
        <v>1.14022226176226</v>
      </c>
      <c r="T1452" s="0" t="n">
        <f aca="false">Q1452-S1452</f>
        <v>40.8700192155105</v>
      </c>
      <c r="U1452" s="0" t="n">
        <f aca="false">Q1452+S1452</f>
        <v>43.150463739035</v>
      </c>
      <c r="V1452" s="54" t="b">
        <f aca="false">AND(D1452&gt;=01_因子設定!$L$5-0.000000001,D1452&lt;=01_因子設定!$M$5+0.000000001,E1452&gt;=01_因子設定!$L$6-0.000000001,E1452&lt;=01_因子設定!$M$6+0.000000001,F1452&gt;=01_因子設定!$L$7-0.000000001,F1452&lt;=01_因子設定!$M$7+0.000000001,IF(01_因子設定!$B$20="Box-Behnken",D1452^2+E1452^2+F1452^2&lt;=2+0.000000001,TRUE()))</f>
        <v>1</v>
      </c>
      <c r="W1452" s="55" t="n">
        <f aca="false">IF(V1452,IF(01_因子設定!$B$13="最大化",T1452-01_因子設定!$B$14,IF(01_因子設定!$B$13="最小化",01_因子設定!$B$15-U1452,MIN(T1452-01_因子設定!$B$14,01_因子設定!$B$15-U1452))),-1E+030)</f>
        <v>-7.62998078448951</v>
      </c>
      <c r="X1452" s="55" t="n">
        <f aca="false">IF(V1452,IF(01_因子設定!$B$13="最大化",Q1452,IF(01_因子設定!$B$13="最小化",-Q1452,-ABS(Q1452-01_因子設定!$B$16))),-1E+030)</f>
        <v>42.0102414772728</v>
      </c>
      <c r="Y1452" s="55" t="n">
        <f aca="false">W1452+ROW()*0.000000001</f>
        <v>-7.62997933248951</v>
      </c>
      <c r="Z1452" s="55" t="n">
        <f aca="false">X1452+ROW()*0.000000001</f>
        <v>42.0102429292728</v>
      </c>
    </row>
    <row r="1453" customFormat="false" ht="15" hidden="false" customHeight="false" outlineLevel="0" collapsed="false">
      <c r="A1453" s="0" t="n">
        <v>5</v>
      </c>
      <c r="B1453" s="0" t="n">
        <v>0</v>
      </c>
      <c r="C1453" s="0" t="n">
        <v>3</v>
      </c>
      <c r="D1453" s="0" t="n">
        <f aca="false">-1+A1453*0.125</f>
        <v>-0.375</v>
      </c>
      <c r="E1453" s="0" t="n">
        <f aca="false">-1+B1453*0.125</f>
        <v>-1</v>
      </c>
      <c r="F1453" s="0" t="n">
        <f aca="false">-1+C1453*0.125</f>
        <v>-0.625</v>
      </c>
      <c r="G1453" s="0" t="n">
        <f aca="false">1</f>
        <v>1</v>
      </c>
      <c r="H1453" s="0" t="n">
        <f aca="false">D1453</f>
        <v>-0.375</v>
      </c>
      <c r="I1453" s="0" t="n">
        <f aca="false">E1453</f>
        <v>-1</v>
      </c>
      <c r="J1453" s="0" t="n">
        <f aca="false">F1453</f>
        <v>-0.625</v>
      </c>
      <c r="K1453" s="0" t="n">
        <f aca="false">D1453*E1453</f>
        <v>0.375</v>
      </c>
      <c r="L1453" s="0" t="n">
        <f aca="false">D1453*F1453</f>
        <v>0.234375</v>
      </c>
      <c r="M1453" s="0" t="n">
        <f aca="false">E1453*F1453</f>
        <v>0.625</v>
      </c>
      <c r="N1453" s="0" t="n">
        <f aca="false">D1453*D1453</f>
        <v>0.140625</v>
      </c>
      <c r="O1453" s="0" t="n">
        <f aca="false">E1453*E1453</f>
        <v>1</v>
      </c>
      <c r="P1453" s="0" t="n">
        <f aca="false">F1453*F1453</f>
        <v>0.390625</v>
      </c>
      <c r="Q1453" s="0" t="n">
        <f aca="false">SUMPRODUCT(G1453:P1453,_XtX!$B$71:$K$71)</f>
        <v>42.3358664772727</v>
      </c>
      <c r="R1453" s="0" t="n">
        <f aca="false">SUMPRODUCT(MMULT(G1453:P1453,_XtX!$B$58:$K$67),G1453:P1453)</f>
        <v>0.471821178089489</v>
      </c>
      <c r="S1453" s="0" t="n">
        <f aca="false">04_回帰ANOVA!$K$19*04_回帰ANOVA!$K$14*SQRT(1+R1453)</f>
        <v>1.12796119746125</v>
      </c>
      <c r="T1453" s="0" t="n">
        <f aca="false">Q1453-S1453</f>
        <v>41.2079052798115</v>
      </c>
      <c r="U1453" s="0" t="n">
        <f aca="false">Q1453+S1453</f>
        <v>43.463827674734</v>
      </c>
      <c r="V1453" s="54" t="b">
        <f aca="false">AND(D1453&gt;=01_因子設定!$L$5-0.000000001,D1453&lt;=01_因子設定!$M$5+0.000000001,E1453&gt;=01_因子設定!$L$6-0.000000001,E1453&lt;=01_因子設定!$M$6+0.000000001,F1453&gt;=01_因子設定!$L$7-0.000000001,F1453&lt;=01_因子設定!$M$7+0.000000001,IF(01_因子設定!$B$20="Box-Behnken",D1453^2+E1453^2+F1453^2&lt;=2+0.000000001,TRUE()))</f>
        <v>1</v>
      </c>
      <c r="W1453" s="55" t="n">
        <f aca="false">IF(V1453,IF(01_因子設定!$B$13="最大化",T1453-01_因子設定!$B$14,IF(01_因子設定!$B$13="最小化",01_因子設定!$B$15-U1453,MIN(T1453-01_因子設定!$B$14,01_因子設定!$B$15-U1453))),-1E+030)</f>
        <v>-7.29209472018851</v>
      </c>
      <c r="X1453" s="55" t="n">
        <f aca="false">IF(V1453,IF(01_因子設定!$B$13="最大化",Q1453,IF(01_因子設定!$B$13="最小化",-Q1453,-ABS(Q1453-01_因子設定!$B$16))),-1E+030)</f>
        <v>42.3358664772727</v>
      </c>
      <c r="Y1453" s="55" t="n">
        <f aca="false">W1453+ROW()*0.000000001</f>
        <v>-7.29209326718851</v>
      </c>
      <c r="Z1453" s="55" t="n">
        <f aca="false">X1453+ROW()*0.000000001</f>
        <v>42.3358679302728</v>
      </c>
    </row>
    <row r="1454" customFormat="false" ht="15" hidden="false" customHeight="false" outlineLevel="0" collapsed="false">
      <c r="A1454" s="0" t="n">
        <v>5</v>
      </c>
      <c r="B1454" s="0" t="n">
        <v>0</v>
      </c>
      <c r="C1454" s="0" t="n">
        <v>4</v>
      </c>
      <c r="D1454" s="0" t="n">
        <f aca="false">-1+A1454*0.125</f>
        <v>-0.375</v>
      </c>
      <c r="E1454" s="0" t="n">
        <f aca="false">-1+B1454*0.125</f>
        <v>-1</v>
      </c>
      <c r="F1454" s="0" t="n">
        <f aca="false">-1+C1454*0.125</f>
        <v>-0.5</v>
      </c>
      <c r="G1454" s="0" t="n">
        <f aca="false">1</f>
        <v>1</v>
      </c>
      <c r="H1454" s="0" t="n">
        <f aca="false">D1454</f>
        <v>-0.375</v>
      </c>
      <c r="I1454" s="0" t="n">
        <f aca="false">E1454</f>
        <v>-1</v>
      </c>
      <c r="J1454" s="0" t="n">
        <f aca="false">F1454</f>
        <v>-0.5</v>
      </c>
      <c r="K1454" s="0" t="n">
        <f aca="false">D1454*E1454</f>
        <v>0.375</v>
      </c>
      <c r="L1454" s="0" t="n">
        <f aca="false">D1454*F1454</f>
        <v>0.1875</v>
      </c>
      <c r="M1454" s="0" t="n">
        <f aca="false">E1454*F1454</f>
        <v>0.5</v>
      </c>
      <c r="N1454" s="0" t="n">
        <f aca="false">D1454*D1454</f>
        <v>0.140625</v>
      </c>
      <c r="O1454" s="0" t="n">
        <f aca="false">E1454*E1454</f>
        <v>1</v>
      </c>
      <c r="P1454" s="0" t="n">
        <f aca="false">F1454*F1454</f>
        <v>0.25</v>
      </c>
      <c r="Q1454" s="0" t="n">
        <f aca="false">SUMPRODUCT(G1454:P1454,_XtX!$B$71:$K$71)</f>
        <v>42.6247017045455</v>
      </c>
      <c r="R1454" s="0" t="n">
        <f aca="false">SUMPRODUCT(MMULT(G1454:P1454,_XtX!$B$58:$K$67),G1454:P1454)</f>
        <v>0.461479048295455</v>
      </c>
      <c r="S1454" s="0" t="n">
        <f aca="false">04_回帰ANOVA!$K$19*04_回帰ANOVA!$K$14*SQRT(1+R1454)</f>
        <v>1.12399125658369</v>
      </c>
      <c r="T1454" s="0" t="n">
        <f aca="false">Q1454-S1454</f>
        <v>41.5007104479618</v>
      </c>
      <c r="U1454" s="0" t="n">
        <f aca="false">Q1454+S1454</f>
        <v>43.7486929611292</v>
      </c>
      <c r="V1454" s="54" t="b">
        <f aca="false">AND(D1454&gt;=01_因子設定!$L$5-0.000000001,D1454&lt;=01_因子設定!$M$5+0.000000001,E1454&gt;=01_因子設定!$L$6-0.000000001,E1454&lt;=01_因子設定!$M$6+0.000000001,F1454&gt;=01_因子設定!$L$7-0.000000001,F1454&lt;=01_因子設定!$M$7+0.000000001,IF(01_因子設定!$B$20="Box-Behnken",D1454^2+E1454^2+F1454^2&lt;=2+0.000000001,TRUE()))</f>
        <v>1</v>
      </c>
      <c r="W1454" s="55" t="n">
        <f aca="false">IF(V1454,IF(01_因子設定!$B$13="最大化",T1454-01_因子設定!$B$14,IF(01_因子設定!$B$13="最小化",01_因子設定!$B$15-U1454,MIN(T1454-01_因子設定!$B$14,01_因子設定!$B$15-U1454))),-1E+030)</f>
        <v>-6.99928955203822</v>
      </c>
      <c r="X1454" s="55" t="n">
        <f aca="false">IF(V1454,IF(01_因子設定!$B$13="最大化",Q1454,IF(01_因子設定!$B$13="最小化",-Q1454,-ABS(Q1454-01_因子設定!$B$16))),-1E+030)</f>
        <v>42.6247017045455</v>
      </c>
      <c r="Y1454" s="55" t="n">
        <f aca="false">W1454+ROW()*0.000000001</f>
        <v>-6.99928809803822</v>
      </c>
      <c r="Z1454" s="55" t="n">
        <f aca="false">X1454+ROW()*0.000000001</f>
        <v>42.6247031585455</v>
      </c>
    </row>
    <row r="1455" customFormat="false" ht="15" hidden="false" customHeight="false" outlineLevel="0" collapsed="false">
      <c r="A1455" s="0" t="n">
        <v>5</v>
      </c>
      <c r="B1455" s="0" t="n">
        <v>0</v>
      </c>
      <c r="C1455" s="0" t="n">
        <v>5</v>
      </c>
      <c r="D1455" s="0" t="n">
        <f aca="false">-1+A1455*0.125</f>
        <v>-0.375</v>
      </c>
      <c r="E1455" s="0" t="n">
        <f aca="false">-1+B1455*0.125</f>
        <v>-1</v>
      </c>
      <c r="F1455" s="0" t="n">
        <f aca="false">-1+C1455*0.125</f>
        <v>-0.375</v>
      </c>
      <c r="G1455" s="0" t="n">
        <f aca="false">1</f>
        <v>1</v>
      </c>
      <c r="H1455" s="0" t="n">
        <f aca="false">D1455</f>
        <v>-0.375</v>
      </c>
      <c r="I1455" s="0" t="n">
        <f aca="false">E1455</f>
        <v>-1</v>
      </c>
      <c r="J1455" s="0" t="n">
        <f aca="false">F1455</f>
        <v>-0.375</v>
      </c>
      <c r="K1455" s="0" t="n">
        <f aca="false">D1455*E1455</f>
        <v>0.375</v>
      </c>
      <c r="L1455" s="0" t="n">
        <f aca="false">D1455*F1455</f>
        <v>0.140625</v>
      </c>
      <c r="M1455" s="0" t="n">
        <f aca="false">E1455*F1455</f>
        <v>0.375</v>
      </c>
      <c r="N1455" s="0" t="n">
        <f aca="false">D1455*D1455</f>
        <v>0.140625</v>
      </c>
      <c r="O1455" s="0" t="n">
        <f aca="false">E1455*E1455</f>
        <v>1</v>
      </c>
      <c r="P1455" s="0" t="n">
        <f aca="false">F1455*F1455</f>
        <v>0.140625</v>
      </c>
      <c r="Q1455" s="0" t="n">
        <f aca="false">SUMPRODUCT(G1455:P1455,_XtX!$B$71:$K$71)</f>
        <v>42.8767471590909</v>
      </c>
      <c r="R1455" s="0" t="n">
        <f aca="false">SUMPRODUCT(MMULT(G1455:P1455,_XtX!$B$58:$K$67),G1455:P1455)</f>
        <v>0.463378351384943</v>
      </c>
      <c r="S1455" s="0" t="n">
        <f aca="false">04_回帰ANOVA!$K$19*04_回帰ANOVA!$K$14*SQRT(1+R1455)</f>
        <v>1.12472137547772</v>
      </c>
      <c r="T1455" s="0" t="n">
        <f aca="false">Q1455-S1455</f>
        <v>41.7520257836132</v>
      </c>
      <c r="U1455" s="0" t="n">
        <f aca="false">Q1455+S1455</f>
        <v>44.0014685345686</v>
      </c>
      <c r="V1455" s="54" t="b">
        <f aca="false">AND(D1455&gt;=01_因子設定!$L$5-0.000000001,D1455&lt;=01_因子設定!$M$5+0.000000001,E1455&gt;=01_因子設定!$L$6-0.000000001,E1455&lt;=01_因子設定!$M$6+0.000000001,F1455&gt;=01_因子設定!$L$7-0.000000001,F1455&lt;=01_因子設定!$M$7+0.000000001,IF(01_因子設定!$B$20="Box-Behnken",D1455^2+E1455^2+F1455^2&lt;=2+0.000000001,TRUE()))</f>
        <v>1</v>
      </c>
      <c r="W1455" s="55" t="n">
        <f aca="false">IF(V1455,IF(01_因子設定!$B$13="最大化",T1455-01_因子設定!$B$14,IF(01_因子設定!$B$13="最小化",01_因子設定!$B$15-U1455,MIN(T1455-01_因子設定!$B$14,01_因子設定!$B$15-U1455))),-1E+030)</f>
        <v>-6.7479742163868</v>
      </c>
      <c r="X1455" s="55" t="n">
        <f aca="false">IF(V1455,IF(01_因子設定!$B$13="最大化",Q1455,IF(01_因子設定!$B$13="最小化",-Q1455,-ABS(Q1455-01_因子設定!$B$16))),-1E+030)</f>
        <v>42.8767471590909</v>
      </c>
      <c r="Y1455" s="55" t="n">
        <f aca="false">W1455+ROW()*0.000000001</f>
        <v>-6.7479727613868</v>
      </c>
      <c r="Z1455" s="55" t="n">
        <f aca="false">X1455+ROW()*0.000000001</f>
        <v>42.8767486140909</v>
      </c>
    </row>
    <row r="1456" customFormat="false" ht="15" hidden="false" customHeight="false" outlineLevel="0" collapsed="false">
      <c r="A1456" s="0" t="n">
        <v>5</v>
      </c>
      <c r="B1456" s="0" t="n">
        <v>0</v>
      </c>
      <c r="C1456" s="0" t="n">
        <v>6</v>
      </c>
      <c r="D1456" s="0" t="n">
        <f aca="false">-1+A1456*0.125</f>
        <v>-0.375</v>
      </c>
      <c r="E1456" s="0" t="n">
        <f aca="false">-1+B1456*0.125</f>
        <v>-1</v>
      </c>
      <c r="F1456" s="0" t="n">
        <f aca="false">-1+C1456*0.125</f>
        <v>-0.25</v>
      </c>
      <c r="G1456" s="0" t="n">
        <f aca="false">1</f>
        <v>1</v>
      </c>
      <c r="H1456" s="0" t="n">
        <f aca="false">D1456</f>
        <v>-0.375</v>
      </c>
      <c r="I1456" s="0" t="n">
        <f aca="false">E1456</f>
        <v>-1</v>
      </c>
      <c r="J1456" s="0" t="n">
        <f aca="false">F1456</f>
        <v>-0.25</v>
      </c>
      <c r="K1456" s="0" t="n">
        <f aca="false">D1456*E1456</f>
        <v>0.375</v>
      </c>
      <c r="L1456" s="0" t="n">
        <f aca="false">D1456*F1456</f>
        <v>0.09375</v>
      </c>
      <c r="M1456" s="0" t="n">
        <f aca="false">E1456*F1456</f>
        <v>0.25</v>
      </c>
      <c r="N1456" s="0" t="n">
        <f aca="false">D1456*D1456</f>
        <v>0.140625</v>
      </c>
      <c r="O1456" s="0" t="n">
        <f aca="false">E1456*E1456</f>
        <v>1</v>
      </c>
      <c r="P1456" s="0" t="n">
        <f aca="false">F1456*F1456</f>
        <v>0.0625</v>
      </c>
      <c r="Q1456" s="0" t="n">
        <f aca="false">SUMPRODUCT(G1456:P1456,_XtX!$B$71:$K$71)</f>
        <v>43.0920028409091</v>
      </c>
      <c r="R1456" s="0" t="n">
        <f aca="false">SUMPRODUCT(MMULT(G1456:P1456,_XtX!$B$58:$K$67),G1456:P1456)</f>
        <v>0.470061700994318</v>
      </c>
      <c r="S1456" s="0" t="n">
        <f aca="false">04_回帰ANOVA!$K$19*04_回帰ANOVA!$K$14*SQRT(1+R1456)</f>
        <v>1.12728678965931</v>
      </c>
      <c r="T1456" s="0" t="n">
        <f aca="false">Q1456-S1456</f>
        <v>41.9647160512498</v>
      </c>
      <c r="U1456" s="0" t="n">
        <f aca="false">Q1456+S1456</f>
        <v>44.2192896305684</v>
      </c>
      <c r="V1456" s="54" t="b">
        <f aca="false">AND(D1456&gt;=01_因子設定!$L$5-0.000000001,D1456&lt;=01_因子設定!$M$5+0.000000001,E1456&gt;=01_因子設定!$L$6-0.000000001,E1456&lt;=01_因子設定!$M$6+0.000000001,F1456&gt;=01_因子設定!$L$7-0.000000001,F1456&lt;=01_因子設定!$M$7+0.000000001,IF(01_因子設定!$B$20="Box-Behnken",D1456^2+E1456^2+F1456^2&lt;=2+0.000000001,TRUE()))</f>
        <v>1</v>
      </c>
      <c r="W1456" s="55" t="n">
        <f aca="false">IF(V1456,IF(01_因子設定!$B$13="最大化",T1456-01_因子設定!$B$14,IF(01_因子設定!$B$13="最小化",01_因子設定!$B$15-U1456,MIN(T1456-01_因子設定!$B$14,01_因子設定!$B$15-U1456))),-1E+030)</f>
        <v>-6.53528394875021</v>
      </c>
      <c r="X1456" s="55" t="n">
        <f aca="false">IF(V1456,IF(01_因子設定!$B$13="最大化",Q1456,IF(01_因子設定!$B$13="最小化",-Q1456,-ABS(Q1456-01_因子設定!$B$16))),-1E+030)</f>
        <v>43.0920028409091</v>
      </c>
      <c r="Y1456" s="55" t="n">
        <f aca="false">W1456+ROW()*0.000000001</f>
        <v>-6.53528249275021</v>
      </c>
      <c r="Z1456" s="55" t="n">
        <f aca="false">X1456+ROW()*0.000000001</f>
        <v>43.0920042969091</v>
      </c>
    </row>
    <row r="1457" customFormat="false" ht="15" hidden="false" customHeight="false" outlineLevel="0" collapsed="false">
      <c r="A1457" s="0" t="n">
        <v>5</v>
      </c>
      <c r="B1457" s="0" t="n">
        <v>0</v>
      </c>
      <c r="C1457" s="0" t="n">
        <v>7</v>
      </c>
      <c r="D1457" s="0" t="n">
        <f aca="false">-1+A1457*0.125</f>
        <v>-0.375</v>
      </c>
      <c r="E1457" s="0" t="n">
        <f aca="false">-1+B1457*0.125</f>
        <v>-1</v>
      </c>
      <c r="F1457" s="0" t="n">
        <f aca="false">-1+C1457*0.125</f>
        <v>-0.125</v>
      </c>
      <c r="G1457" s="0" t="n">
        <f aca="false">1</f>
        <v>1</v>
      </c>
      <c r="H1457" s="0" t="n">
        <f aca="false">D1457</f>
        <v>-0.375</v>
      </c>
      <c r="I1457" s="0" t="n">
        <f aca="false">E1457</f>
        <v>-1</v>
      </c>
      <c r="J1457" s="0" t="n">
        <f aca="false">F1457</f>
        <v>-0.125</v>
      </c>
      <c r="K1457" s="0" t="n">
        <f aca="false">D1457*E1457</f>
        <v>0.375</v>
      </c>
      <c r="L1457" s="0" t="n">
        <f aca="false">D1457*F1457</f>
        <v>0.046875</v>
      </c>
      <c r="M1457" s="0" t="n">
        <f aca="false">E1457*F1457</f>
        <v>0.125</v>
      </c>
      <c r="N1457" s="0" t="n">
        <f aca="false">D1457*D1457</f>
        <v>0.140625</v>
      </c>
      <c r="O1457" s="0" t="n">
        <f aca="false">E1457*E1457</f>
        <v>1</v>
      </c>
      <c r="P1457" s="0" t="n">
        <f aca="false">F1457*F1457</f>
        <v>0.015625</v>
      </c>
      <c r="Q1457" s="0" t="n">
        <f aca="false">SUMPRODUCT(G1457:P1457,_XtX!$B$71:$K$71)</f>
        <v>43.27046875</v>
      </c>
      <c r="R1457" s="0" t="n">
        <f aca="false">SUMPRODUCT(MMULT(G1457:P1457,_XtX!$B$58:$K$67),G1457:P1457)</f>
        <v>0.476202392578125</v>
      </c>
      <c r="S1457" s="0" t="n">
        <f aca="false">04_回帰ANOVA!$K$19*04_回帰ANOVA!$K$14*SQRT(1+R1457)</f>
        <v>1.12963876802721</v>
      </c>
      <c r="T1457" s="0" t="n">
        <f aca="false">Q1457-S1457</f>
        <v>42.1408299819728</v>
      </c>
      <c r="U1457" s="0" t="n">
        <f aca="false">Q1457+S1457</f>
        <v>44.4001075180272</v>
      </c>
      <c r="V1457" s="54" t="b">
        <f aca="false">AND(D1457&gt;=01_因子設定!$L$5-0.000000001,D1457&lt;=01_因子設定!$M$5+0.000000001,E1457&gt;=01_因子設定!$L$6-0.000000001,E1457&lt;=01_因子設定!$M$6+0.000000001,F1457&gt;=01_因子設定!$L$7-0.000000001,F1457&lt;=01_因子設定!$M$7+0.000000001,IF(01_因子設定!$B$20="Box-Behnken",D1457^2+E1457^2+F1457^2&lt;=2+0.000000001,TRUE()))</f>
        <v>1</v>
      </c>
      <c r="W1457" s="55" t="n">
        <f aca="false">IF(V1457,IF(01_因子設定!$B$13="最大化",T1457-01_因子設定!$B$14,IF(01_因子設定!$B$13="最小化",01_因子設定!$B$15-U1457,MIN(T1457-01_因子設定!$B$14,01_因子設定!$B$15-U1457))),-1E+030)</f>
        <v>-6.3591700180272</v>
      </c>
      <c r="X1457" s="55" t="n">
        <f aca="false">IF(V1457,IF(01_因子設定!$B$13="最大化",Q1457,IF(01_因子設定!$B$13="最小化",-Q1457,-ABS(Q1457-01_因子設定!$B$16))),-1E+030)</f>
        <v>43.27046875</v>
      </c>
      <c r="Y1457" s="55" t="n">
        <f aca="false">W1457+ROW()*0.000000001</f>
        <v>-6.3591685610272</v>
      </c>
      <c r="Z1457" s="55" t="n">
        <f aca="false">X1457+ROW()*0.000000001</f>
        <v>43.270470207</v>
      </c>
    </row>
    <row r="1458" customFormat="false" ht="15" hidden="false" customHeight="false" outlineLevel="0" collapsed="false">
      <c r="A1458" s="0" t="n">
        <v>5</v>
      </c>
      <c r="B1458" s="0" t="n">
        <v>0</v>
      </c>
      <c r="C1458" s="0" t="n">
        <v>8</v>
      </c>
      <c r="D1458" s="0" t="n">
        <f aca="false">-1+A1458*0.125</f>
        <v>-0.375</v>
      </c>
      <c r="E1458" s="0" t="n">
        <f aca="false">-1+B1458*0.125</f>
        <v>-1</v>
      </c>
      <c r="F1458" s="0" t="n">
        <f aca="false">-1+C1458*0.125</f>
        <v>0</v>
      </c>
      <c r="G1458" s="0" t="n">
        <f aca="false">1</f>
        <v>1</v>
      </c>
      <c r="H1458" s="0" t="n">
        <f aca="false">D1458</f>
        <v>-0.375</v>
      </c>
      <c r="I1458" s="0" t="n">
        <f aca="false">E1458</f>
        <v>-1</v>
      </c>
      <c r="J1458" s="0" t="n">
        <f aca="false">F1458</f>
        <v>0</v>
      </c>
      <c r="K1458" s="0" t="n">
        <f aca="false">D1458*E1458</f>
        <v>0.375</v>
      </c>
      <c r="L1458" s="0" t="n">
        <f aca="false">D1458*F1458</f>
        <v>-0</v>
      </c>
      <c r="M1458" s="0" t="n">
        <f aca="false">E1458*F1458</f>
        <v>-0</v>
      </c>
      <c r="N1458" s="0" t="n">
        <f aca="false">D1458*D1458</f>
        <v>0.140625</v>
      </c>
      <c r="O1458" s="0" t="n">
        <f aca="false">E1458*E1458</f>
        <v>1</v>
      </c>
      <c r="P1458" s="0" t="n">
        <f aca="false">F1458*F1458</f>
        <v>0</v>
      </c>
      <c r="Q1458" s="0" t="n">
        <f aca="false">SUMPRODUCT(G1458:P1458,_XtX!$B$71:$K$71)</f>
        <v>43.4121448863636</v>
      </c>
      <c r="R1458" s="0" t="n">
        <f aca="false">SUMPRODUCT(MMULT(G1458:P1458,_XtX!$B$58:$K$67),G1458:P1458)</f>
        <v>0.478604403409091</v>
      </c>
      <c r="S1458" s="0" t="n">
        <f aca="false">04_回帰ANOVA!$K$19*04_回帰ANOVA!$K$14*SQRT(1+R1458)</f>
        <v>1.13055744343508</v>
      </c>
      <c r="T1458" s="0" t="n">
        <f aca="false">Q1458-S1458</f>
        <v>42.2815874429286</v>
      </c>
      <c r="U1458" s="0" t="n">
        <f aca="false">Q1458+S1458</f>
        <v>44.5427023297987</v>
      </c>
      <c r="V1458" s="54" t="b">
        <f aca="false">AND(D1458&gt;=01_因子設定!$L$5-0.000000001,D1458&lt;=01_因子設定!$M$5+0.000000001,E1458&gt;=01_因子設定!$L$6-0.000000001,E1458&lt;=01_因子設定!$M$6+0.000000001,F1458&gt;=01_因子設定!$L$7-0.000000001,F1458&lt;=01_因子設定!$M$7+0.000000001,IF(01_因子設定!$B$20="Box-Behnken",D1458^2+E1458^2+F1458^2&lt;=2+0.000000001,TRUE()))</f>
        <v>1</v>
      </c>
      <c r="W1458" s="55" t="n">
        <f aca="false">IF(V1458,IF(01_因子設定!$B$13="最大化",T1458-01_因子設定!$B$14,IF(01_因子設定!$B$13="最小化",01_因子設定!$B$15-U1458,MIN(T1458-01_因子設定!$B$14,01_因子設定!$B$15-U1458))),-1E+030)</f>
        <v>-6.21841255707144</v>
      </c>
      <c r="X1458" s="55" t="n">
        <f aca="false">IF(V1458,IF(01_因子設定!$B$13="最大化",Q1458,IF(01_因子設定!$B$13="最小化",-Q1458,-ABS(Q1458-01_因子設定!$B$16))),-1E+030)</f>
        <v>43.4121448863636</v>
      </c>
      <c r="Y1458" s="55" t="n">
        <f aca="false">W1458+ROW()*0.000000001</f>
        <v>-6.21841109907144</v>
      </c>
      <c r="Z1458" s="55" t="n">
        <f aca="false">X1458+ROW()*0.000000001</f>
        <v>43.4121463443636</v>
      </c>
    </row>
    <row r="1459" customFormat="false" ht="15" hidden="false" customHeight="false" outlineLevel="0" collapsed="false">
      <c r="A1459" s="0" t="n">
        <v>5</v>
      </c>
      <c r="B1459" s="0" t="n">
        <v>0</v>
      </c>
      <c r="C1459" s="0" t="n">
        <v>9</v>
      </c>
      <c r="D1459" s="0" t="n">
        <f aca="false">-1+A1459*0.125</f>
        <v>-0.375</v>
      </c>
      <c r="E1459" s="0" t="n">
        <f aca="false">-1+B1459*0.125</f>
        <v>-1</v>
      </c>
      <c r="F1459" s="0" t="n">
        <f aca="false">-1+C1459*0.125</f>
        <v>0.125</v>
      </c>
      <c r="G1459" s="0" t="n">
        <f aca="false">1</f>
        <v>1</v>
      </c>
      <c r="H1459" s="0" t="n">
        <f aca="false">D1459</f>
        <v>-0.375</v>
      </c>
      <c r="I1459" s="0" t="n">
        <f aca="false">E1459</f>
        <v>-1</v>
      </c>
      <c r="J1459" s="0" t="n">
        <f aca="false">F1459</f>
        <v>0.125</v>
      </c>
      <c r="K1459" s="0" t="n">
        <f aca="false">D1459*E1459</f>
        <v>0.375</v>
      </c>
      <c r="L1459" s="0" t="n">
        <f aca="false">D1459*F1459</f>
        <v>-0.046875</v>
      </c>
      <c r="M1459" s="0" t="n">
        <f aca="false">E1459*F1459</f>
        <v>-0.125</v>
      </c>
      <c r="N1459" s="0" t="n">
        <f aca="false">D1459*D1459</f>
        <v>0.140625</v>
      </c>
      <c r="O1459" s="0" t="n">
        <f aca="false">E1459*E1459</f>
        <v>1</v>
      </c>
      <c r="P1459" s="0" t="n">
        <f aca="false">F1459*F1459</f>
        <v>0.015625</v>
      </c>
      <c r="Q1459" s="0" t="n">
        <f aca="false">SUMPRODUCT(G1459:P1459,_XtX!$B$71:$K$71)</f>
        <v>43.51703125</v>
      </c>
      <c r="R1459" s="0" t="n">
        <f aca="false">SUMPRODUCT(MMULT(G1459:P1459,_XtX!$B$58:$K$67),G1459:P1459)</f>
        <v>0.476202392578125</v>
      </c>
      <c r="S1459" s="0" t="n">
        <f aca="false">04_回帰ANOVA!$K$19*04_回帰ANOVA!$K$14*SQRT(1+R1459)</f>
        <v>1.12963876802721</v>
      </c>
      <c r="T1459" s="0" t="n">
        <f aca="false">Q1459-S1459</f>
        <v>42.3873924819728</v>
      </c>
      <c r="U1459" s="0" t="n">
        <f aca="false">Q1459+S1459</f>
        <v>44.6466700180272</v>
      </c>
      <c r="V1459" s="54" t="b">
        <f aca="false">AND(D1459&gt;=01_因子設定!$L$5-0.000000001,D1459&lt;=01_因子設定!$M$5+0.000000001,E1459&gt;=01_因子設定!$L$6-0.000000001,E1459&lt;=01_因子設定!$M$6+0.000000001,F1459&gt;=01_因子設定!$L$7-0.000000001,F1459&lt;=01_因子設定!$M$7+0.000000001,IF(01_因子設定!$B$20="Box-Behnken",D1459^2+E1459^2+F1459^2&lt;=2+0.000000001,TRUE()))</f>
        <v>1</v>
      </c>
      <c r="W1459" s="55" t="n">
        <f aca="false">IF(V1459,IF(01_因子設定!$B$13="最大化",T1459-01_因子設定!$B$14,IF(01_因子設定!$B$13="最小化",01_因子設定!$B$15-U1459,MIN(T1459-01_因子設定!$B$14,01_因子設定!$B$15-U1459))),-1E+030)</f>
        <v>-6.1126075180272</v>
      </c>
      <c r="X1459" s="55" t="n">
        <f aca="false">IF(V1459,IF(01_因子設定!$B$13="最大化",Q1459,IF(01_因子設定!$B$13="最小化",-Q1459,-ABS(Q1459-01_因子設定!$B$16))),-1E+030)</f>
        <v>43.51703125</v>
      </c>
      <c r="Y1459" s="55" t="n">
        <f aca="false">W1459+ROW()*0.000000001</f>
        <v>-6.1126060590272</v>
      </c>
      <c r="Z1459" s="55" t="n">
        <f aca="false">X1459+ROW()*0.000000001</f>
        <v>43.517032709</v>
      </c>
    </row>
    <row r="1460" customFormat="false" ht="15" hidden="false" customHeight="false" outlineLevel="0" collapsed="false">
      <c r="A1460" s="0" t="n">
        <v>5</v>
      </c>
      <c r="B1460" s="0" t="n">
        <v>0</v>
      </c>
      <c r="C1460" s="0" t="n">
        <v>10</v>
      </c>
      <c r="D1460" s="0" t="n">
        <f aca="false">-1+A1460*0.125</f>
        <v>-0.375</v>
      </c>
      <c r="E1460" s="0" t="n">
        <f aca="false">-1+B1460*0.125</f>
        <v>-1</v>
      </c>
      <c r="F1460" s="0" t="n">
        <f aca="false">-1+C1460*0.125</f>
        <v>0.25</v>
      </c>
      <c r="G1460" s="0" t="n">
        <f aca="false">1</f>
        <v>1</v>
      </c>
      <c r="H1460" s="0" t="n">
        <f aca="false">D1460</f>
        <v>-0.375</v>
      </c>
      <c r="I1460" s="0" t="n">
        <f aca="false">E1460</f>
        <v>-1</v>
      </c>
      <c r="J1460" s="0" t="n">
        <f aca="false">F1460</f>
        <v>0.25</v>
      </c>
      <c r="K1460" s="0" t="n">
        <f aca="false">D1460*E1460</f>
        <v>0.375</v>
      </c>
      <c r="L1460" s="0" t="n">
        <f aca="false">D1460*F1460</f>
        <v>-0.09375</v>
      </c>
      <c r="M1460" s="0" t="n">
        <f aca="false">E1460*F1460</f>
        <v>-0.25</v>
      </c>
      <c r="N1460" s="0" t="n">
        <f aca="false">D1460*D1460</f>
        <v>0.140625</v>
      </c>
      <c r="O1460" s="0" t="n">
        <f aca="false">E1460*E1460</f>
        <v>1</v>
      </c>
      <c r="P1460" s="0" t="n">
        <f aca="false">F1460*F1460</f>
        <v>0.0625</v>
      </c>
      <c r="Q1460" s="0" t="n">
        <f aca="false">SUMPRODUCT(G1460:P1460,_XtX!$B$71:$K$71)</f>
        <v>43.5851278409091</v>
      </c>
      <c r="R1460" s="0" t="n">
        <f aca="false">SUMPRODUCT(MMULT(G1460:P1460,_XtX!$B$58:$K$67),G1460:P1460)</f>
        <v>0.470061700994318</v>
      </c>
      <c r="S1460" s="0" t="n">
        <f aca="false">04_回帰ANOVA!$K$19*04_回帰ANOVA!$K$14*SQRT(1+R1460)</f>
        <v>1.12728678965931</v>
      </c>
      <c r="T1460" s="0" t="n">
        <f aca="false">Q1460-S1460</f>
        <v>42.4578410512498</v>
      </c>
      <c r="U1460" s="0" t="n">
        <f aca="false">Q1460+S1460</f>
        <v>44.7124146305684</v>
      </c>
      <c r="V1460" s="54" t="b">
        <f aca="false">AND(D1460&gt;=01_因子設定!$L$5-0.000000001,D1460&lt;=01_因子設定!$M$5+0.000000001,E1460&gt;=01_因子設定!$L$6-0.000000001,E1460&lt;=01_因子設定!$M$6+0.000000001,F1460&gt;=01_因子設定!$L$7-0.000000001,F1460&lt;=01_因子設定!$M$7+0.000000001,IF(01_因子設定!$B$20="Box-Behnken",D1460^2+E1460^2+F1460^2&lt;=2+0.000000001,TRUE()))</f>
        <v>1</v>
      </c>
      <c r="W1460" s="55" t="n">
        <f aca="false">IF(V1460,IF(01_因子設定!$B$13="最大化",T1460-01_因子設定!$B$14,IF(01_因子設定!$B$13="最小化",01_因子設定!$B$15-U1460,MIN(T1460-01_因子設定!$B$14,01_因子設定!$B$15-U1460))),-1E+030)</f>
        <v>-6.04215894875021</v>
      </c>
      <c r="X1460" s="55" t="n">
        <f aca="false">IF(V1460,IF(01_因子設定!$B$13="最大化",Q1460,IF(01_因子設定!$B$13="最小化",-Q1460,-ABS(Q1460-01_因子設定!$B$16))),-1E+030)</f>
        <v>43.5851278409091</v>
      </c>
      <c r="Y1460" s="55" t="n">
        <f aca="false">W1460+ROW()*0.000000001</f>
        <v>-6.04215748875021</v>
      </c>
      <c r="Z1460" s="55" t="n">
        <f aca="false">X1460+ROW()*0.000000001</f>
        <v>43.5851293009091</v>
      </c>
    </row>
    <row r="1461" customFormat="false" ht="15" hidden="false" customHeight="false" outlineLevel="0" collapsed="false">
      <c r="A1461" s="0" t="n">
        <v>5</v>
      </c>
      <c r="B1461" s="0" t="n">
        <v>0</v>
      </c>
      <c r="C1461" s="0" t="n">
        <v>11</v>
      </c>
      <c r="D1461" s="0" t="n">
        <f aca="false">-1+A1461*0.125</f>
        <v>-0.375</v>
      </c>
      <c r="E1461" s="0" t="n">
        <f aca="false">-1+B1461*0.125</f>
        <v>-1</v>
      </c>
      <c r="F1461" s="0" t="n">
        <f aca="false">-1+C1461*0.125</f>
        <v>0.375</v>
      </c>
      <c r="G1461" s="0" t="n">
        <f aca="false">1</f>
        <v>1</v>
      </c>
      <c r="H1461" s="0" t="n">
        <f aca="false">D1461</f>
        <v>-0.375</v>
      </c>
      <c r="I1461" s="0" t="n">
        <f aca="false">E1461</f>
        <v>-1</v>
      </c>
      <c r="J1461" s="0" t="n">
        <f aca="false">F1461</f>
        <v>0.375</v>
      </c>
      <c r="K1461" s="0" t="n">
        <f aca="false">D1461*E1461</f>
        <v>0.375</v>
      </c>
      <c r="L1461" s="0" t="n">
        <f aca="false">D1461*F1461</f>
        <v>-0.140625</v>
      </c>
      <c r="M1461" s="0" t="n">
        <f aca="false">E1461*F1461</f>
        <v>-0.375</v>
      </c>
      <c r="N1461" s="0" t="n">
        <f aca="false">D1461*D1461</f>
        <v>0.140625</v>
      </c>
      <c r="O1461" s="0" t="n">
        <f aca="false">E1461*E1461</f>
        <v>1</v>
      </c>
      <c r="P1461" s="0" t="n">
        <f aca="false">F1461*F1461</f>
        <v>0.140625</v>
      </c>
      <c r="Q1461" s="0" t="n">
        <f aca="false">SUMPRODUCT(G1461:P1461,_XtX!$B$71:$K$71)</f>
        <v>43.6164346590909</v>
      </c>
      <c r="R1461" s="0" t="n">
        <f aca="false">SUMPRODUCT(MMULT(G1461:P1461,_XtX!$B$58:$K$67),G1461:P1461)</f>
        <v>0.463378351384943</v>
      </c>
      <c r="S1461" s="0" t="n">
        <f aca="false">04_回帰ANOVA!$K$19*04_回帰ANOVA!$K$14*SQRT(1+R1461)</f>
        <v>1.12472137547772</v>
      </c>
      <c r="T1461" s="0" t="n">
        <f aca="false">Q1461-S1461</f>
        <v>42.4917132836132</v>
      </c>
      <c r="U1461" s="0" t="n">
        <f aca="false">Q1461+S1461</f>
        <v>44.7411560345686</v>
      </c>
      <c r="V1461" s="54" t="b">
        <f aca="false">AND(D1461&gt;=01_因子設定!$L$5-0.000000001,D1461&lt;=01_因子設定!$M$5+0.000000001,E1461&gt;=01_因子設定!$L$6-0.000000001,E1461&lt;=01_因子設定!$M$6+0.000000001,F1461&gt;=01_因子設定!$L$7-0.000000001,F1461&lt;=01_因子設定!$M$7+0.000000001,IF(01_因子設定!$B$20="Box-Behnken",D1461^2+E1461^2+F1461^2&lt;=2+0.000000001,TRUE()))</f>
        <v>1</v>
      </c>
      <c r="W1461" s="55" t="n">
        <f aca="false">IF(V1461,IF(01_因子設定!$B$13="最大化",T1461-01_因子設定!$B$14,IF(01_因子設定!$B$13="最小化",01_因子設定!$B$15-U1461,MIN(T1461-01_因子設定!$B$14,01_因子設定!$B$15-U1461))),-1E+030)</f>
        <v>-6.0082867163868</v>
      </c>
      <c r="X1461" s="55" t="n">
        <f aca="false">IF(V1461,IF(01_因子設定!$B$13="最大化",Q1461,IF(01_因子設定!$B$13="最小化",-Q1461,-ABS(Q1461-01_因子設定!$B$16))),-1E+030)</f>
        <v>43.6164346590909</v>
      </c>
      <c r="Y1461" s="55" t="n">
        <f aca="false">W1461+ROW()*0.000000001</f>
        <v>-6.0082852553868</v>
      </c>
      <c r="Z1461" s="55" t="n">
        <f aca="false">X1461+ROW()*0.000000001</f>
        <v>43.6164361200909</v>
      </c>
    </row>
    <row r="1462" customFormat="false" ht="15" hidden="false" customHeight="false" outlineLevel="0" collapsed="false">
      <c r="A1462" s="0" t="n">
        <v>5</v>
      </c>
      <c r="B1462" s="0" t="n">
        <v>0</v>
      </c>
      <c r="C1462" s="0" t="n">
        <v>12</v>
      </c>
      <c r="D1462" s="0" t="n">
        <f aca="false">-1+A1462*0.125</f>
        <v>-0.375</v>
      </c>
      <c r="E1462" s="0" t="n">
        <f aca="false">-1+B1462*0.125</f>
        <v>-1</v>
      </c>
      <c r="F1462" s="0" t="n">
        <f aca="false">-1+C1462*0.125</f>
        <v>0.5</v>
      </c>
      <c r="G1462" s="0" t="n">
        <f aca="false">1</f>
        <v>1</v>
      </c>
      <c r="H1462" s="0" t="n">
        <f aca="false">D1462</f>
        <v>-0.375</v>
      </c>
      <c r="I1462" s="0" t="n">
        <f aca="false">E1462</f>
        <v>-1</v>
      </c>
      <c r="J1462" s="0" t="n">
        <f aca="false">F1462</f>
        <v>0.5</v>
      </c>
      <c r="K1462" s="0" t="n">
        <f aca="false">D1462*E1462</f>
        <v>0.375</v>
      </c>
      <c r="L1462" s="0" t="n">
        <f aca="false">D1462*F1462</f>
        <v>-0.1875</v>
      </c>
      <c r="M1462" s="0" t="n">
        <f aca="false">E1462*F1462</f>
        <v>-0.5</v>
      </c>
      <c r="N1462" s="0" t="n">
        <f aca="false">D1462*D1462</f>
        <v>0.140625</v>
      </c>
      <c r="O1462" s="0" t="n">
        <f aca="false">E1462*E1462</f>
        <v>1</v>
      </c>
      <c r="P1462" s="0" t="n">
        <f aca="false">F1462*F1462</f>
        <v>0.25</v>
      </c>
      <c r="Q1462" s="0" t="n">
        <f aca="false">SUMPRODUCT(G1462:P1462,_XtX!$B$71:$K$71)</f>
        <v>43.6109517045455</v>
      </c>
      <c r="R1462" s="0" t="n">
        <f aca="false">SUMPRODUCT(MMULT(G1462:P1462,_XtX!$B$58:$K$67),G1462:P1462)</f>
        <v>0.461479048295455</v>
      </c>
      <c r="S1462" s="0" t="n">
        <f aca="false">04_回帰ANOVA!$K$19*04_回帰ANOVA!$K$14*SQRT(1+R1462)</f>
        <v>1.12399125658369</v>
      </c>
      <c r="T1462" s="0" t="n">
        <f aca="false">Q1462-S1462</f>
        <v>42.4869604479618</v>
      </c>
      <c r="U1462" s="0" t="n">
        <f aca="false">Q1462+S1462</f>
        <v>44.7349429611292</v>
      </c>
      <c r="V1462" s="54" t="b">
        <f aca="false">AND(D1462&gt;=01_因子設定!$L$5-0.000000001,D1462&lt;=01_因子設定!$M$5+0.000000001,E1462&gt;=01_因子設定!$L$6-0.000000001,E1462&lt;=01_因子設定!$M$6+0.000000001,F1462&gt;=01_因子設定!$L$7-0.000000001,F1462&lt;=01_因子設定!$M$7+0.000000001,IF(01_因子設定!$B$20="Box-Behnken",D1462^2+E1462^2+F1462^2&lt;=2+0.000000001,TRUE()))</f>
        <v>1</v>
      </c>
      <c r="W1462" s="55" t="n">
        <f aca="false">IF(V1462,IF(01_因子設定!$B$13="最大化",T1462-01_因子設定!$B$14,IF(01_因子設定!$B$13="最小化",01_因子設定!$B$15-U1462,MIN(T1462-01_因子設定!$B$14,01_因子設定!$B$15-U1462))),-1E+030)</f>
        <v>-6.01303955203822</v>
      </c>
      <c r="X1462" s="55" t="n">
        <f aca="false">IF(V1462,IF(01_因子設定!$B$13="最大化",Q1462,IF(01_因子設定!$B$13="最小化",-Q1462,-ABS(Q1462-01_因子設定!$B$16))),-1E+030)</f>
        <v>43.6109517045455</v>
      </c>
      <c r="Y1462" s="55" t="n">
        <f aca="false">W1462+ROW()*0.000000001</f>
        <v>-6.01303809003822</v>
      </c>
      <c r="Z1462" s="55" t="n">
        <f aca="false">X1462+ROW()*0.000000001</f>
        <v>43.6109531665455</v>
      </c>
    </row>
    <row r="1463" customFormat="false" ht="15" hidden="false" customHeight="false" outlineLevel="0" collapsed="false">
      <c r="A1463" s="0" t="n">
        <v>5</v>
      </c>
      <c r="B1463" s="0" t="n">
        <v>0</v>
      </c>
      <c r="C1463" s="0" t="n">
        <v>13</v>
      </c>
      <c r="D1463" s="0" t="n">
        <f aca="false">-1+A1463*0.125</f>
        <v>-0.375</v>
      </c>
      <c r="E1463" s="0" t="n">
        <f aca="false">-1+B1463*0.125</f>
        <v>-1</v>
      </c>
      <c r="F1463" s="0" t="n">
        <f aca="false">-1+C1463*0.125</f>
        <v>0.625</v>
      </c>
      <c r="G1463" s="0" t="n">
        <f aca="false">1</f>
        <v>1</v>
      </c>
      <c r="H1463" s="0" t="n">
        <f aca="false">D1463</f>
        <v>-0.375</v>
      </c>
      <c r="I1463" s="0" t="n">
        <f aca="false">E1463</f>
        <v>-1</v>
      </c>
      <c r="J1463" s="0" t="n">
        <f aca="false">F1463</f>
        <v>0.625</v>
      </c>
      <c r="K1463" s="0" t="n">
        <f aca="false">D1463*E1463</f>
        <v>0.375</v>
      </c>
      <c r="L1463" s="0" t="n">
        <f aca="false">D1463*F1463</f>
        <v>-0.234375</v>
      </c>
      <c r="M1463" s="0" t="n">
        <f aca="false">E1463*F1463</f>
        <v>-0.625</v>
      </c>
      <c r="N1463" s="0" t="n">
        <f aca="false">D1463*D1463</f>
        <v>0.140625</v>
      </c>
      <c r="O1463" s="0" t="n">
        <f aca="false">E1463*E1463</f>
        <v>1</v>
      </c>
      <c r="P1463" s="0" t="n">
        <f aca="false">F1463*F1463</f>
        <v>0.390625</v>
      </c>
      <c r="Q1463" s="0" t="n">
        <f aca="false">SUMPRODUCT(G1463:P1463,_XtX!$B$71:$K$71)</f>
        <v>43.5686789772728</v>
      </c>
      <c r="R1463" s="0" t="n">
        <f aca="false">SUMPRODUCT(MMULT(G1463:P1463,_XtX!$B$58:$K$67),G1463:P1463)</f>
        <v>0.471821178089489</v>
      </c>
      <c r="S1463" s="0" t="n">
        <f aca="false">04_回帰ANOVA!$K$19*04_回帰ANOVA!$K$14*SQRT(1+R1463)</f>
        <v>1.12796119746125</v>
      </c>
      <c r="T1463" s="0" t="n">
        <f aca="false">Q1463-S1463</f>
        <v>42.4407177798115</v>
      </c>
      <c r="U1463" s="0" t="n">
        <f aca="false">Q1463+S1463</f>
        <v>44.696640174734</v>
      </c>
      <c r="V1463" s="54" t="b">
        <f aca="false">AND(D1463&gt;=01_因子設定!$L$5-0.000000001,D1463&lt;=01_因子設定!$M$5+0.000000001,E1463&gt;=01_因子設定!$L$6-0.000000001,E1463&lt;=01_因子設定!$M$6+0.000000001,F1463&gt;=01_因子設定!$L$7-0.000000001,F1463&lt;=01_因子設定!$M$7+0.000000001,IF(01_因子設定!$B$20="Box-Behnken",D1463^2+E1463^2+F1463^2&lt;=2+0.000000001,TRUE()))</f>
        <v>1</v>
      </c>
      <c r="W1463" s="55" t="n">
        <f aca="false">IF(V1463,IF(01_因子設定!$B$13="最大化",T1463-01_因子設定!$B$14,IF(01_因子設定!$B$13="最小化",01_因子設定!$B$15-U1463,MIN(T1463-01_因子設定!$B$14,01_因子設定!$B$15-U1463))),-1E+030)</f>
        <v>-6.05928222018851</v>
      </c>
      <c r="X1463" s="55" t="n">
        <f aca="false">IF(V1463,IF(01_因子設定!$B$13="最大化",Q1463,IF(01_因子設定!$B$13="最小化",-Q1463,-ABS(Q1463-01_因子設定!$B$16))),-1E+030)</f>
        <v>43.5686789772728</v>
      </c>
      <c r="Y1463" s="55" t="n">
        <f aca="false">W1463+ROW()*0.000000001</f>
        <v>-6.05928075718851</v>
      </c>
      <c r="Z1463" s="55" t="n">
        <f aca="false">X1463+ROW()*0.000000001</f>
        <v>43.5686804402727</v>
      </c>
    </row>
    <row r="1464" customFormat="false" ht="15" hidden="false" customHeight="false" outlineLevel="0" collapsed="false">
      <c r="A1464" s="0" t="n">
        <v>5</v>
      </c>
      <c r="B1464" s="0" t="n">
        <v>0</v>
      </c>
      <c r="C1464" s="0" t="n">
        <v>14</v>
      </c>
      <c r="D1464" s="0" t="n">
        <f aca="false">-1+A1464*0.125</f>
        <v>-0.375</v>
      </c>
      <c r="E1464" s="0" t="n">
        <f aca="false">-1+B1464*0.125</f>
        <v>-1</v>
      </c>
      <c r="F1464" s="0" t="n">
        <f aca="false">-1+C1464*0.125</f>
        <v>0.75</v>
      </c>
      <c r="G1464" s="0" t="n">
        <f aca="false">1</f>
        <v>1</v>
      </c>
      <c r="H1464" s="0" t="n">
        <f aca="false">D1464</f>
        <v>-0.375</v>
      </c>
      <c r="I1464" s="0" t="n">
        <f aca="false">E1464</f>
        <v>-1</v>
      </c>
      <c r="J1464" s="0" t="n">
        <f aca="false">F1464</f>
        <v>0.75</v>
      </c>
      <c r="K1464" s="0" t="n">
        <f aca="false">D1464*E1464</f>
        <v>0.375</v>
      </c>
      <c r="L1464" s="0" t="n">
        <f aca="false">D1464*F1464</f>
        <v>-0.28125</v>
      </c>
      <c r="M1464" s="0" t="n">
        <f aca="false">E1464*F1464</f>
        <v>-0.75</v>
      </c>
      <c r="N1464" s="0" t="n">
        <f aca="false">D1464*D1464</f>
        <v>0.140625</v>
      </c>
      <c r="O1464" s="0" t="n">
        <f aca="false">E1464*E1464</f>
        <v>1</v>
      </c>
      <c r="P1464" s="0" t="n">
        <f aca="false">F1464*F1464</f>
        <v>0.5625</v>
      </c>
      <c r="Q1464" s="0" t="n">
        <f aca="false">SUMPRODUCT(G1464:P1464,_XtX!$B$71:$K$71)</f>
        <v>43.4896164772728</v>
      </c>
      <c r="R1464" s="0" t="n">
        <f aca="false">SUMPRODUCT(MMULT(G1464:P1464,_XtX!$B$58:$K$67),G1464:P1464)</f>
        <v>0.503992808948864</v>
      </c>
      <c r="S1464" s="0" t="n">
        <f aca="false">04_回帰ANOVA!$K$19*04_回帰ANOVA!$K$14*SQRT(1+R1464)</f>
        <v>1.14022226176226</v>
      </c>
      <c r="T1464" s="0" t="n">
        <f aca="false">Q1464-S1464</f>
        <v>42.3493942155105</v>
      </c>
      <c r="U1464" s="0" t="n">
        <f aca="false">Q1464+S1464</f>
        <v>44.629838739035</v>
      </c>
      <c r="V1464" s="54" t="b">
        <f aca="false">AND(D1464&gt;=01_因子設定!$L$5-0.000000001,D1464&lt;=01_因子設定!$M$5+0.000000001,E1464&gt;=01_因子設定!$L$6-0.000000001,E1464&lt;=01_因子設定!$M$6+0.000000001,F1464&gt;=01_因子設定!$L$7-0.000000001,F1464&lt;=01_因子設定!$M$7+0.000000001,IF(01_因子設定!$B$20="Box-Behnken",D1464^2+E1464^2+F1464^2&lt;=2+0.000000001,TRUE()))</f>
        <v>1</v>
      </c>
      <c r="W1464" s="55" t="n">
        <f aca="false">IF(V1464,IF(01_因子設定!$B$13="最大化",T1464-01_因子設定!$B$14,IF(01_因子設定!$B$13="最小化",01_因子設定!$B$15-U1464,MIN(T1464-01_因子設定!$B$14,01_因子設定!$B$15-U1464))),-1E+030)</f>
        <v>-6.15060578448951</v>
      </c>
      <c r="X1464" s="55" t="n">
        <f aca="false">IF(V1464,IF(01_因子設定!$B$13="最大化",Q1464,IF(01_因子設定!$B$13="最小化",-Q1464,-ABS(Q1464-01_因子設定!$B$16))),-1E+030)</f>
        <v>43.4896164772728</v>
      </c>
      <c r="Y1464" s="55" t="n">
        <f aca="false">W1464+ROW()*0.000000001</f>
        <v>-6.15060432048951</v>
      </c>
      <c r="Z1464" s="55" t="n">
        <f aca="false">X1464+ROW()*0.000000001</f>
        <v>43.4896179412728</v>
      </c>
    </row>
    <row r="1465" customFormat="false" ht="15" hidden="false" customHeight="false" outlineLevel="0" collapsed="false">
      <c r="A1465" s="0" t="n">
        <v>5</v>
      </c>
      <c r="B1465" s="0" t="n">
        <v>0</v>
      </c>
      <c r="C1465" s="0" t="n">
        <v>15</v>
      </c>
      <c r="D1465" s="0" t="n">
        <f aca="false">-1+A1465*0.125</f>
        <v>-0.375</v>
      </c>
      <c r="E1465" s="0" t="n">
        <f aca="false">-1+B1465*0.125</f>
        <v>-1</v>
      </c>
      <c r="F1465" s="0" t="n">
        <f aca="false">-1+C1465*0.125</f>
        <v>0.875</v>
      </c>
      <c r="G1465" s="0" t="n">
        <f aca="false">1</f>
        <v>1</v>
      </c>
      <c r="H1465" s="0" t="n">
        <f aca="false">D1465</f>
        <v>-0.375</v>
      </c>
      <c r="I1465" s="0" t="n">
        <f aca="false">E1465</f>
        <v>-1</v>
      </c>
      <c r="J1465" s="0" t="n">
        <f aca="false">F1465</f>
        <v>0.875</v>
      </c>
      <c r="K1465" s="0" t="n">
        <f aca="false">D1465*E1465</f>
        <v>0.375</v>
      </c>
      <c r="L1465" s="0" t="n">
        <f aca="false">D1465*F1465</f>
        <v>-0.328125</v>
      </c>
      <c r="M1465" s="0" t="n">
        <f aca="false">E1465*F1465</f>
        <v>-0.875</v>
      </c>
      <c r="N1465" s="0" t="n">
        <f aca="false">D1465*D1465</f>
        <v>0.140625</v>
      </c>
      <c r="O1465" s="0" t="n">
        <f aca="false">E1465*E1465</f>
        <v>1</v>
      </c>
      <c r="P1465" s="0" t="n">
        <f aca="false">F1465*F1465</f>
        <v>0.765625</v>
      </c>
      <c r="Q1465" s="0" t="n">
        <f aca="false">SUMPRODUCT(G1465:P1465,_XtX!$B$71:$K$71)</f>
        <v>43.3737642045455</v>
      </c>
      <c r="R1465" s="0" t="n">
        <f aca="false">SUMPRODUCT(MMULT(G1465:P1465,_XtX!$B$58:$K$67),G1465:P1465)</f>
        <v>0.56971269087358</v>
      </c>
      <c r="S1465" s="0" t="n">
        <f aca="false">04_回帰ANOVA!$K$19*04_回帰ANOVA!$K$14*SQRT(1+R1465)</f>
        <v>1.16486801567081</v>
      </c>
      <c r="T1465" s="0" t="n">
        <f aca="false">Q1465-S1465</f>
        <v>42.2088961888747</v>
      </c>
      <c r="U1465" s="0" t="n">
        <f aca="false">Q1465+S1465</f>
        <v>44.5386322202163</v>
      </c>
      <c r="V1465" s="54" t="b">
        <f aca="false">AND(D1465&gt;=01_因子設定!$L$5-0.000000001,D1465&lt;=01_因子設定!$M$5+0.000000001,E1465&gt;=01_因子設定!$L$6-0.000000001,E1465&lt;=01_因子設定!$M$6+0.000000001,F1465&gt;=01_因子設定!$L$7-0.000000001,F1465&lt;=01_因子設定!$M$7+0.000000001,IF(01_因子設定!$B$20="Box-Behnken",D1465^2+E1465^2+F1465^2&lt;=2+0.000000001,TRUE()))</f>
        <v>1</v>
      </c>
      <c r="W1465" s="55" t="n">
        <f aca="false">IF(V1465,IF(01_因子設定!$B$13="最大化",T1465-01_因子設定!$B$14,IF(01_因子設定!$B$13="最小化",01_因子設定!$B$15-U1465,MIN(T1465-01_因子設定!$B$14,01_因子設定!$B$15-U1465))),-1E+030)</f>
        <v>-6.29110381112533</v>
      </c>
      <c r="X1465" s="55" t="n">
        <f aca="false">IF(V1465,IF(01_因子設定!$B$13="最大化",Q1465,IF(01_因子設定!$B$13="最小化",-Q1465,-ABS(Q1465-01_因子設定!$B$16))),-1E+030)</f>
        <v>43.3737642045455</v>
      </c>
      <c r="Y1465" s="55" t="n">
        <f aca="false">W1465+ROW()*0.000000001</f>
        <v>-6.29110234612532</v>
      </c>
      <c r="Z1465" s="55" t="n">
        <f aca="false">X1465+ROW()*0.000000001</f>
        <v>43.3737656695455</v>
      </c>
    </row>
    <row r="1466" customFormat="false" ht="15" hidden="false" customHeight="false" outlineLevel="0" collapsed="false">
      <c r="A1466" s="0" t="n">
        <v>5</v>
      </c>
      <c r="B1466" s="0" t="n">
        <v>0</v>
      </c>
      <c r="C1466" s="0" t="n">
        <v>16</v>
      </c>
      <c r="D1466" s="0" t="n">
        <f aca="false">-1+A1466*0.125</f>
        <v>-0.375</v>
      </c>
      <c r="E1466" s="0" t="n">
        <f aca="false">-1+B1466*0.125</f>
        <v>-1</v>
      </c>
      <c r="F1466" s="0" t="n">
        <f aca="false">-1+C1466*0.125</f>
        <v>1</v>
      </c>
      <c r="G1466" s="0" t="n">
        <f aca="false">1</f>
        <v>1</v>
      </c>
      <c r="H1466" s="0" t="n">
        <f aca="false">D1466</f>
        <v>-0.375</v>
      </c>
      <c r="I1466" s="0" t="n">
        <f aca="false">E1466</f>
        <v>-1</v>
      </c>
      <c r="J1466" s="0" t="n">
        <f aca="false">F1466</f>
        <v>1</v>
      </c>
      <c r="K1466" s="0" t="n">
        <f aca="false">D1466*E1466</f>
        <v>0.375</v>
      </c>
      <c r="L1466" s="0" t="n">
        <f aca="false">D1466*F1466</f>
        <v>-0.375</v>
      </c>
      <c r="M1466" s="0" t="n">
        <f aca="false">E1466*F1466</f>
        <v>-1</v>
      </c>
      <c r="N1466" s="0" t="n">
        <f aca="false">D1466*D1466</f>
        <v>0.140625</v>
      </c>
      <c r="O1466" s="0" t="n">
        <f aca="false">E1466*E1466</f>
        <v>1</v>
      </c>
      <c r="P1466" s="0" t="n">
        <f aca="false">F1466*F1466</f>
        <v>1</v>
      </c>
      <c r="Q1466" s="0" t="n">
        <f aca="false">SUMPRODUCT(G1466:P1466,_XtX!$B$71:$K$71)</f>
        <v>43.2211221590909</v>
      </c>
      <c r="R1466" s="0" t="n">
        <f aca="false">SUMPRODUCT(MMULT(G1466:P1466,_XtX!$B$58:$K$67),G1466:P1466)</f>
        <v>0.682830255681818</v>
      </c>
      <c r="S1466" s="0" t="n">
        <f aca="false">04_回帰ANOVA!$K$19*04_回帰ANOVA!$K$14*SQRT(1+R1466)</f>
        <v>1.20610964896955</v>
      </c>
      <c r="T1466" s="0" t="n">
        <f aca="false">Q1466-S1466</f>
        <v>42.0150125101214</v>
      </c>
      <c r="U1466" s="0" t="n">
        <f aca="false">Q1466+S1466</f>
        <v>44.4272318080605</v>
      </c>
      <c r="V1466" s="54" t="b">
        <f aca="false">AND(D1466&gt;=01_因子設定!$L$5-0.000000001,D1466&lt;=01_因子設定!$M$5+0.000000001,E1466&gt;=01_因子設定!$L$6-0.000000001,E1466&lt;=01_因子設定!$M$6+0.000000001,F1466&gt;=01_因子設定!$L$7-0.000000001,F1466&lt;=01_因子設定!$M$7+0.000000001,IF(01_因子設定!$B$20="Box-Behnken",D1466^2+E1466^2+F1466^2&lt;=2+0.000000001,TRUE()))</f>
        <v>1</v>
      </c>
      <c r="W1466" s="55" t="n">
        <f aca="false">IF(V1466,IF(01_因子設定!$B$13="最大化",T1466-01_因子設定!$B$14,IF(01_因子設定!$B$13="最小化",01_因子設定!$B$15-U1466,MIN(T1466-01_因子設定!$B$14,01_因子設定!$B$15-U1466))),-1E+030)</f>
        <v>-6.48498748987861</v>
      </c>
      <c r="X1466" s="55" t="n">
        <f aca="false">IF(V1466,IF(01_因子設定!$B$13="最大化",Q1466,IF(01_因子設定!$B$13="最小化",-Q1466,-ABS(Q1466-01_因子設定!$B$16))),-1E+030)</f>
        <v>43.2211221590909</v>
      </c>
      <c r="Y1466" s="55" t="n">
        <f aca="false">W1466+ROW()*0.000000001</f>
        <v>-6.48498602387861</v>
      </c>
      <c r="Z1466" s="55" t="n">
        <f aca="false">X1466+ROW()*0.000000001</f>
        <v>43.2211236250909</v>
      </c>
    </row>
    <row r="1467" customFormat="false" ht="15" hidden="false" customHeight="false" outlineLevel="0" collapsed="false">
      <c r="A1467" s="0" t="n">
        <v>5</v>
      </c>
      <c r="B1467" s="0" t="n">
        <v>1</v>
      </c>
      <c r="C1467" s="0" t="n">
        <v>0</v>
      </c>
      <c r="D1467" s="0" t="n">
        <f aca="false">-1+A1467*0.125</f>
        <v>-0.375</v>
      </c>
      <c r="E1467" s="0" t="n">
        <f aca="false">-1+B1467*0.125</f>
        <v>-0.875</v>
      </c>
      <c r="F1467" s="0" t="n">
        <f aca="false">-1+C1467*0.125</f>
        <v>-1</v>
      </c>
      <c r="G1467" s="0" t="n">
        <f aca="false">1</f>
        <v>1</v>
      </c>
      <c r="H1467" s="0" t="n">
        <f aca="false">D1467</f>
        <v>-0.375</v>
      </c>
      <c r="I1467" s="0" t="n">
        <f aca="false">E1467</f>
        <v>-0.875</v>
      </c>
      <c r="J1467" s="0" t="n">
        <f aca="false">F1467</f>
        <v>-1</v>
      </c>
      <c r="K1467" s="0" t="n">
        <f aca="false">D1467*E1467</f>
        <v>0.328125</v>
      </c>
      <c r="L1467" s="0" t="n">
        <f aca="false">D1467*F1467</f>
        <v>0.375</v>
      </c>
      <c r="M1467" s="0" t="n">
        <f aca="false">E1467*F1467</f>
        <v>0.875</v>
      </c>
      <c r="N1467" s="0" t="n">
        <f aca="false">D1467*D1467</f>
        <v>0.140625</v>
      </c>
      <c r="O1467" s="0" t="n">
        <f aca="false">E1467*E1467</f>
        <v>0.765625</v>
      </c>
      <c r="P1467" s="0" t="n">
        <f aca="false">F1467*F1467</f>
        <v>1</v>
      </c>
      <c r="Q1467" s="0" t="n">
        <f aca="false">SUMPRODUCT(G1467:P1467,_XtX!$B$71:$K$71)</f>
        <v>41.8688423295455</v>
      </c>
      <c r="R1467" s="0" t="n">
        <f aca="false">SUMPRODUCT(MMULT(G1467:P1467,_XtX!$B$58:$K$67),G1467:P1467)</f>
        <v>0.56971269087358</v>
      </c>
      <c r="S1467" s="0" t="n">
        <f aca="false">04_回帰ANOVA!$K$19*04_回帰ANOVA!$K$14*SQRT(1+R1467)</f>
        <v>1.16486801567081</v>
      </c>
      <c r="T1467" s="0" t="n">
        <f aca="false">Q1467-S1467</f>
        <v>40.7039743138747</v>
      </c>
      <c r="U1467" s="0" t="n">
        <f aca="false">Q1467+S1467</f>
        <v>43.0337103452163</v>
      </c>
      <c r="V1467" s="54" t="b">
        <f aca="false">AND(D1467&gt;=01_因子設定!$L$5-0.000000001,D1467&lt;=01_因子設定!$M$5+0.000000001,E1467&gt;=01_因子設定!$L$6-0.000000001,E1467&lt;=01_因子設定!$M$6+0.000000001,F1467&gt;=01_因子設定!$L$7-0.000000001,F1467&lt;=01_因子設定!$M$7+0.000000001,IF(01_因子設定!$B$20="Box-Behnken",D1467^2+E1467^2+F1467^2&lt;=2+0.000000001,TRUE()))</f>
        <v>1</v>
      </c>
      <c r="W1467" s="55" t="n">
        <f aca="false">IF(V1467,IF(01_因子設定!$B$13="最大化",T1467-01_因子設定!$B$14,IF(01_因子設定!$B$13="最小化",01_因子設定!$B$15-U1467,MIN(T1467-01_因子設定!$B$14,01_因子設定!$B$15-U1467))),-1E+030)</f>
        <v>-7.79602568612533</v>
      </c>
      <c r="X1467" s="55" t="n">
        <f aca="false">IF(V1467,IF(01_因子設定!$B$13="最大化",Q1467,IF(01_因子設定!$B$13="最小化",-Q1467,-ABS(Q1467-01_因子設定!$B$16))),-1E+030)</f>
        <v>41.8688423295455</v>
      </c>
      <c r="Y1467" s="55" t="n">
        <f aca="false">W1467+ROW()*0.000000001</f>
        <v>-7.79602421912533</v>
      </c>
      <c r="Z1467" s="55" t="n">
        <f aca="false">X1467+ROW()*0.000000001</f>
        <v>41.8688437965455</v>
      </c>
    </row>
    <row r="1468" customFormat="false" ht="15" hidden="false" customHeight="false" outlineLevel="0" collapsed="false">
      <c r="A1468" s="0" t="n">
        <v>5</v>
      </c>
      <c r="B1468" s="0" t="n">
        <v>1</v>
      </c>
      <c r="C1468" s="0" t="n">
        <v>1</v>
      </c>
      <c r="D1468" s="0" t="n">
        <f aca="false">-1+A1468*0.125</f>
        <v>-0.375</v>
      </c>
      <c r="E1468" s="0" t="n">
        <f aca="false">-1+B1468*0.125</f>
        <v>-0.875</v>
      </c>
      <c r="F1468" s="0" t="n">
        <f aca="false">-1+C1468*0.125</f>
        <v>-0.875</v>
      </c>
      <c r="G1468" s="0" t="n">
        <f aca="false">1</f>
        <v>1</v>
      </c>
      <c r="H1468" s="0" t="n">
        <f aca="false">D1468</f>
        <v>-0.375</v>
      </c>
      <c r="I1468" s="0" t="n">
        <f aca="false">E1468</f>
        <v>-0.875</v>
      </c>
      <c r="J1468" s="0" t="n">
        <f aca="false">F1468</f>
        <v>-0.875</v>
      </c>
      <c r="K1468" s="0" t="n">
        <f aca="false">D1468*E1468</f>
        <v>0.328125</v>
      </c>
      <c r="L1468" s="0" t="n">
        <f aca="false">D1468*F1468</f>
        <v>0.328125</v>
      </c>
      <c r="M1468" s="0" t="n">
        <f aca="false">E1468*F1468</f>
        <v>0.765625</v>
      </c>
      <c r="N1468" s="0" t="n">
        <f aca="false">D1468*D1468</f>
        <v>0.140625</v>
      </c>
      <c r="O1468" s="0" t="n">
        <f aca="false">E1468*E1468</f>
        <v>0.765625</v>
      </c>
      <c r="P1468" s="0" t="n">
        <f aca="false">F1468*F1468</f>
        <v>0.765625</v>
      </c>
      <c r="Q1468" s="0" t="n">
        <f aca="false">SUMPRODUCT(G1468:P1468,_XtX!$B$71:$K$71)</f>
        <v>42.275078125</v>
      </c>
      <c r="R1468" s="0" t="n">
        <f aca="false">SUMPRODUCT(MMULT(G1468:P1468,_XtX!$B$58:$K$67),G1468:P1468)</f>
        <v>0.448480224609375</v>
      </c>
      <c r="S1468" s="0" t="n">
        <f aca="false">04_回帰ANOVA!$K$19*04_回帰ANOVA!$K$14*SQRT(1+R1468)</f>
        <v>1.11898153812985</v>
      </c>
      <c r="T1468" s="0" t="n">
        <f aca="false">Q1468-S1468</f>
        <v>41.1560965868702</v>
      </c>
      <c r="U1468" s="0" t="n">
        <f aca="false">Q1468+S1468</f>
        <v>43.3940596631299</v>
      </c>
      <c r="V1468" s="54" t="b">
        <f aca="false">AND(D1468&gt;=01_因子設定!$L$5-0.000000001,D1468&lt;=01_因子設定!$M$5+0.000000001,E1468&gt;=01_因子設定!$L$6-0.000000001,E1468&lt;=01_因子設定!$M$6+0.000000001,F1468&gt;=01_因子設定!$L$7-0.000000001,F1468&lt;=01_因子設定!$M$7+0.000000001,IF(01_因子設定!$B$20="Box-Behnken",D1468^2+E1468^2+F1468^2&lt;=2+0.000000001,TRUE()))</f>
        <v>1</v>
      </c>
      <c r="W1468" s="55" t="n">
        <f aca="false">IF(V1468,IF(01_因子設定!$B$13="最大化",T1468-01_因子設定!$B$14,IF(01_因子設定!$B$13="最小化",01_因子設定!$B$15-U1468,MIN(T1468-01_因子設定!$B$14,01_因子設定!$B$15-U1468))),-1E+030)</f>
        <v>-7.34390341312982</v>
      </c>
      <c r="X1468" s="55" t="n">
        <f aca="false">IF(V1468,IF(01_因子設定!$B$13="最大化",Q1468,IF(01_因子設定!$B$13="最小化",-Q1468,-ABS(Q1468-01_因子設定!$B$16))),-1E+030)</f>
        <v>42.275078125</v>
      </c>
      <c r="Y1468" s="55" t="n">
        <f aca="false">W1468+ROW()*0.000000001</f>
        <v>-7.34390194512982</v>
      </c>
      <c r="Z1468" s="55" t="n">
        <f aca="false">X1468+ROW()*0.000000001</f>
        <v>42.275079593</v>
      </c>
    </row>
    <row r="1469" customFormat="false" ht="15" hidden="false" customHeight="false" outlineLevel="0" collapsed="false">
      <c r="A1469" s="0" t="n">
        <v>5</v>
      </c>
      <c r="B1469" s="0" t="n">
        <v>1</v>
      </c>
      <c r="C1469" s="0" t="n">
        <v>2</v>
      </c>
      <c r="D1469" s="0" t="n">
        <f aca="false">-1+A1469*0.125</f>
        <v>-0.375</v>
      </c>
      <c r="E1469" s="0" t="n">
        <f aca="false">-1+B1469*0.125</f>
        <v>-0.875</v>
      </c>
      <c r="F1469" s="0" t="n">
        <f aca="false">-1+C1469*0.125</f>
        <v>-0.75</v>
      </c>
      <c r="G1469" s="0" t="n">
        <f aca="false">1</f>
        <v>1</v>
      </c>
      <c r="H1469" s="0" t="n">
        <f aca="false">D1469</f>
        <v>-0.375</v>
      </c>
      <c r="I1469" s="0" t="n">
        <f aca="false">E1469</f>
        <v>-0.875</v>
      </c>
      <c r="J1469" s="0" t="n">
        <f aca="false">F1469</f>
        <v>-0.75</v>
      </c>
      <c r="K1469" s="0" t="n">
        <f aca="false">D1469*E1469</f>
        <v>0.328125</v>
      </c>
      <c r="L1469" s="0" t="n">
        <f aca="false">D1469*F1469</f>
        <v>0.28125</v>
      </c>
      <c r="M1469" s="0" t="n">
        <f aca="false">E1469*F1469</f>
        <v>0.65625</v>
      </c>
      <c r="N1469" s="0" t="n">
        <f aca="false">D1469*D1469</f>
        <v>0.140625</v>
      </c>
      <c r="O1469" s="0" t="n">
        <f aca="false">E1469*E1469</f>
        <v>0.765625</v>
      </c>
      <c r="P1469" s="0" t="n">
        <f aca="false">F1469*F1469</f>
        <v>0.5625</v>
      </c>
      <c r="Q1469" s="0" t="n">
        <f aca="false">SUMPRODUCT(G1469:P1469,_XtX!$B$71:$K$71)</f>
        <v>42.6445241477273</v>
      </c>
      <c r="R1469" s="0" t="n">
        <f aca="false">SUMPRODUCT(MMULT(G1469:P1469,_XtX!$B$58:$K$67),G1469:P1469)</f>
        <v>0.375727428089489</v>
      </c>
      <c r="S1469" s="0" t="n">
        <f aca="false">04_回帰ANOVA!$K$19*04_回帰ANOVA!$K$14*SQRT(1+R1469)</f>
        <v>1.09051798904087</v>
      </c>
      <c r="T1469" s="0" t="n">
        <f aca="false">Q1469-S1469</f>
        <v>41.5540061586864</v>
      </c>
      <c r="U1469" s="0" t="n">
        <f aca="false">Q1469+S1469</f>
        <v>43.7350421367682</v>
      </c>
      <c r="V1469" s="54" t="b">
        <f aca="false">AND(D1469&gt;=01_因子設定!$L$5-0.000000001,D1469&lt;=01_因子設定!$M$5+0.000000001,E1469&gt;=01_因子設定!$L$6-0.000000001,E1469&lt;=01_因子設定!$M$6+0.000000001,F1469&gt;=01_因子設定!$L$7-0.000000001,F1469&lt;=01_因子設定!$M$7+0.000000001,IF(01_因子設定!$B$20="Box-Behnken",D1469^2+E1469^2+F1469^2&lt;=2+0.000000001,TRUE()))</f>
        <v>1</v>
      </c>
      <c r="W1469" s="55" t="n">
        <f aca="false">IF(V1469,IF(01_因子設定!$B$13="最大化",T1469-01_因子設定!$B$14,IF(01_因子設定!$B$13="最小化",01_因子設定!$B$15-U1469,MIN(T1469-01_因子設定!$B$14,01_因子設定!$B$15-U1469))),-1E+030)</f>
        <v>-6.94599384131359</v>
      </c>
      <c r="X1469" s="55" t="n">
        <f aca="false">IF(V1469,IF(01_因子設定!$B$13="最大化",Q1469,IF(01_因子設定!$B$13="最小化",-Q1469,-ABS(Q1469-01_因子設定!$B$16))),-1E+030)</f>
        <v>42.6445241477273</v>
      </c>
      <c r="Y1469" s="55" t="n">
        <f aca="false">W1469+ROW()*0.000000001</f>
        <v>-6.94599237231359</v>
      </c>
      <c r="Z1469" s="55" t="n">
        <f aca="false">X1469+ROW()*0.000000001</f>
        <v>42.6445256167273</v>
      </c>
    </row>
    <row r="1470" customFormat="false" ht="15" hidden="false" customHeight="false" outlineLevel="0" collapsed="false">
      <c r="A1470" s="0" t="n">
        <v>5</v>
      </c>
      <c r="B1470" s="0" t="n">
        <v>1</v>
      </c>
      <c r="C1470" s="0" t="n">
        <v>3</v>
      </c>
      <c r="D1470" s="0" t="n">
        <f aca="false">-1+A1470*0.125</f>
        <v>-0.375</v>
      </c>
      <c r="E1470" s="0" t="n">
        <f aca="false">-1+B1470*0.125</f>
        <v>-0.875</v>
      </c>
      <c r="F1470" s="0" t="n">
        <f aca="false">-1+C1470*0.125</f>
        <v>-0.625</v>
      </c>
      <c r="G1470" s="0" t="n">
        <f aca="false">1</f>
        <v>1</v>
      </c>
      <c r="H1470" s="0" t="n">
        <f aca="false">D1470</f>
        <v>-0.375</v>
      </c>
      <c r="I1470" s="0" t="n">
        <f aca="false">E1470</f>
        <v>-0.875</v>
      </c>
      <c r="J1470" s="0" t="n">
        <f aca="false">F1470</f>
        <v>-0.625</v>
      </c>
      <c r="K1470" s="0" t="n">
        <f aca="false">D1470*E1470</f>
        <v>0.328125</v>
      </c>
      <c r="L1470" s="0" t="n">
        <f aca="false">D1470*F1470</f>
        <v>0.234375</v>
      </c>
      <c r="M1470" s="0" t="n">
        <f aca="false">E1470*F1470</f>
        <v>0.546875</v>
      </c>
      <c r="N1470" s="0" t="n">
        <f aca="false">D1470*D1470</f>
        <v>0.140625</v>
      </c>
      <c r="O1470" s="0" t="n">
        <f aca="false">E1470*E1470</f>
        <v>0.765625</v>
      </c>
      <c r="P1470" s="0" t="n">
        <f aca="false">F1470*F1470</f>
        <v>0.390625</v>
      </c>
      <c r="Q1470" s="0" t="n">
        <f aca="false">SUMPRODUCT(G1470:P1470,_XtX!$B$71:$K$71)</f>
        <v>42.9771803977273</v>
      </c>
      <c r="R1470" s="0" t="n">
        <f aca="false">SUMPRODUCT(MMULT(G1470:P1470,_XtX!$B$58:$K$67),G1470:P1470)</f>
        <v>0.337604869495739</v>
      </c>
      <c r="S1470" s="0" t="n">
        <f aca="false">04_回帰ANOVA!$K$19*04_回帰ANOVA!$K$14*SQRT(1+R1470)</f>
        <v>1.07530225516193</v>
      </c>
      <c r="T1470" s="0" t="n">
        <f aca="false">Q1470-S1470</f>
        <v>41.9018781425654</v>
      </c>
      <c r="U1470" s="0" t="n">
        <f aca="false">Q1470+S1470</f>
        <v>44.0524826528892</v>
      </c>
      <c r="V1470" s="54" t="b">
        <f aca="false">AND(D1470&gt;=01_因子設定!$L$5-0.000000001,D1470&lt;=01_因子設定!$M$5+0.000000001,E1470&gt;=01_因子設定!$L$6-0.000000001,E1470&lt;=01_因子設定!$M$6+0.000000001,F1470&gt;=01_因子設定!$L$7-0.000000001,F1470&lt;=01_因子設定!$M$7+0.000000001,IF(01_因子設定!$B$20="Box-Behnken",D1470^2+E1470^2+F1470^2&lt;=2+0.000000001,TRUE()))</f>
        <v>1</v>
      </c>
      <c r="W1470" s="55" t="n">
        <f aca="false">IF(V1470,IF(01_因子設定!$B$13="最大化",T1470-01_因子設定!$B$14,IF(01_因子設定!$B$13="最小化",01_因子設定!$B$15-U1470,MIN(T1470-01_因子設定!$B$14,01_因子設定!$B$15-U1470))),-1E+030)</f>
        <v>-6.59812185743463</v>
      </c>
      <c r="X1470" s="55" t="n">
        <f aca="false">IF(V1470,IF(01_因子設定!$B$13="最大化",Q1470,IF(01_因子設定!$B$13="最小化",-Q1470,-ABS(Q1470-01_因子設定!$B$16))),-1E+030)</f>
        <v>42.9771803977273</v>
      </c>
      <c r="Y1470" s="55" t="n">
        <f aca="false">W1470+ROW()*0.000000001</f>
        <v>-6.59812038743463</v>
      </c>
      <c r="Z1470" s="55" t="n">
        <f aca="false">X1470+ROW()*0.000000001</f>
        <v>42.9771818677273</v>
      </c>
    </row>
    <row r="1471" customFormat="false" ht="15" hidden="false" customHeight="false" outlineLevel="0" collapsed="false">
      <c r="A1471" s="0" t="n">
        <v>5</v>
      </c>
      <c r="B1471" s="0" t="n">
        <v>1</v>
      </c>
      <c r="C1471" s="0" t="n">
        <v>4</v>
      </c>
      <c r="D1471" s="0" t="n">
        <f aca="false">-1+A1471*0.125</f>
        <v>-0.375</v>
      </c>
      <c r="E1471" s="0" t="n">
        <f aca="false">-1+B1471*0.125</f>
        <v>-0.875</v>
      </c>
      <c r="F1471" s="0" t="n">
        <f aca="false">-1+C1471*0.125</f>
        <v>-0.5</v>
      </c>
      <c r="G1471" s="0" t="n">
        <f aca="false">1</f>
        <v>1</v>
      </c>
      <c r="H1471" s="0" t="n">
        <f aca="false">D1471</f>
        <v>-0.375</v>
      </c>
      <c r="I1471" s="0" t="n">
        <f aca="false">E1471</f>
        <v>-0.875</v>
      </c>
      <c r="J1471" s="0" t="n">
        <f aca="false">F1471</f>
        <v>-0.5</v>
      </c>
      <c r="K1471" s="0" t="n">
        <f aca="false">D1471*E1471</f>
        <v>0.328125</v>
      </c>
      <c r="L1471" s="0" t="n">
        <f aca="false">D1471*F1471</f>
        <v>0.1875</v>
      </c>
      <c r="M1471" s="0" t="n">
        <f aca="false">E1471*F1471</f>
        <v>0.4375</v>
      </c>
      <c r="N1471" s="0" t="n">
        <f aca="false">D1471*D1471</f>
        <v>0.140625</v>
      </c>
      <c r="O1471" s="0" t="n">
        <f aca="false">E1471*E1471</f>
        <v>0.765625</v>
      </c>
      <c r="P1471" s="0" t="n">
        <f aca="false">F1471*F1471</f>
        <v>0.25</v>
      </c>
      <c r="Q1471" s="0" t="n">
        <f aca="false">SUMPRODUCT(G1471:P1471,_XtX!$B$71:$K$71)</f>
        <v>43.273046875</v>
      </c>
      <c r="R1471" s="0" t="n">
        <f aca="false">SUMPRODUCT(MMULT(G1471:P1471,_XtX!$B$58:$K$67),G1471:P1471)</f>
        <v>0.322393798828125</v>
      </c>
      <c r="S1471" s="0" t="n">
        <f aca="false">04_回帰ANOVA!$K$19*04_回帰ANOVA!$K$14*SQRT(1+R1471)</f>
        <v>1.06917067390712</v>
      </c>
      <c r="T1471" s="0" t="n">
        <f aca="false">Q1471-S1471</f>
        <v>42.2038762010929</v>
      </c>
      <c r="U1471" s="0" t="n">
        <f aca="false">Q1471+S1471</f>
        <v>44.3422175489071</v>
      </c>
      <c r="V1471" s="54" t="b">
        <f aca="false">AND(D1471&gt;=01_因子設定!$L$5-0.000000001,D1471&lt;=01_因子設定!$M$5+0.000000001,E1471&gt;=01_因子設定!$L$6-0.000000001,E1471&lt;=01_因子設定!$M$6+0.000000001,F1471&gt;=01_因子設定!$L$7-0.000000001,F1471&lt;=01_因子設定!$M$7+0.000000001,IF(01_因子設定!$B$20="Box-Behnken",D1471^2+E1471^2+F1471^2&lt;=2+0.000000001,TRUE()))</f>
        <v>1</v>
      </c>
      <c r="W1471" s="55" t="n">
        <f aca="false">IF(V1471,IF(01_因子設定!$B$13="最大化",T1471-01_因子設定!$B$14,IF(01_因子設定!$B$13="最小化",01_因子設定!$B$15-U1471,MIN(T1471-01_因子設定!$B$14,01_因子設定!$B$15-U1471))),-1E+030)</f>
        <v>-6.2961237989071</v>
      </c>
      <c r="X1471" s="55" t="n">
        <f aca="false">IF(V1471,IF(01_因子設定!$B$13="最大化",Q1471,IF(01_因子設定!$B$13="最小化",-Q1471,-ABS(Q1471-01_因子設定!$B$16))),-1E+030)</f>
        <v>43.273046875</v>
      </c>
      <c r="Y1471" s="55" t="n">
        <f aca="false">W1471+ROW()*0.000000001</f>
        <v>-6.2961223279071</v>
      </c>
      <c r="Z1471" s="55" t="n">
        <f aca="false">X1471+ROW()*0.000000001</f>
        <v>43.273048346</v>
      </c>
    </row>
    <row r="1472" customFormat="false" ht="15" hidden="false" customHeight="false" outlineLevel="0" collapsed="false">
      <c r="A1472" s="0" t="n">
        <v>5</v>
      </c>
      <c r="B1472" s="0" t="n">
        <v>1</v>
      </c>
      <c r="C1472" s="0" t="n">
        <v>5</v>
      </c>
      <c r="D1472" s="0" t="n">
        <f aca="false">-1+A1472*0.125</f>
        <v>-0.375</v>
      </c>
      <c r="E1472" s="0" t="n">
        <f aca="false">-1+B1472*0.125</f>
        <v>-0.875</v>
      </c>
      <c r="F1472" s="0" t="n">
        <f aca="false">-1+C1472*0.125</f>
        <v>-0.375</v>
      </c>
      <c r="G1472" s="0" t="n">
        <f aca="false">1</f>
        <v>1</v>
      </c>
      <c r="H1472" s="0" t="n">
        <f aca="false">D1472</f>
        <v>-0.375</v>
      </c>
      <c r="I1472" s="0" t="n">
        <f aca="false">E1472</f>
        <v>-0.875</v>
      </c>
      <c r="J1472" s="0" t="n">
        <f aca="false">F1472</f>
        <v>-0.375</v>
      </c>
      <c r="K1472" s="0" t="n">
        <f aca="false">D1472*E1472</f>
        <v>0.328125</v>
      </c>
      <c r="L1472" s="0" t="n">
        <f aca="false">D1472*F1472</f>
        <v>0.140625</v>
      </c>
      <c r="M1472" s="0" t="n">
        <f aca="false">E1472*F1472</f>
        <v>0.328125</v>
      </c>
      <c r="N1472" s="0" t="n">
        <f aca="false">D1472*D1472</f>
        <v>0.140625</v>
      </c>
      <c r="O1472" s="0" t="n">
        <f aca="false">E1472*E1472</f>
        <v>0.765625</v>
      </c>
      <c r="P1472" s="0" t="n">
        <f aca="false">F1472*F1472</f>
        <v>0.140625</v>
      </c>
      <c r="Q1472" s="0" t="n">
        <f aca="false">SUMPRODUCT(G1472:P1472,_XtX!$B$71:$K$71)</f>
        <v>43.5321235795455</v>
      </c>
      <c r="R1472" s="0" t="n">
        <f aca="false">SUMPRODUCT(MMULT(G1472:P1472,_XtX!$B$58:$K$67),G1472:P1472)</f>
        <v>0.32050614790483</v>
      </c>
      <c r="S1472" s="0" t="n">
        <f aca="false">04_回帰ANOVA!$K$19*04_回帰ANOVA!$K$14*SQRT(1+R1472)</f>
        <v>1.06840730759619</v>
      </c>
      <c r="T1472" s="0" t="n">
        <f aca="false">Q1472-S1472</f>
        <v>42.4637162719493</v>
      </c>
      <c r="U1472" s="0" t="n">
        <f aca="false">Q1472+S1472</f>
        <v>44.6005308871417</v>
      </c>
      <c r="V1472" s="54" t="b">
        <f aca="false">AND(D1472&gt;=01_因子設定!$L$5-0.000000001,D1472&lt;=01_因子設定!$M$5+0.000000001,E1472&gt;=01_因子設定!$L$6-0.000000001,E1472&lt;=01_因子設定!$M$6+0.000000001,F1472&gt;=01_因子設定!$L$7-0.000000001,F1472&lt;=01_因子設定!$M$7+0.000000001,IF(01_因子設定!$B$20="Box-Behnken",D1472^2+E1472^2+F1472^2&lt;=2+0.000000001,TRUE()))</f>
        <v>1</v>
      </c>
      <c r="W1472" s="55" t="n">
        <f aca="false">IF(V1472,IF(01_因子設定!$B$13="最大化",T1472-01_因子設定!$B$14,IF(01_因子設定!$B$13="最小化",01_因子設定!$B$15-U1472,MIN(T1472-01_因子設定!$B$14,01_因子設定!$B$15-U1472))),-1E+030)</f>
        <v>-6.03628372805073</v>
      </c>
      <c r="X1472" s="55" t="n">
        <f aca="false">IF(V1472,IF(01_因子設定!$B$13="最大化",Q1472,IF(01_因子設定!$B$13="最小化",-Q1472,-ABS(Q1472-01_因子設定!$B$16))),-1E+030)</f>
        <v>43.5321235795455</v>
      </c>
      <c r="Y1472" s="55" t="n">
        <f aca="false">W1472+ROW()*0.000000001</f>
        <v>-6.03628225605073</v>
      </c>
      <c r="Z1472" s="55" t="n">
        <f aca="false">X1472+ROW()*0.000000001</f>
        <v>43.5321250515455</v>
      </c>
    </row>
    <row r="1473" customFormat="false" ht="15" hidden="false" customHeight="false" outlineLevel="0" collapsed="false">
      <c r="A1473" s="0" t="n">
        <v>5</v>
      </c>
      <c r="B1473" s="0" t="n">
        <v>1</v>
      </c>
      <c r="C1473" s="0" t="n">
        <v>6</v>
      </c>
      <c r="D1473" s="0" t="n">
        <f aca="false">-1+A1473*0.125</f>
        <v>-0.375</v>
      </c>
      <c r="E1473" s="0" t="n">
        <f aca="false">-1+B1473*0.125</f>
        <v>-0.875</v>
      </c>
      <c r="F1473" s="0" t="n">
        <f aca="false">-1+C1473*0.125</f>
        <v>-0.25</v>
      </c>
      <c r="G1473" s="0" t="n">
        <f aca="false">1</f>
        <v>1</v>
      </c>
      <c r="H1473" s="0" t="n">
        <f aca="false">D1473</f>
        <v>-0.375</v>
      </c>
      <c r="I1473" s="0" t="n">
        <f aca="false">E1473</f>
        <v>-0.875</v>
      </c>
      <c r="J1473" s="0" t="n">
        <f aca="false">F1473</f>
        <v>-0.25</v>
      </c>
      <c r="K1473" s="0" t="n">
        <f aca="false">D1473*E1473</f>
        <v>0.328125</v>
      </c>
      <c r="L1473" s="0" t="n">
        <f aca="false">D1473*F1473</f>
        <v>0.09375</v>
      </c>
      <c r="M1473" s="0" t="n">
        <f aca="false">E1473*F1473</f>
        <v>0.21875</v>
      </c>
      <c r="N1473" s="0" t="n">
        <f aca="false">D1473*D1473</f>
        <v>0.140625</v>
      </c>
      <c r="O1473" s="0" t="n">
        <f aca="false">E1473*E1473</f>
        <v>0.765625</v>
      </c>
      <c r="P1473" s="0" t="n">
        <f aca="false">F1473*F1473</f>
        <v>0.0625</v>
      </c>
      <c r="Q1473" s="0" t="n">
        <f aca="false">SUMPRODUCT(G1473:P1473,_XtX!$B$71:$K$71)</f>
        <v>43.7544105113636</v>
      </c>
      <c r="R1473" s="0" t="n">
        <f aca="false">SUMPRODUCT(MMULT(G1473:P1473,_XtX!$B$58:$K$67),G1473:P1473)</f>
        <v>0.324484530362216</v>
      </c>
      <c r="S1473" s="0" t="n">
        <f aca="false">04_回帰ANOVA!$K$19*04_回帰ANOVA!$K$14*SQRT(1+R1473)</f>
        <v>1.07001553041279</v>
      </c>
      <c r="T1473" s="0" t="n">
        <f aca="false">Q1473-S1473</f>
        <v>42.6843949809509</v>
      </c>
      <c r="U1473" s="0" t="n">
        <f aca="false">Q1473+S1473</f>
        <v>44.8244260417764</v>
      </c>
      <c r="V1473" s="54" t="b">
        <f aca="false">AND(D1473&gt;=01_因子設定!$L$5-0.000000001,D1473&lt;=01_因子設定!$M$5+0.000000001,E1473&gt;=01_因子設定!$L$6-0.000000001,E1473&lt;=01_因子設定!$M$6+0.000000001,F1473&gt;=01_因子設定!$L$7-0.000000001,F1473&lt;=01_因子設定!$M$7+0.000000001,IF(01_因子設定!$B$20="Box-Behnken",D1473^2+E1473^2+F1473^2&lt;=2+0.000000001,TRUE()))</f>
        <v>1</v>
      </c>
      <c r="W1473" s="55" t="n">
        <f aca="false">IF(V1473,IF(01_因子設定!$B$13="最大化",T1473-01_因子設定!$B$14,IF(01_因子設定!$B$13="最小化",01_因子設定!$B$15-U1473,MIN(T1473-01_因子設定!$B$14,01_因子設定!$B$15-U1473))),-1E+030)</f>
        <v>-5.81560501904914</v>
      </c>
      <c r="X1473" s="55" t="n">
        <f aca="false">IF(V1473,IF(01_因子設定!$B$13="最大化",Q1473,IF(01_因子設定!$B$13="最小化",-Q1473,-ABS(Q1473-01_因子設定!$B$16))),-1E+030)</f>
        <v>43.7544105113636</v>
      </c>
      <c r="Y1473" s="55" t="n">
        <f aca="false">W1473+ROW()*0.000000001</f>
        <v>-5.81560354604914</v>
      </c>
      <c r="Z1473" s="55" t="n">
        <f aca="false">X1473+ROW()*0.000000001</f>
        <v>43.7544119843636</v>
      </c>
    </row>
    <row r="1474" customFormat="false" ht="15" hidden="false" customHeight="false" outlineLevel="0" collapsed="false">
      <c r="A1474" s="0" t="n">
        <v>5</v>
      </c>
      <c r="B1474" s="0" t="n">
        <v>1</v>
      </c>
      <c r="C1474" s="0" t="n">
        <v>7</v>
      </c>
      <c r="D1474" s="0" t="n">
        <f aca="false">-1+A1474*0.125</f>
        <v>-0.375</v>
      </c>
      <c r="E1474" s="0" t="n">
        <f aca="false">-1+B1474*0.125</f>
        <v>-0.875</v>
      </c>
      <c r="F1474" s="0" t="n">
        <f aca="false">-1+C1474*0.125</f>
        <v>-0.125</v>
      </c>
      <c r="G1474" s="0" t="n">
        <f aca="false">1</f>
        <v>1</v>
      </c>
      <c r="H1474" s="0" t="n">
        <f aca="false">D1474</f>
        <v>-0.375</v>
      </c>
      <c r="I1474" s="0" t="n">
        <f aca="false">E1474</f>
        <v>-0.875</v>
      </c>
      <c r="J1474" s="0" t="n">
        <f aca="false">F1474</f>
        <v>-0.125</v>
      </c>
      <c r="K1474" s="0" t="n">
        <f aca="false">D1474*E1474</f>
        <v>0.328125</v>
      </c>
      <c r="L1474" s="0" t="n">
        <f aca="false">D1474*F1474</f>
        <v>0.046875</v>
      </c>
      <c r="M1474" s="0" t="n">
        <f aca="false">E1474*F1474</f>
        <v>0.109375</v>
      </c>
      <c r="N1474" s="0" t="n">
        <f aca="false">D1474*D1474</f>
        <v>0.140625</v>
      </c>
      <c r="O1474" s="0" t="n">
        <f aca="false">E1474*E1474</f>
        <v>0.765625</v>
      </c>
      <c r="P1474" s="0" t="n">
        <f aca="false">F1474*F1474</f>
        <v>0.015625</v>
      </c>
      <c r="Q1474" s="0" t="n">
        <f aca="false">SUMPRODUCT(G1474:P1474,_XtX!$B$71:$K$71)</f>
        <v>43.9399076704546</v>
      </c>
      <c r="R1474" s="0" t="n">
        <f aca="false">SUMPRODUCT(MMULT(G1474:P1474,_XtX!$B$58:$K$67),G1474:P1474)</f>
        <v>0.32900224165483</v>
      </c>
      <c r="S1474" s="0" t="n">
        <f aca="false">04_回帰ANOVA!$K$19*04_回帰ANOVA!$K$14*SQRT(1+R1474)</f>
        <v>1.07183884583628</v>
      </c>
      <c r="T1474" s="0" t="n">
        <f aca="false">Q1474-S1474</f>
        <v>42.8680688246183</v>
      </c>
      <c r="U1474" s="0" t="n">
        <f aca="false">Q1474+S1474</f>
        <v>45.0117465162908</v>
      </c>
      <c r="V1474" s="54" t="b">
        <f aca="false">AND(D1474&gt;=01_因子設定!$L$5-0.000000001,D1474&lt;=01_因子設定!$M$5+0.000000001,E1474&gt;=01_因子設定!$L$6-0.000000001,E1474&lt;=01_因子設定!$M$6+0.000000001,F1474&gt;=01_因子設定!$L$7-0.000000001,F1474&lt;=01_因子設定!$M$7+0.000000001,IF(01_因子設定!$B$20="Box-Behnken",D1474^2+E1474^2+F1474^2&lt;=2+0.000000001,TRUE()))</f>
        <v>1</v>
      </c>
      <c r="W1474" s="55" t="n">
        <f aca="false">IF(V1474,IF(01_因子設定!$B$13="最大化",T1474-01_因子設定!$B$14,IF(01_因子設定!$B$13="最小化",01_因子設定!$B$15-U1474,MIN(T1474-01_因子設定!$B$14,01_因子設定!$B$15-U1474))),-1E+030)</f>
        <v>-5.63193117538172</v>
      </c>
      <c r="X1474" s="55" t="n">
        <f aca="false">IF(V1474,IF(01_因子設定!$B$13="最大化",Q1474,IF(01_因子設定!$B$13="最小化",-Q1474,-ABS(Q1474-01_因子設定!$B$16))),-1E+030)</f>
        <v>43.9399076704546</v>
      </c>
      <c r="Y1474" s="55" t="n">
        <f aca="false">W1474+ROW()*0.000000001</f>
        <v>-5.63192970138172</v>
      </c>
      <c r="Z1474" s="55" t="n">
        <f aca="false">X1474+ROW()*0.000000001</f>
        <v>43.9399091444546</v>
      </c>
    </row>
    <row r="1475" customFormat="false" ht="15" hidden="false" customHeight="false" outlineLevel="0" collapsed="false">
      <c r="A1475" s="0" t="n">
        <v>5</v>
      </c>
      <c r="B1475" s="0" t="n">
        <v>1</v>
      </c>
      <c r="C1475" s="0" t="n">
        <v>8</v>
      </c>
      <c r="D1475" s="0" t="n">
        <f aca="false">-1+A1475*0.125</f>
        <v>-0.375</v>
      </c>
      <c r="E1475" s="0" t="n">
        <f aca="false">-1+B1475*0.125</f>
        <v>-0.875</v>
      </c>
      <c r="F1475" s="0" t="n">
        <f aca="false">-1+C1475*0.125</f>
        <v>0</v>
      </c>
      <c r="G1475" s="0" t="n">
        <f aca="false">1</f>
        <v>1</v>
      </c>
      <c r="H1475" s="0" t="n">
        <f aca="false">D1475</f>
        <v>-0.375</v>
      </c>
      <c r="I1475" s="0" t="n">
        <f aca="false">E1475</f>
        <v>-0.875</v>
      </c>
      <c r="J1475" s="0" t="n">
        <f aca="false">F1475</f>
        <v>0</v>
      </c>
      <c r="K1475" s="0" t="n">
        <f aca="false">D1475*E1475</f>
        <v>0.328125</v>
      </c>
      <c r="L1475" s="0" t="n">
        <f aca="false">D1475*F1475</f>
        <v>-0</v>
      </c>
      <c r="M1475" s="0" t="n">
        <f aca="false">E1475*F1475</f>
        <v>-0</v>
      </c>
      <c r="N1475" s="0" t="n">
        <f aca="false">D1475*D1475</f>
        <v>0.140625</v>
      </c>
      <c r="O1475" s="0" t="n">
        <f aca="false">E1475*E1475</f>
        <v>0.765625</v>
      </c>
      <c r="P1475" s="0" t="n">
        <f aca="false">F1475*F1475</f>
        <v>0</v>
      </c>
      <c r="Q1475" s="0" t="n">
        <f aca="false">SUMPRODUCT(G1475:P1475,_XtX!$B$71:$K$71)</f>
        <v>44.0886150568182</v>
      </c>
      <c r="R1475" s="0" t="n">
        <f aca="false">SUMPRODUCT(MMULT(G1475:P1475,_XtX!$B$58:$K$67),G1475:P1475)</f>
        <v>0.330863259055398</v>
      </c>
      <c r="S1475" s="0" t="n">
        <f aca="false">04_回帰ANOVA!$K$19*04_回帰ANOVA!$K$14*SQRT(1+R1475)</f>
        <v>1.07258903754571</v>
      </c>
      <c r="T1475" s="0" t="n">
        <f aca="false">Q1475-S1475</f>
        <v>43.0160260192725</v>
      </c>
      <c r="U1475" s="0" t="n">
        <f aca="false">Q1475+S1475</f>
        <v>45.1612040943639</v>
      </c>
      <c r="V1475" s="54" t="b">
        <f aca="false">AND(D1475&gt;=01_因子設定!$L$5-0.000000001,D1475&lt;=01_因子設定!$M$5+0.000000001,E1475&gt;=01_因子設定!$L$6-0.000000001,E1475&lt;=01_因子設定!$M$6+0.000000001,F1475&gt;=01_因子設定!$L$7-0.000000001,F1475&lt;=01_因子設定!$M$7+0.000000001,IF(01_因子設定!$B$20="Box-Behnken",D1475^2+E1475^2+F1475^2&lt;=2+0.000000001,TRUE()))</f>
        <v>1</v>
      </c>
      <c r="W1475" s="55" t="n">
        <f aca="false">IF(V1475,IF(01_因子設定!$B$13="最大化",T1475-01_因子設定!$B$14,IF(01_因子設定!$B$13="最小化",01_因子設定!$B$15-U1475,MIN(T1475-01_因子設定!$B$14,01_因子設定!$B$15-U1475))),-1E+030)</f>
        <v>-5.48397398072751</v>
      </c>
      <c r="X1475" s="55" t="n">
        <f aca="false">IF(V1475,IF(01_因子設定!$B$13="最大化",Q1475,IF(01_因子設定!$B$13="最小化",-Q1475,-ABS(Q1475-01_因子設定!$B$16))),-1E+030)</f>
        <v>44.0886150568182</v>
      </c>
      <c r="Y1475" s="55" t="n">
        <f aca="false">W1475+ROW()*0.000000001</f>
        <v>-5.48397250572751</v>
      </c>
      <c r="Z1475" s="55" t="n">
        <f aca="false">X1475+ROW()*0.000000001</f>
        <v>44.0886165318182</v>
      </c>
    </row>
    <row r="1476" customFormat="false" ht="15" hidden="false" customHeight="false" outlineLevel="0" collapsed="false">
      <c r="A1476" s="0" t="n">
        <v>5</v>
      </c>
      <c r="B1476" s="0" t="n">
        <v>1</v>
      </c>
      <c r="C1476" s="0" t="n">
        <v>9</v>
      </c>
      <c r="D1476" s="0" t="n">
        <f aca="false">-1+A1476*0.125</f>
        <v>-0.375</v>
      </c>
      <c r="E1476" s="0" t="n">
        <f aca="false">-1+B1476*0.125</f>
        <v>-0.875</v>
      </c>
      <c r="F1476" s="0" t="n">
        <f aca="false">-1+C1476*0.125</f>
        <v>0.125</v>
      </c>
      <c r="G1476" s="0" t="n">
        <f aca="false">1</f>
        <v>1</v>
      </c>
      <c r="H1476" s="0" t="n">
        <f aca="false">D1476</f>
        <v>-0.375</v>
      </c>
      <c r="I1476" s="0" t="n">
        <f aca="false">E1476</f>
        <v>-0.875</v>
      </c>
      <c r="J1476" s="0" t="n">
        <f aca="false">F1476</f>
        <v>0.125</v>
      </c>
      <c r="K1476" s="0" t="n">
        <f aca="false">D1476*E1476</f>
        <v>0.328125</v>
      </c>
      <c r="L1476" s="0" t="n">
        <f aca="false">D1476*F1476</f>
        <v>-0.046875</v>
      </c>
      <c r="M1476" s="0" t="n">
        <f aca="false">E1476*F1476</f>
        <v>-0.109375</v>
      </c>
      <c r="N1476" s="0" t="n">
        <f aca="false">D1476*D1476</f>
        <v>0.140625</v>
      </c>
      <c r="O1476" s="0" t="n">
        <f aca="false">E1476*E1476</f>
        <v>0.765625</v>
      </c>
      <c r="P1476" s="0" t="n">
        <f aca="false">F1476*F1476</f>
        <v>0.015625</v>
      </c>
      <c r="Q1476" s="0" t="n">
        <f aca="false">SUMPRODUCT(G1476:P1476,_XtX!$B$71:$K$71)</f>
        <v>44.2005326704546</v>
      </c>
      <c r="R1476" s="0" t="n">
        <f aca="false">SUMPRODUCT(MMULT(G1476:P1476,_XtX!$B$58:$K$67),G1476:P1476)</f>
        <v>0.32900224165483</v>
      </c>
      <c r="S1476" s="0" t="n">
        <f aca="false">04_回帰ANOVA!$K$19*04_回帰ANOVA!$K$14*SQRT(1+R1476)</f>
        <v>1.07183884583628</v>
      </c>
      <c r="T1476" s="0" t="n">
        <f aca="false">Q1476-S1476</f>
        <v>43.1286938246183</v>
      </c>
      <c r="U1476" s="0" t="n">
        <f aca="false">Q1476+S1476</f>
        <v>45.2723715162908</v>
      </c>
      <c r="V1476" s="54" t="b">
        <f aca="false">AND(D1476&gt;=01_因子設定!$L$5-0.000000001,D1476&lt;=01_因子設定!$M$5+0.000000001,E1476&gt;=01_因子設定!$L$6-0.000000001,E1476&lt;=01_因子設定!$M$6+0.000000001,F1476&gt;=01_因子設定!$L$7-0.000000001,F1476&lt;=01_因子設定!$M$7+0.000000001,IF(01_因子設定!$B$20="Box-Behnken",D1476^2+E1476^2+F1476^2&lt;=2+0.000000001,TRUE()))</f>
        <v>1</v>
      </c>
      <c r="W1476" s="55" t="n">
        <f aca="false">IF(V1476,IF(01_因子設定!$B$13="最大化",T1476-01_因子設定!$B$14,IF(01_因子設定!$B$13="最小化",01_因子設定!$B$15-U1476,MIN(T1476-01_因子設定!$B$14,01_因子設定!$B$15-U1476))),-1E+030)</f>
        <v>-5.37130617538172</v>
      </c>
      <c r="X1476" s="55" t="n">
        <f aca="false">IF(V1476,IF(01_因子設定!$B$13="最大化",Q1476,IF(01_因子設定!$B$13="最小化",-Q1476,-ABS(Q1476-01_因子設定!$B$16))),-1E+030)</f>
        <v>44.2005326704546</v>
      </c>
      <c r="Y1476" s="55" t="n">
        <f aca="false">W1476+ROW()*0.000000001</f>
        <v>-5.37130469938172</v>
      </c>
      <c r="Z1476" s="55" t="n">
        <f aca="false">X1476+ROW()*0.000000001</f>
        <v>44.2005341464546</v>
      </c>
    </row>
    <row r="1477" customFormat="false" ht="15" hidden="false" customHeight="false" outlineLevel="0" collapsed="false">
      <c r="A1477" s="0" t="n">
        <v>5</v>
      </c>
      <c r="B1477" s="0" t="n">
        <v>1</v>
      </c>
      <c r="C1477" s="0" t="n">
        <v>10</v>
      </c>
      <c r="D1477" s="0" t="n">
        <f aca="false">-1+A1477*0.125</f>
        <v>-0.375</v>
      </c>
      <c r="E1477" s="0" t="n">
        <f aca="false">-1+B1477*0.125</f>
        <v>-0.875</v>
      </c>
      <c r="F1477" s="0" t="n">
        <f aca="false">-1+C1477*0.125</f>
        <v>0.25</v>
      </c>
      <c r="G1477" s="0" t="n">
        <f aca="false">1</f>
        <v>1</v>
      </c>
      <c r="H1477" s="0" t="n">
        <f aca="false">D1477</f>
        <v>-0.375</v>
      </c>
      <c r="I1477" s="0" t="n">
        <f aca="false">E1477</f>
        <v>-0.875</v>
      </c>
      <c r="J1477" s="0" t="n">
        <f aca="false">F1477</f>
        <v>0.25</v>
      </c>
      <c r="K1477" s="0" t="n">
        <f aca="false">D1477*E1477</f>
        <v>0.328125</v>
      </c>
      <c r="L1477" s="0" t="n">
        <f aca="false">D1477*F1477</f>
        <v>-0.09375</v>
      </c>
      <c r="M1477" s="0" t="n">
        <f aca="false">E1477*F1477</f>
        <v>-0.21875</v>
      </c>
      <c r="N1477" s="0" t="n">
        <f aca="false">D1477*D1477</f>
        <v>0.140625</v>
      </c>
      <c r="O1477" s="0" t="n">
        <f aca="false">E1477*E1477</f>
        <v>0.765625</v>
      </c>
      <c r="P1477" s="0" t="n">
        <f aca="false">F1477*F1477</f>
        <v>0.0625</v>
      </c>
      <c r="Q1477" s="0" t="n">
        <f aca="false">SUMPRODUCT(G1477:P1477,_XtX!$B$71:$K$71)</f>
        <v>44.2756605113637</v>
      </c>
      <c r="R1477" s="0" t="n">
        <f aca="false">SUMPRODUCT(MMULT(G1477:P1477,_XtX!$B$58:$K$67),G1477:P1477)</f>
        <v>0.324484530362216</v>
      </c>
      <c r="S1477" s="0" t="n">
        <f aca="false">04_回帰ANOVA!$K$19*04_回帰ANOVA!$K$14*SQRT(1+R1477)</f>
        <v>1.07001553041279</v>
      </c>
      <c r="T1477" s="0" t="n">
        <f aca="false">Q1477-S1477</f>
        <v>43.2056449809509</v>
      </c>
      <c r="U1477" s="0" t="n">
        <f aca="false">Q1477+S1477</f>
        <v>45.3456760417764</v>
      </c>
      <c r="V1477" s="54" t="b">
        <f aca="false">AND(D1477&gt;=01_因子設定!$L$5-0.000000001,D1477&lt;=01_因子設定!$M$5+0.000000001,E1477&gt;=01_因子設定!$L$6-0.000000001,E1477&lt;=01_因子設定!$M$6+0.000000001,F1477&gt;=01_因子設定!$L$7-0.000000001,F1477&lt;=01_因子設定!$M$7+0.000000001,IF(01_因子設定!$B$20="Box-Behnken",D1477^2+E1477^2+F1477^2&lt;=2+0.000000001,TRUE()))</f>
        <v>1</v>
      </c>
      <c r="W1477" s="55" t="n">
        <f aca="false">IF(V1477,IF(01_因子設定!$B$13="最大化",T1477-01_因子設定!$B$14,IF(01_因子設定!$B$13="最小化",01_因子設定!$B$15-U1477,MIN(T1477-01_因子設定!$B$14,01_因子設定!$B$15-U1477))),-1E+030)</f>
        <v>-5.29435501904914</v>
      </c>
      <c r="X1477" s="55" t="n">
        <f aca="false">IF(V1477,IF(01_因子設定!$B$13="最大化",Q1477,IF(01_因子設定!$B$13="最小化",-Q1477,-ABS(Q1477-01_因子設定!$B$16))),-1E+030)</f>
        <v>44.2756605113637</v>
      </c>
      <c r="Y1477" s="55" t="n">
        <f aca="false">W1477+ROW()*0.000000001</f>
        <v>-5.29435354204914</v>
      </c>
      <c r="Z1477" s="55" t="n">
        <f aca="false">X1477+ROW()*0.000000001</f>
        <v>44.2756619883636</v>
      </c>
    </row>
    <row r="1478" customFormat="false" ht="15" hidden="false" customHeight="false" outlineLevel="0" collapsed="false">
      <c r="A1478" s="0" t="n">
        <v>5</v>
      </c>
      <c r="B1478" s="0" t="n">
        <v>1</v>
      </c>
      <c r="C1478" s="0" t="n">
        <v>11</v>
      </c>
      <c r="D1478" s="0" t="n">
        <f aca="false">-1+A1478*0.125</f>
        <v>-0.375</v>
      </c>
      <c r="E1478" s="0" t="n">
        <f aca="false">-1+B1478*0.125</f>
        <v>-0.875</v>
      </c>
      <c r="F1478" s="0" t="n">
        <f aca="false">-1+C1478*0.125</f>
        <v>0.375</v>
      </c>
      <c r="G1478" s="0" t="n">
        <f aca="false">1</f>
        <v>1</v>
      </c>
      <c r="H1478" s="0" t="n">
        <f aca="false">D1478</f>
        <v>-0.375</v>
      </c>
      <c r="I1478" s="0" t="n">
        <f aca="false">E1478</f>
        <v>-0.875</v>
      </c>
      <c r="J1478" s="0" t="n">
        <f aca="false">F1478</f>
        <v>0.375</v>
      </c>
      <c r="K1478" s="0" t="n">
        <f aca="false">D1478*E1478</f>
        <v>0.328125</v>
      </c>
      <c r="L1478" s="0" t="n">
        <f aca="false">D1478*F1478</f>
        <v>-0.140625</v>
      </c>
      <c r="M1478" s="0" t="n">
        <f aca="false">E1478*F1478</f>
        <v>-0.328125</v>
      </c>
      <c r="N1478" s="0" t="n">
        <f aca="false">D1478*D1478</f>
        <v>0.140625</v>
      </c>
      <c r="O1478" s="0" t="n">
        <f aca="false">E1478*E1478</f>
        <v>0.765625</v>
      </c>
      <c r="P1478" s="0" t="n">
        <f aca="false">F1478*F1478</f>
        <v>0.140625</v>
      </c>
      <c r="Q1478" s="0" t="n">
        <f aca="false">SUMPRODUCT(G1478:P1478,_XtX!$B$71:$K$71)</f>
        <v>44.3139985795455</v>
      </c>
      <c r="R1478" s="0" t="n">
        <f aca="false">SUMPRODUCT(MMULT(G1478:P1478,_XtX!$B$58:$K$67),G1478:P1478)</f>
        <v>0.32050614790483</v>
      </c>
      <c r="S1478" s="0" t="n">
        <f aca="false">04_回帰ANOVA!$K$19*04_回帰ANOVA!$K$14*SQRT(1+R1478)</f>
        <v>1.06840730759619</v>
      </c>
      <c r="T1478" s="0" t="n">
        <f aca="false">Q1478-S1478</f>
        <v>43.2455912719493</v>
      </c>
      <c r="U1478" s="0" t="n">
        <f aca="false">Q1478+S1478</f>
        <v>45.3824058871417</v>
      </c>
      <c r="V1478" s="54" t="b">
        <f aca="false">AND(D1478&gt;=01_因子設定!$L$5-0.000000001,D1478&lt;=01_因子設定!$M$5+0.000000001,E1478&gt;=01_因子設定!$L$6-0.000000001,E1478&lt;=01_因子設定!$M$6+0.000000001,F1478&gt;=01_因子設定!$L$7-0.000000001,F1478&lt;=01_因子設定!$M$7+0.000000001,IF(01_因子設定!$B$20="Box-Behnken",D1478^2+E1478^2+F1478^2&lt;=2+0.000000001,TRUE()))</f>
        <v>1</v>
      </c>
      <c r="W1478" s="55" t="n">
        <f aca="false">IF(V1478,IF(01_因子設定!$B$13="最大化",T1478-01_因子設定!$B$14,IF(01_因子設定!$B$13="最小化",01_因子設定!$B$15-U1478,MIN(T1478-01_因子設定!$B$14,01_因子設定!$B$15-U1478))),-1E+030)</f>
        <v>-5.25440872805073</v>
      </c>
      <c r="X1478" s="55" t="n">
        <f aca="false">IF(V1478,IF(01_因子設定!$B$13="最大化",Q1478,IF(01_因子設定!$B$13="最小化",-Q1478,-ABS(Q1478-01_因子設定!$B$16))),-1E+030)</f>
        <v>44.3139985795455</v>
      </c>
      <c r="Y1478" s="55" t="n">
        <f aca="false">W1478+ROW()*0.000000001</f>
        <v>-5.25440725005073</v>
      </c>
      <c r="Z1478" s="55" t="n">
        <f aca="false">X1478+ROW()*0.000000001</f>
        <v>44.3140000575455</v>
      </c>
    </row>
    <row r="1479" customFormat="false" ht="15" hidden="false" customHeight="false" outlineLevel="0" collapsed="false">
      <c r="A1479" s="0" t="n">
        <v>5</v>
      </c>
      <c r="B1479" s="0" t="n">
        <v>1</v>
      </c>
      <c r="C1479" s="0" t="n">
        <v>12</v>
      </c>
      <c r="D1479" s="0" t="n">
        <f aca="false">-1+A1479*0.125</f>
        <v>-0.375</v>
      </c>
      <c r="E1479" s="0" t="n">
        <f aca="false">-1+B1479*0.125</f>
        <v>-0.875</v>
      </c>
      <c r="F1479" s="0" t="n">
        <f aca="false">-1+C1479*0.125</f>
        <v>0.5</v>
      </c>
      <c r="G1479" s="0" t="n">
        <f aca="false">1</f>
        <v>1</v>
      </c>
      <c r="H1479" s="0" t="n">
        <f aca="false">D1479</f>
        <v>-0.375</v>
      </c>
      <c r="I1479" s="0" t="n">
        <f aca="false">E1479</f>
        <v>-0.875</v>
      </c>
      <c r="J1479" s="0" t="n">
        <f aca="false">F1479</f>
        <v>0.5</v>
      </c>
      <c r="K1479" s="0" t="n">
        <f aca="false">D1479*E1479</f>
        <v>0.328125</v>
      </c>
      <c r="L1479" s="0" t="n">
        <f aca="false">D1479*F1479</f>
        <v>-0.1875</v>
      </c>
      <c r="M1479" s="0" t="n">
        <f aca="false">E1479*F1479</f>
        <v>-0.4375</v>
      </c>
      <c r="N1479" s="0" t="n">
        <f aca="false">D1479*D1479</f>
        <v>0.140625</v>
      </c>
      <c r="O1479" s="0" t="n">
        <f aca="false">E1479*E1479</f>
        <v>0.765625</v>
      </c>
      <c r="P1479" s="0" t="n">
        <f aca="false">F1479*F1479</f>
        <v>0.25</v>
      </c>
      <c r="Q1479" s="0" t="n">
        <f aca="false">SUMPRODUCT(G1479:P1479,_XtX!$B$71:$K$71)</f>
        <v>44.315546875</v>
      </c>
      <c r="R1479" s="0" t="n">
        <f aca="false">SUMPRODUCT(MMULT(G1479:P1479,_XtX!$B$58:$K$67),G1479:P1479)</f>
        <v>0.322393798828125</v>
      </c>
      <c r="S1479" s="0" t="n">
        <f aca="false">04_回帰ANOVA!$K$19*04_回帰ANOVA!$K$14*SQRT(1+R1479)</f>
        <v>1.06917067390712</v>
      </c>
      <c r="T1479" s="0" t="n">
        <f aca="false">Q1479-S1479</f>
        <v>43.2463762010929</v>
      </c>
      <c r="U1479" s="0" t="n">
        <f aca="false">Q1479+S1479</f>
        <v>45.3847175489071</v>
      </c>
      <c r="V1479" s="54" t="b">
        <f aca="false">AND(D1479&gt;=01_因子設定!$L$5-0.000000001,D1479&lt;=01_因子設定!$M$5+0.000000001,E1479&gt;=01_因子設定!$L$6-0.000000001,E1479&lt;=01_因子設定!$M$6+0.000000001,F1479&gt;=01_因子設定!$L$7-0.000000001,F1479&lt;=01_因子設定!$M$7+0.000000001,IF(01_因子設定!$B$20="Box-Behnken",D1479^2+E1479^2+F1479^2&lt;=2+0.000000001,TRUE()))</f>
        <v>1</v>
      </c>
      <c r="W1479" s="55" t="n">
        <f aca="false">IF(V1479,IF(01_因子設定!$B$13="最大化",T1479-01_因子設定!$B$14,IF(01_因子設定!$B$13="最小化",01_因子設定!$B$15-U1479,MIN(T1479-01_因子設定!$B$14,01_因子設定!$B$15-U1479))),-1E+030)</f>
        <v>-5.25362379890711</v>
      </c>
      <c r="X1479" s="55" t="n">
        <f aca="false">IF(V1479,IF(01_因子設定!$B$13="最大化",Q1479,IF(01_因子設定!$B$13="最小化",-Q1479,-ABS(Q1479-01_因子設定!$B$16))),-1E+030)</f>
        <v>44.315546875</v>
      </c>
      <c r="Y1479" s="55" t="n">
        <f aca="false">W1479+ROW()*0.000000001</f>
        <v>-5.25362231990711</v>
      </c>
      <c r="Z1479" s="55" t="n">
        <f aca="false">X1479+ROW()*0.000000001</f>
        <v>44.315548354</v>
      </c>
    </row>
    <row r="1480" customFormat="false" ht="15" hidden="false" customHeight="false" outlineLevel="0" collapsed="false">
      <c r="A1480" s="0" t="n">
        <v>5</v>
      </c>
      <c r="B1480" s="0" t="n">
        <v>1</v>
      </c>
      <c r="C1480" s="0" t="n">
        <v>13</v>
      </c>
      <c r="D1480" s="0" t="n">
        <f aca="false">-1+A1480*0.125</f>
        <v>-0.375</v>
      </c>
      <c r="E1480" s="0" t="n">
        <f aca="false">-1+B1480*0.125</f>
        <v>-0.875</v>
      </c>
      <c r="F1480" s="0" t="n">
        <f aca="false">-1+C1480*0.125</f>
        <v>0.625</v>
      </c>
      <c r="G1480" s="0" t="n">
        <f aca="false">1</f>
        <v>1</v>
      </c>
      <c r="H1480" s="0" t="n">
        <f aca="false">D1480</f>
        <v>-0.375</v>
      </c>
      <c r="I1480" s="0" t="n">
        <f aca="false">E1480</f>
        <v>-0.875</v>
      </c>
      <c r="J1480" s="0" t="n">
        <f aca="false">F1480</f>
        <v>0.625</v>
      </c>
      <c r="K1480" s="0" t="n">
        <f aca="false">D1480*E1480</f>
        <v>0.328125</v>
      </c>
      <c r="L1480" s="0" t="n">
        <f aca="false">D1480*F1480</f>
        <v>-0.234375</v>
      </c>
      <c r="M1480" s="0" t="n">
        <f aca="false">E1480*F1480</f>
        <v>-0.546875</v>
      </c>
      <c r="N1480" s="0" t="n">
        <f aca="false">D1480*D1480</f>
        <v>0.140625</v>
      </c>
      <c r="O1480" s="0" t="n">
        <f aca="false">E1480*E1480</f>
        <v>0.765625</v>
      </c>
      <c r="P1480" s="0" t="n">
        <f aca="false">F1480*F1480</f>
        <v>0.390625</v>
      </c>
      <c r="Q1480" s="0" t="n">
        <f aca="false">SUMPRODUCT(G1480:P1480,_XtX!$B$71:$K$71)</f>
        <v>44.2803053977273</v>
      </c>
      <c r="R1480" s="0" t="n">
        <f aca="false">SUMPRODUCT(MMULT(G1480:P1480,_XtX!$B$58:$K$67),G1480:P1480)</f>
        <v>0.337604869495739</v>
      </c>
      <c r="S1480" s="0" t="n">
        <f aca="false">04_回帰ANOVA!$K$19*04_回帰ANOVA!$K$14*SQRT(1+R1480)</f>
        <v>1.07530225516193</v>
      </c>
      <c r="T1480" s="0" t="n">
        <f aca="false">Q1480-S1480</f>
        <v>43.2050031425654</v>
      </c>
      <c r="U1480" s="0" t="n">
        <f aca="false">Q1480+S1480</f>
        <v>45.3556076528892</v>
      </c>
      <c r="V1480" s="54" t="b">
        <f aca="false">AND(D1480&gt;=01_因子設定!$L$5-0.000000001,D1480&lt;=01_因子設定!$M$5+0.000000001,E1480&gt;=01_因子設定!$L$6-0.000000001,E1480&lt;=01_因子設定!$M$6+0.000000001,F1480&gt;=01_因子設定!$L$7-0.000000001,F1480&lt;=01_因子設定!$M$7+0.000000001,IF(01_因子設定!$B$20="Box-Behnken",D1480^2+E1480^2+F1480^2&lt;=2+0.000000001,TRUE()))</f>
        <v>1</v>
      </c>
      <c r="W1480" s="55" t="n">
        <f aca="false">IF(V1480,IF(01_因子設定!$B$13="最大化",T1480-01_因子設定!$B$14,IF(01_因子設定!$B$13="最小化",01_因子設定!$B$15-U1480,MIN(T1480-01_因子設定!$B$14,01_因子設定!$B$15-U1480))),-1E+030)</f>
        <v>-5.29499685743464</v>
      </c>
      <c r="X1480" s="55" t="n">
        <f aca="false">IF(V1480,IF(01_因子設定!$B$13="最大化",Q1480,IF(01_因子設定!$B$13="最小化",-Q1480,-ABS(Q1480-01_因子設定!$B$16))),-1E+030)</f>
        <v>44.2803053977273</v>
      </c>
      <c r="Y1480" s="55" t="n">
        <f aca="false">W1480+ROW()*0.000000001</f>
        <v>-5.29499537743464</v>
      </c>
      <c r="Z1480" s="55" t="n">
        <f aca="false">X1480+ROW()*0.000000001</f>
        <v>44.2803068777273</v>
      </c>
    </row>
    <row r="1481" customFormat="false" ht="15" hidden="false" customHeight="false" outlineLevel="0" collapsed="false">
      <c r="A1481" s="0" t="n">
        <v>5</v>
      </c>
      <c r="B1481" s="0" t="n">
        <v>1</v>
      </c>
      <c r="C1481" s="0" t="n">
        <v>14</v>
      </c>
      <c r="D1481" s="0" t="n">
        <f aca="false">-1+A1481*0.125</f>
        <v>-0.375</v>
      </c>
      <c r="E1481" s="0" t="n">
        <f aca="false">-1+B1481*0.125</f>
        <v>-0.875</v>
      </c>
      <c r="F1481" s="0" t="n">
        <f aca="false">-1+C1481*0.125</f>
        <v>0.75</v>
      </c>
      <c r="G1481" s="0" t="n">
        <f aca="false">1</f>
        <v>1</v>
      </c>
      <c r="H1481" s="0" t="n">
        <f aca="false">D1481</f>
        <v>-0.375</v>
      </c>
      <c r="I1481" s="0" t="n">
        <f aca="false">E1481</f>
        <v>-0.875</v>
      </c>
      <c r="J1481" s="0" t="n">
        <f aca="false">F1481</f>
        <v>0.75</v>
      </c>
      <c r="K1481" s="0" t="n">
        <f aca="false">D1481*E1481</f>
        <v>0.328125</v>
      </c>
      <c r="L1481" s="0" t="n">
        <f aca="false">D1481*F1481</f>
        <v>-0.28125</v>
      </c>
      <c r="M1481" s="0" t="n">
        <f aca="false">E1481*F1481</f>
        <v>-0.65625</v>
      </c>
      <c r="N1481" s="0" t="n">
        <f aca="false">D1481*D1481</f>
        <v>0.140625</v>
      </c>
      <c r="O1481" s="0" t="n">
        <f aca="false">E1481*E1481</f>
        <v>0.765625</v>
      </c>
      <c r="P1481" s="0" t="n">
        <f aca="false">F1481*F1481</f>
        <v>0.5625</v>
      </c>
      <c r="Q1481" s="0" t="n">
        <f aca="false">SUMPRODUCT(G1481:P1481,_XtX!$B$71:$K$71)</f>
        <v>44.2082741477273</v>
      </c>
      <c r="R1481" s="0" t="n">
        <f aca="false">SUMPRODUCT(MMULT(G1481:P1481,_XtX!$B$58:$K$67),G1481:P1481)</f>
        <v>0.375727428089489</v>
      </c>
      <c r="S1481" s="0" t="n">
        <f aca="false">04_回帰ANOVA!$K$19*04_回帰ANOVA!$K$14*SQRT(1+R1481)</f>
        <v>1.09051798904087</v>
      </c>
      <c r="T1481" s="0" t="n">
        <f aca="false">Q1481-S1481</f>
        <v>43.1177561586864</v>
      </c>
      <c r="U1481" s="0" t="n">
        <f aca="false">Q1481+S1481</f>
        <v>45.2987921367682</v>
      </c>
      <c r="V1481" s="54" t="b">
        <f aca="false">AND(D1481&gt;=01_因子設定!$L$5-0.000000001,D1481&lt;=01_因子設定!$M$5+0.000000001,E1481&gt;=01_因子設定!$L$6-0.000000001,E1481&lt;=01_因子設定!$M$6+0.000000001,F1481&gt;=01_因子設定!$L$7-0.000000001,F1481&lt;=01_因子設定!$M$7+0.000000001,IF(01_因子設定!$B$20="Box-Behnken",D1481^2+E1481^2+F1481^2&lt;=2+0.000000001,TRUE()))</f>
        <v>1</v>
      </c>
      <c r="W1481" s="55" t="n">
        <f aca="false">IF(V1481,IF(01_因子設定!$B$13="最大化",T1481-01_因子設定!$B$14,IF(01_因子設定!$B$13="最小化",01_因子設定!$B$15-U1481,MIN(T1481-01_因子設定!$B$14,01_因子設定!$B$15-U1481))),-1E+030)</f>
        <v>-5.38224384131359</v>
      </c>
      <c r="X1481" s="55" t="n">
        <f aca="false">IF(V1481,IF(01_因子設定!$B$13="最大化",Q1481,IF(01_因子設定!$B$13="最小化",-Q1481,-ABS(Q1481-01_因子設定!$B$16))),-1E+030)</f>
        <v>44.2082741477273</v>
      </c>
      <c r="Y1481" s="55" t="n">
        <f aca="false">W1481+ROW()*0.000000001</f>
        <v>-5.38224236031359</v>
      </c>
      <c r="Z1481" s="55" t="n">
        <f aca="false">X1481+ROW()*0.000000001</f>
        <v>44.2082756287273</v>
      </c>
    </row>
    <row r="1482" customFormat="false" ht="15" hidden="false" customHeight="false" outlineLevel="0" collapsed="false">
      <c r="A1482" s="0" t="n">
        <v>5</v>
      </c>
      <c r="B1482" s="0" t="n">
        <v>1</v>
      </c>
      <c r="C1482" s="0" t="n">
        <v>15</v>
      </c>
      <c r="D1482" s="0" t="n">
        <f aca="false">-1+A1482*0.125</f>
        <v>-0.375</v>
      </c>
      <c r="E1482" s="0" t="n">
        <f aca="false">-1+B1482*0.125</f>
        <v>-0.875</v>
      </c>
      <c r="F1482" s="0" t="n">
        <f aca="false">-1+C1482*0.125</f>
        <v>0.875</v>
      </c>
      <c r="G1482" s="0" t="n">
        <f aca="false">1</f>
        <v>1</v>
      </c>
      <c r="H1482" s="0" t="n">
        <f aca="false">D1482</f>
        <v>-0.375</v>
      </c>
      <c r="I1482" s="0" t="n">
        <f aca="false">E1482</f>
        <v>-0.875</v>
      </c>
      <c r="J1482" s="0" t="n">
        <f aca="false">F1482</f>
        <v>0.875</v>
      </c>
      <c r="K1482" s="0" t="n">
        <f aca="false">D1482*E1482</f>
        <v>0.328125</v>
      </c>
      <c r="L1482" s="0" t="n">
        <f aca="false">D1482*F1482</f>
        <v>-0.328125</v>
      </c>
      <c r="M1482" s="0" t="n">
        <f aca="false">E1482*F1482</f>
        <v>-0.765625</v>
      </c>
      <c r="N1482" s="0" t="n">
        <f aca="false">D1482*D1482</f>
        <v>0.140625</v>
      </c>
      <c r="O1482" s="0" t="n">
        <f aca="false">E1482*E1482</f>
        <v>0.765625</v>
      </c>
      <c r="P1482" s="0" t="n">
        <f aca="false">F1482*F1482</f>
        <v>0.765625</v>
      </c>
      <c r="Q1482" s="0" t="n">
        <f aca="false">SUMPRODUCT(G1482:P1482,_XtX!$B$71:$K$71)</f>
        <v>44.099453125</v>
      </c>
      <c r="R1482" s="0" t="n">
        <f aca="false">SUMPRODUCT(MMULT(G1482:P1482,_XtX!$B$58:$K$67),G1482:P1482)</f>
        <v>0.448480224609375</v>
      </c>
      <c r="S1482" s="0" t="n">
        <f aca="false">04_回帰ANOVA!$K$19*04_回帰ANOVA!$K$14*SQRT(1+R1482)</f>
        <v>1.11898153812985</v>
      </c>
      <c r="T1482" s="0" t="n">
        <f aca="false">Q1482-S1482</f>
        <v>42.9804715868702</v>
      </c>
      <c r="U1482" s="0" t="n">
        <f aca="false">Q1482+S1482</f>
        <v>45.2184346631299</v>
      </c>
      <c r="V1482" s="54" t="b">
        <f aca="false">AND(D1482&gt;=01_因子設定!$L$5-0.000000001,D1482&lt;=01_因子設定!$M$5+0.000000001,E1482&gt;=01_因子設定!$L$6-0.000000001,E1482&lt;=01_因子設定!$M$6+0.000000001,F1482&gt;=01_因子設定!$L$7-0.000000001,F1482&lt;=01_因子設定!$M$7+0.000000001,IF(01_因子設定!$B$20="Box-Behnken",D1482^2+E1482^2+F1482^2&lt;=2+0.000000001,TRUE()))</f>
        <v>1</v>
      </c>
      <c r="W1482" s="55" t="n">
        <f aca="false">IF(V1482,IF(01_因子設定!$B$13="最大化",T1482-01_因子設定!$B$14,IF(01_因子設定!$B$13="最小化",01_因子設定!$B$15-U1482,MIN(T1482-01_因子設定!$B$14,01_因子設定!$B$15-U1482))),-1E+030)</f>
        <v>-5.51952841312982</v>
      </c>
      <c r="X1482" s="55" t="n">
        <f aca="false">IF(V1482,IF(01_因子設定!$B$13="最大化",Q1482,IF(01_因子設定!$B$13="最小化",-Q1482,-ABS(Q1482-01_因子設定!$B$16))),-1E+030)</f>
        <v>44.099453125</v>
      </c>
      <c r="Y1482" s="55" t="n">
        <f aca="false">W1482+ROW()*0.000000001</f>
        <v>-5.51952693112982</v>
      </c>
      <c r="Z1482" s="55" t="n">
        <f aca="false">X1482+ROW()*0.000000001</f>
        <v>44.099454607</v>
      </c>
    </row>
    <row r="1483" customFormat="false" ht="15" hidden="false" customHeight="false" outlineLevel="0" collapsed="false">
      <c r="A1483" s="0" t="n">
        <v>5</v>
      </c>
      <c r="B1483" s="0" t="n">
        <v>1</v>
      </c>
      <c r="C1483" s="0" t="n">
        <v>16</v>
      </c>
      <c r="D1483" s="0" t="n">
        <f aca="false">-1+A1483*0.125</f>
        <v>-0.375</v>
      </c>
      <c r="E1483" s="0" t="n">
        <f aca="false">-1+B1483*0.125</f>
        <v>-0.875</v>
      </c>
      <c r="F1483" s="0" t="n">
        <f aca="false">-1+C1483*0.125</f>
        <v>1</v>
      </c>
      <c r="G1483" s="0" t="n">
        <f aca="false">1</f>
        <v>1</v>
      </c>
      <c r="H1483" s="0" t="n">
        <f aca="false">D1483</f>
        <v>-0.375</v>
      </c>
      <c r="I1483" s="0" t="n">
        <f aca="false">E1483</f>
        <v>-0.875</v>
      </c>
      <c r="J1483" s="0" t="n">
        <f aca="false">F1483</f>
        <v>1</v>
      </c>
      <c r="K1483" s="0" t="n">
        <f aca="false">D1483*E1483</f>
        <v>0.328125</v>
      </c>
      <c r="L1483" s="0" t="n">
        <f aca="false">D1483*F1483</f>
        <v>-0.375</v>
      </c>
      <c r="M1483" s="0" t="n">
        <f aca="false">E1483*F1483</f>
        <v>-0.875</v>
      </c>
      <c r="N1483" s="0" t="n">
        <f aca="false">D1483*D1483</f>
        <v>0.140625</v>
      </c>
      <c r="O1483" s="0" t="n">
        <f aca="false">E1483*E1483</f>
        <v>0.765625</v>
      </c>
      <c r="P1483" s="0" t="n">
        <f aca="false">F1483*F1483</f>
        <v>1</v>
      </c>
      <c r="Q1483" s="0" t="n">
        <f aca="false">SUMPRODUCT(G1483:P1483,_XtX!$B$71:$K$71)</f>
        <v>43.9538423295455</v>
      </c>
      <c r="R1483" s="0" t="n">
        <f aca="false">SUMPRODUCT(MMULT(G1483:P1483,_XtX!$B$58:$K$67),G1483:P1483)</f>
        <v>0.56971269087358</v>
      </c>
      <c r="S1483" s="0" t="n">
        <f aca="false">04_回帰ANOVA!$K$19*04_回帰ANOVA!$K$14*SQRT(1+R1483)</f>
        <v>1.16486801567081</v>
      </c>
      <c r="T1483" s="0" t="n">
        <f aca="false">Q1483-S1483</f>
        <v>42.7889743138747</v>
      </c>
      <c r="U1483" s="0" t="n">
        <f aca="false">Q1483+S1483</f>
        <v>45.1187103452163</v>
      </c>
      <c r="V1483" s="54" t="b">
        <f aca="false">AND(D1483&gt;=01_因子設定!$L$5-0.000000001,D1483&lt;=01_因子設定!$M$5+0.000000001,E1483&gt;=01_因子設定!$L$6-0.000000001,E1483&lt;=01_因子設定!$M$6+0.000000001,F1483&gt;=01_因子設定!$L$7-0.000000001,F1483&lt;=01_因子設定!$M$7+0.000000001,IF(01_因子設定!$B$20="Box-Behnken",D1483^2+E1483^2+F1483^2&lt;=2+0.000000001,TRUE()))</f>
        <v>1</v>
      </c>
      <c r="W1483" s="55" t="n">
        <f aca="false">IF(V1483,IF(01_因子設定!$B$13="最大化",T1483-01_因子設定!$B$14,IF(01_因子設定!$B$13="最小化",01_因子設定!$B$15-U1483,MIN(T1483-01_因子設定!$B$14,01_因子設定!$B$15-U1483))),-1E+030)</f>
        <v>-5.71102568612533</v>
      </c>
      <c r="X1483" s="55" t="n">
        <f aca="false">IF(V1483,IF(01_因子設定!$B$13="最大化",Q1483,IF(01_因子設定!$B$13="最小化",-Q1483,-ABS(Q1483-01_因子設定!$B$16))),-1E+030)</f>
        <v>43.9538423295455</v>
      </c>
      <c r="Y1483" s="55" t="n">
        <f aca="false">W1483+ROW()*0.000000001</f>
        <v>-5.71102420312533</v>
      </c>
      <c r="Z1483" s="55" t="n">
        <f aca="false">X1483+ROW()*0.000000001</f>
        <v>43.9538438125455</v>
      </c>
    </row>
    <row r="1484" customFormat="false" ht="15" hidden="false" customHeight="false" outlineLevel="0" collapsed="false">
      <c r="A1484" s="0" t="n">
        <v>5</v>
      </c>
      <c r="B1484" s="0" t="n">
        <v>2</v>
      </c>
      <c r="C1484" s="0" t="n">
        <v>0</v>
      </c>
      <c r="D1484" s="0" t="n">
        <f aca="false">-1+A1484*0.125</f>
        <v>-0.375</v>
      </c>
      <c r="E1484" s="0" t="n">
        <f aca="false">-1+B1484*0.125</f>
        <v>-0.75</v>
      </c>
      <c r="F1484" s="0" t="n">
        <f aca="false">-1+C1484*0.125</f>
        <v>-1</v>
      </c>
      <c r="G1484" s="0" t="n">
        <f aca="false">1</f>
        <v>1</v>
      </c>
      <c r="H1484" s="0" t="n">
        <f aca="false">D1484</f>
        <v>-0.375</v>
      </c>
      <c r="I1484" s="0" t="n">
        <f aca="false">E1484</f>
        <v>-0.75</v>
      </c>
      <c r="J1484" s="0" t="n">
        <f aca="false">F1484</f>
        <v>-1</v>
      </c>
      <c r="K1484" s="0" t="n">
        <f aca="false">D1484*E1484</f>
        <v>0.28125</v>
      </c>
      <c r="L1484" s="0" t="n">
        <f aca="false">D1484*F1484</f>
        <v>0.375</v>
      </c>
      <c r="M1484" s="0" t="n">
        <f aca="false">E1484*F1484</f>
        <v>0.75</v>
      </c>
      <c r="N1484" s="0" t="n">
        <f aca="false">D1484*D1484</f>
        <v>0.140625</v>
      </c>
      <c r="O1484" s="0" t="n">
        <f aca="false">E1484*E1484</f>
        <v>0.5625</v>
      </c>
      <c r="P1484" s="0" t="n">
        <f aca="false">F1484*F1484</f>
        <v>1</v>
      </c>
      <c r="Q1484" s="0" t="n">
        <f aca="false">SUMPRODUCT(G1484:P1484,_XtX!$B$71:$K$71)</f>
        <v>42.4257102272728</v>
      </c>
      <c r="R1484" s="0" t="n">
        <f aca="false">SUMPRODUCT(MMULT(G1484:P1484,_XtX!$B$58:$K$67),G1484:P1484)</f>
        <v>0.503992808948864</v>
      </c>
      <c r="S1484" s="0" t="n">
        <f aca="false">04_回帰ANOVA!$K$19*04_回帰ANOVA!$K$14*SQRT(1+R1484)</f>
        <v>1.14022226176226</v>
      </c>
      <c r="T1484" s="0" t="n">
        <f aca="false">Q1484-S1484</f>
        <v>41.2854879655105</v>
      </c>
      <c r="U1484" s="0" t="n">
        <f aca="false">Q1484+S1484</f>
        <v>43.565932489035</v>
      </c>
      <c r="V1484" s="54" t="b">
        <f aca="false">AND(D1484&gt;=01_因子設定!$L$5-0.000000001,D1484&lt;=01_因子設定!$M$5+0.000000001,E1484&gt;=01_因子設定!$L$6-0.000000001,E1484&lt;=01_因子設定!$M$6+0.000000001,F1484&gt;=01_因子設定!$L$7-0.000000001,F1484&lt;=01_因子設定!$M$7+0.000000001,IF(01_因子設定!$B$20="Box-Behnken",D1484^2+E1484^2+F1484^2&lt;=2+0.000000001,TRUE()))</f>
        <v>1</v>
      </c>
      <c r="W1484" s="55" t="n">
        <f aca="false">IF(V1484,IF(01_因子設定!$B$13="最大化",T1484-01_因子設定!$B$14,IF(01_因子設定!$B$13="最小化",01_因子設定!$B$15-U1484,MIN(T1484-01_因子設定!$B$14,01_因子設定!$B$15-U1484))),-1E+030)</f>
        <v>-7.21451203448951</v>
      </c>
      <c r="X1484" s="55" t="n">
        <f aca="false">IF(V1484,IF(01_因子設定!$B$13="最大化",Q1484,IF(01_因子設定!$B$13="最小化",-Q1484,-ABS(Q1484-01_因子設定!$B$16))),-1E+030)</f>
        <v>42.4257102272728</v>
      </c>
      <c r="Y1484" s="55" t="n">
        <f aca="false">W1484+ROW()*0.000000001</f>
        <v>-7.21451055048951</v>
      </c>
      <c r="Z1484" s="55" t="n">
        <f aca="false">X1484+ROW()*0.000000001</f>
        <v>42.4257117112728</v>
      </c>
    </row>
    <row r="1485" customFormat="false" ht="15" hidden="false" customHeight="false" outlineLevel="0" collapsed="false">
      <c r="A1485" s="0" t="n">
        <v>5</v>
      </c>
      <c r="B1485" s="0" t="n">
        <v>2</v>
      </c>
      <c r="C1485" s="0" t="n">
        <v>1</v>
      </c>
      <c r="D1485" s="0" t="n">
        <f aca="false">-1+A1485*0.125</f>
        <v>-0.375</v>
      </c>
      <c r="E1485" s="0" t="n">
        <f aca="false">-1+B1485*0.125</f>
        <v>-0.75</v>
      </c>
      <c r="F1485" s="0" t="n">
        <f aca="false">-1+C1485*0.125</f>
        <v>-0.875</v>
      </c>
      <c r="G1485" s="0" t="n">
        <f aca="false">1</f>
        <v>1</v>
      </c>
      <c r="H1485" s="0" t="n">
        <f aca="false">D1485</f>
        <v>-0.375</v>
      </c>
      <c r="I1485" s="0" t="n">
        <f aca="false">E1485</f>
        <v>-0.75</v>
      </c>
      <c r="J1485" s="0" t="n">
        <f aca="false">F1485</f>
        <v>-0.875</v>
      </c>
      <c r="K1485" s="0" t="n">
        <f aca="false">D1485*E1485</f>
        <v>0.28125</v>
      </c>
      <c r="L1485" s="0" t="n">
        <f aca="false">D1485*F1485</f>
        <v>0.328125</v>
      </c>
      <c r="M1485" s="0" t="n">
        <f aca="false">E1485*F1485</f>
        <v>0.65625</v>
      </c>
      <c r="N1485" s="0" t="n">
        <f aca="false">D1485*D1485</f>
        <v>0.140625</v>
      </c>
      <c r="O1485" s="0" t="n">
        <f aca="false">E1485*E1485</f>
        <v>0.5625</v>
      </c>
      <c r="P1485" s="0" t="n">
        <f aca="false">F1485*F1485</f>
        <v>0.765625</v>
      </c>
      <c r="Q1485" s="0" t="n">
        <f aca="false">SUMPRODUCT(G1485:P1485,_XtX!$B$71:$K$71)</f>
        <v>42.8389772727273</v>
      </c>
      <c r="R1485" s="0" t="n">
        <f aca="false">SUMPRODUCT(MMULT(G1485:P1485,_XtX!$B$58:$K$67),G1485:P1485)</f>
        <v>0.375727428089489</v>
      </c>
      <c r="S1485" s="0" t="n">
        <f aca="false">04_回帰ANOVA!$K$19*04_回帰ANOVA!$K$14*SQRT(1+R1485)</f>
        <v>1.09051798904087</v>
      </c>
      <c r="T1485" s="0" t="n">
        <f aca="false">Q1485-S1485</f>
        <v>41.7484592836864</v>
      </c>
      <c r="U1485" s="0" t="n">
        <f aca="false">Q1485+S1485</f>
        <v>43.9294952617682</v>
      </c>
      <c r="V1485" s="54" t="b">
        <f aca="false">AND(D1485&gt;=01_因子設定!$L$5-0.000000001,D1485&lt;=01_因子設定!$M$5+0.000000001,E1485&gt;=01_因子設定!$L$6-0.000000001,E1485&lt;=01_因子設定!$M$6+0.000000001,F1485&gt;=01_因子設定!$L$7-0.000000001,F1485&lt;=01_因子設定!$M$7+0.000000001,IF(01_因子設定!$B$20="Box-Behnken",D1485^2+E1485^2+F1485^2&lt;=2+0.000000001,TRUE()))</f>
        <v>1</v>
      </c>
      <c r="W1485" s="55" t="n">
        <f aca="false">IF(V1485,IF(01_因子設定!$B$13="最大化",T1485-01_因子設定!$B$14,IF(01_因子設定!$B$13="最小化",01_因子設定!$B$15-U1485,MIN(T1485-01_因子設定!$B$14,01_因子設定!$B$15-U1485))),-1E+030)</f>
        <v>-6.75154071631358</v>
      </c>
      <c r="X1485" s="55" t="n">
        <f aca="false">IF(V1485,IF(01_因子設定!$B$13="最大化",Q1485,IF(01_因子設定!$B$13="最小化",-Q1485,-ABS(Q1485-01_因子設定!$B$16))),-1E+030)</f>
        <v>42.8389772727273</v>
      </c>
      <c r="Y1485" s="55" t="n">
        <f aca="false">W1485+ROW()*0.000000001</f>
        <v>-6.75153923131358</v>
      </c>
      <c r="Z1485" s="55" t="n">
        <f aca="false">X1485+ROW()*0.000000001</f>
        <v>42.8389787577273</v>
      </c>
    </row>
    <row r="1486" customFormat="false" ht="15" hidden="false" customHeight="false" outlineLevel="0" collapsed="false">
      <c r="A1486" s="0" t="n">
        <v>5</v>
      </c>
      <c r="B1486" s="0" t="n">
        <v>2</v>
      </c>
      <c r="C1486" s="0" t="n">
        <v>2</v>
      </c>
      <c r="D1486" s="0" t="n">
        <f aca="false">-1+A1486*0.125</f>
        <v>-0.375</v>
      </c>
      <c r="E1486" s="0" t="n">
        <f aca="false">-1+B1486*0.125</f>
        <v>-0.75</v>
      </c>
      <c r="F1486" s="0" t="n">
        <f aca="false">-1+C1486*0.125</f>
        <v>-0.75</v>
      </c>
      <c r="G1486" s="0" t="n">
        <f aca="false">1</f>
        <v>1</v>
      </c>
      <c r="H1486" s="0" t="n">
        <f aca="false">D1486</f>
        <v>-0.375</v>
      </c>
      <c r="I1486" s="0" t="n">
        <f aca="false">E1486</f>
        <v>-0.75</v>
      </c>
      <c r="J1486" s="0" t="n">
        <f aca="false">F1486</f>
        <v>-0.75</v>
      </c>
      <c r="K1486" s="0" t="n">
        <f aca="false">D1486*E1486</f>
        <v>0.28125</v>
      </c>
      <c r="L1486" s="0" t="n">
        <f aca="false">D1486*F1486</f>
        <v>0.28125</v>
      </c>
      <c r="M1486" s="0" t="n">
        <f aca="false">E1486*F1486</f>
        <v>0.5625</v>
      </c>
      <c r="N1486" s="0" t="n">
        <f aca="false">D1486*D1486</f>
        <v>0.140625</v>
      </c>
      <c r="O1486" s="0" t="n">
        <f aca="false">E1486*E1486</f>
        <v>0.5625</v>
      </c>
      <c r="P1486" s="0" t="n">
        <f aca="false">F1486*F1486</f>
        <v>0.5625</v>
      </c>
      <c r="Q1486" s="0" t="n">
        <f aca="false">SUMPRODUCT(G1486:P1486,_XtX!$B$71:$K$71)</f>
        <v>43.2154545454546</v>
      </c>
      <c r="R1486" s="0" t="n">
        <f aca="false">SUMPRODUCT(MMULT(G1486:P1486,_XtX!$B$58:$K$67),G1486:P1486)</f>
        <v>0.296879438920455</v>
      </c>
      <c r="S1486" s="0" t="n">
        <f aca="false">04_回帰ANOVA!$K$19*04_回帰ANOVA!$K$14*SQRT(1+R1486)</f>
        <v>1.05880610927316</v>
      </c>
      <c r="T1486" s="0" t="n">
        <f aca="false">Q1486-S1486</f>
        <v>42.1566484361814</v>
      </c>
      <c r="U1486" s="0" t="n">
        <f aca="false">Q1486+S1486</f>
        <v>44.2742606547277</v>
      </c>
      <c r="V1486" s="54" t="b">
        <f aca="false">AND(D1486&gt;=01_因子設定!$L$5-0.000000001,D1486&lt;=01_因子設定!$M$5+0.000000001,E1486&gt;=01_因子設定!$L$6-0.000000001,E1486&lt;=01_因子設定!$M$6+0.000000001,F1486&gt;=01_因子設定!$L$7-0.000000001,F1486&lt;=01_因子設定!$M$7+0.000000001,IF(01_因子設定!$B$20="Box-Behnken",D1486^2+E1486^2+F1486^2&lt;=2+0.000000001,TRUE()))</f>
        <v>1</v>
      </c>
      <c r="W1486" s="55" t="n">
        <f aca="false">IF(V1486,IF(01_因子設定!$B$13="最大化",T1486-01_因子設定!$B$14,IF(01_因子設定!$B$13="最小化",01_因子設定!$B$15-U1486,MIN(T1486-01_因子設定!$B$14,01_因子設定!$B$15-U1486))),-1E+030)</f>
        <v>-6.3433515638186</v>
      </c>
      <c r="X1486" s="55" t="n">
        <f aca="false">IF(V1486,IF(01_因子設定!$B$13="最大化",Q1486,IF(01_因子設定!$B$13="最小化",-Q1486,-ABS(Q1486-01_因子設定!$B$16))),-1E+030)</f>
        <v>43.2154545454546</v>
      </c>
      <c r="Y1486" s="55" t="n">
        <f aca="false">W1486+ROW()*0.000000001</f>
        <v>-6.3433500778186</v>
      </c>
      <c r="Z1486" s="55" t="n">
        <f aca="false">X1486+ROW()*0.000000001</f>
        <v>43.2154560314546</v>
      </c>
    </row>
    <row r="1487" customFormat="false" ht="15" hidden="false" customHeight="false" outlineLevel="0" collapsed="false">
      <c r="A1487" s="0" t="n">
        <v>5</v>
      </c>
      <c r="B1487" s="0" t="n">
        <v>2</v>
      </c>
      <c r="C1487" s="0" t="n">
        <v>3</v>
      </c>
      <c r="D1487" s="0" t="n">
        <f aca="false">-1+A1487*0.125</f>
        <v>-0.375</v>
      </c>
      <c r="E1487" s="0" t="n">
        <f aca="false">-1+B1487*0.125</f>
        <v>-0.75</v>
      </c>
      <c r="F1487" s="0" t="n">
        <f aca="false">-1+C1487*0.125</f>
        <v>-0.625</v>
      </c>
      <c r="G1487" s="0" t="n">
        <f aca="false">1</f>
        <v>1</v>
      </c>
      <c r="H1487" s="0" t="n">
        <f aca="false">D1487</f>
        <v>-0.375</v>
      </c>
      <c r="I1487" s="0" t="n">
        <f aca="false">E1487</f>
        <v>-0.75</v>
      </c>
      <c r="J1487" s="0" t="n">
        <f aca="false">F1487</f>
        <v>-0.625</v>
      </c>
      <c r="K1487" s="0" t="n">
        <f aca="false">D1487*E1487</f>
        <v>0.28125</v>
      </c>
      <c r="L1487" s="0" t="n">
        <f aca="false">D1487*F1487</f>
        <v>0.234375</v>
      </c>
      <c r="M1487" s="0" t="n">
        <f aca="false">E1487*F1487</f>
        <v>0.46875</v>
      </c>
      <c r="N1487" s="0" t="n">
        <f aca="false">D1487*D1487</f>
        <v>0.140625</v>
      </c>
      <c r="O1487" s="0" t="n">
        <f aca="false">E1487*E1487</f>
        <v>0.5625</v>
      </c>
      <c r="P1487" s="0" t="n">
        <f aca="false">F1487*F1487</f>
        <v>0.390625</v>
      </c>
      <c r="Q1487" s="0" t="n">
        <f aca="false">SUMPRODUCT(G1487:P1487,_XtX!$B$71:$K$71)</f>
        <v>43.5551420454546</v>
      </c>
      <c r="R1487" s="0" t="n">
        <f aca="false">SUMPRODUCT(MMULT(G1487:P1487,_XtX!$B$58:$K$67),G1487:P1487)</f>
        <v>0.25359940962358</v>
      </c>
      <c r="S1487" s="0" t="n">
        <f aca="false">04_回帰ANOVA!$K$19*04_回帰ANOVA!$K$14*SQRT(1+R1487)</f>
        <v>1.04098872464599</v>
      </c>
      <c r="T1487" s="0" t="n">
        <f aca="false">Q1487-S1487</f>
        <v>42.5141533208086</v>
      </c>
      <c r="U1487" s="0" t="n">
        <f aca="false">Q1487+S1487</f>
        <v>44.5961307701005</v>
      </c>
      <c r="V1487" s="54" t="b">
        <f aca="false">AND(D1487&gt;=01_因子設定!$L$5-0.000000001,D1487&lt;=01_因子設定!$M$5+0.000000001,E1487&gt;=01_因子設定!$L$6-0.000000001,E1487&lt;=01_因子設定!$M$6+0.000000001,F1487&gt;=01_因子設定!$L$7-0.000000001,F1487&lt;=01_因子設定!$M$7+0.000000001,IF(01_因子設定!$B$20="Box-Behnken",D1487^2+E1487^2+F1487^2&lt;=2+0.000000001,TRUE()))</f>
        <v>1</v>
      </c>
      <c r="W1487" s="55" t="n">
        <f aca="false">IF(V1487,IF(01_因子設定!$B$13="最大化",T1487-01_因子設定!$B$14,IF(01_因子設定!$B$13="最小化",01_因子設定!$B$15-U1487,MIN(T1487-01_因子設定!$B$14,01_因子設定!$B$15-U1487))),-1E+030)</f>
        <v>-5.98584667919143</v>
      </c>
      <c r="X1487" s="55" t="n">
        <f aca="false">IF(V1487,IF(01_因子設定!$B$13="最大化",Q1487,IF(01_因子設定!$B$13="最小化",-Q1487,-ABS(Q1487-01_因子設定!$B$16))),-1E+030)</f>
        <v>43.5551420454546</v>
      </c>
      <c r="Y1487" s="55" t="n">
        <f aca="false">W1487+ROW()*0.000000001</f>
        <v>-5.98584519219143</v>
      </c>
      <c r="Z1487" s="55" t="n">
        <f aca="false">X1487+ROW()*0.000000001</f>
        <v>43.5551435324546</v>
      </c>
    </row>
    <row r="1488" customFormat="false" ht="15" hidden="false" customHeight="false" outlineLevel="0" collapsed="false">
      <c r="A1488" s="0" t="n">
        <v>5</v>
      </c>
      <c r="B1488" s="0" t="n">
        <v>2</v>
      </c>
      <c r="C1488" s="0" t="n">
        <v>4</v>
      </c>
      <c r="D1488" s="0" t="n">
        <f aca="false">-1+A1488*0.125</f>
        <v>-0.375</v>
      </c>
      <c r="E1488" s="0" t="n">
        <f aca="false">-1+B1488*0.125</f>
        <v>-0.75</v>
      </c>
      <c r="F1488" s="0" t="n">
        <f aca="false">-1+C1488*0.125</f>
        <v>-0.5</v>
      </c>
      <c r="G1488" s="0" t="n">
        <f aca="false">1</f>
        <v>1</v>
      </c>
      <c r="H1488" s="0" t="n">
        <f aca="false">D1488</f>
        <v>-0.375</v>
      </c>
      <c r="I1488" s="0" t="n">
        <f aca="false">E1488</f>
        <v>-0.75</v>
      </c>
      <c r="J1488" s="0" t="n">
        <f aca="false">F1488</f>
        <v>-0.5</v>
      </c>
      <c r="K1488" s="0" t="n">
        <f aca="false">D1488*E1488</f>
        <v>0.28125</v>
      </c>
      <c r="L1488" s="0" t="n">
        <f aca="false">D1488*F1488</f>
        <v>0.1875</v>
      </c>
      <c r="M1488" s="0" t="n">
        <f aca="false">E1488*F1488</f>
        <v>0.375</v>
      </c>
      <c r="N1488" s="0" t="n">
        <f aca="false">D1488*D1488</f>
        <v>0.140625</v>
      </c>
      <c r="O1488" s="0" t="n">
        <f aca="false">E1488*E1488</f>
        <v>0.5625</v>
      </c>
      <c r="P1488" s="0" t="n">
        <f aca="false">F1488*F1488</f>
        <v>0.25</v>
      </c>
      <c r="Q1488" s="0" t="n">
        <f aca="false">SUMPRODUCT(G1488:P1488,_XtX!$B$71:$K$71)</f>
        <v>43.8580397727273</v>
      </c>
      <c r="R1488" s="0" t="n">
        <f aca="false">SUMPRODUCT(MMULT(G1488:P1488,_XtX!$B$58:$K$67),G1488:P1488)</f>
        <v>0.234168590198864</v>
      </c>
      <c r="S1488" s="0" t="n">
        <f aca="false">04_回帰ANOVA!$K$19*04_回帰ANOVA!$K$14*SQRT(1+R1488)</f>
        <v>1.03288954322488</v>
      </c>
      <c r="T1488" s="0" t="n">
        <f aca="false">Q1488-S1488</f>
        <v>42.8251502295024</v>
      </c>
      <c r="U1488" s="0" t="n">
        <f aca="false">Q1488+S1488</f>
        <v>44.8909293159522</v>
      </c>
      <c r="V1488" s="54" t="b">
        <f aca="false">AND(D1488&gt;=01_因子設定!$L$5-0.000000001,D1488&lt;=01_因子設定!$M$5+0.000000001,E1488&gt;=01_因子設定!$L$6-0.000000001,E1488&lt;=01_因子設定!$M$6+0.000000001,F1488&gt;=01_因子設定!$L$7-0.000000001,F1488&lt;=01_因子設定!$M$7+0.000000001,IF(01_因子設定!$B$20="Box-Behnken",D1488^2+E1488^2+F1488^2&lt;=2+0.000000001,TRUE()))</f>
        <v>1</v>
      </c>
      <c r="W1488" s="55" t="n">
        <f aca="false">IF(V1488,IF(01_因子設定!$B$13="最大化",T1488-01_因子設定!$B$14,IF(01_因子設定!$B$13="最小化",01_因子設定!$B$15-U1488,MIN(T1488-01_因子設定!$B$14,01_因子設定!$B$15-U1488))),-1E+030)</f>
        <v>-5.67484977049759</v>
      </c>
      <c r="X1488" s="55" t="n">
        <f aca="false">IF(V1488,IF(01_因子設定!$B$13="最大化",Q1488,IF(01_因子設定!$B$13="最小化",-Q1488,-ABS(Q1488-01_因子設定!$B$16))),-1E+030)</f>
        <v>43.8580397727273</v>
      </c>
      <c r="Y1488" s="55" t="n">
        <f aca="false">W1488+ROW()*0.000000001</f>
        <v>-5.67484828249759</v>
      </c>
      <c r="Z1488" s="55" t="n">
        <f aca="false">X1488+ROW()*0.000000001</f>
        <v>43.8580412607273</v>
      </c>
    </row>
    <row r="1489" customFormat="false" ht="15" hidden="false" customHeight="false" outlineLevel="0" collapsed="false">
      <c r="A1489" s="0" t="n">
        <v>5</v>
      </c>
      <c r="B1489" s="0" t="n">
        <v>2</v>
      </c>
      <c r="C1489" s="0" t="n">
        <v>5</v>
      </c>
      <c r="D1489" s="0" t="n">
        <f aca="false">-1+A1489*0.125</f>
        <v>-0.375</v>
      </c>
      <c r="E1489" s="0" t="n">
        <f aca="false">-1+B1489*0.125</f>
        <v>-0.75</v>
      </c>
      <c r="F1489" s="0" t="n">
        <f aca="false">-1+C1489*0.125</f>
        <v>-0.375</v>
      </c>
      <c r="G1489" s="0" t="n">
        <f aca="false">1</f>
        <v>1</v>
      </c>
      <c r="H1489" s="0" t="n">
        <f aca="false">D1489</f>
        <v>-0.375</v>
      </c>
      <c r="I1489" s="0" t="n">
        <f aca="false">E1489</f>
        <v>-0.75</v>
      </c>
      <c r="J1489" s="0" t="n">
        <f aca="false">F1489</f>
        <v>-0.375</v>
      </c>
      <c r="K1489" s="0" t="n">
        <f aca="false">D1489*E1489</f>
        <v>0.28125</v>
      </c>
      <c r="L1489" s="0" t="n">
        <f aca="false">D1489*F1489</f>
        <v>0.140625</v>
      </c>
      <c r="M1489" s="0" t="n">
        <f aca="false">E1489*F1489</f>
        <v>0.28125</v>
      </c>
      <c r="N1489" s="0" t="n">
        <f aca="false">D1489*D1489</f>
        <v>0.140625</v>
      </c>
      <c r="O1489" s="0" t="n">
        <f aca="false">E1489*E1489</f>
        <v>0.5625</v>
      </c>
      <c r="P1489" s="0" t="n">
        <f aca="false">F1489*F1489</f>
        <v>0.140625</v>
      </c>
      <c r="Q1489" s="0" t="n">
        <f aca="false">SUMPRODUCT(G1489:P1489,_XtX!$B$71:$K$71)</f>
        <v>44.1241477272727</v>
      </c>
      <c r="R1489" s="0" t="n">
        <f aca="false">SUMPRODUCT(MMULT(G1489:P1489,_XtX!$B$58:$K$67),G1489:P1489)</f>
        <v>0.228998912464489</v>
      </c>
      <c r="S1489" s="0" t="n">
        <f aca="false">04_回帰ANOVA!$K$19*04_回帰ANOVA!$K$14*SQRT(1+R1489)</f>
        <v>1.03072399242813</v>
      </c>
      <c r="T1489" s="0" t="n">
        <f aca="false">Q1489-S1489</f>
        <v>43.0934237348446</v>
      </c>
      <c r="U1489" s="0" t="n">
        <f aca="false">Q1489+S1489</f>
        <v>45.1548717197009</v>
      </c>
      <c r="V1489" s="54" t="b">
        <f aca="false">AND(D1489&gt;=01_因子設定!$L$5-0.000000001,D1489&lt;=01_因子設定!$M$5+0.000000001,E1489&gt;=01_因子設定!$L$6-0.000000001,E1489&lt;=01_因子設定!$M$6+0.000000001,F1489&gt;=01_因子設定!$L$7-0.000000001,F1489&lt;=01_因子設定!$M$7+0.000000001,IF(01_因子設定!$B$20="Box-Behnken",D1489^2+E1489^2+F1489^2&lt;=2+0.000000001,TRUE()))</f>
        <v>1</v>
      </c>
      <c r="W1489" s="55" t="n">
        <f aca="false">IF(V1489,IF(01_因子設定!$B$13="最大化",T1489-01_因子設定!$B$14,IF(01_因子設定!$B$13="最小化",01_因子設定!$B$15-U1489,MIN(T1489-01_因子設定!$B$14,01_因子設定!$B$15-U1489))),-1E+030)</f>
        <v>-5.40657626515539</v>
      </c>
      <c r="X1489" s="55" t="n">
        <f aca="false">IF(V1489,IF(01_因子設定!$B$13="最大化",Q1489,IF(01_因子設定!$B$13="最小化",-Q1489,-ABS(Q1489-01_因子設定!$B$16))),-1E+030)</f>
        <v>44.1241477272727</v>
      </c>
      <c r="Y1489" s="55" t="n">
        <f aca="false">W1489+ROW()*0.000000001</f>
        <v>-5.40657477615539</v>
      </c>
      <c r="Z1489" s="55" t="n">
        <f aca="false">X1489+ROW()*0.000000001</f>
        <v>44.1241492162727</v>
      </c>
    </row>
    <row r="1490" customFormat="false" ht="15" hidden="false" customHeight="false" outlineLevel="0" collapsed="false">
      <c r="A1490" s="0" t="n">
        <v>5</v>
      </c>
      <c r="B1490" s="0" t="n">
        <v>2</v>
      </c>
      <c r="C1490" s="0" t="n">
        <v>6</v>
      </c>
      <c r="D1490" s="0" t="n">
        <f aca="false">-1+A1490*0.125</f>
        <v>-0.375</v>
      </c>
      <c r="E1490" s="0" t="n">
        <f aca="false">-1+B1490*0.125</f>
        <v>-0.75</v>
      </c>
      <c r="F1490" s="0" t="n">
        <f aca="false">-1+C1490*0.125</f>
        <v>-0.25</v>
      </c>
      <c r="G1490" s="0" t="n">
        <f aca="false">1</f>
        <v>1</v>
      </c>
      <c r="H1490" s="0" t="n">
        <f aca="false">D1490</f>
        <v>-0.375</v>
      </c>
      <c r="I1490" s="0" t="n">
        <f aca="false">E1490</f>
        <v>-0.75</v>
      </c>
      <c r="J1490" s="0" t="n">
        <f aca="false">F1490</f>
        <v>-0.25</v>
      </c>
      <c r="K1490" s="0" t="n">
        <f aca="false">D1490*E1490</f>
        <v>0.28125</v>
      </c>
      <c r="L1490" s="0" t="n">
        <f aca="false">D1490*F1490</f>
        <v>0.09375</v>
      </c>
      <c r="M1490" s="0" t="n">
        <f aca="false">E1490*F1490</f>
        <v>0.1875</v>
      </c>
      <c r="N1490" s="0" t="n">
        <f aca="false">D1490*D1490</f>
        <v>0.140625</v>
      </c>
      <c r="O1490" s="0" t="n">
        <f aca="false">E1490*E1490</f>
        <v>0.5625</v>
      </c>
      <c r="P1490" s="0" t="n">
        <f aca="false">F1490*F1490</f>
        <v>0.0625</v>
      </c>
      <c r="Q1490" s="0" t="n">
        <f aca="false">SUMPRODUCT(G1490:P1490,_XtX!$B$71:$K$71)</f>
        <v>44.3534659090909</v>
      </c>
      <c r="R1490" s="0" t="n">
        <f aca="false">SUMPRODUCT(MMULT(G1490:P1490,_XtX!$B$58:$K$67),G1490:P1490)</f>
        <v>0.230632990056818</v>
      </c>
      <c r="S1490" s="0" t="n">
        <f aca="false">04_回帰ANOVA!$K$19*04_回帰ANOVA!$K$14*SQRT(1+R1490)</f>
        <v>1.03140899038819</v>
      </c>
      <c r="T1490" s="0" t="n">
        <f aca="false">Q1490-S1490</f>
        <v>43.3220569187027</v>
      </c>
      <c r="U1490" s="0" t="n">
        <f aca="false">Q1490+S1490</f>
        <v>45.3848748994791</v>
      </c>
      <c r="V1490" s="54" t="b">
        <f aca="false">AND(D1490&gt;=01_因子設定!$L$5-0.000000001,D1490&lt;=01_因子設定!$M$5+0.000000001,E1490&gt;=01_因子設定!$L$6-0.000000001,E1490&lt;=01_因子設定!$M$6+0.000000001,F1490&gt;=01_因子設定!$L$7-0.000000001,F1490&lt;=01_因子設定!$M$7+0.000000001,IF(01_因子設定!$B$20="Box-Behnken",D1490^2+E1490^2+F1490^2&lt;=2+0.000000001,TRUE()))</f>
        <v>1</v>
      </c>
      <c r="W1490" s="55" t="n">
        <f aca="false">IF(V1490,IF(01_因子設定!$B$13="最大化",T1490-01_因子設定!$B$14,IF(01_因子設定!$B$13="最小化",01_因子設定!$B$15-U1490,MIN(T1490-01_因子設定!$B$14,01_因子設定!$B$15-U1490))),-1E+030)</f>
        <v>-5.17794308129727</v>
      </c>
      <c r="X1490" s="55" t="n">
        <f aca="false">IF(V1490,IF(01_因子設定!$B$13="最大化",Q1490,IF(01_因子設定!$B$13="最小化",-Q1490,-ABS(Q1490-01_因子設定!$B$16))),-1E+030)</f>
        <v>44.3534659090909</v>
      </c>
      <c r="Y1490" s="55" t="n">
        <f aca="false">W1490+ROW()*0.000000001</f>
        <v>-5.17794159129727</v>
      </c>
      <c r="Z1490" s="55" t="n">
        <f aca="false">X1490+ROW()*0.000000001</f>
        <v>44.3534673990909</v>
      </c>
    </row>
    <row r="1491" customFormat="false" ht="15" hidden="false" customHeight="false" outlineLevel="0" collapsed="false">
      <c r="A1491" s="0" t="n">
        <v>5</v>
      </c>
      <c r="B1491" s="0" t="n">
        <v>2</v>
      </c>
      <c r="C1491" s="0" t="n">
        <v>7</v>
      </c>
      <c r="D1491" s="0" t="n">
        <f aca="false">-1+A1491*0.125</f>
        <v>-0.375</v>
      </c>
      <c r="E1491" s="0" t="n">
        <f aca="false">-1+B1491*0.125</f>
        <v>-0.75</v>
      </c>
      <c r="F1491" s="0" t="n">
        <f aca="false">-1+C1491*0.125</f>
        <v>-0.125</v>
      </c>
      <c r="G1491" s="0" t="n">
        <f aca="false">1</f>
        <v>1</v>
      </c>
      <c r="H1491" s="0" t="n">
        <f aca="false">D1491</f>
        <v>-0.375</v>
      </c>
      <c r="I1491" s="0" t="n">
        <f aca="false">E1491</f>
        <v>-0.75</v>
      </c>
      <c r="J1491" s="0" t="n">
        <f aca="false">F1491</f>
        <v>-0.125</v>
      </c>
      <c r="K1491" s="0" t="n">
        <f aca="false">D1491*E1491</f>
        <v>0.28125</v>
      </c>
      <c r="L1491" s="0" t="n">
        <f aca="false">D1491*F1491</f>
        <v>0.046875</v>
      </c>
      <c r="M1491" s="0" t="n">
        <f aca="false">E1491*F1491</f>
        <v>0.09375</v>
      </c>
      <c r="N1491" s="0" t="n">
        <f aca="false">D1491*D1491</f>
        <v>0.140625</v>
      </c>
      <c r="O1491" s="0" t="n">
        <f aca="false">E1491*E1491</f>
        <v>0.5625</v>
      </c>
      <c r="P1491" s="0" t="n">
        <f aca="false">F1491*F1491</f>
        <v>0.015625</v>
      </c>
      <c r="Q1491" s="0" t="n">
        <f aca="false">SUMPRODUCT(G1491:P1491,_XtX!$B$71:$K$71)</f>
        <v>44.5459943181818</v>
      </c>
      <c r="R1491" s="0" t="n">
        <f aca="false">SUMPRODUCT(MMULT(G1491:P1491,_XtX!$B$58:$K$67),G1491:P1491)</f>
        <v>0.233744118430398</v>
      </c>
      <c r="S1491" s="0" t="n">
        <f aca="false">04_回帰ANOVA!$K$19*04_回帰ANOVA!$K$14*SQRT(1+R1491)</f>
        <v>1.0327119053564</v>
      </c>
      <c r="T1491" s="0" t="n">
        <f aca="false">Q1491-S1491</f>
        <v>43.5132824128254</v>
      </c>
      <c r="U1491" s="0" t="n">
        <f aca="false">Q1491+S1491</f>
        <v>45.5787062235382</v>
      </c>
      <c r="V1491" s="54" t="b">
        <f aca="false">AND(D1491&gt;=01_因子設定!$L$5-0.000000001,D1491&lt;=01_因子設定!$M$5+0.000000001,E1491&gt;=01_因子設定!$L$6-0.000000001,E1491&lt;=01_因子設定!$M$6+0.000000001,F1491&gt;=01_因子設定!$L$7-0.000000001,F1491&lt;=01_因子設定!$M$7+0.000000001,IF(01_因子設定!$B$20="Box-Behnken",D1491^2+E1491^2+F1491^2&lt;=2+0.000000001,TRUE()))</f>
        <v>1</v>
      </c>
      <c r="W1491" s="55" t="n">
        <f aca="false">IF(V1491,IF(01_因子設定!$B$13="最大化",T1491-01_因子設定!$B$14,IF(01_因子設定!$B$13="最小化",01_因子設定!$B$15-U1491,MIN(T1491-01_因子設定!$B$14,01_因子設定!$B$15-U1491))),-1E+030)</f>
        <v>-4.98671758717457</v>
      </c>
      <c r="X1491" s="55" t="n">
        <f aca="false">IF(V1491,IF(01_因子設定!$B$13="最大化",Q1491,IF(01_因子設定!$B$13="最小化",-Q1491,-ABS(Q1491-01_因子設定!$B$16))),-1E+030)</f>
        <v>44.5459943181818</v>
      </c>
      <c r="Y1491" s="55" t="n">
        <f aca="false">W1491+ROW()*0.000000001</f>
        <v>-4.98671609617457</v>
      </c>
      <c r="Z1491" s="55" t="n">
        <f aca="false">X1491+ROW()*0.000000001</f>
        <v>44.5459958091818</v>
      </c>
    </row>
    <row r="1492" customFormat="false" ht="15" hidden="false" customHeight="false" outlineLevel="0" collapsed="false">
      <c r="A1492" s="0" t="n">
        <v>5</v>
      </c>
      <c r="B1492" s="0" t="n">
        <v>2</v>
      </c>
      <c r="C1492" s="0" t="n">
        <v>8</v>
      </c>
      <c r="D1492" s="0" t="n">
        <f aca="false">-1+A1492*0.125</f>
        <v>-0.375</v>
      </c>
      <c r="E1492" s="0" t="n">
        <f aca="false">-1+B1492*0.125</f>
        <v>-0.75</v>
      </c>
      <c r="F1492" s="0" t="n">
        <f aca="false">-1+C1492*0.125</f>
        <v>0</v>
      </c>
      <c r="G1492" s="0" t="n">
        <f aca="false">1</f>
        <v>1</v>
      </c>
      <c r="H1492" s="0" t="n">
        <f aca="false">D1492</f>
        <v>-0.375</v>
      </c>
      <c r="I1492" s="0" t="n">
        <f aca="false">E1492</f>
        <v>-0.75</v>
      </c>
      <c r="J1492" s="0" t="n">
        <f aca="false">F1492</f>
        <v>0</v>
      </c>
      <c r="K1492" s="0" t="n">
        <f aca="false">D1492*E1492</f>
        <v>0.28125</v>
      </c>
      <c r="L1492" s="0" t="n">
        <f aca="false">D1492*F1492</f>
        <v>-0</v>
      </c>
      <c r="M1492" s="0" t="n">
        <f aca="false">E1492*F1492</f>
        <v>-0</v>
      </c>
      <c r="N1492" s="0" t="n">
        <f aca="false">D1492*D1492</f>
        <v>0.140625</v>
      </c>
      <c r="O1492" s="0" t="n">
        <f aca="false">E1492*E1492</f>
        <v>0.5625</v>
      </c>
      <c r="P1492" s="0" t="n">
        <f aca="false">F1492*F1492</f>
        <v>0</v>
      </c>
      <c r="Q1492" s="0" t="n">
        <f aca="false">SUMPRODUCT(G1492:P1492,_XtX!$B$71:$K$71)</f>
        <v>44.7017329545455</v>
      </c>
      <c r="R1492" s="0" t="n">
        <f aca="false">SUMPRODUCT(MMULT(G1492:P1492,_XtX!$B$58:$K$67),G1492:P1492)</f>
        <v>0.235136274857955</v>
      </c>
      <c r="S1492" s="0" t="n">
        <f aca="false">04_回帰ANOVA!$K$19*04_回帰ANOVA!$K$14*SQRT(1+R1492)</f>
        <v>1.03329439695656</v>
      </c>
      <c r="T1492" s="0" t="n">
        <f aca="false">Q1492-S1492</f>
        <v>43.6684385575889</v>
      </c>
      <c r="U1492" s="0" t="n">
        <f aca="false">Q1492+S1492</f>
        <v>45.735027351502</v>
      </c>
      <c r="V1492" s="54" t="b">
        <f aca="false">AND(D1492&gt;=01_因子設定!$L$5-0.000000001,D1492&lt;=01_因子設定!$M$5+0.000000001,E1492&gt;=01_因子設定!$L$6-0.000000001,E1492&lt;=01_因子設定!$M$6+0.000000001,F1492&gt;=01_因子設定!$L$7-0.000000001,F1492&lt;=01_因子設定!$M$7+0.000000001,IF(01_因子設定!$B$20="Box-Behnken",D1492^2+E1492^2+F1492^2&lt;=2+0.000000001,TRUE()))</f>
        <v>1</v>
      </c>
      <c r="W1492" s="55" t="n">
        <f aca="false">IF(V1492,IF(01_因子設定!$B$13="最大化",T1492-01_因子設定!$B$14,IF(01_因子設定!$B$13="最小化",01_因子設定!$B$15-U1492,MIN(T1492-01_因子設定!$B$14,01_因子設定!$B$15-U1492))),-1E+030)</f>
        <v>-4.83156144241109</v>
      </c>
      <c r="X1492" s="55" t="n">
        <f aca="false">IF(V1492,IF(01_因子設定!$B$13="最大化",Q1492,IF(01_因子設定!$B$13="最小化",-Q1492,-ABS(Q1492-01_因子設定!$B$16))),-1E+030)</f>
        <v>44.7017329545455</v>
      </c>
      <c r="Y1492" s="55" t="n">
        <f aca="false">W1492+ROW()*0.000000001</f>
        <v>-4.83155995041109</v>
      </c>
      <c r="Z1492" s="55" t="n">
        <f aca="false">X1492+ROW()*0.000000001</f>
        <v>44.7017344465455</v>
      </c>
    </row>
    <row r="1493" customFormat="false" ht="15" hidden="false" customHeight="false" outlineLevel="0" collapsed="false">
      <c r="A1493" s="0" t="n">
        <v>5</v>
      </c>
      <c r="B1493" s="0" t="n">
        <v>2</v>
      </c>
      <c r="C1493" s="0" t="n">
        <v>9</v>
      </c>
      <c r="D1493" s="0" t="n">
        <f aca="false">-1+A1493*0.125</f>
        <v>-0.375</v>
      </c>
      <c r="E1493" s="0" t="n">
        <f aca="false">-1+B1493*0.125</f>
        <v>-0.75</v>
      </c>
      <c r="F1493" s="0" t="n">
        <f aca="false">-1+C1493*0.125</f>
        <v>0.125</v>
      </c>
      <c r="G1493" s="0" t="n">
        <f aca="false">1</f>
        <v>1</v>
      </c>
      <c r="H1493" s="0" t="n">
        <f aca="false">D1493</f>
        <v>-0.375</v>
      </c>
      <c r="I1493" s="0" t="n">
        <f aca="false">E1493</f>
        <v>-0.75</v>
      </c>
      <c r="J1493" s="0" t="n">
        <f aca="false">F1493</f>
        <v>0.125</v>
      </c>
      <c r="K1493" s="0" t="n">
        <f aca="false">D1493*E1493</f>
        <v>0.28125</v>
      </c>
      <c r="L1493" s="0" t="n">
        <f aca="false">D1493*F1493</f>
        <v>-0.046875</v>
      </c>
      <c r="M1493" s="0" t="n">
        <f aca="false">E1493*F1493</f>
        <v>-0.09375</v>
      </c>
      <c r="N1493" s="0" t="n">
        <f aca="false">D1493*D1493</f>
        <v>0.140625</v>
      </c>
      <c r="O1493" s="0" t="n">
        <f aca="false">E1493*E1493</f>
        <v>0.5625</v>
      </c>
      <c r="P1493" s="0" t="n">
        <f aca="false">F1493*F1493</f>
        <v>0.015625</v>
      </c>
      <c r="Q1493" s="0" t="n">
        <f aca="false">SUMPRODUCT(G1493:P1493,_XtX!$B$71:$K$71)</f>
        <v>44.8206818181818</v>
      </c>
      <c r="R1493" s="0" t="n">
        <f aca="false">SUMPRODUCT(MMULT(G1493:P1493,_XtX!$B$58:$K$67),G1493:P1493)</f>
        <v>0.233744118430398</v>
      </c>
      <c r="S1493" s="0" t="n">
        <f aca="false">04_回帰ANOVA!$K$19*04_回帰ANOVA!$K$14*SQRT(1+R1493)</f>
        <v>1.0327119053564</v>
      </c>
      <c r="T1493" s="0" t="n">
        <f aca="false">Q1493-S1493</f>
        <v>43.7879699128254</v>
      </c>
      <c r="U1493" s="0" t="n">
        <f aca="false">Q1493+S1493</f>
        <v>45.8533937235382</v>
      </c>
      <c r="V1493" s="54" t="b">
        <f aca="false">AND(D1493&gt;=01_因子設定!$L$5-0.000000001,D1493&lt;=01_因子設定!$M$5+0.000000001,E1493&gt;=01_因子設定!$L$6-0.000000001,E1493&lt;=01_因子設定!$M$6+0.000000001,F1493&gt;=01_因子設定!$L$7-0.000000001,F1493&lt;=01_因子設定!$M$7+0.000000001,IF(01_因子設定!$B$20="Box-Behnken",D1493^2+E1493^2+F1493^2&lt;=2+0.000000001,TRUE()))</f>
        <v>1</v>
      </c>
      <c r="W1493" s="55" t="n">
        <f aca="false">IF(V1493,IF(01_因子設定!$B$13="最大化",T1493-01_因子設定!$B$14,IF(01_因子設定!$B$13="最小化",01_因子設定!$B$15-U1493,MIN(T1493-01_因子設定!$B$14,01_因子設定!$B$15-U1493))),-1E+030)</f>
        <v>-4.71203008717458</v>
      </c>
      <c r="X1493" s="55" t="n">
        <f aca="false">IF(V1493,IF(01_因子設定!$B$13="最大化",Q1493,IF(01_因子設定!$B$13="最小化",-Q1493,-ABS(Q1493-01_因子設定!$B$16))),-1E+030)</f>
        <v>44.8206818181818</v>
      </c>
      <c r="Y1493" s="55" t="n">
        <f aca="false">W1493+ROW()*0.000000001</f>
        <v>-4.71202859417458</v>
      </c>
      <c r="Z1493" s="55" t="n">
        <f aca="false">X1493+ROW()*0.000000001</f>
        <v>44.8206833111818</v>
      </c>
    </row>
    <row r="1494" customFormat="false" ht="15" hidden="false" customHeight="false" outlineLevel="0" collapsed="false">
      <c r="A1494" s="0" t="n">
        <v>5</v>
      </c>
      <c r="B1494" s="0" t="n">
        <v>2</v>
      </c>
      <c r="C1494" s="0" t="n">
        <v>10</v>
      </c>
      <c r="D1494" s="0" t="n">
        <f aca="false">-1+A1494*0.125</f>
        <v>-0.375</v>
      </c>
      <c r="E1494" s="0" t="n">
        <f aca="false">-1+B1494*0.125</f>
        <v>-0.75</v>
      </c>
      <c r="F1494" s="0" t="n">
        <f aca="false">-1+C1494*0.125</f>
        <v>0.25</v>
      </c>
      <c r="G1494" s="0" t="n">
        <f aca="false">1</f>
        <v>1</v>
      </c>
      <c r="H1494" s="0" t="n">
        <f aca="false">D1494</f>
        <v>-0.375</v>
      </c>
      <c r="I1494" s="0" t="n">
        <f aca="false">E1494</f>
        <v>-0.75</v>
      </c>
      <c r="J1494" s="0" t="n">
        <f aca="false">F1494</f>
        <v>0.25</v>
      </c>
      <c r="K1494" s="0" t="n">
        <f aca="false">D1494*E1494</f>
        <v>0.28125</v>
      </c>
      <c r="L1494" s="0" t="n">
        <f aca="false">D1494*F1494</f>
        <v>-0.09375</v>
      </c>
      <c r="M1494" s="0" t="n">
        <f aca="false">E1494*F1494</f>
        <v>-0.1875</v>
      </c>
      <c r="N1494" s="0" t="n">
        <f aca="false">D1494*D1494</f>
        <v>0.140625</v>
      </c>
      <c r="O1494" s="0" t="n">
        <f aca="false">E1494*E1494</f>
        <v>0.5625</v>
      </c>
      <c r="P1494" s="0" t="n">
        <f aca="false">F1494*F1494</f>
        <v>0.0625</v>
      </c>
      <c r="Q1494" s="0" t="n">
        <f aca="false">SUMPRODUCT(G1494:P1494,_XtX!$B$71:$K$71)</f>
        <v>44.9028409090909</v>
      </c>
      <c r="R1494" s="0" t="n">
        <f aca="false">SUMPRODUCT(MMULT(G1494:P1494,_XtX!$B$58:$K$67),G1494:P1494)</f>
        <v>0.230632990056818</v>
      </c>
      <c r="S1494" s="0" t="n">
        <f aca="false">04_回帰ANOVA!$K$19*04_回帰ANOVA!$K$14*SQRT(1+R1494)</f>
        <v>1.03140899038819</v>
      </c>
      <c r="T1494" s="0" t="n">
        <f aca="false">Q1494-S1494</f>
        <v>43.8714319187027</v>
      </c>
      <c r="U1494" s="0" t="n">
        <f aca="false">Q1494+S1494</f>
        <v>45.9342498994791</v>
      </c>
      <c r="V1494" s="54" t="b">
        <f aca="false">AND(D1494&gt;=01_因子設定!$L$5-0.000000001,D1494&lt;=01_因子設定!$M$5+0.000000001,E1494&gt;=01_因子設定!$L$6-0.000000001,E1494&lt;=01_因子設定!$M$6+0.000000001,F1494&gt;=01_因子設定!$L$7-0.000000001,F1494&lt;=01_因子設定!$M$7+0.000000001,IF(01_因子設定!$B$20="Box-Behnken",D1494^2+E1494^2+F1494^2&lt;=2+0.000000001,TRUE()))</f>
        <v>1</v>
      </c>
      <c r="W1494" s="55" t="n">
        <f aca="false">IF(V1494,IF(01_因子設定!$B$13="最大化",T1494-01_因子設定!$B$14,IF(01_因子設定!$B$13="最小化",01_因子設定!$B$15-U1494,MIN(T1494-01_因子設定!$B$14,01_因子設定!$B$15-U1494))),-1E+030)</f>
        <v>-4.62856808129727</v>
      </c>
      <c r="X1494" s="55" t="n">
        <f aca="false">IF(V1494,IF(01_因子設定!$B$13="最大化",Q1494,IF(01_因子設定!$B$13="最小化",-Q1494,-ABS(Q1494-01_因子設定!$B$16))),-1E+030)</f>
        <v>44.9028409090909</v>
      </c>
      <c r="Y1494" s="55" t="n">
        <f aca="false">W1494+ROW()*0.000000001</f>
        <v>-4.62856658729727</v>
      </c>
      <c r="Z1494" s="55" t="n">
        <f aca="false">X1494+ROW()*0.000000001</f>
        <v>44.9028424030909</v>
      </c>
    </row>
    <row r="1495" customFormat="false" ht="15" hidden="false" customHeight="false" outlineLevel="0" collapsed="false">
      <c r="A1495" s="0" t="n">
        <v>5</v>
      </c>
      <c r="B1495" s="0" t="n">
        <v>2</v>
      </c>
      <c r="C1495" s="0" t="n">
        <v>11</v>
      </c>
      <c r="D1495" s="0" t="n">
        <f aca="false">-1+A1495*0.125</f>
        <v>-0.375</v>
      </c>
      <c r="E1495" s="0" t="n">
        <f aca="false">-1+B1495*0.125</f>
        <v>-0.75</v>
      </c>
      <c r="F1495" s="0" t="n">
        <f aca="false">-1+C1495*0.125</f>
        <v>0.375</v>
      </c>
      <c r="G1495" s="0" t="n">
        <f aca="false">1</f>
        <v>1</v>
      </c>
      <c r="H1495" s="0" t="n">
        <f aca="false">D1495</f>
        <v>-0.375</v>
      </c>
      <c r="I1495" s="0" t="n">
        <f aca="false">E1495</f>
        <v>-0.75</v>
      </c>
      <c r="J1495" s="0" t="n">
        <f aca="false">F1495</f>
        <v>0.375</v>
      </c>
      <c r="K1495" s="0" t="n">
        <f aca="false">D1495*E1495</f>
        <v>0.28125</v>
      </c>
      <c r="L1495" s="0" t="n">
        <f aca="false">D1495*F1495</f>
        <v>-0.140625</v>
      </c>
      <c r="M1495" s="0" t="n">
        <f aca="false">E1495*F1495</f>
        <v>-0.28125</v>
      </c>
      <c r="N1495" s="0" t="n">
        <f aca="false">D1495*D1495</f>
        <v>0.140625</v>
      </c>
      <c r="O1495" s="0" t="n">
        <f aca="false">E1495*E1495</f>
        <v>0.5625</v>
      </c>
      <c r="P1495" s="0" t="n">
        <f aca="false">F1495*F1495</f>
        <v>0.140625</v>
      </c>
      <c r="Q1495" s="0" t="n">
        <f aca="false">SUMPRODUCT(G1495:P1495,_XtX!$B$71:$K$71)</f>
        <v>44.9482102272727</v>
      </c>
      <c r="R1495" s="0" t="n">
        <f aca="false">SUMPRODUCT(MMULT(G1495:P1495,_XtX!$B$58:$K$67),G1495:P1495)</f>
        <v>0.228998912464489</v>
      </c>
      <c r="S1495" s="0" t="n">
        <f aca="false">04_回帰ANOVA!$K$19*04_回帰ANOVA!$K$14*SQRT(1+R1495)</f>
        <v>1.03072399242813</v>
      </c>
      <c r="T1495" s="0" t="n">
        <f aca="false">Q1495-S1495</f>
        <v>43.9174862348446</v>
      </c>
      <c r="U1495" s="0" t="n">
        <f aca="false">Q1495+S1495</f>
        <v>45.9789342197009</v>
      </c>
      <c r="V1495" s="54" t="b">
        <f aca="false">AND(D1495&gt;=01_因子設定!$L$5-0.000000001,D1495&lt;=01_因子設定!$M$5+0.000000001,E1495&gt;=01_因子設定!$L$6-0.000000001,E1495&lt;=01_因子設定!$M$6+0.000000001,F1495&gt;=01_因子設定!$L$7-0.000000001,F1495&lt;=01_因子設定!$M$7+0.000000001,IF(01_因子設定!$B$20="Box-Behnken",D1495^2+E1495^2+F1495^2&lt;=2+0.000000001,TRUE()))</f>
        <v>1</v>
      </c>
      <c r="W1495" s="55" t="n">
        <f aca="false">IF(V1495,IF(01_因子設定!$B$13="最大化",T1495-01_因子設定!$B$14,IF(01_因子設定!$B$13="最小化",01_因子設定!$B$15-U1495,MIN(T1495-01_因子設定!$B$14,01_因子設定!$B$15-U1495))),-1E+030)</f>
        <v>-4.58251376515539</v>
      </c>
      <c r="X1495" s="55" t="n">
        <f aca="false">IF(V1495,IF(01_因子設定!$B$13="最大化",Q1495,IF(01_因子設定!$B$13="最小化",-Q1495,-ABS(Q1495-01_因子設定!$B$16))),-1E+030)</f>
        <v>44.9482102272727</v>
      </c>
      <c r="Y1495" s="55" t="n">
        <f aca="false">W1495+ROW()*0.000000001</f>
        <v>-4.58251227015539</v>
      </c>
      <c r="Z1495" s="55" t="n">
        <f aca="false">X1495+ROW()*0.000000001</f>
        <v>44.9482117222727</v>
      </c>
    </row>
    <row r="1496" customFormat="false" ht="15" hidden="false" customHeight="false" outlineLevel="0" collapsed="false">
      <c r="A1496" s="0" t="n">
        <v>5</v>
      </c>
      <c r="B1496" s="0" t="n">
        <v>2</v>
      </c>
      <c r="C1496" s="0" t="n">
        <v>12</v>
      </c>
      <c r="D1496" s="0" t="n">
        <f aca="false">-1+A1496*0.125</f>
        <v>-0.375</v>
      </c>
      <c r="E1496" s="0" t="n">
        <f aca="false">-1+B1496*0.125</f>
        <v>-0.75</v>
      </c>
      <c r="F1496" s="0" t="n">
        <f aca="false">-1+C1496*0.125</f>
        <v>0.5</v>
      </c>
      <c r="G1496" s="0" t="n">
        <f aca="false">1</f>
        <v>1</v>
      </c>
      <c r="H1496" s="0" t="n">
        <f aca="false">D1496</f>
        <v>-0.375</v>
      </c>
      <c r="I1496" s="0" t="n">
        <f aca="false">E1496</f>
        <v>-0.75</v>
      </c>
      <c r="J1496" s="0" t="n">
        <f aca="false">F1496</f>
        <v>0.5</v>
      </c>
      <c r="K1496" s="0" t="n">
        <f aca="false">D1496*E1496</f>
        <v>0.28125</v>
      </c>
      <c r="L1496" s="0" t="n">
        <f aca="false">D1496*F1496</f>
        <v>-0.1875</v>
      </c>
      <c r="M1496" s="0" t="n">
        <f aca="false">E1496*F1496</f>
        <v>-0.375</v>
      </c>
      <c r="N1496" s="0" t="n">
        <f aca="false">D1496*D1496</f>
        <v>0.140625</v>
      </c>
      <c r="O1496" s="0" t="n">
        <f aca="false">E1496*E1496</f>
        <v>0.5625</v>
      </c>
      <c r="P1496" s="0" t="n">
        <f aca="false">F1496*F1496</f>
        <v>0.25</v>
      </c>
      <c r="Q1496" s="0" t="n">
        <f aca="false">SUMPRODUCT(G1496:P1496,_XtX!$B$71:$K$71)</f>
        <v>44.9567897727273</v>
      </c>
      <c r="R1496" s="0" t="n">
        <f aca="false">SUMPRODUCT(MMULT(G1496:P1496,_XtX!$B$58:$K$67),G1496:P1496)</f>
        <v>0.234168590198864</v>
      </c>
      <c r="S1496" s="0" t="n">
        <f aca="false">04_回帰ANOVA!$K$19*04_回帰ANOVA!$K$14*SQRT(1+R1496)</f>
        <v>1.03288954322488</v>
      </c>
      <c r="T1496" s="0" t="n">
        <f aca="false">Q1496-S1496</f>
        <v>43.9239002295024</v>
      </c>
      <c r="U1496" s="0" t="n">
        <f aca="false">Q1496+S1496</f>
        <v>45.9896793159522</v>
      </c>
      <c r="V1496" s="54" t="b">
        <f aca="false">AND(D1496&gt;=01_因子設定!$L$5-0.000000001,D1496&lt;=01_因子設定!$M$5+0.000000001,E1496&gt;=01_因子設定!$L$6-0.000000001,E1496&lt;=01_因子設定!$M$6+0.000000001,F1496&gt;=01_因子設定!$L$7-0.000000001,F1496&lt;=01_因子設定!$M$7+0.000000001,IF(01_因子設定!$B$20="Box-Behnken",D1496^2+E1496^2+F1496^2&lt;=2+0.000000001,TRUE()))</f>
        <v>1</v>
      </c>
      <c r="W1496" s="55" t="n">
        <f aca="false">IF(V1496,IF(01_因子設定!$B$13="最大化",T1496-01_因子設定!$B$14,IF(01_因子設定!$B$13="最小化",01_因子設定!$B$15-U1496,MIN(T1496-01_因子設定!$B$14,01_因子設定!$B$15-U1496))),-1E+030)</f>
        <v>-4.57609977049759</v>
      </c>
      <c r="X1496" s="55" t="n">
        <f aca="false">IF(V1496,IF(01_因子設定!$B$13="最大化",Q1496,IF(01_因子設定!$B$13="最小化",-Q1496,-ABS(Q1496-01_因子設定!$B$16))),-1E+030)</f>
        <v>44.9567897727273</v>
      </c>
      <c r="Y1496" s="55" t="n">
        <f aca="false">W1496+ROW()*0.000000001</f>
        <v>-4.57609827449759</v>
      </c>
      <c r="Z1496" s="55" t="n">
        <f aca="false">X1496+ROW()*0.000000001</f>
        <v>44.9567912687273</v>
      </c>
    </row>
    <row r="1497" customFormat="false" ht="15" hidden="false" customHeight="false" outlineLevel="0" collapsed="false">
      <c r="A1497" s="0" t="n">
        <v>5</v>
      </c>
      <c r="B1497" s="0" t="n">
        <v>2</v>
      </c>
      <c r="C1497" s="0" t="n">
        <v>13</v>
      </c>
      <c r="D1497" s="0" t="n">
        <f aca="false">-1+A1497*0.125</f>
        <v>-0.375</v>
      </c>
      <c r="E1497" s="0" t="n">
        <f aca="false">-1+B1497*0.125</f>
        <v>-0.75</v>
      </c>
      <c r="F1497" s="0" t="n">
        <f aca="false">-1+C1497*0.125</f>
        <v>0.625</v>
      </c>
      <c r="G1497" s="0" t="n">
        <f aca="false">1</f>
        <v>1</v>
      </c>
      <c r="H1497" s="0" t="n">
        <f aca="false">D1497</f>
        <v>-0.375</v>
      </c>
      <c r="I1497" s="0" t="n">
        <f aca="false">E1497</f>
        <v>-0.75</v>
      </c>
      <c r="J1497" s="0" t="n">
        <f aca="false">F1497</f>
        <v>0.625</v>
      </c>
      <c r="K1497" s="0" t="n">
        <f aca="false">D1497*E1497</f>
        <v>0.28125</v>
      </c>
      <c r="L1497" s="0" t="n">
        <f aca="false">D1497*F1497</f>
        <v>-0.234375</v>
      </c>
      <c r="M1497" s="0" t="n">
        <f aca="false">E1497*F1497</f>
        <v>-0.46875</v>
      </c>
      <c r="N1497" s="0" t="n">
        <f aca="false">D1497*D1497</f>
        <v>0.140625</v>
      </c>
      <c r="O1497" s="0" t="n">
        <f aca="false">E1497*E1497</f>
        <v>0.5625</v>
      </c>
      <c r="P1497" s="0" t="n">
        <f aca="false">F1497*F1497</f>
        <v>0.390625</v>
      </c>
      <c r="Q1497" s="0" t="n">
        <f aca="false">SUMPRODUCT(G1497:P1497,_XtX!$B$71:$K$71)</f>
        <v>44.9285795454546</v>
      </c>
      <c r="R1497" s="0" t="n">
        <f aca="false">SUMPRODUCT(MMULT(G1497:P1497,_XtX!$B$58:$K$67),G1497:P1497)</f>
        <v>0.25359940962358</v>
      </c>
      <c r="S1497" s="0" t="n">
        <f aca="false">04_回帰ANOVA!$K$19*04_回帰ANOVA!$K$14*SQRT(1+R1497)</f>
        <v>1.04098872464599</v>
      </c>
      <c r="T1497" s="0" t="n">
        <f aca="false">Q1497-S1497</f>
        <v>43.8875908208086</v>
      </c>
      <c r="U1497" s="0" t="n">
        <f aca="false">Q1497+S1497</f>
        <v>45.9695682701005</v>
      </c>
      <c r="V1497" s="54" t="b">
        <f aca="false">AND(D1497&gt;=01_因子設定!$L$5-0.000000001,D1497&lt;=01_因子設定!$M$5+0.000000001,E1497&gt;=01_因子設定!$L$6-0.000000001,E1497&lt;=01_因子設定!$M$6+0.000000001,F1497&gt;=01_因子設定!$L$7-0.000000001,F1497&lt;=01_因子設定!$M$7+0.000000001,IF(01_因子設定!$B$20="Box-Behnken",D1497^2+E1497^2+F1497^2&lt;=2+0.000000001,TRUE()))</f>
        <v>1</v>
      </c>
      <c r="W1497" s="55" t="n">
        <f aca="false">IF(V1497,IF(01_因子設定!$B$13="最大化",T1497-01_因子設定!$B$14,IF(01_因子設定!$B$13="最小化",01_因子設定!$B$15-U1497,MIN(T1497-01_因子設定!$B$14,01_因子設定!$B$15-U1497))),-1E+030)</f>
        <v>-4.61240917919142</v>
      </c>
      <c r="X1497" s="55" t="n">
        <f aca="false">IF(V1497,IF(01_因子設定!$B$13="最大化",Q1497,IF(01_因子設定!$B$13="最小化",-Q1497,-ABS(Q1497-01_因子設定!$B$16))),-1E+030)</f>
        <v>44.9285795454546</v>
      </c>
      <c r="Y1497" s="55" t="n">
        <f aca="false">W1497+ROW()*0.000000001</f>
        <v>-4.61240768219142</v>
      </c>
      <c r="Z1497" s="55" t="n">
        <f aca="false">X1497+ROW()*0.000000001</f>
        <v>44.9285810424546</v>
      </c>
    </row>
    <row r="1498" customFormat="false" ht="15" hidden="false" customHeight="false" outlineLevel="0" collapsed="false">
      <c r="A1498" s="0" t="n">
        <v>5</v>
      </c>
      <c r="B1498" s="0" t="n">
        <v>2</v>
      </c>
      <c r="C1498" s="0" t="n">
        <v>14</v>
      </c>
      <c r="D1498" s="0" t="n">
        <f aca="false">-1+A1498*0.125</f>
        <v>-0.375</v>
      </c>
      <c r="E1498" s="0" t="n">
        <f aca="false">-1+B1498*0.125</f>
        <v>-0.75</v>
      </c>
      <c r="F1498" s="0" t="n">
        <f aca="false">-1+C1498*0.125</f>
        <v>0.75</v>
      </c>
      <c r="G1498" s="0" t="n">
        <f aca="false">1</f>
        <v>1</v>
      </c>
      <c r="H1498" s="0" t="n">
        <f aca="false">D1498</f>
        <v>-0.375</v>
      </c>
      <c r="I1498" s="0" t="n">
        <f aca="false">E1498</f>
        <v>-0.75</v>
      </c>
      <c r="J1498" s="0" t="n">
        <f aca="false">F1498</f>
        <v>0.75</v>
      </c>
      <c r="K1498" s="0" t="n">
        <f aca="false">D1498*E1498</f>
        <v>0.28125</v>
      </c>
      <c r="L1498" s="0" t="n">
        <f aca="false">D1498*F1498</f>
        <v>-0.28125</v>
      </c>
      <c r="M1498" s="0" t="n">
        <f aca="false">E1498*F1498</f>
        <v>-0.5625</v>
      </c>
      <c r="N1498" s="0" t="n">
        <f aca="false">D1498*D1498</f>
        <v>0.140625</v>
      </c>
      <c r="O1498" s="0" t="n">
        <f aca="false">E1498*E1498</f>
        <v>0.5625</v>
      </c>
      <c r="P1498" s="0" t="n">
        <f aca="false">F1498*F1498</f>
        <v>0.5625</v>
      </c>
      <c r="Q1498" s="0" t="n">
        <f aca="false">SUMPRODUCT(G1498:P1498,_XtX!$B$71:$K$71)</f>
        <v>44.8635795454546</v>
      </c>
      <c r="R1498" s="0" t="n">
        <f aca="false">SUMPRODUCT(MMULT(G1498:P1498,_XtX!$B$58:$K$67),G1498:P1498)</f>
        <v>0.296879438920455</v>
      </c>
      <c r="S1498" s="0" t="n">
        <f aca="false">04_回帰ANOVA!$K$19*04_回帰ANOVA!$K$14*SQRT(1+R1498)</f>
        <v>1.05880610927316</v>
      </c>
      <c r="T1498" s="0" t="n">
        <f aca="false">Q1498-S1498</f>
        <v>43.8047734361814</v>
      </c>
      <c r="U1498" s="0" t="n">
        <f aca="false">Q1498+S1498</f>
        <v>45.9223856547277</v>
      </c>
      <c r="V1498" s="54" t="b">
        <f aca="false">AND(D1498&gt;=01_因子設定!$L$5-0.000000001,D1498&lt;=01_因子設定!$M$5+0.000000001,E1498&gt;=01_因子設定!$L$6-0.000000001,E1498&lt;=01_因子設定!$M$6+0.000000001,F1498&gt;=01_因子設定!$L$7-0.000000001,F1498&lt;=01_因子設定!$M$7+0.000000001,IF(01_因子設定!$B$20="Box-Behnken",D1498^2+E1498^2+F1498^2&lt;=2+0.000000001,TRUE()))</f>
        <v>1</v>
      </c>
      <c r="W1498" s="55" t="n">
        <f aca="false">IF(V1498,IF(01_因子設定!$B$13="最大化",T1498-01_因子設定!$B$14,IF(01_因子設定!$B$13="最小化",01_因子設定!$B$15-U1498,MIN(T1498-01_因子設定!$B$14,01_因子設定!$B$15-U1498))),-1E+030)</f>
        <v>-4.6952265638186</v>
      </c>
      <c r="X1498" s="55" t="n">
        <f aca="false">IF(V1498,IF(01_因子設定!$B$13="最大化",Q1498,IF(01_因子設定!$B$13="最小化",-Q1498,-ABS(Q1498-01_因子設定!$B$16))),-1E+030)</f>
        <v>44.8635795454546</v>
      </c>
      <c r="Y1498" s="55" t="n">
        <f aca="false">W1498+ROW()*0.000000001</f>
        <v>-4.6952250658186</v>
      </c>
      <c r="Z1498" s="55" t="n">
        <f aca="false">X1498+ROW()*0.000000001</f>
        <v>44.8635810434546</v>
      </c>
    </row>
    <row r="1499" customFormat="false" ht="15" hidden="false" customHeight="false" outlineLevel="0" collapsed="false">
      <c r="A1499" s="0" t="n">
        <v>5</v>
      </c>
      <c r="B1499" s="0" t="n">
        <v>2</v>
      </c>
      <c r="C1499" s="0" t="n">
        <v>15</v>
      </c>
      <c r="D1499" s="0" t="n">
        <f aca="false">-1+A1499*0.125</f>
        <v>-0.375</v>
      </c>
      <c r="E1499" s="0" t="n">
        <f aca="false">-1+B1499*0.125</f>
        <v>-0.75</v>
      </c>
      <c r="F1499" s="0" t="n">
        <f aca="false">-1+C1499*0.125</f>
        <v>0.875</v>
      </c>
      <c r="G1499" s="0" t="n">
        <f aca="false">1</f>
        <v>1</v>
      </c>
      <c r="H1499" s="0" t="n">
        <f aca="false">D1499</f>
        <v>-0.375</v>
      </c>
      <c r="I1499" s="0" t="n">
        <f aca="false">E1499</f>
        <v>-0.75</v>
      </c>
      <c r="J1499" s="0" t="n">
        <f aca="false">F1499</f>
        <v>0.875</v>
      </c>
      <c r="K1499" s="0" t="n">
        <f aca="false">D1499*E1499</f>
        <v>0.28125</v>
      </c>
      <c r="L1499" s="0" t="n">
        <f aca="false">D1499*F1499</f>
        <v>-0.328125</v>
      </c>
      <c r="M1499" s="0" t="n">
        <f aca="false">E1499*F1499</f>
        <v>-0.65625</v>
      </c>
      <c r="N1499" s="0" t="n">
        <f aca="false">D1499*D1499</f>
        <v>0.140625</v>
      </c>
      <c r="O1499" s="0" t="n">
        <f aca="false">E1499*E1499</f>
        <v>0.5625</v>
      </c>
      <c r="P1499" s="0" t="n">
        <f aca="false">F1499*F1499</f>
        <v>0.765625</v>
      </c>
      <c r="Q1499" s="0" t="n">
        <f aca="false">SUMPRODUCT(G1499:P1499,_XtX!$B$71:$K$71)</f>
        <v>44.7617897727273</v>
      </c>
      <c r="R1499" s="0" t="n">
        <f aca="false">SUMPRODUCT(MMULT(G1499:P1499,_XtX!$B$58:$K$67),G1499:P1499)</f>
        <v>0.375727428089489</v>
      </c>
      <c r="S1499" s="0" t="n">
        <f aca="false">04_回帰ANOVA!$K$19*04_回帰ANOVA!$K$14*SQRT(1+R1499)</f>
        <v>1.09051798904087</v>
      </c>
      <c r="T1499" s="0" t="n">
        <f aca="false">Q1499-S1499</f>
        <v>43.6712717836864</v>
      </c>
      <c r="U1499" s="0" t="n">
        <f aca="false">Q1499+S1499</f>
        <v>45.8523077617682</v>
      </c>
      <c r="V1499" s="54" t="b">
        <f aca="false">AND(D1499&gt;=01_因子設定!$L$5-0.000000001,D1499&lt;=01_因子設定!$M$5+0.000000001,E1499&gt;=01_因子設定!$L$6-0.000000001,E1499&lt;=01_因子設定!$M$6+0.000000001,F1499&gt;=01_因子設定!$L$7-0.000000001,F1499&lt;=01_因子設定!$M$7+0.000000001,IF(01_因子設定!$B$20="Box-Behnken",D1499^2+E1499^2+F1499^2&lt;=2+0.000000001,TRUE()))</f>
        <v>1</v>
      </c>
      <c r="W1499" s="55" t="n">
        <f aca="false">IF(V1499,IF(01_因子設定!$B$13="最大化",T1499-01_因子設定!$B$14,IF(01_因子設定!$B$13="最小化",01_因子設定!$B$15-U1499,MIN(T1499-01_因子設定!$B$14,01_因子設定!$B$15-U1499))),-1E+030)</f>
        <v>-4.82872821631358</v>
      </c>
      <c r="X1499" s="55" t="n">
        <f aca="false">IF(V1499,IF(01_因子設定!$B$13="最大化",Q1499,IF(01_因子設定!$B$13="最小化",-Q1499,-ABS(Q1499-01_因子設定!$B$16))),-1E+030)</f>
        <v>44.7617897727273</v>
      </c>
      <c r="Y1499" s="55" t="n">
        <f aca="false">W1499+ROW()*0.000000001</f>
        <v>-4.82872671731358</v>
      </c>
      <c r="Z1499" s="55" t="n">
        <f aca="false">X1499+ROW()*0.000000001</f>
        <v>44.7617912717273</v>
      </c>
    </row>
    <row r="1500" customFormat="false" ht="15" hidden="false" customHeight="false" outlineLevel="0" collapsed="false">
      <c r="A1500" s="0" t="n">
        <v>5</v>
      </c>
      <c r="B1500" s="0" t="n">
        <v>2</v>
      </c>
      <c r="C1500" s="0" t="n">
        <v>16</v>
      </c>
      <c r="D1500" s="0" t="n">
        <f aca="false">-1+A1500*0.125</f>
        <v>-0.375</v>
      </c>
      <c r="E1500" s="0" t="n">
        <f aca="false">-1+B1500*0.125</f>
        <v>-0.75</v>
      </c>
      <c r="F1500" s="0" t="n">
        <f aca="false">-1+C1500*0.125</f>
        <v>1</v>
      </c>
      <c r="G1500" s="0" t="n">
        <f aca="false">1</f>
        <v>1</v>
      </c>
      <c r="H1500" s="0" t="n">
        <f aca="false">D1500</f>
        <v>-0.375</v>
      </c>
      <c r="I1500" s="0" t="n">
        <f aca="false">E1500</f>
        <v>-0.75</v>
      </c>
      <c r="J1500" s="0" t="n">
        <f aca="false">F1500</f>
        <v>1</v>
      </c>
      <c r="K1500" s="0" t="n">
        <f aca="false">D1500*E1500</f>
        <v>0.28125</v>
      </c>
      <c r="L1500" s="0" t="n">
        <f aca="false">D1500*F1500</f>
        <v>-0.375</v>
      </c>
      <c r="M1500" s="0" t="n">
        <f aca="false">E1500*F1500</f>
        <v>-0.75</v>
      </c>
      <c r="N1500" s="0" t="n">
        <f aca="false">D1500*D1500</f>
        <v>0.140625</v>
      </c>
      <c r="O1500" s="0" t="n">
        <f aca="false">E1500*E1500</f>
        <v>0.5625</v>
      </c>
      <c r="P1500" s="0" t="n">
        <f aca="false">F1500*F1500</f>
        <v>1</v>
      </c>
      <c r="Q1500" s="0" t="n">
        <f aca="false">SUMPRODUCT(G1500:P1500,_XtX!$B$71:$K$71)</f>
        <v>44.6232102272728</v>
      </c>
      <c r="R1500" s="0" t="n">
        <f aca="false">SUMPRODUCT(MMULT(G1500:P1500,_XtX!$B$58:$K$67),G1500:P1500)</f>
        <v>0.503992808948864</v>
      </c>
      <c r="S1500" s="0" t="n">
        <f aca="false">04_回帰ANOVA!$K$19*04_回帰ANOVA!$K$14*SQRT(1+R1500)</f>
        <v>1.14022226176226</v>
      </c>
      <c r="T1500" s="0" t="n">
        <f aca="false">Q1500-S1500</f>
        <v>43.4829879655105</v>
      </c>
      <c r="U1500" s="0" t="n">
        <f aca="false">Q1500+S1500</f>
        <v>45.763432489035</v>
      </c>
      <c r="V1500" s="54" t="b">
        <f aca="false">AND(D1500&gt;=01_因子設定!$L$5-0.000000001,D1500&lt;=01_因子設定!$M$5+0.000000001,E1500&gt;=01_因子設定!$L$6-0.000000001,E1500&lt;=01_因子設定!$M$6+0.000000001,F1500&gt;=01_因子設定!$L$7-0.000000001,F1500&lt;=01_因子設定!$M$7+0.000000001,IF(01_因子設定!$B$20="Box-Behnken",D1500^2+E1500^2+F1500^2&lt;=2+0.000000001,TRUE()))</f>
        <v>1</v>
      </c>
      <c r="W1500" s="55" t="n">
        <f aca="false">IF(V1500,IF(01_因子設定!$B$13="最大化",T1500-01_因子設定!$B$14,IF(01_因子設定!$B$13="最小化",01_因子設定!$B$15-U1500,MIN(T1500-01_因子設定!$B$14,01_因子設定!$B$15-U1500))),-1E+030)</f>
        <v>-5.01701203448951</v>
      </c>
      <c r="X1500" s="55" t="n">
        <f aca="false">IF(V1500,IF(01_因子設定!$B$13="最大化",Q1500,IF(01_因子設定!$B$13="最小化",-Q1500,-ABS(Q1500-01_因子設定!$B$16))),-1E+030)</f>
        <v>44.6232102272728</v>
      </c>
      <c r="Y1500" s="55" t="n">
        <f aca="false">W1500+ROW()*0.000000001</f>
        <v>-5.01701053448951</v>
      </c>
      <c r="Z1500" s="55" t="n">
        <f aca="false">X1500+ROW()*0.000000001</f>
        <v>44.6232117272728</v>
      </c>
    </row>
    <row r="1501" customFormat="false" ht="15" hidden="false" customHeight="false" outlineLevel="0" collapsed="false">
      <c r="A1501" s="0" t="n">
        <v>5</v>
      </c>
      <c r="B1501" s="0" t="n">
        <v>3</v>
      </c>
      <c r="C1501" s="0" t="n">
        <v>0</v>
      </c>
      <c r="D1501" s="0" t="n">
        <f aca="false">-1+A1501*0.125</f>
        <v>-0.375</v>
      </c>
      <c r="E1501" s="0" t="n">
        <f aca="false">-1+B1501*0.125</f>
        <v>-0.625</v>
      </c>
      <c r="F1501" s="0" t="n">
        <f aca="false">-1+C1501*0.125</f>
        <v>-1</v>
      </c>
      <c r="G1501" s="0" t="n">
        <f aca="false">1</f>
        <v>1</v>
      </c>
      <c r="H1501" s="0" t="n">
        <f aca="false">D1501</f>
        <v>-0.375</v>
      </c>
      <c r="I1501" s="0" t="n">
        <f aca="false">E1501</f>
        <v>-0.625</v>
      </c>
      <c r="J1501" s="0" t="n">
        <f aca="false">F1501</f>
        <v>-1</v>
      </c>
      <c r="K1501" s="0" t="n">
        <f aca="false">D1501*E1501</f>
        <v>0.234375</v>
      </c>
      <c r="L1501" s="0" t="n">
        <f aca="false">D1501*F1501</f>
        <v>0.375</v>
      </c>
      <c r="M1501" s="0" t="n">
        <f aca="false">E1501*F1501</f>
        <v>0.625</v>
      </c>
      <c r="N1501" s="0" t="n">
        <f aca="false">D1501*D1501</f>
        <v>0.140625</v>
      </c>
      <c r="O1501" s="0" t="n">
        <f aca="false">E1501*E1501</f>
        <v>0.390625</v>
      </c>
      <c r="P1501" s="0" t="n">
        <f aca="false">F1501*F1501</f>
        <v>1</v>
      </c>
      <c r="Q1501" s="0" t="n">
        <f aca="false">SUMPRODUCT(G1501:P1501,_XtX!$B$71:$K$71)</f>
        <v>42.9192258522728</v>
      </c>
      <c r="R1501" s="0" t="n">
        <f aca="false">SUMPRODUCT(MMULT(G1501:P1501,_XtX!$B$58:$K$67),G1501:P1501)</f>
        <v>0.471821178089489</v>
      </c>
      <c r="S1501" s="0" t="n">
        <f aca="false">04_回帰ANOVA!$K$19*04_回帰ANOVA!$K$14*SQRT(1+R1501)</f>
        <v>1.12796119746125</v>
      </c>
      <c r="T1501" s="0" t="n">
        <f aca="false">Q1501-S1501</f>
        <v>41.7912646548115</v>
      </c>
      <c r="U1501" s="0" t="n">
        <f aca="false">Q1501+S1501</f>
        <v>44.047187049734</v>
      </c>
      <c r="V1501" s="54" t="b">
        <f aca="false">AND(D1501&gt;=01_因子設定!$L$5-0.000000001,D1501&lt;=01_因子設定!$M$5+0.000000001,E1501&gt;=01_因子設定!$L$6-0.000000001,E1501&lt;=01_因子設定!$M$6+0.000000001,F1501&gt;=01_因子設定!$L$7-0.000000001,F1501&lt;=01_因子設定!$M$7+0.000000001,IF(01_因子設定!$B$20="Box-Behnken",D1501^2+E1501^2+F1501^2&lt;=2+0.000000001,TRUE()))</f>
        <v>1</v>
      </c>
      <c r="W1501" s="55" t="n">
        <f aca="false">IF(V1501,IF(01_因子設定!$B$13="最大化",T1501-01_因子設定!$B$14,IF(01_因子設定!$B$13="最小化",01_因子設定!$B$15-U1501,MIN(T1501-01_因子設定!$B$14,01_因子設定!$B$15-U1501))),-1E+030)</f>
        <v>-6.7087353451885</v>
      </c>
      <c r="X1501" s="55" t="n">
        <f aca="false">IF(V1501,IF(01_因子設定!$B$13="最大化",Q1501,IF(01_因子設定!$B$13="最小化",-Q1501,-ABS(Q1501-01_因子設定!$B$16))),-1E+030)</f>
        <v>42.9192258522728</v>
      </c>
      <c r="Y1501" s="55" t="n">
        <f aca="false">W1501+ROW()*0.000000001</f>
        <v>-6.7087338441885</v>
      </c>
      <c r="Z1501" s="55" t="n">
        <f aca="false">X1501+ROW()*0.000000001</f>
        <v>42.9192273532728</v>
      </c>
    </row>
    <row r="1502" customFormat="false" ht="15" hidden="false" customHeight="false" outlineLevel="0" collapsed="false">
      <c r="A1502" s="0" t="n">
        <v>5</v>
      </c>
      <c r="B1502" s="0" t="n">
        <v>3</v>
      </c>
      <c r="C1502" s="0" t="n">
        <v>1</v>
      </c>
      <c r="D1502" s="0" t="n">
        <f aca="false">-1+A1502*0.125</f>
        <v>-0.375</v>
      </c>
      <c r="E1502" s="0" t="n">
        <f aca="false">-1+B1502*0.125</f>
        <v>-0.625</v>
      </c>
      <c r="F1502" s="0" t="n">
        <f aca="false">-1+C1502*0.125</f>
        <v>-0.875</v>
      </c>
      <c r="G1502" s="0" t="n">
        <f aca="false">1</f>
        <v>1</v>
      </c>
      <c r="H1502" s="0" t="n">
        <f aca="false">D1502</f>
        <v>-0.375</v>
      </c>
      <c r="I1502" s="0" t="n">
        <f aca="false">E1502</f>
        <v>-0.625</v>
      </c>
      <c r="J1502" s="0" t="n">
        <f aca="false">F1502</f>
        <v>-0.875</v>
      </c>
      <c r="K1502" s="0" t="n">
        <f aca="false">D1502*E1502</f>
        <v>0.234375</v>
      </c>
      <c r="L1502" s="0" t="n">
        <f aca="false">D1502*F1502</f>
        <v>0.328125</v>
      </c>
      <c r="M1502" s="0" t="n">
        <f aca="false">E1502*F1502</f>
        <v>0.546875</v>
      </c>
      <c r="N1502" s="0" t="n">
        <f aca="false">D1502*D1502</f>
        <v>0.140625</v>
      </c>
      <c r="O1502" s="0" t="n">
        <f aca="false">E1502*E1502</f>
        <v>0.390625</v>
      </c>
      <c r="P1502" s="0" t="n">
        <f aca="false">F1502*F1502</f>
        <v>0.765625</v>
      </c>
      <c r="Q1502" s="0" t="n">
        <f aca="false">SUMPRODUCT(G1502:P1502,_XtX!$B$71:$K$71)</f>
        <v>43.3395241477273</v>
      </c>
      <c r="R1502" s="0" t="n">
        <f aca="false">SUMPRODUCT(MMULT(G1502:P1502,_XtX!$B$58:$K$67),G1502:P1502)</f>
        <v>0.337604869495739</v>
      </c>
      <c r="S1502" s="0" t="n">
        <f aca="false">04_回帰ANOVA!$K$19*04_回帰ANOVA!$K$14*SQRT(1+R1502)</f>
        <v>1.07530225516193</v>
      </c>
      <c r="T1502" s="0" t="n">
        <f aca="false">Q1502-S1502</f>
        <v>42.2642218925654</v>
      </c>
      <c r="U1502" s="0" t="n">
        <f aca="false">Q1502+S1502</f>
        <v>44.4148264028892</v>
      </c>
      <c r="V1502" s="54" t="b">
        <f aca="false">AND(D1502&gt;=01_因子設定!$L$5-0.000000001,D1502&lt;=01_因子設定!$M$5+0.000000001,E1502&gt;=01_因子設定!$L$6-0.000000001,E1502&lt;=01_因子設定!$M$6+0.000000001,F1502&gt;=01_因子設定!$L$7-0.000000001,F1502&lt;=01_因子設定!$M$7+0.000000001,IF(01_因子設定!$B$20="Box-Behnken",D1502^2+E1502^2+F1502^2&lt;=2+0.000000001,TRUE()))</f>
        <v>1</v>
      </c>
      <c r="W1502" s="55" t="n">
        <f aca="false">IF(V1502,IF(01_因子設定!$B$13="最大化",T1502-01_因子設定!$B$14,IF(01_因子設定!$B$13="最小化",01_因子設定!$B$15-U1502,MIN(T1502-01_因子設定!$B$14,01_因子設定!$B$15-U1502))),-1E+030)</f>
        <v>-6.23577810743463</v>
      </c>
      <c r="X1502" s="55" t="n">
        <f aca="false">IF(V1502,IF(01_因子設定!$B$13="最大化",Q1502,IF(01_因子設定!$B$13="最小化",-Q1502,-ABS(Q1502-01_因子設定!$B$16))),-1E+030)</f>
        <v>43.3395241477273</v>
      </c>
      <c r="Y1502" s="55" t="n">
        <f aca="false">W1502+ROW()*0.000000001</f>
        <v>-6.23577660543463</v>
      </c>
      <c r="Z1502" s="55" t="n">
        <f aca="false">X1502+ROW()*0.000000001</f>
        <v>43.3395256497273</v>
      </c>
    </row>
    <row r="1503" customFormat="false" ht="15" hidden="false" customHeight="false" outlineLevel="0" collapsed="false">
      <c r="A1503" s="0" t="n">
        <v>5</v>
      </c>
      <c r="B1503" s="0" t="n">
        <v>3</v>
      </c>
      <c r="C1503" s="0" t="n">
        <v>2</v>
      </c>
      <c r="D1503" s="0" t="n">
        <f aca="false">-1+A1503*0.125</f>
        <v>-0.375</v>
      </c>
      <c r="E1503" s="0" t="n">
        <f aca="false">-1+B1503*0.125</f>
        <v>-0.625</v>
      </c>
      <c r="F1503" s="0" t="n">
        <f aca="false">-1+C1503*0.125</f>
        <v>-0.75</v>
      </c>
      <c r="G1503" s="0" t="n">
        <f aca="false">1</f>
        <v>1</v>
      </c>
      <c r="H1503" s="0" t="n">
        <f aca="false">D1503</f>
        <v>-0.375</v>
      </c>
      <c r="I1503" s="0" t="n">
        <f aca="false">E1503</f>
        <v>-0.625</v>
      </c>
      <c r="J1503" s="0" t="n">
        <f aca="false">F1503</f>
        <v>-0.75</v>
      </c>
      <c r="K1503" s="0" t="n">
        <f aca="false">D1503*E1503</f>
        <v>0.234375</v>
      </c>
      <c r="L1503" s="0" t="n">
        <f aca="false">D1503*F1503</f>
        <v>0.28125</v>
      </c>
      <c r="M1503" s="0" t="n">
        <f aca="false">E1503*F1503</f>
        <v>0.46875</v>
      </c>
      <c r="N1503" s="0" t="n">
        <f aca="false">D1503*D1503</f>
        <v>0.140625</v>
      </c>
      <c r="O1503" s="0" t="n">
        <f aca="false">E1503*E1503</f>
        <v>0.390625</v>
      </c>
      <c r="P1503" s="0" t="n">
        <f aca="false">F1503*F1503</f>
        <v>0.5625</v>
      </c>
      <c r="Q1503" s="0" t="n">
        <f aca="false">SUMPRODUCT(G1503:P1503,_XtX!$B$71:$K$71)</f>
        <v>43.7230326704546</v>
      </c>
      <c r="R1503" s="0" t="n">
        <f aca="false">SUMPRODUCT(MMULT(G1503:P1503,_XtX!$B$58:$K$67),G1503:P1503)</f>
        <v>0.25359940962358</v>
      </c>
      <c r="S1503" s="0" t="n">
        <f aca="false">04_回帰ANOVA!$K$19*04_回帰ANOVA!$K$14*SQRT(1+R1503)</f>
        <v>1.04098872464599</v>
      </c>
      <c r="T1503" s="0" t="n">
        <f aca="false">Q1503-S1503</f>
        <v>42.6820439458086</v>
      </c>
      <c r="U1503" s="0" t="n">
        <f aca="false">Q1503+S1503</f>
        <v>44.7640213951006</v>
      </c>
      <c r="V1503" s="54" t="b">
        <f aca="false">AND(D1503&gt;=01_因子設定!$L$5-0.000000001,D1503&lt;=01_因子設定!$M$5+0.000000001,E1503&gt;=01_因子設定!$L$6-0.000000001,E1503&lt;=01_因子設定!$M$6+0.000000001,F1503&gt;=01_因子設定!$L$7-0.000000001,F1503&lt;=01_因子設定!$M$7+0.000000001,IF(01_因子設定!$B$20="Box-Behnken",D1503^2+E1503^2+F1503^2&lt;=2+0.000000001,TRUE()))</f>
        <v>1</v>
      </c>
      <c r="W1503" s="55" t="n">
        <f aca="false">IF(V1503,IF(01_因子設定!$B$13="最大化",T1503-01_因子設定!$B$14,IF(01_因子設定!$B$13="最小化",01_因子設定!$B$15-U1503,MIN(T1503-01_因子設定!$B$14,01_因子設定!$B$15-U1503))),-1E+030)</f>
        <v>-5.81795605419142</v>
      </c>
      <c r="X1503" s="55" t="n">
        <f aca="false">IF(V1503,IF(01_因子設定!$B$13="最大化",Q1503,IF(01_因子設定!$B$13="最小化",-Q1503,-ABS(Q1503-01_因子設定!$B$16))),-1E+030)</f>
        <v>43.7230326704546</v>
      </c>
      <c r="Y1503" s="55" t="n">
        <f aca="false">W1503+ROW()*0.000000001</f>
        <v>-5.81795455119142</v>
      </c>
      <c r="Z1503" s="55" t="n">
        <f aca="false">X1503+ROW()*0.000000001</f>
        <v>43.7230341734546</v>
      </c>
    </row>
    <row r="1504" customFormat="false" ht="15" hidden="false" customHeight="false" outlineLevel="0" collapsed="false">
      <c r="A1504" s="0" t="n">
        <v>5</v>
      </c>
      <c r="B1504" s="0" t="n">
        <v>3</v>
      </c>
      <c r="C1504" s="0" t="n">
        <v>3</v>
      </c>
      <c r="D1504" s="0" t="n">
        <f aca="false">-1+A1504*0.125</f>
        <v>-0.375</v>
      </c>
      <c r="E1504" s="0" t="n">
        <f aca="false">-1+B1504*0.125</f>
        <v>-0.625</v>
      </c>
      <c r="F1504" s="0" t="n">
        <f aca="false">-1+C1504*0.125</f>
        <v>-0.625</v>
      </c>
      <c r="G1504" s="0" t="n">
        <f aca="false">1</f>
        <v>1</v>
      </c>
      <c r="H1504" s="0" t="n">
        <f aca="false">D1504</f>
        <v>-0.375</v>
      </c>
      <c r="I1504" s="0" t="n">
        <f aca="false">E1504</f>
        <v>-0.625</v>
      </c>
      <c r="J1504" s="0" t="n">
        <f aca="false">F1504</f>
        <v>-0.625</v>
      </c>
      <c r="K1504" s="0" t="n">
        <f aca="false">D1504*E1504</f>
        <v>0.234375</v>
      </c>
      <c r="L1504" s="0" t="n">
        <f aca="false">D1504*F1504</f>
        <v>0.234375</v>
      </c>
      <c r="M1504" s="0" t="n">
        <f aca="false">E1504*F1504</f>
        <v>0.390625</v>
      </c>
      <c r="N1504" s="0" t="n">
        <f aca="false">D1504*D1504</f>
        <v>0.140625</v>
      </c>
      <c r="O1504" s="0" t="n">
        <f aca="false">E1504*E1504</f>
        <v>0.390625</v>
      </c>
      <c r="P1504" s="0" t="n">
        <f aca="false">F1504*F1504</f>
        <v>0.390625</v>
      </c>
      <c r="Q1504" s="0" t="n">
        <f aca="false">SUMPRODUCT(G1504:P1504,_XtX!$B$71:$K$71)</f>
        <v>44.0697514204546</v>
      </c>
      <c r="R1504" s="0" t="n">
        <f aca="false">SUMPRODUCT(MMULT(G1504:P1504,_XtX!$B$58:$K$67),G1504:P1504)</f>
        <v>0.20595536665483</v>
      </c>
      <c r="S1504" s="0" t="n">
        <f aca="false">04_回帰ANOVA!$K$19*04_回帰ANOVA!$K$14*SQRT(1+R1504)</f>
        <v>1.02101530762963</v>
      </c>
      <c r="T1504" s="0" t="n">
        <f aca="false">Q1504-S1504</f>
        <v>43.0487361128249</v>
      </c>
      <c r="U1504" s="0" t="n">
        <f aca="false">Q1504+S1504</f>
        <v>45.0907667280842</v>
      </c>
      <c r="V1504" s="54" t="b">
        <f aca="false">AND(D1504&gt;=01_因子設定!$L$5-0.000000001,D1504&lt;=01_因子設定!$M$5+0.000000001,E1504&gt;=01_因子設定!$L$6-0.000000001,E1504&lt;=01_因子設定!$M$6+0.000000001,F1504&gt;=01_因子設定!$L$7-0.000000001,F1504&lt;=01_因子設定!$M$7+0.000000001,IF(01_因子設定!$B$20="Box-Behnken",D1504^2+E1504^2+F1504^2&lt;=2+0.000000001,TRUE()))</f>
        <v>1</v>
      </c>
      <c r="W1504" s="55" t="n">
        <f aca="false">IF(V1504,IF(01_因子設定!$B$13="最大化",T1504-01_因子設定!$B$14,IF(01_因子設定!$B$13="最小化",01_因子設定!$B$15-U1504,MIN(T1504-01_因子設定!$B$14,01_因子設定!$B$15-U1504))),-1E+030)</f>
        <v>-5.45126388717507</v>
      </c>
      <c r="X1504" s="55" t="n">
        <f aca="false">IF(V1504,IF(01_因子設定!$B$13="最大化",Q1504,IF(01_因子設定!$B$13="最小化",-Q1504,-ABS(Q1504-01_因子設定!$B$16))),-1E+030)</f>
        <v>44.0697514204546</v>
      </c>
      <c r="Y1504" s="55" t="n">
        <f aca="false">W1504+ROW()*0.000000001</f>
        <v>-5.45126238317507</v>
      </c>
      <c r="Z1504" s="55" t="n">
        <f aca="false">X1504+ROW()*0.000000001</f>
        <v>44.0697529244546</v>
      </c>
    </row>
    <row r="1505" customFormat="false" ht="15" hidden="false" customHeight="false" outlineLevel="0" collapsed="false">
      <c r="A1505" s="0" t="n">
        <v>5</v>
      </c>
      <c r="B1505" s="0" t="n">
        <v>3</v>
      </c>
      <c r="C1505" s="0" t="n">
        <v>4</v>
      </c>
      <c r="D1505" s="0" t="n">
        <f aca="false">-1+A1505*0.125</f>
        <v>-0.375</v>
      </c>
      <c r="E1505" s="0" t="n">
        <f aca="false">-1+B1505*0.125</f>
        <v>-0.625</v>
      </c>
      <c r="F1505" s="0" t="n">
        <f aca="false">-1+C1505*0.125</f>
        <v>-0.5</v>
      </c>
      <c r="G1505" s="0" t="n">
        <f aca="false">1</f>
        <v>1</v>
      </c>
      <c r="H1505" s="0" t="n">
        <f aca="false">D1505</f>
        <v>-0.375</v>
      </c>
      <c r="I1505" s="0" t="n">
        <f aca="false">E1505</f>
        <v>-0.625</v>
      </c>
      <c r="J1505" s="0" t="n">
        <f aca="false">F1505</f>
        <v>-0.5</v>
      </c>
      <c r="K1505" s="0" t="n">
        <f aca="false">D1505*E1505</f>
        <v>0.234375</v>
      </c>
      <c r="L1505" s="0" t="n">
        <f aca="false">D1505*F1505</f>
        <v>0.1875</v>
      </c>
      <c r="M1505" s="0" t="n">
        <f aca="false">E1505*F1505</f>
        <v>0.3125</v>
      </c>
      <c r="N1505" s="0" t="n">
        <f aca="false">D1505*D1505</f>
        <v>0.140625</v>
      </c>
      <c r="O1505" s="0" t="n">
        <f aca="false">E1505*E1505</f>
        <v>0.390625</v>
      </c>
      <c r="P1505" s="0" t="n">
        <f aca="false">F1505*F1505</f>
        <v>0.25</v>
      </c>
      <c r="Q1505" s="0" t="n">
        <f aca="false">SUMPRODUCT(G1505:P1505,_XtX!$B$71:$K$71)</f>
        <v>44.3796803977273</v>
      </c>
      <c r="R1505" s="0" t="n">
        <f aca="false">SUMPRODUCT(MMULT(G1505:P1505,_XtX!$B$58:$K$67),G1505:P1505)</f>
        <v>0.182953990589489</v>
      </c>
      <c r="S1505" s="0" t="n">
        <f aca="false">04_回帰ANOVA!$K$19*04_回帰ANOVA!$K$14*SQRT(1+R1505)</f>
        <v>1.01123143807044</v>
      </c>
      <c r="T1505" s="0" t="n">
        <f aca="false">Q1505-S1505</f>
        <v>43.3684489596568</v>
      </c>
      <c r="U1505" s="0" t="n">
        <f aca="false">Q1505+S1505</f>
        <v>45.3909118357977</v>
      </c>
      <c r="V1505" s="54" t="b">
        <f aca="false">AND(D1505&gt;=01_因子設定!$L$5-0.000000001,D1505&lt;=01_因子設定!$M$5+0.000000001,E1505&gt;=01_因子設定!$L$6-0.000000001,E1505&lt;=01_因子設定!$M$6+0.000000001,F1505&gt;=01_因子設定!$L$7-0.000000001,F1505&lt;=01_因子設定!$M$7+0.000000001,IF(01_因子設定!$B$20="Box-Behnken",D1505^2+E1505^2+F1505^2&lt;=2+0.000000001,TRUE()))</f>
        <v>1</v>
      </c>
      <c r="W1505" s="55" t="n">
        <f aca="false">IF(V1505,IF(01_因子設定!$B$13="最大化",T1505-01_因子設定!$B$14,IF(01_因子設定!$B$13="最小化",01_因子設定!$B$15-U1505,MIN(T1505-01_因子設定!$B$14,01_因子設定!$B$15-U1505))),-1E+030)</f>
        <v>-5.13155104034316</v>
      </c>
      <c r="X1505" s="55" t="n">
        <f aca="false">IF(V1505,IF(01_因子設定!$B$13="最大化",Q1505,IF(01_因子設定!$B$13="最小化",-Q1505,-ABS(Q1505-01_因子設定!$B$16))),-1E+030)</f>
        <v>44.3796803977273</v>
      </c>
      <c r="Y1505" s="55" t="n">
        <f aca="false">W1505+ROW()*0.000000001</f>
        <v>-5.13154953534315</v>
      </c>
      <c r="Z1505" s="55" t="n">
        <f aca="false">X1505+ROW()*0.000000001</f>
        <v>44.3796819027273</v>
      </c>
    </row>
    <row r="1506" customFormat="false" ht="15" hidden="false" customHeight="false" outlineLevel="0" collapsed="false">
      <c r="A1506" s="0" t="n">
        <v>5</v>
      </c>
      <c r="B1506" s="0" t="n">
        <v>3</v>
      </c>
      <c r="C1506" s="0" t="n">
        <v>5</v>
      </c>
      <c r="D1506" s="0" t="n">
        <f aca="false">-1+A1506*0.125</f>
        <v>-0.375</v>
      </c>
      <c r="E1506" s="0" t="n">
        <f aca="false">-1+B1506*0.125</f>
        <v>-0.625</v>
      </c>
      <c r="F1506" s="0" t="n">
        <f aca="false">-1+C1506*0.125</f>
        <v>-0.375</v>
      </c>
      <c r="G1506" s="0" t="n">
        <f aca="false">1</f>
        <v>1</v>
      </c>
      <c r="H1506" s="0" t="n">
        <f aca="false">D1506</f>
        <v>-0.375</v>
      </c>
      <c r="I1506" s="0" t="n">
        <f aca="false">E1506</f>
        <v>-0.625</v>
      </c>
      <c r="J1506" s="0" t="n">
        <f aca="false">F1506</f>
        <v>-0.375</v>
      </c>
      <c r="K1506" s="0" t="n">
        <f aca="false">D1506*E1506</f>
        <v>0.234375</v>
      </c>
      <c r="L1506" s="0" t="n">
        <f aca="false">D1506*F1506</f>
        <v>0.140625</v>
      </c>
      <c r="M1506" s="0" t="n">
        <f aca="false">E1506*F1506</f>
        <v>0.234375</v>
      </c>
      <c r="N1506" s="0" t="n">
        <f aca="false">D1506*D1506</f>
        <v>0.140625</v>
      </c>
      <c r="O1506" s="0" t="n">
        <f aca="false">E1506*E1506</f>
        <v>0.390625</v>
      </c>
      <c r="P1506" s="0" t="n">
        <f aca="false">F1506*F1506</f>
        <v>0.140625</v>
      </c>
      <c r="Q1506" s="0" t="n">
        <f aca="false">SUMPRODUCT(G1506:P1506,_XtX!$B$71:$K$71)</f>
        <v>44.6528196022727</v>
      </c>
      <c r="R1506" s="0" t="n">
        <f aca="false">SUMPRODUCT(MMULT(G1506:P1506,_XtX!$B$58:$K$67),G1506:P1506)</f>
        <v>0.175007213245739</v>
      </c>
      <c r="S1506" s="0" t="n">
        <f aca="false">04_回帰ANOVA!$K$19*04_回帰ANOVA!$K$14*SQRT(1+R1506)</f>
        <v>1.0078291195273</v>
      </c>
      <c r="T1506" s="0" t="n">
        <f aca="false">Q1506-S1506</f>
        <v>43.6449904827454</v>
      </c>
      <c r="U1506" s="0" t="n">
        <f aca="false">Q1506+S1506</f>
        <v>45.6606487218</v>
      </c>
      <c r="V1506" s="54" t="b">
        <f aca="false">AND(D1506&gt;=01_因子設定!$L$5-0.000000001,D1506&lt;=01_因子設定!$M$5+0.000000001,E1506&gt;=01_因子設定!$L$6-0.000000001,E1506&lt;=01_因子設定!$M$6+0.000000001,F1506&gt;=01_因子設定!$L$7-0.000000001,F1506&lt;=01_因子設定!$M$7+0.000000001,IF(01_因子設定!$B$20="Box-Behnken",D1506^2+E1506^2+F1506^2&lt;=2+0.000000001,TRUE()))</f>
        <v>1</v>
      </c>
      <c r="W1506" s="55" t="n">
        <f aca="false">IF(V1506,IF(01_因子設定!$B$13="最大化",T1506-01_因子設定!$B$14,IF(01_因子設定!$B$13="最小化",01_因子設定!$B$15-U1506,MIN(T1506-01_因子設定!$B$14,01_因子設定!$B$15-U1506))),-1E+030)</f>
        <v>-4.85500951725457</v>
      </c>
      <c r="X1506" s="55" t="n">
        <f aca="false">IF(V1506,IF(01_因子設定!$B$13="最大化",Q1506,IF(01_因子設定!$B$13="最小化",-Q1506,-ABS(Q1506-01_因子設定!$B$16))),-1E+030)</f>
        <v>44.6528196022727</v>
      </c>
      <c r="Y1506" s="55" t="n">
        <f aca="false">W1506+ROW()*0.000000001</f>
        <v>-4.85500801125457</v>
      </c>
      <c r="Z1506" s="55" t="n">
        <f aca="false">X1506+ROW()*0.000000001</f>
        <v>44.6528211082727</v>
      </c>
    </row>
    <row r="1507" customFormat="false" ht="15" hidden="false" customHeight="false" outlineLevel="0" collapsed="false">
      <c r="A1507" s="0" t="n">
        <v>5</v>
      </c>
      <c r="B1507" s="0" t="n">
        <v>3</v>
      </c>
      <c r="C1507" s="0" t="n">
        <v>6</v>
      </c>
      <c r="D1507" s="0" t="n">
        <f aca="false">-1+A1507*0.125</f>
        <v>-0.375</v>
      </c>
      <c r="E1507" s="0" t="n">
        <f aca="false">-1+B1507*0.125</f>
        <v>-0.625</v>
      </c>
      <c r="F1507" s="0" t="n">
        <f aca="false">-1+C1507*0.125</f>
        <v>-0.25</v>
      </c>
      <c r="G1507" s="0" t="n">
        <f aca="false">1</f>
        <v>1</v>
      </c>
      <c r="H1507" s="0" t="n">
        <f aca="false">D1507</f>
        <v>-0.375</v>
      </c>
      <c r="I1507" s="0" t="n">
        <f aca="false">E1507</f>
        <v>-0.625</v>
      </c>
      <c r="J1507" s="0" t="n">
        <f aca="false">F1507</f>
        <v>-0.25</v>
      </c>
      <c r="K1507" s="0" t="n">
        <f aca="false">D1507*E1507</f>
        <v>0.234375</v>
      </c>
      <c r="L1507" s="0" t="n">
        <f aca="false">D1507*F1507</f>
        <v>0.09375</v>
      </c>
      <c r="M1507" s="0" t="n">
        <f aca="false">E1507*F1507</f>
        <v>0.15625</v>
      </c>
      <c r="N1507" s="0" t="n">
        <f aca="false">D1507*D1507</f>
        <v>0.140625</v>
      </c>
      <c r="O1507" s="0" t="n">
        <f aca="false">E1507*E1507</f>
        <v>0.390625</v>
      </c>
      <c r="P1507" s="0" t="n">
        <f aca="false">F1507*F1507</f>
        <v>0.0625</v>
      </c>
      <c r="Q1507" s="0" t="n">
        <f aca="false">SUMPRODUCT(G1507:P1507,_XtX!$B$71:$K$71)</f>
        <v>44.8891690340909</v>
      </c>
      <c r="R1507" s="0" t="n">
        <f aca="false">SUMPRODUCT(MMULT(G1507:P1507,_XtX!$B$58:$K$67),G1507:P1507)</f>
        <v>0.174657648259943</v>
      </c>
      <c r="S1507" s="0" t="n">
        <f aca="false">04_回帰ANOVA!$K$19*04_回帰ANOVA!$K$14*SQRT(1+R1507)</f>
        <v>1.00767919364845</v>
      </c>
      <c r="T1507" s="0" t="n">
        <f aca="false">Q1507-S1507</f>
        <v>43.8814898404425</v>
      </c>
      <c r="U1507" s="0" t="n">
        <f aca="false">Q1507+S1507</f>
        <v>45.8968482277394</v>
      </c>
      <c r="V1507" s="54" t="b">
        <f aca="false">AND(D1507&gt;=01_因子設定!$L$5-0.000000001,D1507&lt;=01_因子設定!$M$5+0.000000001,E1507&gt;=01_因子設定!$L$6-0.000000001,E1507&lt;=01_因子設定!$M$6+0.000000001,F1507&gt;=01_因子設定!$L$7-0.000000001,F1507&lt;=01_因子設定!$M$7+0.000000001,IF(01_因子設定!$B$20="Box-Behnken",D1507^2+E1507^2+F1507^2&lt;=2+0.000000001,TRUE()))</f>
        <v>1</v>
      </c>
      <c r="W1507" s="55" t="n">
        <f aca="false">IF(V1507,IF(01_因子設定!$B$13="最大化",T1507-01_因子設定!$B$14,IF(01_因子設定!$B$13="最小化",01_因子設定!$B$15-U1507,MIN(T1507-01_因子設定!$B$14,01_因子設定!$B$15-U1507))),-1E+030)</f>
        <v>-4.61851015955752</v>
      </c>
      <c r="X1507" s="55" t="n">
        <f aca="false">IF(V1507,IF(01_因子設定!$B$13="最大化",Q1507,IF(01_因子設定!$B$13="最小化",-Q1507,-ABS(Q1507-01_因子設定!$B$16))),-1E+030)</f>
        <v>44.8891690340909</v>
      </c>
      <c r="Y1507" s="55" t="n">
        <f aca="false">W1507+ROW()*0.000000001</f>
        <v>-4.61850865255752</v>
      </c>
      <c r="Z1507" s="55" t="n">
        <f aca="false">X1507+ROW()*0.000000001</f>
        <v>44.8891705410909</v>
      </c>
    </row>
    <row r="1508" customFormat="false" ht="15" hidden="false" customHeight="false" outlineLevel="0" collapsed="false">
      <c r="A1508" s="0" t="n">
        <v>5</v>
      </c>
      <c r="B1508" s="0" t="n">
        <v>3</v>
      </c>
      <c r="C1508" s="0" t="n">
        <v>7</v>
      </c>
      <c r="D1508" s="0" t="n">
        <f aca="false">-1+A1508*0.125</f>
        <v>-0.375</v>
      </c>
      <c r="E1508" s="0" t="n">
        <f aca="false">-1+B1508*0.125</f>
        <v>-0.625</v>
      </c>
      <c r="F1508" s="0" t="n">
        <f aca="false">-1+C1508*0.125</f>
        <v>-0.125</v>
      </c>
      <c r="G1508" s="0" t="n">
        <f aca="false">1</f>
        <v>1</v>
      </c>
      <c r="H1508" s="0" t="n">
        <f aca="false">D1508</f>
        <v>-0.375</v>
      </c>
      <c r="I1508" s="0" t="n">
        <f aca="false">E1508</f>
        <v>-0.625</v>
      </c>
      <c r="J1508" s="0" t="n">
        <f aca="false">F1508</f>
        <v>-0.125</v>
      </c>
      <c r="K1508" s="0" t="n">
        <f aca="false">D1508*E1508</f>
        <v>0.234375</v>
      </c>
      <c r="L1508" s="0" t="n">
        <f aca="false">D1508*F1508</f>
        <v>0.046875</v>
      </c>
      <c r="M1508" s="0" t="n">
        <f aca="false">E1508*F1508</f>
        <v>0.078125</v>
      </c>
      <c r="N1508" s="0" t="n">
        <f aca="false">D1508*D1508</f>
        <v>0.140625</v>
      </c>
      <c r="O1508" s="0" t="n">
        <f aca="false">E1508*E1508</f>
        <v>0.390625</v>
      </c>
      <c r="P1508" s="0" t="n">
        <f aca="false">F1508*F1508</f>
        <v>0.015625</v>
      </c>
      <c r="Q1508" s="0" t="n">
        <f aca="false">SUMPRODUCT(G1508:P1508,_XtX!$B$71:$K$71)</f>
        <v>45.0887286931818</v>
      </c>
      <c r="R1508" s="0" t="n">
        <f aca="false">SUMPRODUCT(MMULT(G1508:P1508,_XtX!$B$58:$K$67),G1508:P1508)</f>
        <v>0.176578591086648</v>
      </c>
      <c r="S1508" s="0" t="n">
        <f aca="false">04_回帰ANOVA!$K$19*04_回帰ANOVA!$K$14*SQRT(1+R1508)</f>
        <v>1.00850279676269</v>
      </c>
      <c r="T1508" s="0" t="n">
        <f aca="false">Q1508-S1508</f>
        <v>44.0802258964191</v>
      </c>
      <c r="U1508" s="0" t="n">
        <f aca="false">Q1508+S1508</f>
        <v>46.0972314899445</v>
      </c>
      <c r="V1508" s="54" t="b">
        <f aca="false">AND(D1508&gt;=01_因子設定!$L$5-0.000000001,D1508&lt;=01_因子設定!$M$5+0.000000001,E1508&gt;=01_因子設定!$L$6-0.000000001,E1508&lt;=01_因子設定!$M$6+0.000000001,F1508&gt;=01_因子設定!$L$7-0.000000001,F1508&lt;=01_因子設定!$M$7+0.000000001,IF(01_因子設定!$B$20="Box-Behnken",D1508^2+E1508^2+F1508^2&lt;=2+0.000000001,TRUE()))</f>
        <v>1</v>
      </c>
      <c r="W1508" s="55" t="n">
        <f aca="false">IF(V1508,IF(01_因子設定!$B$13="最大化",T1508-01_因子設定!$B$14,IF(01_因子設定!$B$13="最小化",01_因子設定!$B$15-U1508,MIN(T1508-01_因子設定!$B$14,01_因子設定!$B$15-U1508))),-1E+030)</f>
        <v>-4.41977410358086</v>
      </c>
      <c r="X1508" s="55" t="n">
        <f aca="false">IF(V1508,IF(01_因子設定!$B$13="最大化",Q1508,IF(01_因子設定!$B$13="最小化",-Q1508,-ABS(Q1508-01_因子設定!$B$16))),-1E+030)</f>
        <v>45.0887286931818</v>
      </c>
      <c r="Y1508" s="55" t="n">
        <f aca="false">W1508+ROW()*0.000000001</f>
        <v>-4.41977259558086</v>
      </c>
      <c r="Z1508" s="55" t="n">
        <f aca="false">X1508+ROW()*0.000000001</f>
        <v>45.0887302011818</v>
      </c>
    </row>
    <row r="1509" customFormat="false" ht="15" hidden="false" customHeight="false" outlineLevel="0" collapsed="false">
      <c r="A1509" s="0" t="n">
        <v>5</v>
      </c>
      <c r="B1509" s="0" t="n">
        <v>3</v>
      </c>
      <c r="C1509" s="0" t="n">
        <v>8</v>
      </c>
      <c r="D1509" s="0" t="n">
        <f aca="false">-1+A1509*0.125</f>
        <v>-0.375</v>
      </c>
      <c r="E1509" s="0" t="n">
        <f aca="false">-1+B1509*0.125</f>
        <v>-0.625</v>
      </c>
      <c r="F1509" s="0" t="n">
        <f aca="false">-1+C1509*0.125</f>
        <v>0</v>
      </c>
      <c r="G1509" s="0" t="n">
        <f aca="false">1</f>
        <v>1</v>
      </c>
      <c r="H1509" s="0" t="n">
        <f aca="false">D1509</f>
        <v>-0.375</v>
      </c>
      <c r="I1509" s="0" t="n">
        <f aca="false">E1509</f>
        <v>-0.625</v>
      </c>
      <c r="J1509" s="0" t="n">
        <f aca="false">F1509</f>
        <v>0</v>
      </c>
      <c r="K1509" s="0" t="n">
        <f aca="false">D1509*E1509</f>
        <v>0.234375</v>
      </c>
      <c r="L1509" s="0" t="n">
        <f aca="false">D1509*F1509</f>
        <v>-0</v>
      </c>
      <c r="M1509" s="0" t="n">
        <f aca="false">E1509*F1509</f>
        <v>-0</v>
      </c>
      <c r="N1509" s="0" t="n">
        <f aca="false">D1509*D1509</f>
        <v>0.140625</v>
      </c>
      <c r="O1509" s="0" t="n">
        <f aca="false">E1509*E1509</f>
        <v>0.390625</v>
      </c>
      <c r="P1509" s="0" t="n">
        <f aca="false">F1509*F1509</f>
        <v>0</v>
      </c>
      <c r="Q1509" s="0" t="n">
        <f aca="false">SUMPRODUCT(G1509:P1509,_XtX!$B$71:$K$71)</f>
        <v>45.2514985795455</v>
      </c>
      <c r="R1509" s="0" t="n">
        <f aca="false">SUMPRODUCT(MMULT(G1509:P1509,_XtX!$B$58:$K$67),G1509:P1509)</f>
        <v>0.17757401899858</v>
      </c>
      <c r="S1509" s="0" t="n">
        <f aca="false">04_回帰ANOVA!$K$19*04_回帰ANOVA!$K$14*SQRT(1+R1509)</f>
        <v>1.00892932143276</v>
      </c>
      <c r="T1509" s="0" t="n">
        <f aca="false">Q1509-S1509</f>
        <v>44.2425692581127</v>
      </c>
      <c r="U1509" s="0" t="n">
        <f aca="false">Q1509+S1509</f>
        <v>46.2604279009782</v>
      </c>
      <c r="V1509" s="54" t="b">
        <f aca="false">AND(D1509&gt;=01_因子設定!$L$5-0.000000001,D1509&lt;=01_因子設定!$M$5+0.000000001,E1509&gt;=01_因子設定!$L$6-0.000000001,E1509&lt;=01_因子設定!$M$6+0.000000001,F1509&gt;=01_因子設定!$L$7-0.000000001,F1509&lt;=01_因子設定!$M$7+0.000000001,IF(01_因子設定!$B$20="Box-Behnken",D1509^2+E1509^2+F1509^2&lt;=2+0.000000001,TRUE()))</f>
        <v>1</v>
      </c>
      <c r="W1509" s="55" t="n">
        <f aca="false">IF(V1509,IF(01_因子設定!$B$13="最大化",T1509-01_因子設定!$B$14,IF(01_因子設定!$B$13="最小化",01_因子設定!$B$15-U1509,MIN(T1509-01_因子設定!$B$14,01_因子設定!$B$15-U1509))),-1E+030)</f>
        <v>-4.2574307418873</v>
      </c>
      <c r="X1509" s="55" t="n">
        <f aca="false">IF(V1509,IF(01_因子設定!$B$13="最大化",Q1509,IF(01_因子設定!$B$13="最小化",-Q1509,-ABS(Q1509-01_因子設定!$B$16))),-1E+030)</f>
        <v>45.2514985795455</v>
      </c>
      <c r="Y1509" s="55" t="n">
        <f aca="false">W1509+ROW()*0.000000001</f>
        <v>-4.2574292328873</v>
      </c>
      <c r="Z1509" s="55" t="n">
        <f aca="false">X1509+ROW()*0.000000001</f>
        <v>45.2515000885455</v>
      </c>
    </row>
    <row r="1510" customFormat="false" ht="15" hidden="false" customHeight="false" outlineLevel="0" collapsed="false">
      <c r="A1510" s="0" t="n">
        <v>5</v>
      </c>
      <c r="B1510" s="0" t="n">
        <v>3</v>
      </c>
      <c r="C1510" s="0" t="n">
        <v>9</v>
      </c>
      <c r="D1510" s="0" t="n">
        <f aca="false">-1+A1510*0.125</f>
        <v>-0.375</v>
      </c>
      <c r="E1510" s="0" t="n">
        <f aca="false">-1+B1510*0.125</f>
        <v>-0.625</v>
      </c>
      <c r="F1510" s="0" t="n">
        <f aca="false">-1+C1510*0.125</f>
        <v>0.125</v>
      </c>
      <c r="G1510" s="0" t="n">
        <f aca="false">1</f>
        <v>1</v>
      </c>
      <c r="H1510" s="0" t="n">
        <f aca="false">D1510</f>
        <v>-0.375</v>
      </c>
      <c r="I1510" s="0" t="n">
        <f aca="false">E1510</f>
        <v>-0.625</v>
      </c>
      <c r="J1510" s="0" t="n">
        <f aca="false">F1510</f>
        <v>0.125</v>
      </c>
      <c r="K1510" s="0" t="n">
        <f aca="false">D1510*E1510</f>
        <v>0.234375</v>
      </c>
      <c r="L1510" s="0" t="n">
        <f aca="false">D1510*F1510</f>
        <v>-0.046875</v>
      </c>
      <c r="M1510" s="0" t="n">
        <f aca="false">E1510*F1510</f>
        <v>-0.078125</v>
      </c>
      <c r="N1510" s="0" t="n">
        <f aca="false">D1510*D1510</f>
        <v>0.140625</v>
      </c>
      <c r="O1510" s="0" t="n">
        <f aca="false">E1510*E1510</f>
        <v>0.390625</v>
      </c>
      <c r="P1510" s="0" t="n">
        <f aca="false">F1510*F1510</f>
        <v>0.015625</v>
      </c>
      <c r="Q1510" s="0" t="n">
        <f aca="false">SUMPRODUCT(G1510:P1510,_XtX!$B$71:$K$71)</f>
        <v>45.3774786931818</v>
      </c>
      <c r="R1510" s="0" t="n">
        <f aca="false">SUMPRODUCT(MMULT(G1510:P1510,_XtX!$B$58:$K$67),G1510:P1510)</f>
        <v>0.176578591086648</v>
      </c>
      <c r="S1510" s="0" t="n">
        <f aca="false">04_回帰ANOVA!$K$19*04_回帰ANOVA!$K$14*SQRT(1+R1510)</f>
        <v>1.00850279676269</v>
      </c>
      <c r="T1510" s="0" t="n">
        <f aca="false">Q1510-S1510</f>
        <v>44.3689758964191</v>
      </c>
      <c r="U1510" s="0" t="n">
        <f aca="false">Q1510+S1510</f>
        <v>46.3859814899445</v>
      </c>
      <c r="V1510" s="54" t="b">
        <f aca="false">AND(D1510&gt;=01_因子設定!$L$5-0.000000001,D1510&lt;=01_因子設定!$M$5+0.000000001,E1510&gt;=01_因子設定!$L$6-0.000000001,E1510&lt;=01_因子設定!$M$6+0.000000001,F1510&gt;=01_因子設定!$L$7-0.000000001,F1510&lt;=01_因子設定!$M$7+0.000000001,IF(01_因子設定!$B$20="Box-Behnken",D1510^2+E1510^2+F1510^2&lt;=2+0.000000001,TRUE()))</f>
        <v>1</v>
      </c>
      <c r="W1510" s="55" t="n">
        <f aca="false">IF(V1510,IF(01_因子設定!$B$13="最大化",T1510-01_因子設定!$B$14,IF(01_因子設定!$B$13="最小化",01_因子設定!$B$15-U1510,MIN(T1510-01_因子設定!$B$14,01_因子設定!$B$15-U1510))),-1E+030)</f>
        <v>-4.13102410358086</v>
      </c>
      <c r="X1510" s="55" t="n">
        <f aca="false">IF(V1510,IF(01_因子設定!$B$13="最大化",Q1510,IF(01_因子設定!$B$13="最小化",-Q1510,-ABS(Q1510-01_因子設定!$B$16))),-1E+030)</f>
        <v>45.3774786931818</v>
      </c>
      <c r="Y1510" s="55" t="n">
        <f aca="false">W1510+ROW()*0.000000001</f>
        <v>-4.13102259358086</v>
      </c>
      <c r="Z1510" s="55" t="n">
        <f aca="false">X1510+ROW()*0.000000001</f>
        <v>45.3774802031818</v>
      </c>
    </row>
    <row r="1511" customFormat="false" ht="15" hidden="false" customHeight="false" outlineLevel="0" collapsed="false">
      <c r="A1511" s="0" t="n">
        <v>5</v>
      </c>
      <c r="B1511" s="0" t="n">
        <v>3</v>
      </c>
      <c r="C1511" s="0" t="n">
        <v>10</v>
      </c>
      <c r="D1511" s="0" t="n">
        <f aca="false">-1+A1511*0.125</f>
        <v>-0.375</v>
      </c>
      <c r="E1511" s="0" t="n">
        <f aca="false">-1+B1511*0.125</f>
        <v>-0.625</v>
      </c>
      <c r="F1511" s="0" t="n">
        <f aca="false">-1+C1511*0.125</f>
        <v>0.25</v>
      </c>
      <c r="G1511" s="0" t="n">
        <f aca="false">1</f>
        <v>1</v>
      </c>
      <c r="H1511" s="0" t="n">
        <f aca="false">D1511</f>
        <v>-0.375</v>
      </c>
      <c r="I1511" s="0" t="n">
        <f aca="false">E1511</f>
        <v>-0.625</v>
      </c>
      <c r="J1511" s="0" t="n">
        <f aca="false">F1511</f>
        <v>0.25</v>
      </c>
      <c r="K1511" s="0" t="n">
        <f aca="false">D1511*E1511</f>
        <v>0.234375</v>
      </c>
      <c r="L1511" s="0" t="n">
        <f aca="false">D1511*F1511</f>
        <v>-0.09375</v>
      </c>
      <c r="M1511" s="0" t="n">
        <f aca="false">E1511*F1511</f>
        <v>-0.15625</v>
      </c>
      <c r="N1511" s="0" t="n">
        <f aca="false">D1511*D1511</f>
        <v>0.140625</v>
      </c>
      <c r="O1511" s="0" t="n">
        <f aca="false">E1511*E1511</f>
        <v>0.390625</v>
      </c>
      <c r="P1511" s="0" t="n">
        <f aca="false">F1511*F1511</f>
        <v>0.0625</v>
      </c>
      <c r="Q1511" s="0" t="n">
        <f aca="false">SUMPRODUCT(G1511:P1511,_XtX!$B$71:$K$71)</f>
        <v>45.4666690340909</v>
      </c>
      <c r="R1511" s="0" t="n">
        <f aca="false">SUMPRODUCT(MMULT(G1511:P1511,_XtX!$B$58:$K$67),G1511:P1511)</f>
        <v>0.174657648259943</v>
      </c>
      <c r="S1511" s="0" t="n">
        <f aca="false">04_回帰ANOVA!$K$19*04_回帰ANOVA!$K$14*SQRT(1+R1511)</f>
        <v>1.00767919364845</v>
      </c>
      <c r="T1511" s="0" t="n">
        <f aca="false">Q1511-S1511</f>
        <v>44.4589898404425</v>
      </c>
      <c r="U1511" s="0" t="n">
        <f aca="false">Q1511+S1511</f>
        <v>46.4743482277394</v>
      </c>
      <c r="V1511" s="54" t="b">
        <f aca="false">AND(D1511&gt;=01_因子設定!$L$5-0.000000001,D1511&lt;=01_因子設定!$M$5+0.000000001,E1511&gt;=01_因子設定!$L$6-0.000000001,E1511&lt;=01_因子設定!$M$6+0.000000001,F1511&gt;=01_因子設定!$L$7-0.000000001,F1511&lt;=01_因子設定!$M$7+0.000000001,IF(01_因子設定!$B$20="Box-Behnken",D1511^2+E1511^2+F1511^2&lt;=2+0.000000001,TRUE()))</f>
        <v>1</v>
      </c>
      <c r="W1511" s="55" t="n">
        <f aca="false">IF(V1511,IF(01_因子設定!$B$13="最大化",T1511-01_因子設定!$B$14,IF(01_因子設定!$B$13="最小化",01_因子設定!$B$15-U1511,MIN(T1511-01_因子設定!$B$14,01_因子設定!$B$15-U1511))),-1E+030)</f>
        <v>-4.04101015955752</v>
      </c>
      <c r="X1511" s="55" t="n">
        <f aca="false">IF(V1511,IF(01_因子設定!$B$13="最大化",Q1511,IF(01_因子設定!$B$13="最小化",-Q1511,-ABS(Q1511-01_因子設定!$B$16))),-1E+030)</f>
        <v>45.4666690340909</v>
      </c>
      <c r="Y1511" s="55" t="n">
        <f aca="false">W1511+ROW()*0.000000001</f>
        <v>-4.04100864855752</v>
      </c>
      <c r="Z1511" s="55" t="n">
        <f aca="false">X1511+ROW()*0.000000001</f>
        <v>45.4666705450909</v>
      </c>
    </row>
    <row r="1512" customFormat="false" ht="15" hidden="false" customHeight="false" outlineLevel="0" collapsed="false">
      <c r="A1512" s="0" t="n">
        <v>5</v>
      </c>
      <c r="B1512" s="0" t="n">
        <v>3</v>
      </c>
      <c r="C1512" s="0" t="n">
        <v>11</v>
      </c>
      <c r="D1512" s="0" t="n">
        <f aca="false">-1+A1512*0.125</f>
        <v>-0.375</v>
      </c>
      <c r="E1512" s="0" t="n">
        <f aca="false">-1+B1512*0.125</f>
        <v>-0.625</v>
      </c>
      <c r="F1512" s="0" t="n">
        <f aca="false">-1+C1512*0.125</f>
        <v>0.375</v>
      </c>
      <c r="G1512" s="0" t="n">
        <f aca="false">1</f>
        <v>1</v>
      </c>
      <c r="H1512" s="0" t="n">
        <f aca="false">D1512</f>
        <v>-0.375</v>
      </c>
      <c r="I1512" s="0" t="n">
        <f aca="false">E1512</f>
        <v>-0.625</v>
      </c>
      <c r="J1512" s="0" t="n">
        <f aca="false">F1512</f>
        <v>0.375</v>
      </c>
      <c r="K1512" s="0" t="n">
        <f aca="false">D1512*E1512</f>
        <v>0.234375</v>
      </c>
      <c r="L1512" s="0" t="n">
        <f aca="false">D1512*F1512</f>
        <v>-0.140625</v>
      </c>
      <c r="M1512" s="0" t="n">
        <f aca="false">E1512*F1512</f>
        <v>-0.234375</v>
      </c>
      <c r="N1512" s="0" t="n">
        <f aca="false">D1512*D1512</f>
        <v>0.140625</v>
      </c>
      <c r="O1512" s="0" t="n">
        <f aca="false">E1512*E1512</f>
        <v>0.390625</v>
      </c>
      <c r="P1512" s="0" t="n">
        <f aca="false">F1512*F1512</f>
        <v>0.140625</v>
      </c>
      <c r="Q1512" s="0" t="n">
        <f aca="false">SUMPRODUCT(G1512:P1512,_XtX!$B$71:$K$71)</f>
        <v>45.5190696022727</v>
      </c>
      <c r="R1512" s="0" t="n">
        <f aca="false">SUMPRODUCT(MMULT(G1512:P1512,_XtX!$B$58:$K$67),G1512:P1512)</f>
        <v>0.175007213245739</v>
      </c>
      <c r="S1512" s="0" t="n">
        <f aca="false">04_回帰ANOVA!$K$19*04_回帰ANOVA!$K$14*SQRT(1+R1512)</f>
        <v>1.0078291195273</v>
      </c>
      <c r="T1512" s="0" t="n">
        <f aca="false">Q1512-S1512</f>
        <v>44.5112404827454</v>
      </c>
      <c r="U1512" s="0" t="n">
        <f aca="false">Q1512+S1512</f>
        <v>46.5268987218</v>
      </c>
      <c r="V1512" s="54" t="b">
        <f aca="false">AND(D1512&gt;=01_因子設定!$L$5-0.000000001,D1512&lt;=01_因子設定!$M$5+0.000000001,E1512&gt;=01_因子設定!$L$6-0.000000001,E1512&lt;=01_因子設定!$M$6+0.000000001,F1512&gt;=01_因子設定!$L$7-0.000000001,F1512&lt;=01_因子設定!$M$7+0.000000001,IF(01_因子設定!$B$20="Box-Behnken",D1512^2+E1512^2+F1512^2&lt;=2+0.000000001,TRUE()))</f>
        <v>1</v>
      </c>
      <c r="W1512" s="55" t="n">
        <f aca="false">IF(V1512,IF(01_因子設定!$B$13="最大化",T1512-01_因子設定!$B$14,IF(01_因子設定!$B$13="最小化",01_因子設定!$B$15-U1512,MIN(T1512-01_因子設定!$B$14,01_因子設定!$B$15-U1512))),-1E+030)</f>
        <v>-3.98875951725456</v>
      </c>
      <c r="X1512" s="55" t="n">
        <f aca="false">IF(V1512,IF(01_因子設定!$B$13="最大化",Q1512,IF(01_因子設定!$B$13="最小化",-Q1512,-ABS(Q1512-01_因子設定!$B$16))),-1E+030)</f>
        <v>45.5190696022727</v>
      </c>
      <c r="Y1512" s="55" t="n">
        <f aca="false">W1512+ROW()*0.000000001</f>
        <v>-3.98875800525456</v>
      </c>
      <c r="Z1512" s="55" t="n">
        <f aca="false">X1512+ROW()*0.000000001</f>
        <v>45.5190711142727</v>
      </c>
    </row>
    <row r="1513" customFormat="false" ht="15" hidden="false" customHeight="false" outlineLevel="0" collapsed="false">
      <c r="A1513" s="0" t="n">
        <v>5</v>
      </c>
      <c r="B1513" s="0" t="n">
        <v>3</v>
      </c>
      <c r="C1513" s="0" t="n">
        <v>12</v>
      </c>
      <c r="D1513" s="0" t="n">
        <f aca="false">-1+A1513*0.125</f>
        <v>-0.375</v>
      </c>
      <c r="E1513" s="0" t="n">
        <f aca="false">-1+B1513*0.125</f>
        <v>-0.625</v>
      </c>
      <c r="F1513" s="0" t="n">
        <f aca="false">-1+C1513*0.125</f>
        <v>0.5</v>
      </c>
      <c r="G1513" s="0" t="n">
        <f aca="false">1</f>
        <v>1</v>
      </c>
      <c r="H1513" s="0" t="n">
        <f aca="false">D1513</f>
        <v>-0.375</v>
      </c>
      <c r="I1513" s="0" t="n">
        <f aca="false">E1513</f>
        <v>-0.625</v>
      </c>
      <c r="J1513" s="0" t="n">
        <f aca="false">F1513</f>
        <v>0.5</v>
      </c>
      <c r="K1513" s="0" t="n">
        <f aca="false">D1513*E1513</f>
        <v>0.234375</v>
      </c>
      <c r="L1513" s="0" t="n">
        <f aca="false">D1513*F1513</f>
        <v>-0.1875</v>
      </c>
      <c r="M1513" s="0" t="n">
        <f aca="false">E1513*F1513</f>
        <v>-0.3125</v>
      </c>
      <c r="N1513" s="0" t="n">
        <f aca="false">D1513*D1513</f>
        <v>0.140625</v>
      </c>
      <c r="O1513" s="0" t="n">
        <f aca="false">E1513*E1513</f>
        <v>0.390625</v>
      </c>
      <c r="P1513" s="0" t="n">
        <f aca="false">F1513*F1513</f>
        <v>0.25</v>
      </c>
      <c r="Q1513" s="0" t="n">
        <f aca="false">SUMPRODUCT(G1513:P1513,_XtX!$B$71:$K$71)</f>
        <v>45.5346803977273</v>
      </c>
      <c r="R1513" s="0" t="n">
        <f aca="false">SUMPRODUCT(MMULT(G1513:P1513,_XtX!$B$58:$K$67),G1513:P1513)</f>
        <v>0.182953990589489</v>
      </c>
      <c r="S1513" s="0" t="n">
        <f aca="false">04_回帰ANOVA!$K$19*04_回帰ANOVA!$K$14*SQRT(1+R1513)</f>
        <v>1.01123143807044</v>
      </c>
      <c r="T1513" s="0" t="n">
        <f aca="false">Q1513-S1513</f>
        <v>44.5234489596569</v>
      </c>
      <c r="U1513" s="0" t="n">
        <f aca="false">Q1513+S1513</f>
        <v>46.5459118357977</v>
      </c>
      <c r="V1513" s="54" t="b">
        <f aca="false">AND(D1513&gt;=01_因子設定!$L$5-0.000000001,D1513&lt;=01_因子設定!$M$5+0.000000001,E1513&gt;=01_因子設定!$L$6-0.000000001,E1513&lt;=01_因子設定!$M$6+0.000000001,F1513&gt;=01_因子設定!$L$7-0.000000001,F1513&lt;=01_因子設定!$M$7+0.000000001,IF(01_因子設定!$B$20="Box-Behnken",D1513^2+E1513^2+F1513^2&lt;=2+0.000000001,TRUE()))</f>
        <v>1</v>
      </c>
      <c r="W1513" s="55" t="n">
        <f aca="false">IF(V1513,IF(01_因子設定!$B$13="最大化",T1513-01_因子設定!$B$14,IF(01_因子設定!$B$13="最小化",01_因子設定!$B$15-U1513,MIN(T1513-01_因子設定!$B$14,01_因子設定!$B$15-U1513))),-1E+030)</f>
        <v>-3.97655104034315</v>
      </c>
      <c r="X1513" s="55" t="n">
        <f aca="false">IF(V1513,IF(01_因子設定!$B$13="最大化",Q1513,IF(01_因子設定!$B$13="最小化",-Q1513,-ABS(Q1513-01_因子設定!$B$16))),-1E+030)</f>
        <v>45.5346803977273</v>
      </c>
      <c r="Y1513" s="55" t="n">
        <f aca="false">W1513+ROW()*0.000000001</f>
        <v>-3.97654952734315</v>
      </c>
      <c r="Z1513" s="55" t="n">
        <f aca="false">X1513+ROW()*0.000000001</f>
        <v>45.5346819107273</v>
      </c>
    </row>
    <row r="1514" customFormat="false" ht="15" hidden="false" customHeight="false" outlineLevel="0" collapsed="false">
      <c r="A1514" s="0" t="n">
        <v>5</v>
      </c>
      <c r="B1514" s="0" t="n">
        <v>3</v>
      </c>
      <c r="C1514" s="0" t="n">
        <v>13</v>
      </c>
      <c r="D1514" s="0" t="n">
        <f aca="false">-1+A1514*0.125</f>
        <v>-0.375</v>
      </c>
      <c r="E1514" s="0" t="n">
        <f aca="false">-1+B1514*0.125</f>
        <v>-0.625</v>
      </c>
      <c r="F1514" s="0" t="n">
        <f aca="false">-1+C1514*0.125</f>
        <v>0.625</v>
      </c>
      <c r="G1514" s="0" t="n">
        <f aca="false">1</f>
        <v>1</v>
      </c>
      <c r="H1514" s="0" t="n">
        <f aca="false">D1514</f>
        <v>-0.375</v>
      </c>
      <c r="I1514" s="0" t="n">
        <f aca="false">E1514</f>
        <v>-0.625</v>
      </c>
      <c r="J1514" s="0" t="n">
        <f aca="false">F1514</f>
        <v>0.625</v>
      </c>
      <c r="K1514" s="0" t="n">
        <f aca="false">D1514*E1514</f>
        <v>0.234375</v>
      </c>
      <c r="L1514" s="0" t="n">
        <f aca="false">D1514*F1514</f>
        <v>-0.234375</v>
      </c>
      <c r="M1514" s="0" t="n">
        <f aca="false">E1514*F1514</f>
        <v>-0.390625</v>
      </c>
      <c r="N1514" s="0" t="n">
        <f aca="false">D1514*D1514</f>
        <v>0.140625</v>
      </c>
      <c r="O1514" s="0" t="n">
        <f aca="false">E1514*E1514</f>
        <v>0.390625</v>
      </c>
      <c r="P1514" s="0" t="n">
        <f aca="false">F1514*F1514</f>
        <v>0.390625</v>
      </c>
      <c r="Q1514" s="0" t="n">
        <f aca="false">SUMPRODUCT(G1514:P1514,_XtX!$B$71:$K$71)</f>
        <v>45.5135014204546</v>
      </c>
      <c r="R1514" s="0" t="n">
        <f aca="false">SUMPRODUCT(MMULT(G1514:P1514,_XtX!$B$58:$K$67),G1514:P1514)</f>
        <v>0.20595536665483</v>
      </c>
      <c r="S1514" s="0" t="n">
        <f aca="false">04_回帰ANOVA!$K$19*04_回帰ANOVA!$K$14*SQRT(1+R1514)</f>
        <v>1.02101530762963</v>
      </c>
      <c r="T1514" s="0" t="n">
        <f aca="false">Q1514-S1514</f>
        <v>44.4924861128249</v>
      </c>
      <c r="U1514" s="0" t="n">
        <f aca="false">Q1514+S1514</f>
        <v>46.5345167280842</v>
      </c>
      <c r="V1514" s="54" t="b">
        <f aca="false">AND(D1514&gt;=01_因子設定!$L$5-0.000000001,D1514&lt;=01_因子設定!$M$5+0.000000001,E1514&gt;=01_因子設定!$L$6-0.000000001,E1514&lt;=01_因子設定!$M$6+0.000000001,F1514&gt;=01_因子設定!$L$7-0.000000001,F1514&lt;=01_因子設定!$M$7+0.000000001,IF(01_因子設定!$B$20="Box-Behnken",D1514^2+E1514^2+F1514^2&lt;=2+0.000000001,TRUE()))</f>
        <v>1</v>
      </c>
      <c r="W1514" s="55" t="n">
        <f aca="false">IF(V1514,IF(01_因子設定!$B$13="最大化",T1514-01_因子設定!$B$14,IF(01_因子設定!$B$13="最小化",01_因子設定!$B$15-U1514,MIN(T1514-01_因子設定!$B$14,01_因子設定!$B$15-U1514))),-1E+030)</f>
        <v>-4.00751388717507</v>
      </c>
      <c r="X1514" s="55" t="n">
        <f aca="false">IF(V1514,IF(01_因子設定!$B$13="最大化",Q1514,IF(01_因子設定!$B$13="最小化",-Q1514,-ABS(Q1514-01_因子設定!$B$16))),-1E+030)</f>
        <v>45.5135014204546</v>
      </c>
      <c r="Y1514" s="55" t="n">
        <f aca="false">W1514+ROW()*0.000000001</f>
        <v>-4.00751237317507</v>
      </c>
      <c r="Z1514" s="55" t="n">
        <f aca="false">X1514+ROW()*0.000000001</f>
        <v>45.5135029344546</v>
      </c>
    </row>
    <row r="1515" customFormat="false" ht="15" hidden="false" customHeight="false" outlineLevel="0" collapsed="false">
      <c r="A1515" s="0" t="n">
        <v>5</v>
      </c>
      <c r="B1515" s="0" t="n">
        <v>3</v>
      </c>
      <c r="C1515" s="0" t="n">
        <v>14</v>
      </c>
      <c r="D1515" s="0" t="n">
        <f aca="false">-1+A1515*0.125</f>
        <v>-0.375</v>
      </c>
      <c r="E1515" s="0" t="n">
        <f aca="false">-1+B1515*0.125</f>
        <v>-0.625</v>
      </c>
      <c r="F1515" s="0" t="n">
        <f aca="false">-1+C1515*0.125</f>
        <v>0.75</v>
      </c>
      <c r="G1515" s="0" t="n">
        <f aca="false">1</f>
        <v>1</v>
      </c>
      <c r="H1515" s="0" t="n">
        <f aca="false">D1515</f>
        <v>-0.375</v>
      </c>
      <c r="I1515" s="0" t="n">
        <f aca="false">E1515</f>
        <v>-0.625</v>
      </c>
      <c r="J1515" s="0" t="n">
        <f aca="false">F1515</f>
        <v>0.75</v>
      </c>
      <c r="K1515" s="0" t="n">
        <f aca="false">D1515*E1515</f>
        <v>0.234375</v>
      </c>
      <c r="L1515" s="0" t="n">
        <f aca="false">D1515*F1515</f>
        <v>-0.28125</v>
      </c>
      <c r="M1515" s="0" t="n">
        <f aca="false">E1515*F1515</f>
        <v>-0.46875</v>
      </c>
      <c r="N1515" s="0" t="n">
        <f aca="false">D1515*D1515</f>
        <v>0.140625</v>
      </c>
      <c r="O1515" s="0" t="n">
        <f aca="false">E1515*E1515</f>
        <v>0.390625</v>
      </c>
      <c r="P1515" s="0" t="n">
        <f aca="false">F1515*F1515</f>
        <v>0.5625</v>
      </c>
      <c r="Q1515" s="0" t="n">
        <f aca="false">SUMPRODUCT(G1515:P1515,_XtX!$B$71:$K$71)</f>
        <v>45.4555326704546</v>
      </c>
      <c r="R1515" s="0" t="n">
        <f aca="false">SUMPRODUCT(MMULT(G1515:P1515,_XtX!$B$58:$K$67),G1515:P1515)</f>
        <v>0.25359940962358</v>
      </c>
      <c r="S1515" s="0" t="n">
        <f aca="false">04_回帰ANOVA!$K$19*04_回帰ANOVA!$K$14*SQRT(1+R1515)</f>
        <v>1.04098872464599</v>
      </c>
      <c r="T1515" s="0" t="n">
        <f aca="false">Q1515-S1515</f>
        <v>44.4145439458086</v>
      </c>
      <c r="U1515" s="0" t="n">
        <f aca="false">Q1515+S1515</f>
        <v>46.4965213951005</v>
      </c>
      <c r="V1515" s="54" t="b">
        <f aca="false">AND(D1515&gt;=01_因子設定!$L$5-0.000000001,D1515&lt;=01_因子設定!$M$5+0.000000001,E1515&gt;=01_因子設定!$L$6-0.000000001,E1515&lt;=01_因子設定!$M$6+0.000000001,F1515&gt;=01_因子設定!$L$7-0.000000001,F1515&lt;=01_因子設定!$M$7+0.000000001,IF(01_因子設定!$B$20="Box-Behnken",D1515^2+E1515^2+F1515^2&lt;=2+0.000000001,TRUE()))</f>
        <v>1</v>
      </c>
      <c r="W1515" s="55" t="n">
        <f aca="false">IF(V1515,IF(01_因子設定!$B$13="最大化",T1515-01_因子設定!$B$14,IF(01_因子設定!$B$13="最小化",01_因子設定!$B$15-U1515,MIN(T1515-01_因子設定!$B$14,01_因子設定!$B$15-U1515))),-1E+030)</f>
        <v>-4.08545605419143</v>
      </c>
      <c r="X1515" s="55" t="n">
        <f aca="false">IF(V1515,IF(01_因子設定!$B$13="最大化",Q1515,IF(01_因子設定!$B$13="最小化",-Q1515,-ABS(Q1515-01_因子設定!$B$16))),-1E+030)</f>
        <v>45.4555326704546</v>
      </c>
      <c r="Y1515" s="55" t="n">
        <f aca="false">W1515+ROW()*0.000000001</f>
        <v>-4.08545453919143</v>
      </c>
      <c r="Z1515" s="55" t="n">
        <f aca="false">X1515+ROW()*0.000000001</f>
        <v>45.4555341854546</v>
      </c>
    </row>
    <row r="1516" customFormat="false" ht="15" hidden="false" customHeight="false" outlineLevel="0" collapsed="false">
      <c r="A1516" s="0" t="n">
        <v>5</v>
      </c>
      <c r="B1516" s="0" t="n">
        <v>3</v>
      </c>
      <c r="C1516" s="0" t="n">
        <v>15</v>
      </c>
      <c r="D1516" s="0" t="n">
        <f aca="false">-1+A1516*0.125</f>
        <v>-0.375</v>
      </c>
      <c r="E1516" s="0" t="n">
        <f aca="false">-1+B1516*0.125</f>
        <v>-0.625</v>
      </c>
      <c r="F1516" s="0" t="n">
        <f aca="false">-1+C1516*0.125</f>
        <v>0.875</v>
      </c>
      <c r="G1516" s="0" t="n">
        <f aca="false">1</f>
        <v>1</v>
      </c>
      <c r="H1516" s="0" t="n">
        <f aca="false">D1516</f>
        <v>-0.375</v>
      </c>
      <c r="I1516" s="0" t="n">
        <f aca="false">E1516</f>
        <v>-0.625</v>
      </c>
      <c r="J1516" s="0" t="n">
        <f aca="false">F1516</f>
        <v>0.875</v>
      </c>
      <c r="K1516" s="0" t="n">
        <f aca="false">D1516*E1516</f>
        <v>0.234375</v>
      </c>
      <c r="L1516" s="0" t="n">
        <f aca="false">D1516*F1516</f>
        <v>-0.328125</v>
      </c>
      <c r="M1516" s="0" t="n">
        <f aca="false">E1516*F1516</f>
        <v>-0.546875</v>
      </c>
      <c r="N1516" s="0" t="n">
        <f aca="false">D1516*D1516</f>
        <v>0.140625</v>
      </c>
      <c r="O1516" s="0" t="n">
        <f aca="false">E1516*E1516</f>
        <v>0.390625</v>
      </c>
      <c r="P1516" s="0" t="n">
        <f aca="false">F1516*F1516</f>
        <v>0.765625</v>
      </c>
      <c r="Q1516" s="0" t="n">
        <f aca="false">SUMPRODUCT(G1516:P1516,_XtX!$B$71:$K$71)</f>
        <v>45.3607741477273</v>
      </c>
      <c r="R1516" s="0" t="n">
        <f aca="false">SUMPRODUCT(MMULT(G1516:P1516,_XtX!$B$58:$K$67),G1516:P1516)</f>
        <v>0.337604869495739</v>
      </c>
      <c r="S1516" s="0" t="n">
        <f aca="false">04_回帰ANOVA!$K$19*04_回帰ANOVA!$K$14*SQRT(1+R1516)</f>
        <v>1.07530225516193</v>
      </c>
      <c r="T1516" s="0" t="n">
        <f aca="false">Q1516-S1516</f>
        <v>44.2854718925654</v>
      </c>
      <c r="U1516" s="0" t="n">
        <f aca="false">Q1516+S1516</f>
        <v>46.4360764028892</v>
      </c>
      <c r="V1516" s="54" t="b">
        <f aca="false">AND(D1516&gt;=01_因子設定!$L$5-0.000000001,D1516&lt;=01_因子設定!$M$5+0.000000001,E1516&gt;=01_因子設定!$L$6-0.000000001,E1516&lt;=01_因子設定!$M$6+0.000000001,F1516&gt;=01_因子設定!$L$7-0.000000001,F1516&lt;=01_因子設定!$M$7+0.000000001,IF(01_因子設定!$B$20="Box-Behnken",D1516^2+E1516^2+F1516^2&lt;=2+0.000000001,TRUE()))</f>
        <v>1</v>
      </c>
      <c r="W1516" s="55" t="n">
        <f aca="false">IF(V1516,IF(01_因子設定!$B$13="最大化",T1516-01_因子設定!$B$14,IF(01_因子設定!$B$13="最小化",01_因子設定!$B$15-U1516,MIN(T1516-01_因子設定!$B$14,01_因子設定!$B$15-U1516))),-1E+030)</f>
        <v>-4.21452810743463</v>
      </c>
      <c r="X1516" s="55" t="n">
        <f aca="false">IF(V1516,IF(01_因子設定!$B$13="最大化",Q1516,IF(01_因子設定!$B$13="最小化",-Q1516,-ABS(Q1516-01_因子設定!$B$16))),-1E+030)</f>
        <v>45.3607741477273</v>
      </c>
      <c r="Y1516" s="55" t="n">
        <f aca="false">W1516+ROW()*0.000000001</f>
        <v>-4.21452659143463</v>
      </c>
      <c r="Z1516" s="55" t="n">
        <f aca="false">X1516+ROW()*0.000000001</f>
        <v>45.3607756637273</v>
      </c>
    </row>
    <row r="1517" customFormat="false" ht="15" hidden="false" customHeight="false" outlineLevel="0" collapsed="false">
      <c r="A1517" s="0" t="n">
        <v>5</v>
      </c>
      <c r="B1517" s="0" t="n">
        <v>3</v>
      </c>
      <c r="C1517" s="0" t="n">
        <v>16</v>
      </c>
      <c r="D1517" s="0" t="n">
        <f aca="false">-1+A1517*0.125</f>
        <v>-0.375</v>
      </c>
      <c r="E1517" s="0" t="n">
        <f aca="false">-1+B1517*0.125</f>
        <v>-0.625</v>
      </c>
      <c r="F1517" s="0" t="n">
        <f aca="false">-1+C1517*0.125</f>
        <v>1</v>
      </c>
      <c r="G1517" s="0" t="n">
        <f aca="false">1</f>
        <v>1</v>
      </c>
      <c r="H1517" s="0" t="n">
        <f aca="false">D1517</f>
        <v>-0.375</v>
      </c>
      <c r="I1517" s="0" t="n">
        <f aca="false">E1517</f>
        <v>-0.625</v>
      </c>
      <c r="J1517" s="0" t="n">
        <f aca="false">F1517</f>
        <v>1</v>
      </c>
      <c r="K1517" s="0" t="n">
        <f aca="false">D1517*E1517</f>
        <v>0.234375</v>
      </c>
      <c r="L1517" s="0" t="n">
        <f aca="false">D1517*F1517</f>
        <v>-0.375</v>
      </c>
      <c r="M1517" s="0" t="n">
        <f aca="false">E1517*F1517</f>
        <v>-0.625</v>
      </c>
      <c r="N1517" s="0" t="n">
        <f aca="false">D1517*D1517</f>
        <v>0.140625</v>
      </c>
      <c r="O1517" s="0" t="n">
        <f aca="false">E1517*E1517</f>
        <v>0.390625</v>
      </c>
      <c r="P1517" s="0" t="n">
        <f aca="false">F1517*F1517</f>
        <v>1</v>
      </c>
      <c r="Q1517" s="0" t="n">
        <f aca="false">SUMPRODUCT(G1517:P1517,_XtX!$B$71:$K$71)</f>
        <v>45.2292258522728</v>
      </c>
      <c r="R1517" s="0" t="n">
        <f aca="false">SUMPRODUCT(MMULT(G1517:P1517,_XtX!$B$58:$K$67),G1517:P1517)</f>
        <v>0.471821178089489</v>
      </c>
      <c r="S1517" s="0" t="n">
        <f aca="false">04_回帰ANOVA!$K$19*04_回帰ANOVA!$K$14*SQRT(1+R1517)</f>
        <v>1.12796119746125</v>
      </c>
      <c r="T1517" s="0" t="n">
        <f aca="false">Q1517-S1517</f>
        <v>44.1012646548115</v>
      </c>
      <c r="U1517" s="0" t="n">
        <f aca="false">Q1517+S1517</f>
        <v>46.357187049734</v>
      </c>
      <c r="V1517" s="54" t="b">
        <f aca="false">AND(D1517&gt;=01_因子設定!$L$5-0.000000001,D1517&lt;=01_因子設定!$M$5+0.000000001,E1517&gt;=01_因子設定!$L$6-0.000000001,E1517&lt;=01_因子設定!$M$6+0.000000001,F1517&gt;=01_因子設定!$L$7-0.000000001,F1517&lt;=01_因子設定!$M$7+0.000000001,IF(01_因子設定!$B$20="Box-Behnken",D1517^2+E1517^2+F1517^2&lt;=2+0.000000001,TRUE()))</f>
        <v>1</v>
      </c>
      <c r="W1517" s="55" t="n">
        <f aca="false">IF(V1517,IF(01_因子設定!$B$13="最大化",T1517-01_因子設定!$B$14,IF(01_因子設定!$B$13="最小化",01_因子設定!$B$15-U1517,MIN(T1517-01_因子設定!$B$14,01_因子設定!$B$15-U1517))),-1E+030)</f>
        <v>-4.3987353451885</v>
      </c>
      <c r="X1517" s="55" t="n">
        <f aca="false">IF(V1517,IF(01_因子設定!$B$13="最大化",Q1517,IF(01_因子設定!$B$13="最小化",-Q1517,-ABS(Q1517-01_因子設定!$B$16))),-1E+030)</f>
        <v>45.2292258522728</v>
      </c>
      <c r="Y1517" s="55" t="n">
        <f aca="false">W1517+ROW()*0.000000001</f>
        <v>-4.3987338281885</v>
      </c>
      <c r="Z1517" s="55" t="n">
        <f aca="false">X1517+ROW()*0.000000001</f>
        <v>45.2292273692728</v>
      </c>
    </row>
    <row r="1518" customFormat="false" ht="15" hidden="false" customHeight="false" outlineLevel="0" collapsed="false">
      <c r="A1518" s="0" t="n">
        <v>5</v>
      </c>
      <c r="B1518" s="0" t="n">
        <v>4</v>
      </c>
      <c r="C1518" s="0" t="n">
        <v>0</v>
      </c>
      <c r="D1518" s="0" t="n">
        <f aca="false">-1+A1518*0.125</f>
        <v>-0.375</v>
      </c>
      <c r="E1518" s="0" t="n">
        <f aca="false">-1+B1518*0.125</f>
        <v>-0.5</v>
      </c>
      <c r="F1518" s="0" t="n">
        <f aca="false">-1+C1518*0.125</f>
        <v>-1</v>
      </c>
      <c r="G1518" s="0" t="n">
        <f aca="false">1</f>
        <v>1</v>
      </c>
      <c r="H1518" s="0" t="n">
        <f aca="false">D1518</f>
        <v>-0.375</v>
      </c>
      <c r="I1518" s="0" t="n">
        <f aca="false">E1518</f>
        <v>-0.5</v>
      </c>
      <c r="J1518" s="0" t="n">
        <f aca="false">F1518</f>
        <v>-1</v>
      </c>
      <c r="K1518" s="0" t="n">
        <f aca="false">D1518*E1518</f>
        <v>0.1875</v>
      </c>
      <c r="L1518" s="0" t="n">
        <f aca="false">D1518*F1518</f>
        <v>0.375</v>
      </c>
      <c r="M1518" s="0" t="n">
        <f aca="false">E1518*F1518</f>
        <v>0.5</v>
      </c>
      <c r="N1518" s="0" t="n">
        <f aca="false">D1518*D1518</f>
        <v>0.140625</v>
      </c>
      <c r="O1518" s="0" t="n">
        <f aca="false">E1518*E1518</f>
        <v>0.25</v>
      </c>
      <c r="P1518" s="0" t="n">
        <f aca="false">F1518*F1518</f>
        <v>1</v>
      </c>
      <c r="Q1518" s="0" t="n">
        <f aca="false">SUMPRODUCT(G1518:P1518,_XtX!$B$71:$K$71)</f>
        <v>43.3493892045455</v>
      </c>
      <c r="R1518" s="0" t="n">
        <f aca="false">SUMPRODUCT(MMULT(G1518:P1518,_XtX!$B$58:$K$67),G1518:P1518)</f>
        <v>0.461479048295455</v>
      </c>
      <c r="S1518" s="0" t="n">
        <f aca="false">04_回帰ANOVA!$K$19*04_回帰ANOVA!$K$14*SQRT(1+R1518)</f>
        <v>1.12399125658369</v>
      </c>
      <c r="T1518" s="0" t="n">
        <f aca="false">Q1518-S1518</f>
        <v>42.2253979479618</v>
      </c>
      <c r="U1518" s="0" t="n">
        <f aca="false">Q1518+S1518</f>
        <v>44.4733804611292</v>
      </c>
      <c r="V1518" s="54" t="b">
        <f aca="false">AND(D1518&gt;=01_因子設定!$L$5-0.000000001,D1518&lt;=01_因子設定!$M$5+0.000000001,E1518&gt;=01_因子設定!$L$6-0.000000001,E1518&lt;=01_因子設定!$M$6+0.000000001,F1518&gt;=01_因子設定!$L$7-0.000000001,F1518&lt;=01_因子設定!$M$7+0.000000001,IF(01_因子設定!$B$20="Box-Behnken",D1518^2+E1518^2+F1518^2&lt;=2+0.000000001,TRUE()))</f>
        <v>1</v>
      </c>
      <c r="W1518" s="55" t="n">
        <f aca="false">IF(V1518,IF(01_因子設定!$B$13="最大化",T1518-01_因子設定!$B$14,IF(01_因子設定!$B$13="最小化",01_因子設定!$B$15-U1518,MIN(T1518-01_因子設定!$B$14,01_因子設定!$B$15-U1518))),-1E+030)</f>
        <v>-6.27460205203821</v>
      </c>
      <c r="X1518" s="55" t="n">
        <f aca="false">IF(V1518,IF(01_因子設定!$B$13="最大化",Q1518,IF(01_因子設定!$B$13="最小化",-Q1518,-ABS(Q1518-01_因子設定!$B$16))),-1E+030)</f>
        <v>43.3493892045455</v>
      </c>
      <c r="Y1518" s="55" t="n">
        <f aca="false">W1518+ROW()*0.000000001</f>
        <v>-6.2746005340382</v>
      </c>
      <c r="Z1518" s="55" t="n">
        <f aca="false">X1518+ROW()*0.000000001</f>
        <v>43.3493907225455</v>
      </c>
    </row>
    <row r="1519" customFormat="false" ht="15" hidden="false" customHeight="false" outlineLevel="0" collapsed="false">
      <c r="A1519" s="0" t="n">
        <v>5</v>
      </c>
      <c r="B1519" s="0" t="n">
        <v>4</v>
      </c>
      <c r="C1519" s="0" t="n">
        <v>1</v>
      </c>
      <c r="D1519" s="0" t="n">
        <f aca="false">-1+A1519*0.125</f>
        <v>-0.375</v>
      </c>
      <c r="E1519" s="0" t="n">
        <f aca="false">-1+B1519*0.125</f>
        <v>-0.5</v>
      </c>
      <c r="F1519" s="0" t="n">
        <f aca="false">-1+C1519*0.125</f>
        <v>-0.875</v>
      </c>
      <c r="G1519" s="0" t="n">
        <f aca="false">1</f>
        <v>1</v>
      </c>
      <c r="H1519" s="0" t="n">
        <f aca="false">D1519</f>
        <v>-0.375</v>
      </c>
      <c r="I1519" s="0" t="n">
        <f aca="false">E1519</f>
        <v>-0.5</v>
      </c>
      <c r="J1519" s="0" t="n">
        <f aca="false">F1519</f>
        <v>-0.875</v>
      </c>
      <c r="K1519" s="0" t="n">
        <f aca="false">D1519*E1519</f>
        <v>0.1875</v>
      </c>
      <c r="L1519" s="0" t="n">
        <f aca="false">D1519*F1519</f>
        <v>0.328125</v>
      </c>
      <c r="M1519" s="0" t="n">
        <f aca="false">E1519*F1519</f>
        <v>0.4375</v>
      </c>
      <c r="N1519" s="0" t="n">
        <f aca="false">D1519*D1519</f>
        <v>0.140625</v>
      </c>
      <c r="O1519" s="0" t="n">
        <f aca="false">E1519*E1519</f>
        <v>0.25</v>
      </c>
      <c r="P1519" s="0" t="n">
        <f aca="false">F1519*F1519</f>
        <v>0.765625</v>
      </c>
      <c r="Q1519" s="0" t="n">
        <f aca="false">SUMPRODUCT(G1519:P1519,_XtX!$B$71:$K$71)</f>
        <v>43.77671875</v>
      </c>
      <c r="R1519" s="0" t="n">
        <f aca="false">SUMPRODUCT(MMULT(G1519:P1519,_XtX!$B$58:$K$67),G1519:P1519)</f>
        <v>0.322393798828125</v>
      </c>
      <c r="S1519" s="0" t="n">
        <f aca="false">04_回帰ANOVA!$K$19*04_回帰ANOVA!$K$14*SQRT(1+R1519)</f>
        <v>1.06917067390712</v>
      </c>
      <c r="T1519" s="0" t="n">
        <f aca="false">Q1519-S1519</f>
        <v>42.7075480760929</v>
      </c>
      <c r="U1519" s="0" t="n">
        <f aca="false">Q1519+S1519</f>
        <v>44.8458894239071</v>
      </c>
      <c r="V1519" s="54" t="b">
        <f aca="false">AND(D1519&gt;=01_因子設定!$L$5-0.000000001,D1519&lt;=01_因子設定!$M$5+0.000000001,E1519&gt;=01_因子設定!$L$6-0.000000001,E1519&lt;=01_因子設定!$M$6+0.000000001,F1519&gt;=01_因子設定!$L$7-0.000000001,F1519&lt;=01_因子設定!$M$7+0.000000001,IF(01_因子設定!$B$20="Box-Behnken",D1519^2+E1519^2+F1519^2&lt;=2+0.000000001,TRUE()))</f>
        <v>1</v>
      </c>
      <c r="W1519" s="55" t="n">
        <f aca="false">IF(V1519,IF(01_因子設定!$B$13="最大化",T1519-01_因子設定!$B$14,IF(01_因子設定!$B$13="最小化",01_因子設定!$B$15-U1519,MIN(T1519-01_因子設定!$B$14,01_因子設定!$B$15-U1519))),-1E+030)</f>
        <v>-5.7924519239071</v>
      </c>
      <c r="X1519" s="55" t="n">
        <f aca="false">IF(V1519,IF(01_因子設定!$B$13="最大化",Q1519,IF(01_因子設定!$B$13="最小化",-Q1519,-ABS(Q1519-01_因子設定!$B$16))),-1E+030)</f>
        <v>43.77671875</v>
      </c>
      <c r="Y1519" s="55" t="n">
        <f aca="false">W1519+ROW()*0.000000001</f>
        <v>-5.7924504049071</v>
      </c>
      <c r="Z1519" s="55" t="n">
        <f aca="false">X1519+ROW()*0.000000001</f>
        <v>43.776720269</v>
      </c>
    </row>
    <row r="1520" customFormat="false" ht="15" hidden="false" customHeight="false" outlineLevel="0" collapsed="false">
      <c r="A1520" s="0" t="n">
        <v>5</v>
      </c>
      <c r="B1520" s="0" t="n">
        <v>4</v>
      </c>
      <c r="C1520" s="0" t="n">
        <v>2</v>
      </c>
      <c r="D1520" s="0" t="n">
        <f aca="false">-1+A1520*0.125</f>
        <v>-0.375</v>
      </c>
      <c r="E1520" s="0" t="n">
        <f aca="false">-1+B1520*0.125</f>
        <v>-0.5</v>
      </c>
      <c r="F1520" s="0" t="n">
        <f aca="false">-1+C1520*0.125</f>
        <v>-0.75</v>
      </c>
      <c r="G1520" s="0" t="n">
        <f aca="false">1</f>
        <v>1</v>
      </c>
      <c r="H1520" s="0" t="n">
        <f aca="false">D1520</f>
        <v>-0.375</v>
      </c>
      <c r="I1520" s="0" t="n">
        <f aca="false">E1520</f>
        <v>-0.5</v>
      </c>
      <c r="J1520" s="0" t="n">
        <f aca="false">F1520</f>
        <v>-0.75</v>
      </c>
      <c r="K1520" s="0" t="n">
        <f aca="false">D1520*E1520</f>
        <v>0.1875</v>
      </c>
      <c r="L1520" s="0" t="n">
        <f aca="false">D1520*F1520</f>
        <v>0.28125</v>
      </c>
      <c r="M1520" s="0" t="n">
        <f aca="false">E1520*F1520</f>
        <v>0.375</v>
      </c>
      <c r="N1520" s="0" t="n">
        <f aca="false">D1520*D1520</f>
        <v>0.140625</v>
      </c>
      <c r="O1520" s="0" t="n">
        <f aca="false">E1520*E1520</f>
        <v>0.25</v>
      </c>
      <c r="P1520" s="0" t="n">
        <f aca="false">F1520*F1520</f>
        <v>0.5625</v>
      </c>
      <c r="Q1520" s="0" t="n">
        <f aca="false">SUMPRODUCT(G1520:P1520,_XtX!$B$71:$K$71)</f>
        <v>44.1672585227273</v>
      </c>
      <c r="R1520" s="0" t="n">
        <f aca="false">SUMPRODUCT(MMULT(G1520:P1520,_XtX!$B$58:$K$67),G1520:P1520)</f>
        <v>0.234168590198864</v>
      </c>
      <c r="S1520" s="0" t="n">
        <f aca="false">04_回帰ANOVA!$K$19*04_回帰ANOVA!$K$14*SQRT(1+R1520)</f>
        <v>1.03288954322488</v>
      </c>
      <c r="T1520" s="0" t="n">
        <f aca="false">Q1520-S1520</f>
        <v>43.1343689795024</v>
      </c>
      <c r="U1520" s="0" t="n">
        <f aca="false">Q1520+S1520</f>
        <v>45.2001480659522</v>
      </c>
      <c r="V1520" s="54" t="b">
        <f aca="false">AND(D1520&gt;=01_因子設定!$L$5-0.000000001,D1520&lt;=01_因子設定!$M$5+0.000000001,E1520&gt;=01_因子設定!$L$6-0.000000001,E1520&lt;=01_因子設定!$M$6+0.000000001,F1520&gt;=01_因子設定!$L$7-0.000000001,F1520&lt;=01_因子設定!$M$7+0.000000001,IF(01_因子設定!$B$20="Box-Behnken",D1520^2+E1520^2+F1520^2&lt;=2+0.000000001,TRUE()))</f>
        <v>1</v>
      </c>
      <c r="W1520" s="55" t="n">
        <f aca="false">IF(V1520,IF(01_因子設定!$B$13="最大化",T1520-01_因子設定!$B$14,IF(01_因子設定!$B$13="最小化",01_因子設定!$B$15-U1520,MIN(T1520-01_因子設定!$B$14,01_因子設定!$B$15-U1520))),-1E+030)</f>
        <v>-5.36563102049759</v>
      </c>
      <c r="X1520" s="55" t="n">
        <f aca="false">IF(V1520,IF(01_因子設定!$B$13="最大化",Q1520,IF(01_因子設定!$B$13="最小化",-Q1520,-ABS(Q1520-01_因子設定!$B$16))),-1E+030)</f>
        <v>44.1672585227273</v>
      </c>
      <c r="Y1520" s="55" t="n">
        <f aca="false">W1520+ROW()*0.000000001</f>
        <v>-5.36562950049759</v>
      </c>
      <c r="Z1520" s="55" t="n">
        <f aca="false">X1520+ROW()*0.000000001</f>
        <v>44.1672600427273</v>
      </c>
    </row>
    <row r="1521" customFormat="false" ht="15" hidden="false" customHeight="false" outlineLevel="0" collapsed="false">
      <c r="A1521" s="0" t="n">
        <v>5</v>
      </c>
      <c r="B1521" s="0" t="n">
        <v>4</v>
      </c>
      <c r="C1521" s="0" t="n">
        <v>3</v>
      </c>
      <c r="D1521" s="0" t="n">
        <f aca="false">-1+A1521*0.125</f>
        <v>-0.375</v>
      </c>
      <c r="E1521" s="0" t="n">
        <f aca="false">-1+B1521*0.125</f>
        <v>-0.5</v>
      </c>
      <c r="F1521" s="0" t="n">
        <f aca="false">-1+C1521*0.125</f>
        <v>-0.625</v>
      </c>
      <c r="G1521" s="0" t="n">
        <f aca="false">1</f>
        <v>1</v>
      </c>
      <c r="H1521" s="0" t="n">
        <f aca="false">D1521</f>
        <v>-0.375</v>
      </c>
      <c r="I1521" s="0" t="n">
        <f aca="false">E1521</f>
        <v>-0.5</v>
      </c>
      <c r="J1521" s="0" t="n">
        <f aca="false">F1521</f>
        <v>-0.625</v>
      </c>
      <c r="K1521" s="0" t="n">
        <f aca="false">D1521*E1521</f>
        <v>0.1875</v>
      </c>
      <c r="L1521" s="0" t="n">
        <f aca="false">D1521*F1521</f>
        <v>0.234375</v>
      </c>
      <c r="M1521" s="0" t="n">
        <f aca="false">E1521*F1521</f>
        <v>0.3125</v>
      </c>
      <c r="N1521" s="0" t="n">
        <f aca="false">D1521*D1521</f>
        <v>0.140625</v>
      </c>
      <c r="O1521" s="0" t="n">
        <f aca="false">E1521*E1521</f>
        <v>0.25</v>
      </c>
      <c r="P1521" s="0" t="n">
        <f aca="false">F1521*F1521</f>
        <v>0.390625</v>
      </c>
      <c r="Q1521" s="0" t="n">
        <f aca="false">SUMPRODUCT(G1521:P1521,_XtX!$B$71:$K$71)</f>
        <v>44.5210085227273</v>
      </c>
      <c r="R1521" s="0" t="n">
        <f aca="false">SUMPRODUCT(MMULT(G1521:P1521,_XtX!$B$58:$K$67),G1521:P1521)</f>
        <v>0.182953990589489</v>
      </c>
      <c r="S1521" s="0" t="n">
        <f aca="false">04_回帰ANOVA!$K$19*04_回帰ANOVA!$K$14*SQRT(1+R1521)</f>
        <v>1.01123143807044</v>
      </c>
      <c r="T1521" s="0" t="n">
        <f aca="false">Q1521-S1521</f>
        <v>43.5097770846569</v>
      </c>
      <c r="U1521" s="0" t="n">
        <f aca="false">Q1521+S1521</f>
        <v>45.5322399607977</v>
      </c>
      <c r="V1521" s="54" t="b">
        <f aca="false">AND(D1521&gt;=01_因子設定!$L$5-0.000000001,D1521&lt;=01_因子設定!$M$5+0.000000001,E1521&gt;=01_因子設定!$L$6-0.000000001,E1521&lt;=01_因子設定!$M$6+0.000000001,F1521&gt;=01_因子設定!$L$7-0.000000001,F1521&lt;=01_因子設定!$M$7+0.000000001,IF(01_因子設定!$B$20="Box-Behnken",D1521^2+E1521^2+F1521^2&lt;=2+0.000000001,TRUE()))</f>
        <v>1</v>
      </c>
      <c r="W1521" s="55" t="n">
        <f aca="false">IF(V1521,IF(01_因子設定!$B$13="最大化",T1521-01_因子設定!$B$14,IF(01_因子設定!$B$13="最小化",01_因子設定!$B$15-U1521,MIN(T1521-01_因子設定!$B$14,01_因子設定!$B$15-U1521))),-1E+030)</f>
        <v>-4.99022291534315</v>
      </c>
      <c r="X1521" s="55" t="n">
        <f aca="false">IF(V1521,IF(01_因子設定!$B$13="最大化",Q1521,IF(01_因子設定!$B$13="最小化",-Q1521,-ABS(Q1521-01_因子設定!$B$16))),-1E+030)</f>
        <v>44.5210085227273</v>
      </c>
      <c r="Y1521" s="55" t="n">
        <f aca="false">W1521+ROW()*0.000000001</f>
        <v>-4.99022139434315</v>
      </c>
      <c r="Z1521" s="55" t="n">
        <f aca="false">X1521+ROW()*0.000000001</f>
        <v>44.5210100437273</v>
      </c>
    </row>
    <row r="1522" customFormat="false" ht="15" hidden="false" customHeight="false" outlineLevel="0" collapsed="false">
      <c r="A1522" s="0" t="n">
        <v>5</v>
      </c>
      <c r="B1522" s="0" t="n">
        <v>4</v>
      </c>
      <c r="C1522" s="0" t="n">
        <v>4</v>
      </c>
      <c r="D1522" s="0" t="n">
        <f aca="false">-1+A1522*0.125</f>
        <v>-0.375</v>
      </c>
      <c r="E1522" s="0" t="n">
        <f aca="false">-1+B1522*0.125</f>
        <v>-0.5</v>
      </c>
      <c r="F1522" s="0" t="n">
        <f aca="false">-1+C1522*0.125</f>
        <v>-0.5</v>
      </c>
      <c r="G1522" s="0" t="n">
        <f aca="false">1</f>
        <v>1</v>
      </c>
      <c r="H1522" s="0" t="n">
        <f aca="false">D1522</f>
        <v>-0.375</v>
      </c>
      <c r="I1522" s="0" t="n">
        <f aca="false">E1522</f>
        <v>-0.5</v>
      </c>
      <c r="J1522" s="0" t="n">
        <f aca="false">F1522</f>
        <v>-0.5</v>
      </c>
      <c r="K1522" s="0" t="n">
        <f aca="false">D1522*E1522</f>
        <v>0.1875</v>
      </c>
      <c r="L1522" s="0" t="n">
        <f aca="false">D1522*F1522</f>
        <v>0.1875</v>
      </c>
      <c r="M1522" s="0" t="n">
        <f aca="false">E1522*F1522</f>
        <v>0.25</v>
      </c>
      <c r="N1522" s="0" t="n">
        <f aca="false">D1522*D1522</f>
        <v>0.140625</v>
      </c>
      <c r="O1522" s="0" t="n">
        <f aca="false">E1522*E1522</f>
        <v>0.25</v>
      </c>
      <c r="P1522" s="0" t="n">
        <f aca="false">F1522*F1522</f>
        <v>0.25</v>
      </c>
      <c r="Q1522" s="0" t="n">
        <f aca="false">SUMPRODUCT(G1522:P1522,_XtX!$B$71:$K$71)</f>
        <v>44.83796875</v>
      </c>
      <c r="R1522" s="0" t="n">
        <f aca="false">SUMPRODUCT(MMULT(G1522:P1522,_XtX!$B$58:$K$67),G1522:P1522)</f>
        <v>0.15703125</v>
      </c>
      <c r="S1522" s="0" t="n">
        <f aca="false">04_回帰ANOVA!$K$19*04_回帰ANOVA!$K$14*SQRT(1+R1522)</f>
        <v>1.00009022049162</v>
      </c>
      <c r="T1522" s="0" t="n">
        <f aca="false">Q1522-S1522</f>
        <v>43.8378785295084</v>
      </c>
      <c r="U1522" s="0" t="n">
        <f aca="false">Q1522+S1522</f>
        <v>45.8380589704916</v>
      </c>
      <c r="V1522" s="54" t="b">
        <f aca="false">AND(D1522&gt;=01_因子設定!$L$5-0.000000001,D1522&lt;=01_因子設定!$M$5+0.000000001,E1522&gt;=01_因子設定!$L$6-0.000000001,E1522&lt;=01_因子設定!$M$6+0.000000001,F1522&gt;=01_因子設定!$L$7-0.000000001,F1522&lt;=01_因子設定!$M$7+0.000000001,IF(01_因子設定!$B$20="Box-Behnken",D1522^2+E1522^2+F1522^2&lt;=2+0.000000001,TRUE()))</f>
        <v>1</v>
      </c>
      <c r="W1522" s="55" t="n">
        <f aca="false">IF(V1522,IF(01_因子設定!$B$13="最大化",T1522-01_因子設定!$B$14,IF(01_因子設定!$B$13="最小化",01_因子設定!$B$15-U1522,MIN(T1522-01_因子設定!$B$14,01_因子設定!$B$15-U1522))),-1E+030)</f>
        <v>-4.66212147049161</v>
      </c>
      <c r="X1522" s="55" t="n">
        <f aca="false">IF(V1522,IF(01_因子設定!$B$13="最大化",Q1522,IF(01_因子設定!$B$13="最小化",-Q1522,-ABS(Q1522-01_因子設定!$B$16))),-1E+030)</f>
        <v>44.83796875</v>
      </c>
      <c r="Y1522" s="55" t="n">
        <f aca="false">W1522+ROW()*0.000000001</f>
        <v>-4.66211994849161</v>
      </c>
      <c r="Z1522" s="55" t="n">
        <f aca="false">X1522+ROW()*0.000000001</f>
        <v>44.837970272</v>
      </c>
    </row>
    <row r="1523" customFormat="false" ht="15" hidden="false" customHeight="false" outlineLevel="0" collapsed="false">
      <c r="A1523" s="0" t="n">
        <v>5</v>
      </c>
      <c r="B1523" s="0" t="n">
        <v>4</v>
      </c>
      <c r="C1523" s="0" t="n">
        <v>5</v>
      </c>
      <c r="D1523" s="0" t="n">
        <f aca="false">-1+A1523*0.125</f>
        <v>-0.375</v>
      </c>
      <c r="E1523" s="0" t="n">
        <f aca="false">-1+B1523*0.125</f>
        <v>-0.5</v>
      </c>
      <c r="F1523" s="0" t="n">
        <f aca="false">-1+C1523*0.125</f>
        <v>-0.375</v>
      </c>
      <c r="G1523" s="0" t="n">
        <f aca="false">1</f>
        <v>1</v>
      </c>
      <c r="H1523" s="0" t="n">
        <f aca="false">D1523</f>
        <v>-0.375</v>
      </c>
      <c r="I1523" s="0" t="n">
        <f aca="false">E1523</f>
        <v>-0.5</v>
      </c>
      <c r="J1523" s="0" t="n">
        <f aca="false">F1523</f>
        <v>-0.375</v>
      </c>
      <c r="K1523" s="0" t="n">
        <f aca="false">D1523*E1523</f>
        <v>0.1875</v>
      </c>
      <c r="L1523" s="0" t="n">
        <f aca="false">D1523*F1523</f>
        <v>0.140625</v>
      </c>
      <c r="M1523" s="0" t="n">
        <f aca="false">E1523*F1523</f>
        <v>0.1875</v>
      </c>
      <c r="N1523" s="0" t="n">
        <f aca="false">D1523*D1523</f>
        <v>0.140625</v>
      </c>
      <c r="O1523" s="0" t="n">
        <f aca="false">E1523*E1523</f>
        <v>0.25</v>
      </c>
      <c r="P1523" s="0" t="n">
        <f aca="false">F1523*F1523</f>
        <v>0.140625</v>
      </c>
      <c r="Q1523" s="0" t="n">
        <f aca="false">SUMPRODUCT(G1523:P1523,_XtX!$B$71:$K$71)</f>
        <v>45.1181392045455</v>
      </c>
      <c r="R1523" s="0" t="n">
        <f aca="false">SUMPRODUCT(MMULT(G1523:P1523,_XtX!$B$58:$K$67),G1523:P1523)</f>
        <v>0.14681230024858</v>
      </c>
      <c r="S1523" s="0" t="n">
        <f aca="false">04_回帰ANOVA!$K$19*04_回帰ANOVA!$K$14*SQRT(1+R1523)</f>
        <v>0.995664005771711</v>
      </c>
      <c r="T1523" s="0" t="n">
        <f aca="false">Q1523-S1523</f>
        <v>44.1224751987738</v>
      </c>
      <c r="U1523" s="0" t="n">
        <f aca="false">Q1523+S1523</f>
        <v>46.1138032103172</v>
      </c>
      <c r="V1523" s="54" t="b">
        <f aca="false">AND(D1523&gt;=01_因子設定!$L$5-0.000000001,D1523&lt;=01_因子設定!$M$5+0.000000001,E1523&gt;=01_因子設定!$L$6-0.000000001,E1523&lt;=01_因子設定!$M$6+0.000000001,F1523&gt;=01_因子設定!$L$7-0.000000001,F1523&lt;=01_因子設定!$M$7+0.000000001,IF(01_因子設定!$B$20="Box-Behnken",D1523^2+E1523^2+F1523^2&lt;=2+0.000000001,TRUE()))</f>
        <v>1</v>
      </c>
      <c r="W1523" s="55" t="n">
        <f aca="false">IF(V1523,IF(01_因子設定!$B$13="最大化",T1523-01_因子設定!$B$14,IF(01_因子設定!$B$13="最小化",01_因子設定!$B$15-U1523,MIN(T1523-01_因子設定!$B$14,01_因子設定!$B$15-U1523))),-1E+030)</f>
        <v>-4.37752480122624</v>
      </c>
      <c r="X1523" s="55" t="n">
        <f aca="false">IF(V1523,IF(01_因子設定!$B$13="最大化",Q1523,IF(01_因子設定!$B$13="最小化",-Q1523,-ABS(Q1523-01_因子設定!$B$16))),-1E+030)</f>
        <v>45.1181392045455</v>
      </c>
      <c r="Y1523" s="55" t="n">
        <f aca="false">W1523+ROW()*0.000000001</f>
        <v>-4.37752327822624</v>
      </c>
      <c r="Z1523" s="55" t="n">
        <f aca="false">X1523+ROW()*0.000000001</f>
        <v>45.1181407275455</v>
      </c>
    </row>
    <row r="1524" customFormat="false" ht="15" hidden="false" customHeight="false" outlineLevel="0" collapsed="false">
      <c r="A1524" s="0" t="n">
        <v>5</v>
      </c>
      <c r="B1524" s="0" t="n">
        <v>4</v>
      </c>
      <c r="C1524" s="0" t="n">
        <v>6</v>
      </c>
      <c r="D1524" s="0" t="n">
        <f aca="false">-1+A1524*0.125</f>
        <v>-0.375</v>
      </c>
      <c r="E1524" s="0" t="n">
        <f aca="false">-1+B1524*0.125</f>
        <v>-0.5</v>
      </c>
      <c r="F1524" s="0" t="n">
        <f aca="false">-1+C1524*0.125</f>
        <v>-0.25</v>
      </c>
      <c r="G1524" s="0" t="n">
        <f aca="false">1</f>
        <v>1</v>
      </c>
      <c r="H1524" s="0" t="n">
        <f aca="false">D1524</f>
        <v>-0.375</v>
      </c>
      <c r="I1524" s="0" t="n">
        <f aca="false">E1524</f>
        <v>-0.5</v>
      </c>
      <c r="J1524" s="0" t="n">
        <f aca="false">F1524</f>
        <v>-0.25</v>
      </c>
      <c r="K1524" s="0" t="n">
        <f aca="false">D1524*E1524</f>
        <v>0.1875</v>
      </c>
      <c r="L1524" s="0" t="n">
        <f aca="false">D1524*F1524</f>
        <v>0.09375</v>
      </c>
      <c r="M1524" s="0" t="n">
        <f aca="false">E1524*F1524</f>
        <v>0.125</v>
      </c>
      <c r="N1524" s="0" t="n">
        <f aca="false">D1524*D1524</f>
        <v>0.140625</v>
      </c>
      <c r="O1524" s="0" t="n">
        <f aca="false">E1524*E1524</f>
        <v>0.25</v>
      </c>
      <c r="P1524" s="0" t="n">
        <f aca="false">F1524*F1524</f>
        <v>0.0625</v>
      </c>
      <c r="Q1524" s="0" t="n">
        <f aca="false">SUMPRODUCT(G1524:P1524,_XtX!$B$71:$K$71)</f>
        <v>45.3615198863636</v>
      </c>
      <c r="R1524" s="0" t="n">
        <f aca="false">SUMPRODUCT(MMULT(G1524:P1524,_XtX!$B$58:$K$67),G1524:P1524)</f>
        <v>0.144839754971591</v>
      </c>
      <c r="S1524" s="0" t="n">
        <f aca="false">04_回帰ANOVA!$K$19*04_回帰ANOVA!$K$14*SQRT(1+R1524)</f>
        <v>0.994807353995542</v>
      </c>
      <c r="T1524" s="0" t="n">
        <f aca="false">Q1524-S1524</f>
        <v>44.3667125323681</v>
      </c>
      <c r="U1524" s="0" t="n">
        <f aca="false">Q1524+S1524</f>
        <v>46.3563272403592</v>
      </c>
      <c r="V1524" s="54" t="b">
        <f aca="false">AND(D1524&gt;=01_因子設定!$L$5-0.000000001,D1524&lt;=01_因子設定!$M$5+0.000000001,E1524&gt;=01_因子設定!$L$6-0.000000001,E1524&lt;=01_因子設定!$M$6+0.000000001,F1524&gt;=01_因子設定!$L$7-0.000000001,F1524&lt;=01_因子設定!$M$7+0.000000001,IF(01_因子設定!$B$20="Box-Behnken",D1524^2+E1524^2+F1524^2&lt;=2+0.000000001,TRUE()))</f>
        <v>1</v>
      </c>
      <c r="W1524" s="55" t="n">
        <f aca="false">IF(V1524,IF(01_因子設定!$B$13="最大化",T1524-01_因子設定!$B$14,IF(01_因子設定!$B$13="最小化",01_因子設定!$B$15-U1524,MIN(T1524-01_因子設定!$B$14,01_因子設定!$B$15-U1524))),-1E+030)</f>
        <v>-4.1332874676319</v>
      </c>
      <c r="X1524" s="55" t="n">
        <f aca="false">IF(V1524,IF(01_因子設定!$B$13="最大化",Q1524,IF(01_因子設定!$B$13="最小化",-Q1524,-ABS(Q1524-01_因子設定!$B$16))),-1E+030)</f>
        <v>45.3615198863636</v>
      </c>
      <c r="Y1524" s="55" t="n">
        <f aca="false">W1524+ROW()*0.000000001</f>
        <v>-4.1332859436319</v>
      </c>
      <c r="Z1524" s="55" t="n">
        <f aca="false">X1524+ROW()*0.000000001</f>
        <v>45.3615214103636</v>
      </c>
    </row>
    <row r="1525" customFormat="false" ht="15" hidden="false" customHeight="false" outlineLevel="0" collapsed="false">
      <c r="A1525" s="0" t="n">
        <v>5</v>
      </c>
      <c r="B1525" s="0" t="n">
        <v>4</v>
      </c>
      <c r="C1525" s="0" t="n">
        <v>7</v>
      </c>
      <c r="D1525" s="0" t="n">
        <f aca="false">-1+A1525*0.125</f>
        <v>-0.375</v>
      </c>
      <c r="E1525" s="0" t="n">
        <f aca="false">-1+B1525*0.125</f>
        <v>-0.5</v>
      </c>
      <c r="F1525" s="0" t="n">
        <f aca="false">-1+C1525*0.125</f>
        <v>-0.125</v>
      </c>
      <c r="G1525" s="0" t="n">
        <f aca="false">1</f>
        <v>1</v>
      </c>
      <c r="H1525" s="0" t="n">
        <f aca="false">D1525</f>
        <v>-0.375</v>
      </c>
      <c r="I1525" s="0" t="n">
        <f aca="false">E1525</f>
        <v>-0.5</v>
      </c>
      <c r="J1525" s="0" t="n">
        <f aca="false">F1525</f>
        <v>-0.125</v>
      </c>
      <c r="K1525" s="0" t="n">
        <f aca="false">D1525*E1525</f>
        <v>0.1875</v>
      </c>
      <c r="L1525" s="0" t="n">
        <f aca="false">D1525*F1525</f>
        <v>0.046875</v>
      </c>
      <c r="M1525" s="0" t="n">
        <f aca="false">E1525*F1525</f>
        <v>0.0625</v>
      </c>
      <c r="N1525" s="0" t="n">
        <f aca="false">D1525*D1525</f>
        <v>0.140625</v>
      </c>
      <c r="O1525" s="0" t="n">
        <f aca="false">E1525*E1525</f>
        <v>0.25</v>
      </c>
      <c r="P1525" s="0" t="n">
        <f aca="false">F1525*F1525</f>
        <v>0.015625</v>
      </c>
      <c r="Q1525" s="0" t="n">
        <f aca="false">SUMPRODUCT(G1525:P1525,_XtX!$B$71:$K$71)</f>
        <v>45.5681107954546</v>
      </c>
      <c r="R1525" s="0" t="n">
        <f aca="false">SUMPRODUCT(MMULT(G1525:P1525,_XtX!$B$58:$K$67),G1525:P1525)</f>
        <v>0.14578690962358</v>
      </c>
      <c r="S1525" s="0" t="n">
        <f aca="false">04_回帰ANOVA!$K$19*04_回帰ANOVA!$K$14*SQRT(1+R1525)</f>
        <v>0.995218783457917</v>
      </c>
      <c r="T1525" s="0" t="n">
        <f aca="false">Q1525-S1525</f>
        <v>44.5728920119966</v>
      </c>
      <c r="U1525" s="0" t="n">
        <f aca="false">Q1525+S1525</f>
        <v>46.5633295789125</v>
      </c>
      <c r="V1525" s="54" t="b">
        <f aca="false">AND(D1525&gt;=01_因子設定!$L$5-0.000000001,D1525&lt;=01_因子設定!$M$5+0.000000001,E1525&gt;=01_因子設定!$L$6-0.000000001,E1525&lt;=01_因子設定!$M$6+0.000000001,F1525&gt;=01_因子設定!$L$7-0.000000001,F1525&lt;=01_因子設定!$M$7+0.000000001,IF(01_因子設定!$B$20="Box-Behnken",D1525^2+E1525^2+F1525^2&lt;=2+0.000000001,TRUE()))</f>
        <v>1</v>
      </c>
      <c r="W1525" s="55" t="n">
        <f aca="false">IF(V1525,IF(01_因子設定!$B$13="最大化",T1525-01_因子設定!$B$14,IF(01_因子設定!$B$13="最小化",01_因子設定!$B$15-U1525,MIN(T1525-01_因子設定!$B$14,01_因子設定!$B$15-U1525))),-1E+030)</f>
        <v>-3.92710798800336</v>
      </c>
      <c r="X1525" s="55" t="n">
        <f aca="false">IF(V1525,IF(01_因子設定!$B$13="最大化",Q1525,IF(01_因子設定!$B$13="最小化",-Q1525,-ABS(Q1525-01_因子設定!$B$16))),-1E+030)</f>
        <v>45.5681107954546</v>
      </c>
      <c r="Y1525" s="55" t="n">
        <f aca="false">W1525+ROW()*0.000000001</f>
        <v>-3.92710646300336</v>
      </c>
      <c r="Z1525" s="55" t="n">
        <f aca="false">X1525+ROW()*0.000000001</f>
        <v>45.5681123204546</v>
      </c>
    </row>
    <row r="1526" customFormat="false" ht="15" hidden="false" customHeight="false" outlineLevel="0" collapsed="false">
      <c r="A1526" s="0" t="n">
        <v>5</v>
      </c>
      <c r="B1526" s="0" t="n">
        <v>4</v>
      </c>
      <c r="C1526" s="0" t="n">
        <v>8</v>
      </c>
      <c r="D1526" s="0" t="n">
        <f aca="false">-1+A1526*0.125</f>
        <v>-0.375</v>
      </c>
      <c r="E1526" s="0" t="n">
        <f aca="false">-1+B1526*0.125</f>
        <v>-0.5</v>
      </c>
      <c r="F1526" s="0" t="n">
        <f aca="false">-1+C1526*0.125</f>
        <v>0</v>
      </c>
      <c r="G1526" s="0" t="n">
        <f aca="false">1</f>
        <v>1</v>
      </c>
      <c r="H1526" s="0" t="n">
        <f aca="false">D1526</f>
        <v>-0.375</v>
      </c>
      <c r="I1526" s="0" t="n">
        <f aca="false">E1526</f>
        <v>-0.5</v>
      </c>
      <c r="J1526" s="0" t="n">
        <f aca="false">F1526</f>
        <v>0</v>
      </c>
      <c r="K1526" s="0" t="n">
        <f aca="false">D1526*E1526</f>
        <v>0.1875</v>
      </c>
      <c r="L1526" s="0" t="n">
        <f aca="false">D1526*F1526</f>
        <v>-0</v>
      </c>
      <c r="M1526" s="0" t="n">
        <f aca="false">E1526*F1526</f>
        <v>-0</v>
      </c>
      <c r="N1526" s="0" t="n">
        <f aca="false">D1526*D1526</f>
        <v>0.140625</v>
      </c>
      <c r="O1526" s="0" t="n">
        <f aca="false">E1526*E1526</f>
        <v>0.25</v>
      </c>
      <c r="P1526" s="0" t="n">
        <f aca="false">F1526*F1526</f>
        <v>0</v>
      </c>
      <c r="Q1526" s="0" t="n">
        <f aca="false">SUMPRODUCT(G1526:P1526,_XtX!$B$71:$K$71)</f>
        <v>45.7379119318182</v>
      </c>
      <c r="R1526" s="0" t="n">
        <f aca="false">SUMPRODUCT(MMULT(G1526:P1526,_XtX!$B$58:$K$67),G1526:P1526)</f>
        <v>0.146457741477273</v>
      </c>
      <c r="S1526" s="0" t="n">
        <f aca="false">04_回帰ANOVA!$K$19*04_回帰ANOVA!$K$14*SQRT(1+R1526)</f>
        <v>0.995510079668687</v>
      </c>
      <c r="T1526" s="0" t="n">
        <f aca="false">Q1526-S1526</f>
        <v>44.7424018521495</v>
      </c>
      <c r="U1526" s="0" t="n">
        <f aca="false">Q1526+S1526</f>
        <v>46.7334220114869</v>
      </c>
      <c r="V1526" s="54" t="b">
        <f aca="false">AND(D1526&gt;=01_因子設定!$L$5-0.000000001,D1526&lt;=01_因子設定!$M$5+0.000000001,E1526&gt;=01_因子設定!$L$6-0.000000001,E1526&lt;=01_因子設定!$M$6+0.000000001,F1526&gt;=01_因子設定!$L$7-0.000000001,F1526&lt;=01_因子設定!$M$7+0.000000001,IF(01_因子設定!$B$20="Box-Behnken",D1526^2+E1526^2+F1526^2&lt;=2+0.000000001,TRUE()))</f>
        <v>1</v>
      </c>
      <c r="W1526" s="55" t="n">
        <f aca="false">IF(V1526,IF(01_因子設定!$B$13="最大化",T1526-01_因子設定!$B$14,IF(01_因子設定!$B$13="最小化",01_因子設定!$B$15-U1526,MIN(T1526-01_因子設定!$B$14,01_因子設定!$B$15-U1526))),-1E+030)</f>
        <v>-3.75759814785049</v>
      </c>
      <c r="X1526" s="55" t="n">
        <f aca="false">IF(V1526,IF(01_因子設定!$B$13="最大化",Q1526,IF(01_因子設定!$B$13="最小化",-Q1526,-ABS(Q1526-01_因子設定!$B$16))),-1E+030)</f>
        <v>45.7379119318182</v>
      </c>
      <c r="Y1526" s="55" t="n">
        <f aca="false">W1526+ROW()*0.000000001</f>
        <v>-3.75759662185049</v>
      </c>
      <c r="Z1526" s="55" t="n">
        <f aca="false">X1526+ROW()*0.000000001</f>
        <v>45.7379134578182</v>
      </c>
    </row>
    <row r="1527" customFormat="false" ht="15" hidden="false" customHeight="false" outlineLevel="0" collapsed="false">
      <c r="A1527" s="0" t="n">
        <v>5</v>
      </c>
      <c r="B1527" s="0" t="n">
        <v>4</v>
      </c>
      <c r="C1527" s="0" t="n">
        <v>9</v>
      </c>
      <c r="D1527" s="0" t="n">
        <f aca="false">-1+A1527*0.125</f>
        <v>-0.375</v>
      </c>
      <c r="E1527" s="0" t="n">
        <f aca="false">-1+B1527*0.125</f>
        <v>-0.5</v>
      </c>
      <c r="F1527" s="0" t="n">
        <f aca="false">-1+C1527*0.125</f>
        <v>0.125</v>
      </c>
      <c r="G1527" s="0" t="n">
        <f aca="false">1</f>
        <v>1</v>
      </c>
      <c r="H1527" s="0" t="n">
        <f aca="false">D1527</f>
        <v>-0.375</v>
      </c>
      <c r="I1527" s="0" t="n">
        <f aca="false">E1527</f>
        <v>-0.5</v>
      </c>
      <c r="J1527" s="0" t="n">
        <f aca="false">F1527</f>
        <v>0.125</v>
      </c>
      <c r="K1527" s="0" t="n">
        <f aca="false">D1527*E1527</f>
        <v>0.1875</v>
      </c>
      <c r="L1527" s="0" t="n">
        <f aca="false">D1527*F1527</f>
        <v>-0.046875</v>
      </c>
      <c r="M1527" s="0" t="n">
        <f aca="false">E1527*F1527</f>
        <v>-0.0625</v>
      </c>
      <c r="N1527" s="0" t="n">
        <f aca="false">D1527*D1527</f>
        <v>0.140625</v>
      </c>
      <c r="O1527" s="0" t="n">
        <f aca="false">E1527*E1527</f>
        <v>0.25</v>
      </c>
      <c r="P1527" s="0" t="n">
        <f aca="false">F1527*F1527</f>
        <v>0.015625</v>
      </c>
      <c r="Q1527" s="0" t="n">
        <f aca="false">SUMPRODUCT(G1527:P1527,_XtX!$B$71:$K$71)</f>
        <v>45.8709232954546</v>
      </c>
      <c r="R1527" s="0" t="n">
        <f aca="false">SUMPRODUCT(MMULT(G1527:P1527,_XtX!$B$58:$K$67),G1527:P1527)</f>
        <v>0.14578690962358</v>
      </c>
      <c r="S1527" s="0" t="n">
        <f aca="false">04_回帰ANOVA!$K$19*04_回帰ANOVA!$K$14*SQRT(1+R1527)</f>
        <v>0.995218783457917</v>
      </c>
      <c r="T1527" s="0" t="n">
        <f aca="false">Q1527-S1527</f>
        <v>44.8757045119966</v>
      </c>
      <c r="U1527" s="0" t="n">
        <f aca="false">Q1527+S1527</f>
        <v>46.8661420789125</v>
      </c>
      <c r="V1527" s="54" t="b">
        <f aca="false">AND(D1527&gt;=01_因子設定!$L$5-0.000000001,D1527&lt;=01_因子設定!$M$5+0.000000001,E1527&gt;=01_因子設定!$L$6-0.000000001,E1527&lt;=01_因子設定!$M$6+0.000000001,F1527&gt;=01_因子設定!$L$7-0.000000001,F1527&lt;=01_因子設定!$M$7+0.000000001,IF(01_因子設定!$B$20="Box-Behnken",D1527^2+E1527^2+F1527^2&lt;=2+0.000000001,TRUE()))</f>
        <v>1</v>
      </c>
      <c r="W1527" s="55" t="n">
        <f aca="false">IF(V1527,IF(01_因子設定!$B$13="最大化",T1527-01_因子設定!$B$14,IF(01_因子設定!$B$13="最小化",01_因子設定!$B$15-U1527,MIN(T1527-01_因子設定!$B$14,01_因子設定!$B$15-U1527))),-1E+030)</f>
        <v>-3.62429548800336</v>
      </c>
      <c r="X1527" s="55" t="n">
        <f aca="false">IF(V1527,IF(01_因子設定!$B$13="最大化",Q1527,IF(01_因子設定!$B$13="最小化",-Q1527,-ABS(Q1527-01_因子設定!$B$16))),-1E+030)</f>
        <v>45.8709232954546</v>
      </c>
      <c r="Y1527" s="55" t="n">
        <f aca="false">W1527+ROW()*0.000000001</f>
        <v>-3.62429396100336</v>
      </c>
      <c r="Z1527" s="55" t="n">
        <f aca="false">X1527+ROW()*0.000000001</f>
        <v>45.8709248224546</v>
      </c>
    </row>
    <row r="1528" customFormat="false" ht="15" hidden="false" customHeight="false" outlineLevel="0" collapsed="false">
      <c r="A1528" s="0" t="n">
        <v>5</v>
      </c>
      <c r="B1528" s="0" t="n">
        <v>4</v>
      </c>
      <c r="C1528" s="0" t="n">
        <v>10</v>
      </c>
      <c r="D1528" s="0" t="n">
        <f aca="false">-1+A1528*0.125</f>
        <v>-0.375</v>
      </c>
      <c r="E1528" s="0" t="n">
        <f aca="false">-1+B1528*0.125</f>
        <v>-0.5</v>
      </c>
      <c r="F1528" s="0" t="n">
        <f aca="false">-1+C1528*0.125</f>
        <v>0.25</v>
      </c>
      <c r="G1528" s="0" t="n">
        <f aca="false">1</f>
        <v>1</v>
      </c>
      <c r="H1528" s="0" t="n">
        <f aca="false">D1528</f>
        <v>-0.375</v>
      </c>
      <c r="I1528" s="0" t="n">
        <f aca="false">E1528</f>
        <v>-0.5</v>
      </c>
      <c r="J1528" s="0" t="n">
        <f aca="false">F1528</f>
        <v>0.25</v>
      </c>
      <c r="K1528" s="0" t="n">
        <f aca="false">D1528*E1528</f>
        <v>0.1875</v>
      </c>
      <c r="L1528" s="0" t="n">
        <f aca="false">D1528*F1528</f>
        <v>-0.09375</v>
      </c>
      <c r="M1528" s="0" t="n">
        <f aca="false">E1528*F1528</f>
        <v>-0.125</v>
      </c>
      <c r="N1528" s="0" t="n">
        <f aca="false">D1528*D1528</f>
        <v>0.140625</v>
      </c>
      <c r="O1528" s="0" t="n">
        <f aca="false">E1528*E1528</f>
        <v>0.25</v>
      </c>
      <c r="P1528" s="0" t="n">
        <f aca="false">F1528*F1528</f>
        <v>0.0625</v>
      </c>
      <c r="Q1528" s="0" t="n">
        <f aca="false">SUMPRODUCT(G1528:P1528,_XtX!$B$71:$K$71)</f>
        <v>45.9671448863636</v>
      </c>
      <c r="R1528" s="0" t="n">
        <f aca="false">SUMPRODUCT(MMULT(G1528:P1528,_XtX!$B$58:$K$67),G1528:P1528)</f>
        <v>0.144839754971591</v>
      </c>
      <c r="S1528" s="0" t="n">
        <f aca="false">04_回帰ANOVA!$K$19*04_回帰ANOVA!$K$14*SQRT(1+R1528)</f>
        <v>0.994807353995542</v>
      </c>
      <c r="T1528" s="0" t="n">
        <f aca="false">Q1528-S1528</f>
        <v>44.9723375323681</v>
      </c>
      <c r="U1528" s="0" t="n">
        <f aca="false">Q1528+S1528</f>
        <v>46.9619522403592</v>
      </c>
      <c r="V1528" s="54" t="b">
        <f aca="false">AND(D1528&gt;=01_因子設定!$L$5-0.000000001,D1528&lt;=01_因子設定!$M$5+0.000000001,E1528&gt;=01_因子設定!$L$6-0.000000001,E1528&lt;=01_因子設定!$M$6+0.000000001,F1528&gt;=01_因子設定!$L$7-0.000000001,F1528&lt;=01_因子設定!$M$7+0.000000001,IF(01_因子設定!$B$20="Box-Behnken",D1528^2+E1528^2+F1528^2&lt;=2+0.000000001,TRUE()))</f>
        <v>1</v>
      </c>
      <c r="W1528" s="55" t="n">
        <f aca="false">IF(V1528,IF(01_因子設定!$B$13="最大化",T1528-01_因子設定!$B$14,IF(01_因子設定!$B$13="最小化",01_因子設定!$B$15-U1528,MIN(T1528-01_因子設定!$B$14,01_因子設定!$B$15-U1528))),-1E+030)</f>
        <v>-3.5276624676319</v>
      </c>
      <c r="X1528" s="55" t="n">
        <f aca="false">IF(V1528,IF(01_因子設定!$B$13="最大化",Q1528,IF(01_因子設定!$B$13="最小化",-Q1528,-ABS(Q1528-01_因子設定!$B$16))),-1E+030)</f>
        <v>45.9671448863636</v>
      </c>
      <c r="Y1528" s="55" t="n">
        <f aca="false">W1528+ROW()*0.000000001</f>
        <v>-3.5276609396319</v>
      </c>
      <c r="Z1528" s="55" t="n">
        <f aca="false">X1528+ROW()*0.000000001</f>
        <v>45.9671464143636</v>
      </c>
    </row>
    <row r="1529" customFormat="false" ht="15" hidden="false" customHeight="false" outlineLevel="0" collapsed="false">
      <c r="A1529" s="0" t="n">
        <v>5</v>
      </c>
      <c r="B1529" s="0" t="n">
        <v>4</v>
      </c>
      <c r="C1529" s="0" t="n">
        <v>11</v>
      </c>
      <c r="D1529" s="0" t="n">
        <f aca="false">-1+A1529*0.125</f>
        <v>-0.375</v>
      </c>
      <c r="E1529" s="0" t="n">
        <f aca="false">-1+B1529*0.125</f>
        <v>-0.5</v>
      </c>
      <c r="F1529" s="0" t="n">
        <f aca="false">-1+C1529*0.125</f>
        <v>0.375</v>
      </c>
      <c r="G1529" s="0" t="n">
        <f aca="false">1</f>
        <v>1</v>
      </c>
      <c r="H1529" s="0" t="n">
        <f aca="false">D1529</f>
        <v>-0.375</v>
      </c>
      <c r="I1529" s="0" t="n">
        <f aca="false">E1529</f>
        <v>-0.5</v>
      </c>
      <c r="J1529" s="0" t="n">
        <f aca="false">F1529</f>
        <v>0.375</v>
      </c>
      <c r="K1529" s="0" t="n">
        <f aca="false">D1529*E1529</f>
        <v>0.1875</v>
      </c>
      <c r="L1529" s="0" t="n">
        <f aca="false">D1529*F1529</f>
        <v>-0.140625</v>
      </c>
      <c r="M1529" s="0" t="n">
        <f aca="false">E1529*F1529</f>
        <v>-0.1875</v>
      </c>
      <c r="N1529" s="0" t="n">
        <f aca="false">D1529*D1529</f>
        <v>0.140625</v>
      </c>
      <c r="O1529" s="0" t="n">
        <f aca="false">E1529*E1529</f>
        <v>0.25</v>
      </c>
      <c r="P1529" s="0" t="n">
        <f aca="false">F1529*F1529</f>
        <v>0.140625</v>
      </c>
      <c r="Q1529" s="0" t="n">
        <f aca="false">SUMPRODUCT(G1529:P1529,_XtX!$B$71:$K$71)</f>
        <v>46.0265767045455</v>
      </c>
      <c r="R1529" s="0" t="n">
        <f aca="false">SUMPRODUCT(MMULT(G1529:P1529,_XtX!$B$58:$K$67),G1529:P1529)</f>
        <v>0.14681230024858</v>
      </c>
      <c r="S1529" s="0" t="n">
        <f aca="false">04_回帰ANOVA!$K$19*04_回帰ANOVA!$K$14*SQRT(1+R1529)</f>
        <v>0.995664005771711</v>
      </c>
      <c r="T1529" s="0" t="n">
        <f aca="false">Q1529-S1529</f>
        <v>45.0309126987738</v>
      </c>
      <c r="U1529" s="0" t="n">
        <f aca="false">Q1529+S1529</f>
        <v>47.0222407103172</v>
      </c>
      <c r="V1529" s="54" t="b">
        <f aca="false">AND(D1529&gt;=01_因子設定!$L$5-0.000000001,D1529&lt;=01_因子設定!$M$5+0.000000001,E1529&gt;=01_因子設定!$L$6-0.000000001,E1529&lt;=01_因子設定!$M$6+0.000000001,F1529&gt;=01_因子設定!$L$7-0.000000001,F1529&lt;=01_因子設定!$M$7+0.000000001,IF(01_因子設定!$B$20="Box-Behnken",D1529^2+E1529^2+F1529^2&lt;=2+0.000000001,TRUE()))</f>
        <v>1</v>
      </c>
      <c r="W1529" s="55" t="n">
        <f aca="false">IF(V1529,IF(01_因子設定!$B$13="最大化",T1529-01_因子設定!$B$14,IF(01_因子設定!$B$13="最小化",01_因子設定!$B$15-U1529,MIN(T1529-01_因子設定!$B$14,01_因子設定!$B$15-U1529))),-1E+030)</f>
        <v>-3.46908730122625</v>
      </c>
      <c r="X1529" s="55" t="n">
        <f aca="false">IF(V1529,IF(01_因子設定!$B$13="最大化",Q1529,IF(01_因子設定!$B$13="最小化",-Q1529,-ABS(Q1529-01_因子設定!$B$16))),-1E+030)</f>
        <v>46.0265767045455</v>
      </c>
      <c r="Y1529" s="55" t="n">
        <f aca="false">W1529+ROW()*0.000000001</f>
        <v>-3.46908577222625</v>
      </c>
      <c r="Z1529" s="55" t="n">
        <f aca="false">X1529+ROW()*0.000000001</f>
        <v>46.0265782335455</v>
      </c>
    </row>
    <row r="1530" customFormat="false" ht="15" hidden="false" customHeight="false" outlineLevel="0" collapsed="false">
      <c r="A1530" s="0" t="n">
        <v>5</v>
      </c>
      <c r="B1530" s="0" t="n">
        <v>4</v>
      </c>
      <c r="C1530" s="0" t="n">
        <v>12</v>
      </c>
      <c r="D1530" s="0" t="n">
        <f aca="false">-1+A1530*0.125</f>
        <v>-0.375</v>
      </c>
      <c r="E1530" s="0" t="n">
        <f aca="false">-1+B1530*0.125</f>
        <v>-0.5</v>
      </c>
      <c r="F1530" s="0" t="n">
        <f aca="false">-1+C1530*0.125</f>
        <v>0.5</v>
      </c>
      <c r="G1530" s="0" t="n">
        <f aca="false">1</f>
        <v>1</v>
      </c>
      <c r="H1530" s="0" t="n">
        <f aca="false">D1530</f>
        <v>-0.375</v>
      </c>
      <c r="I1530" s="0" t="n">
        <f aca="false">E1530</f>
        <v>-0.5</v>
      </c>
      <c r="J1530" s="0" t="n">
        <f aca="false">F1530</f>
        <v>0.5</v>
      </c>
      <c r="K1530" s="0" t="n">
        <f aca="false">D1530*E1530</f>
        <v>0.1875</v>
      </c>
      <c r="L1530" s="0" t="n">
        <f aca="false">D1530*F1530</f>
        <v>-0.1875</v>
      </c>
      <c r="M1530" s="0" t="n">
        <f aca="false">E1530*F1530</f>
        <v>-0.25</v>
      </c>
      <c r="N1530" s="0" t="n">
        <f aca="false">D1530*D1530</f>
        <v>0.140625</v>
      </c>
      <c r="O1530" s="0" t="n">
        <f aca="false">E1530*E1530</f>
        <v>0.25</v>
      </c>
      <c r="P1530" s="0" t="n">
        <f aca="false">F1530*F1530</f>
        <v>0.25</v>
      </c>
      <c r="Q1530" s="0" t="n">
        <f aca="false">SUMPRODUCT(G1530:P1530,_XtX!$B$71:$K$71)</f>
        <v>46.04921875</v>
      </c>
      <c r="R1530" s="0" t="n">
        <f aca="false">SUMPRODUCT(MMULT(G1530:P1530,_XtX!$B$58:$K$67),G1530:P1530)</f>
        <v>0.15703125</v>
      </c>
      <c r="S1530" s="0" t="n">
        <f aca="false">04_回帰ANOVA!$K$19*04_回帰ANOVA!$K$14*SQRT(1+R1530)</f>
        <v>1.00009022049162</v>
      </c>
      <c r="T1530" s="0" t="n">
        <f aca="false">Q1530-S1530</f>
        <v>45.0491285295084</v>
      </c>
      <c r="U1530" s="0" t="n">
        <f aca="false">Q1530+S1530</f>
        <v>47.0493089704916</v>
      </c>
      <c r="V1530" s="54" t="b">
        <f aca="false">AND(D1530&gt;=01_因子設定!$L$5-0.000000001,D1530&lt;=01_因子設定!$M$5+0.000000001,E1530&gt;=01_因子設定!$L$6-0.000000001,E1530&lt;=01_因子設定!$M$6+0.000000001,F1530&gt;=01_因子設定!$L$7-0.000000001,F1530&lt;=01_因子設定!$M$7+0.000000001,IF(01_因子設定!$B$20="Box-Behnken",D1530^2+E1530^2+F1530^2&lt;=2+0.000000001,TRUE()))</f>
        <v>1</v>
      </c>
      <c r="W1530" s="55" t="n">
        <f aca="false">IF(V1530,IF(01_因子設定!$B$13="最大化",T1530-01_因子設定!$B$14,IF(01_因子設定!$B$13="最小化",01_因子設定!$B$15-U1530,MIN(T1530-01_因子設定!$B$14,01_因子設定!$B$15-U1530))),-1E+030)</f>
        <v>-3.45087147049161</v>
      </c>
      <c r="X1530" s="55" t="n">
        <f aca="false">IF(V1530,IF(01_因子設定!$B$13="最大化",Q1530,IF(01_因子設定!$B$13="最小化",-Q1530,-ABS(Q1530-01_因子設定!$B$16))),-1E+030)</f>
        <v>46.04921875</v>
      </c>
      <c r="Y1530" s="55" t="n">
        <f aca="false">W1530+ROW()*0.000000001</f>
        <v>-3.45086994049161</v>
      </c>
      <c r="Z1530" s="55" t="n">
        <f aca="false">X1530+ROW()*0.000000001</f>
        <v>46.04922028</v>
      </c>
    </row>
    <row r="1531" customFormat="false" ht="15" hidden="false" customHeight="false" outlineLevel="0" collapsed="false">
      <c r="A1531" s="0" t="n">
        <v>5</v>
      </c>
      <c r="B1531" s="0" t="n">
        <v>4</v>
      </c>
      <c r="C1531" s="0" t="n">
        <v>13</v>
      </c>
      <c r="D1531" s="0" t="n">
        <f aca="false">-1+A1531*0.125</f>
        <v>-0.375</v>
      </c>
      <c r="E1531" s="0" t="n">
        <f aca="false">-1+B1531*0.125</f>
        <v>-0.5</v>
      </c>
      <c r="F1531" s="0" t="n">
        <f aca="false">-1+C1531*0.125</f>
        <v>0.625</v>
      </c>
      <c r="G1531" s="0" t="n">
        <f aca="false">1</f>
        <v>1</v>
      </c>
      <c r="H1531" s="0" t="n">
        <f aca="false">D1531</f>
        <v>-0.375</v>
      </c>
      <c r="I1531" s="0" t="n">
        <f aca="false">E1531</f>
        <v>-0.5</v>
      </c>
      <c r="J1531" s="0" t="n">
        <f aca="false">F1531</f>
        <v>0.625</v>
      </c>
      <c r="K1531" s="0" t="n">
        <f aca="false">D1531*E1531</f>
        <v>0.1875</v>
      </c>
      <c r="L1531" s="0" t="n">
        <f aca="false">D1531*F1531</f>
        <v>-0.234375</v>
      </c>
      <c r="M1531" s="0" t="n">
        <f aca="false">E1531*F1531</f>
        <v>-0.3125</v>
      </c>
      <c r="N1531" s="0" t="n">
        <f aca="false">D1531*D1531</f>
        <v>0.140625</v>
      </c>
      <c r="O1531" s="0" t="n">
        <f aca="false">E1531*E1531</f>
        <v>0.25</v>
      </c>
      <c r="P1531" s="0" t="n">
        <f aca="false">F1531*F1531</f>
        <v>0.390625</v>
      </c>
      <c r="Q1531" s="0" t="n">
        <f aca="false">SUMPRODUCT(G1531:P1531,_XtX!$B$71:$K$71)</f>
        <v>46.0350710227273</v>
      </c>
      <c r="R1531" s="0" t="n">
        <f aca="false">SUMPRODUCT(MMULT(G1531:P1531,_XtX!$B$58:$K$67),G1531:P1531)</f>
        <v>0.182953990589489</v>
      </c>
      <c r="S1531" s="0" t="n">
        <f aca="false">04_回帰ANOVA!$K$19*04_回帰ANOVA!$K$14*SQRT(1+R1531)</f>
        <v>1.01123143807044</v>
      </c>
      <c r="T1531" s="0" t="n">
        <f aca="false">Q1531-S1531</f>
        <v>45.0238395846569</v>
      </c>
      <c r="U1531" s="0" t="n">
        <f aca="false">Q1531+S1531</f>
        <v>47.0463024607977</v>
      </c>
      <c r="V1531" s="54" t="b">
        <f aca="false">AND(D1531&gt;=01_因子設定!$L$5-0.000000001,D1531&lt;=01_因子設定!$M$5+0.000000001,E1531&gt;=01_因子設定!$L$6-0.000000001,E1531&lt;=01_因子設定!$M$6+0.000000001,F1531&gt;=01_因子設定!$L$7-0.000000001,F1531&lt;=01_因子設定!$M$7+0.000000001,IF(01_因子設定!$B$20="Box-Behnken",D1531^2+E1531^2+F1531^2&lt;=2+0.000000001,TRUE()))</f>
        <v>1</v>
      </c>
      <c r="W1531" s="55" t="n">
        <f aca="false">IF(V1531,IF(01_因子設定!$B$13="最大化",T1531-01_因子設定!$B$14,IF(01_因子設定!$B$13="最小化",01_因子設定!$B$15-U1531,MIN(T1531-01_因子設定!$B$14,01_因子設定!$B$15-U1531))),-1E+030)</f>
        <v>-3.47616041534315</v>
      </c>
      <c r="X1531" s="55" t="n">
        <f aca="false">IF(V1531,IF(01_因子設定!$B$13="最大化",Q1531,IF(01_因子設定!$B$13="最小化",-Q1531,-ABS(Q1531-01_因子設定!$B$16))),-1E+030)</f>
        <v>46.0350710227273</v>
      </c>
      <c r="Y1531" s="55" t="n">
        <f aca="false">W1531+ROW()*0.000000001</f>
        <v>-3.47615888434315</v>
      </c>
      <c r="Z1531" s="55" t="n">
        <f aca="false">X1531+ROW()*0.000000001</f>
        <v>46.0350725537273</v>
      </c>
    </row>
    <row r="1532" customFormat="false" ht="15" hidden="false" customHeight="false" outlineLevel="0" collapsed="false">
      <c r="A1532" s="0" t="n">
        <v>5</v>
      </c>
      <c r="B1532" s="0" t="n">
        <v>4</v>
      </c>
      <c r="C1532" s="0" t="n">
        <v>14</v>
      </c>
      <c r="D1532" s="0" t="n">
        <f aca="false">-1+A1532*0.125</f>
        <v>-0.375</v>
      </c>
      <c r="E1532" s="0" t="n">
        <f aca="false">-1+B1532*0.125</f>
        <v>-0.5</v>
      </c>
      <c r="F1532" s="0" t="n">
        <f aca="false">-1+C1532*0.125</f>
        <v>0.75</v>
      </c>
      <c r="G1532" s="0" t="n">
        <f aca="false">1</f>
        <v>1</v>
      </c>
      <c r="H1532" s="0" t="n">
        <f aca="false">D1532</f>
        <v>-0.375</v>
      </c>
      <c r="I1532" s="0" t="n">
        <f aca="false">E1532</f>
        <v>-0.5</v>
      </c>
      <c r="J1532" s="0" t="n">
        <f aca="false">F1532</f>
        <v>0.75</v>
      </c>
      <c r="K1532" s="0" t="n">
        <f aca="false">D1532*E1532</f>
        <v>0.1875</v>
      </c>
      <c r="L1532" s="0" t="n">
        <f aca="false">D1532*F1532</f>
        <v>-0.28125</v>
      </c>
      <c r="M1532" s="0" t="n">
        <f aca="false">E1532*F1532</f>
        <v>-0.375</v>
      </c>
      <c r="N1532" s="0" t="n">
        <f aca="false">D1532*D1532</f>
        <v>0.140625</v>
      </c>
      <c r="O1532" s="0" t="n">
        <f aca="false">E1532*E1532</f>
        <v>0.25</v>
      </c>
      <c r="P1532" s="0" t="n">
        <f aca="false">F1532*F1532</f>
        <v>0.5625</v>
      </c>
      <c r="Q1532" s="0" t="n">
        <f aca="false">SUMPRODUCT(G1532:P1532,_XtX!$B$71:$K$71)</f>
        <v>45.9841335227273</v>
      </c>
      <c r="R1532" s="0" t="n">
        <f aca="false">SUMPRODUCT(MMULT(G1532:P1532,_XtX!$B$58:$K$67),G1532:P1532)</f>
        <v>0.234168590198864</v>
      </c>
      <c r="S1532" s="0" t="n">
        <f aca="false">04_回帰ANOVA!$K$19*04_回帰ANOVA!$K$14*SQRT(1+R1532)</f>
        <v>1.03288954322488</v>
      </c>
      <c r="T1532" s="0" t="n">
        <f aca="false">Q1532-S1532</f>
        <v>44.9512439795024</v>
      </c>
      <c r="U1532" s="0" t="n">
        <f aca="false">Q1532+S1532</f>
        <v>47.0170230659522</v>
      </c>
      <c r="V1532" s="54" t="b">
        <f aca="false">AND(D1532&gt;=01_因子設定!$L$5-0.000000001,D1532&lt;=01_因子設定!$M$5+0.000000001,E1532&gt;=01_因子設定!$L$6-0.000000001,E1532&lt;=01_因子設定!$M$6+0.000000001,F1532&gt;=01_因子設定!$L$7-0.000000001,F1532&lt;=01_因子設定!$M$7+0.000000001,IF(01_因子設定!$B$20="Box-Behnken",D1532^2+E1532^2+F1532^2&lt;=2+0.000000001,TRUE()))</f>
        <v>1</v>
      </c>
      <c r="W1532" s="55" t="n">
        <f aca="false">IF(V1532,IF(01_因子設定!$B$13="最大化",T1532-01_因子設定!$B$14,IF(01_因子設定!$B$13="最小化",01_因子設定!$B$15-U1532,MIN(T1532-01_因子設定!$B$14,01_因子設定!$B$15-U1532))),-1E+030)</f>
        <v>-3.54875602049759</v>
      </c>
      <c r="X1532" s="55" t="n">
        <f aca="false">IF(V1532,IF(01_因子設定!$B$13="最大化",Q1532,IF(01_因子設定!$B$13="最小化",-Q1532,-ABS(Q1532-01_因子設定!$B$16))),-1E+030)</f>
        <v>45.9841335227273</v>
      </c>
      <c r="Y1532" s="55" t="n">
        <f aca="false">W1532+ROW()*0.000000001</f>
        <v>-3.54875448849759</v>
      </c>
      <c r="Z1532" s="55" t="n">
        <f aca="false">X1532+ROW()*0.000000001</f>
        <v>45.9841350547273</v>
      </c>
    </row>
    <row r="1533" customFormat="false" ht="15" hidden="false" customHeight="false" outlineLevel="0" collapsed="false">
      <c r="A1533" s="0" t="n">
        <v>5</v>
      </c>
      <c r="B1533" s="0" t="n">
        <v>4</v>
      </c>
      <c r="C1533" s="0" t="n">
        <v>15</v>
      </c>
      <c r="D1533" s="0" t="n">
        <f aca="false">-1+A1533*0.125</f>
        <v>-0.375</v>
      </c>
      <c r="E1533" s="0" t="n">
        <f aca="false">-1+B1533*0.125</f>
        <v>-0.5</v>
      </c>
      <c r="F1533" s="0" t="n">
        <f aca="false">-1+C1533*0.125</f>
        <v>0.875</v>
      </c>
      <c r="G1533" s="0" t="n">
        <f aca="false">1</f>
        <v>1</v>
      </c>
      <c r="H1533" s="0" t="n">
        <f aca="false">D1533</f>
        <v>-0.375</v>
      </c>
      <c r="I1533" s="0" t="n">
        <f aca="false">E1533</f>
        <v>-0.5</v>
      </c>
      <c r="J1533" s="0" t="n">
        <f aca="false">F1533</f>
        <v>0.875</v>
      </c>
      <c r="K1533" s="0" t="n">
        <f aca="false">D1533*E1533</f>
        <v>0.1875</v>
      </c>
      <c r="L1533" s="0" t="n">
        <f aca="false">D1533*F1533</f>
        <v>-0.328125</v>
      </c>
      <c r="M1533" s="0" t="n">
        <f aca="false">E1533*F1533</f>
        <v>-0.4375</v>
      </c>
      <c r="N1533" s="0" t="n">
        <f aca="false">D1533*D1533</f>
        <v>0.140625</v>
      </c>
      <c r="O1533" s="0" t="n">
        <f aca="false">E1533*E1533</f>
        <v>0.25</v>
      </c>
      <c r="P1533" s="0" t="n">
        <f aca="false">F1533*F1533</f>
        <v>0.765625</v>
      </c>
      <c r="Q1533" s="0" t="n">
        <f aca="false">SUMPRODUCT(G1533:P1533,_XtX!$B$71:$K$71)</f>
        <v>45.89640625</v>
      </c>
      <c r="R1533" s="0" t="n">
        <f aca="false">SUMPRODUCT(MMULT(G1533:P1533,_XtX!$B$58:$K$67),G1533:P1533)</f>
        <v>0.322393798828125</v>
      </c>
      <c r="S1533" s="0" t="n">
        <f aca="false">04_回帰ANOVA!$K$19*04_回帰ANOVA!$K$14*SQRT(1+R1533)</f>
        <v>1.06917067390712</v>
      </c>
      <c r="T1533" s="0" t="n">
        <f aca="false">Q1533-S1533</f>
        <v>44.8272355760929</v>
      </c>
      <c r="U1533" s="0" t="n">
        <f aca="false">Q1533+S1533</f>
        <v>46.9655769239071</v>
      </c>
      <c r="V1533" s="54" t="b">
        <f aca="false">AND(D1533&gt;=01_因子設定!$L$5-0.000000001,D1533&lt;=01_因子設定!$M$5+0.000000001,E1533&gt;=01_因子設定!$L$6-0.000000001,E1533&lt;=01_因子設定!$M$6+0.000000001,F1533&gt;=01_因子設定!$L$7-0.000000001,F1533&lt;=01_因子設定!$M$7+0.000000001,IF(01_因子設定!$B$20="Box-Behnken",D1533^2+E1533^2+F1533^2&lt;=2+0.000000001,TRUE()))</f>
        <v>1</v>
      </c>
      <c r="W1533" s="55" t="n">
        <f aca="false">IF(V1533,IF(01_因子設定!$B$13="最大化",T1533-01_因子設定!$B$14,IF(01_因子設定!$B$13="最小化",01_因子設定!$B$15-U1533,MIN(T1533-01_因子設定!$B$14,01_因子設定!$B$15-U1533))),-1E+030)</f>
        <v>-3.6727644239071</v>
      </c>
      <c r="X1533" s="55" t="n">
        <f aca="false">IF(V1533,IF(01_因子設定!$B$13="最大化",Q1533,IF(01_因子設定!$B$13="最小化",-Q1533,-ABS(Q1533-01_因子設定!$B$16))),-1E+030)</f>
        <v>45.89640625</v>
      </c>
      <c r="Y1533" s="55" t="n">
        <f aca="false">W1533+ROW()*0.000000001</f>
        <v>-3.6727628909071</v>
      </c>
      <c r="Z1533" s="55" t="n">
        <f aca="false">X1533+ROW()*0.000000001</f>
        <v>45.896407783</v>
      </c>
    </row>
    <row r="1534" customFormat="false" ht="15" hidden="false" customHeight="false" outlineLevel="0" collapsed="false">
      <c r="A1534" s="0" t="n">
        <v>5</v>
      </c>
      <c r="B1534" s="0" t="n">
        <v>4</v>
      </c>
      <c r="C1534" s="0" t="n">
        <v>16</v>
      </c>
      <c r="D1534" s="0" t="n">
        <f aca="false">-1+A1534*0.125</f>
        <v>-0.375</v>
      </c>
      <c r="E1534" s="0" t="n">
        <f aca="false">-1+B1534*0.125</f>
        <v>-0.5</v>
      </c>
      <c r="F1534" s="0" t="n">
        <f aca="false">-1+C1534*0.125</f>
        <v>1</v>
      </c>
      <c r="G1534" s="0" t="n">
        <f aca="false">1</f>
        <v>1</v>
      </c>
      <c r="H1534" s="0" t="n">
        <f aca="false">D1534</f>
        <v>-0.375</v>
      </c>
      <c r="I1534" s="0" t="n">
        <f aca="false">E1534</f>
        <v>-0.5</v>
      </c>
      <c r="J1534" s="0" t="n">
        <f aca="false">F1534</f>
        <v>1</v>
      </c>
      <c r="K1534" s="0" t="n">
        <f aca="false">D1534*E1534</f>
        <v>0.1875</v>
      </c>
      <c r="L1534" s="0" t="n">
        <f aca="false">D1534*F1534</f>
        <v>-0.375</v>
      </c>
      <c r="M1534" s="0" t="n">
        <f aca="false">E1534*F1534</f>
        <v>-0.5</v>
      </c>
      <c r="N1534" s="0" t="n">
        <f aca="false">D1534*D1534</f>
        <v>0.140625</v>
      </c>
      <c r="O1534" s="0" t="n">
        <f aca="false">E1534*E1534</f>
        <v>0.25</v>
      </c>
      <c r="P1534" s="0" t="n">
        <f aca="false">F1534*F1534</f>
        <v>1</v>
      </c>
      <c r="Q1534" s="0" t="n">
        <f aca="false">SUMPRODUCT(G1534:P1534,_XtX!$B$71:$K$71)</f>
        <v>45.7718892045455</v>
      </c>
      <c r="R1534" s="0" t="n">
        <f aca="false">SUMPRODUCT(MMULT(G1534:P1534,_XtX!$B$58:$K$67),G1534:P1534)</f>
        <v>0.461479048295455</v>
      </c>
      <c r="S1534" s="0" t="n">
        <f aca="false">04_回帰ANOVA!$K$19*04_回帰ANOVA!$K$14*SQRT(1+R1534)</f>
        <v>1.12399125658369</v>
      </c>
      <c r="T1534" s="0" t="n">
        <f aca="false">Q1534-S1534</f>
        <v>44.6478979479618</v>
      </c>
      <c r="U1534" s="0" t="n">
        <f aca="false">Q1534+S1534</f>
        <v>46.8958804611292</v>
      </c>
      <c r="V1534" s="54" t="b">
        <f aca="false">AND(D1534&gt;=01_因子設定!$L$5-0.000000001,D1534&lt;=01_因子設定!$M$5+0.000000001,E1534&gt;=01_因子設定!$L$6-0.000000001,E1534&lt;=01_因子設定!$M$6+0.000000001,F1534&gt;=01_因子設定!$L$7-0.000000001,F1534&lt;=01_因子設定!$M$7+0.000000001,IF(01_因子設定!$B$20="Box-Behnken",D1534^2+E1534^2+F1534^2&lt;=2+0.000000001,TRUE()))</f>
        <v>1</v>
      </c>
      <c r="W1534" s="55" t="n">
        <f aca="false">IF(V1534,IF(01_因子設定!$B$13="最大化",T1534-01_因子設定!$B$14,IF(01_因子設定!$B$13="最小化",01_因子設定!$B$15-U1534,MIN(T1534-01_因子設定!$B$14,01_因子設定!$B$15-U1534))),-1E+030)</f>
        <v>-3.85210205203821</v>
      </c>
      <c r="X1534" s="55" t="n">
        <f aca="false">IF(V1534,IF(01_因子設定!$B$13="最大化",Q1534,IF(01_因子設定!$B$13="最小化",-Q1534,-ABS(Q1534-01_因子設定!$B$16))),-1E+030)</f>
        <v>45.7718892045455</v>
      </c>
      <c r="Y1534" s="55" t="n">
        <f aca="false">W1534+ROW()*0.000000001</f>
        <v>-3.85210051803821</v>
      </c>
      <c r="Z1534" s="55" t="n">
        <f aca="false">X1534+ROW()*0.000000001</f>
        <v>45.7718907385455</v>
      </c>
    </row>
    <row r="1535" customFormat="false" ht="15" hidden="false" customHeight="false" outlineLevel="0" collapsed="false">
      <c r="A1535" s="0" t="n">
        <v>5</v>
      </c>
      <c r="B1535" s="0" t="n">
        <v>5</v>
      </c>
      <c r="C1535" s="0" t="n">
        <v>0</v>
      </c>
      <c r="D1535" s="0" t="n">
        <f aca="false">-1+A1535*0.125</f>
        <v>-0.375</v>
      </c>
      <c r="E1535" s="0" t="n">
        <f aca="false">-1+B1535*0.125</f>
        <v>-0.375</v>
      </c>
      <c r="F1535" s="0" t="n">
        <f aca="false">-1+C1535*0.125</f>
        <v>-1</v>
      </c>
      <c r="G1535" s="0" t="n">
        <f aca="false">1</f>
        <v>1</v>
      </c>
      <c r="H1535" s="0" t="n">
        <f aca="false">D1535</f>
        <v>-0.375</v>
      </c>
      <c r="I1535" s="0" t="n">
        <f aca="false">E1535</f>
        <v>-0.375</v>
      </c>
      <c r="J1535" s="0" t="n">
        <f aca="false">F1535</f>
        <v>-1</v>
      </c>
      <c r="K1535" s="0" t="n">
        <f aca="false">D1535*E1535</f>
        <v>0.140625</v>
      </c>
      <c r="L1535" s="0" t="n">
        <f aca="false">D1535*F1535</f>
        <v>0.375</v>
      </c>
      <c r="M1535" s="0" t="n">
        <f aca="false">E1535*F1535</f>
        <v>0.375</v>
      </c>
      <c r="N1535" s="0" t="n">
        <f aca="false">D1535*D1535</f>
        <v>0.140625</v>
      </c>
      <c r="O1535" s="0" t="n">
        <f aca="false">E1535*E1535</f>
        <v>0.140625</v>
      </c>
      <c r="P1535" s="0" t="n">
        <f aca="false">F1535*F1535</f>
        <v>1</v>
      </c>
      <c r="Q1535" s="0" t="n">
        <f aca="false">SUMPRODUCT(G1535:P1535,_XtX!$B$71:$K$71)</f>
        <v>43.7162002840909</v>
      </c>
      <c r="R1535" s="0" t="n">
        <f aca="false">SUMPRODUCT(MMULT(G1535:P1535,_XtX!$B$58:$K$67),G1535:P1535)</f>
        <v>0.463378351384943</v>
      </c>
      <c r="S1535" s="0" t="n">
        <f aca="false">04_回帰ANOVA!$K$19*04_回帰ANOVA!$K$14*SQRT(1+R1535)</f>
        <v>1.12472137547772</v>
      </c>
      <c r="T1535" s="0" t="n">
        <f aca="false">Q1535-S1535</f>
        <v>42.5914789086132</v>
      </c>
      <c r="U1535" s="0" t="n">
        <f aca="false">Q1535+S1535</f>
        <v>44.8409216595687</v>
      </c>
      <c r="V1535" s="54" t="b">
        <f aca="false">AND(D1535&gt;=01_因子設定!$L$5-0.000000001,D1535&lt;=01_因子設定!$M$5+0.000000001,E1535&gt;=01_因子設定!$L$6-0.000000001,E1535&lt;=01_因子設定!$M$6+0.000000001,F1535&gt;=01_因子設定!$L$7-0.000000001,F1535&lt;=01_因子設定!$M$7+0.000000001,IF(01_因子設定!$B$20="Box-Behnken",D1535^2+E1535^2+F1535^2&lt;=2+0.000000001,TRUE()))</f>
        <v>1</v>
      </c>
      <c r="W1535" s="55" t="n">
        <f aca="false">IF(V1535,IF(01_因子設定!$B$13="最大化",T1535-01_因子設定!$B$14,IF(01_因子設定!$B$13="最小化",01_因子設定!$B$15-U1535,MIN(T1535-01_因子設定!$B$14,01_因子設定!$B$15-U1535))),-1E+030)</f>
        <v>-5.90852109138678</v>
      </c>
      <c r="X1535" s="55" t="n">
        <f aca="false">IF(V1535,IF(01_因子設定!$B$13="最大化",Q1535,IF(01_因子設定!$B$13="最小化",-Q1535,-ABS(Q1535-01_因子設定!$B$16))),-1E+030)</f>
        <v>43.7162002840909</v>
      </c>
      <c r="Y1535" s="55" t="n">
        <f aca="false">W1535+ROW()*0.000000001</f>
        <v>-5.90851955638678</v>
      </c>
      <c r="Z1535" s="55" t="n">
        <f aca="false">X1535+ROW()*0.000000001</f>
        <v>43.7162018190909</v>
      </c>
    </row>
    <row r="1536" customFormat="false" ht="15" hidden="false" customHeight="false" outlineLevel="0" collapsed="false">
      <c r="A1536" s="0" t="n">
        <v>5</v>
      </c>
      <c r="B1536" s="0" t="n">
        <v>5</v>
      </c>
      <c r="C1536" s="0" t="n">
        <v>1</v>
      </c>
      <c r="D1536" s="0" t="n">
        <f aca="false">-1+A1536*0.125</f>
        <v>-0.375</v>
      </c>
      <c r="E1536" s="0" t="n">
        <f aca="false">-1+B1536*0.125</f>
        <v>-0.375</v>
      </c>
      <c r="F1536" s="0" t="n">
        <f aca="false">-1+C1536*0.125</f>
        <v>-0.875</v>
      </c>
      <c r="G1536" s="0" t="n">
        <f aca="false">1</f>
        <v>1</v>
      </c>
      <c r="H1536" s="0" t="n">
        <f aca="false">D1536</f>
        <v>-0.375</v>
      </c>
      <c r="I1536" s="0" t="n">
        <f aca="false">E1536</f>
        <v>-0.375</v>
      </c>
      <c r="J1536" s="0" t="n">
        <f aca="false">F1536</f>
        <v>-0.875</v>
      </c>
      <c r="K1536" s="0" t="n">
        <f aca="false">D1536*E1536</f>
        <v>0.140625</v>
      </c>
      <c r="L1536" s="0" t="n">
        <f aca="false">D1536*F1536</f>
        <v>0.328125</v>
      </c>
      <c r="M1536" s="0" t="n">
        <f aca="false">E1536*F1536</f>
        <v>0.328125</v>
      </c>
      <c r="N1536" s="0" t="n">
        <f aca="false">D1536*D1536</f>
        <v>0.140625</v>
      </c>
      <c r="O1536" s="0" t="n">
        <f aca="false">E1536*E1536</f>
        <v>0.140625</v>
      </c>
      <c r="P1536" s="0" t="n">
        <f aca="false">F1536*F1536</f>
        <v>0.765625</v>
      </c>
      <c r="Q1536" s="0" t="n">
        <f aca="false">SUMPRODUCT(G1536:P1536,_XtX!$B$71:$K$71)</f>
        <v>44.1505610795455</v>
      </c>
      <c r="R1536" s="0" t="n">
        <f aca="false">SUMPRODUCT(MMULT(G1536:P1536,_XtX!$B$58:$K$67),G1536:P1536)</f>
        <v>0.32050614790483</v>
      </c>
      <c r="S1536" s="0" t="n">
        <f aca="false">04_回帰ANOVA!$K$19*04_回帰ANOVA!$K$14*SQRT(1+R1536)</f>
        <v>1.06840730759619</v>
      </c>
      <c r="T1536" s="0" t="n">
        <f aca="false">Q1536-S1536</f>
        <v>43.0821537719493</v>
      </c>
      <c r="U1536" s="0" t="n">
        <f aca="false">Q1536+S1536</f>
        <v>45.2189683871417</v>
      </c>
      <c r="V1536" s="54" t="b">
        <f aca="false">AND(D1536&gt;=01_因子設定!$L$5-0.000000001,D1536&lt;=01_因子設定!$M$5+0.000000001,E1536&gt;=01_因子設定!$L$6-0.000000001,E1536&lt;=01_因子設定!$M$6+0.000000001,F1536&gt;=01_因子設定!$L$7-0.000000001,F1536&lt;=01_因子設定!$M$7+0.000000001,IF(01_因子設定!$B$20="Box-Behnken",D1536^2+E1536^2+F1536^2&lt;=2+0.000000001,TRUE()))</f>
        <v>1</v>
      </c>
      <c r="W1536" s="55" t="n">
        <f aca="false">IF(V1536,IF(01_因子設定!$B$13="最大化",T1536-01_因子設定!$B$14,IF(01_因子設定!$B$13="最小化",01_因子設定!$B$15-U1536,MIN(T1536-01_因子設定!$B$14,01_因子設定!$B$15-U1536))),-1E+030)</f>
        <v>-5.41784622805071</v>
      </c>
      <c r="X1536" s="55" t="n">
        <f aca="false">IF(V1536,IF(01_因子設定!$B$13="最大化",Q1536,IF(01_因子設定!$B$13="最小化",-Q1536,-ABS(Q1536-01_因子設定!$B$16))),-1E+030)</f>
        <v>44.1505610795455</v>
      </c>
      <c r="Y1536" s="55" t="n">
        <f aca="false">W1536+ROW()*0.000000001</f>
        <v>-5.41784469205071</v>
      </c>
      <c r="Z1536" s="55" t="n">
        <f aca="false">X1536+ROW()*0.000000001</f>
        <v>44.1505626155455</v>
      </c>
    </row>
    <row r="1537" customFormat="false" ht="15" hidden="false" customHeight="false" outlineLevel="0" collapsed="false">
      <c r="A1537" s="0" t="n">
        <v>5</v>
      </c>
      <c r="B1537" s="0" t="n">
        <v>5</v>
      </c>
      <c r="C1537" s="0" t="n">
        <v>2</v>
      </c>
      <c r="D1537" s="0" t="n">
        <f aca="false">-1+A1537*0.125</f>
        <v>-0.375</v>
      </c>
      <c r="E1537" s="0" t="n">
        <f aca="false">-1+B1537*0.125</f>
        <v>-0.375</v>
      </c>
      <c r="F1537" s="0" t="n">
        <f aca="false">-1+C1537*0.125</f>
        <v>-0.75</v>
      </c>
      <c r="G1537" s="0" t="n">
        <f aca="false">1</f>
        <v>1</v>
      </c>
      <c r="H1537" s="0" t="n">
        <f aca="false">D1537</f>
        <v>-0.375</v>
      </c>
      <c r="I1537" s="0" t="n">
        <f aca="false">E1537</f>
        <v>-0.375</v>
      </c>
      <c r="J1537" s="0" t="n">
        <f aca="false">F1537</f>
        <v>-0.75</v>
      </c>
      <c r="K1537" s="0" t="n">
        <f aca="false">D1537*E1537</f>
        <v>0.140625</v>
      </c>
      <c r="L1537" s="0" t="n">
        <f aca="false">D1537*F1537</f>
        <v>0.28125</v>
      </c>
      <c r="M1537" s="0" t="n">
        <f aca="false">E1537*F1537</f>
        <v>0.28125</v>
      </c>
      <c r="N1537" s="0" t="n">
        <f aca="false">D1537*D1537</f>
        <v>0.140625</v>
      </c>
      <c r="O1537" s="0" t="n">
        <f aca="false">E1537*E1537</f>
        <v>0.140625</v>
      </c>
      <c r="P1537" s="0" t="n">
        <f aca="false">F1537*F1537</f>
        <v>0.5625</v>
      </c>
      <c r="Q1537" s="0" t="n">
        <f aca="false">SUMPRODUCT(G1537:P1537,_XtX!$B$71:$K$71)</f>
        <v>44.5481321022727</v>
      </c>
      <c r="R1537" s="0" t="n">
        <f aca="false">SUMPRODUCT(MMULT(G1537:P1537,_XtX!$B$58:$K$67),G1537:P1537)</f>
        <v>0.228998912464489</v>
      </c>
      <c r="S1537" s="0" t="n">
        <f aca="false">04_回帰ANOVA!$K$19*04_回帰ANOVA!$K$14*SQRT(1+R1537)</f>
        <v>1.03072399242813</v>
      </c>
      <c r="T1537" s="0" t="n">
        <f aca="false">Q1537-S1537</f>
        <v>43.5174081098446</v>
      </c>
      <c r="U1537" s="0" t="n">
        <f aca="false">Q1537+S1537</f>
        <v>45.5788560947009</v>
      </c>
      <c r="V1537" s="54" t="b">
        <f aca="false">AND(D1537&gt;=01_因子設定!$L$5-0.000000001,D1537&lt;=01_因子設定!$M$5+0.000000001,E1537&gt;=01_因子設定!$L$6-0.000000001,E1537&lt;=01_因子設定!$M$6+0.000000001,F1537&gt;=01_因子設定!$L$7-0.000000001,F1537&lt;=01_因子設定!$M$7+0.000000001,IF(01_因子設定!$B$20="Box-Behnken",D1537^2+E1537^2+F1537^2&lt;=2+0.000000001,TRUE()))</f>
        <v>1</v>
      </c>
      <c r="W1537" s="55" t="n">
        <f aca="false">IF(V1537,IF(01_因子設定!$B$13="最大化",T1537-01_因子設定!$B$14,IF(01_因子設定!$B$13="最小化",01_因子設定!$B$15-U1537,MIN(T1537-01_因子設定!$B$14,01_因子設定!$B$15-U1537))),-1E+030)</f>
        <v>-4.98259189015538</v>
      </c>
      <c r="X1537" s="55" t="n">
        <f aca="false">IF(V1537,IF(01_因子設定!$B$13="最大化",Q1537,IF(01_因子設定!$B$13="最小化",-Q1537,-ABS(Q1537-01_因子設定!$B$16))),-1E+030)</f>
        <v>44.5481321022727</v>
      </c>
      <c r="Y1537" s="55" t="n">
        <f aca="false">W1537+ROW()*0.000000001</f>
        <v>-4.98259035315538</v>
      </c>
      <c r="Z1537" s="55" t="n">
        <f aca="false">X1537+ROW()*0.000000001</f>
        <v>44.5481336392728</v>
      </c>
    </row>
    <row r="1538" customFormat="false" ht="15" hidden="false" customHeight="false" outlineLevel="0" collapsed="false">
      <c r="A1538" s="0" t="n">
        <v>5</v>
      </c>
      <c r="B1538" s="0" t="n">
        <v>5</v>
      </c>
      <c r="C1538" s="0" t="n">
        <v>3</v>
      </c>
      <c r="D1538" s="0" t="n">
        <f aca="false">-1+A1538*0.125</f>
        <v>-0.375</v>
      </c>
      <c r="E1538" s="0" t="n">
        <f aca="false">-1+B1538*0.125</f>
        <v>-0.375</v>
      </c>
      <c r="F1538" s="0" t="n">
        <f aca="false">-1+C1538*0.125</f>
        <v>-0.625</v>
      </c>
      <c r="G1538" s="0" t="n">
        <f aca="false">1</f>
        <v>1</v>
      </c>
      <c r="H1538" s="0" t="n">
        <f aca="false">D1538</f>
        <v>-0.375</v>
      </c>
      <c r="I1538" s="0" t="n">
        <f aca="false">E1538</f>
        <v>-0.375</v>
      </c>
      <c r="J1538" s="0" t="n">
        <f aca="false">F1538</f>
        <v>-0.625</v>
      </c>
      <c r="K1538" s="0" t="n">
        <f aca="false">D1538*E1538</f>
        <v>0.140625</v>
      </c>
      <c r="L1538" s="0" t="n">
        <f aca="false">D1538*F1538</f>
        <v>0.234375</v>
      </c>
      <c r="M1538" s="0" t="n">
        <f aca="false">E1538*F1538</f>
        <v>0.234375</v>
      </c>
      <c r="N1538" s="0" t="n">
        <f aca="false">D1538*D1538</f>
        <v>0.140625</v>
      </c>
      <c r="O1538" s="0" t="n">
        <f aca="false">E1538*E1538</f>
        <v>0.140625</v>
      </c>
      <c r="P1538" s="0" t="n">
        <f aca="false">F1538*F1538</f>
        <v>0.390625</v>
      </c>
      <c r="Q1538" s="0" t="n">
        <f aca="false">SUMPRODUCT(G1538:P1538,_XtX!$B$71:$K$71)</f>
        <v>44.9089133522727</v>
      </c>
      <c r="R1538" s="0" t="n">
        <f aca="false">SUMPRODUCT(MMULT(G1538:P1538,_XtX!$B$58:$K$67),G1538:P1538)</f>
        <v>0.175007213245739</v>
      </c>
      <c r="S1538" s="0" t="n">
        <f aca="false">04_回帰ANOVA!$K$19*04_回帰ANOVA!$K$14*SQRT(1+R1538)</f>
        <v>1.0078291195273</v>
      </c>
      <c r="T1538" s="0" t="n">
        <f aca="false">Q1538-S1538</f>
        <v>43.9010842327454</v>
      </c>
      <c r="U1538" s="0" t="n">
        <f aca="false">Q1538+S1538</f>
        <v>45.9167424718</v>
      </c>
      <c r="V1538" s="54" t="b">
        <f aca="false">AND(D1538&gt;=01_因子設定!$L$5-0.000000001,D1538&lt;=01_因子設定!$M$5+0.000000001,E1538&gt;=01_因子設定!$L$6-0.000000001,E1538&lt;=01_因子設定!$M$6+0.000000001,F1538&gt;=01_因子設定!$L$7-0.000000001,F1538&lt;=01_因子設定!$M$7+0.000000001,IF(01_因子設定!$B$20="Box-Behnken",D1538^2+E1538^2+F1538^2&lt;=2+0.000000001,TRUE()))</f>
        <v>1</v>
      </c>
      <c r="W1538" s="55" t="n">
        <f aca="false">IF(V1538,IF(01_因子設定!$B$13="最大化",T1538-01_因子設定!$B$14,IF(01_因子設定!$B$13="最小化",01_因子設定!$B$15-U1538,MIN(T1538-01_因子設定!$B$14,01_因子設定!$B$15-U1538))),-1E+030)</f>
        <v>-4.59891576725456</v>
      </c>
      <c r="X1538" s="55" t="n">
        <f aca="false">IF(V1538,IF(01_因子設定!$B$13="最大化",Q1538,IF(01_因子設定!$B$13="最小化",-Q1538,-ABS(Q1538-01_因子設定!$B$16))),-1E+030)</f>
        <v>44.9089133522727</v>
      </c>
      <c r="Y1538" s="55" t="n">
        <f aca="false">W1538+ROW()*0.000000001</f>
        <v>-4.59891422925456</v>
      </c>
      <c r="Z1538" s="55" t="n">
        <f aca="false">X1538+ROW()*0.000000001</f>
        <v>44.9089148902727</v>
      </c>
    </row>
    <row r="1539" customFormat="false" ht="15" hidden="false" customHeight="false" outlineLevel="0" collapsed="false">
      <c r="A1539" s="0" t="n">
        <v>5</v>
      </c>
      <c r="B1539" s="0" t="n">
        <v>5</v>
      </c>
      <c r="C1539" s="0" t="n">
        <v>4</v>
      </c>
      <c r="D1539" s="0" t="n">
        <f aca="false">-1+A1539*0.125</f>
        <v>-0.375</v>
      </c>
      <c r="E1539" s="0" t="n">
        <f aca="false">-1+B1539*0.125</f>
        <v>-0.375</v>
      </c>
      <c r="F1539" s="0" t="n">
        <f aca="false">-1+C1539*0.125</f>
        <v>-0.5</v>
      </c>
      <c r="G1539" s="0" t="n">
        <f aca="false">1</f>
        <v>1</v>
      </c>
      <c r="H1539" s="0" t="n">
        <f aca="false">D1539</f>
        <v>-0.375</v>
      </c>
      <c r="I1539" s="0" t="n">
        <f aca="false">E1539</f>
        <v>-0.375</v>
      </c>
      <c r="J1539" s="0" t="n">
        <f aca="false">F1539</f>
        <v>-0.5</v>
      </c>
      <c r="K1539" s="0" t="n">
        <f aca="false">D1539*E1539</f>
        <v>0.140625</v>
      </c>
      <c r="L1539" s="0" t="n">
        <f aca="false">D1539*F1539</f>
        <v>0.1875</v>
      </c>
      <c r="M1539" s="0" t="n">
        <f aca="false">E1539*F1539</f>
        <v>0.1875</v>
      </c>
      <c r="N1539" s="0" t="n">
        <f aca="false">D1539*D1539</f>
        <v>0.140625</v>
      </c>
      <c r="O1539" s="0" t="n">
        <f aca="false">E1539*E1539</f>
        <v>0.140625</v>
      </c>
      <c r="P1539" s="0" t="n">
        <f aca="false">F1539*F1539</f>
        <v>0.25</v>
      </c>
      <c r="Q1539" s="0" t="n">
        <f aca="false">SUMPRODUCT(G1539:P1539,_XtX!$B$71:$K$71)</f>
        <v>45.2329048295455</v>
      </c>
      <c r="R1539" s="0" t="n">
        <f aca="false">SUMPRODUCT(MMULT(G1539:P1539,_XtX!$B$58:$K$67),G1539:P1539)</f>
        <v>0.14681230024858</v>
      </c>
      <c r="S1539" s="0" t="n">
        <f aca="false">04_回帰ANOVA!$K$19*04_回帰ANOVA!$K$14*SQRT(1+R1539)</f>
        <v>0.995664005771711</v>
      </c>
      <c r="T1539" s="0" t="n">
        <f aca="false">Q1539-S1539</f>
        <v>44.2372408237738</v>
      </c>
      <c r="U1539" s="0" t="n">
        <f aca="false">Q1539+S1539</f>
        <v>46.2285688353172</v>
      </c>
      <c r="V1539" s="54" t="b">
        <f aca="false">AND(D1539&gt;=01_因子設定!$L$5-0.000000001,D1539&lt;=01_因子設定!$M$5+0.000000001,E1539&gt;=01_因子設定!$L$6-0.000000001,E1539&lt;=01_因子設定!$M$6+0.000000001,F1539&gt;=01_因子設定!$L$7-0.000000001,F1539&lt;=01_因子設定!$M$7+0.000000001,IF(01_因子設定!$B$20="Box-Behnken",D1539^2+E1539^2+F1539^2&lt;=2+0.000000001,TRUE()))</f>
        <v>1</v>
      </c>
      <c r="W1539" s="55" t="n">
        <f aca="false">IF(V1539,IF(01_因子設定!$B$13="最大化",T1539-01_因子設定!$B$14,IF(01_因子設定!$B$13="最小化",01_因子設定!$B$15-U1539,MIN(T1539-01_因子設定!$B$14,01_因子設定!$B$15-U1539))),-1E+030)</f>
        <v>-4.26275917622624</v>
      </c>
      <c r="X1539" s="55" t="n">
        <f aca="false">IF(V1539,IF(01_因子設定!$B$13="最大化",Q1539,IF(01_因子設定!$B$13="最小化",-Q1539,-ABS(Q1539-01_因子設定!$B$16))),-1E+030)</f>
        <v>45.2329048295455</v>
      </c>
      <c r="Y1539" s="55" t="n">
        <f aca="false">W1539+ROW()*0.000000001</f>
        <v>-4.26275763722624</v>
      </c>
      <c r="Z1539" s="55" t="n">
        <f aca="false">X1539+ROW()*0.000000001</f>
        <v>45.2329063685455</v>
      </c>
    </row>
    <row r="1540" customFormat="false" ht="15" hidden="false" customHeight="false" outlineLevel="0" collapsed="false">
      <c r="A1540" s="0" t="n">
        <v>5</v>
      </c>
      <c r="B1540" s="0" t="n">
        <v>5</v>
      </c>
      <c r="C1540" s="0" t="n">
        <v>5</v>
      </c>
      <c r="D1540" s="0" t="n">
        <f aca="false">-1+A1540*0.125</f>
        <v>-0.375</v>
      </c>
      <c r="E1540" s="0" t="n">
        <f aca="false">-1+B1540*0.125</f>
        <v>-0.375</v>
      </c>
      <c r="F1540" s="0" t="n">
        <f aca="false">-1+C1540*0.125</f>
        <v>-0.375</v>
      </c>
      <c r="G1540" s="0" t="n">
        <f aca="false">1</f>
        <v>1</v>
      </c>
      <c r="H1540" s="0" t="n">
        <f aca="false">D1540</f>
        <v>-0.375</v>
      </c>
      <c r="I1540" s="0" t="n">
        <f aca="false">E1540</f>
        <v>-0.375</v>
      </c>
      <c r="J1540" s="0" t="n">
        <f aca="false">F1540</f>
        <v>-0.375</v>
      </c>
      <c r="K1540" s="0" t="n">
        <f aca="false">D1540*E1540</f>
        <v>0.140625</v>
      </c>
      <c r="L1540" s="0" t="n">
        <f aca="false">D1540*F1540</f>
        <v>0.140625</v>
      </c>
      <c r="M1540" s="0" t="n">
        <f aca="false">E1540*F1540</f>
        <v>0.140625</v>
      </c>
      <c r="N1540" s="0" t="n">
        <f aca="false">D1540*D1540</f>
        <v>0.140625</v>
      </c>
      <c r="O1540" s="0" t="n">
        <f aca="false">E1540*E1540</f>
        <v>0.140625</v>
      </c>
      <c r="P1540" s="0" t="n">
        <f aca="false">F1540*F1540</f>
        <v>0.140625</v>
      </c>
      <c r="Q1540" s="0" t="n">
        <f aca="false">SUMPRODUCT(G1540:P1540,_XtX!$B$71:$K$71)</f>
        <v>45.5201065340909</v>
      </c>
      <c r="R1540" s="0" t="n">
        <f aca="false">SUMPRODUCT(MMULT(G1540:P1540,_XtX!$B$58:$K$67),G1540:P1540)</f>
        <v>0.134826105291193</v>
      </c>
      <c r="S1540" s="0" t="n">
        <f aca="false">04_回帰ANOVA!$K$19*04_回帰ANOVA!$K$14*SQRT(1+R1540)</f>
        <v>0.990447123160393</v>
      </c>
      <c r="T1540" s="0" t="n">
        <f aca="false">Q1540-S1540</f>
        <v>44.5296594109305</v>
      </c>
      <c r="U1540" s="0" t="n">
        <f aca="false">Q1540+S1540</f>
        <v>46.5105536572513</v>
      </c>
      <c r="V1540" s="54" t="b">
        <f aca="false">AND(D1540&gt;=01_因子設定!$L$5-0.000000001,D1540&lt;=01_因子設定!$M$5+0.000000001,E1540&gt;=01_因子設定!$L$6-0.000000001,E1540&lt;=01_因子設定!$M$6+0.000000001,F1540&gt;=01_因子設定!$L$7-0.000000001,F1540&lt;=01_因子設定!$M$7+0.000000001,IF(01_因子設定!$B$20="Box-Behnken",D1540^2+E1540^2+F1540^2&lt;=2+0.000000001,TRUE()))</f>
        <v>1</v>
      </c>
      <c r="W1540" s="55" t="n">
        <f aca="false">IF(V1540,IF(01_因子設定!$B$13="最大化",T1540-01_因子設定!$B$14,IF(01_因子設定!$B$13="最小化",01_因子設定!$B$15-U1540,MIN(T1540-01_因子設定!$B$14,01_因子設定!$B$15-U1540))),-1E+030)</f>
        <v>-3.97034058906947</v>
      </c>
      <c r="X1540" s="55" t="n">
        <f aca="false">IF(V1540,IF(01_因子設定!$B$13="最大化",Q1540,IF(01_因子設定!$B$13="最小化",-Q1540,-ABS(Q1540-01_因子設定!$B$16))),-1E+030)</f>
        <v>45.5201065340909</v>
      </c>
      <c r="Y1540" s="55" t="n">
        <f aca="false">W1540+ROW()*0.000000001</f>
        <v>-3.97033904906947</v>
      </c>
      <c r="Z1540" s="55" t="n">
        <f aca="false">X1540+ROW()*0.000000001</f>
        <v>45.5201080740909</v>
      </c>
    </row>
    <row r="1541" customFormat="false" ht="15" hidden="false" customHeight="false" outlineLevel="0" collapsed="false">
      <c r="A1541" s="0" t="n">
        <v>5</v>
      </c>
      <c r="B1541" s="0" t="n">
        <v>5</v>
      </c>
      <c r="C1541" s="0" t="n">
        <v>6</v>
      </c>
      <c r="D1541" s="0" t="n">
        <f aca="false">-1+A1541*0.125</f>
        <v>-0.375</v>
      </c>
      <c r="E1541" s="0" t="n">
        <f aca="false">-1+B1541*0.125</f>
        <v>-0.375</v>
      </c>
      <c r="F1541" s="0" t="n">
        <f aca="false">-1+C1541*0.125</f>
        <v>-0.25</v>
      </c>
      <c r="G1541" s="0" t="n">
        <f aca="false">1</f>
        <v>1</v>
      </c>
      <c r="H1541" s="0" t="n">
        <f aca="false">D1541</f>
        <v>-0.375</v>
      </c>
      <c r="I1541" s="0" t="n">
        <f aca="false">E1541</f>
        <v>-0.375</v>
      </c>
      <c r="J1541" s="0" t="n">
        <f aca="false">F1541</f>
        <v>-0.25</v>
      </c>
      <c r="K1541" s="0" t="n">
        <f aca="false">D1541*E1541</f>
        <v>0.140625</v>
      </c>
      <c r="L1541" s="0" t="n">
        <f aca="false">D1541*F1541</f>
        <v>0.09375</v>
      </c>
      <c r="M1541" s="0" t="n">
        <f aca="false">E1541*F1541</f>
        <v>0.09375</v>
      </c>
      <c r="N1541" s="0" t="n">
        <f aca="false">D1541*D1541</f>
        <v>0.140625</v>
      </c>
      <c r="O1541" s="0" t="n">
        <f aca="false">E1541*E1541</f>
        <v>0.140625</v>
      </c>
      <c r="P1541" s="0" t="n">
        <f aca="false">F1541*F1541</f>
        <v>0.0625</v>
      </c>
      <c r="Q1541" s="0" t="n">
        <f aca="false">SUMPRODUCT(G1541:P1541,_XtX!$B$71:$K$71)</f>
        <v>45.7705184659091</v>
      </c>
      <c r="R1541" s="0" t="n">
        <f aca="false">SUMPRODUCT(MMULT(G1541:P1541,_XtX!$B$58:$K$67),G1541:P1541)</f>
        <v>0.131591242009943</v>
      </c>
      <c r="S1541" s="0" t="n">
        <f aca="false">04_回帰ANOVA!$K$19*04_回帰ANOVA!$K$14*SQRT(1+R1541)</f>
        <v>0.989034462873572</v>
      </c>
      <c r="T1541" s="0" t="n">
        <f aca="false">Q1541-S1541</f>
        <v>44.7814840030355</v>
      </c>
      <c r="U1541" s="0" t="n">
        <f aca="false">Q1541+S1541</f>
        <v>46.7595529287827</v>
      </c>
      <c r="V1541" s="54" t="b">
        <f aca="false">AND(D1541&gt;=01_因子設定!$L$5-0.000000001,D1541&lt;=01_因子設定!$M$5+0.000000001,E1541&gt;=01_因子設定!$L$6-0.000000001,E1541&lt;=01_因子設定!$M$6+0.000000001,F1541&gt;=01_因子設定!$L$7-0.000000001,F1541&lt;=01_因子設定!$M$7+0.000000001,IF(01_因子設定!$B$20="Box-Behnken",D1541^2+E1541^2+F1541^2&lt;=2+0.000000001,TRUE()))</f>
        <v>1</v>
      </c>
      <c r="W1541" s="55" t="n">
        <f aca="false">IF(V1541,IF(01_因子設定!$B$13="最大化",T1541-01_因子設定!$B$14,IF(01_因子設定!$B$13="最小化",01_因子設定!$B$15-U1541,MIN(T1541-01_因子設定!$B$14,01_因子設定!$B$15-U1541))),-1E+030)</f>
        <v>-3.71851599696447</v>
      </c>
      <c r="X1541" s="55" t="n">
        <f aca="false">IF(V1541,IF(01_因子設定!$B$13="最大化",Q1541,IF(01_因子設定!$B$13="最小化",-Q1541,-ABS(Q1541-01_因子設定!$B$16))),-1E+030)</f>
        <v>45.7705184659091</v>
      </c>
      <c r="Y1541" s="55" t="n">
        <f aca="false">W1541+ROW()*0.000000001</f>
        <v>-3.71851445596447</v>
      </c>
      <c r="Z1541" s="55" t="n">
        <f aca="false">X1541+ROW()*0.000000001</f>
        <v>45.7705200069091</v>
      </c>
    </row>
    <row r="1542" customFormat="false" ht="15" hidden="false" customHeight="false" outlineLevel="0" collapsed="false">
      <c r="A1542" s="0" t="n">
        <v>5</v>
      </c>
      <c r="B1542" s="0" t="n">
        <v>5</v>
      </c>
      <c r="C1542" s="0" t="n">
        <v>7</v>
      </c>
      <c r="D1542" s="0" t="n">
        <f aca="false">-1+A1542*0.125</f>
        <v>-0.375</v>
      </c>
      <c r="E1542" s="0" t="n">
        <f aca="false">-1+B1542*0.125</f>
        <v>-0.375</v>
      </c>
      <c r="F1542" s="0" t="n">
        <f aca="false">-1+C1542*0.125</f>
        <v>-0.125</v>
      </c>
      <c r="G1542" s="0" t="n">
        <f aca="false">1</f>
        <v>1</v>
      </c>
      <c r="H1542" s="0" t="n">
        <f aca="false">D1542</f>
        <v>-0.375</v>
      </c>
      <c r="I1542" s="0" t="n">
        <f aca="false">E1542</f>
        <v>-0.375</v>
      </c>
      <c r="J1542" s="0" t="n">
        <f aca="false">F1542</f>
        <v>-0.125</v>
      </c>
      <c r="K1542" s="0" t="n">
        <f aca="false">D1542*E1542</f>
        <v>0.140625</v>
      </c>
      <c r="L1542" s="0" t="n">
        <f aca="false">D1542*F1542</f>
        <v>0.046875</v>
      </c>
      <c r="M1542" s="0" t="n">
        <f aca="false">E1542*F1542</f>
        <v>0.046875</v>
      </c>
      <c r="N1542" s="0" t="n">
        <f aca="false">D1542*D1542</f>
        <v>0.140625</v>
      </c>
      <c r="O1542" s="0" t="n">
        <f aca="false">E1542*E1542</f>
        <v>0.140625</v>
      </c>
      <c r="P1542" s="0" t="n">
        <f aca="false">F1542*F1542</f>
        <v>0.015625</v>
      </c>
      <c r="Q1542" s="0" t="n">
        <f aca="false">SUMPRODUCT(G1542:P1542,_XtX!$B$71:$K$71)</f>
        <v>45.984140625</v>
      </c>
      <c r="R1542" s="0" t="n">
        <f aca="false">SUMPRODUCT(MMULT(G1542:P1542,_XtX!$B$58:$K$67),G1542:P1542)</f>
        <v>0.131781005859375</v>
      </c>
      <c r="S1542" s="0" t="n">
        <f aca="false">04_回帰ANOVA!$K$19*04_回帰ANOVA!$K$14*SQRT(1+R1542)</f>
        <v>0.989117388188007</v>
      </c>
      <c r="T1542" s="0" t="n">
        <f aca="false">Q1542-S1542</f>
        <v>44.995023236812</v>
      </c>
      <c r="U1542" s="0" t="n">
        <f aca="false">Q1542+S1542</f>
        <v>46.973258013188</v>
      </c>
      <c r="V1542" s="54" t="b">
        <f aca="false">AND(D1542&gt;=01_因子設定!$L$5-0.000000001,D1542&lt;=01_因子設定!$M$5+0.000000001,E1542&gt;=01_因子設定!$L$6-0.000000001,E1542&lt;=01_因子設定!$M$6+0.000000001,F1542&gt;=01_因子設定!$L$7-0.000000001,F1542&lt;=01_因子設定!$M$7+0.000000001,IF(01_因子設定!$B$20="Box-Behnken",D1542^2+E1542^2+F1542^2&lt;=2+0.000000001,TRUE()))</f>
        <v>1</v>
      </c>
      <c r="W1542" s="55" t="n">
        <f aca="false">IF(V1542,IF(01_因子設定!$B$13="最大化",T1542-01_因子設定!$B$14,IF(01_因子設定!$B$13="最小化",01_因子設定!$B$15-U1542,MIN(T1542-01_因子設定!$B$14,01_因子設定!$B$15-U1542))),-1E+030)</f>
        <v>-3.504976763188</v>
      </c>
      <c r="X1542" s="55" t="n">
        <f aca="false">IF(V1542,IF(01_因子設定!$B$13="最大化",Q1542,IF(01_因子設定!$B$13="最小化",-Q1542,-ABS(Q1542-01_因子設定!$B$16))),-1E+030)</f>
        <v>45.984140625</v>
      </c>
      <c r="Y1542" s="55" t="n">
        <f aca="false">W1542+ROW()*0.000000001</f>
        <v>-3.504975221188</v>
      </c>
      <c r="Z1542" s="55" t="n">
        <f aca="false">X1542+ROW()*0.000000001</f>
        <v>45.984142167</v>
      </c>
    </row>
    <row r="1543" customFormat="false" ht="15" hidden="false" customHeight="false" outlineLevel="0" collapsed="false">
      <c r="A1543" s="0" t="n">
        <v>5</v>
      </c>
      <c r="B1543" s="0" t="n">
        <v>5</v>
      </c>
      <c r="C1543" s="0" t="n">
        <v>8</v>
      </c>
      <c r="D1543" s="0" t="n">
        <f aca="false">-1+A1543*0.125</f>
        <v>-0.375</v>
      </c>
      <c r="E1543" s="0" t="n">
        <f aca="false">-1+B1543*0.125</f>
        <v>-0.375</v>
      </c>
      <c r="F1543" s="0" t="n">
        <f aca="false">-1+C1543*0.125</f>
        <v>0</v>
      </c>
      <c r="G1543" s="0" t="n">
        <f aca="false">1</f>
        <v>1</v>
      </c>
      <c r="H1543" s="0" t="n">
        <f aca="false">D1543</f>
        <v>-0.375</v>
      </c>
      <c r="I1543" s="0" t="n">
        <f aca="false">E1543</f>
        <v>-0.375</v>
      </c>
      <c r="J1543" s="0" t="n">
        <f aca="false">F1543</f>
        <v>0</v>
      </c>
      <c r="K1543" s="0" t="n">
        <f aca="false">D1543*E1543</f>
        <v>0.140625</v>
      </c>
      <c r="L1543" s="0" t="n">
        <f aca="false">D1543*F1543</f>
        <v>-0</v>
      </c>
      <c r="M1543" s="0" t="n">
        <f aca="false">E1543*F1543</f>
        <v>-0</v>
      </c>
      <c r="N1543" s="0" t="n">
        <f aca="false">D1543*D1543</f>
        <v>0.140625</v>
      </c>
      <c r="O1543" s="0" t="n">
        <f aca="false">E1543*E1543</f>
        <v>0.140625</v>
      </c>
      <c r="P1543" s="0" t="n">
        <f aca="false">F1543*F1543</f>
        <v>0</v>
      </c>
      <c r="Q1543" s="0" t="n">
        <f aca="false">SUMPRODUCT(G1543:P1543,_XtX!$B$71:$K$71)</f>
        <v>46.1609730113636</v>
      </c>
      <c r="R1543" s="0" t="n">
        <f aca="false">SUMPRODUCT(MMULT(G1543:P1543,_XtX!$B$58:$K$67),G1543:P1543)</f>
        <v>0.132199374112216</v>
      </c>
      <c r="S1543" s="0" t="n">
        <f aca="false">04_回帰ANOVA!$K$19*04_回帰ANOVA!$K$14*SQRT(1+R1543)</f>
        <v>0.989300187279118</v>
      </c>
      <c r="T1543" s="0" t="n">
        <f aca="false">Q1543-S1543</f>
        <v>45.1716728240845</v>
      </c>
      <c r="U1543" s="0" t="n">
        <f aca="false">Q1543+S1543</f>
        <v>47.1502731986428</v>
      </c>
      <c r="V1543" s="54" t="b">
        <f aca="false">AND(D1543&gt;=01_因子設定!$L$5-0.000000001,D1543&lt;=01_因子設定!$M$5+0.000000001,E1543&gt;=01_因子設定!$L$6-0.000000001,E1543&lt;=01_因子設定!$M$6+0.000000001,F1543&gt;=01_因子設定!$L$7-0.000000001,F1543&lt;=01_因子設定!$M$7+0.000000001,IF(01_因子設定!$B$20="Box-Behnken",D1543^2+E1543^2+F1543^2&lt;=2+0.000000001,TRUE()))</f>
        <v>1</v>
      </c>
      <c r="W1543" s="55" t="n">
        <f aca="false">IF(V1543,IF(01_因子設定!$B$13="最大化",T1543-01_因子設定!$B$14,IF(01_因子設定!$B$13="最小化",01_因子設定!$B$15-U1543,MIN(T1543-01_因子設定!$B$14,01_因子設定!$B$15-U1543))),-1E+030)</f>
        <v>-3.32832717591548</v>
      </c>
      <c r="X1543" s="55" t="n">
        <f aca="false">IF(V1543,IF(01_因子設定!$B$13="最大化",Q1543,IF(01_因子設定!$B$13="最小化",-Q1543,-ABS(Q1543-01_因子設定!$B$16))),-1E+030)</f>
        <v>46.1609730113636</v>
      </c>
      <c r="Y1543" s="55" t="n">
        <f aca="false">W1543+ROW()*0.000000001</f>
        <v>-3.32832563291548</v>
      </c>
      <c r="Z1543" s="55" t="n">
        <f aca="false">X1543+ROW()*0.000000001</f>
        <v>46.1609745543637</v>
      </c>
    </row>
    <row r="1544" customFormat="false" ht="15" hidden="false" customHeight="false" outlineLevel="0" collapsed="false">
      <c r="A1544" s="0" t="n">
        <v>5</v>
      </c>
      <c r="B1544" s="0" t="n">
        <v>5</v>
      </c>
      <c r="C1544" s="0" t="n">
        <v>9</v>
      </c>
      <c r="D1544" s="0" t="n">
        <f aca="false">-1+A1544*0.125</f>
        <v>-0.375</v>
      </c>
      <c r="E1544" s="0" t="n">
        <f aca="false">-1+B1544*0.125</f>
        <v>-0.375</v>
      </c>
      <c r="F1544" s="0" t="n">
        <f aca="false">-1+C1544*0.125</f>
        <v>0.125</v>
      </c>
      <c r="G1544" s="0" t="n">
        <f aca="false">1</f>
        <v>1</v>
      </c>
      <c r="H1544" s="0" t="n">
        <f aca="false">D1544</f>
        <v>-0.375</v>
      </c>
      <c r="I1544" s="0" t="n">
        <f aca="false">E1544</f>
        <v>-0.375</v>
      </c>
      <c r="J1544" s="0" t="n">
        <f aca="false">F1544</f>
        <v>0.125</v>
      </c>
      <c r="K1544" s="0" t="n">
        <f aca="false">D1544*E1544</f>
        <v>0.140625</v>
      </c>
      <c r="L1544" s="0" t="n">
        <f aca="false">D1544*F1544</f>
        <v>-0.046875</v>
      </c>
      <c r="M1544" s="0" t="n">
        <f aca="false">E1544*F1544</f>
        <v>-0.046875</v>
      </c>
      <c r="N1544" s="0" t="n">
        <f aca="false">D1544*D1544</f>
        <v>0.140625</v>
      </c>
      <c r="O1544" s="0" t="n">
        <f aca="false">E1544*E1544</f>
        <v>0.140625</v>
      </c>
      <c r="P1544" s="0" t="n">
        <f aca="false">F1544*F1544</f>
        <v>0.015625</v>
      </c>
      <c r="Q1544" s="0" t="n">
        <f aca="false">SUMPRODUCT(G1544:P1544,_XtX!$B$71:$K$71)</f>
        <v>46.301015625</v>
      </c>
      <c r="R1544" s="0" t="n">
        <f aca="false">SUMPRODUCT(MMULT(G1544:P1544,_XtX!$B$58:$K$67),G1544:P1544)</f>
        <v>0.131781005859375</v>
      </c>
      <c r="S1544" s="0" t="n">
        <f aca="false">04_回帰ANOVA!$K$19*04_回帰ANOVA!$K$14*SQRT(1+R1544)</f>
        <v>0.989117388188007</v>
      </c>
      <c r="T1544" s="0" t="n">
        <f aca="false">Q1544-S1544</f>
        <v>45.311898236812</v>
      </c>
      <c r="U1544" s="0" t="n">
        <f aca="false">Q1544+S1544</f>
        <v>47.290133013188</v>
      </c>
      <c r="V1544" s="54" t="b">
        <f aca="false">AND(D1544&gt;=01_因子設定!$L$5-0.000000001,D1544&lt;=01_因子設定!$M$5+0.000000001,E1544&gt;=01_因子設定!$L$6-0.000000001,E1544&lt;=01_因子設定!$M$6+0.000000001,F1544&gt;=01_因子設定!$L$7-0.000000001,F1544&lt;=01_因子設定!$M$7+0.000000001,IF(01_因子設定!$B$20="Box-Behnken",D1544^2+E1544^2+F1544^2&lt;=2+0.000000001,TRUE()))</f>
        <v>1</v>
      </c>
      <c r="W1544" s="55" t="n">
        <f aca="false">IF(V1544,IF(01_因子設定!$B$13="最大化",T1544-01_因子設定!$B$14,IF(01_因子設定!$B$13="最小化",01_因子設定!$B$15-U1544,MIN(T1544-01_因子設定!$B$14,01_因子設定!$B$15-U1544))),-1E+030)</f>
        <v>-3.188101763188</v>
      </c>
      <c r="X1544" s="55" t="n">
        <f aca="false">IF(V1544,IF(01_因子設定!$B$13="最大化",Q1544,IF(01_因子設定!$B$13="最小化",-Q1544,-ABS(Q1544-01_因子設定!$B$16))),-1E+030)</f>
        <v>46.301015625</v>
      </c>
      <c r="Y1544" s="55" t="n">
        <f aca="false">W1544+ROW()*0.000000001</f>
        <v>-3.188100219188</v>
      </c>
      <c r="Z1544" s="55" t="n">
        <f aca="false">X1544+ROW()*0.000000001</f>
        <v>46.301017169</v>
      </c>
    </row>
    <row r="1545" customFormat="false" ht="15" hidden="false" customHeight="false" outlineLevel="0" collapsed="false">
      <c r="A1545" s="0" t="n">
        <v>5</v>
      </c>
      <c r="B1545" s="0" t="n">
        <v>5</v>
      </c>
      <c r="C1545" s="0" t="n">
        <v>10</v>
      </c>
      <c r="D1545" s="0" t="n">
        <f aca="false">-1+A1545*0.125</f>
        <v>-0.375</v>
      </c>
      <c r="E1545" s="0" t="n">
        <f aca="false">-1+B1545*0.125</f>
        <v>-0.375</v>
      </c>
      <c r="F1545" s="0" t="n">
        <f aca="false">-1+C1545*0.125</f>
        <v>0.25</v>
      </c>
      <c r="G1545" s="0" t="n">
        <f aca="false">1</f>
        <v>1</v>
      </c>
      <c r="H1545" s="0" t="n">
        <f aca="false">D1545</f>
        <v>-0.375</v>
      </c>
      <c r="I1545" s="0" t="n">
        <f aca="false">E1545</f>
        <v>-0.375</v>
      </c>
      <c r="J1545" s="0" t="n">
        <f aca="false">F1545</f>
        <v>0.25</v>
      </c>
      <c r="K1545" s="0" t="n">
        <f aca="false">D1545*E1545</f>
        <v>0.140625</v>
      </c>
      <c r="L1545" s="0" t="n">
        <f aca="false">D1545*F1545</f>
        <v>-0.09375</v>
      </c>
      <c r="M1545" s="0" t="n">
        <f aca="false">E1545*F1545</f>
        <v>-0.09375</v>
      </c>
      <c r="N1545" s="0" t="n">
        <f aca="false">D1545*D1545</f>
        <v>0.140625</v>
      </c>
      <c r="O1545" s="0" t="n">
        <f aca="false">E1545*E1545</f>
        <v>0.140625</v>
      </c>
      <c r="P1545" s="0" t="n">
        <f aca="false">F1545*F1545</f>
        <v>0.0625</v>
      </c>
      <c r="Q1545" s="0" t="n">
        <f aca="false">SUMPRODUCT(G1545:P1545,_XtX!$B$71:$K$71)</f>
        <v>46.4042684659091</v>
      </c>
      <c r="R1545" s="0" t="n">
        <f aca="false">SUMPRODUCT(MMULT(G1545:P1545,_XtX!$B$58:$K$67),G1545:P1545)</f>
        <v>0.131591242009943</v>
      </c>
      <c r="S1545" s="0" t="n">
        <f aca="false">04_回帰ANOVA!$K$19*04_回帰ANOVA!$K$14*SQRT(1+R1545)</f>
        <v>0.989034462873572</v>
      </c>
      <c r="T1545" s="0" t="n">
        <f aca="false">Q1545-S1545</f>
        <v>45.4152340030355</v>
      </c>
      <c r="U1545" s="0" t="n">
        <f aca="false">Q1545+S1545</f>
        <v>47.3933029287827</v>
      </c>
      <c r="V1545" s="54" t="b">
        <f aca="false">AND(D1545&gt;=01_因子設定!$L$5-0.000000001,D1545&lt;=01_因子設定!$M$5+0.000000001,E1545&gt;=01_因子設定!$L$6-0.000000001,E1545&lt;=01_因子設定!$M$6+0.000000001,F1545&gt;=01_因子設定!$L$7-0.000000001,F1545&lt;=01_因子設定!$M$7+0.000000001,IF(01_因子設定!$B$20="Box-Behnken",D1545^2+E1545^2+F1545^2&lt;=2+0.000000001,TRUE()))</f>
        <v>1</v>
      </c>
      <c r="W1545" s="55" t="n">
        <f aca="false">IF(V1545,IF(01_因子設定!$B$13="最大化",T1545-01_因子設定!$B$14,IF(01_因子設定!$B$13="最小化",01_因子設定!$B$15-U1545,MIN(T1545-01_因子設定!$B$14,01_因子設定!$B$15-U1545))),-1E+030)</f>
        <v>-3.08476599696447</v>
      </c>
      <c r="X1545" s="55" t="n">
        <f aca="false">IF(V1545,IF(01_因子設定!$B$13="最大化",Q1545,IF(01_因子設定!$B$13="最小化",-Q1545,-ABS(Q1545-01_因子設定!$B$16))),-1E+030)</f>
        <v>46.4042684659091</v>
      </c>
      <c r="Y1545" s="55" t="n">
        <f aca="false">W1545+ROW()*0.000000001</f>
        <v>-3.08476445196447</v>
      </c>
      <c r="Z1545" s="55" t="n">
        <f aca="false">X1545+ROW()*0.000000001</f>
        <v>46.4042700109091</v>
      </c>
    </row>
    <row r="1546" customFormat="false" ht="15" hidden="false" customHeight="false" outlineLevel="0" collapsed="false">
      <c r="A1546" s="0" t="n">
        <v>5</v>
      </c>
      <c r="B1546" s="0" t="n">
        <v>5</v>
      </c>
      <c r="C1546" s="0" t="n">
        <v>11</v>
      </c>
      <c r="D1546" s="0" t="n">
        <f aca="false">-1+A1546*0.125</f>
        <v>-0.375</v>
      </c>
      <c r="E1546" s="0" t="n">
        <f aca="false">-1+B1546*0.125</f>
        <v>-0.375</v>
      </c>
      <c r="F1546" s="0" t="n">
        <f aca="false">-1+C1546*0.125</f>
        <v>0.375</v>
      </c>
      <c r="G1546" s="0" t="n">
        <f aca="false">1</f>
        <v>1</v>
      </c>
      <c r="H1546" s="0" t="n">
        <f aca="false">D1546</f>
        <v>-0.375</v>
      </c>
      <c r="I1546" s="0" t="n">
        <f aca="false">E1546</f>
        <v>-0.375</v>
      </c>
      <c r="J1546" s="0" t="n">
        <f aca="false">F1546</f>
        <v>0.375</v>
      </c>
      <c r="K1546" s="0" t="n">
        <f aca="false">D1546*E1546</f>
        <v>0.140625</v>
      </c>
      <c r="L1546" s="0" t="n">
        <f aca="false">D1546*F1546</f>
        <v>-0.140625</v>
      </c>
      <c r="M1546" s="0" t="n">
        <f aca="false">E1546*F1546</f>
        <v>-0.140625</v>
      </c>
      <c r="N1546" s="0" t="n">
        <f aca="false">D1546*D1546</f>
        <v>0.140625</v>
      </c>
      <c r="O1546" s="0" t="n">
        <f aca="false">E1546*E1546</f>
        <v>0.140625</v>
      </c>
      <c r="P1546" s="0" t="n">
        <f aca="false">F1546*F1546</f>
        <v>0.140625</v>
      </c>
      <c r="Q1546" s="0" t="n">
        <f aca="false">SUMPRODUCT(G1546:P1546,_XtX!$B$71:$K$71)</f>
        <v>46.4707315340909</v>
      </c>
      <c r="R1546" s="0" t="n">
        <f aca="false">SUMPRODUCT(MMULT(G1546:P1546,_XtX!$B$58:$K$67),G1546:P1546)</f>
        <v>0.134826105291193</v>
      </c>
      <c r="S1546" s="0" t="n">
        <f aca="false">04_回帰ANOVA!$K$19*04_回帰ANOVA!$K$14*SQRT(1+R1546)</f>
        <v>0.990447123160393</v>
      </c>
      <c r="T1546" s="0" t="n">
        <f aca="false">Q1546-S1546</f>
        <v>45.4802844109305</v>
      </c>
      <c r="U1546" s="0" t="n">
        <f aca="false">Q1546+S1546</f>
        <v>47.4611786572513</v>
      </c>
      <c r="V1546" s="54" t="b">
        <f aca="false">AND(D1546&gt;=01_因子設定!$L$5-0.000000001,D1546&lt;=01_因子設定!$M$5+0.000000001,E1546&gt;=01_因子設定!$L$6-0.000000001,E1546&lt;=01_因子設定!$M$6+0.000000001,F1546&gt;=01_因子設定!$L$7-0.000000001,F1546&lt;=01_因子設定!$M$7+0.000000001,IF(01_因子設定!$B$20="Box-Behnken",D1546^2+E1546^2+F1546^2&lt;=2+0.000000001,TRUE()))</f>
        <v>1</v>
      </c>
      <c r="W1546" s="55" t="n">
        <f aca="false">IF(V1546,IF(01_因子設定!$B$13="最大化",T1546-01_因子設定!$B$14,IF(01_因子設定!$B$13="最小化",01_因子設定!$B$15-U1546,MIN(T1546-01_因子設定!$B$14,01_因子設定!$B$15-U1546))),-1E+030)</f>
        <v>-3.01971558906948</v>
      </c>
      <c r="X1546" s="55" t="n">
        <f aca="false">IF(V1546,IF(01_因子設定!$B$13="最大化",Q1546,IF(01_因子設定!$B$13="最小化",-Q1546,-ABS(Q1546-01_因子設定!$B$16))),-1E+030)</f>
        <v>46.4707315340909</v>
      </c>
      <c r="Y1546" s="55" t="n">
        <f aca="false">W1546+ROW()*0.000000001</f>
        <v>-3.01971404306948</v>
      </c>
      <c r="Z1546" s="55" t="n">
        <f aca="false">X1546+ROW()*0.000000001</f>
        <v>46.4707330800909</v>
      </c>
    </row>
    <row r="1547" customFormat="false" ht="15" hidden="false" customHeight="false" outlineLevel="0" collapsed="false">
      <c r="A1547" s="0" t="n">
        <v>5</v>
      </c>
      <c r="B1547" s="0" t="n">
        <v>5</v>
      </c>
      <c r="C1547" s="0" t="n">
        <v>12</v>
      </c>
      <c r="D1547" s="0" t="n">
        <f aca="false">-1+A1547*0.125</f>
        <v>-0.375</v>
      </c>
      <c r="E1547" s="0" t="n">
        <f aca="false">-1+B1547*0.125</f>
        <v>-0.375</v>
      </c>
      <c r="F1547" s="0" t="n">
        <f aca="false">-1+C1547*0.125</f>
        <v>0.5</v>
      </c>
      <c r="G1547" s="0" t="n">
        <f aca="false">1</f>
        <v>1</v>
      </c>
      <c r="H1547" s="0" t="n">
        <f aca="false">D1547</f>
        <v>-0.375</v>
      </c>
      <c r="I1547" s="0" t="n">
        <f aca="false">E1547</f>
        <v>-0.375</v>
      </c>
      <c r="J1547" s="0" t="n">
        <f aca="false">F1547</f>
        <v>0.5</v>
      </c>
      <c r="K1547" s="0" t="n">
        <f aca="false">D1547*E1547</f>
        <v>0.140625</v>
      </c>
      <c r="L1547" s="0" t="n">
        <f aca="false">D1547*F1547</f>
        <v>-0.1875</v>
      </c>
      <c r="M1547" s="0" t="n">
        <f aca="false">E1547*F1547</f>
        <v>-0.1875</v>
      </c>
      <c r="N1547" s="0" t="n">
        <f aca="false">D1547*D1547</f>
        <v>0.140625</v>
      </c>
      <c r="O1547" s="0" t="n">
        <f aca="false">E1547*E1547</f>
        <v>0.140625</v>
      </c>
      <c r="P1547" s="0" t="n">
        <f aca="false">F1547*F1547</f>
        <v>0.25</v>
      </c>
      <c r="Q1547" s="0" t="n">
        <f aca="false">SUMPRODUCT(G1547:P1547,_XtX!$B$71:$K$71)</f>
        <v>46.5004048295455</v>
      </c>
      <c r="R1547" s="0" t="n">
        <f aca="false">SUMPRODUCT(MMULT(G1547:P1547,_XtX!$B$58:$K$67),G1547:P1547)</f>
        <v>0.14681230024858</v>
      </c>
      <c r="S1547" s="0" t="n">
        <f aca="false">04_回帰ANOVA!$K$19*04_回帰ANOVA!$K$14*SQRT(1+R1547)</f>
        <v>0.995664005771711</v>
      </c>
      <c r="T1547" s="0" t="n">
        <f aca="false">Q1547-S1547</f>
        <v>45.5047408237738</v>
      </c>
      <c r="U1547" s="0" t="n">
        <f aca="false">Q1547+S1547</f>
        <v>47.4960688353172</v>
      </c>
      <c r="V1547" s="54" t="b">
        <f aca="false">AND(D1547&gt;=01_因子設定!$L$5-0.000000001,D1547&lt;=01_因子設定!$M$5+0.000000001,E1547&gt;=01_因子設定!$L$6-0.000000001,E1547&lt;=01_因子設定!$M$6+0.000000001,F1547&gt;=01_因子設定!$L$7-0.000000001,F1547&lt;=01_因子設定!$M$7+0.000000001,IF(01_因子設定!$B$20="Box-Behnken",D1547^2+E1547^2+F1547^2&lt;=2+0.000000001,TRUE()))</f>
        <v>1</v>
      </c>
      <c r="W1547" s="55" t="n">
        <f aca="false">IF(V1547,IF(01_因子設定!$B$13="最大化",T1547-01_因子設定!$B$14,IF(01_因子設定!$B$13="最小化",01_因子設定!$B$15-U1547,MIN(T1547-01_因子設定!$B$14,01_因子設定!$B$15-U1547))),-1E+030)</f>
        <v>-2.99525917622624</v>
      </c>
      <c r="X1547" s="55" t="n">
        <f aca="false">IF(V1547,IF(01_因子設定!$B$13="最大化",Q1547,IF(01_因子設定!$B$13="最小化",-Q1547,-ABS(Q1547-01_因子設定!$B$16))),-1E+030)</f>
        <v>46.5004048295455</v>
      </c>
      <c r="Y1547" s="55" t="n">
        <f aca="false">W1547+ROW()*0.000000001</f>
        <v>-2.99525762922624</v>
      </c>
      <c r="Z1547" s="55" t="n">
        <f aca="false">X1547+ROW()*0.000000001</f>
        <v>46.5004063765455</v>
      </c>
    </row>
    <row r="1548" customFormat="false" ht="15" hidden="false" customHeight="false" outlineLevel="0" collapsed="false">
      <c r="A1548" s="0" t="n">
        <v>5</v>
      </c>
      <c r="B1548" s="0" t="n">
        <v>5</v>
      </c>
      <c r="C1548" s="0" t="n">
        <v>13</v>
      </c>
      <c r="D1548" s="0" t="n">
        <f aca="false">-1+A1548*0.125</f>
        <v>-0.375</v>
      </c>
      <c r="E1548" s="0" t="n">
        <f aca="false">-1+B1548*0.125</f>
        <v>-0.375</v>
      </c>
      <c r="F1548" s="0" t="n">
        <f aca="false">-1+C1548*0.125</f>
        <v>0.625</v>
      </c>
      <c r="G1548" s="0" t="n">
        <f aca="false">1</f>
        <v>1</v>
      </c>
      <c r="H1548" s="0" t="n">
        <f aca="false">D1548</f>
        <v>-0.375</v>
      </c>
      <c r="I1548" s="0" t="n">
        <f aca="false">E1548</f>
        <v>-0.375</v>
      </c>
      <c r="J1548" s="0" t="n">
        <f aca="false">F1548</f>
        <v>0.625</v>
      </c>
      <c r="K1548" s="0" t="n">
        <f aca="false">D1548*E1548</f>
        <v>0.140625</v>
      </c>
      <c r="L1548" s="0" t="n">
        <f aca="false">D1548*F1548</f>
        <v>-0.234375</v>
      </c>
      <c r="M1548" s="0" t="n">
        <f aca="false">E1548*F1548</f>
        <v>-0.234375</v>
      </c>
      <c r="N1548" s="0" t="n">
        <f aca="false">D1548*D1548</f>
        <v>0.140625</v>
      </c>
      <c r="O1548" s="0" t="n">
        <f aca="false">E1548*E1548</f>
        <v>0.140625</v>
      </c>
      <c r="P1548" s="0" t="n">
        <f aca="false">F1548*F1548</f>
        <v>0.390625</v>
      </c>
      <c r="Q1548" s="0" t="n">
        <f aca="false">SUMPRODUCT(G1548:P1548,_XtX!$B$71:$K$71)</f>
        <v>46.4932883522727</v>
      </c>
      <c r="R1548" s="0" t="n">
        <f aca="false">SUMPRODUCT(MMULT(G1548:P1548,_XtX!$B$58:$K$67),G1548:P1548)</f>
        <v>0.175007213245739</v>
      </c>
      <c r="S1548" s="0" t="n">
        <f aca="false">04_回帰ANOVA!$K$19*04_回帰ANOVA!$K$14*SQRT(1+R1548)</f>
        <v>1.0078291195273</v>
      </c>
      <c r="T1548" s="0" t="n">
        <f aca="false">Q1548-S1548</f>
        <v>45.4854592327454</v>
      </c>
      <c r="U1548" s="0" t="n">
        <f aca="false">Q1548+S1548</f>
        <v>47.5011174718</v>
      </c>
      <c r="V1548" s="54" t="b">
        <f aca="false">AND(D1548&gt;=01_因子設定!$L$5-0.000000001,D1548&lt;=01_因子設定!$M$5+0.000000001,E1548&gt;=01_因子設定!$L$6-0.000000001,E1548&lt;=01_因子設定!$M$6+0.000000001,F1548&gt;=01_因子設定!$L$7-0.000000001,F1548&lt;=01_因子設定!$M$7+0.000000001,IF(01_因子設定!$B$20="Box-Behnken",D1548^2+E1548^2+F1548^2&lt;=2+0.000000001,TRUE()))</f>
        <v>1</v>
      </c>
      <c r="W1548" s="55" t="n">
        <f aca="false">IF(V1548,IF(01_因子設定!$B$13="最大化",T1548-01_因子設定!$B$14,IF(01_因子設定!$B$13="最小化",01_因子設定!$B$15-U1548,MIN(T1548-01_因子設定!$B$14,01_因子設定!$B$15-U1548))),-1E+030)</f>
        <v>-3.01454076725456</v>
      </c>
      <c r="X1548" s="55" t="n">
        <f aca="false">IF(V1548,IF(01_因子設定!$B$13="最大化",Q1548,IF(01_因子設定!$B$13="最小化",-Q1548,-ABS(Q1548-01_因子設定!$B$16))),-1E+030)</f>
        <v>46.4932883522727</v>
      </c>
      <c r="Y1548" s="55" t="n">
        <f aca="false">W1548+ROW()*0.000000001</f>
        <v>-3.01453921925456</v>
      </c>
      <c r="Z1548" s="55" t="n">
        <f aca="false">X1548+ROW()*0.000000001</f>
        <v>46.4932899002727</v>
      </c>
    </row>
    <row r="1549" customFormat="false" ht="15" hidden="false" customHeight="false" outlineLevel="0" collapsed="false">
      <c r="A1549" s="0" t="n">
        <v>5</v>
      </c>
      <c r="B1549" s="0" t="n">
        <v>5</v>
      </c>
      <c r="C1549" s="0" t="n">
        <v>14</v>
      </c>
      <c r="D1549" s="0" t="n">
        <f aca="false">-1+A1549*0.125</f>
        <v>-0.375</v>
      </c>
      <c r="E1549" s="0" t="n">
        <f aca="false">-1+B1549*0.125</f>
        <v>-0.375</v>
      </c>
      <c r="F1549" s="0" t="n">
        <f aca="false">-1+C1549*0.125</f>
        <v>0.75</v>
      </c>
      <c r="G1549" s="0" t="n">
        <f aca="false">1</f>
        <v>1</v>
      </c>
      <c r="H1549" s="0" t="n">
        <f aca="false">D1549</f>
        <v>-0.375</v>
      </c>
      <c r="I1549" s="0" t="n">
        <f aca="false">E1549</f>
        <v>-0.375</v>
      </c>
      <c r="J1549" s="0" t="n">
        <f aca="false">F1549</f>
        <v>0.75</v>
      </c>
      <c r="K1549" s="0" t="n">
        <f aca="false">D1549*E1549</f>
        <v>0.140625</v>
      </c>
      <c r="L1549" s="0" t="n">
        <f aca="false">D1549*F1549</f>
        <v>-0.28125</v>
      </c>
      <c r="M1549" s="0" t="n">
        <f aca="false">E1549*F1549</f>
        <v>-0.28125</v>
      </c>
      <c r="N1549" s="0" t="n">
        <f aca="false">D1549*D1549</f>
        <v>0.140625</v>
      </c>
      <c r="O1549" s="0" t="n">
        <f aca="false">E1549*E1549</f>
        <v>0.140625</v>
      </c>
      <c r="P1549" s="0" t="n">
        <f aca="false">F1549*F1549</f>
        <v>0.5625</v>
      </c>
      <c r="Q1549" s="0" t="n">
        <f aca="false">SUMPRODUCT(G1549:P1549,_XtX!$B$71:$K$71)</f>
        <v>46.4493821022727</v>
      </c>
      <c r="R1549" s="0" t="n">
        <f aca="false">SUMPRODUCT(MMULT(G1549:P1549,_XtX!$B$58:$K$67),G1549:P1549)</f>
        <v>0.228998912464489</v>
      </c>
      <c r="S1549" s="0" t="n">
        <f aca="false">04_回帰ANOVA!$K$19*04_回帰ANOVA!$K$14*SQRT(1+R1549)</f>
        <v>1.03072399242813</v>
      </c>
      <c r="T1549" s="0" t="n">
        <f aca="false">Q1549-S1549</f>
        <v>45.4186581098446</v>
      </c>
      <c r="U1549" s="0" t="n">
        <f aca="false">Q1549+S1549</f>
        <v>47.4801060947009</v>
      </c>
      <c r="V1549" s="54" t="b">
        <f aca="false">AND(D1549&gt;=01_因子設定!$L$5-0.000000001,D1549&lt;=01_因子設定!$M$5+0.000000001,E1549&gt;=01_因子設定!$L$6-0.000000001,E1549&lt;=01_因子設定!$M$6+0.000000001,F1549&gt;=01_因子設定!$L$7-0.000000001,F1549&lt;=01_因子設定!$M$7+0.000000001,IF(01_因子設定!$B$20="Box-Behnken",D1549^2+E1549^2+F1549^2&lt;=2+0.000000001,TRUE()))</f>
        <v>1</v>
      </c>
      <c r="W1549" s="55" t="n">
        <f aca="false">IF(V1549,IF(01_因子設定!$B$13="最大化",T1549-01_因子設定!$B$14,IF(01_因子設定!$B$13="最小化",01_因子設定!$B$15-U1549,MIN(T1549-01_因子設定!$B$14,01_因子設定!$B$15-U1549))),-1E+030)</f>
        <v>-3.08134189015539</v>
      </c>
      <c r="X1549" s="55" t="n">
        <f aca="false">IF(V1549,IF(01_因子設定!$B$13="最大化",Q1549,IF(01_因子設定!$B$13="最小化",-Q1549,-ABS(Q1549-01_因子設定!$B$16))),-1E+030)</f>
        <v>46.4493821022727</v>
      </c>
      <c r="Y1549" s="55" t="n">
        <f aca="false">W1549+ROW()*0.000000001</f>
        <v>-3.08134034115539</v>
      </c>
      <c r="Z1549" s="55" t="n">
        <f aca="false">X1549+ROW()*0.000000001</f>
        <v>46.4493836512727</v>
      </c>
    </row>
    <row r="1550" customFormat="false" ht="15" hidden="false" customHeight="false" outlineLevel="0" collapsed="false">
      <c r="A1550" s="0" t="n">
        <v>5</v>
      </c>
      <c r="B1550" s="0" t="n">
        <v>5</v>
      </c>
      <c r="C1550" s="0" t="n">
        <v>15</v>
      </c>
      <c r="D1550" s="0" t="n">
        <f aca="false">-1+A1550*0.125</f>
        <v>-0.375</v>
      </c>
      <c r="E1550" s="0" t="n">
        <f aca="false">-1+B1550*0.125</f>
        <v>-0.375</v>
      </c>
      <c r="F1550" s="0" t="n">
        <f aca="false">-1+C1550*0.125</f>
        <v>0.875</v>
      </c>
      <c r="G1550" s="0" t="n">
        <f aca="false">1</f>
        <v>1</v>
      </c>
      <c r="H1550" s="0" t="n">
        <f aca="false">D1550</f>
        <v>-0.375</v>
      </c>
      <c r="I1550" s="0" t="n">
        <f aca="false">E1550</f>
        <v>-0.375</v>
      </c>
      <c r="J1550" s="0" t="n">
        <f aca="false">F1550</f>
        <v>0.875</v>
      </c>
      <c r="K1550" s="0" t="n">
        <f aca="false">D1550*E1550</f>
        <v>0.140625</v>
      </c>
      <c r="L1550" s="0" t="n">
        <f aca="false">D1550*F1550</f>
        <v>-0.328125</v>
      </c>
      <c r="M1550" s="0" t="n">
        <f aca="false">E1550*F1550</f>
        <v>-0.328125</v>
      </c>
      <c r="N1550" s="0" t="n">
        <f aca="false">D1550*D1550</f>
        <v>0.140625</v>
      </c>
      <c r="O1550" s="0" t="n">
        <f aca="false">E1550*E1550</f>
        <v>0.140625</v>
      </c>
      <c r="P1550" s="0" t="n">
        <f aca="false">F1550*F1550</f>
        <v>0.765625</v>
      </c>
      <c r="Q1550" s="0" t="n">
        <f aca="false">SUMPRODUCT(G1550:P1550,_XtX!$B$71:$K$71)</f>
        <v>46.3686860795455</v>
      </c>
      <c r="R1550" s="0" t="n">
        <f aca="false">SUMPRODUCT(MMULT(G1550:P1550,_XtX!$B$58:$K$67),G1550:P1550)</f>
        <v>0.32050614790483</v>
      </c>
      <c r="S1550" s="0" t="n">
        <f aca="false">04_回帰ANOVA!$K$19*04_回帰ANOVA!$K$14*SQRT(1+R1550)</f>
        <v>1.06840730759619</v>
      </c>
      <c r="T1550" s="0" t="n">
        <f aca="false">Q1550-S1550</f>
        <v>45.3002787719493</v>
      </c>
      <c r="U1550" s="0" t="n">
        <f aca="false">Q1550+S1550</f>
        <v>47.4370933871417</v>
      </c>
      <c r="V1550" s="54" t="b">
        <f aca="false">AND(D1550&gt;=01_因子設定!$L$5-0.000000001,D1550&lt;=01_因子設定!$M$5+0.000000001,E1550&gt;=01_因子設定!$L$6-0.000000001,E1550&lt;=01_因子設定!$M$6+0.000000001,F1550&gt;=01_因子設定!$L$7-0.000000001,F1550&lt;=01_因子設定!$M$7+0.000000001,IF(01_因子設定!$B$20="Box-Behnken",D1550^2+E1550^2+F1550^2&lt;=2+0.000000001,TRUE()))</f>
        <v>1</v>
      </c>
      <c r="W1550" s="55" t="n">
        <f aca="false">IF(V1550,IF(01_因子設定!$B$13="最大化",T1550-01_因子設定!$B$14,IF(01_因子設定!$B$13="最小化",01_因子設定!$B$15-U1550,MIN(T1550-01_因子設定!$B$14,01_因子設定!$B$15-U1550))),-1E+030)</f>
        <v>-3.19972122805071</v>
      </c>
      <c r="X1550" s="55" t="n">
        <f aca="false">IF(V1550,IF(01_因子設定!$B$13="最大化",Q1550,IF(01_因子設定!$B$13="最小化",-Q1550,-ABS(Q1550-01_因子設定!$B$16))),-1E+030)</f>
        <v>46.3686860795455</v>
      </c>
      <c r="Y1550" s="55" t="n">
        <f aca="false">W1550+ROW()*0.000000001</f>
        <v>-3.19971967805071</v>
      </c>
      <c r="Z1550" s="55" t="n">
        <f aca="false">X1550+ROW()*0.000000001</f>
        <v>46.3686876295455</v>
      </c>
    </row>
    <row r="1551" customFormat="false" ht="15" hidden="false" customHeight="false" outlineLevel="0" collapsed="false">
      <c r="A1551" s="0" t="n">
        <v>5</v>
      </c>
      <c r="B1551" s="0" t="n">
        <v>5</v>
      </c>
      <c r="C1551" s="0" t="n">
        <v>16</v>
      </c>
      <c r="D1551" s="0" t="n">
        <f aca="false">-1+A1551*0.125</f>
        <v>-0.375</v>
      </c>
      <c r="E1551" s="0" t="n">
        <f aca="false">-1+B1551*0.125</f>
        <v>-0.375</v>
      </c>
      <c r="F1551" s="0" t="n">
        <f aca="false">-1+C1551*0.125</f>
        <v>1</v>
      </c>
      <c r="G1551" s="0" t="n">
        <f aca="false">1</f>
        <v>1</v>
      </c>
      <c r="H1551" s="0" t="n">
        <f aca="false">D1551</f>
        <v>-0.375</v>
      </c>
      <c r="I1551" s="0" t="n">
        <f aca="false">E1551</f>
        <v>-0.375</v>
      </c>
      <c r="J1551" s="0" t="n">
        <f aca="false">F1551</f>
        <v>1</v>
      </c>
      <c r="K1551" s="0" t="n">
        <f aca="false">D1551*E1551</f>
        <v>0.140625</v>
      </c>
      <c r="L1551" s="0" t="n">
        <f aca="false">D1551*F1551</f>
        <v>-0.375</v>
      </c>
      <c r="M1551" s="0" t="n">
        <f aca="false">E1551*F1551</f>
        <v>-0.375</v>
      </c>
      <c r="N1551" s="0" t="n">
        <f aca="false">D1551*D1551</f>
        <v>0.140625</v>
      </c>
      <c r="O1551" s="0" t="n">
        <f aca="false">E1551*E1551</f>
        <v>0.140625</v>
      </c>
      <c r="P1551" s="0" t="n">
        <f aca="false">F1551*F1551</f>
        <v>1</v>
      </c>
      <c r="Q1551" s="0" t="n">
        <f aca="false">SUMPRODUCT(G1551:P1551,_XtX!$B$71:$K$71)</f>
        <v>46.2512002840909</v>
      </c>
      <c r="R1551" s="0" t="n">
        <f aca="false">SUMPRODUCT(MMULT(G1551:P1551,_XtX!$B$58:$K$67),G1551:P1551)</f>
        <v>0.463378351384943</v>
      </c>
      <c r="S1551" s="0" t="n">
        <f aca="false">04_回帰ANOVA!$K$19*04_回帰ANOVA!$K$14*SQRT(1+R1551)</f>
        <v>1.12472137547772</v>
      </c>
      <c r="T1551" s="0" t="n">
        <f aca="false">Q1551-S1551</f>
        <v>45.1264789086132</v>
      </c>
      <c r="U1551" s="0" t="n">
        <f aca="false">Q1551+S1551</f>
        <v>47.3759216595687</v>
      </c>
      <c r="V1551" s="54" t="b">
        <f aca="false">AND(D1551&gt;=01_因子設定!$L$5-0.000000001,D1551&lt;=01_因子設定!$M$5+0.000000001,E1551&gt;=01_因子設定!$L$6-0.000000001,E1551&lt;=01_因子設定!$M$6+0.000000001,F1551&gt;=01_因子設定!$L$7-0.000000001,F1551&lt;=01_因子設定!$M$7+0.000000001,IF(01_因子設定!$B$20="Box-Behnken",D1551^2+E1551^2+F1551^2&lt;=2+0.000000001,TRUE()))</f>
        <v>1</v>
      </c>
      <c r="W1551" s="55" t="n">
        <f aca="false">IF(V1551,IF(01_因子設定!$B$13="最大化",T1551-01_因子設定!$B$14,IF(01_因子設定!$B$13="最小化",01_因子設定!$B$15-U1551,MIN(T1551-01_因子設定!$B$14,01_因子設定!$B$15-U1551))),-1E+030)</f>
        <v>-3.37352109138678</v>
      </c>
      <c r="X1551" s="55" t="n">
        <f aca="false">IF(V1551,IF(01_因子設定!$B$13="最大化",Q1551,IF(01_因子設定!$B$13="最小化",-Q1551,-ABS(Q1551-01_因子設定!$B$16))),-1E+030)</f>
        <v>46.2512002840909</v>
      </c>
      <c r="Y1551" s="55" t="n">
        <f aca="false">W1551+ROW()*0.000000001</f>
        <v>-3.37351954038678</v>
      </c>
      <c r="Z1551" s="55" t="n">
        <f aca="false">X1551+ROW()*0.000000001</f>
        <v>46.2512018350909</v>
      </c>
    </row>
    <row r="1552" customFormat="false" ht="15" hidden="false" customHeight="false" outlineLevel="0" collapsed="false">
      <c r="A1552" s="0" t="n">
        <v>5</v>
      </c>
      <c r="B1552" s="0" t="n">
        <v>6</v>
      </c>
      <c r="C1552" s="0" t="n">
        <v>0</v>
      </c>
      <c r="D1552" s="0" t="n">
        <f aca="false">-1+A1552*0.125</f>
        <v>-0.375</v>
      </c>
      <c r="E1552" s="0" t="n">
        <f aca="false">-1+B1552*0.125</f>
        <v>-0.25</v>
      </c>
      <c r="F1552" s="0" t="n">
        <f aca="false">-1+C1552*0.125</f>
        <v>-1</v>
      </c>
      <c r="G1552" s="0" t="n">
        <f aca="false">1</f>
        <v>1</v>
      </c>
      <c r="H1552" s="0" t="n">
        <f aca="false">D1552</f>
        <v>-0.375</v>
      </c>
      <c r="I1552" s="0" t="n">
        <f aca="false">E1552</f>
        <v>-0.25</v>
      </c>
      <c r="J1552" s="0" t="n">
        <f aca="false">F1552</f>
        <v>-1</v>
      </c>
      <c r="K1552" s="0" t="n">
        <f aca="false">D1552*E1552</f>
        <v>0.09375</v>
      </c>
      <c r="L1552" s="0" t="n">
        <f aca="false">D1552*F1552</f>
        <v>0.375</v>
      </c>
      <c r="M1552" s="0" t="n">
        <f aca="false">E1552*F1552</f>
        <v>0.25</v>
      </c>
      <c r="N1552" s="0" t="n">
        <f aca="false">D1552*D1552</f>
        <v>0.140625</v>
      </c>
      <c r="O1552" s="0" t="n">
        <f aca="false">E1552*E1552</f>
        <v>0.0625</v>
      </c>
      <c r="P1552" s="0" t="n">
        <f aca="false">F1552*F1552</f>
        <v>1</v>
      </c>
      <c r="Q1552" s="0" t="n">
        <f aca="false">SUMPRODUCT(G1552:P1552,_XtX!$B$71:$K$71)</f>
        <v>44.0196590909091</v>
      </c>
      <c r="R1552" s="0" t="n">
        <f aca="false">SUMPRODUCT(MMULT(G1552:P1552,_XtX!$B$58:$K$67),G1552:P1552)</f>
        <v>0.470061700994318</v>
      </c>
      <c r="S1552" s="0" t="n">
        <f aca="false">04_回帰ANOVA!$K$19*04_回帰ANOVA!$K$14*SQRT(1+R1552)</f>
        <v>1.12728678965931</v>
      </c>
      <c r="T1552" s="0" t="n">
        <f aca="false">Q1552-S1552</f>
        <v>42.8923723012498</v>
      </c>
      <c r="U1552" s="0" t="n">
        <f aca="false">Q1552+S1552</f>
        <v>45.1469458805684</v>
      </c>
      <c r="V1552" s="54" t="b">
        <f aca="false">AND(D1552&gt;=01_因子設定!$L$5-0.000000001,D1552&lt;=01_因子設定!$M$5+0.000000001,E1552&gt;=01_因子設定!$L$6-0.000000001,E1552&lt;=01_因子設定!$M$6+0.000000001,F1552&gt;=01_因子設定!$L$7-0.000000001,F1552&lt;=01_因子設定!$M$7+0.000000001,IF(01_因子設定!$B$20="Box-Behnken",D1552^2+E1552^2+F1552^2&lt;=2+0.000000001,TRUE()))</f>
        <v>1</v>
      </c>
      <c r="W1552" s="55" t="n">
        <f aca="false">IF(V1552,IF(01_因子設定!$B$13="最大化",T1552-01_因子設定!$B$14,IF(01_因子設定!$B$13="最小化",01_因子設定!$B$15-U1552,MIN(T1552-01_因子設定!$B$14,01_因子設定!$B$15-U1552))),-1E+030)</f>
        <v>-5.60762769875019</v>
      </c>
      <c r="X1552" s="55" t="n">
        <f aca="false">IF(V1552,IF(01_因子設定!$B$13="最大化",Q1552,IF(01_因子設定!$B$13="最小化",-Q1552,-ABS(Q1552-01_因子設定!$B$16))),-1E+030)</f>
        <v>44.0196590909091</v>
      </c>
      <c r="Y1552" s="55" t="n">
        <f aca="false">W1552+ROW()*0.000000001</f>
        <v>-5.60762614675019</v>
      </c>
      <c r="Z1552" s="55" t="n">
        <f aca="false">X1552+ROW()*0.000000001</f>
        <v>44.0196606429091</v>
      </c>
    </row>
    <row r="1553" customFormat="false" ht="15" hidden="false" customHeight="false" outlineLevel="0" collapsed="false">
      <c r="A1553" s="0" t="n">
        <v>5</v>
      </c>
      <c r="B1553" s="0" t="n">
        <v>6</v>
      </c>
      <c r="C1553" s="0" t="n">
        <v>1</v>
      </c>
      <c r="D1553" s="0" t="n">
        <f aca="false">-1+A1553*0.125</f>
        <v>-0.375</v>
      </c>
      <c r="E1553" s="0" t="n">
        <f aca="false">-1+B1553*0.125</f>
        <v>-0.25</v>
      </c>
      <c r="F1553" s="0" t="n">
        <f aca="false">-1+C1553*0.125</f>
        <v>-0.875</v>
      </c>
      <c r="G1553" s="0" t="n">
        <f aca="false">1</f>
        <v>1</v>
      </c>
      <c r="H1553" s="0" t="n">
        <f aca="false">D1553</f>
        <v>-0.375</v>
      </c>
      <c r="I1553" s="0" t="n">
        <f aca="false">E1553</f>
        <v>-0.25</v>
      </c>
      <c r="J1553" s="0" t="n">
        <f aca="false">F1553</f>
        <v>-0.875</v>
      </c>
      <c r="K1553" s="0" t="n">
        <f aca="false">D1553*E1553</f>
        <v>0.09375</v>
      </c>
      <c r="L1553" s="0" t="n">
        <f aca="false">D1553*F1553</f>
        <v>0.328125</v>
      </c>
      <c r="M1553" s="0" t="n">
        <f aca="false">E1553*F1553</f>
        <v>0.21875</v>
      </c>
      <c r="N1553" s="0" t="n">
        <f aca="false">D1553*D1553</f>
        <v>0.140625</v>
      </c>
      <c r="O1553" s="0" t="n">
        <f aca="false">E1553*E1553</f>
        <v>0.0625</v>
      </c>
      <c r="P1553" s="0" t="n">
        <f aca="false">F1553*F1553</f>
        <v>0.765625</v>
      </c>
      <c r="Q1553" s="0" t="n">
        <f aca="false">SUMPRODUCT(G1553:P1553,_XtX!$B$71:$K$71)</f>
        <v>44.4610511363637</v>
      </c>
      <c r="R1553" s="0" t="n">
        <f aca="false">SUMPRODUCT(MMULT(G1553:P1553,_XtX!$B$58:$K$67),G1553:P1553)</f>
        <v>0.324484530362216</v>
      </c>
      <c r="S1553" s="0" t="n">
        <f aca="false">04_回帰ANOVA!$K$19*04_回帰ANOVA!$K$14*SQRT(1+R1553)</f>
        <v>1.07001553041279</v>
      </c>
      <c r="T1553" s="0" t="n">
        <f aca="false">Q1553-S1553</f>
        <v>43.3910356059509</v>
      </c>
      <c r="U1553" s="0" t="n">
        <f aca="false">Q1553+S1553</f>
        <v>45.5310666667765</v>
      </c>
      <c r="V1553" s="54" t="b">
        <f aca="false">AND(D1553&gt;=01_因子設定!$L$5-0.000000001,D1553&lt;=01_因子設定!$M$5+0.000000001,E1553&gt;=01_因子設定!$L$6-0.000000001,E1553&lt;=01_因子設定!$M$6+0.000000001,F1553&gt;=01_因子設定!$L$7-0.000000001,F1553&lt;=01_因子設定!$M$7+0.000000001,IF(01_因子設定!$B$20="Box-Behnken",D1553^2+E1553^2+F1553^2&lt;=2+0.000000001,TRUE()))</f>
        <v>1</v>
      </c>
      <c r="W1553" s="55" t="n">
        <f aca="false">IF(V1553,IF(01_因子設定!$B$13="最大化",T1553-01_因子設定!$B$14,IF(01_因子設定!$B$13="最小化",01_因子設定!$B$15-U1553,MIN(T1553-01_因子設定!$B$14,01_因子設定!$B$15-U1553))),-1E+030)</f>
        <v>-5.10896439404913</v>
      </c>
      <c r="X1553" s="55" t="n">
        <f aca="false">IF(V1553,IF(01_因子設定!$B$13="最大化",Q1553,IF(01_因子設定!$B$13="最小化",-Q1553,-ABS(Q1553-01_因子設定!$B$16))),-1E+030)</f>
        <v>44.4610511363637</v>
      </c>
      <c r="Y1553" s="55" t="n">
        <f aca="false">W1553+ROW()*0.000000001</f>
        <v>-5.10896284104913</v>
      </c>
      <c r="Z1553" s="55" t="n">
        <f aca="false">X1553+ROW()*0.000000001</f>
        <v>44.4610526893637</v>
      </c>
    </row>
    <row r="1554" customFormat="false" ht="15" hidden="false" customHeight="false" outlineLevel="0" collapsed="false">
      <c r="A1554" s="0" t="n">
        <v>5</v>
      </c>
      <c r="B1554" s="0" t="n">
        <v>6</v>
      </c>
      <c r="C1554" s="0" t="n">
        <v>2</v>
      </c>
      <c r="D1554" s="0" t="n">
        <f aca="false">-1+A1554*0.125</f>
        <v>-0.375</v>
      </c>
      <c r="E1554" s="0" t="n">
        <f aca="false">-1+B1554*0.125</f>
        <v>-0.25</v>
      </c>
      <c r="F1554" s="0" t="n">
        <f aca="false">-1+C1554*0.125</f>
        <v>-0.75</v>
      </c>
      <c r="G1554" s="0" t="n">
        <f aca="false">1</f>
        <v>1</v>
      </c>
      <c r="H1554" s="0" t="n">
        <f aca="false">D1554</f>
        <v>-0.375</v>
      </c>
      <c r="I1554" s="0" t="n">
        <f aca="false">E1554</f>
        <v>-0.25</v>
      </c>
      <c r="J1554" s="0" t="n">
        <f aca="false">F1554</f>
        <v>-0.75</v>
      </c>
      <c r="K1554" s="0" t="n">
        <f aca="false">D1554*E1554</f>
        <v>0.09375</v>
      </c>
      <c r="L1554" s="0" t="n">
        <f aca="false">D1554*F1554</f>
        <v>0.28125</v>
      </c>
      <c r="M1554" s="0" t="n">
        <f aca="false">E1554*F1554</f>
        <v>0.1875</v>
      </c>
      <c r="N1554" s="0" t="n">
        <f aca="false">D1554*D1554</f>
        <v>0.140625</v>
      </c>
      <c r="O1554" s="0" t="n">
        <f aca="false">E1554*E1554</f>
        <v>0.0625</v>
      </c>
      <c r="P1554" s="0" t="n">
        <f aca="false">F1554*F1554</f>
        <v>0.5625</v>
      </c>
      <c r="Q1554" s="0" t="n">
        <f aca="false">SUMPRODUCT(G1554:P1554,_XtX!$B$71:$K$71)</f>
        <v>44.8656534090909</v>
      </c>
      <c r="R1554" s="0" t="n">
        <f aca="false">SUMPRODUCT(MMULT(G1554:P1554,_XtX!$B$58:$K$67),G1554:P1554)</f>
        <v>0.230632990056818</v>
      </c>
      <c r="S1554" s="0" t="n">
        <f aca="false">04_回帰ANOVA!$K$19*04_回帰ANOVA!$K$14*SQRT(1+R1554)</f>
        <v>1.03140899038819</v>
      </c>
      <c r="T1554" s="0" t="n">
        <f aca="false">Q1554-S1554</f>
        <v>43.8342444187027</v>
      </c>
      <c r="U1554" s="0" t="n">
        <f aca="false">Q1554+S1554</f>
        <v>45.8970623994791</v>
      </c>
      <c r="V1554" s="54" t="b">
        <f aca="false">AND(D1554&gt;=01_因子設定!$L$5-0.000000001,D1554&lt;=01_因子設定!$M$5+0.000000001,E1554&gt;=01_因子設定!$L$6-0.000000001,E1554&lt;=01_因子設定!$M$6+0.000000001,F1554&gt;=01_因子設定!$L$7-0.000000001,F1554&lt;=01_因子設定!$M$7+0.000000001,IF(01_因子設定!$B$20="Box-Behnken",D1554^2+E1554^2+F1554^2&lt;=2+0.000000001,TRUE()))</f>
        <v>1</v>
      </c>
      <c r="W1554" s="55" t="n">
        <f aca="false">IF(V1554,IF(01_因子設定!$B$13="最大化",T1554-01_因子設定!$B$14,IF(01_因子設定!$B$13="最小化",01_因子設定!$B$15-U1554,MIN(T1554-01_因子設定!$B$14,01_因子設定!$B$15-U1554))),-1E+030)</f>
        <v>-4.66575558129726</v>
      </c>
      <c r="X1554" s="55" t="n">
        <f aca="false">IF(V1554,IF(01_因子設定!$B$13="最大化",Q1554,IF(01_因子設定!$B$13="最小化",-Q1554,-ABS(Q1554-01_因子設定!$B$16))),-1E+030)</f>
        <v>44.8656534090909</v>
      </c>
      <c r="Y1554" s="55" t="n">
        <f aca="false">W1554+ROW()*0.000000001</f>
        <v>-4.66575402729726</v>
      </c>
      <c r="Z1554" s="55" t="n">
        <f aca="false">X1554+ROW()*0.000000001</f>
        <v>44.8656549630909</v>
      </c>
    </row>
    <row r="1555" customFormat="false" ht="15" hidden="false" customHeight="false" outlineLevel="0" collapsed="false">
      <c r="A1555" s="0" t="n">
        <v>5</v>
      </c>
      <c r="B1555" s="0" t="n">
        <v>6</v>
      </c>
      <c r="C1555" s="0" t="n">
        <v>3</v>
      </c>
      <c r="D1555" s="0" t="n">
        <f aca="false">-1+A1555*0.125</f>
        <v>-0.375</v>
      </c>
      <c r="E1555" s="0" t="n">
        <f aca="false">-1+B1555*0.125</f>
        <v>-0.25</v>
      </c>
      <c r="F1555" s="0" t="n">
        <f aca="false">-1+C1555*0.125</f>
        <v>-0.625</v>
      </c>
      <c r="G1555" s="0" t="n">
        <f aca="false">1</f>
        <v>1</v>
      </c>
      <c r="H1555" s="0" t="n">
        <f aca="false">D1555</f>
        <v>-0.375</v>
      </c>
      <c r="I1555" s="0" t="n">
        <f aca="false">E1555</f>
        <v>-0.25</v>
      </c>
      <c r="J1555" s="0" t="n">
        <f aca="false">F1555</f>
        <v>-0.625</v>
      </c>
      <c r="K1555" s="0" t="n">
        <f aca="false">D1555*E1555</f>
        <v>0.09375</v>
      </c>
      <c r="L1555" s="0" t="n">
        <f aca="false">D1555*F1555</f>
        <v>0.234375</v>
      </c>
      <c r="M1555" s="0" t="n">
        <f aca="false">E1555*F1555</f>
        <v>0.15625</v>
      </c>
      <c r="N1555" s="0" t="n">
        <f aca="false">D1555*D1555</f>
        <v>0.140625</v>
      </c>
      <c r="O1555" s="0" t="n">
        <f aca="false">E1555*E1555</f>
        <v>0.0625</v>
      </c>
      <c r="P1555" s="0" t="n">
        <f aca="false">F1555*F1555</f>
        <v>0.390625</v>
      </c>
      <c r="Q1555" s="0" t="n">
        <f aca="false">SUMPRODUCT(G1555:P1555,_XtX!$B$71:$K$71)</f>
        <v>45.2334659090909</v>
      </c>
      <c r="R1555" s="0" t="n">
        <f aca="false">SUMPRODUCT(MMULT(G1555:P1555,_XtX!$B$58:$K$67),G1555:P1555)</f>
        <v>0.174657648259943</v>
      </c>
      <c r="S1555" s="0" t="n">
        <f aca="false">04_回帰ANOVA!$K$19*04_回帰ANOVA!$K$14*SQRT(1+R1555)</f>
        <v>1.00767919364845</v>
      </c>
      <c r="T1555" s="0" t="n">
        <f aca="false">Q1555-S1555</f>
        <v>44.2257867154425</v>
      </c>
      <c r="U1555" s="0" t="n">
        <f aca="false">Q1555+S1555</f>
        <v>46.2411451027394</v>
      </c>
      <c r="V1555" s="54" t="b">
        <f aca="false">AND(D1555&gt;=01_因子設定!$L$5-0.000000001,D1555&lt;=01_因子設定!$M$5+0.000000001,E1555&gt;=01_因子設定!$L$6-0.000000001,E1555&lt;=01_因子設定!$M$6+0.000000001,F1555&gt;=01_因子設定!$L$7-0.000000001,F1555&lt;=01_因子設定!$M$7+0.000000001,IF(01_因子設定!$B$20="Box-Behnken",D1555^2+E1555^2+F1555^2&lt;=2+0.000000001,TRUE()))</f>
        <v>1</v>
      </c>
      <c r="W1555" s="55" t="n">
        <f aca="false">IF(V1555,IF(01_因子設定!$B$13="最大化",T1555-01_因子設定!$B$14,IF(01_因子設定!$B$13="最小化",01_因子設定!$B$15-U1555,MIN(T1555-01_因子設定!$B$14,01_因子設定!$B$15-U1555))),-1E+030)</f>
        <v>-4.27421328455752</v>
      </c>
      <c r="X1555" s="55" t="n">
        <f aca="false">IF(V1555,IF(01_因子設定!$B$13="最大化",Q1555,IF(01_因子設定!$B$13="最小化",-Q1555,-ABS(Q1555-01_因子設定!$B$16))),-1E+030)</f>
        <v>45.2334659090909</v>
      </c>
      <c r="Y1555" s="55" t="n">
        <f aca="false">W1555+ROW()*0.000000001</f>
        <v>-4.27421172955752</v>
      </c>
      <c r="Z1555" s="55" t="n">
        <f aca="false">X1555+ROW()*0.000000001</f>
        <v>45.2334674640909</v>
      </c>
    </row>
    <row r="1556" customFormat="false" ht="15" hidden="false" customHeight="false" outlineLevel="0" collapsed="false">
      <c r="A1556" s="0" t="n">
        <v>5</v>
      </c>
      <c r="B1556" s="0" t="n">
        <v>6</v>
      </c>
      <c r="C1556" s="0" t="n">
        <v>4</v>
      </c>
      <c r="D1556" s="0" t="n">
        <f aca="false">-1+A1556*0.125</f>
        <v>-0.375</v>
      </c>
      <c r="E1556" s="0" t="n">
        <f aca="false">-1+B1556*0.125</f>
        <v>-0.25</v>
      </c>
      <c r="F1556" s="0" t="n">
        <f aca="false">-1+C1556*0.125</f>
        <v>-0.5</v>
      </c>
      <c r="G1556" s="0" t="n">
        <f aca="false">1</f>
        <v>1</v>
      </c>
      <c r="H1556" s="0" t="n">
        <f aca="false">D1556</f>
        <v>-0.375</v>
      </c>
      <c r="I1556" s="0" t="n">
        <f aca="false">E1556</f>
        <v>-0.25</v>
      </c>
      <c r="J1556" s="0" t="n">
        <f aca="false">F1556</f>
        <v>-0.5</v>
      </c>
      <c r="K1556" s="0" t="n">
        <f aca="false">D1556*E1556</f>
        <v>0.09375</v>
      </c>
      <c r="L1556" s="0" t="n">
        <f aca="false">D1556*F1556</f>
        <v>0.1875</v>
      </c>
      <c r="M1556" s="0" t="n">
        <f aca="false">E1556*F1556</f>
        <v>0.125</v>
      </c>
      <c r="N1556" s="0" t="n">
        <f aca="false">D1556*D1556</f>
        <v>0.140625</v>
      </c>
      <c r="O1556" s="0" t="n">
        <f aca="false">E1556*E1556</f>
        <v>0.0625</v>
      </c>
      <c r="P1556" s="0" t="n">
        <f aca="false">F1556*F1556</f>
        <v>0.25</v>
      </c>
      <c r="Q1556" s="0" t="n">
        <f aca="false">SUMPRODUCT(G1556:P1556,_XtX!$B$71:$K$71)</f>
        <v>45.5644886363637</v>
      </c>
      <c r="R1556" s="0" t="n">
        <f aca="false">SUMPRODUCT(MMULT(G1556:P1556,_XtX!$B$58:$K$67),G1556:P1556)</f>
        <v>0.144839754971591</v>
      </c>
      <c r="S1556" s="0" t="n">
        <f aca="false">04_回帰ANOVA!$K$19*04_回帰ANOVA!$K$14*SQRT(1+R1556)</f>
        <v>0.994807353995542</v>
      </c>
      <c r="T1556" s="0" t="n">
        <f aca="false">Q1556-S1556</f>
        <v>44.5696812823681</v>
      </c>
      <c r="U1556" s="0" t="n">
        <f aca="false">Q1556+S1556</f>
        <v>46.5592959903592</v>
      </c>
      <c r="V1556" s="54" t="b">
        <f aca="false">AND(D1556&gt;=01_因子設定!$L$5-0.000000001,D1556&lt;=01_因子設定!$M$5+0.000000001,E1556&gt;=01_因子設定!$L$6-0.000000001,E1556&lt;=01_因子設定!$M$6+0.000000001,F1556&gt;=01_因子設定!$L$7-0.000000001,F1556&lt;=01_因子設定!$M$7+0.000000001,IF(01_因子設定!$B$20="Box-Behnken",D1556^2+E1556^2+F1556^2&lt;=2+0.000000001,TRUE()))</f>
        <v>1</v>
      </c>
      <c r="W1556" s="55" t="n">
        <f aca="false">IF(V1556,IF(01_因子設定!$B$13="最大化",T1556-01_因子設定!$B$14,IF(01_因子設定!$B$13="最小化",01_因子設定!$B$15-U1556,MIN(T1556-01_因子設定!$B$14,01_因子設定!$B$15-U1556))),-1E+030)</f>
        <v>-3.93031871763189</v>
      </c>
      <c r="X1556" s="55" t="n">
        <f aca="false">IF(V1556,IF(01_因子設定!$B$13="最大化",Q1556,IF(01_因子設定!$B$13="最小化",-Q1556,-ABS(Q1556-01_因子設定!$B$16))),-1E+030)</f>
        <v>45.5644886363637</v>
      </c>
      <c r="Y1556" s="55" t="n">
        <f aca="false">W1556+ROW()*0.000000001</f>
        <v>-3.93031716163189</v>
      </c>
      <c r="Z1556" s="55" t="n">
        <f aca="false">X1556+ROW()*0.000000001</f>
        <v>45.5644901923637</v>
      </c>
    </row>
    <row r="1557" customFormat="false" ht="15" hidden="false" customHeight="false" outlineLevel="0" collapsed="false">
      <c r="A1557" s="0" t="n">
        <v>5</v>
      </c>
      <c r="B1557" s="0" t="n">
        <v>6</v>
      </c>
      <c r="C1557" s="0" t="n">
        <v>5</v>
      </c>
      <c r="D1557" s="0" t="n">
        <f aca="false">-1+A1557*0.125</f>
        <v>-0.375</v>
      </c>
      <c r="E1557" s="0" t="n">
        <f aca="false">-1+B1557*0.125</f>
        <v>-0.25</v>
      </c>
      <c r="F1557" s="0" t="n">
        <f aca="false">-1+C1557*0.125</f>
        <v>-0.375</v>
      </c>
      <c r="G1557" s="0" t="n">
        <f aca="false">1</f>
        <v>1</v>
      </c>
      <c r="H1557" s="0" t="n">
        <f aca="false">D1557</f>
        <v>-0.375</v>
      </c>
      <c r="I1557" s="0" t="n">
        <f aca="false">E1557</f>
        <v>-0.25</v>
      </c>
      <c r="J1557" s="0" t="n">
        <f aca="false">F1557</f>
        <v>-0.375</v>
      </c>
      <c r="K1557" s="0" t="n">
        <f aca="false">D1557*E1557</f>
        <v>0.09375</v>
      </c>
      <c r="L1557" s="0" t="n">
        <f aca="false">D1557*F1557</f>
        <v>0.140625</v>
      </c>
      <c r="M1557" s="0" t="n">
        <f aca="false">E1557*F1557</f>
        <v>0.09375</v>
      </c>
      <c r="N1557" s="0" t="n">
        <f aca="false">D1557*D1557</f>
        <v>0.140625</v>
      </c>
      <c r="O1557" s="0" t="n">
        <f aca="false">E1557*E1557</f>
        <v>0.0625</v>
      </c>
      <c r="P1557" s="0" t="n">
        <f aca="false">F1557*F1557</f>
        <v>0.140625</v>
      </c>
      <c r="Q1557" s="0" t="n">
        <f aca="false">SUMPRODUCT(G1557:P1557,_XtX!$B$71:$K$71)</f>
        <v>45.8587215909091</v>
      </c>
      <c r="R1557" s="0" t="n">
        <f aca="false">SUMPRODUCT(MMULT(G1557:P1557,_XtX!$B$58:$K$67),G1557:P1557)</f>
        <v>0.131591242009943</v>
      </c>
      <c r="S1557" s="0" t="n">
        <f aca="false">04_回帰ANOVA!$K$19*04_回帰ANOVA!$K$14*SQRT(1+R1557)</f>
        <v>0.989034462873572</v>
      </c>
      <c r="T1557" s="0" t="n">
        <f aca="false">Q1557-S1557</f>
        <v>44.8696871280355</v>
      </c>
      <c r="U1557" s="0" t="n">
        <f aca="false">Q1557+S1557</f>
        <v>46.8477560537827</v>
      </c>
      <c r="V1557" s="54" t="b">
        <f aca="false">AND(D1557&gt;=01_因子設定!$L$5-0.000000001,D1557&lt;=01_因子設定!$M$5+0.000000001,E1557&gt;=01_因子設定!$L$6-0.000000001,E1557&lt;=01_因子設定!$M$6+0.000000001,F1557&gt;=01_因子設定!$L$7-0.000000001,F1557&lt;=01_因子設定!$M$7+0.000000001,IF(01_因子設定!$B$20="Box-Behnken",D1557^2+E1557^2+F1557^2&lt;=2+0.000000001,TRUE()))</f>
        <v>1</v>
      </c>
      <c r="W1557" s="55" t="n">
        <f aca="false">IF(V1557,IF(01_因子設定!$B$13="最大化",T1557-01_因子設定!$B$14,IF(01_因子設定!$B$13="最小化",01_因子設定!$B$15-U1557,MIN(T1557-01_因子設定!$B$14,01_因子設定!$B$15-U1557))),-1E+030)</f>
        <v>-3.63031287196447</v>
      </c>
      <c r="X1557" s="55" t="n">
        <f aca="false">IF(V1557,IF(01_因子設定!$B$13="最大化",Q1557,IF(01_因子設定!$B$13="最小化",-Q1557,-ABS(Q1557-01_因子設定!$B$16))),-1E+030)</f>
        <v>45.8587215909091</v>
      </c>
      <c r="Y1557" s="55" t="n">
        <f aca="false">W1557+ROW()*0.000000001</f>
        <v>-3.63031131496447</v>
      </c>
      <c r="Z1557" s="55" t="n">
        <f aca="false">X1557+ROW()*0.000000001</f>
        <v>45.8587231479091</v>
      </c>
    </row>
    <row r="1558" customFormat="false" ht="15" hidden="false" customHeight="false" outlineLevel="0" collapsed="false">
      <c r="A1558" s="0" t="n">
        <v>5</v>
      </c>
      <c r="B1558" s="0" t="n">
        <v>6</v>
      </c>
      <c r="C1558" s="0" t="n">
        <v>6</v>
      </c>
      <c r="D1558" s="0" t="n">
        <f aca="false">-1+A1558*0.125</f>
        <v>-0.375</v>
      </c>
      <c r="E1558" s="0" t="n">
        <f aca="false">-1+B1558*0.125</f>
        <v>-0.25</v>
      </c>
      <c r="F1558" s="0" t="n">
        <f aca="false">-1+C1558*0.125</f>
        <v>-0.25</v>
      </c>
      <c r="G1558" s="0" t="n">
        <f aca="false">1</f>
        <v>1</v>
      </c>
      <c r="H1558" s="0" t="n">
        <f aca="false">D1558</f>
        <v>-0.375</v>
      </c>
      <c r="I1558" s="0" t="n">
        <f aca="false">E1558</f>
        <v>-0.25</v>
      </c>
      <c r="J1558" s="0" t="n">
        <f aca="false">F1558</f>
        <v>-0.25</v>
      </c>
      <c r="K1558" s="0" t="n">
        <f aca="false">D1558*E1558</f>
        <v>0.09375</v>
      </c>
      <c r="L1558" s="0" t="n">
        <f aca="false">D1558*F1558</f>
        <v>0.09375</v>
      </c>
      <c r="M1558" s="0" t="n">
        <f aca="false">E1558*F1558</f>
        <v>0.0625</v>
      </c>
      <c r="N1558" s="0" t="n">
        <f aca="false">D1558*D1558</f>
        <v>0.140625</v>
      </c>
      <c r="O1558" s="0" t="n">
        <f aca="false">E1558*E1558</f>
        <v>0.0625</v>
      </c>
      <c r="P1558" s="0" t="n">
        <f aca="false">F1558*F1558</f>
        <v>0.0625</v>
      </c>
      <c r="Q1558" s="0" t="n">
        <f aca="false">SUMPRODUCT(G1558:P1558,_XtX!$B$71:$K$71)</f>
        <v>46.1161647727273</v>
      </c>
      <c r="R1558" s="0" t="n">
        <f aca="false">SUMPRODUCT(MMULT(G1558:P1558,_XtX!$B$58:$K$67),G1558:P1558)</f>
        <v>0.127454723011364</v>
      </c>
      <c r="S1558" s="0" t="n">
        <f aca="false">04_回帰ANOVA!$K$19*04_回帰ANOVA!$K$14*SQRT(1+R1558)</f>
        <v>0.987225105686864</v>
      </c>
      <c r="T1558" s="0" t="n">
        <f aca="false">Q1558-S1558</f>
        <v>45.1289396670404</v>
      </c>
      <c r="U1558" s="0" t="n">
        <f aca="false">Q1558+S1558</f>
        <v>47.1033898784142</v>
      </c>
      <c r="V1558" s="54" t="b">
        <f aca="false">AND(D1558&gt;=01_因子設定!$L$5-0.000000001,D1558&lt;=01_因子設定!$M$5+0.000000001,E1558&gt;=01_因子設定!$L$6-0.000000001,E1558&lt;=01_因子設定!$M$6+0.000000001,F1558&gt;=01_因子設定!$L$7-0.000000001,F1558&lt;=01_因子設定!$M$7+0.000000001,IF(01_因子設定!$B$20="Box-Behnken",D1558^2+E1558^2+F1558^2&lt;=2+0.000000001,TRUE()))</f>
        <v>1</v>
      </c>
      <c r="W1558" s="55" t="n">
        <f aca="false">IF(V1558,IF(01_因子設定!$B$13="最大化",T1558-01_因子設定!$B$14,IF(01_因子設定!$B$13="最小化",01_因子設定!$B$15-U1558,MIN(T1558-01_因子設定!$B$14,01_因子設定!$B$15-U1558))),-1E+030)</f>
        <v>-3.37106033295959</v>
      </c>
      <c r="X1558" s="55" t="n">
        <f aca="false">IF(V1558,IF(01_因子設定!$B$13="最大化",Q1558,IF(01_因子設定!$B$13="最小化",-Q1558,-ABS(Q1558-01_因子設定!$B$16))),-1E+030)</f>
        <v>46.1161647727273</v>
      </c>
      <c r="Y1558" s="55" t="n">
        <f aca="false">W1558+ROW()*0.000000001</f>
        <v>-3.37105877495959</v>
      </c>
      <c r="Z1558" s="55" t="n">
        <f aca="false">X1558+ROW()*0.000000001</f>
        <v>46.1161663307273</v>
      </c>
    </row>
    <row r="1559" customFormat="false" ht="15" hidden="false" customHeight="false" outlineLevel="0" collapsed="false">
      <c r="A1559" s="0" t="n">
        <v>5</v>
      </c>
      <c r="B1559" s="0" t="n">
        <v>6</v>
      </c>
      <c r="C1559" s="0" t="n">
        <v>7</v>
      </c>
      <c r="D1559" s="0" t="n">
        <f aca="false">-1+A1559*0.125</f>
        <v>-0.375</v>
      </c>
      <c r="E1559" s="0" t="n">
        <f aca="false">-1+B1559*0.125</f>
        <v>-0.25</v>
      </c>
      <c r="F1559" s="0" t="n">
        <f aca="false">-1+C1559*0.125</f>
        <v>-0.125</v>
      </c>
      <c r="G1559" s="0" t="n">
        <f aca="false">1</f>
        <v>1</v>
      </c>
      <c r="H1559" s="0" t="n">
        <f aca="false">D1559</f>
        <v>-0.375</v>
      </c>
      <c r="I1559" s="0" t="n">
        <f aca="false">E1559</f>
        <v>-0.25</v>
      </c>
      <c r="J1559" s="0" t="n">
        <f aca="false">F1559</f>
        <v>-0.125</v>
      </c>
      <c r="K1559" s="0" t="n">
        <f aca="false">D1559*E1559</f>
        <v>0.09375</v>
      </c>
      <c r="L1559" s="0" t="n">
        <f aca="false">D1559*F1559</f>
        <v>0.046875</v>
      </c>
      <c r="M1559" s="0" t="n">
        <f aca="false">E1559*F1559</f>
        <v>0.03125</v>
      </c>
      <c r="N1559" s="0" t="n">
        <f aca="false">D1559*D1559</f>
        <v>0.140625</v>
      </c>
      <c r="O1559" s="0" t="n">
        <f aca="false">E1559*E1559</f>
        <v>0.0625</v>
      </c>
      <c r="P1559" s="0" t="n">
        <f aca="false">F1559*F1559</f>
        <v>0.015625</v>
      </c>
      <c r="Q1559" s="0" t="n">
        <f aca="false">SUMPRODUCT(G1559:P1559,_XtX!$B$71:$K$71)</f>
        <v>46.3368181818182</v>
      </c>
      <c r="R1559" s="0" t="n">
        <f aca="false">SUMPRODUCT(MMULT(G1559:P1559,_XtX!$B$58:$K$67),G1559:P1559)</f>
        <v>0.127103493430398</v>
      </c>
      <c r="S1559" s="0" t="n">
        <f aca="false">04_回帰ANOVA!$K$19*04_回帰ANOVA!$K$14*SQRT(1+R1559)</f>
        <v>0.987071321387587</v>
      </c>
      <c r="T1559" s="0" t="n">
        <f aca="false">Q1559-S1559</f>
        <v>45.3497468604306</v>
      </c>
      <c r="U1559" s="0" t="n">
        <f aca="false">Q1559+S1559</f>
        <v>47.3238895032058</v>
      </c>
      <c r="V1559" s="54" t="b">
        <f aca="false">AND(D1559&gt;=01_因子設定!$L$5-0.000000001,D1559&lt;=01_因子設定!$M$5+0.000000001,E1559&gt;=01_因子設定!$L$6-0.000000001,E1559&lt;=01_因子設定!$M$6+0.000000001,F1559&gt;=01_因子設定!$L$7-0.000000001,F1559&lt;=01_因子設定!$M$7+0.000000001,IF(01_因子設定!$B$20="Box-Behnken",D1559^2+E1559^2+F1559^2&lt;=2+0.000000001,TRUE()))</f>
        <v>1</v>
      </c>
      <c r="W1559" s="55" t="n">
        <f aca="false">IF(V1559,IF(01_因子設定!$B$13="最大化",T1559-01_因子設定!$B$14,IF(01_因子設定!$B$13="最小化",01_因子設定!$B$15-U1559,MIN(T1559-01_因子設定!$B$14,01_因子設定!$B$15-U1559))),-1E+030)</f>
        <v>-3.1502531395694</v>
      </c>
      <c r="X1559" s="55" t="n">
        <f aca="false">IF(V1559,IF(01_因子設定!$B$13="最大化",Q1559,IF(01_因子設定!$B$13="最小化",-Q1559,-ABS(Q1559-01_因子設定!$B$16))),-1E+030)</f>
        <v>46.3368181818182</v>
      </c>
      <c r="Y1559" s="55" t="n">
        <f aca="false">W1559+ROW()*0.000000001</f>
        <v>-3.1502515805694</v>
      </c>
      <c r="Z1559" s="55" t="n">
        <f aca="false">X1559+ROW()*0.000000001</f>
        <v>46.3368197408182</v>
      </c>
    </row>
    <row r="1560" customFormat="false" ht="15" hidden="false" customHeight="false" outlineLevel="0" collapsed="false">
      <c r="A1560" s="0" t="n">
        <v>5</v>
      </c>
      <c r="B1560" s="0" t="n">
        <v>6</v>
      </c>
      <c r="C1560" s="0" t="n">
        <v>8</v>
      </c>
      <c r="D1560" s="0" t="n">
        <f aca="false">-1+A1560*0.125</f>
        <v>-0.375</v>
      </c>
      <c r="E1560" s="0" t="n">
        <f aca="false">-1+B1560*0.125</f>
        <v>-0.25</v>
      </c>
      <c r="F1560" s="0" t="n">
        <f aca="false">-1+C1560*0.125</f>
        <v>0</v>
      </c>
      <c r="G1560" s="0" t="n">
        <f aca="false">1</f>
        <v>1</v>
      </c>
      <c r="H1560" s="0" t="n">
        <f aca="false">D1560</f>
        <v>-0.375</v>
      </c>
      <c r="I1560" s="0" t="n">
        <f aca="false">E1560</f>
        <v>-0.25</v>
      </c>
      <c r="J1560" s="0" t="n">
        <f aca="false">F1560</f>
        <v>0</v>
      </c>
      <c r="K1560" s="0" t="n">
        <f aca="false">D1560*E1560</f>
        <v>0.09375</v>
      </c>
      <c r="L1560" s="0" t="n">
        <f aca="false">D1560*F1560</f>
        <v>-0</v>
      </c>
      <c r="M1560" s="0" t="n">
        <f aca="false">E1560*F1560</f>
        <v>-0</v>
      </c>
      <c r="N1560" s="0" t="n">
        <f aca="false">D1560*D1560</f>
        <v>0.140625</v>
      </c>
      <c r="O1560" s="0" t="n">
        <f aca="false">E1560*E1560</f>
        <v>0.0625</v>
      </c>
      <c r="P1560" s="0" t="n">
        <f aca="false">F1560*F1560</f>
        <v>0</v>
      </c>
      <c r="Q1560" s="0" t="n">
        <f aca="false">SUMPRODUCT(G1560:P1560,_XtX!$B$71:$K$71)</f>
        <v>46.5206818181818</v>
      </c>
      <c r="R1560" s="0" t="n">
        <f aca="false">SUMPRODUCT(MMULT(G1560:P1560,_XtX!$B$58:$K$67),G1560:P1560)</f>
        <v>0.127341530539773</v>
      </c>
      <c r="S1560" s="0" t="n">
        <f aca="false">04_回帰ANOVA!$K$19*04_回帰ANOVA!$K$14*SQRT(1+R1560)</f>
        <v>0.987175547486288</v>
      </c>
      <c r="T1560" s="0" t="n">
        <f aca="false">Q1560-S1560</f>
        <v>45.5335062706955</v>
      </c>
      <c r="U1560" s="0" t="n">
        <f aca="false">Q1560+S1560</f>
        <v>47.5078573656681</v>
      </c>
      <c r="V1560" s="54" t="b">
        <f aca="false">AND(D1560&gt;=01_因子設定!$L$5-0.000000001,D1560&lt;=01_因子設定!$M$5+0.000000001,E1560&gt;=01_因子設定!$L$6-0.000000001,E1560&lt;=01_因子設定!$M$6+0.000000001,F1560&gt;=01_因子設定!$L$7-0.000000001,F1560&lt;=01_因子設定!$M$7+0.000000001,IF(01_因子設定!$B$20="Box-Behnken",D1560^2+E1560^2+F1560^2&lt;=2+0.000000001,TRUE()))</f>
        <v>1</v>
      </c>
      <c r="W1560" s="55" t="n">
        <f aca="false">IF(V1560,IF(01_因子設定!$B$13="最大化",T1560-01_因子設定!$B$14,IF(01_因子設定!$B$13="最小化",01_因子設定!$B$15-U1560,MIN(T1560-01_因子設定!$B$14,01_因子設定!$B$15-U1560))),-1E+030)</f>
        <v>-2.96649372930447</v>
      </c>
      <c r="X1560" s="55" t="n">
        <f aca="false">IF(V1560,IF(01_因子設定!$B$13="最大化",Q1560,IF(01_因子設定!$B$13="最小化",-Q1560,-ABS(Q1560-01_因子設定!$B$16))),-1E+030)</f>
        <v>46.5206818181818</v>
      </c>
      <c r="Y1560" s="55" t="n">
        <f aca="false">W1560+ROW()*0.000000001</f>
        <v>-2.96649216930447</v>
      </c>
      <c r="Z1560" s="55" t="n">
        <f aca="false">X1560+ROW()*0.000000001</f>
        <v>46.5206833781818</v>
      </c>
    </row>
    <row r="1561" customFormat="false" ht="15" hidden="false" customHeight="false" outlineLevel="0" collapsed="false">
      <c r="A1561" s="0" t="n">
        <v>5</v>
      </c>
      <c r="B1561" s="0" t="n">
        <v>6</v>
      </c>
      <c r="C1561" s="0" t="n">
        <v>9</v>
      </c>
      <c r="D1561" s="0" t="n">
        <f aca="false">-1+A1561*0.125</f>
        <v>-0.375</v>
      </c>
      <c r="E1561" s="0" t="n">
        <f aca="false">-1+B1561*0.125</f>
        <v>-0.25</v>
      </c>
      <c r="F1561" s="0" t="n">
        <f aca="false">-1+C1561*0.125</f>
        <v>0.125</v>
      </c>
      <c r="G1561" s="0" t="n">
        <f aca="false">1</f>
        <v>1</v>
      </c>
      <c r="H1561" s="0" t="n">
        <f aca="false">D1561</f>
        <v>-0.375</v>
      </c>
      <c r="I1561" s="0" t="n">
        <f aca="false">E1561</f>
        <v>-0.25</v>
      </c>
      <c r="J1561" s="0" t="n">
        <f aca="false">F1561</f>
        <v>0.125</v>
      </c>
      <c r="K1561" s="0" t="n">
        <f aca="false">D1561*E1561</f>
        <v>0.09375</v>
      </c>
      <c r="L1561" s="0" t="n">
        <f aca="false">D1561*F1561</f>
        <v>-0.046875</v>
      </c>
      <c r="M1561" s="0" t="n">
        <f aca="false">E1561*F1561</f>
        <v>-0.03125</v>
      </c>
      <c r="N1561" s="0" t="n">
        <f aca="false">D1561*D1561</f>
        <v>0.140625</v>
      </c>
      <c r="O1561" s="0" t="n">
        <f aca="false">E1561*E1561</f>
        <v>0.0625</v>
      </c>
      <c r="P1561" s="0" t="n">
        <f aca="false">F1561*F1561</f>
        <v>0.015625</v>
      </c>
      <c r="Q1561" s="0" t="n">
        <f aca="false">SUMPRODUCT(G1561:P1561,_XtX!$B$71:$K$71)</f>
        <v>46.6677556818182</v>
      </c>
      <c r="R1561" s="0" t="n">
        <f aca="false">SUMPRODUCT(MMULT(G1561:P1561,_XtX!$B$58:$K$67),G1561:P1561)</f>
        <v>0.127103493430398</v>
      </c>
      <c r="S1561" s="0" t="n">
        <f aca="false">04_回帰ANOVA!$K$19*04_回帰ANOVA!$K$14*SQRT(1+R1561)</f>
        <v>0.987071321387587</v>
      </c>
      <c r="T1561" s="0" t="n">
        <f aca="false">Q1561-S1561</f>
        <v>45.6806843604306</v>
      </c>
      <c r="U1561" s="0" t="n">
        <f aca="false">Q1561+S1561</f>
        <v>47.6548270032058</v>
      </c>
      <c r="V1561" s="54" t="b">
        <f aca="false">AND(D1561&gt;=01_因子設定!$L$5-0.000000001,D1561&lt;=01_因子設定!$M$5+0.000000001,E1561&gt;=01_因子設定!$L$6-0.000000001,E1561&lt;=01_因子設定!$M$6+0.000000001,F1561&gt;=01_因子設定!$L$7-0.000000001,F1561&lt;=01_因子設定!$M$7+0.000000001,IF(01_因子設定!$B$20="Box-Behnken",D1561^2+E1561^2+F1561^2&lt;=2+0.000000001,TRUE()))</f>
        <v>1</v>
      </c>
      <c r="W1561" s="55" t="n">
        <f aca="false">IF(V1561,IF(01_因子設定!$B$13="最大化",T1561-01_因子設定!$B$14,IF(01_因子設定!$B$13="最小化",01_因子設定!$B$15-U1561,MIN(T1561-01_因子設定!$B$14,01_因子設定!$B$15-U1561))),-1E+030)</f>
        <v>-2.8193156395694</v>
      </c>
      <c r="X1561" s="55" t="n">
        <f aca="false">IF(V1561,IF(01_因子設定!$B$13="最大化",Q1561,IF(01_因子設定!$B$13="最小化",-Q1561,-ABS(Q1561-01_因子設定!$B$16))),-1E+030)</f>
        <v>46.6677556818182</v>
      </c>
      <c r="Y1561" s="55" t="n">
        <f aca="false">W1561+ROW()*0.000000001</f>
        <v>-2.8193140785694</v>
      </c>
      <c r="Z1561" s="55" t="n">
        <f aca="false">X1561+ROW()*0.000000001</f>
        <v>46.6677572428182</v>
      </c>
    </row>
    <row r="1562" customFormat="false" ht="15" hidden="false" customHeight="false" outlineLevel="0" collapsed="false">
      <c r="A1562" s="0" t="n">
        <v>5</v>
      </c>
      <c r="B1562" s="0" t="n">
        <v>6</v>
      </c>
      <c r="C1562" s="0" t="n">
        <v>10</v>
      </c>
      <c r="D1562" s="0" t="n">
        <f aca="false">-1+A1562*0.125</f>
        <v>-0.375</v>
      </c>
      <c r="E1562" s="0" t="n">
        <f aca="false">-1+B1562*0.125</f>
        <v>-0.25</v>
      </c>
      <c r="F1562" s="0" t="n">
        <f aca="false">-1+C1562*0.125</f>
        <v>0.25</v>
      </c>
      <c r="G1562" s="0" t="n">
        <f aca="false">1</f>
        <v>1</v>
      </c>
      <c r="H1562" s="0" t="n">
        <f aca="false">D1562</f>
        <v>-0.375</v>
      </c>
      <c r="I1562" s="0" t="n">
        <f aca="false">E1562</f>
        <v>-0.25</v>
      </c>
      <c r="J1562" s="0" t="n">
        <f aca="false">F1562</f>
        <v>0.25</v>
      </c>
      <c r="K1562" s="0" t="n">
        <f aca="false">D1562*E1562</f>
        <v>0.09375</v>
      </c>
      <c r="L1562" s="0" t="n">
        <f aca="false">D1562*F1562</f>
        <v>-0.09375</v>
      </c>
      <c r="M1562" s="0" t="n">
        <f aca="false">E1562*F1562</f>
        <v>-0.0625</v>
      </c>
      <c r="N1562" s="0" t="n">
        <f aca="false">D1562*D1562</f>
        <v>0.140625</v>
      </c>
      <c r="O1562" s="0" t="n">
        <f aca="false">E1562*E1562</f>
        <v>0.0625</v>
      </c>
      <c r="P1562" s="0" t="n">
        <f aca="false">F1562*F1562</f>
        <v>0.0625</v>
      </c>
      <c r="Q1562" s="0" t="n">
        <f aca="false">SUMPRODUCT(G1562:P1562,_XtX!$B$71:$K$71)</f>
        <v>46.7780397727273</v>
      </c>
      <c r="R1562" s="0" t="n">
        <f aca="false">SUMPRODUCT(MMULT(G1562:P1562,_XtX!$B$58:$K$67),G1562:P1562)</f>
        <v>0.127454723011364</v>
      </c>
      <c r="S1562" s="0" t="n">
        <f aca="false">04_回帰ANOVA!$K$19*04_回帰ANOVA!$K$14*SQRT(1+R1562)</f>
        <v>0.987225105686864</v>
      </c>
      <c r="T1562" s="0" t="n">
        <f aca="false">Q1562-S1562</f>
        <v>45.7908146670404</v>
      </c>
      <c r="U1562" s="0" t="n">
        <f aca="false">Q1562+S1562</f>
        <v>47.7652648784142</v>
      </c>
      <c r="V1562" s="54" t="b">
        <f aca="false">AND(D1562&gt;=01_因子設定!$L$5-0.000000001,D1562&lt;=01_因子設定!$M$5+0.000000001,E1562&gt;=01_因子設定!$L$6-0.000000001,E1562&lt;=01_因子設定!$M$6+0.000000001,F1562&gt;=01_因子設定!$L$7-0.000000001,F1562&lt;=01_因子設定!$M$7+0.000000001,IF(01_因子設定!$B$20="Box-Behnken",D1562^2+E1562^2+F1562^2&lt;=2+0.000000001,TRUE()))</f>
        <v>1</v>
      </c>
      <c r="W1562" s="55" t="n">
        <f aca="false">IF(V1562,IF(01_因子設定!$B$13="最大化",T1562-01_因子設定!$B$14,IF(01_因子設定!$B$13="最小化",01_因子設定!$B$15-U1562,MIN(T1562-01_因子設定!$B$14,01_因子設定!$B$15-U1562))),-1E+030)</f>
        <v>-2.70918533295959</v>
      </c>
      <c r="X1562" s="55" t="n">
        <f aca="false">IF(V1562,IF(01_因子設定!$B$13="最大化",Q1562,IF(01_因子設定!$B$13="最小化",-Q1562,-ABS(Q1562-01_因子設定!$B$16))),-1E+030)</f>
        <v>46.7780397727273</v>
      </c>
      <c r="Y1562" s="55" t="n">
        <f aca="false">W1562+ROW()*0.000000001</f>
        <v>-2.70918377095959</v>
      </c>
      <c r="Z1562" s="55" t="n">
        <f aca="false">X1562+ROW()*0.000000001</f>
        <v>46.7780413347273</v>
      </c>
    </row>
    <row r="1563" customFormat="false" ht="15" hidden="false" customHeight="false" outlineLevel="0" collapsed="false">
      <c r="A1563" s="0" t="n">
        <v>5</v>
      </c>
      <c r="B1563" s="0" t="n">
        <v>6</v>
      </c>
      <c r="C1563" s="0" t="n">
        <v>11</v>
      </c>
      <c r="D1563" s="0" t="n">
        <f aca="false">-1+A1563*0.125</f>
        <v>-0.375</v>
      </c>
      <c r="E1563" s="0" t="n">
        <f aca="false">-1+B1563*0.125</f>
        <v>-0.25</v>
      </c>
      <c r="F1563" s="0" t="n">
        <f aca="false">-1+C1563*0.125</f>
        <v>0.375</v>
      </c>
      <c r="G1563" s="0" t="n">
        <f aca="false">1</f>
        <v>1</v>
      </c>
      <c r="H1563" s="0" t="n">
        <f aca="false">D1563</f>
        <v>-0.375</v>
      </c>
      <c r="I1563" s="0" t="n">
        <f aca="false">E1563</f>
        <v>-0.25</v>
      </c>
      <c r="J1563" s="0" t="n">
        <f aca="false">F1563</f>
        <v>0.375</v>
      </c>
      <c r="K1563" s="0" t="n">
        <f aca="false">D1563*E1563</f>
        <v>0.09375</v>
      </c>
      <c r="L1563" s="0" t="n">
        <f aca="false">D1563*F1563</f>
        <v>-0.140625</v>
      </c>
      <c r="M1563" s="0" t="n">
        <f aca="false">E1563*F1563</f>
        <v>-0.09375</v>
      </c>
      <c r="N1563" s="0" t="n">
        <f aca="false">D1563*D1563</f>
        <v>0.140625</v>
      </c>
      <c r="O1563" s="0" t="n">
        <f aca="false">E1563*E1563</f>
        <v>0.0625</v>
      </c>
      <c r="P1563" s="0" t="n">
        <f aca="false">F1563*F1563</f>
        <v>0.140625</v>
      </c>
      <c r="Q1563" s="0" t="n">
        <f aca="false">SUMPRODUCT(G1563:P1563,_XtX!$B$71:$K$71)</f>
        <v>46.8515340909091</v>
      </c>
      <c r="R1563" s="0" t="n">
        <f aca="false">SUMPRODUCT(MMULT(G1563:P1563,_XtX!$B$58:$K$67),G1563:P1563)</f>
        <v>0.131591242009943</v>
      </c>
      <c r="S1563" s="0" t="n">
        <f aca="false">04_回帰ANOVA!$K$19*04_回帰ANOVA!$K$14*SQRT(1+R1563)</f>
        <v>0.989034462873572</v>
      </c>
      <c r="T1563" s="0" t="n">
        <f aca="false">Q1563-S1563</f>
        <v>45.8624996280355</v>
      </c>
      <c r="U1563" s="0" t="n">
        <f aca="false">Q1563+S1563</f>
        <v>47.8405685537827</v>
      </c>
      <c r="V1563" s="54" t="b">
        <f aca="false">AND(D1563&gt;=01_因子設定!$L$5-0.000000001,D1563&lt;=01_因子設定!$M$5+0.000000001,E1563&gt;=01_因子設定!$L$6-0.000000001,E1563&lt;=01_因子設定!$M$6+0.000000001,F1563&gt;=01_因子設定!$L$7-0.000000001,F1563&lt;=01_因子設定!$M$7+0.000000001,IF(01_因子設定!$B$20="Box-Behnken",D1563^2+E1563^2+F1563^2&lt;=2+0.000000001,TRUE()))</f>
        <v>1</v>
      </c>
      <c r="W1563" s="55" t="n">
        <f aca="false">IF(V1563,IF(01_因子設定!$B$13="最大化",T1563-01_因子設定!$B$14,IF(01_因子設定!$B$13="最小化",01_因子設定!$B$15-U1563,MIN(T1563-01_因子設定!$B$14,01_因子設定!$B$15-U1563))),-1E+030)</f>
        <v>-2.63750037196447</v>
      </c>
      <c r="X1563" s="55" t="n">
        <f aca="false">IF(V1563,IF(01_因子設定!$B$13="最大化",Q1563,IF(01_因子設定!$B$13="最小化",-Q1563,-ABS(Q1563-01_因子設定!$B$16))),-1E+030)</f>
        <v>46.8515340909091</v>
      </c>
      <c r="Y1563" s="55" t="n">
        <f aca="false">W1563+ROW()*0.000000001</f>
        <v>-2.63749880896447</v>
      </c>
      <c r="Z1563" s="55" t="n">
        <f aca="false">X1563+ROW()*0.000000001</f>
        <v>46.8515356539091</v>
      </c>
    </row>
    <row r="1564" customFormat="false" ht="15" hidden="false" customHeight="false" outlineLevel="0" collapsed="false">
      <c r="A1564" s="0" t="n">
        <v>5</v>
      </c>
      <c r="B1564" s="0" t="n">
        <v>6</v>
      </c>
      <c r="C1564" s="0" t="n">
        <v>12</v>
      </c>
      <c r="D1564" s="0" t="n">
        <f aca="false">-1+A1564*0.125</f>
        <v>-0.375</v>
      </c>
      <c r="E1564" s="0" t="n">
        <f aca="false">-1+B1564*0.125</f>
        <v>-0.25</v>
      </c>
      <c r="F1564" s="0" t="n">
        <f aca="false">-1+C1564*0.125</f>
        <v>0.5</v>
      </c>
      <c r="G1564" s="0" t="n">
        <f aca="false">1</f>
        <v>1</v>
      </c>
      <c r="H1564" s="0" t="n">
        <f aca="false">D1564</f>
        <v>-0.375</v>
      </c>
      <c r="I1564" s="0" t="n">
        <f aca="false">E1564</f>
        <v>-0.25</v>
      </c>
      <c r="J1564" s="0" t="n">
        <f aca="false">F1564</f>
        <v>0.5</v>
      </c>
      <c r="K1564" s="0" t="n">
        <f aca="false">D1564*E1564</f>
        <v>0.09375</v>
      </c>
      <c r="L1564" s="0" t="n">
        <f aca="false">D1564*F1564</f>
        <v>-0.1875</v>
      </c>
      <c r="M1564" s="0" t="n">
        <f aca="false">E1564*F1564</f>
        <v>-0.125</v>
      </c>
      <c r="N1564" s="0" t="n">
        <f aca="false">D1564*D1564</f>
        <v>0.140625</v>
      </c>
      <c r="O1564" s="0" t="n">
        <f aca="false">E1564*E1564</f>
        <v>0.0625</v>
      </c>
      <c r="P1564" s="0" t="n">
        <f aca="false">F1564*F1564</f>
        <v>0.25</v>
      </c>
      <c r="Q1564" s="0" t="n">
        <f aca="false">SUMPRODUCT(G1564:P1564,_XtX!$B$71:$K$71)</f>
        <v>46.8882386363636</v>
      </c>
      <c r="R1564" s="0" t="n">
        <f aca="false">SUMPRODUCT(MMULT(G1564:P1564,_XtX!$B$58:$K$67),G1564:P1564)</f>
        <v>0.144839754971591</v>
      </c>
      <c r="S1564" s="0" t="n">
        <f aca="false">04_回帰ANOVA!$K$19*04_回帰ANOVA!$K$14*SQRT(1+R1564)</f>
        <v>0.994807353995542</v>
      </c>
      <c r="T1564" s="0" t="n">
        <f aca="false">Q1564-S1564</f>
        <v>45.8934312823681</v>
      </c>
      <c r="U1564" s="0" t="n">
        <f aca="false">Q1564+S1564</f>
        <v>47.8830459903592</v>
      </c>
      <c r="V1564" s="54" t="b">
        <f aca="false">AND(D1564&gt;=01_因子設定!$L$5-0.000000001,D1564&lt;=01_因子設定!$M$5+0.000000001,E1564&gt;=01_因子設定!$L$6-0.000000001,E1564&lt;=01_因子設定!$M$6+0.000000001,F1564&gt;=01_因子設定!$L$7-0.000000001,F1564&lt;=01_因子設定!$M$7+0.000000001,IF(01_因子設定!$B$20="Box-Behnken",D1564^2+E1564^2+F1564^2&lt;=2+0.000000001,TRUE()))</f>
        <v>1</v>
      </c>
      <c r="W1564" s="55" t="n">
        <f aca="false">IF(V1564,IF(01_因子設定!$B$13="最大化",T1564-01_因子設定!$B$14,IF(01_因子設定!$B$13="最小化",01_因子設定!$B$15-U1564,MIN(T1564-01_因子設定!$B$14,01_因子設定!$B$15-U1564))),-1E+030)</f>
        <v>-2.60656871763189</v>
      </c>
      <c r="X1564" s="55" t="n">
        <f aca="false">IF(V1564,IF(01_因子設定!$B$13="最大化",Q1564,IF(01_因子設定!$B$13="最小化",-Q1564,-ABS(Q1564-01_因子設定!$B$16))),-1E+030)</f>
        <v>46.8882386363636</v>
      </c>
      <c r="Y1564" s="55" t="n">
        <f aca="false">W1564+ROW()*0.000000001</f>
        <v>-2.60656715363189</v>
      </c>
      <c r="Z1564" s="55" t="n">
        <f aca="false">X1564+ROW()*0.000000001</f>
        <v>46.8882402003637</v>
      </c>
    </row>
    <row r="1565" customFormat="false" ht="15" hidden="false" customHeight="false" outlineLevel="0" collapsed="false">
      <c r="A1565" s="0" t="n">
        <v>5</v>
      </c>
      <c r="B1565" s="0" t="n">
        <v>6</v>
      </c>
      <c r="C1565" s="0" t="n">
        <v>13</v>
      </c>
      <c r="D1565" s="0" t="n">
        <f aca="false">-1+A1565*0.125</f>
        <v>-0.375</v>
      </c>
      <c r="E1565" s="0" t="n">
        <f aca="false">-1+B1565*0.125</f>
        <v>-0.25</v>
      </c>
      <c r="F1565" s="0" t="n">
        <f aca="false">-1+C1565*0.125</f>
        <v>0.625</v>
      </c>
      <c r="G1565" s="0" t="n">
        <f aca="false">1</f>
        <v>1</v>
      </c>
      <c r="H1565" s="0" t="n">
        <f aca="false">D1565</f>
        <v>-0.375</v>
      </c>
      <c r="I1565" s="0" t="n">
        <f aca="false">E1565</f>
        <v>-0.25</v>
      </c>
      <c r="J1565" s="0" t="n">
        <f aca="false">F1565</f>
        <v>0.625</v>
      </c>
      <c r="K1565" s="0" t="n">
        <f aca="false">D1565*E1565</f>
        <v>0.09375</v>
      </c>
      <c r="L1565" s="0" t="n">
        <f aca="false">D1565*F1565</f>
        <v>-0.234375</v>
      </c>
      <c r="M1565" s="0" t="n">
        <f aca="false">E1565*F1565</f>
        <v>-0.15625</v>
      </c>
      <c r="N1565" s="0" t="n">
        <f aca="false">D1565*D1565</f>
        <v>0.140625</v>
      </c>
      <c r="O1565" s="0" t="n">
        <f aca="false">E1565*E1565</f>
        <v>0.0625</v>
      </c>
      <c r="P1565" s="0" t="n">
        <f aca="false">F1565*F1565</f>
        <v>0.390625</v>
      </c>
      <c r="Q1565" s="0" t="n">
        <f aca="false">SUMPRODUCT(G1565:P1565,_XtX!$B$71:$K$71)</f>
        <v>46.8881534090909</v>
      </c>
      <c r="R1565" s="0" t="n">
        <f aca="false">SUMPRODUCT(MMULT(G1565:P1565,_XtX!$B$58:$K$67),G1565:P1565)</f>
        <v>0.174657648259943</v>
      </c>
      <c r="S1565" s="0" t="n">
        <f aca="false">04_回帰ANOVA!$K$19*04_回帰ANOVA!$K$14*SQRT(1+R1565)</f>
        <v>1.00767919364845</v>
      </c>
      <c r="T1565" s="0" t="n">
        <f aca="false">Q1565-S1565</f>
        <v>45.8804742154425</v>
      </c>
      <c r="U1565" s="0" t="n">
        <f aca="false">Q1565+S1565</f>
        <v>47.8958326027394</v>
      </c>
      <c r="V1565" s="54" t="b">
        <f aca="false">AND(D1565&gt;=01_因子設定!$L$5-0.000000001,D1565&lt;=01_因子設定!$M$5+0.000000001,E1565&gt;=01_因子設定!$L$6-0.000000001,E1565&lt;=01_因子設定!$M$6+0.000000001,F1565&gt;=01_因子設定!$L$7-0.000000001,F1565&lt;=01_因子設定!$M$7+0.000000001,IF(01_因子設定!$B$20="Box-Behnken",D1565^2+E1565^2+F1565^2&lt;=2+0.000000001,TRUE()))</f>
        <v>1</v>
      </c>
      <c r="W1565" s="55" t="n">
        <f aca="false">IF(V1565,IF(01_因子設定!$B$13="最大化",T1565-01_因子設定!$B$14,IF(01_因子設定!$B$13="最小化",01_因子設定!$B$15-U1565,MIN(T1565-01_因子設定!$B$14,01_因子設定!$B$15-U1565))),-1E+030)</f>
        <v>-2.61952578455752</v>
      </c>
      <c r="X1565" s="55" t="n">
        <f aca="false">IF(V1565,IF(01_因子設定!$B$13="最大化",Q1565,IF(01_因子設定!$B$13="最小化",-Q1565,-ABS(Q1565-01_因子設定!$B$16))),-1E+030)</f>
        <v>46.8881534090909</v>
      </c>
      <c r="Y1565" s="55" t="n">
        <f aca="false">W1565+ROW()*0.000000001</f>
        <v>-2.61952421955752</v>
      </c>
      <c r="Z1565" s="55" t="n">
        <f aca="false">X1565+ROW()*0.000000001</f>
        <v>46.8881549740909</v>
      </c>
    </row>
    <row r="1566" customFormat="false" ht="15" hidden="false" customHeight="false" outlineLevel="0" collapsed="false">
      <c r="A1566" s="0" t="n">
        <v>5</v>
      </c>
      <c r="B1566" s="0" t="n">
        <v>6</v>
      </c>
      <c r="C1566" s="0" t="n">
        <v>14</v>
      </c>
      <c r="D1566" s="0" t="n">
        <f aca="false">-1+A1566*0.125</f>
        <v>-0.375</v>
      </c>
      <c r="E1566" s="0" t="n">
        <f aca="false">-1+B1566*0.125</f>
        <v>-0.25</v>
      </c>
      <c r="F1566" s="0" t="n">
        <f aca="false">-1+C1566*0.125</f>
        <v>0.75</v>
      </c>
      <c r="G1566" s="0" t="n">
        <f aca="false">1</f>
        <v>1</v>
      </c>
      <c r="H1566" s="0" t="n">
        <f aca="false">D1566</f>
        <v>-0.375</v>
      </c>
      <c r="I1566" s="0" t="n">
        <f aca="false">E1566</f>
        <v>-0.25</v>
      </c>
      <c r="J1566" s="0" t="n">
        <f aca="false">F1566</f>
        <v>0.75</v>
      </c>
      <c r="K1566" s="0" t="n">
        <f aca="false">D1566*E1566</f>
        <v>0.09375</v>
      </c>
      <c r="L1566" s="0" t="n">
        <f aca="false">D1566*F1566</f>
        <v>-0.28125</v>
      </c>
      <c r="M1566" s="0" t="n">
        <f aca="false">E1566*F1566</f>
        <v>-0.1875</v>
      </c>
      <c r="N1566" s="0" t="n">
        <f aca="false">D1566*D1566</f>
        <v>0.140625</v>
      </c>
      <c r="O1566" s="0" t="n">
        <f aca="false">E1566*E1566</f>
        <v>0.0625</v>
      </c>
      <c r="P1566" s="0" t="n">
        <f aca="false">F1566*F1566</f>
        <v>0.5625</v>
      </c>
      <c r="Q1566" s="0" t="n">
        <f aca="false">SUMPRODUCT(G1566:P1566,_XtX!$B$71:$K$71)</f>
        <v>46.8512784090909</v>
      </c>
      <c r="R1566" s="0" t="n">
        <f aca="false">SUMPRODUCT(MMULT(G1566:P1566,_XtX!$B$58:$K$67),G1566:P1566)</f>
        <v>0.230632990056818</v>
      </c>
      <c r="S1566" s="0" t="n">
        <f aca="false">04_回帰ANOVA!$K$19*04_回帰ANOVA!$K$14*SQRT(1+R1566)</f>
        <v>1.03140899038819</v>
      </c>
      <c r="T1566" s="0" t="n">
        <f aca="false">Q1566-S1566</f>
        <v>45.8198694187027</v>
      </c>
      <c r="U1566" s="0" t="n">
        <f aca="false">Q1566+S1566</f>
        <v>47.8826873994791</v>
      </c>
      <c r="V1566" s="54" t="b">
        <f aca="false">AND(D1566&gt;=01_因子設定!$L$5-0.000000001,D1566&lt;=01_因子設定!$M$5+0.000000001,E1566&gt;=01_因子設定!$L$6-0.000000001,E1566&lt;=01_因子設定!$M$6+0.000000001,F1566&gt;=01_因子設定!$L$7-0.000000001,F1566&lt;=01_因子設定!$M$7+0.000000001,IF(01_因子設定!$B$20="Box-Behnken",D1566^2+E1566^2+F1566^2&lt;=2+0.000000001,TRUE()))</f>
        <v>1</v>
      </c>
      <c r="W1566" s="55" t="n">
        <f aca="false">IF(V1566,IF(01_因子設定!$B$13="最大化",T1566-01_因子設定!$B$14,IF(01_因子設定!$B$13="最小化",01_因子設定!$B$15-U1566,MIN(T1566-01_因子設定!$B$14,01_因子設定!$B$15-U1566))),-1E+030)</f>
        <v>-2.68013058129726</v>
      </c>
      <c r="X1566" s="55" t="n">
        <f aca="false">IF(V1566,IF(01_因子設定!$B$13="最大化",Q1566,IF(01_因子設定!$B$13="最小化",-Q1566,-ABS(Q1566-01_因子設定!$B$16))),-1E+030)</f>
        <v>46.8512784090909</v>
      </c>
      <c r="Y1566" s="55" t="n">
        <f aca="false">W1566+ROW()*0.000000001</f>
        <v>-2.68012901529726</v>
      </c>
      <c r="Z1566" s="55" t="n">
        <f aca="false">X1566+ROW()*0.000000001</f>
        <v>46.8512799750909</v>
      </c>
    </row>
    <row r="1567" customFormat="false" ht="15" hidden="false" customHeight="false" outlineLevel="0" collapsed="false">
      <c r="A1567" s="0" t="n">
        <v>5</v>
      </c>
      <c r="B1567" s="0" t="n">
        <v>6</v>
      </c>
      <c r="C1567" s="0" t="n">
        <v>15</v>
      </c>
      <c r="D1567" s="0" t="n">
        <f aca="false">-1+A1567*0.125</f>
        <v>-0.375</v>
      </c>
      <c r="E1567" s="0" t="n">
        <f aca="false">-1+B1567*0.125</f>
        <v>-0.25</v>
      </c>
      <c r="F1567" s="0" t="n">
        <f aca="false">-1+C1567*0.125</f>
        <v>0.875</v>
      </c>
      <c r="G1567" s="0" t="n">
        <f aca="false">1</f>
        <v>1</v>
      </c>
      <c r="H1567" s="0" t="n">
        <f aca="false">D1567</f>
        <v>-0.375</v>
      </c>
      <c r="I1567" s="0" t="n">
        <f aca="false">E1567</f>
        <v>-0.25</v>
      </c>
      <c r="J1567" s="0" t="n">
        <f aca="false">F1567</f>
        <v>0.875</v>
      </c>
      <c r="K1567" s="0" t="n">
        <f aca="false">D1567*E1567</f>
        <v>0.09375</v>
      </c>
      <c r="L1567" s="0" t="n">
        <f aca="false">D1567*F1567</f>
        <v>-0.328125</v>
      </c>
      <c r="M1567" s="0" t="n">
        <f aca="false">E1567*F1567</f>
        <v>-0.21875</v>
      </c>
      <c r="N1567" s="0" t="n">
        <f aca="false">D1567*D1567</f>
        <v>0.140625</v>
      </c>
      <c r="O1567" s="0" t="n">
        <f aca="false">E1567*E1567</f>
        <v>0.0625</v>
      </c>
      <c r="P1567" s="0" t="n">
        <f aca="false">F1567*F1567</f>
        <v>0.765625</v>
      </c>
      <c r="Q1567" s="0" t="n">
        <f aca="false">SUMPRODUCT(G1567:P1567,_XtX!$B$71:$K$71)</f>
        <v>46.7776136363637</v>
      </c>
      <c r="R1567" s="0" t="n">
        <f aca="false">SUMPRODUCT(MMULT(G1567:P1567,_XtX!$B$58:$K$67),G1567:P1567)</f>
        <v>0.324484530362216</v>
      </c>
      <c r="S1567" s="0" t="n">
        <f aca="false">04_回帰ANOVA!$K$19*04_回帰ANOVA!$K$14*SQRT(1+R1567)</f>
        <v>1.07001553041279</v>
      </c>
      <c r="T1567" s="0" t="n">
        <f aca="false">Q1567-S1567</f>
        <v>45.7075981059509</v>
      </c>
      <c r="U1567" s="0" t="n">
        <f aca="false">Q1567+S1567</f>
        <v>47.8476291667764</v>
      </c>
      <c r="V1567" s="54" t="b">
        <f aca="false">AND(D1567&gt;=01_因子設定!$L$5-0.000000001,D1567&lt;=01_因子設定!$M$5+0.000000001,E1567&gt;=01_因子設定!$L$6-0.000000001,E1567&lt;=01_因子設定!$M$6+0.000000001,F1567&gt;=01_因子設定!$L$7-0.000000001,F1567&lt;=01_因子設定!$M$7+0.000000001,IF(01_因子設定!$B$20="Box-Behnken",D1567^2+E1567^2+F1567^2&lt;=2+0.000000001,TRUE()))</f>
        <v>1</v>
      </c>
      <c r="W1567" s="55" t="n">
        <f aca="false">IF(V1567,IF(01_因子設定!$B$13="最大化",T1567-01_因子設定!$B$14,IF(01_因子設定!$B$13="最小化",01_因子設定!$B$15-U1567,MIN(T1567-01_因子設定!$B$14,01_因子設定!$B$15-U1567))),-1E+030)</f>
        <v>-2.79240189404914</v>
      </c>
      <c r="X1567" s="55" t="n">
        <f aca="false">IF(V1567,IF(01_因子設定!$B$13="最大化",Q1567,IF(01_因子設定!$B$13="最小化",-Q1567,-ABS(Q1567-01_因子設定!$B$16))),-1E+030)</f>
        <v>46.7776136363637</v>
      </c>
      <c r="Y1567" s="55" t="n">
        <f aca="false">W1567+ROW()*0.000000001</f>
        <v>-2.79240032704914</v>
      </c>
      <c r="Z1567" s="55" t="n">
        <f aca="false">X1567+ROW()*0.000000001</f>
        <v>46.7776152033637</v>
      </c>
    </row>
    <row r="1568" customFormat="false" ht="15" hidden="false" customHeight="false" outlineLevel="0" collapsed="false">
      <c r="A1568" s="0" t="n">
        <v>5</v>
      </c>
      <c r="B1568" s="0" t="n">
        <v>6</v>
      </c>
      <c r="C1568" s="0" t="n">
        <v>16</v>
      </c>
      <c r="D1568" s="0" t="n">
        <f aca="false">-1+A1568*0.125</f>
        <v>-0.375</v>
      </c>
      <c r="E1568" s="0" t="n">
        <f aca="false">-1+B1568*0.125</f>
        <v>-0.25</v>
      </c>
      <c r="F1568" s="0" t="n">
        <f aca="false">-1+C1568*0.125</f>
        <v>1</v>
      </c>
      <c r="G1568" s="0" t="n">
        <f aca="false">1</f>
        <v>1</v>
      </c>
      <c r="H1568" s="0" t="n">
        <f aca="false">D1568</f>
        <v>-0.375</v>
      </c>
      <c r="I1568" s="0" t="n">
        <f aca="false">E1568</f>
        <v>-0.25</v>
      </c>
      <c r="J1568" s="0" t="n">
        <f aca="false">F1568</f>
        <v>1</v>
      </c>
      <c r="K1568" s="0" t="n">
        <f aca="false">D1568*E1568</f>
        <v>0.09375</v>
      </c>
      <c r="L1568" s="0" t="n">
        <f aca="false">D1568*F1568</f>
        <v>-0.375</v>
      </c>
      <c r="M1568" s="0" t="n">
        <f aca="false">E1568*F1568</f>
        <v>-0.25</v>
      </c>
      <c r="N1568" s="0" t="n">
        <f aca="false">D1568*D1568</f>
        <v>0.140625</v>
      </c>
      <c r="O1568" s="0" t="n">
        <f aca="false">E1568*E1568</f>
        <v>0.0625</v>
      </c>
      <c r="P1568" s="0" t="n">
        <f aca="false">F1568*F1568</f>
        <v>1</v>
      </c>
      <c r="Q1568" s="0" t="n">
        <f aca="false">SUMPRODUCT(G1568:P1568,_XtX!$B$71:$K$71)</f>
        <v>46.6671590909091</v>
      </c>
      <c r="R1568" s="0" t="n">
        <f aca="false">SUMPRODUCT(MMULT(G1568:P1568,_XtX!$B$58:$K$67),G1568:P1568)</f>
        <v>0.470061700994318</v>
      </c>
      <c r="S1568" s="0" t="n">
        <f aca="false">04_回帰ANOVA!$K$19*04_回帰ANOVA!$K$14*SQRT(1+R1568)</f>
        <v>1.12728678965931</v>
      </c>
      <c r="T1568" s="0" t="n">
        <f aca="false">Q1568-S1568</f>
        <v>45.5398723012498</v>
      </c>
      <c r="U1568" s="0" t="n">
        <f aca="false">Q1568+S1568</f>
        <v>47.7944458805684</v>
      </c>
      <c r="V1568" s="54" t="b">
        <f aca="false">AND(D1568&gt;=01_因子設定!$L$5-0.000000001,D1568&lt;=01_因子設定!$M$5+0.000000001,E1568&gt;=01_因子設定!$L$6-0.000000001,E1568&lt;=01_因子設定!$M$6+0.000000001,F1568&gt;=01_因子設定!$L$7-0.000000001,F1568&lt;=01_因子設定!$M$7+0.000000001,IF(01_因子設定!$B$20="Box-Behnken",D1568^2+E1568^2+F1568^2&lt;=2+0.000000001,TRUE()))</f>
        <v>1</v>
      </c>
      <c r="W1568" s="55" t="n">
        <f aca="false">IF(V1568,IF(01_因子設定!$B$13="最大化",T1568-01_因子設定!$B$14,IF(01_因子設定!$B$13="最小化",01_因子設定!$B$15-U1568,MIN(T1568-01_因子設定!$B$14,01_因子設定!$B$15-U1568))),-1E+030)</f>
        <v>-2.96012769875019</v>
      </c>
      <c r="X1568" s="55" t="n">
        <f aca="false">IF(V1568,IF(01_因子設定!$B$13="最大化",Q1568,IF(01_因子設定!$B$13="最小化",-Q1568,-ABS(Q1568-01_因子設定!$B$16))),-1E+030)</f>
        <v>46.6671590909091</v>
      </c>
      <c r="Y1568" s="55" t="n">
        <f aca="false">W1568+ROW()*0.000000001</f>
        <v>-2.96012613075019</v>
      </c>
      <c r="Z1568" s="55" t="n">
        <f aca="false">X1568+ROW()*0.000000001</f>
        <v>46.6671606589091</v>
      </c>
    </row>
    <row r="1569" customFormat="false" ht="15" hidden="false" customHeight="false" outlineLevel="0" collapsed="false">
      <c r="A1569" s="0" t="n">
        <v>5</v>
      </c>
      <c r="B1569" s="0" t="n">
        <v>7</v>
      </c>
      <c r="C1569" s="0" t="n">
        <v>0</v>
      </c>
      <c r="D1569" s="0" t="n">
        <f aca="false">-1+A1569*0.125</f>
        <v>-0.375</v>
      </c>
      <c r="E1569" s="0" t="n">
        <f aca="false">-1+B1569*0.125</f>
        <v>-0.125</v>
      </c>
      <c r="F1569" s="0" t="n">
        <f aca="false">-1+C1569*0.125</f>
        <v>-1</v>
      </c>
      <c r="G1569" s="0" t="n">
        <f aca="false">1</f>
        <v>1</v>
      </c>
      <c r="H1569" s="0" t="n">
        <f aca="false">D1569</f>
        <v>-0.375</v>
      </c>
      <c r="I1569" s="0" t="n">
        <f aca="false">E1569</f>
        <v>-0.125</v>
      </c>
      <c r="J1569" s="0" t="n">
        <f aca="false">F1569</f>
        <v>-1</v>
      </c>
      <c r="K1569" s="0" t="n">
        <f aca="false">D1569*E1569</f>
        <v>0.046875</v>
      </c>
      <c r="L1569" s="0" t="n">
        <f aca="false">D1569*F1569</f>
        <v>0.375</v>
      </c>
      <c r="M1569" s="0" t="n">
        <f aca="false">E1569*F1569</f>
        <v>0.125</v>
      </c>
      <c r="N1569" s="0" t="n">
        <f aca="false">D1569*D1569</f>
        <v>0.140625</v>
      </c>
      <c r="O1569" s="0" t="n">
        <f aca="false">E1569*E1569</f>
        <v>0.015625</v>
      </c>
      <c r="P1569" s="0" t="n">
        <f aca="false">F1569*F1569</f>
        <v>1</v>
      </c>
      <c r="Q1569" s="0" t="n">
        <f aca="false">SUMPRODUCT(G1569:P1569,_XtX!$B$71:$K$71)</f>
        <v>44.259765625</v>
      </c>
      <c r="R1569" s="0" t="n">
        <f aca="false">SUMPRODUCT(MMULT(G1569:P1569,_XtX!$B$58:$K$67),G1569:P1569)</f>
        <v>0.476202392578125</v>
      </c>
      <c r="S1569" s="0" t="n">
        <f aca="false">04_回帰ANOVA!$K$19*04_回帰ANOVA!$K$14*SQRT(1+R1569)</f>
        <v>1.12963876802721</v>
      </c>
      <c r="T1569" s="0" t="n">
        <f aca="false">Q1569-S1569</f>
        <v>43.1301268569728</v>
      </c>
      <c r="U1569" s="0" t="n">
        <f aca="false">Q1569+S1569</f>
        <v>45.3894043930272</v>
      </c>
      <c r="V1569" s="54" t="b">
        <f aca="false">AND(D1569&gt;=01_因子設定!$L$5-0.000000001,D1569&lt;=01_因子設定!$M$5+0.000000001,E1569&gt;=01_因子設定!$L$6-0.000000001,E1569&lt;=01_因子設定!$M$6+0.000000001,F1569&gt;=01_因子設定!$L$7-0.000000001,F1569&lt;=01_因子設定!$M$7+0.000000001,IF(01_因子設定!$B$20="Box-Behnken",D1569^2+E1569^2+F1569^2&lt;=2+0.000000001,TRUE()))</f>
        <v>1</v>
      </c>
      <c r="W1569" s="55" t="n">
        <f aca="false">IF(V1569,IF(01_因子設定!$B$13="最大化",T1569-01_因子設定!$B$14,IF(01_因子設定!$B$13="最小化",01_因子設定!$B$15-U1569,MIN(T1569-01_因子設定!$B$14,01_因子設定!$B$15-U1569))),-1E+030)</f>
        <v>-5.36987314302718</v>
      </c>
      <c r="X1569" s="55" t="n">
        <f aca="false">IF(V1569,IF(01_因子設定!$B$13="最大化",Q1569,IF(01_因子設定!$B$13="最小化",-Q1569,-ABS(Q1569-01_因子設定!$B$16))),-1E+030)</f>
        <v>44.259765625</v>
      </c>
      <c r="Y1569" s="55" t="n">
        <f aca="false">W1569+ROW()*0.000000001</f>
        <v>-5.36987157402718</v>
      </c>
      <c r="Z1569" s="55" t="n">
        <f aca="false">X1569+ROW()*0.000000001</f>
        <v>44.259767194</v>
      </c>
    </row>
    <row r="1570" customFormat="false" ht="15" hidden="false" customHeight="false" outlineLevel="0" collapsed="false">
      <c r="A1570" s="0" t="n">
        <v>5</v>
      </c>
      <c r="B1570" s="0" t="n">
        <v>7</v>
      </c>
      <c r="C1570" s="0" t="n">
        <v>1</v>
      </c>
      <c r="D1570" s="0" t="n">
        <f aca="false">-1+A1570*0.125</f>
        <v>-0.375</v>
      </c>
      <c r="E1570" s="0" t="n">
        <f aca="false">-1+B1570*0.125</f>
        <v>-0.125</v>
      </c>
      <c r="F1570" s="0" t="n">
        <f aca="false">-1+C1570*0.125</f>
        <v>-0.875</v>
      </c>
      <c r="G1570" s="0" t="n">
        <f aca="false">1</f>
        <v>1</v>
      </c>
      <c r="H1570" s="0" t="n">
        <f aca="false">D1570</f>
        <v>-0.375</v>
      </c>
      <c r="I1570" s="0" t="n">
        <f aca="false">E1570</f>
        <v>-0.125</v>
      </c>
      <c r="J1570" s="0" t="n">
        <f aca="false">F1570</f>
        <v>-0.875</v>
      </c>
      <c r="K1570" s="0" t="n">
        <f aca="false">D1570*E1570</f>
        <v>0.046875</v>
      </c>
      <c r="L1570" s="0" t="n">
        <f aca="false">D1570*F1570</f>
        <v>0.328125</v>
      </c>
      <c r="M1570" s="0" t="n">
        <f aca="false">E1570*F1570</f>
        <v>0.109375</v>
      </c>
      <c r="N1570" s="0" t="n">
        <f aca="false">D1570*D1570</f>
        <v>0.140625</v>
      </c>
      <c r="O1570" s="0" t="n">
        <f aca="false">E1570*E1570</f>
        <v>0.015625</v>
      </c>
      <c r="P1570" s="0" t="n">
        <f aca="false">F1570*F1570</f>
        <v>0.765625</v>
      </c>
      <c r="Q1570" s="0" t="n">
        <f aca="false">SUMPRODUCT(G1570:P1570,_XtX!$B$71:$K$71)</f>
        <v>44.7081889204546</v>
      </c>
      <c r="R1570" s="0" t="n">
        <f aca="false">SUMPRODUCT(MMULT(G1570:P1570,_XtX!$B$58:$K$67),G1570:P1570)</f>
        <v>0.32900224165483</v>
      </c>
      <c r="S1570" s="0" t="n">
        <f aca="false">04_回帰ANOVA!$K$19*04_回帰ANOVA!$K$14*SQRT(1+R1570)</f>
        <v>1.07183884583628</v>
      </c>
      <c r="T1570" s="0" t="n">
        <f aca="false">Q1570-S1570</f>
        <v>43.6363500746183</v>
      </c>
      <c r="U1570" s="0" t="n">
        <f aca="false">Q1570+S1570</f>
        <v>45.7800277662908</v>
      </c>
      <c r="V1570" s="54" t="b">
        <f aca="false">AND(D1570&gt;=01_因子設定!$L$5-0.000000001,D1570&lt;=01_因子設定!$M$5+0.000000001,E1570&gt;=01_因子設定!$L$6-0.000000001,E1570&lt;=01_因子設定!$M$6+0.000000001,F1570&gt;=01_因子設定!$L$7-0.000000001,F1570&lt;=01_因子設定!$M$7+0.000000001,IF(01_因子設定!$B$20="Box-Behnken",D1570^2+E1570^2+F1570^2&lt;=2+0.000000001,TRUE()))</f>
        <v>1</v>
      </c>
      <c r="W1570" s="55" t="n">
        <f aca="false">IF(V1570,IF(01_因子設定!$B$13="最大化",T1570-01_因子設定!$B$14,IF(01_因子設定!$B$13="最小化",01_因子設定!$B$15-U1570,MIN(T1570-01_因子設定!$B$14,01_因子設定!$B$15-U1570))),-1E+030)</f>
        <v>-4.86364992538171</v>
      </c>
      <c r="X1570" s="55" t="n">
        <f aca="false">IF(V1570,IF(01_因子設定!$B$13="最大化",Q1570,IF(01_因子設定!$B$13="最小化",-Q1570,-ABS(Q1570-01_因子設定!$B$16))),-1E+030)</f>
        <v>44.7081889204546</v>
      </c>
      <c r="Y1570" s="55" t="n">
        <f aca="false">W1570+ROW()*0.000000001</f>
        <v>-4.86364835538171</v>
      </c>
      <c r="Z1570" s="55" t="n">
        <f aca="false">X1570+ROW()*0.000000001</f>
        <v>44.7081904904546</v>
      </c>
    </row>
    <row r="1571" customFormat="false" ht="15" hidden="false" customHeight="false" outlineLevel="0" collapsed="false">
      <c r="A1571" s="0" t="n">
        <v>5</v>
      </c>
      <c r="B1571" s="0" t="n">
        <v>7</v>
      </c>
      <c r="C1571" s="0" t="n">
        <v>2</v>
      </c>
      <c r="D1571" s="0" t="n">
        <f aca="false">-1+A1571*0.125</f>
        <v>-0.375</v>
      </c>
      <c r="E1571" s="0" t="n">
        <f aca="false">-1+B1571*0.125</f>
        <v>-0.125</v>
      </c>
      <c r="F1571" s="0" t="n">
        <f aca="false">-1+C1571*0.125</f>
        <v>-0.75</v>
      </c>
      <c r="G1571" s="0" t="n">
        <f aca="false">1</f>
        <v>1</v>
      </c>
      <c r="H1571" s="0" t="n">
        <f aca="false">D1571</f>
        <v>-0.375</v>
      </c>
      <c r="I1571" s="0" t="n">
        <f aca="false">E1571</f>
        <v>-0.125</v>
      </c>
      <c r="J1571" s="0" t="n">
        <f aca="false">F1571</f>
        <v>-0.75</v>
      </c>
      <c r="K1571" s="0" t="n">
        <f aca="false">D1571*E1571</f>
        <v>0.046875</v>
      </c>
      <c r="L1571" s="0" t="n">
        <f aca="false">D1571*F1571</f>
        <v>0.28125</v>
      </c>
      <c r="M1571" s="0" t="n">
        <f aca="false">E1571*F1571</f>
        <v>0.09375</v>
      </c>
      <c r="N1571" s="0" t="n">
        <f aca="false">D1571*D1571</f>
        <v>0.140625</v>
      </c>
      <c r="O1571" s="0" t="n">
        <f aca="false">E1571*E1571</f>
        <v>0.015625</v>
      </c>
      <c r="P1571" s="0" t="n">
        <f aca="false">F1571*F1571</f>
        <v>0.5625</v>
      </c>
      <c r="Q1571" s="0" t="n">
        <f aca="false">SUMPRODUCT(G1571:P1571,_XtX!$B$71:$K$71)</f>
        <v>45.1198224431818</v>
      </c>
      <c r="R1571" s="0" t="n">
        <f aca="false">SUMPRODUCT(MMULT(G1571:P1571,_XtX!$B$58:$K$67),G1571:P1571)</f>
        <v>0.233744118430398</v>
      </c>
      <c r="S1571" s="0" t="n">
        <f aca="false">04_回帰ANOVA!$K$19*04_回帰ANOVA!$K$14*SQRT(1+R1571)</f>
        <v>1.0327119053564</v>
      </c>
      <c r="T1571" s="0" t="n">
        <f aca="false">Q1571-S1571</f>
        <v>44.0871105378254</v>
      </c>
      <c r="U1571" s="0" t="n">
        <f aca="false">Q1571+S1571</f>
        <v>46.1525343485382</v>
      </c>
      <c r="V1571" s="54" t="b">
        <f aca="false">AND(D1571&gt;=01_因子設定!$L$5-0.000000001,D1571&lt;=01_因子設定!$M$5+0.000000001,E1571&gt;=01_因子設定!$L$6-0.000000001,E1571&lt;=01_因子設定!$M$6+0.000000001,F1571&gt;=01_因子設定!$L$7-0.000000001,F1571&lt;=01_因子設定!$M$7+0.000000001,IF(01_因子設定!$B$20="Box-Behnken",D1571^2+E1571^2+F1571^2&lt;=2+0.000000001,TRUE()))</f>
        <v>1</v>
      </c>
      <c r="W1571" s="55" t="n">
        <f aca="false">IF(V1571,IF(01_因子設定!$B$13="最大化",T1571-01_因子設定!$B$14,IF(01_因子設定!$B$13="最小化",01_因子設定!$B$15-U1571,MIN(T1571-01_因子設定!$B$14,01_因子設定!$B$15-U1571))),-1E+030)</f>
        <v>-4.41288946217457</v>
      </c>
      <c r="X1571" s="55" t="n">
        <f aca="false">IF(V1571,IF(01_因子設定!$B$13="最大化",Q1571,IF(01_因子設定!$B$13="最小化",-Q1571,-ABS(Q1571-01_因子設定!$B$16))),-1E+030)</f>
        <v>45.1198224431818</v>
      </c>
      <c r="Y1571" s="55" t="n">
        <f aca="false">W1571+ROW()*0.000000001</f>
        <v>-4.41288789117457</v>
      </c>
      <c r="Z1571" s="55" t="n">
        <f aca="false">X1571+ROW()*0.000000001</f>
        <v>45.1198240141818</v>
      </c>
    </row>
    <row r="1572" customFormat="false" ht="15" hidden="false" customHeight="false" outlineLevel="0" collapsed="false">
      <c r="A1572" s="0" t="n">
        <v>5</v>
      </c>
      <c r="B1572" s="0" t="n">
        <v>7</v>
      </c>
      <c r="C1572" s="0" t="n">
        <v>3</v>
      </c>
      <c r="D1572" s="0" t="n">
        <f aca="false">-1+A1572*0.125</f>
        <v>-0.375</v>
      </c>
      <c r="E1572" s="0" t="n">
        <f aca="false">-1+B1572*0.125</f>
        <v>-0.125</v>
      </c>
      <c r="F1572" s="0" t="n">
        <f aca="false">-1+C1572*0.125</f>
        <v>-0.625</v>
      </c>
      <c r="G1572" s="0" t="n">
        <f aca="false">1</f>
        <v>1</v>
      </c>
      <c r="H1572" s="0" t="n">
        <f aca="false">D1572</f>
        <v>-0.375</v>
      </c>
      <c r="I1572" s="0" t="n">
        <f aca="false">E1572</f>
        <v>-0.125</v>
      </c>
      <c r="J1572" s="0" t="n">
        <f aca="false">F1572</f>
        <v>-0.625</v>
      </c>
      <c r="K1572" s="0" t="n">
        <f aca="false">D1572*E1572</f>
        <v>0.046875</v>
      </c>
      <c r="L1572" s="0" t="n">
        <f aca="false">D1572*F1572</f>
        <v>0.234375</v>
      </c>
      <c r="M1572" s="0" t="n">
        <f aca="false">E1572*F1572</f>
        <v>0.078125</v>
      </c>
      <c r="N1572" s="0" t="n">
        <f aca="false">D1572*D1572</f>
        <v>0.140625</v>
      </c>
      <c r="O1572" s="0" t="n">
        <f aca="false">E1572*E1572</f>
        <v>0.015625</v>
      </c>
      <c r="P1572" s="0" t="n">
        <f aca="false">F1572*F1572</f>
        <v>0.390625</v>
      </c>
      <c r="Q1572" s="0" t="n">
        <f aca="false">SUMPRODUCT(G1572:P1572,_XtX!$B$71:$K$71)</f>
        <v>45.4946661931818</v>
      </c>
      <c r="R1572" s="0" t="n">
        <f aca="false">SUMPRODUCT(MMULT(G1572:P1572,_XtX!$B$58:$K$67),G1572:P1572)</f>
        <v>0.176578591086648</v>
      </c>
      <c r="S1572" s="0" t="n">
        <f aca="false">04_回帰ANOVA!$K$19*04_回帰ANOVA!$K$14*SQRT(1+R1572)</f>
        <v>1.00850279676269</v>
      </c>
      <c r="T1572" s="0" t="n">
        <f aca="false">Q1572-S1572</f>
        <v>44.4861633964191</v>
      </c>
      <c r="U1572" s="0" t="n">
        <f aca="false">Q1572+S1572</f>
        <v>46.5031689899445</v>
      </c>
      <c r="V1572" s="54" t="b">
        <f aca="false">AND(D1572&gt;=01_因子設定!$L$5-0.000000001,D1572&lt;=01_因子設定!$M$5+0.000000001,E1572&gt;=01_因子設定!$L$6-0.000000001,E1572&lt;=01_因子設定!$M$6+0.000000001,F1572&gt;=01_因子設定!$L$7-0.000000001,F1572&lt;=01_因子設定!$M$7+0.000000001,IF(01_因子設定!$B$20="Box-Behnken",D1572^2+E1572^2+F1572^2&lt;=2+0.000000001,TRUE()))</f>
        <v>1</v>
      </c>
      <c r="W1572" s="55" t="n">
        <f aca="false">IF(V1572,IF(01_因子設定!$B$13="最大化",T1572-01_因子設定!$B$14,IF(01_因子設定!$B$13="最小化",01_因子設定!$B$15-U1572,MIN(T1572-01_因子設定!$B$14,01_因子設定!$B$15-U1572))),-1E+030)</f>
        <v>-4.01383660358086</v>
      </c>
      <c r="X1572" s="55" t="n">
        <f aca="false">IF(V1572,IF(01_因子設定!$B$13="最大化",Q1572,IF(01_因子設定!$B$13="最小化",-Q1572,-ABS(Q1572-01_因子設定!$B$16))),-1E+030)</f>
        <v>45.4946661931818</v>
      </c>
      <c r="Y1572" s="55" t="n">
        <f aca="false">W1572+ROW()*0.000000001</f>
        <v>-4.01383503158086</v>
      </c>
      <c r="Z1572" s="55" t="n">
        <f aca="false">X1572+ROW()*0.000000001</f>
        <v>45.4946677651818</v>
      </c>
    </row>
    <row r="1573" customFormat="false" ht="15" hidden="false" customHeight="false" outlineLevel="0" collapsed="false">
      <c r="A1573" s="0" t="n">
        <v>5</v>
      </c>
      <c r="B1573" s="0" t="n">
        <v>7</v>
      </c>
      <c r="C1573" s="0" t="n">
        <v>4</v>
      </c>
      <c r="D1573" s="0" t="n">
        <f aca="false">-1+A1573*0.125</f>
        <v>-0.375</v>
      </c>
      <c r="E1573" s="0" t="n">
        <f aca="false">-1+B1573*0.125</f>
        <v>-0.125</v>
      </c>
      <c r="F1573" s="0" t="n">
        <f aca="false">-1+C1573*0.125</f>
        <v>-0.5</v>
      </c>
      <c r="G1573" s="0" t="n">
        <f aca="false">1</f>
        <v>1</v>
      </c>
      <c r="H1573" s="0" t="n">
        <f aca="false">D1573</f>
        <v>-0.375</v>
      </c>
      <c r="I1573" s="0" t="n">
        <f aca="false">E1573</f>
        <v>-0.125</v>
      </c>
      <c r="J1573" s="0" t="n">
        <f aca="false">F1573</f>
        <v>-0.5</v>
      </c>
      <c r="K1573" s="0" t="n">
        <f aca="false">D1573*E1573</f>
        <v>0.046875</v>
      </c>
      <c r="L1573" s="0" t="n">
        <f aca="false">D1573*F1573</f>
        <v>0.1875</v>
      </c>
      <c r="M1573" s="0" t="n">
        <f aca="false">E1573*F1573</f>
        <v>0.0625</v>
      </c>
      <c r="N1573" s="0" t="n">
        <f aca="false">D1573*D1573</f>
        <v>0.140625</v>
      </c>
      <c r="O1573" s="0" t="n">
        <f aca="false">E1573*E1573</f>
        <v>0.015625</v>
      </c>
      <c r="P1573" s="0" t="n">
        <f aca="false">F1573*F1573</f>
        <v>0.25</v>
      </c>
      <c r="Q1573" s="0" t="n">
        <f aca="false">SUMPRODUCT(G1573:P1573,_XtX!$B$71:$K$71)</f>
        <v>45.8327201704546</v>
      </c>
      <c r="R1573" s="0" t="n">
        <f aca="false">SUMPRODUCT(MMULT(G1573:P1573,_XtX!$B$58:$K$67),G1573:P1573)</f>
        <v>0.14578690962358</v>
      </c>
      <c r="S1573" s="0" t="n">
        <f aca="false">04_回帰ANOVA!$K$19*04_回帰ANOVA!$K$14*SQRT(1+R1573)</f>
        <v>0.995218783457917</v>
      </c>
      <c r="T1573" s="0" t="n">
        <f aca="false">Q1573-S1573</f>
        <v>44.8375013869966</v>
      </c>
      <c r="U1573" s="0" t="n">
        <f aca="false">Q1573+S1573</f>
        <v>46.8279389539125</v>
      </c>
      <c r="V1573" s="54" t="b">
        <f aca="false">AND(D1573&gt;=01_因子設定!$L$5-0.000000001,D1573&lt;=01_因子設定!$M$5+0.000000001,E1573&gt;=01_因子設定!$L$6-0.000000001,E1573&lt;=01_因子設定!$M$6+0.000000001,F1573&gt;=01_因子設定!$L$7-0.000000001,F1573&lt;=01_因子設定!$M$7+0.000000001,IF(01_因子設定!$B$20="Box-Behnken",D1573^2+E1573^2+F1573^2&lt;=2+0.000000001,TRUE()))</f>
        <v>1</v>
      </c>
      <c r="W1573" s="55" t="n">
        <f aca="false">IF(V1573,IF(01_因子設定!$B$13="最大化",T1573-01_因子設定!$B$14,IF(01_因子設定!$B$13="最小化",01_因子設定!$B$15-U1573,MIN(T1573-01_因子設定!$B$14,01_因子設定!$B$15-U1573))),-1E+030)</f>
        <v>-3.66249861300336</v>
      </c>
      <c r="X1573" s="55" t="n">
        <f aca="false">IF(V1573,IF(01_因子設定!$B$13="最大化",Q1573,IF(01_因子設定!$B$13="最小化",-Q1573,-ABS(Q1573-01_因子設定!$B$16))),-1E+030)</f>
        <v>45.8327201704546</v>
      </c>
      <c r="Y1573" s="55" t="n">
        <f aca="false">W1573+ROW()*0.000000001</f>
        <v>-3.66249704000336</v>
      </c>
      <c r="Z1573" s="55" t="n">
        <f aca="false">X1573+ROW()*0.000000001</f>
        <v>45.8327217434546</v>
      </c>
    </row>
    <row r="1574" customFormat="false" ht="15" hidden="false" customHeight="false" outlineLevel="0" collapsed="false">
      <c r="A1574" s="0" t="n">
        <v>5</v>
      </c>
      <c r="B1574" s="0" t="n">
        <v>7</v>
      </c>
      <c r="C1574" s="0" t="n">
        <v>5</v>
      </c>
      <c r="D1574" s="0" t="n">
        <f aca="false">-1+A1574*0.125</f>
        <v>-0.375</v>
      </c>
      <c r="E1574" s="0" t="n">
        <f aca="false">-1+B1574*0.125</f>
        <v>-0.125</v>
      </c>
      <c r="F1574" s="0" t="n">
        <f aca="false">-1+C1574*0.125</f>
        <v>-0.375</v>
      </c>
      <c r="G1574" s="0" t="n">
        <f aca="false">1</f>
        <v>1</v>
      </c>
      <c r="H1574" s="0" t="n">
        <f aca="false">D1574</f>
        <v>-0.375</v>
      </c>
      <c r="I1574" s="0" t="n">
        <f aca="false">E1574</f>
        <v>-0.125</v>
      </c>
      <c r="J1574" s="0" t="n">
        <f aca="false">F1574</f>
        <v>-0.375</v>
      </c>
      <c r="K1574" s="0" t="n">
        <f aca="false">D1574*E1574</f>
        <v>0.046875</v>
      </c>
      <c r="L1574" s="0" t="n">
        <f aca="false">D1574*F1574</f>
        <v>0.140625</v>
      </c>
      <c r="M1574" s="0" t="n">
        <f aca="false">E1574*F1574</f>
        <v>0.046875</v>
      </c>
      <c r="N1574" s="0" t="n">
        <f aca="false">D1574*D1574</f>
        <v>0.140625</v>
      </c>
      <c r="O1574" s="0" t="n">
        <f aca="false">E1574*E1574</f>
        <v>0.015625</v>
      </c>
      <c r="P1574" s="0" t="n">
        <f aca="false">F1574*F1574</f>
        <v>0.140625</v>
      </c>
      <c r="Q1574" s="0" t="n">
        <f aca="false">SUMPRODUCT(G1574:P1574,_XtX!$B$71:$K$71)</f>
        <v>46.133984375</v>
      </c>
      <c r="R1574" s="0" t="n">
        <f aca="false">SUMPRODUCT(MMULT(G1574:P1574,_XtX!$B$58:$K$67),G1574:P1574)</f>
        <v>0.131781005859375</v>
      </c>
      <c r="S1574" s="0" t="n">
        <f aca="false">04_回帰ANOVA!$K$19*04_回帰ANOVA!$K$14*SQRT(1+R1574)</f>
        <v>0.989117388188007</v>
      </c>
      <c r="T1574" s="0" t="n">
        <f aca="false">Q1574-S1574</f>
        <v>45.144866986812</v>
      </c>
      <c r="U1574" s="0" t="n">
        <f aca="false">Q1574+S1574</f>
        <v>47.123101763188</v>
      </c>
      <c r="V1574" s="54" t="b">
        <f aca="false">AND(D1574&gt;=01_因子設定!$L$5-0.000000001,D1574&lt;=01_因子設定!$M$5+0.000000001,E1574&gt;=01_因子設定!$L$6-0.000000001,E1574&lt;=01_因子設定!$M$6+0.000000001,F1574&gt;=01_因子設定!$L$7-0.000000001,F1574&lt;=01_因子設定!$M$7+0.000000001,IF(01_因子設定!$B$20="Box-Behnken",D1574^2+E1574^2+F1574^2&lt;=2+0.000000001,TRUE()))</f>
        <v>1</v>
      </c>
      <c r="W1574" s="55" t="n">
        <f aca="false">IF(V1574,IF(01_因子設定!$B$13="最大化",T1574-01_因子設定!$B$14,IF(01_因子設定!$B$13="最小化",01_因子設定!$B$15-U1574,MIN(T1574-01_因子設定!$B$14,01_因子設定!$B$15-U1574))),-1E+030)</f>
        <v>-3.355133013188</v>
      </c>
      <c r="X1574" s="55" t="n">
        <f aca="false">IF(V1574,IF(01_因子設定!$B$13="最大化",Q1574,IF(01_因子設定!$B$13="最小化",-Q1574,-ABS(Q1574-01_因子設定!$B$16))),-1E+030)</f>
        <v>46.133984375</v>
      </c>
      <c r="Y1574" s="55" t="n">
        <f aca="false">W1574+ROW()*0.000000001</f>
        <v>-3.355131439188</v>
      </c>
      <c r="Z1574" s="55" t="n">
        <f aca="false">X1574+ROW()*0.000000001</f>
        <v>46.133985949</v>
      </c>
    </row>
    <row r="1575" customFormat="false" ht="15" hidden="false" customHeight="false" outlineLevel="0" collapsed="false">
      <c r="A1575" s="0" t="n">
        <v>5</v>
      </c>
      <c r="B1575" s="0" t="n">
        <v>7</v>
      </c>
      <c r="C1575" s="0" t="n">
        <v>6</v>
      </c>
      <c r="D1575" s="0" t="n">
        <f aca="false">-1+A1575*0.125</f>
        <v>-0.375</v>
      </c>
      <c r="E1575" s="0" t="n">
        <f aca="false">-1+B1575*0.125</f>
        <v>-0.125</v>
      </c>
      <c r="F1575" s="0" t="n">
        <f aca="false">-1+C1575*0.125</f>
        <v>-0.25</v>
      </c>
      <c r="G1575" s="0" t="n">
        <f aca="false">1</f>
        <v>1</v>
      </c>
      <c r="H1575" s="0" t="n">
        <f aca="false">D1575</f>
        <v>-0.375</v>
      </c>
      <c r="I1575" s="0" t="n">
        <f aca="false">E1575</f>
        <v>-0.125</v>
      </c>
      <c r="J1575" s="0" t="n">
        <f aca="false">F1575</f>
        <v>-0.25</v>
      </c>
      <c r="K1575" s="0" t="n">
        <f aca="false">D1575*E1575</f>
        <v>0.046875</v>
      </c>
      <c r="L1575" s="0" t="n">
        <f aca="false">D1575*F1575</f>
        <v>0.09375</v>
      </c>
      <c r="M1575" s="0" t="n">
        <f aca="false">E1575*F1575</f>
        <v>0.03125</v>
      </c>
      <c r="N1575" s="0" t="n">
        <f aca="false">D1575*D1575</f>
        <v>0.140625</v>
      </c>
      <c r="O1575" s="0" t="n">
        <f aca="false">E1575*E1575</f>
        <v>0.015625</v>
      </c>
      <c r="P1575" s="0" t="n">
        <f aca="false">F1575*F1575</f>
        <v>0.0625</v>
      </c>
      <c r="Q1575" s="0" t="n">
        <f aca="false">SUMPRODUCT(G1575:P1575,_XtX!$B$71:$K$71)</f>
        <v>46.3984588068182</v>
      </c>
      <c r="R1575" s="0" t="n">
        <f aca="false">SUMPRODUCT(MMULT(G1575:P1575,_XtX!$B$58:$K$67),G1575:P1575)</f>
        <v>0.127103493430398</v>
      </c>
      <c r="S1575" s="0" t="n">
        <f aca="false">04_回帰ANOVA!$K$19*04_回帰ANOVA!$K$14*SQRT(1+R1575)</f>
        <v>0.987071321387587</v>
      </c>
      <c r="T1575" s="0" t="n">
        <f aca="false">Q1575-S1575</f>
        <v>45.4113874854306</v>
      </c>
      <c r="U1575" s="0" t="n">
        <f aca="false">Q1575+S1575</f>
        <v>47.3855301282058</v>
      </c>
      <c r="V1575" s="54" t="b">
        <f aca="false">AND(D1575&gt;=01_因子設定!$L$5-0.000000001,D1575&lt;=01_因子設定!$M$5+0.000000001,E1575&gt;=01_因子設定!$L$6-0.000000001,E1575&lt;=01_因子設定!$M$6+0.000000001,F1575&gt;=01_因子設定!$L$7-0.000000001,F1575&lt;=01_因子設定!$M$7+0.000000001,IF(01_因子設定!$B$20="Box-Behnken",D1575^2+E1575^2+F1575^2&lt;=2+0.000000001,TRUE()))</f>
        <v>1</v>
      </c>
      <c r="W1575" s="55" t="n">
        <f aca="false">IF(V1575,IF(01_因子設定!$B$13="最大化",T1575-01_因子設定!$B$14,IF(01_因子設定!$B$13="最小化",01_因子設定!$B$15-U1575,MIN(T1575-01_因子設定!$B$14,01_因子設定!$B$15-U1575))),-1E+030)</f>
        <v>-3.0886125145694</v>
      </c>
      <c r="X1575" s="55" t="n">
        <f aca="false">IF(V1575,IF(01_因子設定!$B$13="最大化",Q1575,IF(01_因子設定!$B$13="最小化",-Q1575,-ABS(Q1575-01_因子設定!$B$16))),-1E+030)</f>
        <v>46.3984588068182</v>
      </c>
      <c r="Y1575" s="55" t="n">
        <f aca="false">W1575+ROW()*0.000000001</f>
        <v>-3.0886109395694</v>
      </c>
      <c r="Z1575" s="55" t="n">
        <f aca="false">X1575+ROW()*0.000000001</f>
        <v>46.3984603818182</v>
      </c>
    </row>
    <row r="1576" customFormat="false" ht="15" hidden="false" customHeight="false" outlineLevel="0" collapsed="false">
      <c r="A1576" s="0" t="n">
        <v>5</v>
      </c>
      <c r="B1576" s="0" t="n">
        <v>7</v>
      </c>
      <c r="C1576" s="0" t="n">
        <v>7</v>
      </c>
      <c r="D1576" s="0" t="n">
        <f aca="false">-1+A1576*0.125</f>
        <v>-0.375</v>
      </c>
      <c r="E1576" s="0" t="n">
        <f aca="false">-1+B1576*0.125</f>
        <v>-0.125</v>
      </c>
      <c r="F1576" s="0" t="n">
        <f aca="false">-1+C1576*0.125</f>
        <v>-0.125</v>
      </c>
      <c r="G1576" s="0" t="n">
        <f aca="false">1</f>
        <v>1</v>
      </c>
      <c r="H1576" s="0" t="n">
        <f aca="false">D1576</f>
        <v>-0.375</v>
      </c>
      <c r="I1576" s="0" t="n">
        <f aca="false">E1576</f>
        <v>-0.125</v>
      </c>
      <c r="J1576" s="0" t="n">
        <f aca="false">F1576</f>
        <v>-0.125</v>
      </c>
      <c r="K1576" s="0" t="n">
        <f aca="false">D1576*E1576</f>
        <v>0.046875</v>
      </c>
      <c r="L1576" s="0" t="n">
        <f aca="false">D1576*F1576</f>
        <v>0.046875</v>
      </c>
      <c r="M1576" s="0" t="n">
        <f aca="false">E1576*F1576</f>
        <v>0.015625</v>
      </c>
      <c r="N1576" s="0" t="n">
        <f aca="false">D1576*D1576</f>
        <v>0.140625</v>
      </c>
      <c r="O1576" s="0" t="n">
        <f aca="false">E1576*E1576</f>
        <v>0.015625</v>
      </c>
      <c r="P1576" s="0" t="n">
        <f aca="false">F1576*F1576</f>
        <v>0.015625</v>
      </c>
      <c r="Q1576" s="0" t="n">
        <f aca="false">SUMPRODUCT(G1576:P1576,_XtX!$B$71:$K$71)</f>
        <v>46.6261434659091</v>
      </c>
      <c r="R1576" s="0" t="n">
        <f aca="false">SUMPRODUCT(MMULT(G1576:P1576,_XtX!$B$58:$K$67),G1576:P1576)</f>
        <v>0.126427667791193</v>
      </c>
      <c r="S1576" s="0" t="n">
        <f aca="false">04_回帰ANOVA!$K$19*04_回帰ANOVA!$K$14*SQRT(1+R1576)</f>
        <v>0.986775346732538</v>
      </c>
      <c r="T1576" s="0" t="n">
        <f aca="false">Q1576-S1576</f>
        <v>45.6393681191766</v>
      </c>
      <c r="U1576" s="0" t="n">
        <f aca="false">Q1576+S1576</f>
        <v>47.6129188126416</v>
      </c>
      <c r="V1576" s="54" t="b">
        <f aca="false">AND(D1576&gt;=01_因子設定!$L$5-0.000000001,D1576&lt;=01_因子設定!$M$5+0.000000001,E1576&gt;=01_因子設定!$L$6-0.000000001,E1576&lt;=01_因子設定!$M$6+0.000000001,F1576&gt;=01_因子設定!$L$7-0.000000001,F1576&lt;=01_因子設定!$M$7+0.000000001,IF(01_因子設定!$B$20="Box-Behnken",D1576^2+E1576^2+F1576^2&lt;=2+0.000000001,TRUE()))</f>
        <v>1</v>
      </c>
      <c r="W1576" s="55" t="n">
        <f aca="false">IF(V1576,IF(01_因子設定!$B$13="最大化",T1576-01_因子設定!$B$14,IF(01_因子設定!$B$13="最小化",01_因子設定!$B$15-U1576,MIN(T1576-01_因子設定!$B$14,01_因子設定!$B$15-U1576))),-1E+030)</f>
        <v>-2.86063188082344</v>
      </c>
      <c r="X1576" s="55" t="n">
        <f aca="false">IF(V1576,IF(01_因子設定!$B$13="最大化",Q1576,IF(01_因子設定!$B$13="最小化",-Q1576,-ABS(Q1576-01_因子設定!$B$16))),-1E+030)</f>
        <v>46.6261434659091</v>
      </c>
      <c r="Y1576" s="55" t="n">
        <f aca="false">W1576+ROW()*0.000000001</f>
        <v>-2.86063030482344</v>
      </c>
      <c r="Z1576" s="55" t="n">
        <f aca="false">X1576+ROW()*0.000000001</f>
        <v>46.6261450419091</v>
      </c>
    </row>
    <row r="1577" customFormat="false" ht="15" hidden="false" customHeight="false" outlineLevel="0" collapsed="false">
      <c r="A1577" s="0" t="n">
        <v>5</v>
      </c>
      <c r="B1577" s="0" t="n">
        <v>7</v>
      </c>
      <c r="C1577" s="0" t="n">
        <v>8</v>
      </c>
      <c r="D1577" s="0" t="n">
        <f aca="false">-1+A1577*0.125</f>
        <v>-0.375</v>
      </c>
      <c r="E1577" s="0" t="n">
        <f aca="false">-1+B1577*0.125</f>
        <v>-0.125</v>
      </c>
      <c r="F1577" s="0" t="n">
        <f aca="false">-1+C1577*0.125</f>
        <v>0</v>
      </c>
      <c r="G1577" s="0" t="n">
        <f aca="false">1</f>
        <v>1</v>
      </c>
      <c r="H1577" s="0" t="n">
        <f aca="false">D1577</f>
        <v>-0.375</v>
      </c>
      <c r="I1577" s="0" t="n">
        <f aca="false">E1577</f>
        <v>-0.125</v>
      </c>
      <c r="J1577" s="0" t="n">
        <f aca="false">F1577</f>
        <v>0</v>
      </c>
      <c r="K1577" s="0" t="n">
        <f aca="false">D1577*E1577</f>
        <v>0.046875</v>
      </c>
      <c r="L1577" s="0" t="n">
        <f aca="false">D1577*F1577</f>
        <v>-0</v>
      </c>
      <c r="M1577" s="0" t="n">
        <f aca="false">E1577*F1577</f>
        <v>-0</v>
      </c>
      <c r="N1577" s="0" t="n">
        <f aca="false">D1577*D1577</f>
        <v>0.140625</v>
      </c>
      <c r="O1577" s="0" t="n">
        <f aca="false">E1577*E1577</f>
        <v>0.015625</v>
      </c>
      <c r="P1577" s="0" t="n">
        <f aca="false">F1577*F1577</f>
        <v>0</v>
      </c>
      <c r="Q1577" s="0" t="n">
        <f aca="false">SUMPRODUCT(G1577:P1577,_XtX!$B$71:$K$71)</f>
        <v>46.8170383522727</v>
      </c>
      <c r="R1577" s="0" t="n">
        <f aca="false">SUMPRODUCT(MMULT(G1577:P1577,_XtX!$B$58:$K$67),G1577:P1577)</f>
        <v>0.126557506214489</v>
      </c>
      <c r="S1577" s="0" t="n">
        <f aca="false">04_回帰ANOVA!$K$19*04_回帰ANOVA!$K$14*SQRT(1+R1577)</f>
        <v>0.986832215747321</v>
      </c>
      <c r="T1577" s="0" t="n">
        <f aca="false">Q1577-S1577</f>
        <v>45.8302061365254</v>
      </c>
      <c r="U1577" s="0" t="n">
        <f aca="false">Q1577+S1577</f>
        <v>47.8038705680201</v>
      </c>
      <c r="V1577" s="54" t="b">
        <f aca="false">AND(D1577&gt;=01_因子設定!$L$5-0.000000001,D1577&lt;=01_因子設定!$M$5+0.000000001,E1577&gt;=01_因子設定!$L$6-0.000000001,E1577&lt;=01_因子設定!$M$6+0.000000001,F1577&gt;=01_因子設定!$L$7-0.000000001,F1577&lt;=01_因子設定!$M$7+0.000000001,IF(01_因子設定!$B$20="Box-Behnken",D1577^2+E1577^2+F1577^2&lt;=2+0.000000001,TRUE()))</f>
        <v>1</v>
      </c>
      <c r="W1577" s="55" t="n">
        <f aca="false">IF(V1577,IF(01_因子設定!$B$13="最大化",T1577-01_因子設定!$B$14,IF(01_因子設定!$B$13="最小化",01_因子設定!$B$15-U1577,MIN(T1577-01_因子設定!$B$14,01_因子設定!$B$15-U1577))),-1E+030)</f>
        <v>-2.66979386347459</v>
      </c>
      <c r="X1577" s="55" t="n">
        <f aca="false">IF(V1577,IF(01_因子設定!$B$13="最大化",Q1577,IF(01_因子設定!$B$13="最小化",-Q1577,-ABS(Q1577-01_因子設定!$B$16))),-1E+030)</f>
        <v>46.8170383522727</v>
      </c>
      <c r="Y1577" s="55" t="n">
        <f aca="false">W1577+ROW()*0.000000001</f>
        <v>-2.66979228647459</v>
      </c>
      <c r="Z1577" s="55" t="n">
        <f aca="false">X1577+ROW()*0.000000001</f>
        <v>46.8170399292727</v>
      </c>
    </row>
    <row r="1578" customFormat="false" ht="15" hidden="false" customHeight="false" outlineLevel="0" collapsed="false">
      <c r="A1578" s="0" t="n">
        <v>5</v>
      </c>
      <c r="B1578" s="0" t="n">
        <v>7</v>
      </c>
      <c r="C1578" s="0" t="n">
        <v>9</v>
      </c>
      <c r="D1578" s="0" t="n">
        <f aca="false">-1+A1578*0.125</f>
        <v>-0.375</v>
      </c>
      <c r="E1578" s="0" t="n">
        <f aca="false">-1+B1578*0.125</f>
        <v>-0.125</v>
      </c>
      <c r="F1578" s="0" t="n">
        <f aca="false">-1+C1578*0.125</f>
        <v>0.125</v>
      </c>
      <c r="G1578" s="0" t="n">
        <f aca="false">1</f>
        <v>1</v>
      </c>
      <c r="H1578" s="0" t="n">
        <f aca="false">D1578</f>
        <v>-0.375</v>
      </c>
      <c r="I1578" s="0" t="n">
        <f aca="false">E1578</f>
        <v>-0.125</v>
      </c>
      <c r="J1578" s="0" t="n">
        <f aca="false">F1578</f>
        <v>0.125</v>
      </c>
      <c r="K1578" s="0" t="n">
        <f aca="false">D1578*E1578</f>
        <v>0.046875</v>
      </c>
      <c r="L1578" s="0" t="n">
        <f aca="false">D1578*F1578</f>
        <v>-0.046875</v>
      </c>
      <c r="M1578" s="0" t="n">
        <f aca="false">E1578*F1578</f>
        <v>-0.015625</v>
      </c>
      <c r="N1578" s="0" t="n">
        <f aca="false">D1578*D1578</f>
        <v>0.140625</v>
      </c>
      <c r="O1578" s="0" t="n">
        <f aca="false">E1578*E1578</f>
        <v>0.015625</v>
      </c>
      <c r="P1578" s="0" t="n">
        <f aca="false">F1578*F1578</f>
        <v>0.015625</v>
      </c>
      <c r="Q1578" s="0" t="n">
        <f aca="false">SUMPRODUCT(G1578:P1578,_XtX!$B$71:$K$71)</f>
        <v>46.9711434659091</v>
      </c>
      <c r="R1578" s="0" t="n">
        <f aca="false">SUMPRODUCT(MMULT(G1578:P1578,_XtX!$B$58:$K$67),G1578:P1578)</f>
        <v>0.126427667791193</v>
      </c>
      <c r="S1578" s="0" t="n">
        <f aca="false">04_回帰ANOVA!$K$19*04_回帰ANOVA!$K$14*SQRT(1+R1578)</f>
        <v>0.986775346732538</v>
      </c>
      <c r="T1578" s="0" t="n">
        <f aca="false">Q1578-S1578</f>
        <v>45.9843681191766</v>
      </c>
      <c r="U1578" s="0" t="n">
        <f aca="false">Q1578+S1578</f>
        <v>47.9579188126416</v>
      </c>
      <c r="V1578" s="54" t="b">
        <f aca="false">AND(D1578&gt;=01_因子設定!$L$5-0.000000001,D1578&lt;=01_因子設定!$M$5+0.000000001,E1578&gt;=01_因子設定!$L$6-0.000000001,E1578&lt;=01_因子設定!$M$6+0.000000001,F1578&gt;=01_因子設定!$L$7-0.000000001,F1578&lt;=01_因子設定!$M$7+0.000000001,IF(01_因子設定!$B$20="Box-Behnken",D1578^2+E1578^2+F1578^2&lt;=2+0.000000001,TRUE()))</f>
        <v>1</v>
      </c>
      <c r="W1578" s="55" t="n">
        <f aca="false">IF(V1578,IF(01_因子設定!$B$13="最大化",T1578-01_因子設定!$B$14,IF(01_因子設定!$B$13="最小化",01_因子設定!$B$15-U1578,MIN(T1578-01_因子設定!$B$14,01_因子設定!$B$15-U1578))),-1E+030)</f>
        <v>-2.51563188082344</v>
      </c>
      <c r="X1578" s="55" t="n">
        <f aca="false">IF(V1578,IF(01_因子設定!$B$13="最大化",Q1578,IF(01_因子設定!$B$13="最小化",-Q1578,-ABS(Q1578-01_因子設定!$B$16))),-1E+030)</f>
        <v>46.9711434659091</v>
      </c>
      <c r="Y1578" s="55" t="n">
        <f aca="false">W1578+ROW()*0.000000001</f>
        <v>-2.51563030282344</v>
      </c>
      <c r="Z1578" s="55" t="n">
        <f aca="false">X1578+ROW()*0.000000001</f>
        <v>46.9711450439091</v>
      </c>
    </row>
    <row r="1579" customFormat="false" ht="15" hidden="false" customHeight="false" outlineLevel="0" collapsed="false">
      <c r="A1579" s="0" t="n">
        <v>5</v>
      </c>
      <c r="B1579" s="0" t="n">
        <v>7</v>
      </c>
      <c r="C1579" s="0" t="n">
        <v>10</v>
      </c>
      <c r="D1579" s="0" t="n">
        <f aca="false">-1+A1579*0.125</f>
        <v>-0.375</v>
      </c>
      <c r="E1579" s="0" t="n">
        <f aca="false">-1+B1579*0.125</f>
        <v>-0.125</v>
      </c>
      <c r="F1579" s="0" t="n">
        <f aca="false">-1+C1579*0.125</f>
        <v>0.25</v>
      </c>
      <c r="G1579" s="0" t="n">
        <f aca="false">1</f>
        <v>1</v>
      </c>
      <c r="H1579" s="0" t="n">
        <f aca="false">D1579</f>
        <v>-0.375</v>
      </c>
      <c r="I1579" s="0" t="n">
        <f aca="false">E1579</f>
        <v>-0.125</v>
      </c>
      <c r="J1579" s="0" t="n">
        <f aca="false">F1579</f>
        <v>0.25</v>
      </c>
      <c r="K1579" s="0" t="n">
        <f aca="false">D1579*E1579</f>
        <v>0.046875</v>
      </c>
      <c r="L1579" s="0" t="n">
        <f aca="false">D1579*F1579</f>
        <v>-0.09375</v>
      </c>
      <c r="M1579" s="0" t="n">
        <f aca="false">E1579*F1579</f>
        <v>-0.03125</v>
      </c>
      <c r="N1579" s="0" t="n">
        <f aca="false">D1579*D1579</f>
        <v>0.140625</v>
      </c>
      <c r="O1579" s="0" t="n">
        <f aca="false">E1579*E1579</f>
        <v>0.015625</v>
      </c>
      <c r="P1579" s="0" t="n">
        <f aca="false">F1579*F1579</f>
        <v>0.0625</v>
      </c>
      <c r="Q1579" s="0" t="n">
        <f aca="false">SUMPRODUCT(G1579:P1579,_XtX!$B$71:$K$71)</f>
        <v>47.0884588068182</v>
      </c>
      <c r="R1579" s="0" t="n">
        <f aca="false">SUMPRODUCT(MMULT(G1579:P1579,_XtX!$B$58:$K$67),G1579:P1579)</f>
        <v>0.127103493430398</v>
      </c>
      <c r="S1579" s="0" t="n">
        <f aca="false">04_回帰ANOVA!$K$19*04_回帰ANOVA!$K$14*SQRT(1+R1579)</f>
        <v>0.987071321387587</v>
      </c>
      <c r="T1579" s="0" t="n">
        <f aca="false">Q1579-S1579</f>
        <v>46.1013874854306</v>
      </c>
      <c r="U1579" s="0" t="n">
        <f aca="false">Q1579+S1579</f>
        <v>48.0755301282058</v>
      </c>
      <c r="V1579" s="54" t="b">
        <f aca="false">AND(D1579&gt;=01_因子設定!$L$5-0.000000001,D1579&lt;=01_因子設定!$M$5+0.000000001,E1579&gt;=01_因子設定!$L$6-0.000000001,E1579&lt;=01_因子設定!$M$6+0.000000001,F1579&gt;=01_因子設定!$L$7-0.000000001,F1579&lt;=01_因子設定!$M$7+0.000000001,IF(01_因子設定!$B$20="Box-Behnken",D1579^2+E1579^2+F1579^2&lt;=2+0.000000001,TRUE()))</f>
        <v>1</v>
      </c>
      <c r="W1579" s="55" t="n">
        <f aca="false">IF(V1579,IF(01_因子設定!$B$13="最大化",T1579-01_因子設定!$B$14,IF(01_因子設定!$B$13="最小化",01_因子設定!$B$15-U1579,MIN(T1579-01_因子設定!$B$14,01_因子設定!$B$15-U1579))),-1E+030)</f>
        <v>-2.3986125145694</v>
      </c>
      <c r="X1579" s="55" t="n">
        <f aca="false">IF(V1579,IF(01_因子設定!$B$13="最大化",Q1579,IF(01_因子設定!$B$13="最小化",-Q1579,-ABS(Q1579-01_因子設定!$B$16))),-1E+030)</f>
        <v>47.0884588068182</v>
      </c>
      <c r="Y1579" s="55" t="n">
        <f aca="false">W1579+ROW()*0.000000001</f>
        <v>-2.3986109355694</v>
      </c>
      <c r="Z1579" s="55" t="n">
        <f aca="false">X1579+ROW()*0.000000001</f>
        <v>47.0884603858182</v>
      </c>
    </row>
    <row r="1580" customFormat="false" ht="15" hidden="false" customHeight="false" outlineLevel="0" collapsed="false">
      <c r="A1580" s="0" t="n">
        <v>5</v>
      </c>
      <c r="B1580" s="0" t="n">
        <v>7</v>
      </c>
      <c r="C1580" s="0" t="n">
        <v>11</v>
      </c>
      <c r="D1580" s="0" t="n">
        <f aca="false">-1+A1580*0.125</f>
        <v>-0.375</v>
      </c>
      <c r="E1580" s="0" t="n">
        <f aca="false">-1+B1580*0.125</f>
        <v>-0.125</v>
      </c>
      <c r="F1580" s="0" t="n">
        <f aca="false">-1+C1580*0.125</f>
        <v>0.375</v>
      </c>
      <c r="G1580" s="0" t="n">
        <f aca="false">1</f>
        <v>1</v>
      </c>
      <c r="H1580" s="0" t="n">
        <f aca="false">D1580</f>
        <v>-0.375</v>
      </c>
      <c r="I1580" s="0" t="n">
        <f aca="false">E1580</f>
        <v>-0.125</v>
      </c>
      <c r="J1580" s="0" t="n">
        <f aca="false">F1580</f>
        <v>0.375</v>
      </c>
      <c r="K1580" s="0" t="n">
        <f aca="false">D1580*E1580</f>
        <v>0.046875</v>
      </c>
      <c r="L1580" s="0" t="n">
        <f aca="false">D1580*F1580</f>
        <v>-0.140625</v>
      </c>
      <c r="M1580" s="0" t="n">
        <f aca="false">E1580*F1580</f>
        <v>-0.046875</v>
      </c>
      <c r="N1580" s="0" t="n">
        <f aca="false">D1580*D1580</f>
        <v>0.140625</v>
      </c>
      <c r="O1580" s="0" t="n">
        <f aca="false">E1580*E1580</f>
        <v>0.015625</v>
      </c>
      <c r="P1580" s="0" t="n">
        <f aca="false">F1580*F1580</f>
        <v>0.140625</v>
      </c>
      <c r="Q1580" s="0" t="n">
        <f aca="false">SUMPRODUCT(G1580:P1580,_XtX!$B$71:$K$71)</f>
        <v>47.168984375</v>
      </c>
      <c r="R1580" s="0" t="n">
        <f aca="false">SUMPRODUCT(MMULT(G1580:P1580,_XtX!$B$58:$K$67),G1580:P1580)</f>
        <v>0.131781005859375</v>
      </c>
      <c r="S1580" s="0" t="n">
        <f aca="false">04_回帰ANOVA!$K$19*04_回帰ANOVA!$K$14*SQRT(1+R1580)</f>
        <v>0.989117388188007</v>
      </c>
      <c r="T1580" s="0" t="n">
        <f aca="false">Q1580-S1580</f>
        <v>46.179866986812</v>
      </c>
      <c r="U1580" s="0" t="n">
        <f aca="false">Q1580+S1580</f>
        <v>48.158101763188</v>
      </c>
      <c r="V1580" s="54" t="b">
        <f aca="false">AND(D1580&gt;=01_因子設定!$L$5-0.000000001,D1580&lt;=01_因子設定!$M$5+0.000000001,E1580&gt;=01_因子設定!$L$6-0.000000001,E1580&lt;=01_因子設定!$M$6+0.000000001,F1580&gt;=01_因子設定!$L$7-0.000000001,F1580&lt;=01_因子設定!$M$7+0.000000001,IF(01_因子設定!$B$20="Box-Behnken",D1580^2+E1580^2+F1580^2&lt;=2+0.000000001,TRUE()))</f>
        <v>1</v>
      </c>
      <c r="W1580" s="55" t="n">
        <f aca="false">IF(V1580,IF(01_因子設定!$B$13="最大化",T1580-01_因子設定!$B$14,IF(01_因子設定!$B$13="最小化",01_因子設定!$B$15-U1580,MIN(T1580-01_因子設定!$B$14,01_因子設定!$B$15-U1580))),-1E+030)</f>
        <v>-2.320133013188</v>
      </c>
      <c r="X1580" s="55" t="n">
        <f aca="false">IF(V1580,IF(01_因子設定!$B$13="最大化",Q1580,IF(01_因子設定!$B$13="最小化",-Q1580,-ABS(Q1580-01_因子設定!$B$16))),-1E+030)</f>
        <v>47.168984375</v>
      </c>
      <c r="Y1580" s="55" t="n">
        <f aca="false">W1580+ROW()*0.000000001</f>
        <v>-2.320131433188</v>
      </c>
      <c r="Z1580" s="55" t="n">
        <f aca="false">X1580+ROW()*0.000000001</f>
        <v>47.168985955</v>
      </c>
    </row>
    <row r="1581" customFormat="false" ht="15" hidden="false" customHeight="false" outlineLevel="0" collapsed="false">
      <c r="A1581" s="0" t="n">
        <v>5</v>
      </c>
      <c r="B1581" s="0" t="n">
        <v>7</v>
      </c>
      <c r="C1581" s="0" t="n">
        <v>12</v>
      </c>
      <c r="D1581" s="0" t="n">
        <f aca="false">-1+A1581*0.125</f>
        <v>-0.375</v>
      </c>
      <c r="E1581" s="0" t="n">
        <f aca="false">-1+B1581*0.125</f>
        <v>-0.125</v>
      </c>
      <c r="F1581" s="0" t="n">
        <f aca="false">-1+C1581*0.125</f>
        <v>0.5</v>
      </c>
      <c r="G1581" s="0" t="n">
        <f aca="false">1</f>
        <v>1</v>
      </c>
      <c r="H1581" s="0" t="n">
        <f aca="false">D1581</f>
        <v>-0.375</v>
      </c>
      <c r="I1581" s="0" t="n">
        <f aca="false">E1581</f>
        <v>-0.125</v>
      </c>
      <c r="J1581" s="0" t="n">
        <f aca="false">F1581</f>
        <v>0.5</v>
      </c>
      <c r="K1581" s="0" t="n">
        <f aca="false">D1581*E1581</f>
        <v>0.046875</v>
      </c>
      <c r="L1581" s="0" t="n">
        <f aca="false">D1581*F1581</f>
        <v>-0.1875</v>
      </c>
      <c r="M1581" s="0" t="n">
        <f aca="false">E1581*F1581</f>
        <v>-0.0625</v>
      </c>
      <c r="N1581" s="0" t="n">
        <f aca="false">D1581*D1581</f>
        <v>0.140625</v>
      </c>
      <c r="O1581" s="0" t="n">
        <f aca="false">E1581*E1581</f>
        <v>0.015625</v>
      </c>
      <c r="P1581" s="0" t="n">
        <f aca="false">F1581*F1581</f>
        <v>0.25</v>
      </c>
      <c r="Q1581" s="0" t="n">
        <f aca="false">SUMPRODUCT(G1581:P1581,_XtX!$B$71:$K$71)</f>
        <v>47.2127201704546</v>
      </c>
      <c r="R1581" s="0" t="n">
        <f aca="false">SUMPRODUCT(MMULT(G1581:P1581,_XtX!$B$58:$K$67),G1581:P1581)</f>
        <v>0.14578690962358</v>
      </c>
      <c r="S1581" s="0" t="n">
        <f aca="false">04_回帰ANOVA!$K$19*04_回帰ANOVA!$K$14*SQRT(1+R1581)</f>
        <v>0.995218783457917</v>
      </c>
      <c r="T1581" s="0" t="n">
        <f aca="false">Q1581-S1581</f>
        <v>46.2175013869966</v>
      </c>
      <c r="U1581" s="0" t="n">
        <f aca="false">Q1581+S1581</f>
        <v>48.2079389539125</v>
      </c>
      <c r="V1581" s="54" t="b">
        <f aca="false">AND(D1581&gt;=01_因子設定!$L$5-0.000000001,D1581&lt;=01_因子設定!$M$5+0.000000001,E1581&gt;=01_因子設定!$L$6-0.000000001,E1581&lt;=01_因子設定!$M$6+0.000000001,F1581&gt;=01_因子設定!$L$7-0.000000001,F1581&lt;=01_因子設定!$M$7+0.000000001,IF(01_因子設定!$B$20="Box-Behnken",D1581^2+E1581^2+F1581^2&lt;=2+0.000000001,TRUE()))</f>
        <v>1</v>
      </c>
      <c r="W1581" s="55" t="n">
        <f aca="false">IF(V1581,IF(01_因子設定!$B$13="最大化",T1581-01_因子設定!$B$14,IF(01_因子設定!$B$13="最小化",01_因子設定!$B$15-U1581,MIN(T1581-01_因子設定!$B$14,01_因子設定!$B$15-U1581))),-1E+030)</f>
        <v>-2.28249861300336</v>
      </c>
      <c r="X1581" s="55" t="n">
        <f aca="false">IF(V1581,IF(01_因子設定!$B$13="最大化",Q1581,IF(01_因子設定!$B$13="最小化",-Q1581,-ABS(Q1581-01_因子設定!$B$16))),-1E+030)</f>
        <v>47.2127201704546</v>
      </c>
      <c r="Y1581" s="55" t="n">
        <f aca="false">W1581+ROW()*0.000000001</f>
        <v>-2.28249703200336</v>
      </c>
      <c r="Z1581" s="55" t="n">
        <f aca="false">X1581+ROW()*0.000000001</f>
        <v>47.2127217514546</v>
      </c>
    </row>
    <row r="1582" customFormat="false" ht="15" hidden="false" customHeight="false" outlineLevel="0" collapsed="false">
      <c r="A1582" s="0" t="n">
        <v>5</v>
      </c>
      <c r="B1582" s="0" t="n">
        <v>7</v>
      </c>
      <c r="C1582" s="0" t="n">
        <v>13</v>
      </c>
      <c r="D1582" s="0" t="n">
        <f aca="false">-1+A1582*0.125</f>
        <v>-0.375</v>
      </c>
      <c r="E1582" s="0" t="n">
        <f aca="false">-1+B1582*0.125</f>
        <v>-0.125</v>
      </c>
      <c r="F1582" s="0" t="n">
        <f aca="false">-1+C1582*0.125</f>
        <v>0.625</v>
      </c>
      <c r="G1582" s="0" t="n">
        <f aca="false">1</f>
        <v>1</v>
      </c>
      <c r="H1582" s="0" t="n">
        <f aca="false">D1582</f>
        <v>-0.375</v>
      </c>
      <c r="I1582" s="0" t="n">
        <f aca="false">E1582</f>
        <v>-0.125</v>
      </c>
      <c r="J1582" s="0" t="n">
        <f aca="false">F1582</f>
        <v>0.625</v>
      </c>
      <c r="K1582" s="0" t="n">
        <f aca="false">D1582*E1582</f>
        <v>0.046875</v>
      </c>
      <c r="L1582" s="0" t="n">
        <f aca="false">D1582*F1582</f>
        <v>-0.234375</v>
      </c>
      <c r="M1582" s="0" t="n">
        <f aca="false">E1582*F1582</f>
        <v>-0.078125</v>
      </c>
      <c r="N1582" s="0" t="n">
        <f aca="false">D1582*D1582</f>
        <v>0.140625</v>
      </c>
      <c r="O1582" s="0" t="n">
        <f aca="false">E1582*E1582</f>
        <v>0.015625</v>
      </c>
      <c r="P1582" s="0" t="n">
        <f aca="false">F1582*F1582</f>
        <v>0.390625</v>
      </c>
      <c r="Q1582" s="0" t="n">
        <f aca="false">SUMPRODUCT(G1582:P1582,_XtX!$B$71:$K$71)</f>
        <v>47.2196661931818</v>
      </c>
      <c r="R1582" s="0" t="n">
        <f aca="false">SUMPRODUCT(MMULT(G1582:P1582,_XtX!$B$58:$K$67),G1582:P1582)</f>
        <v>0.176578591086648</v>
      </c>
      <c r="S1582" s="0" t="n">
        <f aca="false">04_回帰ANOVA!$K$19*04_回帰ANOVA!$K$14*SQRT(1+R1582)</f>
        <v>1.00850279676269</v>
      </c>
      <c r="T1582" s="0" t="n">
        <f aca="false">Q1582-S1582</f>
        <v>46.2111633964191</v>
      </c>
      <c r="U1582" s="0" t="n">
        <f aca="false">Q1582+S1582</f>
        <v>48.2281689899445</v>
      </c>
      <c r="V1582" s="54" t="b">
        <f aca="false">AND(D1582&gt;=01_因子設定!$L$5-0.000000001,D1582&lt;=01_因子設定!$M$5+0.000000001,E1582&gt;=01_因子設定!$L$6-0.000000001,E1582&lt;=01_因子設定!$M$6+0.000000001,F1582&gt;=01_因子設定!$L$7-0.000000001,F1582&lt;=01_因子設定!$M$7+0.000000001,IF(01_因子設定!$B$20="Box-Behnken",D1582^2+E1582^2+F1582^2&lt;=2+0.000000001,TRUE()))</f>
        <v>1</v>
      </c>
      <c r="W1582" s="55" t="n">
        <f aca="false">IF(V1582,IF(01_因子設定!$B$13="最大化",T1582-01_因子設定!$B$14,IF(01_因子設定!$B$13="最小化",01_因子設定!$B$15-U1582,MIN(T1582-01_因子設定!$B$14,01_因子設定!$B$15-U1582))),-1E+030)</f>
        <v>-2.28883660358086</v>
      </c>
      <c r="X1582" s="55" t="n">
        <f aca="false">IF(V1582,IF(01_因子設定!$B$13="最大化",Q1582,IF(01_因子設定!$B$13="最小化",-Q1582,-ABS(Q1582-01_因子設定!$B$16))),-1E+030)</f>
        <v>47.2196661931818</v>
      </c>
      <c r="Y1582" s="55" t="n">
        <f aca="false">W1582+ROW()*0.000000001</f>
        <v>-2.28883502158086</v>
      </c>
      <c r="Z1582" s="55" t="n">
        <f aca="false">X1582+ROW()*0.000000001</f>
        <v>47.2196677751818</v>
      </c>
    </row>
    <row r="1583" customFormat="false" ht="15" hidden="false" customHeight="false" outlineLevel="0" collapsed="false">
      <c r="A1583" s="0" t="n">
        <v>5</v>
      </c>
      <c r="B1583" s="0" t="n">
        <v>7</v>
      </c>
      <c r="C1583" s="0" t="n">
        <v>14</v>
      </c>
      <c r="D1583" s="0" t="n">
        <f aca="false">-1+A1583*0.125</f>
        <v>-0.375</v>
      </c>
      <c r="E1583" s="0" t="n">
        <f aca="false">-1+B1583*0.125</f>
        <v>-0.125</v>
      </c>
      <c r="F1583" s="0" t="n">
        <f aca="false">-1+C1583*0.125</f>
        <v>0.75</v>
      </c>
      <c r="G1583" s="0" t="n">
        <f aca="false">1</f>
        <v>1</v>
      </c>
      <c r="H1583" s="0" t="n">
        <f aca="false">D1583</f>
        <v>-0.375</v>
      </c>
      <c r="I1583" s="0" t="n">
        <f aca="false">E1583</f>
        <v>-0.125</v>
      </c>
      <c r="J1583" s="0" t="n">
        <f aca="false">F1583</f>
        <v>0.75</v>
      </c>
      <c r="K1583" s="0" t="n">
        <f aca="false">D1583*E1583</f>
        <v>0.046875</v>
      </c>
      <c r="L1583" s="0" t="n">
        <f aca="false">D1583*F1583</f>
        <v>-0.28125</v>
      </c>
      <c r="M1583" s="0" t="n">
        <f aca="false">E1583*F1583</f>
        <v>-0.09375</v>
      </c>
      <c r="N1583" s="0" t="n">
        <f aca="false">D1583*D1583</f>
        <v>0.140625</v>
      </c>
      <c r="O1583" s="0" t="n">
        <f aca="false">E1583*E1583</f>
        <v>0.015625</v>
      </c>
      <c r="P1583" s="0" t="n">
        <f aca="false">F1583*F1583</f>
        <v>0.5625</v>
      </c>
      <c r="Q1583" s="0" t="n">
        <f aca="false">SUMPRODUCT(G1583:P1583,_XtX!$B$71:$K$71)</f>
        <v>47.1898224431818</v>
      </c>
      <c r="R1583" s="0" t="n">
        <f aca="false">SUMPRODUCT(MMULT(G1583:P1583,_XtX!$B$58:$K$67),G1583:P1583)</f>
        <v>0.233744118430398</v>
      </c>
      <c r="S1583" s="0" t="n">
        <f aca="false">04_回帰ANOVA!$K$19*04_回帰ANOVA!$K$14*SQRT(1+R1583)</f>
        <v>1.0327119053564</v>
      </c>
      <c r="T1583" s="0" t="n">
        <f aca="false">Q1583-S1583</f>
        <v>46.1571105378254</v>
      </c>
      <c r="U1583" s="0" t="n">
        <f aca="false">Q1583+S1583</f>
        <v>48.2225343485382</v>
      </c>
      <c r="V1583" s="54" t="b">
        <f aca="false">AND(D1583&gt;=01_因子設定!$L$5-0.000000001,D1583&lt;=01_因子設定!$M$5+0.000000001,E1583&gt;=01_因子設定!$L$6-0.000000001,E1583&lt;=01_因子設定!$M$6+0.000000001,F1583&gt;=01_因子設定!$L$7-0.000000001,F1583&lt;=01_因子設定!$M$7+0.000000001,IF(01_因子設定!$B$20="Box-Behnken",D1583^2+E1583^2+F1583^2&lt;=2+0.000000001,TRUE()))</f>
        <v>1</v>
      </c>
      <c r="W1583" s="55" t="n">
        <f aca="false">IF(V1583,IF(01_因子設定!$B$13="最大化",T1583-01_因子設定!$B$14,IF(01_因子設定!$B$13="最小化",01_因子設定!$B$15-U1583,MIN(T1583-01_因子設定!$B$14,01_因子設定!$B$15-U1583))),-1E+030)</f>
        <v>-2.34288946217457</v>
      </c>
      <c r="X1583" s="55" t="n">
        <f aca="false">IF(V1583,IF(01_因子設定!$B$13="最大化",Q1583,IF(01_因子設定!$B$13="最小化",-Q1583,-ABS(Q1583-01_因子設定!$B$16))),-1E+030)</f>
        <v>47.1898224431818</v>
      </c>
      <c r="Y1583" s="55" t="n">
        <f aca="false">W1583+ROW()*0.000000001</f>
        <v>-2.34288787917457</v>
      </c>
      <c r="Z1583" s="55" t="n">
        <f aca="false">X1583+ROW()*0.000000001</f>
        <v>47.1898240261818</v>
      </c>
    </row>
    <row r="1584" customFormat="false" ht="15" hidden="false" customHeight="false" outlineLevel="0" collapsed="false">
      <c r="A1584" s="0" t="n">
        <v>5</v>
      </c>
      <c r="B1584" s="0" t="n">
        <v>7</v>
      </c>
      <c r="C1584" s="0" t="n">
        <v>15</v>
      </c>
      <c r="D1584" s="0" t="n">
        <f aca="false">-1+A1584*0.125</f>
        <v>-0.375</v>
      </c>
      <c r="E1584" s="0" t="n">
        <f aca="false">-1+B1584*0.125</f>
        <v>-0.125</v>
      </c>
      <c r="F1584" s="0" t="n">
        <f aca="false">-1+C1584*0.125</f>
        <v>0.875</v>
      </c>
      <c r="G1584" s="0" t="n">
        <f aca="false">1</f>
        <v>1</v>
      </c>
      <c r="H1584" s="0" t="n">
        <f aca="false">D1584</f>
        <v>-0.375</v>
      </c>
      <c r="I1584" s="0" t="n">
        <f aca="false">E1584</f>
        <v>-0.125</v>
      </c>
      <c r="J1584" s="0" t="n">
        <f aca="false">F1584</f>
        <v>0.875</v>
      </c>
      <c r="K1584" s="0" t="n">
        <f aca="false">D1584*E1584</f>
        <v>0.046875</v>
      </c>
      <c r="L1584" s="0" t="n">
        <f aca="false">D1584*F1584</f>
        <v>-0.328125</v>
      </c>
      <c r="M1584" s="0" t="n">
        <f aca="false">E1584*F1584</f>
        <v>-0.109375</v>
      </c>
      <c r="N1584" s="0" t="n">
        <f aca="false">D1584*D1584</f>
        <v>0.140625</v>
      </c>
      <c r="O1584" s="0" t="n">
        <f aca="false">E1584*E1584</f>
        <v>0.015625</v>
      </c>
      <c r="P1584" s="0" t="n">
        <f aca="false">F1584*F1584</f>
        <v>0.765625</v>
      </c>
      <c r="Q1584" s="0" t="n">
        <f aca="false">SUMPRODUCT(G1584:P1584,_XtX!$B$71:$K$71)</f>
        <v>47.1231889204546</v>
      </c>
      <c r="R1584" s="0" t="n">
        <f aca="false">SUMPRODUCT(MMULT(G1584:P1584,_XtX!$B$58:$K$67),G1584:P1584)</f>
        <v>0.32900224165483</v>
      </c>
      <c r="S1584" s="0" t="n">
        <f aca="false">04_回帰ANOVA!$K$19*04_回帰ANOVA!$K$14*SQRT(1+R1584)</f>
        <v>1.07183884583628</v>
      </c>
      <c r="T1584" s="0" t="n">
        <f aca="false">Q1584-S1584</f>
        <v>46.0513500746183</v>
      </c>
      <c r="U1584" s="0" t="n">
        <f aca="false">Q1584+S1584</f>
        <v>48.1950277662909</v>
      </c>
      <c r="V1584" s="54" t="b">
        <f aca="false">AND(D1584&gt;=01_因子設定!$L$5-0.000000001,D1584&lt;=01_因子設定!$M$5+0.000000001,E1584&gt;=01_因子設定!$L$6-0.000000001,E1584&lt;=01_因子設定!$M$6+0.000000001,F1584&gt;=01_因子設定!$L$7-0.000000001,F1584&lt;=01_因子設定!$M$7+0.000000001,IF(01_因子設定!$B$20="Box-Behnken",D1584^2+E1584^2+F1584^2&lt;=2+0.000000001,TRUE()))</f>
        <v>1</v>
      </c>
      <c r="W1584" s="55" t="n">
        <f aca="false">IF(V1584,IF(01_因子設定!$B$13="最大化",T1584-01_因子設定!$B$14,IF(01_因子設定!$B$13="最小化",01_因子設定!$B$15-U1584,MIN(T1584-01_因子設定!$B$14,01_因子設定!$B$15-U1584))),-1E+030)</f>
        <v>-2.44864992538172</v>
      </c>
      <c r="X1584" s="55" t="n">
        <f aca="false">IF(V1584,IF(01_因子設定!$B$13="最大化",Q1584,IF(01_因子設定!$B$13="最小化",-Q1584,-ABS(Q1584-01_因子設定!$B$16))),-1E+030)</f>
        <v>47.1231889204546</v>
      </c>
      <c r="Y1584" s="55" t="n">
        <f aca="false">W1584+ROW()*0.000000001</f>
        <v>-2.44864834138172</v>
      </c>
      <c r="Z1584" s="55" t="n">
        <f aca="false">X1584+ROW()*0.000000001</f>
        <v>47.1231905044546</v>
      </c>
    </row>
    <row r="1585" customFormat="false" ht="15" hidden="false" customHeight="false" outlineLevel="0" collapsed="false">
      <c r="A1585" s="0" t="n">
        <v>5</v>
      </c>
      <c r="B1585" s="0" t="n">
        <v>7</v>
      </c>
      <c r="C1585" s="0" t="n">
        <v>16</v>
      </c>
      <c r="D1585" s="0" t="n">
        <f aca="false">-1+A1585*0.125</f>
        <v>-0.375</v>
      </c>
      <c r="E1585" s="0" t="n">
        <f aca="false">-1+B1585*0.125</f>
        <v>-0.125</v>
      </c>
      <c r="F1585" s="0" t="n">
        <f aca="false">-1+C1585*0.125</f>
        <v>1</v>
      </c>
      <c r="G1585" s="0" t="n">
        <f aca="false">1</f>
        <v>1</v>
      </c>
      <c r="H1585" s="0" t="n">
        <f aca="false">D1585</f>
        <v>-0.375</v>
      </c>
      <c r="I1585" s="0" t="n">
        <f aca="false">E1585</f>
        <v>-0.125</v>
      </c>
      <c r="J1585" s="0" t="n">
        <f aca="false">F1585</f>
        <v>1</v>
      </c>
      <c r="K1585" s="0" t="n">
        <f aca="false">D1585*E1585</f>
        <v>0.046875</v>
      </c>
      <c r="L1585" s="0" t="n">
        <f aca="false">D1585*F1585</f>
        <v>-0.375</v>
      </c>
      <c r="M1585" s="0" t="n">
        <f aca="false">E1585*F1585</f>
        <v>-0.125</v>
      </c>
      <c r="N1585" s="0" t="n">
        <f aca="false">D1585*D1585</f>
        <v>0.140625</v>
      </c>
      <c r="O1585" s="0" t="n">
        <f aca="false">E1585*E1585</f>
        <v>0.015625</v>
      </c>
      <c r="P1585" s="0" t="n">
        <f aca="false">F1585*F1585</f>
        <v>1</v>
      </c>
      <c r="Q1585" s="0" t="n">
        <f aca="false">SUMPRODUCT(G1585:P1585,_XtX!$B$71:$K$71)</f>
        <v>47.019765625</v>
      </c>
      <c r="R1585" s="0" t="n">
        <f aca="false">SUMPRODUCT(MMULT(G1585:P1585,_XtX!$B$58:$K$67),G1585:P1585)</f>
        <v>0.476202392578125</v>
      </c>
      <c r="S1585" s="0" t="n">
        <f aca="false">04_回帰ANOVA!$K$19*04_回帰ANOVA!$K$14*SQRT(1+R1585)</f>
        <v>1.12963876802721</v>
      </c>
      <c r="T1585" s="0" t="n">
        <f aca="false">Q1585-S1585</f>
        <v>45.8901268569728</v>
      </c>
      <c r="U1585" s="0" t="n">
        <f aca="false">Q1585+S1585</f>
        <v>48.1494043930272</v>
      </c>
      <c r="V1585" s="54" t="b">
        <f aca="false">AND(D1585&gt;=01_因子設定!$L$5-0.000000001,D1585&lt;=01_因子設定!$M$5+0.000000001,E1585&gt;=01_因子設定!$L$6-0.000000001,E1585&lt;=01_因子設定!$M$6+0.000000001,F1585&gt;=01_因子設定!$L$7-0.000000001,F1585&lt;=01_因子設定!$M$7+0.000000001,IF(01_因子設定!$B$20="Box-Behnken",D1585^2+E1585^2+F1585^2&lt;=2+0.000000001,TRUE()))</f>
        <v>1</v>
      </c>
      <c r="W1585" s="55" t="n">
        <f aca="false">IF(V1585,IF(01_因子設定!$B$13="最大化",T1585-01_因子設定!$B$14,IF(01_因子設定!$B$13="最小化",01_因子設定!$B$15-U1585,MIN(T1585-01_因子設定!$B$14,01_因子設定!$B$15-U1585))),-1E+030)</f>
        <v>-2.60987314302718</v>
      </c>
      <c r="X1585" s="55" t="n">
        <f aca="false">IF(V1585,IF(01_因子設定!$B$13="最大化",Q1585,IF(01_因子設定!$B$13="最小化",-Q1585,-ABS(Q1585-01_因子設定!$B$16))),-1E+030)</f>
        <v>47.019765625</v>
      </c>
      <c r="Y1585" s="55" t="n">
        <f aca="false">W1585+ROW()*0.000000001</f>
        <v>-2.60987155802718</v>
      </c>
      <c r="Z1585" s="55" t="n">
        <f aca="false">X1585+ROW()*0.000000001</f>
        <v>47.01976721</v>
      </c>
    </row>
    <row r="1586" customFormat="false" ht="15" hidden="false" customHeight="false" outlineLevel="0" collapsed="false">
      <c r="A1586" s="0" t="n">
        <v>5</v>
      </c>
      <c r="B1586" s="0" t="n">
        <v>8</v>
      </c>
      <c r="C1586" s="0" t="n">
        <v>0</v>
      </c>
      <c r="D1586" s="0" t="n">
        <f aca="false">-1+A1586*0.125</f>
        <v>-0.375</v>
      </c>
      <c r="E1586" s="0" t="n">
        <f aca="false">-1+B1586*0.125</f>
        <v>0</v>
      </c>
      <c r="F1586" s="0" t="n">
        <f aca="false">-1+C1586*0.125</f>
        <v>-1</v>
      </c>
      <c r="G1586" s="0" t="n">
        <f aca="false">1</f>
        <v>1</v>
      </c>
      <c r="H1586" s="0" t="n">
        <f aca="false">D1586</f>
        <v>-0.375</v>
      </c>
      <c r="I1586" s="0" t="n">
        <f aca="false">E1586</f>
        <v>0</v>
      </c>
      <c r="J1586" s="0" t="n">
        <f aca="false">F1586</f>
        <v>-1</v>
      </c>
      <c r="K1586" s="0" t="n">
        <f aca="false">D1586*E1586</f>
        <v>-0</v>
      </c>
      <c r="L1586" s="0" t="n">
        <f aca="false">D1586*F1586</f>
        <v>0.375</v>
      </c>
      <c r="M1586" s="0" t="n">
        <f aca="false">E1586*F1586</f>
        <v>-0</v>
      </c>
      <c r="N1586" s="0" t="n">
        <f aca="false">D1586*D1586</f>
        <v>0.140625</v>
      </c>
      <c r="O1586" s="0" t="n">
        <f aca="false">E1586*E1586</f>
        <v>0</v>
      </c>
      <c r="P1586" s="0" t="n">
        <f aca="false">F1586*F1586</f>
        <v>1</v>
      </c>
      <c r="Q1586" s="0" t="n">
        <f aca="false">SUMPRODUCT(G1586:P1586,_XtX!$B$71:$K$71)</f>
        <v>44.4365198863637</v>
      </c>
      <c r="R1586" s="0" t="n">
        <f aca="false">SUMPRODUCT(MMULT(G1586:P1586,_XtX!$B$58:$K$67),G1586:P1586)</f>
        <v>0.478604403409091</v>
      </c>
      <c r="S1586" s="0" t="n">
        <f aca="false">04_回帰ANOVA!$K$19*04_回帰ANOVA!$K$14*SQRT(1+R1586)</f>
        <v>1.13055744343508</v>
      </c>
      <c r="T1586" s="0" t="n">
        <f aca="false">Q1586-S1586</f>
        <v>43.3059624429286</v>
      </c>
      <c r="U1586" s="0" t="n">
        <f aca="false">Q1586+S1586</f>
        <v>45.5670773297987</v>
      </c>
      <c r="V1586" s="54" t="b">
        <f aca="false">AND(D1586&gt;=01_因子設定!$L$5-0.000000001,D1586&lt;=01_因子設定!$M$5+0.000000001,E1586&gt;=01_因子設定!$L$6-0.000000001,E1586&lt;=01_因子設定!$M$6+0.000000001,F1586&gt;=01_因子設定!$L$7-0.000000001,F1586&lt;=01_因子設定!$M$7+0.000000001,IF(01_因子設定!$B$20="Box-Behnken",D1586^2+E1586^2+F1586^2&lt;=2+0.000000001,TRUE()))</f>
        <v>1</v>
      </c>
      <c r="W1586" s="55" t="n">
        <f aca="false">IF(V1586,IF(01_因子設定!$B$13="最大化",T1586-01_因子設定!$B$14,IF(01_因子設定!$B$13="最小化",01_因子設定!$B$15-U1586,MIN(T1586-01_因子設定!$B$14,01_因子設定!$B$15-U1586))),-1E+030)</f>
        <v>-5.19403755707142</v>
      </c>
      <c r="X1586" s="55" t="n">
        <f aca="false">IF(V1586,IF(01_因子設定!$B$13="最大化",Q1586,IF(01_因子設定!$B$13="最小化",-Q1586,-ABS(Q1586-01_因子設定!$B$16))),-1E+030)</f>
        <v>44.4365198863637</v>
      </c>
      <c r="Y1586" s="55" t="n">
        <f aca="false">W1586+ROW()*0.000000001</f>
        <v>-5.19403597107142</v>
      </c>
      <c r="Z1586" s="55" t="n">
        <f aca="false">X1586+ROW()*0.000000001</f>
        <v>44.4365214723637</v>
      </c>
    </row>
    <row r="1587" customFormat="false" ht="15" hidden="false" customHeight="false" outlineLevel="0" collapsed="false">
      <c r="A1587" s="0" t="n">
        <v>5</v>
      </c>
      <c r="B1587" s="0" t="n">
        <v>8</v>
      </c>
      <c r="C1587" s="0" t="n">
        <v>1</v>
      </c>
      <c r="D1587" s="0" t="n">
        <f aca="false">-1+A1587*0.125</f>
        <v>-0.375</v>
      </c>
      <c r="E1587" s="0" t="n">
        <f aca="false">-1+B1587*0.125</f>
        <v>0</v>
      </c>
      <c r="F1587" s="0" t="n">
        <f aca="false">-1+C1587*0.125</f>
        <v>-0.875</v>
      </c>
      <c r="G1587" s="0" t="n">
        <f aca="false">1</f>
        <v>1</v>
      </c>
      <c r="H1587" s="0" t="n">
        <f aca="false">D1587</f>
        <v>-0.375</v>
      </c>
      <c r="I1587" s="0" t="n">
        <f aca="false">E1587</f>
        <v>0</v>
      </c>
      <c r="J1587" s="0" t="n">
        <f aca="false">F1587</f>
        <v>-0.875</v>
      </c>
      <c r="K1587" s="0" t="n">
        <f aca="false">D1587*E1587</f>
        <v>-0</v>
      </c>
      <c r="L1587" s="0" t="n">
        <f aca="false">D1587*F1587</f>
        <v>0.328125</v>
      </c>
      <c r="M1587" s="0" t="n">
        <f aca="false">E1587*F1587</f>
        <v>-0</v>
      </c>
      <c r="N1587" s="0" t="n">
        <f aca="false">D1587*D1587</f>
        <v>0.140625</v>
      </c>
      <c r="O1587" s="0" t="n">
        <f aca="false">E1587*E1587</f>
        <v>0</v>
      </c>
      <c r="P1587" s="0" t="n">
        <f aca="false">F1587*F1587</f>
        <v>0.765625</v>
      </c>
      <c r="Q1587" s="0" t="n">
        <f aca="false">SUMPRODUCT(G1587:P1587,_XtX!$B$71:$K$71)</f>
        <v>44.8919744318182</v>
      </c>
      <c r="R1587" s="0" t="n">
        <f aca="false">SUMPRODUCT(MMULT(G1587:P1587,_XtX!$B$58:$K$67),G1587:P1587)</f>
        <v>0.330863259055398</v>
      </c>
      <c r="S1587" s="0" t="n">
        <f aca="false">04_回帰ANOVA!$K$19*04_回帰ANOVA!$K$14*SQRT(1+R1587)</f>
        <v>1.07258903754571</v>
      </c>
      <c r="T1587" s="0" t="n">
        <f aca="false">Q1587-S1587</f>
        <v>43.8193853942725</v>
      </c>
      <c r="U1587" s="0" t="n">
        <f aca="false">Q1587+S1587</f>
        <v>45.9645634693639</v>
      </c>
      <c r="V1587" s="54" t="b">
        <f aca="false">AND(D1587&gt;=01_因子設定!$L$5-0.000000001,D1587&lt;=01_因子設定!$M$5+0.000000001,E1587&gt;=01_因子設定!$L$6-0.000000001,E1587&lt;=01_因子設定!$M$6+0.000000001,F1587&gt;=01_因子設定!$L$7-0.000000001,F1587&lt;=01_因子設定!$M$7+0.000000001,IF(01_因子設定!$B$20="Box-Behnken",D1587^2+E1587^2+F1587^2&lt;=2+0.000000001,TRUE()))</f>
        <v>1</v>
      </c>
      <c r="W1587" s="55" t="n">
        <f aca="false">IF(V1587,IF(01_因子設定!$B$13="最大化",T1587-01_因子設定!$B$14,IF(01_因子設定!$B$13="最小化",01_因子設定!$B$15-U1587,MIN(T1587-01_因子設定!$B$14,01_因子設定!$B$15-U1587))),-1E+030)</f>
        <v>-4.6806146057275</v>
      </c>
      <c r="X1587" s="55" t="n">
        <f aca="false">IF(V1587,IF(01_因子設定!$B$13="最大化",Q1587,IF(01_因子設定!$B$13="最小化",-Q1587,-ABS(Q1587-01_因子設定!$B$16))),-1E+030)</f>
        <v>44.8919744318182</v>
      </c>
      <c r="Y1587" s="55" t="n">
        <f aca="false">W1587+ROW()*0.000000001</f>
        <v>-4.6806130187275</v>
      </c>
      <c r="Z1587" s="55" t="n">
        <f aca="false">X1587+ROW()*0.000000001</f>
        <v>44.8919760188182</v>
      </c>
    </row>
    <row r="1588" customFormat="false" ht="15" hidden="false" customHeight="false" outlineLevel="0" collapsed="false">
      <c r="A1588" s="0" t="n">
        <v>5</v>
      </c>
      <c r="B1588" s="0" t="n">
        <v>8</v>
      </c>
      <c r="C1588" s="0" t="n">
        <v>2</v>
      </c>
      <c r="D1588" s="0" t="n">
        <f aca="false">-1+A1588*0.125</f>
        <v>-0.375</v>
      </c>
      <c r="E1588" s="0" t="n">
        <f aca="false">-1+B1588*0.125</f>
        <v>0</v>
      </c>
      <c r="F1588" s="0" t="n">
        <f aca="false">-1+C1588*0.125</f>
        <v>-0.75</v>
      </c>
      <c r="G1588" s="0" t="n">
        <f aca="false">1</f>
        <v>1</v>
      </c>
      <c r="H1588" s="0" t="n">
        <f aca="false">D1588</f>
        <v>-0.375</v>
      </c>
      <c r="I1588" s="0" t="n">
        <f aca="false">E1588</f>
        <v>0</v>
      </c>
      <c r="J1588" s="0" t="n">
        <f aca="false">F1588</f>
        <v>-0.75</v>
      </c>
      <c r="K1588" s="0" t="n">
        <f aca="false">D1588*E1588</f>
        <v>-0</v>
      </c>
      <c r="L1588" s="0" t="n">
        <f aca="false">D1588*F1588</f>
        <v>0.28125</v>
      </c>
      <c r="M1588" s="0" t="n">
        <f aca="false">E1588*F1588</f>
        <v>-0</v>
      </c>
      <c r="N1588" s="0" t="n">
        <f aca="false">D1588*D1588</f>
        <v>0.140625</v>
      </c>
      <c r="O1588" s="0" t="n">
        <f aca="false">E1588*E1588</f>
        <v>0</v>
      </c>
      <c r="P1588" s="0" t="n">
        <f aca="false">F1588*F1588</f>
        <v>0.5625</v>
      </c>
      <c r="Q1588" s="0" t="n">
        <f aca="false">SUMPRODUCT(G1588:P1588,_XtX!$B$71:$K$71)</f>
        <v>45.3106392045455</v>
      </c>
      <c r="R1588" s="0" t="n">
        <f aca="false">SUMPRODUCT(MMULT(G1588:P1588,_XtX!$B$58:$K$67),G1588:P1588)</f>
        <v>0.235136274857955</v>
      </c>
      <c r="S1588" s="0" t="n">
        <f aca="false">04_回帰ANOVA!$K$19*04_回帰ANOVA!$K$14*SQRT(1+R1588)</f>
        <v>1.03329439695656</v>
      </c>
      <c r="T1588" s="0" t="n">
        <f aca="false">Q1588-S1588</f>
        <v>44.2773448075889</v>
      </c>
      <c r="U1588" s="0" t="n">
        <f aca="false">Q1588+S1588</f>
        <v>46.343933601502</v>
      </c>
      <c r="V1588" s="54" t="b">
        <f aca="false">AND(D1588&gt;=01_因子設定!$L$5-0.000000001,D1588&lt;=01_因子設定!$M$5+0.000000001,E1588&gt;=01_因子設定!$L$6-0.000000001,E1588&lt;=01_因子設定!$M$6+0.000000001,F1588&gt;=01_因子設定!$L$7-0.000000001,F1588&lt;=01_因子設定!$M$7+0.000000001,IF(01_因子設定!$B$20="Box-Behnken",D1588^2+E1588^2+F1588^2&lt;=2+0.000000001,TRUE()))</f>
        <v>1</v>
      </c>
      <c r="W1588" s="55" t="n">
        <f aca="false">IF(V1588,IF(01_因子設定!$B$13="最大化",T1588-01_因子設定!$B$14,IF(01_因子設定!$B$13="最小化",01_因子設定!$B$15-U1588,MIN(T1588-01_因子設定!$B$14,01_因子設定!$B$15-U1588))),-1E+030)</f>
        <v>-4.22265519241108</v>
      </c>
      <c r="X1588" s="55" t="n">
        <f aca="false">IF(V1588,IF(01_因子設定!$B$13="最大化",Q1588,IF(01_因子設定!$B$13="最小化",-Q1588,-ABS(Q1588-01_因子設定!$B$16))),-1E+030)</f>
        <v>45.3106392045455</v>
      </c>
      <c r="Y1588" s="55" t="n">
        <f aca="false">W1588+ROW()*0.000000001</f>
        <v>-4.22265360441108</v>
      </c>
      <c r="Z1588" s="55" t="n">
        <f aca="false">X1588+ROW()*0.000000001</f>
        <v>45.3106407925455</v>
      </c>
    </row>
    <row r="1589" customFormat="false" ht="15" hidden="false" customHeight="false" outlineLevel="0" collapsed="false">
      <c r="A1589" s="0" t="n">
        <v>5</v>
      </c>
      <c r="B1589" s="0" t="n">
        <v>8</v>
      </c>
      <c r="C1589" s="0" t="n">
        <v>3</v>
      </c>
      <c r="D1589" s="0" t="n">
        <f aca="false">-1+A1589*0.125</f>
        <v>-0.375</v>
      </c>
      <c r="E1589" s="0" t="n">
        <f aca="false">-1+B1589*0.125</f>
        <v>0</v>
      </c>
      <c r="F1589" s="0" t="n">
        <f aca="false">-1+C1589*0.125</f>
        <v>-0.625</v>
      </c>
      <c r="G1589" s="0" t="n">
        <f aca="false">1</f>
        <v>1</v>
      </c>
      <c r="H1589" s="0" t="n">
        <f aca="false">D1589</f>
        <v>-0.375</v>
      </c>
      <c r="I1589" s="0" t="n">
        <f aca="false">E1589</f>
        <v>0</v>
      </c>
      <c r="J1589" s="0" t="n">
        <f aca="false">F1589</f>
        <v>-0.625</v>
      </c>
      <c r="K1589" s="0" t="n">
        <f aca="false">D1589*E1589</f>
        <v>-0</v>
      </c>
      <c r="L1589" s="0" t="n">
        <f aca="false">D1589*F1589</f>
        <v>0.234375</v>
      </c>
      <c r="M1589" s="0" t="n">
        <f aca="false">E1589*F1589</f>
        <v>-0</v>
      </c>
      <c r="N1589" s="0" t="n">
        <f aca="false">D1589*D1589</f>
        <v>0.140625</v>
      </c>
      <c r="O1589" s="0" t="n">
        <f aca="false">E1589*E1589</f>
        <v>0</v>
      </c>
      <c r="P1589" s="0" t="n">
        <f aca="false">F1589*F1589</f>
        <v>0.390625</v>
      </c>
      <c r="Q1589" s="0" t="n">
        <f aca="false">SUMPRODUCT(G1589:P1589,_XtX!$B$71:$K$71)</f>
        <v>45.6925142045455</v>
      </c>
      <c r="R1589" s="0" t="n">
        <f aca="false">SUMPRODUCT(MMULT(G1589:P1589,_XtX!$B$58:$K$67),G1589:P1589)</f>
        <v>0.17757401899858</v>
      </c>
      <c r="S1589" s="0" t="n">
        <f aca="false">04_回帰ANOVA!$K$19*04_回帰ANOVA!$K$14*SQRT(1+R1589)</f>
        <v>1.00892932143276</v>
      </c>
      <c r="T1589" s="0" t="n">
        <f aca="false">Q1589-S1589</f>
        <v>44.6835848831127</v>
      </c>
      <c r="U1589" s="0" t="n">
        <f aca="false">Q1589+S1589</f>
        <v>46.7014435259782</v>
      </c>
      <c r="V1589" s="54" t="b">
        <f aca="false">AND(D1589&gt;=01_因子設定!$L$5-0.000000001,D1589&lt;=01_因子設定!$M$5+0.000000001,E1589&gt;=01_因子設定!$L$6-0.000000001,E1589&lt;=01_因子設定!$M$6+0.000000001,F1589&gt;=01_因子設定!$L$7-0.000000001,F1589&lt;=01_因子設定!$M$7+0.000000001,IF(01_因子設定!$B$20="Box-Behnken",D1589^2+E1589^2+F1589^2&lt;=2+0.000000001,TRUE()))</f>
        <v>1</v>
      </c>
      <c r="W1589" s="55" t="n">
        <f aca="false">IF(V1589,IF(01_因子設定!$B$13="最大化",T1589-01_因子設定!$B$14,IF(01_因子設定!$B$13="最小化",01_因子設定!$B$15-U1589,MIN(T1589-01_因子設定!$B$14,01_因子設定!$B$15-U1589))),-1E+030)</f>
        <v>-3.81641511688729</v>
      </c>
      <c r="X1589" s="55" t="n">
        <f aca="false">IF(V1589,IF(01_因子設定!$B$13="最大化",Q1589,IF(01_因子設定!$B$13="最小化",-Q1589,-ABS(Q1589-01_因子設定!$B$16))),-1E+030)</f>
        <v>45.6925142045455</v>
      </c>
      <c r="Y1589" s="55" t="n">
        <f aca="false">W1589+ROW()*0.000000001</f>
        <v>-3.81641352788729</v>
      </c>
      <c r="Z1589" s="55" t="n">
        <f aca="false">X1589+ROW()*0.000000001</f>
        <v>45.6925157935455</v>
      </c>
    </row>
    <row r="1590" customFormat="false" ht="15" hidden="false" customHeight="false" outlineLevel="0" collapsed="false">
      <c r="A1590" s="0" t="n">
        <v>5</v>
      </c>
      <c r="B1590" s="0" t="n">
        <v>8</v>
      </c>
      <c r="C1590" s="0" t="n">
        <v>4</v>
      </c>
      <c r="D1590" s="0" t="n">
        <f aca="false">-1+A1590*0.125</f>
        <v>-0.375</v>
      </c>
      <c r="E1590" s="0" t="n">
        <f aca="false">-1+B1590*0.125</f>
        <v>0</v>
      </c>
      <c r="F1590" s="0" t="n">
        <f aca="false">-1+C1590*0.125</f>
        <v>-0.5</v>
      </c>
      <c r="G1590" s="0" t="n">
        <f aca="false">1</f>
        <v>1</v>
      </c>
      <c r="H1590" s="0" t="n">
        <f aca="false">D1590</f>
        <v>-0.375</v>
      </c>
      <c r="I1590" s="0" t="n">
        <f aca="false">E1590</f>
        <v>0</v>
      </c>
      <c r="J1590" s="0" t="n">
        <f aca="false">F1590</f>
        <v>-0.5</v>
      </c>
      <c r="K1590" s="0" t="n">
        <f aca="false">D1590*E1590</f>
        <v>-0</v>
      </c>
      <c r="L1590" s="0" t="n">
        <f aca="false">D1590*F1590</f>
        <v>0.1875</v>
      </c>
      <c r="M1590" s="0" t="n">
        <f aca="false">E1590*F1590</f>
        <v>-0</v>
      </c>
      <c r="N1590" s="0" t="n">
        <f aca="false">D1590*D1590</f>
        <v>0.140625</v>
      </c>
      <c r="O1590" s="0" t="n">
        <f aca="false">E1590*E1590</f>
        <v>0</v>
      </c>
      <c r="P1590" s="0" t="n">
        <f aca="false">F1590*F1590</f>
        <v>0.25</v>
      </c>
      <c r="Q1590" s="0" t="n">
        <f aca="false">SUMPRODUCT(G1590:P1590,_XtX!$B$71:$K$71)</f>
        <v>46.0375994318182</v>
      </c>
      <c r="R1590" s="0" t="n">
        <f aca="false">SUMPRODUCT(MMULT(G1590:P1590,_XtX!$B$58:$K$67),G1590:P1590)</f>
        <v>0.146457741477273</v>
      </c>
      <c r="S1590" s="0" t="n">
        <f aca="false">04_回帰ANOVA!$K$19*04_回帰ANOVA!$K$14*SQRT(1+R1590)</f>
        <v>0.995510079668687</v>
      </c>
      <c r="T1590" s="0" t="n">
        <f aca="false">Q1590-S1590</f>
        <v>45.0420893521495</v>
      </c>
      <c r="U1590" s="0" t="n">
        <f aca="false">Q1590+S1590</f>
        <v>47.0331095114869</v>
      </c>
      <c r="V1590" s="54" t="b">
        <f aca="false">AND(D1590&gt;=01_因子設定!$L$5-0.000000001,D1590&lt;=01_因子設定!$M$5+0.000000001,E1590&gt;=01_因子設定!$L$6-0.000000001,E1590&lt;=01_因子設定!$M$6+0.000000001,F1590&gt;=01_因子設定!$L$7-0.000000001,F1590&lt;=01_因子設定!$M$7+0.000000001,IF(01_因子設定!$B$20="Box-Behnken",D1590^2+E1590^2+F1590^2&lt;=2+0.000000001,TRUE()))</f>
        <v>1</v>
      </c>
      <c r="W1590" s="55" t="n">
        <f aca="false">IF(V1590,IF(01_因子設定!$B$13="最大化",T1590-01_因子設定!$B$14,IF(01_因子設定!$B$13="最小化",01_因子設定!$B$15-U1590,MIN(T1590-01_因子設定!$B$14,01_因子設定!$B$15-U1590))),-1E+030)</f>
        <v>-3.45791064785049</v>
      </c>
      <c r="X1590" s="55" t="n">
        <f aca="false">IF(V1590,IF(01_因子設定!$B$13="最大化",Q1590,IF(01_因子設定!$B$13="最小化",-Q1590,-ABS(Q1590-01_因子設定!$B$16))),-1E+030)</f>
        <v>46.0375994318182</v>
      </c>
      <c r="Y1590" s="55" t="n">
        <f aca="false">W1590+ROW()*0.000000001</f>
        <v>-3.45790905785049</v>
      </c>
      <c r="Z1590" s="55" t="n">
        <f aca="false">X1590+ROW()*0.000000001</f>
        <v>46.0376010218182</v>
      </c>
    </row>
    <row r="1591" customFormat="false" ht="15" hidden="false" customHeight="false" outlineLevel="0" collapsed="false">
      <c r="A1591" s="0" t="n">
        <v>5</v>
      </c>
      <c r="B1591" s="0" t="n">
        <v>8</v>
      </c>
      <c r="C1591" s="0" t="n">
        <v>5</v>
      </c>
      <c r="D1591" s="0" t="n">
        <f aca="false">-1+A1591*0.125</f>
        <v>-0.375</v>
      </c>
      <c r="E1591" s="0" t="n">
        <f aca="false">-1+B1591*0.125</f>
        <v>0</v>
      </c>
      <c r="F1591" s="0" t="n">
        <f aca="false">-1+C1591*0.125</f>
        <v>-0.375</v>
      </c>
      <c r="G1591" s="0" t="n">
        <f aca="false">1</f>
        <v>1</v>
      </c>
      <c r="H1591" s="0" t="n">
        <f aca="false">D1591</f>
        <v>-0.375</v>
      </c>
      <c r="I1591" s="0" t="n">
        <f aca="false">E1591</f>
        <v>0</v>
      </c>
      <c r="J1591" s="0" t="n">
        <f aca="false">F1591</f>
        <v>-0.375</v>
      </c>
      <c r="K1591" s="0" t="n">
        <f aca="false">D1591*E1591</f>
        <v>-0</v>
      </c>
      <c r="L1591" s="0" t="n">
        <f aca="false">D1591*F1591</f>
        <v>0.140625</v>
      </c>
      <c r="M1591" s="0" t="n">
        <f aca="false">E1591*F1591</f>
        <v>-0</v>
      </c>
      <c r="N1591" s="0" t="n">
        <f aca="false">D1591*D1591</f>
        <v>0.140625</v>
      </c>
      <c r="O1591" s="0" t="n">
        <f aca="false">E1591*E1591</f>
        <v>0</v>
      </c>
      <c r="P1591" s="0" t="n">
        <f aca="false">F1591*F1591</f>
        <v>0.140625</v>
      </c>
      <c r="Q1591" s="0" t="n">
        <f aca="false">SUMPRODUCT(G1591:P1591,_XtX!$B$71:$K$71)</f>
        <v>46.3458948863636</v>
      </c>
      <c r="R1591" s="0" t="n">
        <f aca="false">SUMPRODUCT(MMULT(G1591:P1591,_XtX!$B$58:$K$67),G1591:P1591)</f>
        <v>0.132199374112216</v>
      </c>
      <c r="S1591" s="0" t="n">
        <f aca="false">04_回帰ANOVA!$K$19*04_回帰ANOVA!$K$14*SQRT(1+R1591)</f>
        <v>0.989300187279118</v>
      </c>
      <c r="T1591" s="0" t="n">
        <f aca="false">Q1591-S1591</f>
        <v>45.3565946990845</v>
      </c>
      <c r="U1591" s="0" t="n">
        <f aca="false">Q1591+S1591</f>
        <v>47.3351950736428</v>
      </c>
      <c r="V1591" s="54" t="b">
        <f aca="false">AND(D1591&gt;=01_因子設定!$L$5-0.000000001,D1591&lt;=01_因子設定!$M$5+0.000000001,E1591&gt;=01_因子設定!$L$6-0.000000001,E1591&lt;=01_因子設定!$M$6+0.000000001,F1591&gt;=01_因子設定!$L$7-0.000000001,F1591&lt;=01_因子設定!$M$7+0.000000001,IF(01_因子設定!$B$20="Box-Behnken",D1591^2+E1591^2+F1591^2&lt;=2+0.000000001,TRUE()))</f>
        <v>1</v>
      </c>
      <c r="W1591" s="55" t="n">
        <f aca="false">IF(V1591,IF(01_因子設定!$B$13="最大化",T1591-01_因子設定!$B$14,IF(01_因子設定!$B$13="最小化",01_因子設定!$B$15-U1591,MIN(T1591-01_因子設定!$B$14,01_因子設定!$B$15-U1591))),-1E+030)</f>
        <v>-3.14340530091548</v>
      </c>
      <c r="X1591" s="55" t="n">
        <f aca="false">IF(V1591,IF(01_因子設定!$B$13="最大化",Q1591,IF(01_因子設定!$B$13="最小化",-Q1591,-ABS(Q1591-01_因子設定!$B$16))),-1E+030)</f>
        <v>46.3458948863636</v>
      </c>
      <c r="Y1591" s="55" t="n">
        <f aca="false">W1591+ROW()*0.000000001</f>
        <v>-3.14340370991548</v>
      </c>
      <c r="Z1591" s="55" t="n">
        <f aca="false">X1591+ROW()*0.000000001</f>
        <v>46.3458964773636</v>
      </c>
    </row>
    <row r="1592" customFormat="false" ht="15" hidden="false" customHeight="false" outlineLevel="0" collapsed="false">
      <c r="A1592" s="0" t="n">
        <v>5</v>
      </c>
      <c r="B1592" s="0" t="n">
        <v>8</v>
      </c>
      <c r="C1592" s="0" t="n">
        <v>6</v>
      </c>
      <c r="D1592" s="0" t="n">
        <f aca="false">-1+A1592*0.125</f>
        <v>-0.375</v>
      </c>
      <c r="E1592" s="0" t="n">
        <f aca="false">-1+B1592*0.125</f>
        <v>0</v>
      </c>
      <c r="F1592" s="0" t="n">
        <f aca="false">-1+C1592*0.125</f>
        <v>-0.25</v>
      </c>
      <c r="G1592" s="0" t="n">
        <f aca="false">1</f>
        <v>1</v>
      </c>
      <c r="H1592" s="0" t="n">
        <f aca="false">D1592</f>
        <v>-0.375</v>
      </c>
      <c r="I1592" s="0" t="n">
        <f aca="false">E1592</f>
        <v>0</v>
      </c>
      <c r="J1592" s="0" t="n">
        <f aca="false">F1592</f>
        <v>-0.25</v>
      </c>
      <c r="K1592" s="0" t="n">
        <f aca="false">D1592*E1592</f>
        <v>-0</v>
      </c>
      <c r="L1592" s="0" t="n">
        <f aca="false">D1592*F1592</f>
        <v>0.09375</v>
      </c>
      <c r="M1592" s="0" t="n">
        <f aca="false">E1592*F1592</f>
        <v>-0</v>
      </c>
      <c r="N1592" s="0" t="n">
        <f aca="false">D1592*D1592</f>
        <v>0.140625</v>
      </c>
      <c r="O1592" s="0" t="n">
        <f aca="false">E1592*E1592</f>
        <v>0</v>
      </c>
      <c r="P1592" s="0" t="n">
        <f aca="false">F1592*F1592</f>
        <v>0.0625</v>
      </c>
      <c r="Q1592" s="0" t="n">
        <f aca="false">SUMPRODUCT(G1592:P1592,_XtX!$B$71:$K$71)</f>
        <v>46.6174005681818</v>
      </c>
      <c r="R1592" s="0" t="n">
        <f aca="false">SUMPRODUCT(MMULT(G1592:P1592,_XtX!$B$58:$K$67),G1592:P1592)</f>
        <v>0.127341530539773</v>
      </c>
      <c r="S1592" s="0" t="n">
        <f aca="false">04_回帰ANOVA!$K$19*04_回帰ANOVA!$K$14*SQRT(1+R1592)</f>
        <v>0.987175547486288</v>
      </c>
      <c r="T1592" s="0" t="n">
        <f aca="false">Q1592-S1592</f>
        <v>45.6302250206955</v>
      </c>
      <c r="U1592" s="0" t="n">
        <f aca="false">Q1592+S1592</f>
        <v>47.6045761156681</v>
      </c>
      <c r="V1592" s="54" t="b">
        <f aca="false">AND(D1592&gt;=01_因子設定!$L$5-0.000000001,D1592&lt;=01_因子設定!$M$5+0.000000001,E1592&gt;=01_因子設定!$L$6-0.000000001,E1592&lt;=01_因子設定!$M$6+0.000000001,F1592&gt;=01_因子設定!$L$7-0.000000001,F1592&lt;=01_因子設定!$M$7+0.000000001,IF(01_因子設定!$B$20="Box-Behnken",D1592^2+E1592^2+F1592^2&lt;=2+0.000000001,TRUE()))</f>
        <v>1</v>
      </c>
      <c r="W1592" s="55" t="n">
        <f aca="false">IF(V1592,IF(01_因子設定!$B$13="最大化",T1592-01_因子設定!$B$14,IF(01_因子設定!$B$13="最小化",01_因子設定!$B$15-U1592,MIN(T1592-01_因子設定!$B$14,01_因子設定!$B$15-U1592))),-1E+030)</f>
        <v>-2.86977497930447</v>
      </c>
      <c r="X1592" s="55" t="n">
        <f aca="false">IF(V1592,IF(01_因子設定!$B$13="最大化",Q1592,IF(01_因子設定!$B$13="最小化",-Q1592,-ABS(Q1592-01_因子設定!$B$16))),-1E+030)</f>
        <v>46.6174005681818</v>
      </c>
      <c r="Y1592" s="55" t="n">
        <f aca="false">W1592+ROW()*0.000000001</f>
        <v>-2.86977338730447</v>
      </c>
      <c r="Z1592" s="55" t="n">
        <f aca="false">X1592+ROW()*0.000000001</f>
        <v>46.6174021601818</v>
      </c>
    </row>
    <row r="1593" customFormat="false" ht="15" hidden="false" customHeight="false" outlineLevel="0" collapsed="false">
      <c r="A1593" s="0" t="n">
        <v>5</v>
      </c>
      <c r="B1593" s="0" t="n">
        <v>8</v>
      </c>
      <c r="C1593" s="0" t="n">
        <v>7</v>
      </c>
      <c r="D1593" s="0" t="n">
        <f aca="false">-1+A1593*0.125</f>
        <v>-0.375</v>
      </c>
      <c r="E1593" s="0" t="n">
        <f aca="false">-1+B1593*0.125</f>
        <v>0</v>
      </c>
      <c r="F1593" s="0" t="n">
        <f aca="false">-1+C1593*0.125</f>
        <v>-0.125</v>
      </c>
      <c r="G1593" s="0" t="n">
        <f aca="false">1</f>
        <v>1</v>
      </c>
      <c r="H1593" s="0" t="n">
        <f aca="false">D1593</f>
        <v>-0.375</v>
      </c>
      <c r="I1593" s="0" t="n">
        <f aca="false">E1593</f>
        <v>0</v>
      </c>
      <c r="J1593" s="0" t="n">
        <f aca="false">F1593</f>
        <v>-0.125</v>
      </c>
      <c r="K1593" s="0" t="n">
        <f aca="false">D1593*E1593</f>
        <v>-0</v>
      </c>
      <c r="L1593" s="0" t="n">
        <f aca="false">D1593*F1593</f>
        <v>0.046875</v>
      </c>
      <c r="M1593" s="0" t="n">
        <f aca="false">E1593*F1593</f>
        <v>-0</v>
      </c>
      <c r="N1593" s="0" t="n">
        <f aca="false">D1593*D1593</f>
        <v>0.140625</v>
      </c>
      <c r="O1593" s="0" t="n">
        <f aca="false">E1593*E1593</f>
        <v>0</v>
      </c>
      <c r="P1593" s="0" t="n">
        <f aca="false">F1593*F1593</f>
        <v>0.015625</v>
      </c>
      <c r="Q1593" s="0" t="n">
        <f aca="false">SUMPRODUCT(G1593:P1593,_XtX!$B$71:$K$71)</f>
        <v>46.8521164772727</v>
      </c>
      <c r="R1593" s="0" t="n">
        <f aca="false">SUMPRODUCT(MMULT(G1593:P1593,_XtX!$B$58:$K$67),G1593:P1593)</f>
        <v>0.126557506214489</v>
      </c>
      <c r="S1593" s="0" t="n">
        <f aca="false">04_回帰ANOVA!$K$19*04_回帰ANOVA!$K$14*SQRT(1+R1593)</f>
        <v>0.986832215747321</v>
      </c>
      <c r="T1593" s="0" t="n">
        <f aca="false">Q1593-S1593</f>
        <v>45.8652842615254</v>
      </c>
      <c r="U1593" s="0" t="n">
        <f aca="false">Q1593+S1593</f>
        <v>47.8389486930201</v>
      </c>
      <c r="V1593" s="54" t="b">
        <f aca="false">AND(D1593&gt;=01_因子設定!$L$5-0.000000001,D1593&lt;=01_因子設定!$M$5+0.000000001,E1593&gt;=01_因子設定!$L$6-0.000000001,E1593&lt;=01_因子設定!$M$6+0.000000001,F1593&gt;=01_因子設定!$L$7-0.000000001,F1593&lt;=01_因子設定!$M$7+0.000000001,IF(01_因子設定!$B$20="Box-Behnken",D1593^2+E1593^2+F1593^2&lt;=2+0.000000001,TRUE()))</f>
        <v>1</v>
      </c>
      <c r="W1593" s="55" t="n">
        <f aca="false">IF(V1593,IF(01_因子設定!$B$13="最大化",T1593-01_因子設定!$B$14,IF(01_因子設定!$B$13="最小化",01_因子設定!$B$15-U1593,MIN(T1593-01_因子設定!$B$14,01_因子設定!$B$15-U1593))),-1E+030)</f>
        <v>-2.63471573847459</v>
      </c>
      <c r="X1593" s="55" t="n">
        <f aca="false">IF(V1593,IF(01_因子設定!$B$13="最大化",Q1593,IF(01_因子設定!$B$13="最小化",-Q1593,-ABS(Q1593-01_因子設定!$B$16))),-1E+030)</f>
        <v>46.8521164772727</v>
      </c>
      <c r="Y1593" s="55" t="n">
        <f aca="false">W1593+ROW()*0.000000001</f>
        <v>-2.63471414547459</v>
      </c>
      <c r="Z1593" s="55" t="n">
        <f aca="false">X1593+ROW()*0.000000001</f>
        <v>46.8521180702727</v>
      </c>
    </row>
    <row r="1594" customFormat="false" ht="15" hidden="false" customHeight="false" outlineLevel="0" collapsed="false">
      <c r="A1594" s="0" t="n">
        <v>5</v>
      </c>
      <c r="B1594" s="0" t="n">
        <v>8</v>
      </c>
      <c r="C1594" s="0" t="n">
        <v>8</v>
      </c>
      <c r="D1594" s="0" t="n">
        <f aca="false">-1+A1594*0.125</f>
        <v>-0.375</v>
      </c>
      <c r="E1594" s="0" t="n">
        <f aca="false">-1+B1594*0.125</f>
        <v>0</v>
      </c>
      <c r="F1594" s="0" t="n">
        <f aca="false">-1+C1594*0.125</f>
        <v>0</v>
      </c>
      <c r="G1594" s="0" t="n">
        <f aca="false">1</f>
        <v>1</v>
      </c>
      <c r="H1594" s="0" t="n">
        <f aca="false">D1594</f>
        <v>-0.375</v>
      </c>
      <c r="I1594" s="0" t="n">
        <f aca="false">E1594</f>
        <v>0</v>
      </c>
      <c r="J1594" s="0" t="n">
        <f aca="false">F1594</f>
        <v>0</v>
      </c>
      <c r="K1594" s="0" t="n">
        <f aca="false">D1594*E1594</f>
        <v>-0</v>
      </c>
      <c r="L1594" s="0" t="n">
        <f aca="false">D1594*F1594</f>
        <v>-0</v>
      </c>
      <c r="M1594" s="0" t="n">
        <f aca="false">E1594*F1594</f>
        <v>0</v>
      </c>
      <c r="N1594" s="0" t="n">
        <f aca="false">D1594*D1594</f>
        <v>0.140625</v>
      </c>
      <c r="O1594" s="0" t="n">
        <f aca="false">E1594*E1594</f>
        <v>0</v>
      </c>
      <c r="P1594" s="0" t="n">
        <f aca="false">F1594*F1594</f>
        <v>0</v>
      </c>
      <c r="Q1594" s="0" t="n">
        <f aca="false">SUMPRODUCT(G1594:P1594,_XtX!$B$71:$K$71)</f>
        <v>47.0500426136364</v>
      </c>
      <c r="R1594" s="0" t="n">
        <f aca="false">SUMPRODUCT(MMULT(G1594:P1594,_XtX!$B$58:$K$67),G1594:P1594)</f>
        <v>0.126651278409091</v>
      </c>
      <c r="S1594" s="0" t="n">
        <f aca="false">04_回帰ANOVA!$K$19*04_回帰ANOVA!$K$14*SQRT(1+R1594)</f>
        <v>0.986873285775478</v>
      </c>
      <c r="T1594" s="0" t="n">
        <f aca="false">Q1594-S1594</f>
        <v>46.0631693278609</v>
      </c>
      <c r="U1594" s="0" t="n">
        <f aca="false">Q1594+S1594</f>
        <v>48.0369158994119</v>
      </c>
      <c r="V1594" s="54" t="b">
        <f aca="false">AND(D1594&gt;=01_因子設定!$L$5-0.000000001,D1594&lt;=01_因子設定!$M$5+0.000000001,E1594&gt;=01_因子設定!$L$6-0.000000001,E1594&lt;=01_因子設定!$M$6+0.000000001,F1594&gt;=01_因子設定!$L$7-0.000000001,F1594&lt;=01_因子設定!$M$7+0.000000001,IF(01_因子設定!$B$20="Box-Behnken",D1594^2+E1594^2+F1594^2&lt;=2+0.000000001,TRUE()))</f>
        <v>1</v>
      </c>
      <c r="W1594" s="55" t="n">
        <f aca="false">IF(V1594,IF(01_因子設定!$B$13="最大化",T1594-01_因子設定!$B$14,IF(01_因子設定!$B$13="最小化",01_因子設定!$B$15-U1594,MIN(T1594-01_因子設定!$B$14,01_因子設定!$B$15-U1594))),-1E+030)</f>
        <v>-2.43683067213911</v>
      </c>
      <c r="X1594" s="55" t="n">
        <f aca="false">IF(V1594,IF(01_因子設定!$B$13="最大化",Q1594,IF(01_因子設定!$B$13="最小化",-Q1594,-ABS(Q1594-01_因子設定!$B$16))),-1E+030)</f>
        <v>47.0500426136364</v>
      </c>
      <c r="Y1594" s="55" t="n">
        <f aca="false">W1594+ROW()*0.000000001</f>
        <v>-2.43682907813911</v>
      </c>
      <c r="Z1594" s="55" t="n">
        <f aca="false">X1594+ROW()*0.000000001</f>
        <v>47.0500442076364</v>
      </c>
    </row>
    <row r="1595" customFormat="false" ht="15" hidden="false" customHeight="false" outlineLevel="0" collapsed="false">
      <c r="A1595" s="0" t="n">
        <v>5</v>
      </c>
      <c r="B1595" s="0" t="n">
        <v>8</v>
      </c>
      <c r="C1595" s="0" t="n">
        <v>9</v>
      </c>
      <c r="D1595" s="0" t="n">
        <f aca="false">-1+A1595*0.125</f>
        <v>-0.375</v>
      </c>
      <c r="E1595" s="0" t="n">
        <f aca="false">-1+B1595*0.125</f>
        <v>0</v>
      </c>
      <c r="F1595" s="0" t="n">
        <f aca="false">-1+C1595*0.125</f>
        <v>0.125</v>
      </c>
      <c r="G1595" s="0" t="n">
        <f aca="false">1</f>
        <v>1</v>
      </c>
      <c r="H1595" s="0" t="n">
        <f aca="false">D1595</f>
        <v>-0.375</v>
      </c>
      <c r="I1595" s="0" t="n">
        <f aca="false">E1595</f>
        <v>0</v>
      </c>
      <c r="J1595" s="0" t="n">
        <f aca="false">F1595</f>
        <v>0.125</v>
      </c>
      <c r="K1595" s="0" t="n">
        <f aca="false">D1595*E1595</f>
        <v>-0</v>
      </c>
      <c r="L1595" s="0" t="n">
        <f aca="false">D1595*F1595</f>
        <v>-0.046875</v>
      </c>
      <c r="M1595" s="0" t="n">
        <f aca="false">E1595*F1595</f>
        <v>0</v>
      </c>
      <c r="N1595" s="0" t="n">
        <f aca="false">D1595*D1595</f>
        <v>0.140625</v>
      </c>
      <c r="O1595" s="0" t="n">
        <f aca="false">E1595*E1595</f>
        <v>0</v>
      </c>
      <c r="P1595" s="0" t="n">
        <f aca="false">F1595*F1595</f>
        <v>0.015625</v>
      </c>
      <c r="Q1595" s="0" t="n">
        <f aca="false">SUMPRODUCT(G1595:P1595,_XtX!$B$71:$K$71)</f>
        <v>47.2111789772727</v>
      </c>
      <c r="R1595" s="0" t="n">
        <f aca="false">SUMPRODUCT(MMULT(G1595:P1595,_XtX!$B$58:$K$67),G1595:P1595)</f>
        <v>0.126557506214489</v>
      </c>
      <c r="S1595" s="0" t="n">
        <f aca="false">04_回帰ANOVA!$K$19*04_回帰ANOVA!$K$14*SQRT(1+R1595)</f>
        <v>0.986832215747321</v>
      </c>
      <c r="T1595" s="0" t="n">
        <f aca="false">Q1595-S1595</f>
        <v>46.2243467615254</v>
      </c>
      <c r="U1595" s="0" t="n">
        <f aca="false">Q1595+S1595</f>
        <v>48.1980111930201</v>
      </c>
      <c r="V1595" s="54" t="b">
        <f aca="false">AND(D1595&gt;=01_因子設定!$L$5-0.000000001,D1595&lt;=01_因子設定!$M$5+0.000000001,E1595&gt;=01_因子設定!$L$6-0.000000001,E1595&lt;=01_因子設定!$M$6+0.000000001,F1595&gt;=01_因子設定!$L$7-0.000000001,F1595&lt;=01_因子設定!$M$7+0.000000001,IF(01_因子設定!$B$20="Box-Behnken",D1595^2+E1595^2+F1595^2&lt;=2+0.000000001,TRUE()))</f>
        <v>1</v>
      </c>
      <c r="W1595" s="55" t="n">
        <f aca="false">IF(V1595,IF(01_因子設定!$B$13="最大化",T1595-01_因子設定!$B$14,IF(01_因子設定!$B$13="最小化",01_因子設定!$B$15-U1595,MIN(T1595-01_因子設定!$B$14,01_因子設定!$B$15-U1595))),-1E+030)</f>
        <v>-2.27565323847459</v>
      </c>
      <c r="X1595" s="55" t="n">
        <f aca="false">IF(V1595,IF(01_因子設定!$B$13="最大化",Q1595,IF(01_因子設定!$B$13="最小化",-Q1595,-ABS(Q1595-01_因子設定!$B$16))),-1E+030)</f>
        <v>47.2111789772727</v>
      </c>
      <c r="Y1595" s="55" t="n">
        <f aca="false">W1595+ROW()*0.000000001</f>
        <v>-2.27565164347459</v>
      </c>
      <c r="Z1595" s="55" t="n">
        <f aca="false">X1595+ROW()*0.000000001</f>
        <v>47.2111805722727</v>
      </c>
    </row>
    <row r="1596" customFormat="false" ht="15" hidden="false" customHeight="false" outlineLevel="0" collapsed="false">
      <c r="A1596" s="0" t="n">
        <v>5</v>
      </c>
      <c r="B1596" s="0" t="n">
        <v>8</v>
      </c>
      <c r="C1596" s="0" t="n">
        <v>10</v>
      </c>
      <c r="D1596" s="0" t="n">
        <f aca="false">-1+A1596*0.125</f>
        <v>-0.375</v>
      </c>
      <c r="E1596" s="0" t="n">
        <f aca="false">-1+B1596*0.125</f>
        <v>0</v>
      </c>
      <c r="F1596" s="0" t="n">
        <f aca="false">-1+C1596*0.125</f>
        <v>0.25</v>
      </c>
      <c r="G1596" s="0" t="n">
        <f aca="false">1</f>
        <v>1</v>
      </c>
      <c r="H1596" s="0" t="n">
        <f aca="false">D1596</f>
        <v>-0.375</v>
      </c>
      <c r="I1596" s="0" t="n">
        <f aca="false">E1596</f>
        <v>0</v>
      </c>
      <c r="J1596" s="0" t="n">
        <f aca="false">F1596</f>
        <v>0.25</v>
      </c>
      <c r="K1596" s="0" t="n">
        <f aca="false">D1596*E1596</f>
        <v>-0</v>
      </c>
      <c r="L1596" s="0" t="n">
        <f aca="false">D1596*F1596</f>
        <v>-0.09375</v>
      </c>
      <c r="M1596" s="0" t="n">
        <f aca="false">E1596*F1596</f>
        <v>0</v>
      </c>
      <c r="N1596" s="0" t="n">
        <f aca="false">D1596*D1596</f>
        <v>0.140625</v>
      </c>
      <c r="O1596" s="0" t="n">
        <f aca="false">E1596*E1596</f>
        <v>0</v>
      </c>
      <c r="P1596" s="0" t="n">
        <f aca="false">F1596*F1596</f>
        <v>0.0625</v>
      </c>
      <c r="Q1596" s="0" t="n">
        <f aca="false">SUMPRODUCT(G1596:P1596,_XtX!$B$71:$K$71)</f>
        <v>47.3355255681818</v>
      </c>
      <c r="R1596" s="0" t="n">
        <f aca="false">SUMPRODUCT(MMULT(G1596:P1596,_XtX!$B$58:$K$67),G1596:P1596)</f>
        <v>0.127341530539773</v>
      </c>
      <c r="S1596" s="0" t="n">
        <f aca="false">04_回帰ANOVA!$K$19*04_回帰ANOVA!$K$14*SQRT(1+R1596)</f>
        <v>0.987175547486288</v>
      </c>
      <c r="T1596" s="0" t="n">
        <f aca="false">Q1596-S1596</f>
        <v>46.3483500206955</v>
      </c>
      <c r="U1596" s="0" t="n">
        <f aca="false">Q1596+S1596</f>
        <v>48.3227011156681</v>
      </c>
      <c r="V1596" s="54" t="b">
        <f aca="false">AND(D1596&gt;=01_因子設定!$L$5-0.000000001,D1596&lt;=01_因子設定!$M$5+0.000000001,E1596&gt;=01_因子設定!$L$6-0.000000001,E1596&lt;=01_因子設定!$M$6+0.000000001,F1596&gt;=01_因子設定!$L$7-0.000000001,F1596&lt;=01_因子設定!$M$7+0.000000001,IF(01_因子設定!$B$20="Box-Behnken",D1596^2+E1596^2+F1596^2&lt;=2+0.000000001,TRUE()))</f>
        <v>1</v>
      </c>
      <c r="W1596" s="55" t="n">
        <f aca="false">IF(V1596,IF(01_因子設定!$B$13="最大化",T1596-01_因子設定!$B$14,IF(01_因子設定!$B$13="最小化",01_因子設定!$B$15-U1596,MIN(T1596-01_因子設定!$B$14,01_因子設定!$B$15-U1596))),-1E+030)</f>
        <v>-2.15164997930447</v>
      </c>
      <c r="X1596" s="55" t="n">
        <f aca="false">IF(V1596,IF(01_因子設定!$B$13="最大化",Q1596,IF(01_因子設定!$B$13="最小化",-Q1596,-ABS(Q1596-01_因子設定!$B$16))),-1E+030)</f>
        <v>47.3355255681818</v>
      </c>
      <c r="Y1596" s="55" t="n">
        <f aca="false">W1596+ROW()*0.000000001</f>
        <v>-2.15164838330447</v>
      </c>
      <c r="Z1596" s="55" t="n">
        <f aca="false">X1596+ROW()*0.000000001</f>
        <v>47.3355271641818</v>
      </c>
    </row>
    <row r="1597" customFormat="false" ht="15" hidden="false" customHeight="false" outlineLevel="0" collapsed="false">
      <c r="A1597" s="0" t="n">
        <v>5</v>
      </c>
      <c r="B1597" s="0" t="n">
        <v>8</v>
      </c>
      <c r="C1597" s="0" t="n">
        <v>11</v>
      </c>
      <c r="D1597" s="0" t="n">
        <f aca="false">-1+A1597*0.125</f>
        <v>-0.375</v>
      </c>
      <c r="E1597" s="0" t="n">
        <f aca="false">-1+B1597*0.125</f>
        <v>0</v>
      </c>
      <c r="F1597" s="0" t="n">
        <f aca="false">-1+C1597*0.125</f>
        <v>0.375</v>
      </c>
      <c r="G1597" s="0" t="n">
        <f aca="false">1</f>
        <v>1</v>
      </c>
      <c r="H1597" s="0" t="n">
        <f aca="false">D1597</f>
        <v>-0.375</v>
      </c>
      <c r="I1597" s="0" t="n">
        <f aca="false">E1597</f>
        <v>0</v>
      </c>
      <c r="J1597" s="0" t="n">
        <f aca="false">F1597</f>
        <v>0.375</v>
      </c>
      <c r="K1597" s="0" t="n">
        <f aca="false">D1597*E1597</f>
        <v>-0</v>
      </c>
      <c r="L1597" s="0" t="n">
        <f aca="false">D1597*F1597</f>
        <v>-0.140625</v>
      </c>
      <c r="M1597" s="0" t="n">
        <f aca="false">E1597*F1597</f>
        <v>0</v>
      </c>
      <c r="N1597" s="0" t="n">
        <f aca="false">D1597*D1597</f>
        <v>0.140625</v>
      </c>
      <c r="O1597" s="0" t="n">
        <f aca="false">E1597*E1597</f>
        <v>0</v>
      </c>
      <c r="P1597" s="0" t="n">
        <f aca="false">F1597*F1597</f>
        <v>0.140625</v>
      </c>
      <c r="Q1597" s="0" t="n">
        <f aca="false">SUMPRODUCT(G1597:P1597,_XtX!$B$71:$K$71)</f>
        <v>47.4230823863636</v>
      </c>
      <c r="R1597" s="0" t="n">
        <f aca="false">SUMPRODUCT(MMULT(G1597:P1597,_XtX!$B$58:$K$67),G1597:P1597)</f>
        <v>0.132199374112216</v>
      </c>
      <c r="S1597" s="0" t="n">
        <f aca="false">04_回帰ANOVA!$K$19*04_回帰ANOVA!$K$14*SQRT(1+R1597)</f>
        <v>0.989300187279118</v>
      </c>
      <c r="T1597" s="0" t="n">
        <f aca="false">Q1597-S1597</f>
        <v>46.4337821990845</v>
      </c>
      <c r="U1597" s="0" t="n">
        <f aca="false">Q1597+S1597</f>
        <v>48.4123825736428</v>
      </c>
      <c r="V1597" s="54" t="b">
        <f aca="false">AND(D1597&gt;=01_因子設定!$L$5-0.000000001,D1597&lt;=01_因子設定!$M$5+0.000000001,E1597&gt;=01_因子設定!$L$6-0.000000001,E1597&lt;=01_因子設定!$M$6+0.000000001,F1597&gt;=01_因子設定!$L$7-0.000000001,F1597&lt;=01_因子設定!$M$7+0.000000001,IF(01_因子設定!$B$20="Box-Behnken",D1597^2+E1597^2+F1597^2&lt;=2+0.000000001,TRUE()))</f>
        <v>1</v>
      </c>
      <c r="W1597" s="55" t="n">
        <f aca="false">IF(V1597,IF(01_因子設定!$B$13="最大化",T1597-01_因子設定!$B$14,IF(01_因子設定!$B$13="最小化",01_因子設定!$B$15-U1597,MIN(T1597-01_因子設定!$B$14,01_因子設定!$B$15-U1597))),-1E+030)</f>
        <v>-2.06621780091547</v>
      </c>
      <c r="X1597" s="55" t="n">
        <f aca="false">IF(V1597,IF(01_因子設定!$B$13="最大化",Q1597,IF(01_因子設定!$B$13="最小化",-Q1597,-ABS(Q1597-01_因子設定!$B$16))),-1E+030)</f>
        <v>47.4230823863636</v>
      </c>
      <c r="Y1597" s="55" t="n">
        <f aca="false">W1597+ROW()*0.000000001</f>
        <v>-2.06621620391547</v>
      </c>
      <c r="Z1597" s="55" t="n">
        <f aca="false">X1597+ROW()*0.000000001</f>
        <v>47.4230839833637</v>
      </c>
    </row>
    <row r="1598" customFormat="false" ht="15" hidden="false" customHeight="false" outlineLevel="0" collapsed="false">
      <c r="A1598" s="0" t="n">
        <v>5</v>
      </c>
      <c r="B1598" s="0" t="n">
        <v>8</v>
      </c>
      <c r="C1598" s="0" t="n">
        <v>12</v>
      </c>
      <c r="D1598" s="0" t="n">
        <f aca="false">-1+A1598*0.125</f>
        <v>-0.375</v>
      </c>
      <c r="E1598" s="0" t="n">
        <f aca="false">-1+B1598*0.125</f>
        <v>0</v>
      </c>
      <c r="F1598" s="0" t="n">
        <f aca="false">-1+C1598*0.125</f>
        <v>0.5</v>
      </c>
      <c r="G1598" s="0" t="n">
        <f aca="false">1</f>
        <v>1</v>
      </c>
      <c r="H1598" s="0" t="n">
        <f aca="false">D1598</f>
        <v>-0.375</v>
      </c>
      <c r="I1598" s="0" t="n">
        <f aca="false">E1598</f>
        <v>0</v>
      </c>
      <c r="J1598" s="0" t="n">
        <f aca="false">F1598</f>
        <v>0.5</v>
      </c>
      <c r="K1598" s="0" t="n">
        <f aca="false">D1598*E1598</f>
        <v>-0</v>
      </c>
      <c r="L1598" s="0" t="n">
        <f aca="false">D1598*F1598</f>
        <v>-0.1875</v>
      </c>
      <c r="M1598" s="0" t="n">
        <f aca="false">E1598*F1598</f>
        <v>0</v>
      </c>
      <c r="N1598" s="0" t="n">
        <f aca="false">D1598*D1598</f>
        <v>0.140625</v>
      </c>
      <c r="O1598" s="0" t="n">
        <f aca="false">E1598*E1598</f>
        <v>0</v>
      </c>
      <c r="P1598" s="0" t="n">
        <f aca="false">F1598*F1598</f>
        <v>0.25</v>
      </c>
      <c r="Q1598" s="0" t="n">
        <f aca="false">SUMPRODUCT(G1598:P1598,_XtX!$B$71:$K$71)</f>
        <v>47.4738494318182</v>
      </c>
      <c r="R1598" s="0" t="n">
        <f aca="false">SUMPRODUCT(MMULT(G1598:P1598,_XtX!$B$58:$K$67),G1598:P1598)</f>
        <v>0.146457741477273</v>
      </c>
      <c r="S1598" s="0" t="n">
        <f aca="false">04_回帰ANOVA!$K$19*04_回帰ANOVA!$K$14*SQRT(1+R1598)</f>
        <v>0.995510079668687</v>
      </c>
      <c r="T1598" s="0" t="n">
        <f aca="false">Q1598-S1598</f>
        <v>46.4783393521495</v>
      </c>
      <c r="U1598" s="0" t="n">
        <f aca="false">Q1598+S1598</f>
        <v>48.4693595114869</v>
      </c>
      <c r="V1598" s="54" t="b">
        <f aca="false">AND(D1598&gt;=01_因子設定!$L$5-0.000000001,D1598&lt;=01_因子設定!$M$5+0.000000001,E1598&gt;=01_因子設定!$L$6-0.000000001,E1598&lt;=01_因子設定!$M$6+0.000000001,F1598&gt;=01_因子設定!$L$7-0.000000001,F1598&lt;=01_因子設定!$M$7+0.000000001,IF(01_因子設定!$B$20="Box-Behnken",D1598^2+E1598^2+F1598^2&lt;=2+0.000000001,TRUE()))</f>
        <v>1</v>
      </c>
      <c r="W1598" s="55" t="n">
        <f aca="false">IF(V1598,IF(01_因子設定!$B$13="最大化",T1598-01_因子設定!$B$14,IF(01_因子設定!$B$13="最小化",01_因子設定!$B$15-U1598,MIN(T1598-01_因子設定!$B$14,01_因子設定!$B$15-U1598))),-1E+030)</f>
        <v>-2.02166064785049</v>
      </c>
      <c r="X1598" s="55" t="n">
        <f aca="false">IF(V1598,IF(01_因子設定!$B$13="最大化",Q1598,IF(01_因子設定!$B$13="最小化",-Q1598,-ABS(Q1598-01_因子設定!$B$16))),-1E+030)</f>
        <v>47.4738494318182</v>
      </c>
      <c r="Y1598" s="55" t="n">
        <f aca="false">W1598+ROW()*0.000000001</f>
        <v>-2.02165904985049</v>
      </c>
      <c r="Z1598" s="55" t="n">
        <f aca="false">X1598+ROW()*0.000000001</f>
        <v>47.4738510298182</v>
      </c>
    </row>
    <row r="1599" customFormat="false" ht="15" hidden="false" customHeight="false" outlineLevel="0" collapsed="false">
      <c r="A1599" s="0" t="n">
        <v>5</v>
      </c>
      <c r="B1599" s="0" t="n">
        <v>8</v>
      </c>
      <c r="C1599" s="0" t="n">
        <v>13</v>
      </c>
      <c r="D1599" s="0" t="n">
        <f aca="false">-1+A1599*0.125</f>
        <v>-0.375</v>
      </c>
      <c r="E1599" s="0" t="n">
        <f aca="false">-1+B1599*0.125</f>
        <v>0</v>
      </c>
      <c r="F1599" s="0" t="n">
        <f aca="false">-1+C1599*0.125</f>
        <v>0.625</v>
      </c>
      <c r="G1599" s="0" t="n">
        <f aca="false">1</f>
        <v>1</v>
      </c>
      <c r="H1599" s="0" t="n">
        <f aca="false">D1599</f>
        <v>-0.375</v>
      </c>
      <c r="I1599" s="0" t="n">
        <f aca="false">E1599</f>
        <v>0</v>
      </c>
      <c r="J1599" s="0" t="n">
        <f aca="false">F1599</f>
        <v>0.625</v>
      </c>
      <c r="K1599" s="0" t="n">
        <f aca="false">D1599*E1599</f>
        <v>-0</v>
      </c>
      <c r="L1599" s="0" t="n">
        <f aca="false">D1599*F1599</f>
        <v>-0.234375</v>
      </c>
      <c r="M1599" s="0" t="n">
        <f aca="false">E1599*F1599</f>
        <v>0</v>
      </c>
      <c r="N1599" s="0" t="n">
        <f aca="false">D1599*D1599</f>
        <v>0.140625</v>
      </c>
      <c r="O1599" s="0" t="n">
        <f aca="false">E1599*E1599</f>
        <v>0</v>
      </c>
      <c r="P1599" s="0" t="n">
        <f aca="false">F1599*F1599</f>
        <v>0.390625</v>
      </c>
      <c r="Q1599" s="0" t="n">
        <f aca="false">SUMPRODUCT(G1599:P1599,_XtX!$B$71:$K$71)</f>
        <v>47.4878267045455</v>
      </c>
      <c r="R1599" s="0" t="n">
        <f aca="false">SUMPRODUCT(MMULT(G1599:P1599,_XtX!$B$58:$K$67),G1599:P1599)</f>
        <v>0.17757401899858</v>
      </c>
      <c r="S1599" s="0" t="n">
        <f aca="false">04_回帰ANOVA!$K$19*04_回帰ANOVA!$K$14*SQRT(1+R1599)</f>
        <v>1.00892932143276</v>
      </c>
      <c r="T1599" s="0" t="n">
        <f aca="false">Q1599-S1599</f>
        <v>46.4788973831127</v>
      </c>
      <c r="U1599" s="0" t="n">
        <f aca="false">Q1599+S1599</f>
        <v>48.4967560259782</v>
      </c>
      <c r="V1599" s="54" t="b">
        <f aca="false">AND(D1599&gt;=01_因子設定!$L$5-0.000000001,D1599&lt;=01_因子設定!$M$5+0.000000001,E1599&gt;=01_因子設定!$L$6-0.000000001,E1599&lt;=01_因子設定!$M$6+0.000000001,F1599&gt;=01_因子設定!$L$7-0.000000001,F1599&lt;=01_因子設定!$M$7+0.000000001,IF(01_因子設定!$B$20="Box-Behnken",D1599^2+E1599^2+F1599^2&lt;=2+0.000000001,TRUE()))</f>
        <v>1</v>
      </c>
      <c r="W1599" s="55" t="n">
        <f aca="false">IF(V1599,IF(01_因子設定!$B$13="最大化",T1599-01_因子設定!$B$14,IF(01_因子設定!$B$13="最小化",01_因子設定!$B$15-U1599,MIN(T1599-01_因子設定!$B$14,01_因子設定!$B$15-U1599))),-1E+030)</f>
        <v>-2.02110261688729</v>
      </c>
      <c r="X1599" s="55" t="n">
        <f aca="false">IF(V1599,IF(01_因子設定!$B$13="最大化",Q1599,IF(01_因子設定!$B$13="最小化",-Q1599,-ABS(Q1599-01_因子設定!$B$16))),-1E+030)</f>
        <v>47.4878267045455</v>
      </c>
      <c r="Y1599" s="55" t="n">
        <f aca="false">W1599+ROW()*0.000000001</f>
        <v>-2.02110101788729</v>
      </c>
      <c r="Z1599" s="55" t="n">
        <f aca="false">X1599+ROW()*0.000000001</f>
        <v>47.4878283035455</v>
      </c>
    </row>
    <row r="1600" customFormat="false" ht="15" hidden="false" customHeight="false" outlineLevel="0" collapsed="false">
      <c r="A1600" s="0" t="n">
        <v>5</v>
      </c>
      <c r="B1600" s="0" t="n">
        <v>8</v>
      </c>
      <c r="C1600" s="0" t="n">
        <v>14</v>
      </c>
      <c r="D1600" s="0" t="n">
        <f aca="false">-1+A1600*0.125</f>
        <v>-0.375</v>
      </c>
      <c r="E1600" s="0" t="n">
        <f aca="false">-1+B1600*0.125</f>
        <v>0</v>
      </c>
      <c r="F1600" s="0" t="n">
        <f aca="false">-1+C1600*0.125</f>
        <v>0.75</v>
      </c>
      <c r="G1600" s="0" t="n">
        <f aca="false">1</f>
        <v>1</v>
      </c>
      <c r="H1600" s="0" t="n">
        <f aca="false">D1600</f>
        <v>-0.375</v>
      </c>
      <c r="I1600" s="0" t="n">
        <f aca="false">E1600</f>
        <v>0</v>
      </c>
      <c r="J1600" s="0" t="n">
        <f aca="false">F1600</f>
        <v>0.75</v>
      </c>
      <c r="K1600" s="0" t="n">
        <f aca="false">D1600*E1600</f>
        <v>-0</v>
      </c>
      <c r="L1600" s="0" t="n">
        <f aca="false">D1600*F1600</f>
        <v>-0.28125</v>
      </c>
      <c r="M1600" s="0" t="n">
        <f aca="false">E1600*F1600</f>
        <v>0</v>
      </c>
      <c r="N1600" s="0" t="n">
        <f aca="false">D1600*D1600</f>
        <v>0.140625</v>
      </c>
      <c r="O1600" s="0" t="n">
        <f aca="false">E1600*E1600</f>
        <v>0</v>
      </c>
      <c r="P1600" s="0" t="n">
        <f aca="false">F1600*F1600</f>
        <v>0.5625</v>
      </c>
      <c r="Q1600" s="0" t="n">
        <f aca="false">SUMPRODUCT(G1600:P1600,_XtX!$B$71:$K$71)</f>
        <v>47.4650142045455</v>
      </c>
      <c r="R1600" s="0" t="n">
        <f aca="false">SUMPRODUCT(MMULT(G1600:P1600,_XtX!$B$58:$K$67),G1600:P1600)</f>
        <v>0.235136274857955</v>
      </c>
      <c r="S1600" s="0" t="n">
        <f aca="false">04_回帰ANOVA!$K$19*04_回帰ANOVA!$K$14*SQRT(1+R1600)</f>
        <v>1.03329439695656</v>
      </c>
      <c r="T1600" s="0" t="n">
        <f aca="false">Q1600-S1600</f>
        <v>46.4317198075889</v>
      </c>
      <c r="U1600" s="0" t="n">
        <f aca="false">Q1600+S1600</f>
        <v>48.498308601502</v>
      </c>
      <c r="V1600" s="54" t="b">
        <f aca="false">AND(D1600&gt;=01_因子設定!$L$5-0.000000001,D1600&lt;=01_因子設定!$M$5+0.000000001,E1600&gt;=01_因子設定!$L$6-0.000000001,E1600&lt;=01_因子設定!$M$6+0.000000001,F1600&gt;=01_因子設定!$L$7-0.000000001,F1600&lt;=01_因子設定!$M$7+0.000000001,IF(01_因子設定!$B$20="Box-Behnken",D1600^2+E1600^2+F1600^2&lt;=2+0.000000001,TRUE()))</f>
        <v>1</v>
      </c>
      <c r="W1600" s="55" t="n">
        <f aca="false">IF(V1600,IF(01_因子設定!$B$13="最大化",T1600-01_因子設定!$B$14,IF(01_因子設定!$B$13="最小化",01_因子設定!$B$15-U1600,MIN(T1600-01_因子設定!$B$14,01_因子設定!$B$15-U1600))),-1E+030)</f>
        <v>-2.06828019241109</v>
      </c>
      <c r="X1600" s="55" t="n">
        <f aca="false">IF(V1600,IF(01_因子設定!$B$13="最大化",Q1600,IF(01_因子設定!$B$13="最小化",-Q1600,-ABS(Q1600-01_因子設定!$B$16))),-1E+030)</f>
        <v>47.4650142045455</v>
      </c>
      <c r="Y1600" s="55" t="n">
        <f aca="false">W1600+ROW()*0.000000001</f>
        <v>-2.06827859241109</v>
      </c>
      <c r="Z1600" s="55" t="n">
        <f aca="false">X1600+ROW()*0.000000001</f>
        <v>47.4650158045455</v>
      </c>
    </row>
    <row r="1601" customFormat="false" ht="15" hidden="false" customHeight="false" outlineLevel="0" collapsed="false">
      <c r="A1601" s="0" t="n">
        <v>5</v>
      </c>
      <c r="B1601" s="0" t="n">
        <v>8</v>
      </c>
      <c r="C1601" s="0" t="n">
        <v>15</v>
      </c>
      <c r="D1601" s="0" t="n">
        <f aca="false">-1+A1601*0.125</f>
        <v>-0.375</v>
      </c>
      <c r="E1601" s="0" t="n">
        <f aca="false">-1+B1601*0.125</f>
        <v>0</v>
      </c>
      <c r="F1601" s="0" t="n">
        <f aca="false">-1+C1601*0.125</f>
        <v>0.875</v>
      </c>
      <c r="G1601" s="0" t="n">
        <f aca="false">1</f>
        <v>1</v>
      </c>
      <c r="H1601" s="0" t="n">
        <f aca="false">D1601</f>
        <v>-0.375</v>
      </c>
      <c r="I1601" s="0" t="n">
        <f aca="false">E1601</f>
        <v>0</v>
      </c>
      <c r="J1601" s="0" t="n">
        <f aca="false">F1601</f>
        <v>0.875</v>
      </c>
      <c r="K1601" s="0" t="n">
        <f aca="false">D1601*E1601</f>
        <v>-0</v>
      </c>
      <c r="L1601" s="0" t="n">
        <f aca="false">D1601*F1601</f>
        <v>-0.328125</v>
      </c>
      <c r="M1601" s="0" t="n">
        <f aca="false">E1601*F1601</f>
        <v>0</v>
      </c>
      <c r="N1601" s="0" t="n">
        <f aca="false">D1601*D1601</f>
        <v>0.140625</v>
      </c>
      <c r="O1601" s="0" t="n">
        <f aca="false">E1601*E1601</f>
        <v>0</v>
      </c>
      <c r="P1601" s="0" t="n">
        <f aca="false">F1601*F1601</f>
        <v>0.765625</v>
      </c>
      <c r="Q1601" s="0" t="n">
        <f aca="false">SUMPRODUCT(G1601:P1601,_XtX!$B$71:$K$71)</f>
        <v>47.4054119318182</v>
      </c>
      <c r="R1601" s="0" t="n">
        <f aca="false">SUMPRODUCT(MMULT(G1601:P1601,_XtX!$B$58:$K$67),G1601:P1601)</f>
        <v>0.330863259055398</v>
      </c>
      <c r="S1601" s="0" t="n">
        <f aca="false">04_回帰ANOVA!$K$19*04_回帰ANOVA!$K$14*SQRT(1+R1601)</f>
        <v>1.07258903754571</v>
      </c>
      <c r="T1601" s="0" t="n">
        <f aca="false">Q1601-S1601</f>
        <v>46.3328228942725</v>
      </c>
      <c r="U1601" s="0" t="n">
        <f aca="false">Q1601+S1601</f>
        <v>48.4780009693639</v>
      </c>
      <c r="V1601" s="54" t="b">
        <f aca="false">AND(D1601&gt;=01_因子設定!$L$5-0.000000001,D1601&lt;=01_因子設定!$M$5+0.000000001,E1601&gt;=01_因子設定!$L$6-0.000000001,E1601&lt;=01_因子設定!$M$6+0.000000001,F1601&gt;=01_因子設定!$L$7-0.000000001,F1601&lt;=01_因子設定!$M$7+0.000000001,IF(01_因子設定!$B$20="Box-Behnken",D1601^2+E1601^2+F1601^2&lt;=2+0.000000001,TRUE()))</f>
        <v>1</v>
      </c>
      <c r="W1601" s="55" t="n">
        <f aca="false">IF(V1601,IF(01_因子設定!$B$13="最大化",T1601-01_因子設定!$B$14,IF(01_因子設定!$B$13="最小化",01_因子設定!$B$15-U1601,MIN(T1601-01_因子設定!$B$14,01_因子設定!$B$15-U1601))),-1E+030)</f>
        <v>-2.1671771057275</v>
      </c>
      <c r="X1601" s="55" t="n">
        <f aca="false">IF(V1601,IF(01_因子設定!$B$13="最大化",Q1601,IF(01_因子設定!$B$13="最小化",-Q1601,-ABS(Q1601-01_因子設定!$B$16))),-1E+030)</f>
        <v>47.4054119318182</v>
      </c>
      <c r="Y1601" s="55" t="n">
        <f aca="false">W1601+ROW()*0.000000001</f>
        <v>-2.1671755047275</v>
      </c>
      <c r="Z1601" s="55" t="n">
        <f aca="false">X1601+ROW()*0.000000001</f>
        <v>47.4054135328182</v>
      </c>
    </row>
    <row r="1602" customFormat="false" ht="15" hidden="false" customHeight="false" outlineLevel="0" collapsed="false">
      <c r="A1602" s="0" t="n">
        <v>5</v>
      </c>
      <c r="B1602" s="0" t="n">
        <v>8</v>
      </c>
      <c r="C1602" s="0" t="n">
        <v>16</v>
      </c>
      <c r="D1602" s="0" t="n">
        <f aca="false">-1+A1602*0.125</f>
        <v>-0.375</v>
      </c>
      <c r="E1602" s="0" t="n">
        <f aca="false">-1+B1602*0.125</f>
        <v>0</v>
      </c>
      <c r="F1602" s="0" t="n">
        <f aca="false">-1+C1602*0.125</f>
        <v>1</v>
      </c>
      <c r="G1602" s="0" t="n">
        <f aca="false">1</f>
        <v>1</v>
      </c>
      <c r="H1602" s="0" t="n">
        <f aca="false">D1602</f>
        <v>-0.375</v>
      </c>
      <c r="I1602" s="0" t="n">
        <f aca="false">E1602</f>
        <v>0</v>
      </c>
      <c r="J1602" s="0" t="n">
        <f aca="false">F1602</f>
        <v>1</v>
      </c>
      <c r="K1602" s="0" t="n">
        <f aca="false">D1602*E1602</f>
        <v>-0</v>
      </c>
      <c r="L1602" s="0" t="n">
        <f aca="false">D1602*F1602</f>
        <v>-0.375</v>
      </c>
      <c r="M1602" s="0" t="n">
        <f aca="false">E1602*F1602</f>
        <v>0</v>
      </c>
      <c r="N1602" s="0" t="n">
        <f aca="false">D1602*D1602</f>
        <v>0.140625</v>
      </c>
      <c r="O1602" s="0" t="n">
        <f aca="false">E1602*E1602</f>
        <v>0</v>
      </c>
      <c r="P1602" s="0" t="n">
        <f aca="false">F1602*F1602</f>
        <v>1</v>
      </c>
      <c r="Q1602" s="0" t="n">
        <f aca="false">SUMPRODUCT(G1602:P1602,_XtX!$B$71:$K$71)</f>
        <v>47.3090198863637</v>
      </c>
      <c r="R1602" s="0" t="n">
        <f aca="false">SUMPRODUCT(MMULT(G1602:P1602,_XtX!$B$58:$K$67),G1602:P1602)</f>
        <v>0.478604403409091</v>
      </c>
      <c r="S1602" s="0" t="n">
        <f aca="false">04_回帰ANOVA!$K$19*04_回帰ANOVA!$K$14*SQRT(1+R1602)</f>
        <v>1.13055744343508</v>
      </c>
      <c r="T1602" s="0" t="n">
        <f aca="false">Q1602-S1602</f>
        <v>46.1784624429286</v>
      </c>
      <c r="U1602" s="0" t="n">
        <f aca="false">Q1602+S1602</f>
        <v>48.4395773297987</v>
      </c>
      <c r="V1602" s="54" t="b">
        <f aca="false">AND(D1602&gt;=01_因子設定!$L$5-0.000000001,D1602&lt;=01_因子設定!$M$5+0.000000001,E1602&gt;=01_因子設定!$L$6-0.000000001,E1602&lt;=01_因子設定!$M$6+0.000000001,F1602&gt;=01_因子設定!$L$7-0.000000001,F1602&lt;=01_因子設定!$M$7+0.000000001,IF(01_因子設定!$B$20="Box-Behnken",D1602^2+E1602^2+F1602^2&lt;=2+0.000000001,TRUE()))</f>
        <v>1</v>
      </c>
      <c r="W1602" s="55" t="n">
        <f aca="false">IF(V1602,IF(01_因子設定!$B$13="最大化",T1602-01_因子設定!$B$14,IF(01_因子設定!$B$13="最小化",01_因子設定!$B$15-U1602,MIN(T1602-01_因子設定!$B$14,01_因子設定!$B$15-U1602))),-1E+030)</f>
        <v>-2.32153755707142</v>
      </c>
      <c r="X1602" s="55" t="n">
        <f aca="false">IF(V1602,IF(01_因子設定!$B$13="最大化",Q1602,IF(01_因子設定!$B$13="最小化",-Q1602,-ABS(Q1602-01_因子設定!$B$16))),-1E+030)</f>
        <v>47.3090198863637</v>
      </c>
      <c r="Y1602" s="55" t="n">
        <f aca="false">W1602+ROW()*0.000000001</f>
        <v>-2.32153595507142</v>
      </c>
      <c r="Z1602" s="55" t="n">
        <f aca="false">X1602+ROW()*0.000000001</f>
        <v>47.3090214883637</v>
      </c>
    </row>
    <row r="1603" customFormat="false" ht="15" hidden="false" customHeight="false" outlineLevel="0" collapsed="false">
      <c r="A1603" s="0" t="n">
        <v>5</v>
      </c>
      <c r="B1603" s="0" t="n">
        <v>9</v>
      </c>
      <c r="C1603" s="0" t="n">
        <v>0</v>
      </c>
      <c r="D1603" s="0" t="n">
        <f aca="false">-1+A1603*0.125</f>
        <v>-0.375</v>
      </c>
      <c r="E1603" s="0" t="n">
        <f aca="false">-1+B1603*0.125</f>
        <v>0.125</v>
      </c>
      <c r="F1603" s="0" t="n">
        <f aca="false">-1+C1603*0.125</f>
        <v>-1</v>
      </c>
      <c r="G1603" s="0" t="n">
        <f aca="false">1</f>
        <v>1</v>
      </c>
      <c r="H1603" s="0" t="n">
        <f aca="false">D1603</f>
        <v>-0.375</v>
      </c>
      <c r="I1603" s="0" t="n">
        <f aca="false">E1603</f>
        <v>0.125</v>
      </c>
      <c r="J1603" s="0" t="n">
        <f aca="false">F1603</f>
        <v>-1</v>
      </c>
      <c r="K1603" s="0" t="n">
        <f aca="false">D1603*E1603</f>
        <v>-0.046875</v>
      </c>
      <c r="L1603" s="0" t="n">
        <f aca="false">D1603*F1603</f>
        <v>0.375</v>
      </c>
      <c r="M1603" s="0" t="n">
        <f aca="false">E1603*F1603</f>
        <v>-0.125</v>
      </c>
      <c r="N1603" s="0" t="n">
        <f aca="false">D1603*D1603</f>
        <v>0.140625</v>
      </c>
      <c r="O1603" s="0" t="n">
        <f aca="false">E1603*E1603</f>
        <v>0.015625</v>
      </c>
      <c r="P1603" s="0" t="n">
        <f aca="false">F1603*F1603</f>
        <v>1</v>
      </c>
      <c r="Q1603" s="0" t="n">
        <f aca="false">SUMPRODUCT(G1603:P1603,_XtX!$B$71:$K$71)</f>
        <v>44.549921875</v>
      </c>
      <c r="R1603" s="0" t="n">
        <f aca="false">SUMPRODUCT(MMULT(G1603:P1603,_XtX!$B$58:$K$67),G1603:P1603)</f>
        <v>0.476202392578125</v>
      </c>
      <c r="S1603" s="0" t="n">
        <f aca="false">04_回帰ANOVA!$K$19*04_回帰ANOVA!$K$14*SQRT(1+R1603)</f>
        <v>1.12963876802721</v>
      </c>
      <c r="T1603" s="0" t="n">
        <f aca="false">Q1603-S1603</f>
        <v>43.4202831069728</v>
      </c>
      <c r="U1603" s="0" t="n">
        <f aca="false">Q1603+S1603</f>
        <v>45.6795606430272</v>
      </c>
      <c r="V1603" s="54" t="b">
        <f aca="false">AND(D1603&gt;=01_因子設定!$L$5-0.000000001,D1603&lt;=01_因子設定!$M$5+0.000000001,E1603&gt;=01_因子設定!$L$6-0.000000001,E1603&lt;=01_因子設定!$M$6+0.000000001,F1603&gt;=01_因子設定!$L$7-0.000000001,F1603&lt;=01_因子設定!$M$7+0.000000001,IF(01_因子設定!$B$20="Box-Behnken",D1603^2+E1603^2+F1603^2&lt;=2+0.000000001,TRUE()))</f>
        <v>1</v>
      </c>
      <c r="W1603" s="55" t="n">
        <f aca="false">IF(V1603,IF(01_因子設定!$B$13="最大化",T1603-01_因子設定!$B$14,IF(01_因子設定!$B$13="最小化",01_因子設定!$B$15-U1603,MIN(T1603-01_因子設定!$B$14,01_因子設定!$B$15-U1603))),-1E+030)</f>
        <v>-5.07971689302718</v>
      </c>
      <c r="X1603" s="55" t="n">
        <f aca="false">IF(V1603,IF(01_因子設定!$B$13="最大化",Q1603,IF(01_因子設定!$B$13="最小化",-Q1603,-ABS(Q1603-01_因子設定!$B$16))),-1E+030)</f>
        <v>44.549921875</v>
      </c>
      <c r="Y1603" s="55" t="n">
        <f aca="false">W1603+ROW()*0.000000001</f>
        <v>-5.07971529002718</v>
      </c>
      <c r="Z1603" s="55" t="n">
        <f aca="false">X1603+ROW()*0.000000001</f>
        <v>44.549923478</v>
      </c>
    </row>
    <row r="1604" customFormat="false" ht="15" hidden="false" customHeight="false" outlineLevel="0" collapsed="false">
      <c r="A1604" s="0" t="n">
        <v>5</v>
      </c>
      <c r="B1604" s="0" t="n">
        <v>9</v>
      </c>
      <c r="C1604" s="0" t="n">
        <v>1</v>
      </c>
      <c r="D1604" s="0" t="n">
        <f aca="false">-1+A1604*0.125</f>
        <v>-0.375</v>
      </c>
      <c r="E1604" s="0" t="n">
        <f aca="false">-1+B1604*0.125</f>
        <v>0.125</v>
      </c>
      <c r="F1604" s="0" t="n">
        <f aca="false">-1+C1604*0.125</f>
        <v>-0.875</v>
      </c>
      <c r="G1604" s="0" t="n">
        <f aca="false">1</f>
        <v>1</v>
      </c>
      <c r="H1604" s="0" t="n">
        <f aca="false">D1604</f>
        <v>-0.375</v>
      </c>
      <c r="I1604" s="0" t="n">
        <f aca="false">E1604</f>
        <v>0.125</v>
      </c>
      <c r="J1604" s="0" t="n">
        <f aca="false">F1604</f>
        <v>-0.875</v>
      </c>
      <c r="K1604" s="0" t="n">
        <f aca="false">D1604*E1604</f>
        <v>-0.046875</v>
      </c>
      <c r="L1604" s="0" t="n">
        <f aca="false">D1604*F1604</f>
        <v>0.328125</v>
      </c>
      <c r="M1604" s="0" t="n">
        <f aca="false">E1604*F1604</f>
        <v>-0.109375</v>
      </c>
      <c r="N1604" s="0" t="n">
        <f aca="false">D1604*D1604</f>
        <v>0.140625</v>
      </c>
      <c r="O1604" s="0" t="n">
        <f aca="false">E1604*E1604</f>
        <v>0.015625</v>
      </c>
      <c r="P1604" s="0" t="n">
        <f aca="false">F1604*F1604</f>
        <v>0.765625</v>
      </c>
      <c r="Q1604" s="0" t="n">
        <f aca="false">SUMPRODUCT(G1604:P1604,_XtX!$B$71:$K$71)</f>
        <v>45.0124076704546</v>
      </c>
      <c r="R1604" s="0" t="n">
        <f aca="false">SUMPRODUCT(MMULT(G1604:P1604,_XtX!$B$58:$K$67),G1604:P1604)</f>
        <v>0.32900224165483</v>
      </c>
      <c r="S1604" s="0" t="n">
        <f aca="false">04_回帰ANOVA!$K$19*04_回帰ANOVA!$K$14*SQRT(1+R1604)</f>
        <v>1.07183884583628</v>
      </c>
      <c r="T1604" s="0" t="n">
        <f aca="false">Q1604-S1604</f>
        <v>43.9405688246183</v>
      </c>
      <c r="U1604" s="0" t="n">
        <f aca="false">Q1604+S1604</f>
        <v>46.0842465162909</v>
      </c>
      <c r="V1604" s="54" t="b">
        <f aca="false">AND(D1604&gt;=01_因子設定!$L$5-0.000000001,D1604&lt;=01_因子設定!$M$5+0.000000001,E1604&gt;=01_因子設定!$L$6-0.000000001,E1604&lt;=01_因子設定!$M$6+0.000000001,F1604&gt;=01_因子設定!$L$7-0.000000001,F1604&lt;=01_因子設定!$M$7+0.000000001,IF(01_因子設定!$B$20="Box-Behnken",D1604^2+E1604^2+F1604^2&lt;=2+0.000000001,TRUE()))</f>
        <v>1</v>
      </c>
      <c r="W1604" s="55" t="n">
        <f aca="false">IF(V1604,IF(01_因子設定!$B$13="最大化",T1604-01_因子設定!$B$14,IF(01_因子設定!$B$13="最小化",01_因子設定!$B$15-U1604,MIN(T1604-01_因子設定!$B$14,01_因子設定!$B$15-U1604))),-1E+030)</f>
        <v>-4.55943117538172</v>
      </c>
      <c r="X1604" s="55" t="n">
        <f aca="false">IF(V1604,IF(01_因子設定!$B$13="最大化",Q1604,IF(01_因子設定!$B$13="最小化",-Q1604,-ABS(Q1604-01_因子設定!$B$16))),-1E+030)</f>
        <v>45.0124076704546</v>
      </c>
      <c r="Y1604" s="55" t="n">
        <f aca="false">W1604+ROW()*0.000000001</f>
        <v>-4.55942957138172</v>
      </c>
      <c r="Z1604" s="55" t="n">
        <f aca="false">X1604+ROW()*0.000000001</f>
        <v>45.0124092744546</v>
      </c>
    </row>
    <row r="1605" customFormat="false" ht="15" hidden="false" customHeight="false" outlineLevel="0" collapsed="false">
      <c r="A1605" s="0" t="n">
        <v>5</v>
      </c>
      <c r="B1605" s="0" t="n">
        <v>9</v>
      </c>
      <c r="C1605" s="0" t="n">
        <v>2</v>
      </c>
      <c r="D1605" s="0" t="n">
        <f aca="false">-1+A1605*0.125</f>
        <v>-0.375</v>
      </c>
      <c r="E1605" s="0" t="n">
        <f aca="false">-1+B1605*0.125</f>
        <v>0.125</v>
      </c>
      <c r="F1605" s="0" t="n">
        <f aca="false">-1+C1605*0.125</f>
        <v>-0.75</v>
      </c>
      <c r="G1605" s="0" t="n">
        <f aca="false">1</f>
        <v>1</v>
      </c>
      <c r="H1605" s="0" t="n">
        <f aca="false">D1605</f>
        <v>-0.375</v>
      </c>
      <c r="I1605" s="0" t="n">
        <f aca="false">E1605</f>
        <v>0.125</v>
      </c>
      <c r="J1605" s="0" t="n">
        <f aca="false">F1605</f>
        <v>-0.75</v>
      </c>
      <c r="K1605" s="0" t="n">
        <f aca="false">D1605*E1605</f>
        <v>-0.046875</v>
      </c>
      <c r="L1605" s="0" t="n">
        <f aca="false">D1605*F1605</f>
        <v>0.28125</v>
      </c>
      <c r="M1605" s="0" t="n">
        <f aca="false">E1605*F1605</f>
        <v>-0.09375</v>
      </c>
      <c r="N1605" s="0" t="n">
        <f aca="false">D1605*D1605</f>
        <v>0.140625</v>
      </c>
      <c r="O1605" s="0" t="n">
        <f aca="false">E1605*E1605</f>
        <v>0.015625</v>
      </c>
      <c r="P1605" s="0" t="n">
        <f aca="false">F1605*F1605</f>
        <v>0.5625</v>
      </c>
      <c r="Q1605" s="0" t="n">
        <f aca="false">SUMPRODUCT(G1605:P1605,_XtX!$B$71:$K$71)</f>
        <v>45.4381036931818</v>
      </c>
      <c r="R1605" s="0" t="n">
        <f aca="false">SUMPRODUCT(MMULT(G1605:P1605,_XtX!$B$58:$K$67),G1605:P1605)</f>
        <v>0.233744118430398</v>
      </c>
      <c r="S1605" s="0" t="n">
        <f aca="false">04_回帰ANOVA!$K$19*04_回帰ANOVA!$K$14*SQRT(1+R1605)</f>
        <v>1.0327119053564</v>
      </c>
      <c r="T1605" s="0" t="n">
        <f aca="false">Q1605-S1605</f>
        <v>44.4053917878254</v>
      </c>
      <c r="U1605" s="0" t="n">
        <f aca="false">Q1605+S1605</f>
        <v>46.4708155985382</v>
      </c>
      <c r="V1605" s="54" t="b">
        <f aca="false">AND(D1605&gt;=01_因子設定!$L$5-0.000000001,D1605&lt;=01_因子設定!$M$5+0.000000001,E1605&gt;=01_因子設定!$L$6-0.000000001,E1605&lt;=01_因子設定!$M$6+0.000000001,F1605&gt;=01_因子設定!$L$7-0.000000001,F1605&lt;=01_因子設定!$M$7+0.000000001,IF(01_因子設定!$B$20="Box-Behnken",D1605^2+E1605^2+F1605^2&lt;=2+0.000000001,TRUE()))</f>
        <v>1</v>
      </c>
      <c r="W1605" s="55" t="n">
        <f aca="false">IF(V1605,IF(01_因子設定!$B$13="最大化",T1605-01_因子設定!$B$14,IF(01_因子設定!$B$13="最小化",01_因子設定!$B$15-U1605,MIN(T1605-01_因子設定!$B$14,01_因子設定!$B$15-U1605))),-1E+030)</f>
        <v>-4.09460821217456</v>
      </c>
      <c r="X1605" s="55" t="n">
        <f aca="false">IF(V1605,IF(01_因子設定!$B$13="最大化",Q1605,IF(01_因子設定!$B$13="最小化",-Q1605,-ABS(Q1605-01_因子設定!$B$16))),-1E+030)</f>
        <v>45.4381036931818</v>
      </c>
      <c r="Y1605" s="55" t="n">
        <f aca="false">W1605+ROW()*0.000000001</f>
        <v>-4.09460660717456</v>
      </c>
      <c r="Z1605" s="55" t="n">
        <f aca="false">X1605+ROW()*0.000000001</f>
        <v>45.4381052981818</v>
      </c>
    </row>
    <row r="1606" customFormat="false" ht="15" hidden="false" customHeight="false" outlineLevel="0" collapsed="false">
      <c r="A1606" s="0" t="n">
        <v>5</v>
      </c>
      <c r="B1606" s="0" t="n">
        <v>9</v>
      </c>
      <c r="C1606" s="0" t="n">
        <v>3</v>
      </c>
      <c r="D1606" s="0" t="n">
        <f aca="false">-1+A1606*0.125</f>
        <v>-0.375</v>
      </c>
      <c r="E1606" s="0" t="n">
        <f aca="false">-1+B1606*0.125</f>
        <v>0.125</v>
      </c>
      <c r="F1606" s="0" t="n">
        <f aca="false">-1+C1606*0.125</f>
        <v>-0.625</v>
      </c>
      <c r="G1606" s="0" t="n">
        <f aca="false">1</f>
        <v>1</v>
      </c>
      <c r="H1606" s="0" t="n">
        <f aca="false">D1606</f>
        <v>-0.375</v>
      </c>
      <c r="I1606" s="0" t="n">
        <f aca="false">E1606</f>
        <v>0.125</v>
      </c>
      <c r="J1606" s="0" t="n">
        <f aca="false">F1606</f>
        <v>-0.625</v>
      </c>
      <c r="K1606" s="0" t="n">
        <f aca="false">D1606*E1606</f>
        <v>-0.046875</v>
      </c>
      <c r="L1606" s="0" t="n">
        <f aca="false">D1606*F1606</f>
        <v>0.234375</v>
      </c>
      <c r="M1606" s="0" t="n">
        <f aca="false">E1606*F1606</f>
        <v>-0.078125</v>
      </c>
      <c r="N1606" s="0" t="n">
        <f aca="false">D1606*D1606</f>
        <v>0.140625</v>
      </c>
      <c r="O1606" s="0" t="n">
        <f aca="false">E1606*E1606</f>
        <v>0.015625</v>
      </c>
      <c r="P1606" s="0" t="n">
        <f aca="false">F1606*F1606</f>
        <v>0.390625</v>
      </c>
      <c r="Q1606" s="0" t="n">
        <f aca="false">SUMPRODUCT(G1606:P1606,_XtX!$B$71:$K$71)</f>
        <v>45.8270099431818</v>
      </c>
      <c r="R1606" s="0" t="n">
        <f aca="false">SUMPRODUCT(MMULT(G1606:P1606,_XtX!$B$58:$K$67),G1606:P1606)</f>
        <v>0.176578591086648</v>
      </c>
      <c r="S1606" s="0" t="n">
        <f aca="false">04_回帰ANOVA!$K$19*04_回帰ANOVA!$K$14*SQRT(1+R1606)</f>
        <v>1.00850279676269</v>
      </c>
      <c r="T1606" s="0" t="n">
        <f aca="false">Q1606-S1606</f>
        <v>44.8185071464191</v>
      </c>
      <c r="U1606" s="0" t="n">
        <f aca="false">Q1606+S1606</f>
        <v>46.8355127399445</v>
      </c>
      <c r="V1606" s="54" t="b">
        <f aca="false">AND(D1606&gt;=01_因子設定!$L$5-0.000000001,D1606&lt;=01_因子設定!$M$5+0.000000001,E1606&gt;=01_因子設定!$L$6-0.000000001,E1606&lt;=01_因子設定!$M$6+0.000000001,F1606&gt;=01_因子設定!$L$7-0.000000001,F1606&lt;=01_因子設定!$M$7+0.000000001,IF(01_因子設定!$B$20="Box-Behnken",D1606^2+E1606^2+F1606^2&lt;=2+0.000000001,TRUE()))</f>
        <v>1</v>
      </c>
      <c r="W1606" s="55" t="n">
        <f aca="false">IF(V1606,IF(01_因子設定!$B$13="最大化",T1606-01_因子設定!$B$14,IF(01_因子設定!$B$13="最小化",01_因子設定!$B$15-U1606,MIN(T1606-01_因子設定!$B$14,01_因子設定!$B$15-U1606))),-1E+030)</f>
        <v>-3.68149285358086</v>
      </c>
      <c r="X1606" s="55" t="n">
        <f aca="false">IF(V1606,IF(01_因子設定!$B$13="最大化",Q1606,IF(01_因子設定!$B$13="最小化",-Q1606,-ABS(Q1606-01_因子設定!$B$16))),-1E+030)</f>
        <v>45.8270099431818</v>
      </c>
      <c r="Y1606" s="55" t="n">
        <f aca="false">W1606+ROW()*0.000000001</f>
        <v>-3.68149124758086</v>
      </c>
      <c r="Z1606" s="55" t="n">
        <f aca="false">X1606+ROW()*0.000000001</f>
        <v>45.8270115491818</v>
      </c>
    </row>
    <row r="1607" customFormat="false" ht="15" hidden="false" customHeight="false" outlineLevel="0" collapsed="false">
      <c r="A1607" s="0" t="n">
        <v>5</v>
      </c>
      <c r="B1607" s="0" t="n">
        <v>9</v>
      </c>
      <c r="C1607" s="0" t="n">
        <v>4</v>
      </c>
      <c r="D1607" s="0" t="n">
        <f aca="false">-1+A1607*0.125</f>
        <v>-0.375</v>
      </c>
      <c r="E1607" s="0" t="n">
        <f aca="false">-1+B1607*0.125</f>
        <v>0.125</v>
      </c>
      <c r="F1607" s="0" t="n">
        <f aca="false">-1+C1607*0.125</f>
        <v>-0.5</v>
      </c>
      <c r="G1607" s="0" t="n">
        <f aca="false">1</f>
        <v>1</v>
      </c>
      <c r="H1607" s="0" t="n">
        <f aca="false">D1607</f>
        <v>-0.375</v>
      </c>
      <c r="I1607" s="0" t="n">
        <f aca="false">E1607</f>
        <v>0.125</v>
      </c>
      <c r="J1607" s="0" t="n">
        <f aca="false">F1607</f>
        <v>-0.5</v>
      </c>
      <c r="K1607" s="0" t="n">
        <f aca="false">D1607*E1607</f>
        <v>-0.046875</v>
      </c>
      <c r="L1607" s="0" t="n">
        <f aca="false">D1607*F1607</f>
        <v>0.1875</v>
      </c>
      <c r="M1607" s="0" t="n">
        <f aca="false">E1607*F1607</f>
        <v>-0.0625</v>
      </c>
      <c r="N1607" s="0" t="n">
        <f aca="false">D1607*D1607</f>
        <v>0.140625</v>
      </c>
      <c r="O1607" s="0" t="n">
        <f aca="false">E1607*E1607</f>
        <v>0.015625</v>
      </c>
      <c r="P1607" s="0" t="n">
        <f aca="false">F1607*F1607</f>
        <v>0.25</v>
      </c>
      <c r="Q1607" s="0" t="n">
        <f aca="false">SUMPRODUCT(G1607:P1607,_XtX!$B$71:$K$71)</f>
        <v>46.1791264204546</v>
      </c>
      <c r="R1607" s="0" t="n">
        <f aca="false">SUMPRODUCT(MMULT(G1607:P1607,_XtX!$B$58:$K$67),G1607:P1607)</f>
        <v>0.14578690962358</v>
      </c>
      <c r="S1607" s="0" t="n">
        <f aca="false">04_回帰ANOVA!$K$19*04_回帰ANOVA!$K$14*SQRT(1+R1607)</f>
        <v>0.995218783457917</v>
      </c>
      <c r="T1607" s="0" t="n">
        <f aca="false">Q1607-S1607</f>
        <v>45.1839076369966</v>
      </c>
      <c r="U1607" s="0" t="n">
        <f aca="false">Q1607+S1607</f>
        <v>47.1743452039125</v>
      </c>
      <c r="V1607" s="54" t="b">
        <f aca="false">AND(D1607&gt;=01_因子設定!$L$5-0.000000001,D1607&lt;=01_因子設定!$M$5+0.000000001,E1607&gt;=01_因子設定!$L$6-0.000000001,E1607&lt;=01_因子設定!$M$6+0.000000001,F1607&gt;=01_因子設定!$L$7-0.000000001,F1607&lt;=01_因子設定!$M$7+0.000000001,IF(01_因子設定!$B$20="Box-Behnken",D1607^2+E1607^2+F1607^2&lt;=2+0.000000001,TRUE()))</f>
        <v>1</v>
      </c>
      <c r="W1607" s="55" t="n">
        <f aca="false">IF(V1607,IF(01_因子設定!$B$13="最大化",T1607-01_因子設定!$B$14,IF(01_因子設定!$B$13="最小化",01_因子設定!$B$15-U1607,MIN(T1607-01_因子設定!$B$14,01_因子設定!$B$15-U1607))),-1E+030)</f>
        <v>-3.31609236300336</v>
      </c>
      <c r="X1607" s="55" t="n">
        <f aca="false">IF(V1607,IF(01_因子設定!$B$13="最大化",Q1607,IF(01_因子設定!$B$13="最小化",-Q1607,-ABS(Q1607-01_因子設定!$B$16))),-1E+030)</f>
        <v>46.1791264204546</v>
      </c>
      <c r="Y1607" s="55" t="n">
        <f aca="false">W1607+ROW()*0.000000001</f>
        <v>-3.31609075600336</v>
      </c>
      <c r="Z1607" s="55" t="n">
        <f aca="false">X1607+ROW()*0.000000001</f>
        <v>46.1791280274546</v>
      </c>
    </row>
    <row r="1608" customFormat="false" ht="15" hidden="false" customHeight="false" outlineLevel="0" collapsed="false">
      <c r="A1608" s="0" t="n">
        <v>5</v>
      </c>
      <c r="B1608" s="0" t="n">
        <v>9</v>
      </c>
      <c r="C1608" s="0" t="n">
        <v>5</v>
      </c>
      <c r="D1608" s="0" t="n">
        <f aca="false">-1+A1608*0.125</f>
        <v>-0.375</v>
      </c>
      <c r="E1608" s="0" t="n">
        <f aca="false">-1+B1608*0.125</f>
        <v>0.125</v>
      </c>
      <c r="F1608" s="0" t="n">
        <f aca="false">-1+C1608*0.125</f>
        <v>-0.375</v>
      </c>
      <c r="G1608" s="0" t="n">
        <f aca="false">1</f>
        <v>1</v>
      </c>
      <c r="H1608" s="0" t="n">
        <f aca="false">D1608</f>
        <v>-0.375</v>
      </c>
      <c r="I1608" s="0" t="n">
        <f aca="false">E1608</f>
        <v>0.125</v>
      </c>
      <c r="J1608" s="0" t="n">
        <f aca="false">F1608</f>
        <v>-0.375</v>
      </c>
      <c r="K1608" s="0" t="n">
        <f aca="false">D1608*E1608</f>
        <v>-0.046875</v>
      </c>
      <c r="L1608" s="0" t="n">
        <f aca="false">D1608*F1608</f>
        <v>0.140625</v>
      </c>
      <c r="M1608" s="0" t="n">
        <f aca="false">E1608*F1608</f>
        <v>-0.046875</v>
      </c>
      <c r="N1608" s="0" t="n">
        <f aca="false">D1608*D1608</f>
        <v>0.140625</v>
      </c>
      <c r="O1608" s="0" t="n">
        <f aca="false">E1608*E1608</f>
        <v>0.015625</v>
      </c>
      <c r="P1608" s="0" t="n">
        <f aca="false">F1608*F1608</f>
        <v>0.140625</v>
      </c>
      <c r="Q1608" s="0" t="n">
        <f aca="false">SUMPRODUCT(G1608:P1608,_XtX!$B$71:$K$71)</f>
        <v>46.494453125</v>
      </c>
      <c r="R1608" s="0" t="n">
        <f aca="false">SUMPRODUCT(MMULT(G1608:P1608,_XtX!$B$58:$K$67),G1608:P1608)</f>
        <v>0.131781005859375</v>
      </c>
      <c r="S1608" s="0" t="n">
        <f aca="false">04_回帰ANOVA!$K$19*04_回帰ANOVA!$K$14*SQRT(1+R1608)</f>
        <v>0.989117388188007</v>
      </c>
      <c r="T1608" s="0" t="n">
        <f aca="false">Q1608-S1608</f>
        <v>45.505335736812</v>
      </c>
      <c r="U1608" s="0" t="n">
        <f aca="false">Q1608+S1608</f>
        <v>47.483570513188</v>
      </c>
      <c r="V1608" s="54" t="b">
        <f aca="false">AND(D1608&gt;=01_因子設定!$L$5-0.000000001,D1608&lt;=01_因子設定!$M$5+0.000000001,E1608&gt;=01_因子設定!$L$6-0.000000001,E1608&lt;=01_因子設定!$M$6+0.000000001,F1608&gt;=01_因子設定!$L$7-0.000000001,F1608&lt;=01_因子設定!$M$7+0.000000001,IF(01_因子設定!$B$20="Box-Behnken",D1608^2+E1608^2+F1608^2&lt;=2+0.000000001,TRUE()))</f>
        <v>1</v>
      </c>
      <c r="W1608" s="55" t="n">
        <f aca="false">IF(V1608,IF(01_因子設定!$B$13="最大化",T1608-01_因子設定!$B$14,IF(01_因子設定!$B$13="最小化",01_因子設定!$B$15-U1608,MIN(T1608-01_因子設定!$B$14,01_因子設定!$B$15-U1608))),-1E+030)</f>
        <v>-2.994664263188</v>
      </c>
      <c r="X1608" s="55" t="n">
        <f aca="false">IF(V1608,IF(01_因子設定!$B$13="最大化",Q1608,IF(01_因子設定!$B$13="最小化",-Q1608,-ABS(Q1608-01_因子設定!$B$16))),-1E+030)</f>
        <v>46.494453125</v>
      </c>
      <c r="Y1608" s="55" t="n">
        <f aca="false">W1608+ROW()*0.000000001</f>
        <v>-2.994662655188</v>
      </c>
      <c r="Z1608" s="55" t="n">
        <f aca="false">X1608+ROW()*0.000000001</f>
        <v>46.494454733</v>
      </c>
    </row>
    <row r="1609" customFormat="false" ht="15" hidden="false" customHeight="false" outlineLevel="0" collapsed="false">
      <c r="A1609" s="0" t="n">
        <v>5</v>
      </c>
      <c r="B1609" s="0" t="n">
        <v>9</v>
      </c>
      <c r="C1609" s="0" t="n">
        <v>6</v>
      </c>
      <c r="D1609" s="0" t="n">
        <f aca="false">-1+A1609*0.125</f>
        <v>-0.375</v>
      </c>
      <c r="E1609" s="0" t="n">
        <f aca="false">-1+B1609*0.125</f>
        <v>0.125</v>
      </c>
      <c r="F1609" s="0" t="n">
        <f aca="false">-1+C1609*0.125</f>
        <v>-0.25</v>
      </c>
      <c r="G1609" s="0" t="n">
        <f aca="false">1</f>
        <v>1</v>
      </c>
      <c r="H1609" s="0" t="n">
        <f aca="false">D1609</f>
        <v>-0.375</v>
      </c>
      <c r="I1609" s="0" t="n">
        <f aca="false">E1609</f>
        <v>0.125</v>
      </c>
      <c r="J1609" s="0" t="n">
        <f aca="false">F1609</f>
        <v>-0.25</v>
      </c>
      <c r="K1609" s="0" t="n">
        <f aca="false">D1609*E1609</f>
        <v>-0.046875</v>
      </c>
      <c r="L1609" s="0" t="n">
        <f aca="false">D1609*F1609</f>
        <v>0.09375</v>
      </c>
      <c r="M1609" s="0" t="n">
        <f aca="false">E1609*F1609</f>
        <v>-0.03125</v>
      </c>
      <c r="N1609" s="0" t="n">
        <f aca="false">D1609*D1609</f>
        <v>0.140625</v>
      </c>
      <c r="O1609" s="0" t="n">
        <f aca="false">E1609*E1609</f>
        <v>0.015625</v>
      </c>
      <c r="P1609" s="0" t="n">
        <f aca="false">F1609*F1609</f>
        <v>0.0625</v>
      </c>
      <c r="Q1609" s="0" t="n">
        <f aca="false">SUMPRODUCT(G1609:P1609,_XtX!$B$71:$K$71)</f>
        <v>46.7729900568182</v>
      </c>
      <c r="R1609" s="0" t="n">
        <f aca="false">SUMPRODUCT(MMULT(G1609:P1609,_XtX!$B$58:$K$67),G1609:P1609)</f>
        <v>0.127103493430398</v>
      </c>
      <c r="S1609" s="0" t="n">
        <f aca="false">04_回帰ANOVA!$K$19*04_回帰ANOVA!$K$14*SQRT(1+R1609)</f>
        <v>0.987071321387587</v>
      </c>
      <c r="T1609" s="0" t="n">
        <f aca="false">Q1609-S1609</f>
        <v>45.7859187354306</v>
      </c>
      <c r="U1609" s="0" t="n">
        <f aca="false">Q1609+S1609</f>
        <v>47.7600613782058</v>
      </c>
      <c r="V1609" s="54" t="b">
        <f aca="false">AND(D1609&gt;=01_因子設定!$L$5-0.000000001,D1609&lt;=01_因子設定!$M$5+0.000000001,E1609&gt;=01_因子設定!$L$6-0.000000001,E1609&lt;=01_因子設定!$M$6+0.000000001,F1609&gt;=01_因子設定!$L$7-0.000000001,F1609&lt;=01_因子設定!$M$7+0.000000001,IF(01_因子設定!$B$20="Box-Behnken",D1609^2+E1609^2+F1609^2&lt;=2+0.000000001,TRUE()))</f>
        <v>1</v>
      </c>
      <c r="W1609" s="55" t="n">
        <f aca="false">IF(V1609,IF(01_因子設定!$B$13="最大化",T1609-01_因子設定!$B$14,IF(01_因子設定!$B$13="最小化",01_因子設定!$B$15-U1609,MIN(T1609-01_因子設定!$B$14,01_因子設定!$B$15-U1609))),-1E+030)</f>
        <v>-2.7140812645694</v>
      </c>
      <c r="X1609" s="55" t="n">
        <f aca="false">IF(V1609,IF(01_因子設定!$B$13="最大化",Q1609,IF(01_因子設定!$B$13="最小化",-Q1609,-ABS(Q1609-01_因子設定!$B$16))),-1E+030)</f>
        <v>46.7729900568182</v>
      </c>
      <c r="Y1609" s="55" t="n">
        <f aca="false">W1609+ROW()*0.000000001</f>
        <v>-2.7140796555694</v>
      </c>
      <c r="Z1609" s="55" t="n">
        <f aca="false">X1609+ROW()*0.000000001</f>
        <v>46.7729916658182</v>
      </c>
    </row>
    <row r="1610" customFormat="false" ht="15" hidden="false" customHeight="false" outlineLevel="0" collapsed="false">
      <c r="A1610" s="0" t="n">
        <v>5</v>
      </c>
      <c r="B1610" s="0" t="n">
        <v>9</v>
      </c>
      <c r="C1610" s="0" t="n">
        <v>7</v>
      </c>
      <c r="D1610" s="0" t="n">
        <f aca="false">-1+A1610*0.125</f>
        <v>-0.375</v>
      </c>
      <c r="E1610" s="0" t="n">
        <f aca="false">-1+B1610*0.125</f>
        <v>0.125</v>
      </c>
      <c r="F1610" s="0" t="n">
        <f aca="false">-1+C1610*0.125</f>
        <v>-0.125</v>
      </c>
      <c r="G1610" s="0" t="n">
        <f aca="false">1</f>
        <v>1</v>
      </c>
      <c r="H1610" s="0" t="n">
        <f aca="false">D1610</f>
        <v>-0.375</v>
      </c>
      <c r="I1610" s="0" t="n">
        <f aca="false">E1610</f>
        <v>0.125</v>
      </c>
      <c r="J1610" s="0" t="n">
        <f aca="false">F1610</f>
        <v>-0.125</v>
      </c>
      <c r="K1610" s="0" t="n">
        <f aca="false">D1610*E1610</f>
        <v>-0.046875</v>
      </c>
      <c r="L1610" s="0" t="n">
        <f aca="false">D1610*F1610</f>
        <v>0.046875</v>
      </c>
      <c r="M1610" s="0" t="n">
        <f aca="false">E1610*F1610</f>
        <v>-0.015625</v>
      </c>
      <c r="N1610" s="0" t="n">
        <f aca="false">D1610*D1610</f>
        <v>0.140625</v>
      </c>
      <c r="O1610" s="0" t="n">
        <f aca="false">E1610*E1610</f>
        <v>0.015625</v>
      </c>
      <c r="P1610" s="0" t="n">
        <f aca="false">F1610*F1610</f>
        <v>0.015625</v>
      </c>
      <c r="Q1610" s="0" t="n">
        <f aca="false">SUMPRODUCT(G1610:P1610,_XtX!$B$71:$K$71)</f>
        <v>47.0147372159091</v>
      </c>
      <c r="R1610" s="0" t="n">
        <f aca="false">SUMPRODUCT(MMULT(G1610:P1610,_XtX!$B$58:$K$67),G1610:P1610)</f>
        <v>0.126427667791193</v>
      </c>
      <c r="S1610" s="0" t="n">
        <f aca="false">04_回帰ANOVA!$K$19*04_回帰ANOVA!$K$14*SQRT(1+R1610)</f>
        <v>0.986775346732538</v>
      </c>
      <c r="T1610" s="0" t="n">
        <f aca="false">Q1610-S1610</f>
        <v>46.0279618691766</v>
      </c>
      <c r="U1610" s="0" t="n">
        <f aca="false">Q1610+S1610</f>
        <v>48.0015125626416</v>
      </c>
      <c r="V1610" s="54" t="b">
        <f aca="false">AND(D1610&gt;=01_因子設定!$L$5-0.000000001,D1610&lt;=01_因子設定!$M$5+0.000000001,E1610&gt;=01_因子設定!$L$6-0.000000001,E1610&lt;=01_因子設定!$M$6+0.000000001,F1610&gt;=01_因子設定!$L$7-0.000000001,F1610&lt;=01_因子設定!$M$7+0.000000001,IF(01_因子設定!$B$20="Box-Behnken",D1610^2+E1610^2+F1610^2&lt;=2+0.000000001,TRUE()))</f>
        <v>1</v>
      </c>
      <c r="W1610" s="55" t="n">
        <f aca="false">IF(V1610,IF(01_因子設定!$B$13="最大化",T1610-01_因子設定!$B$14,IF(01_因子設定!$B$13="最小化",01_因子設定!$B$15-U1610,MIN(T1610-01_因子設定!$B$14,01_因子設定!$B$15-U1610))),-1E+030)</f>
        <v>-2.47203813082344</v>
      </c>
      <c r="X1610" s="55" t="n">
        <f aca="false">IF(V1610,IF(01_因子設定!$B$13="最大化",Q1610,IF(01_因子設定!$B$13="最小化",-Q1610,-ABS(Q1610-01_因子設定!$B$16))),-1E+030)</f>
        <v>47.0147372159091</v>
      </c>
      <c r="Y1610" s="55" t="n">
        <f aca="false">W1610+ROW()*0.000000001</f>
        <v>-2.47203652082344</v>
      </c>
      <c r="Z1610" s="55" t="n">
        <f aca="false">X1610+ROW()*0.000000001</f>
        <v>47.0147388259091</v>
      </c>
    </row>
    <row r="1611" customFormat="false" ht="15" hidden="false" customHeight="false" outlineLevel="0" collapsed="false">
      <c r="A1611" s="0" t="n">
        <v>5</v>
      </c>
      <c r="B1611" s="0" t="n">
        <v>9</v>
      </c>
      <c r="C1611" s="0" t="n">
        <v>8</v>
      </c>
      <c r="D1611" s="0" t="n">
        <f aca="false">-1+A1611*0.125</f>
        <v>-0.375</v>
      </c>
      <c r="E1611" s="0" t="n">
        <f aca="false">-1+B1611*0.125</f>
        <v>0.125</v>
      </c>
      <c r="F1611" s="0" t="n">
        <f aca="false">-1+C1611*0.125</f>
        <v>0</v>
      </c>
      <c r="G1611" s="0" t="n">
        <f aca="false">1</f>
        <v>1</v>
      </c>
      <c r="H1611" s="0" t="n">
        <f aca="false">D1611</f>
        <v>-0.375</v>
      </c>
      <c r="I1611" s="0" t="n">
        <f aca="false">E1611</f>
        <v>0.125</v>
      </c>
      <c r="J1611" s="0" t="n">
        <f aca="false">F1611</f>
        <v>0</v>
      </c>
      <c r="K1611" s="0" t="n">
        <f aca="false">D1611*E1611</f>
        <v>-0.046875</v>
      </c>
      <c r="L1611" s="0" t="n">
        <f aca="false">D1611*F1611</f>
        <v>-0</v>
      </c>
      <c r="M1611" s="0" t="n">
        <f aca="false">E1611*F1611</f>
        <v>0</v>
      </c>
      <c r="N1611" s="0" t="n">
        <f aca="false">D1611*D1611</f>
        <v>0.140625</v>
      </c>
      <c r="O1611" s="0" t="n">
        <f aca="false">E1611*E1611</f>
        <v>0.015625</v>
      </c>
      <c r="P1611" s="0" t="n">
        <f aca="false">F1611*F1611</f>
        <v>0</v>
      </c>
      <c r="Q1611" s="0" t="n">
        <f aca="false">SUMPRODUCT(G1611:P1611,_XtX!$B$71:$K$71)</f>
        <v>47.2196946022727</v>
      </c>
      <c r="R1611" s="0" t="n">
        <f aca="false">SUMPRODUCT(MMULT(G1611:P1611,_XtX!$B$58:$K$67),G1611:P1611)</f>
        <v>0.126557506214489</v>
      </c>
      <c r="S1611" s="0" t="n">
        <f aca="false">04_回帰ANOVA!$K$19*04_回帰ANOVA!$K$14*SQRT(1+R1611)</f>
        <v>0.986832215747321</v>
      </c>
      <c r="T1611" s="0" t="n">
        <f aca="false">Q1611-S1611</f>
        <v>46.2328623865254</v>
      </c>
      <c r="U1611" s="0" t="n">
        <f aca="false">Q1611+S1611</f>
        <v>48.2065268180201</v>
      </c>
      <c r="V1611" s="54" t="b">
        <f aca="false">AND(D1611&gt;=01_因子設定!$L$5-0.000000001,D1611&lt;=01_因子設定!$M$5+0.000000001,E1611&gt;=01_因子設定!$L$6-0.000000001,E1611&lt;=01_因子設定!$M$6+0.000000001,F1611&gt;=01_因子設定!$L$7-0.000000001,F1611&lt;=01_因子設定!$M$7+0.000000001,IF(01_因子設定!$B$20="Box-Behnken",D1611^2+E1611^2+F1611^2&lt;=2+0.000000001,TRUE()))</f>
        <v>1</v>
      </c>
      <c r="W1611" s="55" t="n">
        <f aca="false">IF(V1611,IF(01_因子設定!$B$13="最大化",T1611-01_因子設定!$B$14,IF(01_因子設定!$B$13="最小化",01_因子設定!$B$15-U1611,MIN(T1611-01_因子設定!$B$14,01_因子設定!$B$15-U1611))),-1E+030)</f>
        <v>-2.26713761347459</v>
      </c>
      <c r="X1611" s="55" t="n">
        <f aca="false">IF(V1611,IF(01_因子設定!$B$13="最大化",Q1611,IF(01_因子設定!$B$13="最小化",-Q1611,-ABS(Q1611-01_因子設定!$B$16))),-1E+030)</f>
        <v>47.2196946022727</v>
      </c>
      <c r="Y1611" s="55" t="n">
        <f aca="false">W1611+ROW()*0.000000001</f>
        <v>-2.26713600247459</v>
      </c>
      <c r="Z1611" s="55" t="n">
        <f aca="false">X1611+ROW()*0.000000001</f>
        <v>47.2196962132727</v>
      </c>
    </row>
    <row r="1612" customFormat="false" ht="15" hidden="false" customHeight="false" outlineLevel="0" collapsed="false">
      <c r="A1612" s="0" t="n">
        <v>5</v>
      </c>
      <c r="B1612" s="0" t="n">
        <v>9</v>
      </c>
      <c r="C1612" s="0" t="n">
        <v>9</v>
      </c>
      <c r="D1612" s="0" t="n">
        <f aca="false">-1+A1612*0.125</f>
        <v>-0.375</v>
      </c>
      <c r="E1612" s="0" t="n">
        <f aca="false">-1+B1612*0.125</f>
        <v>0.125</v>
      </c>
      <c r="F1612" s="0" t="n">
        <f aca="false">-1+C1612*0.125</f>
        <v>0.125</v>
      </c>
      <c r="G1612" s="0" t="n">
        <f aca="false">1</f>
        <v>1</v>
      </c>
      <c r="H1612" s="0" t="n">
        <f aca="false">D1612</f>
        <v>-0.375</v>
      </c>
      <c r="I1612" s="0" t="n">
        <f aca="false">E1612</f>
        <v>0.125</v>
      </c>
      <c r="J1612" s="0" t="n">
        <f aca="false">F1612</f>
        <v>0.125</v>
      </c>
      <c r="K1612" s="0" t="n">
        <f aca="false">D1612*E1612</f>
        <v>-0.046875</v>
      </c>
      <c r="L1612" s="0" t="n">
        <f aca="false">D1612*F1612</f>
        <v>-0.046875</v>
      </c>
      <c r="M1612" s="0" t="n">
        <f aca="false">E1612*F1612</f>
        <v>0.015625</v>
      </c>
      <c r="N1612" s="0" t="n">
        <f aca="false">D1612*D1612</f>
        <v>0.140625</v>
      </c>
      <c r="O1612" s="0" t="n">
        <f aca="false">E1612*E1612</f>
        <v>0.015625</v>
      </c>
      <c r="P1612" s="0" t="n">
        <f aca="false">F1612*F1612</f>
        <v>0.015625</v>
      </c>
      <c r="Q1612" s="0" t="n">
        <f aca="false">SUMPRODUCT(G1612:P1612,_XtX!$B$71:$K$71)</f>
        <v>47.3878622159091</v>
      </c>
      <c r="R1612" s="0" t="n">
        <f aca="false">SUMPRODUCT(MMULT(G1612:P1612,_XtX!$B$58:$K$67),G1612:P1612)</f>
        <v>0.126427667791193</v>
      </c>
      <c r="S1612" s="0" t="n">
        <f aca="false">04_回帰ANOVA!$K$19*04_回帰ANOVA!$K$14*SQRT(1+R1612)</f>
        <v>0.986775346732538</v>
      </c>
      <c r="T1612" s="0" t="n">
        <f aca="false">Q1612-S1612</f>
        <v>46.4010868691766</v>
      </c>
      <c r="U1612" s="0" t="n">
        <f aca="false">Q1612+S1612</f>
        <v>48.3746375626416</v>
      </c>
      <c r="V1612" s="54" t="b">
        <f aca="false">AND(D1612&gt;=01_因子設定!$L$5-0.000000001,D1612&lt;=01_因子設定!$M$5+0.000000001,E1612&gt;=01_因子設定!$L$6-0.000000001,E1612&lt;=01_因子設定!$M$6+0.000000001,F1612&gt;=01_因子設定!$L$7-0.000000001,F1612&lt;=01_因子設定!$M$7+0.000000001,IF(01_因子設定!$B$20="Box-Behnken",D1612^2+E1612^2+F1612^2&lt;=2+0.000000001,TRUE()))</f>
        <v>1</v>
      </c>
      <c r="W1612" s="55" t="n">
        <f aca="false">IF(V1612,IF(01_因子設定!$B$13="最大化",T1612-01_因子設定!$B$14,IF(01_因子設定!$B$13="最小化",01_因子設定!$B$15-U1612,MIN(T1612-01_因子設定!$B$14,01_因子設定!$B$15-U1612))),-1E+030)</f>
        <v>-2.09891313082344</v>
      </c>
      <c r="X1612" s="55" t="n">
        <f aca="false">IF(V1612,IF(01_因子設定!$B$13="最大化",Q1612,IF(01_因子設定!$B$13="最小化",-Q1612,-ABS(Q1612-01_因子設定!$B$16))),-1E+030)</f>
        <v>47.3878622159091</v>
      </c>
      <c r="Y1612" s="55" t="n">
        <f aca="false">W1612+ROW()*0.000000001</f>
        <v>-2.09891151882344</v>
      </c>
      <c r="Z1612" s="55" t="n">
        <f aca="false">X1612+ROW()*0.000000001</f>
        <v>47.3878638279091</v>
      </c>
    </row>
    <row r="1613" customFormat="false" ht="15" hidden="false" customHeight="false" outlineLevel="0" collapsed="false">
      <c r="A1613" s="0" t="n">
        <v>5</v>
      </c>
      <c r="B1613" s="0" t="n">
        <v>9</v>
      </c>
      <c r="C1613" s="0" t="n">
        <v>10</v>
      </c>
      <c r="D1613" s="0" t="n">
        <f aca="false">-1+A1613*0.125</f>
        <v>-0.375</v>
      </c>
      <c r="E1613" s="0" t="n">
        <f aca="false">-1+B1613*0.125</f>
        <v>0.125</v>
      </c>
      <c r="F1613" s="0" t="n">
        <f aca="false">-1+C1613*0.125</f>
        <v>0.25</v>
      </c>
      <c r="G1613" s="0" t="n">
        <f aca="false">1</f>
        <v>1</v>
      </c>
      <c r="H1613" s="0" t="n">
        <f aca="false">D1613</f>
        <v>-0.375</v>
      </c>
      <c r="I1613" s="0" t="n">
        <f aca="false">E1613</f>
        <v>0.125</v>
      </c>
      <c r="J1613" s="0" t="n">
        <f aca="false">F1613</f>
        <v>0.25</v>
      </c>
      <c r="K1613" s="0" t="n">
        <f aca="false">D1613*E1613</f>
        <v>-0.046875</v>
      </c>
      <c r="L1613" s="0" t="n">
        <f aca="false">D1613*F1613</f>
        <v>-0.09375</v>
      </c>
      <c r="M1613" s="0" t="n">
        <f aca="false">E1613*F1613</f>
        <v>0.03125</v>
      </c>
      <c r="N1613" s="0" t="n">
        <f aca="false">D1613*D1613</f>
        <v>0.140625</v>
      </c>
      <c r="O1613" s="0" t="n">
        <f aca="false">E1613*E1613</f>
        <v>0.015625</v>
      </c>
      <c r="P1613" s="0" t="n">
        <f aca="false">F1613*F1613</f>
        <v>0.0625</v>
      </c>
      <c r="Q1613" s="0" t="n">
        <f aca="false">SUMPRODUCT(G1613:P1613,_XtX!$B$71:$K$71)</f>
        <v>47.5192400568182</v>
      </c>
      <c r="R1613" s="0" t="n">
        <f aca="false">SUMPRODUCT(MMULT(G1613:P1613,_XtX!$B$58:$K$67),G1613:P1613)</f>
        <v>0.127103493430398</v>
      </c>
      <c r="S1613" s="0" t="n">
        <f aca="false">04_回帰ANOVA!$K$19*04_回帰ANOVA!$K$14*SQRT(1+R1613)</f>
        <v>0.987071321387587</v>
      </c>
      <c r="T1613" s="0" t="n">
        <f aca="false">Q1613-S1613</f>
        <v>46.5321687354306</v>
      </c>
      <c r="U1613" s="0" t="n">
        <f aca="false">Q1613+S1613</f>
        <v>48.5063113782058</v>
      </c>
      <c r="V1613" s="54" t="b">
        <f aca="false">AND(D1613&gt;=01_因子設定!$L$5-0.000000001,D1613&lt;=01_因子設定!$M$5+0.000000001,E1613&gt;=01_因子設定!$L$6-0.000000001,E1613&lt;=01_因子設定!$M$6+0.000000001,F1613&gt;=01_因子設定!$L$7-0.000000001,F1613&lt;=01_因子設定!$M$7+0.000000001,IF(01_因子設定!$B$20="Box-Behnken",D1613^2+E1613^2+F1613^2&lt;=2+0.000000001,TRUE()))</f>
        <v>1</v>
      </c>
      <c r="W1613" s="55" t="n">
        <f aca="false">IF(V1613,IF(01_因子設定!$B$13="最大化",T1613-01_因子設定!$B$14,IF(01_因子設定!$B$13="最小化",01_因子設定!$B$15-U1613,MIN(T1613-01_因子設定!$B$14,01_因子設定!$B$15-U1613))),-1E+030)</f>
        <v>-1.9678312645694</v>
      </c>
      <c r="X1613" s="55" t="n">
        <f aca="false">IF(V1613,IF(01_因子設定!$B$13="最大化",Q1613,IF(01_因子設定!$B$13="最小化",-Q1613,-ABS(Q1613-01_因子設定!$B$16))),-1E+030)</f>
        <v>47.5192400568182</v>
      </c>
      <c r="Y1613" s="55" t="n">
        <f aca="false">W1613+ROW()*0.000000001</f>
        <v>-1.9678296515694</v>
      </c>
      <c r="Z1613" s="55" t="n">
        <f aca="false">X1613+ROW()*0.000000001</f>
        <v>47.5192416698182</v>
      </c>
    </row>
    <row r="1614" customFormat="false" ht="15" hidden="false" customHeight="false" outlineLevel="0" collapsed="false">
      <c r="A1614" s="0" t="n">
        <v>5</v>
      </c>
      <c r="B1614" s="0" t="n">
        <v>9</v>
      </c>
      <c r="C1614" s="0" t="n">
        <v>11</v>
      </c>
      <c r="D1614" s="0" t="n">
        <f aca="false">-1+A1614*0.125</f>
        <v>-0.375</v>
      </c>
      <c r="E1614" s="0" t="n">
        <f aca="false">-1+B1614*0.125</f>
        <v>0.125</v>
      </c>
      <c r="F1614" s="0" t="n">
        <f aca="false">-1+C1614*0.125</f>
        <v>0.375</v>
      </c>
      <c r="G1614" s="0" t="n">
        <f aca="false">1</f>
        <v>1</v>
      </c>
      <c r="H1614" s="0" t="n">
        <f aca="false">D1614</f>
        <v>-0.375</v>
      </c>
      <c r="I1614" s="0" t="n">
        <f aca="false">E1614</f>
        <v>0.125</v>
      </c>
      <c r="J1614" s="0" t="n">
        <f aca="false">F1614</f>
        <v>0.375</v>
      </c>
      <c r="K1614" s="0" t="n">
        <f aca="false">D1614*E1614</f>
        <v>-0.046875</v>
      </c>
      <c r="L1614" s="0" t="n">
        <f aca="false">D1614*F1614</f>
        <v>-0.140625</v>
      </c>
      <c r="M1614" s="0" t="n">
        <f aca="false">E1614*F1614</f>
        <v>0.046875</v>
      </c>
      <c r="N1614" s="0" t="n">
        <f aca="false">D1614*D1614</f>
        <v>0.140625</v>
      </c>
      <c r="O1614" s="0" t="n">
        <f aca="false">E1614*E1614</f>
        <v>0.015625</v>
      </c>
      <c r="P1614" s="0" t="n">
        <f aca="false">F1614*F1614</f>
        <v>0.140625</v>
      </c>
      <c r="Q1614" s="0" t="n">
        <f aca="false">SUMPRODUCT(G1614:P1614,_XtX!$B$71:$K$71)</f>
        <v>47.613828125</v>
      </c>
      <c r="R1614" s="0" t="n">
        <f aca="false">SUMPRODUCT(MMULT(G1614:P1614,_XtX!$B$58:$K$67),G1614:P1614)</f>
        <v>0.131781005859375</v>
      </c>
      <c r="S1614" s="0" t="n">
        <f aca="false">04_回帰ANOVA!$K$19*04_回帰ANOVA!$K$14*SQRT(1+R1614)</f>
        <v>0.989117388188007</v>
      </c>
      <c r="T1614" s="0" t="n">
        <f aca="false">Q1614-S1614</f>
        <v>46.624710736812</v>
      </c>
      <c r="U1614" s="0" t="n">
        <f aca="false">Q1614+S1614</f>
        <v>48.602945513188</v>
      </c>
      <c r="V1614" s="54" t="b">
        <f aca="false">AND(D1614&gt;=01_因子設定!$L$5-0.000000001,D1614&lt;=01_因子設定!$M$5+0.000000001,E1614&gt;=01_因子設定!$L$6-0.000000001,E1614&lt;=01_因子設定!$M$6+0.000000001,F1614&gt;=01_因子設定!$L$7-0.000000001,F1614&lt;=01_因子設定!$M$7+0.000000001,IF(01_因子設定!$B$20="Box-Behnken",D1614^2+E1614^2+F1614^2&lt;=2+0.000000001,TRUE()))</f>
        <v>1</v>
      </c>
      <c r="W1614" s="55" t="n">
        <f aca="false">IF(V1614,IF(01_因子設定!$B$13="最大化",T1614-01_因子設定!$B$14,IF(01_因子設定!$B$13="最小化",01_因子設定!$B$15-U1614,MIN(T1614-01_因子設定!$B$14,01_因子設定!$B$15-U1614))),-1E+030)</f>
        <v>-1.875289263188</v>
      </c>
      <c r="X1614" s="55" t="n">
        <f aca="false">IF(V1614,IF(01_因子設定!$B$13="最大化",Q1614,IF(01_因子設定!$B$13="最小化",-Q1614,-ABS(Q1614-01_因子設定!$B$16))),-1E+030)</f>
        <v>47.613828125</v>
      </c>
      <c r="Y1614" s="55" t="n">
        <f aca="false">W1614+ROW()*0.000000001</f>
        <v>-1.875287649188</v>
      </c>
      <c r="Z1614" s="55" t="n">
        <f aca="false">X1614+ROW()*0.000000001</f>
        <v>47.613829739</v>
      </c>
    </row>
    <row r="1615" customFormat="false" ht="15" hidden="false" customHeight="false" outlineLevel="0" collapsed="false">
      <c r="A1615" s="0" t="n">
        <v>5</v>
      </c>
      <c r="B1615" s="0" t="n">
        <v>9</v>
      </c>
      <c r="C1615" s="0" t="n">
        <v>12</v>
      </c>
      <c r="D1615" s="0" t="n">
        <f aca="false">-1+A1615*0.125</f>
        <v>-0.375</v>
      </c>
      <c r="E1615" s="0" t="n">
        <f aca="false">-1+B1615*0.125</f>
        <v>0.125</v>
      </c>
      <c r="F1615" s="0" t="n">
        <f aca="false">-1+C1615*0.125</f>
        <v>0.5</v>
      </c>
      <c r="G1615" s="0" t="n">
        <f aca="false">1</f>
        <v>1</v>
      </c>
      <c r="H1615" s="0" t="n">
        <f aca="false">D1615</f>
        <v>-0.375</v>
      </c>
      <c r="I1615" s="0" t="n">
        <f aca="false">E1615</f>
        <v>0.125</v>
      </c>
      <c r="J1615" s="0" t="n">
        <f aca="false">F1615</f>
        <v>0.5</v>
      </c>
      <c r="K1615" s="0" t="n">
        <f aca="false">D1615*E1615</f>
        <v>-0.046875</v>
      </c>
      <c r="L1615" s="0" t="n">
        <f aca="false">D1615*F1615</f>
        <v>-0.1875</v>
      </c>
      <c r="M1615" s="0" t="n">
        <f aca="false">E1615*F1615</f>
        <v>0.0625</v>
      </c>
      <c r="N1615" s="0" t="n">
        <f aca="false">D1615*D1615</f>
        <v>0.140625</v>
      </c>
      <c r="O1615" s="0" t="n">
        <f aca="false">E1615*E1615</f>
        <v>0.015625</v>
      </c>
      <c r="P1615" s="0" t="n">
        <f aca="false">F1615*F1615</f>
        <v>0.25</v>
      </c>
      <c r="Q1615" s="0" t="n">
        <f aca="false">SUMPRODUCT(G1615:P1615,_XtX!$B$71:$K$71)</f>
        <v>47.6716264204546</v>
      </c>
      <c r="R1615" s="0" t="n">
        <f aca="false">SUMPRODUCT(MMULT(G1615:P1615,_XtX!$B$58:$K$67),G1615:P1615)</f>
        <v>0.14578690962358</v>
      </c>
      <c r="S1615" s="0" t="n">
        <f aca="false">04_回帰ANOVA!$K$19*04_回帰ANOVA!$K$14*SQRT(1+R1615)</f>
        <v>0.995218783457917</v>
      </c>
      <c r="T1615" s="0" t="n">
        <f aca="false">Q1615-S1615</f>
        <v>46.6764076369966</v>
      </c>
      <c r="U1615" s="0" t="n">
        <f aca="false">Q1615+S1615</f>
        <v>48.6668452039125</v>
      </c>
      <c r="V1615" s="54" t="b">
        <f aca="false">AND(D1615&gt;=01_因子設定!$L$5-0.000000001,D1615&lt;=01_因子設定!$M$5+0.000000001,E1615&gt;=01_因子設定!$L$6-0.000000001,E1615&lt;=01_因子設定!$M$6+0.000000001,F1615&gt;=01_因子設定!$L$7-0.000000001,F1615&lt;=01_因子設定!$M$7+0.000000001,IF(01_因子設定!$B$20="Box-Behnken",D1615^2+E1615^2+F1615^2&lt;=2+0.000000001,TRUE()))</f>
        <v>1</v>
      </c>
      <c r="W1615" s="55" t="n">
        <f aca="false">IF(V1615,IF(01_因子設定!$B$13="最大化",T1615-01_因子設定!$B$14,IF(01_因子設定!$B$13="最小化",01_因子設定!$B$15-U1615,MIN(T1615-01_因子設定!$B$14,01_因子設定!$B$15-U1615))),-1E+030)</f>
        <v>-1.82359236300336</v>
      </c>
      <c r="X1615" s="55" t="n">
        <f aca="false">IF(V1615,IF(01_因子設定!$B$13="最大化",Q1615,IF(01_因子設定!$B$13="最小化",-Q1615,-ABS(Q1615-01_因子設定!$B$16))),-1E+030)</f>
        <v>47.6716264204546</v>
      </c>
      <c r="Y1615" s="55" t="n">
        <f aca="false">W1615+ROW()*0.000000001</f>
        <v>-1.82359074800336</v>
      </c>
      <c r="Z1615" s="55" t="n">
        <f aca="false">X1615+ROW()*0.000000001</f>
        <v>47.6716280354546</v>
      </c>
    </row>
    <row r="1616" customFormat="false" ht="15" hidden="false" customHeight="false" outlineLevel="0" collapsed="false">
      <c r="A1616" s="0" t="n">
        <v>5</v>
      </c>
      <c r="B1616" s="0" t="n">
        <v>9</v>
      </c>
      <c r="C1616" s="0" t="n">
        <v>13</v>
      </c>
      <c r="D1616" s="0" t="n">
        <f aca="false">-1+A1616*0.125</f>
        <v>-0.375</v>
      </c>
      <c r="E1616" s="0" t="n">
        <f aca="false">-1+B1616*0.125</f>
        <v>0.125</v>
      </c>
      <c r="F1616" s="0" t="n">
        <f aca="false">-1+C1616*0.125</f>
        <v>0.625</v>
      </c>
      <c r="G1616" s="0" t="n">
        <f aca="false">1</f>
        <v>1</v>
      </c>
      <c r="H1616" s="0" t="n">
        <f aca="false">D1616</f>
        <v>-0.375</v>
      </c>
      <c r="I1616" s="0" t="n">
        <f aca="false">E1616</f>
        <v>0.125</v>
      </c>
      <c r="J1616" s="0" t="n">
        <f aca="false">F1616</f>
        <v>0.625</v>
      </c>
      <c r="K1616" s="0" t="n">
        <f aca="false">D1616*E1616</f>
        <v>-0.046875</v>
      </c>
      <c r="L1616" s="0" t="n">
        <f aca="false">D1616*F1616</f>
        <v>-0.234375</v>
      </c>
      <c r="M1616" s="0" t="n">
        <f aca="false">E1616*F1616</f>
        <v>0.078125</v>
      </c>
      <c r="N1616" s="0" t="n">
        <f aca="false">D1616*D1616</f>
        <v>0.140625</v>
      </c>
      <c r="O1616" s="0" t="n">
        <f aca="false">E1616*E1616</f>
        <v>0.015625</v>
      </c>
      <c r="P1616" s="0" t="n">
        <f aca="false">F1616*F1616</f>
        <v>0.390625</v>
      </c>
      <c r="Q1616" s="0" t="n">
        <f aca="false">SUMPRODUCT(G1616:P1616,_XtX!$B$71:$K$71)</f>
        <v>47.6926349431818</v>
      </c>
      <c r="R1616" s="0" t="n">
        <f aca="false">SUMPRODUCT(MMULT(G1616:P1616,_XtX!$B$58:$K$67),G1616:P1616)</f>
        <v>0.176578591086648</v>
      </c>
      <c r="S1616" s="0" t="n">
        <f aca="false">04_回帰ANOVA!$K$19*04_回帰ANOVA!$K$14*SQRT(1+R1616)</f>
        <v>1.00850279676269</v>
      </c>
      <c r="T1616" s="0" t="n">
        <f aca="false">Q1616-S1616</f>
        <v>46.6841321464191</v>
      </c>
      <c r="U1616" s="0" t="n">
        <f aca="false">Q1616+S1616</f>
        <v>48.7011377399445</v>
      </c>
      <c r="V1616" s="54" t="b">
        <f aca="false">AND(D1616&gt;=01_因子設定!$L$5-0.000000001,D1616&lt;=01_因子設定!$M$5+0.000000001,E1616&gt;=01_因子設定!$L$6-0.000000001,E1616&lt;=01_因子設定!$M$6+0.000000001,F1616&gt;=01_因子設定!$L$7-0.000000001,F1616&lt;=01_因子設定!$M$7+0.000000001,IF(01_因子設定!$B$20="Box-Behnken",D1616^2+E1616^2+F1616^2&lt;=2+0.000000001,TRUE()))</f>
        <v>1</v>
      </c>
      <c r="W1616" s="55" t="n">
        <f aca="false">IF(V1616,IF(01_因子設定!$B$13="最大化",T1616-01_因子設定!$B$14,IF(01_因子設定!$B$13="最小化",01_因子設定!$B$15-U1616,MIN(T1616-01_因子設定!$B$14,01_因子設定!$B$15-U1616))),-1E+030)</f>
        <v>-1.81586785358086</v>
      </c>
      <c r="X1616" s="55" t="n">
        <f aca="false">IF(V1616,IF(01_因子設定!$B$13="最大化",Q1616,IF(01_因子設定!$B$13="最小化",-Q1616,-ABS(Q1616-01_因子設定!$B$16))),-1E+030)</f>
        <v>47.6926349431818</v>
      </c>
      <c r="Y1616" s="55" t="n">
        <f aca="false">W1616+ROW()*0.000000001</f>
        <v>-1.81586623758086</v>
      </c>
      <c r="Z1616" s="55" t="n">
        <f aca="false">X1616+ROW()*0.000000001</f>
        <v>47.6926365591818</v>
      </c>
    </row>
    <row r="1617" customFormat="false" ht="15" hidden="false" customHeight="false" outlineLevel="0" collapsed="false">
      <c r="A1617" s="0" t="n">
        <v>5</v>
      </c>
      <c r="B1617" s="0" t="n">
        <v>9</v>
      </c>
      <c r="C1617" s="0" t="n">
        <v>14</v>
      </c>
      <c r="D1617" s="0" t="n">
        <f aca="false">-1+A1617*0.125</f>
        <v>-0.375</v>
      </c>
      <c r="E1617" s="0" t="n">
        <f aca="false">-1+B1617*0.125</f>
        <v>0.125</v>
      </c>
      <c r="F1617" s="0" t="n">
        <f aca="false">-1+C1617*0.125</f>
        <v>0.75</v>
      </c>
      <c r="G1617" s="0" t="n">
        <f aca="false">1</f>
        <v>1</v>
      </c>
      <c r="H1617" s="0" t="n">
        <f aca="false">D1617</f>
        <v>-0.375</v>
      </c>
      <c r="I1617" s="0" t="n">
        <f aca="false">E1617</f>
        <v>0.125</v>
      </c>
      <c r="J1617" s="0" t="n">
        <f aca="false">F1617</f>
        <v>0.75</v>
      </c>
      <c r="K1617" s="0" t="n">
        <f aca="false">D1617*E1617</f>
        <v>-0.046875</v>
      </c>
      <c r="L1617" s="0" t="n">
        <f aca="false">D1617*F1617</f>
        <v>-0.28125</v>
      </c>
      <c r="M1617" s="0" t="n">
        <f aca="false">E1617*F1617</f>
        <v>0.09375</v>
      </c>
      <c r="N1617" s="0" t="n">
        <f aca="false">D1617*D1617</f>
        <v>0.140625</v>
      </c>
      <c r="O1617" s="0" t="n">
        <f aca="false">E1617*E1617</f>
        <v>0.015625</v>
      </c>
      <c r="P1617" s="0" t="n">
        <f aca="false">F1617*F1617</f>
        <v>0.5625</v>
      </c>
      <c r="Q1617" s="0" t="n">
        <f aca="false">SUMPRODUCT(G1617:P1617,_XtX!$B$71:$K$71)</f>
        <v>47.6768536931818</v>
      </c>
      <c r="R1617" s="0" t="n">
        <f aca="false">SUMPRODUCT(MMULT(G1617:P1617,_XtX!$B$58:$K$67),G1617:P1617)</f>
        <v>0.233744118430398</v>
      </c>
      <c r="S1617" s="0" t="n">
        <f aca="false">04_回帰ANOVA!$K$19*04_回帰ANOVA!$K$14*SQRT(1+R1617)</f>
        <v>1.0327119053564</v>
      </c>
      <c r="T1617" s="0" t="n">
        <f aca="false">Q1617-S1617</f>
        <v>46.6441417878254</v>
      </c>
      <c r="U1617" s="0" t="n">
        <f aca="false">Q1617+S1617</f>
        <v>48.7095655985382</v>
      </c>
      <c r="V1617" s="54" t="b">
        <f aca="false">AND(D1617&gt;=01_因子設定!$L$5-0.000000001,D1617&lt;=01_因子設定!$M$5+0.000000001,E1617&gt;=01_因子設定!$L$6-0.000000001,E1617&lt;=01_因子設定!$M$6+0.000000001,F1617&gt;=01_因子設定!$L$7-0.000000001,F1617&lt;=01_因子設定!$M$7+0.000000001,IF(01_因子設定!$B$20="Box-Behnken",D1617^2+E1617^2+F1617^2&lt;=2+0.000000001,TRUE()))</f>
        <v>1</v>
      </c>
      <c r="W1617" s="55" t="n">
        <f aca="false">IF(V1617,IF(01_因子設定!$B$13="最大化",T1617-01_因子設定!$B$14,IF(01_因子設定!$B$13="最小化",01_因子設定!$B$15-U1617,MIN(T1617-01_因子設定!$B$14,01_因子設定!$B$15-U1617))),-1E+030)</f>
        <v>-1.85585821217457</v>
      </c>
      <c r="X1617" s="55" t="n">
        <f aca="false">IF(V1617,IF(01_因子設定!$B$13="最大化",Q1617,IF(01_因子設定!$B$13="最小化",-Q1617,-ABS(Q1617-01_因子設定!$B$16))),-1E+030)</f>
        <v>47.6768536931818</v>
      </c>
      <c r="Y1617" s="55" t="n">
        <f aca="false">W1617+ROW()*0.000000001</f>
        <v>-1.85585659517457</v>
      </c>
      <c r="Z1617" s="55" t="n">
        <f aca="false">X1617+ROW()*0.000000001</f>
        <v>47.6768553101818</v>
      </c>
    </row>
    <row r="1618" customFormat="false" ht="15" hidden="false" customHeight="false" outlineLevel="0" collapsed="false">
      <c r="A1618" s="0" t="n">
        <v>5</v>
      </c>
      <c r="B1618" s="0" t="n">
        <v>9</v>
      </c>
      <c r="C1618" s="0" t="n">
        <v>15</v>
      </c>
      <c r="D1618" s="0" t="n">
        <f aca="false">-1+A1618*0.125</f>
        <v>-0.375</v>
      </c>
      <c r="E1618" s="0" t="n">
        <f aca="false">-1+B1618*0.125</f>
        <v>0.125</v>
      </c>
      <c r="F1618" s="0" t="n">
        <f aca="false">-1+C1618*0.125</f>
        <v>0.875</v>
      </c>
      <c r="G1618" s="0" t="n">
        <f aca="false">1</f>
        <v>1</v>
      </c>
      <c r="H1618" s="0" t="n">
        <f aca="false">D1618</f>
        <v>-0.375</v>
      </c>
      <c r="I1618" s="0" t="n">
        <f aca="false">E1618</f>
        <v>0.125</v>
      </c>
      <c r="J1618" s="0" t="n">
        <f aca="false">F1618</f>
        <v>0.875</v>
      </c>
      <c r="K1618" s="0" t="n">
        <f aca="false">D1618*E1618</f>
        <v>-0.046875</v>
      </c>
      <c r="L1618" s="0" t="n">
        <f aca="false">D1618*F1618</f>
        <v>-0.328125</v>
      </c>
      <c r="M1618" s="0" t="n">
        <f aca="false">E1618*F1618</f>
        <v>0.109375</v>
      </c>
      <c r="N1618" s="0" t="n">
        <f aca="false">D1618*D1618</f>
        <v>0.140625</v>
      </c>
      <c r="O1618" s="0" t="n">
        <f aca="false">E1618*E1618</f>
        <v>0.015625</v>
      </c>
      <c r="P1618" s="0" t="n">
        <f aca="false">F1618*F1618</f>
        <v>0.765625</v>
      </c>
      <c r="Q1618" s="0" t="n">
        <f aca="false">SUMPRODUCT(G1618:P1618,_XtX!$B$71:$K$71)</f>
        <v>47.6242826704546</v>
      </c>
      <c r="R1618" s="0" t="n">
        <f aca="false">SUMPRODUCT(MMULT(G1618:P1618,_XtX!$B$58:$K$67),G1618:P1618)</f>
        <v>0.32900224165483</v>
      </c>
      <c r="S1618" s="0" t="n">
        <f aca="false">04_回帰ANOVA!$K$19*04_回帰ANOVA!$K$14*SQRT(1+R1618)</f>
        <v>1.07183884583628</v>
      </c>
      <c r="T1618" s="0" t="n">
        <f aca="false">Q1618-S1618</f>
        <v>46.5524438246183</v>
      </c>
      <c r="U1618" s="0" t="n">
        <f aca="false">Q1618+S1618</f>
        <v>48.6961215162908</v>
      </c>
      <c r="V1618" s="54" t="b">
        <f aca="false">AND(D1618&gt;=01_因子設定!$L$5-0.000000001,D1618&lt;=01_因子設定!$M$5+0.000000001,E1618&gt;=01_因子設定!$L$6-0.000000001,E1618&lt;=01_因子設定!$M$6+0.000000001,F1618&gt;=01_因子設定!$L$7-0.000000001,F1618&lt;=01_因子設定!$M$7+0.000000001,IF(01_因子設定!$B$20="Box-Behnken",D1618^2+E1618^2+F1618^2&lt;=2+0.000000001,TRUE()))</f>
        <v>1</v>
      </c>
      <c r="W1618" s="55" t="n">
        <f aca="false">IF(V1618,IF(01_因子設定!$B$13="最大化",T1618-01_因子設定!$B$14,IF(01_因子設定!$B$13="最小化",01_因子設定!$B$15-U1618,MIN(T1618-01_因子設定!$B$14,01_因子設定!$B$15-U1618))),-1E+030)</f>
        <v>-1.94755617538172</v>
      </c>
      <c r="X1618" s="55" t="n">
        <f aca="false">IF(V1618,IF(01_因子設定!$B$13="最大化",Q1618,IF(01_因子設定!$B$13="最小化",-Q1618,-ABS(Q1618-01_因子設定!$B$16))),-1E+030)</f>
        <v>47.6242826704546</v>
      </c>
      <c r="Y1618" s="55" t="n">
        <f aca="false">W1618+ROW()*0.000000001</f>
        <v>-1.94755455738172</v>
      </c>
      <c r="Z1618" s="55" t="n">
        <f aca="false">X1618+ROW()*0.000000001</f>
        <v>47.6242842884546</v>
      </c>
    </row>
    <row r="1619" customFormat="false" ht="15" hidden="false" customHeight="false" outlineLevel="0" collapsed="false">
      <c r="A1619" s="0" t="n">
        <v>5</v>
      </c>
      <c r="B1619" s="0" t="n">
        <v>9</v>
      </c>
      <c r="C1619" s="0" t="n">
        <v>16</v>
      </c>
      <c r="D1619" s="0" t="n">
        <f aca="false">-1+A1619*0.125</f>
        <v>-0.375</v>
      </c>
      <c r="E1619" s="0" t="n">
        <f aca="false">-1+B1619*0.125</f>
        <v>0.125</v>
      </c>
      <c r="F1619" s="0" t="n">
        <f aca="false">-1+C1619*0.125</f>
        <v>1</v>
      </c>
      <c r="G1619" s="0" t="n">
        <f aca="false">1</f>
        <v>1</v>
      </c>
      <c r="H1619" s="0" t="n">
        <f aca="false">D1619</f>
        <v>-0.375</v>
      </c>
      <c r="I1619" s="0" t="n">
        <f aca="false">E1619</f>
        <v>0.125</v>
      </c>
      <c r="J1619" s="0" t="n">
        <f aca="false">F1619</f>
        <v>1</v>
      </c>
      <c r="K1619" s="0" t="n">
        <f aca="false">D1619*E1619</f>
        <v>-0.046875</v>
      </c>
      <c r="L1619" s="0" t="n">
        <f aca="false">D1619*F1619</f>
        <v>-0.375</v>
      </c>
      <c r="M1619" s="0" t="n">
        <f aca="false">E1619*F1619</f>
        <v>0.125</v>
      </c>
      <c r="N1619" s="0" t="n">
        <f aca="false">D1619*D1619</f>
        <v>0.140625</v>
      </c>
      <c r="O1619" s="0" t="n">
        <f aca="false">E1619*E1619</f>
        <v>0.015625</v>
      </c>
      <c r="P1619" s="0" t="n">
        <f aca="false">F1619*F1619</f>
        <v>1</v>
      </c>
      <c r="Q1619" s="0" t="n">
        <f aca="false">SUMPRODUCT(G1619:P1619,_XtX!$B$71:$K$71)</f>
        <v>47.534921875</v>
      </c>
      <c r="R1619" s="0" t="n">
        <f aca="false">SUMPRODUCT(MMULT(G1619:P1619,_XtX!$B$58:$K$67),G1619:P1619)</f>
        <v>0.476202392578125</v>
      </c>
      <c r="S1619" s="0" t="n">
        <f aca="false">04_回帰ANOVA!$K$19*04_回帰ANOVA!$K$14*SQRT(1+R1619)</f>
        <v>1.12963876802721</v>
      </c>
      <c r="T1619" s="0" t="n">
        <f aca="false">Q1619-S1619</f>
        <v>46.4052831069728</v>
      </c>
      <c r="U1619" s="0" t="n">
        <f aca="false">Q1619+S1619</f>
        <v>48.6645606430272</v>
      </c>
      <c r="V1619" s="54" t="b">
        <f aca="false">AND(D1619&gt;=01_因子設定!$L$5-0.000000001,D1619&lt;=01_因子設定!$M$5+0.000000001,E1619&gt;=01_因子設定!$L$6-0.000000001,E1619&lt;=01_因子設定!$M$6+0.000000001,F1619&gt;=01_因子設定!$L$7-0.000000001,F1619&lt;=01_因子設定!$M$7+0.000000001,IF(01_因子設定!$B$20="Box-Behnken",D1619^2+E1619^2+F1619^2&lt;=2+0.000000001,TRUE()))</f>
        <v>1</v>
      </c>
      <c r="W1619" s="55" t="n">
        <f aca="false">IF(V1619,IF(01_因子設定!$B$13="最大化",T1619-01_因子設定!$B$14,IF(01_因子設定!$B$13="最小化",01_因子設定!$B$15-U1619,MIN(T1619-01_因子設定!$B$14,01_因子設定!$B$15-U1619))),-1E+030)</f>
        <v>-2.09471689302718</v>
      </c>
      <c r="X1619" s="55" t="n">
        <f aca="false">IF(V1619,IF(01_因子設定!$B$13="最大化",Q1619,IF(01_因子設定!$B$13="最小化",-Q1619,-ABS(Q1619-01_因子設定!$B$16))),-1E+030)</f>
        <v>47.534921875</v>
      </c>
      <c r="Y1619" s="55" t="n">
        <f aca="false">W1619+ROW()*0.000000001</f>
        <v>-2.09471527402718</v>
      </c>
      <c r="Z1619" s="55" t="n">
        <f aca="false">X1619+ROW()*0.000000001</f>
        <v>47.534923494</v>
      </c>
    </row>
    <row r="1620" customFormat="false" ht="15" hidden="false" customHeight="false" outlineLevel="0" collapsed="false">
      <c r="A1620" s="0" t="n">
        <v>5</v>
      </c>
      <c r="B1620" s="0" t="n">
        <v>10</v>
      </c>
      <c r="C1620" s="0" t="n">
        <v>0</v>
      </c>
      <c r="D1620" s="0" t="n">
        <f aca="false">-1+A1620*0.125</f>
        <v>-0.375</v>
      </c>
      <c r="E1620" s="0" t="n">
        <f aca="false">-1+B1620*0.125</f>
        <v>0.25</v>
      </c>
      <c r="F1620" s="0" t="n">
        <f aca="false">-1+C1620*0.125</f>
        <v>-1</v>
      </c>
      <c r="G1620" s="0" t="n">
        <f aca="false">1</f>
        <v>1</v>
      </c>
      <c r="H1620" s="0" t="n">
        <f aca="false">D1620</f>
        <v>-0.375</v>
      </c>
      <c r="I1620" s="0" t="n">
        <f aca="false">E1620</f>
        <v>0.25</v>
      </c>
      <c r="J1620" s="0" t="n">
        <f aca="false">F1620</f>
        <v>-1</v>
      </c>
      <c r="K1620" s="0" t="n">
        <f aca="false">D1620*E1620</f>
        <v>-0.09375</v>
      </c>
      <c r="L1620" s="0" t="n">
        <f aca="false">D1620*F1620</f>
        <v>0.375</v>
      </c>
      <c r="M1620" s="0" t="n">
        <f aca="false">E1620*F1620</f>
        <v>-0.25</v>
      </c>
      <c r="N1620" s="0" t="n">
        <f aca="false">D1620*D1620</f>
        <v>0.140625</v>
      </c>
      <c r="O1620" s="0" t="n">
        <f aca="false">E1620*E1620</f>
        <v>0.0625</v>
      </c>
      <c r="P1620" s="0" t="n">
        <f aca="false">F1620*F1620</f>
        <v>1</v>
      </c>
      <c r="Q1620" s="0" t="n">
        <f aca="false">SUMPRODUCT(G1620:P1620,_XtX!$B$71:$K$71)</f>
        <v>44.5999715909091</v>
      </c>
      <c r="R1620" s="0" t="n">
        <f aca="false">SUMPRODUCT(MMULT(G1620:P1620,_XtX!$B$58:$K$67),G1620:P1620)</f>
        <v>0.470061700994318</v>
      </c>
      <c r="S1620" s="0" t="n">
        <f aca="false">04_回帰ANOVA!$K$19*04_回帰ANOVA!$K$14*SQRT(1+R1620)</f>
        <v>1.12728678965931</v>
      </c>
      <c r="T1620" s="0" t="n">
        <f aca="false">Q1620-S1620</f>
        <v>43.4726848012498</v>
      </c>
      <c r="U1620" s="0" t="n">
        <f aca="false">Q1620+S1620</f>
        <v>45.7272583805684</v>
      </c>
      <c r="V1620" s="54" t="b">
        <f aca="false">AND(D1620&gt;=01_因子設定!$L$5-0.000000001,D1620&lt;=01_因子設定!$M$5+0.000000001,E1620&gt;=01_因子設定!$L$6-0.000000001,E1620&lt;=01_因子設定!$M$6+0.000000001,F1620&gt;=01_因子設定!$L$7-0.000000001,F1620&lt;=01_因子設定!$M$7+0.000000001,IF(01_因子設定!$B$20="Box-Behnken",D1620^2+E1620^2+F1620^2&lt;=2+0.000000001,TRUE()))</f>
        <v>1</v>
      </c>
      <c r="W1620" s="55" t="n">
        <f aca="false">IF(V1620,IF(01_因子設定!$B$13="最大化",T1620-01_因子設定!$B$14,IF(01_因子設定!$B$13="最小化",01_因子設定!$B$15-U1620,MIN(T1620-01_因子設定!$B$14,01_因子設定!$B$15-U1620))),-1E+030)</f>
        <v>-5.0273151987502</v>
      </c>
      <c r="X1620" s="55" t="n">
        <f aca="false">IF(V1620,IF(01_因子設定!$B$13="最大化",Q1620,IF(01_因子設定!$B$13="最小化",-Q1620,-ABS(Q1620-01_因子設定!$B$16))),-1E+030)</f>
        <v>44.5999715909091</v>
      </c>
      <c r="Y1620" s="55" t="n">
        <f aca="false">W1620+ROW()*0.000000001</f>
        <v>-5.0273135787502</v>
      </c>
      <c r="Z1620" s="55" t="n">
        <f aca="false">X1620+ROW()*0.000000001</f>
        <v>44.5999732109091</v>
      </c>
    </row>
    <row r="1621" customFormat="false" ht="15" hidden="false" customHeight="false" outlineLevel="0" collapsed="false">
      <c r="A1621" s="0" t="n">
        <v>5</v>
      </c>
      <c r="B1621" s="0" t="n">
        <v>10</v>
      </c>
      <c r="C1621" s="0" t="n">
        <v>1</v>
      </c>
      <c r="D1621" s="0" t="n">
        <f aca="false">-1+A1621*0.125</f>
        <v>-0.375</v>
      </c>
      <c r="E1621" s="0" t="n">
        <f aca="false">-1+B1621*0.125</f>
        <v>0.25</v>
      </c>
      <c r="F1621" s="0" t="n">
        <f aca="false">-1+C1621*0.125</f>
        <v>-0.875</v>
      </c>
      <c r="G1621" s="0" t="n">
        <f aca="false">1</f>
        <v>1</v>
      </c>
      <c r="H1621" s="0" t="n">
        <f aca="false">D1621</f>
        <v>-0.375</v>
      </c>
      <c r="I1621" s="0" t="n">
        <f aca="false">E1621</f>
        <v>0.25</v>
      </c>
      <c r="J1621" s="0" t="n">
        <f aca="false">F1621</f>
        <v>-0.875</v>
      </c>
      <c r="K1621" s="0" t="n">
        <f aca="false">D1621*E1621</f>
        <v>-0.09375</v>
      </c>
      <c r="L1621" s="0" t="n">
        <f aca="false">D1621*F1621</f>
        <v>0.328125</v>
      </c>
      <c r="M1621" s="0" t="n">
        <f aca="false">E1621*F1621</f>
        <v>-0.21875</v>
      </c>
      <c r="N1621" s="0" t="n">
        <f aca="false">D1621*D1621</f>
        <v>0.140625</v>
      </c>
      <c r="O1621" s="0" t="n">
        <f aca="false">E1621*E1621</f>
        <v>0.0625</v>
      </c>
      <c r="P1621" s="0" t="n">
        <f aca="false">F1621*F1621</f>
        <v>0.765625</v>
      </c>
      <c r="Q1621" s="0" t="n">
        <f aca="false">SUMPRODUCT(G1621:P1621,_XtX!$B$71:$K$71)</f>
        <v>45.0694886363637</v>
      </c>
      <c r="R1621" s="0" t="n">
        <f aca="false">SUMPRODUCT(MMULT(G1621:P1621,_XtX!$B$58:$K$67),G1621:P1621)</f>
        <v>0.324484530362216</v>
      </c>
      <c r="S1621" s="0" t="n">
        <f aca="false">04_回帰ANOVA!$K$19*04_回帰ANOVA!$K$14*SQRT(1+R1621)</f>
        <v>1.07001553041279</v>
      </c>
      <c r="T1621" s="0" t="n">
        <f aca="false">Q1621-S1621</f>
        <v>43.9994731059509</v>
      </c>
      <c r="U1621" s="0" t="n">
        <f aca="false">Q1621+S1621</f>
        <v>46.1395041667765</v>
      </c>
      <c r="V1621" s="54" t="b">
        <f aca="false">AND(D1621&gt;=01_因子設定!$L$5-0.000000001,D1621&lt;=01_因子設定!$M$5+0.000000001,E1621&gt;=01_因子設定!$L$6-0.000000001,E1621&lt;=01_因子設定!$M$6+0.000000001,F1621&gt;=01_因子設定!$L$7-0.000000001,F1621&lt;=01_因子設定!$M$7+0.000000001,IF(01_因子設定!$B$20="Box-Behnken",D1621^2+E1621^2+F1621^2&lt;=2+0.000000001,TRUE()))</f>
        <v>1</v>
      </c>
      <c r="W1621" s="55" t="n">
        <f aca="false">IF(V1621,IF(01_因子設定!$B$13="最大化",T1621-01_因子設定!$B$14,IF(01_因子設定!$B$13="最小化",01_因子設定!$B$15-U1621,MIN(T1621-01_因子設定!$B$14,01_因子設定!$B$15-U1621))),-1E+030)</f>
        <v>-4.50052689404913</v>
      </c>
      <c r="X1621" s="55" t="n">
        <f aca="false">IF(V1621,IF(01_因子設定!$B$13="最大化",Q1621,IF(01_因子設定!$B$13="最小化",-Q1621,-ABS(Q1621-01_因子設定!$B$16))),-1E+030)</f>
        <v>45.0694886363637</v>
      </c>
      <c r="Y1621" s="55" t="n">
        <f aca="false">W1621+ROW()*0.000000001</f>
        <v>-4.50052527304913</v>
      </c>
      <c r="Z1621" s="55" t="n">
        <f aca="false">X1621+ROW()*0.000000001</f>
        <v>45.0694902573637</v>
      </c>
    </row>
    <row r="1622" customFormat="false" ht="15" hidden="false" customHeight="false" outlineLevel="0" collapsed="false">
      <c r="A1622" s="0" t="n">
        <v>5</v>
      </c>
      <c r="B1622" s="0" t="n">
        <v>10</v>
      </c>
      <c r="C1622" s="0" t="n">
        <v>2</v>
      </c>
      <c r="D1622" s="0" t="n">
        <f aca="false">-1+A1622*0.125</f>
        <v>-0.375</v>
      </c>
      <c r="E1622" s="0" t="n">
        <f aca="false">-1+B1622*0.125</f>
        <v>0.25</v>
      </c>
      <c r="F1622" s="0" t="n">
        <f aca="false">-1+C1622*0.125</f>
        <v>-0.75</v>
      </c>
      <c r="G1622" s="0" t="n">
        <f aca="false">1</f>
        <v>1</v>
      </c>
      <c r="H1622" s="0" t="n">
        <f aca="false">D1622</f>
        <v>-0.375</v>
      </c>
      <c r="I1622" s="0" t="n">
        <f aca="false">E1622</f>
        <v>0.25</v>
      </c>
      <c r="J1622" s="0" t="n">
        <f aca="false">F1622</f>
        <v>-0.75</v>
      </c>
      <c r="K1622" s="0" t="n">
        <f aca="false">D1622*E1622</f>
        <v>-0.09375</v>
      </c>
      <c r="L1622" s="0" t="n">
        <f aca="false">D1622*F1622</f>
        <v>0.28125</v>
      </c>
      <c r="M1622" s="0" t="n">
        <f aca="false">E1622*F1622</f>
        <v>-0.1875</v>
      </c>
      <c r="N1622" s="0" t="n">
        <f aca="false">D1622*D1622</f>
        <v>0.140625</v>
      </c>
      <c r="O1622" s="0" t="n">
        <f aca="false">E1622*E1622</f>
        <v>0.0625</v>
      </c>
      <c r="P1622" s="0" t="n">
        <f aca="false">F1622*F1622</f>
        <v>0.5625</v>
      </c>
      <c r="Q1622" s="0" t="n">
        <f aca="false">SUMPRODUCT(G1622:P1622,_XtX!$B$71:$K$71)</f>
        <v>45.5022159090909</v>
      </c>
      <c r="R1622" s="0" t="n">
        <f aca="false">SUMPRODUCT(MMULT(G1622:P1622,_XtX!$B$58:$K$67),G1622:P1622)</f>
        <v>0.230632990056818</v>
      </c>
      <c r="S1622" s="0" t="n">
        <f aca="false">04_回帰ANOVA!$K$19*04_回帰ANOVA!$K$14*SQRT(1+R1622)</f>
        <v>1.03140899038819</v>
      </c>
      <c r="T1622" s="0" t="n">
        <f aca="false">Q1622-S1622</f>
        <v>44.4708069187027</v>
      </c>
      <c r="U1622" s="0" t="n">
        <f aca="false">Q1622+S1622</f>
        <v>46.5336248994791</v>
      </c>
      <c r="V1622" s="54" t="b">
        <f aca="false">AND(D1622&gt;=01_因子設定!$L$5-0.000000001,D1622&lt;=01_因子設定!$M$5+0.000000001,E1622&gt;=01_因子設定!$L$6-0.000000001,E1622&lt;=01_因子設定!$M$6+0.000000001,F1622&gt;=01_因子設定!$L$7-0.000000001,F1622&lt;=01_因子設定!$M$7+0.000000001,IF(01_因子設定!$B$20="Box-Behnken",D1622^2+E1622^2+F1622^2&lt;=2+0.000000001,TRUE()))</f>
        <v>1</v>
      </c>
      <c r="W1622" s="55" t="n">
        <f aca="false">IF(V1622,IF(01_因子設定!$B$13="最大化",T1622-01_因子設定!$B$14,IF(01_因子設定!$B$13="最小化",01_因子設定!$B$15-U1622,MIN(T1622-01_因子設定!$B$14,01_因子設定!$B$15-U1622))),-1E+030)</f>
        <v>-4.02919308129726</v>
      </c>
      <c r="X1622" s="55" t="n">
        <f aca="false">IF(V1622,IF(01_因子設定!$B$13="最大化",Q1622,IF(01_因子設定!$B$13="最小化",-Q1622,-ABS(Q1622-01_因子設定!$B$16))),-1E+030)</f>
        <v>45.5022159090909</v>
      </c>
      <c r="Y1622" s="55" t="n">
        <f aca="false">W1622+ROW()*0.000000001</f>
        <v>-4.02919145929726</v>
      </c>
      <c r="Z1622" s="55" t="n">
        <f aca="false">X1622+ROW()*0.000000001</f>
        <v>45.5022175310909</v>
      </c>
    </row>
    <row r="1623" customFormat="false" ht="15" hidden="false" customHeight="false" outlineLevel="0" collapsed="false">
      <c r="A1623" s="0" t="n">
        <v>5</v>
      </c>
      <c r="B1623" s="0" t="n">
        <v>10</v>
      </c>
      <c r="C1623" s="0" t="n">
        <v>3</v>
      </c>
      <c r="D1623" s="0" t="n">
        <f aca="false">-1+A1623*0.125</f>
        <v>-0.375</v>
      </c>
      <c r="E1623" s="0" t="n">
        <f aca="false">-1+B1623*0.125</f>
        <v>0.25</v>
      </c>
      <c r="F1623" s="0" t="n">
        <f aca="false">-1+C1623*0.125</f>
        <v>-0.625</v>
      </c>
      <c r="G1623" s="0" t="n">
        <f aca="false">1</f>
        <v>1</v>
      </c>
      <c r="H1623" s="0" t="n">
        <f aca="false">D1623</f>
        <v>-0.375</v>
      </c>
      <c r="I1623" s="0" t="n">
        <f aca="false">E1623</f>
        <v>0.25</v>
      </c>
      <c r="J1623" s="0" t="n">
        <f aca="false">F1623</f>
        <v>-0.625</v>
      </c>
      <c r="K1623" s="0" t="n">
        <f aca="false">D1623*E1623</f>
        <v>-0.09375</v>
      </c>
      <c r="L1623" s="0" t="n">
        <f aca="false">D1623*F1623</f>
        <v>0.234375</v>
      </c>
      <c r="M1623" s="0" t="n">
        <f aca="false">E1623*F1623</f>
        <v>-0.15625</v>
      </c>
      <c r="N1623" s="0" t="n">
        <f aca="false">D1623*D1623</f>
        <v>0.140625</v>
      </c>
      <c r="O1623" s="0" t="n">
        <f aca="false">E1623*E1623</f>
        <v>0.0625</v>
      </c>
      <c r="P1623" s="0" t="n">
        <f aca="false">F1623*F1623</f>
        <v>0.390625</v>
      </c>
      <c r="Q1623" s="0" t="n">
        <f aca="false">SUMPRODUCT(G1623:P1623,_XtX!$B$71:$K$71)</f>
        <v>45.8981534090909</v>
      </c>
      <c r="R1623" s="0" t="n">
        <f aca="false">SUMPRODUCT(MMULT(G1623:P1623,_XtX!$B$58:$K$67),G1623:P1623)</f>
        <v>0.174657648259943</v>
      </c>
      <c r="S1623" s="0" t="n">
        <f aca="false">04_回帰ANOVA!$K$19*04_回帰ANOVA!$K$14*SQRT(1+R1623)</f>
        <v>1.00767919364845</v>
      </c>
      <c r="T1623" s="0" t="n">
        <f aca="false">Q1623-S1623</f>
        <v>44.8904742154425</v>
      </c>
      <c r="U1623" s="0" t="n">
        <f aca="false">Q1623+S1623</f>
        <v>46.9058326027394</v>
      </c>
      <c r="V1623" s="54" t="b">
        <f aca="false">AND(D1623&gt;=01_因子設定!$L$5-0.000000001,D1623&lt;=01_因子設定!$M$5+0.000000001,E1623&gt;=01_因子設定!$L$6-0.000000001,E1623&lt;=01_因子設定!$M$6+0.000000001,F1623&gt;=01_因子設定!$L$7-0.000000001,F1623&lt;=01_因子設定!$M$7+0.000000001,IF(01_因子設定!$B$20="Box-Behnken",D1623^2+E1623^2+F1623^2&lt;=2+0.000000001,TRUE()))</f>
        <v>1</v>
      </c>
      <c r="W1623" s="55" t="n">
        <f aca="false">IF(V1623,IF(01_因子設定!$B$13="最大化",T1623-01_因子設定!$B$14,IF(01_因子設定!$B$13="最小化",01_因子設定!$B$15-U1623,MIN(T1623-01_因子設定!$B$14,01_因子設定!$B$15-U1623))),-1E+030)</f>
        <v>-3.60952578455752</v>
      </c>
      <c r="X1623" s="55" t="n">
        <f aca="false">IF(V1623,IF(01_因子設定!$B$13="最大化",Q1623,IF(01_因子設定!$B$13="最小化",-Q1623,-ABS(Q1623-01_因子設定!$B$16))),-1E+030)</f>
        <v>45.8981534090909</v>
      </c>
      <c r="Y1623" s="55" t="n">
        <f aca="false">W1623+ROW()*0.000000001</f>
        <v>-3.60952416155752</v>
      </c>
      <c r="Z1623" s="55" t="n">
        <f aca="false">X1623+ROW()*0.000000001</f>
        <v>45.8981550320909</v>
      </c>
    </row>
    <row r="1624" customFormat="false" ht="15" hidden="false" customHeight="false" outlineLevel="0" collapsed="false">
      <c r="A1624" s="0" t="n">
        <v>5</v>
      </c>
      <c r="B1624" s="0" t="n">
        <v>10</v>
      </c>
      <c r="C1624" s="0" t="n">
        <v>4</v>
      </c>
      <c r="D1624" s="0" t="n">
        <f aca="false">-1+A1624*0.125</f>
        <v>-0.375</v>
      </c>
      <c r="E1624" s="0" t="n">
        <f aca="false">-1+B1624*0.125</f>
        <v>0.25</v>
      </c>
      <c r="F1624" s="0" t="n">
        <f aca="false">-1+C1624*0.125</f>
        <v>-0.5</v>
      </c>
      <c r="G1624" s="0" t="n">
        <f aca="false">1</f>
        <v>1</v>
      </c>
      <c r="H1624" s="0" t="n">
        <f aca="false">D1624</f>
        <v>-0.375</v>
      </c>
      <c r="I1624" s="0" t="n">
        <f aca="false">E1624</f>
        <v>0.25</v>
      </c>
      <c r="J1624" s="0" t="n">
        <f aca="false">F1624</f>
        <v>-0.5</v>
      </c>
      <c r="K1624" s="0" t="n">
        <f aca="false">D1624*E1624</f>
        <v>-0.09375</v>
      </c>
      <c r="L1624" s="0" t="n">
        <f aca="false">D1624*F1624</f>
        <v>0.1875</v>
      </c>
      <c r="M1624" s="0" t="n">
        <f aca="false">E1624*F1624</f>
        <v>-0.125</v>
      </c>
      <c r="N1624" s="0" t="n">
        <f aca="false">D1624*D1624</f>
        <v>0.140625</v>
      </c>
      <c r="O1624" s="0" t="n">
        <f aca="false">E1624*E1624</f>
        <v>0.0625</v>
      </c>
      <c r="P1624" s="0" t="n">
        <f aca="false">F1624*F1624</f>
        <v>0.25</v>
      </c>
      <c r="Q1624" s="0" t="n">
        <f aca="false">SUMPRODUCT(G1624:P1624,_XtX!$B$71:$K$71)</f>
        <v>46.2573011363636</v>
      </c>
      <c r="R1624" s="0" t="n">
        <f aca="false">SUMPRODUCT(MMULT(G1624:P1624,_XtX!$B$58:$K$67),G1624:P1624)</f>
        <v>0.144839754971591</v>
      </c>
      <c r="S1624" s="0" t="n">
        <f aca="false">04_回帰ANOVA!$K$19*04_回帰ANOVA!$K$14*SQRT(1+R1624)</f>
        <v>0.994807353995542</v>
      </c>
      <c r="T1624" s="0" t="n">
        <f aca="false">Q1624-S1624</f>
        <v>45.2624937823681</v>
      </c>
      <c r="U1624" s="0" t="n">
        <f aca="false">Q1624+S1624</f>
        <v>47.2521084903592</v>
      </c>
      <c r="V1624" s="54" t="b">
        <f aca="false">AND(D1624&gt;=01_因子設定!$L$5-0.000000001,D1624&lt;=01_因子設定!$M$5+0.000000001,E1624&gt;=01_因子設定!$L$6-0.000000001,E1624&lt;=01_因子設定!$M$6+0.000000001,F1624&gt;=01_因子設定!$L$7-0.000000001,F1624&lt;=01_因子設定!$M$7+0.000000001,IF(01_因子設定!$B$20="Box-Behnken",D1624^2+E1624^2+F1624^2&lt;=2+0.000000001,TRUE()))</f>
        <v>1</v>
      </c>
      <c r="W1624" s="55" t="n">
        <f aca="false">IF(V1624,IF(01_因子設定!$B$13="最大化",T1624-01_因子設定!$B$14,IF(01_因子設定!$B$13="最小化",01_因子設定!$B$15-U1624,MIN(T1624-01_因子設定!$B$14,01_因子設定!$B$15-U1624))),-1E+030)</f>
        <v>-3.2375062176319</v>
      </c>
      <c r="X1624" s="55" t="n">
        <f aca="false">IF(V1624,IF(01_因子設定!$B$13="最大化",Q1624,IF(01_因子設定!$B$13="最小化",-Q1624,-ABS(Q1624-01_因子設定!$B$16))),-1E+030)</f>
        <v>46.2573011363636</v>
      </c>
      <c r="Y1624" s="55" t="n">
        <f aca="false">W1624+ROW()*0.000000001</f>
        <v>-3.2375045936319</v>
      </c>
      <c r="Z1624" s="55" t="n">
        <f aca="false">X1624+ROW()*0.000000001</f>
        <v>46.2573027603636</v>
      </c>
    </row>
    <row r="1625" customFormat="false" ht="15" hidden="false" customHeight="false" outlineLevel="0" collapsed="false">
      <c r="A1625" s="0" t="n">
        <v>5</v>
      </c>
      <c r="B1625" s="0" t="n">
        <v>10</v>
      </c>
      <c r="C1625" s="0" t="n">
        <v>5</v>
      </c>
      <c r="D1625" s="0" t="n">
        <f aca="false">-1+A1625*0.125</f>
        <v>-0.375</v>
      </c>
      <c r="E1625" s="0" t="n">
        <f aca="false">-1+B1625*0.125</f>
        <v>0.25</v>
      </c>
      <c r="F1625" s="0" t="n">
        <f aca="false">-1+C1625*0.125</f>
        <v>-0.375</v>
      </c>
      <c r="G1625" s="0" t="n">
        <f aca="false">1</f>
        <v>1</v>
      </c>
      <c r="H1625" s="0" t="n">
        <f aca="false">D1625</f>
        <v>-0.375</v>
      </c>
      <c r="I1625" s="0" t="n">
        <f aca="false">E1625</f>
        <v>0.25</v>
      </c>
      <c r="J1625" s="0" t="n">
        <f aca="false">F1625</f>
        <v>-0.375</v>
      </c>
      <c r="K1625" s="0" t="n">
        <f aca="false">D1625*E1625</f>
        <v>-0.09375</v>
      </c>
      <c r="L1625" s="0" t="n">
        <f aca="false">D1625*F1625</f>
        <v>0.140625</v>
      </c>
      <c r="M1625" s="0" t="n">
        <f aca="false">E1625*F1625</f>
        <v>-0.09375</v>
      </c>
      <c r="N1625" s="0" t="n">
        <f aca="false">D1625*D1625</f>
        <v>0.140625</v>
      </c>
      <c r="O1625" s="0" t="n">
        <f aca="false">E1625*E1625</f>
        <v>0.0625</v>
      </c>
      <c r="P1625" s="0" t="n">
        <f aca="false">F1625*F1625</f>
        <v>0.140625</v>
      </c>
      <c r="Q1625" s="0" t="n">
        <f aca="false">SUMPRODUCT(G1625:P1625,_XtX!$B$71:$K$71)</f>
        <v>46.5796590909091</v>
      </c>
      <c r="R1625" s="0" t="n">
        <f aca="false">SUMPRODUCT(MMULT(G1625:P1625,_XtX!$B$58:$K$67),G1625:P1625)</f>
        <v>0.131591242009943</v>
      </c>
      <c r="S1625" s="0" t="n">
        <f aca="false">04_回帰ANOVA!$K$19*04_回帰ANOVA!$K$14*SQRT(1+R1625)</f>
        <v>0.989034462873572</v>
      </c>
      <c r="T1625" s="0" t="n">
        <f aca="false">Q1625-S1625</f>
        <v>45.5906246280355</v>
      </c>
      <c r="U1625" s="0" t="n">
        <f aca="false">Q1625+S1625</f>
        <v>47.5686935537827</v>
      </c>
      <c r="V1625" s="54" t="b">
        <f aca="false">AND(D1625&gt;=01_因子設定!$L$5-0.000000001,D1625&lt;=01_因子設定!$M$5+0.000000001,E1625&gt;=01_因子設定!$L$6-0.000000001,E1625&lt;=01_因子設定!$M$6+0.000000001,F1625&gt;=01_因子設定!$L$7-0.000000001,F1625&lt;=01_因子設定!$M$7+0.000000001,IF(01_因子設定!$B$20="Box-Behnken",D1625^2+E1625^2+F1625^2&lt;=2+0.000000001,TRUE()))</f>
        <v>1</v>
      </c>
      <c r="W1625" s="55" t="n">
        <f aca="false">IF(V1625,IF(01_因子設定!$B$13="最大化",T1625-01_因子設定!$B$14,IF(01_因子設定!$B$13="最小化",01_因子設定!$B$15-U1625,MIN(T1625-01_因子設定!$B$14,01_因子設定!$B$15-U1625))),-1E+030)</f>
        <v>-2.90937537196447</v>
      </c>
      <c r="X1625" s="55" t="n">
        <f aca="false">IF(V1625,IF(01_因子設定!$B$13="最大化",Q1625,IF(01_因子設定!$B$13="最小化",-Q1625,-ABS(Q1625-01_因子設定!$B$16))),-1E+030)</f>
        <v>46.5796590909091</v>
      </c>
      <c r="Y1625" s="55" t="n">
        <f aca="false">W1625+ROW()*0.000000001</f>
        <v>-2.90937374696447</v>
      </c>
      <c r="Z1625" s="55" t="n">
        <f aca="false">X1625+ROW()*0.000000001</f>
        <v>46.5796607159091</v>
      </c>
    </row>
    <row r="1626" customFormat="false" ht="15" hidden="false" customHeight="false" outlineLevel="0" collapsed="false">
      <c r="A1626" s="0" t="n">
        <v>5</v>
      </c>
      <c r="B1626" s="0" t="n">
        <v>10</v>
      </c>
      <c r="C1626" s="0" t="n">
        <v>6</v>
      </c>
      <c r="D1626" s="0" t="n">
        <f aca="false">-1+A1626*0.125</f>
        <v>-0.375</v>
      </c>
      <c r="E1626" s="0" t="n">
        <f aca="false">-1+B1626*0.125</f>
        <v>0.25</v>
      </c>
      <c r="F1626" s="0" t="n">
        <f aca="false">-1+C1626*0.125</f>
        <v>-0.25</v>
      </c>
      <c r="G1626" s="0" t="n">
        <f aca="false">1</f>
        <v>1</v>
      </c>
      <c r="H1626" s="0" t="n">
        <f aca="false">D1626</f>
        <v>-0.375</v>
      </c>
      <c r="I1626" s="0" t="n">
        <f aca="false">E1626</f>
        <v>0.25</v>
      </c>
      <c r="J1626" s="0" t="n">
        <f aca="false">F1626</f>
        <v>-0.25</v>
      </c>
      <c r="K1626" s="0" t="n">
        <f aca="false">D1626*E1626</f>
        <v>-0.09375</v>
      </c>
      <c r="L1626" s="0" t="n">
        <f aca="false">D1626*F1626</f>
        <v>0.09375</v>
      </c>
      <c r="M1626" s="0" t="n">
        <f aca="false">E1626*F1626</f>
        <v>-0.0625</v>
      </c>
      <c r="N1626" s="0" t="n">
        <f aca="false">D1626*D1626</f>
        <v>0.140625</v>
      </c>
      <c r="O1626" s="0" t="n">
        <f aca="false">E1626*E1626</f>
        <v>0.0625</v>
      </c>
      <c r="P1626" s="0" t="n">
        <f aca="false">F1626*F1626</f>
        <v>0.0625</v>
      </c>
      <c r="Q1626" s="0" t="n">
        <f aca="false">SUMPRODUCT(G1626:P1626,_XtX!$B$71:$K$71)</f>
        <v>46.8652272727273</v>
      </c>
      <c r="R1626" s="0" t="n">
        <f aca="false">SUMPRODUCT(MMULT(G1626:P1626,_XtX!$B$58:$K$67),G1626:P1626)</f>
        <v>0.127454723011364</v>
      </c>
      <c r="S1626" s="0" t="n">
        <f aca="false">04_回帰ANOVA!$K$19*04_回帰ANOVA!$K$14*SQRT(1+R1626)</f>
        <v>0.987225105686864</v>
      </c>
      <c r="T1626" s="0" t="n">
        <f aca="false">Q1626-S1626</f>
        <v>45.8780021670404</v>
      </c>
      <c r="U1626" s="0" t="n">
        <f aca="false">Q1626+S1626</f>
        <v>47.8524523784142</v>
      </c>
      <c r="V1626" s="54" t="b">
        <f aca="false">AND(D1626&gt;=01_因子設定!$L$5-0.000000001,D1626&lt;=01_因子設定!$M$5+0.000000001,E1626&gt;=01_因子設定!$L$6-0.000000001,E1626&lt;=01_因子設定!$M$6+0.000000001,F1626&gt;=01_因子設定!$L$7-0.000000001,F1626&lt;=01_因子設定!$M$7+0.000000001,IF(01_因子設定!$B$20="Box-Behnken",D1626^2+E1626^2+F1626^2&lt;=2+0.000000001,TRUE()))</f>
        <v>1</v>
      </c>
      <c r="W1626" s="55" t="n">
        <f aca="false">IF(V1626,IF(01_因子設定!$B$13="最大化",T1626-01_因子設定!$B$14,IF(01_因子設定!$B$13="最小化",01_因子設定!$B$15-U1626,MIN(T1626-01_因子設定!$B$14,01_因子設定!$B$15-U1626))),-1E+030)</f>
        <v>-2.62199783295959</v>
      </c>
      <c r="X1626" s="55" t="n">
        <f aca="false">IF(V1626,IF(01_因子設定!$B$13="最大化",Q1626,IF(01_因子設定!$B$13="最小化",-Q1626,-ABS(Q1626-01_因子設定!$B$16))),-1E+030)</f>
        <v>46.8652272727273</v>
      </c>
      <c r="Y1626" s="55" t="n">
        <f aca="false">W1626+ROW()*0.000000001</f>
        <v>-2.62199620695959</v>
      </c>
      <c r="Z1626" s="55" t="n">
        <f aca="false">X1626+ROW()*0.000000001</f>
        <v>46.8652288987273</v>
      </c>
    </row>
    <row r="1627" customFormat="false" ht="15" hidden="false" customHeight="false" outlineLevel="0" collapsed="false">
      <c r="A1627" s="0" t="n">
        <v>5</v>
      </c>
      <c r="B1627" s="0" t="n">
        <v>10</v>
      </c>
      <c r="C1627" s="0" t="n">
        <v>7</v>
      </c>
      <c r="D1627" s="0" t="n">
        <f aca="false">-1+A1627*0.125</f>
        <v>-0.375</v>
      </c>
      <c r="E1627" s="0" t="n">
        <f aca="false">-1+B1627*0.125</f>
        <v>0.25</v>
      </c>
      <c r="F1627" s="0" t="n">
        <f aca="false">-1+C1627*0.125</f>
        <v>-0.125</v>
      </c>
      <c r="G1627" s="0" t="n">
        <f aca="false">1</f>
        <v>1</v>
      </c>
      <c r="H1627" s="0" t="n">
        <f aca="false">D1627</f>
        <v>-0.375</v>
      </c>
      <c r="I1627" s="0" t="n">
        <f aca="false">E1627</f>
        <v>0.25</v>
      </c>
      <c r="J1627" s="0" t="n">
        <f aca="false">F1627</f>
        <v>-0.125</v>
      </c>
      <c r="K1627" s="0" t="n">
        <f aca="false">D1627*E1627</f>
        <v>-0.09375</v>
      </c>
      <c r="L1627" s="0" t="n">
        <f aca="false">D1627*F1627</f>
        <v>0.046875</v>
      </c>
      <c r="M1627" s="0" t="n">
        <f aca="false">E1627*F1627</f>
        <v>-0.03125</v>
      </c>
      <c r="N1627" s="0" t="n">
        <f aca="false">D1627*D1627</f>
        <v>0.140625</v>
      </c>
      <c r="O1627" s="0" t="n">
        <f aca="false">E1627*E1627</f>
        <v>0.0625</v>
      </c>
      <c r="P1627" s="0" t="n">
        <f aca="false">F1627*F1627</f>
        <v>0.015625</v>
      </c>
      <c r="Q1627" s="0" t="n">
        <f aca="false">SUMPRODUCT(G1627:P1627,_XtX!$B$71:$K$71)</f>
        <v>47.1140056818182</v>
      </c>
      <c r="R1627" s="0" t="n">
        <f aca="false">SUMPRODUCT(MMULT(G1627:P1627,_XtX!$B$58:$K$67),G1627:P1627)</f>
        <v>0.127103493430398</v>
      </c>
      <c r="S1627" s="0" t="n">
        <f aca="false">04_回帰ANOVA!$K$19*04_回帰ANOVA!$K$14*SQRT(1+R1627)</f>
        <v>0.987071321387587</v>
      </c>
      <c r="T1627" s="0" t="n">
        <f aca="false">Q1627-S1627</f>
        <v>46.1269343604306</v>
      </c>
      <c r="U1627" s="0" t="n">
        <f aca="false">Q1627+S1627</f>
        <v>48.1010770032058</v>
      </c>
      <c r="V1627" s="54" t="b">
        <f aca="false">AND(D1627&gt;=01_因子設定!$L$5-0.000000001,D1627&lt;=01_因子設定!$M$5+0.000000001,E1627&gt;=01_因子設定!$L$6-0.000000001,E1627&lt;=01_因子設定!$M$6+0.000000001,F1627&gt;=01_因子設定!$L$7-0.000000001,F1627&lt;=01_因子設定!$M$7+0.000000001,IF(01_因子設定!$B$20="Box-Behnken",D1627^2+E1627^2+F1627^2&lt;=2+0.000000001,TRUE()))</f>
        <v>1</v>
      </c>
      <c r="W1627" s="55" t="n">
        <f aca="false">IF(V1627,IF(01_因子設定!$B$13="最大化",T1627-01_因子設定!$B$14,IF(01_因子設定!$B$13="最小化",01_因子設定!$B$15-U1627,MIN(T1627-01_因子設定!$B$14,01_因子設定!$B$15-U1627))),-1E+030)</f>
        <v>-2.3730656395694</v>
      </c>
      <c r="X1627" s="55" t="n">
        <f aca="false">IF(V1627,IF(01_因子設定!$B$13="最大化",Q1627,IF(01_因子設定!$B$13="最小化",-Q1627,-ABS(Q1627-01_因子設定!$B$16))),-1E+030)</f>
        <v>47.1140056818182</v>
      </c>
      <c r="Y1627" s="55" t="n">
        <f aca="false">W1627+ROW()*0.000000001</f>
        <v>-2.3730640125694</v>
      </c>
      <c r="Z1627" s="55" t="n">
        <f aca="false">X1627+ROW()*0.000000001</f>
        <v>47.1140073088182</v>
      </c>
    </row>
    <row r="1628" customFormat="false" ht="15" hidden="false" customHeight="false" outlineLevel="0" collapsed="false">
      <c r="A1628" s="0" t="n">
        <v>5</v>
      </c>
      <c r="B1628" s="0" t="n">
        <v>10</v>
      </c>
      <c r="C1628" s="0" t="n">
        <v>8</v>
      </c>
      <c r="D1628" s="0" t="n">
        <f aca="false">-1+A1628*0.125</f>
        <v>-0.375</v>
      </c>
      <c r="E1628" s="0" t="n">
        <f aca="false">-1+B1628*0.125</f>
        <v>0.25</v>
      </c>
      <c r="F1628" s="0" t="n">
        <f aca="false">-1+C1628*0.125</f>
        <v>0</v>
      </c>
      <c r="G1628" s="0" t="n">
        <f aca="false">1</f>
        <v>1</v>
      </c>
      <c r="H1628" s="0" t="n">
        <f aca="false">D1628</f>
        <v>-0.375</v>
      </c>
      <c r="I1628" s="0" t="n">
        <f aca="false">E1628</f>
        <v>0.25</v>
      </c>
      <c r="J1628" s="0" t="n">
        <f aca="false">F1628</f>
        <v>0</v>
      </c>
      <c r="K1628" s="0" t="n">
        <f aca="false">D1628*E1628</f>
        <v>-0.09375</v>
      </c>
      <c r="L1628" s="0" t="n">
        <f aca="false">D1628*F1628</f>
        <v>-0</v>
      </c>
      <c r="M1628" s="0" t="n">
        <f aca="false">E1628*F1628</f>
        <v>0</v>
      </c>
      <c r="N1628" s="0" t="n">
        <f aca="false">D1628*D1628</f>
        <v>0.140625</v>
      </c>
      <c r="O1628" s="0" t="n">
        <f aca="false">E1628*E1628</f>
        <v>0.0625</v>
      </c>
      <c r="P1628" s="0" t="n">
        <f aca="false">F1628*F1628</f>
        <v>0</v>
      </c>
      <c r="Q1628" s="0" t="n">
        <f aca="false">SUMPRODUCT(G1628:P1628,_XtX!$B$71:$K$71)</f>
        <v>47.3259943181818</v>
      </c>
      <c r="R1628" s="0" t="n">
        <f aca="false">SUMPRODUCT(MMULT(G1628:P1628,_XtX!$B$58:$K$67),G1628:P1628)</f>
        <v>0.127341530539773</v>
      </c>
      <c r="S1628" s="0" t="n">
        <f aca="false">04_回帰ANOVA!$K$19*04_回帰ANOVA!$K$14*SQRT(1+R1628)</f>
        <v>0.987175547486288</v>
      </c>
      <c r="T1628" s="0" t="n">
        <f aca="false">Q1628-S1628</f>
        <v>46.3388187706955</v>
      </c>
      <c r="U1628" s="0" t="n">
        <f aca="false">Q1628+S1628</f>
        <v>48.3131698656681</v>
      </c>
      <c r="V1628" s="54" t="b">
        <f aca="false">AND(D1628&gt;=01_因子設定!$L$5-0.000000001,D1628&lt;=01_因子設定!$M$5+0.000000001,E1628&gt;=01_因子設定!$L$6-0.000000001,E1628&lt;=01_因子設定!$M$6+0.000000001,F1628&gt;=01_因子設定!$L$7-0.000000001,F1628&lt;=01_因子設定!$M$7+0.000000001,IF(01_因子設定!$B$20="Box-Behnken",D1628^2+E1628^2+F1628^2&lt;=2+0.000000001,TRUE()))</f>
        <v>1</v>
      </c>
      <c r="W1628" s="55" t="n">
        <f aca="false">IF(V1628,IF(01_因子設定!$B$13="最大化",T1628-01_因子設定!$B$14,IF(01_因子設定!$B$13="最小化",01_因子設定!$B$15-U1628,MIN(T1628-01_因子設定!$B$14,01_因子設定!$B$15-U1628))),-1E+030)</f>
        <v>-2.16118122930446</v>
      </c>
      <c r="X1628" s="55" t="n">
        <f aca="false">IF(V1628,IF(01_因子設定!$B$13="最大化",Q1628,IF(01_因子設定!$B$13="最小化",-Q1628,-ABS(Q1628-01_因子設定!$B$16))),-1E+030)</f>
        <v>47.3259943181818</v>
      </c>
      <c r="Y1628" s="55" t="n">
        <f aca="false">W1628+ROW()*0.000000001</f>
        <v>-2.16117960130446</v>
      </c>
      <c r="Z1628" s="55" t="n">
        <f aca="false">X1628+ROW()*0.000000001</f>
        <v>47.3259959461818</v>
      </c>
    </row>
    <row r="1629" customFormat="false" ht="15" hidden="false" customHeight="false" outlineLevel="0" collapsed="false">
      <c r="A1629" s="0" t="n">
        <v>5</v>
      </c>
      <c r="B1629" s="0" t="n">
        <v>10</v>
      </c>
      <c r="C1629" s="0" t="n">
        <v>9</v>
      </c>
      <c r="D1629" s="0" t="n">
        <f aca="false">-1+A1629*0.125</f>
        <v>-0.375</v>
      </c>
      <c r="E1629" s="0" t="n">
        <f aca="false">-1+B1629*0.125</f>
        <v>0.25</v>
      </c>
      <c r="F1629" s="0" t="n">
        <f aca="false">-1+C1629*0.125</f>
        <v>0.125</v>
      </c>
      <c r="G1629" s="0" t="n">
        <f aca="false">1</f>
        <v>1</v>
      </c>
      <c r="H1629" s="0" t="n">
        <f aca="false">D1629</f>
        <v>-0.375</v>
      </c>
      <c r="I1629" s="0" t="n">
        <f aca="false">E1629</f>
        <v>0.25</v>
      </c>
      <c r="J1629" s="0" t="n">
        <f aca="false">F1629</f>
        <v>0.125</v>
      </c>
      <c r="K1629" s="0" t="n">
        <f aca="false">D1629*E1629</f>
        <v>-0.09375</v>
      </c>
      <c r="L1629" s="0" t="n">
        <f aca="false">D1629*F1629</f>
        <v>-0.046875</v>
      </c>
      <c r="M1629" s="0" t="n">
        <f aca="false">E1629*F1629</f>
        <v>0.03125</v>
      </c>
      <c r="N1629" s="0" t="n">
        <f aca="false">D1629*D1629</f>
        <v>0.140625</v>
      </c>
      <c r="O1629" s="0" t="n">
        <f aca="false">E1629*E1629</f>
        <v>0.0625</v>
      </c>
      <c r="P1629" s="0" t="n">
        <f aca="false">F1629*F1629</f>
        <v>0.015625</v>
      </c>
      <c r="Q1629" s="0" t="n">
        <f aca="false">SUMPRODUCT(G1629:P1629,_XtX!$B$71:$K$71)</f>
        <v>47.5011931818182</v>
      </c>
      <c r="R1629" s="0" t="n">
        <f aca="false">SUMPRODUCT(MMULT(G1629:P1629,_XtX!$B$58:$K$67),G1629:P1629)</f>
        <v>0.127103493430398</v>
      </c>
      <c r="S1629" s="0" t="n">
        <f aca="false">04_回帰ANOVA!$K$19*04_回帰ANOVA!$K$14*SQRT(1+R1629)</f>
        <v>0.987071321387587</v>
      </c>
      <c r="T1629" s="0" t="n">
        <f aca="false">Q1629-S1629</f>
        <v>46.5141218604306</v>
      </c>
      <c r="U1629" s="0" t="n">
        <f aca="false">Q1629+S1629</f>
        <v>48.4882645032058</v>
      </c>
      <c r="V1629" s="54" t="b">
        <f aca="false">AND(D1629&gt;=01_因子設定!$L$5-0.000000001,D1629&lt;=01_因子設定!$M$5+0.000000001,E1629&gt;=01_因子設定!$L$6-0.000000001,E1629&lt;=01_因子設定!$M$6+0.000000001,F1629&gt;=01_因子設定!$L$7-0.000000001,F1629&lt;=01_因子設定!$M$7+0.000000001,IF(01_因子設定!$B$20="Box-Behnken",D1629^2+E1629^2+F1629^2&lt;=2+0.000000001,TRUE()))</f>
        <v>1</v>
      </c>
      <c r="W1629" s="55" t="n">
        <f aca="false">IF(V1629,IF(01_因子設定!$B$13="最大化",T1629-01_因子設定!$B$14,IF(01_因子設定!$B$13="最小化",01_因子設定!$B$15-U1629,MIN(T1629-01_因子設定!$B$14,01_因子設定!$B$15-U1629))),-1E+030)</f>
        <v>-1.9858781395694</v>
      </c>
      <c r="X1629" s="55" t="n">
        <f aca="false">IF(V1629,IF(01_因子設定!$B$13="最大化",Q1629,IF(01_因子設定!$B$13="最小化",-Q1629,-ABS(Q1629-01_因子設定!$B$16))),-1E+030)</f>
        <v>47.5011931818182</v>
      </c>
      <c r="Y1629" s="55" t="n">
        <f aca="false">W1629+ROW()*0.000000001</f>
        <v>-1.9858765105694</v>
      </c>
      <c r="Z1629" s="55" t="n">
        <f aca="false">X1629+ROW()*0.000000001</f>
        <v>47.5011948108182</v>
      </c>
    </row>
    <row r="1630" customFormat="false" ht="15" hidden="false" customHeight="false" outlineLevel="0" collapsed="false">
      <c r="A1630" s="0" t="n">
        <v>5</v>
      </c>
      <c r="B1630" s="0" t="n">
        <v>10</v>
      </c>
      <c r="C1630" s="0" t="n">
        <v>10</v>
      </c>
      <c r="D1630" s="0" t="n">
        <f aca="false">-1+A1630*0.125</f>
        <v>-0.375</v>
      </c>
      <c r="E1630" s="0" t="n">
        <f aca="false">-1+B1630*0.125</f>
        <v>0.25</v>
      </c>
      <c r="F1630" s="0" t="n">
        <f aca="false">-1+C1630*0.125</f>
        <v>0.25</v>
      </c>
      <c r="G1630" s="0" t="n">
        <f aca="false">1</f>
        <v>1</v>
      </c>
      <c r="H1630" s="0" t="n">
        <f aca="false">D1630</f>
        <v>-0.375</v>
      </c>
      <c r="I1630" s="0" t="n">
        <f aca="false">E1630</f>
        <v>0.25</v>
      </c>
      <c r="J1630" s="0" t="n">
        <f aca="false">F1630</f>
        <v>0.25</v>
      </c>
      <c r="K1630" s="0" t="n">
        <f aca="false">D1630*E1630</f>
        <v>-0.09375</v>
      </c>
      <c r="L1630" s="0" t="n">
        <f aca="false">D1630*F1630</f>
        <v>-0.09375</v>
      </c>
      <c r="M1630" s="0" t="n">
        <f aca="false">E1630*F1630</f>
        <v>0.0625</v>
      </c>
      <c r="N1630" s="0" t="n">
        <f aca="false">D1630*D1630</f>
        <v>0.140625</v>
      </c>
      <c r="O1630" s="0" t="n">
        <f aca="false">E1630*E1630</f>
        <v>0.0625</v>
      </c>
      <c r="P1630" s="0" t="n">
        <f aca="false">F1630*F1630</f>
        <v>0.0625</v>
      </c>
      <c r="Q1630" s="0" t="n">
        <f aca="false">SUMPRODUCT(G1630:P1630,_XtX!$B$71:$K$71)</f>
        <v>47.6396022727273</v>
      </c>
      <c r="R1630" s="0" t="n">
        <f aca="false">SUMPRODUCT(MMULT(G1630:P1630,_XtX!$B$58:$K$67),G1630:P1630)</f>
        <v>0.127454723011364</v>
      </c>
      <c r="S1630" s="0" t="n">
        <f aca="false">04_回帰ANOVA!$K$19*04_回帰ANOVA!$K$14*SQRT(1+R1630)</f>
        <v>0.987225105686864</v>
      </c>
      <c r="T1630" s="0" t="n">
        <f aca="false">Q1630-S1630</f>
        <v>46.6523771670404</v>
      </c>
      <c r="U1630" s="0" t="n">
        <f aca="false">Q1630+S1630</f>
        <v>48.6268273784142</v>
      </c>
      <c r="V1630" s="54" t="b">
        <f aca="false">AND(D1630&gt;=01_因子設定!$L$5-0.000000001,D1630&lt;=01_因子設定!$M$5+0.000000001,E1630&gt;=01_因子設定!$L$6-0.000000001,E1630&lt;=01_因子設定!$M$6+0.000000001,F1630&gt;=01_因子設定!$L$7-0.000000001,F1630&lt;=01_因子設定!$M$7+0.000000001,IF(01_因子設定!$B$20="Box-Behnken",D1630^2+E1630^2+F1630^2&lt;=2+0.000000001,TRUE()))</f>
        <v>1</v>
      </c>
      <c r="W1630" s="55" t="n">
        <f aca="false">IF(V1630,IF(01_因子設定!$B$13="最大化",T1630-01_因子設定!$B$14,IF(01_因子設定!$B$13="最小化",01_因子設定!$B$15-U1630,MIN(T1630-01_因子設定!$B$14,01_因子設定!$B$15-U1630))),-1E+030)</f>
        <v>-1.84762283295959</v>
      </c>
      <c r="X1630" s="55" t="n">
        <f aca="false">IF(V1630,IF(01_因子設定!$B$13="最大化",Q1630,IF(01_因子設定!$B$13="最小化",-Q1630,-ABS(Q1630-01_因子設定!$B$16))),-1E+030)</f>
        <v>47.6396022727273</v>
      </c>
      <c r="Y1630" s="55" t="n">
        <f aca="false">W1630+ROW()*0.000000001</f>
        <v>-1.84762120295959</v>
      </c>
      <c r="Z1630" s="55" t="n">
        <f aca="false">X1630+ROW()*0.000000001</f>
        <v>47.6396039027273</v>
      </c>
    </row>
    <row r="1631" customFormat="false" ht="15" hidden="false" customHeight="false" outlineLevel="0" collapsed="false">
      <c r="A1631" s="0" t="n">
        <v>5</v>
      </c>
      <c r="B1631" s="0" t="n">
        <v>10</v>
      </c>
      <c r="C1631" s="0" t="n">
        <v>11</v>
      </c>
      <c r="D1631" s="0" t="n">
        <f aca="false">-1+A1631*0.125</f>
        <v>-0.375</v>
      </c>
      <c r="E1631" s="0" t="n">
        <f aca="false">-1+B1631*0.125</f>
        <v>0.25</v>
      </c>
      <c r="F1631" s="0" t="n">
        <f aca="false">-1+C1631*0.125</f>
        <v>0.375</v>
      </c>
      <c r="G1631" s="0" t="n">
        <f aca="false">1</f>
        <v>1</v>
      </c>
      <c r="H1631" s="0" t="n">
        <f aca="false">D1631</f>
        <v>-0.375</v>
      </c>
      <c r="I1631" s="0" t="n">
        <f aca="false">E1631</f>
        <v>0.25</v>
      </c>
      <c r="J1631" s="0" t="n">
        <f aca="false">F1631</f>
        <v>0.375</v>
      </c>
      <c r="K1631" s="0" t="n">
        <f aca="false">D1631*E1631</f>
        <v>-0.09375</v>
      </c>
      <c r="L1631" s="0" t="n">
        <f aca="false">D1631*F1631</f>
        <v>-0.140625</v>
      </c>
      <c r="M1631" s="0" t="n">
        <f aca="false">E1631*F1631</f>
        <v>0.09375</v>
      </c>
      <c r="N1631" s="0" t="n">
        <f aca="false">D1631*D1631</f>
        <v>0.140625</v>
      </c>
      <c r="O1631" s="0" t="n">
        <f aca="false">E1631*E1631</f>
        <v>0.0625</v>
      </c>
      <c r="P1631" s="0" t="n">
        <f aca="false">F1631*F1631</f>
        <v>0.140625</v>
      </c>
      <c r="Q1631" s="0" t="n">
        <f aca="false">SUMPRODUCT(G1631:P1631,_XtX!$B$71:$K$71)</f>
        <v>47.7412215909091</v>
      </c>
      <c r="R1631" s="0" t="n">
        <f aca="false">SUMPRODUCT(MMULT(G1631:P1631,_XtX!$B$58:$K$67),G1631:P1631)</f>
        <v>0.131591242009943</v>
      </c>
      <c r="S1631" s="0" t="n">
        <f aca="false">04_回帰ANOVA!$K$19*04_回帰ANOVA!$K$14*SQRT(1+R1631)</f>
        <v>0.989034462873572</v>
      </c>
      <c r="T1631" s="0" t="n">
        <f aca="false">Q1631-S1631</f>
        <v>46.7521871280355</v>
      </c>
      <c r="U1631" s="0" t="n">
        <f aca="false">Q1631+S1631</f>
        <v>48.7302560537827</v>
      </c>
      <c r="V1631" s="54" t="b">
        <f aca="false">AND(D1631&gt;=01_因子設定!$L$5-0.000000001,D1631&lt;=01_因子設定!$M$5+0.000000001,E1631&gt;=01_因子設定!$L$6-0.000000001,E1631&lt;=01_因子設定!$M$6+0.000000001,F1631&gt;=01_因子設定!$L$7-0.000000001,F1631&lt;=01_因子設定!$M$7+0.000000001,IF(01_因子設定!$B$20="Box-Behnken",D1631^2+E1631^2+F1631^2&lt;=2+0.000000001,TRUE()))</f>
        <v>1</v>
      </c>
      <c r="W1631" s="55" t="n">
        <f aca="false">IF(V1631,IF(01_因子設定!$B$13="最大化",T1631-01_因子設定!$B$14,IF(01_因子設定!$B$13="最小化",01_因子設定!$B$15-U1631,MIN(T1631-01_因子設定!$B$14,01_因子設定!$B$15-U1631))),-1E+030)</f>
        <v>-1.74781287196447</v>
      </c>
      <c r="X1631" s="55" t="n">
        <f aca="false">IF(V1631,IF(01_因子設定!$B$13="最大化",Q1631,IF(01_因子設定!$B$13="最小化",-Q1631,-ABS(Q1631-01_因子設定!$B$16))),-1E+030)</f>
        <v>47.7412215909091</v>
      </c>
      <c r="Y1631" s="55" t="n">
        <f aca="false">W1631+ROW()*0.000000001</f>
        <v>-1.74781124096447</v>
      </c>
      <c r="Z1631" s="55" t="n">
        <f aca="false">X1631+ROW()*0.000000001</f>
        <v>47.7412232219091</v>
      </c>
    </row>
    <row r="1632" customFormat="false" ht="15" hidden="false" customHeight="false" outlineLevel="0" collapsed="false">
      <c r="A1632" s="0" t="n">
        <v>5</v>
      </c>
      <c r="B1632" s="0" t="n">
        <v>10</v>
      </c>
      <c r="C1632" s="0" t="n">
        <v>12</v>
      </c>
      <c r="D1632" s="0" t="n">
        <f aca="false">-1+A1632*0.125</f>
        <v>-0.375</v>
      </c>
      <c r="E1632" s="0" t="n">
        <f aca="false">-1+B1632*0.125</f>
        <v>0.25</v>
      </c>
      <c r="F1632" s="0" t="n">
        <f aca="false">-1+C1632*0.125</f>
        <v>0.5</v>
      </c>
      <c r="G1632" s="0" t="n">
        <f aca="false">1</f>
        <v>1</v>
      </c>
      <c r="H1632" s="0" t="n">
        <f aca="false">D1632</f>
        <v>-0.375</v>
      </c>
      <c r="I1632" s="0" t="n">
        <f aca="false">E1632</f>
        <v>0.25</v>
      </c>
      <c r="J1632" s="0" t="n">
        <f aca="false">F1632</f>
        <v>0.5</v>
      </c>
      <c r="K1632" s="0" t="n">
        <f aca="false">D1632*E1632</f>
        <v>-0.09375</v>
      </c>
      <c r="L1632" s="0" t="n">
        <f aca="false">D1632*F1632</f>
        <v>-0.1875</v>
      </c>
      <c r="M1632" s="0" t="n">
        <f aca="false">E1632*F1632</f>
        <v>0.125</v>
      </c>
      <c r="N1632" s="0" t="n">
        <f aca="false">D1632*D1632</f>
        <v>0.140625</v>
      </c>
      <c r="O1632" s="0" t="n">
        <f aca="false">E1632*E1632</f>
        <v>0.0625</v>
      </c>
      <c r="P1632" s="0" t="n">
        <f aca="false">F1632*F1632</f>
        <v>0.25</v>
      </c>
      <c r="Q1632" s="0" t="n">
        <f aca="false">SUMPRODUCT(G1632:P1632,_XtX!$B$71:$K$71)</f>
        <v>47.8060511363637</v>
      </c>
      <c r="R1632" s="0" t="n">
        <f aca="false">SUMPRODUCT(MMULT(G1632:P1632,_XtX!$B$58:$K$67),G1632:P1632)</f>
        <v>0.144839754971591</v>
      </c>
      <c r="S1632" s="0" t="n">
        <f aca="false">04_回帰ANOVA!$K$19*04_回帰ANOVA!$K$14*SQRT(1+R1632)</f>
        <v>0.994807353995542</v>
      </c>
      <c r="T1632" s="0" t="n">
        <f aca="false">Q1632-S1632</f>
        <v>46.8112437823681</v>
      </c>
      <c r="U1632" s="0" t="n">
        <f aca="false">Q1632+S1632</f>
        <v>48.8008584903592</v>
      </c>
      <c r="V1632" s="54" t="b">
        <f aca="false">AND(D1632&gt;=01_因子設定!$L$5-0.000000001,D1632&lt;=01_因子設定!$M$5+0.000000001,E1632&gt;=01_因子設定!$L$6-0.000000001,E1632&lt;=01_因子設定!$M$6+0.000000001,F1632&gt;=01_因子設定!$L$7-0.000000001,F1632&lt;=01_因子設定!$M$7+0.000000001,IF(01_因子設定!$B$20="Box-Behnken",D1632^2+E1632^2+F1632^2&lt;=2+0.000000001,TRUE()))</f>
        <v>1</v>
      </c>
      <c r="W1632" s="55" t="n">
        <f aca="false">IF(V1632,IF(01_因子設定!$B$13="最大化",T1632-01_因子設定!$B$14,IF(01_因子設定!$B$13="最小化",01_因子設定!$B$15-U1632,MIN(T1632-01_因子設定!$B$14,01_因子設定!$B$15-U1632))),-1E+030)</f>
        <v>-1.68875621763189</v>
      </c>
      <c r="X1632" s="55" t="n">
        <f aca="false">IF(V1632,IF(01_因子設定!$B$13="最大化",Q1632,IF(01_因子設定!$B$13="最小化",-Q1632,-ABS(Q1632-01_因子設定!$B$16))),-1E+030)</f>
        <v>47.8060511363637</v>
      </c>
      <c r="Y1632" s="55" t="n">
        <f aca="false">W1632+ROW()*0.000000001</f>
        <v>-1.68875458563189</v>
      </c>
      <c r="Z1632" s="55" t="n">
        <f aca="false">X1632+ROW()*0.000000001</f>
        <v>47.8060527683637</v>
      </c>
    </row>
    <row r="1633" customFormat="false" ht="15" hidden="false" customHeight="false" outlineLevel="0" collapsed="false">
      <c r="A1633" s="0" t="n">
        <v>5</v>
      </c>
      <c r="B1633" s="0" t="n">
        <v>10</v>
      </c>
      <c r="C1633" s="0" t="n">
        <v>13</v>
      </c>
      <c r="D1633" s="0" t="n">
        <f aca="false">-1+A1633*0.125</f>
        <v>-0.375</v>
      </c>
      <c r="E1633" s="0" t="n">
        <f aca="false">-1+B1633*0.125</f>
        <v>0.25</v>
      </c>
      <c r="F1633" s="0" t="n">
        <f aca="false">-1+C1633*0.125</f>
        <v>0.625</v>
      </c>
      <c r="G1633" s="0" t="n">
        <f aca="false">1</f>
        <v>1</v>
      </c>
      <c r="H1633" s="0" t="n">
        <f aca="false">D1633</f>
        <v>-0.375</v>
      </c>
      <c r="I1633" s="0" t="n">
        <f aca="false">E1633</f>
        <v>0.25</v>
      </c>
      <c r="J1633" s="0" t="n">
        <f aca="false">F1633</f>
        <v>0.625</v>
      </c>
      <c r="K1633" s="0" t="n">
        <f aca="false">D1633*E1633</f>
        <v>-0.09375</v>
      </c>
      <c r="L1633" s="0" t="n">
        <f aca="false">D1633*F1633</f>
        <v>-0.234375</v>
      </c>
      <c r="M1633" s="0" t="n">
        <f aca="false">E1633*F1633</f>
        <v>0.15625</v>
      </c>
      <c r="N1633" s="0" t="n">
        <f aca="false">D1633*D1633</f>
        <v>0.140625</v>
      </c>
      <c r="O1633" s="0" t="n">
        <f aca="false">E1633*E1633</f>
        <v>0.0625</v>
      </c>
      <c r="P1633" s="0" t="n">
        <f aca="false">F1633*F1633</f>
        <v>0.390625</v>
      </c>
      <c r="Q1633" s="0" t="n">
        <f aca="false">SUMPRODUCT(G1633:P1633,_XtX!$B$71:$K$71)</f>
        <v>47.8340909090909</v>
      </c>
      <c r="R1633" s="0" t="n">
        <f aca="false">SUMPRODUCT(MMULT(G1633:P1633,_XtX!$B$58:$K$67),G1633:P1633)</f>
        <v>0.174657648259943</v>
      </c>
      <c r="S1633" s="0" t="n">
        <f aca="false">04_回帰ANOVA!$K$19*04_回帰ANOVA!$K$14*SQRT(1+R1633)</f>
        <v>1.00767919364845</v>
      </c>
      <c r="T1633" s="0" t="n">
        <f aca="false">Q1633-S1633</f>
        <v>46.8264117154425</v>
      </c>
      <c r="U1633" s="0" t="n">
        <f aca="false">Q1633+S1633</f>
        <v>48.8417701027394</v>
      </c>
      <c r="V1633" s="54" t="b">
        <f aca="false">AND(D1633&gt;=01_因子設定!$L$5-0.000000001,D1633&lt;=01_因子設定!$M$5+0.000000001,E1633&gt;=01_因子設定!$L$6-0.000000001,E1633&lt;=01_因子設定!$M$6+0.000000001,F1633&gt;=01_因子設定!$L$7-0.000000001,F1633&lt;=01_因子設定!$M$7+0.000000001,IF(01_因子設定!$B$20="Box-Behnken",D1633^2+E1633^2+F1633^2&lt;=2+0.000000001,TRUE()))</f>
        <v>1</v>
      </c>
      <c r="W1633" s="55" t="n">
        <f aca="false">IF(V1633,IF(01_因子設定!$B$13="最大化",T1633-01_因子設定!$B$14,IF(01_因子設定!$B$13="最小化",01_因子設定!$B$15-U1633,MIN(T1633-01_因子設定!$B$14,01_因子設定!$B$15-U1633))),-1E+030)</f>
        <v>-1.67358828455752</v>
      </c>
      <c r="X1633" s="55" t="n">
        <f aca="false">IF(V1633,IF(01_因子設定!$B$13="最大化",Q1633,IF(01_因子設定!$B$13="最小化",-Q1633,-ABS(Q1633-01_因子設定!$B$16))),-1E+030)</f>
        <v>47.8340909090909</v>
      </c>
      <c r="Y1633" s="55" t="n">
        <f aca="false">W1633+ROW()*0.000000001</f>
        <v>-1.67358665155752</v>
      </c>
      <c r="Z1633" s="55" t="n">
        <f aca="false">X1633+ROW()*0.000000001</f>
        <v>47.8340925420909</v>
      </c>
    </row>
    <row r="1634" customFormat="false" ht="15" hidden="false" customHeight="false" outlineLevel="0" collapsed="false">
      <c r="A1634" s="0" t="n">
        <v>5</v>
      </c>
      <c r="B1634" s="0" t="n">
        <v>10</v>
      </c>
      <c r="C1634" s="0" t="n">
        <v>14</v>
      </c>
      <c r="D1634" s="0" t="n">
        <f aca="false">-1+A1634*0.125</f>
        <v>-0.375</v>
      </c>
      <c r="E1634" s="0" t="n">
        <f aca="false">-1+B1634*0.125</f>
        <v>0.25</v>
      </c>
      <c r="F1634" s="0" t="n">
        <f aca="false">-1+C1634*0.125</f>
        <v>0.75</v>
      </c>
      <c r="G1634" s="0" t="n">
        <f aca="false">1</f>
        <v>1</v>
      </c>
      <c r="H1634" s="0" t="n">
        <f aca="false">D1634</f>
        <v>-0.375</v>
      </c>
      <c r="I1634" s="0" t="n">
        <f aca="false">E1634</f>
        <v>0.25</v>
      </c>
      <c r="J1634" s="0" t="n">
        <f aca="false">F1634</f>
        <v>0.75</v>
      </c>
      <c r="K1634" s="0" t="n">
        <f aca="false">D1634*E1634</f>
        <v>-0.09375</v>
      </c>
      <c r="L1634" s="0" t="n">
        <f aca="false">D1634*F1634</f>
        <v>-0.28125</v>
      </c>
      <c r="M1634" s="0" t="n">
        <f aca="false">E1634*F1634</f>
        <v>0.1875</v>
      </c>
      <c r="N1634" s="0" t="n">
        <f aca="false">D1634*D1634</f>
        <v>0.140625</v>
      </c>
      <c r="O1634" s="0" t="n">
        <f aca="false">E1634*E1634</f>
        <v>0.0625</v>
      </c>
      <c r="P1634" s="0" t="n">
        <f aca="false">F1634*F1634</f>
        <v>0.5625</v>
      </c>
      <c r="Q1634" s="0" t="n">
        <f aca="false">SUMPRODUCT(G1634:P1634,_XtX!$B$71:$K$71)</f>
        <v>47.8253409090909</v>
      </c>
      <c r="R1634" s="0" t="n">
        <f aca="false">SUMPRODUCT(MMULT(G1634:P1634,_XtX!$B$58:$K$67),G1634:P1634)</f>
        <v>0.230632990056818</v>
      </c>
      <c r="S1634" s="0" t="n">
        <f aca="false">04_回帰ANOVA!$K$19*04_回帰ANOVA!$K$14*SQRT(1+R1634)</f>
        <v>1.03140899038819</v>
      </c>
      <c r="T1634" s="0" t="n">
        <f aca="false">Q1634-S1634</f>
        <v>46.7939319187027</v>
      </c>
      <c r="U1634" s="0" t="n">
        <f aca="false">Q1634+S1634</f>
        <v>48.8567498994791</v>
      </c>
      <c r="V1634" s="54" t="b">
        <f aca="false">AND(D1634&gt;=01_因子設定!$L$5-0.000000001,D1634&lt;=01_因子設定!$M$5+0.000000001,E1634&gt;=01_因子設定!$L$6-0.000000001,E1634&lt;=01_因子設定!$M$6+0.000000001,F1634&gt;=01_因子設定!$L$7-0.000000001,F1634&lt;=01_因子設定!$M$7+0.000000001,IF(01_因子設定!$B$20="Box-Behnken",D1634^2+E1634^2+F1634^2&lt;=2+0.000000001,TRUE()))</f>
        <v>1</v>
      </c>
      <c r="W1634" s="55" t="n">
        <f aca="false">IF(V1634,IF(01_因子設定!$B$13="最大化",T1634-01_因子設定!$B$14,IF(01_因子設定!$B$13="最小化",01_因子設定!$B$15-U1634,MIN(T1634-01_因子設定!$B$14,01_因子設定!$B$15-U1634))),-1E+030)</f>
        <v>-1.70606808129726</v>
      </c>
      <c r="X1634" s="55" t="n">
        <f aca="false">IF(V1634,IF(01_因子設定!$B$13="最大化",Q1634,IF(01_因子設定!$B$13="最小化",-Q1634,-ABS(Q1634-01_因子設定!$B$16))),-1E+030)</f>
        <v>47.8253409090909</v>
      </c>
      <c r="Y1634" s="55" t="n">
        <f aca="false">W1634+ROW()*0.000000001</f>
        <v>-1.70606644729726</v>
      </c>
      <c r="Z1634" s="55" t="n">
        <f aca="false">X1634+ROW()*0.000000001</f>
        <v>47.8253425430909</v>
      </c>
    </row>
    <row r="1635" customFormat="false" ht="15" hidden="false" customHeight="false" outlineLevel="0" collapsed="false">
      <c r="A1635" s="0" t="n">
        <v>5</v>
      </c>
      <c r="B1635" s="0" t="n">
        <v>10</v>
      </c>
      <c r="C1635" s="0" t="n">
        <v>15</v>
      </c>
      <c r="D1635" s="0" t="n">
        <f aca="false">-1+A1635*0.125</f>
        <v>-0.375</v>
      </c>
      <c r="E1635" s="0" t="n">
        <f aca="false">-1+B1635*0.125</f>
        <v>0.25</v>
      </c>
      <c r="F1635" s="0" t="n">
        <f aca="false">-1+C1635*0.125</f>
        <v>0.875</v>
      </c>
      <c r="G1635" s="0" t="n">
        <f aca="false">1</f>
        <v>1</v>
      </c>
      <c r="H1635" s="0" t="n">
        <f aca="false">D1635</f>
        <v>-0.375</v>
      </c>
      <c r="I1635" s="0" t="n">
        <f aca="false">E1635</f>
        <v>0.25</v>
      </c>
      <c r="J1635" s="0" t="n">
        <f aca="false">F1635</f>
        <v>0.875</v>
      </c>
      <c r="K1635" s="0" t="n">
        <f aca="false">D1635*E1635</f>
        <v>-0.09375</v>
      </c>
      <c r="L1635" s="0" t="n">
        <f aca="false">D1635*F1635</f>
        <v>-0.328125</v>
      </c>
      <c r="M1635" s="0" t="n">
        <f aca="false">E1635*F1635</f>
        <v>0.21875</v>
      </c>
      <c r="N1635" s="0" t="n">
        <f aca="false">D1635*D1635</f>
        <v>0.140625</v>
      </c>
      <c r="O1635" s="0" t="n">
        <f aca="false">E1635*E1635</f>
        <v>0.0625</v>
      </c>
      <c r="P1635" s="0" t="n">
        <f aca="false">F1635*F1635</f>
        <v>0.765625</v>
      </c>
      <c r="Q1635" s="0" t="n">
        <f aca="false">SUMPRODUCT(G1635:P1635,_XtX!$B$71:$K$71)</f>
        <v>47.7798011363637</v>
      </c>
      <c r="R1635" s="0" t="n">
        <f aca="false">SUMPRODUCT(MMULT(G1635:P1635,_XtX!$B$58:$K$67),G1635:P1635)</f>
        <v>0.324484530362216</v>
      </c>
      <c r="S1635" s="0" t="n">
        <f aca="false">04_回帰ANOVA!$K$19*04_回帰ANOVA!$K$14*SQRT(1+R1635)</f>
        <v>1.07001553041279</v>
      </c>
      <c r="T1635" s="0" t="n">
        <f aca="false">Q1635-S1635</f>
        <v>46.7097856059509</v>
      </c>
      <c r="U1635" s="0" t="n">
        <f aca="false">Q1635+S1635</f>
        <v>48.8498166667765</v>
      </c>
      <c r="V1635" s="54" t="b">
        <f aca="false">AND(D1635&gt;=01_因子設定!$L$5-0.000000001,D1635&lt;=01_因子設定!$M$5+0.000000001,E1635&gt;=01_因子設定!$L$6-0.000000001,E1635&lt;=01_因子設定!$M$6+0.000000001,F1635&gt;=01_因子設定!$L$7-0.000000001,F1635&lt;=01_因子設定!$M$7+0.000000001,IF(01_因子設定!$B$20="Box-Behnken",D1635^2+E1635^2+F1635^2&lt;=2+0.000000001,TRUE()))</f>
        <v>1</v>
      </c>
      <c r="W1635" s="55" t="n">
        <f aca="false">IF(V1635,IF(01_因子設定!$B$13="最大化",T1635-01_因子設定!$B$14,IF(01_因子設定!$B$13="最小化",01_因子設定!$B$15-U1635,MIN(T1635-01_因子設定!$B$14,01_因子設定!$B$15-U1635))),-1E+030)</f>
        <v>-1.79021439404913</v>
      </c>
      <c r="X1635" s="55" t="n">
        <f aca="false">IF(V1635,IF(01_因子設定!$B$13="最大化",Q1635,IF(01_因子設定!$B$13="最小化",-Q1635,-ABS(Q1635-01_因子設定!$B$16))),-1E+030)</f>
        <v>47.7798011363637</v>
      </c>
      <c r="Y1635" s="55" t="n">
        <f aca="false">W1635+ROW()*0.000000001</f>
        <v>-1.79021275904913</v>
      </c>
      <c r="Z1635" s="55" t="n">
        <f aca="false">X1635+ROW()*0.000000001</f>
        <v>47.7798027713637</v>
      </c>
    </row>
    <row r="1636" customFormat="false" ht="15" hidden="false" customHeight="false" outlineLevel="0" collapsed="false">
      <c r="A1636" s="0" t="n">
        <v>5</v>
      </c>
      <c r="B1636" s="0" t="n">
        <v>10</v>
      </c>
      <c r="C1636" s="0" t="n">
        <v>16</v>
      </c>
      <c r="D1636" s="0" t="n">
        <f aca="false">-1+A1636*0.125</f>
        <v>-0.375</v>
      </c>
      <c r="E1636" s="0" t="n">
        <f aca="false">-1+B1636*0.125</f>
        <v>0.25</v>
      </c>
      <c r="F1636" s="0" t="n">
        <f aca="false">-1+C1636*0.125</f>
        <v>1</v>
      </c>
      <c r="G1636" s="0" t="n">
        <f aca="false">1</f>
        <v>1</v>
      </c>
      <c r="H1636" s="0" t="n">
        <f aca="false">D1636</f>
        <v>-0.375</v>
      </c>
      <c r="I1636" s="0" t="n">
        <f aca="false">E1636</f>
        <v>0.25</v>
      </c>
      <c r="J1636" s="0" t="n">
        <f aca="false">F1636</f>
        <v>1</v>
      </c>
      <c r="K1636" s="0" t="n">
        <f aca="false">D1636*E1636</f>
        <v>-0.09375</v>
      </c>
      <c r="L1636" s="0" t="n">
        <f aca="false">D1636*F1636</f>
        <v>-0.375</v>
      </c>
      <c r="M1636" s="0" t="n">
        <f aca="false">E1636*F1636</f>
        <v>0.25</v>
      </c>
      <c r="N1636" s="0" t="n">
        <f aca="false">D1636*D1636</f>
        <v>0.140625</v>
      </c>
      <c r="O1636" s="0" t="n">
        <f aca="false">E1636*E1636</f>
        <v>0.0625</v>
      </c>
      <c r="P1636" s="0" t="n">
        <f aca="false">F1636*F1636</f>
        <v>1</v>
      </c>
      <c r="Q1636" s="0" t="n">
        <f aca="false">SUMPRODUCT(G1636:P1636,_XtX!$B$71:$K$71)</f>
        <v>47.6974715909091</v>
      </c>
      <c r="R1636" s="0" t="n">
        <f aca="false">SUMPRODUCT(MMULT(G1636:P1636,_XtX!$B$58:$K$67),G1636:P1636)</f>
        <v>0.470061700994318</v>
      </c>
      <c r="S1636" s="0" t="n">
        <f aca="false">04_回帰ANOVA!$K$19*04_回帰ANOVA!$K$14*SQRT(1+R1636)</f>
        <v>1.12728678965931</v>
      </c>
      <c r="T1636" s="0" t="n">
        <f aca="false">Q1636-S1636</f>
        <v>46.5701848012498</v>
      </c>
      <c r="U1636" s="0" t="n">
        <f aca="false">Q1636+S1636</f>
        <v>48.8247583805684</v>
      </c>
      <c r="V1636" s="54" t="b">
        <f aca="false">AND(D1636&gt;=01_因子設定!$L$5-0.000000001,D1636&lt;=01_因子設定!$M$5+0.000000001,E1636&gt;=01_因子設定!$L$6-0.000000001,E1636&lt;=01_因子設定!$M$6+0.000000001,F1636&gt;=01_因子設定!$L$7-0.000000001,F1636&lt;=01_因子設定!$M$7+0.000000001,IF(01_因子設定!$B$20="Box-Behnken",D1636^2+E1636^2+F1636^2&lt;=2+0.000000001,TRUE()))</f>
        <v>1</v>
      </c>
      <c r="W1636" s="55" t="n">
        <f aca="false">IF(V1636,IF(01_因子設定!$B$13="最大化",T1636-01_因子設定!$B$14,IF(01_因子設定!$B$13="最小化",01_因子設定!$B$15-U1636,MIN(T1636-01_因子設定!$B$14,01_因子設定!$B$15-U1636))),-1E+030)</f>
        <v>-1.92981519875019</v>
      </c>
      <c r="X1636" s="55" t="n">
        <f aca="false">IF(V1636,IF(01_因子設定!$B$13="最大化",Q1636,IF(01_因子設定!$B$13="最小化",-Q1636,-ABS(Q1636-01_因子設定!$B$16))),-1E+030)</f>
        <v>47.6974715909091</v>
      </c>
      <c r="Y1636" s="55" t="n">
        <f aca="false">W1636+ROW()*0.000000001</f>
        <v>-1.92981356275019</v>
      </c>
      <c r="Z1636" s="55" t="n">
        <f aca="false">X1636+ROW()*0.000000001</f>
        <v>47.6974732269091</v>
      </c>
    </row>
    <row r="1637" customFormat="false" ht="15" hidden="false" customHeight="false" outlineLevel="0" collapsed="false">
      <c r="A1637" s="0" t="n">
        <v>5</v>
      </c>
      <c r="B1637" s="0" t="n">
        <v>11</v>
      </c>
      <c r="C1637" s="0" t="n">
        <v>0</v>
      </c>
      <c r="D1637" s="0" t="n">
        <f aca="false">-1+A1637*0.125</f>
        <v>-0.375</v>
      </c>
      <c r="E1637" s="0" t="n">
        <f aca="false">-1+B1637*0.125</f>
        <v>0.375</v>
      </c>
      <c r="F1637" s="0" t="n">
        <f aca="false">-1+C1637*0.125</f>
        <v>-1</v>
      </c>
      <c r="G1637" s="0" t="n">
        <f aca="false">1</f>
        <v>1</v>
      </c>
      <c r="H1637" s="0" t="n">
        <f aca="false">D1637</f>
        <v>-0.375</v>
      </c>
      <c r="I1637" s="0" t="n">
        <f aca="false">E1637</f>
        <v>0.375</v>
      </c>
      <c r="J1637" s="0" t="n">
        <f aca="false">F1637</f>
        <v>-1</v>
      </c>
      <c r="K1637" s="0" t="n">
        <f aca="false">D1637*E1637</f>
        <v>-0.140625</v>
      </c>
      <c r="L1637" s="0" t="n">
        <f aca="false">D1637*F1637</f>
        <v>0.375</v>
      </c>
      <c r="M1637" s="0" t="n">
        <f aca="false">E1637*F1637</f>
        <v>-0.375</v>
      </c>
      <c r="N1637" s="0" t="n">
        <f aca="false">D1637*D1637</f>
        <v>0.140625</v>
      </c>
      <c r="O1637" s="0" t="n">
        <f aca="false">E1637*E1637</f>
        <v>0.140625</v>
      </c>
      <c r="P1637" s="0" t="n">
        <f aca="false">F1637*F1637</f>
        <v>1</v>
      </c>
      <c r="Q1637" s="0" t="n">
        <f aca="false">SUMPRODUCT(G1637:P1637,_XtX!$B$71:$K$71)</f>
        <v>44.5866690340909</v>
      </c>
      <c r="R1637" s="0" t="n">
        <f aca="false">SUMPRODUCT(MMULT(G1637:P1637,_XtX!$B$58:$K$67),G1637:P1637)</f>
        <v>0.463378351384943</v>
      </c>
      <c r="S1637" s="0" t="n">
        <f aca="false">04_回帰ANOVA!$K$19*04_回帰ANOVA!$K$14*SQRT(1+R1637)</f>
        <v>1.12472137547772</v>
      </c>
      <c r="T1637" s="0" t="n">
        <f aca="false">Q1637-S1637</f>
        <v>43.4619476586132</v>
      </c>
      <c r="U1637" s="0" t="n">
        <f aca="false">Q1637+S1637</f>
        <v>45.7113904095687</v>
      </c>
      <c r="V1637" s="54" t="b">
        <f aca="false">AND(D1637&gt;=01_因子設定!$L$5-0.000000001,D1637&lt;=01_因子設定!$M$5+0.000000001,E1637&gt;=01_因子設定!$L$6-0.000000001,E1637&lt;=01_因子設定!$M$6+0.000000001,F1637&gt;=01_因子設定!$L$7-0.000000001,F1637&lt;=01_因子設定!$M$7+0.000000001,IF(01_因子設定!$B$20="Box-Behnken",D1637^2+E1637^2+F1637^2&lt;=2+0.000000001,TRUE()))</f>
        <v>1</v>
      </c>
      <c r="W1637" s="55" t="n">
        <f aca="false">IF(V1637,IF(01_因子設定!$B$13="最大化",T1637-01_因子設定!$B$14,IF(01_因子設定!$B$13="最小化",01_因子設定!$B$15-U1637,MIN(T1637-01_因子設定!$B$14,01_因子設定!$B$15-U1637))),-1E+030)</f>
        <v>-5.03805234138679</v>
      </c>
      <c r="X1637" s="55" t="n">
        <f aca="false">IF(V1637,IF(01_因子設定!$B$13="最大化",Q1637,IF(01_因子設定!$B$13="最小化",-Q1637,-ABS(Q1637-01_因子設定!$B$16))),-1E+030)</f>
        <v>44.5866690340909</v>
      </c>
      <c r="Y1637" s="55" t="n">
        <f aca="false">W1637+ROW()*0.000000001</f>
        <v>-5.03805070438679</v>
      </c>
      <c r="Z1637" s="55" t="n">
        <f aca="false">X1637+ROW()*0.000000001</f>
        <v>44.5866706710909</v>
      </c>
    </row>
    <row r="1638" customFormat="false" ht="15" hidden="false" customHeight="false" outlineLevel="0" collapsed="false">
      <c r="A1638" s="0" t="n">
        <v>5</v>
      </c>
      <c r="B1638" s="0" t="n">
        <v>11</v>
      </c>
      <c r="C1638" s="0" t="n">
        <v>1</v>
      </c>
      <c r="D1638" s="0" t="n">
        <f aca="false">-1+A1638*0.125</f>
        <v>-0.375</v>
      </c>
      <c r="E1638" s="0" t="n">
        <f aca="false">-1+B1638*0.125</f>
        <v>0.375</v>
      </c>
      <c r="F1638" s="0" t="n">
        <f aca="false">-1+C1638*0.125</f>
        <v>-0.875</v>
      </c>
      <c r="G1638" s="0" t="n">
        <f aca="false">1</f>
        <v>1</v>
      </c>
      <c r="H1638" s="0" t="n">
        <f aca="false">D1638</f>
        <v>-0.375</v>
      </c>
      <c r="I1638" s="0" t="n">
        <f aca="false">E1638</f>
        <v>0.375</v>
      </c>
      <c r="J1638" s="0" t="n">
        <f aca="false">F1638</f>
        <v>-0.875</v>
      </c>
      <c r="K1638" s="0" t="n">
        <f aca="false">D1638*E1638</f>
        <v>-0.140625</v>
      </c>
      <c r="L1638" s="0" t="n">
        <f aca="false">D1638*F1638</f>
        <v>0.328125</v>
      </c>
      <c r="M1638" s="0" t="n">
        <f aca="false">E1638*F1638</f>
        <v>-0.328125</v>
      </c>
      <c r="N1638" s="0" t="n">
        <f aca="false">D1638*D1638</f>
        <v>0.140625</v>
      </c>
      <c r="O1638" s="0" t="n">
        <f aca="false">E1638*E1638</f>
        <v>0.140625</v>
      </c>
      <c r="P1638" s="0" t="n">
        <f aca="false">F1638*F1638</f>
        <v>0.765625</v>
      </c>
      <c r="Q1638" s="0" t="n">
        <f aca="false">SUMPRODUCT(G1638:P1638,_XtX!$B$71:$K$71)</f>
        <v>45.0632173295455</v>
      </c>
      <c r="R1638" s="0" t="n">
        <f aca="false">SUMPRODUCT(MMULT(G1638:P1638,_XtX!$B$58:$K$67),G1638:P1638)</f>
        <v>0.32050614790483</v>
      </c>
      <c r="S1638" s="0" t="n">
        <f aca="false">04_回帰ANOVA!$K$19*04_回帰ANOVA!$K$14*SQRT(1+R1638)</f>
        <v>1.06840730759619</v>
      </c>
      <c r="T1638" s="0" t="n">
        <f aca="false">Q1638-S1638</f>
        <v>43.9948100219493</v>
      </c>
      <c r="U1638" s="0" t="n">
        <f aca="false">Q1638+S1638</f>
        <v>46.1316246371417</v>
      </c>
      <c r="V1638" s="54" t="b">
        <f aca="false">AND(D1638&gt;=01_因子設定!$L$5-0.000000001,D1638&lt;=01_因子設定!$M$5+0.000000001,E1638&gt;=01_因子設定!$L$6-0.000000001,E1638&lt;=01_因子設定!$M$6+0.000000001,F1638&gt;=01_因子設定!$L$7-0.000000001,F1638&lt;=01_因子設定!$M$7+0.000000001,IF(01_因子設定!$B$20="Box-Behnken",D1638^2+E1638^2+F1638^2&lt;=2+0.000000001,TRUE()))</f>
        <v>1</v>
      </c>
      <c r="W1638" s="55" t="n">
        <f aca="false">IF(V1638,IF(01_因子設定!$B$13="最大化",T1638-01_因子設定!$B$14,IF(01_因子設定!$B$13="最小化",01_因子設定!$B$15-U1638,MIN(T1638-01_因子設定!$B$14,01_因子設定!$B$15-U1638))),-1E+030)</f>
        <v>-4.50518997805072</v>
      </c>
      <c r="X1638" s="55" t="n">
        <f aca="false">IF(V1638,IF(01_因子設定!$B$13="最大化",Q1638,IF(01_因子設定!$B$13="最小化",-Q1638,-ABS(Q1638-01_因子設定!$B$16))),-1E+030)</f>
        <v>45.0632173295455</v>
      </c>
      <c r="Y1638" s="55" t="n">
        <f aca="false">W1638+ROW()*0.000000001</f>
        <v>-4.50518834005072</v>
      </c>
      <c r="Z1638" s="55" t="n">
        <f aca="false">X1638+ROW()*0.000000001</f>
        <v>45.0632189675455</v>
      </c>
    </row>
    <row r="1639" customFormat="false" ht="15" hidden="false" customHeight="false" outlineLevel="0" collapsed="false">
      <c r="A1639" s="0" t="n">
        <v>5</v>
      </c>
      <c r="B1639" s="0" t="n">
        <v>11</v>
      </c>
      <c r="C1639" s="0" t="n">
        <v>2</v>
      </c>
      <c r="D1639" s="0" t="n">
        <f aca="false">-1+A1639*0.125</f>
        <v>-0.375</v>
      </c>
      <c r="E1639" s="0" t="n">
        <f aca="false">-1+B1639*0.125</f>
        <v>0.375</v>
      </c>
      <c r="F1639" s="0" t="n">
        <f aca="false">-1+C1639*0.125</f>
        <v>-0.75</v>
      </c>
      <c r="G1639" s="0" t="n">
        <f aca="false">1</f>
        <v>1</v>
      </c>
      <c r="H1639" s="0" t="n">
        <f aca="false">D1639</f>
        <v>-0.375</v>
      </c>
      <c r="I1639" s="0" t="n">
        <f aca="false">E1639</f>
        <v>0.375</v>
      </c>
      <c r="J1639" s="0" t="n">
        <f aca="false">F1639</f>
        <v>-0.75</v>
      </c>
      <c r="K1639" s="0" t="n">
        <f aca="false">D1639*E1639</f>
        <v>-0.140625</v>
      </c>
      <c r="L1639" s="0" t="n">
        <f aca="false">D1639*F1639</f>
        <v>0.28125</v>
      </c>
      <c r="M1639" s="0" t="n">
        <f aca="false">E1639*F1639</f>
        <v>-0.28125</v>
      </c>
      <c r="N1639" s="0" t="n">
        <f aca="false">D1639*D1639</f>
        <v>0.140625</v>
      </c>
      <c r="O1639" s="0" t="n">
        <f aca="false">E1639*E1639</f>
        <v>0.140625</v>
      </c>
      <c r="P1639" s="0" t="n">
        <f aca="false">F1639*F1639</f>
        <v>0.5625</v>
      </c>
      <c r="Q1639" s="0" t="n">
        <f aca="false">SUMPRODUCT(G1639:P1639,_XtX!$B$71:$K$71)</f>
        <v>45.5029758522728</v>
      </c>
      <c r="R1639" s="0" t="n">
        <f aca="false">SUMPRODUCT(MMULT(G1639:P1639,_XtX!$B$58:$K$67),G1639:P1639)</f>
        <v>0.228998912464489</v>
      </c>
      <c r="S1639" s="0" t="n">
        <f aca="false">04_回帰ANOVA!$K$19*04_回帰ANOVA!$K$14*SQRT(1+R1639)</f>
        <v>1.03072399242813</v>
      </c>
      <c r="T1639" s="0" t="n">
        <f aca="false">Q1639-S1639</f>
        <v>44.4722518598446</v>
      </c>
      <c r="U1639" s="0" t="n">
        <f aca="false">Q1639+S1639</f>
        <v>46.5336998447009</v>
      </c>
      <c r="V1639" s="54" t="b">
        <f aca="false">AND(D1639&gt;=01_因子設定!$L$5-0.000000001,D1639&lt;=01_因子設定!$M$5+0.000000001,E1639&gt;=01_因子設定!$L$6-0.000000001,E1639&lt;=01_因子設定!$M$6+0.000000001,F1639&gt;=01_因子設定!$L$7-0.000000001,F1639&lt;=01_因子設定!$M$7+0.000000001,IF(01_因子設定!$B$20="Box-Behnken",D1639^2+E1639^2+F1639^2&lt;=2+0.000000001,TRUE()))</f>
        <v>1</v>
      </c>
      <c r="W1639" s="55" t="n">
        <f aca="false">IF(V1639,IF(01_因子設定!$B$13="最大化",T1639-01_因子設定!$B$14,IF(01_因子設定!$B$13="最小化",01_因子設定!$B$15-U1639,MIN(T1639-01_因子設定!$B$14,01_因子設定!$B$15-U1639))),-1E+030)</f>
        <v>-4.02774814015538</v>
      </c>
      <c r="X1639" s="55" t="n">
        <f aca="false">IF(V1639,IF(01_因子設定!$B$13="最大化",Q1639,IF(01_因子設定!$B$13="最小化",-Q1639,-ABS(Q1639-01_因子設定!$B$16))),-1E+030)</f>
        <v>45.5029758522728</v>
      </c>
      <c r="Y1639" s="55" t="n">
        <f aca="false">W1639+ROW()*0.000000001</f>
        <v>-4.02774650115538</v>
      </c>
      <c r="Z1639" s="55" t="n">
        <f aca="false">X1639+ROW()*0.000000001</f>
        <v>45.5029774912727</v>
      </c>
    </row>
    <row r="1640" customFormat="false" ht="15" hidden="false" customHeight="false" outlineLevel="0" collapsed="false">
      <c r="A1640" s="0" t="n">
        <v>5</v>
      </c>
      <c r="B1640" s="0" t="n">
        <v>11</v>
      </c>
      <c r="C1640" s="0" t="n">
        <v>3</v>
      </c>
      <c r="D1640" s="0" t="n">
        <f aca="false">-1+A1640*0.125</f>
        <v>-0.375</v>
      </c>
      <c r="E1640" s="0" t="n">
        <f aca="false">-1+B1640*0.125</f>
        <v>0.375</v>
      </c>
      <c r="F1640" s="0" t="n">
        <f aca="false">-1+C1640*0.125</f>
        <v>-0.625</v>
      </c>
      <c r="G1640" s="0" t="n">
        <f aca="false">1</f>
        <v>1</v>
      </c>
      <c r="H1640" s="0" t="n">
        <f aca="false">D1640</f>
        <v>-0.375</v>
      </c>
      <c r="I1640" s="0" t="n">
        <f aca="false">E1640</f>
        <v>0.375</v>
      </c>
      <c r="J1640" s="0" t="n">
        <f aca="false">F1640</f>
        <v>-0.625</v>
      </c>
      <c r="K1640" s="0" t="n">
        <f aca="false">D1640*E1640</f>
        <v>-0.140625</v>
      </c>
      <c r="L1640" s="0" t="n">
        <f aca="false">D1640*F1640</f>
        <v>0.234375</v>
      </c>
      <c r="M1640" s="0" t="n">
        <f aca="false">E1640*F1640</f>
        <v>-0.234375</v>
      </c>
      <c r="N1640" s="0" t="n">
        <f aca="false">D1640*D1640</f>
        <v>0.140625</v>
      </c>
      <c r="O1640" s="0" t="n">
        <f aca="false">E1640*E1640</f>
        <v>0.140625</v>
      </c>
      <c r="P1640" s="0" t="n">
        <f aca="false">F1640*F1640</f>
        <v>0.390625</v>
      </c>
      <c r="Q1640" s="0" t="n">
        <f aca="false">SUMPRODUCT(G1640:P1640,_XtX!$B$71:$K$71)</f>
        <v>45.9059446022727</v>
      </c>
      <c r="R1640" s="0" t="n">
        <f aca="false">SUMPRODUCT(MMULT(G1640:P1640,_XtX!$B$58:$K$67),G1640:P1640)</f>
        <v>0.175007213245739</v>
      </c>
      <c r="S1640" s="0" t="n">
        <f aca="false">04_回帰ANOVA!$K$19*04_回帰ANOVA!$K$14*SQRT(1+R1640)</f>
        <v>1.0078291195273</v>
      </c>
      <c r="T1640" s="0" t="n">
        <f aca="false">Q1640-S1640</f>
        <v>44.8981154827454</v>
      </c>
      <c r="U1640" s="0" t="n">
        <f aca="false">Q1640+S1640</f>
        <v>46.9137737218</v>
      </c>
      <c r="V1640" s="54" t="b">
        <f aca="false">AND(D1640&gt;=01_因子設定!$L$5-0.000000001,D1640&lt;=01_因子設定!$M$5+0.000000001,E1640&gt;=01_因子設定!$L$6-0.000000001,E1640&lt;=01_因子設定!$M$6+0.000000001,F1640&gt;=01_因子設定!$L$7-0.000000001,F1640&lt;=01_因子設定!$M$7+0.000000001,IF(01_因子設定!$B$20="Box-Behnken",D1640^2+E1640^2+F1640^2&lt;=2+0.000000001,TRUE()))</f>
        <v>1</v>
      </c>
      <c r="W1640" s="55" t="n">
        <f aca="false">IF(V1640,IF(01_因子設定!$B$13="最大化",T1640-01_因子設定!$B$14,IF(01_因子設定!$B$13="最小化",01_因子設定!$B$15-U1640,MIN(T1640-01_因子設定!$B$14,01_因子設定!$B$15-U1640))),-1E+030)</f>
        <v>-3.60188451725456</v>
      </c>
      <c r="X1640" s="55" t="n">
        <f aca="false">IF(V1640,IF(01_因子設定!$B$13="最大化",Q1640,IF(01_因子設定!$B$13="最小化",-Q1640,-ABS(Q1640-01_因子設定!$B$16))),-1E+030)</f>
        <v>45.9059446022727</v>
      </c>
      <c r="Y1640" s="55" t="n">
        <f aca="false">W1640+ROW()*0.000000001</f>
        <v>-3.60188287725456</v>
      </c>
      <c r="Z1640" s="55" t="n">
        <f aca="false">X1640+ROW()*0.000000001</f>
        <v>45.9059462422727</v>
      </c>
    </row>
    <row r="1641" customFormat="false" ht="15" hidden="false" customHeight="false" outlineLevel="0" collapsed="false">
      <c r="A1641" s="0" t="n">
        <v>5</v>
      </c>
      <c r="B1641" s="0" t="n">
        <v>11</v>
      </c>
      <c r="C1641" s="0" t="n">
        <v>4</v>
      </c>
      <c r="D1641" s="0" t="n">
        <f aca="false">-1+A1641*0.125</f>
        <v>-0.375</v>
      </c>
      <c r="E1641" s="0" t="n">
        <f aca="false">-1+B1641*0.125</f>
        <v>0.375</v>
      </c>
      <c r="F1641" s="0" t="n">
        <f aca="false">-1+C1641*0.125</f>
        <v>-0.5</v>
      </c>
      <c r="G1641" s="0" t="n">
        <f aca="false">1</f>
        <v>1</v>
      </c>
      <c r="H1641" s="0" t="n">
        <f aca="false">D1641</f>
        <v>-0.375</v>
      </c>
      <c r="I1641" s="0" t="n">
        <f aca="false">E1641</f>
        <v>0.375</v>
      </c>
      <c r="J1641" s="0" t="n">
        <f aca="false">F1641</f>
        <v>-0.5</v>
      </c>
      <c r="K1641" s="0" t="n">
        <f aca="false">D1641*E1641</f>
        <v>-0.140625</v>
      </c>
      <c r="L1641" s="0" t="n">
        <f aca="false">D1641*F1641</f>
        <v>0.1875</v>
      </c>
      <c r="M1641" s="0" t="n">
        <f aca="false">E1641*F1641</f>
        <v>-0.1875</v>
      </c>
      <c r="N1641" s="0" t="n">
        <f aca="false">D1641*D1641</f>
        <v>0.140625</v>
      </c>
      <c r="O1641" s="0" t="n">
        <f aca="false">E1641*E1641</f>
        <v>0.140625</v>
      </c>
      <c r="P1641" s="0" t="n">
        <f aca="false">F1641*F1641</f>
        <v>0.25</v>
      </c>
      <c r="Q1641" s="0" t="n">
        <f aca="false">SUMPRODUCT(G1641:P1641,_XtX!$B$71:$K$71)</f>
        <v>46.2721235795455</v>
      </c>
      <c r="R1641" s="0" t="n">
        <f aca="false">SUMPRODUCT(MMULT(G1641:P1641,_XtX!$B$58:$K$67),G1641:P1641)</f>
        <v>0.14681230024858</v>
      </c>
      <c r="S1641" s="0" t="n">
        <f aca="false">04_回帰ANOVA!$K$19*04_回帰ANOVA!$K$14*SQRT(1+R1641)</f>
        <v>0.995664005771711</v>
      </c>
      <c r="T1641" s="0" t="n">
        <f aca="false">Q1641-S1641</f>
        <v>45.2764595737738</v>
      </c>
      <c r="U1641" s="0" t="n">
        <f aca="false">Q1641+S1641</f>
        <v>47.2677875853172</v>
      </c>
      <c r="V1641" s="54" t="b">
        <f aca="false">AND(D1641&gt;=01_因子設定!$L$5-0.000000001,D1641&lt;=01_因子設定!$M$5+0.000000001,E1641&gt;=01_因子設定!$L$6-0.000000001,E1641&lt;=01_因子設定!$M$6+0.000000001,F1641&gt;=01_因子設定!$L$7-0.000000001,F1641&lt;=01_因子設定!$M$7+0.000000001,IF(01_因子設定!$B$20="Box-Behnken",D1641^2+E1641^2+F1641^2&lt;=2+0.000000001,TRUE()))</f>
        <v>1</v>
      </c>
      <c r="W1641" s="55" t="n">
        <f aca="false">IF(V1641,IF(01_因子設定!$B$13="最大化",T1641-01_因子設定!$B$14,IF(01_因子設定!$B$13="最小化",01_因子設定!$B$15-U1641,MIN(T1641-01_因子設定!$B$14,01_因子設定!$B$15-U1641))),-1E+030)</f>
        <v>-3.22354042622624</v>
      </c>
      <c r="X1641" s="55" t="n">
        <f aca="false">IF(V1641,IF(01_因子設定!$B$13="最大化",Q1641,IF(01_因子設定!$B$13="最小化",-Q1641,-ABS(Q1641-01_因子設定!$B$16))),-1E+030)</f>
        <v>46.2721235795455</v>
      </c>
      <c r="Y1641" s="55" t="n">
        <f aca="false">W1641+ROW()*0.000000001</f>
        <v>-3.22353878522624</v>
      </c>
      <c r="Z1641" s="55" t="n">
        <f aca="false">X1641+ROW()*0.000000001</f>
        <v>46.2721252205455</v>
      </c>
    </row>
    <row r="1642" customFormat="false" ht="15" hidden="false" customHeight="false" outlineLevel="0" collapsed="false">
      <c r="A1642" s="0" t="n">
        <v>5</v>
      </c>
      <c r="B1642" s="0" t="n">
        <v>11</v>
      </c>
      <c r="C1642" s="0" t="n">
        <v>5</v>
      </c>
      <c r="D1642" s="0" t="n">
        <f aca="false">-1+A1642*0.125</f>
        <v>-0.375</v>
      </c>
      <c r="E1642" s="0" t="n">
        <f aca="false">-1+B1642*0.125</f>
        <v>0.375</v>
      </c>
      <c r="F1642" s="0" t="n">
        <f aca="false">-1+C1642*0.125</f>
        <v>-0.375</v>
      </c>
      <c r="G1642" s="0" t="n">
        <f aca="false">1</f>
        <v>1</v>
      </c>
      <c r="H1642" s="0" t="n">
        <f aca="false">D1642</f>
        <v>-0.375</v>
      </c>
      <c r="I1642" s="0" t="n">
        <f aca="false">E1642</f>
        <v>0.375</v>
      </c>
      <c r="J1642" s="0" t="n">
        <f aca="false">F1642</f>
        <v>-0.375</v>
      </c>
      <c r="K1642" s="0" t="n">
        <f aca="false">D1642*E1642</f>
        <v>-0.140625</v>
      </c>
      <c r="L1642" s="0" t="n">
        <f aca="false">D1642*F1642</f>
        <v>0.140625</v>
      </c>
      <c r="M1642" s="0" t="n">
        <f aca="false">E1642*F1642</f>
        <v>-0.140625</v>
      </c>
      <c r="N1642" s="0" t="n">
        <f aca="false">D1642*D1642</f>
        <v>0.140625</v>
      </c>
      <c r="O1642" s="0" t="n">
        <f aca="false">E1642*E1642</f>
        <v>0.140625</v>
      </c>
      <c r="P1642" s="0" t="n">
        <f aca="false">F1642*F1642</f>
        <v>0.140625</v>
      </c>
      <c r="Q1642" s="0" t="n">
        <f aca="false">SUMPRODUCT(G1642:P1642,_XtX!$B$71:$K$71)</f>
        <v>46.6015127840909</v>
      </c>
      <c r="R1642" s="0" t="n">
        <f aca="false">SUMPRODUCT(MMULT(G1642:P1642,_XtX!$B$58:$K$67),G1642:P1642)</f>
        <v>0.134826105291193</v>
      </c>
      <c r="S1642" s="0" t="n">
        <f aca="false">04_回帰ANOVA!$K$19*04_回帰ANOVA!$K$14*SQRT(1+R1642)</f>
        <v>0.990447123160393</v>
      </c>
      <c r="T1642" s="0" t="n">
        <f aca="false">Q1642-S1642</f>
        <v>45.6110656609305</v>
      </c>
      <c r="U1642" s="0" t="n">
        <f aca="false">Q1642+S1642</f>
        <v>47.5919599072513</v>
      </c>
      <c r="V1642" s="54" t="b">
        <f aca="false">AND(D1642&gt;=01_因子設定!$L$5-0.000000001,D1642&lt;=01_因子設定!$M$5+0.000000001,E1642&gt;=01_因子設定!$L$6-0.000000001,E1642&lt;=01_因子設定!$M$6+0.000000001,F1642&gt;=01_因子設定!$L$7-0.000000001,F1642&lt;=01_因子設定!$M$7+0.000000001,IF(01_因子設定!$B$20="Box-Behnken",D1642^2+E1642^2+F1642^2&lt;=2+0.000000001,TRUE()))</f>
        <v>1</v>
      </c>
      <c r="W1642" s="55" t="n">
        <f aca="false">IF(V1642,IF(01_因子設定!$B$13="最大化",T1642-01_因子設定!$B$14,IF(01_因子設定!$B$13="最小化",01_因子設定!$B$15-U1642,MIN(T1642-01_因子設定!$B$14,01_因子設定!$B$15-U1642))),-1E+030)</f>
        <v>-2.88893433906948</v>
      </c>
      <c r="X1642" s="55" t="n">
        <f aca="false">IF(V1642,IF(01_因子設定!$B$13="最大化",Q1642,IF(01_因子設定!$B$13="最小化",-Q1642,-ABS(Q1642-01_因子設定!$B$16))),-1E+030)</f>
        <v>46.6015127840909</v>
      </c>
      <c r="Y1642" s="55" t="n">
        <f aca="false">W1642+ROW()*0.000000001</f>
        <v>-2.88893269706948</v>
      </c>
      <c r="Z1642" s="55" t="n">
        <f aca="false">X1642+ROW()*0.000000001</f>
        <v>46.6015144260909</v>
      </c>
    </row>
    <row r="1643" customFormat="false" ht="15" hidden="false" customHeight="false" outlineLevel="0" collapsed="false">
      <c r="A1643" s="0" t="n">
        <v>5</v>
      </c>
      <c r="B1643" s="0" t="n">
        <v>11</v>
      </c>
      <c r="C1643" s="0" t="n">
        <v>6</v>
      </c>
      <c r="D1643" s="0" t="n">
        <f aca="false">-1+A1643*0.125</f>
        <v>-0.375</v>
      </c>
      <c r="E1643" s="0" t="n">
        <f aca="false">-1+B1643*0.125</f>
        <v>0.375</v>
      </c>
      <c r="F1643" s="0" t="n">
        <f aca="false">-1+C1643*0.125</f>
        <v>-0.25</v>
      </c>
      <c r="G1643" s="0" t="n">
        <f aca="false">1</f>
        <v>1</v>
      </c>
      <c r="H1643" s="0" t="n">
        <f aca="false">D1643</f>
        <v>-0.375</v>
      </c>
      <c r="I1643" s="0" t="n">
        <f aca="false">E1643</f>
        <v>0.375</v>
      </c>
      <c r="J1643" s="0" t="n">
        <f aca="false">F1643</f>
        <v>-0.25</v>
      </c>
      <c r="K1643" s="0" t="n">
        <f aca="false">D1643*E1643</f>
        <v>-0.140625</v>
      </c>
      <c r="L1643" s="0" t="n">
        <f aca="false">D1643*F1643</f>
        <v>0.09375</v>
      </c>
      <c r="M1643" s="0" t="n">
        <f aca="false">E1643*F1643</f>
        <v>-0.09375</v>
      </c>
      <c r="N1643" s="0" t="n">
        <f aca="false">D1643*D1643</f>
        <v>0.140625</v>
      </c>
      <c r="O1643" s="0" t="n">
        <f aca="false">E1643*E1643</f>
        <v>0.140625</v>
      </c>
      <c r="P1643" s="0" t="n">
        <f aca="false">F1643*F1643</f>
        <v>0.0625</v>
      </c>
      <c r="Q1643" s="0" t="n">
        <f aca="false">SUMPRODUCT(G1643:P1643,_XtX!$B$71:$K$71)</f>
        <v>46.8941122159091</v>
      </c>
      <c r="R1643" s="0" t="n">
        <f aca="false">SUMPRODUCT(MMULT(G1643:P1643,_XtX!$B$58:$K$67),G1643:P1643)</f>
        <v>0.131591242009943</v>
      </c>
      <c r="S1643" s="0" t="n">
        <f aca="false">04_回帰ANOVA!$K$19*04_回帰ANOVA!$K$14*SQRT(1+R1643)</f>
        <v>0.989034462873572</v>
      </c>
      <c r="T1643" s="0" t="n">
        <f aca="false">Q1643-S1643</f>
        <v>45.9050777530355</v>
      </c>
      <c r="U1643" s="0" t="n">
        <f aca="false">Q1643+S1643</f>
        <v>47.8831466787827</v>
      </c>
      <c r="V1643" s="54" t="b">
        <f aca="false">AND(D1643&gt;=01_因子設定!$L$5-0.000000001,D1643&lt;=01_因子設定!$M$5+0.000000001,E1643&gt;=01_因子設定!$L$6-0.000000001,E1643&lt;=01_因子設定!$M$6+0.000000001,F1643&gt;=01_因子設定!$L$7-0.000000001,F1643&lt;=01_因子設定!$M$7+0.000000001,IF(01_因子設定!$B$20="Box-Behnken",D1643^2+E1643^2+F1643^2&lt;=2+0.000000001,TRUE()))</f>
        <v>1</v>
      </c>
      <c r="W1643" s="55" t="n">
        <f aca="false">IF(V1643,IF(01_因子設定!$B$13="最大化",T1643-01_因子設定!$B$14,IF(01_因子設定!$B$13="最小化",01_因子設定!$B$15-U1643,MIN(T1643-01_因子設定!$B$14,01_因子設定!$B$15-U1643))),-1E+030)</f>
        <v>-2.59492224696447</v>
      </c>
      <c r="X1643" s="55" t="n">
        <f aca="false">IF(V1643,IF(01_因子設定!$B$13="最大化",Q1643,IF(01_因子設定!$B$13="最小化",-Q1643,-ABS(Q1643-01_因子設定!$B$16))),-1E+030)</f>
        <v>46.8941122159091</v>
      </c>
      <c r="Y1643" s="55" t="n">
        <f aca="false">W1643+ROW()*0.000000001</f>
        <v>-2.59492060396447</v>
      </c>
      <c r="Z1643" s="55" t="n">
        <f aca="false">X1643+ROW()*0.000000001</f>
        <v>46.8941138589091</v>
      </c>
    </row>
    <row r="1644" customFormat="false" ht="15" hidden="false" customHeight="false" outlineLevel="0" collapsed="false">
      <c r="A1644" s="0" t="n">
        <v>5</v>
      </c>
      <c r="B1644" s="0" t="n">
        <v>11</v>
      </c>
      <c r="C1644" s="0" t="n">
        <v>7</v>
      </c>
      <c r="D1644" s="0" t="n">
        <f aca="false">-1+A1644*0.125</f>
        <v>-0.375</v>
      </c>
      <c r="E1644" s="0" t="n">
        <f aca="false">-1+B1644*0.125</f>
        <v>0.375</v>
      </c>
      <c r="F1644" s="0" t="n">
        <f aca="false">-1+C1644*0.125</f>
        <v>-0.125</v>
      </c>
      <c r="G1644" s="0" t="n">
        <f aca="false">1</f>
        <v>1</v>
      </c>
      <c r="H1644" s="0" t="n">
        <f aca="false">D1644</f>
        <v>-0.375</v>
      </c>
      <c r="I1644" s="0" t="n">
        <f aca="false">E1644</f>
        <v>0.375</v>
      </c>
      <c r="J1644" s="0" t="n">
        <f aca="false">F1644</f>
        <v>-0.125</v>
      </c>
      <c r="K1644" s="0" t="n">
        <f aca="false">D1644*E1644</f>
        <v>-0.140625</v>
      </c>
      <c r="L1644" s="0" t="n">
        <f aca="false">D1644*F1644</f>
        <v>0.046875</v>
      </c>
      <c r="M1644" s="0" t="n">
        <f aca="false">E1644*F1644</f>
        <v>-0.046875</v>
      </c>
      <c r="N1644" s="0" t="n">
        <f aca="false">D1644*D1644</f>
        <v>0.140625</v>
      </c>
      <c r="O1644" s="0" t="n">
        <f aca="false">E1644*E1644</f>
        <v>0.140625</v>
      </c>
      <c r="P1644" s="0" t="n">
        <f aca="false">F1644*F1644</f>
        <v>0.015625</v>
      </c>
      <c r="Q1644" s="0" t="n">
        <f aca="false">SUMPRODUCT(G1644:P1644,_XtX!$B$71:$K$71)</f>
        <v>47.149921875</v>
      </c>
      <c r="R1644" s="0" t="n">
        <f aca="false">SUMPRODUCT(MMULT(G1644:P1644,_XtX!$B$58:$K$67),G1644:P1644)</f>
        <v>0.131781005859375</v>
      </c>
      <c r="S1644" s="0" t="n">
        <f aca="false">04_回帰ANOVA!$K$19*04_回帰ANOVA!$K$14*SQRT(1+R1644)</f>
        <v>0.989117388188007</v>
      </c>
      <c r="T1644" s="0" t="n">
        <f aca="false">Q1644-S1644</f>
        <v>46.160804486812</v>
      </c>
      <c r="U1644" s="0" t="n">
        <f aca="false">Q1644+S1644</f>
        <v>48.139039263188</v>
      </c>
      <c r="V1644" s="54" t="b">
        <f aca="false">AND(D1644&gt;=01_因子設定!$L$5-0.000000001,D1644&lt;=01_因子設定!$M$5+0.000000001,E1644&gt;=01_因子設定!$L$6-0.000000001,E1644&lt;=01_因子設定!$M$6+0.000000001,F1644&gt;=01_因子設定!$L$7-0.000000001,F1644&lt;=01_因子設定!$M$7+0.000000001,IF(01_因子設定!$B$20="Box-Behnken",D1644^2+E1644^2+F1644^2&lt;=2+0.000000001,TRUE()))</f>
        <v>1</v>
      </c>
      <c r="W1644" s="55" t="n">
        <f aca="false">IF(V1644,IF(01_因子設定!$B$13="最大化",T1644-01_因子設定!$B$14,IF(01_因子設定!$B$13="最小化",01_因子設定!$B$15-U1644,MIN(T1644-01_因子設定!$B$14,01_因子設定!$B$15-U1644))),-1E+030)</f>
        <v>-2.339195513188</v>
      </c>
      <c r="X1644" s="55" t="n">
        <f aca="false">IF(V1644,IF(01_因子設定!$B$13="最大化",Q1644,IF(01_因子設定!$B$13="最小化",-Q1644,-ABS(Q1644-01_因子設定!$B$16))),-1E+030)</f>
        <v>47.149921875</v>
      </c>
      <c r="Y1644" s="55" t="n">
        <f aca="false">W1644+ROW()*0.000000001</f>
        <v>-2.339193869188</v>
      </c>
      <c r="Z1644" s="55" t="n">
        <f aca="false">X1644+ROW()*0.000000001</f>
        <v>47.149923519</v>
      </c>
    </row>
    <row r="1645" customFormat="false" ht="15" hidden="false" customHeight="false" outlineLevel="0" collapsed="false">
      <c r="A1645" s="0" t="n">
        <v>5</v>
      </c>
      <c r="B1645" s="0" t="n">
        <v>11</v>
      </c>
      <c r="C1645" s="0" t="n">
        <v>8</v>
      </c>
      <c r="D1645" s="0" t="n">
        <f aca="false">-1+A1645*0.125</f>
        <v>-0.375</v>
      </c>
      <c r="E1645" s="0" t="n">
        <f aca="false">-1+B1645*0.125</f>
        <v>0.375</v>
      </c>
      <c r="F1645" s="0" t="n">
        <f aca="false">-1+C1645*0.125</f>
        <v>0</v>
      </c>
      <c r="G1645" s="0" t="n">
        <f aca="false">1</f>
        <v>1</v>
      </c>
      <c r="H1645" s="0" t="n">
        <f aca="false">D1645</f>
        <v>-0.375</v>
      </c>
      <c r="I1645" s="0" t="n">
        <f aca="false">E1645</f>
        <v>0.375</v>
      </c>
      <c r="J1645" s="0" t="n">
        <f aca="false">F1645</f>
        <v>0</v>
      </c>
      <c r="K1645" s="0" t="n">
        <f aca="false">D1645*E1645</f>
        <v>-0.140625</v>
      </c>
      <c r="L1645" s="0" t="n">
        <f aca="false">D1645*F1645</f>
        <v>-0</v>
      </c>
      <c r="M1645" s="0" t="n">
        <f aca="false">E1645*F1645</f>
        <v>0</v>
      </c>
      <c r="N1645" s="0" t="n">
        <f aca="false">D1645*D1645</f>
        <v>0.140625</v>
      </c>
      <c r="O1645" s="0" t="n">
        <f aca="false">E1645*E1645</f>
        <v>0.140625</v>
      </c>
      <c r="P1645" s="0" t="n">
        <f aca="false">F1645*F1645</f>
        <v>0</v>
      </c>
      <c r="Q1645" s="0" t="n">
        <f aca="false">SUMPRODUCT(G1645:P1645,_XtX!$B$71:$K$71)</f>
        <v>47.3689417613636</v>
      </c>
      <c r="R1645" s="0" t="n">
        <f aca="false">SUMPRODUCT(MMULT(G1645:P1645,_XtX!$B$58:$K$67),G1645:P1645)</f>
        <v>0.132199374112216</v>
      </c>
      <c r="S1645" s="0" t="n">
        <f aca="false">04_回帰ANOVA!$K$19*04_回帰ANOVA!$K$14*SQRT(1+R1645)</f>
        <v>0.989300187279118</v>
      </c>
      <c r="T1645" s="0" t="n">
        <f aca="false">Q1645-S1645</f>
        <v>46.3796415740845</v>
      </c>
      <c r="U1645" s="0" t="n">
        <f aca="false">Q1645+S1645</f>
        <v>48.3582419486428</v>
      </c>
      <c r="V1645" s="54" t="b">
        <f aca="false">AND(D1645&gt;=01_因子設定!$L$5-0.000000001,D1645&lt;=01_因子設定!$M$5+0.000000001,E1645&gt;=01_因子設定!$L$6-0.000000001,E1645&lt;=01_因子設定!$M$6+0.000000001,F1645&gt;=01_因子設定!$L$7-0.000000001,F1645&lt;=01_因子設定!$M$7+0.000000001,IF(01_因子設定!$B$20="Box-Behnken",D1645^2+E1645^2+F1645^2&lt;=2+0.000000001,TRUE()))</f>
        <v>1</v>
      </c>
      <c r="W1645" s="55" t="n">
        <f aca="false">IF(V1645,IF(01_因子設定!$B$13="最大化",T1645-01_因子設定!$B$14,IF(01_因子設定!$B$13="最小化",01_因子設定!$B$15-U1645,MIN(T1645-01_因子設定!$B$14,01_因子設定!$B$15-U1645))),-1E+030)</f>
        <v>-2.12035842591548</v>
      </c>
      <c r="X1645" s="55" t="n">
        <f aca="false">IF(V1645,IF(01_因子設定!$B$13="最大化",Q1645,IF(01_因子設定!$B$13="最小化",-Q1645,-ABS(Q1645-01_因子設定!$B$16))),-1E+030)</f>
        <v>47.3689417613636</v>
      </c>
      <c r="Y1645" s="55" t="n">
        <f aca="false">W1645+ROW()*0.000000001</f>
        <v>-2.12035678091548</v>
      </c>
      <c r="Z1645" s="55" t="n">
        <f aca="false">X1645+ROW()*0.000000001</f>
        <v>47.3689434063636</v>
      </c>
    </row>
    <row r="1646" customFormat="false" ht="15" hidden="false" customHeight="false" outlineLevel="0" collapsed="false">
      <c r="A1646" s="0" t="n">
        <v>5</v>
      </c>
      <c r="B1646" s="0" t="n">
        <v>11</v>
      </c>
      <c r="C1646" s="0" t="n">
        <v>9</v>
      </c>
      <c r="D1646" s="0" t="n">
        <f aca="false">-1+A1646*0.125</f>
        <v>-0.375</v>
      </c>
      <c r="E1646" s="0" t="n">
        <f aca="false">-1+B1646*0.125</f>
        <v>0.375</v>
      </c>
      <c r="F1646" s="0" t="n">
        <f aca="false">-1+C1646*0.125</f>
        <v>0.125</v>
      </c>
      <c r="G1646" s="0" t="n">
        <f aca="false">1</f>
        <v>1</v>
      </c>
      <c r="H1646" s="0" t="n">
        <f aca="false">D1646</f>
        <v>-0.375</v>
      </c>
      <c r="I1646" s="0" t="n">
        <f aca="false">E1646</f>
        <v>0.375</v>
      </c>
      <c r="J1646" s="0" t="n">
        <f aca="false">F1646</f>
        <v>0.125</v>
      </c>
      <c r="K1646" s="0" t="n">
        <f aca="false">D1646*E1646</f>
        <v>-0.140625</v>
      </c>
      <c r="L1646" s="0" t="n">
        <f aca="false">D1646*F1646</f>
        <v>-0.046875</v>
      </c>
      <c r="M1646" s="0" t="n">
        <f aca="false">E1646*F1646</f>
        <v>0.046875</v>
      </c>
      <c r="N1646" s="0" t="n">
        <f aca="false">D1646*D1646</f>
        <v>0.140625</v>
      </c>
      <c r="O1646" s="0" t="n">
        <f aca="false">E1646*E1646</f>
        <v>0.140625</v>
      </c>
      <c r="P1646" s="0" t="n">
        <f aca="false">F1646*F1646</f>
        <v>0.015625</v>
      </c>
      <c r="Q1646" s="0" t="n">
        <f aca="false">SUMPRODUCT(G1646:P1646,_XtX!$B$71:$K$71)</f>
        <v>47.551171875</v>
      </c>
      <c r="R1646" s="0" t="n">
        <f aca="false">SUMPRODUCT(MMULT(G1646:P1646,_XtX!$B$58:$K$67),G1646:P1646)</f>
        <v>0.131781005859375</v>
      </c>
      <c r="S1646" s="0" t="n">
        <f aca="false">04_回帰ANOVA!$K$19*04_回帰ANOVA!$K$14*SQRT(1+R1646)</f>
        <v>0.989117388188007</v>
      </c>
      <c r="T1646" s="0" t="n">
        <f aca="false">Q1646-S1646</f>
        <v>46.562054486812</v>
      </c>
      <c r="U1646" s="0" t="n">
        <f aca="false">Q1646+S1646</f>
        <v>48.540289263188</v>
      </c>
      <c r="V1646" s="54" t="b">
        <f aca="false">AND(D1646&gt;=01_因子設定!$L$5-0.000000001,D1646&lt;=01_因子設定!$M$5+0.000000001,E1646&gt;=01_因子設定!$L$6-0.000000001,E1646&lt;=01_因子設定!$M$6+0.000000001,F1646&gt;=01_因子設定!$L$7-0.000000001,F1646&lt;=01_因子設定!$M$7+0.000000001,IF(01_因子設定!$B$20="Box-Behnken",D1646^2+E1646^2+F1646^2&lt;=2+0.000000001,TRUE()))</f>
        <v>1</v>
      </c>
      <c r="W1646" s="55" t="n">
        <f aca="false">IF(V1646,IF(01_因子設定!$B$13="最大化",T1646-01_因子設定!$B$14,IF(01_因子設定!$B$13="最小化",01_因子設定!$B$15-U1646,MIN(T1646-01_因子設定!$B$14,01_因子設定!$B$15-U1646))),-1E+030)</f>
        <v>-1.937945513188</v>
      </c>
      <c r="X1646" s="55" t="n">
        <f aca="false">IF(V1646,IF(01_因子設定!$B$13="最大化",Q1646,IF(01_因子設定!$B$13="最小化",-Q1646,-ABS(Q1646-01_因子設定!$B$16))),-1E+030)</f>
        <v>47.551171875</v>
      </c>
      <c r="Y1646" s="55" t="n">
        <f aca="false">W1646+ROW()*0.000000001</f>
        <v>-1.937943867188</v>
      </c>
      <c r="Z1646" s="55" t="n">
        <f aca="false">X1646+ROW()*0.000000001</f>
        <v>47.551173521</v>
      </c>
    </row>
    <row r="1647" customFormat="false" ht="15" hidden="false" customHeight="false" outlineLevel="0" collapsed="false">
      <c r="A1647" s="0" t="n">
        <v>5</v>
      </c>
      <c r="B1647" s="0" t="n">
        <v>11</v>
      </c>
      <c r="C1647" s="0" t="n">
        <v>10</v>
      </c>
      <c r="D1647" s="0" t="n">
        <f aca="false">-1+A1647*0.125</f>
        <v>-0.375</v>
      </c>
      <c r="E1647" s="0" t="n">
        <f aca="false">-1+B1647*0.125</f>
        <v>0.375</v>
      </c>
      <c r="F1647" s="0" t="n">
        <f aca="false">-1+C1647*0.125</f>
        <v>0.25</v>
      </c>
      <c r="G1647" s="0" t="n">
        <f aca="false">1</f>
        <v>1</v>
      </c>
      <c r="H1647" s="0" t="n">
        <f aca="false">D1647</f>
        <v>-0.375</v>
      </c>
      <c r="I1647" s="0" t="n">
        <f aca="false">E1647</f>
        <v>0.375</v>
      </c>
      <c r="J1647" s="0" t="n">
        <f aca="false">F1647</f>
        <v>0.25</v>
      </c>
      <c r="K1647" s="0" t="n">
        <f aca="false">D1647*E1647</f>
        <v>-0.140625</v>
      </c>
      <c r="L1647" s="0" t="n">
        <f aca="false">D1647*F1647</f>
        <v>-0.09375</v>
      </c>
      <c r="M1647" s="0" t="n">
        <f aca="false">E1647*F1647</f>
        <v>0.09375</v>
      </c>
      <c r="N1647" s="0" t="n">
        <f aca="false">D1647*D1647</f>
        <v>0.140625</v>
      </c>
      <c r="O1647" s="0" t="n">
        <f aca="false">E1647*E1647</f>
        <v>0.140625</v>
      </c>
      <c r="P1647" s="0" t="n">
        <f aca="false">F1647*F1647</f>
        <v>0.0625</v>
      </c>
      <c r="Q1647" s="0" t="n">
        <f aca="false">SUMPRODUCT(G1647:P1647,_XtX!$B$71:$K$71)</f>
        <v>47.6966122159091</v>
      </c>
      <c r="R1647" s="0" t="n">
        <f aca="false">SUMPRODUCT(MMULT(G1647:P1647,_XtX!$B$58:$K$67),G1647:P1647)</f>
        <v>0.131591242009943</v>
      </c>
      <c r="S1647" s="0" t="n">
        <f aca="false">04_回帰ANOVA!$K$19*04_回帰ANOVA!$K$14*SQRT(1+R1647)</f>
        <v>0.989034462873572</v>
      </c>
      <c r="T1647" s="0" t="n">
        <f aca="false">Q1647-S1647</f>
        <v>46.7075777530355</v>
      </c>
      <c r="U1647" s="0" t="n">
        <f aca="false">Q1647+S1647</f>
        <v>48.6856466787827</v>
      </c>
      <c r="V1647" s="54" t="b">
        <f aca="false">AND(D1647&gt;=01_因子設定!$L$5-0.000000001,D1647&lt;=01_因子設定!$M$5+0.000000001,E1647&gt;=01_因子設定!$L$6-0.000000001,E1647&lt;=01_因子設定!$M$6+0.000000001,F1647&gt;=01_因子設定!$L$7-0.000000001,F1647&lt;=01_因子設定!$M$7+0.000000001,IF(01_因子設定!$B$20="Box-Behnken",D1647^2+E1647^2+F1647^2&lt;=2+0.000000001,TRUE()))</f>
        <v>1</v>
      </c>
      <c r="W1647" s="55" t="n">
        <f aca="false">IF(V1647,IF(01_因子設定!$B$13="最大化",T1647-01_因子設定!$B$14,IF(01_因子設定!$B$13="最小化",01_因子設定!$B$15-U1647,MIN(T1647-01_因子設定!$B$14,01_因子設定!$B$15-U1647))),-1E+030)</f>
        <v>-1.79242224696447</v>
      </c>
      <c r="X1647" s="55" t="n">
        <f aca="false">IF(V1647,IF(01_因子設定!$B$13="最大化",Q1647,IF(01_因子設定!$B$13="最小化",-Q1647,-ABS(Q1647-01_因子設定!$B$16))),-1E+030)</f>
        <v>47.6966122159091</v>
      </c>
      <c r="Y1647" s="55" t="n">
        <f aca="false">W1647+ROW()*0.000000001</f>
        <v>-1.79242059996447</v>
      </c>
      <c r="Z1647" s="55" t="n">
        <f aca="false">X1647+ROW()*0.000000001</f>
        <v>47.6966138629091</v>
      </c>
    </row>
    <row r="1648" customFormat="false" ht="15" hidden="false" customHeight="false" outlineLevel="0" collapsed="false">
      <c r="A1648" s="0" t="n">
        <v>5</v>
      </c>
      <c r="B1648" s="0" t="n">
        <v>11</v>
      </c>
      <c r="C1648" s="0" t="n">
        <v>11</v>
      </c>
      <c r="D1648" s="0" t="n">
        <f aca="false">-1+A1648*0.125</f>
        <v>-0.375</v>
      </c>
      <c r="E1648" s="0" t="n">
        <f aca="false">-1+B1648*0.125</f>
        <v>0.375</v>
      </c>
      <c r="F1648" s="0" t="n">
        <f aca="false">-1+C1648*0.125</f>
        <v>0.375</v>
      </c>
      <c r="G1648" s="0" t="n">
        <f aca="false">1</f>
        <v>1</v>
      </c>
      <c r="H1648" s="0" t="n">
        <f aca="false">D1648</f>
        <v>-0.375</v>
      </c>
      <c r="I1648" s="0" t="n">
        <f aca="false">E1648</f>
        <v>0.375</v>
      </c>
      <c r="J1648" s="0" t="n">
        <f aca="false">F1648</f>
        <v>0.375</v>
      </c>
      <c r="K1648" s="0" t="n">
        <f aca="false">D1648*E1648</f>
        <v>-0.140625</v>
      </c>
      <c r="L1648" s="0" t="n">
        <f aca="false">D1648*F1648</f>
        <v>-0.140625</v>
      </c>
      <c r="M1648" s="0" t="n">
        <f aca="false">E1648*F1648</f>
        <v>0.140625</v>
      </c>
      <c r="N1648" s="0" t="n">
        <f aca="false">D1648*D1648</f>
        <v>0.140625</v>
      </c>
      <c r="O1648" s="0" t="n">
        <f aca="false">E1648*E1648</f>
        <v>0.140625</v>
      </c>
      <c r="P1648" s="0" t="n">
        <f aca="false">F1648*F1648</f>
        <v>0.140625</v>
      </c>
      <c r="Q1648" s="0" t="n">
        <f aca="false">SUMPRODUCT(G1648:P1648,_XtX!$B$71:$K$71)</f>
        <v>47.8052627840909</v>
      </c>
      <c r="R1648" s="0" t="n">
        <f aca="false">SUMPRODUCT(MMULT(G1648:P1648,_XtX!$B$58:$K$67),G1648:P1648)</f>
        <v>0.134826105291193</v>
      </c>
      <c r="S1648" s="0" t="n">
        <f aca="false">04_回帰ANOVA!$K$19*04_回帰ANOVA!$K$14*SQRT(1+R1648)</f>
        <v>0.990447123160393</v>
      </c>
      <c r="T1648" s="0" t="n">
        <f aca="false">Q1648-S1648</f>
        <v>46.8148156609305</v>
      </c>
      <c r="U1648" s="0" t="n">
        <f aca="false">Q1648+S1648</f>
        <v>48.7957099072513</v>
      </c>
      <c r="V1648" s="54" t="b">
        <f aca="false">AND(D1648&gt;=01_因子設定!$L$5-0.000000001,D1648&lt;=01_因子設定!$M$5+0.000000001,E1648&gt;=01_因子設定!$L$6-0.000000001,E1648&lt;=01_因子設定!$M$6+0.000000001,F1648&gt;=01_因子設定!$L$7-0.000000001,F1648&lt;=01_因子設定!$M$7+0.000000001,IF(01_因子設定!$B$20="Box-Behnken",D1648^2+E1648^2+F1648^2&lt;=2+0.000000001,TRUE()))</f>
        <v>1</v>
      </c>
      <c r="W1648" s="55" t="n">
        <f aca="false">IF(V1648,IF(01_因子設定!$B$13="最大化",T1648-01_因子設定!$B$14,IF(01_因子設定!$B$13="最小化",01_因子設定!$B$15-U1648,MIN(T1648-01_因子設定!$B$14,01_因子設定!$B$15-U1648))),-1E+030)</f>
        <v>-1.68518433906947</v>
      </c>
      <c r="X1648" s="55" t="n">
        <f aca="false">IF(V1648,IF(01_因子設定!$B$13="最大化",Q1648,IF(01_因子設定!$B$13="最小化",-Q1648,-ABS(Q1648-01_因子設定!$B$16))),-1E+030)</f>
        <v>47.8052627840909</v>
      </c>
      <c r="Y1648" s="55" t="n">
        <f aca="false">W1648+ROW()*0.000000001</f>
        <v>-1.68518269106947</v>
      </c>
      <c r="Z1648" s="55" t="n">
        <f aca="false">X1648+ROW()*0.000000001</f>
        <v>47.8052644320909</v>
      </c>
    </row>
    <row r="1649" customFormat="false" ht="15" hidden="false" customHeight="false" outlineLevel="0" collapsed="false">
      <c r="A1649" s="0" t="n">
        <v>5</v>
      </c>
      <c r="B1649" s="0" t="n">
        <v>11</v>
      </c>
      <c r="C1649" s="0" t="n">
        <v>12</v>
      </c>
      <c r="D1649" s="0" t="n">
        <f aca="false">-1+A1649*0.125</f>
        <v>-0.375</v>
      </c>
      <c r="E1649" s="0" t="n">
        <f aca="false">-1+B1649*0.125</f>
        <v>0.375</v>
      </c>
      <c r="F1649" s="0" t="n">
        <f aca="false">-1+C1649*0.125</f>
        <v>0.5</v>
      </c>
      <c r="G1649" s="0" t="n">
        <f aca="false">1</f>
        <v>1</v>
      </c>
      <c r="H1649" s="0" t="n">
        <f aca="false">D1649</f>
        <v>-0.375</v>
      </c>
      <c r="I1649" s="0" t="n">
        <f aca="false">E1649</f>
        <v>0.375</v>
      </c>
      <c r="J1649" s="0" t="n">
        <f aca="false">F1649</f>
        <v>0.5</v>
      </c>
      <c r="K1649" s="0" t="n">
        <f aca="false">D1649*E1649</f>
        <v>-0.140625</v>
      </c>
      <c r="L1649" s="0" t="n">
        <f aca="false">D1649*F1649</f>
        <v>-0.1875</v>
      </c>
      <c r="M1649" s="0" t="n">
        <f aca="false">E1649*F1649</f>
        <v>0.1875</v>
      </c>
      <c r="N1649" s="0" t="n">
        <f aca="false">D1649*D1649</f>
        <v>0.140625</v>
      </c>
      <c r="O1649" s="0" t="n">
        <f aca="false">E1649*E1649</f>
        <v>0.140625</v>
      </c>
      <c r="P1649" s="0" t="n">
        <f aca="false">F1649*F1649</f>
        <v>0.25</v>
      </c>
      <c r="Q1649" s="0" t="n">
        <f aca="false">SUMPRODUCT(G1649:P1649,_XtX!$B$71:$K$71)</f>
        <v>47.8771235795455</v>
      </c>
      <c r="R1649" s="0" t="n">
        <f aca="false">SUMPRODUCT(MMULT(G1649:P1649,_XtX!$B$58:$K$67),G1649:P1649)</f>
        <v>0.14681230024858</v>
      </c>
      <c r="S1649" s="0" t="n">
        <f aca="false">04_回帰ANOVA!$K$19*04_回帰ANOVA!$K$14*SQRT(1+R1649)</f>
        <v>0.995664005771711</v>
      </c>
      <c r="T1649" s="0" t="n">
        <f aca="false">Q1649-S1649</f>
        <v>46.8814595737738</v>
      </c>
      <c r="U1649" s="0" t="n">
        <f aca="false">Q1649+S1649</f>
        <v>48.8727875853172</v>
      </c>
      <c r="V1649" s="54" t="b">
        <f aca="false">AND(D1649&gt;=01_因子設定!$L$5-0.000000001,D1649&lt;=01_因子設定!$M$5+0.000000001,E1649&gt;=01_因子設定!$L$6-0.000000001,E1649&lt;=01_因子設定!$M$6+0.000000001,F1649&gt;=01_因子設定!$L$7-0.000000001,F1649&lt;=01_因子設定!$M$7+0.000000001,IF(01_因子設定!$B$20="Box-Behnken",D1649^2+E1649^2+F1649^2&lt;=2+0.000000001,TRUE()))</f>
        <v>1</v>
      </c>
      <c r="W1649" s="55" t="n">
        <f aca="false">IF(V1649,IF(01_因子設定!$B$13="最大化",T1649-01_因子設定!$B$14,IF(01_因子設定!$B$13="最小化",01_因子設定!$B$15-U1649,MIN(T1649-01_因子設定!$B$14,01_因子設定!$B$15-U1649))),-1E+030)</f>
        <v>-1.61854042622624</v>
      </c>
      <c r="X1649" s="55" t="n">
        <f aca="false">IF(V1649,IF(01_因子設定!$B$13="最大化",Q1649,IF(01_因子設定!$B$13="最小化",-Q1649,-ABS(Q1649-01_因子設定!$B$16))),-1E+030)</f>
        <v>47.8771235795455</v>
      </c>
      <c r="Y1649" s="55" t="n">
        <f aca="false">W1649+ROW()*0.000000001</f>
        <v>-1.61853877722624</v>
      </c>
      <c r="Z1649" s="55" t="n">
        <f aca="false">X1649+ROW()*0.000000001</f>
        <v>47.8771252285455</v>
      </c>
    </row>
    <row r="1650" customFormat="false" ht="15" hidden="false" customHeight="false" outlineLevel="0" collapsed="false">
      <c r="A1650" s="0" t="n">
        <v>5</v>
      </c>
      <c r="B1650" s="0" t="n">
        <v>11</v>
      </c>
      <c r="C1650" s="0" t="n">
        <v>13</v>
      </c>
      <c r="D1650" s="0" t="n">
        <f aca="false">-1+A1650*0.125</f>
        <v>-0.375</v>
      </c>
      <c r="E1650" s="0" t="n">
        <f aca="false">-1+B1650*0.125</f>
        <v>0.375</v>
      </c>
      <c r="F1650" s="0" t="n">
        <f aca="false">-1+C1650*0.125</f>
        <v>0.625</v>
      </c>
      <c r="G1650" s="0" t="n">
        <f aca="false">1</f>
        <v>1</v>
      </c>
      <c r="H1650" s="0" t="n">
        <f aca="false">D1650</f>
        <v>-0.375</v>
      </c>
      <c r="I1650" s="0" t="n">
        <f aca="false">E1650</f>
        <v>0.375</v>
      </c>
      <c r="J1650" s="0" t="n">
        <f aca="false">F1650</f>
        <v>0.625</v>
      </c>
      <c r="K1650" s="0" t="n">
        <f aca="false">D1650*E1650</f>
        <v>-0.140625</v>
      </c>
      <c r="L1650" s="0" t="n">
        <f aca="false">D1650*F1650</f>
        <v>-0.234375</v>
      </c>
      <c r="M1650" s="0" t="n">
        <f aca="false">E1650*F1650</f>
        <v>0.234375</v>
      </c>
      <c r="N1650" s="0" t="n">
        <f aca="false">D1650*D1650</f>
        <v>0.140625</v>
      </c>
      <c r="O1650" s="0" t="n">
        <f aca="false">E1650*E1650</f>
        <v>0.140625</v>
      </c>
      <c r="P1650" s="0" t="n">
        <f aca="false">F1650*F1650</f>
        <v>0.390625</v>
      </c>
      <c r="Q1650" s="0" t="n">
        <f aca="false">SUMPRODUCT(G1650:P1650,_XtX!$B$71:$K$71)</f>
        <v>47.9121946022727</v>
      </c>
      <c r="R1650" s="0" t="n">
        <f aca="false">SUMPRODUCT(MMULT(G1650:P1650,_XtX!$B$58:$K$67),G1650:P1650)</f>
        <v>0.175007213245739</v>
      </c>
      <c r="S1650" s="0" t="n">
        <f aca="false">04_回帰ANOVA!$K$19*04_回帰ANOVA!$K$14*SQRT(1+R1650)</f>
        <v>1.0078291195273</v>
      </c>
      <c r="T1650" s="0" t="n">
        <f aca="false">Q1650-S1650</f>
        <v>46.9043654827454</v>
      </c>
      <c r="U1650" s="0" t="n">
        <f aca="false">Q1650+S1650</f>
        <v>48.9200237218</v>
      </c>
      <c r="V1650" s="54" t="b">
        <f aca="false">AND(D1650&gt;=01_因子設定!$L$5-0.000000001,D1650&lt;=01_因子設定!$M$5+0.000000001,E1650&gt;=01_因子設定!$L$6-0.000000001,E1650&lt;=01_因子設定!$M$6+0.000000001,F1650&gt;=01_因子設定!$L$7-0.000000001,F1650&lt;=01_因子設定!$M$7+0.000000001,IF(01_因子設定!$B$20="Box-Behnken",D1650^2+E1650^2+F1650^2&lt;=2+0.000000001,TRUE()))</f>
        <v>1</v>
      </c>
      <c r="W1650" s="55" t="n">
        <f aca="false">IF(V1650,IF(01_因子設定!$B$13="最大化",T1650-01_因子設定!$B$14,IF(01_因子設定!$B$13="最小化",01_因子設定!$B$15-U1650,MIN(T1650-01_因子設定!$B$14,01_因子設定!$B$15-U1650))),-1E+030)</f>
        <v>-1.59563451725456</v>
      </c>
      <c r="X1650" s="55" t="n">
        <f aca="false">IF(V1650,IF(01_因子設定!$B$13="最大化",Q1650,IF(01_因子設定!$B$13="最小化",-Q1650,-ABS(Q1650-01_因子設定!$B$16))),-1E+030)</f>
        <v>47.9121946022727</v>
      </c>
      <c r="Y1650" s="55" t="n">
        <f aca="false">W1650+ROW()*0.000000001</f>
        <v>-1.59563286725456</v>
      </c>
      <c r="Z1650" s="55" t="n">
        <f aca="false">X1650+ROW()*0.000000001</f>
        <v>47.9121962522727</v>
      </c>
    </row>
    <row r="1651" customFormat="false" ht="15" hidden="false" customHeight="false" outlineLevel="0" collapsed="false">
      <c r="A1651" s="0" t="n">
        <v>5</v>
      </c>
      <c r="B1651" s="0" t="n">
        <v>11</v>
      </c>
      <c r="C1651" s="0" t="n">
        <v>14</v>
      </c>
      <c r="D1651" s="0" t="n">
        <f aca="false">-1+A1651*0.125</f>
        <v>-0.375</v>
      </c>
      <c r="E1651" s="0" t="n">
        <f aca="false">-1+B1651*0.125</f>
        <v>0.375</v>
      </c>
      <c r="F1651" s="0" t="n">
        <f aca="false">-1+C1651*0.125</f>
        <v>0.75</v>
      </c>
      <c r="G1651" s="0" t="n">
        <f aca="false">1</f>
        <v>1</v>
      </c>
      <c r="H1651" s="0" t="n">
        <f aca="false">D1651</f>
        <v>-0.375</v>
      </c>
      <c r="I1651" s="0" t="n">
        <f aca="false">E1651</f>
        <v>0.375</v>
      </c>
      <c r="J1651" s="0" t="n">
        <f aca="false">F1651</f>
        <v>0.75</v>
      </c>
      <c r="K1651" s="0" t="n">
        <f aca="false">D1651*E1651</f>
        <v>-0.140625</v>
      </c>
      <c r="L1651" s="0" t="n">
        <f aca="false">D1651*F1651</f>
        <v>-0.28125</v>
      </c>
      <c r="M1651" s="0" t="n">
        <f aca="false">E1651*F1651</f>
        <v>0.28125</v>
      </c>
      <c r="N1651" s="0" t="n">
        <f aca="false">D1651*D1651</f>
        <v>0.140625</v>
      </c>
      <c r="O1651" s="0" t="n">
        <f aca="false">E1651*E1651</f>
        <v>0.140625</v>
      </c>
      <c r="P1651" s="0" t="n">
        <f aca="false">F1651*F1651</f>
        <v>0.5625</v>
      </c>
      <c r="Q1651" s="0" t="n">
        <f aca="false">SUMPRODUCT(G1651:P1651,_XtX!$B$71:$K$71)</f>
        <v>47.9104758522728</v>
      </c>
      <c r="R1651" s="0" t="n">
        <f aca="false">SUMPRODUCT(MMULT(G1651:P1651,_XtX!$B$58:$K$67),G1651:P1651)</f>
        <v>0.228998912464489</v>
      </c>
      <c r="S1651" s="0" t="n">
        <f aca="false">04_回帰ANOVA!$K$19*04_回帰ANOVA!$K$14*SQRT(1+R1651)</f>
        <v>1.03072399242813</v>
      </c>
      <c r="T1651" s="0" t="n">
        <f aca="false">Q1651-S1651</f>
        <v>46.8797518598446</v>
      </c>
      <c r="U1651" s="0" t="n">
        <f aca="false">Q1651+S1651</f>
        <v>48.9411998447009</v>
      </c>
      <c r="V1651" s="54" t="b">
        <f aca="false">AND(D1651&gt;=01_因子設定!$L$5-0.000000001,D1651&lt;=01_因子設定!$M$5+0.000000001,E1651&gt;=01_因子設定!$L$6-0.000000001,E1651&lt;=01_因子設定!$M$6+0.000000001,F1651&gt;=01_因子設定!$L$7-0.000000001,F1651&lt;=01_因子設定!$M$7+0.000000001,IF(01_因子設定!$B$20="Box-Behnken",D1651^2+E1651^2+F1651^2&lt;=2+0.000000001,TRUE()))</f>
        <v>1</v>
      </c>
      <c r="W1651" s="55" t="n">
        <f aca="false">IF(V1651,IF(01_因子設定!$B$13="最大化",T1651-01_因子設定!$B$14,IF(01_因子設定!$B$13="最小化",01_因子設定!$B$15-U1651,MIN(T1651-01_因子設定!$B$14,01_因子設定!$B$15-U1651))),-1E+030)</f>
        <v>-1.62024814015538</v>
      </c>
      <c r="X1651" s="55" t="n">
        <f aca="false">IF(V1651,IF(01_因子設定!$B$13="最大化",Q1651,IF(01_因子設定!$B$13="最小化",-Q1651,-ABS(Q1651-01_因子設定!$B$16))),-1E+030)</f>
        <v>47.9104758522728</v>
      </c>
      <c r="Y1651" s="55" t="n">
        <f aca="false">W1651+ROW()*0.000000001</f>
        <v>-1.62024648915538</v>
      </c>
      <c r="Z1651" s="55" t="n">
        <f aca="false">X1651+ROW()*0.000000001</f>
        <v>47.9104775032727</v>
      </c>
    </row>
    <row r="1652" customFormat="false" ht="15" hidden="false" customHeight="false" outlineLevel="0" collapsed="false">
      <c r="A1652" s="0" t="n">
        <v>5</v>
      </c>
      <c r="B1652" s="0" t="n">
        <v>11</v>
      </c>
      <c r="C1652" s="0" t="n">
        <v>15</v>
      </c>
      <c r="D1652" s="0" t="n">
        <f aca="false">-1+A1652*0.125</f>
        <v>-0.375</v>
      </c>
      <c r="E1652" s="0" t="n">
        <f aca="false">-1+B1652*0.125</f>
        <v>0.375</v>
      </c>
      <c r="F1652" s="0" t="n">
        <f aca="false">-1+C1652*0.125</f>
        <v>0.875</v>
      </c>
      <c r="G1652" s="0" t="n">
        <f aca="false">1</f>
        <v>1</v>
      </c>
      <c r="H1652" s="0" t="n">
        <f aca="false">D1652</f>
        <v>-0.375</v>
      </c>
      <c r="I1652" s="0" t="n">
        <f aca="false">E1652</f>
        <v>0.375</v>
      </c>
      <c r="J1652" s="0" t="n">
        <f aca="false">F1652</f>
        <v>0.875</v>
      </c>
      <c r="K1652" s="0" t="n">
        <f aca="false">D1652*E1652</f>
        <v>-0.140625</v>
      </c>
      <c r="L1652" s="0" t="n">
        <f aca="false">D1652*F1652</f>
        <v>-0.328125</v>
      </c>
      <c r="M1652" s="0" t="n">
        <f aca="false">E1652*F1652</f>
        <v>0.328125</v>
      </c>
      <c r="N1652" s="0" t="n">
        <f aca="false">D1652*D1652</f>
        <v>0.140625</v>
      </c>
      <c r="O1652" s="0" t="n">
        <f aca="false">E1652*E1652</f>
        <v>0.140625</v>
      </c>
      <c r="P1652" s="0" t="n">
        <f aca="false">F1652*F1652</f>
        <v>0.765625</v>
      </c>
      <c r="Q1652" s="0" t="n">
        <f aca="false">SUMPRODUCT(G1652:P1652,_XtX!$B$71:$K$71)</f>
        <v>47.8719673295455</v>
      </c>
      <c r="R1652" s="0" t="n">
        <f aca="false">SUMPRODUCT(MMULT(G1652:P1652,_XtX!$B$58:$K$67),G1652:P1652)</f>
        <v>0.32050614790483</v>
      </c>
      <c r="S1652" s="0" t="n">
        <f aca="false">04_回帰ANOVA!$K$19*04_回帰ANOVA!$K$14*SQRT(1+R1652)</f>
        <v>1.06840730759619</v>
      </c>
      <c r="T1652" s="0" t="n">
        <f aca="false">Q1652-S1652</f>
        <v>46.8035600219493</v>
      </c>
      <c r="U1652" s="0" t="n">
        <f aca="false">Q1652+S1652</f>
        <v>48.9403746371417</v>
      </c>
      <c r="V1652" s="54" t="b">
        <f aca="false">AND(D1652&gt;=01_因子設定!$L$5-0.000000001,D1652&lt;=01_因子設定!$M$5+0.000000001,E1652&gt;=01_因子設定!$L$6-0.000000001,E1652&lt;=01_因子設定!$M$6+0.000000001,F1652&gt;=01_因子設定!$L$7-0.000000001,F1652&lt;=01_因子設定!$M$7+0.000000001,IF(01_因子設定!$B$20="Box-Behnken",D1652^2+E1652^2+F1652^2&lt;=2+0.000000001,TRUE()))</f>
        <v>1</v>
      </c>
      <c r="W1652" s="55" t="n">
        <f aca="false">IF(V1652,IF(01_因子設定!$B$13="最大化",T1652-01_因子設定!$B$14,IF(01_因子設定!$B$13="最小化",01_因子設定!$B$15-U1652,MIN(T1652-01_因子設定!$B$14,01_因子設定!$B$15-U1652))),-1E+030)</f>
        <v>-1.69643997805071</v>
      </c>
      <c r="X1652" s="55" t="n">
        <f aca="false">IF(V1652,IF(01_因子設定!$B$13="最大化",Q1652,IF(01_因子設定!$B$13="最小化",-Q1652,-ABS(Q1652-01_因子設定!$B$16))),-1E+030)</f>
        <v>47.8719673295455</v>
      </c>
      <c r="Y1652" s="55" t="n">
        <f aca="false">W1652+ROW()*0.000000001</f>
        <v>-1.69643832605071</v>
      </c>
      <c r="Z1652" s="55" t="n">
        <f aca="false">X1652+ROW()*0.000000001</f>
        <v>47.8719689815455</v>
      </c>
    </row>
    <row r="1653" customFormat="false" ht="15" hidden="false" customHeight="false" outlineLevel="0" collapsed="false">
      <c r="A1653" s="0" t="n">
        <v>5</v>
      </c>
      <c r="B1653" s="0" t="n">
        <v>11</v>
      </c>
      <c r="C1653" s="0" t="n">
        <v>16</v>
      </c>
      <c r="D1653" s="0" t="n">
        <f aca="false">-1+A1653*0.125</f>
        <v>-0.375</v>
      </c>
      <c r="E1653" s="0" t="n">
        <f aca="false">-1+B1653*0.125</f>
        <v>0.375</v>
      </c>
      <c r="F1653" s="0" t="n">
        <f aca="false">-1+C1653*0.125</f>
        <v>1</v>
      </c>
      <c r="G1653" s="0" t="n">
        <f aca="false">1</f>
        <v>1</v>
      </c>
      <c r="H1653" s="0" t="n">
        <f aca="false">D1653</f>
        <v>-0.375</v>
      </c>
      <c r="I1653" s="0" t="n">
        <f aca="false">E1653</f>
        <v>0.375</v>
      </c>
      <c r="J1653" s="0" t="n">
        <f aca="false">F1653</f>
        <v>1</v>
      </c>
      <c r="K1653" s="0" t="n">
        <f aca="false">D1653*E1653</f>
        <v>-0.140625</v>
      </c>
      <c r="L1653" s="0" t="n">
        <f aca="false">D1653*F1653</f>
        <v>-0.375</v>
      </c>
      <c r="M1653" s="0" t="n">
        <f aca="false">E1653*F1653</f>
        <v>0.375</v>
      </c>
      <c r="N1653" s="0" t="n">
        <f aca="false">D1653*D1653</f>
        <v>0.140625</v>
      </c>
      <c r="O1653" s="0" t="n">
        <f aca="false">E1653*E1653</f>
        <v>0.140625</v>
      </c>
      <c r="P1653" s="0" t="n">
        <f aca="false">F1653*F1653</f>
        <v>1</v>
      </c>
      <c r="Q1653" s="0" t="n">
        <f aca="false">SUMPRODUCT(G1653:P1653,_XtX!$B$71:$K$71)</f>
        <v>47.7966690340909</v>
      </c>
      <c r="R1653" s="0" t="n">
        <f aca="false">SUMPRODUCT(MMULT(G1653:P1653,_XtX!$B$58:$K$67),G1653:P1653)</f>
        <v>0.463378351384943</v>
      </c>
      <c r="S1653" s="0" t="n">
        <f aca="false">04_回帰ANOVA!$K$19*04_回帰ANOVA!$K$14*SQRT(1+R1653)</f>
        <v>1.12472137547772</v>
      </c>
      <c r="T1653" s="0" t="n">
        <f aca="false">Q1653-S1653</f>
        <v>46.6719476586132</v>
      </c>
      <c r="U1653" s="0" t="n">
        <f aca="false">Q1653+S1653</f>
        <v>48.9213904095687</v>
      </c>
      <c r="V1653" s="54" t="b">
        <f aca="false">AND(D1653&gt;=01_因子設定!$L$5-0.000000001,D1653&lt;=01_因子設定!$M$5+0.000000001,E1653&gt;=01_因子設定!$L$6-0.000000001,E1653&lt;=01_因子設定!$M$6+0.000000001,F1653&gt;=01_因子設定!$L$7-0.000000001,F1653&lt;=01_因子設定!$M$7+0.000000001,IF(01_因子設定!$B$20="Box-Behnken",D1653^2+E1653^2+F1653^2&lt;=2+0.000000001,TRUE()))</f>
        <v>1</v>
      </c>
      <c r="W1653" s="55" t="n">
        <f aca="false">IF(V1653,IF(01_因子設定!$B$13="最大化",T1653-01_因子設定!$B$14,IF(01_因子設定!$B$13="最小化",01_因子設定!$B$15-U1653,MIN(T1653-01_因子設定!$B$14,01_因子設定!$B$15-U1653))),-1E+030)</f>
        <v>-1.82805234138679</v>
      </c>
      <c r="X1653" s="55" t="n">
        <f aca="false">IF(V1653,IF(01_因子設定!$B$13="最大化",Q1653,IF(01_因子設定!$B$13="最小化",-Q1653,-ABS(Q1653-01_因子設定!$B$16))),-1E+030)</f>
        <v>47.7966690340909</v>
      </c>
      <c r="Y1653" s="55" t="n">
        <f aca="false">W1653+ROW()*0.000000001</f>
        <v>-1.82805068838679</v>
      </c>
      <c r="Z1653" s="55" t="n">
        <f aca="false">X1653+ROW()*0.000000001</f>
        <v>47.7966706870909</v>
      </c>
    </row>
    <row r="1654" customFormat="false" ht="15" hidden="false" customHeight="false" outlineLevel="0" collapsed="false">
      <c r="A1654" s="0" t="n">
        <v>5</v>
      </c>
      <c r="B1654" s="0" t="n">
        <v>12</v>
      </c>
      <c r="C1654" s="0" t="n">
        <v>0</v>
      </c>
      <c r="D1654" s="0" t="n">
        <f aca="false">-1+A1654*0.125</f>
        <v>-0.375</v>
      </c>
      <c r="E1654" s="0" t="n">
        <f aca="false">-1+B1654*0.125</f>
        <v>0.5</v>
      </c>
      <c r="F1654" s="0" t="n">
        <f aca="false">-1+C1654*0.125</f>
        <v>-1</v>
      </c>
      <c r="G1654" s="0" t="n">
        <f aca="false">1</f>
        <v>1</v>
      </c>
      <c r="H1654" s="0" t="n">
        <f aca="false">D1654</f>
        <v>-0.375</v>
      </c>
      <c r="I1654" s="0" t="n">
        <f aca="false">E1654</f>
        <v>0.5</v>
      </c>
      <c r="J1654" s="0" t="n">
        <f aca="false">F1654</f>
        <v>-1</v>
      </c>
      <c r="K1654" s="0" t="n">
        <f aca="false">D1654*E1654</f>
        <v>-0.1875</v>
      </c>
      <c r="L1654" s="0" t="n">
        <f aca="false">D1654*F1654</f>
        <v>0.375</v>
      </c>
      <c r="M1654" s="0" t="n">
        <f aca="false">E1654*F1654</f>
        <v>-0.5</v>
      </c>
      <c r="N1654" s="0" t="n">
        <f aca="false">D1654*D1654</f>
        <v>0.140625</v>
      </c>
      <c r="O1654" s="0" t="n">
        <f aca="false">E1654*E1654</f>
        <v>0.25</v>
      </c>
      <c r="P1654" s="0" t="n">
        <f aca="false">F1654*F1654</f>
        <v>1</v>
      </c>
      <c r="Q1654" s="0" t="n">
        <f aca="false">SUMPRODUCT(G1654:P1654,_XtX!$B$71:$K$71)</f>
        <v>44.5100142045455</v>
      </c>
      <c r="R1654" s="0" t="n">
        <f aca="false">SUMPRODUCT(MMULT(G1654:P1654,_XtX!$B$58:$K$67),G1654:P1654)</f>
        <v>0.461479048295455</v>
      </c>
      <c r="S1654" s="0" t="n">
        <f aca="false">04_回帰ANOVA!$K$19*04_回帰ANOVA!$K$14*SQRT(1+R1654)</f>
        <v>1.12399125658369</v>
      </c>
      <c r="T1654" s="0" t="n">
        <f aca="false">Q1654-S1654</f>
        <v>43.3860229479618</v>
      </c>
      <c r="U1654" s="0" t="n">
        <f aca="false">Q1654+S1654</f>
        <v>45.6340054611292</v>
      </c>
      <c r="V1654" s="54" t="b">
        <f aca="false">AND(D1654&gt;=01_因子設定!$L$5-0.000000001,D1654&lt;=01_因子設定!$M$5+0.000000001,E1654&gt;=01_因子設定!$L$6-0.000000001,E1654&lt;=01_因子設定!$M$6+0.000000001,F1654&gt;=01_因子設定!$L$7-0.000000001,F1654&lt;=01_因子設定!$M$7+0.000000001,IF(01_因子設定!$B$20="Box-Behnken",D1654^2+E1654^2+F1654^2&lt;=2+0.000000001,TRUE()))</f>
        <v>1</v>
      </c>
      <c r="W1654" s="55" t="n">
        <f aca="false">IF(V1654,IF(01_因子設定!$B$13="最大化",T1654-01_因子設定!$B$14,IF(01_因子設定!$B$13="最小化",01_因子設定!$B$15-U1654,MIN(T1654-01_因子設定!$B$14,01_因子設定!$B$15-U1654))),-1E+030)</f>
        <v>-5.11397705203821</v>
      </c>
      <c r="X1654" s="55" t="n">
        <f aca="false">IF(V1654,IF(01_因子設定!$B$13="最大化",Q1654,IF(01_因子設定!$B$13="最小化",-Q1654,-ABS(Q1654-01_因子設定!$B$16))),-1E+030)</f>
        <v>44.5100142045455</v>
      </c>
      <c r="Y1654" s="55" t="n">
        <f aca="false">W1654+ROW()*0.000000001</f>
        <v>-5.11397539803821</v>
      </c>
      <c r="Z1654" s="55" t="n">
        <f aca="false">X1654+ROW()*0.000000001</f>
        <v>44.5100158585455</v>
      </c>
    </row>
    <row r="1655" customFormat="false" ht="15" hidden="false" customHeight="false" outlineLevel="0" collapsed="false">
      <c r="A1655" s="0" t="n">
        <v>5</v>
      </c>
      <c r="B1655" s="0" t="n">
        <v>12</v>
      </c>
      <c r="C1655" s="0" t="n">
        <v>1</v>
      </c>
      <c r="D1655" s="0" t="n">
        <f aca="false">-1+A1655*0.125</f>
        <v>-0.375</v>
      </c>
      <c r="E1655" s="0" t="n">
        <f aca="false">-1+B1655*0.125</f>
        <v>0.5</v>
      </c>
      <c r="F1655" s="0" t="n">
        <f aca="false">-1+C1655*0.125</f>
        <v>-0.875</v>
      </c>
      <c r="G1655" s="0" t="n">
        <f aca="false">1</f>
        <v>1</v>
      </c>
      <c r="H1655" s="0" t="n">
        <f aca="false">D1655</f>
        <v>-0.375</v>
      </c>
      <c r="I1655" s="0" t="n">
        <f aca="false">E1655</f>
        <v>0.5</v>
      </c>
      <c r="J1655" s="0" t="n">
        <f aca="false">F1655</f>
        <v>-0.875</v>
      </c>
      <c r="K1655" s="0" t="n">
        <f aca="false">D1655*E1655</f>
        <v>-0.1875</v>
      </c>
      <c r="L1655" s="0" t="n">
        <f aca="false">D1655*F1655</f>
        <v>0.328125</v>
      </c>
      <c r="M1655" s="0" t="n">
        <f aca="false">E1655*F1655</f>
        <v>-0.4375</v>
      </c>
      <c r="N1655" s="0" t="n">
        <f aca="false">D1655*D1655</f>
        <v>0.140625</v>
      </c>
      <c r="O1655" s="0" t="n">
        <f aca="false">E1655*E1655</f>
        <v>0.25</v>
      </c>
      <c r="P1655" s="0" t="n">
        <f aca="false">F1655*F1655</f>
        <v>0.765625</v>
      </c>
      <c r="Q1655" s="0" t="n">
        <f aca="false">SUMPRODUCT(G1655:P1655,_XtX!$B$71:$K$71)</f>
        <v>44.99359375</v>
      </c>
      <c r="R1655" s="0" t="n">
        <f aca="false">SUMPRODUCT(MMULT(G1655:P1655,_XtX!$B$58:$K$67),G1655:P1655)</f>
        <v>0.322393798828125</v>
      </c>
      <c r="S1655" s="0" t="n">
        <f aca="false">04_回帰ANOVA!$K$19*04_回帰ANOVA!$K$14*SQRT(1+R1655)</f>
        <v>1.06917067390712</v>
      </c>
      <c r="T1655" s="0" t="n">
        <f aca="false">Q1655-S1655</f>
        <v>43.9244230760929</v>
      </c>
      <c r="U1655" s="0" t="n">
        <f aca="false">Q1655+S1655</f>
        <v>46.0627644239071</v>
      </c>
      <c r="V1655" s="54" t="b">
        <f aca="false">AND(D1655&gt;=01_因子設定!$L$5-0.000000001,D1655&lt;=01_因子設定!$M$5+0.000000001,E1655&gt;=01_因子設定!$L$6-0.000000001,E1655&lt;=01_因子設定!$M$6+0.000000001,F1655&gt;=01_因子設定!$L$7-0.000000001,F1655&lt;=01_因子設定!$M$7+0.000000001,IF(01_因子設定!$B$20="Box-Behnken",D1655^2+E1655^2+F1655^2&lt;=2+0.000000001,TRUE()))</f>
        <v>1</v>
      </c>
      <c r="W1655" s="55" t="n">
        <f aca="false">IF(V1655,IF(01_因子設定!$B$13="最大化",T1655-01_因子設定!$B$14,IF(01_因子設定!$B$13="最小化",01_因子設定!$B$15-U1655,MIN(T1655-01_因子設定!$B$14,01_因子設定!$B$15-U1655))),-1E+030)</f>
        <v>-4.57557692390709</v>
      </c>
      <c r="X1655" s="55" t="n">
        <f aca="false">IF(V1655,IF(01_因子設定!$B$13="最大化",Q1655,IF(01_因子設定!$B$13="最小化",-Q1655,-ABS(Q1655-01_因子設定!$B$16))),-1E+030)</f>
        <v>44.99359375</v>
      </c>
      <c r="Y1655" s="55" t="n">
        <f aca="false">W1655+ROW()*0.000000001</f>
        <v>-4.57557526890709</v>
      </c>
      <c r="Z1655" s="55" t="n">
        <f aca="false">X1655+ROW()*0.000000001</f>
        <v>44.993595405</v>
      </c>
    </row>
    <row r="1656" customFormat="false" ht="15" hidden="false" customHeight="false" outlineLevel="0" collapsed="false">
      <c r="A1656" s="0" t="n">
        <v>5</v>
      </c>
      <c r="B1656" s="0" t="n">
        <v>12</v>
      </c>
      <c r="C1656" s="0" t="n">
        <v>2</v>
      </c>
      <c r="D1656" s="0" t="n">
        <f aca="false">-1+A1656*0.125</f>
        <v>-0.375</v>
      </c>
      <c r="E1656" s="0" t="n">
        <f aca="false">-1+B1656*0.125</f>
        <v>0.5</v>
      </c>
      <c r="F1656" s="0" t="n">
        <f aca="false">-1+C1656*0.125</f>
        <v>-0.75</v>
      </c>
      <c r="G1656" s="0" t="n">
        <f aca="false">1</f>
        <v>1</v>
      </c>
      <c r="H1656" s="0" t="n">
        <f aca="false">D1656</f>
        <v>-0.375</v>
      </c>
      <c r="I1656" s="0" t="n">
        <f aca="false">E1656</f>
        <v>0.5</v>
      </c>
      <c r="J1656" s="0" t="n">
        <f aca="false">F1656</f>
        <v>-0.75</v>
      </c>
      <c r="K1656" s="0" t="n">
        <f aca="false">D1656*E1656</f>
        <v>-0.1875</v>
      </c>
      <c r="L1656" s="0" t="n">
        <f aca="false">D1656*F1656</f>
        <v>0.28125</v>
      </c>
      <c r="M1656" s="0" t="n">
        <f aca="false">E1656*F1656</f>
        <v>-0.375</v>
      </c>
      <c r="N1656" s="0" t="n">
        <f aca="false">D1656*D1656</f>
        <v>0.140625</v>
      </c>
      <c r="O1656" s="0" t="n">
        <f aca="false">E1656*E1656</f>
        <v>0.25</v>
      </c>
      <c r="P1656" s="0" t="n">
        <f aca="false">F1656*F1656</f>
        <v>0.5625</v>
      </c>
      <c r="Q1656" s="0" t="n">
        <f aca="false">SUMPRODUCT(G1656:P1656,_XtX!$B$71:$K$71)</f>
        <v>45.4403835227273</v>
      </c>
      <c r="R1656" s="0" t="n">
        <f aca="false">SUMPRODUCT(MMULT(G1656:P1656,_XtX!$B$58:$K$67),G1656:P1656)</f>
        <v>0.234168590198864</v>
      </c>
      <c r="S1656" s="0" t="n">
        <f aca="false">04_回帰ANOVA!$K$19*04_回帰ANOVA!$K$14*SQRT(1+R1656)</f>
        <v>1.03288954322488</v>
      </c>
      <c r="T1656" s="0" t="n">
        <f aca="false">Q1656-S1656</f>
        <v>44.4074939795024</v>
      </c>
      <c r="U1656" s="0" t="n">
        <f aca="false">Q1656+S1656</f>
        <v>46.4732730659522</v>
      </c>
      <c r="V1656" s="54" t="b">
        <f aca="false">AND(D1656&gt;=01_因子設定!$L$5-0.000000001,D1656&lt;=01_因子設定!$M$5+0.000000001,E1656&gt;=01_因子設定!$L$6-0.000000001,E1656&lt;=01_因子設定!$M$6+0.000000001,F1656&gt;=01_因子設定!$L$7-0.000000001,F1656&lt;=01_因子設定!$M$7+0.000000001,IF(01_因子設定!$B$20="Box-Behnken",D1656^2+E1656^2+F1656^2&lt;=2+0.000000001,TRUE()))</f>
        <v>1</v>
      </c>
      <c r="W1656" s="55" t="n">
        <f aca="false">IF(V1656,IF(01_因子設定!$B$13="最大化",T1656-01_因子設定!$B$14,IF(01_因子設定!$B$13="最小化",01_因子設定!$B$15-U1656,MIN(T1656-01_因子設定!$B$14,01_因子設定!$B$15-U1656))),-1E+030)</f>
        <v>-4.09250602049759</v>
      </c>
      <c r="X1656" s="55" t="n">
        <f aca="false">IF(V1656,IF(01_因子設定!$B$13="最大化",Q1656,IF(01_因子設定!$B$13="最小化",-Q1656,-ABS(Q1656-01_因子設定!$B$16))),-1E+030)</f>
        <v>45.4403835227273</v>
      </c>
      <c r="Y1656" s="55" t="n">
        <f aca="false">W1656+ROW()*0.000000001</f>
        <v>-4.09250436449759</v>
      </c>
      <c r="Z1656" s="55" t="n">
        <f aca="false">X1656+ROW()*0.000000001</f>
        <v>45.4403851787273</v>
      </c>
    </row>
    <row r="1657" customFormat="false" ht="15" hidden="false" customHeight="false" outlineLevel="0" collapsed="false">
      <c r="A1657" s="0" t="n">
        <v>5</v>
      </c>
      <c r="B1657" s="0" t="n">
        <v>12</v>
      </c>
      <c r="C1657" s="0" t="n">
        <v>3</v>
      </c>
      <c r="D1657" s="0" t="n">
        <f aca="false">-1+A1657*0.125</f>
        <v>-0.375</v>
      </c>
      <c r="E1657" s="0" t="n">
        <f aca="false">-1+B1657*0.125</f>
        <v>0.5</v>
      </c>
      <c r="F1657" s="0" t="n">
        <f aca="false">-1+C1657*0.125</f>
        <v>-0.625</v>
      </c>
      <c r="G1657" s="0" t="n">
        <f aca="false">1</f>
        <v>1</v>
      </c>
      <c r="H1657" s="0" t="n">
        <f aca="false">D1657</f>
        <v>-0.375</v>
      </c>
      <c r="I1657" s="0" t="n">
        <f aca="false">E1657</f>
        <v>0.5</v>
      </c>
      <c r="J1657" s="0" t="n">
        <f aca="false">F1657</f>
        <v>-0.625</v>
      </c>
      <c r="K1657" s="0" t="n">
        <f aca="false">D1657*E1657</f>
        <v>-0.1875</v>
      </c>
      <c r="L1657" s="0" t="n">
        <f aca="false">D1657*F1657</f>
        <v>0.234375</v>
      </c>
      <c r="M1657" s="0" t="n">
        <f aca="false">E1657*F1657</f>
        <v>-0.3125</v>
      </c>
      <c r="N1657" s="0" t="n">
        <f aca="false">D1657*D1657</f>
        <v>0.140625</v>
      </c>
      <c r="O1657" s="0" t="n">
        <f aca="false">E1657*E1657</f>
        <v>0.25</v>
      </c>
      <c r="P1657" s="0" t="n">
        <f aca="false">F1657*F1657</f>
        <v>0.390625</v>
      </c>
      <c r="Q1657" s="0" t="n">
        <f aca="false">SUMPRODUCT(G1657:P1657,_XtX!$B$71:$K$71)</f>
        <v>45.8503835227273</v>
      </c>
      <c r="R1657" s="0" t="n">
        <f aca="false">SUMPRODUCT(MMULT(G1657:P1657,_XtX!$B$58:$K$67),G1657:P1657)</f>
        <v>0.182953990589489</v>
      </c>
      <c r="S1657" s="0" t="n">
        <f aca="false">04_回帰ANOVA!$K$19*04_回帰ANOVA!$K$14*SQRT(1+R1657)</f>
        <v>1.01123143807044</v>
      </c>
      <c r="T1657" s="0" t="n">
        <f aca="false">Q1657-S1657</f>
        <v>44.8391520846568</v>
      </c>
      <c r="U1657" s="0" t="n">
        <f aca="false">Q1657+S1657</f>
        <v>46.8616149607977</v>
      </c>
      <c r="V1657" s="54" t="b">
        <f aca="false">AND(D1657&gt;=01_因子設定!$L$5-0.000000001,D1657&lt;=01_因子設定!$M$5+0.000000001,E1657&gt;=01_因子設定!$L$6-0.000000001,E1657&lt;=01_因子設定!$M$6+0.000000001,F1657&gt;=01_因子設定!$L$7-0.000000001,F1657&lt;=01_因子設定!$M$7+0.000000001,IF(01_因子設定!$B$20="Box-Behnken",D1657^2+E1657^2+F1657^2&lt;=2+0.000000001,TRUE()))</f>
        <v>1</v>
      </c>
      <c r="W1657" s="55" t="n">
        <f aca="false">IF(V1657,IF(01_因子設定!$B$13="最大化",T1657-01_因子設定!$B$14,IF(01_因子設定!$B$13="最小化",01_因子設定!$B$15-U1657,MIN(T1657-01_因子設定!$B$14,01_因子設定!$B$15-U1657))),-1E+030)</f>
        <v>-3.66084791534315</v>
      </c>
      <c r="X1657" s="55" t="n">
        <f aca="false">IF(V1657,IF(01_因子設定!$B$13="最大化",Q1657,IF(01_因子設定!$B$13="最小化",-Q1657,-ABS(Q1657-01_因子設定!$B$16))),-1E+030)</f>
        <v>45.8503835227273</v>
      </c>
      <c r="Y1657" s="55" t="n">
        <f aca="false">W1657+ROW()*0.000000001</f>
        <v>-3.66084625834315</v>
      </c>
      <c r="Z1657" s="55" t="n">
        <f aca="false">X1657+ROW()*0.000000001</f>
        <v>45.8503851797273</v>
      </c>
    </row>
    <row r="1658" customFormat="false" ht="15" hidden="false" customHeight="false" outlineLevel="0" collapsed="false">
      <c r="A1658" s="0" t="n">
        <v>5</v>
      </c>
      <c r="B1658" s="0" t="n">
        <v>12</v>
      </c>
      <c r="C1658" s="0" t="n">
        <v>4</v>
      </c>
      <c r="D1658" s="0" t="n">
        <f aca="false">-1+A1658*0.125</f>
        <v>-0.375</v>
      </c>
      <c r="E1658" s="0" t="n">
        <f aca="false">-1+B1658*0.125</f>
        <v>0.5</v>
      </c>
      <c r="F1658" s="0" t="n">
        <f aca="false">-1+C1658*0.125</f>
        <v>-0.5</v>
      </c>
      <c r="G1658" s="0" t="n">
        <f aca="false">1</f>
        <v>1</v>
      </c>
      <c r="H1658" s="0" t="n">
        <f aca="false">D1658</f>
        <v>-0.375</v>
      </c>
      <c r="I1658" s="0" t="n">
        <f aca="false">E1658</f>
        <v>0.5</v>
      </c>
      <c r="J1658" s="0" t="n">
        <f aca="false">F1658</f>
        <v>-0.5</v>
      </c>
      <c r="K1658" s="0" t="n">
        <f aca="false">D1658*E1658</f>
        <v>-0.1875</v>
      </c>
      <c r="L1658" s="0" t="n">
        <f aca="false">D1658*F1658</f>
        <v>0.1875</v>
      </c>
      <c r="M1658" s="0" t="n">
        <f aca="false">E1658*F1658</f>
        <v>-0.25</v>
      </c>
      <c r="N1658" s="0" t="n">
        <f aca="false">D1658*D1658</f>
        <v>0.140625</v>
      </c>
      <c r="O1658" s="0" t="n">
        <f aca="false">E1658*E1658</f>
        <v>0.25</v>
      </c>
      <c r="P1658" s="0" t="n">
        <f aca="false">F1658*F1658</f>
        <v>0.25</v>
      </c>
      <c r="Q1658" s="0" t="n">
        <f aca="false">SUMPRODUCT(G1658:P1658,_XtX!$B$71:$K$71)</f>
        <v>46.22359375</v>
      </c>
      <c r="R1658" s="0" t="n">
        <f aca="false">SUMPRODUCT(MMULT(G1658:P1658,_XtX!$B$58:$K$67),G1658:P1658)</f>
        <v>0.15703125</v>
      </c>
      <c r="S1658" s="0" t="n">
        <f aca="false">04_回帰ANOVA!$K$19*04_回帰ANOVA!$K$14*SQRT(1+R1658)</f>
        <v>1.00009022049162</v>
      </c>
      <c r="T1658" s="0" t="n">
        <f aca="false">Q1658-S1658</f>
        <v>45.2235035295084</v>
      </c>
      <c r="U1658" s="0" t="n">
        <f aca="false">Q1658+S1658</f>
        <v>47.2236839704916</v>
      </c>
      <c r="V1658" s="54" t="b">
        <f aca="false">AND(D1658&gt;=01_因子設定!$L$5-0.000000001,D1658&lt;=01_因子設定!$M$5+0.000000001,E1658&gt;=01_因子設定!$L$6-0.000000001,E1658&lt;=01_因子設定!$M$6+0.000000001,F1658&gt;=01_因子設定!$L$7-0.000000001,F1658&lt;=01_因子設定!$M$7+0.000000001,IF(01_因子設定!$B$20="Box-Behnken",D1658^2+E1658^2+F1658^2&lt;=2+0.000000001,TRUE()))</f>
        <v>1</v>
      </c>
      <c r="W1658" s="55" t="n">
        <f aca="false">IF(V1658,IF(01_因子設定!$B$13="最大化",T1658-01_因子設定!$B$14,IF(01_因子設定!$B$13="最小化",01_因子設定!$B$15-U1658,MIN(T1658-01_因子設定!$B$14,01_因子設定!$B$15-U1658))),-1E+030)</f>
        <v>-3.27649647049161</v>
      </c>
      <c r="X1658" s="55" t="n">
        <f aca="false">IF(V1658,IF(01_因子設定!$B$13="最大化",Q1658,IF(01_因子設定!$B$13="最小化",-Q1658,-ABS(Q1658-01_因子設定!$B$16))),-1E+030)</f>
        <v>46.22359375</v>
      </c>
      <c r="Y1658" s="55" t="n">
        <f aca="false">W1658+ROW()*0.000000001</f>
        <v>-3.27649481249161</v>
      </c>
      <c r="Z1658" s="55" t="n">
        <f aca="false">X1658+ROW()*0.000000001</f>
        <v>46.223595408</v>
      </c>
    </row>
    <row r="1659" customFormat="false" ht="15" hidden="false" customHeight="false" outlineLevel="0" collapsed="false">
      <c r="A1659" s="0" t="n">
        <v>5</v>
      </c>
      <c r="B1659" s="0" t="n">
        <v>12</v>
      </c>
      <c r="C1659" s="0" t="n">
        <v>5</v>
      </c>
      <c r="D1659" s="0" t="n">
        <f aca="false">-1+A1659*0.125</f>
        <v>-0.375</v>
      </c>
      <c r="E1659" s="0" t="n">
        <f aca="false">-1+B1659*0.125</f>
        <v>0.5</v>
      </c>
      <c r="F1659" s="0" t="n">
        <f aca="false">-1+C1659*0.125</f>
        <v>-0.375</v>
      </c>
      <c r="G1659" s="0" t="n">
        <f aca="false">1</f>
        <v>1</v>
      </c>
      <c r="H1659" s="0" t="n">
        <f aca="false">D1659</f>
        <v>-0.375</v>
      </c>
      <c r="I1659" s="0" t="n">
        <f aca="false">E1659</f>
        <v>0.5</v>
      </c>
      <c r="J1659" s="0" t="n">
        <f aca="false">F1659</f>
        <v>-0.375</v>
      </c>
      <c r="K1659" s="0" t="n">
        <f aca="false">D1659*E1659</f>
        <v>-0.1875</v>
      </c>
      <c r="L1659" s="0" t="n">
        <f aca="false">D1659*F1659</f>
        <v>0.140625</v>
      </c>
      <c r="M1659" s="0" t="n">
        <f aca="false">E1659*F1659</f>
        <v>-0.1875</v>
      </c>
      <c r="N1659" s="0" t="n">
        <f aca="false">D1659*D1659</f>
        <v>0.140625</v>
      </c>
      <c r="O1659" s="0" t="n">
        <f aca="false">E1659*E1659</f>
        <v>0.25</v>
      </c>
      <c r="P1659" s="0" t="n">
        <f aca="false">F1659*F1659</f>
        <v>0.140625</v>
      </c>
      <c r="Q1659" s="0" t="n">
        <f aca="false">SUMPRODUCT(G1659:P1659,_XtX!$B$71:$K$71)</f>
        <v>46.5600142045455</v>
      </c>
      <c r="R1659" s="0" t="n">
        <f aca="false">SUMPRODUCT(MMULT(G1659:P1659,_XtX!$B$58:$K$67),G1659:P1659)</f>
        <v>0.14681230024858</v>
      </c>
      <c r="S1659" s="0" t="n">
        <f aca="false">04_回帰ANOVA!$K$19*04_回帰ANOVA!$K$14*SQRT(1+R1659)</f>
        <v>0.995664005771711</v>
      </c>
      <c r="T1659" s="0" t="n">
        <f aca="false">Q1659-S1659</f>
        <v>45.5643501987738</v>
      </c>
      <c r="U1659" s="0" t="n">
        <f aca="false">Q1659+S1659</f>
        <v>47.5556782103172</v>
      </c>
      <c r="V1659" s="54" t="b">
        <f aca="false">AND(D1659&gt;=01_因子設定!$L$5-0.000000001,D1659&lt;=01_因子設定!$M$5+0.000000001,E1659&gt;=01_因子設定!$L$6-0.000000001,E1659&lt;=01_因子設定!$M$6+0.000000001,F1659&gt;=01_因子設定!$L$7-0.000000001,F1659&lt;=01_因子設定!$M$7+0.000000001,IF(01_因子設定!$B$20="Box-Behnken",D1659^2+E1659^2+F1659^2&lt;=2+0.000000001,TRUE()))</f>
        <v>1</v>
      </c>
      <c r="W1659" s="55" t="n">
        <f aca="false">IF(V1659,IF(01_因子設定!$B$13="最大化",T1659-01_因子設定!$B$14,IF(01_因子設定!$B$13="最小化",01_因子設定!$B$15-U1659,MIN(T1659-01_因子設定!$B$14,01_因子設定!$B$15-U1659))),-1E+030)</f>
        <v>-2.93564980122625</v>
      </c>
      <c r="X1659" s="55" t="n">
        <f aca="false">IF(V1659,IF(01_因子設定!$B$13="最大化",Q1659,IF(01_因子設定!$B$13="最小化",-Q1659,-ABS(Q1659-01_因子設定!$B$16))),-1E+030)</f>
        <v>46.5600142045455</v>
      </c>
      <c r="Y1659" s="55" t="n">
        <f aca="false">W1659+ROW()*0.000000001</f>
        <v>-2.93564814222625</v>
      </c>
      <c r="Z1659" s="55" t="n">
        <f aca="false">X1659+ROW()*0.000000001</f>
        <v>46.5600158635455</v>
      </c>
    </row>
    <row r="1660" customFormat="false" ht="15" hidden="false" customHeight="false" outlineLevel="0" collapsed="false">
      <c r="A1660" s="0" t="n">
        <v>5</v>
      </c>
      <c r="B1660" s="0" t="n">
        <v>12</v>
      </c>
      <c r="C1660" s="0" t="n">
        <v>6</v>
      </c>
      <c r="D1660" s="0" t="n">
        <f aca="false">-1+A1660*0.125</f>
        <v>-0.375</v>
      </c>
      <c r="E1660" s="0" t="n">
        <f aca="false">-1+B1660*0.125</f>
        <v>0.5</v>
      </c>
      <c r="F1660" s="0" t="n">
        <f aca="false">-1+C1660*0.125</f>
        <v>-0.25</v>
      </c>
      <c r="G1660" s="0" t="n">
        <f aca="false">1</f>
        <v>1</v>
      </c>
      <c r="H1660" s="0" t="n">
        <f aca="false">D1660</f>
        <v>-0.375</v>
      </c>
      <c r="I1660" s="0" t="n">
        <f aca="false">E1660</f>
        <v>0.5</v>
      </c>
      <c r="J1660" s="0" t="n">
        <f aca="false">F1660</f>
        <v>-0.25</v>
      </c>
      <c r="K1660" s="0" t="n">
        <f aca="false">D1660*E1660</f>
        <v>-0.1875</v>
      </c>
      <c r="L1660" s="0" t="n">
        <f aca="false">D1660*F1660</f>
        <v>0.09375</v>
      </c>
      <c r="M1660" s="0" t="n">
        <f aca="false">E1660*F1660</f>
        <v>-0.125</v>
      </c>
      <c r="N1660" s="0" t="n">
        <f aca="false">D1660*D1660</f>
        <v>0.140625</v>
      </c>
      <c r="O1660" s="0" t="n">
        <f aca="false">E1660*E1660</f>
        <v>0.25</v>
      </c>
      <c r="P1660" s="0" t="n">
        <f aca="false">F1660*F1660</f>
        <v>0.0625</v>
      </c>
      <c r="Q1660" s="0" t="n">
        <f aca="false">SUMPRODUCT(G1660:P1660,_XtX!$B$71:$K$71)</f>
        <v>46.8596448863637</v>
      </c>
      <c r="R1660" s="0" t="n">
        <f aca="false">SUMPRODUCT(MMULT(G1660:P1660,_XtX!$B$58:$K$67),G1660:P1660)</f>
        <v>0.144839754971591</v>
      </c>
      <c r="S1660" s="0" t="n">
        <f aca="false">04_回帰ANOVA!$K$19*04_回帰ANOVA!$K$14*SQRT(1+R1660)</f>
        <v>0.994807353995542</v>
      </c>
      <c r="T1660" s="0" t="n">
        <f aca="false">Q1660-S1660</f>
        <v>45.8648375323681</v>
      </c>
      <c r="U1660" s="0" t="n">
        <f aca="false">Q1660+S1660</f>
        <v>47.8544522403592</v>
      </c>
      <c r="V1660" s="54" t="b">
        <f aca="false">AND(D1660&gt;=01_因子設定!$L$5-0.000000001,D1660&lt;=01_因子設定!$M$5+0.000000001,E1660&gt;=01_因子設定!$L$6-0.000000001,E1660&lt;=01_因子設定!$M$6+0.000000001,F1660&gt;=01_因子設定!$L$7-0.000000001,F1660&lt;=01_因子設定!$M$7+0.000000001,IF(01_因子設定!$B$20="Box-Behnken",D1660^2+E1660^2+F1660^2&lt;=2+0.000000001,TRUE()))</f>
        <v>1</v>
      </c>
      <c r="W1660" s="55" t="n">
        <f aca="false">IF(V1660,IF(01_因子設定!$B$13="最大化",T1660-01_因子設定!$B$14,IF(01_因子設定!$B$13="最小化",01_因子設定!$B$15-U1660,MIN(T1660-01_因子設定!$B$14,01_因子設定!$B$15-U1660))),-1E+030)</f>
        <v>-2.63516246763189</v>
      </c>
      <c r="X1660" s="55" t="n">
        <f aca="false">IF(V1660,IF(01_因子設定!$B$13="最大化",Q1660,IF(01_因子設定!$B$13="最小化",-Q1660,-ABS(Q1660-01_因子設定!$B$16))),-1E+030)</f>
        <v>46.8596448863637</v>
      </c>
      <c r="Y1660" s="55" t="n">
        <f aca="false">W1660+ROW()*0.000000001</f>
        <v>-2.63516080763189</v>
      </c>
      <c r="Z1660" s="55" t="n">
        <f aca="false">X1660+ROW()*0.000000001</f>
        <v>46.8596465463637</v>
      </c>
    </row>
    <row r="1661" customFormat="false" ht="15" hidden="false" customHeight="false" outlineLevel="0" collapsed="false">
      <c r="A1661" s="0" t="n">
        <v>5</v>
      </c>
      <c r="B1661" s="0" t="n">
        <v>12</v>
      </c>
      <c r="C1661" s="0" t="n">
        <v>7</v>
      </c>
      <c r="D1661" s="0" t="n">
        <f aca="false">-1+A1661*0.125</f>
        <v>-0.375</v>
      </c>
      <c r="E1661" s="0" t="n">
        <f aca="false">-1+B1661*0.125</f>
        <v>0.5</v>
      </c>
      <c r="F1661" s="0" t="n">
        <f aca="false">-1+C1661*0.125</f>
        <v>-0.125</v>
      </c>
      <c r="G1661" s="0" t="n">
        <f aca="false">1</f>
        <v>1</v>
      </c>
      <c r="H1661" s="0" t="n">
        <f aca="false">D1661</f>
        <v>-0.375</v>
      </c>
      <c r="I1661" s="0" t="n">
        <f aca="false">E1661</f>
        <v>0.5</v>
      </c>
      <c r="J1661" s="0" t="n">
        <f aca="false">F1661</f>
        <v>-0.125</v>
      </c>
      <c r="K1661" s="0" t="n">
        <f aca="false">D1661*E1661</f>
        <v>-0.1875</v>
      </c>
      <c r="L1661" s="0" t="n">
        <f aca="false">D1661*F1661</f>
        <v>0.046875</v>
      </c>
      <c r="M1661" s="0" t="n">
        <f aca="false">E1661*F1661</f>
        <v>-0.0625</v>
      </c>
      <c r="N1661" s="0" t="n">
        <f aca="false">D1661*D1661</f>
        <v>0.140625</v>
      </c>
      <c r="O1661" s="0" t="n">
        <f aca="false">E1661*E1661</f>
        <v>0.25</v>
      </c>
      <c r="P1661" s="0" t="n">
        <f aca="false">F1661*F1661</f>
        <v>0.015625</v>
      </c>
      <c r="Q1661" s="0" t="n">
        <f aca="false">SUMPRODUCT(G1661:P1661,_XtX!$B$71:$K$71)</f>
        <v>47.1224857954546</v>
      </c>
      <c r="R1661" s="0" t="n">
        <f aca="false">SUMPRODUCT(MMULT(G1661:P1661,_XtX!$B$58:$K$67),G1661:P1661)</f>
        <v>0.14578690962358</v>
      </c>
      <c r="S1661" s="0" t="n">
        <f aca="false">04_回帰ANOVA!$K$19*04_回帰ANOVA!$K$14*SQRT(1+R1661)</f>
        <v>0.995218783457917</v>
      </c>
      <c r="T1661" s="0" t="n">
        <f aca="false">Q1661-S1661</f>
        <v>46.1272670119966</v>
      </c>
      <c r="U1661" s="0" t="n">
        <f aca="false">Q1661+S1661</f>
        <v>48.1177045789125</v>
      </c>
      <c r="V1661" s="54" t="b">
        <f aca="false">AND(D1661&gt;=01_因子設定!$L$5-0.000000001,D1661&lt;=01_因子設定!$M$5+0.000000001,E1661&gt;=01_因子設定!$L$6-0.000000001,E1661&lt;=01_因子設定!$M$6+0.000000001,F1661&gt;=01_因子設定!$L$7-0.000000001,F1661&lt;=01_因子設定!$M$7+0.000000001,IF(01_因子設定!$B$20="Box-Behnken",D1661^2+E1661^2+F1661^2&lt;=2+0.000000001,TRUE()))</f>
        <v>1</v>
      </c>
      <c r="W1661" s="55" t="n">
        <f aca="false">IF(V1661,IF(01_因子設定!$B$13="最大化",T1661-01_因子設定!$B$14,IF(01_因子設定!$B$13="最小化",01_因子設定!$B$15-U1661,MIN(T1661-01_因子設定!$B$14,01_因子設定!$B$15-U1661))),-1E+030)</f>
        <v>-2.37273298800336</v>
      </c>
      <c r="X1661" s="55" t="n">
        <f aca="false">IF(V1661,IF(01_因子設定!$B$13="最大化",Q1661,IF(01_因子設定!$B$13="最小化",-Q1661,-ABS(Q1661-01_因子設定!$B$16))),-1E+030)</f>
        <v>47.1224857954546</v>
      </c>
      <c r="Y1661" s="55" t="n">
        <f aca="false">W1661+ROW()*0.000000001</f>
        <v>-2.37273132700336</v>
      </c>
      <c r="Z1661" s="55" t="n">
        <f aca="false">X1661+ROW()*0.000000001</f>
        <v>47.1224874564546</v>
      </c>
    </row>
    <row r="1662" customFormat="false" ht="15" hidden="false" customHeight="false" outlineLevel="0" collapsed="false">
      <c r="A1662" s="0" t="n">
        <v>5</v>
      </c>
      <c r="B1662" s="0" t="n">
        <v>12</v>
      </c>
      <c r="C1662" s="0" t="n">
        <v>8</v>
      </c>
      <c r="D1662" s="0" t="n">
        <f aca="false">-1+A1662*0.125</f>
        <v>-0.375</v>
      </c>
      <c r="E1662" s="0" t="n">
        <f aca="false">-1+B1662*0.125</f>
        <v>0.5</v>
      </c>
      <c r="F1662" s="0" t="n">
        <f aca="false">-1+C1662*0.125</f>
        <v>0</v>
      </c>
      <c r="G1662" s="0" t="n">
        <f aca="false">1</f>
        <v>1</v>
      </c>
      <c r="H1662" s="0" t="n">
        <f aca="false">D1662</f>
        <v>-0.375</v>
      </c>
      <c r="I1662" s="0" t="n">
        <f aca="false">E1662</f>
        <v>0.5</v>
      </c>
      <c r="J1662" s="0" t="n">
        <f aca="false">F1662</f>
        <v>0</v>
      </c>
      <c r="K1662" s="0" t="n">
        <f aca="false">D1662*E1662</f>
        <v>-0.1875</v>
      </c>
      <c r="L1662" s="0" t="n">
        <f aca="false">D1662*F1662</f>
        <v>-0</v>
      </c>
      <c r="M1662" s="0" t="n">
        <f aca="false">E1662*F1662</f>
        <v>0</v>
      </c>
      <c r="N1662" s="0" t="n">
        <f aca="false">D1662*D1662</f>
        <v>0.140625</v>
      </c>
      <c r="O1662" s="0" t="n">
        <f aca="false">E1662*E1662</f>
        <v>0.25</v>
      </c>
      <c r="P1662" s="0" t="n">
        <f aca="false">F1662*F1662</f>
        <v>0</v>
      </c>
      <c r="Q1662" s="0" t="n">
        <f aca="false">SUMPRODUCT(G1662:P1662,_XtX!$B$71:$K$71)</f>
        <v>47.3485369318182</v>
      </c>
      <c r="R1662" s="0" t="n">
        <f aca="false">SUMPRODUCT(MMULT(G1662:P1662,_XtX!$B$58:$K$67),G1662:P1662)</f>
        <v>0.146457741477273</v>
      </c>
      <c r="S1662" s="0" t="n">
        <f aca="false">04_回帰ANOVA!$K$19*04_回帰ANOVA!$K$14*SQRT(1+R1662)</f>
        <v>0.995510079668687</v>
      </c>
      <c r="T1662" s="0" t="n">
        <f aca="false">Q1662-S1662</f>
        <v>46.3530268521495</v>
      </c>
      <c r="U1662" s="0" t="n">
        <f aca="false">Q1662+S1662</f>
        <v>48.3440470114869</v>
      </c>
      <c r="V1662" s="54" t="b">
        <f aca="false">AND(D1662&gt;=01_因子設定!$L$5-0.000000001,D1662&lt;=01_因子設定!$M$5+0.000000001,E1662&gt;=01_因子設定!$L$6-0.000000001,E1662&lt;=01_因子設定!$M$6+0.000000001,F1662&gt;=01_因子設定!$L$7-0.000000001,F1662&lt;=01_因子設定!$M$7+0.000000001,IF(01_因子設定!$B$20="Box-Behnken",D1662^2+E1662^2+F1662^2&lt;=2+0.000000001,TRUE()))</f>
        <v>1</v>
      </c>
      <c r="W1662" s="55" t="n">
        <f aca="false">IF(V1662,IF(01_因子設定!$B$13="最大化",T1662-01_因子設定!$B$14,IF(01_因子設定!$B$13="最小化",01_因子設定!$B$15-U1662,MIN(T1662-01_因子設定!$B$14,01_因子設定!$B$15-U1662))),-1E+030)</f>
        <v>-2.1469731478505</v>
      </c>
      <c r="X1662" s="55" t="n">
        <f aca="false">IF(V1662,IF(01_因子設定!$B$13="最大化",Q1662,IF(01_因子設定!$B$13="最小化",-Q1662,-ABS(Q1662-01_因子設定!$B$16))),-1E+030)</f>
        <v>47.3485369318182</v>
      </c>
      <c r="Y1662" s="55" t="n">
        <f aca="false">W1662+ROW()*0.000000001</f>
        <v>-2.1469714858505</v>
      </c>
      <c r="Z1662" s="55" t="n">
        <f aca="false">X1662+ROW()*0.000000001</f>
        <v>47.3485385938182</v>
      </c>
    </row>
    <row r="1663" customFormat="false" ht="15" hidden="false" customHeight="false" outlineLevel="0" collapsed="false">
      <c r="A1663" s="0" t="n">
        <v>5</v>
      </c>
      <c r="B1663" s="0" t="n">
        <v>12</v>
      </c>
      <c r="C1663" s="0" t="n">
        <v>9</v>
      </c>
      <c r="D1663" s="0" t="n">
        <f aca="false">-1+A1663*0.125</f>
        <v>-0.375</v>
      </c>
      <c r="E1663" s="0" t="n">
        <f aca="false">-1+B1663*0.125</f>
        <v>0.5</v>
      </c>
      <c r="F1663" s="0" t="n">
        <f aca="false">-1+C1663*0.125</f>
        <v>0.125</v>
      </c>
      <c r="G1663" s="0" t="n">
        <f aca="false">1</f>
        <v>1</v>
      </c>
      <c r="H1663" s="0" t="n">
        <f aca="false">D1663</f>
        <v>-0.375</v>
      </c>
      <c r="I1663" s="0" t="n">
        <f aca="false">E1663</f>
        <v>0.5</v>
      </c>
      <c r="J1663" s="0" t="n">
        <f aca="false">F1663</f>
        <v>0.125</v>
      </c>
      <c r="K1663" s="0" t="n">
        <f aca="false">D1663*E1663</f>
        <v>-0.1875</v>
      </c>
      <c r="L1663" s="0" t="n">
        <f aca="false">D1663*F1663</f>
        <v>-0.046875</v>
      </c>
      <c r="M1663" s="0" t="n">
        <f aca="false">E1663*F1663</f>
        <v>0.0625</v>
      </c>
      <c r="N1663" s="0" t="n">
        <f aca="false">D1663*D1663</f>
        <v>0.140625</v>
      </c>
      <c r="O1663" s="0" t="n">
        <f aca="false">E1663*E1663</f>
        <v>0.25</v>
      </c>
      <c r="P1663" s="0" t="n">
        <f aca="false">F1663*F1663</f>
        <v>0.015625</v>
      </c>
      <c r="Q1663" s="0" t="n">
        <f aca="false">SUMPRODUCT(G1663:P1663,_XtX!$B$71:$K$71)</f>
        <v>47.5377982954546</v>
      </c>
      <c r="R1663" s="0" t="n">
        <f aca="false">SUMPRODUCT(MMULT(G1663:P1663,_XtX!$B$58:$K$67),G1663:P1663)</f>
        <v>0.14578690962358</v>
      </c>
      <c r="S1663" s="0" t="n">
        <f aca="false">04_回帰ANOVA!$K$19*04_回帰ANOVA!$K$14*SQRT(1+R1663)</f>
        <v>0.995218783457917</v>
      </c>
      <c r="T1663" s="0" t="n">
        <f aca="false">Q1663-S1663</f>
        <v>46.5425795119966</v>
      </c>
      <c r="U1663" s="0" t="n">
        <f aca="false">Q1663+S1663</f>
        <v>48.5330170789125</v>
      </c>
      <c r="V1663" s="54" t="b">
        <f aca="false">AND(D1663&gt;=01_因子設定!$L$5-0.000000001,D1663&lt;=01_因子設定!$M$5+0.000000001,E1663&gt;=01_因子設定!$L$6-0.000000001,E1663&lt;=01_因子設定!$M$6+0.000000001,F1663&gt;=01_因子設定!$L$7-0.000000001,F1663&lt;=01_因子設定!$M$7+0.000000001,IF(01_因子設定!$B$20="Box-Behnken",D1663^2+E1663^2+F1663^2&lt;=2+0.000000001,TRUE()))</f>
        <v>1</v>
      </c>
      <c r="W1663" s="55" t="n">
        <f aca="false">IF(V1663,IF(01_因子設定!$B$13="最大化",T1663-01_因子設定!$B$14,IF(01_因子設定!$B$13="最小化",01_因子設定!$B$15-U1663,MIN(T1663-01_因子設定!$B$14,01_因子設定!$B$15-U1663))),-1E+030)</f>
        <v>-1.95742048800336</v>
      </c>
      <c r="X1663" s="55" t="n">
        <f aca="false">IF(V1663,IF(01_因子設定!$B$13="最大化",Q1663,IF(01_因子設定!$B$13="最小化",-Q1663,-ABS(Q1663-01_因子設定!$B$16))),-1E+030)</f>
        <v>47.5377982954546</v>
      </c>
      <c r="Y1663" s="55" t="n">
        <f aca="false">W1663+ROW()*0.000000001</f>
        <v>-1.95741882500336</v>
      </c>
      <c r="Z1663" s="55" t="n">
        <f aca="false">X1663+ROW()*0.000000001</f>
        <v>47.5377999584546</v>
      </c>
    </row>
    <row r="1664" customFormat="false" ht="15" hidden="false" customHeight="false" outlineLevel="0" collapsed="false">
      <c r="A1664" s="0" t="n">
        <v>5</v>
      </c>
      <c r="B1664" s="0" t="n">
        <v>12</v>
      </c>
      <c r="C1664" s="0" t="n">
        <v>10</v>
      </c>
      <c r="D1664" s="0" t="n">
        <f aca="false">-1+A1664*0.125</f>
        <v>-0.375</v>
      </c>
      <c r="E1664" s="0" t="n">
        <f aca="false">-1+B1664*0.125</f>
        <v>0.5</v>
      </c>
      <c r="F1664" s="0" t="n">
        <f aca="false">-1+C1664*0.125</f>
        <v>0.25</v>
      </c>
      <c r="G1664" s="0" t="n">
        <f aca="false">1</f>
        <v>1</v>
      </c>
      <c r="H1664" s="0" t="n">
        <f aca="false">D1664</f>
        <v>-0.375</v>
      </c>
      <c r="I1664" s="0" t="n">
        <f aca="false">E1664</f>
        <v>0.5</v>
      </c>
      <c r="J1664" s="0" t="n">
        <f aca="false">F1664</f>
        <v>0.25</v>
      </c>
      <c r="K1664" s="0" t="n">
        <f aca="false">D1664*E1664</f>
        <v>-0.1875</v>
      </c>
      <c r="L1664" s="0" t="n">
        <f aca="false">D1664*F1664</f>
        <v>-0.09375</v>
      </c>
      <c r="M1664" s="0" t="n">
        <f aca="false">E1664*F1664</f>
        <v>0.125</v>
      </c>
      <c r="N1664" s="0" t="n">
        <f aca="false">D1664*D1664</f>
        <v>0.140625</v>
      </c>
      <c r="O1664" s="0" t="n">
        <f aca="false">E1664*E1664</f>
        <v>0.25</v>
      </c>
      <c r="P1664" s="0" t="n">
        <f aca="false">F1664*F1664</f>
        <v>0.0625</v>
      </c>
      <c r="Q1664" s="0" t="n">
        <f aca="false">SUMPRODUCT(G1664:P1664,_XtX!$B$71:$K$71)</f>
        <v>47.6902698863636</v>
      </c>
      <c r="R1664" s="0" t="n">
        <f aca="false">SUMPRODUCT(MMULT(G1664:P1664,_XtX!$B$58:$K$67),G1664:P1664)</f>
        <v>0.144839754971591</v>
      </c>
      <c r="S1664" s="0" t="n">
        <f aca="false">04_回帰ANOVA!$K$19*04_回帰ANOVA!$K$14*SQRT(1+R1664)</f>
        <v>0.994807353995542</v>
      </c>
      <c r="T1664" s="0" t="n">
        <f aca="false">Q1664-S1664</f>
        <v>46.6954625323681</v>
      </c>
      <c r="U1664" s="0" t="n">
        <f aca="false">Q1664+S1664</f>
        <v>48.6850772403592</v>
      </c>
      <c r="V1664" s="54" t="b">
        <f aca="false">AND(D1664&gt;=01_因子設定!$L$5-0.000000001,D1664&lt;=01_因子設定!$M$5+0.000000001,E1664&gt;=01_因子設定!$L$6-0.000000001,E1664&lt;=01_因子設定!$M$6+0.000000001,F1664&gt;=01_因子設定!$L$7-0.000000001,F1664&lt;=01_因子設定!$M$7+0.000000001,IF(01_因子設定!$B$20="Box-Behnken",D1664^2+E1664^2+F1664^2&lt;=2+0.000000001,TRUE()))</f>
        <v>1</v>
      </c>
      <c r="W1664" s="55" t="n">
        <f aca="false">IF(V1664,IF(01_因子設定!$B$13="最大化",T1664-01_因子設定!$B$14,IF(01_因子設定!$B$13="最小化",01_因子設定!$B$15-U1664,MIN(T1664-01_因子設定!$B$14,01_因子設定!$B$15-U1664))),-1E+030)</f>
        <v>-1.8045374676319</v>
      </c>
      <c r="X1664" s="55" t="n">
        <f aca="false">IF(V1664,IF(01_因子設定!$B$13="最大化",Q1664,IF(01_因子設定!$B$13="最小化",-Q1664,-ABS(Q1664-01_因子設定!$B$16))),-1E+030)</f>
        <v>47.6902698863636</v>
      </c>
      <c r="Y1664" s="55" t="n">
        <f aca="false">W1664+ROW()*0.000000001</f>
        <v>-1.8045358036319</v>
      </c>
      <c r="Z1664" s="55" t="n">
        <f aca="false">X1664+ROW()*0.000000001</f>
        <v>47.6902715503637</v>
      </c>
    </row>
    <row r="1665" customFormat="false" ht="15" hidden="false" customHeight="false" outlineLevel="0" collapsed="false">
      <c r="A1665" s="0" t="n">
        <v>5</v>
      </c>
      <c r="B1665" s="0" t="n">
        <v>12</v>
      </c>
      <c r="C1665" s="0" t="n">
        <v>11</v>
      </c>
      <c r="D1665" s="0" t="n">
        <f aca="false">-1+A1665*0.125</f>
        <v>-0.375</v>
      </c>
      <c r="E1665" s="0" t="n">
        <f aca="false">-1+B1665*0.125</f>
        <v>0.5</v>
      </c>
      <c r="F1665" s="0" t="n">
        <f aca="false">-1+C1665*0.125</f>
        <v>0.375</v>
      </c>
      <c r="G1665" s="0" t="n">
        <f aca="false">1</f>
        <v>1</v>
      </c>
      <c r="H1665" s="0" t="n">
        <f aca="false">D1665</f>
        <v>-0.375</v>
      </c>
      <c r="I1665" s="0" t="n">
        <f aca="false">E1665</f>
        <v>0.5</v>
      </c>
      <c r="J1665" s="0" t="n">
        <f aca="false">F1665</f>
        <v>0.375</v>
      </c>
      <c r="K1665" s="0" t="n">
        <f aca="false">D1665*E1665</f>
        <v>-0.1875</v>
      </c>
      <c r="L1665" s="0" t="n">
        <f aca="false">D1665*F1665</f>
        <v>-0.140625</v>
      </c>
      <c r="M1665" s="0" t="n">
        <f aca="false">E1665*F1665</f>
        <v>0.1875</v>
      </c>
      <c r="N1665" s="0" t="n">
        <f aca="false">D1665*D1665</f>
        <v>0.140625</v>
      </c>
      <c r="O1665" s="0" t="n">
        <f aca="false">E1665*E1665</f>
        <v>0.25</v>
      </c>
      <c r="P1665" s="0" t="n">
        <f aca="false">F1665*F1665</f>
        <v>0.140625</v>
      </c>
      <c r="Q1665" s="0" t="n">
        <f aca="false">SUMPRODUCT(G1665:P1665,_XtX!$B$71:$K$71)</f>
        <v>47.8059517045455</v>
      </c>
      <c r="R1665" s="0" t="n">
        <f aca="false">SUMPRODUCT(MMULT(G1665:P1665,_XtX!$B$58:$K$67),G1665:P1665)</f>
        <v>0.14681230024858</v>
      </c>
      <c r="S1665" s="0" t="n">
        <f aca="false">04_回帰ANOVA!$K$19*04_回帰ANOVA!$K$14*SQRT(1+R1665)</f>
        <v>0.995664005771711</v>
      </c>
      <c r="T1665" s="0" t="n">
        <f aca="false">Q1665-S1665</f>
        <v>46.8102876987738</v>
      </c>
      <c r="U1665" s="0" t="n">
        <f aca="false">Q1665+S1665</f>
        <v>48.8016157103172</v>
      </c>
      <c r="V1665" s="54" t="b">
        <f aca="false">AND(D1665&gt;=01_因子設定!$L$5-0.000000001,D1665&lt;=01_因子設定!$M$5+0.000000001,E1665&gt;=01_因子設定!$L$6-0.000000001,E1665&lt;=01_因子設定!$M$6+0.000000001,F1665&gt;=01_因子設定!$L$7-0.000000001,F1665&lt;=01_因子設定!$M$7+0.000000001,IF(01_因子設定!$B$20="Box-Behnken",D1665^2+E1665^2+F1665^2&lt;=2+0.000000001,TRUE()))</f>
        <v>1</v>
      </c>
      <c r="W1665" s="55" t="n">
        <f aca="false">IF(V1665,IF(01_因子設定!$B$13="最大化",T1665-01_因子設定!$B$14,IF(01_因子設定!$B$13="最小化",01_因子設定!$B$15-U1665,MIN(T1665-01_因子設定!$B$14,01_因子設定!$B$15-U1665))),-1E+030)</f>
        <v>-1.68971230122624</v>
      </c>
      <c r="X1665" s="55" t="n">
        <f aca="false">IF(V1665,IF(01_因子設定!$B$13="最大化",Q1665,IF(01_因子設定!$B$13="最小化",-Q1665,-ABS(Q1665-01_因子設定!$B$16))),-1E+030)</f>
        <v>47.8059517045455</v>
      </c>
      <c r="Y1665" s="55" t="n">
        <f aca="false">W1665+ROW()*0.000000001</f>
        <v>-1.68971063622624</v>
      </c>
      <c r="Z1665" s="55" t="n">
        <f aca="false">X1665+ROW()*0.000000001</f>
        <v>47.8059533695455</v>
      </c>
    </row>
    <row r="1666" customFormat="false" ht="15" hidden="false" customHeight="false" outlineLevel="0" collapsed="false">
      <c r="A1666" s="0" t="n">
        <v>5</v>
      </c>
      <c r="B1666" s="0" t="n">
        <v>12</v>
      </c>
      <c r="C1666" s="0" t="n">
        <v>12</v>
      </c>
      <c r="D1666" s="0" t="n">
        <f aca="false">-1+A1666*0.125</f>
        <v>-0.375</v>
      </c>
      <c r="E1666" s="0" t="n">
        <f aca="false">-1+B1666*0.125</f>
        <v>0.5</v>
      </c>
      <c r="F1666" s="0" t="n">
        <f aca="false">-1+C1666*0.125</f>
        <v>0.5</v>
      </c>
      <c r="G1666" s="0" t="n">
        <f aca="false">1</f>
        <v>1</v>
      </c>
      <c r="H1666" s="0" t="n">
        <f aca="false">D1666</f>
        <v>-0.375</v>
      </c>
      <c r="I1666" s="0" t="n">
        <f aca="false">E1666</f>
        <v>0.5</v>
      </c>
      <c r="J1666" s="0" t="n">
        <f aca="false">F1666</f>
        <v>0.5</v>
      </c>
      <c r="K1666" s="0" t="n">
        <f aca="false">D1666*E1666</f>
        <v>-0.1875</v>
      </c>
      <c r="L1666" s="0" t="n">
        <f aca="false">D1666*F1666</f>
        <v>-0.1875</v>
      </c>
      <c r="M1666" s="0" t="n">
        <f aca="false">E1666*F1666</f>
        <v>0.25</v>
      </c>
      <c r="N1666" s="0" t="n">
        <f aca="false">D1666*D1666</f>
        <v>0.140625</v>
      </c>
      <c r="O1666" s="0" t="n">
        <f aca="false">E1666*E1666</f>
        <v>0.25</v>
      </c>
      <c r="P1666" s="0" t="n">
        <f aca="false">F1666*F1666</f>
        <v>0.25</v>
      </c>
      <c r="Q1666" s="0" t="n">
        <f aca="false">SUMPRODUCT(G1666:P1666,_XtX!$B$71:$K$71)</f>
        <v>47.88484375</v>
      </c>
      <c r="R1666" s="0" t="n">
        <f aca="false">SUMPRODUCT(MMULT(G1666:P1666,_XtX!$B$58:$K$67),G1666:P1666)</f>
        <v>0.15703125</v>
      </c>
      <c r="S1666" s="0" t="n">
        <f aca="false">04_回帰ANOVA!$K$19*04_回帰ANOVA!$K$14*SQRT(1+R1666)</f>
        <v>1.00009022049162</v>
      </c>
      <c r="T1666" s="0" t="n">
        <f aca="false">Q1666-S1666</f>
        <v>46.8847535295084</v>
      </c>
      <c r="U1666" s="0" t="n">
        <f aca="false">Q1666+S1666</f>
        <v>48.8849339704916</v>
      </c>
      <c r="V1666" s="54" t="b">
        <f aca="false">AND(D1666&gt;=01_因子設定!$L$5-0.000000001,D1666&lt;=01_因子設定!$M$5+0.000000001,E1666&gt;=01_因子設定!$L$6-0.000000001,E1666&lt;=01_因子設定!$M$6+0.000000001,F1666&gt;=01_因子設定!$L$7-0.000000001,F1666&lt;=01_因子設定!$M$7+0.000000001,IF(01_因子設定!$B$20="Box-Behnken",D1666^2+E1666^2+F1666^2&lt;=2+0.000000001,TRUE()))</f>
        <v>1</v>
      </c>
      <c r="W1666" s="55" t="n">
        <f aca="false">IF(V1666,IF(01_因子設定!$B$13="最大化",T1666-01_因子設定!$B$14,IF(01_因子設定!$B$13="最小化",01_因子設定!$B$15-U1666,MIN(T1666-01_因子設定!$B$14,01_因子設定!$B$15-U1666))),-1E+030)</f>
        <v>-1.61524647049161</v>
      </c>
      <c r="X1666" s="55" t="n">
        <f aca="false">IF(V1666,IF(01_因子設定!$B$13="最大化",Q1666,IF(01_因子設定!$B$13="最小化",-Q1666,-ABS(Q1666-01_因子設定!$B$16))),-1E+030)</f>
        <v>47.88484375</v>
      </c>
      <c r="Y1666" s="55" t="n">
        <f aca="false">W1666+ROW()*0.000000001</f>
        <v>-1.61524480449161</v>
      </c>
      <c r="Z1666" s="55" t="n">
        <f aca="false">X1666+ROW()*0.000000001</f>
        <v>47.884845416</v>
      </c>
    </row>
    <row r="1667" customFormat="false" ht="15" hidden="false" customHeight="false" outlineLevel="0" collapsed="false">
      <c r="A1667" s="0" t="n">
        <v>5</v>
      </c>
      <c r="B1667" s="0" t="n">
        <v>12</v>
      </c>
      <c r="C1667" s="0" t="n">
        <v>13</v>
      </c>
      <c r="D1667" s="0" t="n">
        <f aca="false">-1+A1667*0.125</f>
        <v>-0.375</v>
      </c>
      <c r="E1667" s="0" t="n">
        <f aca="false">-1+B1667*0.125</f>
        <v>0.5</v>
      </c>
      <c r="F1667" s="0" t="n">
        <f aca="false">-1+C1667*0.125</f>
        <v>0.625</v>
      </c>
      <c r="G1667" s="0" t="n">
        <f aca="false">1</f>
        <v>1</v>
      </c>
      <c r="H1667" s="0" t="n">
        <f aca="false">D1667</f>
        <v>-0.375</v>
      </c>
      <c r="I1667" s="0" t="n">
        <f aca="false">E1667</f>
        <v>0.5</v>
      </c>
      <c r="J1667" s="0" t="n">
        <f aca="false">F1667</f>
        <v>0.625</v>
      </c>
      <c r="K1667" s="0" t="n">
        <f aca="false">D1667*E1667</f>
        <v>-0.1875</v>
      </c>
      <c r="L1667" s="0" t="n">
        <f aca="false">D1667*F1667</f>
        <v>-0.234375</v>
      </c>
      <c r="M1667" s="0" t="n">
        <f aca="false">E1667*F1667</f>
        <v>0.3125</v>
      </c>
      <c r="N1667" s="0" t="n">
        <f aca="false">D1667*D1667</f>
        <v>0.140625</v>
      </c>
      <c r="O1667" s="0" t="n">
        <f aca="false">E1667*E1667</f>
        <v>0.25</v>
      </c>
      <c r="P1667" s="0" t="n">
        <f aca="false">F1667*F1667</f>
        <v>0.390625</v>
      </c>
      <c r="Q1667" s="0" t="n">
        <f aca="false">SUMPRODUCT(G1667:P1667,_XtX!$B$71:$K$71)</f>
        <v>47.9269460227273</v>
      </c>
      <c r="R1667" s="0" t="n">
        <f aca="false">SUMPRODUCT(MMULT(G1667:P1667,_XtX!$B$58:$K$67),G1667:P1667)</f>
        <v>0.182953990589489</v>
      </c>
      <c r="S1667" s="0" t="n">
        <f aca="false">04_回帰ANOVA!$K$19*04_回帰ANOVA!$K$14*SQRT(1+R1667)</f>
        <v>1.01123143807044</v>
      </c>
      <c r="T1667" s="0" t="n">
        <f aca="false">Q1667-S1667</f>
        <v>46.9157145846569</v>
      </c>
      <c r="U1667" s="0" t="n">
        <f aca="false">Q1667+S1667</f>
        <v>48.9381774607977</v>
      </c>
      <c r="V1667" s="54" t="b">
        <f aca="false">AND(D1667&gt;=01_因子設定!$L$5-0.000000001,D1667&lt;=01_因子設定!$M$5+0.000000001,E1667&gt;=01_因子設定!$L$6-0.000000001,E1667&lt;=01_因子設定!$M$6+0.000000001,F1667&gt;=01_因子設定!$L$7-0.000000001,F1667&lt;=01_因子設定!$M$7+0.000000001,IF(01_因子設定!$B$20="Box-Behnken",D1667^2+E1667^2+F1667^2&lt;=2+0.000000001,TRUE()))</f>
        <v>1</v>
      </c>
      <c r="W1667" s="55" t="n">
        <f aca="false">IF(V1667,IF(01_因子設定!$B$13="最大化",T1667-01_因子設定!$B$14,IF(01_因子設定!$B$13="最小化",01_因子設定!$B$15-U1667,MIN(T1667-01_因子設定!$B$14,01_因子設定!$B$15-U1667))),-1E+030)</f>
        <v>-1.58428541534315</v>
      </c>
      <c r="X1667" s="55" t="n">
        <f aca="false">IF(V1667,IF(01_因子設定!$B$13="最大化",Q1667,IF(01_因子設定!$B$13="最小化",-Q1667,-ABS(Q1667-01_因子設定!$B$16))),-1E+030)</f>
        <v>47.9269460227273</v>
      </c>
      <c r="Y1667" s="55" t="n">
        <f aca="false">W1667+ROW()*0.000000001</f>
        <v>-1.58428374834315</v>
      </c>
      <c r="Z1667" s="55" t="n">
        <f aca="false">X1667+ROW()*0.000000001</f>
        <v>47.9269476897273</v>
      </c>
    </row>
    <row r="1668" customFormat="false" ht="15" hidden="false" customHeight="false" outlineLevel="0" collapsed="false">
      <c r="A1668" s="0" t="n">
        <v>5</v>
      </c>
      <c r="B1668" s="0" t="n">
        <v>12</v>
      </c>
      <c r="C1668" s="0" t="n">
        <v>14</v>
      </c>
      <c r="D1668" s="0" t="n">
        <f aca="false">-1+A1668*0.125</f>
        <v>-0.375</v>
      </c>
      <c r="E1668" s="0" t="n">
        <f aca="false">-1+B1668*0.125</f>
        <v>0.5</v>
      </c>
      <c r="F1668" s="0" t="n">
        <f aca="false">-1+C1668*0.125</f>
        <v>0.75</v>
      </c>
      <c r="G1668" s="0" t="n">
        <f aca="false">1</f>
        <v>1</v>
      </c>
      <c r="H1668" s="0" t="n">
        <f aca="false">D1668</f>
        <v>-0.375</v>
      </c>
      <c r="I1668" s="0" t="n">
        <f aca="false">E1668</f>
        <v>0.5</v>
      </c>
      <c r="J1668" s="0" t="n">
        <f aca="false">F1668</f>
        <v>0.75</v>
      </c>
      <c r="K1668" s="0" t="n">
        <f aca="false">D1668*E1668</f>
        <v>-0.1875</v>
      </c>
      <c r="L1668" s="0" t="n">
        <f aca="false">D1668*F1668</f>
        <v>-0.28125</v>
      </c>
      <c r="M1668" s="0" t="n">
        <f aca="false">E1668*F1668</f>
        <v>0.375</v>
      </c>
      <c r="N1668" s="0" t="n">
        <f aca="false">D1668*D1668</f>
        <v>0.140625</v>
      </c>
      <c r="O1668" s="0" t="n">
        <f aca="false">E1668*E1668</f>
        <v>0.25</v>
      </c>
      <c r="P1668" s="0" t="n">
        <f aca="false">F1668*F1668</f>
        <v>0.5625</v>
      </c>
      <c r="Q1668" s="0" t="n">
        <f aca="false">SUMPRODUCT(G1668:P1668,_XtX!$B$71:$K$71)</f>
        <v>47.9322585227273</v>
      </c>
      <c r="R1668" s="0" t="n">
        <f aca="false">SUMPRODUCT(MMULT(G1668:P1668,_XtX!$B$58:$K$67),G1668:P1668)</f>
        <v>0.234168590198864</v>
      </c>
      <c r="S1668" s="0" t="n">
        <f aca="false">04_回帰ANOVA!$K$19*04_回帰ANOVA!$K$14*SQRT(1+R1668)</f>
        <v>1.03288954322488</v>
      </c>
      <c r="T1668" s="0" t="n">
        <f aca="false">Q1668-S1668</f>
        <v>46.8993689795024</v>
      </c>
      <c r="U1668" s="0" t="n">
        <f aca="false">Q1668+S1668</f>
        <v>48.9651480659522</v>
      </c>
      <c r="V1668" s="54" t="b">
        <f aca="false">AND(D1668&gt;=01_因子設定!$L$5-0.000000001,D1668&lt;=01_因子設定!$M$5+0.000000001,E1668&gt;=01_因子設定!$L$6-0.000000001,E1668&lt;=01_因子設定!$M$6+0.000000001,F1668&gt;=01_因子設定!$L$7-0.000000001,F1668&lt;=01_因子設定!$M$7+0.000000001,IF(01_因子設定!$B$20="Box-Behnken",D1668^2+E1668^2+F1668^2&lt;=2+0.000000001,TRUE()))</f>
        <v>1</v>
      </c>
      <c r="W1668" s="55" t="n">
        <f aca="false">IF(V1668,IF(01_因子設定!$B$13="最大化",T1668-01_因子設定!$B$14,IF(01_因子設定!$B$13="最小化",01_因子設定!$B$15-U1668,MIN(T1668-01_因子設定!$B$14,01_因子設定!$B$15-U1668))),-1E+030)</f>
        <v>-1.60063102049759</v>
      </c>
      <c r="X1668" s="55" t="n">
        <f aca="false">IF(V1668,IF(01_因子設定!$B$13="最大化",Q1668,IF(01_因子設定!$B$13="最小化",-Q1668,-ABS(Q1668-01_因子設定!$B$16))),-1E+030)</f>
        <v>47.9322585227273</v>
      </c>
      <c r="Y1668" s="55" t="n">
        <f aca="false">W1668+ROW()*0.000000001</f>
        <v>-1.60062935249759</v>
      </c>
      <c r="Z1668" s="55" t="n">
        <f aca="false">X1668+ROW()*0.000000001</f>
        <v>47.9322601907273</v>
      </c>
    </row>
    <row r="1669" customFormat="false" ht="15" hidden="false" customHeight="false" outlineLevel="0" collapsed="false">
      <c r="A1669" s="0" t="n">
        <v>5</v>
      </c>
      <c r="B1669" s="0" t="n">
        <v>12</v>
      </c>
      <c r="C1669" s="0" t="n">
        <v>15</v>
      </c>
      <c r="D1669" s="0" t="n">
        <f aca="false">-1+A1669*0.125</f>
        <v>-0.375</v>
      </c>
      <c r="E1669" s="0" t="n">
        <f aca="false">-1+B1669*0.125</f>
        <v>0.5</v>
      </c>
      <c r="F1669" s="0" t="n">
        <f aca="false">-1+C1669*0.125</f>
        <v>0.875</v>
      </c>
      <c r="G1669" s="0" t="n">
        <f aca="false">1</f>
        <v>1</v>
      </c>
      <c r="H1669" s="0" t="n">
        <f aca="false">D1669</f>
        <v>-0.375</v>
      </c>
      <c r="I1669" s="0" t="n">
        <f aca="false">E1669</f>
        <v>0.5</v>
      </c>
      <c r="J1669" s="0" t="n">
        <f aca="false">F1669</f>
        <v>0.875</v>
      </c>
      <c r="K1669" s="0" t="n">
        <f aca="false">D1669*E1669</f>
        <v>-0.1875</v>
      </c>
      <c r="L1669" s="0" t="n">
        <f aca="false">D1669*F1669</f>
        <v>-0.328125</v>
      </c>
      <c r="M1669" s="0" t="n">
        <f aca="false">E1669*F1669</f>
        <v>0.4375</v>
      </c>
      <c r="N1669" s="0" t="n">
        <f aca="false">D1669*D1669</f>
        <v>0.140625</v>
      </c>
      <c r="O1669" s="0" t="n">
        <f aca="false">E1669*E1669</f>
        <v>0.25</v>
      </c>
      <c r="P1669" s="0" t="n">
        <f aca="false">F1669*F1669</f>
        <v>0.765625</v>
      </c>
      <c r="Q1669" s="0" t="n">
        <f aca="false">SUMPRODUCT(G1669:P1669,_XtX!$B$71:$K$71)</f>
        <v>47.90078125</v>
      </c>
      <c r="R1669" s="0" t="n">
        <f aca="false">SUMPRODUCT(MMULT(G1669:P1669,_XtX!$B$58:$K$67),G1669:P1669)</f>
        <v>0.322393798828125</v>
      </c>
      <c r="S1669" s="0" t="n">
        <f aca="false">04_回帰ANOVA!$K$19*04_回帰ANOVA!$K$14*SQRT(1+R1669)</f>
        <v>1.06917067390712</v>
      </c>
      <c r="T1669" s="0" t="n">
        <f aca="false">Q1669-S1669</f>
        <v>46.8316105760929</v>
      </c>
      <c r="U1669" s="0" t="n">
        <f aca="false">Q1669+S1669</f>
        <v>48.9699519239071</v>
      </c>
      <c r="V1669" s="54" t="b">
        <f aca="false">AND(D1669&gt;=01_因子設定!$L$5-0.000000001,D1669&lt;=01_因子設定!$M$5+0.000000001,E1669&gt;=01_因子設定!$L$6-0.000000001,E1669&lt;=01_因子設定!$M$6+0.000000001,F1669&gt;=01_因子設定!$L$7-0.000000001,F1669&lt;=01_因子設定!$M$7+0.000000001,IF(01_因子設定!$B$20="Box-Behnken",D1669^2+E1669^2+F1669^2&lt;=2+0.000000001,TRUE()))</f>
        <v>1</v>
      </c>
      <c r="W1669" s="55" t="n">
        <f aca="false">IF(V1669,IF(01_因子設定!$B$13="最大化",T1669-01_因子設定!$B$14,IF(01_因子設定!$B$13="最小化",01_因子設定!$B$15-U1669,MIN(T1669-01_因子設定!$B$14,01_因子設定!$B$15-U1669))),-1E+030)</f>
        <v>-1.66838942390709</v>
      </c>
      <c r="X1669" s="55" t="n">
        <f aca="false">IF(V1669,IF(01_因子設定!$B$13="最大化",Q1669,IF(01_因子設定!$B$13="最小化",-Q1669,-ABS(Q1669-01_因子設定!$B$16))),-1E+030)</f>
        <v>47.90078125</v>
      </c>
      <c r="Y1669" s="55" t="n">
        <f aca="false">W1669+ROW()*0.000000001</f>
        <v>-1.66838775490709</v>
      </c>
      <c r="Z1669" s="55" t="n">
        <f aca="false">X1669+ROW()*0.000000001</f>
        <v>47.900782919</v>
      </c>
    </row>
    <row r="1670" customFormat="false" ht="15" hidden="false" customHeight="false" outlineLevel="0" collapsed="false">
      <c r="A1670" s="0" t="n">
        <v>5</v>
      </c>
      <c r="B1670" s="0" t="n">
        <v>12</v>
      </c>
      <c r="C1670" s="0" t="n">
        <v>16</v>
      </c>
      <c r="D1670" s="0" t="n">
        <f aca="false">-1+A1670*0.125</f>
        <v>-0.375</v>
      </c>
      <c r="E1670" s="0" t="n">
        <f aca="false">-1+B1670*0.125</f>
        <v>0.5</v>
      </c>
      <c r="F1670" s="0" t="n">
        <f aca="false">-1+C1670*0.125</f>
        <v>1</v>
      </c>
      <c r="G1670" s="0" t="n">
        <f aca="false">1</f>
        <v>1</v>
      </c>
      <c r="H1670" s="0" t="n">
        <f aca="false">D1670</f>
        <v>-0.375</v>
      </c>
      <c r="I1670" s="0" t="n">
        <f aca="false">E1670</f>
        <v>0.5</v>
      </c>
      <c r="J1670" s="0" t="n">
        <f aca="false">F1670</f>
        <v>1</v>
      </c>
      <c r="K1670" s="0" t="n">
        <f aca="false">D1670*E1670</f>
        <v>-0.1875</v>
      </c>
      <c r="L1670" s="0" t="n">
        <f aca="false">D1670*F1670</f>
        <v>-0.375</v>
      </c>
      <c r="M1670" s="0" t="n">
        <f aca="false">E1670*F1670</f>
        <v>0.5</v>
      </c>
      <c r="N1670" s="0" t="n">
        <f aca="false">D1670*D1670</f>
        <v>0.140625</v>
      </c>
      <c r="O1670" s="0" t="n">
        <f aca="false">E1670*E1670</f>
        <v>0.25</v>
      </c>
      <c r="P1670" s="0" t="n">
        <f aca="false">F1670*F1670</f>
        <v>1</v>
      </c>
      <c r="Q1670" s="0" t="n">
        <f aca="false">SUMPRODUCT(G1670:P1670,_XtX!$B$71:$K$71)</f>
        <v>47.8325142045455</v>
      </c>
      <c r="R1670" s="0" t="n">
        <f aca="false">SUMPRODUCT(MMULT(G1670:P1670,_XtX!$B$58:$K$67),G1670:P1670)</f>
        <v>0.461479048295455</v>
      </c>
      <c r="S1670" s="0" t="n">
        <f aca="false">04_回帰ANOVA!$K$19*04_回帰ANOVA!$K$14*SQRT(1+R1670)</f>
        <v>1.12399125658369</v>
      </c>
      <c r="T1670" s="0" t="n">
        <f aca="false">Q1670-S1670</f>
        <v>46.7085229479618</v>
      </c>
      <c r="U1670" s="0" t="n">
        <f aca="false">Q1670+S1670</f>
        <v>48.9565054611292</v>
      </c>
      <c r="V1670" s="54" t="b">
        <f aca="false">AND(D1670&gt;=01_因子設定!$L$5-0.000000001,D1670&lt;=01_因子設定!$M$5+0.000000001,E1670&gt;=01_因子設定!$L$6-0.000000001,E1670&lt;=01_因子設定!$M$6+0.000000001,F1670&gt;=01_因子設定!$L$7-0.000000001,F1670&lt;=01_因子設定!$M$7+0.000000001,IF(01_因子設定!$B$20="Box-Behnken",D1670^2+E1670^2+F1670^2&lt;=2+0.000000001,TRUE()))</f>
        <v>1</v>
      </c>
      <c r="W1670" s="55" t="n">
        <f aca="false">IF(V1670,IF(01_因子設定!$B$13="最大化",T1670-01_因子設定!$B$14,IF(01_因子設定!$B$13="最小化",01_因子設定!$B$15-U1670,MIN(T1670-01_因子設定!$B$14,01_因子設定!$B$15-U1670))),-1E+030)</f>
        <v>-1.7914770520382</v>
      </c>
      <c r="X1670" s="55" t="n">
        <f aca="false">IF(V1670,IF(01_因子設定!$B$13="最大化",Q1670,IF(01_因子設定!$B$13="最小化",-Q1670,-ABS(Q1670-01_因子設定!$B$16))),-1E+030)</f>
        <v>47.8325142045455</v>
      </c>
      <c r="Y1670" s="55" t="n">
        <f aca="false">W1670+ROW()*0.000000001</f>
        <v>-1.7914753820382</v>
      </c>
      <c r="Z1670" s="55" t="n">
        <f aca="false">X1670+ROW()*0.000000001</f>
        <v>47.8325158745455</v>
      </c>
    </row>
    <row r="1671" customFormat="false" ht="15" hidden="false" customHeight="false" outlineLevel="0" collapsed="false">
      <c r="A1671" s="0" t="n">
        <v>5</v>
      </c>
      <c r="B1671" s="0" t="n">
        <v>13</v>
      </c>
      <c r="C1671" s="0" t="n">
        <v>0</v>
      </c>
      <c r="D1671" s="0" t="n">
        <f aca="false">-1+A1671*0.125</f>
        <v>-0.375</v>
      </c>
      <c r="E1671" s="0" t="n">
        <f aca="false">-1+B1671*0.125</f>
        <v>0.625</v>
      </c>
      <c r="F1671" s="0" t="n">
        <f aca="false">-1+C1671*0.125</f>
        <v>-1</v>
      </c>
      <c r="G1671" s="0" t="n">
        <f aca="false">1</f>
        <v>1</v>
      </c>
      <c r="H1671" s="0" t="n">
        <f aca="false">D1671</f>
        <v>-0.375</v>
      </c>
      <c r="I1671" s="0" t="n">
        <f aca="false">E1671</f>
        <v>0.625</v>
      </c>
      <c r="J1671" s="0" t="n">
        <f aca="false">F1671</f>
        <v>-1</v>
      </c>
      <c r="K1671" s="0" t="n">
        <f aca="false">D1671*E1671</f>
        <v>-0.234375</v>
      </c>
      <c r="L1671" s="0" t="n">
        <f aca="false">D1671*F1671</f>
        <v>0.375</v>
      </c>
      <c r="M1671" s="0" t="n">
        <f aca="false">E1671*F1671</f>
        <v>-0.625</v>
      </c>
      <c r="N1671" s="0" t="n">
        <f aca="false">D1671*D1671</f>
        <v>0.140625</v>
      </c>
      <c r="O1671" s="0" t="n">
        <f aca="false">E1671*E1671</f>
        <v>0.390625</v>
      </c>
      <c r="P1671" s="0" t="n">
        <f aca="false">F1671*F1671</f>
        <v>1</v>
      </c>
      <c r="Q1671" s="0" t="n">
        <f aca="false">SUMPRODUCT(G1671:P1671,_XtX!$B$71:$K$71)</f>
        <v>44.3700071022728</v>
      </c>
      <c r="R1671" s="0" t="n">
        <f aca="false">SUMPRODUCT(MMULT(G1671:P1671,_XtX!$B$58:$K$67),G1671:P1671)</f>
        <v>0.471821178089489</v>
      </c>
      <c r="S1671" s="0" t="n">
        <f aca="false">04_回帰ANOVA!$K$19*04_回帰ANOVA!$K$14*SQRT(1+R1671)</f>
        <v>1.12796119746125</v>
      </c>
      <c r="T1671" s="0" t="n">
        <f aca="false">Q1671-S1671</f>
        <v>43.2420459048115</v>
      </c>
      <c r="U1671" s="0" t="n">
        <f aca="false">Q1671+S1671</f>
        <v>45.497968299734</v>
      </c>
      <c r="V1671" s="54" t="b">
        <f aca="false">AND(D1671&gt;=01_因子設定!$L$5-0.000000001,D1671&lt;=01_因子設定!$M$5+0.000000001,E1671&gt;=01_因子設定!$L$6-0.000000001,E1671&lt;=01_因子設定!$M$6+0.000000001,F1671&gt;=01_因子設定!$L$7-0.000000001,F1671&lt;=01_因子設定!$M$7+0.000000001,IF(01_因子設定!$B$20="Box-Behnken",D1671^2+E1671^2+F1671^2&lt;=2+0.000000001,TRUE()))</f>
        <v>1</v>
      </c>
      <c r="W1671" s="55" t="n">
        <f aca="false">IF(V1671,IF(01_因子設定!$B$13="最大化",T1671-01_因子設定!$B$14,IF(01_因子設定!$B$13="最小化",01_因子設定!$B$15-U1671,MIN(T1671-01_因子設定!$B$14,01_因子設定!$B$15-U1671))),-1E+030)</f>
        <v>-5.2579540951885</v>
      </c>
      <c r="X1671" s="55" t="n">
        <f aca="false">IF(V1671,IF(01_因子設定!$B$13="最大化",Q1671,IF(01_因子設定!$B$13="最小化",-Q1671,-ABS(Q1671-01_因子設定!$B$16))),-1E+030)</f>
        <v>44.3700071022728</v>
      </c>
      <c r="Y1671" s="55" t="n">
        <f aca="false">W1671+ROW()*0.000000001</f>
        <v>-5.2579524241885</v>
      </c>
      <c r="Z1671" s="55" t="n">
        <f aca="false">X1671+ROW()*0.000000001</f>
        <v>44.3700087732728</v>
      </c>
    </row>
    <row r="1672" customFormat="false" ht="15" hidden="false" customHeight="false" outlineLevel="0" collapsed="false">
      <c r="A1672" s="0" t="n">
        <v>5</v>
      </c>
      <c r="B1672" s="0" t="n">
        <v>13</v>
      </c>
      <c r="C1672" s="0" t="n">
        <v>1</v>
      </c>
      <c r="D1672" s="0" t="n">
        <f aca="false">-1+A1672*0.125</f>
        <v>-0.375</v>
      </c>
      <c r="E1672" s="0" t="n">
        <f aca="false">-1+B1672*0.125</f>
        <v>0.625</v>
      </c>
      <c r="F1672" s="0" t="n">
        <f aca="false">-1+C1672*0.125</f>
        <v>-0.875</v>
      </c>
      <c r="G1672" s="0" t="n">
        <f aca="false">1</f>
        <v>1</v>
      </c>
      <c r="H1672" s="0" t="n">
        <f aca="false">D1672</f>
        <v>-0.375</v>
      </c>
      <c r="I1672" s="0" t="n">
        <f aca="false">E1672</f>
        <v>0.625</v>
      </c>
      <c r="J1672" s="0" t="n">
        <f aca="false">F1672</f>
        <v>-0.875</v>
      </c>
      <c r="K1672" s="0" t="n">
        <f aca="false">D1672*E1672</f>
        <v>-0.234375</v>
      </c>
      <c r="L1672" s="0" t="n">
        <f aca="false">D1672*F1672</f>
        <v>0.328125</v>
      </c>
      <c r="M1672" s="0" t="n">
        <f aca="false">E1672*F1672</f>
        <v>-0.546875</v>
      </c>
      <c r="N1672" s="0" t="n">
        <f aca="false">D1672*D1672</f>
        <v>0.140625</v>
      </c>
      <c r="O1672" s="0" t="n">
        <f aca="false">E1672*E1672</f>
        <v>0.390625</v>
      </c>
      <c r="P1672" s="0" t="n">
        <f aca="false">F1672*F1672</f>
        <v>0.765625</v>
      </c>
      <c r="Q1672" s="0" t="n">
        <f aca="false">SUMPRODUCT(G1672:P1672,_XtX!$B$71:$K$71)</f>
        <v>44.8606178977273</v>
      </c>
      <c r="R1672" s="0" t="n">
        <f aca="false">SUMPRODUCT(MMULT(G1672:P1672,_XtX!$B$58:$K$67),G1672:P1672)</f>
        <v>0.337604869495739</v>
      </c>
      <c r="S1672" s="0" t="n">
        <f aca="false">04_回帰ANOVA!$K$19*04_回帰ANOVA!$K$14*SQRT(1+R1672)</f>
        <v>1.07530225516193</v>
      </c>
      <c r="T1672" s="0" t="n">
        <f aca="false">Q1672-S1672</f>
        <v>43.7853156425654</v>
      </c>
      <c r="U1672" s="0" t="n">
        <f aca="false">Q1672+S1672</f>
        <v>45.9359201528892</v>
      </c>
      <c r="V1672" s="54" t="b">
        <f aca="false">AND(D1672&gt;=01_因子設定!$L$5-0.000000001,D1672&lt;=01_因子設定!$M$5+0.000000001,E1672&gt;=01_因子設定!$L$6-0.000000001,E1672&lt;=01_因子設定!$M$6+0.000000001,F1672&gt;=01_因子設定!$L$7-0.000000001,F1672&lt;=01_因子設定!$M$7+0.000000001,IF(01_因子設定!$B$20="Box-Behnken",D1672^2+E1672^2+F1672^2&lt;=2+0.000000001,TRUE()))</f>
        <v>1</v>
      </c>
      <c r="W1672" s="55" t="n">
        <f aca="false">IF(V1672,IF(01_因子設定!$B$13="最大化",T1672-01_因子設定!$B$14,IF(01_因子設定!$B$13="最小化",01_因子設定!$B$15-U1672,MIN(T1672-01_因子設定!$B$14,01_因子設定!$B$15-U1672))),-1E+030)</f>
        <v>-4.71468435743464</v>
      </c>
      <c r="X1672" s="55" t="n">
        <f aca="false">IF(V1672,IF(01_因子設定!$B$13="最大化",Q1672,IF(01_因子設定!$B$13="最小化",-Q1672,-ABS(Q1672-01_因子設定!$B$16))),-1E+030)</f>
        <v>44.8606178977273</v>
      </c>
      <c r="Y1672" s="55" t="n">
        <f aca="false">W1672+ROW()*0.000000001</f>
        <v>-4.71468268543464</v>
      </c>
      <c r="Z1672" s="55" t="n">
        <f aca="false">X1672+ROW()*0.000000001</f>
        <v>44.8606195697273</v>
      </c>
    </row>
    <row r="1673" customFormat="false" ht="15" hidden="false" customHeight="false" outlineLevel="0" collapsed="false">
      <c r="A1673" s="0" t="n">
        <v>5</v>
      </c>
      <c r="B1673" s="0" t="n">
        <v>13</v>
      </c>
      <c r="C1673" s="0" t="n">
        <v>2</v>
      </c>
      <c r="D1673" s="0" t="n">
        <f aca="false">-1+A1673*0.125</f>
        <v>-0.375</v>
      </c>
      <c r="E1673" s="0" t="n">
        <f aca="false">-1+B1673*0.125</f>
        <v>0.625</v>
      </c>
      <c r="F1673" s="0" t="n">
        <f aca="false">-1+C1673*0.125</f>
        <v>-0.75</v>
      </c>
      <c r="G1673" s="0" t="n">
        <f aca="false">1</f>
        <v>1</v>
      </c>
      <c r="H1673" s="0" t="n">
        <f aca="false">D1673</f>
        <v>-0.375</v>
      </c>
      <c r="I1673" s="0" t="n">
        <f aca="false">E1673</f>
        <v>0.625</v>
      </c>
      <c r="J1673" s="0" t="n">
        <f aca="false">F1673</f>
        <v>-0.75</v>
      </c>
      <c r="K1673" s="0" t="n">
        <f aca="false">D1673*E1673</f>
        <v>-0.234375</v>
      </c>
      <c r="L1673" s="0" t="n">
        <f aca="false">D1673*F1673</f>
        <v>0.28125</v>
      </c>
      <c r="M1673" s="0" t="n">
        <f aca="false">E1673*F1673</f>
        <v>-0.46875</v>
      </c>
      <c r="N1673" s="0" t="n">
        <f aca="false">D1673*D1673</f>
        <v>0.140625</v>
      </c>
      <c r="O1673" s="0" t="n">
        <f aca="false">E1673*E1673</f>
        <v>0.390625</v>
      </c>
      <c r="P1673" s="0" t="n">
        <f aca="false">F1673*F1673</f>
        <v>0.5625</v>
      </c>
      <c r="Q1673" s="0" t="n">
        <f aca="false">SUMPRODUCT(G1673:P1673,_XtX!$B$71:$K$71)</f>
        <v>45.3144389204546</v>
      </c>
      <c r="R1673" s="0" t="n">
        <f aca="false">SUMPRODUCT(MMULT(G1673:P1673,_XtX!$B$58:$K$67),G1673:P1673)</f>
        <v>0.25359940962358</v>
      </c>
      <c r="S1673" s="0" t="n">
        <f aca="false">04_回帰ANOVA!$K$19*04_回帰ANOVA!$K$14*SQRT(1+R1673)</f>
        <v>1.04098872464599</v>
      </c>
      <c r="T1673" s="0" t="n">
        <f aca="false">Q1673-S1673</f>
        <v>44.2734501958086</v>
      </c>
      <c r="U1673" s="0" t="n">
        <f aca="false">Q1673+S1673</f>
        <v>46.3554276451006</v>
      </c>
      <c r="V1673" s="54" t="b">
        <f aca="false">AND(D1673&gt;=01_因子設定!$L$5-0.000000001,D1673&lt;=01_因子設定!$M$5+0.000000001,E1673&gt;=01_因子設定!$L$6-0.000000001,E1673&lt;=01_因子設定!$M$6+0.000000001,F1673&gt;=01_因子設定!$L$7-0.000000001,F1673&lt;=01_因子設定!$M$7+0.000000001,IF(01_因子設定!$B$20="Box-Behnken",D1673^2+E1673^2+F1673^2&lt;=2+0.000000001,TRUE()))</f>
        <v>1</v>
      </c>
      <c r="W1673" s="55" t="n">
        <f aca="false">IF(V1673,IF(01_因子設定!$B$13="最大化",T1673-01_因子設定!$B$14,IF(01_因子設定!$B$13="最小化",01_因子設定!$B$15-U1673,MIN(T1673-01_因子設定!$B$14,01_因子設定!$B$15-U1673))),-1E+030)</f>
        <v>-4.22654980419142</v>
      </c>
      <c r="X1673" s="55" t="n">
        <f aca="false">IF(V1673,IF(01_因子設定!$B$13="最大化",Q1673,IF(01_因子設定!$B$13="最小化",-Q1673,-ABS(Q1673-01_因子設定!$B$16))),-1E+030)</f>
        <v>45.3144389204546</v>
      </c>
      <c r="Y1673" s="55" t="n">
        <f aca="false">W1673+ROW()*0.000000001</f>
        <v>-4.22654813119142</v>
      </c>
      <c r="Z1673" s="55" t="n">
        <f aca="false">X1673+ROW()*0.000000001</f>
        <v>45.3144405934546</v>
      </c>
    </row>
    <row r="1674" customFormat="false" ht="15" hidden="false" customHeight="false" outlineLevel="0" collapsed="false">
      <c r="A1674" s="0" t="n">
        <v>5</v>
      </c>
      <c r="B1674" s="0" t="n">
        <v>13</v>
      </c>
      <c r="C1674" s="0" t="n">
        <v>3</v>
      </c>
      <c r="D1674" s="0" t="n">
        <f aca="false">-1+A1674*0.125</f>
        <v>-0.375</v>
      </c>
      <c r="E1674" s="0" t="n">
        <f aca="false">-1+B1674*0.125</f>
        <v>0.625</v>
      </c>
      <c r="F1674" s="0" t="n">
        <f aca="false">-1+C1674*0.125</f>
        <v>-0.625</v>
      </c>
      <c r="G1674" s="0" t="n">
        <f aca="false">1</f>
        <v>1</v>
      </c>
      <c r="H1674" s="0" t="n">
        <f aca="false">D1674</f>
        <v>-0.375</v>
      </c>
      <c r="I1674" s="0" t="n">
        <f aca="false">E1674</f>
        <v>0.625</v>
      </c>
      <c r="J1674" s="0" t="n">
        <f aca="false">F1674</f>
        <v>-0.625</v>
      </c>
      <c r="K1674" s="0" t="n">
        <f aca="false">D1674*E1674</f>
        <v>-0.234375</v>
      </c>
      <c r="L1674" s="0" t="n">
        <f aca="false">D1674*F1674</f>
        <v>0.234375</v>
      </c>
      <c r="M1674" s="0" t="n">
        <f aca="false">E1674*F1674</f>
        <v>-0.390625</v>
      </c>
      <c r="N1674" s="0" t="n">
        <f aca="false">D1674*D1674</f>
        <v>0.140625</v>
      </c>
      <c r="O1674" s="0" t="n">
        <f aca="false">E1674*E1674</f>
        <v>0.390625</v>
      </c>
      <c r="P1674" s="0" t="n">
        <f aca="false">F1674*F1674</f>
        <v>0.390625</v>
      </c>
      <c r="Q1674" s="0" t="n">
        <f aca="false">SUMPRODUCT(G1674:P1674,_XtX!$B$71:$K$71)</f>
        <v>45.7314701704546</v>
      </c>
      <c r="R1674" s="0" t="n">
        <f aca="false">SUMPRODUCT(MMULT(G1674:P1674,_XtX!$B$58:$K$67),G1674:P1674)</f>
        <v>0.20595536665483</v>
      </c>
      <c r="S1674" s="0" t="n">
        <f aca="false">04_回帰ANOVA!$K$19*04_回帰ANOVA!$K$14*SQRT(1+R1674)</f>
        <v>1.02101530762963</v>
      </c>
      <c r="T1674" s="0" t="n">
        <f aca="false">Q1674-S1674</f>
        <v>44.7104548628249</v>
      </c>
      <c r="U1674" s="0" t="n">
        <f aca="false">Q1674+S1674</f>
        <v>46.7524854780842</v>
      </c>
      <c r="V1674" s="54" t="b">
        <f aca="false">AND(D1674&gt;=01_因子設定!$L$5-0.000000001,D1674&lt;=01_因子設定!$M$5+0.000000001,E1674&gt;=01_因子設定!$L$6-0.000000001,E1674&lt;=01_因子設定!$M$6+0.000000001,F1674&gt;=01_因子設定!$L$7-0.000000001,F1674&lt;=01_因子設定!$M$7+0.000000001,IF(01_因子設定!$B$20="Box-Behnken",D1674^2+E1674^2+F1674^2&lt;=2+0.000000001,TRUE()))</f>
        <v>1</v>
      </c>
      <c r="W1674" s="55" t="n">
        <f aca="false">IF(V1674,IF(01_因子設定!$B$13="最大化",T1674-01_因子設定!$B$14,IF(01_因子設定!$B$13="最小化",01_因子設定!$B$15-U1674,MIN(T1674-01_因子設定!$B$14,01_因子設定!$B$15-U1674))),-1E+030)</f>
        <v>-3.78954513717507</v>
      </c>
      <c r="X1674" s="55" t="n">
        <f aca="false">IF(V1674,IF(01_因子設定!$B$13="最大化",Q1674,IF(01_因子設定!$B$13="最小化",-Q1674,-ABS(Q1674-01_因子設定!$B$16))),-1E+030)</f>
        <v>45.7314701704546</v>
      </c>
      <c r="Y1674" s="55" t="n">
        <f aca="false">W1674+ROW()*0.000000001</f>
        <v>-3.78954346317507</v>
      </c>
      <c r="Z1674" s="55" t="n">
        <f aca="false">X1674+ROW()*0.000000001</f>
        <v>45.7314718444546</v>
      </c>
    </row>
    <row r="1675" customFormat="false" ht="15" hidden="false" customHeight="false" outlineLevel="0" collapsed="false">
      <c r="A1675" s="0" t="n">
        <v>5</v>
      </c>
      <c r="B1675" s="0" t="n">
        <v>13</v>
      </c>
      <c r="C1675" s="0" t="n">
        <v>4</v>
      </c>
      <c r="D1675" s="0" t="n">
        <f aca="false">-1+A1675*0.125</f>
        <v>-0.375</v>
      </c>
      <c r="E1675" s="0" t="n">
        <f aca="false">-1+B1675*0.125</f>
        <v>0.625</v>
      </c>
      <c r="F1675" s="0" t="n">
        <f aca="false">-1+C1675*0.125</f>
        <v>-0.5</v>
      </c>
      <c r="G1675" s="0" t="n">
        <f aca="false">1</f>
        <v>1</v>
      </c>
      <c r="H1675" s="0" t="n">
        <f aca="false">D1675</f>
        <v>-0.375</v>
      </c>
      <c r="I1675" s="0" t="n">
        <f aca="false">E1675</f>
        <v>0.625</v>
      </c>
      <c r="J1675" s="0" t="n">
        <f aca="false">F1675</f>
        <v>-0.5</v>
      </c>
      <c r="K1675" s="0" t="n">
        <f aca="false">D1675*E1675</f>
        <v>-0.234375</v>
      </c>
      <c r="L1675" s="0" t="n">
        <f aca="false">D1675*F1675</f>
        <v>0.1875</v>
      </c>
      <c r="M1675" s="0" t="n">
        <f aca="false">E1675*F1675</f>
        <v>-0.3125</v>
      </c>
      <c r="N1675" s="0" t="n">
        <f aca="false">D1675*D1675</f>
        <v>0.140625</v>
      </c>
      <c r="O1675" s="0" t="n">
        <f aca="false">E1675*E1675</f>
        <v>0.390625</v>
      </c>
      <c r="P1675" s="0" t="n">
        <f aca="false">F1675*F1675</f>
        <v>0.25</v>
      </c>
      <c r="Q1675" s="0" t="n">
        <f aca="false">SUMPRODUCT(G1675:P1675,_XtX!$B$71:$K$71)</f>
        <v>46.1117116477273</v>
      </c>
      <c r="R1675" s="0" t="n">
        <f aca="false">SUMPRODUCT(MMULT(G1675:P1675,_XtX!$B$58:$K$67),G1675:P1675)</f>
        <v>0.182953990589489</v>
      </c>
      <c r="S1675" s="0" t="n">
        <f aca="false">04_回帰ANOVA!$K$19*04_回帰ANOVA!$K$14*SQRT(1+R1675)</f>
        <v>1.01123143807044</v>
      </c>
      <c r="T1675" s="0" t="n">
        <f aca="false">Q1675-S1675</f>
        <v>45.1004802096568</v>
      </c>
      <c r="U1675" s="0" t="n">
        <f aca="false">Q1675+S1675</f>
        <v>47.1229430857977</v>
      </c>
      <c r="V1675" s="54" t="b">
        <f aca="false">AND(D1675&gt;=01_因子設定!$L$5-0.000000001,D1675&lt;=01_因子設定!$M$5+0.000000001,E1675&gt;=01_因子設定!$L$6-0.000000001,E1675&lt;=01_因子設定!$M$6+0.000000001,F1675&gt;=01_因子設定!$L$7-0.000000001,F1675&lt;=01_因子設定!$M$7+0.000000001,IF(01_因子設定!$B$20="Box-Behnken",D1675^2+E1675^2+F1675^2&lt;=2+0.000000001,TRUE()))</f>
        <v>1</v>
      </c>
      <c r="W1675" s="55" t="n">
        <f aca="false">IF(V1675,IF(01_因子設定!$B$13="最大化",T1675-01_因子設定!$B$14,IF(01_因子設定!$B$13="最小化",01_因子設定!$B$15-U1675,MIN(T1675-01_因子設定!$B$14,01_因子設定!$B$15-U1675))),-1E+030)</f>
        <v>-3.39951979034316</v>
      </c>
      <c r="X1675" s="55" t="n">
        <f aca="false">IF(V1675,IF(01_因子設定!$B$13="最大化",Q1675,IF(01_因子設定!$B$13="最小化",-Q1675,-ABS(Q1675-01_因子設定!$B$16))),-1E+030)</f>
        <v>46.1117116477273</v>
      </c>
      <c r="Y1675" s="55" t="n">
        <f aca="false">W1675+ROW()*0.000000001</f>
        <v>-3.39951811534316</v>
      </c>
      <c r="Z1675" s="55" t="n">
        <f aca="false">X1675+ROW()*0.000000001</f>
        <v>46.1117133227273</v>
      </c>
    </row>
    <row r="1676" customFormat="false" ht="15" hidden="false" customHeight="false" outlineLevel="0" collapsed="false">
      <c r="A1676" s="0" t="n">
        <v>5</v>
      </c>
      <c r="B1676" s="0" t="n">
        <v>13</v>
      </c>
      <c r="C1676" s="0" t="n">
        <v>5</v>
      </c>
      <c r="D1676" s="0" t="n">
        <f aca="false">-1+A1676*0.125</f>
        <v>-0.375</v>
      </c>
      <c r="E1676" s="0" t="n">
        <f aca="false">-1+B1676*0.125</f>
        <v>0.625</v>
      </c>
      <c r="F1676" s="0" t="n">
        <f aca="false">-1+C1676*0.125</f>
        <v>-0.375</v>
      </c>
      <c r="G1676" s="0" t="n">
        <f aca="false">1</f>
        <v>1</v>
      </c>
      <c r="H1676" s="0" t="n">
        <f aca="false">D1676</f>
        <v>-0.375</v>
      </c>
      <c r="I1676" s="0" t="n">
        <f aca="false">E1676</f>
        <v>0.625</v>
      </c>
      <c r="J1676" s="0" t="n">
        <f aca="false">F1676</f>
        <v>-0.375</v>
      </c>
      <c r="K1676" s="0" t="n">
        <f aca="false">D1676*E1676</f>
        <v>-0.234375</v>
      </c>
      <c r="L1676" s="0" t="n">
        <f aca="false">D1676*F1676</f>
        <v>0.140625</v>
      </c>
      <c r="M1676" s="0" t="n">
        <f aca="false">E1676*F1676</f>
        <v>-0.234375</v>
      </c>
      <c r="N1676" s="0" t="n">
        <f aca="false">D1676*D1676</f>
        <v>0.140625</v>
      </c>
      <c r="O1676" s="0" t="n">
        <f aca="false">E1676*E1676</f>
        <v>0.390625</v>
      </c>
      <c r="P1676" s="0" t="n">
        <f aca="false">F1676*F1676</f>
        <v>0.140625</v>
      </c>
      <c r="Q1676" s="0" t="n">
        <f aca="false">SUMPRODUCT(G1676:P1676,_XtX!$B$71:$K$71)</f>
        <v>46.4551633522727</v>
      </c>
      <c r="R1676" s="0" t="n">
        <f aca="false">SUMPRODUCT(MMULT(G1676:P1676,_XtX!$B$58:$K$67),G1676:P1676)</f>
        <v>0.175007213245739</v>
      </c>
      <c r="S1676" s="0" t="n">
        <f aca="false">04_回帰ANOVA!$K$19*04_回帰ANOVA!$K$14*SQRT(1+R1676)</f>
        <v>1.0078291195273</v>
      </c>
      <c r="T1676" s="0" t="n">
        <f aca="false">Q1676-S1676</f>
        <v>45.4473342327454</v>
      </c>
      <c r="U1676" s="0" t="n">
        <f aca="false">Q1676+S1676</f>
        <v>47.4629924718</v>
      </c>
      <c r="V1676" s="54" t="b">
        <f aca="false">AND(D1676&gt;=01_因子設定!$L$5-0.000000001,D1676&lt;=01_因子設定!$M$5+0.000000001,E1676&gt;=01_因子設定!$L$6-0.000000001,E1676&lt;=01_因子設定!$M$6+0.000000001,F1676&gt;=01_因子設定!$L$7-0.000000001,F1676&lt;=01_因子設定!$M$7+0.000000001,IF(01_因子設定!$B$20="Box-Behnken",D1676^2+E1676^2+F1676^2&lt;=2+0.000000001,TRUE()))</f>
        <v>1</v>
      </c>
      <c r="W1676" s="55" t="n">
        <f aca="false">IF(V1676,IF(01_因子設定!$B$13="最大化",T1676-01_因子設定!$B$14,IF(01_因子設定!$B$13="最小化",01_因子設定!$B$15-U1676,MIN(T1676-01_因子設定!$B$14,01_因子設定!$B$15-U1676))),-1E+030)</f>
        <v>-3.05266576725457</v>
      </c>
      <c r="X1676" s="55" t="n">
        <f aca="false">IF(V1676,IF(01_因子設定!$B$13="最大化",Q1676,IF(01_因子設定!$B$13="最小化",-Q1676,-ABS(Q1676-01_因子設定!$B$16))),-1E+030)</f>
        <v>46.4551633522727</v>
      </c>
      <c r="Y1676" s="55" t="n">
        <f aca="false">W1676+ROW()*0.000000001</f>
        <v>-3.05266409125457</v>
      </c>
      <c r="Z1676" s="55" t="n">
        <f aca="false">X1676+ROW()*0.000000001</f>
        <v>46.4551650282727</v>
      </c>
    </row>
    <row r="1677" customFormat="false" ht="15" hidden="false" customHeight="false" outlineLevel="0" collapsed="false">
      <c r="A1677" s="0" t="n">
        <v>5</v>
      </c>
      <c r="B1677" s="0" t="n">
        <v>13</v>
      </c>
      <c r="C1677" s="0" t="n">
        <v>6</v>
      </c>
      <c r="D1677" s="0" t="n">
        <f aca="false">-1+A1677*0.125</f>
        <v>-0.375</v>
      </c>
      <c r="E1677" s="0" t="n">
        <f aca="false">-1+B1677*0.125</f>
        <v>0.625</v>
      </c>
      <c r="F1677" s="0" t="n">
        <f aca="false">-1+C1677*0.125</f>
        <v>-0.25</v>
      </c>
      <c r="G1677" s="0" t="n">
        <f aca="false">1</f>
        <v>1</v>
      </c>
      <c r="H1677" s="0" t="n">
        <f aca="false">D1677</f>
        <v>-0.375</v>
      </c>
      <c r="I1677" s="0" t="n">
        <f aca="false">E1677</f>
        <v>0.625</v>
      </c>
      <c r="J1677" s="0" t="n">
        <f aca="false">F1677</f>
        <v>-0.25</v>
      </c>
      <c r="K1677" s="0" t="n">
        <f aca="false">D1677*E1677</f>
        <v>-0.234375</v>
      </c>
      <c r="L1677" s="0" t="n">
        <f aca="false">D1677*F1677</f>
        <v>0.09375</v>
      </c>
      <c r="M1677" s="0" t="n">
        <f aca="false">E1677*F1677</f>
        <v>-0.15625</v>
      </c>
      <c r="N1677" s="0" t="n">
        <f aca="false">D1677*D1677</f>
        <v>0.140625</v>
      </c>
      <c r="O1677" s="0" t="n">
        <f aca="false">E1677*E1677</f>
        <v>0.390625</v>
      </c>
      <c r="P1677" s="0" t="n">
        <f aca="false">F1677*F1677</f>
        <v>0.0625</v>
      </c>
      <c r="Q1677" s="0" t="n">
        <f aca="false">SUMPRODUCT(G1677:P1677,_XtX!$B$71:$K$71)</f>
        <v>46.7618252840909</v>
      </c>
      <c r="R1677" s="0" t="n">
        <f aca="false">SUMPRODUCT(MMULT(G1677:P1677,_XtX!$B$58:$K$67),G1677:P1677)</f>
        <v>0.174657648259943</v>
      </c>
      <c r="S1677" s="0" t="n">
        <f aca="false">04_回帰ANOVA!$K$19*04_回帰ANOVA!$K$14*SQRT(1+R1677)</f>
        <v>1.00767919364845</v>
      </c>
      <c r="T1677" s="0" t="n">
        <f aca="false">Q1677-S1677</f>
        <v>45.7541460904425</v>
      </c>
      <c r="U1677" s="0" t="n">
        <f aca="false">Q1677+S1677</f>
        <v>47.7695044777394</v>
      </c>
      <c r="V1677" s="54" t="b">
        <f aca="false">AND(D1677&gt;=01_因子設定!$L$5-0.000000001,D1677&lt;=01_因子設定!$M$5+0.000000001,E1677&gt;=01_因子設定!$L$6-0.000000001,E1677&lt;=01_因子設定!$M$6+0.000000001,F1677&gt;=01_因子設定!$L$7-0.000000001,F1677&lt;=01_因子設定!$M$7+0.000000001,IF(01_因子設定!$B$20="Box-Behnken",D1677^2+E1677^2+F1677^2&lt;=2+0.000000001,TRUE()))</f>
        <v>1</v>
      </c>
      <c r="W1677" s="55" t="n">
        <f aca="false">IF(V1677,IF(01_因子設定!$B$13="最大化",T1677-01_因子設定!$B$14,IF(01_因子設定!$B$13="最小化",01_因子設定!$B$15-U1677,MIN(T1677-01_因子設定!$B$14,01_因子設定!$B$15-U1677))),-1E+030)</f>
        <v>-2.74585390955752</v>
      </c>
      <c r="X1677" s="55" t="n">
        <f aca="false">IF(V1677,IF(01_因子設定!$B$13="最大化",Q1677,IF(01_因子設定!$B$13="最小化",-Q1677,-ABS(Q1677-01_因子設定!$B$16))),-1E+030)</f>
        <v>46.7618252840909</v>
      </c>
      <c r="Y1677" s="55" t="n">
        <f aca="false">W1677+ROW()*0.000000001</f>
        <v>-2.74585223255752</v>
      </c>
      <c r="Z1677" s="55" t="n">
        <f aca="false">X1677+ROW()*0.000000001</f>
        <v>46.7618269610909</v>
      </c>
    </row>
    <row r="1678" customFormat="false" ht="15" hidden="false" customHeight="false" outlineLevel="0" collapsed="false">
      <c r="A1678" s="0" t="n">
        <v>5</v>
      </c>
      <c r="B1678" s="0" t="n">
        <v>13</v>
      </c>
      <c r="C1678" s="0" t="n">
        <v>7</v>
      </c>
      <c r="D1678" s="0" t="n">
        <f aca="false">-1+A1678*0.125</f>
        <v>-0.375</v>
      </c>
      <c r="E1678" s="0" t="n">
        <f aca="false">-1+B1678*0.125</f>
        <v>0.625</v>
      </c>
      <c r="F1678" s="0" t="n">
        <f aca="false">-1+C1678*0.125</f>
        <v>-0.125</v>
      </c>
      <c r="G1678" s="0" t="n">
        <f aca="false">1</f>
        <v>1</v>
      </c>
      <c r="H1678" s="0" t="n">
        <f aca="false">D1678</f>
        <v>-0.375</v>
      </c>
      <c r="I1678" s="0" t="n">
        <f aca="false">E1678</f>
        <v>0.625</v>
      </c>
      <c r="J1678" s="0" t="n">
        <f aca="false">F1678</f>
        <v>-0.125</v>
      </c>
      <c r="K1678" s="0" t="n">
        <f aca="false">D1678*E1678</f>
        <v>-0.234375</v>
      </c>
      <c r="L1678" s="0" t="n">
        <f aca="false">D1678*F1678</f>
        <v>0.046875</v>
      </c>
      <c r="M1678" s="0" t="n">
        <f aca="false">E1678*F1678</f>
        <v>-0.078125</v>
      </c>
      <c r="N1678" s="0" t="n">
        <f aca="false">D1678*D1678</f>
        <v>0.140625</v>
      </c>
      <c r="O1678" s="0" t="n">
        <f aca="false">E1678*E1678</f>
        <v>0.390625</v>
      </c>
      <c r="P1678" s="0" t="n">
        <f aca="false">F1678*F1678</f>
        <v>0.015625</v>
      </c>
      <c r="Q1678" s="0" t="n">
        <f aca="false">SUMPRODUCT(G1678:P1678,_XtX!$B$71:$K$71)</f>
        <v>47.0316974431818</v>
      </c>
      <c r="R1678" s="0" t="n">
        <f aca="false">SUMPRODUCT(MMULT(G1678:P1678,_XtX!$B$58:$K$67),G1678:P1678)</f>
        <v>0.176578591086648</v>
      </c>
      <c r="S1678" s="0" t="n">
        <f aca="false">04_回帰ANOVA!$K$19*04_回帰ANOVA!$K$14*SQRT(1+R1678)</f>
        <v>1.00850279676269</v>
      </c>
      <c r="T1678" s="0" t="n">
        <f aca="false">Q1678-S1678</f>
        <v>46.0231946464191</v>
      </c>
      <c r="U1678" s="0" t="n">
        <f aca="false">Q1678+S1678</f>
        <v>48.0402002399445</v>
      </c>
      <c r="V1678" s="54" t="b">
        <f aca="false">AND(D1678&gt;=01_因子設定!$L$5-0.000000001,D1678&lt;=01_因子設定!$M$5+0.000000001,E1678&gt;=01_因子設定!$L$6-0.000000001,E1678&lt;=01_因子設定!$M$6+0.000000001,F1678&gt;=01_因子設定!$L$7-0.000000001,F1678&lt;=01_因子設定!$M$7+0.000000001,IF(01_因子設定!$B$20="Box-Behnken",D1678^2+E1678^2+F1678^2&lt;=2+0.000000001,TRUE()))</f>
        <v>1</v>
      </c>
      <c r="W1678" s="55" t="n">
        <f aca="false">IF(V1678,IF(01_因子設定!$B$13="最大化",T1678-01_因子設定!$B$14,IF(01_因子設定!$B$13="最小化",01_因子設定!$B$15-U1678,MIN(T1678-01_因子設定!$B$14,01_因子設定!$B$15-U1678))),-1E+030)</f>
        <v>-2.47680535358086</v>
      </c>
      <c r="X1678" s="55" t="n">
        <f aca="false">IF(V1678,IF(01_因子設定!$B$13="最大化",Q1678,IF(01_因子設定!$B$13="最小化",-Q1678,-ABS(Q1678-01_因子設定!$B$16))),-1E+030)</f>
        <v>47.0316974431818</v>
      </c>
      <c r="Y1678" s="55" t="n">
        <f aca="false">W1678+ROW()*0.000000001</f>
        <v>-2.47680367558087</v>
      </c>
      <c r="Z1678" s="55" t="n">
        <f aca="false">X1678+ROW()*0.000000001</f>
        <v>47.0316991211818</v>
      </c>
    </row>
    <row r="1679" customFormat="false" ht="15" hidden="false" customHeight="false" outlineLevel="0" collapsed="false">
      <c r="A1679" s="0" t="n">
        <v>5</v>
      </c>
      <c r="B1679" s="0" t="n">
        <v>13</v>
      </c>
      <c r="C1679" s="0" t="n">
        <v>8</v>
      </c>
      <c r="D1679" s="0" t="n">
        <f aca="false">-1+A1679*0.125</f>
        <v>-0.375</v>
      </c>
      <c r="E1679" s="0" t="n">
        <f aca="false">-1+B1679*0.125</f>
        <v>0.625</v>
      </c>
      <c r="F1679" s="0" t="n">
        <f aca="false">-1+C1679*0.125</f>
        <v>0</v>
      </c>
      <c r="G1679" s="0" t="n">
        <f aca="false">1</f>
        <v>1</v>
      </c>
      <c r="H1679" s="0" t="n">
        <f aca="false">D1679</f>
        <v>-0.375</v>
      </c>
      <c r="I1679" s="0" t="n">
        <f aca="false">E1679</f>
        <v>0.625</v>
      </c>
      <c r="J1679" s="0" t="n">
        <f aca="false">F1679</f>
        <v>0</v>
      </c>
      <c r="K1679" s="0" t="n">
        <f aca="false">D1679*E1679</f>
        <v>-0.234375</v>
      </c>
      <c r="L1679" s="0" t="n">
        <f aca="false">D1679*F1679</f>
        <v>-0</v>
      </c>
      <c r="M1679" s="0" t="n">
        <f aca="false">E1679*F1679</f>
        <v>0</v>
      </c>
      <c r="N1679" s="0" t="n">
        <f aca="false">D1679*D1679</f>
        <v>0.140625</v>
      </c>
      <c r="O1679" s="0" t="n">
        <f aca="false">E1679*E1679</f>
        <v>0.390625</v>
      </c>
      <c r="P1679" s="0" t="n">
        <f aca="false">F1679*F1679</f>
        <v>0</v>
      </c>
      <c r="Q1679" s="0" t="n">
        <f aca="false">SUMPRODUCT(G1679:P1679,_XtX!$B$71:$K$71)</f>
        <v>47.2647798295455</v>
      </c>
      <c r="R1679" s="0" t="n">
        <f aca="false">SUMPRODUCT(MMULT(G1679:P1679,_XtX!$B$58:$K$67),G1679:P1679)</f>
        <v>0.17757401899858</v>
      </c>
      <c r="S1679" s="0" t="n">
        <f aca="false">04_回帰ANOVA!$K$19*04_回帰ANOVA!$K$14*SQRT(1+R1679)</f>
        <v>1.00892932143276</v>
      </c>
      <c r="T1679" s="0" t="n">
        <f aca="false">Q1679-S1679</f>
        <v>46.2558505081127</v>
      </c>
      <c r="U1679" s="0" t="n">
        <f aca="false">Q1679+S1679</f>
        <v>48.2737091509782</v>
      </c>
      <c r="V1679" s="54" t="b">
        <f aca="false">AND(D1679&gt;=01_因子設定!$L$5-0.000000001,D1679&lt;=01_因子設定!$M$5+0.000000001,E1679&gt;=01_因子設定!$L$6-0.000000001,E1679&lt;=01_因子設定!$M$6+0.000000001,F1679&gt;=01_因子設定!$L$7-0.000000001,F1679&lt;=01_因子設定!$M$7+0.000000001,IF(01_因子設定!$B$20="Box-Behnken",D1679^2+E1679^2+F1679^2&lt;=2+0.000000001,TRUE()))</f>
        <v>1</v>
      </c>
      <c r="W1679" s="55" t="n">
        <f aca="false">IF(V1679,IF(01_因子設定!$B$13="最大化",T1679-01_因子設定!$B$14,IF(01_因子設定!$B$13="最小化",01_因子設定!$B$15-U1679,MIN(T1679-01_因子設定!$B$14,01_因子設定!$B$15-U1679))),-1E+030)</f>
        <v>-2.2441494918873</v>
      </c>
      <c r="X1679" s="55" t="n">
        <f aca="false">IF(V1679,IF(01_因子設定!$B$13="最大化",Q1679,IF(01_因子設定!$B$13="最小化",-Q1679,-ABS(Q1679-01_因子設定!$B$16))),-1E+030)</f>
        <v>47.2647798295455</v>
      </c>
      <c r="Y1679" s="55" t="n">
        <f aca="false">W1679+ROW()*0.000000001</f>
        <v>-2.2441478128873</v>
      </c>
      <c r="Z1679" s="55" t="n">
        <f aca="false">X1679+ROW()*0.000000001</f>
        <v>47.2647815085455</v>
      </c>
    </row>
    <row r="1680" customFormat="false" ht="15" hidden="false" customHeight="false" outlineLevel="0" collapsed="false">
      <c r="A1680" s="0" t="n">
        <v>5</v>
      </c>
      <c r="B1680" s="0" t="n">
        <v>13</v>
      </c>
      <c r="C1680" s="0" t="n">
        <v>9</v>
      </c>
      <c r="D1680" s="0" t="n">
        <f aca="false">-1+A1680*0.125</f>
        <v>-0.375</v>
      </c>
      <c r="E1680" s="0" t="n">
        <f aca="false">-1+B1680*0.125</f>
        <v>0.625</v>
      </c>
      <c r="F1680" s="0" t="n">
        <f aca="false">-1+C1680*0.125</f>
        <v>0.125</v>
      </c>
      <c r="G1680" s="0" t="n">
        <f aca="false">1</f>
        <v>1</v>
      </c>
      <c r="H1680" s="0" t="n">
        <f aca="false">D1680</f>
        <v>-0.375</v>
      </c>
      <c r="I1680" s="0" t="n">
        <f aca="false">E1680</f>
        <v>0.625</v>
      </c>
      <c r="J1680" s="0" t="n">
        <f aca="false">F1680</f>
        <v>0.125</v>
      </c>
      <c r="K1680" s="0" t="n">
        <f aca="false">D1680*E1680</f>
        <v>-0.234375</v>
      </c>
      <c r="L1680" s="0" t="n">
        <f aca="false">D1680*F1680</f>
        <v>-0.046875</v>
      </c>
      <c r="M1680" s="0" t="n">
        <f aca="false">E1680*F1680</f>
        <v>0.078125</v>
      </c>
      <c r="N1680" s="0" t="n">
        <f aca="false">D1680*D1680</f>
        <v>0.140625</v>
      </c>
      <c r="O1680" s="0" t="n">
        <f aca="false">E1680*E1680</f>
        <v>0.390625</v>
      </c>
      <c r="P1680" s="0" t="n">
        <f aca="false">F1680*F1680</f>
        <v>0.015625</v>
      </c>
      <c r="Q1680" s="0" t="n">
        <f aca="false">SUMPRODUCT(G1680:P1680,_XtX!$B$71:$K$71)</f>
        <v>47.4610724431818</v>
      </c>
      <c r="R1680" s="0" t="n">
        <f aca="false">SUMPRODUCT(MMULT(G1680:P1680,_XtX!$B$58:$K$67),G1680:P1680)</f>
        <v>0.176578591086648</v>
      </c>
      <c r="S1680" s="0" t="n">
        <f aca="false">04_回帰ANOVA!$K$19*04_回帰ANOVA!$K$14*SQRT(1+R1680)</f>
        <v>1.00850279676269</v>
      </c>
      <c r="T1680" s="0" t="n">
        <f aca="false">Q1680-S1680</f>
        <v>46.4525696464191</v>
      </c>
      <c r="U1680" s="0" t="n">
        <f aca="false">Q1680+S1680</f>
        <v>48.4695752399445</v>
      </c>
      <c r="V1680" s="54" t="b">
        <f aca="false">AND(D1680&gt;=01_因子設定!$L$5-0.000000001,D1680&lt;=01_因子設定!$M$5+0.000000001,E1680&gt;=01_因子設定!$L$6-0.000000001,E1680&lt;=01_因子設定!$M$6+0.000000001,F1680&gt;=01_因子設定!$L$7-0.000000001,F1680&lt;=01_因子設定!$M$7+0.000000001,IF(01_因子設定!$B$20="Box-Behnken",D1680^2+E1680^2+F1680^2&lt;=2+0.000000001,TRUE()))</f>
        <v>1</v>
      </c>
      <c r="W1680" s="55" t="n">
        <f aca="false">IF(V1680,IF(01_因子設定!$B$13="最大化",T1680-01_因子設定!$B$14,IF(01_因子設定!$B$13="最小化",01_因子設定!$B$15-U1680,MIN(T1680-01_因子設定!$B$14,01_因子設定!$B$15-U1680))),-1E+030)</f>
        <v>-2.04743035358086</v>
      </c>
      <c r="X1680" s="55" t="n">
        <f aca="false">IF(V1680,IF(01_因子設定!$B$13="最大化",Q1680,IF(01_因子設定!$B$13="最小化",-Q1680,-ABS(Q1680-01_因子設定!$B$16))),-1E+030)</f>
        <v>47.4610724431818</v>
      </c>
      <c r="Y1680" s="55" t="n">
        <f aca="false">W1680+ROW()*0.000000001</f>
        <v>-2.04742867358086</v>
      </c>
      <c r="Z1680" s="55" t="n">
        <f aca="false">X1680+ROW()*0.000000001</f>
        <v>47.4610741231818</v>
      </c>
    </row>
    <row r="1681" customFormat="false" ht="15" hidden="false" customHeight="false" outlineLevel="0" collapsed="false">
      <c r="A1681" s="0" t="n">
        <v>5</v>
      </c>
      <c r="B1681" s="0" t="n">
        <v>13</v>
      </c>
      <c r="C1681" s="0" t="n">
        <v>10</v>
      </c>
      <c r="D1681" s="0" t="n">
        <f aca="false">-1+A1681*0.125</f>
        <v>-0.375</v>
      </c>
      <c r="E1681" s="0" t="n">
        <f aca="false">-1+B1681*0.125</f>
        <v>0.625</v>
      </c>
      <c r="F1681" s="0" t="n">
        <f aca="false">-1+C1681*0.125</f>
        <v>0.25</v>
      </c>
      <c r="G1681" s="0" t="n">
        <f aca="false">1</f>
        <v>1</v>
      </c>
      <c r="H1681" s="0" t="n">
        <f aca="false">D1681</f>
        <v>-0.375</v>
      </c>
      <c r="I1681" s="0" t="n">
        <f aca="false">E1681</f>
        <v>0.625</v>
      </c>
      <c r="J1681" s="0" t="n">
        <f aca="false">F1681</f>
        <v>0.25</v>
      </c>
      <c r="K1681" s="0" t="n">
        <f aca="false">D1681*E1681</f>
        <v>-0.234375</v>
      </c>
      <c r="L1681" s="0" t="n">
        <f aca="false">D1681*F1681</f>
        <v>-0.09375</v>
      </c>
      <c r="M1681" s="0" t="n">
        <f aca="false">E1681*F1681</f>
        <v>0.15625</v>
      </c>
      <c r="N1681" s="0" t="n">
        <f aca="false">D1681*D1681</f>
        <v>0.140625</v>
      </c>
      <c r="O1681" s="0" t="n">
        <f aca="false">E1681*E1681</f>
        <v>0.390625</v>
      </c>
      <c r="P1681" s="0" t="n">
        <f aca="false">F1681*F1681</f>
        <v>0.0625</v>
      </c>
      <c r="Q1681" s="0" t="n">
        <f aca="false">SUMPRODUCT(G1681:P1681,_XtX!$B$71:$K$71)</f>
        <v>47.6205752840909</v>
      </c>
      <c r="R1681" s="0" t="n">
        <f aca="false">SUMPRODUCT(MMULT(G1681:P1681,_XtX!$B$58:$K$67),G1681:P1681)</f>
        <v>0.174657648259943</v>
      </c>
      <c r="S1681" s="0" t="n">
        <f aca="false">04_回帰ANOVA!$K$19*04_回帰ANOVA!$K$14*SQRT(1+R1681)</f>
        <v>1.00767919364845</v>
      </c>
      <c r="T1681" s="0" t="n">
        <f aca="false">Q1681-S1681</f>
        <v>46.6128960904425</v>
      </c>
      <c r="U1681" s="0" t="n">
        <f aca="false">Q1681+S1681</f>
        <v>48.6282544777394</v>
      </c>
      <c r="V1681" s="54" t="b">
        <f aca="false">AND(D1681&gt;=01_因子設定!$L$5-0.000000001,D1681&lt;=01_因子設定!$M$5+0.000000001,E1681&gt;=01_因子設定!$L$6-0.000000001,E1681&lt;=01_因子設定!$M$6+0.000000001,F1681&gt;=01_因子設定!$L$7-0.000000001,F1681&lt;=01_因子設定!$M$7+0.000000001,IF(01_因子設定!$B$20="Box-Behnken",D1681^2+E1681^2+F1681^2&lt;=2+0.000000001,TRUE()))</f>
        <v>1</v>
      </c>
      <c r="W1681" s="55" t="n">
        <f aca="false">IF(V1681,IF(01_因子設定!$B$13="最大化",T1681-01_因子設定!$B$14,IF(01_因子設定!$B$13="最小化",01_因子設定!$B$15-U1681,MIN(T1681-01_因子設定!$B$14,01_因子設定!$B$15-U1681))),-1E+030)</f>
        <v>-1.88710390955752</v>
      </c>
      <c r="X1681" s="55" t="n">
        <f aca="false">IF(V1681,IF(01_因子設定!$B$13="最大化",Q1681,IF(01_因子設定!$B$13="最小化",-Q1681,-ABS(Q1681-01_因子設定!$B$16))),-1E+030)</f>
        <v>47.6205752840909</v>
      </c>
      <c r="Y1681" s="55" t="n">
        <f aca="false">W1681+ROW()*0.000000001</f>
        <v>-1.88710222855752</v>
      </c>
      <c r="Z1681" s="55" t="n">
        <f aca="false">X1681+ROW()*0.000000001</f>
        <v>47.6205769650909</v>
      </c>
    </row>
    <row r="1682" customFormat="false" ht="15" hidden="false" customHeight="false" outlineLevel="0" collapsed="false">
      <c r="A1682" s="0" t="n">
        <v>5</v>
      </c>
      <c r="B1682" s="0" t="n">
        <v>13</v>
      </c>
      <c r="C1682" s="0" t="n">
        <v>11</v>
      </c>
      <c r="D1682" s="0" t="n">
        <f aca="false">-1+A1682*0.125</f>
        <v>-0.375</v>
      </c>
      <c r="E1682" s="0" t="n">
        <f aca="false">-1+B1682*0.125</f>
        <v>0.625</v>
      </c>
      <c r="F1682" s="0" t="n">
        <f aca="false">-1+C1682*0.125</f>
        <v>0.375</v>
      </c>
      <c r="G1682" s="0" t="n">
        <f aca="false">1</f>
        <v>1</v>
      </c>
      <c r="H1682" s="0" t="n">
        <f aca="false">D1682</f>
        <v>-0.375</v>
      </c>
      <c r="I1682" s="0" t="n">
        <f aca="false">E1682</f>
        <v>0.625</v>
      </c>
      <c r="J1682" s="0" t="n">
        <f aca="false">F1682</f>
        <v>0.375</v>
      </c>
      <c r="K1682" s="0" t="n">
        <f aca="false">D1682*E1682</f>
        <v>-0.234375</v>
      </c>
      <c r="L1682" s="0" t="n">
        <f aca="false">D1682*F1682</f>
        <v>-0.140625</v>
      </c>
      <c r="M1682" s="0" t="n">
        <f aca="false">E1682*F1682</f>
        <v>0.234375</v>
      </c>
      <c r="N1682" s="0" t="n">
        <f aca="false">D1682*D1682</f>
        <v>0.140625</v>
      </c>
      <c r="O1682" s="0" t="n">
        <f aca="false">E1682*E1682</f>
        <v>0.390625</v>
      </c>
      <c r="P1682" s="0" t="n">
        <f aca="false">F1682*F1682</f>
        <v>0.140625</v>
      </c>
      <c r="Q1682" s="0" t="n">
        <f aca="false">SUMPRODUCT(G1682:P1682,_XtX!$B$71:$K$71)</f>
        <v>47.7432883522727</v>
      </c>
      <c r="R1682" s="0" t="n">
        <f aca="false">SUMPRODUCT(MMULT(G1682:P1682,_XtX!$B$58:$K$67),G1682:P1682)</f>
        <v>0.175007213245739</v>
      </c>
      <c r="S1682" s="0" t="n">
        <f aca="false">04_回帰ANOVA!$K$19*04_回帰ANOVA!$K$14*SQRT(1+R1682)</f>
        <v>1.0078291195273</v>
      </c>
      <c r="T1682" s="0" t="n">
        <f aca="false">Q1682-S1682</f>
        <v>46.7354592327454</v>
      </c>
      <c r="U1682" s="0" t="n">
        <f aca="false">Q1682+S1682</f>
        <v>48.7511174718</v>
      </c>
      <c r="V1682" s="54" t="b">
        <f aca="false">AND(D1682&gt;=01_因子設定!$L$5-0.000000001,D1682&lt;=01_因子設定!$M$5+0.000000001,E1682&gt;=01_因子設定!$L$6-0.000000001,E1682&lt;=01_因子設定!$M$6+0.000000001,F1682&gt;=01_因子設定!$L$7-0.000000001,F1682&lt;=01_因子設定!$M$7+0.000000001,IF(01_因子設定!$B$20="Box-Behnken",D1682^2+E1682^2+F1682^2&lt;=2+0.000000001,TRUE()))</f>
        <v>1</v>
      </c>
      <c r="W1682" s="55" t="n">
        <f aca="false">IF(V1682,IF(01_因子設定!$B$13="最大化",T1682-01_因子設定!$B$14,IF(01_因子設定!$B$13="最小化",01_因子設定!$B$15-U1682,MIN(T1682-01_因子設定!$B$14,01_因子設定!$B$15-U1682))),-1E+030)</f>
        <v>-1.76454076725457</v>
      </c>
      <c r="X1682" s="55" t="n">
        <f aca="false">IF(V1682,IF(01_因子設定!$B$13="最大化",Q1682,IF(01_因子設定!$B$13="最小化",-Q1682,-ABS(Q1682-01_因子設定!$B$16))),-1E+030)</f>
        <v>47.7432883522727</v>
      </c>
      <c r="Y1682" s="55" t="n">
        <f aca="false">W1682+ROW()*0.000000001</f>
        <v>-1.76453908525457</v>
      </c>
      <c r="Z1682" s="55" t="n">
        <f aca="false">X1682+ROW()*0.000000001</f>
        <v>47.7432900342727</v>
      </c>
    </row>
    <row r="1683" customFormat="false" ht="15" hidden="false" customHeight="false" outlineLevel="0" collapsed="false">
      <c r="A1683" s="0" t="n">
        <v>5</v>
      </c>
      <c r="B1683" s="0" t="n">
        <v>13</v>
      </c>
      <c r="C1683" s="0" t="n">
        <v>12</v>
      </c>
      <c r="D1683" s="0" t="n">
        <f aca="false">-1+A1683*0.125</f>
        <v>-0.375</v>
      </c>
      <c r="E1683" s="0" t="n">
        <f aca="false">-1+B1683*0.125</f>
        <v>0.625</v>
      </c>
      <c r="F1683" s="0" t="n">
        <f aca="false">-1+C1683*0.125</f>
        <v>0.5</v>
      </c>
      <c r="G1683" s="0" t="n">
        <f aca="false">1</f>
        <v>1</v>
      </c>
      <c r="H1683" s="0" t="n">
        <f aca="false">D1683</f>
        <v>-0.375</v>
      </c>
      <c r="I1683" s="0" t="n">
        <f aca="false">E1683</f>
        <v>0.625</v>
      </c>
      <c r="J1683" s="0" t="n">
        <f aca="false">F1683</f>
        <v>0.5</v>
      </c>
      <c r="K1683" s="0" t="n">
        <f aca="false">D1683*E1683</f>
        <v>-0.234375</v>
      </c>
      <c r="L1683" s="0" t="n">
        <f aca="false">D1683*F1683</f>
        <v>-0.1875</v>
      </c>
      <c r="M1683" s="0" t="n">
        <f aca="false">E1683*F1683</f>
        <v>0.3125</v>
      </c>
      <c r="N1683" s="0" t="n">
        <f aca="false">D1683*D1683</f>
        <v>0.140625</v>
      </c>
      <c r="O1683" s="0" t="n">
        <f aca="false">E1683*E1683</f>
        <v>0.390625</v>
      </c>
      <c r="P1683" s="0" t="n">
        <f aca="false">F1683*F1683</f>
        <v>0.25</v>
      </c>
      <c r="Q1683" s="0" t="n">
        <f aca="false">SUMPRODUCT(G1683:P1683,_XtX!$B$71:$K$71)</f>
        <v>47.8292116477273</v>
      </c>
      <c r="R1683" s="0" t="n">
        <f aca="false">SUMPRODUCT(MMULT(G1683:P1683,_XtX!$B$58:$K$67),G1683:P1683)</f>
        <v>0.182953990589489</v>
      </c>
      <c r="S1683" s="0" t="n">
        <f aca="false">04_回帰ANOVA!$K$19*04_回帰ANOVA!$K$14*SQRT(1+R1683)</f>
        <v>1.01123143807044</v>
      </c>
      <c r="T1683" s="0" t="n">
        <f aca="false">Q1683-S1683</f>
        <v>46.8179802096568</v>
      </c>
      <c r="U1683" s="0" t="n">
        <f aca="false">Q1683+S1683</f>
        <v>48.8404430857977</v>
      </c>
      <c r="V1683" s="54" t="b">
        <f aca="false">AND(D1683&gt;=01_因子設定!$L$5-0.000000001,D1683&lt;=01_因子設定!$M$5+0.000000001,E1683&gt;=01_因子設定!$L$6-0.000000001,E1683&lt;=01_因子設定!$M$6+0.000000001,F1683&gt;=01_因子設定!$L$7-0.000000001,F1683&lt;=01_因子設定!$M$7+0.000000001,IF(01_因子設定!$B$20="Box-Behnken",D1683^2+E1683^2+F1683^2&lt;=2+0.000000001,TRUE()))</f>
        <v>1</v>
      </c>
      <c r="W1683" s="55" t="n">
        <f aca="false">IF(V1683,IF(01_因子設定!$B$13="最大化",T1683-01_因子設定!$B$14,IF(01_因子設定!$B$13="最小化",01_因子設定!$B$15-U1683,MIN(T1683-01_因子設定!$B$14,01_因子設定!$B$15-U1683))),-1E+030)</f>
        <v>-1.68201979034315</v>
      </c>
      <c r="X1683" s="55" t="n">
        <f aca="false">IF(V1683,IF(01_因子設定!$B$13="最大化",Q1683,IF(01_因子設定!$B$13="最小化",-Q1683,-ABS(Q1683-01_因子設定!$B$16))),-1E+030)</f>
        <v>47.8292116477273</v>
      </c>
      <c r="Y1683" s="55" t="n">
        <f aca="false">W1683+ROW()*0.000000001</f>
        <v>-1.68201810734315</v>
      </c>
      <c r="Z1683" s="55" t="n">
        <f aca="false">X1683+ROW()*0.000000001</f>
        <v>47.8292133307273</v>
      </c>
    </row>
    <row r="1684" customFormat="false" ht="15" hidden="false" customHeight="false" outlineLevel="0" collapsed="false">
      <c r="A1684" s="0" t="n">
        <v>5</v>
      </c>
      <c r="B1684" s="0" t="n">
        <v>13</v>
      </c>
      <c r="C1684" s="0" t="n">
        <v>13</v>
      </c>
      <c r="D1684" s="0" t="n">
        <f aca="false">-1+A1684*0.125</f>
        <v>-0.375</v>
      </c>
      <c r="E1684" s="0" t="n">
        <f aca="false">-1+B1684*0.125</f>
        <v>0.625</v>
      </c>
      <c r="F1684" s="0" t="n">
        <f aca="false">-1+C1684*0.125</f>
        <v>0.625</v>
      </c>
      <c r="G1684" s="0" t="n">
        <f aca="false">1</f>
        <v>1</v>
      </c>
      <c r="H1684" s="0" t="n">
        <f aca="false">D1684</f>
        <v>-0.375</v>
      </c>
      <c r="I1684" s="0" t="n">
        <f aca="false">E1684</f>
        <v>0.625</v>
      </c>
      <c r="J1684" s="0" t="n">
        <f aca="false">F1684</f>
        <v>0.625</v>
      </c>
      <c r="K1684" s="0" t="n">
        <f aca="false">D1684*E1684</f>
        <v>-0.234375</v>
      </c>
      <c r="L1684" s="0" t="n">
        <f aca="false">D1684*F1684</f>
        <v>-0.234375</v>
      </c>
      <c r="M1684" s="0" t="n">
        <f aca="false">E1684*F1684</f>
        <v>0.390625</v>
      </c>
      <c r="N1684" s="0" t="n">
        <f aca="false">D1684*D1684</f>
        <v>0.140625</v>
      </c>
      <c r="O1684" s="0" t="n">
        <f aca="false">E1684*E1684</f>
        <v>0.390625</v>
      </c>
      <c r="P1684" s="0" t="n">
        <f aca="false">F1684*F1684</f>
        <v>0.390625</v>
      </c>
      <c r="Q1684" s="0" t="n">
        <f aca="false">SUMPRODUCT(G1684:P1684,_XtX!$B$71:$K$71)</f>
        <v>47.8783451704546</v>
      </c>
      <c r="R1684" s="0" t="n">
        <f aca="false">SUMPRODUCT(MMULT(G1684:P1684,_XtX!$B$58:$K$67),G1684:P1684)</f>
        <v>0.20595536665483</v>
      </c>
      <c r="S1684" s="0" t="n">
        <f aca="false">04_回帰ANOVA!$K$19*04_回帰ANOVA!$K$14*SQRT(1+R1684)</f>
        <v>1.02101530762963</v>
      </c>
      <c r="T1684" s="0" t="n">
        <f aca="false">Q1684-S1684</f>
        <v>46.8573298628249</v>
      </c>
      <c r="U1684" s="0" t="n">
        <f aca="false">Q1684+S1684</f>
        <v>48.8993604780842</v>
      </c>
      <c r="V1684" s="54" t="b">
        <f aca="false">AND(D1684&gt;=01_因子設定!$L$5-0.000000001,D1684&lt;=01_因子設定!$M$5+0.000000001,E1684&gt;=01_因子設定!$L$6-0.000000001,E1684&lt;=01_因子設定!$M$6+0.000000001,F1684&gt;=01_因子設定!$L$7-0.000000001,F1684&lt;=01_因子設定!$M$7+0.000000001,IF(01_因子設定!$B$20="Box-Behnken",D1684^2+E1684^2+F1684^2&lt;=2+0.000000001,TRUE()))</f>
        <v>1</v>
      </c>
      <c r="W1684" s="55" t="n">
        <f aca="false">IF(V1684,IF(01_因子設定!$B$13="最大化",T1684-01_因子設定!$B$14,IF(01_因子設定!$B$13="最小化",01_因子設定!$B$15-U1684,MIN(T1684-01_因子設定!$B$14,01_因子設定!$B$15-U1684))),-1E+030)</f>
        <v>-1.64267013717507</v>
      </c>
      <c r="X1684" s="55" t="n">
        <f aca="false">IF(V1684,IF(01_因子設定!$B$13="最大化",Q1684,IF(01_因子設定!$B$13="最小化",-Q1684,-ABS(Q1684-01_因子設定!$B$16))),-1E+030)</f>
        <v>47.8783451704546</v>
      </c>
      <c r="Y1684" s="55" t="n">
        <f aca="false">W1684+ROW()*0.000000001</f>
        <v>-1.64266845317507</v>
      </c>
      <c r="Z1684" s="55" t="n">
        <f aca="false">X1684+ROW()*0.000000001</f>
        <v>47.8783468544546</v>
      </c>
    </row>
    <row r="1685" customFormat="false" ht="15" hidden="false" customHeight="false" outlineLevel="0" collapsed="false">
      <c r="A1685" s="0" t="n">
        <v>5</v>
      </c>
      <c r="B1685" s="0" t="n">
        <v>13</v>
      </c>
      <c r="C1685" s="0" t="n">
        <v>14</v>
      </c>
      <c r="D1685" s="0" t="n">
        <f aca="false">-1+A1685*0.125</f>
        <v>-0.375</v>
      </c>
      <c r="E1685" s="0" t="n">
        <f aca="false">-1+B1685*0.125</f>
        <v>0.625</v>
      </c>
      <c r="F1685" s="0" t="n">
        <f aca="false">-1+C1685*0.125</f>
        <v>0.75</v>
      </c>
      <c r="G1685" s="0" t="n">
        <f aca="false">1</f>
        <v>1</v>
      </c>
      <c r="H1685" s="0" t="n">
        <f aca="false">D1685</f>
        <v>-0.375</v>
      </c>
      <c r="I1685" s="0" t="n">
        <f aca="false">E1685</f>
        <v>0.625</v>
      </c>
      <c r="J1685" s="0" t="n">
        <f aca="false">F1685</f>
        <v>0.75</v>
      </c>
      <c r="K1685" s="0" t="n">
        <f aca="false">D1685*E1685</f>
        <v>-0.234375</v>
      </c>
      <c r="L1685" s="0" t="n">
        <f aca="false">D1685*F1685</f>
        <v>-0.28125</v>
      </c>
      <c r="M1685" s="0" t="n">
        <f aca="false">E1685*F1685</f>
        <v>0.46875</v>
      </c>
      <c r="N1685" s="0" t="n">
        <f aca="false">D1685*D1685</f>
        <v>0.140625</v>
      </c>
      <c r="O1685" s="0" t="n">
        <f aca="false">E1685*E1685</f>
        <v>0.390625</v>
      </c>
      <c r="P1685" s="0" t="n">
        <f aca="false">F1685*F1685</f>
        <v>0.5625</v>
      </c>
      <c r="Q1685" s="0" t="n">
        <f aca="false">SUMPRODUCT(G1685:P1685,_XtX!$B$71:$K$71)</f>
        <v>47.8906889204546</v>
      </c>
      <c r="R1685" s="0" t="n">
        <f aca="false">SUMPRODUCT(MMULT(G1685:P1685,_XtX!$B$58:$K$67),G1685:P1685)</f>
        <v>0.25359940962358</v>
      </c>
      <c r="S1685" s="0" t="n">
        <f aca="false">04_回帰ANOVA!$K$19*04_回帰ANOVA!$K$14*SQRT(1+R1685)</f>
        <v>1.04098872464599</v>
      </c>
      <c r="T1685" s="0" t="n">
        <f aca="false">Q1685-S1685</f>
        <v>46.8497001958086</v>
      </c>
      <c r="U1685" s="0" t="n">
        <f aca="false">Q1685+S1685</f>
        <v>48.9316776451006</v>
      </c>
      <c r="V1685" s="54" t="b">
        <f aca="false">AND(D1685&gt;=01_因子設定!$L$5-0.000000001,D1685&lt;=01_因子設定!$M$5+0.000000001,E1685&gt;=01_因子設定!$L$6-0.000000001,E1685&lt;=01_因子設定!$M$6+0.000000001,F1685&gt;=01_因子設定!$L$7-0.000000001,F1685&lt;=01_因子設定!$M$7+0.000000001,IF(01_因子設定!$B$20="Box-Behnken",D1685^2+E1685^2+F1685^2&lt;=2+0.000000001,TRUE()))</f>
        <v>1</v>
      </c>
      <c r="W1685" s="55" t="n">
        <f aca="false">IF(V1685,IF(01_因子設定!$B$13="最大化",T1685-01_因子設定!$B$14,IF(01_因子設定!$B$13="最小化",01_因子設定!$B$15-U1685,MIN(T1685-01_因子設定!$B$14,01_因子設定!$B$15-U1685))),-1E+030)</f>
        <v>-1.65029980419142</v>
      </c>
      <c r="X1685" s="55" t="n">
        <f aca="false">IF(V1685,IF(01_因子設定!$B$13="最大化",Q1685,IF(01_因子設定!$B$13="最小化",-Q1685,-ABS(Q1685-01_因子設定!$B$16))),-1E+030)</f>
        <v>47.8906889204546</v>
      </c>
      <c r="Y1685" s="55" t="n">
        <f aca="false">W1685+ROW()*0.000000001</f>
        <v>-1.65029811919142</v>
      </c>
      <c r="Z1685" s="55" t="n">
        <f aca="false">X1685+ROW()*0.000000001</f>
        <v>47.8906906054546</v>
      </c>
    </row>
    <row r="1686" customFormat="false" ht="15" hidden="false" customHeight="false" outlineLevel="0" collapsed="false">
      <c r="A1686" s="0" t="n">
        <v>5</v>
      </c>
      <c r="B1686" s="0" t="n">
        <v>13</v>
      </c>
      <c r="C1686" s="0" t="n">
        <v>15</v>
      </c>
      <c r="D1686" s="0" t="n">
        <f aca="false">-1+A1686*0.125</f>
        <v>-0.375</v>
      </c>
      <c r="E1686" s="0" t="n">
        <f aca="false">-1+B1686*0.125</f>
        <v>0.625</v>
      </c>
      <c r="F1686" s="0" t="n">
        <f aca="false">-1+C1686*0.125</f>
        <v>0.875</v>
      </c>
      <c r="G1686" s="0" t="n">
        <f aca="false">1</f>
        <v>1</v>
      </c>
      <c r="H1686" s="0" t="n">
        <f aca="false">D1686</f>
        <v>-0.375</v>
      </c>
      <c r="I1686" s="0" t="n">
        <f aca="false">E1686</f>
        <v>0.625</v>
      </c>
      <c r="J1686" s="0" t="n">
        <f aca="false">F1686</f>
        <v>0.875</v>
      </c>
      <c r="K1686" s="0" t="n">
        <f aca="false">D1686*E1686</f>
        <v>-0.234375</v>
      </c>
      <c r="L1686" s="0" t="n">
        <f aca="false">D1686*F1686</f>
        <v>-0.328125</v>
      </c>
      <c r="M1686" s="0" t="n">
        <f aca="false">E1686*F1686</f>
        <v>0.546875</v>
      </c>
      <c r="N1686" s="0" t="n">
        <f aca="false">D1686*D1686</f>
        <v>0.140625</v>
      </c>
      <c r="O1686" s="0" t="n">
        <f aca="false">E1686*E1686</f>
        <v>0.390625</v>
      </c>
      <c r="P1686" s="0" t="n">
        <f aca="false">F1686*F1686</f>
        <v>0.765625</v>
      </c>
      <c r="Q1686" s="0" t="n">
        <f aca="false">SUMPRODUCT(G1686:P1686,_XtX!$B$71:$K$71)</f>
        <v>47.8662428977273</v>
      </c>
      <c r="R1686" s="0" t="n">
        <f aca="false">SUMPRODUCT(MMULT(G1686:P1686,_XtX!$B$58:$K$67),G1686:P1686)</f>
        <v>0.337604869495739</v>
      </c>
      <c r="S1686" s="0" t="n">
        <f aca="false">04_回帰ANOVA!$K$19*04_回帰ANOVA!$K$14*SQRT(1+R1686)</f>
        <v>1.07530225516193</v>
      </c>
      <c r="T1686" s="0" t="n">
        <f aca="false">Q1686-S1686</f>
        <v>46.7909406425654</v>
      </c>
      <c r="U1686" s="0" t="n">
        <f aca="false">Q1686+S1686</f>
        <v>48.9415451528892</v>
      </c>
      <c r="V1686" s="54" t="b">
        <f aca="false">AND(D1686&gt;=01_因子設定!$L$5-0.000000001,D1686&lt;=01_因子設定!$M$5+0.000000001,E1686&gt;=01_因子設定!$L$6-0.000000001,E1686&lt;=01_因子設定!$M$6+0.000000001,F1686&gt;=01_因子設定!$L$7-0.000000001,F1686&lt;=01_因子設定!$M$7+0.000000001,IF(01_因子設定!$B$20="Box-Behnken",D1686^2+E1686^2+F1686^2&lt;=2+0.000000001,TRUE()))</f>
        <v>1</v>
      </c>
      <c r="W1686" s="55" t="n">
        <f aca="false">IF(V1686,IF(01_因子設定!$B$13="最大化",T1686-01_因子設定!$B$14,IF(01_因子設定!$B$13="最小化",01_因子設定!$B$15-U1686,MIN(T1686-01_因子設定!$B$14,01_因子設定!$B$15-U1686))),-1E+030)</f>
        <v>-1.70905935743463</v>
      </c>
      <c r="X1686" s="55" t="n">
        <f aca="false">IF(V1686,IF(01_因子設定!$B$13="最大化",Q1686,IF(01_因子設定!$B$13="最小化",-Q1686,-ABS(Q1686-01_因子設定!$B$16))),-1E+030)</f>
        <v>47.8662428977273</v>
      </c>
      <c r="Y1686" s="55" t="n">
        <f aca="false">W1686+ROW()*0.000000001</f>
        <v>-1.70905767143463</v>
      </c>
      <c r="Z1686" s="55" t="n">
        <f aca="false">X1686+ROW()*0.000000001</f>
        <v>47.8662445837273</v>
      </c>
    </row>
    <row r="1687" customFormat="false" ht="15" hidden="false" customHeight="false" outlineLevel="0" collapsed="false">
      <c r="A1687" s="0" t="n">
        <v>5</v>
      </c>
      <c r="B1687" s="0" t="n">
        <v>13</v>
      </c>
      <c r="C1687" s="0" t="n">
        <v>16</v>
      </c>
      <c r="D1687" s="0" t="n">
        <f aca="false">-1+A1687*0.125</f>
        <v>-0.375</v>
      </c>
      <c r="E1687" s="0" t="n">
        <f aca="false">-1+B1687*0.125</f>
        <v>0.625</v>
      </c>
      <c r="F1687" s="0" t="n">
        <f aca="false">-1+C1687*0.125</f>
        <v>1</v>
      </c>
      <c r="G1687" s="0" t="n">
        <f aca="false">1</f>
        <v>1</v>
      </c>
      <c r="H1687" s="0" t="n">
        <f aca="false">D1687</f>
        <v>-0.375</v>
      </c>
      <c r="I1687" s="0" t="n">
        <f aca="false">E1687</f>
        <v>0.625</v>
      </c>
      <c r="J1687" s="0" t="n">
        <f aca="false">F1687</f>
        <v>1</v>
      </c>
      <c r="K1687" s="0" t="n">
        <f aca="false">D1687*E1687</f>
        <v>-0.234375</v>
      </c>
      <c r="L1687" s="0" t="n">
        <f aca="false">D1687*F1687</f>
        <v>-0.375</v>
      </c>
      <c r="M1687" s="0" t="n">
        <f aca="false">E1687*F1687</f>
        <v>0.625</v>
      </c>
      <c r="N1687" s="0" t="n">
        <f aca="false">D1687*D1687</f>
        <v>0.140625</v>
      </c>
      <c r="O1687" s="0" t="n">
        <f aca="false">E1687*E1687</f>
        <v>0.390625</v>
      </c>
      <c r="P1687" s="0" t="n">
        <f aca="false">F1687*F1687</f>
        <v>1</v>
      </c>
      <c r="Q1687" s="0" t="n">
        <f aca="false">SUMPRODUCT(G1687:P1687,_XtX!$B$71:$K$71)</f>
        <v>47.8050071022728</v>
      </c>
      <c r="R1687" s="0" t="n">
        <f aca="false">SUMPRODUCT(MMULT(G1687:P1687,_XtX!$B$58:$K$67),G1687:P1687)</f>
        <v>0.471821178089489</v>
      </c>
      <c r="S1687" s="0" t="n">
        <f aca="false">04_回帰ANOVA!$K$19*04_回帰ANOVA!$K$14*SQRT(1+R1687)</f>
        <v>1.12796119746125</v>
      </c>
      <c r="T1687" s="0" t="n">
        <f aca="false">Q1687-S1687</f>
        <v>46.6770459048115</v>
      </c>
      <c r="U1687" s="0" t="n">
        <f aca="false">Q1687+S1687</f>
        <v>48.932968299734</v>
      </c>
      <c r="V1687" s="54" t="b">
        <f aca="false">AND(D1687&gt;=01_因子設定!$L$5-0.000000001,D1687&lt;=01_因子設定!$M$5+0.000000001,E1687&gt;=01_因子設定!$L$6-0.000000001,E1687&lt;=01_因子設定!$M$6+0.000000001,F1687&gt;=01_因子設定!$L$7-0.000000001,F1687&lt;=01_因子設定!$M$7+0.000000001,IF(01_因子設定!$B$20="Box-Behnken",D1687^2+E1687^2+F1687^2&lt;=2+0.000000001,TRUE()))</f>
        <v>1</v>
      </c>
      <c r="W1687" s="55" t="n">
        <f aca="false">IF(V1687,IF(01_因子設定!$B$13="最大化",T1687-01_因子設定!$B$14,IF(01_因子設定!$B$13="最小化",01_因子設定!$B$15-U1687,MIN(T1687-01_因子設定!$B$14,01_因子設定!$B$15-U1687))),-1E+030)</f>
        <v>-1.8229540951885</v>
      </c>
      <c r="X1687" s="55" t="n">
        <f aca="false">IF(V1687,IF(01_因子設定!$B$13="最大化",Q1687,IF(01_因子設定!$B$13="最小化",-Q1687,-ABS(Q1687-01_因子設定!$B$16))),-1E+030)</f>
        <v>47.8050071022728</v>
      </c>
      <c r="Y1687" s="55" t="n">
        <f aca="false">W1687+ROW()*0.000000001</f>
        <v>-1.8229524081885</v>
      </c>
      <c r="Z1687" s="55" t="n">
        <f aca="false">X1687+ROW()*0.000000001</f>
        <v>47.8050087892728</v>
      </c>
    </row>
    <row r="1688" customFormat="false" ht="15" hidden="false" customHeight="false" outlineLevel="0" collapsed="false">
      <c r="A1688" s="0" t="n">
        <v>5</v>
      </c>
      <c r="B1688" s="0" t="n">
        <v>14</v>
      </c>
      <c r="C1688" s="0" t="n">
        <v>0</v>
      </c>
      <c r="D1688" s="0" t="n">
        <f aca="false">-1+A1688*0.125</f>
        <v>-0.375</v>
      </c>
      <c r="E1688" s="0" t="n">
        <f aca="false">-1+B1688*0.125</f>
        <v>0.75</v>
      </c>
      <c r="F1688" s="0" t="n">
        <f aca="false">-1+C1688*0.125</f>
        <v>-1</v>
      </c>
      <c r="G1688" s="0" t="n">
        <f aca="false">1</f>
        <v>1</v>
      </c>
      <c r="H1688" s="0" t="n">
        <f aca="false">D1688</f>
        <v>-0.375</v>
      </c>
      <c r="I1688" s="0" t="n">
        <f aca="false">E1688</f>
        <v>0.75</v>
      </c>
      <c r="J1688" s="0" t="n">
        <f aca="false">F1688</f>
        <v>-1</v>
      </c>
      <c r="K1688" s="0" t="n">
        <f aca="false">D1688*E1688</f>
        <v>-0.28125</v>
      </c>
      <c r="L1688" s="0" t="n">
        <f aca="false">D1688*F1688</f>
        <v>0.375</v>
      </c>
      <c r="M1688" s="0" t="n">
        <f aca="false">E1688*F1688</f>
        <v>-0.75</v>
      </c>
      <c r="N1688" s="0" t="n">
        <f aca="false">D1688*D1688</f>
        <v>0.140625</v>
      </c>
      <c r="O1688" s="0" t="n">
        <f aca="false">E1688*E1688</f>
        <v>0.5625</v>
      </c>
      <c r="P1688" s="0" t="n">
        <f aca="false">F1688*F1688</f>
        <v>1</v>
      </c>
      <c r="Q1688" s="0" t="n">
        <f aca="false">SUMPRODUCT(G1688:P1688,_XtX!$B$71:$K$71)</f>
        <v>44.1666477272728</v>
      </c>
      <c r="R1688" s="0" t="n">
        <f aca="false">SUMPRODUCT(MMULT(G1688:P1688,_XtX!$B$58:$K$67),G1688:P1688)</f>
        <v>0.503992808948864</v>
      </c>
      <c r="S1688" s="0" t="n">
        <f aca="false">04_回帰ANOVA!$K$19*04_回帰ANOVA!$K$14*SQRT(1+R1688)</f>
        <v>1.14022226176226</v>
      </c>
      <c r="T1688" s="0" t="n">
        <f aca="false">Q1688-S1688</f>
        <v>43.0264254655105</v>
      </c>
      <c r="U1688" s="0" t="n">
        <f aca="false">Q1688+S1688</f>
        <v>45.306869989035</v>
      </c>
      <c r="V1688" s="54" t="b">
        <f aca="false">AND(D1688&gt;=01_因子設定!$L$5-0.000000001,D1688&lt;=01_因子設定!$M$5+0.000000001,E1688&gt;=01_因子設定!$L$6-0.000000001,E1688&lt;=01_因子設定!$M$6+0.000000001,F1688&gt;=01_因子設定!$L$7-0.000000001,F1688&lt;=01_因子設定!$M$7+0.000000001,IF(01_因子設定!$B$20="Box-Behnken",D1688^2+E1688^2+F1688^2&lt;=2+0.000000001,TRUE()))</f>
        <v>1</v>
      </c>
      <c r="W1688" s="55" t="n">
        <f aca="false">IF(V1688,IF(01_因子設定!$B$13="最大化",T1688-01_因子設定!$B$14,IF(01_因子設定!$B$13="最小化",01_因子設定!$B$15-U1688,MIN(T1688-01_因子設定!$B$14,01_因子設定!$B$15-U1688))),-1E+030)</f>
        <v>-5.47357453448951</v>
      </c>
      <c r="X1688" s="55" t="n">
        <f aca="false">IF(V1688,IF(01_因子設定!$B$13="最大化",Q1688,IF(01_因子設定!$B$13="最小化",-Q1688,-ABS(Q1688-01_因子設定!$B$16))),-1E+030)</f>
        <v>44.1666477272728</v>
      </c>
      <c r="Y1688" s="55" t="n">
        <f aca="false">W1688+ROW()*0.000000001</f>
        <v>-5.47357284648951</v>
      </c>
      <c r="Z1688" s="55" t="n">
        <f aca="false">X1688+ROW()*0.000000001</f>
        <v>44.1666494152728</v>
      </c>
    </row>
    <row r="1689" customFormat="false" ht="15" hidden="false" customHeight="false" outlineLevel="0" collapsed="false">
      <c r="A1689" s="0" t="n">
        <v>5</v>
      </c>
      <c r="B1689" s="0" t="n">
        <v>14</v>
      </c>
      <c r="C1689" s="0" t="n">
        <v>1</v>
      </c>
      <c r="D1689" s="0" t="n">
        <f aca="false">-1+A1689*0.125</f>
        <v>-0.375</v>
      </c>
      <c r="E1689" s="0" t="n">
        <f aca="false">-1+B1689*0.125</f>
        <v>0.75</v>
      </c>
      <c r="F1689" s="0" t="n">
        <f aca="false">-1+C1689*0.125</f>
        <v>-0.875</v>
      </c>
      <c r="G1689" s="0" t="n">
        <f aca="false">1</f>
        <v>1</v>
      </c>
      <c r="H1689" s="0" t="n">
        <f aca="false">D1689</f>
        <v>-0.375</v>
      </c>
      <c r="I1689" s="0" t="n">
        <f aca="false">E1689</f>
        <v>0.75</v>
      </c>
      <c r="J1689" s="0" t="n">
        <f aca="false">F1689</f>
        <v>-0.875</v>
      </c>
      <c r="K1689" s="0" t="n">
        <f aca="false">D1689*E1689</f>
        <v>-0.28125</v>
      </c>
      <c r="L1689" s="0" t="n">
        <f aca="false">D1689*F1689</f>
        <v>0.328125</v>
      </c>
      <c r="M1689" s="0" t="n">
        <f aca="false">E1689*F1689</f>
        <v>-0.65625</v>
      </c>
      <c r="N1689" s="0" t="n">
        <f aca="false">D1689*D1689</f>
        <v>0.140625</v>
      </c>
      <c r="O1689" s="0" t="n">
        <f aca="false">E1689*E1689</f>
        <v>0.5625</v>
      </c>
      <c r="P1689" s="0" t="n">
        <f aca="false">F1689*F1689</f>
        <v>0.765625</v>
      </c>
      <c r="Q1689" s="0" t="n">
        <f aca="false">SUMPRODUCT(G1689:P1689,_XtX!$B$71:$K$71)</f>
        <v>44.6642897727273</v>
      </c>
      <c r="R1689" s="0" t="n">
        <f aca="false">SUMPRODUCT(MMULT(G1689:P1689,_XtX!$B$58:$K$67),G1689:P1689)</f>
        <v>0.375727428089489</v>
      </c>
      <c r="S1689" s="0" t="n">
        <f aca="false">04_回帰ANOVA!$K$19*04_回帰ANOVA!$K$14*SQRT(1+R1689)</f>
        <v>1.09051798904087</v>
      </c>
      <c r="T1689" s="0" t="n">
        <f aca="false">Q1689-S1689</f>
        <v>43.5737717836864</v>
      </c>
      <c r="U1689" s="0" t="n">
        <f aca="false">Q1689+S1689</f>
        <v>45.7548077617682</v>
      </c>
      <c r="V1689" s="54" t="b">
        <f aca="false">AND(D1689&gt;=01_因子設定!$L$5-0.000000001,D1689&lt;=01_因子設定!$M$5+0.000000001,E1689&gt;=01_因子設定!$L$6-0.000000001,E1689&lt;=01_因子設定!$M$6+0.000000001,F1689&gt;=01_因子設定!$L$7-0.000000001,F1689&lt;=01_因子設定!$M$7+0.000000001,IF(01_因子設定!$B$20="Box-Behnken",D1689^2+E1689^2+F1689^2&lt;=2+0.000000001,TRUE()))</f>
        <v>1</v>
      </c>
      <c r="W1689" s="55" t="n">
        <f aca="false">IF(V1689,IF(01_因子設定!$B$13="最大化",T1689-01_因子設定!$B$14,IF(01_因子設定!$B$13="最小化",01_因子設定!$B$15-U1689,MIN(T1689-01_因子設定!$B$14,01_因子設定!$B$15-U1689))),-1E+030)</f>
        <v>-4.92622821631358</v>
      </c>
      <c r="X1689" s="55" t="n">
        <f aca="false">IF(V1689,IF(01_因子設定!$B$13="最大化",Q1689,IF(01_因子設定!$B$13="最小化",-Q1689,-ABS(Q1689-01_因子設定!$B$16))),-1E+030)</f>
        <v>44.6642897727273</v>
      </c>
      <c r="Y1689" s="55" t="n">
        <f aca="false">W1689+ROW()*0.000000001</f>
        <v>-4.92622652731358</v>
      </c>
      <c r="Z1689" s="55" t="n">
        <f aca="false">X1689+ROW()*0.000000001</f>
        <v>44.6642914617273</v>
      </c>
    </row>
    <row r="1690" customFormat="false" ht="15" hidden="false" customHeight="false" outlineLevel="0" collapsed="false">
      <c r="A1690" s="0" t="n">
        <v>5</v>
      </c>
      <c r="B1690" s="0" t="n">
        <v>14</v>
      </c>
      <c r="C1690" s="0" t="n">
        <v>2</v>
      </c>
      <c r="D1690" s="0" t="n">
        <f aca="false">-1+A1690*0.125</f>
        <v>-0.375</v>
      </c>
      <c r="E1690" s="0" t="n">
        <f aca="false">-1+B1690*0.125</f>
        <v>0.75</v>
      </c>
      <c r="F1690" s="0" t="n">
        <f aca="false">-1+C1690*0.125</f>
        <v>-0.75</v>
      </c>
      <c r="G1690" s="0" t="n">
        <f aca="false">1</f>
        <v>1</v>
      </c>
      <c r="H1690" s="0" t="n">
        <f aca="false">D1690</f>
        <v>-0.375</v>
      </c>
      <c r="I1690" s="0" t="n">
        <f aca="false">E1690</f>
        <v>0.75</v>
      </c>
      <c r="J1690" s="0" t="n">
        <f aca="false">F1690</f>
        <v>-0.75</v>
      </c>
      <c r="K1690" s="0" t="n">
        <f aca="false">D1690*E1690</f>
        <v>-0.28125</v>
      </c>
      <c r="L1690" s="0" t="n">
        <f aca="false">D1690*F1690</f>
        <v>0.28125</v>
      </c>
      <c r="M1690" s="0" t="n">
        <f aca="false">E1690*F1690</f>
        <v>-0.5625</v>
      </c>
      <c r="N1690" s="0" t="n">
        <f aca="false">D1690*D1690</f>
        <v>0.140625</v>
      </c>
      <c r="O1690" s="0" t="n">
        <f aca="false">E1690*E1690</f>
        <v>0.5625</v>
      </c>
      <c r="P1690" s="0" t="n">
        <f aca="false">F1690*F1690</f>
        <v>0.5625</v>
      </c>
      <c r="Q1690" s="0" t="n">
        <f aca="false">SUMPRODUCT(G1690:P1690,_XtX!$B$71:$K$71)</f>
        <v>45.1251420454546</v>
      </c>
      <c r="R1690" s="0" t="n">
        <f aca="false">SUMPRODUCT(MMULT(G1690:P1690,_XtX!$B$58:$K$67),G1690:P1690)</f>
        <v>0.296879438920455</v>
      </c>
      <c r="S1690" s="0" t="n">
        <f aca="false">04_回帰ANOVA!$K$19*04_回帰ANOVA!$K$14*SQRT(1+R1690)</f>
        <v>1.05880610927316</v>
      </c>
      <c r="T1690" s="0" t="n">
        <f aca="false">Q1690-S1690</f>
        <v>44.0663359361814</v>
      </c>
      <c r="U1690" s="0" t="n">
        <f aca="false">Q1690+S1690</f>
        <v>46.1839481547277</v>
      </c>
      <c r="V1690" s="54" t="b">
        <f aca="false">AND(D1690&gt;=01_因子設定!$L$5-0.000000001,D1690&lt;=01_因子設定!$M$5+0.000000001,E1690&gt;=01_因子設定!$L$6-0.000000001,E1690&lt;=01_因子設定!$M$6+0.000000001,F1690&gt;=01_因子設定!$L$7-0.000000001,F1690&lt;=01_因子設定!$M$7+0.000000001,IF(01_因子設定!$B$20="Box-Behnken",D1690^2+E1690^2+F1690^2&lt;=2+0.000000001,TRUE()))</f>
        <v>1</v>
      </c>
      <c r="W1690" s="55" t="n">
        <f aca="false">IF(V1690,IF(01_因子設定!$B$13="最大化",T1690-01_因子設定!$B$14,IF(01_因子設定!$B$13="最小化",01_因子設定!$B$15-U1690,MIN(T1690-01_因子設定!$B$14,01_因子設定!$B$15-U1690))),-1E+030)</f>
        <v>-4.4336640638186</v>
      </c>
      <c r="X1690" s="55" t="n">
        <f aca="false">IF(V1690,IF(01_因子設定!$B$13="最大化",Q1690,IF(01_因子設定!$B$13="最小化",-Q1690,-ABS(Q1690-01_因子設定!$B$16))),-1E+030)</f>
        <v>45.1251420454546</v>
      </c>
      <c r="Y1690" s="55" t="n">
        <f aca="false">W1690+ROW()*0.000000001</f>
        <v>-4.4336623738186</v>
      </c>
      <c r="Z1690" s="55" t="n">
        <f aca="false">X1690+ROW()*0.000000001</f>
        <v>45.1251437354546</v>
      </c>
    </row>
    <row r="1691" customFormat="false" ht="15" hidden="false" customHeight="false" outlineLevel="0" collapsed="false">
      <c r="A1691" s="0" t="n">
        <v>5</v>
      </c>
      <c r="B1691" s="0" t="n">
        <v>14</v>
      </c>
      <c r="C1691" s="0" t="n">
        <v>3</v>
      </c>
      <c r="D1691" s="0" t="n">
        <f aca="false">-1+A1691*0.125</f>
        <v>-0.375</v>
      </c>
      <c r="E1691" s="0" t="n">
        <f aca="false">-1+B1691*0.125</f>
        <v>0.75</v>
      </c>
      <c r="F1691" s="0" t="n">
        <f aca="false">-1+C1691*0.125</f>
        <v>-0.625</v>
      </c>
      <c r="G1691" s="0" t="n">
        <f aca="false">1</f>
        <v>1</v>
      </c>
      <c r="H1691" s="0" t="n">
        <f aca="false">D1691</f>
        <v>-0.375</v>
      </c>
      <c r="I1691" s="0" t="n">
        <f aca="false">E1691</f>
        <v>0.75</v>
      </c>
      <c r="J1691" s="0" t="n">
        <f aca="false">F1691</f>
        <v>-0.625</v>
      </c>
      <c r="K1691" s="0" t="n">
        <f aca="false">D1691*E1691</f>
        <v>-0.28125</v>
      </c>
      <c r="L1691" s="0" t="n">
        <f aca="false">D1691*F1691</f>
        <v>0.234375</v>
      </c>
      <c r="M1691" s="0" t="n">
        <f aca="false">E1691*F1691</f>
        <v>-0.46875</v>
      </c>
      <c r="N1691" s="0" t="n">
        <f aca="false">D1691*D1691</f>
        <v>0.140625</v>
      </c>
      <c r="O1691" s="0" t="n">
        <f aca="false">E1691*E1691</f>
        <v>0.5625</v>
      </c>
      <c r="P1691" s="0" t="n">
        <f aca="false">F1691*F1691</f>
        <v>0.390625</v>
      </c>
      <c r="Q1691" s="0" t="n">
        <f aca="false">SUMPRODUCT(G1691:P1691,_XtX!$B$71:$K$71)</f>
        <v>45.5492045454546</v>
      </c>
      <c r="R1691" s="0" t="n">
        <f aca="false">SUMPRODUCT(MMULT(G1691:P1691,_XtX!$B$58:$K$67),G1691:P1691)</f>
        <v>0.25359940962358</v>
      </c>
      <c r="S1691" s="0" t="n">
        <f aca="false">04_回帰ANOVA!$K$19*04_回帰ANOVA!$K$14*SQRT(1+R1691)</f>
        <v>1.04098872464599</v>
      </c>
      <c r="T1691" s="0" t="n">
        <f aca="false">Q1691-S1691</f>
        <v>44.5082158208086</v>
      </c>
      <c r="U1691" s="0" t="n">
        <f aca="false">Q1691+S1691</f>
        <v>46.5901932701005</v>
      </c>
      <c r="V1691" s="54" t="b">
        <f aca="false">AND(D1691&gt;=01_因子設定!$L$5-0.000000001,D1691&lt;=01_因子設定!$M$5+0.000000001,E1691&gt;=01_因子設定!$L$6-0.000000001,E1691&lt;=01_因子設定!$M$6+0.000000001,F1691&gt;=01_因子設定!$L$7-0.000000001,F1691&lt;=01_因子設定!$M$7+0.000000001,IF(01_因子設定!$B$20="Box-Behnken",D1691^2+E1691^2+F1691^2&lt;=2+0.000000001,TRUE()))</f>
        <v>1</v>
      </c>
      <c r="W1691" s="55" t="n">
        <f aca="false">IF(V1691,IF(01_因子設定!$B$13="最大化",T1691-01_因子設定!$B$14,IF(01_因子設定!$B$13="最小化",01_因子設定!$B$15-U1691,MIN(T1691-01_因子設定!$B$14,01_因子設定!$B$15-U1691))),-1E+030)</f>
        <v>-3.99178417919143</v>
      </c>
      <c r="X1691" s="55" t="n">
        <f aca="false">IF(V1691,IF(01_因子設定!$B$13="最大化",Q1691,IF(01_因子設定!$B$13="最小化",-Q1691,-ABS(Q1691-01_因子設定!$B$16))),-1E+030)</f>
        <v>45.5492045454546</v>
      </c>
      <c r="Y1691" s="55" t="n">
        <f aca="false">W1691+ROW()*0.000000001</f>
        <v>-3.99178248819143</v>
      </c>
      <c r="Z1691" s="55" t="n">
        <f aca="false">X1691+ROW()*0.000000001</f>
        <v>45.5492062364546</v>
      </c>
    </row>
    <row r="1692" customFormat="false" ht="15" hidden="false" customHeight="false" outlineLevel="0" collapsed="false">
      <c r="A1692" s="0" t="n">
        <v>5</v>
      </c>
      <c r="B1692" s="0" t="n">
        <v>14</v>
      </c>
      <c r="C1692" s="0" t="n">
        <v>4</v>
      </c>
      <c r="D1692" s="0" t="n">
        <f aca="false">-1+A1692*0.125</f>
        <v>-0.375</v>
      </c>
      <c r="E1692" s="0" t="n">
        <f aca="false">-1+B1692*0.125</f>
        <v>0.75</v>
      </c>
      <c r="F1692" s="0" t="n">
        <f aca="false">-1+C1692*0.125</f>
        <v>-0.5</v>
      </c>
      <c r="G1692" s="0" t="n">
        <f aca="false">1</f>
        <v>1</v>
      </c>
      <c r="H1692" s="0" t="n">
        <f aca="false">D1692</f>
        <v>-0.375</v>
      </c>
      <c r="I1692" s="0" t="n">
        <f aca="false">E1692</f>
        <v>0.75</v>
      </c>
      <c r="J1692" s="0" t="n">
        <f aca="false">F1692</f>
        <v>-0.5</v>
      </c>
      <c r="K1692" s="0" t="n">
        <f aca="false">D1692*E1692</f>
        <v>-0.28125</v>
      </c>
      <c r="L1692" s="0" t="n">
        <f aca="false">D1692*F1692</f>
        <v>0.1875</v>
      </c>
      <c r="M1692" s="0" t="n">
        <f aca="false">E1692*F1692</f>
        <v>-0.375</v>
      </c>
      <c r="N1692" s="0" t="n">
        <f aca="false">D1692*D1692</f>
        <v>0.140625</v>
      </c>
      <c r="O1692" s="0" t="n">
        <f aca="false">E1692*E1692</f>
        <v>0.5625</v>
      </c>
      <c r="P1692" s="0" t="n">
        <f aca="false">F1692*F1692</f>
        <v>0.25</v>
      </c>
      <c r="Q1692" s="0" t="n">
        <f aca="false">SUMPRODUCT(G1692:P1692,_XtX!$B$71:$K$71)</f>
        <v>45.9364772727273</v>
      </c>
      <c r="R1692" s="0" t="n">
        <f aca="false">SUMPRODUCT(MMULT(G1692:P1692,_XtX!$B$58:$K$67),G1692:P1692)</f>
        <v>0.234168590198864</v>
      </c>
      <c r="S1692" s="0" t="n">
        <f aca="false">04_回帰ANOVA!$K$19*04_回帰ANOVA!$K$14*SQRT(1+R1692)</f>
        <v>1.03288954322488</v>
      </c>
      <c r="T1692" s="0" t="n">
        <f aca="false">Q1692-S1692</f>
        <v>44.9035877295024</v>
      </c>
      <c r="U1692" s="0" t="n">
        <f aca="false">Q1692+S1692</f>
        <v>46.9693668159522</v>
      </c>
      <c r="V1692" s="54" t="b">
        <f aca="false">AND(D1692&gt;=01_因子設定!$L$5-0.000000001,D1692&lt;=01_因子設定!$M$5+0.000000001,E1692&gt;=01_因子設定!$L$6-0.000000001,E1692&lt;=01_因子設定!$M$6+0.000000001,F1692&gt;=01_因子設定!$L$7-0.000000001,F1692&lt;=01_因子設定!$M$7+0.000000001,IF(01_因子設定!$B$20="Box-Behnken",D1692^2+E1692^2+F1692^2&lt;=2+0.000000001,TRUE()))</f>
        <v>1</v>
      </c>
      <c r="W1692" s="55" t="n">
        <f aca="false">IF(V1692,IF(01_因子設定!$B$13="最大化",T1692-01_因子設定!$B$14,IF(01_因子設定!$B$13="最小化",01_因子設定!$B$15-U1692,MIN(T1692-01_因子設定!$B$14,01_因子設定!$B$15-U1692))),-1E+030)</f>
        <v>-3.59641227049759</v>
      </c>
      <c r="X1692" s="55" t="n">
        <f aca="false">IF(V1692,IF(01_因子設定!$B$13="最大化",Q1692,IF(01_因子設定!$B$13="最小化",-Q1692,-ABS(Q1692-01_因子設定!$B$16))),-1E+030)</f>
        <v>45.9364772727273</v>
      </c>
      <c r="Y1692" s="55" t="n">
        <f aca="false">W1692+ROW()*0.000000001</f>
        <v>-3.59641057849759</v>
      </c>
      <c r="Z1692" s="55" t="n">
        <f aca="false">X1692+ROW()*0.000000001</f>
        <v>45.9364789647273</v>
      </c>
    </row>
    <row r="1693" customFormat="false" ht="15" hidden="false" customHeight="false" outlineLevel="0" collapsed="false">
      <c r="A1693" s="0" t="n">
        <v>5</v>
      </c>
      <c r="B1693" s="0" t="n">
        <v>14</v>
      </c>
      <c r="C1693" s="0" t="n">
        <v>5</v>
      </c>
      <c r="D1693" s="0" t="n">
        <f aca="false">-1+A1693*0.125</f>
        <v>-0.375</v>
      </c>
      <c r="E1693" s="0" t="n">
        <f aca="false">-1+B1693*0.125</f>
        <v>0.75</v>
      </c>
      <c r="F1693" s="0" t="n">
        <f aca="false">-1+C1693*0.125</f>
        <v>-0.375</v>
      </c>
      <c r="G1693" s="0" t="n">
        <f aca="false">1</f>
        <v>1</v>
      </c>
      <c r="H1693" s="0" t="n">
        <f aca="false">D1693</f>
        <v>-0.375</v>
      </c>
      <c r="I1693" s="0" t="n">
        <f aca="false">E1693</f>
        <v>0.75</v>
      </c>
      <c r="J1693" s="0" t="n">
        <f aca="false">F1693</f>
        <v>-0.375</v>
      </c>
      <c r="K1693" s="0" t="n">
        <f aca="false">D1693*E1693</f>
        <v>-0.28125</v>
      </c>
      <c r="L1693" s="0" t="n">
        <f aca="false">D1693*F1693</f>
        <v>0.140625</v>
      </c>
      <c r="M1693" s="0" t="n">
        <f aca="false">E1693*F1693</f>
        <v>-0.28125</v>
      </c>
      <c r="N1693" s="0" t="n">
        <f aca="false">D1693*D1693</f>
        <v>0.140625</v>
      </c>
      <c r="O1693" s="0" t="n">
        <f aca="false">E1693*E1693</f>
        <v>0.5625</v>
      </c>
      <c r="P1693" s="0" t="n">
        <f aca="false">F1693*F1693</f>
        <v>0.140625</v>
      </c>
      <c r="Q1693" s="0" t="n">
        <f aca="false">SUMPRODUCT(G1693:P1693,_XtX!$B$71:$K$71)</f>
        <v>46.2869602272727</v>
      </c>
      <c r="R1693" s="0" t="n">
        <f aca="false">SUMPRODUCT(MMULT(G1693:P1693,_XtX!$B$58:$K$67),G1693:P1693)</f>
        <v>0.228998912464489</v>
      </c>
      <c r="S1693" s="0" t="n">
        <f aca="false">04_回帰ANOVA!$K$19*04_回帰ANOVA!$K$14*SQRT(1+R1693)</f>
        <v>1.03072399242813</v>
      </c>
      <c r="T1693" s="0" t="n">
        <f aca="false">Q1693-S1693</f>
        <v>45.2562362348446</v>
      </c>
      <c r="U1693" s="0" t="n">
        <f aca="false">Q1693+S1693</f>
        <v>47.3176842197009</v>
      </c>
      <c r="V1693" s="54" t="b">
        <f aca="false">AND(D1693&gt;=01_因子設定!$L$5-0.000000001,D1693&lt;=01_因子設定!$M$5+0.000000001,E1693&gt;=01_因子設定!$L$6-0.000000001,E1693&lt;=01_因子設定!$M$6+0.000000001,F1693&gt;=01_因子設定!$L$7-0.000000001,F1693&lt;=01_因子設定!$M$7+0.000000001,IF(01_因子設定!$B$20="Box-Behnken",D1693^2+E1693^2+F1693^2&lt;=2+0.000000001,TRUE()))</f>
        <v>1</v>
      </c>
      <c r="W1693" s="55" t="n">
        <f aca="false">IF(V1693,IF(01_因子設定!$B$13="最大化",T1693-01_因子設定!$B$14,IF(01_因子設定!$B$13="最小化",01_因子設定!$B$15-U1693,MIN(T1693-01_因子設定!$B$14,01_因子設定!$B$15-U1693))),-1E+030)</f>
        <v>-3.24376376515539</v>
      </c>
      <c r="X1693" s="55" t="n">
        <f aca="false">IF(V1693,IF(01_因子設定!$B$13="最大化",Q1693,IF(01_因子設定!$B$13="最小化",-Q1693,-ABS(Q1693-01_因子設定!$B$16))),-1E+030)</f>
        <v>46.2869602272727</v>
      </c>
      <c r="Y1693" s="55" t="n">
        <f aca="false">W1693+ROW()*0.000000001</f>
        <v>-3.24376207215539</v>
      </c>
      <c r="Z1693" s="55" t="n">
        <f aca="false">X1693+ROW()*0.000000001</f>
        <v>46.2869619202727</v>
      </c>
    </row>
    <row r="1694" customFormat="false" ht="15" hidden="false" customHeight="false" outlineLevel="0" collapsed="false">
      <c r="A1694" s="0" t="n">
        <v>5</v>
      </c>
      <c r="B1694" s="0" t="n">
        <v>14</v>
      </c>
      <c r="C1694" s="0" t="n">
        <v>6</v>
      </c>
      <c r="D1694" s="0" t="n">
        <f aca="false">-1+A1694*0.125</f>
        <v>-0.375</v>
      </c>
      <c r="E1694" s="0" t="n">
        <f aca="false">-1+B1694*0.125</f>
        <v>0.75</v>
      </c>
      <c r="F1694" s="0" t="n">
        <f aca="false">-1+C1694*0.125</f>
        <v>-0.25</v>
      </c>
      <c r="G1694" s="0" t="n">
        <f aca="false">1</f>
        <v>1</v>
      </c>
      <c r="H1694" s="0" t="n">
        <f aca="false">D1694</f>
        <v>-0.375</v>
      </c>
      <c r="I1694" s="0" t="n">
        <f aca="false">E1694</f>
        <v>0.75</v>
      </c>
      <c r="J1694" s="0" t="n">
        <f aca="false">F1694</f>
        <v>-0.25</v>
      </c>
      <c r="K1694" s="0" t="n">
        <f aca="false">D1694*E1694</f>
        <v>-0.28125</v>
      </c>
      <c r="L1694" s="0" t="n">
        <f aca="false">D1694*F1694</f>
        <v>0.09375</v>
      </c>
      <c r="M1694" s="0" t="n">
        <f aca="false">E1694*F1694</f>
        <v>-0.1875</v>
      </c>
      <c r="N1694" s="0" t="n">
        <f aca="false">D1694*D1694</f>
        <v>0.140625</v>
      </c>
      <c r="O1694" s="0" t="n">
        <f aca="false">E1694*E1694</f>
        <v>0.5625</v>
      </c>
      <c r="P1694" s="0" t="n">
        <f aca="false">F1694*F1694</f>
        <v>0.0625</v>
      </c>
      <c r="Q1694" s="0" t="n">
        <f aca="false">SUMPRODUCT(G1694:P1694,_XtX!$B$71:$K$71)</f>
        <v>46.6006534090909</v>
      </c>
      <c r="R1694" s="0" t="n">
        <f aca="false">SUMPRODUCT(MMULT(G1694:P1694,_XtX!$B$58:$K$67),G1694:P1694)</f>
        <v>0.230632990056818</v>
      </c>
      <c r="S1694" s="0" t="n">
        <f aca="false">04_回帰ANOVA!$K$19*04_回帰ANOVA!$K$14*SQRT(1+R1694)</f>
        <v>1.03140899038819</v>
      </c>
      <c r="T1694" s="0" t="n">
        <f aca="false">Q1694-S1694</f>
        <v>45.5692444187027</v>
      </c>
      <c r="U1694" s="0" t="n">
        <f aca="false">Q1694+S1694</f>
        <v>47.6320623994791</v>
      </c>
      <c r="V1694" s="54" t="b">
        <f aca="false">AND(D1694&gt;=01_因子設定!$L$5-0.000000001,D1694&lt;=01_因子設定!$M$5+0.000000001,E1694&gt;=01_因子設定!$L$6-0.000000001,E1694&lt;=01_因子設定!$M$6+0.000000001,F1694&gt;=01_因子設定!$L$7-0.000000001,F1694&lt;=01_因子設定!$M$7+0.000000001,IF(01_因子設定!$B$20="Box-Behnken",D1694^2+E1694^2+F1694^2&lt;=2+0.000000001,TRUE()))</f>
        <v>1</v>
      </c>
      <c r="W1694" s="55" t="n">
        <f aca="false">IF(V1694,IF(01_因子設定!$B$13="最大化",T1694-01_因子設定!$B$14,IF(01_因子設定!$B$13="最小化",01_因子設定!$B$15-U1694,MIN(T1694-01_因子設定!$B$14,01_因子設定!$B$15-U1694))),-1E+030)</f>
        <v>-2.93075558129727</v>
      </c>
      <c r="X1694" s="55" t="n">
        <f aca="false">IF(V1694,IF(01_因子設定!$B$13="最大化",Q1694,IF(01_因子設定!$B$13="最小化",-Q1694,-ABS(Q1694-01_因子設定!$B$16))),-1E+030)</f>
        <v>46.6006534090909</v>
      </c>
      <c r="Y1694" s="55" t="n">
        <f aca="false">W1694+ROW()*0.000000001</f>
        <v>-2.93075388729727</v>
      </c>
      <c r="Z1694" s="55" t="n">
        <f aca="false">X1694+ROW()*0.000000001</f>
        <v>46.6006551030909</v>
      </c>
    </row>
    <row r="1695" customFormat="false" ht="15" hidden="false" customHeight="false" outlineLevel="0" collapsed="false">
      <c r="A1695" s="0" t="n">
        <v>5</v>
      </c>
      <c r="B1695" s="0" t="n">
        <v>14</v>
      </c>
      <c r="C1695" s="0" t="n">
        <v>7</v>
      </c>
      <c r="D1695" s="0" t="n">
        <f aca="false">-1+A1695*0.125</f>
        <v>-0.375</v>
      </c>
      <c r="E1695" s="0" t="n">
        <f aca="false">-1+B1695*0.125</f>
        <v>0.75</v>
      </c>
      <c r="F1695" s="0" t="n">
        <f aca="false">-1+C1695*0.125</f>
        <v>-0.125</v>
      </c>
      <c r="G1695" s="0" t="n">
        <f aca="false">1</f>
        <v>1</v>
      </c>
      <c r="H1695" s="0" t="n">
        <f aca="false">D1695</f>
        <v>-0.375</v>
      </c>
      <c r="I1695" s="0" t="n">
        <f aca="false">E1695</f>
        <v>0.75</v>
      </c>
      <c r="J1695" s="0" t="n">
        <f aca="false">F1695</f>
        <v>-0.125</v>
      </c>
      <c r="K1695" s="0" t="n">
        <f aca="false">D1695*E1695</f>
        <v>-0.28125</v>
      </c>
      <c r="L1695" s="0" t="n">
        <f aca="false">D1695*F1695</f>
        <v>0.046875</v>
      </c>
      <c r="M1695" s="0" t="n">
        <f aca="false">E1695*F1695</f>
        <v>-0.09375</v>
      </c>
      <c r="N1695" s="0" t="n">
        <f aca="false">D1695*D1695</f>
        <v>0.140625</v>
      </c>
      <c r="O1695" s="0" t="n">
        <f aca="false">E1695*E1695</f>
        <v>0.5625</v>
      </c>
      <c r="P1695" s="0" t="n">
        <f aca="false">F1695*F1695</f>
        <v>0.015625</v>
      </c>
      <c r="Q1695" s="0" t="n">
        <f aca="false">SUMPRODUCT(G1695:P1695,_XtX!$B$71:$K$71)</f>
        <v>46.8775568181818</v>
      </c>
      <c r="R1695" s="0" t="n">
        <f aca="false">SUMPRODUCT(MMULT(G1695:P1695,_XtX!$B$58:$K$67),G1695:P1695)</f>
        <v>0.233744118430398</v>
      </c>
      <c r="S1695" s="0" t="n">
        <f aca="false">04_回帰ANOVA!$K$19*04_回帰ANOVA!$K$14*SQRT(1+R1695)</f>
        <v>1.0327119053564</v>
      </c>
      <c r="T1695" s="0" t="n">
        <f aca="false">Q1695-S1695</f>
        <v>45.8448449128254</v>
      </c>
      <c r="U1695" s="0" t="n">
        <f aca="false">Q1695+S1695</f>
        <v>47.9102687235382</v>
      </c>
      <c r="V1695" s="54" t="b">
        <f aca="false">AND(D1695&gt;=01_因子設定!$L$5-0.000000001,D1695&lt;=01_因子設定!$M$5+0.000000001,E1695&gt;=01_因子設定!$L$6-0.000000001,E1695&lt;=01_因子設定!$M$6+0.000000001,F1695&gt;=01_因子設定!$L$7-0.000000001,F1695&lt;=01_因子設定!$M$7+0.000000001,IF(01_因子設定!$B$20="Box-Behnken",D1695^2+E1695^2+F1695^2&lt;=2+0.000000001,TRUE()))</f>
        <v>1</v>
      </c>
      <c r="W1695" s="55" t="n">
        <f aca="false">IF(V1695,IF(01_因子設定!$B$13="最大化",T1695-01_因子設定!$B$14,IF(01_因子設定!$B$13="最小化",01_因子設定!$B$15-U1695,MIN(T1695-01_因子設定!$B$14,01_因子設定!$B$15-U1695))),-1E+030)</f>
        <v>-2.65515508717458</v>
      </c>
      <c r="X1695" s="55" t="n">
        <f aca="false">IF(V1695,IF(01_因子設定!$B$13="最大化",Q1695,IF(01_因子設定!$B$13="最小化",-Q1695,-ABS(Q1695-01_因子設定!$B$16))),-1E+030)</f>
        <v>46.8775568181818</v>
      </c>
      <c r="Y1695" s="55" t="n">
        <f aca="false">W1695+ROW()*0.000000001</f>
        <v>-2.65515339217458</v>
      </c>
      <c r="Z1695" s="55" t="n">
        <f aca="false">X1695+ROW()*0.000000001</f>
        <v>46.8775585131818</v>
      </c>
    </row>
    <row r="1696" customFormat="false" ht="15" hidden="false" customHeight="false" outlineLevel="0" collapsed="false">
      <c r="A1696" s="0" t="n">
        <v>5</v>
      </c>
      <c r="B1696" s="0" t="n">
        <v>14</v>
      </c>
      <c r="C1696" s="0" t="n">
        <v>8</v>
      </c>
      <c r="D1696" s="0" t="n">
        <f aca="false">-1+A1696*0.125</f>
        <v>-0.375</v>
      </c>
      <c r="E1696" s="0" t="n">
        <f aca="false">-1+B1696*0.125</f>
        <v>0.75</v>
      </c>
      <c r="F1696" s="0" t="n">
        <f aca="false">-1+C1696*0.125</f>
        <v>0</v>
      </c>
      <c r="G1696" s="0" t="n">
        <f aca="false">1</f>
        <v>1</v>
      </c>
      <c r="H1696" s="0" t="n">
        <f aca="false">D1696</f>
        <v>-0.375</v>
      </c>
      <c r="I1696" s="0" t="n">
        <f aca="false">E1696</f>
        <v>0.75</v>
      </c>
      <c r="J1696" s="0" t="n">
        <f aca="false">F1696</f>
        <v>0</v>
      </c>
      <c r="K1696" s="0" t="n">
        <f aca="false">D1696*E1696</f>
        <v>-0.28125</v>
      </c>
      <c r="L1696" s="0" t="n">
        <f aca="false">D1696*F1696</f>
        <v>-0</v>
      </c>
      <c r="M1696" s="0" t="n">
        <f aca="false">E1696*F1696</f>
        <v>0</v>
      </c>
      <c r="N1696" s="0" t="n">
        <f aca="false">D1696*D1696</f>
        <v>0.140625</v>
      </c>
      <c r="O1696" s="0" t="n">
        <f aca="false">E1696*E1696</f>
        <v>0.5625</v>
      </c>
      <c r="P1696" s="0" t="n">
        <f aca="false">F1696*F1696</f>
        <v>0</v>
      </c>
      <c r="Q1696" s="0" t="n">
        <f aca="false">SUMPRODUCT(G1696:P1696,_XtX!$B$71:$K$71)</f>
        <v>47.1176704545455</v>
      </c>
      <c r="R1696" s="0" t="n">
        <f aca="false">SUMPRODUCT(MMULT(G1696:P1696,_XtX!$B$58:$K$67),G1696:P1696)</f>
        <v>0.235136274857955</v>
      </c>
      <c r="S1696" s="0" t="n">
        <f aca="false">04_回帰ANOVA!$K$19*04_回帰ANOVA!$K$14*SQRT(1+R1696)</f>
        <v>1.03329439695656</v>
      </c>
      <c r="T1696" s="0" t="n">
        <f aca="false">Q1696-S1696</f>
        <v>46.0843760575889</v>
      </c>
      <c r="U1696" s="0" t="n">
        <f aca="false">Q1696+S1696</f>
        <v>48.150964851502</v>
      </c>
      <c r="V1696" s="54" t="b">
        <f aca="false">AND(D1696&gt;=01_因子設定!$L$5-0.000000001,D1696&lt;=01_因子設定!$M$5+0.000000001,E1696&gt;=01_因子設定!$L$6-0.000000001,E1696&lt;=01_因子設定!$M$6+0.000000001,F1696&gt;=01_因子設定!$L$7-0.000000001,F1696&lt;=01_因子設定!$M$7+0.000000001,IF(01_因子設定!$B$20="Box-Behnken",D1696^2+E1696^2+F1696^2&lt;=2+0.000000001,TRUE()))</f>
        <v>1</v>
      </c>
      <c r="W1696" s="55" t="n">
        <f aca="false">IF(V1696,IF(01_因子設定!$B$13="最大化",T1696-01_因子設定!$B$14,IF(01_因子設定!$B$13="最小化",01_因子設定!$B$15-U1696,MIN(T1696-01_因子設定!$B$14,01_因子設定!$B$15-U1696))),-1E+030)</f>
        <v>-2.4156239424111</v>
      </c>
      <c r="X1696" s="55" t="n">
        <f aca="false">IF(V1696,IF(01_因子設定!$B$13="最大化",Q1696,IF(01_因子設定!$B$13="最小化",-Q1696,-ABS(Q1696-01_因子設定!$B$16))),-1E+030)</f>
        <v>47.1176704545455</v>
      </c>
      <c r="Y1696" s="55" t="n">
        <f aca="false">W1696+ROW()*0.000000001</f>
        <v>-2.4156222464111</v>
      </c>
      <c r="Z1696" s="55" t="n">
        <f aca="false">X1696+ROW()*0.000000001</f>
        <v>47.1176721505455</v>
      </c>
    </row>
    <row r="1697" customFormat="false" ht="15" hidden="false" customHeight="false" outlineLevel="0" collapsed="false">
      <c r="A1697" s="0" t="n">
        <v>5</v>
      </c>
      <c r="B1697" s="0" t="n">
        <v>14</v>
      </c>
      <c r="C1697" s="0" t="n">
        <v>9</v>
      </c>
      <c r="D1697" s="0" t="n">
        <f aca="false">-1+A1697*0.125</f>
        <v>-0.375</v>
      </c>
      <c r="E1697" s="0" t="n">
        <f aca="false">-1+B1697*0.125</f>
        <v>0.75</v>
      </c>
      <c r="F1697" s="0" t="n">
        <f aca="false">-1+C1697*0.125</f>
        <v>0.125</v>
      </c>
      <c r="G1697" s="0" t="n">
        <f aca="false">1</f>
        <v>1</v>
      </c>
      <c r="H1697" s="0" t="n">
        <f aca="false">D1697</f>
        <v>-0.375</v>
      </c>
      <c r="I1697" s="0" t="n">
        <f aca="false">E1697</f>
        <v>0.75</v>
      </c>
      <c r="J1697" s="0" t="n">
        <f aca="false">F1697</f>
        <v>0.125</v>
      </c>
      <c r="K1697" s="0" t="n">
        <f aca="false">D1697*E1697</f>
        <v>-0.28125</v>
      </c>
      <c r="L1697" s="0" t="n">
        <f aca="false">D1697*F1697</f>
        <v>-0.046875</v>
      </c>
      <c r="M1697" s="0" t="n">
        <f aca="false">E1697*F1697</f>
        <v>0.09375</v>
      </c>
      <c r="N1697" s="0" t="n">
        <f aca="false">D1697*D1697</f>
        <v>0.140625</v>
      </c>
      <c r="O1697" s="0" t="n">
        <f aca="false">E1697*E1697</f>
        <v>0.5625</v>
      </c>
      <c r="P1697" s="0" t="n">
        <f aca="false">F1697*F1697</f>
        <v>0.015625</v>
      </c>
      <c r="Q1697" s="0" t="n">
        <f aca="false">SUMPRODUCT(G1697:P1697,_XtX!$B$71:$K$71)</f>
        <v>47.3209943181818</v>
      </c>
      <c r="R1697" s="0" t="n">
        <f aca="false">SUMPRODUCT(MMULT(G1697:P1697,_XtX!$B$58:$K$67),G1697:P1697)</f>
        <v>0.233744118430398</v>
      </c>
      <c r="S1697" s="0" t="n">
        <f aca="false">04_回帰ANOVA!$K$19*04_回帰ANOVA!$K$14*SQRT(1+R1697)</f>
        <v>1.0327119053564</v>
      </c>
      <c r="T1697" s="0" t="n">
        <f aca="false">Q1697-S1697</f>
        <v>46.2882824128254</v>
      </c>
      <c r="U1697" s="0" t="n">
        <f aca="false">Q1697+S1697</f>
        <v>48.3537062235382</v>
      </c>
      <c r="V1697" s="54" t="b">
        <f aca="false">AND(D1697&gt;=01_因子設定!$L$5-0.000000001,D1697&lt;=01_因子設定!$M$5+0.000000001,E1697&gt;=01_因子設定!$L$6-0.000000001,E1697&lt;=01_因子設定!$M$6+0.000000001,F1697&gt;=01_因子設定!$L$7-0.000000001,F1697&lt;=01_因子設定!$M$7+0.000000001,IF(01_因子設定!$B$20="Box-Behnken",D1697^2+E1697^2+F1697^2&lt;=2+0.000000001,TRUE()))</f>
        <v>1</v>
      </c>
      <c r="W1697" s="55" t="n">
        <f aca="false">IF(V1697,IF(01_因子設定!$B$13="最大化",T1697-01_因子設定!$B$14,IF(01_因子設定!$B$13="最小化",01_因子設定!$B$15-U1697,MIN(T1697-01_因子設定!$B$14,01_因子設定!$B$15-U1697))),-1E+030)</f>
        <v>-2.21171758717458</v>
      </c>
      <c r="X1697" s="55" t="n">
        <f aca="false">IF(V1697,IF(01_因子設定!$B$13="最大化",Q1697,IF(01_因子設定!$B$13="最小化",-Q1697,-ABS(Q1697-01_因子設定!$B$16))),-1E+030)</f>
        <v>47.3209943181818</v>
      </c>
      <c r="Y1697" s="55" t="n">
        <f aca="false">W1697+ROW()*0.000000001</f>
        <v>-2.21171589017458</v>
      </c>
      <c r="Z1697" s="55" t="n">
        <f aca="false">X1697+ROW()*0.000000001</f>
        <v>47.3209960151818</v>
      </c>
    </row>
    <row r="1698" customFormat="false" ht="15" hidden="false" customHeight="false" outlineLevel="0" collapsed="false">
      <c r="A1698" s="0" t="n">
        <v>5</v>
      </c>
      <c r="B1698" s="0" t="n">
        <v>14</v>
      </c>
      <c r="C1698" s="0" t="n">
        <v>10</v>
      </c>
      <c r="D1698" s="0" t="n">
        <f aca="false">-1+A1698*0.125</f>
        <v>-0.375</v>
      </c>
      <c r="E1698" s="0" t="n">
        <f aca="false">-1+B1698*0.125</f>
        <v>0.75</v>
      </c>
      <c r="F1698" s="0" t="n">
        <f aca="false">-1+C1698*0.125</f>
        <v>0.25</v>
      </c>
      <c r="G1698" s="0" t="n">
        <f aca="false">1</f>
        <v>1</v>
      </c>
      <c r="H1698" s="0" t="n">
        <f aca="false">D1698</f>
        <v>-0.375</v>
      </c>
      <c r="I1698" s="0" t="n">
        <f aca="false">E1698</f>
        <v>0.75</v>
      </c>
      <c r="J1698" s="0" t="n">
        <f aca="false">F1698</f>
        <v>0.25</v>
      </c>
      <c r="K1698" s="0" t="n">
        <f aca="false">D1698*E1698</f>
        <v>-0.28125</v>
      </c>
      <c r="L1698" s="0" t="n">
        <f aca="false">D1698*F1698</f>
        <v>-0.09375</v>
      </c>
      <c r="M1698" s="0" t="n">
        <f aca="false">E1698*F1698</f>
        <v>0.1875</v>
      </c>
      <c r="N1698" s="0" t="n">
        <f aca="false">D1698*D1698</f>
        <v>0.140625</v>
      </c>
      <c r="O1698" s="0" t="n">
        <f aca="false">E1698*E1698</f>
        <v>0.5625</v>
      </c>
      <c r="P1698" s="0" t="n">
        <f aca="false">F1698*F1698</f>
        <v>0.0625</v>
      </c>
      <c r="Q1698" s="0" t="n">
        <f aca="false">SUMPRODUCT(G1698:P1698,_XtX!$B$71:$K$71)</f>
        <v>47.4875284090909</v>
      </c>
      <c r="R1698" s="0" t="n">
        <f aca="false">SUMPRODUCT(MMULT(G1698:P1698,_XtX!$B$58:$K$67),G1698:P1698)</f>
        <v>0.230632990056818</v>
      </c>
      <c r="S1698" s="0" t="n">
        <f aca="false">04_回帰ANOVA!$K$19*04_回帰ANOVA!$K$14*SQRT(1+R1698)</f>
        <v>1.03140899038819</v>
      </c>
      <c r="T1698" s="0" t="n">
        <f aca="false">Q1698-S1698</f>
        <v>46.4561194187027</v>
      </c>
      <c r="U1698" s="0" t="n">
        <f aca="false">Q1698+S1698</f>
        <v>48.5189373994791</v>
      </c>
      <c r="V1698" s="54" t="b">
        <f aca="false">AND(D1698&gt;=01_因子設定!$L$5-0.000000001,D1698&lt;=01_因子設定!$M$5+0.000000001,E1698&gt;=01_因子設定!$L$6-0.000000001,E1698&lt;=01_因子設定!$M$6+0.000000001,F1698&gt;=01_因子設定!$L$7-0.000000001,F1698&lt;=01_因子設定!$M$7+0.000000001,IF(01_因子設定!$B$20="Box-Behnken",D1698^2+E1698^2+F1698^2&lt;=2+0.000000001,TRUE()))</f>
        <v>1</v>
      </c>
      <c r="W1698" s="55" t="n">
        <f aca="false">IF(V1698,IF(01_因子設定!$B$13="最大化",T1698-01_因子設定!$B$14,IF(01_因子設定!$B$13="最小化",01_因子設定!$B$15-U1698,MIN(T1698-01_因子設定!$B$14,01_因子設定!$B$15-U1698))),-1E+030)</f>
        <v>-2.04388058129727</v>
      </c>
      <c r="X1698" s="55" t="n">
        <f aca="false">IF(V1698,IF(01_因子設定!$B$13="最大化",Q1698,IF(01_因子設定!$B$13="最小化",-Q1698,-ABS(Q1698-01_因子設定!$B$16))),-1E+030)</f>
        <v>47.4875284090909</v>
      </c>
      <c r="Y1698" s="55" t="n">
        <f aca="false">W1698+ROW()*0.000000001</f>
        <v>-2.04387888329727</v>
      </c>
      <c r="Z1698" s="55" t="n">
        <f aca="false">X1698+ROW()*0.000000001</f>
        <v>47.4875301070909</v>
      </c>
    </row>
    <row r="1699" customFormat="false" ht="15" hidden="false" customHeight="false" outlineLevel="0" collapsed="false">
      <c r="A1699" s="0" t="n">
        <v>5</v>
      </c>
      <c r="B1699" s="0" t="n">
        <v>14</v>
      </c>
      <c r="C1699" s="0" t="n">
        <v>11</v>
      </c>
      <c r="D1699" s="0" t="n">
        <f aca="false">-1+A1699*0.125</f>
        <v>-0.375</v>
      </c>
      <c r="E1699" s="0" t="n">
        <f aca="false">-1+B1699*0.125</f>
        <v>0.75</v>
      </c>
      <c r="F1699" s="0" t="n">
        <f aca="false">-1+C1699*0.125</f>
        <v>0.375</v>
      </c>
      <c r="G1699" s="0" t="n">
        <f aca="false">1</f>
        <v>1</v>
      </c>
      <c r="H1699" s="0" t="n">
        <f aca="false">D1699</f>
        <v>-0.375</v>
      </c>
      <c r="I1699" s="0" t="n">
        <f aca="false">E1699</f>
        <v>0.75</v>
      </c>
      <c r="J1699" s="0" t="n">
        <f aca="false">F1699</f>
        <v>0.375</v>
      </c>
      <c r="K1699" s="0" t="n">
        <f aca="false">D1699*E1699</f>
        <v>-0.28125</v>
      </c>
      <c r="L1699" s="0" t="n">
        <f aca="false">D1699*F1699</f>
        <v>-0.140625</v>
      </c>
      <c r="M1699" s="0" t="n">
        <f aca="false">E1699*F1699</f>
        <v>0.28125</v>
      </c>
      <c r="N1699" s="0" t="n">
        <f aca="false">D1699*D1699</f>
        <v>0.140625</v>
      </c>
      <c r="O1699" s="0" t="n">
        <f aca="false">E1699*E1699</f>
        <v>0.5625</v>
      </c>
      <c r="P1699" s="0" t="n">
        <f aca="false">F1699*F1699</f>
        <v>0.140625</v>
      </c>
      <c r="Q1699" s="0" t="n">
        <f aca="false">SUMPRODUCT(G1699:P1699,_XtX!$B$71:$K$71)</f>
        <v>47.6172727272727</v>
      </c>
      <c r="R1699" s="0" t="n">
        <f aca="false">SUMPRODUCT(MMULT(G1699:P1699,_XtX!$B$58:$K$67),G1699:P1699)</f>
        <v>0.228998912464489</v>
      </c>
      <c r="S1699" s="0" t="n">
        <f aca="false">04_回帰ANOVA!$K$19*04_回帰ANOVA!$K$14*SQRT(1+R1699)</f>
        <v>1.03072399242813</v>
      </c>
      <c r="T1699" s="0" t="n">
        <f aca="false">Q1699-S1699</f>
        <v>46.5865487348446</v>
      </c>
      <c r="U1699" s="0" t="n">
        <f aca="false">Q1699+S1699</f>
        <v>48.6479967197009</v>
      </c>
      <c r="V1699" s="54" t="b">
        <f aca="false">AND(D1699&gt;=01_因子設定!$L$5-0.000000001,D1699&lt;=01_因子設定!$M$5+0.000000001,E1699&gt;=01_因子設定!$L$6-0.000000001,E1699&lt;=01_因子設定!$M$6+0.000000001,F1699&gt;=01_因子設定!$L$7-0.000000001,F1699&lt;=01_因子設定!$M$7+0.000000001,IF(01_因子設定!$B$20="Box-Behnken",D1699^2+E1699^2+F1699^2&lt;=2+0.000000001,TRUE()))</f>
        <v>1</v>
      </c>
      <c r="W1699" s="55" t="n">
        <f aca="false">IF(V1699,IF(01_因子設定!$B$13="最大化",T1699-01_因子設定!$B$14,IF(01_因子設定!$B$13="最小化",01_因子設定!$B$15-U1699,MIN(T1699-01_因子設定!$B$14,01_因子設定!$B$15-U1699))),-1E+030)</f>
        <v>-1.91345126515539</v>
      </c>
      <c r="X1699" s="55" t="n">
        <f aca="false">IF(V1699,IF(01_因子設定!$B$13="最大化",Q1699,IF(01_因子設定!$B$13="最小化",-Q1699,-ABS(Q1699-01_因子設定!$B$16))),-1E+030)</f>
        <v>47.6172727272727</v>
      </c>
      <c r="Y1699" s="55" t="n">
        <f aca="false">W1699+ROW()*0.000000001</f>
        <v>-1.91344956615539</v>
      </c>
      <c r="Z1699" s="55" t="n">
        <f aca="false">X1699+ROW()*0.000000001</f>
        <v>47.6172744262727</v>
      </c>
    </row>
    <row r="1700" customFormat="false" ht="15" hidden="false" customHeight="false" outlineLevel="0" collapsed="false">
      <c r="A1700" s="0" t="n">
        <v>5</v>
      </c>
      <c r="B1700" s="0" t="n">
        <v>14</v>
      </c>
      <c r="C1700" s="0" t="n">
        <v>12</v>
      </c>
      <c r="D1700" s="0" t="n">
        <f aca="false">-1+A1700*0.125</f>
        <v>-0.375</v>
      </c>
      <c r="E1700" s="0" t="n">
        <f aca="false">-1+B1700*0.125</f>
        <v>0.75</v>
      </c>
      <c r="F1700" s="0" t="n">
        <f aca="false">-1+C1700*0.125</f>
        <v>0.5</v>
      </c>
      <c r="G1700" s="0" t="n">
        <f aca="false">1</f>
        <v>1</v>
      </c>
      <c r="H1700" s="0" t="n">
        <f aca="false">D1700</f>
        <v>-0.375</v>
      </c>
      <c r="I1700" s="0" t="n">
        <f aca="false">E1700</f>
        <v>0.75</v>
      </c>
      <c r="J1700" s="0" t="n">
        <f aca="false">F1700</f>
        <v>0.5</v>
      </c>
      <c r="K1700" s="0" t="n">
        <f aca="false">D1700*E1700</f>
        <v>-0.28125</v>
      </c>
      <c r="L1700" s="0" t="n">
        <f aca="false">D1700*F1700</f>
        <v>-0.1875</v>
      </c>
      <c r="M1700" s="0" t="n">
        <f aca="false">E1700*F1700</f>
        <v>0.375</v>
      </c>
      <c r="N1700" s="0" t="n">
        <f aca="false">D1700*D1700</f>
        <v>0.140625</v>
      </c>
      <c r="O1700" s="0" t="n">
        <f aca="false">E1700*E1700</f>
        <v>0.5625</v>
      </c>
      <c r="P1700" s="0" t="n">
        <f aca="false">F1700*F1700</f>
        <v>0.25</v>
      </c>
      <c r="Q1700" s="0" t="n">
        <f aca="false">SUMPRODUCT(G1700:P1700,_XtX!$B$71:$K$71)</f>
        <v>47.7102272727273</v>
      </c>
      <c r="R1700" s="0" t="n">
        <f aca="false">SUMPRODUCT(MMULT(G1700:P1700,_XtX!$B$58:$K$67),G1700:P1700)</f>
        <v>0.234168590198864</v>
      </c>
      <c r="S1700" s="0" t="n">
        <f aca="false">04_回帰ANOVA!$K$19*04_回帰ANOVA!$K$14*SQRT(1+R1700)</f>
        <v>1.03288954322488</v>
      </c>
      <c r="T1700" s="0" t="n">
        <f aca="false">Q1700-S1700</f>
        <v>46.6773377295024</v>
      </c>
      <c r="U1700" s="0" t="n">
        <f aca="false">Q1700+S1700</f>
        <v>48.7431168159522</v>
      </c>
      <c r="V1700" s="54" t="b">
        <f aca="false">AND(D1700&gt;=01_因子設定!$L$5-0.000000001,D1700&lt;=01_因子設定!$M$5+0.000000001,E1700&gt;=01_因子設定!$L$6-0.000000001,E1700&lt;=01_因子設定!$M$6+0.000000001,F1700&gt;=01_因子設定!$L$7-0.000000001,F1700&lt;=01_因子設定!$M$7+0.000000001,IF(01_因子設定!$B$20="Box-Behnken",D1700^2+E1700^2+F1700^2&lt;=2+0.000000001,TRUE()))</f>
        <v>1</v>
      </c>
      <c r="W1700" s="55" t="n">
        <f aca="false">IF(V1700,IF(01_因子設定!$B$13="最大化",T1700-01_因子設定!$B$14,IF(01_因子設定!$B$13="最小化",01_因子設定!$B$15-U1700,MIN(T1700-01_因子設定!$B$14,01_因子設定!$B$15-U1700))),-1E+030)</f>
        <v>-1.82266227049759</v>
      </c>
      <c r="X1700" s="55" t="n">
        <f aca="false">IF(V1700,IF(01_因子設定!$B$13="最大化",Q1700,IF(01_因子設定!$B$13="最小化",-Q1700,-ABS(Q1700-01_因子設定!$B$16))),-1E+030)</f>
        <v>47.7102272727273</v>
      </c>
      <c r="Y1700" s="55" t="n">
        <f aca="false">W1700+ROW()*0.000000001</f>
        <v>-1.82266057049759</v>
      </c>
      <c r="Z1700" s="55" t="n">
        <f aca="false">X1700+ROW()*0.000000001</f>
        <v>47.7102289727273</v>
      </c>
    </row>
    <row r="1701" customFormat="false" ht="15" hidden="false" customHeight="false" outlineLevel="0" collapsed="false">
      <c r="A1701" s="0" t="n">
        <v>5</v>
      </c>
      <c r="B1701" s="0" t="n">
        <v>14</v>
      </c>
      <c r="C1701" s="0" t="n">
        <v>13</v>
      </c>
      <c r="D1701" s="0" t="n">
        <f aca="false">-1+A1701*0.125</f>
        <v>-0.375</v>
      </c>
      <c r="E1701" s="0" t="n">
        <f aca="false">-1+B1701*0.125</f>
        <v>0.75</v>
      </c>
      <c r="F1701" s="0" t="n">
        <f aca="false">-1+C1701*0.125</f>
        <v>0.625</v>
      </c>
      <c r="G1701" s="0" t="n">
        <f aca="false">1</f>
        <v>1</v>
      </c>
      <c r="H1701" s="0" t="n">
        <f aca="false">D1701</f>
        <v>-0.375</v>
      </c>
      <c r="I1701" s="0" t="n">
        <f aca="false">E1701</f>
        <v>0.75</v>
      </c>
      <c r="J1701" s="0" t="n">
        <f aca="false">F1701</f>
        <v>0.625</v>
      </c>
      <c r="K1701" s="0" t="n">
        <f aca="false">D1701*E1701</f>
        <v>-0.28125</v>
      </c>
      <c r="L1701" s="0" t="n">
        <f aca="false">D1701*F1701</f>
        <v>-0.234375</v>
      </c>
      <c r="M1701" s="0" t="n">
        <f aca="false">E1701*F1701</f>
        <v>0.46875</v>
      </c>
      <c r="N1701" s="0" t="n">
        <f aca="false">D1701*D1701</f>
        <v>0.140625</v>
      </c>
      <c r="O1701" s="0" t="n">
        <f aca="false">E1701*E1701</f>
        <v>0.5625</v>
      </c>
      <c r="P1701" s="0" t="n">
        <f aca="false">F1701*F1701</f>
        <v>0.390625</v>
      </c>
      <c r="Q1701" s="0" t="n">
        <f aca="false">SUMPRODUCT(G1701:P1701,_XtX!$B$71:$K$71)</f>
        <v>47.7663920454546</v>
      </c>
      <c r="R1701" s="0" t="n">
        <f aca="false">SUMPRODUCT(MMULT(G1701:P1701,_XtX!$B$58:$K$67),G1701:P1701)</f>
        <v>0.25359940962358</v>
      </c>
      <c r="S1701" s="0" t="n">
        <f aca="false">04_回帰ANOVA!$K$19*04_回帰ANOVA!$K$14*SQRT(1+R1701)</f>
        <v>1.04098872464599</v>
      </c>
      <c r="T1701" s="0" t="n">
        <f aca="false">Q1701-S1701</f>
        <v>46.7254033208086</v>
      </c>
      <c r="U1701" s="0" t="n">
        <f aca="false">Q1701+S1701</f>
        <v>48.8073807701005</v>
      </c>
      <c r="V1701" s="54" t="b">
        <f aca="false">AND(D1701&gt;=01_因子設定!$L$5-0.000000001,D1701&lt;=01_因子設定!$M$5+0.000000001,E1701&gt;=01_因子設定!$L$6-0.000000001,E1701&lt;=01_因子設定!$M$6+0.000000001,F1701&gt;=01_因子設定!$L$7-0.000000001,F1701&lt;=01_因子設定!$M$7+0.000000001,IF(01_因子設定!$B$20="Box-Behnken",D1701^2+E1701^2+F1701^2&lt;=2+0.000000001,TRUE()))</f>
        <v>1</v>
      </c>
      <c r="W1701" s="55" t="n">
        <f aca="false">IF(V1701,IF(01_因子設定!$B$13="最大化",T1701-01_因子設定!$B$14,IF(01_因子設定!$B$13="最小化",01_因子設定!$B$15-U1701,MIN(T1701-01_因子設定!$B$14,01_因子設定!$B$15-U1701))),-1E+030)</f>
        <v>-1.77459667919143</v>
      </c>
      <c r="X1701" s="55" t="n">
        <f aca="false">IF(V1701,IF(01_因子設定!$B$13="最大化",Q1701,IF(01_因子設定!$B$13="最小化",-Q1701,-ABS(Q1701-01_因子設定!$B$16))),-1E+030)</f>
        <v>47.7663920454546</v>
      </c>
      <c r="Y1701" s="55" t="n">
        <f aca="false">W1701+ROW()*0.000000001</f>
        <v>-1.77459497819143</v>
      </c>
      <c r="Z1701" s="55" t="n">
        <f aca="false">X1701+ROW()*0.000000001</f>
        <v>47.7663937464546</v>
      </c>
    </row>
    <row r="1702" customFormat="false" ht="15" hidden="false" customHeight="false" outlineLevel="0" collapsed="false">
      <c r="A1702" s="0" t="n">
        <v>5</v>
      </c>
      <c r="B1702" s="0" t="n">
        <v>14</v>
      </c>
      <c r="C1702" s="0" t="n">
        <v>14</v>
      </c>
      <c r="D1702" s="0" t="n">
        <f aca="false">-1+A1702*0.125</f>
        <v>-0.375</v>
      </c>
      <c r="E1702" s="0" t="n">
        <f aca="false">-1+B1702*0.125</f>
        <v>0.75</v>
      </c>
      <c r="F1702" s="0" t="n">
        <f aca="false">-1+C1702*0.125</f>
        <v>0.75</v>
      </c>
      <c r="G1702" s="0" t="n">
        <f aca="false">1</f>
        <v>1</v>
      </c>
      <c r="H1702" s="0" t="n">
        <f aca="false">D1702</f>
        <v>-0.375</v>
      </c>
      <c r="I1702" s="0" t="n">
        <f aca="false">E1702</f>
        <v>0.75</v>
      </c>
      <c r="J1702" s="0" t="n">
        <f aca="false">F1702</f>
        <v>0.75</v>
      </c>
      <c r="K1702" s="0" t="n">
        <f aca="false">D1702*E1702</f>
        <v>-0.28125</v>
      </c>
      <c r="L1702" s="0" t="n">
        <f aca="false">D1702*F1702</f>
        <v>-0.28125</v>
      </c>
      <c r="M1702" s="0" t="n">
        <f aca="false">E1702*F1702</f>
        <v>0.5625</v>
      </c>
      <c r="N1702" s="0" t="n">
        <f aca="false">D1702*D1702</f>
        <v>0.140625</v>
      </c>
      <c r="O1702" s="0" t="n">
        <f aca="false">E1702*E1702</f>
        <v>0.5625</v>
      </c>
      <c r="P1702" s="0" t="n">
        <f aca="false">F1702*F1702</f>
        <v>0.5625</v>
      </c>
      <c r="Q1702" s="0" t="n">
        <f aca="false">SUMPRODUCT(G1702:P1702,_XtX!$B$71:$K$71)</f>
        <v>47.7857670454546</v>
      </c>
      <c r="R1702" s="0" t="n">
        <f aca="false">SUMPRODUCT(MMULT(G1702:P1702,_XtX!$B$58:$K$67),G1702:P1702)</f>
        <v>0.296879438920455</v>
      </c>
      <c r="S1702" s="0" t="n">
        <f aca="false">04_回帰ANOVA!$K$19*04_回帰ANOVA!$K$14*SQRT(1+R1702)</f>
        <v>1.05880610927316</v>
      </c>
      <c r="T1702" s="0" t="n">
        <f aca="false">Q1702-S1702</f>
        <v>46.7269609361814</v>
      </c>
      <c r="U1702" s="0" t="n">
        <f aca="false">Q1702+S1702</f>
        <v>48.8445731547277</v>
      </c>
      <c r="V1702" s="54" t="b">
        <f aca="false">AND(D1702&gt;=01_因子設定!$L$5-0.000000001,D1702&lt;=01_因子設定!$M$5+0.000000001,E1702&gt;=01_因子設定!$L$6-0.000000001,E1702&lt;=01_因子設定!$M$6+0.000000001,F1702&gt;=01_因子設定!$L$7-0.000000001,F1702&lt;=01_因子設定!$M$7+0.000000001,IF(01_因子設定!$B$20="Box-Behnken",D1702^2+E1702^2+F1702^2&lt;=2+0.000000001,TRUE()))</f>
        <v>1</v>
      </c>
      <c r="W1702" s="55" t="n">
        <f aca="false">IF(V1702,IF(01_因子設定!$B$13="最大化",T1702-01_因子設定!$B$14,IF(01_因子設定!$B$13="最小化",01_因子設定!$B$15-U1702,MIN(T1702-01_因子設定!$B$14,01_因子設定!$B$15-U1702))),-1E+030)</f>
        <v>-1.7730390638186</v>
      </c>
      <c r="X1702" s="55" t="n">
        <f aca="false">IF(V1702,IF(01_因子設定!$B$13="最大化",Q1702,IF(01_因子設定!$B$13="最小化",-Q1702,-ABS(Q1702-01_因子設定!$B$16))),-1E+030)</f>
        <v>47.7857670454546</v>
      </c>
      <c r="Y1702" s="55" t="n">
        <f aca="false">W1702+ROW()*0.000000001</f>
        <v>-1.7730373618186</v>
      </c>
      <c r="Z1702" s="55" t="n">
        <f aca="false">X1702+ROW()*0.000000001</f>
        <v>47.7857687474546</v>
      </c>
    </row>
    <row r="1703" customFormat="false" ht="15" hidden="false" customHeight="false" outlineLevel="0" collapsed="false">
      <c r="A1703" s="0" t="n">
        <v>5</v>
      </c>
      <c r="B1703" s="0" t="n">
        <v>14</v>
      </c>
      <c r="C1703" s="0" t="n">
        <v>15</v>
      </c>
      <c r="D1703" s="0" t="n">
        <f aca="false">-1+A1703*0.125</f>
        <v>-0.375</v>
      </c>
      <c r="E1703" s="0" t="n">
        <f aca="false">-1+B1703*0.125</f>
        <v>0.75</v>
      </c>
      <c r="F1703" s="0" t="n">
        <f aca="false">-1+C1703*0.125</f>
        <v>0.875</v>
      </c>
      <c r="G1703" s="0" t="n">
        <f aca="false">1</f>
        <v>1</v>
      </c>
      <c r="H1703" s="0" t="n">
        <f aca="false">D1703</f>
        <v>-0.375</v>
      </c>
      <c r="I1703" s="0" t="n">
        <f aca="false">E1703</f>
        <v>0.75</v>
      </c>
      <c r="J1703" s="0" t="n">
        <f aca="false">F1703</f>
        <v>0.875</v>
      </c>
      <c r="K1703" s="0" t="n">
        <f aca="false">D1703*E1703</f>
        <v>-0.28125</v>
      </c>
      <c r="L1703" s="0" t="n">
        <f aca="false">D1703*F1703</f>
        <v>-0.328125</v>
      </c>
      <c r="M1703" s="0" t="n">
        <f aca="false">E1703*F1703</f>
        <v>0.65625</v>
      </c>
      <c r="N1703" s="0" t="n">
        <f aca="false">D1703*D1703</f>
        <v>0.140625</v>
      </c>
      <c r="O1703" s="0" t="n">
        <f aca="false">E1703*E1703</f>
        <v>0.5625</v>
      </c>
      <c r="P1703" s="0" t="n">
        <f aca="false">F1703*F1703</f>
        <v>0.765625</v>
      </c>
      <c r="Q1703" s="0" t="n">
        <f aca="false">SUMPRODUCT(G1703:P1703,_XtX!$B$71:$K$71)</f>
        <v>47.7683522727273</v>
      </c>
      <c r="R1703" s="0" t="n">
        <f aca="false">SUMPRODUCT(MMULT(G1703:P1703,_XtX!$B$58:$K$67),G1703:P1703)</f>
        <v>0.375727428089489</v>
      </c>
      <c r="S1703" s="0" t="n">
        <f aca="false">04_回帰ANOVA!$K$19*04_回帰ANOVA!$K$14*SQRT(1+R1703)</f>
        <v>1.09051798904087</v>
      </c>
      <c r="T1703" s="0" t="n">
        <f aca="false">Q1703-S1703</f>
        <v>46.6778342836864</v>
      </c>
      <c r="U1703" s="0" t="n">
        <f aca="false">Q1703+S1703</f>
        <v>48.8588702617682</v>
      </c>
      <c r="V1703" s="54" t="b">
        <f aca="false">AND(D1703&gt;=01_因子設定!$L$5-0.000000001,D1703&lt;=01_因子設定!$M$5+0.000000001,E1703&gt;=01_因子設定!$L$6-0.000000001,E1703&lt;=01_因子設定!$M$6+0.000000001,F1703&gt;=01_因子設定!$L$7-0.000000001,F1703&lt;=01_因子設定!$M$7+0.000000001,IF(01_因子設定!$B$20="Box-Behnken",D1703^2+E1703^2+F1703^2&lt;=2+0.000000001,TRUE()))</f>
        <v>1</v>
      </c>
      <c r="W1703" s="55" t="n">
        <f aca="false">IF(V1703,IF(01_因子設定!$B$13="最大化",T1703-01_因子設定!$B$14,IF(01_因子設定!$B$13="最小化",01_因子設定!$B$15-U1703,MIN(T1703-01_因子設定!$B$14,01_因子設定!$B$15-U1703))),-1E+030)</f>
        <v>-1.82216571631358</v>
      </c>
      <c r="X1703" s="55" t="n">
        <f aca="false">IF(V1703,IF(01_因子設定!$B$13="最大化",Q1703,IF(01_因子設定!$B$13="最小化",-Q1703,-ABS(Q1703-01_因子設定!$B$16))),-1E+030)</f>
        <v>47.7683522727273</v>
      </c>
      <c r="Y1703" s="55" t="n">
        <f aca="false">W1703+ROW()*0.000000001</f>
        <v>-1.82216401331358</v>
      </c>
      <c r="Z1703" s="55" t="n">
        <f aca="false">X1703+ROW()*0.000000001</f>
        <v>47.7683539757273</v>
      </c>
    </row>
    <row r="1704" customFormat="false" ht="15" hidden="false" customHeight="false" outlineLevel="0" collapsed="false">
      <c r="A1704" s="0" t="n">
        <v>5</v>
      </c>
      <c r="B1704" s="0" t="n">
        <v>14</v>
      </c>
      <c r="C1704" s="0" t="n">
        <v>16</v>
      </c>
      <c r="D1704" s="0" t="n">
        <f aca="false">-1+A1704*0.125</f>
        <v>-0.375</v>
      </c>
      <c r="E1704" s="0" t="n">
        <f aca="false">-1+B1704*0.125</f>
        <v>0.75</v>
      </c>
      <c r="F1704" s="0" t="n">
        <f aca="false">-1+C1704*0.125</f>
        <v>1</v>
      </c>
      <c r="G1704" s="0" t="n">
        <f aca="false">1</f>
        <v>1</v>
      </c>
      <c r="H1704" s="0" t="n">
        <f aca="false">D1704</f>
        <v>-0.375</v>
      </c>
      <c r="I1704" s="0" t="n">
        <f aca="false">E1704</f>
        <v>0.75</v>
      </c>
      <c r="J1704" s="0" t="n">
        <f aca="false">F1704</f>
        <v>1</v>
      </c>
      <c r="K1704" s="0" t="n">
        <f aca="false">D1704*E1704</f>
        <v>-0.28125</v>
      </c>
      <c r="L1704" s="0" t="n">
        <f aca="false">D1704*F1704</f>
        <v>-0.375</v>
      </c>
      <c r="M1704" s="0" t="n">
        <f aca="false">E1704*F1704</f>
        <v>0.75</v>
      </c>
      <c r="N1704" s="0" t="n">
        <f aca="false">D1704*D1704</f>
        <v>0.140625</v>
      </c>
      <c r="O1704" s="0" t="n">
        <f aca="false">E1704*E1704</f>
        <v>0.5625</v>
      </c>
      <c r="P1704" s="0" t="n">
        <f aca="false">F1704*F1704</f>
        <v>1</v>
      </c>
      <c r="Q1704" s="0" t="n">
        <f aca="false">SUMPRODUCT(G1704:P1704,_XtX!$B$71:$K$71)</f>
        <v>47.7141477272728</v>
      </c>
      <c r="R1704" s="0" t="n">
        <f aca="false">SUMPRODUCT(MMULT(G1704:P1704,_XtX!$B$58:$K$67),G1704:P1704)</f>
        <v>0.503992808948864</v>
      </c>
      <c r="S1704" s="0" t="n">
        <f aca="false">04_回帰ANOVA!$K$19*04_回帰ANOVA!$K$14*SQRT(1+R1704)</f>
        <v>1.14022226176226</v>
      </c>
      <c r="T1704" s="0" t="n">
        <f aca="false">Q1704-S1704</f>
        <v>46.5739254655105</v>
      </c>
      <c r="U1704" s="0" t="n">
        <f aca="false">Q1704+S1704</f>
        <v>48.854369989035</v>
      </c>
      <c r="V1704" s="54" t="b">
        <f aca="false">AND(D1704&gt;=01_因子設定!$L$5-0.000000001,D1704&lt;=01_因子設定!$M$5+0.000000001,E1704&gt;=01_因子設定!$L$6-0.000000001,E1704&lt;=01_因子設定!$M$6+0.000000001,F1704&gt;=01_因子設定!$L$7-0.000000001,F1704&lt;=01_因子設定!$M$7+0.000000001,IF(01_因子設定!$B$20="Box-Behnken",D1704^2+E1704^2+F1704^2&lt;=2+0.000000001,TRUE()))</f>
        <v>1</v>
      </c>
      <c r="W1704" s="55" t="n">
        <f aca="false">IF(V1704,IF(01_因子設定!$B$13="最大化",T1704-01_因子設定!$B$14,IF(01_因子設定!$B$13="最小化",01_因子設定!$B$15-U1704,MIN(T1704-01_因子設定!$B$14,01_因子設定!$B$15-U1704))),-1E+030)</f>
        <v>-1.92607453448951</v>
      </c>
      <c r="X1704" s="55" t="n">
        <f aca="false">IF(V1704,IF(01_因子設定!$B$13="最大化",Q1704,IF(01_因子設定!$B$13="最小化",-Q1704,-ABS(Q1704-01_因子設定!$B$16))),-1E+030)</f>
        <v>47.7141477272728</v>
      </c>
      <c r="Y1704" s="55" t="n">
        <f aca="false">W1704+ROW()*0.000000001</f>
        <v>-1.92607283048951</v>
      </c>
      <c r="Z1704" s="55" t="n">
        <f aca="false">X1704+ROW()*0.000000001</f>
        <v>47.7141494312728</v>
      </c>
    </row>
    <row r="1705" customFormat="false" ht="15" hidden="false" customHeight="false" outlineLevel="0" collapsed="false">
      <c r="A1705" s="0" t="n">
        <v>5</v>
      </c>
      <c r="B1705" s="0" t="n">
        <v>15</v>
      </c>
      <c r="C1705" s="0" t="n">
        <v>0</v>
      </c>
      <c r="D1705" s="0" t="n">
        <f aca="false">-1+A1705*0.125</f>
        <v>-0.375</v>
      </c>
      <c r="E1705" s="0" t="n">
        <f aca="false">-1+B1705*0.125</f>
        <v>0.875</v>
      </c>
      <c r="F1705" s="0" t="n">
        <f aca="false">-1+C1705*0.125</f>
        <v>-1</v>
      </c>
      <c r="G1705" s="0" t="n">
        <f aca="false">1</f>
        <v>1</v>
      </c>
      <c r="H1705" s="0" t="n">
        <f aca="false">D1705</f>
        <v>-0.375</v>
      </c>
      <c r="I1705" s="0" t="n">
        <f aca="false">E1705</f>
        <v>0.875</v>
      </c>
      <c r="J1705" s="0" t="n">
        <f aca="false">F1705</f>
        <v>-1</v>
      </c>
      <c r="K1705" s="0" t="n">
        <f aca="false">D1705*E1705</f>
        <v>-0.328125</v>
      </c>
      <c r="L1705" s="0" t="n">
        <f aca="false">D1705*F1705</f>
        <v>0.375</v>
      </c>
      <c r="M1705" s="0" t="n">
        <f aca="false">E1705*F1705</f>
        <v>-0.875</v>
      </c>
      <c r="N1705" s="0" t="n">
        <f aca="false">D1705*D1705</f>
        <v>0.140625</v>
      </c>
      <c r="O1705" s="0" t="n">
        <f aca="false">E1705*E1705</f>
        <v>0.765625</v>
      </c>
      <c r="P1705" s="0" t="n">
        <f aca="false">F1705*F1705</f>
        <v>1</v>
      </c>
      <c r="Q1705" s="0" t="n">
        <f aca="false">SUMPRODUCT(G1705:P1705,_XtX!$B$71:$K$71)</f>
        <v>43.8999360795455</v>
      </c>
      <c r="R1705" s="0" t="n">
        <f aca="false">SUMPRODUCT(MMULT(G1705:P1705,_XtX!$B$58:$K$67),G1705:P1705)</f>
        <v>0.56971269087358</v>
      </c>
      <c r="S1705" s="0" t="n">
        <f aca="false">04_回帰ANOVA!$K$19*04_回帰ANOVA!$K$14*SQRT(1+R1705)</f>
        <v>1.16486801567081</v>
      </c>
      <c r="T1705" s="0" t="n">
        <f aca="false">Q1705-S1705</f>
        <v>42.7350680638747</v>
      </c>
      <c r="U1705" s="0" t="n">
        <f aca="false">Q1705+S1705</f>
        <v>45.0648040952163</v>
      </c>
      <c r="V1705" s="54" t="b">
        <f aca="false">AND(D1705&gt;=01_因子設定!$L$5-0.000000001,D1705&lt;=01_因子設定!$M$5+0.000000001,E1705&gt;=01_因子設定!$L$6-0.000000001,E1705&lt;=01_因子設定!$M$6+0.000000001,F1705&gt;=01_因子設定!$L$7-0.000000001,F1705&lt;=01_因子設定!$M$7+0.000000001,IF(01_因子設定!$B$20="Box-Behnken",D1705^2+E1705^2+F1705^2&lt;=2+0.000000001,TRUE()))</f>
        <v>1</v>
      </c>
      <c r="W1705" s="55" t="n">
        <f aca="false">IF(V1705,IF(01_因子設定!$B$13="最大化",T1705-01_因子設定!$B$14,IF(01_因子設定!$B$13="最小化",01_因子設定!$B$15-U1705,MIN(T1705-01_因子設定!$B$14,01_因子設定!$B$15-U1705))),-1E+030)</f>
        <v>-5.76493193612532</v>
      </c>
      <c r="X1705" s="55" t="n">
        <f aca="false">IF(V1705,IF(01_因子設定!$B$13="最大化",Q1705,IF(01_因子設定!$B$13="最小化",-Q1705,-ABS(Q1705-01_因子設定!$B$16))),-1E+030)</f>
        <v>43.8999360795455</v>
      </c>
      <c r="Y1705" s="55" t="n">
        <f aca="false">W1705+ROW()*0.000000001</f>
        <v>-5.76493023112532</v>
      </c>
      <c r="Z1705" s="55" t="n">
        <f aca="false">X1705+ROW()*0.000000001</f>
        <v>43.8999377845455</v>
      </c>
    </row>
    <row r="1706" customFormat="false" ht="15" hidden="false" customHeight="false" outlineLevel="0" collapsed="false">
      <c r="A1706" s="0" t="n">
        <v>5</v>
      </c>
      <c r="B1706" s="0" t="n">
        <v>15</v>
      </c>
      <c r="C1706" s="0" t="n">
        <v>1</v>
      </c>
      <c r="D1706" s="0" t="n">
        <f aca="false">-1+A1706*0.125</f>
        <v>-0.375</v>
      </c>
      <c r="E1706" s="0" t="n">
        <f aca="false">-1+B1706*0.125</f>
        <v>0.875</v>
      </c>
      <c r="F1706" s="0" t="n">
        <f aca="false">-1+C1706*0.125</f>
        <v>-0.875</v>
      </c>
      <c r="G1706" s="0" t="n">
        <f aca="false">1</f>
        <v>1</v>
      </c>
      <c r="H1706" s="0" t="n">
        <f aca="false">D1706</f>
        <v>-0.375</v>
      </c>
      <c r="I1706" s="0" t="n">
        <f aca="false">E1706</f>
        <v>0.875</v>
      </c>
      <c r="J1706" s="0" t="n">
        <f aca="false">F1706</f>
        <v>-0.875</v>
      </c>
      <c r="K1706" s="0" t="n">
        <f aca="false">D1706*E1706</f>
        <v>-0.328125</v>
      </c>
      <c r="L1706" s="0" t="n">
        <f aca="false">D1706*F1706</f>
        <v>0.328125</v>
      </c>
      <c r="M1706" s="0" t="n">
        <f aca="false">E1706*F1706</f>
        <v>-0.765625</v>
      </c>
      <c r="N1706" s="0" t="n">
        <f aca="false">D1706*D1706</f>
        <v>0.140625</v>
      </c>
      <c r="O1706" s="0" t="n">
        <f aca="false">E1706*E1706</f>
        <v>0.765625</v>
      </c>
      <c r="P1706" s="0" t="n">
        <f aca="false">F1706*F1706</f>
        <v>0.765625</v>
      </c>
      <c r="Q1706" s="0" t="n">
        <f aca="false">SUMPRODUCT(G1706:P1706,_XtX!$B$71:$K$71)</f>
        <v>44.404609375</v>
      </c>
      <c r="R1706" s="0" t="n">
        <f aca="false">SUMPRODUCT(MMULT(G1706:P1706,_XtX!$B$58:$K$67),G1706:P1706)</f>
        <v>0.448480224609375</v>
      </c>
      <c r="S1706" s="0" t="n">
        <f aca="false">04_回帰ANOVA!$K$19*04_回帰ANOVA!$K$14*SQRT(1+R1706)</f>
        <v>1.11898153812985</v>
      </c>
      <c r="T1706" s="0" t="n">
        <f aca="false">Q1706-S1706</f>
        <v>43.2856278368702</v>
      </c>
      <c r="U1706" s="0" t="n">
        <f aca="false">Q1706+S1706</f>
        <v>45.5235909131299</v>
      </c>
      <c r="V1706" s="54" t="b">
        <f aca="false">AND(D1706&gt;=01_因子設定!$L$5-0.000000001,D1706&lt;=01_因子設定!$M$5+0.000000001,E1706&gt;=01_因子設定!$L$6-0.000000001,E1706&lt;=01_因子設定!$M$6+0.000000001,F1706&gt;=01_因子設定!$L$7-0.000000001,F1706&lt;=01_因子設定!$M$7+0.000000001,IF(01_因子設定!$B$20="Box-Behnken",D1706^2+E1706^2+F1706^2&lt;=2+0.000000001,TRUE()))</f>
        <v>1</v>
      </c>
      <c r="W1706" s="55" t="n">
        <f aca="false">IF(V1706,IF(01_因子設定!$B$13="最大化",T1706-01_因子設定!$B$14,IF(01_因子設定!$B$13="最小化",01_因子設定!$B$15-U1706,MIN(T1706-01_因子設定!$B$14,01_因子設定!$B$15-U1706))),-1E+030)</f>
        <v>-5.21437216312982</v>
      </c>
      <c r="X1706" s="55" t="n">
        <f aca="false">IF(V1706,IF(01_因子設定!$B$13="最大化",Q1706,IF(01_因子設定!$B$13="最小化",-Q1706,-ABS(Q1706-01_因子設定!$B$16))),-1E+030)</f>
        <v>44.404609375</v>
      </c>
      <c r="Y1706" s="55" t="n">
        <f aca="false">W1706+ROW()*0.000000001</f>
        <v>-5.21437045712982</v>
      </c>
      <c r="Z1706" s="55" t="n">
        <f aca="false">X1706+ROW()*0.000000001</f>
        <v>44.404611081</v>
      </c>
    </row>
    <row r="1707" customFormat="false" ht="15" hidden="false" customHeight="false" outlineLevel="0" collapsed="false">
      <c r="A1707" s="0" t="n">
        <v>5</v>
      </c>
      <c r="B1707" s="0" t="n">
        <v>15</v>
      </c>
      <c r="C1707" s="0" t="n">
        <v>2</v>
      </c>
      <c r="D1707" s="0" t="n">
        <f aca="false">-1+A1707*0.125</f>
        <v>-0.375</v>
      </c>
      <c r="E1707" s="0" t="n">
        <f aca="false">-1+B1707*0.125</f>
        <v>0.875</v>
      </c>
      <c r="F1707" s="0" t="n">
        <f aca="false">-1+C1707*0.125</f>
        <v>-0.75</v>
      </c>
      <c r="G1707" s="0" t="n">
        <f aca="false">1</f>
        <v>1</v>
      </c>
      <c r="H1707" s="0" t="n">
        <f aca="false">D1707</f>
        <v>-0.375</v>
      </c>
      <c r="I1707" s="0" t="n">
        <f aca="false">E1707</f>
        <v>0.875</v>
      </c>
      <c r="J1707" s="0" t="n">
        <f aca="false">F1707</f>
        <v>-0.75</v>
      </c>
      <c r="K1707" s="0" t="n">
        <f aca="false">D1707*E1707</f>
        <v>-0.328125</v>
      </c>
      <c r="L1707" s="0" t="n">
        <f aca="false">D1707*F1707</f>
        <v>0.28125</v>
      </c>
      <c r="M1707" s="0" t="n">
        <f aca="false">E1707*F1707</f>
        <v>-0.65625</v>
      </c>
      <c r="N1707" s="0" t="n">
        <f aca="false">D1707*D1707</f>
        <v>0.140625</v>
      </c>
      <c r="O1707" s="0" t="n">
        <f aca="false">E1707*E1707</f>
        <v>0.765625</v>
      </c>
      <c r="P1707" s="0" t="n">
        <f aca="false">F1707*F1707</f>
        <v>0.5625</v>
      </c>
      <c r="Q1707" s="0" t="n">
        <f aca="false">SUMPRODUCT(G1707:P1707,_XtX!$B$71:$K$71)</f>
        <v>44.8724928977273</v>
      </c>
      <c r="R1707" s="0" t="n">
        <f aca="false">SUMPRODUCT(MMULT(G1707:P1707,_XtX!$B$58:$K$67),G1707:P1707)</f>
        <v>0.375727428089489</v>
      </c>
      <c r="S1707" s="0" t="n">
        <f aca="false">04_回帰ANOVA!$K$19*04_回帰ANOVA!$K$14*SQRT(1+R1707)</f>
        <v>1.09051798904087</v>
      </c>
      <c r="T1707" s="0" t="n">
        <f aca="false">Q1707-S1707</f>
        <v>43.7819749086864</v>
      </c>
      <c r="U1707" s="0" t="n">
        <f aca="false">Q1707+S1707</f>
        <v>45.9630108867682</v>
      </c>
      <c r="V1707" s="54" t="b">
        <f aca="false">AND(D1707&gt;=01_因子設定!$L$5-0.000000001,D1707&lt;=01_因子設定!$M$5+0.000000001,E1707&gt;=01_因子設定!$L$6-0.000000001,E1707&lt;=01_因子設定!$M$6+0.000000001,F1707&gt;=01_因子設定!$L$7-0.000000001,F1707&lt;=01_因子設定!$M$7+0.000000001,IF(01_因子設定!$B$20="Box-Behnken",D1707^2+E1707^2+F1707^2&lt;=2+0.000000001,TRUE()))</f>
        <v>1</v>
      </c>
      <c r="W1707" s="55" t="n">
        <f aca="false">IF(V1707,IF(01_因子設定!$B$13="最大化",T1707-01_因子設定!$B$14,IF(01_因子設定!$B$13="最小化",01_因子設定!$B$15-U1707,MIN(T1707-01_因子設定!$B$14,01_因子設定!$B$15-U1707))),-1E+030)</f>
        <v>-4.71802509131359</v>
      </c>
      <c r="X1707" s="55" t="n">
        <f aca="false">IF(V1707,IF(01_因子設定!$B$13="最大化",Q1707,IF(01_因子設定!$B$13="最小化",-Q1707,-ABS(Q1707-01_因子設定!$B$16))),-1E+030)</f>
        <v>44.8724928977273</v>
      </c>
      <c r="Y1707" s="55" t="n">
        <f aca="false">W1707+ROW()*0.000000001</f>
        <v>-4.71802338431359</v>
      </c>
      <c r="Z1707" s="55" t="n">
        <f aca="false">X1707+ROW()*0.000000001</f>
        <v>44.8724946047273</v>
      </c>
    </row>
    <row r="1708" customFormat="false" ht="15" hidden="false" customHeight="false" outlineLevel="0" collapsed="false">
      <c r="A1708" s="0" t="n">
        <v>5</v>
      </c>
      <c r="B1708" s="0" t="n">
        <v>15</v>
      </c>
      <c r="C1708" s="0" t="n">
        <v>3</v>
      </c>
      <c r="D1708" s="0" t="n">
        <f aca="false">-1+A1708*0.125</f>
        <v>-0.375</v>
      </c>
      <c r="E1708" s="0" t="n">
        <f aca="false">-1+B1708*0.125</f>
        <v>0.875</v>
      </c>
      <c r="F1708" s="0" t="n">
        <f aca="false">-1+C1708*0.125</f>
        <v>-0.625</v>
      </c>
      <c r="G1708" s="0" t="n">
        <f aca="false">1</f>
        <v>1</v>
      </c>
      <c r="H1708" s="0" t="n">
        <f aca="false">D1708</f>
        <v>-0.375</v>
      </c>
      <c r="I1708" s="0" t="n">
        <f aca="false">E1708</f>
        <v>0.875</v>
      </c>
      <c r="J1708" s="0" t="n">
        <f aca="false">F1708</f>
        <v>-0.625</v>
      </c>
      <c r="K1708" s="0" t="n">
        <f aca="false">D1708*E1708</f>
        <v>-0.328125</v>
      </c>
      <c r="L1708" s="0" t="n">
        <f aca="false">D1708*F1708</f>
        <v>0.234375</v>
      </c>
      <c r="M1708" s="0" t="n">
        <f aca="false">E1708*F1708</f>
        <v>-0.546875</v>
      </c>
      <c r="N1708" s="0" t="n">
        <f aca="false">D1708*D1708</f>
        <v>0.140625</v>
      </c>
      <c r="O1708" s="0" t="n">
        <f aca="false">E1708*E1708</f>
        <v>0.765625</v>
      </c>
      <c r="P1708" s="0" t="n">
        <f aca="false">F1708*F1708</f>
        <v>0.390625</v>
      </c>
      <c r="Q1708" s="0" t="n">
        <f aca="false">SUMPRODUCT(G1708:P1708,_XtX!$B$71:$K$71)</f>
        <v>45.3035866477273</v>
      </c>
      <c r="R1708" s="0" t="n">
        <f aca="false">SUMPRODUCT(MMULT(G1708:P1708,_XtX!$B$58:$K$67),G1708:P1708)</f>
        <v>0.337604869495739</v>
      </c>
      <c r="S1708" s="0" t="n">
        <f aca="false">04_回帰ANOVA!$K$19*04_回帰ANOVA!$K$14*SQRT(1+R1708)</f>
        <v>1.07530225516193</v>
      </c>
      <c r="T1708" s="0" t="n">
        <f aca="false">Q1708-S1708</f>
        <v>44.2282843925654</v>
      </c>
      <c r="U1708" s="0" t="n">
        <f aca="false">Q1708+S1708</f>
        <v>46.3788889028892</v>
      </c>
      <c r="V1708" s="54" t="b">
        <f aca="false">AND(D1708&gt;=01_因子設定!$L$5-0.000000001,D1708&lt;=01_因子設定!$M$5+0.000000001,E1708&gt;=01_因子設定!$L$6-0.000000001,E1708&lt;=01_因子設定!$M$6+0.000000001,F1708&gt;=01_因子設定!$L$7-0.000000001,F1708&lt;=01_因子設定!$M$7+0.000000001,IF(01_因子設定!$B$20="Box-Behnken",D1708^2+E1708^2+F1708^2&lt;=2+0.000000001,TRUE()))</f>
        <v>1</v>
      </c>
      <c r="W1708" s="55" t="n">
        <f aca="false">IF(V1708,IF(01_因子設定!$B$13="最大化",T1708-01_因子設定!$B$14,IF(01_因子設定!$B$13="最小化",01_因子設定!$B$15-U1708,MIN(T1708-01_因子設定!$B$14,01_因子設定!$B$15-U1708))),-1E+030)</f>
        <v>-4.27171560743464</v>
      </c>
      <c r="X1708" s="55" t="n">
        <f aca="false">IF(V1708,IF(01_因子設定!$B$13="最大化",Q1708,IF(01_因子設定!$B$13="最小化",-Q1708,-ABS(Q1708-01_因子設定!$B$16))),-1E+030)</f>
        <v>45.3035866477273</v>
      </c>
      <c r="Y1708" s="55" t="n">
        <f aca="false">W1708+ROW()*0.000000001</f>
        <v>-4.27171389943464</v>
      </c>
      <c r="Z1708" s="55" t="n">
        <f aca="false">X1708+ROW()*0.000000001</f>
        <v>45.3035883557273</v>
      </c>
    </row>
    <row r="1709" customFormat="false" ht="15" hidden="false" customHeight="false" outlineLevel="0" collapsed="false">
      <c r="A1709" s="0" t="n">
        <v>5</v>
      </c>
      <c r="B1709" s="0" t="n">
        <v>15</v>
      </c>
      <c r="C1709" s="0" t="n">
        <v>4</v>
      </c>
      <c r="D1709" s="0" t="n">
        <f aca="false">-1+A1709*0.125</f>
        <v>-0.375</v>
      </c>
      <c r="E1709" s="0" t="n">
        <f aca="false">-1+B1709*0.125</f>
        <v>0.875</v>
      </c>
      <c r="F1709" s="0" t="n">
        <f aca="false">-1+C1709*0.125</f>
        <v>-0.5</v>
      </c>
      <c r="G1709" s="0" t="n">
        <f aca="false">1</f>
        <v>1</v>
      </c>
      <c r="H1709" s="0" t="n">
        <f aca="false">D1709</f>
        <v>-0.375</v>
      </c>
      <c r="I1709" s="0" t="n">
        <f aca="false">E1709</f>
        <v>0.875</v>
      </c>
      <c r="J1709" s="0" t="n">
        <f aca="false">F1709</f>
        <v>-0.5</v>
      </c>
      <c r="K1709" s="0" t="n">
        <f aca="false">D1709*E1709</f>
        <v>-0.328125</v>
      </c>
      <c r="L1709" s="0" t="n">
        <f aca="false">D1709*F1709</f>
        <v>0.1875</v>
      </c>
      <c r="M1709" s="0" t="n">
        <f aca="false">E1709*F1709</f>
        <v>-0.4375</v>
      </c>
      <c r="N1709" s="0" t="n">
        <f aca="false">D1709*D1709</f>
        <v>0.140625</v>
      </c>
      <c r="O1709" s="0" t="n">
        <f aca="false">E1709*E1709</f>
        <v>0.765625</v>
      </c>
      <c r="P1709" s="0" t="n">
        <f aca="false">F1709*F1709</f>
        <v>0.25</v>
      </c>
      <c r="Q1709" s="0" t="n">
        <f aca="false">SUMPRODUCT(G1709:P1709,_XtX!$B$71:$K$71)</f>
        <v>45.697890625</v>
      </c>
      <c r="R1709" s="0" t="n">
        <f aca="false">SUMPRODUCT(MMULT(G1709:P1709,_XtX!$B$58:$K$67),G1709:P1709)</f>
        <v>0.322393798828125</v>
      </c>
      <c r="S1709" s="0" t="n">
        <f aca="false">04_回帰ANOVA!$K$19*04_回帰ANOVA!$K$14*SQRT(1+R1709)</f>
        <v>1.06917067390712</v>
      </c>
      <c r="T1709" s="0" t="n">
        <f aca="false">Q1709-S1709</f>
        <v>44.6287199510929</v>
      </c>
      <c r="U1709" s="0" t="n">
        <f aca="false">Q1709+S1709</f>
        <v>46.7670612989071</v>
      </c>
      <c r="V1709" s="54" t="b">
        <f aca="false">AND(D1709&gt;=01_因子設定!$L$5-0.000000001,D1709&lt;=01_因子設定!$M$5+0.000000001,E1709&gt;=01_因子設定!$L$6-0.000000001,E1709&lt;=01_因子設定!$M$6+0.000000001,F1709&gt;=01_因子設定!$L$7-0.000000001,F1709&lt;=01_因子設定!$M$7+0.000000001,IF(01_因子設定!$B$20="Box-Behnken",D1709^2+E1709^2+F1709^2&lt;=2+0.000000001,TRUE()))</f>
        <v>1</v>
      </c>
      <c r="W1709" s="55" t="n">
        <f aca="false">IF(V1709,IF(01_因子設定!$B$13="最大化",T1709-01_因子設定!$B$14,IF(01_因子設定!$B$13="最小化",01_因子設定!$B$15-U1709,MIN(T1709-01_因子設定!$B$14,01_因子設定!$B$15-U1709))),-1E+030)</f>
        <v>-3.8712800489071</v>
      </c>
      <c r="X1709" s="55" t="n">
        <f aca="false">IF(V1709,IF(01_因子設定!$B$13="最大化",Q1709,IF(01_因子設定!$B$13="最小化",-Q1709,-ABS(Q1709-01_因子設定!$B$16))),-1E+030)</f>
        <v>45.697890625</v>
      </c>
      <c r="Y1709" s="55" t="n">
        <f aca="false">W1709+ROW()*0.000000001</f>
        <v>-3.8712783399071</v>
      </c>
      <c r="Z1709" s="55" t="n">
        <f aca="false">X1709+ROW()*0.000000001</f>
        <v>45.697892334</v>
      </c>
    </row>
    <row r="1710" customFormat="false" ht="15" hidden="false" customHeight="false" outlineLevel="0" collapsed="false">
      <c r="A1710" s="0" t="n">
        <v>5</v>
      </c>
      <c r="B1710" s="0" t="n">
        <v>15</v>
      </c>
      <c r="C1710" s="0" t="n">
        <v>5</v>
      </c>
      <c r="D1710" s="0" t="n">
        <f aca="false">-1+A1710*0.125</f>
        <v>-0.375</v>
      </c>
      <c r="E1710" s="0" t="n">
        <f aca="false">-1+B1710*0.125</f>
        <v>0.875</v>
      </c>
      <c r="F1710" s="0" t="n">
        <f aca="false">-1+C1710*0.125</f>
        <v>-0.375</v>
      </c>
      <c r="G1710" s="0" t="n">
        <f aca="false">1</f>
        <v>1</v>
      </c>
      <c r="H1710" s="0" t="n">
        <f aca="false">D1710</f>
        <v>-0.375</v>
      </c>
      <c r="I1710" s="0" t="n">
        <f aca="false">E1710</f>
        <v>0.875</v>
      </c>
      <c r="J1710" s="0" t="n">
        <f aca="false">F1710</f>
        <v>-0.375</v>
      </c>
      <c r="K1710" s="0" t="n">
        <f aca="false">D1710*E1710</f>
        <v>-0.328125</v>
      </c>
      <c r="L1710" s="0" t="n">
        <f aca="false">D1710*F1710</f>
        <v>0.140625</v>
      </c>
      <c r="M1710" s="0" t="n">
        <f aca="false">E1710*F1710</f>
        <v>-0.328125</v>
      </c>
      <c r="N1710" s="0" t="n">
        <f aca="false">D1710*D1710</f>
        <v>0.140625</v>
      </c>
      <c r="O1710" s="0" t="n">
        <f aca="false">E1710*E1710</f>
        <v>0.765625</v>
      </c>
      <c r="P1710" s="0" t="n">
        <f aca="false">F1710*F1710</f>
        <v>0.140625</v>
      </c>
      <c r="Q1710" s="0" t="n">
        <f aca="false">SUMPRODUCT(G1710:P1710,_XtX!$B$71:$K$71)</f>
        <v>46.0554048295455</v>
      </c>
      <c r="R1710" s="0" t="n">
        <f aca="false">SUMPRODUCT(MMULT(G1710:P1710,_XtX!$B$58:$K$67),G1710:P1710)</f>
        <v>0.32050614790483</v>
      </c>
      <c r="S1710" s="0" t="n">
        <f aca="false">04_回帰ANOVA!$K$19*04_回帰ANOVA!$K$14*SQRT(1+R1710)</f>
        <v>1.06840730759619</v>
      </c>
      <c r="T1710" s="0" t="n">
        <f aca="false">Q1710-S1710</f>
        <v>44.9869975219493</v>
      </c>
      <c r="U1710" s="0" t="n">
        <f aca="false">Q1710+S1710</f>
        <v>47.1238121371417</v>
      </c>
      <c r="V1710" s="54" t="b">
        <f aca="false">AND(D1710&gt;=01_因子設定!$L$5-0.000000001,D1710&lt;=01_因子設定!$M$5+0.000000001,E1710&gt;=01_因子設定!$L$6-0.000000001,E1710&lt;=01_因子設定!$M$6+0.000000001,F1710&gt;=01_因子設定!$L$7-0.000000001,F1710&lt;=01_因子設定!$M$7+0.000000001,IF(01_因子設定!$B$20="Box-Behnken",D1710^2+E1710^2+F1710^2&lt;=2+0.000000001,TRUE()))</f>
        <v>1</v>
      </c>
      <c r="W1710" s="55" t="n">
        <f aca="false">IF(V1710,IF(01_因子設定!$B$13="最大化",T1710-01_因子設定!$B$14,IF(01_因子設定!$B$13="最小化",01_因子設定!$B$15-U1710,MIN(T1710-01_因子設定!$B$14,01_因子設定!$B$15-U1710))),-1E+030)</f>
        <v>-3.51300247805072</v>
      </c>
      <c r="X1710" s="55" t="n">
        <f aca="false">IF(V1710,IF(01_因子設定!$B$13="最大化",Q1710,IF(01_因子設定!$B$13="最小化",-Q1710,-ABS(Q1710-01_因子設定!$B$16))),-1E+030)</f>
        <v>46.0554048295455</v>
      </c>
      <c r="Y1710" s="55" t="n">
        <f aca="false">W1710+ROW()*0.000000001</f>
        <v>-3.51300076805072</v>
      </c>
      <c r="Z1710" s="55" t="n">
        <f aca="false">X1710+ROW()*0.000000001</f>
        <v>46.0554065395455</v>
      </c>
    </row>
    <row r="1711" customFormat="false" ht="15" hidden="false" customHeight="false" outlineLevel="0" collapsed="false">
      <c r="A1711" s="0" t="n">
        <v>5</v>
      </c>
      <c r="B1711" s="0" t="n">
        <v>15</v>
      </c>
      <c r="C1711" s="0" t="n">
        <v>6</v>
      </c>
      <c r="D1711" s="0" t="n">
        <f aca="false">-1+A1711*0.125</f>
        <v>-0.375</v>
      </c>
      <c r="E1711" s="0" t="n">
        <f aca="false">-1+B1711*0.125</f>
        <v>0.875</v>
      </c>
      <c r="F1711" s="0" t="n">
        <f aca="false">-1+C1711*0.125</f>
        <v>-0.25</v>
      </c>
      <c r="G1711" s="0" t="n">
        <f aca="false">1</f>
        <v>1</v>
      </c>
      <c r="H1711" s="0" t="n">
        <f aca="false">D1711</f>
        <v>-0.375</v>
      </c>
      <c r="I1711" s="0" t="n">
        <f aca="false">E1711</f>
        <v>0.875</v>
      </c>
      <c r="J1711" s="0" t="n">
        <f aca="false">F1711</f>
        <v>-0.25</v>
      </c>
      <c r="K1711" s="0" t="n">
        <f aca="false">D1711*E1711</f>
        <v>-0.328125</v>
      </c>
      <c r="L1711" s="0" t="n">
        <f aca="false">D1711*F1711</f>
        <v>0.09375</v>
      </c>
      <c r="M1711" s="0" t="n">
        <f aca="false">E1711*F1711</f>
        <v>-0.21875</v>
      </c>
      <c r="N1711" s="0" t="n">
        <f aca="false">D1711*D1711</f>
        <v>0.140625</v>
      </c>
      <c r="O1711" s="0" t="n">
        <f aca="false">E1711*E1711</f>
        <v>0.765625</v>
      </c>
      <c r="P1711" s="0" t="n">
        <f aca="false">F1711*F1711</f>
        <v>0.0625</v>
      </c>
      <c r="Q1711" s="0" t="n">
        <f aca="false">SUMPRODUCT(G1711:P1711,_XtX!$B$71:$K$71)</f>
        <v>46.3761292613636</v>
      </c>
      <c r="R1711" s="0" t="n">
        <f aca="false">SUMPRODUCT(MMULT(G1711:P1711,_XtX!$B$58:$K$67),G1711:P1711)</f>
        <v>0.324484530362216</v>
      </c>
      <c r="S1711" s="0" t="n">
        <f aca="false">04_回帰ANOVA!$K$19*04_回帰ANOVA!$K$14*SQRT(1+R1711)</f>
        <v>1.07001553041279</v>
      </c>
      <c r="T1711" s="0" t="n">
        <f aca="false">Q1711-S1711</f>
        <v>45.3061137309509</v>
      </c>
      <c r="U1711" s="0" t="n">
        <f aca="false">Q1711+S1711</f>
        <v>47.4461447917764</v>
      </c>
      <c r="V1711" s="54" t="b">
        <f aca="false">AND(D1711&gt;=01_因子設定!$L$5-0.000000001,D1711&lt;=01_因子設定!$M$5+0.000000001,E1711&gt;=01_因子設定!$L$6-0.000000001,E1711&lt;=01_因子設定!$M$6+0.000000001,F1711&gt;=01_因子設定!$L$7-0.000000001,F1711&lt;=01_因子設定!$M$7+0.000000001,IF(01_因子設定!$B$20="Box-Behnken",D1711^2+E1711^2+F1711^2&lt;=2+0.000000001,TRUE()))</f>
        <v>1</v>
      </c>
      <c r="W1711" s="55" t="n">
        <f aca="false">IF(V1711,IF(01_因子設定!$B$13="最大化",T1711-01_因子設定!$B$14,IF(01_因子設定!$B$13="最小化",01_因子設定!$B$15-U1711,MIN(T1711-01_因子設定!$B$14,01_因子設定!$B$15-U1711))),-1E+030)</f>
        <v>-3.19388626904914</v>
      </c>
      <c r="X1711" s="55" t="n">
        <f aca="false">IF(V1711,IF(01_因子設定!$B$13="最大化",Q1711,IF(01_因子設定!$B$13="最小化",-Q1711,-ABS(Q1711-01_因子設定!$B$16))),-1E+030)</f>
        <v>46.3761292613636</v>
      </c>
      <c r="Y1711" s="55" t="n">
        <f aca="false">W1711+ROW()*0.000000001</f>
        <v>-3.19388455804915</v>
      </c>
      <c r="Z1711" s="55" t="n">
        <f aca="false">X1711+ROW()*0.000000001</f>
        <v>46.3761309723637</v>
      </c>
    </row>
    <row r="1712" customFormat="false" ht="15" hidden="false" customHeight="false" outlineLevel="0" collapsed="false">
      <c r="A1712" s="0" t="n">
        <v>5</v>
      </c>
      <c r="B1712" s="0" t="n">
        <v>15</v>
      </c>
      <c r="C1712" s="0" t="n">
        <v>7</v>
      </c>
      <c r="D1712" s="0" t="n">
        <f aca="false">-1+A1712*0.125</f>
        <v>-0.375</v>
      </c>
      <c r="E1712" s="0" t="n">
        <f aca="false">-1+B1712*0.125</f>
        <v>0.875</v>
      </c>
      <c r="F1712" s="0" t="n">
        <f aca="false">-1+C1712*0.125</f>
        <v>-0.125</v>
      </c>
      <c r="G1712" s="0" t="n">
        <f aca="false">1</f>
        <v>1</v>
      </c>
      <c r="H1712" s="0" t="n">
        <f aca="false">D1712</f>
        <v>-0.375</v>
      </c>
      <c r="I1712" s="0" t="n">
        <f aca="false">E1712</f>
        <v>0.875</v>
      </c>
      <c r="J1712" s="0" t="n">
        <f aca="false">F1712</f>
        <v>-0.125</v>
      </c>
      <c r="K1712" s="0" t="n">
        <f aca="false">D1712*E1712</f>
        <v>-0.328125</v>
      </c>
      <c r="L1712" s="0" t="n">
        <f aca="false">D1712*F1712</f>
        <v>0.046875</v>
      </c>
      <c r="M1712" s="0" t="n">
        <f aca="false">E1712*F1712</f>
        <v>-0.109375</v>
      </c>
      <c r="N1712" s="0" t="n">
        <f aca="false">D1712*D1712</f>
        <v>0.140625</v>
      </c>
      <c r="O1712" s="0" t="n">
        <f aca="false">E1712*E1712</f>
        <v>0.765625</v>
      </c>
      <c r="P1712" s="0" t="n">
        <f aca="false">F1712*F1712</f>
        <v>0.015625</v>
      </c>
      <c r="Q1712" s="0" t="n">
        <f aca="false">SUMPRODUCT(G1712:P1712,_XtX!$B$71:$K$71)</f>
        <v>46.6600639204546</v>
      </c>
      <c r="R1712" s="0" t="n">
        <f aca="false">SUMPRODUCT(MMULT(G1712:P1712,_XtX!$B$58:$K$67),G1712:P1712)</f>
        <v>0.32900224165483</v>
      </c>
      <c r="S1712" s="0" t="n">
        <f aca="false">04_回帰ANOVA!$K$19*04_回帰ANOVA!$K$14*SQRT(1+R1712)</f>
        <v>1.07183884583628</v>
      </c>
      <c r="T1712" s="0" t="n">
        <f aca="false">Q1712-S1712</f>
        <v>45.5882250746183</v>
      </c>
      <c r="U1712" s="0" t="n">
        <f aca="false">Q1712+S1712</f>
        <v>47.7319027662908</v>
      </c>
      <c r="V1712" s="54" t="b">
        <f aca="false">AND(D1712&gt;=01_因子設定!$L$5-0.000000001,D1712&lt;=01_因子設定!$M$5+0.000000001,E1712&gt;=01_因子設定!$L$6-0.000000001,E1712&lt;=01_因子設定!$M$6+0.000000001,F1712&gt;=01_因子設定!$L$7-0.000000001,F1712&lt;=01_因子設定!$M$7+0.000000001,IF(01_因子設定!$B$20="Box-Behnken",D1712^2+E1712^2+F1712^2&lt;=2+0.000000001,TRUE()))</f>
        <v>1</v>
      </c>
      <c r="W1712" s="55" t="n">
        <f aca="false">IF(V1712,IF(01_因子設定!$B$13="最大化",T1712-01_因子設定!$B$14,IF(01_因子設定!$B$13="最小化",01_因子設定!$B$15-U1712,MIN(T1712-01_因子設定!$B$14,01_因子設定!$B$15-U1712))),-1E+030)</f>
        <v>-2.91177492538172</v>
      </c>
      <c r="X1712" s="55" t="n">
        <f aca="false">IF(V1712,IF(01_因子設定!$B$13="最大化",Q1712,IF(01_因子設定!$B$13="最小化",-Q1712,-ABS(Q1712-01_因子設定!$B$16))),-1E+030)</f>
        <v>46.6600639204546</v>
      </c>
      <c r="Y1712" s="55" t="n">
        <f aca="false">W1712+ROW()*0.000000001</f>
        <v>-2.91177321338172</v>
      </c>
      <c r="Z1712" s="55" t="n">
        <f aca="false">X1712+ROW()*0.000000001</f>
        <v>46.6600656324546</v>
      </c>
    </row>
    <row r="1713" customFormat="false" ht="15" hidden="false" customHeight="false" outlineLevel="0" collapsed="false">
      <c r="A1713" s="0" t="n">
        <v>5</v>
      </c>
      <c r="B1713" s="0" t="n">
        <v>15</v>
      </c>
      <c r="C1713" s="0" t="n">
        <v>8</v>
      </c>
      <c r="D1713" s="0" t="n">
        <f aca="false">-1+A1713*0.125</f>
        <v>-0.375</v>
      </c>
      <c r="E1713" s="0" t="n">
        <f aca="false">-1+B1713*0.125</f>
        <v>0.875</v>
      </c>
      <c r="F1713" s="0" t="n">
        <f aca="false">-1+C1713*0.125</f>
        <v>0</v>
      </c>
      <c r="G1713" s="0" t="n">
        <f aca="false">1</f>
        <v>1</v>
      </c>
      <c r="H1713" s="0" t="n">
        <f aca="false">D1713</f>
        <v>-0.375</v>
      </c>
      <c r="I1713" s="0" t="n">
        <f aca="false">E1713</f>
        <v>0.875</v>
      </c>
      <c r="J1713" s="0" t="n">
        <f aca="false">F1713</f>
        <v>0</v>
      </c>
      <c r="K1713" s="0" t="n">
        <f aca="false">D1713*E1713</f>
        <v>-0.328125</v>
      </c>
      <c r="L1713" s="0" t="n">
        <f aca="false">D1713*F1713</f>
        <v>-0</v>
      </c>
      <c r="M1713" s="0" t="n">
        <f aca="false">E1713*F1713</f>
        <v>0</v>
      </c>
      <c r="N1713" s="0" t="n">
        <f aca="false">D1713*D1713</f>
        <v>0.140625</v>
      </c>
      <c r="O1713" s="0" t="n">
        <f aca="false">E1713*E1713</f>
        <v>0.765625</v>
      </c>
      <c r="P1713" s="0" t="n">
        <f aca="false">F1713*F1713</f>
        <v>0</v>
      </c>
      <c r="Q1713" s="0" t="n">
        <f aca="false">SUMPRODUCT(G1713:P1713,_XtX!$B$71:$K$71)</f>
        <v>46.9072088068182</v>
      </c>
      <c r="R1713" s="0" t="n">
        <f aca="false">SUMPRODUCT(MMULT(G1713:P1713,_XtX!$B$58:$K$67),G1713:P1713)</f>
        <v>0.330863259055398</v>
      </c>
      <c r="S1713" s="0" t="n">
        <f aca="false">04_回帰ANOVA!$K$19*04_回帰ANOVA!$K$14*SQRT(1+R1713)</f>
        <v>1.07258903754571</v>
      </c>
      <c r="T1713" s="0" t="n">
        <f aca="false">Q1713-S1713</f>
        <v>45.8346197692725</v>
      </c>
      <c r="U1713" s="0" t="n">
        <f aca="false">Q1713+S1713</f>
        <v>47.9797978443639</v>
      </c>
      <c r="V1713" s="54" t="b">
        <f aca="false">AND(D1713&gt;=01_因子設定!$L$5-0.000000001,D1713&lt;=01_因子設定!$M$5+0.000000001,E1713&gt;=01_因子設定!$L$6-0.000000001,E1713&lt;=01_因子設定!$M$6+0.000000001,F1713&gt;=01_因子設定!$L$7-0.000000001,F1713&lt;=01_因子設定!$M$7+0.000000001,IF(01_因子設定!$B$20="Box-Behnken",D1713^2+E1713^2+F1713^2&lt;=2+0.000000001,TRUE()))</f>
        <v>1</v>
      </c>
      <c r="W1713" s="55" t="n">
        <f aca="false">IF(V1713,IF(01_因子設定!$B$13="最大化",T1713-01_因子設定!$B$14,IF(01_因子設定!$B$13="最小化",01_因子設定!$B$15-U1713,MIN(T1713-01_因子設定!$B$14,01_因子設定!$B$15-U1713))),-1E+030)</f>
        <v>-2.66538023072751</v>
      </c>
      <c r="X1713" s="55" t="n">
        <f aca="false">IF(V1713,IF(01_因子設定!$B$13="最大化",Q1713,IF(01_因子設定!$B$13="最小化",-Q1713,-ABS(Q1713-01_因子設定!$B$16))),-1E+030)</f>
        <v>46.9072088068182</v>
      </c>
      <c r="Y1713" s="55" t="n">
        <f aca="false">W1713+ROW()*0.000000001</f>
        <v>-2.66537851772751</v>
      </c>
      <c r="Z1713" s="55" t="n">
        <f aca="false">X1713+ROW()*0.000000001</f>
        <v>46.9072105198182</v>
      </c>
    </row>
    <row r="1714" customFormat="false" ht="15" hidden="false" customHeight="false" outlineLevel="0" collapsed="false">
      <c r="A1714" s="0" t="n">
        <v>5</v>
      </c>
      <c r="B1714" s="0" t="n">
        <v>15</v>
      </c>
      <c r="C1714" s="0" t="n">
        <v>9</v>
      </c>
      <c r="D1714" s="0" t="n">
        <f aca="false">-1+A1714*0.125</f>
        <v>-0.375</v>
      </c>
      <c r="E1714" s="0" t="n">
        <f aca="false">-1+B1714*0.125</f>
        <v>0.875</v>
      </c>
      <c r="F1714" s="0" t="n">
        <f aca="false">-1+C1714*0.125</f>
        <v>0.125</v>
      </c>
      <c r="G1714" s="0" t="n">
        <f aca="false">1</f>
        <v>1</v>
      </c>
      <c r="H1714" s="0" t="n">
        <f aca="false">D1714</f>
        <v>-0.375</v>
      </c>
      <c r="I1714" s="0" t="n">
        <f aca="false">E1714</f>
        <v>0.875</v>
      </c>
      <c r="J1714" s="0" t="n">
        <f aca="false">F1714</f>
        <v>0.125</v>
      </c>
      <c r="K1714" s="0" t="n">
        <f aca="false">D1714*E1714</f>
        <v>-0.328125</v>
      </c>
      <c r="L1714" s="0" t="n">
        <f aca="false">D1714*F1714</f>
        <v>-0.046875</v>
      </c>
      <c r="M1714" s="0" t="n">
        <f aca="false">E1714*F1714</f>
        <v>0.109375</v>
      </c>
      <c r="N1714" s="0" t="n">
        <f aca="false">D1714*D1714</f>
        <v>0.140625</v>
      </c>
      <c r="O1714" s="0" t="n">
        <f aca="false">E1714*E1714</f>
        <v>0.765625</v>
      </c>
      <c r="P1714" s="0" t="n">
        <f aca="false">F1714*F1714</f>
        <v>0.015625</v>
      </c>
      <c r="Q1714" s="0" t="n">
        <f aca="false">SUMPRODUCT(G1714:P1714,_XtX!$B$71:$K$71)</f>
        <v>47.1175639204546</v>
      </c>
      <c r="R1714" s="0" t="n">
        <f aca="false">SUMPRODUCT(MMULT(G1714:P1714,_XtX!$B$58:$K$67),G1714:P1714)</f>
        <v>0.32900224165483</v>
      </c>
      <c r="S1714" s="0" t="n">
        <f aca="false">04_回帰ANOVA!$K$19*04_回帰ANOVA!$K$14*SQRT(1+R1714)</f>
        <v>1.07183884583628</v>
      </c>
      <c r="T1714" s="0" t="n">
        <f aca="false">Q1714-S1714</f>
        <v>46.0457250746183</v>
      </c>
      <c r="U1714" s="0" t="n">
        <f aca="false">Q1714+S1714</f>
        <v>48.1894027662908</v>
      </c>
      <c r="V1714" s="54" t="b">
        <f aca="false">AND(D1714&gt;=01_因子設定!$L$5-0.000000001,D1714&lt;=01_因子設定!$M$5+0.000000001,E1714&gt;=01_因子設定!$L$6-0.000000001,E1714&lt;=01_因子設定!$M$6+0.000000001,F1714&gt;=01_因子設定!$L$7-0.000000001,F1714&lt;=01_因子設定!$M$7+0.000000001,IF(01_因子設定!$B$20="Box-Behnken",D1714^2+E1714^2+F1714^2&lt;=2+0.000000001,TRUE()))</f>
        <v>1</v>
      </c>
      <c r="W1714" s="55" t="n">
        <f aca="false">IF(V1714,IF(01_因子設定!$B$13="最大化",T1714-01_因子設定!$B$14,IF(01_因子設定!$B$13="最小化",01_因子設定!$B$15-U1714,MIN(T1714-01_因子設定!$B$14,01_因子設定!$B$15-U1714))),-1E+030)</f>
        <v>-2.45427492538173</v>
      </c>
      <c r="X1714" s="55" t="n">
        <f aca="false">IF(V1714,IF(01_因子設定!$B$13="最大化",Q1714,IF(01_因子設定!$B$13="最小化",-Q1714,-ABS(Q1714-01_因子設定!$B$16))),-1E+030)</f>
        <v>47.1175639204546</v>
      </c>
      <c r="Y1714" s="55" t="n">
        <f aca="false">W1714+ROW()*0.000000001</f>
        <v>-2.45427321138172</v>
      </c>
      <c r="Z1714" s="55" t="n">
        <f aca="false">X1714+ROW()*0.000000001</f>
        <v>47.1175656344546</v>
      </c>
    </row>
    <row r="1715" customFormat="false" ht="15" hidden="false" customHeight="false" outlineLevel="0" collapsed="false">
      <c r="A1715" s="0" t="n">
        <v>5</v>
      </c>
      <c r="B1715" s="0" t="n">
        <v>15</v>
      </c>
      <c r="C1715" s="0" t="n">
        <v>10</v>
      </c>
      <c r="D1715" s="0" t="n">
        <f aca="false">-1+A1715*0.125</f>
        <v>-0.375</v>
      </c>
      <c r="E1715" s="0" t="n">
        <f aca="false">-1+B1715*0.125</f>
        <v>0.875</v>
      </c>
      <c r="F1715" s="0" t="n">
        <f aca="false">-1+C1715*0.125</f>
        <v>0.25</v>
      </c>
      <c r="G1715" s="0" t="n">
        <f aca="false">1</f>
        <v>1</v>
      </c>
      <c r="H1715" s="0" t="n">
        <f aca="false">D1715</f>
        <v>-0.375</v>
      </c>
      <c r="I1715" s="0" t="n">
        <f aca="false">E1715</f>
        <v>0.875</v>
      </c>
      <c r="J1715" s="0" t="n">
        <f aca="false">F1715</f>
        <v>0.25</v>
      </c>
      <c r="K1715" s="0" t="n">
        <f aca="false">D1715*E1715</f>
        <v>-0.328125</v>
      </c>
      <c r="L1715" s="0" t="n">
        <f aca="false">D1715*F1715</f>
        <v>-0.09375</v>
      </c>
      <c r="M1715" s="0" t="n">
        <f aca="false">E1715*F1715</f>
        <v>0.21875</v>
      </c>
      <c r="N1715" s="0" t="n">
        <f aca="false">D1715*D1715</f>
        <v>0.140625</v>
      </c>
      <c r="O1715" s="0" t="n">
        <f aca="false">E1715*E1715</f>
        <v>0.765625</v>
      </c>
      <c r="P1715" s="0" t="n">
        <f aca="false">F1715*F1715</f>
        <v>0.0625</v>
      </c>
      <c r="Q1715" s="0" t="n">
        <f aca="false">SUMPRODUCT(G1715:P1715,_XtX!$B$71:$K$71)</f>
        <v>47.2911292613636</v>
      </c>
      <c r="R1715" s="0" t="n">
        <f aca="false">SUMPRODUCT(MMULT(G1715:P1715,_XtX!$B$58:$K$67),G1715:P1715)</f>
        <v>0.324484530362216</v>
      </c>
      <c r="S1715" s="0" t="n">
        <f aca="false">04_回帰ANOVA!$K$19*04_回帰ANOVA!$K$14*SQRT(1+R1715)</f>
        <v>1.07001553041279</v>
      </c>
      <c r="T1715" s="0" t="n">
        <f aca="false">Q1715-S1715</f>
        <v>46.2211137309509</v>
      </c>
      <c r="U1715" s="0" t="n">
        <f aca="false">Q1715+S1715</f>
        <v>48.3611447917764</v>
      </c>
      <c r="V1715" s="54" t="b">
        <f aca="false">AND(D1715&gt;=01_因子設定!$L$5-0.000000001,D1715&lt;=01_因子設定!$M$5+0.000000001,E1715&gt;=01_因子設定!$L$6-0.000000001,E1715&lt;=01_因子設定!$M$6+0.000000001,F1715&gt;=01_因子設定!$L$7-0.000000001,F1715&lt;=01_因子設定!$M$7+0.000000001,IF(01_因子設定!$B$20="Box-Behnken",D1715^2+E1715^2+F1715^2&lt;=2+0.000000001,TRUE()))</f>
        <v>1</v>
      </c>
      <c r="W1715" s="55" t="n">
        <f aca="false">IF(V1715,IF(01_因子設定!$B$13="最大化",T1715-01_因子設定!$B$14,IF(01_因子設定!$B$13="最小化",01_因子設定!$B$15-U1715,MIN(T1715-01_因子設定!$B$14,01_因子設定!$B$15-U1715))),-1E+030)</f>
        <v>-2.27888626904915</v>
      </c>
      <c r="X1715" s="55" t="n">
        <f aca="false">IF(V1715,IF(01_因子設定!$B$13="最大化",Q1715,IF(01_因子設定!$B$13="最小化",-Q1715,-ABS(Q1715-01_因子設定!$B$16))),-1E+030)</f>
        <v>47.2911292613636</v>
      </c>
      <c r="Y1715" s="55" t="n">
        <f aca="false">W1715+ROW()*0.000000001</f>
        <v>-2.27888455404915</v>
      </c>
      <c r="Z1715" s="55" t="n">
        <f aca="false">X1715+ROW()*0.000000001</f>
        <v>47.2911309763637</v>
      </c>
    </row>
    <row r="1716" customFormat="false" ht="15" hidden="false" customHeight="false" outlineLevel="0" collapsed="false">
      <c r="A1716" s="0" t="n">
        <v>5</v>
      </c>
      <c r="B1716" s="0" t="n">
        <v>15</v>
      </c>
      <c r="C1716" s="0" t="n">
        <v>11</v>
      </c>
      <c r="D1716" s="0" t="n">
        <f aca="false">-1+A1716*0.125</f>
        <v>-0.375</v>
      </c>
      <c r="E1716" s="0" t="n">
        <f aca="false">-1+B1716*0.125</f>
        <v>0.875</v>
      </c>
      <c r="F1716" s="0" t="n">
        <f aca="false">-1+C1716*0.125</f>
        <v>0.375</v>
      </c>
      <c r="G1716" s="0" t="n">
        <f aca="false">1</f>
        <v>1</v>
      </c>
      <c r="H1716" s="0" t="n">
        <f aca="false">D1716</f>
        <v>-0.375</v>
      </c>
      <c r="I1716" s="0" t="n">
        <f aca="false">E1716</f>
        <v>0.875</v>
      </c>
      <c r="J1716" s="0" t="n">
        <f aca="false">F1716</f>
        <v>0.375</v>
      </c>
      <c r="K1716" s="0" t="n">
        <f aca="false">D1716*E1716</f>
        <v>-0.328125</v>
      </c>
      <c r="L1716" s="0" t="n">
        <f aca="false">D1716*F1716</f>
        <v>-0.140625</v>
      </c>
      <c r="M1716" s="0" t="n">
        <f aca="false">E1716*F1716</f>
        <v>0.328125</v>
      </c>
      <c r="N1716" s="0" t="n">
        <f aca="false">D1716*D1716</f>
        <v>0.140625</v>
      </c>
      <c r="O1716" s="0" t="n">
        <f aca="false">E1716*E1716</f>
        <v>0.765625</v>
      </c>
      <c r="P1716" s="0" t="n">
        <f aca="false">F1716*F1716</f>
        <v>0.140625</v>
      </c>
      <c r="Q1716" s="0" t="n">
        <f aca="false">SUMPRODUCT(G1716:P1716,_XtX!$B$71:$K$71)</f>
        <v>47.4279048295455</v>
      </c>
      <c r="R1716" s="0" t="n">
        <f aca="false">SUMPRODUCT(MMULT(G1716:P1716,_XtX!$B$58:$K$67),G1716:P1716)</f>
        <v>0.32050614790483</v>
      </c>
      <c r="S1716" s="0" t="n">
        <f aca="false">04_回帰ANOVA!$K$19*04_回帰ANOVA!$K$14*SQRT(1+R1716)</f>
        <v>1.06840730759619</v>
      </c>
      <c r="T1716" s="0" t="n">
        <f aca="false">Q1716-S1716</f>
        <v>46.3594975219493</v>
      </c>
      <c r="U1716" s="0" t="n">
        <f aca="false">Q1716+S1716</f>
        <v>48.4963121371417</v>
      </c>
      <c r="V1716" s="54" t="b">
        <f aca="false">AND(D1716&gt;=01_因子設定!$L$5-0.000000001,D1716&lt;=01_因子設定!$M$5+0.000000001,E1716&gt;=01_因子設定!$L$6-0.000000001,E1716&lt;=01_因子設定!$M$6+0.000000001,F1716&gt;=01_因子設定!$L$7-0.000000001,F1716&lt;=01_因子設定!$M$7+0.000000001,IF(01_因子設定!$B$20="Box-Behnken",D1716^2+E1716^2+F1716^2&lt;=2+0.000000001,TRUE()))</f>
        <v>1</v>
      </c>
      <c r="W1716" s="55" t="n">
        <f aca="false">IF(V1716,IF(01_因子設定!$B$13="最大化",T1716-01_因子設定!$B$14,IF(01_因子設定!$B$13="最小化",01_因子設定!$B$15-U1716,MIN(T1716-01_因子設定!$B$14,01_因子設定!$B$15-U1716))),-1E+030)</f>
        <v>-2.14050247805072</v>
      </c>
      <c r="X1716" s="55" t="n">
        <f aca="false">IF(V1716,IF(01_因子設定!$B$13="最大化",Q1716,IF(01_因子設定!$B$13="最小化",-Q1716,-ABS(Q1716-01_因子設定!$B$16))),-1E+030)</f>
        <v>47.4279048295455</v>
      </c>
      <c r="Y1716" s="55" t="n">
        <f aca="false">W1716+ROW()*0.000000001</f>
        <v>-2.14050076205072</v>
      </c>
      <c r="Z1716" s="55" t="n">
        <f aca="false">X1716+ROW()*0.000000001</f>
        <v>47.4279065455455</v>
      </c>
    </row>
    <row r="1717" customFormat="false" ht="15" hidden="false" customHeight="false" outlineLevel="0" collapsed="false">
      <c r="A1717" s="0" t="n">
        <v>5</v>
      </c>
      <c r="B1717" s="0" t="n">
        <v>15</v>
      </c>
      <c r="C1717" s="0" t="n">
        <v>12</v>
      </c>
      <c r="D1717" s="0" t="n">
        <f aca="false">-1+A1717*0.125</f>
        <v>-0.375</v>
      </c>
      <c r="E1717" s="0" t="n">
        <f aca="false">-1+B1717*0.125</f>
        <v>0.875</v>
      </c>
      <c r="F1717" s="0" t="n">
        <f aca="false">-1+C1717*0.125</f>
        <v>0.5</v>
      </c>
      <c r="G1717" s="0" t="n">
        <f aca="false">1</f>
        <v>1</v>
      </c>
      <c r="H1717" s="0" t="n">
        <f aca="false">D1717</f>
        <v>-0.375</v>
      </c>
      <c r="I1717" s="0" t="n">
        <f aca="false">E1717</f>
        <v>0.875</v>
      </c>
      <c r="J1717" s="0" t="n">
        <f aca="false">F1717</f>
        <v>0.5</v>
      </c>
      <c r="K1717" s="0" t="n">
        <f aca="false">D1717*E1717</f>
        <v>-0.328125</v>
      </c>
      <c r="L1717" s="0" t="n">
        <f aca="false">D1717*F1717</f>
        <v>-0.1875</v>
      </c>
      <c r="M1717" s="0" t="n">
        <f aca="false">E1717*F1717</f>
        <v>0.4375</v>
      </c>
      <c r="N1717" s="0" t="n">
        <f aca="false">D1717*D1717</f>
        <v>0.140625</v>
      </c>
      <c r="O1717" s="0" t="n">
        <f aca="false">E1717*E1717</f>
        <v>0.765625</v>
      </c>
      <c r="P1717" s="0" t="n">
        <f aca="false">F1717*F1717</f>
        <v>0.25</v>
      </c>
      <c r="Q1717" s="0" t="n">
        <f aca="false">SUMPRODUCT(G1717:P1717,_XtX!$B$71:$K$71)</f>
        <v>47.527890625</v>
      </c>
      <c r="R1717" s="0" t="n">
        <f aca="false">SUMPRODUCT(MMULT(G1717:P1717,_XtX!$B$58:$K$67),G1717:P1717)</f>
        <v>0.322393798828125</v>
      </c>
      <c r="S1717" s="0" t="n">
        <f aca="false">04_回帰ANOVA!$K$19*04_回帰ANOVA!$K$14*SQRT(1+R1717)</f>
        <v>1.06917067390712</v>
      </c>
      <c r="T1717" s="0" t="n">
        <f aca="false">Q1717-S1717</f>
        <v>46.4587199510929</v>
      </c>
      <c r="U1717" s="0" t="n">
        <f aca="false">Q1717+S1717</f>
        <v>48.5970612989071</v>
      </c>
      <c r="V1717" s="54" t="b">
        <f aca="false">AND(D1717&gt;=01_因子設定!$L$5-0.000000001,D1717&lt;=01_因子設定!$M$5+0.000000001,E1717&gt;=01_因子設定!$L$6-0.000000001,E1717&lt;=01_因子設定!$M$6+0.000000001,F1717&gt;=01_因子設定!$L$7-0.000000001,F1717&lt;=01_因子設定!$M$7+0.000000001,IF(01_因子設定!$B$20="Box-Behnken",D1717^2+E1717^2+F1717^2&lt;=2+0.000000001,TRUE()))</f>
        <v>1</v>
      </c>
      <c r="W1717" s="55" t="n">
        <f aca="false">IF(V1717,IF(01_因子設定!$B$13="最大化",T1717-01_因子設定!$B$14,IF(01_因子設定!$B$13="最小化",01_因子設定!$B$15-U1717,MIN(T1717-01_因子設定!$B$14,01_因子設定!$B$15-U1717))),-1E+030)</f>
        <v>-2.0412800489071</v>
      </c>
      <c r="X1717" s="55" t="n">
        <f aca="false">IF(V1717,IF(01_因子設定!$B$13="最大化",Q1717,IF(01_因子設定!$B$13="最小化",-Q1717,-ABS(Q1717-01_因子設定!$B$16))),-1E+030)</f>
        <v>47.527890625</v>
      </c>
      <c r="Y1717" s="55" t="n">
        <f aca="false">W1717+ROW()*0.000000001</f>
        <v>-2.0412783319071</v>
      </c>
      <c r="Z1717" s="55" t="n">
        <f aca="false">X1717+ROW()*0.000000001</f>
        <v>47.527892342</v>
      </c>
    </row>
    <row r="1718" customFormat="false" ht="15" hidden="false" customHeight="false" outlineLevel="0" collapsed="false">
      <c r="A1718" s="0" t="n">
        <v>5</v>
      </c>
      <c r="B1718" s="0" t="n">
        <v>15</v>
      </c>
      <c r="C1718" s="0" t="n">
        <v>13</v>
      </c>
      <c r="D1718" s="0" t="n">
        <f aca="false">-1+A1718*0.125</f>
        <v>-0.375</v>
      </c>
      <c r="E1718" s="0" t="n">
        <f aca="false">-1+B1718*0.125</f>
        <v>0.875</v>
      </c>
      <c r="F1718" s="0" t="n">
        <f aca="false">-1+C1718*0.125</f>
        <v>0.625</v>
      </c>
      <c r="G1718" s="0" t="n">
        <f aca="false">1</f>
        <v>1</v>
      </c>
      <c r="H1718" s="0" t="n">
        <f aca="false">D1718</f>
        <v>-0.375</v>
      </c>
      <c r="I1718" s="0" t="n">
        <f aca="false">E1718</f>
        <v>0.875</v>
      </c>
      <c r="J1718" s="0" t="n">
        <f aca="false">F1718</f>
        <v>0.625</v>
      </c>
      <c r="K1718" s="0" t="n">
        <f aca="false">D1718*E1718</f>
        <v>-0.328125</v>
      </c>
      <c r="L1718" s="0" t="n">
        <f aca="false">D1718*F1718</f>
        <v>-0.234375</v>
      </c>
      <c r="M1718" s="0" t="n">
        <f aca="false">E1718*F1718</f>
        <v>0.546875</v>
      </c>
      <c r="N1718" s="0" t="n">
        <f aca="false">D1718*D1718</f>
        <v>0.140625</v>
      </c>
      <c r="O1718" s="0" t="n">
        <f aca="false">E1718*E1718</f>
        <v>0.765625</v>
      </c>
      <c r="P1718" s="0" t="n">
        <f aca="false">F1718*F1718</f>
        <v>0.390625</v>
      </c>
      <c r="Q1718" s="0" t="n">
        <f aca="false">SUMPRODUCT(G1718:P1718,_XtX!$B$71:$K$71)</f>
        <v>47.5910866477273</v>
      </c>
      <c r="R1718" s="0" t="n">
        <f aca="false">SUMPRODUCT(MMULT(G1718:P1718,_XtX!$B$58:$K$67),G1718:P1718)</f>
        <v>0.337604869495739</v>
      </c>
      <c r="S1718" s="0" t="n">
        <f aca="false">04_回帰ANOVA!$K$19*04_回帰ANOVA!$K$14*SQRT(1+R1718)</f>
        <v>1.07530225516193</v>
      </c>
      <c r="T1718" s="0" t="n">
        <f aca="false">Q1718-S1718</f>
        <v>46.5157843925654</v>
      </c>
      <c r="U1718" s="0" t="n">
        <f aca="false">Q1718+S1718</f>
        <v>48.6663889028892</v>
      </c>
      <c r="V1718" s="54" t="b">
        <f aca="false">AND(D1718&gt;=01_因子設定!$L$5-0.000000001,D1718&lt;=01_因子設定!$M$5+0.000000001,E1718&gt;=01_因子設定!$L$6-0.000000001,E1718&lt;=01_因子設定!$M$6+0.000000001,F1718&gt;=01_因子設定!$L$7-0.000000001,F1718&lt;=01_因子設定!$M$7+0.000000001,IF(01_因子設定!$B$20="Box-Behnken",D1718^2+E1718^2+F1718^2&lt;=2+0.000000001,TRUE()))</f>
        <v>1</v>
      </c>
      <c r="W1718" s="55" t="n">
        <f aca="false">IF(V1718,IF(01_因子設定!$B$13="最大化",T1718-01_因子設定!$B$14,IF(01_因子設定!$B$13="最小化",01_因子設定!$B$15-U1718,MIN(T1718-01_因子設定!$B$14,01_因子設定!$B$15-U1718))),-1E+030)</f>
        <v>-1.98421560743463</v>
      </c>
      <c r="X1718" s="55" t="n">
        <f aca="false">IF(V1718,IF(01_因子設定!$B$13="最大化",Q1718,IF(01_因子設定!$B$13="最小化",-Q1718,-ABS(Q1718-01_因子設定!$B$16))),-1E+030)</f>
        <v>47.5910866477273</v>
      </c>
      <c r="Y1718" s="55" t="n">
        <f aca="false">W1718+ROW()*0.000000001</f>
        <v>-1.98421388943463</v>
      </c>
      <c r="Z1718" s="55" t="n">
        <f aca="false">X1718+ROW()*0.000000001</f>
        <v>47.5910883657273</v>
      </c>
    </row>
    <row r="1719" customFormat="false" ht="15" hidden="false" customHeight="false" outlineLevel="0" collapsed="false">
      <c r="A1719" s="0" t="n">
        <v>5</v>
      </c>
      <c r="B1719" s="0" t="n">
        <v>15</v>
      </c>
      <c r="C1719" s="0" t="n">
        <v>14</v>
      </c>
      <c r="D1719" s="0" t="n">
        <f aca="false">-1+A1719*0.125</f>
        <v>-0.375</v>
      </c>
      <c r="E1719" s="0" t="n">
        <f aca="false">-1+B1719*0.125</f>
        <v>0.875</v>
      </c>
      <c r="F1719" s="0" t="n">
        <f aca="false">-1+C1719*0.125</f>
        <v>0.75</v>
      </c>
      <c r="G1719" s="0" t="n">
        <f aca="false">1</f>
        <v>1</v>
      </c>
      <c r="H1719" s="0" t="n">
        <f aca="false">D1719</f>
        <v>-0.375</v>
      </c>
      <c r="I1719" s="0" t="n">
        <f aca="false">E1719</f>
        <v>0.875</v>
      </c>
      <c r="J1719" s="0" t="n">
        <f aca="false">F1719</f>
        <v>0.75</v>
      </c>
      <c r="K1719" s="0" t="n">
        <f aca="false">D1719*E1719</f>
        <v>-0.328125</v>
      </c>
      <c r="L1719" s="0" t="n">
        <f aca="false">D1719*F1719</f>
        <v>-0.28125</v>
      </c>
      <c r="M1719" s="0" t="n">
        <f aca="false">E1719*F1719</f>
        <v>0.65625</v>
      </c>
      <c r="N1719" s="0" t="n">
        <f aca="false">D1719*D1719</f>
        <v>0.140625</v>
      </c>
      <c r="O1719" s="0" t="n">
        <f aca="false">E1719*E1719</f>
        <v>0.765625</v>
      </c>
      <c r="P1719" s="0" t="n">
        <f aca="false">F1719*F1719</f>
        <v>0.5625</v>
      </c>
      <c r="Q1719" s="0" t="n">
        <f aca="false">SUMPRODUCT(G1719:P1719,_XtX!$B$71:$K$71)</f>
        <v>47.6174928977273</v>
      </c>
      <c r="R1719" s="0" t="n">
        <f aca="false">SUMPRODUCT(MMULT(G1719:P1719,_XtX!$B$58:$K$67),G1719:P1719)</f>
        <v>0.375727428089489</v>
      </c>
      <c r="S1719" s="0" t="n">
        <f aca="false">04_回帰ANOVA!$K$19*04_回帰ANOVA!$K$14*SQRT(1+R1719)</f>
        <v>1.09051798904087</v>
      </c>
      <c r="T1719" s="0" t="n">
        <f aca="false">Q1719-S1719</f>
        <v>46.5269749086864</v>
      </c>
      <c r="U1719" s="0" t="n">
        <f aca="false">Q1719+S1719</f>
        <v>48.7080108867682</v>
      </c>
      <c r="V1719" s="54" t="b">
        <f aca="false">AND(D1719&gt;=01_因子設定!$L$5-0.000000001,D1719&lt;=01_因子設定!$M$5+0.000000001,E1719&gt;=01_因子設定!$L$6-0.000000001,E1719&lt;=01_因子設定!$M$6+0.000000001,F1719&gt;=01_因子設定!$L$7-0.000000001,F1719&lt;=01_因子設定!$M$7+0.000000001,IF(01_因子設定!$B$20="Box-Behnken",D1719^2+E1719^2+F1719^2&lt;=2+0.000000001,TRUE()))</f>
        <v>1</v>
      </c>
      <c r="W1719" s="55" t="n">
        <f aca="false">IF(V1719,IF(01_因子設定!$B$13="最大化",T1719-01_因子設定!$B$14,IF(01_因子設定!$B$13="最小化",01_因子設定!$B$15-U1719,MIN(T1719-01_因子設定!$B$14,01_因子設定!$B$15-U1719))),-1E+030)</f>
        <v>-1.97302509131359</v>
      </c>
      <c r="X1719" s="55" t="n">
        <f aca="false">IF(V1719,IF(01_因子設定!$B$13="最大化",Q1719,IF(01_因子設定!$B$13="最小化",-Q1719,-ABS(Q1719-01_因子設定!$B$16))),-1E+030)</f>
        <v>47.6174928977273</v>
      </c>
      <c r="Y1719" s="55" t="n">
        <f aca="false">W1719+ROW()*0.000000001</f>
        <v>-1.97302337231359</v>
      </c>
      <c r="Z1719" s="55" t="n">
        <f aca="false">X1719+ROW()*0.000000001</f>
        <v>47.6174946167273</v>
      </c>
    </row>
    <row r="1720" customFormat="false" ht="15" hidden="false" customHeight="false" outlineLevel="0" collapsed="false">
      <c r="A1720" s="0" t="n">
        <v>5</v>
      </c>
      <c r="B1720" s="0" t="n">
        <v>15</v>
      </c>
      <c r="C1720" s="0" t="n">
        <v>15</v>
      </c>
      <c r="D1720" s="0" t="n">
        <f aca="false">-1+A1720*0.125</f>
        <v>-0.375</v>
      </c>
      <c r="E1720" s="0" t="n">
        <f aca="false">-1+B1720*0.125</f>
        <v>0.875</v>
      </c>
      <c r="F1720" s="0" t="n">
        <f aca="false">-1+C1720*0.125</f>
        <v>0.875</v>
      </c>
      <c r="G1720" s="0" t="n">
        <f aca="false">1</f>
        <v>1</v>
      </c>
      <c r="H1720" s="0" t="n">
        <f aca="false">D1720</f>
        <v>-0.375</v>
      </c>
      <c r="I1720" s="0" t="n">
        <f aca="false">E1720</f>
        <v>0.875</v>
      </c>
      <c r="J1720" s="0" t="n">
        <f aca="false">F1720</f>
        <v>0.875</v>
      </c>
      <c r="K1720" s="0" t="n">
        <f aca="false">D1720*E1720</f>
        <v>-0.328125</v>
      </c>
      <c r="L1720" s="0" t="n">
        <f aca="false">D1720*F1720</f>
        <v>-0.328125</v>
      </c>
      <c r="M1720" s="0" t="n">
        <f aca="false">E1720*F1720</f>
        <v>0.765625</v>
      </c>
      <c r="N1720" s="0" t="n">
        <f aca="false">D1720*D1720</f>
        <v>0.140625</v>
      </c>
      <c r="O1720" s="0" t="n">
        <f aca="false">E1720*E1720</f>
        <v>0.765625</v>
      </c>
      <c r="P1720" s="0" t="n">
        <f aca="false">F1720*F1720</f>
        <v>0.765625</v>
      </c>
      <c r="Q1720" s="0" t="n">
        <f aca="false">SUMPRODUCT(G1720:P1720,_XtX!$B$71:$K$71)</f>
        <v>47.607109375</v>
      </c>
      <c r="R1720" s="0" t="n">
        <f aca="false">SUMPRODUCT(MMULT(G1720:P1720,_XtX!$B$58:$K$67),G1720:P1720)</f>
        <v>0.448480224609375</v>
      </c>
      <c r="S1720" s="0" t="n">
        <f aca="false">04_回帰ANOVA!$K$19*04_回帰ANOVA!$K$14*SQRT(1+R1720)</f>
        <v>1.11898153812985</v>
      </c>
      <c r="T1720" s="0" t="n">
        <f aca="false">Q1720-S1720</f>
        <v>46.4881278368702</v>
      </c>
      <c r="U1720" s="0" t="n">
        <f aca="false">Q1720+S1720</f>
        <v>48.7260909131299</v>
      </c>
      <c r="V1720" s="54" t="b">
        <f aca="false">AND(D1720&gt;=01_因子設定!$L$5-0.000000001,D1720&lt;=01_因子設定!$M$5+0.000000001,E1720&gt;=01_因子設定!$L$6-0.000000001,E1720&lt;=01_因子設定!$M$6+0.000000001,F1720&gt;=01_因子設定!$L$7-0.000000001,F1720&lt;=01_因子設定!$M$7+0.000000001,IF(01_因子設定!$B$20="Box-Behnken",D1720^2+E1720^2+F1720^2&lt;=2+0.000000001,TRUE()))</f>
        <v>1</v>
      </c>
      <c r="W1720" s="55" t="n">
        <f aca="false">IF(V1720,IF(01_因子設定!$B$13="最大化",T1720-01_因子設定!$B$14,IF(01_因子設定!$B$13="最小化",01_因子設定!$B$15-U1720,MIN(T1720-01_因子設定!$B$14,01_因子設定!$B$15-U1720))),-1E+030)</f>
        <v>-2.01187216312982</v>
      </c>
      <c r="X1720" s="55" t="n">
        <f aca="false">IF(V1720,IF(01_因子設定!$B$13="最大化",Q1720,IF(01_因子設定!$B$13="最小化",-Q1720,-ABS(Q1720-01_因子設定!$B$16))),-1E+030)</f>
        <v>47.607109375</v>
      </c>
      <c r="Y1720" s="55" t="n">
        <f aca="false">W1720+ROW()*0.000000001</f>
        <v>-2.01187044312982</v>
      </c>
      <c r="Z1720" s="55" t="n">
        <f aca="false">X1720+ROW()*0.000000001</f>
        <v>47.607111095</v>
      </c>
    </row>
    <row r="1721" customFormat="false" ht="15" hidden="false" customHeight="false" outlineLevel="0" collapsed="false">
      <c r="A1721" s="0" t="n">
        <v>5</v>
      </c>
      <c r="B1721" s="0" t="n">
        <v>15</v>
      </c>
      <c r="C1721" s="0" t="n">
        <v>16</v>
      </c>
      <c r="D1721" s="0" t="n">
        <f aca="false">-1+A1721*0.125</f>
        <v>-0.375</v>
      </c>
      <c r="E1721" s="0" t="n">
        <f aca="false">-1+B1721*0.125</f>
        <v>0.875</v>
      </c>
      <c r="F1721" s="0" t="n">
        <f aca="false">-1+C1721*0.125</f>
        <v>1</v>
      </c>
      <c r="G1721" s="0" t="n">
        <f aca="false">1</f>
        <v>1</v>
      </c>
      <c r="H1721" s="0" t="n">
        <f aca="false">D1721</f>
        <v>-0.375</v>
      </c>
      <c r="I1721" s="0" t="n">
        <f aca="false">E1721</f>
        <v>0.875</v>
      </c>
      <c r="J1721" s="0" t="n">
        <f aca="false">F1721</f>
        <v>1</v>
      </c>
      <c r="K1721" s="0" t="n">
        <f aca="false">D1721*E1721</f>
        <v>-0.328125</v>
      </c>
      <c r="L1721" s="0" t="n">
        <f aca="false">D1721*F1721</f>
        <v>-0.375</v>
      </c>
      <c r="M1721" s="0" t="n">
        <f aca="false">E1721*F1721</f>
        <v>0.875</v>
      </c>
      <c r="N1721" s="0" t="n">
        <f aca="false">D1721*D1721</f>
        <v>0.140625</v>
      </c>
      <c r="O1721" s="0" t="n">
        <f aca="false">E1721*E1721</f>
        <v>0.765625</v>
      </c>
      <c r="P1721" s="0" t="n">
        <f aca="false">F1721*F1721</f>
        <v>1</v>
      </c>
      <c r="Q1721" s="0" t="n">
        <f aca="false">SUMPRODUCT(G1721:P1721,_XtX!$B$71:$K$71)</f>
        <v>47.5599360795455</v>
      </c>
      <c r="R1721" s="0" t="n">
        <f aca="false">SUMPRODUCT(MMULT(G1721:P1721,_XtX!$B$58:$K$67),G1721:P1721)</f>
        <v>0.56971269087358</v>
      </c>
      <c r="S1721" s="0" t="n">
        <f aca="false">04_回帰ANOVA!$K$19*04_回帰ANOVA!$K$14*SQRT(1+R1721)</f>
        <v>1.16486801567081</v>
      </c>
      <c r="T1721" s="0" t="n">
        <f aca="false">Q1721-S1721</f>
        <v>46.3950680638747</v>
      </c>
      <c r="U1721" s="0" t="n">
        <f aca="false">Q1721+S1721</f>
        <v>48.7248040952163</v>
      </c>
      <c r="V1721" s="54" t="b">
        <f aca="false">AND(D1721&gt;=01_因子設定!$L$5-0.000000001,D1721&lt;=01_因子設定!$M$5+0.000000001,E1721&gt;=01_因子設定!$L$6-0.000000001,E1721&lt;=01_因子設定!$M$6+0.000000001,F1721&gt;=01_因子設定!$L$7-0.000000001,F1721&lt;=01_因子設定!$M$7+0.000000001,IF(01_因子設定!$B$20="Box-Behnken",D1721^2+E1721^2+F1721^2&lt;=2+0.000000001,TRUE()))</f>
        <v>1</v>
      </c>
      <c r="W1721" s="55" t="n">
        <f aca="false">IF(V1721,IF(01_因子設定!$B$13="最大化",T1721-01_因子設定!$B$14,IF(01_因子設定!$B$13="最小化",01_因子設定!$B$15-U1721,MIN(T1721-01_因子設定!$B$14,01_因子設定!$B$15-U1721))),-1E+030)</f>
        <v>-2.10493193612533</v>
      </c>
      <c r="X1721" s="55" t="n">
        <f aca="false">IF(V1721,IF(01_因子設定!$B$13="最大化",Q1721,IF(01_因子設定!$B$13="最小化",-Q1721,-ABS(Q1721-01_因子設定!$B$16))),-1E+030)</f>
        <v>47.5599360795455</v>
      </c>
      <c r="Y1721" s="55" t="n">
        <f aca="false">W1721+ROW()*0.000000001</f>
        <v>-2.10493021512533</v>
      </c>
      <c r="Z1721" s="55" t="n">
        <f aca="false">X1721+ROW()*0.000000001</f>
        <v>47.5599378005455</v>
      </c>
    </row>
    <row r="1722" customFormat="false" ht="15" hidden="false" customHeight="false" outlineLevel="0" collapsed="false">
      <c r="A1722" s="0" t="n">
        <v>5</v>
      </c>
      <c r="B1722" s="0" t="n">
        <v>16</v>
      </c>
      <c r="C1722" s="0" t="n">
        <v>0</v>
      </c>
      <c r="D1722" s="0" t="n">
        <f aca="false">-1+A1722*0.125</f>
        <v>-0.375</v>
      </c>
      <c r="E1722" s="0" t="n">
        <f aca="false">-1+B1722*0.125</f>
        <v>1</v>
      </c>
      <c r="F1722" s="0" t="n">
        <f aca="false">-1+C1722*0.125</f>
        <v>-1</v>
      </c>
      <c r="G1722" s="0" t="n">
        <f aca="false">1</f>
        <v>1</v>
      </c>
      <c r="H1722" s="0" t="n">
        <f aca="false">D1722</f>
        <v>-0.375</v>
      </c>
      <c r="I1722" s="0" t="n">
        <f aca="false">E1722</f>
        <v>1</v>
      </c>
      <c r="J1722" s="0" t="n">
        <f aca="false">F1722</f>
        <v>-1</v>
      </c>
      <c r="K1722" s="0" t="n">
        <f aca="false">D1722*E1722</f>
        <v>-0.375</v>
      </c>
      <c r="L1722" s="0" t="n">
        <f aca="false">D1722*F1722</f>
        <v>0.375</v>
      </c>
      <c r="M1722" s="0" t="n">
        <f aca="false">E1722*F1722</f>
        <v>-1</v>
      </c>
      <c r="N1722" s="0" t="n">
        <f aca="false">D1722*D1722</f>
        <v>0.140625</v>
      </c>
      <c r="O1722" s="0" t="n">
        <f aca="false">E1722*E1722</f>
        <v>1</v>
      </c>
      <c r="P1722" s="0" t="n">
        <f aca="false">F1722*F1722</f>
        <v>1</v>
      </c>
      <c r="Q1722" s="0" t="n">
        <f aca="false">SUMPRODUCT(G1722:P1722,_XtX!$B$71:$K$71)</f>
        <v>43.5698721590909</v>
      </c>
      <c r="R1722" s="0" t="n">
        <f aca="false">SUMPRODUCT(MMULT(G1722:P1722,_XtX!$B$58:$K$67),G1722:P1722)</f>
        <v>0.682830255681818</v>
      </c>
      <c r="S1722" s="0" t="n">
        <f aca="false">04_回帰ANOVA!$K$19*04_回帰ANOVA!$K$14*SQRT(1+R1722)</f>
        <v>1.20610964896955</v>
      </c>
      <c r="T1722" s="0" t="n">
        <f aca="false">Q1722-S1722</f>
        <v>42.3637625101214</v>
      </c>
      <c r="U1722" s="0" t="n">
        <f aca="false">Q1722+S1722</f>
        <v>44.7759818080605</v>
      </c>
      <c r="V1722" s="54" t="b">
        <f aca="false">AND(D1722&gt;=01_因子設定!$L$5-0.000000001,D1722&lt;=01_因子設定!$M$5+0.000000001,E1722&gt;=01_因子設定!$L$6-0.000000001,E1722&lt;=01_因子設定!$M$6+0.000000001,F1722&gt;=01_因子設定!$L$7-0.000000001,F1722&lt;=01_因子設定!$M$7+0.000000001,IF(01_因子設定!$B$20="Box-Behnken",D1722^2+E1722^2+F1722^2&lt;=2+0.000000001,TRUE()))</f>
        <v>1</v>
      </c>
      <c r="W1722" s="55" t="n">
        <f aca="false">IF(V1722,IF(01_因子設定!$B$13="最大化",T1722-01_因子設定!$B$14,IF(01_因子設定!$B$13="最小化",01_因子設定!$B$15-U1722,MIN(T1722-01_因子設定!$B$14,01_因子設定!$B$15-U1722))),-1E+030)</f>
        <v>-6.13623748987861</v>
      </c>
      <c r="X1722" s="55" t="n">
        <f aca="false">IF(V1722,IF(01_因子設定!$B$13="最大化",Q1722,IF(01_因子設定!$B$13="最小化",-Q1722,-ABS(Q1722-01_因子設定!$B$16))),-1E+030)</f>
        <v>43.5698721590909</v>
      </c>
      <c r="Y1722" s="55" t="n">
        <f aca="false">W1722+ROW()*0.000000001</f>
        <v>-6.13623576787861</v>
      </c>
      <c r="Z1722" s="55" t="n">
        <f aca="false">X1722+ROW()*0.000000001</f>
        <v>43.5698738810909</v>
      </c>
    </row>
    <row r="1723" customFormat="false" ht="15" hidden="false" customHeight="false" outlineLevel="0" collapsed="false">
      <c r="A1723" s="0" t="n">
        <v>5</v>
      </c>
      <c r="B1723" s="0" t="n">
        <v>16</v>
      </c>
      <c r="C1723" s="0" t="n">
        <v>1</v>
      </c>
      <c r="D1723" s="0" t="n">
        <f aca="false">-1+A1723*0.125</f>
        <v>-0.375</v>
      </c>
      <c r="E1723" s="0" t="n">
        <f aca="false">-1+B1723*0.125</f>
        <v>1</v>
      </c>
      <c r="F1723" s="0" t="n">
        <f aca="false">-1+C1723*0.125</f>
        <v>-0.875</v>
      </c>
      <c r="G1723" s="0" t="n">
        <f aca="false">1</f>
        <v>1</v>
      </c>
      <c r="H1723" s="0" t="n">
        <f aca="false">D1723</f>
        <v>-0.375</v>
      </c>
      <c r="I1723" s="0" t="n">
        <f aca="false">E1723</f>
        <v>1</v>
      </c>
      <c r="J1723" s="0" t="n">
        <f aca="false">F1723</f>
        <v>-0.875</v>
      </c>
      <c r="K1723" s="0" t="n">
        <f aca="false">D1723*E1723</f>
        <v>-0.375</v>
      </c>
      <c r="L1723" s="0" t="n">
        <f aca="false">D1723*F1723</f>
        <v>0.328125</v>
      </c>
      <c r="M1723" s="0" t="n">
        <f aca="false">E1723*F1723</f>
        <v>-0.875</v>
      </c>
      <c r="N1723" s="0" t="n">
        <f aca="false">D1723*D1723</f>
        <v>0.140625</v>
      </c>
      <c r="O1723" s="0" t="n">
        <f aca="false">E1723*E1723</f>
        <v>1</v>
      </c>
      <c r="P1723" s="0" t="n">
        <f aca="false">F1723*F1723</f>
        <v>0.765625</v>
      </c>
      <c r="Q1723" s="0" t="n">
        <f aca="false">SUMPRODUCT(G1723:P1723,_XtX!$B$71:$K$71)</f>
        <v>44.0815767045455</v>
      </c>
      <c r="R1723" s="0" t="n">
        <f aca="false">SUMPRODUCT(MMULT(G1723:P1723,_XtX!$B$58:$K$67),G1723:P1723)</f>
        <v>0.56971269087358</v>
      </c>
      <c r="S1723" s="0" t="n">
        <f aca="false">04_回帰ANOVA!$K$19*04_回帰ANOVA!$K$14*SQRT(1+R1723)</f>
        <v>1.16486801567081</v>
      </c>
      <c r="T1723" s="0" t="n">
        <f aca="false">Q1723-S1723</f>
        <v>42.9167086888747</v>
      </c>
      <c r="U1723" s="0" t="n">
        <f aca="false">Q1723+S1723</f>
        <v>45.2464447202163</v>
      </c>
      <c r="V1723" s="54" t="b">
        <f aca="false">AND(D1723&gt;=01_因子設定!$L$5-0.000000001,D1723&lt;=01_因子設定!$M$5+0.000000001,E1723&gt;=01_因子設定!$L$6-0.000000001,E1723&lt;=01_因子設定!$M$6+0.000000001,F1723&gt;=01_因子設定!$L$7-0.000000001,F1723&lt;=01_因子設定!$M$7+0.000000001,IF(01_因子設定!$B$20="Box-Behnken",D1723^2+E1723^2+F1723^2&lt;=2+0.000000001,TRUE()))</f>
        <v>1</v>
      </c>
      <c r="W1723" s="55" t="n">
        <f aca="false">IF(V1723,IF(01_因子設定!$B$13="最大化",T1723-01_因子設定!$B$14,IF(01_因子設定!$B$13="最小化",01_因子設定!$B$15-U1723,MIN(T1723-01_因子設定!$B$14,01_因子設定!$B$15-U1723))),-1E+030)</f>
        <v>-5.58329131112533</v>
      </c>
      <c r="X1723" s="55" t="n">
        <f aca="false">IF(V1723,IF(01_因子設定!$B$13="最大化",Q1723,IF(01_因子設定!$B$13="最小化",-Q1723,-ABS(Q1723-01_因子設定!$B$16))),-1E+030)</f>
        <v>44.0815767045455</v>
      </c>
      <c r="Y1723" s="55" t="n">
        <f aca="false">W1723+ROW()*0.000000001</f>
        <v>-5.58328958812533</v>
      </c>
      <c r="Z1723" s="55" t="n">
        <f aca="false">X1723+ROW()*0.000000001</f>
        <v>44.0815784275455</v>
      </c>
    </row>
    <row r="1724" customFormat="false" ht="15" hidden="false" customHeight="false" outlineLevel="0" collapsed="false">
      <c r="A1724" s="0" t="n">
        <v>5</v>
      </c>
      <c r="B1724" s="0" t="n">
        <v>16</v>
      </c>
      <c r="C1724" s="0" t="n">
        <v>2</v>
      </c>
      <c r="D1724" s="0" t="n">
        <f aca="false">-1+A1724*0.125</f>
        <v>-0.375</v>
      </c>
      <c r="E1724" s="0" t="n">
        <f aca="false">-1+B1724*0.125</f>
        <v>1</v>
      </c>
      <c r="F1724" s="0" t="n">
        <f aca="false">-1+C1724*0.125</f>
        <v>-0.75</v>
      </c>
      <c r="G1724" s="0" t="n">
        <f aca="false">1</f>
        <v>1</v>
      </c>
      <c r="H1724" s="0" t="n">
        <f aca="false">D1724</f>
        <v>-0.375</v>
      </c>
      <c r="I1724" s="0" t="n">
        <f aca="false">E1724</f>
        <v>1</v>
      </c>
      <c r="J1724" s="0" t="n">
        <f aca="false">F1724</f>
        <v>-0.75</v>
      </c>
      <c r="K1724" s="0" t="n">
        <f aca="false">D1724*E1724</f>
        <v>-0.375</v>
      </c>
      <c r="L1724" s="0" t="n">
        <f aca="false">D1724*F1724</f>
        <v>0.28125</v>
      </c>
      <c r="M1724" s="0" t="n">
        <f aca="false">E1724*F1724</f>
        <v>-0.75</v>
      </c>
      <c r="N1724" s="0" t="n">
        <f aca="false">D1724*D1724</f>
        <v>0.140625</v>
      </c>
      <c r="O1724" s="0" t="n">
        <f aca="false">E1724*E1724</f>
        <v>1</v>
      </c>
      <c r="P1724" s="0" t="n">
        <f aca="false">F1724*F1724</f>
        <v>0.5625</v>
      </c>
      <c r="Q1724" s="0" t="n">
        <f aca="false">SUMPRODUCT(G1724:P1724,_XtX!$B$71:$K$71)</f>
        <v>44.5564914772728</v>
      </c>
      <c r="R1724" s="0" t="n">
        <f aca="false">SUMPRODUCT(MMULT(G1724:P1724,_XtX!$B$58:$K$67),G1724:P1724)</f>
        <v>0.503992808948864</v>
      </c>
      <c r="S1724" s="0" t="n">
        <f aca="false">04_回帰ANOVA!$K$19*04_回帰ANOVA!$K$14*SQRT(1+R1724)</f>
        <v>1.14022226176226</v>
      </c>
      <c r="T1724" s="0" t="n">
        <f aca="false">Q1724-S1724</f>
        <v>43.4162692155105</v>
      </c>
      <c r="U1724" s="0" t="n">
        <f aca="false">Q1724+S1724</f>
        <v>45.696713739035</v>
      </c>
      <c r="V1724" s="54" t="b">
        <f aca="false">AND(D1724&gt;=01_因子設定!$L$5-0.000000001,D1724&lt;=01_因子設定!$M$5+0.000000001,E1724&gt;=01_因子設定!$L$6-0.000000001,E1724&lt;=01_因子設定!$M$6+0.000000001,F1724&gt;=01_因子設定!$L$7-0.000000001,F1724&lt;=01_因子設定!$M$7+0.000000001,IF(01_因子設定!$B$20="Box-Behnken",D1724^2+E1724^2+F1724^2&lt;=2+0.000000001,TRUE()))</f>
        <v>1</v>
      </c>
      <c r="W1724" s="55" t="n">
        <f aca="false">IF(V1724,IF(01_因子設定!$B$13="最大化",T1724-01_因子設定!$B$14,IF(01_因子設定!$B$13="最小化",01_因子設定!$B$15-U1724,MIN(T1724-01_因子設定!$B$14,01_因子設定!$B$15-U1724))),-1E+030)</f>
        <v>-5.08373078448951</v>
      </c>
      <c r="X1724" s="55" t="n">
        <f aca="false">IF(V1724,IF(01_因子設定!$B$13="最大化",Q1724,IF(01_因子設定!$B$13="最小化",-Q1724,-ABS(Q1724-01_因子設定!$B$16))),-1E+030)</f>
        <v>44.5564914772728</v>
      </c>
      <c r="Y1724" s="55" t="n">
        <f aca="false">W1724+ROW()*0.000000001</f>
        <v>-5.08372906048951</v>
      </c>
      <c r="Z1724" s="55" t="n">
        <f aca="false">X1724+ROW()*0.000000001</f>
        <v>44.5564932012728</v>
      </c>
    </row>
    <row r="1725" customFormat="false" ht="15" hidden="false" customHeight="false" outlineLevel="0" collapsed="false">
      <c r="A1725" s="0" t="n">
        <v>5</v>
      </c>
      <c r="B1725" s="0" t="n">
        <v>16</v>
      </c>
      <c r="C1725" s="0" t="n">
        <v>3</v>
      </c>
      <c r="D1725" s="0" t="n">
        <f aca="false">-1+A1725*0.125</f>
        <v>-0.375</v>
      </c>
      <c r="E1725" s="0" t="n">
        <f aca="false">-1+B1725*0.125</f>
        <v>1</v>
      </c>
      <c r="F1725" s="0" t="n">
        <f aca="false">-1+C1725*0.125</f>
        <v>-0.625</v>
      </c>
      <c r="G1725" s="0" t="n">
        <f aca="false">1</f>
        <v>1</v>
      </c>
      <c r="H1725" s="0" t="n">
        <f aca="false">D1725</f>
        <v>-0.375</v>
      </c>
      <c r="I1725" s="0" t="n">
        <f aca="false">E1725</f>
        <v>1</v>
      </c>
      <c r="J1725" s="0" t="n">
        <f aca="false">F1725</f>
        <v>-0.625</v>
      </c>
      <c r="K1725" s="0" t="n">
        <f aca="false">D1725*E1725</f>
        <v>-0.375</v>
      </c>
      <c r="L1725" s="0" t="n">
        <f aca="false">D1725*F1725</f>
        <v>0.234375</v>
      </c>
      <c r="M1725" s="0" t="n">
        <f aca="false">E1725*F1725</f>
        <v>-0.625</v>
      </c>
      <c r="N1725" s="0" t="n">
        <f aca="false">D1725*D1725</f>
        <v>0.140625</v>
      </c>
      <c r="O1725" s="0" t="n">
        <f aca="false">E1725*E1725</f>
        <v>1</v>
      </c>
      <c r="P1725" s="0" t="n">
        <f aca="false">F1725*F1725</f>
        <v>0.390625</v>
      </c>
      <c r="Q1725" s="0" t="n">
        <f aca="false">SUMPRODUCT(G1725:P1725,_XtX!$B$71:$K$71)</f>
        <v>44.9946164772727</v>
      </c>
      <c r="R1725" s="0" t="n">
        <f aca="false">SUMPRODUCT(MMULT(G1725:P1725,_XtX!$B$58:$K$67),G1725:P1725)</f>
        <v>0.471821178089489</v>
      </c>
      <c r="S1725" s="0" t="n">
        <f aca="false">04_回帰ANOVA!$K$19*04_回帰ANOVA!$K$14*SQRT(1+R1725)</f>
        <v>1.12796119746125</v>
      </c>
      <c r="T1725" s="0" t="n">
        <f aca="false">Q1725-S1725</f>
        <v>43.8666552798115</v>
      </c>
      <c r="U1725" s="0" t="n">
        <f aca="false">Q1725+S1725</f>
        <v>46.122577674734</v>
      </c>
      <c r="V1725" s="54" t="b">
        <f aca="false">AND(D1725&gt;=01_因子設定!$L$5-0.000000001,D1725&lt;=01_因子設定!$M$5+0.000000001,E1725&gt;=01_因子設定!$L$6-0.000000001,E1725&lt;=01_因子設定!$M$6+0.000000001,F1725&gt;=01_因子設定!$L$7-0.000000001,F1725&lt;=01_因子設定!$M$7+0.000000001,IF(01_因子設定!$B$20="Box-Behnken",D1725^2+E1725^2+F1725^2&lt;=2+0.000000001,TRUE()))</f>
        <v>1</v>
      </c>
      <c r="W1725" s="55" t="n">
        <f aca="false">IF(V1725,IF(01_因子設定!$B$13="最大化",T1725-01_因子設定!$B$14,IF(01_因子設定!$B$13="最小化",01_因子設定!$B$15-U1725,MIN(T1725-01_因子設定!$B$14,01_因子設定!$B$15-U1725))),-1E+030)</f>
        <v>-4.63334472018851</v>
      </c>
      <c r="X1725" s="55" t="n">
        <f aca="false">IF(V1725,IF(01_因子設定!$B$13="最大化",Q1725,IF(01_因子設定!$B$13="最小化",-Q1725,-ABS(Q1725-01_因子設定!$B$16))),-1E+030)</f>
        <v>44.9946164772727</v>
      </c>
      <c r="Y1725" s="55" t="n">
        <f aca="false">W1725+ROW()*0.000000001</f>
        <v>-4.63334299518851</v>
      </c>
      <c r="Z1725" s="55" t="n">
        <f aca="false">X1725+ROW()*0.000000001</f>
        <v>44.9946182022727</v>
      </c>
    </row>
    <row r="1726" customFormat="false" ht="15" hidden="false" customHeight="false" outlineLevel="0" collapsed="false">
      <c r="A1726" s="0" t="n">
        <v>5</v>
      </c>
      <c r="B1726" s="0" t="n">
        <v>16</v>
      </c>
      <c r="C1726" s="0" t="n">
        <v>4</v>
      </c>
      <c r="D1726" s="0" t="n">
        <f aca="false">-1+A1726*0.125</f>
        <v>-0.375</v>
      </c>
      <c r="E1726" s="0" t="n">
        <f aca="false">-1+B1726*0.125</f>
        <v>1</v>
      </c>
      <c r="F1726" s="0" t="n">
        <f aca="false">-1+C1726*0.125</f>
        <v>-0.5</v>
      </c>
      <c r="G1726" s="0" t="n">
        <f aca="false">1</f>
        <v>1</v>
      </c>
      <c r="H1726" s="0" t="n">
        <f aca="false">D1726</f>
        <v>-0.375</v>
      </c>
      <c r="I1726" s="0" t="n">
        <f aca="false">E1726</f>
        <v>1</v>
      </c>
      <c r="J1726" s="0" t="n">
        <f aca="false">F1726</f>
        <v>-0.5</v>
      </c>
      <c r="K1726" s="0" t="n">
        <f aca="false">D1726*E1726</f>
        <v>-0.375</v>
      </c>
      <c r="L1726" s="0" t="n">
        <f aca="false">D1726*F1726</f>
        <v>0.1875</v>
      </c>
      <c r="M1726" s="0" t="n">
        <f aca="false">E1726*F1726</f>
        <v>-0.5</v>
      </c>
      <c r="N1726" s="0" t="n">
        <f aca="false">D1726*D1726</f>
        <v>0.140625</v>
      </c>
      <c r="O1726" s="0" t="n">
        <f aca="false">E1726*E1726</f>
        <v>1</v>
      </c>
      <c r="P1726" s="0" t="n">
        <f aca="false">F1726*F1726</f>
        <v>0.25</v>
      </c>
      <c r="Q1726" s="0" t="n">
        <f aca="false">SUMPRODUCT(G1726:P1726,_XtX!$B$71:$K$71)</f>
        <v>45.3959517045455</v>
      </c>
      <c r="R1726" s="0" t="n">
        <f aca="false">SUMPRODUCT(MMULT(G1726:P1726,_XtX!$B$58:$K$67),G1726:P1726)</f>
        <v>0.461479048295455</v>
      </c>
      <c r="S1726" s="0" t="n">
        <f aca="false">04_回帰ANOVA!$K$19*04_回帰ANOVA!$K$14*SQRT(1+R1726)</f>
        <v>1.12399125658369</v>
      </c>
      <c r="T1726" s="0" t="n">
        <f aca="false">Q1726-S1726</f>
        <v>44.2719604479618</v>
      </c>
      <c r="U1726" s="0" t="n">
        <f aca="false">Q1726+S1726</f>
        <v>46.5199429611292</v>
      </c>
      <c r="V1726" s="54" t="b">
        <f aca="false">AND(D1726&gt;=01_因子設定!$L$5-0.000000001,D1726&lt;=01_因子設定!$M$5+0.000000001,E1726&gt;=01_因子設定!$L$6-0.000000001,E1726&lt;=01_因子設定!$M$6+0.000000001,F1726&gt;=01_因子設定!$L$7-0.000000001,F1726&lt;=01_因子設定!$M$7+0.000000001,IF(01_因子設定!$B$20="Box-Behnken",D1726^2+E1726^2+F1726^2&lt;=2+0.000000001,TRUE()))</f>
        <v>1</v>
      </c>
      <c r="W1726" s="55" t="n">
        <f aca="false">IF(V1726,IF(01_因子設定!$B$13="最大化",T1726-01_因子設定!$B$14,IF(01_因子設定!$B$13="最小化",01_因子設定!$B$15-U1726,MIN(T1726-01_因子設定!$B$14,01_因子設定!$B$15-U1726))),-1E+030)</f>
        <v>-4.22803955203822</v>
      </c>
      <c r="X1726" s="55" t="n">
        <f aca="false">IF(V1726,IF(01_因子設定!$B$13="最大化",Q1726,IF(01_因子設定!$B$13="最小化",-Q1726,-ABS(Q1726-01_因子設定!$B$16))),-1E+030)</f>
        <v>45.3959517045455</v>
      </c>
      <c r="Y1726" s="55" t="n">
        <f aca="false">W1726+ROW()*0.000000001</f>
        <v>-4.22803782603822</v>
      </c>
      <c r="Z1726" s="55" t="n">
        <f aca="false">X1726+ROW()*0.000000001</f>
        <v>45.3959534305455</v>
      </c>
    </row>
    <row r="1727" customFormat="false" ht="15" hidden="false" customHeight="false" outlineLevel="0" collapsed="false">
      <c r="A1727" s="0" t="n">
        <v>5</v>
      </c>
      <c r="B1727" s="0" t="n">
        <v>16</v>
      </c>
      <c r="C1727" s="0" t="n">
        <v>5</v>
      </c>
      <c r="D1727" s="0" t="n">
        <f aca="false">-1+A1727*0.125</f>
        <v>-0.375</v>
      </c>
      <c r="E1727" s="0" t="n">
        <f aca="false">-1+B1727*0.125</f>
        <v>1</v>
      </c>
      <c r="F1727" s="0" t="n">
        <f aca="false">-1+C1727*0.125</f>
        <v>-0.375</v>
      </c>
      <c r="G1727" s="0" t="n">
        <f aca="false">1</f>
        <v>1</v>
      </c>
      <c r="H1727" s="0" t="n">
        <f aca="false">D1727</f>
        <v>-0.375</v>
      </c>
      <c r="I1727" s="0" t="n">
        <f aca="false">E1727</f>
        <v>1</v>
      </c>
      <c r="J1727" s="0" t="n">
        <f aca="false">F1727</f>
        <v>-0.375</v>
      </c>
      <c r="K1727" s="0" t="n">
        <f aca="false">D1727*E1727</f>
        <v>-0.375</v>
      </c>
      <c r="L1727" s="0" t="n">
        <f aca="false">D1727*F1727</f>
        <v>0.140625</v>
      </c>
      <c r="M1727" s="0" t="n">
        <f aca="false">E1727*F1727</f>
        <v>-0.375</v>
      </c>
      <c r="N1727" s="0" t="n">
        <f aca="false">D1727*D1727</f>
        <v>0.140625</v>
      </c>
      <c r="O1727" s="0" t="n">
        <f aca="false">E1727*E1727</f>
        <v>1</v>
      </c>
      <c r="P1727" s="0" t="n">
        <f aca="false">F1727*F1727</f>
        <v>0.140625</v>
      </c>
      <c r="Q1727" s="0" t="n">
        <f aca="false">SUMPRODUCT(G1727:P1727,_XtX!$B$71:$K$71)</f>
        <v>45.7604971590909</v>
      </c>
      <c r="R1727" s="0" t="n">
        <f aca="false">SUMPRODUCT(MMULT(G1727:P1727,_XtX!$B$58:$K$67),G1727:P1727)</f>
        <v>0.463378351384943</v>
      </c>
      <c r="S1727" s="0" t="n">
        <f aca="false">04_回帰ANOVA!$K$19*04_回帰ANOVA!$K$14*SQRT(1+R1727)</f>
        <v>1.12472137547772</v>
      </c>
      <c r="T1727" s="0" t="n">
        <f aca="false">Q1727-S1727</f>
        <v>44.6357757836132</v>
      </c>
      <c r="U1727" s="0" t="n">
        <f aca="false">Q1727+S1727</f>
        <v>46.8852185345686</v>
      </c>
      <c r="V1727" s="54" t="b">
        <f aca="false">AND(D1727&gt;=01_因子設定!$L$5-0.000000001,D1727&lt;=01_因子設定!$M$5+0.000000001,E1727&gt;=01_因子設定!$L$6-0.000000001,E1727&lt;=01_因子設定!$M$6+0.000000001,F1727&gt;=01_因子設定!$L$7-0.000000001,F1727&lt;=01_因子設定!$M$7+0.000000001,IF(01_因子設定!$B$20="Box-Behnken",D1727^2+E1727^2+F1727^2&lt;=2+0.000000001,TRUE()))</f>
        <v>1</v>
      </c>
      <c r="W1727" s="55" t="n">
        <f aca="false">IF(V1727,IF(01_因子設定!$B$13="最大化",T1727-01_因子設定!$B$14,IF(01_因子設定!$B$13="最小化",01_因子設定!$B$15-U1727,MIN(T1727-01_因子設定!$B$14,01_因子設定!$B$15-U1727))),-1E+030)</f>
        <v>-3.8642242163868</v>
      </c>
      <c r="X1727" s="55" t="n">
        <f aca="false">IF(V1727,IF(01_因子設定!$B$13="最大化",Q1727,IF(01_因子設定!$B$13="最小化",-Q1727,-ABS(Q1727-01_因子設定!$B$16))),-1E+030)</f>
        <v>45.7604971590909</v>
      </c>
      <c r="Y1727" s="55" t="n">
        <f aca="false">W1727+ROW()*0.000000001</f>
        <v>-3.8642224893868</v>
      </c>
      <c r="Z1727" s="55" t="n">
        <f aca="false">X1727+ROW()*0.000000001</f>
        <v>45.7604988860909</v>
      </c>
    </row>
    <row r="1728" customFormat="false" ht="15" hidden="false" customHeight="false" outlineLevel="0" collapsed="false">
      <c r="A1728" s="0" t="n">
        <v>5</v>
      </c>
      <c r="B1728" s="0" t="n">
        <v>16</v>
      </c>
      <c r="C1728" s="0" t="n">
        <v>6</v>
      </c>
      <c r="D1728" s="0" t="n">
        <f aca="false">-1+A1728*0.125</f>
        <v>-0.375</v>
      </c>
      <c r="E1728" s="0" t="n">
        <f aca="false">-1+B1728*0.125</f>
        <v>1</v>
      </c>
      <c r="F1728" s="0" t="n">
        <f aca="false">-1+C1728*0.125</f>
        <v>-0.25</v>
      </c>
      <c r="G1728" s="0" t="n">
        <f aca="false">1</f>
        <v>1</v>
      </c>
      <c r="H1728" s="0" t="n">
        <f aca="false">D1728</f>
        <v>-0.375</v>
      </c>
      <c r="I1728" s="0" t="n">
        <f aca="false">E1728</f>
        <v>1</v>
      </c>
      <c r="J1728" s="0" t="n">
        <f aca="false">F1728</f>
        <v>-0.25</v>
      </c>
      <c r="K1728" s="0" t="n">
        <f aca="false">D1728*E1728</f>
        <v>-0.375</v>
      </c>
      <c r="L1728" s="0" t="n">
        <f aca="false">D1728*F1728</f>
        <v>0.09375</v>
      </c>
      <c r="M1728" s="0" t="n">
        <f aca="false">E1728*F1728</f>
        <v>-0.25</v>
      </c>
      <c r="N1728" s="0" t="n">
        <f aca="false">D1728*D1728</f>
        <v>0.140625</v>
      </c>
      <c r="O1728" s="0" t="n">
        <f aca="false">E1728*E1728</f>
        <v>1</v>
      </c>
      <c r="P1728" s="0" t="n">
        <f aca="false">F1728*F1728</f>
        <v>0.0625</v>
      </c>
      <c r="Q1728" s="0" t="n">
        <f aca="false">SUMPRODUCT(G1728:P1728,_XtX!$B$71:$K$71)</f>
        <v>46.0882528409091</v>
      </c>
      <c r="R1728" s="0" t="n">
        <f aca="false">SUMPRODUCT(MMULT(G1728:P1728,_XtX!$B$58:$K$67),G1728:P1728)</f>
        <v>0.470061700994318</v>
      </c>
      <c r="S1728" s="0" t="n">
        <f aca="false">04_回帰ANOVA!$K$19*04_回帰ANOVA!$K$14*SQRT(1+R1728)</f>
        <v>1.12728678965931</v>
      </c>
      <c r="T1728" s="0" t="n">
        <f aca="false">Q1728-S1728</f>
        <v>44.9609660512498</v>
      </c>
      <c r="U1728" s="0" t="n">
        <f aca="false">Q1728+S1728</f>
        <v>47.2155396305684</v>
      </c>
      <c r="V1728" s="54" t="b">
        <f aca="false">AND(D1728&gt;=01_因子設定!$L$5-0.000000001,D1728&lt;=01_因子設定!$M$5+0.000000001,E1728&gt;=01_因子設定!$L$6-0.000000001,E1728&lt;=01_因子設定!$M$6+0.000000001,F1728&gt;=01_因子設定!$L$7-0.000000001,F1728&lt;=01_因子設定!$M$7+0.000000001,IF(01_因子設定!$B$20="Box-Behnken",D1728^2+E1728^2+F1728^2&lt;=2+0.000000001,TRUE()))</f>
        <v>1</v>
      </c>
      <c r="W1728" s="55" t="n">
        <f aca="false">IF(V1728,IF(01_因子設定!$B$13="最大化",T1728-01_因子設定!$B$14,IF(01_因子設定!$B$13="最小化",01_因子設定!$B$15-U1728,MIN(T1728-01_因子設定!$B$14,01_因子設定!$B$15-U1728))),-1E+030)</f>
        <v>-3.53903394875021</v>
      </c>
      <c r="X1728" s="55" t="n">
        <f aca="false">IF(V1728,IF(01_因子設定!$B$13="最大化",Q1728,IF(01_因子設定!$B$13="最小化",-Q1728,-ABS(Q1728-01_因子設定!$B$16))),-1E+030)</f>
        <v>46.0882528409091</v>
      </c>
      <c r="Y1728" s="55" t="n">
        <f aca="false">W1728+ROW()*0.000000001</f>
        <v>-3.53903222075021</v>
      </c>
      <c r="Z1728" s="55" t="n">
        <f aca="false">X1728+ROW()*0.000000001</f>
        <v>46.0882545689091</v>
      </c>
    </row>
    <row r="1729" customFormat="false" ht="15" hidden="false" customHeight="false" outlineLevel="0" collapsed="false">
      <c r="A1729" s="0" t="n">
        <v>5</v>
      </c>
      <c r="B1729" s="0" t="n">
        <v>16</v>
      </c>
      <c r="C1729" s="0" t="n">
        <v>7</v>
      </c>
      <c r="D1729" s="0" t="n">
        <f aca="false">-1+A1729*0.125</f>
        <v>-0.375</v>
      </c>
      <c r="E1729" s="0" t="n">
        <f aca="false">-1+B1729*0.125</f>
        <v>1</v>
      </c>
      <c r="F1729" s="0" t="n">
        <f aca="false">-1+C1729*0.125</f>
        <v>-0.125</v>
      </c>
      <c r="G1729" s="0" t="n">
        <f aca="false">1</f>
        <v>1</v>
      </c>
      <c r="H1729" s="0" t="n">
        <f aca="false">D1729</f>
        <v>-0.375</v>
      </c>
      <c r="I1729" s="0" t="n">
        <f aca="false">E1729</f>
        <v>1</v>
      </c>
      <c r="J1729" s="0" t="n">
        <f aca="false">F1729</f>
        <v>-0.125</v>
      </c>
      <c r="K1729" s="0" t="n">
        <f aca="false">D1729*E1729</f>
        <v>-0.375</v>
      </c>
      <c r="L1729" s="0" t="n">
        <f aca="false">D1729*F1729</f>
        <v>0.046875</v>
      </c>
      <c r="M1729" s="0" t="n">
        <f aca="false">E1729*F1729</f>
        <v>-0.125</v>
      </c>
      <c r="N1729" s="0" t="n">
        <f aca="false">D1729*D1729</f>
        <v>0.140625</v>
      </c>
      <c r="O1729" s="0" t="n">
        <f aca="false">E1729*E1729</f>
        <v>1</v>
      </c>
      <c r="P1729" s="0" t="n">
        <f aca="false">F1729*F1729</f>
        <v>0.015625</v>
      </c>
      <c r="Q1729" s="0" t="n">
        <f aca="false">SUMPRODUCT(G1729:P1729,_XtX!$B$71:$K$71)</f>
        <v>46.37921875</v>
      </c>
      <c r="R1729" s="0" t="n">
        <f aca="false">SUMPRODUCT(MMULT(G1729:P1729,_XtX!$B$58:$K$67),G1729:P1729)</f>
        <v>0.476202392578125</v>
      </c>
      <c r="S1729" s="0" t="n">
        <f aca="false">04_回帰ANOVA!$K$19*04_回帰ANOVA!$K$14*SQRT(1+R1729)</f>
        <v>1.12963876802721</v>
      </c>
      <c r="T1729" s="0" t="n">
        <f aca="false">Q1729-S1729</f>
        <v>45.2495799819728</v>
      </c>
      <c r="U1729" s="0" t="n">
        <f aca="false">Q1729+S1729</f>
        <v>47.5088575180272</v>
      </c>
      <c r="V1729" s="54" t="b">
        <f aca="false">AND(D1729&gt;=01_因子設定!$L$5-0.000000001,D1729&lt;=01_因子設定!$M$5+0.000000001,E1729&gt;=01_因子設定!$L$6-0.000000001,E1729&lt;=01_因子設定!$M$6+0.000000001,F1729&gt;=01_因子設定!$L$7-0.000000001,F1729&lt;=01_因子設定!$M$7+0.000000001,IF(01_因子設定!$B$20="Box-Behnken",D1729^2+E1729^2+F1729^2&lt;=2+0.000000001,TRUE()))</f>
        <v>1</v>
      </c>
      <c r="W1729" s="55" t="n">
        <f aca="false">IF(V1729,IF(01_因子設定!$B$13="最大化",T1729-01_因子設定!$B$14,IF(01_因子設定!$B$13="最小化",01_因子設定!$B$15-U1729,MIN(T1729-01_因子設定!$B$14,01_因子設定!$B$15-U1729))),-1E+030)</f>
        <v>-3.2504200180272</v>
      </c>
      <c r="X1729" s="55" t="n">
        <f aca="false">IF(V1729,IF(01_因子設定!$B$13="最大化",Q1729,IF(01_因子設定!$B$13="最小化",-Q1729,-ABS(Q1729-01_因子設定!$B$16))),-1E+030)</f>
        <v>46.37921875</v>
      </c>
      <c r="Y1729" s="55" t="n">
        <f aca="false">W1729+ROW()*0.000000001</f>
        <v>-3.2504182890272</v>
      </c>
      <c r="Z1729" s="55" t="n">
        <f aca="false">X1729+ROW()*0.000000001</f>
        <v>46.379220479</v>
      </c>
    </row>
    <row r="1730" customFormat="false" ht="15" hidden="false" customHeight="false" outlineLevel="0" collapsed="false">
      <c r="A1730" s="0" t="n">
        <v>5</v>
      </c>
      <c r="B1730" s="0" t="n">
        <v>16</v>
      </c>
      <c r="C1730" s="0" t="n">
        <v>8</v>
      </c>
      <c r="D1730" s="0" t="n">
        <f aca="false">-1+A1730*0.125</f>
        <v>-0.375</v>
      </c>
      <c r="E1730" s="0" t="n">
        <f aca="false">-1+B1730*0.125</f>
        <v>1</v>
      </c>
      <c r="F1730" s="0" t="n">
        <f aca="false">-1+C1730*0.125</f>
        <v>0</v>
      </c>
      <c r="G1730" s="0" t="n">
        <f aca="false">1</f>
        <v>1</v>
      </c>
      <c r="H1730" s="0" t="n">
        <f aca="false">D1730</f>
        <v>-0.375</v>
      </c>
      <c r="I1730" s="0" t="n">
        <f aca="false">E1730</f>
        <v>1</v>
      </c>
      <c r="J1730" s="0" t="n">
        <f aca="false">F1730</f>
        <v>0</v>
      </c>
      <c r="K1730" s="0" t="n">
        <f aca="false">D1730*E1730</f>
        <v>-0.375</v>
      </c>
      <c r="L1730" s="0" t="n">
        <f aca="false">D1730*F1730</f>
        <v>-0</v>
      </c>
      <c r="M1730" s="0" t="n">
        <f aca="false">E1730*F1730</f>
        <v>0</v>
      </c>
      <c r="N1730" s="0" t="n">
        <f aca="false">D1730*D1730</f>
        <v>0.140625</v>
      </c>
      <c r="O1730" s="0" t="n">
        <f aca="false">E1730*E1730</f>
        <v>1</v>
      </c>
      <c r="P1730" s="0" t="n">
        <f aca="false">F1730*F1730</f>
        <v>0</v>
      </c>
      <c r="Q1730" s="0" t="n">
        <f aca="false">SUMPRODUCT(G1730:P1730,_XtX!$B$71:$K$71)</f>
        <v>46.6333948863637</v>
      </c>
      <c r="R1730" s="0" t="n">
        <f aca="false">SUMPRODUCT(MMULT(G1730:P1730,_XtX!$B$58:$K$67),G1730:P1730)</f>
        <v>0.478604403409091</v>
      </c>
      <c r="S1730" s="0" t="n">
        <f aca="false">04_回帰ANOVA!$K$19*04_回帰ANOVA!$K$14*SQRT(1+R1730)</f>
        <v>1.13055744343508</v>
      </c>
      <c r="T1730" s="0" t="n">
        <f aca="false">Q1730-S1730</f>
        <v>45.5028374429286</v>
      </c>
      <c r="U1730" s="0" t="n">
        <f aca="false">Q1730+S1730</f>
        <v>47.7639523297987</v>
      </c>
      <c r="V1730" s="54" t="b">
        <f aca="false">AND(D1730&gt;=01_因子設定!$L$5-0.000000001,D1730&lt;=01_因子設定!$M$5+0.000000001,E1730&gt;=01_因子設定!$L$6-0.000000001,E1730&lt;=01_因子設定!$M$6+0.000000001,F1730&gt;=01_因子設定!$L$7-0.000000001,F1730&lt;=01_因子設定!$M$7+0.000000001,IF(01_因子設定!$B$20="Box-Behnken",D1730^2+E1730^2+F1730^2&lt;=2+0.000000001,TRUE()))</f>
        <v>1</v>
      </c>
      <c r="W1730" s="55" t="n">
        <f aca="false">IF(V1730,IF(01_因子設定!$B$13="最大化",T1730-01_因子設定!$B$14,IF(01_因子設定!$B$13="最小化",01_因子設定!$B$15-U1730,MIN(T1730-01_因子設定!$B$14,01_因子設定!$B$15-U1730))),-1E+030)</f>
        <v>-2.99716255707143</v>
      </c>
      <c r="X1730" s="55" t="n">
        <f aca="false">IF(V1730,IF(01_因子設定!$B$13="最大化",Q1730,IF(01_因子設定!$B$13="最小化",-Q1730,-ABS(Q1730-01_因子設定!$B$16))),-1E+030)</f>
        <v>46.6333948863637</v>
      </c>
      <c r="Y1730" s="55" t="n">
        <f aca="false">W1730+ROW()*0.000000001</f>
        <v>-2.99716082707143</v>
      </c>
      <c r="Z1730" s="55" t="n">
        <f aca="false">X1730+ROW()*0.000000001</f>
        <v>46.6333966163637</v>
      </c>
    </row>
    <row r="1731" customFormat="false" ht="15" hidden="false" customHeight="false" outlineLevel="0" collapsed="false">
      <c r="A1731" s="0" t="n">
        <v>5</v>
      </c>
      <c r="B1731" s="0" t="n">
        <v>16</v>
      </c>
      <c r="C1731" s="0" t="n">
        <v>9</v>
      </c>
      <c r="D1731" s="0" t="n">
        <f aca="false">-1+A1731*0.125</f>
        <v>-0.375</v>
      </c>
      <c r="E1731" s="0" t="n">
        <f aca="false">-1+B1731*0.125</f>
        <v>1</v>
      </c>
      <c r="F1731" s="0" t="n">
        <f aca="false">-1+C1731*0.125</f>
        <v>0.125</v>
      </c>
      <c r="G1731" s="0" t="n">
        <f aca="false">1</f>
        <v>1</v>
      </c>
      <c r="H1731" s="0" t="n">
        <f aca="false">D1731</f>
        <v>-0.375</v>
      </c>
      <c r="I1731" s="0" t="n">
        <f aca="false">E1731</f>
        <v>1</v>
      </c>
      <c r="J1731" s="0" t="n">
        <f aca="false">F1731</f>
        <v>0.125</v>
      </c>
      <c r="K1731" s="0" t="n">
        <f aca="false">D1731*E1731</f>
        <v>-0.375</v>
      </c>
      <c r="L1731" s="0" t="n">
        <f aca="false">D1731*F1731</f>
        <v>-0.046875</v>
      </c>
      <c r="M1731" s="0" t="n">
        <f aca="false">E1731*F1731</f>
        <v>0.125</v>
      </c>
      <c r="N1731" s="0" t="n">
        <f aca="false">D1731*D1731</f>
        <v>0.140625</v>
      </c>
      <c r="O1731" s="0" t="n">
        <f aca="false">E1731*E1731</f>
        <v>1</v>
      </c>
      <c r="P1731" s="0" t="n">
        <f aca="false">F1731*F1731</f>
        <v>0.015625</v>
      </c>
      <c r="Q1731" s="0" t="n">
        <f aca="false">SUMPRODUCT(G1731:P1731,_XtX!$B$71:$K$71)</f>
        <v>46.85078125</v>
      </c>
      <c r="R1731" s="0" t="n">
        <f aca="false">SUMPRODUCT(MMULT(G1731:P1731,_XtX!$B$58:$K$67),G1731:P1731)</f>
        <v>0.476202392578125</v>
      </c>
      <c r="S1731" s="0" t="n">
        <f aca="false">04_回帰ANOVA!$K$19*04_回帰ANOVA!$K$14*SQRT(1+R1731)</f>
        <v>1.12963876802721</v>
      </c>
      <c r="T1731" s="0" t="n">
        <f aca="false">Q1731-S1731</f>
        <v>45.7211424819728</v>
      </c>
      <c r="U1731" s="0" t="n">
        <f aca="false">Q1731+S1731</f>
        <v>47.9804200180272</v>
      </c>
      <c r="V1731" s="54" t="b">
        <f aca="false">AND(D1731&gt;=01_因子設定!$L$5-0.000000001,D1731&lt;=01_因子設定!$M$5+0.000000001,E1731&gt;=01_因子設定!$L$6-0.000000001,E1731&lt;=01_因子設定!$M$6+0.000000001,F1731&gt;=01_因子設定!$L$7-0.000000001,F1731&lt;=01_因子設定!$M$7+0.000000001,IF(01_因子設定!$B$20="Box-Behnken",D1731^2+E1731^2+F1731^2&lt;=2+0.000000001,TRUE()))</f>
        <v>1</v>
      </c>
      <c r="W1731" s="55" t="n">
        <f aca="false">IF(V1731,IF(01_因子設定!$B$13="最大化",T1731-01_因子設定!$B$14,IF(01_因子設定!$B$13="最小化",01_因子設定!$B$15-U1731,MIN(T1731-01_因子設定!$B$14,01_因子設定!$B$15-U1731))),-1E+030)</f>
        <v>-2.7788575180272</v>
      </c>
      <c r="X1731" s="55" t="n">
        <f aca="false">IF(V1731,IF(01_因子設定!$B$13="最大化",Q1731,IF(01_因子設定!$B$13="最小化",-Q1731,-ABS(Q1731-01_因子設定!$B$16))),-1E+030)</f>
        <v>46.85078125</v>
      </c>
      <c r="Y1731" s="55" t="n">
        <f aca="false">W1731+ROW()*0.000000001</f>
        <v>-2.7788557870272</v>
      </c>
      <c r="Z1731" s="55" t="n">
        <f aca="false">X1731+ROW()*0.000000001</f>
        <v>46.850782981</v>
      </c>
    </row>
    <row r="1732" customFormat="false" ht="15" hidden="false" customHeight="false" outlineLevel="0" collapsed="false">
      <c r="A1732" s="0" t="n">
        <v>5</v>
      </c>
      <c r="B1732" s="0" t="n">
        <v>16</v>
      </c>
      <c r="C1732" s="0" t="n">
        <v>10</v>
      </c>
      <c r="D1732" s="0" t="n">
        <f aca="false">-1+A1732*0.125</f>
        <v>-0.375</v>
      </c>
      <c r="E1732" s="0" t="n">
        <f aca="false">-1+B1732*0.125</f>
        <v>1</v>
      </c>
      <c r="F1732" s="0" t="n">
        <f aca="false">-1+C1732*0.125</f>
        <v>0.25</v>
      </c>
      <c r="G1732" s="0" t="n">
        <f aca="false">1</f>
        <v>1</v>
      </c>
      <c r="H1732" s="0" t="n">
        <f aca="false">D1732</f>
        <v>-0.375</v>
      </c>
      <c r="I1732" s="0" t="n">
        <f aca="false">E1732</f>
        <v>1</v>
      </c>
      <c r="J1732" s="0" t="n">
        <f aca="false">F1732</f>
        <v>0.25</v>
      </c>
      <c r="K1732" s="0" t="n">
        <f aca="false">D1732*E1732</f>
        <v>-0.375</v>
      </c>
      <c r="L1732" s="0" t="n">
        <f aca="false">D1732*F1732</f>
        <v>-0.09375</v>
      </c>
      <c r="M1732" s="0" t="n">
        <f aca="false">E1732*F1732</f>
        <v>0.25</v>
      </c>
      <c r="N1732" s="0" t="n">
        <f aca="false">D1732*D1732</f>
        <v>0.140625</v>
      </c>
      <c r="O1732" s="0" t="n">
        <f aca="false">E1732*E1732</f>
        <v>1</v>
      </c>
      <c r="P1732" s="0" t="n">
        <f aca="false">F1732*F1732</f>
        <v>0.0625</v>
      </c>
      <c r="Q1732" s="0" t="n">
        <f aca="false">SUMPRODUCT(G1732:P1732,_XtX!$B$71:$K$71)</f>
        <v>47.0313778409091</v>
      </c>
      <c r="R1732" s="0" t="n">
        <f aca="false">SUMPRODUCT(MMULT(G1732:P1732,_XtX!$B$58:$K$67),G1732:P1732)</f>
        <v>0.470061700994318</v>
      </c>
      <c r="S1732" s="0" t="n">
        <f aca="false">04_回帰ANOVA!$K$19*04_回帰ANOVA!$K$14*SQRT(1+R1732)</f>
        <v>1.12728678965931</v>
      </c>
      <c r="T1732" s="0" t="n">
        <f aca="false">Q1732-S1732</f>
        <v>45.9040910512498</v>
      </c>
      <c r="U1732" s="0" t="n">
        <f aca="false">Q1732+S1732</f>
        <v>48.1586646305684</v>
      </c>
      <c r="V1732" s="54" t="b">
        <f aca="false">AND(D1732&gt;=01_因子設定!$L$5-0.000000001,D1732&lt;=01_因子設定!$M$5+0.000000001,E1732&gt;=01_因子設定!$L$6-0.000000001,E1732&lt;=01_因子設定!$M$6+0.000000001,F1732&gt;=01_因子設定!$L$7-0.000000001,F1732&lt;=01_因子設定!$M$7+0.000000001,IF(01_因子設定!$B$20="Box-Behnken",D1732^2+E1732^2+F1732^2&lt;=2+0.000000001,TRUE()))</f>
        <v>1</v>
      </c>
      <c r="W1732" s="55" t="n">
        <f aca="false">IF(V1732,IF(01_因子設定!$B$13="最大化",T1732-01_因子設定!$B$14,IF(01_因子設定!$B$13="最小化",01_因子設定!$B$15-U1732,MIN(T1732-01_因子設定!$B$14,01_因子設定!$B$15-U1732))),-1E+030)</f>
        <v>-2.59590894875021</v>
      </c>
      <c r="X1732" s="55" t="n">
        <f aca="false">IF(V1732,IF(01_因子設定!$B$13="最大化",Q1732,IF(01_因子設定!$B$13="最小化",-Q1732,-ABS(Q1732-01_因子設定!$B$16))),-1E+030)</f>
        <v>47.0313778409091</v>
      </c>
      <c r="Y1732" s="55" t="n">
        <f aca="false">W1732+ROW()*0.000000001</f>
        <v>-2.59590721675021</v>
      </c>
      <c r="Z1732" s="55" t="n">
        <f aca="false">X1732+ROW()*0.000000001</f>
        <v>47.0313795729091</v>
      </c>
    </row>
    <row r="1733" customFormat="false" ht="15" hidden="false" customHeight="false" outlineLevel="0" collapsed="false">
      <c r="A1733" s="0" t="n">
        <v>5</v>
      </c>
      <c r="B1733" s="0" t="n">
        <v>16</v>
      </c>
      <c r="C1733" s="0" t="n">
        <v>11</v>
      </c>
      <c r="D1733" s="0" t="n">
        <f aca="false">-1+A1733*0.125</f>
        <v>-0.375</v>
      </c>
      <c r="E1733" s="0" t="n">
        <f aca="false">-1+B1733*0.125</f>
        <v>1</v>
      </c>
      <c r="F1733" s="0" t="n">
        <f aca="false">-1+C1733*0.125</f>
        <v>0.375</v>
      </c>
      <c r="G1733" s="0" t="n">
        <f aca="false">1</f>
        <v>1</v>
      </c>
      <c r="H1733" s="0" t="n">
        <f aca="false">D1733</f>
        <v>-0.375</v>
      </c>
      <c r="I1733" s="0" t="n">
        <f aca="false">E1733</f>
        <v>1</v>
      </c>
      <c r="J1733" s="0" t="n">
        <f aca="false">F1733</f>
        <v>0.375</v>
      </c>
      <c r="K1733" s="0" t="n">
        <f aca="false">D1733*E1733</f>
        <v>-0.375</v>
      </c>
      <c r="L1733" s="0" t="n">
        <f aca="false">D1733*F1733</f>
        <v>-0.140625</v>
      </c>
      <c r="M1733" s="0" t="n">
        <f aca="false">E1733*F1733</f>
        <v>0.375</v>
      </c>
      <c r="N1733" s="0" t="n">
        <f aca="false">D1733*D1733</f>
        <v>0.140625</v>
      </c>
      <c r="O1733" s="0" t="n">
        <f aca="false">E1733*E1733</f>
        <v>1</v>
      </c>
      <c r="P1733" s="0" t="n">
        <f aca="false">F1733*F1733</f>
        <v>0.140625</v>
      </c>
      <c r="Q1733" s="0" t="n">
        <f aca="false">SUMPRODUCT(G1733:P1733,_XtX!$B$71:$K$71)</f>
        <v>47.1751846590909</v>
      </c>
      <c r="R1733" s="0" t="n">
        <f aca="false">SUMPRODUCT(MMULT(G1733:P1733,_XtX!$B$58:$K$67),G1733:P1733)</f>
        <v>0.463378351384943</v>
      </c>
      <c r="S1733" s="0" t="n">
        <f aca="false">04_回帰ANOVA!$K$19*04_回帰ANOVA!$K$14*SQRT(1+R1733)</f>
        <v>1.12472137547772</v>
      </c>
      <c r="T1733" s="0" t="n">
        <f aca="false">Q1733-S1733</f>
        <v>46.0504632836132</v>
      </c>
      <c r="U1733" s="0" t="n">
        <f aca="false">Q1733+S1733</f>
        <v>48.2999060345686</v>
      </c>
      <c r="V1733" s="54" t="b">
        <f aca="false">AND(D1733&gt;=01_因子設定!$L$5-0.000000001,D1733&lt;=01_因子設定!$M$5+0.000000001,E1733&gt;=01_因子設定!$L$6-0.000000001,E1733&lt;=01_因子設定!$M$6+0.000000001,F1733&gt;=01_因子設定!$L$7-0.000000001,F1733&lt;=01_因子設定!$M$7+0.000000001,IF(01_因子設定!$B$20="Box-Behnken",D1733^2+E1733^2+F1733^2&lt;=2+0.000000001,TRUE()))</f>
        <v>1</v>
      </c>
      <c r="W1733" s="55" t="n">
        <f aca="false">IF(V1733,IF(01_因子設定!$B$13="最大化",T1733-01_因子設定!$B$14,IF(01_因子設定!$B$13="最小化",01_因子設定!$B$15-U1733,MIN(T1733-01_因子設定!$B$14,01_因子設定!$B$15-U1733))),-1E+030)</f>
        <v>-2.4495367163868</v>
      </c>
      <c r="X1733" s="55" t="n">
        <f aca="false">IF(V1733,IF(01_因子設定!$B$13="最大化",Q1733,IF(01_因子設定!$B$13="最小化",-Q1733,-ABS(Q1733-01_因子設定!$B$16))),-1E+030)</f>
        <v>47.1751846590909</v>
      </c>
      <c r="Y1733" s="55" t="n">
        <f aca="false">W1733+ROW()*0.000000001</f>
        <v>-2.4495349833868</v>
      </c>
      <c r="Z1733" s="55" t="n">
        <f aca="false">X1733+ROW()*0.000000001</f>
        <v>47.1751863920909</v>
      </c>
    </row>
    <row r="1734" customFormat="false" ht="15" hidden="false" customHeight="false" outlineLevel="0" collapsed="false">
      <c r="A1734" s="0" t="n">
        <v>5</v>
      </c>
      <c r="B1734" s="0" t="n">
        <v>16</v>
      </c>
      <c r="C1734" s="0" t="n">
        <v>12</v>
      </c>
      <c r="D1734" s="0" t="n">
        <f aca="false">-1+A1734*0.125</f>
        <v>-0.375</v>
      </c>
      <c r="E1734" s="0" t="n">
        <f aca="false">-1+B1734*0.125</f>
        <v>1</v>
      </c>
      <c r="F1734" s="0" t="n">
        <f aca="false">-1+C1734*0.125</f>
        <v>0.5</v>
      </c>
      <c r="G1734" s="0" t="n">
        <f aca="false">1</f>
        <v>1</v>
      </c>
      <c r="H1734" s="0" t="n">
        <f aca="false">D1734</f>
        <v>-0.375</v>
      </c>
      <c r="I1734" s="0" t="n">
        <f aca="false">E1734</f>
        <v>1</v>
      </c>
      <c r="J1734" s="0" t="n">
        <f aca="false">F1734</f>
        <v>0.5</v>
      </c>
      <c r="K1734" s="0" t="n">
        <f aca="false">D1734*E1734</f>
        <v>-0.375</v>
      </c>
      <c r="L1734" s="0" t="n">
        <f aca="false">D1734*F1734</f>
        <v>-0.1875</v>
      </c>
      <c r="M1734" s="0" t="n">
        <f aca="false">E1734*F1734</f>
        <v>0.5</v>
      </c>
      <c r="N1734" s="0" t="n">
        <f aca="false">D1734*D1734</f>
        <v>0.140625</v>
      </c>
      <c r="O1734" s="0" t="n">
        <f aca="false">E1734*E1734</f>
        <v>1</v>
      </c>
      <c r="P1734" s="0" t="n">
        <f aca="false">F1734*F1734</f>
        <v>0.25</v>
      </c>
      <c r="Q1734" s="0" t="n">
        <f aca="false">SUMPRODUCT(G1734:P1734,_XtX!$B$71:$K$71)</f>
        <v>47.2822017045455</v>
      </c>
      <c r="R1734" s="0" t="n">
        <f aca="false">SUMPRODUCT(MMULT(G1734:P1734,_XtX!$B$58:$K$67),G1734:P1734)</f>
        <v>0.461479048295455</v>
      </c>
      <c r="S1734" s="0" t="n">
        <f aca="false">04_回帰ANOVA!$K$19*04_回帰ANOVA!$K$14*SQRT(1+R1734)</f>
        <v>1.12399125658369</v>
      </c>
      <c r="T1734" s="0" t="n">
        <f aca="false">Q1734-S1734</f>
        <v>46.1582104479618</v>
      </c>
      <c r="U1734" s="0" t="n">
        <f aca="false">Q1734+S1734</f>
        <v>48.4061929611292</v>
      </c>
      <c r="V1734" s="54" t="b">
        <f aca="false">AND(D1734&gt;=01_因子設定!$L$5-0.000000001,D1734&lt;=01_因子設定!$M$5+0.000000001,E1734&gt;=01_因子設定!$L$6-0.000000001,E1734&lt;=01_因子設定!$M$6+0.000000001,F1734&gt;=01_因子設定!$L$7-0.000000001,F1734&lt;=01_因子設定!$M$7+0.000000001,IF(01_因子設定!$B$20="Box-Behnken",D1734^2+E1734^2+F1734^2&lt;=2+0.000000001,TRUE()))</f>
        <v>1</v>
      </c>
      <c r="W1734" s="55" t="n">
        <f aca="false">IF(V1734,IF(01_因子設定!$B$13="最大化",T1734-01_因子設定!$B$14,IF(01_因子設定!$B$13="最小化",01_因子設定!$B$15-U1734,MIN(T1734-01_因子設定!$B$14,01_因子設定!$B$15-U1734))),-1E+030)</f>
        <v>-2.34178955203821</v>
      </c>
      <c r="X1734" s="55" t="n">
        <f aca="false">IF(V1734,IF(01_因子設定!$B$13="最大化",Q1734,IF(01_因子設定!$B$13="最小化",-Q1734,-ABS(Q1734-01_因子設定!$B$16))),-1E+030)</f>
        <v>47.2822017045455</v>
      </c>
      <c r="Y1734" s="55" t="n">
        <f aca="false">W1734+ROW()*0.000000001</f>
        <v>-2.34178781803821</v>
      </c>
      <c r="Z1734" s="55" t="n">
        <f aca="false">X1734+ROW()*0.000000001</f>
        <v>47.2822034385455</v>
      </c>
    </row>
    <row r="1735" customFormat="false" ht="15" hidden="false" customHeight="false" outlineLevel="0" collapsed="false">
      <c r="A1735" s="0" t="n">
        <v>5</v>
      </c>
      <c r="B1735" s="0" t="n">
        <v>16</v>
      </c>
      <c r="C1735" s="0" t="n">
        <v>13</v>
      </c>
      <c r="D1735" s="0" t="n">
        <f aca="false">-1+A1735*0.125</f>
        <v>-0.375</v>
      </c>
      <c r="E1735" s="0" t="n">
        <f aca="false">-1+B1735*0.125</f>
        <v>1</v>
      </c>
      <c r="F1735" s="0" t="n">
        <f aca="false">-1+C1735*0.125</f>
        <v>0.625</v>
      </c>
      <c r="G1735" s="0" t="n">
        <f aca="false">1</f>
        <v>1</v>
      </c>
      <c r="H1735" s="0" t="n">
        <f aca="false">D1735</f>
        <v>-0.375</v>
      </c>
      <c r="I1735" s="0" t="n">
        <f aca="false">E1735</f>
        <v>1</v>
      </c>
      <c r="J1735" s="0" t="n">
        <f aca="false">F1735</f>
        <v>0.625</v>
      </c>
      <c r="K1735" s="0" t="n">
        <f aca="false">D1735*E1735</f>
        <v>-0.375</v>
      </c>
      <c r="L1735" s="0" t="n">
        <f aca="false">D1735*F1735</f>
        <v>-0.234375</v>
      </c>
      <c r="M1735" s="0" t="n">
        <f aca="false">E1735*F1735</f>
        <v>0.625</v>
      </c>
      <c r="N1735" s="0" t="n">
        <f aca="false">D1735*D1735</f>
        <v>0.140625</v>
      </c>
      <c r="O1735" s="0" t="n">
        <f aca="false">E1735*E1735</f>
        <v>1</v>
      </c>
      <c r="P1735" s="0" t="n">
        <f aca="false">F1735*F1735</f>
        <v>0.390625</v>
      </c>
      <c r="Q1735" s="0" t="n">
        <f aca="false">SUMPRODUCT(G1735:P1735,_XtX!$B$71:$K$71)</f>
        <v>47.3524289772727</v>
      </c>
      <c r="R1735" s="0" t="n">
        <f aca="false">SUMPRODUCT(MMULT(G1735:P1735,_XtX!$B$58:$K$67),G1735:P1735)</f>
        <v>0.471821178089489</v>
      </c>
      <c r="S1735" s="0" t="n">
        <f aca="false">04_回帰ANOVA!$K$19*04_回帰ANOVA!$K$14*SQRT(1+R1735)</f>
        <v>1.12796119746125</v>
      </c>
      <c r="T1735" s="0" t="n">
        <f aca="false">Q1735-S1735</f>
        <v>46.2244677798115</v>
      </c>
      <c r="U1735" s="0" t="n">
        <f aca="false">Q1735+S1735</f>
        <v>48.480390174734</v>
      </c>
      <c r="V1735" s="54" t="b">
        <f aca="false">AND(D1735&gt;=01_因子設定!$L$5-0.000000001,D1735&lt;=01_因子設定!$M$5+0.000000001,E1735&gt;=01_因子設定!$L$6-0.000000001,E1735&lt;=01_因子設定!$M$6+0.000000001,F1735&gt;=01_因子設定!$L$7-0.000000001,F1735&lt;=01_因子設定!$M$7+0.000000001,IF(01_因子設定!$B$20="Box-Behnken",D1735^2+E1735^2+F1735^2&lt;=2+0.000000001,TRUE()))</f>
        <v>1</v>
      </c>
      <c r="W1735" s="55" t="n">
        <f aca="false">IF(V1735,IF(01_因子設定!$B$13="最大化",T1735-01_因子設定!$B$14,IF(01_因子設定!$B$13="最小化",01_因子設定!$B$15-U1735,MIN(T1735-01_因子設定!$B$14,01_因子設定!$B$15-U1735))),-1E+030)</f>
        <v>-2.27553222018851</v>
      </c>
      <c r="X1735" s="55" t="n">
        <f aca="false">IF(V1735,IF(01_因子設定!$B$13="最大化",Q1735,IF(01_因子設定!$B$13="最小化",-Q1735,-ABS(Q1735-01_因子設定!$B$16))),-1E+030)</f>
        <v>47.3524289772727</v>
      </c>
      <c r="Y1735" s="55" t="n">
        <f aca="false">W1735+ROW()*0.000000001</f>
        <v>-2.27553048518851</v>
      </c>
      <c r="Z1735" s="55" t="n">
        <f aca="false">X1735+ROW()*0.000000001</f>
        <v>47.3524307122727</v>
      </c>
    </row>
    <row r="1736" customFormat="false" ht="15" hidden="false" customHeight="false" outlineLevel="0" collapsed="false">
      <c r="A1736" s="0" t="n">
        <v>5</v>
      </c>
      <c r="B1736" s="0" t="n">
        <v>16</v>
      </c>
      <c r="C1736" s="0" t="n">
        <v>14</v>
      </c>
      <c r="D1736" s="0" t="n">
        <f aca="false">-1+A1736*0.125</f>
        <v>-0.375</v>
      </c>
      <c r="E1736" s="0" t="n">
        <f aca="false">-1+B1736*0.125</f>
        <v>1</v>
      </c>
      <c r="F1736" s="0" t="n">
        <f aca="false">-1+C1736*0.125</f>
        <v>0.75</v>
      </c>
      <c r="G1736" s="0" t="n">
        <f aca="false">1</f>
        <v>1</v>
      </c>
      <c r="H1736" s="0" t="n">
        <f aca="false">D1736</f>
        <v>-0.375</v>
      </c>
      <c r="I1736" s="0" t="n">
        <f aca="false">E1736</f>
        <v>1</v>
      </c>
      <c r="J1736" s="0" t="n">
        <f aca="false">F1736</f>
        <v>0.75</v>
      </c>
      <c r="K1736" s="0" t="n">
        <f aca="false">D1736*E1736</f>
        <v>-0.375</v>
      </c>
      <c r="L1736" s="0" t="n">
        <f aca="false">D1736*F1736</f>
        <v>-0.28125</v>
      </c>
      <c r="M1736" s="0" t="n">
        <f aca="false">E1736*F1736</f>
        <v>0.75</v>
      </c>
      <c r="N1736" s="0" t="n">
        <f aca="false">D1736*D1736</f>
        <v>0.140625</v>
      </c>
      <c r="O1736" s="0" t="n">
        <f aca="false">E1736*E1736</f>
        <v>1</v>
      </c>
      <c r="P1736" s="0" t="n">
        <f aca="false">F1736*F1736</f>
        <v>0.5625</v>
      </c>
      <c r="Q1736" s="0" t="n">
        <f aca="false">SUMPRODUCT(G1736:P1736,_XtX!$B$71:$K$71)</f>
        <v>47.3858664772728</v>
      </c>
      <c r="R1736" s="0" t="n">
        <f aca="false">SUMPRODUCT(MMULT(G1736:P1736,_XtX!$B$58:$K$67),G1736:P1736)</f>
        <v>0.503992808948864</v>
      </c>
      <c r="S1736" s="0" t="n">
        <f aca="false">04_回帰ANOVA!$K$19*04_回帰ANOVA!$K$14*SQRT(1+R1736)</f>
        <v>1.14022226176226</v>
      </c>
      <c r="T1736" s="0" t="n">
        <f aca="false">Q1736-S1736</f>
        <v>46.2456442155105</v>
      </c>
      <c r="U1736" s="0" t="n">
        <f aca="false">Q1736+S1736</f>
        <v>48.526088739035</v>
      </c>
      <c r="V1736" s="54" t="b">
        <f aca="false">AND(D1736&gt;=01_因子設定!$L$5-0.000000001,D1736&lt;=01_因子設定!$M$5+0.000000001,E1736&gt;=01_因子設定!$L$6-0.000000001,E1736&lt;=01_因子設定!$M$6+0.000000001,F1736&gt;=01_因子設定!$L$7-0.000000001,F1736&lt;=01_因子設定!$M$7+0.000000001,IF(01_因子設定!$B$20="Box-Behnken",D1736^2+E1736^2+F1736^2&lt;=2+0.000000001,TRUE()))</f>
        <v>1</v>
      </c>
      <c r="W1736" s="55" t="n">
        <f aca="false">IF(V1736,IF(01_因子設定!$B$13="最大化",T1736-01_因子設定!$B$14,IF(01_因子設定!$B$13="最小化",01_因子設定!$B$15-U1736,MIN(T1736-01_因子設定!$B$14,01_因子設定!$B$15-U1736))),-1E+030)</f>
        <v>-2.25435578448951</v>
      </c>
      <c r="X1736" s="55" t="n">
        <f aca="false">IF(V1736,IF(01_因子設定!$B$13="最大化",Q1736,IF(01_因子設定!$B$13="最小化",-Q1736,-ABS(Q1736-01_因子設定!$B$16))),-1E+030)</f>
        <v>47.3858664772728</v>
      </c>
      <c r="Y1736" s="55" t="n">
        <f aca="false">W1736+ROW()*0.000000001</f>
        <v>-2.25435404848951</v>
      </c>
      <c r="Z1736" s="55" t="n">
        <f aca="false">X1736+ROW()*0.000000001</f>
        <v>47.3858682132728</v>
      </c>
    </row>
    <row r="1737" customFormat="false" ht="15" hidden="false" customHeight="false" outlineLevel="0" collapsed="false">
      <c r="A1737" s="0" t="n">
        <v>5</v>
      </c>
      <c r="B1737" s="0" t="n">
        <v>16</v>
      </c>
      <c r="C1737" s="0" t="n">
        <v>15</v>
      </c>
      <c r="D1737" s="0" t="n">
        <f aca="false">-1+A1737*0.125</f>
        <v>-0.375</v>
      </c>
      <c r="E1737" s="0" t="n">
        <f aca="false">-1+B1737*0.125</f>
        <v>1</v>
      </c>
      <c r="F1737" s="0" t="n">
        <f aca="false">-1+C1737*0.125</f>
        <v>0.875</v>
      </c>
      <c r="G1737" s="0" t="n">
        <f aca="false">1</f>
        <v>1</v>
      </c>
      <c r="H1737" s="0" t="n">
        <f aca="false">D1737</f>
        <v>-0.375</v>
      </c>
      <c r="I1737" s="0" t="n">
        <f aca="false">E1737</f>
        <v>1</v>
      </c>
      <c r="J1737" s="0" t="n">
        <f aca="false">F1737</f>
        <v>0.875</v>
      </c>
      <c r="K1737" s="0" t="n">
        <f aca="false">D1737*E1737</f>
        <v>-0.375</v>
      </c>
      <c r="L1737" s="0" t="n">
        <f aca="false">D1737*F1737</f>
        <v>-0.328125</v>
      </c>
      <c r="M1737" s="0" t="n">
        <f aca="false">E1737*F1737</f>
        <v>0.875</v>
      </c>
      <c r="N1737" s="0" t="n">
        <f aca="false">D1737*D1737</f>
        <v>0.140625</v>
      </c>
      <c r="O1737" s="0" t="n">
        <f aca="false">E1737*E1737</f>
        <v>1</v>
      </c>
      <c r="P1737" s="0" t="n">
        <f aca="false">F1737*F1737</f>
        <v>0.765625</v>
      </c>
      <c r="Q1737" s="0" t="n">
        <f aca="false">SUMPRODUCT(G1737:P1737,_XtX!$B$71:$K$71)</f>
        <v>47.3825142045455</v>
      </c>
      <c r="R1737" s="0" t="n">
        <f aca="false">SUMPRODUCT(MMULT(G1737:P1737,_XtX!$B$58:$K$67),G1737:P1737)</f>
        <v>0.56971269087358</v>
      </c>
      <c r="S1737" s="0" t="n">
        <f aca="false">04_回帰ANOVA!$K$19*04_回帰ANOVA!$K$14*SQRT(1+R1737)</f>
        <v>1.16486801567081</v>
      </c>
      <c r="T1737" s="0" t="n">
        <f aca="false">Q1737-S1737</f>
        <v>46.2176461888747</v>
      </c>
      <c r="U1737" s="0" t="n">
        <f aca="false">Q1737+S1737</f>
        <v>48.5473822202163</v>
      </c>
      <c r="V1737" s="54" t="b">
        <f aca="false">AND(D1737&gt;=01_因子設定!$L$5-0.000000001,D1737&lt;=01_因子設定!$M$5+0.000000001,E1737&gt;=01_因子設定!$L$6-0.000000001,E1737&lt;=01_因子設定!$M$6+0.000000001,F1737&gt;=01_因子設定!$L$7-0.000000001,F1737&lt;=01_因子設定!$M$7+0.000000001,IF(01_因子設定!$B$20="Box-Behnken",D1737^2+E1737^2+F1737^2&lt;=2+0.000000001,TRUE()))</f>
        <v>1</v>
      </c>
      <c r="W1737" s="55" t="n">
        <f aca="false">IF(V1737,IF(01_因子設定!$B$13="最大化",T1737-01_因子設定!$B$14,IF(01_因子設定!$B$13="最小化",01_因子設定!$B$15-U1737,MIN(T1737-01_因子設定!$B$14,01_因子設定!$B$15-U1737))),-1E+030)</f>
        <v>-2.28235381112533</v>
      </c>
      <c r="X1737" s="55" t="n">
        <f aca="false">IF(V1737,IF(01_因子設定!$B$13="最大化",Q1737,IF(01_因子設定!$B$13="最小化",-Q1737,-ABS(Q1737-01_因子設定!$B$16))),-1E+030)</f>
        <v>47.3825142045455</v>
      </c>
      <c r="Y1737" s="55" t="n">
        <f aca="false">W1737+ROW()*0.000000001</f>
        <v>-2.28235207412533</v>
      </c>
      <c r="Z1737" s="55" t="n">
        <f aca="false">X1737+ROW()*0.000000001</f>
        <v>47.3825159415455</v>
      </c>
    </row>
    <row r="1738" customFormat="false" ht="15" hidden="false" customHeight="false" outlineLevel="0" collapsed="false">
      <c r="A1738" s="0" t="n">
        <v>5</v>
      </c>
      <c r="B1738" s="0" t="n">
        <v>16</v>
      </c>
      <c r="C1738" s="0" t="n">
        <v>16</v>
      </c>
      <c r="D1738" s="0" t="n">
        <f aca="false">-1+A1738*0.125</f>
        <v>-0.375</v>
      </c>
      <c r="E1738" s="0" t="n">
        <f aca="false">-1+B1738*0.125</f>
        <v>1</v>
      </c>
      <c r="F1738" s="0" t="n">
        <f aca="false">-1+C1738*0.125</f>
        <v>1</v>
      </c>
      <c r="G1738" s="0" t="n">
        <f aca="false">1</f>
        <v>1</v>
      </c>
      <c r="H1738" s="0" t="n">
        <f aca="false">D1738</f>
        <v>-0.375</v>
      </c>
      <c r="I1738" s="0" t="n">
        <f aca="false">E1738</f>
        <v>1</v>
      </c>
      <c r="J1738" s="0" t="n">
        <f aca="false">F1738</f>
        <v>1</v>
      </c>
      <c r="K1738" s="0" t="n">
        <f aca="false">D1738*E1738</f>
        <v>-0.375</v>
      </c>
      <c r="L1738" s="0" t="n">
        <f aca="false">D1738*F1738</f>
        <v>-0.375</v>
      </c>
      <c r="M1738" s="0" t="n">
        <f aca="false">E1738*F1738</f>
        <v>1</v>
      </c>
      <c r="N1738" s="0" t="n">
        <f aca="false">D1738*D1738</f>
        <v>0.140625</v>
      </c>
      <c r="O1738" s="0" t="n">
        <f aca="false">E1738*E1738</f>
        <v>1</v>
      </c>
      <c r="P1738" s="0" t="n">
        <f aca="false">F1738*F1738</f>
        <v>1</v>
      </c>
      <c r="Q1738" s="0" t="n">
        <f aca="false">SUMPRODUCT(G1738:P1738,_XtX!$B$71:$K$71)</f>
        <v>47.3423721590909</v>
      </c>
      <c r="R1738" s="0" t="n">
        <f aca="false">SUMPRODUCT(MMULT(G1738:P1738,_XtX!$B$58:$K$67),G1738:P1738)</f>
        <v>0.682830255681818</v>
      </c>
      <c r="S1738" s="0" t="n">
        <f aca="false">04_回帰ANOVA!$K$19*04_回帰ANOVA!$K$14*SQRT(1+R1738)</f>
        <v>1.20610964896955</v>
      </c>
      <c r="T1738" s="0" t="n">
        <f aca="false">Q1738-S1738</f>
        <v>46.1362625101214</v>
      </c>
      <c r="U1738" s="0" t="n">
        <f aca="false">Q1738+S1738</f>
        <v>48.5484818080605</v>
      </c>
      <c r="V1738" s="54" t="b">
        <f aca="false">AND(D1738&gt;=01_因子設定!$L$5-0.000000001,D1738&lt;=01_因子設定!$M$5+0.000000001,E1738&gt;=01_因子設定!$L$6-0.000000001,E1738&lt;=01_因子設定!$M$6+0.000000001,F1738&gt;=01_因子設定!$L$7-0.000000001,F1738&lt;=01_因子設定!$M$7+0.000000001,IF(01_因子設定!$B$20="Box-Behnken",D1738^2+E1738^2+F1738^2&lt;=2+0.000000001,TRUE()))</f>
        <v>1</v>
      </c>
      <c r="W1738" s="55" t="n">
        <f aca="false">IF(V1738,IF(01_因子設定!$B$13="最大化",T1738-01_因子設定!$B$14,IF(01_因子設定!$B$13="最小化",01_因子設定!$B$15-U1738,MIN(T1738-01_因子設定!$B$14,01_因子設定!$B$15-U1738))),-1E+030)</f>
        <v>-2.36373748987861</v>
      </c>
      <c r="X1738" s="55" t="n">
        <f aca="false">IF(V1738,IF(01_因子設定!$B$13="最大化",Q1738,IF(01_因子設定!$B$13="最小化",-Q1738,-ABS(Q1738-01_因子設定!$B$16))),-1E+030)</f>
        <v>47.3423721590909</v>
      </c>
      <c r="Y1738" s="55" t="n">
        <f aca="false">W1738+ROW()*0.000000001</f>
        <v>-2.36373575187861</v>
      </c>
      <c r="Z1738" s="55" t="n">
        <f aca="false">X1738+ROW()*0.000000001</f>
        <v>47.3423738970909</v>
      </c>
    </row>
    <row r="1739" customFormat="false" ht="15" hidden="false" customHeight="false" outlineLevel="0" collapsed="false">
      <c r="A1739" s="0" t="n">
        <v>6</v>
      </c>
      <c r="B1739" s="0" t="n">
        <v>0</v>
      </c>
      <c r="C1739" s="0" t="n">
        <v>0</v>
      </c>
      <c r="D1739" s="0" t="n">
        <f aca="false">-1+A1739*0.125</f>
        <v>-0.25</v>
      </c>
      <c r="E1739" s="0" t="n">
        <f aca="false">-1+B1739*0.125</f>
        <v>-1</v>
      </c>
      <c r="F1739" s="0" t="n">
        <f aca="false">-1+C1739*0.125</f>
        <v>-1</v>
      </c>
      <c r="G1739" s="0" t="n">
        <f aca="false">1</f>
        <v>1</v>
      </c>
      <c r="H1739" s="0" t="n">
        <f aca="false">D1739</f>
        <v>-0.25</v>
      </c>
      <c r="I1739" s="0" t="n">
        <f aca="false">E1739</f>
        <v>-1</v>
      </c>
      <c r="J1739" s="0" t="n">
        <f aca="false">F1739</f>
        <v>-1</v>
      </c>
      <c r="K1739" s="0" t="n">
        <f aca="false">D1739*E1739</f>
        <v>0.25</v>
      </c>
      <c r="L1739" s="0" t="n">
        <f aca="false">D1739*F1739</f>
        <v>0.25</v>
      </c>
      <c r="M1739" s="0" t="n">
        <f aca="false">E1739*F1739</f>
        <v>1</v>
      </c>
      <c r="N1739" s="0" t="n">
        <f aca="false">D1739*D1739</f>
        <v>0.0625</v>
      </c>
      <c r="O1739" s="0" t="n">
        <f aca="false">E1739*E1739</f>
        <v>1</v>
      </c>
      <c r="P1739" s="0" t="n">
        <f aca="false">F1739*F1739</f>
        <v>1</v>
      </c>
      <c r="Q1739" s="0" t="n">
        <f aca="false">SUMPRODUCT(G1739:P1739,_XtX!$B$71:$K$71)</f>
        <v>41.6352840909091</v>
      </c>
      <c r="R1739" s="0" t="n">
        <f aca="false">SUMPRODUCT(MMULT(G1739:P1739,_XtX!$B$58:$K$67),G1739:P1739)</f>
        <v>0.699431818181818</v>
      </c>
      <c r="S1739" s="0" t="n">
        <f aca="false">04_回帰ANOVA!$K$19*04_回帰ANOVA!$K$14*SQRT(1+R1739)</f>
        <v>1.21204434231192</v>
      </c>
      <c r="T1739" s="0" t="n">
        <f aca="false">Q1739-S1739</f>
        <v>40.4232397485972</v>
      </c>
      <c r="U1739" s="0" t="n">
        <f aca="false">Q1739+S1739</f>
        <v>42.847328433221</v>
      </c>
      <c r="V1739" s="54" t="b">
        <f aca="false">AND(D1739&gt;=01_因子設定!$L$5-0.000000001,D1739&lt;=01_因子設定!$M$5+0.000000001,E1739&gt;=01_因子設定!$L$6-0.000000001,E1739&lt;=01_因子設定!$M$6+0.000000001,F1739&gt;=01_因子設定!$L$7-0.000000001,F1739&lt;=01_因子設定!$M$7+0.000000001,IF(01_因子設定!$B$20="Box-Behnken",D1739^2+E1739^2+F1739^2&lt;=2+0.000000001,TRUE()))</f>
        <v>1</v>
      </c>
      <c r="W1739" s="55" t="n">
        <f aca="false">IF(V1739,IF(01_因子設定!$B$13="最大化",T1739-01_因子設定!$B$14,IF(01_因子設定!$B$13="最小化",01_因子設定!$B$15-U1739,MIN(T1739-01_因子設定!$B$14,01_因子設定!$B$15-U1739))),-1E+030)</f>
        <v>-8.0767602514028</v>
      </c>
      <c r="X1739" s="55" t="n">
        <f aca="false">IF(V1739,IF(01_因子設定!$B$13="最大化",Q1739,IF(01_因子設定!$B$13="最小化",-Q1739,-ABS(Q1739-01_因子設定!$B$16))),-1E+030)</f>
        <v>41.6352840909091</v>
      </c>
      <c r="Y1739" s="55" t="n">
        <f aca="false">W1739+ROW()*0.000000001</f>
        <v>-8.0767585124028</v>
      </c>
      <c r="Z1739" s="55" t="n">
        <f aca="false">X1739+ROW()*0.000000001</f>
        <v>41.6352858299091</v>
      </c>
    </row>
    <row r="1740" customFormat="false" ht="15" hidden="false" customHeight="false" outlineLevel="0" collapsed="false">
      <c r="A1740" s="0" t="n">
        <v>6</v>
      </c>
      <c r="B1740" s="0" t="n">
        <v>0</v>
      </c>
      <c r="C1740" s="0" t="n">
        <v>1</v>
      </c>
      <c r="D1740" s="0" t="n">
        <f aca="false">-1+A1740*0.125</f>
        <v>-0.25</v>
      </c>
      <c r="E1740" s="0" t="n">
        <f aca="false">-1+B1740*0.125</f>
        <v>-1</v>
      </c>
      <c r="F1740" s="0" t="n">
        <f aca="false">-1+C1740*0.125</f>
        <v>-0.875</v>
      </c>
      <c r="G1740" s="0" t="n">
        <f aca="false">1</f>
        <v>1</v>
      </c>
      <c r="H1740" s="0" t="n">
        <f aca="false">D1740</f>
        <v>-0.25</v>
      </c>
      <c r="I1740" s="0" t="n">
        <f aca="false">E1740</f>
        <v>-1</v>
      </c>
      <c r="J1740" s="0" t="n">
        <f aca="false">F1740</f>
        <v>-0.875</v>
      </c>
      <c r="K1740" s="0" t="n">
        <f aca="false">D1740*E1740</f>
        <v>0.25</v>
      </c>
      <c r="L1740" s="0" t="n">
        <f aca="false">D1740*F1740</f>
        <v>0.21875</v>
      </c>
      <c r="M1740" s="0" t="n">
        <f aca="false">E1740*F1740</f>
        <v>0.875</v>
      </c>
      <c r="N1740" s="0" t="n">
        <f aca="false">D1740*D1740</f>
        <v>0.0625</v>
      </c>
      <c r="O1740" s="0" t="n">
        <f aca="false">E1740*E1740</f>
        <v>1</v>
      </c>
      <c r="P1740" s="0" t="n">
        <f aca="false">F1740*F1740</f>
        <v>0.765625</v>
      </c>
      <c r="Q1740" s="0" t="n">
        <f aca="false">SUMPRODUCT(G1740:P1740,_XtX!$B$71:$K$71)</f>
        <v>42.0321448863637</v>
      </c>
      <c r="R1740" s="0" t="n">
        <f aca="false">SUMPRODUCT(MMULT(G1740:P1740,_XtX!$B$58:$K$67),G1740:P1740)</f>
        <v>0.583609286221591</v>
      </c>
      <c r="S1740" s="0" t="n">
        <f aca="false">04_回帰ANOVA!$K$19*04_回帰ANOVA!$K$14*SQRT(1+R1740)</f>
        <v>1.1700129157584</v>
      </c>
      <c r="T1740" s="0" t="n">
        <f aca="false">Q1740-S1740</f>
        <v>40.8621319706053</v>
      </c>
      <c r="U1740" s="0" t="n">
        <f aca="false">Q1740+S1740</f>
        <v>43.2021578021221</v>
      </c>
      <c r="V1740" s="54" t="b">
        <f aca="false">AND(D1740&gt;=01_因子設定!$L$5-0.000000001,D1740&lt;=01_因子設定!$M$5+0.000000001,E1740&gt;=01_因子設定!$L$6-0.000000001,E1740&lt;=01_因子設定!$M$6+0.000000001,F1740&gt;=01_因子設定!$L$7-0.000000001,F1740&lt;=01_因子設定!$M$7+0.000000001,IF(01_因子設定!$B$20="Box-Behnken",D1740^2+E1740^2+F1740^2&lt;=2+0.000000001,TRUE()))</f>
        <v>1</v>
      </c>
      <c r="W1740" s="55" t="n">
        <f aca="false">IF(V1740,IF(01_因子設定!$B$13="最大化",T1740-01_因子設定!$B$14,IF(01_因子設定!$B$13="最小化",01_因子設定!$B$15-U1740,MIN(T1740-01_因子設定!$B$14,01_因子設定!$B$15-U1740))),-1E+030)</f>
        <v>-7.63786802939473</v>
      </c>
      <c r="X1740" s="55" t="n">
        <f aca="false">IF(V1740,IF(01_因子設定!$B$13="最大化",Q1740,IF(01_因子設定!$B$13="最小化",-Q1740,-ABS(Q1740-01_因子設定!$B$16))),-1E+030)</f>
        <v>42.0321448863637</v>
      </c>
      <c r="Y1740" s="55" t="n">
        <f aca="false">W1740+ROW()*0.000000001</f>
        <v>-7.63786628939473</v>
      </c>
      <c r="Z1740" s="55" t="n">
        <f aca="false">X1740+ROW()*0.000000001</f>
        <v>42.0321466263637</v>
      </c>
    </row>
    <row r="1741" customFormat="false" ht="15" hidden="false" customHeight="false" outlineLevel="0" collapsed="false">
      <c r="A1741" s="0" t="n">
        <v>6</v>
      </c>
      <c r="B1741" s="0" t="n">
        <v>0</v>
      </c>
      <c r="C1741" s="0" t="n">
        <v>2</v>
      </c>
      <c r="D1741" s="0" t="n">
        <f aca="false">-1+A1741*0.125</f>
        <v>-0.25</v>
      </c>
      <c r="E1741" s="0" t="n">
        <f aca="false">-1+B1741*0.125</f>
        <v>-1</v>
      </c>
      <c r="F1741" s="0" t="n">
        <f aca="false">-1+C1741*0.125</f>
        <v>-0.75</v>
      </c>
      <c r="G1741" s="0" t="n">
        <f aca="false">1</f>
        <v>1</v>
      </c>
      <c r="H1741" s="0" t="n">
        <f aca="false">D1741</f>
        <v>-0.25</v>
      </c>
      <c r="I1741" s="0" t="n">
        <f aca="false">E1741</f>
        <v>-1</v>
      </c>
      <c r="J1741" s="0" t="n">
        <f aca="false">F1741</f>
        <v>-0.75</v>
      </c>
      <c r="K1741" s="0" t="n">
        <f aca="false">D1741*E1741</f>
        <v>0.25</v>
      </c>
      <c r="L1741" s="0" t="n">
        <f aca="false">D1741*F1741</f>
        <v>0.1875</v>
      </c>
      <c r="M1741" s="0" t="n">
        <f aca="false">E1741*F1741</f>
        <v>0.75</v>
      </c>
      <c r="N1741" s="0" t="n">
        <f aca="false">D1741*D1741</f>
        <v>0.0625</v>
      </c>
      <c r="O1741" s="0" t="n">
        <f aca="false">E1741*E1741</f>
        <v>1</v>
      </c>
      <c r="P1741" s="0" t="n">
        <f aca="false">F1741*F1741</f>
        <v>0.5625</v>
      </c>
      <c r="Q1741" s="0" t="n">
        <f aca="false">SUMPRODUCT(G1741:P1741,_XtX!$B$71:$K$71)</f>
        <v>42.3922159090909</v>
      </c>
      <c r="R1741" s="0" t="n">
        <f aca="false">SUMPRODUCT(MMULT(G1741:P1741,_XtX!$B$58:$K$67),G1741:P1741)</f>
        <v>0.515545099431818</v>
      </c>
      <c r="S1741" s="0" t="n">
        <f aca="false">04_回帰ANOVA!$K$19*04_回帰ANOVA!$K$14*SQRT(1+R1741)</f>
        <v>1.14459295464101</v>
      </c>
      <c r="T1741" s="0" t="n">
        <f aca="false">Q1741-S1741</f>
        <v>41.2476229544499</v>
      </c>
      <c r="U1741" s="0" t="n">
        <f aca="false">Q1741+S1741</f>
        <v>43.5368088637319</v>
      </c>
      <c r="V1741" s="54" t="b">
        <f aca="false">AND(D1741&gt;=01_因子設定!$L$5-0.000000001,D1741&lt;=01_因子設定!$M$5+0.000000001,E1741&gt;=01_因子設定!$L$6-0.000000001,E1741&lt;=01_因子設定!$M$6+0.000000001,F1741&gt;=01_因子設定!$L$7-0.000000001,F1741&lt;=01_因子設定!$M$7+0.000000001,IF(01_因子設定!$B$20="Box-Behnken",D1741^2+E1741^2+F1741^2&lt;=2+0.000000001,TRUE()))</f>
        <v>1</v>
      </c>
      <c r="W1741" s="55" t="n">
        <f aca="false">IF(V1741,IF(01_因子設定!$B$13="最大化",T1741-01_因子設定!$B$14,IF(01_因子設定!$B$13="最小化",01_因子設定!$B$15-U1741,MIN(T1741-01_因子設定!$B$14,01_因子設定!$B$15-U1741))),-1E+030)</f>
        <v>-7.25237704555008</v>
      </c>
      <c r="X1741" s="55" t="n">
        <f aca="false">IF(V1741,IF(01_因子設定!$B$13="最大化",Q1741,IF(01_因子設定!$B$13="最小化",-Q1741,-ABS(Q1741-01_因子設定!$B$16))),-1E+030)</f>
        <v>42.3922159090909</v>
      </c>
      <c r="Y1741" s="55" t="n">
        <f aca="false">W1741+ROW()*0.000000001</f>
        <v>-7.25237530455008</v>
      </c>
      <c r="Z1741" s="55" t="n">
        <f aca="false">X1741+ROW()*0.000000001</f>
        <v>42.3922176500909</v>
      </c>
    </row>
    <row r="1742" customFormat="false" ht="15" hidden="false" customHeight="false" outlineLevel="0" collapsed="false">
      <c r="A1742" s="0" t="n">
        <v>6</v>
      </c>
      <c r="B1742" s="0" t="n">
        <v>0</v>
      </c>
      <c r="C1742" s="0" t="n">
        <v>3</v>
      </c>
      <c r="D1742" s="0" t="n">
        <f aca="false">-1+A1742*0.125</f>
        <v>-0.25</v>
      </c>
      <c r="E1742" s="0" t="n">
        <f aca="false">-1+B1742*0.125</f>
        <v>-1</v>
      </c>
      <c r="F1742" s="0" t="n">
        <f aca="false">-1+C1742*0.125</f>
        <v>-0.625</v>
      </c>
      <c r="G1742" s="0" t="n">
        <f aca="false">1</f>
        <v>1</v>
      </c>
      <c r="H1742" s="0" t="n">
        <f aca="false">D1742</f>
        <v>-0.25</v>
      </c>
      <c r="I1742" s="0" t="n">
        <f aca="false">E1742</f>
        <v>-1</v>
      </c>
      <c r="J1742" s="0" t="n">
        <f aca="false">F1742</f>
        <v>-0.625</v>
      </c>
      <c r="K1742" s="0" t="n">
        <f aca="false">D1742*E1742</f>
        <v>0.25</v>
      </c>
      <c r="L1742" s="0" t="n">
        <f aca="false">D1742*F1742</f>
        <v>0.15625</v>
      </c>
      <c r="M1742" s="0" t="n">
        <f aca="false">E1742*F1742</f>
        <v>0.625</v>
      </c>
      <c r="N1742" s="0" t="n">
        <f aca="false">D1742*D1742</f>
        <v>0.0625</v>
      </c>
      <c r="O1742" s="0" t="n">
        <f aca="false">E1742*E1742</f>
        <v>1</v>
      </c>
      <c r="P1742" s="0" t="n">
        <f aca="false">F1742*F1742</f>
        <v>0.390625</v>
      </c>
      <c r="Q1742" s="0" t="n">
        <f aca="false">SUMPRODUCT(G1742:P1742,_XtX!$B$71:$K$71)</f>
        <v>42.7154971590909</v>
      </c>
      <c r="R1742" s="0" t="n">
        <f aca="false">SUMPRODUCT(MMULT(G1742:P1742,_XtX!$B$58:$K$67),G1742:P1742)</f>
        <v>0.481389825994318</v>
      </c>
      <c r="S1742" s="0" t="n">
        <f aca="false">04_回帰ANOVA!$K$19*04_回帰ANOVA!$K$14*SQRT(1+R1742)</f>
        <v>1.13162182500693</v>
      </c>
      <c r="T1742" s="0" t="n">
        <f aca="false">Q1742-S1742</f>
        <v>41.583875334084</v>
      </c>
      <c r="U1742" s="0" t="n">
        <f aca="false">Q1742+S1742</f>
        <v>43.8471189840979</v>
      </c>
      <c r="V1742" s="54" t="b">
        <f aca="false">AND(D1742&gt;=01_因子設定!$L$5-0.000000001,D1742&lt;=01_因子設定!$M$5+0.000000001,E1742&gt;=01_因子設定!$L$6-0.000000001,E1742&lt;=01_因子設定!$M$6+0.000000001,F1742&gt;=01_因子設定!$L$7-0.000000001,F1742&lt;=01_因子設定!$M$7+0.000000001,IF(01_因子設定!$B$20="Box-Behnken",D1742^2+E1742^2+F1742^2&lt;=2+0.000000001,TRUE()))</f>
        <v>1</v>
      </c>
      <c r="W1742" s="55" t="n">
        <f aca="false">IF(V1742,IF(01_因子設定!$B$13="最大化",T1742-01_因子設定!$B$14,IF(01_因子設定!$B$13="最小化",01_因子設定!$B$15-U1742,MIN(T1742-01_因子設定!$B$14,01_因子設定!$B$15-U1742))),-1E+030)</f>
        <v>-6.91612466591599</v>
      </c>
      <c r="X1742" s="55" t="n">
        <f aca="false">IF(V1742,IF(01_因子設定!$B$13="最大化",Q1742,IF(01_因子設定!$B$13="最小化",-Q1742,-ABS(Q1742-01_因子設定!$B$16))),-1E+030)</f>
        <v>42.7154971590909</v>
      </c>
      <c r="Y1742" s="55" t="n">
        <f aca="false">W1742+ROW()*0.000000001</f>
        <v>-6.91612292391599</v>
      </c>
      <c r="Z1742" s="55" t="n">
        <f aca="false">X1742+ROW()*0.000000001</f>
        <v>42.7154989010909</v>
      </c>
    </row>
    <row r="1743" customFormat="false" ht="15" hidden="false" customHeight="false" outlineLevel="0" collapsed="false">
      <c r="A1743" s="0" t="n">
        <v>6</v>
      </c>
      <c r="B1743" s="0" t="n">
        <v>0</v>
      </c>
      <c r="C1743" s="0" t="n">
        <v>4</v>
      </c>
      <c r="D1743" s="0" t="n">
        <f aca="false">-1+A1743*0.125</f>
        <v>-0.25</v>
      </c>
      <c r="E1743" s="0" t="n">
        <f aca="false">-1+B1743*0.125</f>
        <v>-1</v>
      </c>
      <c r="F1743" s="0" t="n">
        <f aca="false">-1+C1743*0.125</f>
        <v>-0.5</v>
      </c>
      <c r="G1743" s="0" t="n">
        <f aca="false">1</f>
        <v>1</v>
      </c>
      <c r="H1743" s="0" t="n">
        <f aca="false">D1743</f>
        <v>-0.25</v>
      </c>
      <c r="I1743" s="0" t="n">
        <f aca="false">E1743</f>
        <v>-1</v>
      </c>
      <c r="J1743" s="0" t="n">
        <f aca="false">F1743</f>
        <v>-0.5</v>
      </c>
      <c r="K1743" s="0" t="n">
        <f aca="false">D1743*E1743</f>
        <v>0.25</v>
      </c>
      <c r="L1743" s="0" t="n">
        <f aca="false">D1743*F1743</f>
        <v>0.125</v>
      </c>
      <c r="M1743" s="0" t="n">
        <f aca="false">E1743*F1743</f>
        <v>0.5</v>
      </c>
      <c r="N1743" s="0" t="n">
        <f aca="false">D1743*D1743</f>
        <v>0.0625</v>
      </c>
      <c r="O1743" s="0" t="n">
        <f aca="false">E1743*E1743</f>
        <v>1</v>
      </c>
      <c r="P1743" s="0" t="n">
        <f aca="false">F1743*F1743</f>
        <v>0.25</v>
      </c>
      <c r="Q1743" s="0" t="n">
        <f aca="false">SUMPRODUCT(G1743:P1743,_XtX!$B$71:$K$71)</f>
        <v>43.0019886363637</v>
      </c>
      <c r="R1743" s="0" t="n">
        <f aca="false">SUMPRODUCT(MMULT(G1743:P1743,_XtX!$B$58:$K$67),G1743:P1743)</f>
        <v>0.469424715909091</v>
      </c>
      <c r="S1743" s="0" t="n">
        <f aca="false">04_回帰ANOVA!$K$19*04_回帰ANOVA!$K$14*SQRT(1+R1743)</f>
        <v>1.12704253369596</v>
      </c>
      <c r="T1743" s="0" t="n">
        <f aca="false">Q1743-S1743</f>
        <v>41.8749461026677</v>
      </c>
      <c r="U1743" s="0" t="n">
        <f aca="false">Q1743+S1743</f>
        <v>44.1290311700596</v>
      </c>
      <c r="V1743" s="54" t="b">
        <f aca="false">AND(D1743&gt;=01_因子設定!$L$5-0.000000001,D1743&lt;=01_因子設定!$M$5+0.000000001,E1743&gt;=01_因子設定!$L$6-0.000000001,E1743&lt;=01_因子設定!$M$6+0.000000001,F1743&gt;=01_因子設定!$L$7-0.000000001,F1743&lt;=01_因子設定!$M$7+0.000000001,IF(01_因子設定!$B$20="Box-Behnken",D1743^2+E1743^2+F1743^2&lt;=2+0.000000001,TRUE()))</f>
        <v>1</v>
      </c>
      <c r="W1743" s="55" t="n">
        <f aca="false">IF(V1743,IF(01_因子設定!$B$13="最大化",T1743-01_因子設定!$B$14,IF(01_因子設定!$B$13="最小化",01_因子設定!$B$15-U1743,MIN(T1743-01_因子設定!$B$14,01_因子設定!$B$15-U1743))),-1E+030)</f>
        <v>-6.62505389733231</v>
      </c>
      <c r="X1743" s="55" t="n">
        <f aca="false">IF(V1743,IF(01_因子設定!$B$13="最大化",Q1743,IF(01_因子設定!$B$13="最小化",-Q1743,-ABS(Q1743-01_因子設定!$B$16))),-1E+030)</f>
        <v>43.0019886363637</v>
      </c>
      <c r="Y1743" s="55" t="n">
        <f aca="false">W1743+ROW()*0.000000001</f>
        <v>-6.62505215433231</v>
      </c>
      <c r="Z1743" s="55" t="n">
        <f aca="false">X1743+ROW()*0.000000001</f>
        <v>43.0019903793637</v>
      </c>
    </row>
    <row r="1744" customFormat="false" ht="15" hidden="false" customHeight="false" outlineLevel="0" collapsed="false">
      <c r="A1744" s="0" t="n">
        <v>6</v>
      </c>
      <c r="B1744" s="0" t="n">
        <v>0</v>
      </c>
      <c r="C1744" s="0" t="n">
        <v>5</v>
      </c>
      <c r="D1744" s="0" t="n">
        <f aca="false">-1+A1744*0.125</f>
        <v>-0.25</v>
      </c>
      <c r="E1744" s="0" t="n">
        <f aca="false">-1+B1744*0.125</f>
        <v>-1</v>
      </c>
      <c r="F1744" s="0" t="n">
        <f aca="false">-1+C1744*0.125</f>
        <v>-0.375</v>
      </c>
      <c r="G1744" s="0" t="n">
        <f aca="false">1</f>
        <v>1</v>
      </c>
      <c r="H1744" s="0" t="n">
        <f aca="false">D1744</f>
        <v>-0.25</v>
      </c>
      <c r="I1744" s="0" t="n">
        <f aca="false">E1744</f>
        <v>-1</v>
      </c>
      <c r="J1744" s="0" t="n">
        <f aca="false">F1744</f>
        <v>-0.375</v>
      </c>
      <c r="K1744" s="0" t="n">
        <f aca="false">D1744*E1744</f>
        <v>0.25</v>
      </c>
      <c r="L1744" s="0" t="n">
        <f aca="false">D1744*F1744</f>
        <v>0.09375</v>
      </c>
      <c r="M1744" s="0" t="n">
        <f aca="false">E1744*F1744</f>
        <v>0.375</v>
      </c>
      <c r="N1744" s="0" t="n">
        <f aca="false">D1744*D1744</f>
        <v>0.0625</v>
      </c>
      <c r="O1744" s="0" t="n">
        <f aca="false">E1744*E1744</f>
        <v>1</v>
      </c>
      <c r="P1744" s="0" t="n">
        <f aca="false">F1744*F1744</f>
        <v>0.140625</v>
      </c>
      <c r="Q1744" s="0" t="n">
        <f aca="false">SUMPRODUCT(G1744:P1744,_XtX!$B$71:$K$71)</f>
        <v>43.2516903409091</v>
      </c>
      <c r="R1744" s="0" t="n">
        <f aca="false">SUMPRODUCT(MMULT(G1744:P1744,_XtX!$B$58:$K$67),G1744:P1744)</f>
        <v>0.470061700994318</v>
      </c>
      <c r="S1744" s="0" t="n">
        <f aca="false">04_回帰ANOVA!$K$19*04_回帰ANOVA!$K$14*SQRT(1+R1744)</f>
        <v>1.12728678965931</v>
      </c>
      <c r="T1744" s="0" t="n">
        <f aca="false">Q1744-S1744</f>
        <v>42.1244035512498</v>
      </c>
      <c r="U1744" s="0" t="n">
        <f aca="false">Q1744+S1744</f>
        <v>44.3789771305684</v>
      </c>
      <c r="V1744" s="54" t="b">
        <f aca="false">AND(D1744&gt;=01_因子設定!$L$5-0.000000001,D1744&lt;=01_因子設定!$M$5+0.000000001,E1744&gt;=01_因子設定!$L$6-0.000000001,E1744&lt;=01_因子設定!$M$6+0.000000001,F1744&gt;=01_因子設定!$L$7-0.000000001,F1744&lt;=01_因子設定!$M$7+0.000000001,IF(01_因子設定!$B$20="Box-Behnken",D1744^2+E1744^2+F1744^2&lt;=2+0.000000001,TRUE()))</f>
        <v>1</v>
      </c>
      <c r="W1744" s="55" t="n">
        <f aca="false">IF(V1744,IF(01_因子設定!$B$13="最大化",T1744-01_因子設定!$B$14,IF(01_因子設定!$B$13="最小化",01_因子設定!$B$15-U1744,MIN(T1744-01_因子設定!$B$14,01_因子設定!$B$15-U1744))),-1E+030)</f>
        <v>-6.3755964487502</v>
      </c>
      <c r="X1744" s="55" t="n">
        <f aca="false">IF(V1744,IF(01_因子設定!$B$13="最大化",Q1744,IF(01_因子設定!$B$13="最小化",-Q1744,-ABS(Q1744-01_因子設定!$B$16))),-1E+030)</f>
        <v>43.2516903409091</v>
      </c>
      <c r="Y1744" s="55" t="n">
        <f aca="false">W1744+ROW()*0.000000001</f>
        <v>-6.3755947047502</v>
      </c>
      <c r="Z1744" s="55" t="n">
        <f aca="false">X1744+ROW()*0.000000001</f>
        <v>43.2516920849091</v>
      </c>
    </row>
    <row r="1745" customFormat="false" ht="15" hidden="false" customHeight="false" outlineLevel="0" collapsed="false">
      <c r="A1745" s="0" t="n">
        <v>6</v>
      </c>
      <c r="B1745" s="0" t="n">
        <v>0</v>
      </c>
      <c r="C1745" s="0" t="n">
        <v>6</v>
      </c>
      <c r="D1745" s="0" t="n">
        <f aca="false">-1+A1745*0.125</f>
        <v>-0.25</v>
      </c>
      <c r="E1745" s="0" t="n">
        <f aca="false">-1+B1745*0.125</f>
        <v>-1</v>
      </c>
      <c r="F1745" s="0" t="n">
        <f aca="false">-1+C1745*0.125</f>
        <v>-0.25</v>
      </c>
      <c r="G1745" s="0" t="n">
        <f aca="false">1</f>
        <v>1</v>
      </c>
      <c r="H1745" s="0" t="n">
        <f aca="false">D1745</f>
        <v>-0.25</v>
      </c>
      <c r="I1745" s="0" t="n">
        <f aca="false">E1745</f>
        <v>-1</v>
      </c>
      <c r="J1745" s="0" t="n">
        <f aca="false">F1745</f>
        <v>-0.25</v>
      </c>
      <c r="K1745" s="0" t="n">
        <f aca="false">D1745*E1745</f>
        <v>0.25</v>
      </c>
      <c r="L1745" s="0" t="n">
        <f aca="false">D1745*F1745</f>
        <v>0.0625</v>
      </c>
      <c r="M1745" s="0" t="n">
        <f aca="false">E1745*F1745</f>
        <v>0.25</v>
      </c>
      <c r="N1745" s="0" t="n">
        <f aca="false">D1745*D1745</f>
        <v>0.0625</v>
      </c>
      <c r="O1745" s="0" t="n">
        <f aca="false">E1745*E1745</f>
        <v>1</v>
      </c>
      <c r="P1745" s="0" t="n">
        <f aca="false">F1745*F1745</f>
        <v>0.0625</v>
      </c>
      <c r="Q1745" s="0" t="n">
        <f aca="false">SUMPRODUCT(G1745:P1745,_XtX!$B$71:$K$71)</f>
        <v>43.4646022727273</v>
      </c>
      <c r="R1745" s="0" t="n">
        <f aca="false">SUMPRODUCT(MMULT(G1745:P1745,_XtX!$B$58:$K$67),G1745:P1745)</f>
        <v>0.475843394886364</v>
      </c>
      <c r="S1745" s="0" t="n">
        <f aca="false">04_回帰ANOVA!$K$19*04_回帰ANOVA!$K$14*SQRT(1+R1745)</f>
        <v>1.12950140123694</v>
      </c>
      <c r="T1745" s="0" t="n">
        <f aca="false">Q1745-S1745</f>
        <v>42.3351008714904</v>
      </c>
      <c r="U1745" s="0" t="n">
        <f aca="false">Q1745+S1745</f>
        <v>44.5941036739642</v>
      </c>
      <c r="V1745" s="54" t="b">
        <f aca="false">AND(D1745&gt;=01_因子設定!$L$5-0.000000001,D1745&lt;=01_因子設定!$M$5+0.000000001,E1745&gt;=01_因子設定!$L$6-0.000000001,E1745&lt;=01_因子設定!$M$6+0.000000001,F1745&gt;=01_因子設定!$L$7-0.000000001,F1745&lt;=01_因子設定!$M$7+0.000000001,IF(01_因子設定!$B$20="Box-Behnken",D1745^2+E1745^2+F1745^2&lt;=2+0.000000001,TRUE()))</f>
        <v>1</v>
      </c>
      <c r="W1745" s="55" t="n">
        <f aca="false">IF(V1745,IF(01_因子設定!$B$13="最大化",T1745-01_因子設定!$B$14,IF(01_因子設定!$B$13="最小化",01_因子設定!$B$15-U1745,MIN(T1745-01_因子設定!$B$14,01_因子設定!$B$15-U1745))),-1E+030)</f>
        <v>-6.16489912850965</v>
      </c>
      <c r="X1745" s="55" t="n">
        <f aca="false">IF(V1745,IF(01_因子設定!$B$13="最大化",Q1745,IF(01_因子設定!$B$13="最小化",-Q1745,-ABS(Q1745-01_因子設定!$B$16))),-1E+030)</f>
        <v>43.4646022727273</v>
      </c>
      <c r="Y1745" s="55" t="n">
        <f aca="false">W1745+ROW()*0.000000001</f>
        <v>-6.16489738350965</v>
      </c>
      <c r="Z1745" s="55" t="n">
        <f aca="false">X1745+ROW()*0.000000001</f>
        <v>43.4646040177273</v>
      </c>
    </row>
    <row r="1746" customFormat="false" ht="15" hidden="false" customHeight="false" outlineLevel="0" collapsed="false">
      <c r="A1746" s="0" t="n">
        <v>6</v>
      </c>
      <c r="B1746" s="0" t="n">
        <v>0</v>
      </c>
      <c r="C1746" s="0" t="n">
        <v>7</v>
      </c>
      <c r="D1746" s="0" t="n">
        <f aca="false">-1+A1746*0.125</f>
        <v>-0.25</v>
      </c>
      <c r="E1746" s="0" t="n">
        <f aca="false">-1+B1746*0.125</f>
        <v>-1</v>
      </c>
      <c r="F1746" s="0" t="n">
        <f aca="false">-1+C1746*0.125</f>
        <v>-0.125</v>
      </c>
      <c r="G1746" s="0" t="n">
        <f aca="false">1</f>
        <v>1</v>
      </c>
      <c r="H1746" s="0" t="n">
        <f aca="false">D1746</f>
        <v>-0.25</v>
      </c>
      <c r="I1746" s="0" t="n">
        <f aca="false">E1746</f>
        <v>-1</v>
      </c>
      <c r="J1746" s="0" t="n">
        <f aca="false">F1746</f>
        <v>-0.125</v>
      </c>
      <c r="K1746" s="0" t="n">
        <f aca="false">D1746*E1746</f>
        <v>0.25</v>
      </c>
      <c r="L1746" s="0" t="n">
        <f aca="false">D1746*F1746</f>
        <v>0.03125</v>
      </c>
      <c r="M1746" s="0" t="n">
        <f aca="false">E1746*F1746</f>
        <v>0.125</v>
      </c>
      <c r="N1746" s="0" t="n">
        <f aca="false">D1746*D1746</f>
        <v>0.0625</v>
      </c>
      <c r="O1746" s="0" t="n">
        <f aca="false">E1746*E1746</f>
        <v>1</v>
      </c>
      <c r="P1746" s="0" t="n">
        <f aca="false">F1746*F1746</f>
        <v>0.015625</v>
      </c>
      <c r="Q1746" s="0" t="n">
        <f aca="false">SUMPRODUCT(G1746:P1746,_XtX!$B$71:$K$71)</f>
        <v>43.6407244318182</v>
      </c>
      <c r="R1746" s="0" t="n">
        <f aca="false">SUMPRODUCT(MMULT(G1746:P1746,_XtX!$B$58:$K$67),G1746:P1746)</f>
        <v>0.481443093039773</v>
      </c>
      <c r="S1746" s="0" t="n">
        <f aca="false">04_回帰ANOVA!$K$19*04_回帰ANOVA!$K$14*SQRT(1+R1746)</f>
        <v>1.13164216995877</v>
      </c>
      <c r="T1746" s="0" t="n">
        <f aca="false">Q1746-S1746</f>
        <v>42.5090822618594</v>
      </c>
      <c r="U1746" s="0" t="n">
        <f aca="false">Q1746+S1746</f>
        <v>44.772366601777</v>
      </c>
      <c r="V1746" s="54" t="b">
        <f aca="false">AND(D1746&gt;=01_因子設定!$L$5-0.000000001,D1746&lt;=01_因子設定!$M$5+0.000000001,E1746&gt;=01_因子設定!$L$6-0.000000001,E1746&lt;=01_因子設定!$M$6+0.000000001,F1746&gt;=01_因子設定!$L$7-0.000000001,F1746&lt;=01_因子設定!$M$7+0.000000001,IF(01_因子設定!$B$20="Box-Behnken",D1746^2+E1746^2+F1746^2&lt;=2+0.000000001,TRUE()))</f>
        <v>1</v>
      </c>
      <c r="W1746" s="55" t="n">
        <f aca="false">IF(V1746,IF(01_因子設定!$B$13="最大化",T1746-01_因子設定!$B$14,IF(01_因子設定!$B$13="最小化",01_因子設定!$B$15-U1746,MIN(T1746-01_因子設定!$B$14,01_因子設定!$B$15-U1746))),-1E+030)</f>
        <v>-5.99091773814057</v>
      </c>
      <c r="X1746" s="55" t="n">
        <f aca="false">IF(V1746,IF(01_因子設定!$B$13="最大化",Q1746,IF(01_因子設定!$B$13="最小化",-Q1746,-ABS(Q1746-01_因子設定!$B$16))),-1E+030)</f>
        <v>43.6407244318182</v>
      </c>
      <c r="Y1746" s="55" t="n">
        <f aca="false">W1746+ROW()*0.000000001</f>
        <v>-5.99091599214057</v>
      </c>
      <c r="Z1746" s="55" t="n">
        <f aca="false">X1746+ROW()*0.000000001</f>
        <v>43.6407261778182</v>
      </c>
    </row>
    <row r="1747" customFormat="false" ht="15" hidden="false" customHeight="false" outlineLevel="0" collapsed="false">
      <c r="A1747" s="0" t="n">
        <v>6</v>
      </c>
      <c r="B1747" s="0" t="n">
        <v>0</v>
      </c>
      <c r="C1747" s="0" t="n">
        <v>8</v>
      </c>
      <c r="D1747" s="0" t="n">
        <f aca="false">-1+A1747*0.125</f>
        <v>-0.25</v>
      </c>
      <c r="E1747" s="0" t="n">
        <f aca="false">-1+B1747*0.125</f>
        <v>-1</v>
      </c>
      <c r="F1747" s="0" t="n">
        <f aca="false">-1+C1747*0.125</f>
        <v>0</v>
      </c>
      <c r="G1747" s="0" t="n">
        <f aca="false">1</f>
        <v>1</v>
      </c>
      <c r="H1747" s="0" t="n">
        <f aca="false">D1747</f>
        <v>-0.25</v>
      </c>
      <c r="I1747" s="0" t="n">
        <f aca="false">E1747</f>
        <v>-1</v>
      </c>
      <c r="J1747" s="0" t="n">
        <f aca="false">F1747</f>
        <v>0</v>
      </c>
      <c r="K1747" s="0" t="n">
        <f aca="false">D1747*E1747</f>
        <v>0.25</v>
      </c>
      <c r="L1747" s="0" t="n">
        <f aca="false">D1747*F1747</f>
        <v>-0</v>
      </c>
      <c r="M1747" s="0" t="n">
        <f aca="false">E1747*F1747</f>
        <v>-0</v>
      </c>
      <c r="N1747" s="0" t="n">
        <f aca="false">D1747*D1747</f>
        <v>0.0625</v>
      </c>
      <c r="O1747" s="0" t="n">
        <f aca="false">E1747*E1747</f>
        <v>1</v>
      </c>
      <c r="P1747" s="0" t="n">
        <f aca="false">F1747*F1747</f>
        <v>0</v>
      </c>
      <c r="Q1747" s="0" t="n">
        <f aca="false">SUMPRODUCT(G1747:P1747,_XtX!$B$71:$K$71)</f>
        <v>43.7800568181818</v>
      </c>
      <c r="R1747" s="0" t="n">
        <f aca="false">SUMPRODUCT(MMULT(G1747:P1747,_XtX!$B$58:$K$67),G1747:P1747)</f>
        <v>0.483664772727273</v>
      </c>
      <c r="S1747" s="0" t="n">
        <f aca="false">04_回帰ANOVA!$K$19*04_回帰ANOVA!$K$14*SQRT(1+R1747)</f>
        <v>1.13249039846694</v>
      </c>
      <c r="T1747" s="0" t="n">
        <f aca="false">Q1747-S1747</f>
        <v>42.6475664197149</v>
      </c>
      <c r="U1747" s="0" t="n">
        <f aca="false">Q1747+S1747</f>
        <v>44.9125472166488</v>
      </c>
      <c r="V1747" s="54" t="b">
        <f aca="false">AND(D1747&gt;=01_因子設定!$L$5-0.000000001,D1747&lt;=01_因子設定!$M$5+0.000000001,E1747&gt;=01_因子設定!$L$6-0.000000001,E1747&lt;=01_因子設定!$M$6+0.000000001,F1747&gt;=01_因子設定!$L$7-0.000000001,F1747&lt;=01_因子設定!$M$7+0.000000001,IF(01_因子設定!$B$20="Box-Behnken",D1747^2+E1747^2+F1747^2&lt;=2+0.000000001,TRUE()))</f>
        <v>1</v>
      </c>
      <c r="W1747" s="55" t="n">
        <f aca="false">IF(V1747,IF(01_因子設定!$B$13="最大化",T1747-01_因子設定!$B$14,IF(01_因子設定!$B$13="最小化",01_因子設定!$B$15-U1747,MIN(T1747-01_因子設定!$B$14,01_因子設定!$B$15-U1747))),-1E+030)</f>
        <v>-5.85243358028511</v>
      </c>
      <c r="X1747" s="55" t="n">
        <f aca="false">IF(V1747,IF(01_因子設定!$B$13="最大化",Q1747,IF(01_因子設定!$B$13="最小化",-Q1747,-ABS(Q1747-01_因子設定!$B$16))),-1E+030)</f>
        <v>43.7800568181818</v>
      </c>
      <c r="Y1747" s="55" t="n">
        <f aca="false">W1747+ROW()*0.000000001</f>
        <v>-5.85243183328511</v>
      </c>
      <c r="Z1747" s="55" t="n">
        <f aca="false">X1747+ROW()*0.000000001</f>
        <v>43.7800585651818</v>
      </c>
    </row>
    <row r="1748" customFormat="false" ht="15" hidden="false" customHeight="false" outlineLevel="0" collapsed="false">
      <c r="A1748" s="0" t="n">
        <v>6</v>
      </c>
      <c r="B1748" s="0" t="n">
        <v>0</v>
      </c>
      <c r="C1748" s="0" t="n">
        <v>9</v>
      </c>
      <c r="D1748" s="0" t="n">
        <f aca="false">-1+A1748*0.125</f>
        <v>-0.25</v>
      </c>
      <c r="E1748" s="0" t="n">
        <f aca="false">-1+B1748*0.125</f>
        <v>-1</v>
      </c>
      <c r="F1748" s="0" t="n">
        <f aca="false">-1+C1748*0.125</f>
        <v>0.125</v>
      </c>
      <c r="G1748" s="0" t="n">
        <f aca="false">1</f>
        <v>1</v>
      </c>
      <c r="H1748" s="0" t="n">
        <f aca="false">D1748</f>
        <v>-0.25</v>
      </c>
      <c r="I1748" s="0" t="n">
        <f aca="false">E1748</f>
        <v>-1</v>
      </c>
      <c r="J1748" s="0" t="n">
        <f aca="false">F1748</f>
        <v>0.125</v>
      </c>
      <c r="K1748" s="0" t="n">
        <f aca="false">D1748*E1748</f>
        <v>0.25</v>
      </c>
      <c r="L1748" s="0" t="n">
        <f aca="false">D1748*F1748</f>
        <v>-0.03125</v>
      </c>
      <c r="M1748" s="0" t="n">
        <f aca="false">E1748*F1748</f>
        <v>-0.125</v>
      </c>
      <c r="N1748" s="0" t="n">
        <f aca="false">D1748*D1748</f>
        <v>0.0625</v>
      </c>
      <c r="O1748" s="0" t="n">
        <f aca="false">E1748*E1748</f>
        <v>1</v>
      </c>
      <c r="P1748" s="0" t="n">
        <f aca="false">F1748*F1748</f>
        <v>0.015625</v>
      </c>
      <c r="Q1748" s="0" t="n">
        <f aca="false">SUMPRODUCT(G1748:P1748,_XtX!$B$71:$K$71)</f>
        <v>43.8825994318182</v>
      </c>
      <c r="R1748" s="0" t="n">
        <f aca="false">SUMPRODUCT(MMULT(G1748:P1748,_XtX!$B$58:$K$67),G1748:P1748)</f>
        <v>0.481443093039773</v>
      </c>
      <c r="S1748" s="0" t="n">
        <f aca="false">04_回帰ANOVA!$K$19*04_回帰ANOVA!$K$14*SQRT(1+R1748)</f>
        <v>1.13164216995877</v>
      </c>
      <c r="T1748" s="0" t="n">
        <f aca="false">Q1748-S1748</f>
        <v>42.7509572618594</v>
      </c>
      <c r="U1748" s="0" t="n">
        <f aca="false">Q1748+S1748</f>
        <v>45.014241601777</v>
      </c>
      <c r="V1748" s="54" t="b">
        <f aca="false">AND(D1748&gt;=01_因子設定!$L$5-0.000000001,D1748&lt;=01_因子設定!$M$5+0.000000001,E1748&gt;=01_因子設定!$L$6-0.000000001,E1748&lt;=01_因子設定!$M$6+0.000000001,F1748&gt;=01_因子設定!$L$7-0.000000001,F1748&lt;=01_因子設定!$M$7+0.000000001,IF(01_因子設定!$B$20="Box-Behnken",D1748^2+E1748^2+F1748^2&lt;=2+0.000000001,TRUE()))</f>
        <v>1</v>
      </c>
      <c r="W1748" s="55" t="n">
        <f aca="false">IF(V1748,IF(01_因子設定!$B$13="最大化",T1748-01_因子設定!$B$14,IF(01_因子設定!$B$13="最小化",01_因子設定!$B$15-U1748,MIN(T1748-01_因子設定!$B$14,01_因子設定!$B$15-U1748))),-1E+030)</f>
        <v>-5.74904273814057</v>
      </c>
      <c r="X1748" s="55" t="n">
        <f aca="false">IF(V1748,IF(01_因子設定!$B$13="最大化",Q1748,IF(01_因子設定!$B$13="最小化",-Q1748,-ABS(Q1748-01_因子設定!$B$16))),-1E+030)</f>
        <v>43.8825994318182</v>
      </c>
      <c r="Y1748" s="55" t="n">
        <f aca="false">W1748+ROW()*0.000000001</f>
        <v>-5.74904099014057</v>
      </c>
      <c r="Z1748" s="55" t="n">
        <f aca="false">X1748+ROW()*0.000000001</f>
        <v>43.8826011798182</v>
      </c>
    </row>
    <row r="1749" customFormat="false" ht="15" hidden="false" customHeight="false" outlineLevel="0" collapsed="false">
      <c r="A1749" s="0" t="n">
        <v>6</v>
      </c>
      <c r="B1749" s="0" t="n">
        <v>0</v>
      </c>
      <c r="C1749" s="0" t="n">
        <v>10</v>
      </c>
      <c r="D1749" s="0" t="n">
        <f aca="false">-1+A1749*0.125</f>
        <v>-0.25</v>
      </c>
      <c r="E1749" s="0" t="n">
        <f aca="false">-1+B1749*0.125</f>
        <v>-1</v>
      </c>
      <c r="F1749" s="0" t="n">
        <f aca="false">-1+C1749*0.125</f>
        <v>0.25</v>
      </c>
      <c r="G1749" s="0" t="n">
        <f aca="false">1</f>
        <v>1</v>
      </c>
      <c r="H1749" s="0" t="n">
        <f aca="false">D1749</f>
        <v>-0.25</v>
      </c>
      <c r="I1749" s="0" t="n">
        <f aca="false">E1749</f>
        <v>-1</v>
      </c>
      <c r="J1749" s="0" t="n">
        <f aca="false">F1749</f>
        <v>0.25</v>
      </c>
      <c r="K1749" s="0" t="n">
        <f aca="false">D1749*E1749</f>
        <v>0.25</v>
      </c>
      <c r="L1749" s="0" t="n">
        <f aca="false">D1749*F1749</f>
        <v>-0.0625</v>
      </c>
      <c r="M1749" s="0" t="n">
        <f aca="false">E1749*F1749</f>
        <v>-0.25</v>
      </c>
      <c r="N1749" s="0" t="n">
        <f aca="false">D1749*D1749</f>
        <v>0.0625</v>
      </c>
      <c r="O1749" s="0" t="n">
        <f aca="false">E1749*E1749</f>
        <v>1</v>
      </c>
      <c r="P1749" s="0" t="n">
        <f aca="false">F1749*F1749</f>
        <v>0.0625</v>
      </c>
      <c r="Q1749" s="0" t="n">
        <f aca="false">SUMPRODUCT(G1749:P1749,_XtX!$B$71:$K$71)</f>
        <v>43.9483522727273</v>
      </c>
      <c r="R1749" s="0" t="n">
        <f aca="false">SUMPRODUCT(MMULT(G1749:P1749,_XtX!$B$58:$K$67),G1749:P1749)</f>
        <v>0.475843394886364</v>
      </c>
      <c r="S1749" s="0" t="n">
        <f aca="false">04_回帰ANOVA!$K$19*04_回帰ANOVA!$K$14*SQRT(1+R1749)</f>
        <v>1.12950140123694</v>
      </c>
      <c r="T1749" s="0" t="n">
        <f aca="false">Q1749-S1749</f>
        <v>42.8188508714904</v>
      </c>
      <c r="U1749" s="0" t="n">
        <f aca="false">Q1749+S1749</f>
        <v>45.0778536739642</v>
      </c>
      <c r="V1749" s="54" t="b">
        <f aca="false">AND(D1749&gt;=01_因子設定!$L$5-0.000000001,D1749&lt;=01_因子設定!$M$5+0.000000001,E1749&gt;=01_因子設定!$L$6-0.000000001,E1749&lt;=01_因子設定!$M$6+0.000000001,F1749&gt;=01_因子設定!$L$7-0.000000001,F1749&lt;=01_因子設定!$M$7+0.000000001,IF(01_因子設定!$B$20="Box-Behnken",D1749^2+E1749^2+F1749^2&lt;=2+0.000000001,TRUE()))</f>
        <v>1</v>
      </c>
      <c r="W1749" s="55" t="n">
        <f aca="false">IF(V1749,IF(01_因子設定!$B$13="最大化",T1749-01_因子設定!$B$14,IF(01_因子設定!$B$13="最小化",01_因子設定!$B$15-U1749,MIN(T1749-01_因子設定!$B$14,01_因子設定!$B$15-U1749))),-1E+030)</f>
        <v>-5.68114912850965</v>
      </c>
      <c r="X1749" s="55" t="n">
        <f aca="false">IF(V1749,IF(01_因子設定!$B$13="最大化",Q1749,IF(01_因子設定!$B$13="最小化",-Q1749,-ABS(Q1749-01_因子設定!$B$16))),-1E+030)</f>
        <v>43.9483522727273</v>
      </c>
      <c r="Y1749" s="55" t="n">
        <f aca="false">W1749+ROW()*0.000000001</f>
        <v>-5.68114737950965</v>
      </c>
      <c r="Z1749" s="55" t="n">
        <f aca="false">X1749+ROW()*0.000000001</f>
        <v>43.9483540217273</v>
      </c>
    </row>
    <row r="1750" customFormat="false" ht="15" hidden="false" customHeight="false" outlineLevel="0" collapsed="false">
      <c r="A1750" s="0" t="n">
        <v>6</v>
      </c>
      <c r="B1750" s="0" t="n">
        <v>0</v>
      </c>
      <c r="C1750" s="0" t="n">
        <v>11</v>
      </c>
      <c r="D1750" s="0" t="n">
        <f aca="false">-1+A1750*0.125</f>
        <v>-0.25</v>
      </c>
      <c r="E1750" s="0" t="n">
        <f aca="false">-1+B1750*0.125</f>
        <v>-1</v>
      </c>
      <c r="F1750" s="0" t="n">
        <f aca="false">-1+C1750*0.125</f>
        <v>0.375</v>
      </c>
      <c r="G1750" s="0" t="n">
        <f aca="false">1</f>
        <v>1</v>
      </c>
      <c r="H1750" s="0" t="n">
        <f aca="false">D1750</f>
        <v>-0.25</v>
      </c>
      <c r="I1750" s="0" t="n">
        <f aca="false">E1750</f>
        <v>-1</v>
      </c>
      <c r="J1750" s="0" t="n">
        <f aca="false">F1750</f>
        <v>0.375</v>
      </c>
      <c r="K1750" s="0" t="n">
        <f aca="false">D1750*E1750</f>
        <v>0.25</v>
      </c>
      <c r="L1750" s="0" t="n">
        <f aca="false">D1750*F1750</f>
        <v>-0.09375</v>
      </c>
      <c r="M1750" s="0" t="n">
        <f aca="false">E1750*F1750</f>
        <v>-0.375</v>
      </c>
      <c r="N1750" s="0" t="n">
        <f aca="false">D1750*D1750</f>
        <v>0.0625</v>
      </c>
      <c r="O1750" s="0" t="n">
        <f aca="false">E1750*E1750</f>
        <v>1</v>
      </c>
      <c r="P1750" s="0" t="n">
        <f aca="false">F1750*F1750</f>
        <v>0.140625</v>
      </c>
      <c r="Q1750" s="0" t="n">
        <f aca="false">SUMPRODUCT(G1750:P1750,_XtX!$B$71:$K$71)</f>
        <v>43.9773153409091</v>
      </c>
      <c r="R1750" s="0" t="n">
        <f aca="false">SUMPRODUCT(MMULT(G1750:P1750,_XtX!$B$58:$K$67),G1750:P1750)</f>
        <v>0.470061700994318</v>
      </c>
      <c r="S1750" s="0" t="n">
        <f aca="false">04_回帰ANOVA!$K$19*04_回帰ANOVA!$K$14*SQRT(1+R1750)</f>
        <v>1.12728678965931</v>
      </c>
      <c r="T1750" s="0" t="n">
        <f aca="false">Q1750-S1750</f>
        <v>42.8500285512498</v>
      </c>
      <c r="U1750" s="0" t="n">
        <f aca="false">Q1750+S1750</f>
        <v>45.1046021305684</v>
      </c>
      <c r="V1750" s="54" t="b">
        <f aca="false">AND(D1750&gt;=01_因子設定!$L$5-0.000000001,D1750&lt;=01_因子設定!$M$5+0.000000001,E1750&gt;=01_因子設定!$L$6-0.000000001,E1750&lt;=01_因子設定!$M$6+0.000000001,F1750&gt;=01_因子設定!$L$7-0.000000001,F1750&lt;=01_因子設定!$M$7+0.000000001,IF(01_因子設定!$B$20="Box-Behnken",D1750^2+E1750^2+F1750^2&lt;=2+0.000000001,TRUE()))</f>
        <v>1</v>
      </c>
      <c r="W1750" s="55" t="n">
        <f aca="false">IF(V1750,IF(01_因子設定!$B$13="最大化",T1750-01_因子設定!$B$14,IF(01_因子設定!$B$13="最小化",01_因子設定!$B$15-U1750,MIN(T1750-01_因子設定!$B$14,01_因子設定!$B$15-U1750))),-1E+030)</f>
        <v>-5.64997144875021</v>
      </c>
      <c r="X1750" s="55" t="n">
        <f aca="false">IF(V1750,IF(01_因子設定!$B$13="最大化",Q1750,IF(01_因子設定!$B$13="最小化",-Q1750,-ABS(Q1750-01_因子設定!$B$16))),-1E+030)</f>
        <v>43.9773153409091</v>
      </c>
      <c r="Y1750" s="55" t="n">
        <f aca="false">W1750+ROW()*0.000000001</f>
        <v>-5.64996969875021</v>
      </c>
      <c r="Z1750" s="55" t="n">
        <f aca="false">X1750+ROW()*0.000000001</f>
        <v>43.9773170909091</v>
      </c>
    </row>
    <row r="1751" customFormat="false" ht="15" hidden="false" customHeight="false" outlineLevel="0" collapsed="false">
      <c r="A1751" s="0" t="n">
        <v>6</v>
      </c>
      <c r="B1751" s="0" t="n">
        <v>0</v>
      </c>
      <c r="C1751" s="0" t="n">
        <v>12</v>
      </c>
      <c r="D1751" s="0" t="n">
        <f aca="false">-1+A1751*0.125</f>
        <v>-0.25</v>
      </c>
      <c r="E1751" s="0" t="n">
        <f aca="false">-1+B1751*0.125</f>
        <v>-1</v>
      </c>
      <c r="F1751" s="0" t="n">
        <f aca="false">-1+C1751*0.125</f>
        <v>0.5</v>
      </c>
      <c r="G1751" s="0" t="n">
        <f aca="false">1</f>
        <v>1</v>
      </c>
      <c r="H1751" s="0" t="n">
        <f aca="false">D1751</f>
        <v>-0.25</v>
      </c>
      <c r="I1751" s="0" t="n">
        <f aca="false">E1751</f>
        <v>-1</v>
      </c>
      <c r="J1751" s="0" t="n">
        <f aca="false">F1751</f>
        <v>0.5</v>
      </c>
      <c r="K1751" s="0" t="n">
        <f aca="false">D1751*E1751</f>
        <v>0.25</v>
      </c>
      <c r="L1751" s="0" t="n">
        <f aca="false">D1751*F1751</f>
        <v>-0.125</v>
      </c>
      <c r="M1751" s="0" t="n">
        <f aca="false">E1751*F1751</f>
        <v>-0.5</v>
      </c>
      <c r="N1751" s="0" t="n">
        <f aca="false">D1751*D1751</f>
        <v>0.0625</v>
      </c>
      <c r="O1751" s="0" t="n">
        <f aca="false">E1751*E1751</f>
        <v>1</v>
      </c>
      <c r="P1751" s="0" t="n">
        <f aca="false">F1751*F1751</f>
        <v>0.25</v>
      </c>
      <c r="Q1751" s="0" t="n">
        <f aca="false">SUMPRODUCT(G1751:P1751,_XtX!$B$71:$K$71)</f>
        <v>43.9694886363637</v>
      </c>
      <c r="R1751" s="0" t="n">
        <f aca="false">SUMPRODUCT(MMULT(G1751:P1751,_XtX!$B$58:$K$67),G1751:P1751)</f>
        <v>0.469424715909091</v>
      </c>
      <c r="S1751" s="0" t="n">
        <f aca="false">04_回帰ANOVA!$K$19*04_回帰ANOVA!$K$14*SQRT(1+R1751)</f>
        <v>1.12704253369596</v>
      </c>
      <c r="T1751" s="0" t="n">
        <f aca="false">Q1751-S1751</f>
        <v>42.8424461026677</v>
      </c>
      <c r="U1751" s="0" t="n">
        <f aca="false">Q1751+S1751</f>
        <v>45.0965311700596</v>
      </c>
      <c r="V1751" s="54" t="b">
        <f aca="false">AND(D1751&gt;=01_因子設定!$L$5-0.000000001,D1751&lt;=01_因子設定!$M$5+0.000000001,E1751&gt;=01_因子設定!$L$6-0.000000001,E1751&lt;=01_因子設定!$M$6+0.000000001,F1751&gt;=01_因子設定!$L$7-0.000000001,F1751&lt;=01_因子設定!$M$7+0.000000001,IF(01_因子設定!$B$20="Box-Behnken",D1751^2+E1751^2+F1751^2&lt;=2+0.000000001,TRUE()))</f>
        <v>1</v>
      </c>
      <c r="W1751" s="55" t="n">
        <f aca="false">IF(V1751,IF(01_因子設定!$B$13="最大化",T1751-01_因子設定!$B$14,IF(01_因子設定!$B$13="最小化",01_因子設定!$B$15-U1751,MIN(T1751-01_因子設定!$B$14,01_因子設定!$B$15-U1751))),-1E+030)</f>
        <v>-5.65755389733231</v>
      </c>
      <c r="X1751" s="55" t="n">
        <f aca="false">IF(V1751,IF(01_因子設定!$B$13="最大化",Q1751,IF(01_因子設定!$B$13="最小化",-Q1751,-ABS(Q1751-01_因子設定!$B$16))),-1E+030)</f>
        <v>43.9694886363637</v>
      </c>
      <c r="Y1751" s="55" t="n">
        <f aca="false">W1751+ROW()*0.000000001</f>
        <v>-5.65755214633231</v>
      </c>
      <c r="Z1751" s="55" t="n">
        <f aca="false">X1751+ROW()*0.000000001</f>
        <v>43.9694903873637</v>
      </c>
    </row>
    <row r="1752" customFormat="false" ht="15" hidden="false" customHeight="false" outlineLevel="0" collapsed="false">
      <c r="A1752" s="0" t="n">
        <v>6</v>
      </c>
      <c r="B1752" s="0" t="n">
        <v>0</v>
      </c>
      <c r="C1752" s="0" t="n">
        <v>13</v>
      </c>
      <c r="D1752" s="0" t="n">
        <f aca="false">-1+A1752*0.125</f>
        <v>-0.25</v>
      </c>
      <c r="E1752" s="0" t="n">
        <f aca="false">-1+B1752*0.125</f>
        <v>-1</v>
      </c>
      <c r="F1752" s="0" t="n">
        <f aca="false">-1+C1752*0.125</f>
        <v>0.625</v>
      </c>
      <c r="G1752" s="0" t="n">
        <f aca="false">1</f>
        <v>1</v>
      </c>
      <c r="H1752" s="0" t="n">
        <f aca="false">D1752</f>
        <v>-0.25</v>
      </c>
      <c r="I1752" s="0" t="n">
        <f aca="false">E1752</f>
        <v>-1</v>
      </c>
      <c r="J1752" s="0" t="n">
        <f aca="false">F1752</f>
        <v>0.625</v>
      </c>
      <c r="K1752" s="0" t="n">
        <f aca="false">D1752*E1752</f>
        <v>0.25</v>
      </c>
      <c r="L1752" s="0" t="n">
        <f aca="false">D1752*F1752</f>
        <v>-0.15625</v>
      </c>
      <c r="M1752" s="0" t="n">
        <f aca="false">E1752*F1752</f>
        <v>-0.625</v>
      </c>
      <c r="N1752" s="0" t="n">
        <f aca="false">D1752*D1752</f>
        <v>0.0625</v>
      </c>
      <c r="O1752" s="0" t="n">
        <f aca="false">E1752*E1752</f>
        <v>1</v>
      </c>
      <c r="P1752" s="0" t="n">
        <f aca="false">F1752*F1752</f>
        <v>0.390625</v>
      </c>
      <c r="Q1752" s="0" t="n">
        <f aca="false">SUMPRODUCT(G1752:P1752,_XtX!$B$71:$K$71)</f>
        <v>43.9248721590909</v>
      </c>
      <c r="R1752" s="0" t="n">
        <f aca="false">SUMPRODUCT(MMULT(G1752:P1752,_XtX!$B$58:$K$67),G1752:P1752)</f>
        <v>0.481389825994318</v>
      </c>
      <c r="S1752" s="0" t="n">
        <f aca="false">04_回帰ANOVA!$K$19*04_回帰ANOVA!$K$14*SQRT(1+R1752)</f>
        <v>1.13162182500693</v>
      </c>
      <c r="T1752" s="0" t="n">
        <f aca="false">Q1752-S1752</f>
        <v>42.793250334084</v>
      </c>
      <c r="U1752" s="0" t="n">
        <f aca="false">Q1752+S1752</f>
        <v>45.0564939840979</v>
      </c>
      <c r="V1752" s="54" t="b">
        <f aca="false">AND(D1752&gt;=01_因子設定!$L$5-0.000000001,D1752&lt;=01_因子設定!$M$5+0.000000001,E1752&gt;=01_因子設定!$L$6-0.000000001,E1752&lt;=01_因子設定!$M$6+0.000000001,F1752&gt;=01_因子設定!$L$7-0.000000001,F1752&lt;=01_因子設定!$M$7+0.000000001,IF(01_因子設定!$B$20="Box-Behnken",D1752^2+E1752^2+F1752^2&lt;=2+0.000000001,TRUE()))</f>
        <v>1</v>
      </c>
      <c r="W1752" s="55" t="n">
        <f aca="false">IF(V1752,IF(01_因子設定!$B$13="最大化",T1752-01_因子設定!$B$14,IF(01_因子設定!$B$13="最小化",01_因子設定!$B$15-U1752,MIN(T1752-01_因子設定!$B$14,01_因子設定!$B$15-U1752))),-1E+030)</f>
        <v>-5.706749665916</v>
      </c>
      <c r="X1752" s="55" t="n">
        <f aca="false">IF(V1752,IF(01_因子設定!$B$13="最大化",Q1752,IF(01_因子設定!$B$13="最小化",-Q1752,-ABS(Q1752-01_因子設定!$B$16))),-1E+030)</f>
        <v>43.9248721590909</v>
      </c>
      <c r="Y1752" s="55" t="n">
        <f aca="false">W1752+ROW()*0.000000001</f>
        <v>-5.706747913916</v>
      </c>
      <c r="Z1752" s="55" t="n">
        <f aca="false">X1752+ROW()*0.000000001</f>
        <v>43.9248739110909</v>
      </c>
    </row>
    <row r="1753" customFormat="false" ht="15" hidden="false" customHeight="false" outlineLevel="0" collapsed="false">
      <c r="A1753" s="0" t="n">
        <v>6</v>
      </c>
      <c r="B1753" s="0" t="n">
        <v>0</v>
      </c>
      <c r="C1753" s="0" t="n">
        <v>14</v>
      </c>
      <c r="D1753" s="0" t="n">
        <f aca="false">-1+A1753*0.125</f>
        <v>-0.25</v>
      </c>
      <c r="E1753" s="0" t="n">
        <f aca="false">-1+B1753*0.125</f>
        <v>-1</v>
      </c>
      <c r="F1753" s="0" t="n">
        <f aca="false">-1+C1753*0.125</f>
        <v>0.75</v>
      </c>
      <c r="G1753" s="0" t="n">
        <f aca="false">1</f>
        <v>1</v>
      </c>
      <c r="H1753" s="0" t="n">
        <f aca="false">D1753</f>
        <v>-0.25</v>
      </c>
      <c r="I1753" s="0" t="n">
        <f aca="false">E1753</f>
        <v>-1</v>
      </c>
      <c r="J1753" s="0" t="n">
        <f aca="false">F1753</f>
        <v>0.75</v>
      </c>
      <c r="K1753" s="0" t="n">
        <f aca="false">D1753*E1753</f>
        <v>0.25</v>
      </c>
      <c r="L1753" s="0" t="n">
        <f aca="false">D1753*F1753</f>
        <v>-0.1875</v>
      </c>
      <c r="M1753" s="0" t="n">
        <f aca="false">E1753*F1753</f>
        <v>-0.75</v>
      </c>
      <c r="N1753" s="0" t="n">
        <f aca="false">D1753*D1753</f>
        <v>0.0625</v>
      </c>
      <c r="O1753" s="0" t="n">
        <f aca="false">E1753*E1753</f>
        <v>1</v>
      </c>
      <c r="P1753" s="0" t="n">
        <f aca="false">F1753*F1753</f>
        <v>0.5625</v>
      </c>
      <c r="Q1753" s="0" t="n">
        <f aca="false">SUMPRODUCT(G1753:P1753,_XtX!$B$71:$K$71)</f>
        <v>43.8434659090909</v>
      </c>
      <c r="R1753" s="0" t="n">
        <f aca="false">SUMPRODUCT(MMULT(G1753:P1753,_XtX!$B$58:$K$67),G1753:P1753)</f>
        <v>0.515545099431818</v>
      </c>
      <c r="S1753" s="0" t="n">
        <f aca="false">04_回帰ANOVA!$K$19*04_回帰ANOVA!$K$14*SQRT(1+R1753)</f>
        <v>1.14459295464101</v>
      </c>
      <c r="T1753" s="0" t="n">
        <f aca="false">Q1753-S1753</f>
        <v>42.6988729544499</v>
      </c>
      <c r="U1753" s="0" t="n">
        <f aca="false">Q1753+S1753</f>
        <v>44.9880588637319</v>
      </c>
      <c r="V1753" s="54" t="b">
        <f aca="false">AND(D1753&gt;=01_因子設定!$L$5-0.000000001,D1753&lt;=01_因子設定!$M$5+0.000000001,E1753&gt;=01_因子設定!$L$6-0.000000001,E1753&lt;=01_因子設定!$M$6+0.000000001,F1753&gt;=01_因子設定!$L$7-0.000000001,F1753&lt;=01_因子設定!$M$7+0.000000001,IF(01_因子設定!$B$20="Box-Behnken",D1753^2+E1753^2+F1753^2&lt;=2+0.000000001,TRUE()))</f>
        <v>1</v>
      </c>
      <c r="W1753" s="55" t="n">
        <f aca="false">IF(V1753,IF(01_因子設定!$B$13="最大化",T1753-01_因子設定!$B$14,IF(01_因子設定!$B$13="最小化",01_因子設定!$B$15-U1753,MIN(T1753-01_因子設定!$B$14,01_因子設定!$B$15-U1753))),-1E+030)</f>
        <v>-5.80112704555008</v>
      </c>
      <c r="X1753" s="55" t="n">
        <f aca="false">IF(V1753,IF(01_因子設定!$B$13="最大化",Q1753,IF(01_因子設定!$B$13="最小化",-Q1753,-ABS(Q1753-01_因子設定!$B$16))),-1E+030)</f>
        <v>43.8434659090909</v>
      </c>
      <c r="Y1753" s="55" t="n">
        <f aca="false">W1753+ROW()*0.000000001</f>
        <v>-5.80112529255008</v>
      </c>
      <c r="Z1753" s="55" t="n">
        <f aca="false">X1753+ROW()*0.000000001</f>
        <v>43.8434676620909</v>
      </c>
    </row>
    <row r="1754" customFormat="false" ht="15" hidden="false" customHeight="false" outlineLevel="0" collapsed="false">
      <c r="A1754" s="0" t="n">
        <v>6</v>
      </c>
      <c r="B1754" s="0" t="n">
        <v>0</v>
      </c>
      <c r="C1754" s="0" t="n">
        <v>15</v>
      </c>
      <c r="D1754" s="0" t="n">
        <f aca="false">-1+A1754*0.125</f>
        <v>-0.25</v>
      </c>
      <c r="E1754" s="0" t="n">
        <f aca="false">-1+B1754*0.125</f>
        <v>-1</v>
      </c>
      <c r="F1754" s="0" t="n">
        <f aca="false">-1+C1754*0.125</f>
        <v>0.875</v>
      </c>
      <c r="G1754" s="0" t="n">
        <f aca="false">1</f>
        <v>1</v>
      </c>
      <c r="H1754" s="0" t="n">
        <f aca="false">D1754</f>
        <v>-0.25</v>
      </c>
      <c r="I1754" s="0" t="n">
        <f aca="false">E1754</f>
        <v>-1</v>
      </c>
      <c r="J1754" s="0" t="n">
        <f aca="false">F1754</f>
        <v>0.875</v>
      </c>
      <c r="K1754" s="0" t="n">
        <f aca="false">D1754*E1754</f>
        <v>0.25</v>
      </c>
      <c r="L1754" s="0" t="n">
        <f aca="false">D1754*F1754</f>
        <v>-0.21875</v>
      </c>
      <c r="M1754" s="0" t="n">
        <f aca="false">E1754*F1754</f>
        <v>-0.875</v>
      </c>
      <c r="N1754" s="0" t="n">
        <f aca="false">D1754*D1754</f>
        <v>0.0625</v>
      </c>
      <c r="O1754" s="0" t="n">
        <f aca="false">E1754*E1754</f>
        <v>1</v>
      </c>
      <c r="P1754" s="0" t="n">
        <f aca="false">F1754*F1754</f>
        <v>0.765625</v>
      </c>
      <c r="Q1754" s="0" t="n">
        <f aca="false">SUMPRODUCT(G1754:P1754,_XtX!$B$71:$K$71)</f>
        <v>43.7252698863637</v>
      </c>
      <c r="R1754" s="0" t="n">
        <f aca="false">SUMPRODUCT(MMULT(G1754:P1754,_XtX!$B$58:$K$67),G1754:P1754)</f>
        <v>0.583609286221591</v>
      </c>
      <c r="S1754" s="0" t="n">
        <f aca="false">04_回帰ANOVA!$K$19*04_回帰ANOVA!$K$14*SQRT(1+R1754)</f>
        <v>1.1700129157584</v>
      </c>
      <c r="T1754" s="0" t="n">
        <f aca="false">Q1754-S1754</f>
        <v>42.5552569706053</v>
      </c>
      <c r="U1754" s="0" t="n">
        <f aca="false">Q1754+S1754</f>
        <v>44.8952828021221</v>
      </c>
      <c r="V1754" s="54" t="b">
        <f aca="false">AND(D1754&gt;=01_因子設定!$L$5-0.000000001,D1754&lt;=01_因子設定!$M$5+0.000000001,E1754&gt;=01_因子設定!$L$6-0.000000001,E1754&lt;=01_因子設定!$M$6+0.000000001,F1754&gt;=01_因子設定!$L$7-0.000000001,F1754&lt;=01_因子設定!$M$7+0.000000001,IF(01_因子設定!$B$20="Box-Behnken",D1754^2+E1754^2+F1754^2&lt;=2+0.000000001,TRUE()))</f>
        <v>1</v>
      </c>
      <c r="W1754" s="55" t="n">
        <f aca="false">IF(V1754,IF(01_因子設定!$B$13="最大化",T1754-01_因子設定!$B$14,IF(01_因子設定!$B$13="最小化",01_因子設定!$B$15-U1754,MIN(T1754-01_因子設定!$B$14,01_因子設定!$B$15-U1754))),-1E+030)</f>
        <v>-5.94474302939473</v>
      </c>
      <c r="X1754" s="55" t="n">
        <f aca="false">IF(V1754,IF(01_因子設定!$B$13="最大化",Q1754,IF(01_因子設定!$B$13="最小化",-Q1754,-ABS(Q1754-01_因子設定!$B$16))),-1E+030)</f>
        <v>43.7252698863637</v>
      </c>
      <c r="Y1754" s="55" t="n">
        <f aca="false">W1754+ROW()*0.000000001</f>
        <v>-5.94474127539473</v>
      </c>
      <c r="Z1754" s="55" t="n">
        <f aca="false">X1754+ROW()*0.000000001</f>
        <v>43.7252716403637</v>
      </c>
    </row>
    <row r="1755" customFormat="false" ht="15" hidden="false" customHeight="false" outlineLevel="0" collapsed="false">
      <c r="A1755" s="0" t="n">
        <v>6</v>
      </c>
      <c r="B1755" s="0" t="n">
        <v>0</v>
      </c>
      <c r="C1755" s="0" t="n">
        <v>16</v>
      </c>
      <c r="D1755" s="0" t="n">
        <f aca="false">-1+A1755*0.125</f>
        <v>-0.25</v>
      </c>
      <c r="E1755" s="0" t="n">
        <f aca="false">-1+B1755*0.125</f>
        <v>-1</v>
      </c>
      <c r="F1755" s="0" t="n">
        <f aca="false">-1+C1755*0.125</f>
        <v>1</v>
      </c>
      <c r="G1755" s="0" t="n">
        <f aca="false">1</f>
        <v>1</v>
      </c>
      <c r="H1755" s="0" t="n">
        <f aca="false">D1755</f>
        <v>-0.25</v>
      </c>
      <c r="I1755" s="0" t="n">
        <f aca="false">E1755</f>
        <v>-1</v>
      </c>
      <c r="J1755" s="0" t="n">
        <f aca="false">F1755</f>
        <v>1</v>
      </c>
      <c r="K1755" s="0" t="n">
        <f aca="false">D1755*E1755</f>
        <v>0.25</v>
      </c>
      <c r="L1755" s="0" t="n">
        <f aca="false">D1755*F1755</f>
        <v>-0.25</v>
      </c>
      <c r="M1755" s="0" t="n">
        <f aca="false">E1755*F1755</f>
        <v>-1</v>
      </c>
      <c r="N1755" s="0" t="n">
        <f aca="false">D1755*D1755</f>
        <v>0.0625</v>
      </c>
      <c r="O1755" s="0" t="n">
        <f aca="false">E1755*E1755</f>
        <v>1</v>
      </c>
      <c r="P1755" s="0" t="n">
        <f aca="false">F1755*F1755</f>
        <v>1</v>
      </c>
      <c r="Q1755" s="0" t="n">
        <f aca="false">SUMPRODUCT(G1755:P1755,_XtX!$B$71:$K$71)</f>
        <v>43.5702840909091</v>
      </c>
      <c r="R1755" s="0" t="n">
        <f aca="false">SUMPRODUCT(MMULT(G1755:P1755,_XtX!$B$58:$K$67),G1755:P1755)</f>
        <v>0.699431818181818</v>
      </c>
      <c r="S1755" s="0" t="n">
        <f aca="false">04_回帰ANOVA!$K$19*04_回帰ANOVA!$K$14*SQRT(1+R1755)</f>
        <v>1.21204434231192</v>
      </c>
      <c r="T1755" s="0" t="n">
        <f aca="false">Q1755-S1755</f>
        <v>42.3582397485972</v>
      </c>
      <c r="U1755" s="0" t="n">
        <f aca="false">Q1755+S1755</f>
        <v>44.782328433221</v>
      </c>
      <c r="V1755" s="54" t="b">
        <f aca="false">AND(D1755&gt;=01_因子設定!$L$5-0.000000001,D1755&lt;=01_因子設定!$M$5+0.000000001,E1755&gt;=01_因子設定!$L$6-0.000000001,E1755&lt;=01_因子設定!$M$6+0.000000001,F1755&gt;=01_因子設定!$L$7-0.000000001,F1755&lt;=01_因子設定!$M$7+0.000000001,IF(01_因子設定!$B$20="Box-Behnken",D1755^2+E1755^2+F1755^2&lt;=2+0.000000001,TRUE()))</f>
        <v>1</v>
      </c>
      <c r="W1755" s="55" t="n">
        <f aca="false">IF(V1755,IF(01_因子設定!$B$13="最大化",T1755-01_因子設定!$B$14,IF(01_因子設定!$B$13="最小化",01_因子設定!$B$15-U1755,MIN(T1755-01_因子設定!$B$14,01_因子設定!$B$15-U1755))),-1E+030)</f>
        <v>-6.1417602514028</v>
      </c>
      <c r="X1755" s="55" t="n">
        <f aca="false">IF(V1755,IF(01_因子設定!$B$13="最大化",Q1755,IF(01_因子設定!$B$13="最小化",-Q1755,-ABS(Q1755-01_因子設定!$B$16))),-1E+030)</f>
        <v>43.5702840909091</v>
      </c>
      <c r="Y1755" s="55" t="n">
        <f aca="false">W1755+ROW()*0.000000001</f>
        <v>-6.1417584964028</v>
      </c>
      <c r="Z1755" s="55" t="n">
        <f aca="false">X1755+ROW()*0.000000001</f>
        <v>43.5702858459091</v>
      </c>
    </row>
    <row r="1756" customFormat="false" ht="15" hidden="false" customHeight="false" outlineLevel="0" collapsed="false">
      <c r="A1756" s="0" t="n">
        <v>6</v>
      </c>
      <c r="B1756" s="0" t="n">
        <v>1</v>
      </c>
      <c r="C1756" s="0" t="n">
        <v>0</v>
      </c>
      <c r="D1756" s="0" t="n">
        <f aca="false">-1+A1756*0.125</f>
        <v>-0.25</v>
      </c>
      <c r="E1756" s="0" t="n">
        <f aca="false">-1+B1756*0.125</f>
        <v>-0.875</v>
      </c>
      <c r="F1756" s="0" t="n">
        <f aca="false">-1+C1756*0.125</f>
        <v>-1</v>
      </c>
      <c r="G1756" s="0" t="n">
        <f aca="false">1</f>
        <v>1</v>
      </c>
      <c r="H1756" s="0" t="n">
        <f aca="false">D1756</f>
        <v>-0.25</v>
      </c>
      <c r="I1756" s="0" t="n">
        <f aca="false">E1756</f>
        <v>-0.875</v>
      </c>
      <c r="J1756" s="0" t="n">
        <f aca="false">F1756</f>
        <v>-1</v>
      </c>
      <c r="K1756" s="0" t="n">
        <f aca="false">D1756*E1756</f>
        <v>0.21875</v>
      </c>
      <c r="L1756" s="0" t="n">
        <f aca="false">D1756*F1756</f>
        <v>0.25</v>
      </c>
      <c r="M1756" s="0" t="n">
        <f aca="false">E1756*F1756</f>
        <v>0.875</v>
      </c>
      <c r="N1756" s="0" t="n">
        <f aca="false">D1756*D1756</f>
        <v>0.0625</v>
      </c>
      <c r="O1756" s="0" t="n">
        <f aca="false">E1756*E1756</f>
        <v>0.765625</v>
      </c>
      <c r="P1756" s="0" t="n">
        <f aca="false">F1756*F1756</f>
        <v>1</v>
      </c>
      <c r="Q1756" s="0" t="n">
        <f aca="false">SUMPRODUCT(G1756:P1756,_XtX!$B$71:$K$71)</f>
        <v>42.2746448863637</v>
      </c>
      <c r="R1756" s="0" t="n">
        <f aca="false">SUMPRODUCT(MMULT(G1756:P1756,_XtX!$B$58:$K$67),G1756:P1756)</f>
        <v>0.583609286221591</v>
      </c>
      <c r="S1756" s="0" t="n">
        <f aca="false">04_回帰ANOVA!$K$19*04_回帰ANOVA!$K$14*SQRT(1+R1756)</f>
        <v>1.1700129157584</v>
      </c>
      <c r="T1756" s="0" t="n">
        <f aca="false">Q1756-S1756</f>
        <v>41.1046319706053</v>
      </c>
      <c r="U1756" s="0" t="n">
        <f aca="false">Q1756+S1756</f>
        <v>43.4446578021221</v>
      </c>
      <c r="V1756" s="54" t="b">
        <f aca="false">AND(D1756&gt;=01_因子設定!$L$5-0.000000001,D1756&lt;=01_因子設定!$M$5+0.000000001,E1756&gt;=01_因子設定!$L$6-0.000000001,E1756&lt;=01_因子設定!$M$6+0.000000001,F1756&gt;=01_因子設定!$L$7-0.000000001,F1756&lt;=01_因子設定!$M$7+0.000000001,IF(01_因子設定!$B$20="Box-Behnken",D1756^2+E1756^2+F1756^2&lt;=2+0.000000001,TRUE()))</f>
        <v>1</v>
      </c>
      <c r="W1756" s="55" t="n">
        <f aca="false">IF(V1756,IF(01_因子設定!$B$13="最大化",T1756-01_因子設定!$B$14,IF(01_因子設定!$B$13="最小化",01_因子設定!$B$15-U1756,MIN(T1756-01_因子設定!$B$14,01_因子設定!$B$15-U1756))),-1E+030)</f>
        <v>-7.39536802939472</v>
      </c>
      <c r="X1756" s="55" t="n">
        <f aca="false">IF(V1756,IF(01_因子設定!$B$13="最大化",Q1756,IF(01_因子設定!$B$13="最小化",-Q1756,-ABS(Q1756-01_因子設定!$B$16))),-1E+030)</f>
        <v>42.2746448863637</v>
      </c>
      <c r="Y1756" s="55" t="n">
        <f aca="false">W1756+ROW()*0.000000001</f>
        <v>-7.39536627339473</v>
      </c>
      <c r="Z1756" s="55" t="n">
        <f aca="false">X1756+ROW()*0.000000001</f>
        <v>42.2746466423637</v>
      </c>
    </row>
    <row r="1757" customFormat="false" ht="15" hidden="false" customHeight="false" outlineLevel="0" collapsed="false">
      <c r="A1757" s="0" t="n">
        <v>6</v>
      </c>
      <c r="B1757" s="0" t="n">
        <v>1</v>
      </c>
      <c r="C1757" s="0" t="n">
        <v>1</v>
      </c>
      <c r="D1757" s="0" t="n">
        <f aca="false">-1+A1757*0.125</f>
        <v>-0.25</v>
      </c>
      <c r="E1757" s="0" t="n">
        <f aca="false">-1+B1757*0.125</f>
        <v>-0.875</v>
      </c>
      <c r="F1757" s="0" t="n">
        <f aca="false">-1+C1757*0.125</f>
        <v>-0.875</v>
      </c>
      <c r="G1757" s="0" t="n">
        <f aca="false">1</f>
        <v>1</v>
      </c>
      <c r="H1757" s="0" t="n">
        <f aca="false">D1757</f>
        <v>-0.25</v>
      </c>
      <c r="I1757" s="0" t="n">
        <f aca="false">E1757</f>
        <v>-0.875</v>
      </c>
      <c r="J1757" s="0" t="n">
        <f aca="false">F1757</f>
        <v>-0.875</v>
      </c>
      <c r="K1757" s="0" t="n">
        <f aca="false">D1757*E1757</f>
        <v>0.21875</v>
      </c>
      <c r="L1757" s="0" t="n">
        <f aca="false">D1757*F1757</f>
        <v>0.21875</v>
      </c>
      <c r="M1757" s="0" t="n">
        <f aca="false">E1757*F1757</f>
        <v>0.765625</v>
      </c>
      <c r="N1757" s="0" t="n">
        <f aca="false">D1757*D1757</f>
        <v>0.0625</v>
      </c>
      <c r="O1757" s="0" t="n">
        <f aca="false">E1757*E1757</f>
        <v>0.765625</v>
      </c>
      <c r="P1757" s="0" t="n">
        <f aca="false">F1757*F1757</f>
        <v>0.765625</v>
      </c>
      <c r="Q1757" s="0" t="n">
        <f aca="false">SUMPRODUCT(G1757:P1757,_XtX!$B$71:$K$71)</f>
        <v>42.6785369318182</v>
      </c>
      <c r="R1757" s="0" t="n">
        <f aca="false">SUMPRODUCT(MMULT(G1757:P1757,_XtX!$B$58:$K$67),G1757:P1757)</f>
        <v>0.459671852805398</v>
      </c>
      <c r="S1757" s="0" t="n">
        <f aca="false">04_回帰ANOVA!$K$19*04_回帰ANOVA!$K$14*SQRT(1+R1757)</f>
        <v>1.12329610455115</v>
      </c>
      <c r="T1757" s="0" t="n">
        <f aca="false">Q1757-S1757</f>
        <v>41.5552408272671</v>
      </c>
      <c r="U1757" s="0" t="n">
        <f aca="false">Q1757+S1757</f>
        <v>43.8018330363694</v>
      </c>
      <c r="V1757" s="54" t="b">
        <f aca="false">AND(D1757&gt;=01_因子設定!$L$5-0.000000001,D1757&lt;=01_因子設定!$M$5+0.000000001,E1757&gt;=01_因子設定!$L$6-0.000000001,E1757&lt;=01_因子設定!$M$6+0.000000001,F1757&gt;=01_因子設定!$L$7-0.000000001,F1757&lt;=01_因子設定!$M$7+0.000000001,IF(01_因子設定!$B$20="Box-Behnken",D1757^2+E1757^2+F1757^2&lt;=2+0.000000001,TRUE()))</f>
        <v>1</v>
      </c>
      <c r="W1757" s="55" t="n">
        <f aca="false">IF(V1757,IF(01_因子設定!$B$13="最大化",T1757-01_因子設定!$B$14,IF(01_因子設定!$B$13="最小化",01_因子設定!$B$15-U1757,MIN(T1757-01_因子設定!$B$14,01_因子設定!$B$15-U1757))),-1E+030)</f>
        <v>-6.94475917273294</v>
      </c>
      <c r="X1757" s="55" t="n">
        <f aca="false">IF(V1757,IF(01_因子設定!$B$13="最大化",Q1757,IF(01_因子設定!$B$13="最小化",-Q1757,-ABS(Q1757-01_因子設定!$B$16))),-1E+030)</f>
        <v>42.6785369318182</v>
      </c>
      <c r="Y1757" s="55" t="n">
        <f aca="false">W1757+ROW()*0.000000001</f>
        <v>-6.94475741573294</v>
      </c>
      <c r="Z1757" s="55" t="n">
        <f aca="false">X1757+ROW()*0.000000001</f>
        <v>42.6785386888182</v>
      </c>
    </row>
    <row r="1758" customFormat="false" ht="15" hidden="false" customHeight="false" outlineLevel="0" collapsed="false">
      <c r="A1758" s="0" t="n">
        <v>6</v>
      </c>
      <c r="B1758" s="0" t="n">
        <v>1</v>
      </c>
      <c r="C1758" s="0" t="n">
        <v>2</v>
      </c>
      <c r="D1758" s="0" t="n">
        <f aca="false">-1+A1758*0.125</f>
        <v>-0.25</v>
      </c>
      <c r="E1758" s="0" t="n">
        <f aca="false">-1+B1758*0.125</f>
        <v>-0.875</v>
      </c>
      <c r="F1758" s="0" t="n">
        <f aca="false">-1+C1758*0.125</f>
        <v>-0.75</v>
      </c>
      <c r="G1758" s="0" t="n">
        <f aca="false">1</f>
        <v>1</v>
      </c>
      <c r="H1758" s="0" t="n">
        <f aca="false">D1758</f>
        <v>-0.25</v>
      </c>
      <c r="I1758" s="0" t="n">
        <f aca="false">E1758</f>
        <v>-0.875</v>
      </c>
      <c r="J1758" s="0" t="n">
        <f aca="false">F1758</f>
        <v>-0.75</v>
      </c>
      <c r="K1758" s="0" t="n">
        <f aca="false">D1758*E1758</f>
        <v>0.21875</v>
      </c>
      <c r="L1758" s="0" t="n">
        <f aca="false">D1758*F1758</f>
        <v>0.1875</v>
      </c>
      <c r="M1758" s="0" t="n">
        <f aca="false">E1758*F1758</f>
        <v>0.65625</v>
      </c>
      <c r="N1758" s="0" t="n">
        <f aca="false">D1758*D1758</f>
        <v>0.0625</v>
      </c>
      <c r="O1758" s="0" t="n">
        <f aca="false">E1758*E1758</f>
        <v>0.765625</v>
      </c>
      <c r="P1758" s="0" t="n">
        <f aca="false">F1758*F1758</f>
        <v>0.5625</v>
      </c>
      <c r="Q1758" s="0" t="n">
        <f aca="false">SUMPRODUCT(G1758:P1758,_XtX!$B$71:$K$71)</f>
        <v>43.0456392045455</v>
      </c>
      <c r="R1758" s="0" t="n">
        <f aca="false">SUMPRODUCT(MMULT(G1758:P1758,_XtX!$B$58:$K$67),G1758:P1758)</f>
        <v>0.384574751420455</v>
      </c>
      <c r="S1758" s="0" t="n">
        <f aca="false">04_回帰ANOVA!$K$19*04_回帰ANOVA!$K$14*SQRT(1+R1758)</f>
        <v>1.0940189380139</v>
      </c>
      <c r="T1758" s="0" t="n">
        <f aca="false">Q1758-S1758</f>
        <v>41.9516202665316</v>
      </c>
      <c r="U1758" s="0" t="n">
        <f aca="false">Q1758+S1758</f>
        <v>44.1396581425594</v>
      </c>
      <c r="V1758" s="54" t="b">
        <f aca="false">AND(D1758&gt;=01_因子設定!$L$5-0.000000001,D1758&lt;=01_因子設定!$M$5+0.000000001,E1758&gt;=01_因子設定!$L$6-0.000000001,E1758&lt;=01_因子設定!$M$6+0.000000001,F1758&gt;=01_因子設定!$L$7-0.000000001,F1758&lt;=01_因子設定!$M$7+0.000000001,IF(01_因子設定!$B$20="Box-Behnken",D1758^2+E1758^2+F1758^2&lt;=2+0.000000001,TRUE()))</f>
        <v>1</v>
      </c>
      <c r="W1758" s="55" t="n">
        <f aca="false">IF(V1758,IF(01_因子設定!$B$13="最大化",T1758-01_因子設定!$B$14,IF(01_因子設定!$B$13="最小化",01_因子設定!$B$15-U1758,MIN(T1758-01_因子設定!$B$14,01_因子設定!$B$15-U1758))),-1E+030)</f>
        <v>-6.54837973346843</v>
      </c>
      <c r="X1758" s="55" t="n">
        <f aca="false">IF(V1758,IF(01_因子設定!$B$13="最大化",Q1758,IF(01_因子設定!$B$13="最小化",-Q1758,-ABS(Q1758-01_因子設定!$B$16))),-1E+030)</f>
        <v>43.0456392045455</v>
      </c>
      <c r="Y1758" s="55" t="n">
        <f aca="false">W1758+ROW()*0.000000001</f>
        <v>-6.54837797546843</v>
      </c>
      <c r="Z1758" s="55" t="n">
        <f aca="false">X1758+ROW()*0.000000001</f>
        <v>43.0456409625455</v>
      </c>
    </row>
    <row r="1759" customFormat="false" ht="15" hidden="false" customHeight="false" outlineLevel="0" collapsed="false">
      <c r="A1759" s="0" t="n">
        <v>6</v>
      </c>
      <c r="B1759" s="0" t="n">
        <v>1</v>
      </c>
      <c r="C1759" s="0" t="n">
        <v>3</v>
      </c>
      <c r="D1759" s="0" t="n">
        <f aca="false">-1+A1759*0.125</f>
        <v>-0.25</v>
      </c>
      <c r="E1759" s="0" t="n">
        <f aca="false">-1+B1759*0.125</f>
        <v>-0.875</v>
      </c>
      <c r="F1759" s="0" t="n">
        <f aca="false">-1+C1759*0.125</f>
        <v>-0.625</v>
      </c>
      <c r="G1759" s="0" t="n">
        <f aca="false">1</f>
        <v>1</v>
      </c>
      <c r="H1759" s="0" t="n">
        <f aca="false">D1759</f>
        <v>-0.25</v>
      </c>
      <c r="I1759" s="0" t="n">
        <f aca="false">E1759</f>
        <v>-0.875</v>
      </c>
      <c r="J1759" s="0" t="n">
        <f aca="false">F1759</f>
        <v>-0.625</v>
      </c>
      <c r="K1759" s="0" t="n">
        <f aca="false">D1759*E1759</f>
        <v>0.21875</v>
      </c>
      <c r="L1759" s="0" t="n">
        <f aca="false">D1759*F1759</f>
        <v>0.15625</v>
      </c>
      <c r="M1759" s="0" t="n">
        <f aca="false">E1759*F1759</f>
        <v>0.546875</v>
      </c>
      <c r="N1759" s="0" t="n">
        <f aca="false">D1759*D1759</f>
        <v>0.0625</v>
      </c>
      <c r="O1759" s="0" t="n">
        <f aca="false">E1759*E1759</f>
        <v>0.765625</v>
      </c>
      <c r="P1759" s="0" t="n">
        <f aca="false">F1759*F1759</f>
        <v>0.390625</v>
      </c>
      <c r="Q1759" s="0" t="n">
        <f aca="false">SUMPRODUCT(G1759:P1759,_XtX!$B$71:$K$71)</f>
        <v>43.3759517045455</v>
      </c>
      <c r="R1759" s="0" t="n">
        <f aca="false">SUMPRODUCT(MMULT(G1759:P1759,_XtX!$B$58:$K$67),G1759:P1759)</f>
        <v>0.34446855024858</v>
      </c>
      <c r="S1759" s="0" t="n">
        <f aca="false">04_回帰ANOVA!$K$19*04_回帰ANOVA!$K$14*SQRT(1+R1759)</f>
        <v>1.07805758590432</v>
      </c>
      <c r="T1759" s="0" t="n">
        <f aca="false">Q1759-S1759</f>
        <v>42.2978941186412</v>
      </c>
      <c r="U1759" s="0" t="n">
        <f aca="false">Q1759+S1759</f>
        <v>44.4540092904498</v>
      </c>
      <c r="V1759" s="54" t="b">
        <f aca="false">AND(D1759&gt;=01_因子設定!$L$5-0.000000001,D1759&lt;=01_因子設定!$M$5+0.000000001,E1759&gt;=01_因子設定!$L$6-0.000000001,E1759&lt;=01_因子設定!$M$6+0.000000001,F1759&gt;=01_因子設定!$L$7-0.000000001,F1759&lt;=01_因子設定!$M$7+0.000000001,IF(01_因子設定!$B$20="Box-Behnken",D1759^2+E1759^2+F1759^2&lt;=2+0.000000001,TRUE()))</f>
        <v>1</v>
      </c>
      <c r="W1759" s="55" t="n">
        <f aca="false">IF(V1759,IF(01_因子設定!$B$13="最大化",T1759-01_因子設定!$B$14,IF(01_因子設定!$B$13="最小化",01_因子設定!$B$15-U1759,MIN(T1759-01_因子設定!$B$14,01_因子設定!$B$15-U1759))),-1E+030)</f>
        <v>-6.20210588135885</v>
      </c>
      <c r="X1759" s="55" t="n">
        <f aca="false">IF(V1759,IF(01_因子設定!$B$13="最大化",Q1759,IF(01_因子設定!$B$13="最小化",-Q1759,-ABS(Q1759-01_因子設定!$B$16))),-1E+030)</f>
        <v>43.3759517045455</v>
      </c>
      <c r="Y1759" s="55" t="n">
        <f aca="false">W1759+ROW()*0.000000001</f>
        <v>-6.20210412235885</v>
      </c>
      <c r="Z1759" s="55" t="n">
        <f aca="false">X1759+ROW()*0.000000001</f>
        <v>43.3759534635455</v>
      </c>
    </row>
    <row r="1760" customFormat="false" ht="15" hidden="false" customHeight="false" outlineLevel="0" collapsed="false">
      <c r="A1760" s="0" t="n">
        <v>6</v>
      </c>
      <c r="B1760" s="0" t="n">
        <v>1</v>
      </c>
      <c r="C1760" s="0" t="n">
        <v>4</v>
      </c>
      <c r="D1760" s="0" t="n">
        <f aca="false">-1+A1760*0.125</f>
        <v>-0.25</v>
      </c>
      <c r="E1760" s="0" t="n">
        <f aca="false">-1+B1760*0.125</f>
        <v>-0.875</v>
      </c>
      <c r="F1760" s="0" t="n">
        <f aca="false">-1+C1760*0.125</f>
        <v>-0.5</v>
      </c>
      <c r="G1760" s="0" t="n">
        <f aca="false">1</f>
        <v>1</v>
      </c>
      <c r="H1760" s="0" t="n">
        <f aca="false">D1760</f>
        <v>-0.25</v>
      </c>
      <c r="I1760" s="0" t="n">
        <f aca="false">E1760</f>
        <v>-0.875</v>
      </c>
      <c r="J1760" s="0" t="n">
        <f aca="false">F1760</f>
        <v>-0.5</v>
      </c>
      <c r="K1760" s="0" t="n">
        <f aca="false">D1760*E1760</f>
        <v>0.21875</v>
      </c>
      <c r="L1760" s="0" t="n">
        <f aca="false">D1760*F1760</f>
        <v>0.125</v>
      </c>
      <c r="M1760" s="0" t="n">
        <f aca="false">E1760*F1760</f>
        <v>0.4375</v>
      </c>
      <c r="N1760" s="0" t="n">
        <f aca="false">D1760*D1760</f>
        <v>0.0625</v>
      </c>
      <c r="O1760" s="0" t="n">
        <f aca="false">E1760*E1760</f>
        <v>0.765625</v>
      </c>
      <c r="P1760" s="0" t="n">
        <f aca="false">F1760*F1760</f>
        <v>0.25</v>
      </c>
      <c r="Q1760" s="0" t="n">
        <f aca="false">SUMPRODUCT(G1760:P1760,_XtX!$B$71:$K$71)</f>
        <v>43.6694744318182</v>
      </c>
      <c r="R1760" s="0" t="n">
        <f aca="false">SUMPRODUCT(MMULT(G1760:P1760,_XtX!$B$58:$K$67),G1760:P1760)</f>
        <v>0.327634499289773</v>
      </c>
      <c r="S1760" s="0" t="n">
        <f aca="false">04_回帰ANOVA!$K$19*04_回帰ANOVA!$K$14*SQRT(1+R1760)</f>
        <v>1.07128716250217</v>
      </c>
      <c r="T1760" s="0" t="n">
        <f aca="false">Q1760-S1760</f>
        <v>42.598187269316</v>
      </c>
      <c r="U1760" s="0" t="n">
        <f aca="false">Q1760+S1760</f>
        <v>44.7407615943204</v>
      </c>
      <c r="V1760" s="54" t="b">
        <f aca="false">AND(D1760&gt;=01_因子設定!$L$5-0.000000001,D1760&lt;=01_因子設定!$M$5+0.000000001,E1760&gt;=01_因子設定!$L$6-0.000000001,E1760&lt;=01_因子設定!$M$6+0.000000001,F1760&gt;=01_因子設定!$L$7-0.000000001,F1760&lt;=01_因子設定!$M$7+0.000000001,IF(01_因子設定!$B$20="Box-Behnken",D1760^2+E1760^2+F1760^2&lt;=2+0.000000001,TRUE()))</f>
        <v>1</v>
      </c>
      <c r="W1760" s="55" t="n">
        <f aca="false">IF(V1760,IF(01_因子設定!$B$13="最大化",T1760-01_因子設定!$B$14,IF(01_因子設定!$B$13="最小化",01_因子設定!$B$15-U1760,MIN(T1760-01_因子設定!$B$14,01_因子設定!$B$15-U1760))),-1E+030)</f>
        <v>-5.90181273068398</v>
      </c>
      <c r="X1760" s="55" t="n">
        <f aca="false">IF(V1760,IF(01_因子設定!$B$13="最大化",Q1760,IF(01_因子設定!$B$13="最小化",-Q1760,-ABS(Q1760-01_因子設定!$B$16))),-1E+030)</f>
        <v>43.6694744318182</v>
      </c>
      <c r="Y1760" s="55" t="n">
        <f aca="false">W1760+ROW()*0.000000001</f>
        <v>-5.90181097068398</v>
      </c>
      <c r="Z1760" s="55" t="n">
        <f aca="false">X1760+ROW()*0.000000001</f>
        <v>43.6694761918182</v>
      </c>
    </row>
    <row r="1761" customFormat="false" ht="15" hidden="false" customHeight="false" outlineLevel="0" collapsed="false">
      <c r="A1761" s="0" t="n">
        <v>6</v>
      </c>
      <c r="B1761" s="0" t="n">
        <v>1</v>
      </c>
      <c r="C1761" s="0" t="n">
        <v>5</v>
      </c>
      <c r="D1761" s="0" t="n">
        <f aca="false">-1+A1761*0.125</f>
        <v>-0.25</v>
      </c>
      <c r="E1761" s="0" t="n">
        <f aca="false">-1+B1761*0.125</f>
        <v>-0.875</v>
      </c>
      <c r="F1761" s="0" t="n">
        <f aca="false">-1+C1761*0.125</f>
        <v>-0.375</v>
      </c>
      <c r="G1761" s="0" t="n">
        <f aca="false">1</f>
        <v>1</v>
      </c>
      <c r="H1761" s="0" t="n">
        <f aca="false">D1761</f>
        <v>-0.25</v>
      </c>
      <c r="I1761" s="0" t="n">
        <f aca="false">E1761</f>
        <v>-0.875</v>
      </c>
      <c r="J1761" s="0" t="n">
        <f aca="false">F1761</f>
        <v>-0.375</v>
      </c>
      <c r="K1761" s="0" t="n">
        <f aca="false">D1761*E1761</f>
        <v>0.21875</v>
      </c>
      <c r="L1761" s="0" t="n">
        <f aca="false">D1761*F1761</f>
        <v>0.09375</v>
      </c>
      <c r="M1761" s="0" t="n">
        <f aca="false">E1761*F1761</f>
        <v>0.328125</v>
      </c>
      <c r="N1761" s="0" t="n">
        <f aca="false">D1761*D1761</f>
        <v>0.0625</v>
      </c>
      <c r="O1761" s="0" t="n">
        <f aca="false">E1761*E1761</f>
        <v>0.765625</v>
      </c>
      <c r="P1761" s="0" t="n">
        <f aca="false">F1761*F1761</f>
        <v>0.140625</v>
      </c>
      <c r="Q1761" s="0" t="n">
        <f aca="false">SUMPRODUCT(G1761:P1761,_XtX!$B$71:$K$71)</f>
        <v>43.9262073863637</v>
      </c>
      <c r="R1761" s="0" t="n">
        <f aca="false">SUMPRODUCT(MMULT(G1761:P1761,_XtX!$B$58:$K$67),G1761:P1761)</f>
        <v>0.324484530362216</v>
      </c>
      <c r="S1761" s="0" t="n">
        <f aca="false">04_回帰ANOVA!$K$19*04_回帰ANOVA!$K$14*SQRT(1+R1761)</f>
        <v>1.07001553041279</v>
      </c>
      <c r="T1761" s="0" t="n">
        <f aca="false">Q1761-S1761</f>
        <v>42.8561918559509</v>
      </c>
      <c r="U1761" s="0" t="n">
        <f aca="false">Q1761+S1761</f>
        <v>44.9962229167764</v>
      </c>
      <c r="V1761" s="54" t="b">
        <f aca="false">AND(D1761&gt;=01_因子設定!$L$5-0.000000001,D1761&lt;=01_因子設定!$M$5+0.000000001,E1761&gt;=01_因子設定!$L$6-0.000000001,E1761&lt;=01_因子設定!$M$6+0.000000001,F1761&gt;=01_因子設定!$L$7-0.000000001,F1761&lt;=01_因子設定!$M$7+0.000000001,IF(01_因子設定!$B$20="Box-Behnken",D1761^2+E1761^2+F1761^2&lt;=2+0.000000001,TRUE()))</f>
        <v>1</v>
      </c>
      <c r="W1761" s="55" t="n">
        <f aca="false">IF(V1761,IF(01_因子設定!$B$13="最大化",T1761-01_因子設定!$B$14,IF(01_因子設定!$B$13="最小化",01_因子設定!$B$15-U1761,MIN(T1761-01_因子設定!$B$14,01_因子設定!$B$15-U1761))),-1E+030)</f>
        <v>-5.64380814404914</v>
      </c>
      <c r="X1761" s="55" t="n">
        <f aca="false">IF(V1761,IF(01_因子設定!$B$13="最大化",Q1761,IF(01_因子設定!$B$13="最小化",-Q1761,-ABS(Q1761-01_因子設定!$B$16))),-1E+030)</f>
        <v>43.9262073863637</v>
      </c>
      <c r="Y1761" s="55" t="n">
        <f aca="false">W1761+ROW()*0.000000001</f>
        <v>-5.64380638304914</v>
      </c>
      <c r="Z1761" s="55" t="n">
        <f aca="false">X1761+ROW()*0.000000001</f>
        <v>43.9262091473637</v>
      </c>
    </row>
    <row r="1762" customFormat="false" ht="15" hidden="false" customHeight="false" outlineLevel="0" collapsed="false">
      <c r="A1762" s="0" t="n">
        <v>6</v>
      </c>
      <c r="B1762" s="0" t="n">
        <v>1</v>
      </c>
      <c r="C1762" s="0" t="n">
        <v>6</v>
      </c>
      <c r="D1762" s="0" t="n">
        <f aca="false">-1+A1762*0.125</f>
        <v>-0.25</v>
      </c>
      <c r="E1762" s="0" t="n">
        <f aca="false">-1+B1762*0.125</f>
        <v>-0.875</v>
      </c>
      <c r="F1762" s="0" t="n">
        <f aca="false">-1+C1762*0.125</f>
        <v>-0.25</v>
      </c>
      <c r="G1762" s="0" t="n">
        <f aca="false">1</f>
        <v>1</v>
      </c>
      <c r="H1762" s="0" t="n">
        <f aca="false">D1762</f>
        <v>-0.25</v>
      </c>
      <c r="I1762" s="0" t="n">
        <f aca="false">E1762</f>
        <v>-0.875</v>
      </c>
      <c r="J1762" s="0" t="n">
        <f aca="false">F1762</f>
        <v>-0.25</v>
      </c>
      <c r="K1762" s="0" t="n">
        <f aca="false">D1762*E1762</f>
        <v>0.21875</v>
      </c>
      <c r="L1762" s="0" t="n">
        <f aca="false">D1762*F1762</f>
        <v>0.0625</v>
      </c>
      <c r="M1762" s="0" t="n">
        <f aca="false">E1762*F1762</f>
        <v>0.21875</v>
      </c>
      <c r="N1762" s="0" t="n">
        <f aca="false">D1762*D1762</f>
        <v>0.0625</v>
      </c>
      <c r="O1762" s="0" t="n">
        <f aca="false">E1762*E1762</f>
        <v>0.765625</v>
      </c>
      <c r="P1762" s="0" t="n">
        <f aca="false">F1762*F1762</f>
        <v>0.0625</v>
      </c>
      <c r="Q1762" s="0" t="n">
        <f aca="false">SUMPRODUCT(G1762:P1762,_XtX!$B$71:$K$71)</f>
        <v>44.1461505681818</v>
      </c>
      <c r="R1762" s="0" t="n">
        <f aca="false">SUMPRODUCT(MMULT(G1762:P1762,_XtX!$B$58:$K$67),G1762:P1762)</f>
        <v>0.327561257102273</v>
      </c>
      <c r="S1762" s="0" t="n">
        <f aca="false">04_回帰ANOVA!$K$19*04_回帰ANOVA!$K$14*SQRT(1+R1762)</f>
        <v>1.07125761201315</v>
      </c>
      <c r="T1762" s="0" t="n">
        <f aca="false">Q1762-S1762</f>
        <v>43.0748929561687</v>
      </c>
      <c r="U1762" s="0" t="n">
        <f aca="false">Q1762+S1762</f>
        <v>45.217408180195</v>
      </c>
      <c r="V1762" s="54" t="b">
        <f aca="false">AND(D1762&gt;=01_因子設定!$L$5-0.000000001,D1762&lt;=01_因子設定!$M$5+0.000000001,E1762&gt;=01_因子設定!$L$6-0.000000001,E1762&lt;=01_因子設定!$M$6+0.000000001,F1762&gt;=01_因子設定!$L$7-0.000000001,F1762&lt;=01_因子設定!$M$7+0.000000001,IF(01_因子設定!$B$20="Box-Behnken",D1762^2+E1762^2+F1762^2&lt;=2+0.000000001,TRUE()))</f>
        <v>1</v>
      </c>
      <c r="W1762" s="55" t="n">
        <f aca="false">IF(V1762,IF(01_因子設定!$B$13="最大化",T1762-01_因子設定!$B$14,IF(01_因子設定!$B$13="最小化",01_因子設定!$B$15-U1762,MIN(T1762-01_因子設定!$B$14,01_因子設定!$B$15-U1762))),-1E+030)</f>
        <v>-5.42510704383132</v>
      </c>
      <c r="X1762" s="55" t="n">
        <f aca="false">IF(V1762,IF(01_因子設定!$B$13="最大化",Q1762,IF(01_因子設定!$B$13="最小化",-Q1762,-ABS(Q1762-01_因子設定!$B$16))),-1E+030)</f>
        <v>44.1461505681818</v>
      </c>
      <c r="Y1762" s="55" t="n">
        <f aca="false">W1762+ROW()*0.000000001</f>
        <v>-5.42510528183132</v>
      </c>
      <c r="Z1762" s="55" t="n">
        <f aca="false">X1762+ROW()*0.000000001</f>
        <v>44.1461523301818</v>
      </c>
    </row>
    <row r="1763" customFormat="false" ht="15" hidden="false" customHeight="false" outlineLevel="0" collapsed="false">
      <c r="A1763" s="0" t="n">
        <v>6</v>
      </c>
      <c r="B1763" s="0" t="n">
        <v>1</v>
      </c>
      <c r="C1763" s="0" t="n">
        <v>7</v>
      </c>
      <c r="D1763" s="0" t="n">
        <f aca="false">-1+A1763*0.125</f>
        <v>-0.25</v>
      </c>
      <c r="E1763" s="0" t="n">
        <f aca="false">-1+B1763*0.125</f>
        <v>-0.875</v>
      </c>
      <c r="F1763" s="0" t="n">
        <f aca="false">-1+C1763*0.125</f>
        <v>-0.125</v>
      </c>
      <c r="G1763" s="0" t="n">
        <f aca="false">1</f>
        <v>1</v>
      </c>
      <c r="H1763" s="0" t="n">
        <f aca="false">D1763</f>
        <v>-0.25</v>
      </c>
      <c r="I1763" s="0" t="n">
        <f aca="false">E1763</f>
        <v>-0.875</v>
      </c>
      <c r="J1763" s="0" t="n">
        <f aca="false">F1763</f>
        <v>-0.125</v>
      </c>
      <c r="K1763" s="0" t="n">
        <f aca="false">D1763*E1763</f>
        <v>0.21875</v>
      </c>
      <c r="L1763" s="0" t="n">
        <f aca="false">D1763*F1763</f>
        <v>0.03125</v>
      </c>
      <c r="M1763" s="0" t="n">
        <f aca="false">E1763*F1763</f>
        <v>0.109375</v>
      </c>
      <c r="N1763" s="0" t="n">
        <f aca="false">D1763*D1763</f>
        <v>0.0625</v>
      </c>
      <c r="O1763" s="0" t="n">
        <f aca="false">E1763*E1763</f>
        <v>0.765625</v>
      </c>
      <c r="P1763" s="0" t="n">
        <f aca="false">F1763*F1763</f>
        <v>0.015625</v>
      </c>
      <c r="Q1763" s="0" t="n">
        <f aca="false">SUMPRODUCT(G1763:P1763,_XtX!$B$71:$K$71)</f>
        <v>44.3293039772727</v>
      </c>
      <c r="R1763" s="0" t="n">
        <f aca="false">SUMPRODUCT(MMULT(G1763:P1763,_XtX!$B$58:$K$67),G1763:P1763)</f>
        <v>0.331537974964489</v>
      </c>
      <c r="S1763" s="0" t="n">
        <f aca="false">04_回帰ANOVA!$K$19*04_回帰ANOVA!$K$14*SQRT(1+R1763)</f>
        <v>1.07286089161565</v>
      </c>
      <c r="T1763" s="0" t="n">
        <f aca="false">Q1763-S1763</f>
        <v>43.2564430856571</v>
      </c>
      <c r="U1763" s="0" t="n">
        <f aca="false">Q1763+S1763</f>
        <v>45.4021648688884</v>
      </c>
      <c r="V1763" s="54" t="b">
        <f aca="false">AND(D1763&gt;=01_因子設定!$L$5-0.000000001,D1763&lt;=01_因子設定!$M$5+0.000000001,E1763&gt;=01_因子設定!$L$6-0.000000001,E1763&lt;=01_因子設定!$M$6+0.000000001,F1763&gt;=01_因子設定!$L$7-0.000000001,F1763&lt;=01_因子設定!$M$7+0.000000001,IF(01_因子設定!$B$20="Box-Behnken",D1763^2+E1763^2+F1763^2&lt;=2+0.000000001,TRUE()))</f>
        <v>1</v>
      </c>
      <c r="W1763" s="55" t="n">
        <f aca="false">IF(V1763,IF(01_因子設定!$B$13="最大化",T1763-01_因子設定!$B$14,IF(01_因子設定!$B$13="最小化",01_因子設定!$B$15-U1763,MIN(T1763-01_因子設定!$B$14,01_因子設定!$B$15-U1763))),-1E+030)</f>
        <v>-5.24355691434292</v>
      </c>
      <c r="X1763" s="55" t="n">
        <f aca="false">IF(V1763,IF(01_因子設定!$B$13="最大化",Q1763,IF(01_因子設定!$B$13="最小化",-Q1763,-ABS(Q1763-01_因子設定!$B$16))),-1E+030)</f>
        <v>44.3293039772727</v>
      </c>
      <c r="Y1763" s="55" t="n">
        <f aca="false">W1763+ROW()*0.000000001</f>
        <v>-5.24355515134292</v>
      </c>
      <c r="Z1763" s="55" t="n">
        <f aca="false">X1763+ROW()*0.000000001</f>
        <v>44.3293057402727</v>
      </c>
    </row>
    <row r="1764" customFormat="false" ht="15" hidden="false" customHeight="false" outlineLevel="0" collapsed="false">
      <c r="A1764" s="0" t="n">
        <v>6</v>
      </c>
      <c r="B1764" s="0" t="n">
        <v>1</v>
      </c>
      <c r="C1764" s="0" t="n">
        <v>8</v>
      </c>
      <c r="D1764" s="0" t="n">
        <f aca="false">-1+A1764*0.125</f>
        <v>-0.25</v>
      </c>
      <c r="E1764" s="0" t="n">
        <f aca="false">-1+B1764*0.125</f>
        <v>-0.875</v>
      </c>
      <c r="F1764" s="0" t="n">
        <f aca="false">-1+C1764*0.125</f>
        <v>0</v>
      </c>
      <c r="G1764" s="0" t="n">
        <f aca="false">1</f>
        <v>1</v>
      </c>
      <c r="H1764" s="0" t="n">
        <f aca="false">D1764</f>
        <v>-0.25</v>
      </c>
      <c r="I1764" s="0" t="n">
        <f aca="false">E1764</f>
        <v>-0.875</v>
      </c>
      <c r="J1764" s="0" t="n">
        <f aca="false">F1764</f>
        <v>0</v>
      </c>
      <c r="K1764" s="0" t="n">
        <f aca="false">D1764*E1764</f>
        <v>0.21875</v>
      </c>
      <c r="L1764" s="0" t="n">
        <f aca="false">D1764*F1764</f>
        <v>-0</v>
      </c>
      <c r="M1764" s="0" t="n">
        <f aca="false">E1764*F1764</f>
        <v>-0</v>
      </c>
      <c r="N1764" s="0" t="n">
        <f aca="false">D1764*D1764</f>
        <v>0.0625</v>
      </c>
      <c r="O1764" s="0" t="n">
        <f aca="false">E1764*E1764</f>
        <v>0.765625</v>
      </c>
      <c r="P1764" s="0" t="n">
        <f aca="false">F1764*F1764</f>
        <v>0</v>
      </c>
      <c r="Q1764" s="0" t="n">
        <f aca="false">SUMPRODUCT(G1764:P1764,_XtX!$B$71:$K$71)</f>
        <v>44.4756676136364</v>
      </c>
      <c r="R1764" s="0" t="n">
        <f aca="false">SUMPRODUCT(MMULT(G1764:P1764,_XtX!$B$58:$K$67),G1764:P1764)</f>
        <v>0.333218661221591</v>
      </c>
      <c r="S1764" s="0" t="n">
        <f aca="false">04_回帰ANOVA!$K$19*04_回帰ANOVA!$K$14*SQRT(1+R1764)</f>
        <v>1.07353776826542</v>
      </c>
      <c r="T1764" s="0" t="n">
        <f aca="false">Q1764-S1764</f>
        <v>43.402129845371</v>
      </c>
      <c r="U1764" s="0" t="n">
        <f aca="false">Q1764+S1764</f>
        <v>45.5492053819018</v>
      </c>
      <c r="V1764" s="54" t="b">
        <f aca="false">AND(D1764&gt;=01_因子設定!$L$5-0.000000001,D1764&lt;=01_因子設定!$M$5+0.000000001,E1764&gt;=01_因子設定!$L$6-0.000000001,E1764&lt;=01_因子設定!$M$6+0.000000001,F1764&gt;=01_因子設定!$L$7-0.000000001,F1764&lt;=01_因子設定!$M$7+0.000000001,IF(01_因子設定!$B$20="Box-Behnken",D1764^2+E1764^2+F1764^2&lt;=2+0.000000001,TRUE()))</f>
        <v>1</v>
      </c>
      <c r="W1764" s="55" t="n">
        <f aca="false">IF(V1764,IF(01_因子設定!$B$13="最大化",T1764-01_因子設定!$B$14,IF(01_因子設定!$B$13="最小化",01_因子設定!$B$15-U1764,MIN(T1764-01_因子設定!$B$14,01_因子設定!$B$15-U1764))),-1E+030)</f>
        <v>-5.09787015462904</v>
      </c>
      <c r="X1764" s="55" t="n">
        <f aca="false">IF(V1764,IF(01_因子設定!$B$13="最大化",Q1764,IF(01_因子設定!$B$13="最小化",-Q1764,-ABS(Q1764-01_因子設定!$B$16))),-1E+030)</f>
        <v>44.4756676136364</v>
      </c>
      <c r="Y1764" s="55" t="n">
        <f aca="false">W1764+ROW()*0.000000001</f>
        <v>-5.09786839062904</v>
      </c>
      <c r="Z1764" s="55" t="n">
        <f aca="false">X1764+ROW()*0.000000001</f>
        <v>44.4756693776364</v>
      </c>
    </row>
    <row r="1765" customFormat="false" ht="15" hidden="false" customHeight="false" outlineLevel="0" collapsed="false">
      <c r="A1765" s="0" t="n">
        <v>6</v>
      </c>
      <c r="B1765" s="0" t="n">
        <v>1</v>
      </c>
      <c r="C1765" s="0" t="n">
        <v>9</v>
      </c>
      <c r="D1765" s="0" t="n">
        <f aca="false">-1+A1765*0.125</f>
        <v>-0.25</v>
      </c>
      <c r="E1765" s="0" t="n">
        <f aca="false">-1+B1765*0.125</f>
        <v>-0.875</v>
      </c>
      <c r="F1765" s="0" t="n">
        <f aca="false">-1+C1765*0.125</f>
        <v>0.125</v>
      </c>
      <c r="G1765" s="0" t="n">
        <f aca="false">1</f>
        <v>1</v>
      </c>
      <c r="H1765" s="0" t="n">
        <f aca="false">D1765</f>
        <v>-0.25</v>
      </c>
      <c r="I1765" s="0" t="n">
        <f aca="false">E1765</f>
        <v>-0.875</v>
      </c>
      <c r="J1765" s="0" t="n">
        <f aca="false">F1765</f>
        <v>0.125</v>
      </c>
      <c r="K1765" s="0" t="n">
        <f aca="false">D1765*E1765</f>
        <v>0.21875</v>
      </c>
      <c r="L1765" s="0" t="n">
        <f aca="false">D1765*F1765</f>
        <v>-0.03125</v>
      </c>
      <c r="M1765" s="0" t="n">
        <f aca="false">E1765*F1765</f>
        <v>-0.109375</v>
      </c>
      <c r="N1765" s="0" t="n">
        <f aca="false">D1765*D1765</f>
        <v>0.0625</v>
      </c>
      <c r="O1765" s="0" t="n">
        <f aca="false">E1765*E1765</f>
        <v>0.765625</v>
      </c>
      <c r="P1765" s="0" t="n">
        <f aca="false">F1765*F1765</f>
        <v>0.015625</v>
      </c>
      <c r="Q1765" s="0" t="n">
        <f aca="false">SUMPRODUCT(G1765:P1765,_XtX!$B$71:$K$71)</f>
        <v>44.5852414772727</v>
      </c>
      <c r="R1765" s="0" t="n">
        <f aca="false">SUMPRODUCT(MMULT(G1765:P1765,_XtX!$B$58:$K$67),G1765:P1765)</f>
        <v>0.331537974964489</v>
      </c>
      <c r="S1765" s="0" t="n">
        <f aca="false">04_回帰ANOVA!$K$19*04_回帰ANOVA!$K$14*SQRT(1+R1765)</f>
        <v>1.07286089161565</v>
      </c>
      <c r="T1765" s="0" t="n">
        <f aca="false">Q1765-S1765</f>
        <v>43.5123805856571</v>
      </c>
      <c r="U1765" s="0" t="n">
        <f aca="false">Q1765+S1765</f>
        <v>45.6581023688884</v>
      </c>
      <c r="V1765" s="54" t="b">
        <f aca="false">AND(D1765&gt;=01_因子設定!$L$5-0.000000001,D1765&lt;=01_因子設定!$M$5+0.000000001,E1765&gt;=01_因子設定!$L$6-0.000000001,E1765&lt;=01_因子設定!$M$6+0.000000001,F1765&gt;=01_因子設定!$L$7-0.000000001,F1765&lt;=01_因子設定!$M$7+0.000000001,IF(01_因子設定!$B$20="Box-Behnken",D1765^2+E1765^2+F1765^2&lt;=2+0.000000001,TRUE()))</f>
        <v>1</v>
      </c>
      <c r="W1765" s="55" t="n">
        <f aca="false">IF(V1765,IF(01_因子設定!$B$13="最大化",T1765-01_因子設定!$B$14,IF(01_因子設定!$B$13="最小化",01_因子設定!$B$15-U1765,MIN(T1765-01_因子設定!$B$14,01_因子設定!$B$15-U1765))),-1E+030)</f>
        <v>-4.98761941434292</v>
      </c>
      <c r="X1765" s="55" t="n">
        <f aca="false">IF(V1765,IF(01_因子設定!$B$13="最大化",Q1765,IF(01_因子設定!$B$13="最小化",-Q1765,-ABS(Q1765-01_因子設定!$B$16))),-1E+030)</f>
        <v>44.5852414772727</v>
      </c>
      <c r="Y1765" s="55" t="n">
        <f aca="false">W1765+ROW()*0.000000001</f>
        <v>-4.98761764934292</v>
      </c>
      <c r="Z1765" s="55" t="n">
        <f aca="false">X1765+ROW()*0.000000001</f>
        <v>44.5852432422727</v>
      </c>
    </row>
    <row r="1766" customFormat="false" ht="15" hidden="false" customHeight="false" outlineLevel="0" collapsed="false">
      <c r="A1766" s="0" t="n">
        <v>6</v>
      </c>
      <c r="B1766" s="0" t="n">
        <v>1</v>
      </c>
      <c r="C1766" s="0" t="n">
        <v>10</v>
      </c>
      <c r="D1766" s="0" t="n">
        <f aca="false">-1+A1766*0.125</f>
        <v>-0.25</v>
      </c>
      <c r="E1766" s="0" t="n">
        <f aca="false">-1+B1766*0.125</f>
        <v>-0.875</v>
      </c>
      <c r="F1766" s="0" t="n">
        <f aca="false">-1+C1766*0.125</f>
        <v>0.25</v>
      </c>
      <c r="G1766" s="0" t="n">
        <f aca="false">1</f>
        <v>1</v>
      </c>
      <c r="H1766" s="0" t="n">
        <f aca="false">D1766</f>
        <v>-0.25</v>
      </c>
      <c r="I1766" s="0" t="n">
        <f aca="false">E1766</f>
        <v>-0.875</v>
      </c>
      <c r="J1766" s="0" t="n">
        <f aca="false">F1766</f>
        <v>0.25</v>
      </c>
      <c r="K1766" s="0" t="n">
        <f aca="false">D1766*E1766</f>
        <v>0.21875</v>
      </c>
      <c r="L1766" s="0" t="n">
        <f aca="false">D1766*F1766</f>
        <v>-0.0625</v>
      </c>
      <c r="M1766" s="0" t="n">
        <f aca="false">E1766*F1766</f>
        <v>-0.21875</v>
      </c>
      <c r="N1766" s="0" t="n">
        <f aca="false">D1766*D1766</f>
        <v>0.0625</v>
      </c>
      <c r="O1766" s="0" t="n">
        <f aca="false">E1766*E1766</f>
        <v>0.765625</v>
      </c>
      <c r="P1766" s="0" t="n">
        <f aca="false">F1766*F1766</f>
        <v>0.0625</v>
      </c>
      <c r="Q1766" s="0" t="n">
        <f aca="false">SUMPRODUCT(G1766:P1766,_XtX!$B$71:$K$71)</f>
        <v>44.6580255681818</v>
      </c>
      <c r="R1766" s="0" t="n">
        <f aca="false">SUMPRODUCT(MMULT(G1766:P1766,_XtX!$B$58:$K$67),G1766:P1766)</f>
        <v>0.327561257102273</v>
      </c>
      <c r="S1766" s="0" t="n">
        <f aca="false">04_回帰ANOVA!$K$19*04_回帰ANOVA!$K$14*SQRT(1+R1766)</f>
        <v>1.07125761201315</v>
      </c>
      <c r="T1766" s="0" t="n">
        <f aca="false">Q1766-S1766</f>
        <v>43.5867679561687</v>
      </c>
      <c r="U1766" s="0" t="n">
        <f aca="false">Q1766+S1766</f>
        <v>45.729283180195</v>
      </c>
      <c r="V1766" s="54" t="b">
        <f aca="false">AND(D1766&gt;=01_因子設定!$L$5-0.000000001,D1766&lt;=01_因子設定!$M$5+0.000000001,E1766&gt;=01_因子設定!$L$6-0.000000001,E1766&lt;=01_因子設定!$M$6+0.000000001,F1766&gt;=01_因子設定!$L$7-0.000000001,F1766&lt;=01_因子設定!$M$7+0.000000001,IF(01_因子設定!$B$20="Box-Behnken",D1766^2+E1766^2+F1766^2&lt;=2+0.000000001,TRUE()))</f>
        <v>1</v>
      </c>
      <c r="W1766" s="55" t="n">
        <f aca="false">IF(V1766,IF(01_因子設定!$B$13="最大化",T1766-01_因子設定!$B$14,IF(01_因子設定!$B$13="最小化",01_因子設定!$B$15-U1766,MIN(T1766-01_因子設定!$B$14,01_因子設定!$B$15-U1766))),-1E+030)</f>
        <v>-4.91323204383132</v>
      </c>
      <c r="X1766" s="55" t="n">
        <f aca="false">IF(V1766,IF(01_因子設定!$B$13="最大化",Q1766,IF(01_因子設定!$B$13="最小化",-Q1766,-ABS(Q1766-01_因子設定!$B$16))),-1E+030)</f>
        <v>44.6580255681818</v>
      </c>
      <c r="Y1766" s="55" t="n">
        <f aca="false">W1766+ROW()*0.000000001</f>
        <v>-4.91323027783132</v>
      </c>
      <c r="Z1766" s="55" t="n">
        <f aca="false">X1766+ROW()*0.000000001</f>
        <v>44.6580273341818</v>
      </c>
    </row>
    <row r="1767" customFormat="false" ht="15" hidden="false" customHeight="false" outlineLevel="0" collapsed="false">
      <c r="A1767" s="0" t="n">
        <v>6</v>
      </c>
      <c r="B1767" s="0" t="n">
        <v>1</v>
      </c>
      <c r="C1767" s="0" t="n">
        <v>11</v>
      </c>
      <c r="D1767" s="0" t="n">
        <f aca="false">-1+A1767*0.125</f>
        <v>-0.25</v>
      </c>
      <c r="E1767" s="0" t="n">
        <f aca="false">-1+B1767*0.125</f>
        <v>-0.875</v>
      </c>
      <c r="F1767" s="0" t="n">
        <f aca="false">-1+C1767*0.125</f>
        <v>0.375</v>
      </c>
      <c r="G1767" s="0" t="n">
        <f aca="false">1</f>
        <v>1</v>
      </c>
      <c r="H1767" s="0" t="n">
        <f aca="false">D1767</f>
        <v>-0.25</v>
      </c>
      <c r="I1767" s="0" t="n">
        <f aca="false">E1767</f>
        <v>-0.875</v>
      </c>
      <c r="J1767" s="0" t="n">
        <f aca="false">F1767</f>
        <v>0.375</v>
      </c>
      <c r="K1767" s="0" t="n">
        <f aca="false">D1767*E1767</f>
        <v>0.21875</v>
      </c>
      <c r="L1767" s="0" t="n">
        <f aca="false">D1767*F1767</f>
        <v>-0.09375</v>
      </c>
      <c r="M1767" s="0" t="n">
        <f aca="false">E1767*F1767</f>
        <v>-0.328125</v>
      </c>
      <c r="N1767" s="0" t="n">
        <f aca="false">D1767*D1767</f>
        <v>0.0625</v>
      </c>
      <c r="O1767" s="0" t="n">
        <f aca="false">E1767*E1767</f>
        <v>0.765625</v>
      </c>
      <c r="P1767" s="0" t="n">
        <f aca="false">F1767*F1767</f>
        <v>0.140625</v>
      </c>
      <c r="Q1767" s="0" t="n">
        <f aca="false">SUMPRODUCT(G1767:P1767,_XtX!$B$71:$K$71)</f>
        <v>44.6940198863637</v>
      </c>
      <c r="R1767" s="0" t="n">
        <f aca="false">SUMPRODUCT(MMULT(G1767:P1767,_XtX!$B$58:$K$67),G1767:P1767)</f>
        <v>0.324484530362216</v>
      </c>
      <c r="S1767" s="0" t="n">
        <f aca="false">04_回帰ANOVA!$K$19*04_回帰ANOVA!$K$14*SQRT(1+R1767)</f>
        <v>1.07001553041279</v>
      </c>
      <c r="T1767" s="0" t="n">
        <f aca="false">Q1767-S1767</f>
        <v>43.6240043559509</v>
      </c>
      <c r="U1767" s="0" t="n">
        <f aca="false">Q1767+S1767</f>
        <v>45.7640354167764</v>
      </c>
      <c r="V1767" s="54" t="b">
        <f aca="false">AND(D1767&gt;=01_因子設定!$L$5-0.000000001,D1767&lt;=01_因子設定!$M$5+0.000000001,E1767&gt;=01_因子設定!$L$6-0.000000001,E1767&lt;=01_因子設定!$M$6+0.000000001,F1767&gt;=01_因子設定!$L$7-0.000000001,F1767&lt;=01_因子設定!$M$7+0.000000001,IF(01_因子設定!$B$20="Box-Behnken",D1767^2+E1767^2+F1767^2&lt;=2+0.000000001,TRUE()))</f>
        <v>1</v>
      </c>
      <c r="W1767" s="55" t="n">
        <f aca="false">IF(V1767,IF(01_因子設定!$B$13="最大化",T1767-01_因子設定!$B$14,IF(01_因子設定!$B$13="最小化",01_因子設定!$B$15-U1767,MIN(T1767-01_因子設定!$B$14,01_因子設定!$B$15-U1767))),-1E+030)</f>
        <v>-4.87599564404914</v>
      </c>
      <c r="X1767" s="55" t="n">
        <f aca="false">IF(V1767,IF(01_因子設定!$B$13="最大化",Q1767,IF(01_因子設定!$B$13="最小化",-Q1767,-ABS(Q1767-01_因子設定!$B$16))),-1E+030)</f>
        <v>44.6940198863637</v>
      </c>
      <c r="Y1767" s="55" t="n">
        <f aca="false">W1767+ROW()*0.000000001</f>
        <v>-4.87599387704914</v>
      </c>
      <c r="Z1767" s="55" t="n">
        <f aca="false">X1767+ROW()*0.000000001</f>
        <v>44.6940216533637</v>
      </c>
    </row>
    <row r="1768" customFormat="false" ht="15" hidden="false" customHeight="false" outlineLevel="0" collapsed="false">
      <c r="A1768" s="0" t="n">
        <v>6</v>
      </c>
      <c r="B1768" s="0" t="n">
        <v>1</v>
      </c>
      <c r="C1768" s="0" t="n">
        <v>12</v>
      </c>
      <c r="D1768" s="0" t="n">
        <f aca="false">-1+A1768*0.125</f>
        <v>-0.25</v>
      </c>
      <c r="E1768" s="0" t="n">
        <f aca="false">-1+B1768*0.125</f>
        <v>-0.875</v>
      </c>
      <c r="F1768" s="0" t="n">
        <f aca="false">-1+C1768*0.125</f>
        <v>0.5</v>
      </c>
      <c r="G1768" s="0" t="n">
        <f aca="false">1</f>
        <v>1</v>
      </c>
      <c r="H1768" s="0" t="n">
        <f aca="false">D1768</f>
        <v>-0.25</v>
      </c>
      <c r="I1768" s="0" t="n">
        <f aca="false">E1768</f>
        <v>-0.875</v>
      </c>
      <c r="J1768" s="0" t="n">
        <f aca="false">F1768</f>
        <v>0.5</v>
      </c>
      <c r="K1768" s="0" t="n">
        <f aca="false">D1768*E1768</f>
        <v>0.21875</v>
      </c>
      <c r="L1768" s="0" t="n">
        <f aca="false">D1768*F1768</f>
        <v>-0.125</v>
      </c>
      <c r="M1768" s="0" t="n">
        <f aca="false">E1768*F1768</f>
        <v>-0.4375</v>
      </c>
      <c r="N1768" s="0" t="n">
        <f aca="false">D1768*D1768</f>
        <v>0.0625</v>
      </c>
      <c r="O1768" s="0" t="n">
        <f aca="false">E1768*E1768</f>
        <v>0.765625</v>
      </c>
      <c r="P1768" s="0" t="n">
        <f aca="false">F1768*F1768</f>
        <v>0.25</v>
      </c>
      <c r="Q1768" s="0" t="n">
        <f aca="false">SUMPRODUCT(G1768:P1768,_XtX!$B$71:$K$71)</f>
        <v>44.6932244318182</v>
      </c>
      <c r="R1768" s="0" t="n">
        <f aca="false">SUMPRODUCT(MMULT(G1768:P1768,_XtX!$B$58:$K$67),G1768:P1768)</f>
        <v>0.327634499289773</v>
      </c>
      <c r="S1768" s="0" t="n">
        <f aca="false">04_回帰ANOVA!$K$19*04_回帰ANOVA!$K$14*SQRT(1+R1768)</f>
        <v>1.07128716250217</v>
      </c>
      <c r="T1768" s="0" t="n">
        <f aca="false">Q1768-S1768</f>
        <v>43.621937269316</v>
      </c>
      <c r="U1768" s="0" t="n">
        <f aca="false">Q1768+S1768</f>
        <v>45.7645115943204</v>
      </c>
      <c r="V1768" s="54" t="b">
        <f aca="false">AND(D1768&gt;=01_因子設定!$L$5-0.000000001,D1768&lt;=01_因子設定!$M$5+0.000000001,E1768&gt;=01_因子設定!$L$6-0.000000001,E1768&lt;=01_因子設定!$M$6+0.000000001,F1768&gt;=01_因子設定!$L$7-0.000000001,F1768&lt;=01_因子設定!$M$7+0.000000001,IF(01_因子設定!$B$20="Box-Behnken",D1768^2+E1768^2+F1768^2&lt;=2+0.000000001,TRUE()))</f>
        <v>1</v>
      </c>
      <c r="W1768" s="55" t="n">
        <f aca="false">IF(V1768,IF(01_因子設定!$B$13="最大化",T1768-01_因子設定!$B$14,IF(01_因子設定!$B$13="最小化",01_因子設定!$B$15-U1768,MIN(T1768-01_因子設定!$B$14,01_因子設定!$B$15-U1768))),-1E+030)</f>
        <v>-4.87806273068398</v>
      </c>
      <c r="X1768" s="55" t="n">
        <f aca="false">IF(V1768,IF(01_因子設定!$B$13="最大化",Q1768,IF(01_因子設定!$B$13="最小化",-Q1768,-ABS(Q1768-01_因子設定!$B$16))),-1E+030)</f>
        <v>44.6932244318182</v>
      </c>
      <c r="Y1768" s="55" t="n">
        <f aca="false">W1768+ROW()*0.000000001</f>
        <v>-4.87806096268398</v>
      </c>
      <c r="Z1768" s="55" t="n">
        <f aca="false">X1768+ROW()*0.000000001</f>
        <v>44.6932261998182</v>
      </c>
    </row>
    <row r="1769" customFormat="false" ht="15" hidden="false" customHeight="false" outlineLevel="0" collapsed="false">
      <c r="A1769" s="0" t="n">
        <v>6</v>
      </c>
      <c r="B1769" s="0" t="n">
        <v>1</v>
      </c>
      <c r="C1769" s="0" t="n">
        <v>13</v>
      </c>
      <c r="D1769" s="0" t="n">
        <f aca="false">-1+A1769*0.125</f>
        <v>-0.25</v>
      </c>
      <c r="E1769" s="0" t="n">
        <f aca="false">-1+B1769*0.125</f>
        <v>-0.875</v>
      </c>
      <c r="F1769" s="0" t="n">
        <f aca="false">-1+C1769*0.125</f>
        <v>0.625</v>
      </c>
      <c r="G1769" s="0" t="n">
        <f aca="false">1</f>
        <v>1</v>
      </c>
      <c r="H1769" s="0" t="n">
        <f aca="false">D1769</f>
        <v>-0.25</v>
      </c>
      <c r="I1769" s="0" t="n">
        <f aca="false">E1769</f>
        <v>-0.875</v>
      </c>
      <c r="J1769" s="0" t="n">
        <f aca="false">F1769</f>
        <v>0.625</v>
      </c>
      <c r="K1769" s="0" t="n">
        <f aca="false">D1769*E1769</f>
        <v>0.21875</v>
      </c>
      <c r="L1769" s="0" t="n">
        <f aca="false">D1769*F1769</f>
        <v>-0.15625</v>
      </c>
      <c r="M1769" s="0" t="n">
        <f aca="false">E1769*F1769</f>
        <v>-0.546875</v>
      </c>
      <c r="N1769" s="0" t="n">
        <f aca="false">D1769*D1769</f>
        <v>0.0625</v>
      </c>
      <c r="O1769" s="0" t="n">
        <f aca="false">E1769*E1769</f>
        <v>0.765625</v>
      </c>
      <c r="P1769" s="0" t="n">
        <f aca="false">F1769*F1769</f>
        <v>0.390625</v>
      </c>
      <c r="Q1769" s="0" t="n">
        <f aca="false">SUMPRODUCT(G1769:P1769,_XtX!$B$71:$K$71)</f>
        <v>44.6556392045455</v>
      </c>
      <c r="R1769" s="0" t="n">
        <f aca="false">SUMPRODUCT(MMULT(G1769:P1769,_XtX!$B$58:$K$67),G1769:P1769)</f>
        <v>0.34446855024858</v>
      </c>
      <c r="S1769" s="0" t="n">
        <f aca="false">04_回帰ANOVA!$K$19*04_回帰ANOVA!$K$14*SQRT(1+R1769)</f>
        <v>1.07805758590432</v>
      </c>
      <c r="T1769" s="0" t="n">
        <f aca="false">Q1769-S1769</f>
        <v>43.5775816186412</v>
      </c>
      <c r="U1769" s="0" t="n">
        <f aca="false">Q1769+S1769</f>
        <v>45.7336967904498</v>
      </c>
      <c r="V1769" s="54" t="b">
        <f aca="false">AND(D1769&gt;=01_因子設定!$L$5-0.000000001,D1769&lt;=01_因子設定!$M$5+0.000000001,E1769&gt;=01_因子設定!$L$6-0.000000001,E1769&lt;=01_因子設定!$M$6+0.000000001,F1769&gt;=01_因子設定!$L$7-0.000000001,F1769&lt;=01_因子設定!$M$7+0.000000001,IF(01_因子設定!$B$20="Box-Behnken",D1769^2+E1769^2+F1769^2&lt;=2+0.000000001,TRUE()))</f>
        <v>1</v>
      </c>
      <c r="W1769" s="55" t="n">
        <f aca="false">IF(V1769,IF(01_因子設定!$B$13="最大化",T1769-01_因子設定!$B$14,IF(01_因子設定!$B$13="最小化",01_因子設定!$B$15-U1769,MIN(T1769-01_因子設定!$B$14,01_因子設定!$B$15-U1769))),-1E+030)</f>
        <v>-4.92241838135885</v>
      </c>
      <c r="X1769" s="55" t="n">
        <f aca="false">IF(V1769,IF(01_因子設定!$B$13="最大化",Q1769,IF(01_因子設定!$B$13="最小化",-Q1769,-ABS(Q1769-01_因子設定!$B$16))),-1E+030)</f>
        <v>44.6556392045455</v>
      </c>
      <c r="Y1769" s="55" t="n">
        <f aca="false">W1769+ROW()*0.000000001</f>
        <v>-4.92241661235885</v>
      </c>
      <c r="Z1769" s="55" t="n">
        <f aca="false">X1769+ROW()*0.000000001</f>
        <v>44.6556409735455</v>
      </c>
    </row>
    <row r="1770" customFormat="false" ht="15" hidden="false" customHeight="false" outlineLevel="0" collapsed="false">
      <c r="A1770" s="0" t="n">
        <v>6</v>
      </c>
      <c r="B1770" s="0" t="n">
        <v>1</v>
      </c>
      <c r="C1770" s="0" t="n">
        <v>14</v>
      </c>
      <c r="D1770" s="0" t="n">
        <f aca="false">-1+A1770*0.125</f>
        <v>-0.25</v>
      </c>
      <c r="E1770" s="0" t="n">
        <f aca="false">-1+B1770*0.125</f>
        <v>-0.875</v>
      </c>
      <c r="F1770" s="0" t="n">
        <f aca="false">-1+C1770*0.125</f>
        <v>0.75</v>
      </c>
      <c r="G1770" s="0" t="n">
        <f aca="false">1</f>
        <v>1</v>
      </c>
      <c r="H1770" s="0" t="n">
        <f aca="false">D1770</f>
        <v>-0.25</v>
      </c>
      <c r="I1770" s="0" t="n">
        <f aca="false">E1770</f>
        <v>-0.875</v>
      </c>
      <c r="J1770" s="0" t="n">
        <f aca="false">F1770</f>
        <v>0.75</v>
      </c>
      <c r="K1770" s="0" t="n">
        <f aca="false">D1770*E1770</f>
        <v>0.21875</v>
      </c>
      <c r="L1770" s="0" t="n">
        <f aca="false">D1770*F1770</f>
        <v>-0.1875</v>
      </c>
      <c r="M1770" s="0" t="n">
        <f aca="false">E1770*F1770</f>
        <v>-0.65625</v>
      </c>
      <c r="N1770" s="0" t="n">
        <f aca="false">D1770*D1770</f>
        <v>0.0625</v>
      </c>
      <c r="O1770" s="0" t="n">
        <f aca="false">E1770*E1770</f>
        <v>0.765625</v>
      </c>
      <c r="P1770" s="0" t="n">
        <f aca="false">F1770*F1770</f>
        <v>0.5625</v>
      </c>
      <c r="Q1770" s="0" t="n">
        <f aca="false">SUMPRODUCT(G1770:P1770,_XtX!$B$71:$K$71)</f>
        <v>44.5812642045455</v>
      </c>
      <c r="R1770" s="0" t="n">
        <f aca="false">SUMPRODUCT(MMULT(G1770:P1770,_XtX!$B$58:$K$67),G1770:P1770)</f>
        <v>0.384574751420455</v>
      </c>
      <c r="S1770" s="0" t="n">
        <f aca="false">04_回帰ANOVA!$K$19*04_回帰ANOVA!$K$14*SQRT(1+R1770)</f>
        <v>1.0940189380139</v>
      </c>
      <c r="T1770" s="0" t="n">
        <f aca="false">Q1770-S1770</f>
        <v>43.4872452665316</v>
      </c>
      <c r="U1770" s="0" t="n">
        <f aca="false">Q1770+S1770</f>
        <v>45.6752831425594</v>
      </c>
      <c r="V1770" s="54" t="b">
        <f aca="false">AND(D1770&gt;=01_因子設定!$L$5-0.000000001,D1770&lt;=01_因子設定!$M$5+0.000000001,E1770&gt;=01_因子設定!$L$6-0.000000001,E1770&lt;=01_因子設定!$M$6+0.000000001,F1770&gt;=01_因子設定!$L$7-0.000000001,F1770&lt;=01_因子設定!$M$7+0.000000001,IF(01_因子設定!$B$20="Box-Behnken",D1770^2+E1770^2+F1770^2&lt;=2+0.000000001,TRUE()))</f>
        <v>1</v>
      </c>
      <c r="W1770" s="55" t="n">
        <f aca="false">IF(V1770,IF(01_因子設定!$B$13="最大化",T1770-01_因子設定!$B$14,IF(01_因子設定!$B$13="最小化",01_因子設定!$B$15-U1770,MIN(T1770-01_因子設定!$B$14,01_因子設定!$B$15-U1770))),-1E+030)</f>
        <v>-5.01275473346843</v>
      </c>
      <c r="X1770" s="55" t="n">
        <f aca="false">IF(V1770,IF(01_因子設定!$B$13="最大化",Q1770,IF(01_因子設定!$B$13="最小化",-Q1770,-ABS(Q1770-01_因子設定!$B$16))),-1E+030)</f>
        <v>44.5812642045455</v>
      </c>
      <c r="Y1770" s="55" t="n">
        <f aca="false">W1770+ROW()*0.000000001</f>
        <v>-5.01275296346843</v>
      </c>
      <c r="Z1770" s="55" t="n">
        <f aca="false">X1770+ROW()*0.000000001</f>
        <v>44.5812659745455</v>
      </c>
    </row>
    <row r="1771" customFormat="false" ht="15" hidden="false" customHeight="false" outlineLevel="0" collapsed="false">
      <c r="A1771" s="0" t="n">
        <v>6</v>
      </c>
      <c r="B1771" s="0" t="n">
        <v>1</v>
      </c>
      <c r="C1771" s="0" t="n">
        <v>15</v>
      </c>
      <c r="D1771" s="0" t="n">
        <f aca="false">-1+A1771*0.125</f>
        <v>-0.25</v>
      </c>
      <c r="E1771" s="0" t="n">
        <f aca="false">-1+B1771*0.125</f>
        <v>-0.875</v>
      </c>
      <c r="F1771" s="0" t="n">
        <f aca="false">-1+C1771*0.125</f>
        <v>0.875</v>
      </c>
      <c r="G1771" s="0" t="n">
        <f aca="false">1</f>
        <v>1</v>
      </c>
      <c r="H1771" s="0" t="n">
        <f aca="false">D1771</f>
        <v>-0.25</v>
      </c>
      <c r="I1771" s="0" t="n">
        <f aca="false">E1771</f>
        <v>-0.875</v>
      </c>
      <c r="J1771" s="0" t="n">
        <f aca="false">F1771</f>
        <v>0.875</v>
      </c>
      <c r="K1771" s="0" t="n">
        <f aca="false">D1771*E1771</f>
        <v>0.21875</v>
      </c>
      <c r="L1771" s="0" t="n">
        <f aca="false">D1771*F1771</f>
        <v>-0.21875</v>
      </c>
      <c r="M1771" s="0" t="n">
        <f aca="false">E1771*F1771</f>
        <v>-0.765625</v>
      </c>
      <c r="N1771" s="0" t="n">
        <f aca="false">D1771*D1771</f>
        <v>0.0625</v>
      </c>
      <c r="O1771" s="0" t="n">
        <f aca="false">E1771*E1771</f>
        <v>0.765625</v>
      </c>
      <c r="P1771" s="0" t="n">
        <f aca="false">F1771*F1771</f>
        <v>0.765625</v>
      </c>
      <c r="Q1771" s="0" t="n">
        <f aca="false">SUMPRODUCT(G1771:P1771,_XtX!$B$71:$K$71)</f>
        <v>44.4700994318182</v>
      </c>
      <c r="R1771" s="0" t="n">
        <f aca="false">SUMPRODUCT(MMULT(G1771:P1771,_XtX!$B$58:$K$67),G1771:P1771)</f>
        <v>0.459671852805398</v>
      </c>
      <c r="S1771" s="0" t="n">
        <f aca="false">04_回帰ANOVA!$K$19*04_回帰ANOVA!$K$14*SQRT(1+R1771)</f>
        <v>1.12329610455115</v>
      </c>
      <c r="T1771" s="0" t="n">
        <f aca="false">Q1771-S1771</f>
        <v>43.3468033272671</v>
      </c>
      <c r="U1771" s="0" t="n">
        <f aca="false">Q1771+S1771</f>
        <v>45.5933955363694</v>
      </c>
      <c r="V1771" s="54" t="b">
        <f aca="false">AND(D1771&gt;=01_因子設定!$L$5-0.000000001,D1771&lt;=01_因子設定!$M$5+0.000000001,E1771&gt;=01_因子設定!$L$6-0.000000001,E1771&lt;=01_因子設定!$M$6+0.000000001,F1771&gt;=01_因子設定!$L$7-0.000000001,F1771&lt;=01_因子設定!$M$7+0.000000001,IF(01_因子設定!$B$20="Box-Behnken",D1771^2+E1771^2+F1771^2&lt;=2+0.000000001,TRUE()))</f>
        <v>1</v>
      </c>
      <c r="W1771" s="55" t="n">
        <f aca="false">IF(V1771,IF(01_因子設定!$B$13="最大化",T1771-01_因子設定!$B$14,IF(01_因子設定!$B$13="最小化",01_因子設定!$B$15-U1771,MIN(T1771-01_因子設定!$B$14,01_因子設定!$B$15-U1771))),-1E+030)</f>
        <v>-5.15319667273295</v>
      </c>
      <c r="X1771" s="55" t="n">
        <f aca="false">IF(V1771,IF(01_因子設定!$B$13="最大化",Q1771,IF(01_因子設定!$B$13="最小化",-Q1771,-ABS(Q1771-01_因子設定!$B$16))),-1E+030)</f>
        <v>44.4700994318182</v>
      </c>
      <c r="Y1771" s="55" t="n">
        <f aca="false">W1771+ROW()*0.000000001</f>
        <v>-5.15319490173295</v>
      </c>
      <c r="Z1771" s="55" t="n">
        <f aca="false">X1771+ROW()*0.000000001</f>
        <v>44.4701012028182</v>
      </c>
    </row>
    <row r="1772" customFormat="false" ht="15" hidden="false" customHeight="false" outlineLevel="0" collapsed="false">
      <c r="A1772" s="0" t="n">
        <v>6</v>
      </c>
      <c r="B1772" s="0" t="n">
        <v>1</v>
      </c>
      <c r="C1772" s="0" t="n">
        <v>16</v>
      </c>
      <c r="D1772" s="0" t="n">
        <f aca="false">-1+A1772*0.125</f>
        <v>-0.25</v>
      </c>
      <c r="E1772" s="0" t="n">
        <f aca="false">-1+B1772*0.125</f>
        <v>-0.875</v>
      </c>
      <c r="F1772" s="0" t="n">
        <f aca="false">-1+C1772*0.125</f>
        <v>1</v>
      </c>
      <c r="G1772" s="0" t="n">
        <f aca="false">1</f>
        <v>1</v>
      </c>
      <c r="H1772" s="0" t="n">
        <f aca="false">D1772</f>
        <v>-0.25</v>
      </c>
      <c r="I1772" s="0" t="n">
        <f aca="false">E1772</f>
        <v>-0.875</v>
      </c>
      <c r="J1772" s="0" t="n">
        <f aca="false">F1772</f>
        <v>1</v>
      </c>
      <c r="K1772" s="0" t="n">
        <f aca="false">D1772*E1772</f>
        <v>0.21875</v>
      </c>
      <c r="L1772" s="0" t="n">
        <f aca="false">D1772*F1772</f>
        <v>-0.25</v>
      </c>
      <c r="M1772" s="0" t="n">
        <f aca="false">E1772*F1772</f>
        <v>-0.875</v>
      </c>
      <c r="N1772" s="0" t="n">
        <f aca="false">D1772*D1772</f>
        <v>0.0625</v>
      </c>
      <c r="O1772" s="0" t="n">
        <f aca="false">E1772*E1772</f>
        <v>0.765625</v>
      </c>
      <c r="P1772" s="0" t="n">
        <f aca="false">F1772*F1772</f>
        <v>1</v>
      </c>
      <c r="Q1772" s="0" t="n">
        <f aca="false">SUMPRODUCT(G1772:P1772,_XtX!$B$71:$K$71)</f>
        <v>44.3221448863637</v>
      </c>
      <c r="R1772" s="0" t="n">
        <f aca="false">SUMPRODUCT(MMULT(G1772:P1772,_XtX!$B$58:$K$67),G1772:P1772)</f>
        <v>0.583609286221591</v>
      </c>
      <c r="S1772" s="0" t="n">
        <f aca="false">04_回帰ANOVA!$K$19*04_回帰ANOVA!$K$14*SQRT(1+R1772)</f>
        <v>1.1700129157584</v>
      </c>
      <c r="T1772" s="0" t="n">
        <f aca="false">Q1772-S1772</f>
        <v>43.1521319706053</v>
      </c>
      <c r="U1772" s="0" t="n">
        <f aca="false">Q1772+S1772</f>
        <v>45.4921578021221</v>
      </c>
      <c r="V1772" s="54" t="b">
        <f aca="false">AND(D1772&gt;=01_因子設定!$L$5-0.000000001,D1772&lt;=01_因子設定!$M$5+0.000000001,E1772&gt;=01_因子設定!$L$6-0.000000001,E1772&lt;=01_因子設定!$M$6+0.000000001,F1772&gt;=01_因子設定!$L$7-0.000000001,F1772&lt;=01_因子設定!$M$7+0.000000001,IF(01_因子設定!$B$20="Box-Behnken",D1772^2+E1772^2+F1772^2&lt;=2+0.000000001,TRUE()))</f>
        <v>1</v>
      </c>
      <c r="W1772" s="55" t="n">
        <f aca="false">IF(V1772,IF(01_因子設定!$B$13="最大化",T1772-01_因子設定!$B$14,IF(01_因子設定!$B$13="最小化",01_因子設定!$B$15-U1772,MIN(T1772-01_因子設定!$B$14,01_因子設定!$B$15-U1772))),-1E+030)</f>
        <v>-5.34786802939473</v>
      </c>
      <c r="X1772" s="55" t="n">
        <f aca="false">IF(V1772,IF(01_因子設定!$B$13="最大化",Q1772,IF(01_因子設定!$B$13="最小化",-Q1772,-ABS(Q1772-01_因子設定!$B$16))),-1E+030)</f>
        <v>44.3221448863637</v>
      </c>
      <c r="Y1772" s="55" t="n">
        <f aca="false">W1772+ROW()*0.000000001</f>
        <v>-5.34786625739473</v>
      </c>
      <c r="Z1772" s="55" t="n">
        <f aca="false">X1772+ROW()*0.000000001</f>
        <v>44.3221466583637</v>
      </c>
    </row>
    <row r="1773" customFormat="false" ht="15" hidden="false" customHeight="false" outlineLevel="0" collapsed="false">
      <c r="A1773" s="0" t="n">
        <v>6</v>
      </c>
      <c r="B1773" s="0" t="n">
        <v>2</v>
      </c>
      <c r="C1773" s="0" t="n">
        <v>0</v>
      </c>
      <c r="D1773" s="0" t="n">
        <f aca="false">-1+A1773*0.125</f>
        <v>-0.25</v>
      </c>
      <c r="E1773" s="0" t="n">
        <f aca="false">-1+B1773*0.125</f>
        <v>-0.75</v>
      </c>
      <c r="F1773" s="0" t="n">
        <f aca="false">-1+C1773*0.125</f>
        <v>-1</v>
      </c>
      <c r="G1773" s="0" t="n">
        <f aca="false">1</f>
        <v>1</v>
      </c>
      <c r="H1773" s="0" t="n">
        <f aca="false">D1773</f>
        <v>-0.25</v>
      </c>
      <c r="I1773" s="0" t="n">
        <f aca="false">E1773</f>
        <v>-0.75</v>
      </c>
      <c r="J1773" s="0" t="n">
        <f aca="false">F1773</f>
        <v>-1</v>
      </c>
      <c r="K1773" s="0" t="n">
        <f aca="false">D1773*E1773</f>
        <v>0.1875</v>
      </c>
      <c r="L1773" s="0" t="n">
        <f aca="false">D1773*F1773</f>
        <v>0.25</v>
      </c>
      <c r="M1773" s="0" t="n">
        <f aca="false">E1773*F1773</f>
        <v>0.75</v>
      </c>
      <c r="N1773" s="0" t="n">
        <f aca="false">D1773*D1773</f>
        <v>0.0625</v>
      </c>
      <c r="O1773" s="0" t="n">
        <f aca="false">E1773*E1773</f>
        <v>0.5625</v>
      </c>
      <c r="P1773" s="0" t="n">
        <f aca="false">F1773*F1773</f>
        <v>1</v>
      </c>
      <c r="Q1773" s="0" t="n">
        <f aca="false">SUMPRODUCT(G1773:P1773,_XtX!$B$71:$K$71)</f>
        <v>42.8506534090909</v>
      </c>
      <c r="R1773" s="0" t="n">
        <f aca="false">SUMPRODUCT(MMULT(G1773:P1773,_XtX!$B$58:$K$67),G1773:P1773)</f>
        <v>0.515545099431818</v>
      </c>
      <c r="S1773" s="0" t="n">
        <f aca="false">04_回帰ANOVA!$K$19*04_回帰ANOVA!$K$14*SQRT(1+R1773)</f>
        <v>1.14459295464101</v>
      </c>
      <c r="T1773" s="0" t="n">
        <f aca="false">Q1773-S1773</f>
        <v>41.7060604544499</v>
      </c>
      <c r="U1773" s="0" t="n">
        <f aca="false">Q1773+S1773</f>
        <v>43.995246363732</v>
      </c>
      <c r="V1773" s="54" t="b">
        <f aca="false">AND(D1773&gt;=01_因子設定!$L$5-0.000000001,D1773&lt;=01_因子設定!$M$5+0.000000001,E1773&gt;=01_因子設定!$L$6-0.000000001,E1773&lt;=01_因子設定!$M$6+0.000000001,F1773&gt;=01_因子設定!$L$7-0.000000001,F1773&lt;=01_因子設定!$M$7+0.000000001,IF(01_因子設定!$B$20="Box-Behnken",D1773^2+E1773^2+F1773^2&lt;=2+0.000000001,TRUE()))</f>
        <v>1</v>
      </c>
      <c r="W1773" s="55" t="n">
        <f aca="false">IF(V1773,IF(01_因子設定!$B$13="最大化",T1773-01_因子設定!$B$14,IF(01_因子設定!$B$13="最小化",01_因子設定!$B$15-U1773,MIN(T1773-01_因子設定!$B$14,01_因子設定!$B$15-U1773))),-1E+030)</f>
        <v>-6.79393954555007</v>
      </c>
      <c r="X1773" s="55" t="n">
        <f aca="false">IF(V1773,IF(01_因子設定!$B$13="最大化",Q1773,IF(01_因子設定!$B$13="最小化",-Q1773,-ABS(Q1773-01_因子設定!$B$16))),-1E+030)</f>
        <v>42.8506534090909</v>
      </c>
      <c r="Y1773" s="55" t="n">
        <f aca="false">W1773+ROW()*0.000000001</f>
        <v>-6.79393777255007</v>
      </c>
      <c r="Z1773" s="55" t="n">
        <f aca="false">X1773+ROW()*0.000000001</f>
        <v>42.8506551820909</v>
      </c>
    </row>
    <row r="1774" customFormat="false" ht="15" hidden="false" customHeight="false" outlineLevel="0" collapsed="false">
      <c r="A1774" s="0" t="n">
        <v>6</v>
      </c>
      <c r="B1774" s="0" t="n">
        <v>2</v>
      </c>
      <c r="C1774" s="0" t="n">
        <v>1</v>
      </c>
      <c r="D1774" s="0" t="n">
        <f aca="false">-1+A1774*0.125</f>
        <v>-0.25</v>
      </c>
      <c r="E1774" s="0" t="n">
        <f aca="false">-1+B1774*0.125</f>
        <v>-0.75</v>
      </c>
      <c r="F1774" s="0" t="n">
        <f aca="false">-1+C1774*0.125</f>
        <v>-0.875</v>
      </c>
      <c r="G1774" s="0" t="n">
        <f aca="false">1</f>
        <v>1</v>
      </c>
      <c r="H1774" s="0" t="n">
        <f aca="false">D1774</f>
        <v>-0.25</v>
      </c>
      <c r="I1774" s="0" t="n">
        <f aca="false">E1774</f>
        <v>-0.75</v>
      </c>
      <c r="J1774" s="0" t="n">
        <f aca="false">F1774</f>
        <v>-0.875</v>
      </c>
      <c r="K1774" s="0" t="n">
        <f aca="false">D1774*E1774</f>
        <v>0.1875</v>
      </c>
      <c r="L1774" s="0" t="n">
        <f aca="false">D1774*F1774</f>
        <v>0.21875</v>
      </c>
      <c r="M1774" s="0" t="n">
        <f aca="false">E1774*F1774</f>
        <v>0.65625</v>
      </c>
      <c r="N1774" s="0" t="n">
        <f aca="false">D1774*D1774</f>
        <v>0.0625</v>
      </c>
      <c r="O1774" s="0" t="n">
        <f aca="false">E1774*E1774</f>
        <v>0.5625</v>
      </c>
      <c r="P1774" s="0" t="n">
        <f aca="false">F1774*F1774</f>
        <v>0.765625</v>
      </c>
      <c r="Q1774" s="0" t="n">
        <f aca="false">SUMPRODUCT(G1774:P1774,_XtX!$B$71:$K$71)</f>
        <v>43.2615767045455</v>
      </c>
      <c r="R1774" s="0" t="n">
        <f aca="false">SUMPRODUCT(MMULT(G1774:P1774,_XtX!$B$58:$K$67),G1774:P1774)</f>
        <v>0.384574751420455</v>
      </c>
      <c r="S1774" s="0" t="n">
        <f aca="false">04_回帰ANOVA!$K$19*04_回帰ANOVA!$K$14*SQRT(1+R1774)</f>
        <v>1.0940189380139</v>
      </c>
      <c r="T1774" s="0" t="n">
        <f aca="false">Q1774-S1774</f>
        <v>42.1675577665316</v>
      </c>
      <c r="U1774" s="0" t="n">
        <f aca="false">Q1774+S1774</f>
        <v>44.3555956425594</v>
      </c>
      <c r="V1774" s="54" t="b">
        <f aca="false">AND(D1774&gt;=01_因子設定!$L$5-0.000000001,D1774&lt;=01_因子設定!$M$5+0.000000001,E1774&gt;=01_因子設定!$L$6-0.000000001,E1774&lt;=01_因子設定!$M$6+0.000000001,F1774&gt;=01_因子設定!$L$7-0.000000001,F1774&lt;=01_因子設定!$M$7+0.000000001,IF(01_因子設定!$B$20="Box-Behnken",D1774^2+E1774^2+F1774^2&lt;=2+0.000000001,TRUE()))</f>
        <v>1</v>
      </c>
      <c r="W1774" s="55" t="n">
        <f aca="false">IF(V1774,IF(01_因子設定!$B$13="最大化",T1774-01_因子設定!$B$14,IF(01_因子設定!$B$13="最小化",01_因子設定!$B$15-U1774,MIN(T1774-01_因子設定!$B$14,01_因子設定!$B$15-U1774))),-1E+030)</f>
        <v>-6.33244223346843</v>
      </c>
      <c r="X1774" s="55" t="n">
        <f aca="false">IF(V1774,IF(01_因子設定!$B$13="最大化",Q1774,IF(01_因子設定!$B$13="最小化",-Q1774,-ABS(Q1774-01_因子設定!$B$16))),-1E+030)</f>
        <v>43.2615767045455</v>
      </c>
      <c r="Y1774" s="55" t="n">
        <f aca="false">W1774+ROW()*0.000000001</f>
        <v>-6.33244045946843</v>
      </c>
      <c r="Z1774" s="55" t="n">
        <f aca="false">X1774+ROW()*0.000000001</f>
        <v>43.2615784785455</v>
      </c>
    </row>
    <row r="1775" customFormat="false" ht="15" hidden="false" customHeight="false" outlineLevel="0" collapsed="false">
      <c r="A1775" s="0" t="n">
        <v>6</v>
      </c>
      <c r="B1775" s="0" t="n">
        <v>2</v>
      </c>
      <c r="C1775" s="0" t="n">
        <v>2</v>
      </c>
      <c r="D1775" s="0" t="n">
        <f aca="false">-1+A1775*0.125</f>
        <v>-0.25</v>
      </c>
      <c r="E1775" s="0" t="n">
        <f aca="false">-1+B1775*0.125</f>
        <v>-0.75</v>
      </c>
      <c r="F1775" s="0" t="n">
        <f aca="false">-1+C1775*0.125</f>
        <v>-0.75</v>
      </c>
      <c r="G1775" s="0" t="n">
        <f aca="false">1</f>
        <v>1</v>
      </c>
      <c r="H1775" s="0" t="n">
        <f aca="false">D1775</f>
        <v>-0.25</v>
      </c>
      <c r="I1775" s="0" t="n">
        <f aca="false">E1775</f>
        <v>-0.75</v>
      </c>
      <c r="J1775" s="0" t="n">
        <f aca="false">F1775</f>
        <v>-0.75</v>
      </c>
      <c r="K1775" s="0" t="n">
        <f aca="false">D1775*E1775</f>
        <v>0.1875</v>
      </c>
      <c r="L1775" s="0" t="n">
        <f aca="false">D1775*F1775</f>
        <v>0.1875</v>
      </c>
      <c r="M1775" s="0" t="n">
        <f aca="false">E1775*F1775</f>
        <v>0.5625</v>
      </c>
      <c r="N1775" s="0" t="n">
        <f aca="false">D1775*D1775</f>
        <v>0.0625</v>
      </c>
      <c r="O1775" s="0" t="n">
        <f aca="false">E1775*E1775</f>
        <v>0.5625</v>
      </c>
      <c r="P1775" s="0" t="n">
        <f aca="false">F1775*F1775</f>
        <v>0.5625</v>
      </c>
      <c r="Q1775" s="0" t="n">
        <f aca="false">SUMPRODUCT(G1775:P1775,_XtX!$B$71:$K$71)</f>
        <v>43.6357102272727</v>
      </c>
      <c r="R1775" s="0" t="n">
        <f aca="false">SUMPRODUCT(MMULT(G1775:P1775,_XtX!$B$58:$K$67),G1775:P1775)</f>
        <v>0.303382457386364</v>
      </c>
      <c r="S1775" s="0" t="n">
        <f aca="false">04_回帰ANOVA!$K$19*04_回帰ANOVA!$K$14*SQRT(1+R1775)</f>
        <v>1.06145740650883</v>
      </c>
      <c r="T1775" s="0" t="n">
        <f aca="false">Q1775-S1775</f>
        <v>42.5742528207639</v>
      </c>
      <c r="U1775" s="0" t="n">
        <f aca="false">Q1775+S1775</f>
        <v>44.6971676337816</v>
      </c>
      <c r="V1775" s="54" t="b">
        <f aca="false">AND(D1775&gt;=01_因子設定!$L$5-0.000000001,D1775&lt;=01_因子設定!$M$5+0.000000001,E1775&gt;=01_因子設定!$L$6-0.000000001,E1775&lt;=01_因子設定!$M$6+0.000000001,F1775&gt;=01_因子設定!$L$7-0.000000001,F1775&lt;=01_因子設定!$M$7+0.000000001,IF(01_因子設定!$B$20="Box-Behnken",D1775^2+E1775^2+F1775^2&lt;=2+0.000000001,TRUE()))</f>
        <v>1</v>
      </c>
      <c r="W1775" s="55" t="n">
        <f aca="false">IF(V1775,IF(01_因子設定!$B$13="最大化",T1775-01_因子設定!$B$14,IF(01_因子設定!$B$13="最小化",01_因子設定!$B$15-U1775,MIN(T1775-01_因子設定!$B$14,01_因子設定!$B$15-U1775))),-1E+030)</f>
        <v>-5.92574717923609</v>
      </c>
      <c r="X1775" s="55" t="n">
        <f aca="false">IF(V1775,IF(01_因子設定!$B$13="最大化",Q1775,IF(01_因子設定!$B$13="最小化",-Q1775,-ABS(Q1775-01_因子設定!$B$16))),-1E+030)</f>
        <v>43.6357102272727</v>
      </c>
      <c r="Y1775" s="55" t="n">
        <f aca="false">W1775+ROW()*0.000000001</f>
        <v>-5.92574540423609</v>
      </c>
      <c r="Z1775" s="55" t="n">
        <f aca="false">X1775+ROW()*0.000000001</f>
        <v>43.6357120022728</v>
      </c>
    </row>
    <row r="1776" customFormat="false" ht="15" hidden="false" customHeight="false" outlineLevel="0" collapsed="false">
      <c r="A1776" s="0" t="n">
        <v>6</v>
      </c>
      <c r="B1776" s="0" t="n">
        <v>2</v>
      </c>
      <c r="C1776" s="0" t="n">
        <v>3</v>
      </c>
      <c r="D1776" s="0" t="n">
        <f aca="false">-1+A1776*0.125</f>
        <v>-0.25</v>
      </c>
      <c r="E1776" s="0" t="n">
        <f aca="false">-1+B1776*0.125</f>
        <v>-0.75</v>
      </c>
      <c r="F1776" s="0" t="n">
        <f aca="false">-1+C1776*0.125</f>
        <v>-0.625</v>
      </c>
      <c r="G1776" s="0" t="n">
        <f aca="false">1</f>
        <v>1</v>
      </c>
      <c r="H1776" s="0" t="n">
        <f aca="false">D1776</f>
        <v>-0.25</v>
      </c>
      <c r="I1776" s="0" t="n">
        <f aca="false">E1776</f>
        <v>-0.75</v>
      </c>
      <c r="J1776" s="0" t="n">
        <f aca="false">F1776</f>
        <v>-0.625</v>
      </c>
      <c r="K1776" s="0" t="n">
        <f aca="false">D1776*E1776</f>
        <v>0.1875</v>
      </c>
      <c r="L1776" s="0" t="n">
        <f aca="false">D1776*F1776</f>
        <v>0.15625</v>
      </c>
      <c r="M1776" s="0" t="n">
        <f aca="false">E1776*F1776</f>
        <v>0.46875</v>
      </c>
      <c r="N1776" s="0" t="n">
        <f aca="false">D1776*D1776</f>
        <v>0.0625</v>
      </c>
      <c r="O1776" s="0" t="n">
        <f aca="false">E1776*E1776</f>
        <v>0.5625</v>
      </c>
      <c r="P1776" s="0" t="n">
        <f aca="false">F1776*F1776</f>
        <v>0.390625</v>
      </c>
      <c r="Q1776" s="0" t="n">
        <f aca="false">SUMPRODUCT(G1776:P1776,_XtX!$B$71:$K$71)</f>
        <v>43.9730539772727</v>
      </c>
      <c r="R1776" s="0" t="n">
        <f aca="false">SUMPRODUCT(MMULT(G1776:P1776,_XtX!$B$58:$K$67),G1776:P1776)</f>
        <v>0.258118785511364</v>
      </c>
      <c r="S1776" s="0" t="n">
        <f aca="false">04_回帰ANOVA!$K$19*04_回帰ANOVA!$K$14*SQRT(1+R1776)</f>
        <v>1.04286348094876</v>
      </c>
      <c r="T1776" s="0" t="n">
        <f aca="false">Q1776-S1776</f>
        <v>42.930190496324</v>
      </c>
      <c r="U1776" s="0" t="n">
        <f aca="false">Q1776+S1776</f>
        <v>45.0159174582215</v>
      </c>
      <c r="V1776" s="54" t="b">
        <f aca="false">AND(D1776&gt;=01_因子設定!$L$5-0.000000001,D1776&lt;=01_因子設定!$M$5+0.000000001,E1776&gt;=01_因子設定!$L$6-0.000000001,E1776&lt;=01_因子設定!$M$6+0.000000001,F1776&gt;=01_因子設定!$L$7-0.000000001,F1776&lt;=01_因子設定!$M$7+0.000000001,IF(01_因子設定!$B$20="Box-Behnken",D1776^2+E1776^2+F1776^2&lt;=2+0.000000001,TRUE()))</f>
        <v>1</v>
      </c>
      <c r="W1776" s="55" t="n">
        <f aca="false">IF(V1776,IF(01_因子設定!$B$13="最大化",T1776-01_因子設定!$B$14,IF(01_因子設定!$B$13="最小化",01_因子設定!$B$15-U1776,MIN(T1776-01_因子設定!$B$14,01_因子設定!$B$15-U1776))),-1E+030)</f>
        <v>-5.56980950367602</v>
      </c>
      <c r="X1776" s="55" t="n">
        <f aca="false">IF(V1776,IF(01_因子設定!$B$13="最大化",Q1776,IF(01_因子設定!$B$13="最小化",-Q1776,-ABS(Q1776-01_因子設定!$B$16))),-1E+030)</f>
        <v>43.9730539772727</v>
      </c>
      <c r="Y1776" s="55" t="n">
        <f aca="false">W1776+ROW()*0.000000001</f>
        <v>-5.56980772767602</v>
      </c>
      <c r="Z1776" s="55" t="n">
        <f aca="false">X1776+ROW()*0.000000001</f>
        <v>43.9730557532727</v>
      </c>
    </row>
    <row r="1777" customFormat="false" ht="15" hidden="false" customHeight="false" outlineLevel="0" collapsed="false">
      <c r="A1777" s="0" t="n">
        <v>6</v>
      </c>
      <c r="B1777" s="0" t="n">
        <v>2</v>
      </c>
      <c r="C1777" s="0" t="n">
        <v>4</v>
      </c>
      <c r="D1777" s="0" t="n">
        <f aca="false">-1+A1777*0.125</f>
        <v>-0.25</v>
      </c>
      <c r="E1777" s="0" t="n">
        <f aca="false">-1+B1777*0.125</f>
        <v>-0.75</v>
      </c>
      <c r="F1777" s="0" t="n">
        <f aca="false">-1+C1777*0.125</f>
        <v>-0.5</v>
      </c>
      <c r="G1777" s="0" t="n">
        <f aca="false">1</f>
        <v>1</v>
      </c>
      <c r="H1777" s="0" t="n">
        <f aca="false">D1777</f>
        <v>-0.25</v>
      </c>
      <c r="I1777" s="0" t="n">
        <f aca="false">E1777</f>
        <v>-0.75</v>
      </c>
      <c r="J1777" s="0" t="n">
        <f aca="false">F1777</f>
        <v>-0.5</v>
      </c>
      <c r="K1777" s="0" t="n">
        <f aca="false">D1777*E1777</f>
        <v>0.1875</v>
      </c>
      <c r="L1777" s="0" t="n">
        <f aca="false">D1777*F1777</f>
        <v>0.125</v>
      </c>
      <c r="M1777" s="0" t="n">
        <f aca="false">E1777*F1777</f>
        <v>0.375</v>
      </c>
      <c r="N1777" s="0" t="n">
        <f aca="false">D1777*D1777</f>
        <v>0.0625</v>
      </c>
      <c r="O1777" s="0" t="n">
        <f aca="false">E1777*E1777</f>
        <v>0.5625</v>
      </c>
      <c r="P1777" s="0" t="n">
        <f aca="false">F1777*F1777</f>
        <v>0.25</v>
      </c>
      <c r="Q1777" s="0" t="n">
        <f aca="false">SUMPRODUCT(G1777:P1777,_XtX!$B$71:$K$71)</f>
        <v>44.2736079545455</v>
      </c>
      <c r="R1777" s="0" t="n">
        <f aca="false">SUMPRODUCT(MMULT(G1777:P1777,_XtX!$B$58:$K$67),G1777:P1777)</f>
        <v>0.237064985795455</v>
      </c>
      <c r="S1777" s="0" t="n">
        <f aca="false">04_回帰ANOVA!$K$19*04_回帰ANOVA!$K$14*SQRT(1+R1777)</f>
        <v>1.03410084594745</v>
      </c>
      <c r="T1777" s="0" t="n">
        <f aca="false">Q1777-S1777</f>
        <v>43.239507108598</v>
      </c>
      <c r="U1777" s="0" t="n">
        <f aca="false">Q1777+S1777</f>
        <v>45.3077088004929</v>
      </c>
      <c r="V1777" s="54" t="b">
        <f aca="false">AND(D1777&gt;=01_因子設定!$L$5-0.000000001,D1777&lt;=01_因子設定!$M$5+0.000000001,E1777&gt;=01_因子設定!$L$6-0.000000001,E1777&lt;=01_因子設定!$M$6+0.000000001,F1777&gt;=01_因子設定!$L$7-0.000000001,F1777&lt;=01_因子設定!$M$7+0.000000001,IF(01_因子設定!$B$20="Box-Behnken",D1777^2+E1777^2+F1777^2&lt;=2+0.000000001,TRUE()))</f>
        <v>1</v>
      </c>
      <c r="W1777" s="55" t="n">
        <f aca="false">IF(V1777,IF(01_因子設定!$B$13="最大化",T1777-01_因子設定!$B$14,IF(01_因子設定!$B$13="最小化",01_因子設定!$B$15-U1777,MIN(T1777-01_因子設定!$B$14,01_因子設定!$B$15-U1777))),-1E+030)</f>
        <v>-5.26049289140197</v>
      </c>
      <c r="X1777" s="55" t="n">
        <f aca="false">IF(V1777,IF(01_因子設定!$B$13="最大化",Q1777,IF(01_因子設定!$B$13="最小化",-Q1777,-ABS(Q1777-01_因子設定!$B$16))),-1E+030)</f>
        <v>44.2736079545455</v>
      </c>
      <c r="Y1777" s="55" t="n">
        <f aca="false">W1777+ROW()*0.000000001</f>
        <v>-5.26049111440197</v>
      </c>
      <c r="Z1777" s="55" t="n">
        <f aca="false">X1777+ROW()*0.000000001</f>
        <v>44.2736097315455</v>
      </c>
    </row>
    <row r="1778" customFormat="false" ht="15" hidden="false" customHeight="false" outlineLevel="0" collapsed="false">
      <c r="A1778" s="0" t="n">
        <v>6</v>
      </c>
      <c r="B1778" s="0" t="n">
        <v>2</v>
      </c>
      <c r="C1778" s="0" t="n">
        <v>5</v>
      </c>
      <c r="D1778" s="0" t="n">
        <f aca="false">-1+A1778*0.125</f>
        <v>-0.25</v>
      </c>
      <c r="E1778" s="0" t="n">
        <f aca="false">-1+B1778*0.125</f>
        <v>-0.75</v>
      </c>
      <c r="F1778" s="0" t="n">
        <f aca="false">-1+C1778*0.125</f>
        <v>-0.375</v>
      </c>
      <c r="G1778" s="0" t="n">
        <f aca="false">1</f>
        <v>1</v>
      </c>
      <c r="H1778" s="0" t="n">
        <f aca="false">D1778</f>
        <v>-0.25</v>
      </c>
      <c r="I1778" s="0" t="n">
        <f aca="false">E1778</f>
        <v>-0.75</v>
      </c>
      <c r="J1778" s="0" t="n">
        <f aca="false">F1778</f>
        <v>-0.375</v>
      </c>
      <c r="K1778" s="0" t="n">
        <f aca="false">D1778*E1778</f>
        <v>0.1875</v>
      </c>
      <c r="L1778" s="0" t="n">
        <f aca="false">D1778*F1778</f>
        <v>0.09375</v>
      </c>
      <c r="M1778" s="0" t="n">
        <f aca="false">E1778*F1778</f>
        <v>0.28125</v>
      </c>
      <c r="N1778" s="0" t="n">
        <f aca="false">D1778*D1778</f>
        <v>0.0625</v>
      </c>
      <c r="O1778" s="0" t="n">
        <f aca="false">E1778*E1778</f>
        <v>0.5625</v>
      </c>
      <c r="P1778" s="0" t="n">
        <f aca="false">F1778*F1778</f>
        <v>0.140625</v>
      </c>
      <c r="Q1778" s="0" t="n">
        <f aca="false">SUMPRODUCT(G1778:P1778,_XtX!$B$71:$K$71)</f>
        <v>44.5373721590909</v>
      </c>
      <c r="R1778" s="0" t="n">
        <f aca="false">SUMPRODUCT(MMULT(G1778:P1778,_XtX!$B$58:$K$67),G1778:P1778)</f>
        <v>0.230632990056818</v>
      </c>
      <c r="S1778" s="0" t="n">
        <f aca="false">04_回帰ANOVA!$K$19*04_回帰ANOVA!$K$14*SQRT(1+R1778)</f>
        <v>1.03140899038819</v>
      </c>
      <c r="T1778" s="0" t="n">
        <f aca="false">Q1778-S1778</f>
        <v>43.5059631687027</v>
      </c>
      <c r="U1778" s="0" t="n">
        <f aca="false">Q1778+S1778</f>
        <v>45.5687811494791</v>
      </c>
      <c r="V1778" s="54" t="b">
        <f aca="false">AND(D1778&gt;=01_因子設定!$L$5-0.000000001,D1778&lt;=01_因子設定!$M$5+0.000000001,E1778&gt;=01_因子設定!$L$6-0.000000001,E1778&lt;=01_因子設定!$M$6+0.000000001,F1778&gt;=01_因子設定!$L$7-0.000000001,F1778&lt;=01_因子設定!$M$7+0.000000001,IF(01_因子設定!$B$20="Box-Behnken",D1778^2+E1778^2+F1778^2&lt;=2+0.000000001,TRUE()))</f>
        <v>1</v>
      </c>
      <c r="W1778" s="55" t="n">
        <f aca="false">IF(V1778,IF(01_因子設定!$B$13="最大化",T1778-01_因子設定!$B$14,IF(01_因子設定!$B$13="最小化",01_因子設定!$B$15-U1778,MIN(T1778-01_因子設定!$B$14,01_因子設定!$B$15-U1778))),-1E+030)</f>
        <v>-4.99403683129727</v>
      </c>
      <c r="X1778" s="55" t="n">
        <f aca="false">IF(V1778,IF(01_因子設定!$B$13="最大化",Q1778,IF(01_因子設定!$B$13="最小化",-Q1778,-ABS(Q1778-01_因子設定!$B$16))),-1E+030)</f>
        <v>44.5373721590909</v>
      </c>
      <c r="Y1778" s="55" t="n">
        <f aca="false">W1778+ROW()*0.000000001</f>
        <v>-4.99403505329727</v>
      </c>
      <c r="Z1778" s="55" t="n">
        <f aca="false">X1778+ROW()*0.000000001</f>
        <v>44.5373739370909</v>
      </c>
    </row>
    <row r="1779" customFormat="false" ht="15" hidden="false" customHeight="false" outlineLevel="0" collapsed="false">
      <c r="A1779" s="0" t="n">
        <v>6</v>
      </c>
      <c r="B1779" s="0" t="n">
        <v>2</v>
      </c>
      <c r="C1779" s="0" t="n">
        <v>6</v>
      </c>
      <c r="D1779" s="0" t="n">
        <f aca="false">-1+A1779*0.125</f>
        <v>-0.25</v>
      </c>
      <c r="E1779" s="0" t="n">
        <f aca="false">-1+B1779*0.125</f>
        <v>-0.75</v>
      </c>
      <c r="F1779" s="0" t="n">
        <f aca="false">-1+C1779*0.125</f>
        <v>-0.25</v>
      </c>
      <c r="G1779" s="0" t="n">
        <f aca="false">1</f>
        <v>1</v>
      </c>
      <c r="H1779" s="0" t="n">
        <f aca="false">D1779</f>
        <v>-0.25</v>
      </c>
      <c r="I1779" s="0" t="n">
        <f aca="false">E1779</f>
        <v>-0.75</v>
      </c>
      <c r="J1779" s="0" t="n">
        <f aca="false">F1779</f>
        <v>-0.25</v>
      </c>
      <c r="K1779" s="0" t="n">
        <f aca="false">D1779*E1779</f>
        <v>0.1875</v>
      </c>
      <c r="L1779" s="0" t="n">
        <f aca="false">D1779*F1779</f>
        <v>0.0625</v>
      </c>
      <c r="M1779" s="0" t="n">
        <f aca="false">E1779*F1779</f>
        <v>0.1875</v>
      </c>
      <c r="N1779" s="0" t="n">
        <f aca="false">D1779*D1779</f>
        <v>0.0625</v>
      </c>
      <c r="O1779" s="0" t="n">
        <f aca="false">E1779*E1779</f>
        <v>0.5625</v>
      </c>
      <c r="P1779" s="0" t="n">
        <f aca="false">F1779*F1779</f>
        <v>0.0625</v>
      </c>
      <c r="Q1779" s="0" t="n">
        <f aca="false">SUMPRODUCT(G1779:P1779,_XtX!$B$71:$K$71)</f>
        <v>44.7643465909091</v>
      </c>
      <c r="R1779" s="0" t="n">
        <f aca="false">SUMPRODUCT(MMULT(G1779:P1779,_XtX!$B$58:$K$67),G1779:P1779)</f>
        <v>0.231365411931818</v>
      </c>
      <c r="S1779" s="0" t="n">
        <f aca="false">04_回帰ANOVA!$K$19*04_回帰ANOVA!$K$14*SQRT(1+R1779)</f>
        <v>1.03171587072803</v>
      </c>
      <c r="T1779" s="0" t="n">
        <f aca="false">Q1779-S1779</f>
        <v>43.7326307201811</v>
      </c>
      <c r="U1779" s="0" t="n">
        <f aca="false">Q1779+S1779</f>
        <v>45.7960624616371</v>
      </c>
      <c r="V1779" s="54" t="b">
        <f aca="false">AND(D1779&gt;=01_因子設定!$L$5-0.000000001,D1779&lt;=01_因子設定!$M$5+0.000000001,E1779&gt;=01_因子設定!$L$6-0.000000001,E1779&lt;=01_因子設定!$M$6+0.000000001,F1779&gt;=01_因子設定!$L$7-0.000000001,F1779&lt;=01_因子設定!$M$7+0.000000001,IF(01_因子設定!$B$20="Box-Behnken",D1779^2+E1779^2+F1779^2&lt;=2+0.000000001,TRUE()))</f>
        <v>1</v>
      </c>
      <c r="W1779" s="55" t="n">
        <f aca="false">IF(V1779,IF(01_因子設定!$B$13="最大化",T1779-01_因子設定!$B$14,IF(01_因子設定!$B$13="最小化",01_因子設定!$B$15-U1779,MIN(T1779-01_因子設定!$B$14,01_因子設定!$B$15-U1779))),-1E+030)</f>
        <v>-4.76736927981893</v>
      </c>
      <c r="X1779" s="55" t="n">
        <f aca="false">IF(V1779,IF(01_因子設定!$B$13="最大化",Q1779,IF(01_因子設定!$B$13="最小化",-Q1779,-ABS(Q1779-01_因子設定!$B$16))),-1E+030)</f>
        <v>44.7643465909091</v>
      </c>
      <c r="Y1779" s="55" t="n">
        <f aca="false">W1779+ROW()*0.000000001</f>
        <v>-4.76736750081893</v>
      </c>
      <c r="Z1779" s="55" t="n">
        <f aca="false">X1779+ROW()*0.000000001</f>
        <v>44.7643483699091</v>
      </c>
    </row>
    <row r="1780" customFormat="false" ht="15" hidden="false" customHeight="false" outlineLevel="0" collapsed="false">
      <c r="A1780" s="0" t="n">
        <v>6</v>
      </c>
      <c r="B1780" s="0" t="n">
        <v>2</v>
      </c>
      <c r="C1780" s="0" t="n">
        <v>7</v>
      </c>
      <c r="D1780" s="0" t="n">
        <f aca="false">-1+A1780*0.125</f>
        <v>-0.25</v>
      </c>
      <c r="E1780" s="0" t="n">
        <f aca="false">-1+B1780*0.125</f>
        <v>-0.75</v>
      </c>
      <c r="F1780" s="0" t="n">
        <f aca="false">-1+C1780*0.125</f>
        <v>-0.125</v>
      </c>
      <c r="G1780" s="0" t="n">
        <f aca="false">1</f>
        <v>1</v>
      </c>
      <c r="H1780" s="0" t="n">
        <f aca="false">D1780</f>
        <v>-0.25</v>
      </c>
      <c r="I1780" s="0" t="n">
        <f aca="false">E1780</f>
        <v>-0.75</v>
      </c>
      <c r="J1780" s="0" t="n">
        <f aca="false">F1780</f>
        <v>-0.125</v>
      </c>
      <c r="K1780" s="0" t="n">
        <f aca="false">D1780*E1780</f>
        <v>0.1875</v>
      </c>
      <c r="L1780" s="0" t="n">
        <f aca="false">D1780*F1780</f>
        <v>0.03125</v>
      </c>
      <c r="M1780" s="0" t="n">
        <f aca="false">E1780*F1780</f>
        <v>0.09375</v>
      </c>
      <c r="N1780" s="0" t="n">
        <f aca="false">D1780*D1780</f>
        <v>0.0625</v>
      </c>
      <c r="O1780" s="0" t="n">
        <f aca="false">E1780*E1780</f>
        <v>0.5625</v>
      </c>
      <c r="P1780" s="0" t="n">
        <f aca="false">F1780*F1780</f>
        <v>0.015625</v>
      </c>
      <c r="Q1780" s="0" t="n">
        <f aca="false">SUMPRODUCT(G1780:P1780,_XtX!$B$71:$K$71)</f>
        <v>44.95453125</v>
      </c>
      <c r="R1780" s="0" t="n">
        <f aca="false">SUMPRODUCT(MMULT(G1780:P1780,_XtX!$B$58:$K$67),G1780:P1780)</f>
        <v>0.233935546875</v>
      </c>
      <c r="S1780" s="0" t="n">
        <f aca="false">04_回帰ANOVA!$K$19*04_回帰ANOVA!$K$14*SQRT(1+R1780)</f>
        <v>1.03279202033444</v>
      </c>
      <c r="T1780" s="0" t="n">
        <f aca="false">Q1780-S1780</f>
        <v>43.9217392296656</v>
      </c>
      <c r="U1780" s="0" t="n">
        <f aca="false">Q1780+S1780</f>
        <v>45.9873232703345</v>
      </c>
      <c r="V1780" s="54" t="b">
        <f aca="false">AND(D1780&gt;=01_因子設定!$L$5-0.000000001,D1780&lt;=01_因子設定!$M$5+0.000000001,E1780&gt;=01_因子設定!$L$6-0.000000001,E1780&lt;=01_因子設定!$M$6+0.000000001,F1780&gt;=01_因子設定!$L$7-0.000000001,F1780&lt;=01_因子設定!$M$7+0.000000001,IF(01_因子設定!$B$20="Box-Behnken",D1780^2+E1780^2+F1780^2&lt;=2+0.000000001,TRUE()))</f>
        <v>1</v>
      </c>
      <c r="W1780" s="55" t="n">
        <f aca="false">IF(V1780,IF(01_因子設定!$B$13="最大化",T1780-01_因子設定!$B$14,IF(01_因子設定!$B$13="最小化",01_因子設定!$B$15-U1780,MIN(T1780-01_因子設定!$B$14,01_因子設定!$B$15-U1780))),-1E+030)</f>
        <v>-4.57826077033443</v>
      </c>
      <c r="X1780" s="55" t="n">
        <f aca="false">IF(V1780,IF(01_因子設定!$B$13="最大化",Q1780,IF(01_因子設定!$B$13="最小化",-Q1780,-ABS(Q1780-01_因子設定!$B$16))),-1E+030)</f>
        <v>44.95453125</v>
      </c>
      <c r="Y1780" s="55" t="n">
        <f aca="false">W1780+ROW()*0.000000001</f>
        <v>-4.57825899033443</v>
      </c>
      <c r="Z1780" s="55" t="n">
        <f aca="false">X1780+ROW()*0.000000001</f>
        <v>44.95453303</v>
      </c>
    </row>
    <row r="1781" customFormat="false" ht="15" hidden="false" customHeight="false" outlineLevel="0" collapsed="false">
      <c r="A1781" s="0" t="n">
        <v>6</v>
      </c>
      <c r="B1781" s="0" t="n">
        <v>2</v>
      </c>
      <c r="C1781" s="0" t="n">
        <v>8</v>
      </c>
      <c r="D1781" s="0" t="n">
        <f aca="false">-1+A1781*0.125</f>
        <v>-0.25</v>
      </c>
      <c r="E1781" s="0" t="n">
        <f aca="false">-1+B1781*0.125</f>
        <v>-0.75</v>
      </c>
      <c r="F1781" s="0" t="n">
        <f aca="false">-1+C1781*0.125</f>
        <v>0</v>
      </c>
      <c r="G1781" s="0" t="n">
        <f aca="false">1</f>
        <v>1</v>
      </c>
      <c r="H1781" s="0" t="n">
        <f aca="false">D1781</f>
        <v>-0.25</v>
      </c>
      <c r="I1781" s="0" t="n">
        <f aca="false">E1781</f>
        <v>-0.75</v>
      </c>
      <c r="J1781" s="0" t="n">
        <f aca="false">F1781</f>
        <v>0</v>
      </c>
      <c r="K1781" s="0" t="n">
        <f aca="false">D1781*E1781</f>
        <v>0.1875</v>
      </c>
      <c r="L1781" s="0" t="n">
        <f aca="false">D1781*F1781</f>
        <v>-0</v>
      </c>
      <c r="M1781" s="0" t="n">
        <f aca="false">E1781*F1781</f>
        <v>-0</v>
      </c>
      <c r="N1781" s="0" t="n">
        <f aca="false">D1781*D1781</f>
        <v>0.0625</v>
      </c>
      <c r="O1781" s="0" t="n">
        <f aca="false">E1781*E1781</f>
        <v>0.5625</v>
      </c>
      <c r="P1781" s="0" t="n">
        <f aca="false">F1781*F1781</f>
        <v>0</v>
      </c>
      <c r="Q1781" s="0" t="n">
        <f aca="false">SUMPRODUCT(G1781:P1781,_XtX!$B$71:$K$71)</f>
        <v>45.1079261363636</v>
      </c>
      <c r="R1781" s="0" t="n">
        <f aca="false">SUMPRODUCT(MMULT(G1781:P1781,_XtX!$B$58:$K$67),G1781:P1781)</f>
        <v>0.235147372159091</v>
      </c>
      <c r="S1781" s="0" t="n">
        <f aca="false">04_回帰ANOVA!$K$19*04_回帰ANOVA!$K$14*SQRT(1+R1781)</f>
        <v>1.03329903885461</v>
      </c>
      <c r="T1781" s="0" t="n">
        <f aca="false">Q1781-S1781</f>
        <v>44.074627097509</v>
      </c>
      <c r="U1781" s="0" t="n">
        <f aca="false">Q1781+S1781</f>
        <v>46.1412251752183</v>
      </c>
      <c r="V1781" s="54" t="b">
        <f aca="false">AND(D1781&gt;=01_因子設定!$L$5-0.000000001,D1781&lt;=01_因子設定!$M$5+0.000000001,E1781&gt;=01_因子設定!$L$6-0.000000001,E1781&lt;=01_因子設定!$M$6+0.000000001,F1781&gt;=01_因子設定!$L$7-0.000000001,F1781&lt;=01_因子設定!$M$7+0.000000001,IF(01_因子設定!$B$20="Box-Behnken",D1781^2+E1781^2+F1781^2&lt;=2+0.000000001,TRUE()))</f>
        <v>1</v>
      </c>
      <c r="W1781" s="55" t="n">
        <f aca="false">IF(V1781,IF(01_因子設定!$B$13="最大化",T1781-01_因子設定!$B$14,IF(01_因子設定!$B$13="最小化",01_因子設定!$B$15-U1781,MIN(T1781-01_因子設定!$B$14,01_因子設定!$B$15-U1781))),-1E+030)</f>
        <v>-4.42537290249096</v>
      </c>
      <c r="X1781" s="55" t="n">
        <f aca="false">IF(V1781,IF(01_因子設定!$B$13="最大化",Q1781,IF(01_因子設定!$B$13="最小化",-Q1781,-ABS(Q1781-01_因子設定!$B$16))),-1E+030)</f>
        <v>45.1079261363636</v>
      </c>
      <c r="Y1781" s="55" t="n">
        <f aca="false">W1781+ROW()*0.000000001</f>
        <v>-4.42537112149096</v>
      </c>
      <c r="Z1781" s="55" t="n">
        <f aca="false">X1781+ROW()*0.000000001</f>
        <v>45.1079279173637</v>
      </c>
    </row>
    <row r="1782" customFormat="false" ht="15" hidden="false" customHeight="false" outlineLevel="0" collapsed="false">
      <c r="A1782" s="0" t="n">
        <v>6</v>
      </c>
      <c r="B1782" s="0" t="n">
        <v>2</v>
      </c>
      <c r="C1782" s="0" t="n">
        <v>9</v>
      </c>
      <c r="D1782" s="0" t="n">
        <f aca="false">-1+A1782*0.125</f>
        <v>-0.25</v>
      </c>
      <c r="E1782" s="0" t="n">
        <f aca="false">-1+B1782*0.125</f>
        <v>-0.75</v>
      </c>
      <c r="F1782" s="0" t="n">
        <f aca="false">-1+C1782*0.125</f>
        <v>0.125</v>
      </c>
      <c r="G1782" s="0" t="n">
        <f aca="false">1</f>
        <v>1</v>
      </c>
      <c r="H1782" s="0" t="n">
        <f aca="false">D1782</f>
        <v>-0.25</v>
      </c>
      <c r="I1782" s="0" t="n">
        <f aca="false">E1782</f>
        <v>-0.75</v>
      </c>
      <c r="J1782" s="0" t="n">
        <f aca="false">F1782</f>
        <v>0.125</v>
      </c>
      <c r="K1782" s="0" t="n">
        <f aca="false">D1782*E1782</f>
        <v>0.1875</v>
      </c>
      <c r="L1782" s="0" t="n">
        <f aca="false">D1782*F1782</f>
        <v>-0.03125</v>
      </c>
      <c r="M1782" s="0" t="n">
        <f aca="false">E1782*F1782</f>
        <v>-0.09375</v>
      </c>
      <c r="N1782" s="0" t="n">
        <f aca="false">D1782*D1782</f>
        <v>0.0625</v>
      </c>
      <c r="O1782" s="0" t="n">
        <f aca="false">E1782*E1782</f>
        <v>0.5625</v>
      </c>
      <c r="P1782" s="0" t="n">
        <f aca="false">F1782*F1782</f>
        <v>0.015625</v>
      </c>
      <c r="Q1782" s="0" t="n">
        <f aca="false">SUMPRODUCT(G1782:P1782,_XtX!$B$71:$K$71)</f>
        <v>45.22453125</v>
      </c>
      <c r="R1782" s="0" t="n">
        <f aca="false">SUMPRODUCT(MMULT(G1782:P1782,_XtX!$B$58:$K$67),G1782:P1782)</f>
        <v>0.233935546875</v>
      </c>
      <c r="S1782" s="0" t="n">
        <f aca="false">04_回帰ANOVA!$K$19*04_回帰ANOVA!$K$14*SQRT(1+R1782)</f>
        <v>1.03279202033444</v>
      </c>
      <c r="T1782" s="0" t="n">
        <f aca="false">Q1782-S1782</f>
        <v>44.1917392296656</v>
      </c>
      <c r="U1782" s="0" t="n">
        <f aca="false">Q1782+S1782</f>
        <v>46.2573232703345</v>
      </c>
      <c r="V1782" s="54" t="b">
        <f aca="false">AND(D1782&gt;=01_因子設定!$L$5-0.000000001,D1782&lt;=01_因子設定!$M$5+0.000000001,E1782&gt;=01_因子設定!$L$6-0.000000001,E1782&lt;=01_因子設定!$M$6+0.000000001,F1782&gt;=01_因子設定!$L$7-0.000000001,F1782&lt;=01_因子設定!$M$7+0.000000001,IF(01_因子設定!$B$20="Box-Behnken",D1782^2+E1782^2+F1782^2&lt;=2+0.000000001,TRUE()))</f>
        <v>1</v>
      </c>
      <c r="W1782" s="55" t="n">
        <f aca="false">IF(V1782,IF(01_因子設定!$B$13="最大化",T1782-01_因子設定!$B$14,IF(01_因子設定!$B$13="最小化",01_因子設定!$B$15-U1782,MIN(T1782-01_因子設定!$B$14,01_因子設定!$B$15-U1782))),-1E+030)</f>
        <v>-4.30826077033443</v>
      </c>
      <c r="X1782" s="55" t="n">
        <f aca="false">IF(V1782,IF(01_因子設定!$B$13="最大化",Q1782,IF(01_因子設定!$B$13="最小化",-Q1782,-ABS(Q1782-01_因子設定!$B$16))),-1E+030)</f>
        <v>45.22453125</v>
      </c>
      <c r="Y1782" s="55" t="n">
        <f aca="false">W1782+ROW()*0.000000001</f>
        <v>-4.30825898833443</v>
      </c>
      <c r="Z1782" s="55" t="n">
        <f aca="false">X1782+ROW()*0.000000001</f>
        <v>45.224533032</v>
      </c>
    </row>
    <row r="1783" customFormat="false" ht="15" hidden="false" customHeight="false" outlineLevel="0" collapsed="false">
      <c r="A1783" s="0" t="n">
        <v>6</v>
      </c>
      <c r="B1783" s="0" t="n">
        <v>2</v>
      </c>
      <c r="C1783" s="0" t="n">
        <v>10</v>
      </c>
      <c r="D1783" s="0" t="n">
        <f aca="false">-1+A1783*0.125</f>
        <v>-0.25</v>
      </c>
      <c r="E1783" s="0" t="n">
        <f aca="false">-1+B1783*0.125</f>
        <v>-0.75</v>
      </c>
      <c r="F1783" s="0" t="n">
        <f aca="false">-1+C1783*0.125</f>
        <v>0.25</v>
      </c>
      <c r="G1783" s="0" t="n">
        <f aca="false">1</f>
        <v>1</v>
      </c>
      <c r="H1783" s="0" t="n">
        <f aca="false">D1783</f>
        <v>-0.25</v>
      </c>
      <c r="I1783" s="0" t="n">
        <f aca="false">E1783</f>
        <v>-0.75</v>
      </c>
      <c r="J1783" s="0" t="n">
        <f aca="false">F1783</f>
        <v>0.25</v>
      </c>
      <c r="K1783" s="0" t="n">
        <f aca="false">D1783*E1783</f>
        <v>0.1875</v>
      </c>
      <c r="L1783" s="0" t="n">
        <f aca="false">D1783*F1783</f>
        <v>-0.0625</v>
      </c>
      <c r="M1783" s="0" t="n">
        <f aca="false">E1783*F1783</f>
        <v>-0.1875</v>
      </c>
      <c r="N1783" s="0" t="n">
        <f aca="false">D1783*D1783</f>
        <v>0.0625</v>
      </c>
      <c r="O1783" s="0" t="n">
        <f aca="false">E1783*E1783</f>
        <v>0.5625</v>
      </c>
      <c r="P1783" s="0" t="n">
        <f aca="false">F1783*F1783</f>
        <v>0.0625</v>
      </c>
      <c r="Q1783" s="0" t="n">
        <f aca="false">SUMPRODUCT(G1783:P1783,_XtX!$B$71:$K$71)</f>
        <v>45.3043465909091</v>
      </c>
      <c r="R1783" s="0" t="n">
        <f aca="false">SUMPRODUCT(MMULT(G1783:P1783,_XtX!$B$58:$K$67),G1783:P1783)</f>
        <v>0.231365411931818</v>
      </c>
      <c r="S1783" s="0" t="n">
        <f aca="false">04_回帰ANOVA!$K$19*04_回帰ANOVA!$K$14*SQRT(1+R1783)</f>
        <v>1.03171587072803</v>
      </c>
      <c r="T1783" s="0" t="n">
        <f aca="false">Q1783-S1783</f>
        <v>44.2726307201811</v>
      </c>
      <c r="U1783" s="0" t="n">
        <f aca="false">Q1783+S1783</f>
        <v>46.3360624616371</v>
      </c>
      <c r="V1783" s="54" t="b">
        <f aca="false">AND(D1783&gt;=01_因子設定!$L$5-0.000000001,D1783&lt;=01_因子設定!$M$5+0.000000001,E1783&gt;=01_因子設定!$L$6-0.000000001,E1783&lt;=01_因子設定!$M$6+0.000000001,F1783&gt;=01_因子設定!$L$7-0.000000001,F1783&lt;=01_因子設定!$M$7+0.000000001,IF(01_因子設定!$B$20="Box-Behnken",D1783^2+E1783^2+F1783^2&lt;=2+0.000000001,TRUE()))</f>
        <v>1</v>
      </c>
      <c r="W1783" s="55" t="n">
        <f aca="false">IF(V1783,IF(01_因子設定!$B$13="最大化",T1783-01_因子設定!$B$14,IF(01_因子設定!$B$13="最小化",01_因子設定!$B$15-U1783,MIN(T1783-01_因子設定!$B$14,01_因子設定!$B$15-U1783))),-1E+030)</f>
        <v>-4.22736927981893</v>
      </c>
      <c r="X1783" s="55" t="n">
        <f aca="false">IF(V1783,IF(01_因子設定!$B$13="最大化",Q1783,IF(01_因子設定!$B$13="最小化",-Q1783,-ABS(Q1783-01_因子設定!$B$16))),-1E+030)</f>
        <v>45.3043465909091</v>
      </c>
      <c r="Y1783" s="55" t="n">
        <f aca="false">W1783+ROW()*0.000000001</f>
        <v>-4.22736749681893</v>
      </c>
      <c r="Z1783" s="55" t="n">
        <f aca="false">X1783+ROW()*0.000000001</f>
        <v>45.3043483739091</v>
      </c>
    </row>
    <row r="1784" customFormat="false" ht="15" hidden="false" customHeight="false" outlineLevel="0" collapsed="false">
      <c r="A1784" s="0" t="n">
        <v>6</v>
      </c>
      <c r="B1784" s="0" t="n">
        <v>2</v>
      </c>
      <c r="C1784" s="0" t="n">
        <v>11</v>
      </c>
      <c r="D1784" s="0" t="n">
        <f aca="false">-1+A1784*0.125</f>
        <v>-0.25</v>
      </c>
      <c r="E1784" s="0" t="n">
        <f aca="false">-1+B1784*0.125</f>
        <v>-0.75</v>
      </c>
      <c r="F1784" s="0" t="n">
        <f aca="false">-1+C1784*0.125</f>
        <v>0.375</v>
      </c>
      <c r="G1784" s="0" t="n">
        <f aca="false">1</f>
        <v>1</v>
      </c>
      <c r="H1784" s="0" t="n">
        <f aca="false">D1784</f>
        <v>-0.25</v>
      </c>
      <c r="I1784" s="0" t="n">
        <f aca="false">E1784</f>
        <v>-0.75</v>
      </c>
      <c r="J1784" s="0" t="n">
        <f aca="false">F1784</f>
        <v>0.375</v>
      </c>
      <c r="K1784" s="0" t="n">
        <f aca="false">D1784*E1784</f>
        <v>0.1875</v>
      </c>
      <c r="L1784" s="0" t="n">
        <f aca="false">D1784*F1784</f>
        <v>-0.09375</v>
      </c>
      <c r="M1784" s="0" t="n">
        <f aca="false">E1784*F1784</f>
        <v>-0.28125</v>
      </c>
      <c r="N1784" s="0" t="n">
        <f aca="false">D1784*D1784</f>
        <v>0.0625</v>
      </c>
      <c r="O1784" s="0" t="n">
        <f aca="false">E1784*E1784</f>
        <v>0.5625</v>
      </c>
      <c r="P1784" s="0" t="n">
        <f aca="false">F1784*F1784</f>
        <v>0.140625</v>
      </c>
      <c r="Q1784" s="0" t="n">
        <f aca="false">SUMPRODUCT(G1784:P1784,_XtX!$B$71:$K$71)</f>
        <v>45.3473721590909</v>
      </c>
      <c r="R1784" s="0" t="n">
        <f aca="false">SUMPRODUCT(MMULT(G1784:P1784,_XtX!$B$58:$K$67),G1784:P1784)</f>
        <v>0.230632990056818</v>
      </c>
      <c r="S1784" s="0" t="n">
        <f aca="false">04_回帰ANOVA!$K$19*04_回帰ANOVA!$K$14*SQRT(1+R1784)</f>
        <v>1.03140899038819</v>
      </c>
      <c r="T1784" s="0" t="n">
        <f aca="false">Q1784-S1784</f>
        <v>44.3159631687027</v>
      </c>
      <c r="U1784" s="0" t="n">
        <f aca="false">Q1784+S1784</f>
        <v>46.3787811494791</v>
      </c>
      <c r="V1784" s="54" t="b">
        <f aca="false">AND(D1784&gt;=01_因子設定!$L$5-0.000000001,D1784&lt;=01_因子設定!$M$5+0.000000001,E1784&gt;=01_因子設定!$L$6-0.000000001,E1784&lt;=01_因子設定!$M$6+0.000000001,F1784&gt;=01_因子設定!$L$7-0.000000001,F1784&lt;=01_因子設定!$M$7+0.000000001,IF(01_因子設定!$B$20="Box-Behnken",D1784^2+E1784^2+F1784^2&lt;=2+0.000000001,TRUE()))</f>
        <v>1</v>
      </c>
      <c r="W1784" s="55" t="n">
        <f aca="false">IF(V1784,IF(01_因子設定!$B$13="最大化",T1784-01_因子設定!$B$14,IF(01_因子設定!$B$13="最小化",01_因子設定!$B$15-U1784,MIN(T1784-01_因子設定!$B$14,01_因子設定!$B$15-U1784))),-1E+030)</f>
        <v>-4.18403683129726</v>
      </c>
      <c r="X1784" s="55" t="n">
        <f aca="false">IF(V1784,IF(01_因子設定!$B$13="最大化",Q1784,IF(01_因子設定!$B$13="最小化",-Q1784,-ABS(Q1784-01_因子設定!$B$16))),-1E+030)</f>
        <v>45.3473721590909</v>
      </c>
      <c r="Y1784" s="55" t="n">
        <f aca="false">W1784+ROW()*0.000000001</f>
        <v>-4.18403504729726</v>
      </c>
      <c r="Z1784" s="55" t="n">
        <f aca="false">X1784+ROW()*0.000000001</f>
        <v>45.3473739430909</v>
      </c>
    </row>
    <row r="1785" customFormat="false" ht="15" hidden="false" customHeight="false" outlineLevel="0" collapsed="false">
      <c r="A1785" s="0" t="n">
        <v>6</v>
      </c>
      <c r="B1785" s="0" t="n">
        <v>2</v>
      </c>
      <c r="C1785" s="0" t="n">
        <v>12</v>
      </c>
      <c r="D1785" s="0" t="n">
        <f aca="false">-1+A1785*0.125</f>
        <v>-0.25</v>
      </c>
      <c r="E1785" s="0" t="n">
        <f aca="false">-1+B1785*0.125</f>
        <v>-0.75</v>
      </c>
      <c r="F1785" s="0" t="n">
        <f aca="false">-1+C1785*0.125</f>
        <v>0.5</v>
      </c>
      <c r="G1785" s="0" t="n">
        <f aca="false">1</f>
        <v>1</v>
      </c>
      <c r="H1785" s="0" t="n">
        <f aca="false">D1785</f>
        <v>-0.25</v>
      </c>
      <c r="I1785" s="0" t="n">
        <f aca="false">E1785</f>
        <v>-0.75</v>
      </c>
      <c r="J1785" s="0" t="n">
        <f aca="false">F1785</f>
        <v>0.5</v>
      </c>
      <c r="K1785" s="0" t="n">
        <f aca="false">D1785*E1785</f>
        <v>0.1875</v>
      </c>
      <c r="L1785" s="0" t="n">
        <f aca="false">D1785*F1785</f>
        <v>-0.125</v>
      </c>
      <c r="M1785" s="0" t="n">
        <f aca="false">E1785*F1785</f>
        <v>-0.375</v>
      </c>
      <c r="N1785" s="0" t="n">
        <f aca="false">D1785*D1785</f>
        <v>0.0625</v>
      </c>
      <c r="O1785" s="0" t="n">
        <f aca="false">E1785*E1785</f>
        <v>0.5625</v>
      </c>
      <c r="P1785" s="0" t="n">
        <f aca="false">F1785*F1785</f>
        <v>0.25</v>
      </c>
      <c r="Q1785" s="0" t="n">
        <f aca="false">SUMPRODUCT(G1785:P1785,_XtX!$B$71:$K$71)</f>
        <v>45.3536079545455</v>
      </c>
      <c r="R1785" s="0" t="n">
        <f aca="false">SUMPRODUCT(MMULT(G1785:P1785,_XtX!$B$58:$K$67),G1785:P1785)</f>
        <v>0.237064985795455</v>
      </c>
      <c r="S1785" s="0" t="n">
        <f aca="false">04_回帰ANOVA!$K$19*04_回帰ANOVA!$K$14*SQRT(1+R1785)</f>
        <v>1.03410084594745</v>
      </c>
      <c r="T1785" s="0" t="n">
        <f aca="false">Q1785-S1785</f>
        <v>44.319507108598</v>
      </c>
      <c r="U1785" s="0" t="n">
        <f aca="false">Q1785+S1785</f>
        <v>46.3877088004929</v>
      </c>
      <c r="V1785" s="54" t="b">
        <f aca="false">AND(D1785&gt;=01_因子設定!$L$5-0.000000001,D1785&lt;=01_因子設定!$M$5+0.000000001,E1785&gt;=01_因子設定!$L$6-0.000000001,E1785&lt;=01_因子設定!$M$6+0.000000001,F1785&gt;=01_因子設定!$L$7-0.000000001,F1785&lt;=01_因子設定!$M$7+0.000000001,IF(01_因子設定!$B$20="Box-Behnken",D1785^2+E1785^2+F1785^2&lt;=2+0.000000001,TRUE()))</f>
        <v>1</v>
      </c>
      <c r="W1785" s="55" t="n">
        <f aca="false">IF(V1785,IF(01_因子設定!$B$13="最大化",T1785-01_因子設定!$B$14,IF(01_因子設定!$B$13="最小化",01_因子設定!$B$15-U1785,MIN(T1785-01_因子設定!$B$14,01_因子設定!$B$15-U1785))),-1E+030)</f>
        <v>-4.18049289140198</v>
      </c>
      <c r="X1785" s="55" t="n">
        <f aca="false">IF(V1785,IF(01_因子設定!$B$13="最大化",Q1785,IF(01_因子設定!$B$13="最小化",-Q1785,-ABS(Q1785-01_因子設定!$B$16))),-1E+030)</f>
        <v>45.3536079545455</v>
      </c>
      <c r="Y1785" s="55" t="n">
        <f aca="false">W1785+ROW()*0.000000001</f>
        <v>-4.18049110640198</v>
      </c>
      <c r="Z1785" s="55" t="n">
        <f aca="false">X1785+ROW()*0.000000001</f>
        <v>45.3536097395455</v>
      </c>
    </row>
    <row r="1786" customFormat="false" ht="15" hidden="false" customHeight="false" outlineLevel="0" collapsed="false">
      <c r="A1786" s="0" t="n">
        <v>6</v>
      </c>
      <c r="B1786" s="0" t="n">
        <v>2</v>
      </c>
      <c r="C1786" s="0" t="n">
        <v>13</v>
      </c>
      <c r="D1786" s="0" t="n">
        <f aca="false">-1+A1786*0.125</f>
        <v>-0.25</v>
      </c>
      <c r="E1786" s="0" t="n">
        <f aca="false">-1+B1786*0.125</f>
        <v>-0.75</v>
      </c>
      <c r="F1786" s="0" t="n">
        <f aca="false">-1+C1786*0.125</f>
        <v>0.625</v>
      </c>
      <c r="G1786" s="0" t="n">
        <f aca="false">1</f>
        <v>1</v>
      </c>
      <c r="H1786" s="0" t="n">
        <f aca="false">D1786</f>
        <v>-0.25</v>
      </c>
      <c r="I1786" s="0" t="n">
        <f aca="false">E1786</f>
        <v>-0.75</v>
      </c>
      <c r="J1786" s="0" t="n">
        <f aca="false">F1786</f>
        <v>0.625</v>
      </c>
      <c r="K1786" s="0" t="n">
        <f aca="false">D1786*E1786</f>
        <v>0.1875</v>
      </c>
      <c r="L1786" s="0" t="n">
        <f aca="false">D1786*F1786</f>
        <v>-0.15625</v>
      </c>
      <c r="M1786" s="0" t="n">
        <f aca="false">E1786*F1786</f>
        <v>-0.46875</v>
      </c>
      <c r="N1786" s="0" t="n">
        <f aca="false">D1786*D1786</f>
        <v>0.0625</v>
      </c>
      <c r="O1786" s="0" t="n">
        <f aca="false">E1786*E1786</f>
        <v>0.5625</v>
      </c>
      <c r="P1786" s="0" t="n">
        <f aca="false">F1786*F1786</f>
        <v>0.390625</v>
      </c>
      <c r="Q1786" s="0" t="n">
        <f aca="false">SUMPRODUCT(G1786:P1786,_XtX!$B$71:$K$71)</f>
        <v>45.3230539772727</v>
      </c>
      <c r="R1786" s="0" t="n">
        <f aca="false">SUMPRODUCT(MMULT(G1786:P1786,_XtX!$B$58:$K$67),G1786:P1786)</f>
        <v>0.258118785511364</v>
      </c>
      <c r="S1786" s="0" t="n">
        <f aca="false">04_回帰ANOVA!$K$19*04_回帰ANOVA!$K$14*SQRT(1+R1786)</f>
        <v>1.04286348094876</v>
      </c>
      <c r="T1786" s="0" t="n">
        <f aca="false">Q1786-S1786</f>
        <v>44.280190496324</v>
      </c>
      <c r="U1786" s="0" t="n">
        <f aca="false">Q1786+S1786</f>
        <v>46.3659174582215</v>
      </c>
      <c r="V1786" s="54" t="b">
        <f aca="false">AND(D1786&gt;=01_因子設定!$L$5-0.000000001,D1786&lt;=01_因子設定!$M$5+0.000000001,E1786&gt;=01_因子設定!$L$6-0.000000001,E1786&lt;=01_因子設定!$M$6+0.000000001,F1786&gt;=01_因子設定!$L$7-0.000000001,F1786&lt;=01_因子設定!$M$7+0.000000001,IF(01_因子設定!$B$20="Box-Behnken",D1786^2+E1786^2+F1786^2&lt;=2+0.000000001,TRUE()))</f>
        <v>1</v>
      </c>
      <c r="W1786" s="55" t="n">
        <f aca="false">IF(V1786,IF(01_因子設定!$B$13="最大化",T1786-01_因子設定!$B$14,IF(01_因子設定!$B$13="最小化",01_因子設定!$B$15-U1786,MIN(T1786-01_因子設定!$B$14,01_因子設定!$B$15-U1786))),-1E+030)</f>
        <v>-4.21980950367602</v>
      </c>
      <c r="X1786" s="55" t="n">
        <f aca="false">IF(V1786,IF(01_因子設定!$B$13="最大化",Q1786,IF(01_因子設定!$B$13="最小化",-Q1786,-ABS(Q1786-01_因子設定!$B$16))),-1E+030)</f>
        <v>45.3230539772727</v>
      </c>
      <c r="Y1786" s="55" t="n">
        <f aca="false">W1786+ROW()*0.000000001</f>
        <v>-4.21980771767602</v>
      </c>
      <c r="Z1786" s="55" t="n">
        <f aca="false">X1786+ROW()*0.000000001</f>
        <v>45.3230557632727</v>
      </c>
    </row>
    <row r="1787" customFormat="false" ht="15" hidden="false" customHeight="false" outlineLevel="0" collapsed="false">
      <c r="A1787" s="0" t="n">
        <v>6</v>
      </c>
      <c r="B1787" s="0" t="n">
        <v>2</v>
      </c>
      <c r="C1787" s="0" t="n">
        <v>14</v>
      </c>
      <c r="D1787" s="0" t="n">
        <f aca="false">-1+A1787*0.125</f>
        <v>-0.25</v>
      </c>
      <c r="E1787" s="0" t="n">
        <f aca="false">-1+B1787*0.125</f>
        <v>-0.75</v>
      </c>
      <c r="F1787" s="0" t="n">
        <f aca="false">-1+C1787*0.125</f>
        <v>0.75</v>
      </c>
      <c r="G1787" s="0" t="n">
        <f aca="false">1</f>
        <v>1</v>
      </c>
      <c r="H1787" s="0" t="n">
        <f aca="false">D1787</f>
        <v>-0.25</v>
      </c>
      <c r="I1787" s="0" t="n">
        <f aca="false">E1787</f>
        <v>-0.75</v>
      </c>
      <c r="J1787" s="0" t="n">
        <f aca="false">F1787</f>
        <v>0.75</v>
      </c>
      <c r="K1787" s="0" t="n">
        <f aca="false">D1787*E1787</f>
        <v>0.1875</v>
      </c>
      <c r="L1787" s="0" t="n">
        <f aca="false">D1787*F1787</f>
        <v>-0.1875</v>
      </c>
      <c r="M1787" s="0" t="n">
        <f aca="false">E1787*F1787</f>
        <v>-0.5625</v>
      </c>
      <c r="N1787" s="0" t="n">
        <f aca="false">D1787*D1787</f>
        <v>0.0625</v>
      </c>
      <c r="O1787" s="0" t="n">
        <f aca="false">E1787*E1787</f>
        <v>0.5625</v>
      </c>
      <c r="P1787" s="0" t="n">
        <f aca="false">F1787*F1787</f>
        <v>0.5625</v>
      </c>
      <c r="Q1787" s="0" t="n">
        <f aca="false">SUMPRODUCT(G1787:P1787,_XtX!$B$71:$K$71)</f>
        <v>45.2557102272728</v>
      </c>
      <c r="R1787" s="0" t="n">
        <f aca="false">SUMPRODUCT(MMULT(G1787:P1787,_XtX!$B$58:$K$67),G1787:P1787)</f>
        <v>0.303382457386364</v>
      </c>
      <c r="S1787" s="0" t="n">
        <f aca="false">04_回帰ANOVA!$K$19*04_回帰ANOVA!$K$14*SQRT(1+R1787)</f>
        <v>1.06145740650883</v>
      </c>
      <c r="T1787" s="0" t="n">
        <f aca="false">Q1787-S1787</f>
        <v>44.1942528207639</v>
      </c>
      <c r="U1787" s="0" t="n">
        <f aca="false">Q1787+S1787</f>
        <v>46.3171676337816</v>
      </c>
      <c r="V1787" s="54" t="b">
        <f aca="false">AND(D1787&gt;=01_因子設定!$L$5-0.000000001,D1787&lt;=01_因子設定!$M$5+0.000000001,E1787&gt;=01_因子設定!$L$6-0.000000001,E1787&lt;=01_因子設定!$M$6+0.000000001,F1787&gt;=01_因子設定!$L$7-0.000000001,F1787&lt;=01_因子設定!$M$7+0.000000001,IF(01_因子設定!$B$20="Box-Behnken",D1787^2+E1787^2+F1787^2&lt;=2+0.000000001,TRUE()))</f>
        <v>1</v>
      </c>
      <c r="W1787" s="55" t="n">
        <f aca="false">IF(V1787,IF(01_因子設定!$B$13="最大化",T1787-01_因子設定!$B$14,IF(01_因子設定!$B$13="最小化",01_因子設定!$B$15-U1787,MIN(T1787-01_因子設定!$B$14,01_因子設定!$B$15-U1787))),-1E+030)</f>
        <v>-4.30574717923609</v>
      </c>
      <c r="X1787" s="55" t="n">
        <f aca="false">IF(V1787,IF(01_因子設定!$B$13="最大化",Q1787,IF(01_因子設定!$B$13="最小化",-Q1787,-ABS(Q1787-01_因子設定!$B$16))),-1E+030)</f>
        <v>45.2557102272728</v>
      </c>
      <c r="Y1787" s="55" t="n">
        <f aca="false">W1787+ROW()*0.000000001</f>
        <v>-4.30574539223609</v>
      </c>
      <c r="Z1787" s="55" t="n">
        <f aca="false">X1787+ROW()*0.000000001</f>
        <v>45.2557120142728</v>
      </c>
    </row>
    <row r="1788" customFormat="false" ht="15" hidden="false" customHeight="false" outlineLevel="0" collapsed="false">
      <c r="A1788" s="0" t="n">
        <v>6</v>
      </c>
      <c r="B1788" s="0" t="n">
        <v>2</v>
      </c>
      <c r="C1788" s="0" t="n">
        <v>15</v>
      </c>
      <c r="D1788" s="0" t="n">
        <f aca="false">-1+A1788*0.125</f>
        <v>-0.25</v>
      </c>
      <c r="E1788" s="0" t="n">
        <f aca="false">-1+B1788*0.125</f>
        <v>-0.75</v>
      </c>
      <c r="F1788" s="0" t="n">
        <f aca="false">-1+C1788*0.125</f>
        <v>0.875</v>
      </c>
      <c r="G1788" s="0" t="n">
        <f aca="false">1</f>
        <v>1</v>
      </c>
      <c r="H1788" s="0" t="n">
        <f aca="false">D1788</f>
        <v>-0.25</v>
      </c>
      <c r="I1788" s="0" t="n">
        <f aca="false">E1788</f>
        <v>-0.75</v>
      </c>
      <c r="J1788" s="0" t="n">
        <f aca="false">F1788</f>
        <v>0.875</v>
      </c>
      <c r="K1788" s="0" t="n">
        <f aca="false">D1788*E1788</f>
        <v>0.1875</v>
      </c>
      <c r="L1788" s="0" t="n">
        <f aca="false">D1788*F1788</f>
        <v>-0.21875</v>
      </c>
      <c r="M1788" s="0" t="n">
        <f aca="false">E1788*F1788</f>
        <v>-0.65625</v>
      </c>
      <c r="N1788" s="0" t="n">
        <f aca="false">D1788*D1788</f>
        <v>0.0625</v>
      </c>
      <c r="O1788" s="0" t="n">
        <f aca="false">E1788*E1788</f>
        <v>0.5625</v>
      </c>
      <c r="P1788" s="0" t="n">
        <f aca="false">F1788*F1788</f>
        <v>0.765625</v>
      </c>
      <c r="Q1788" s="0" t="n">
        <f aca="false">SUMPRODUCT(G1788:P1788,_XtX!$B$71:$K$71)</f>
        <v>45.1515767045455</v>
      </c>
      <c r="R1788" s="0" t="n">
        <f aca="false">SUMPRODUCT(MMULT(G1788:P1788,_XtX!$B$58:$K$67),G1788:P1788)</f>
        <v>0.384574751420455</v>
      </c>
      <c r="S1788" s="0" t="n">
        <f aca="false">04_回帰ANOVA!$K$19*04_回帰ANOVA!$K$14*SQRT(1+R1788)</f>
        <v>1.0940189380139</v>
      </c>
      <c r="T1788" s="0" t="n">
        <f aca="false">Q1788-S1788</f>
        <v>44.0575577665316</v>
      </c>
      <c r="U1788" s="0" t="n">
        <f aca="false">Q1788+S1788</f>
        <v>46.2455956425594</v>
      </c>
      <c r="V1788" s="54" t="b">
        <f aca="false">AND(D1788&gt;=01_因子設定!$L$5-0.000000001,D1788&lt;=01_因子設定!$M$5+0.000000001,E1788&gt;=01_因子設定!$L$6-0.000000001,E1788&lt;=01_因子設定!$M$6+0.000000001,F1788&gt;=01_因子設定!$L$7-0.000000001,F1788&lt;=01_因子設定!$M$7+0.000000001,IF(01_因子設定!$B$20="Box-Behnken",D1788^2+E1788^2+F1788^2&lt;=2+0.000000001,TRUE()))</f>
        <v>1</v>
      </c>
      <c r="W1788" s="55" t="n">
        <f aca="false">IF(V1788,IF(01_因子設定!$B$13="最大化",T1788-01_因子設定!$B$14,IF(01_因子設定!$B$13="最小化",01_因子設定!$B$15-U1788,MIN(T1788-01_因子設定!$B$14,01_因子設定!$B$15-U1788))),-1E+030)</f>
        <v>-4.44244223346843</v>
      </c>
      <c r="X1788" s="55" t="n">
        <f aca="false">IF(V1788,IF(01_因子設定!$B$13="最大化",Q1788,IF(01_因子設定!$B$13="最小化",-Q1788,-ABS(Q1788-01_因子設定!$B$16))),-1E+030)</f>
        <v>45.1515767045455</v>
      </c>
      <c r="Y1788" s="55" t="n">
        <f aca="false">W1788+ROW()*0.000000001</f>
        <v>-4.44244044546843</v>
      </c>
      <c r="Z1788" s="55" t="n">
        <f aca="false">X1788+ROW()*0.000000001</f>
        <v>45.1515784925455</v>
      </c>
    </row>
    <row r="1789" customFormat="false" ht="15" hidden="false" customHeight="false" outlineLevel="0" collapsed="false">
      <c r="A1789" s="0" t="n">
        <v>6</v>
      </c>
      <c r="B1789" s="0" t="n">
        <v>2</v>
      </c>
      <c r="C1789" s="0" t="n">
        <v>16</v>
      </c>
      <c r="D1789" s="0" t="n">
        <f aca="false">-1+A1789*0.125</f>
        <v>-0.25</v>
      </c>
      <c r="E1789" s="0" t="n">
        <f aca="false">-1+B1789*0.125</f>
        <v>-0.75</v>
      </c>
      <c r="F1789" s="0" t="n">
        <f aca="false">-1+C1789*0.125</f>
        <v>1</v>
      </c>
      <c r="G1789" s="0" t="n">
        <f aca="false">1</f>
        <v>1</v>
      </c>
      <c r="H1789" s="0" t="n">
        <f aca="false">D1789</f>
        <v>-0.25</v>
      </c>
      <c r="I1789" s="0" t="n">
        <f aca="false">E1789</f>
        <v>-0.75</v>
      </c>
      <c r="J1789" s="0" t="n">
        <f aca="false">F1789</f>
        <v>1</v>
      </c>
      <c r="K1789" s="0" t="n">
        <f aca="false">D1789*E1789</f>
        <v>0.1875</v>
      </c>
      <c r="L1789" s="0" t="n">
        <f aca="false">D1789*F1789</f>
        <v>-0.25</v>
      </c>
      <c r="M1789" s="0" t="n">
        <f aca="false">E1789*F1789</f>
        <v>-0.75</v>
      </c>
      <c r="N1789" s="0" t="n">
        <f aca="false">D1789*D1789</f>
        <v>0.0625</v>
      </c>
      <c r="O1789" s="0" t="n">
        <f aca="false">E1789*E1789</f>
        <v>0.5625</v>
      </c>
      <c r="P1789" s="0" t="n">
        <f aca="false">F1789*F1789</f>
        <v>1</v>
      </c>
      <c r="Q1789" s="0" t="n">
        <f aca="false">SUMPRODUCT(G1789:P1789,_XtX!$B$71:$K$71)</f>
        <v>45.0106534090909</v>
      </c>
      <c r="R1789" s="0" t="n">
        <f aca="false">SUMPRODUCT(MMULT(G1789:P1789,_XtX!$B$58:$K$67),G1789:P1789)</f>
        <v>0.515545099431818</v>
      </c>
      <c r="S1789" s="0" t="n">
        <f aca="false">04_回帰ANOVA!$K$19*04_回帰ANOVA!$K$14*SQRT(1+R1789)</f>
        <v>1.14459295464101</v>
      </c>
      <c r="T1789" s="0" t="n">
        <f aca="false">Q1789-S1789</f>
        <v>43.8660604544499</v>
      </c>
      <c r="U1789" s="0" t="n">
        <f aca="false">Q1789+S1789</f>
        <v>46.155246363732</v>
      </c>
      <c r="V1789" s="54" t="b">
        <f aca="false">AND(D1789&gt;=01_因子設定!$L$5-0.000000001,D1789&lt;=01_因子設定!$M$5+0.000000001,E1789&gt;=01_因子設定!$L$6-0.000000001,E1789&lt;=01_因子設定!$M$6+0.000000001,F1789&gt;=01_因子設定!$L$7-0.000000001,F1789&lt;=01_因子設定!$M$7+0.000000001,IF(01_因子設定!$B$20="Box-Behnken",D1789^2+E1789^2+F1789^2&lt;=2+0.000000001,TRUE()))</f>
        <v>1</v>
      </c>
      <c r="W1789" s="55" t="n">
        <f aca="false">IF(V1789,IF(01_因子設定!$B$13="最大化",T1789-01_因子設定!$B$14,IF(01_因子設定!$B$13="最小化",01_因子設定!$B$15-U1789,MIN(T1789-01_因子設定!$B$14,01_因子設定!$B$15-U1789))),-1E+030)</f>
        <v>-4.63393954555008</v>
      </c>
      <c r="X1789" s="55" t="n">
        <f aca="false">IF(V1789,IF(01_因子設定!$B$13="最大化",Q1789,IF(01_因子設定!$B$13="最小化",-Q1789,-ABS(Q1789-01_因子設定!$B$16))),-1E+030)</f>
        <v>45.0106534090909</v>
      </c>
      <c r="Y1789" s="55" t="n">
        <f aca="false">W1789+ROW()*0.000000001</f>
        <v>-4.63393775655008</v>
      </c>
      <c r="Z1789" s="55" t="n">
        <f aca="false">X1789+ROW()*0.000000001</f>
        <v>45.0106551980909</v>
      </c>
    </row>
    <row r="1790" customFormat="false" ht="15" hidden="false" customHeight="false" outlineLevel="0" collapsed="false">
      <c r="A1790" s="0" t="n">
        <v>6</v>
      </c>
      <c r="B1790" s="0" t="n">
        <v>3</v>
      </c>
      <c r="C1790" s="0" t="n">
        <v>0</v>
      </c>
      <c r="D1790" s="0" t="n">
        <f aca="false">-1+A1790*0.125</f>
        <v>-0.25</v>
      </c>
      <c r="E1790" s="0" t="n">
        <f aca="false">-1+B1790*0.125</f>
        <v>-0.625</v>
      </c>
      <c r="F1790" s="0" t="n">
        <f aca="false">-1+C1790*0.125</f>
        <v>-1</v>
      </c>
      <c r="G1790" s="0" t="n">
        <f aca="false">1</f>
        <v>1</v>
      </c>
      <c r="H1790" s="0" t="n">
        <f aca="false">D1790</f>
        <v>-0.25</v>
      </c>
      <c r="I1790" s="0" t="n">
        <f aca="false">E1790</f>
        <v>-0.625</v>
      </c>
      <c r="J1790" s="0" t="n">
        <f aca="false">F1790</f>
        <v>-1</v>
      </c>
      <c r="K1790" s="0" t="n">
        <f aca="false">D1790*E1790</f>
        <v>0.15625</v>
      </c>
      <c r="L1790" s="0" t="n">
        <f aca="false">D1790*F1790</f>
        <v>0.25</v>
      </c>
      <c r="M1790" s="0" t="n">
        <f aca="false">E1790*F1790</f>
        <v>0.625</v>
      </c>
      <c r="N1790" s="0" t="n">
        <f aca="false">D1790*D1790</f>
        <v>0.0625</v>
      </c>
      <c r="O1790" s="0" t="n">
        <f aca="false">E1790*E1790</f>
        <v>0.390625</v>
      </c>
      <c r="P1790" s="0" t="n">
        <f aca="false">F1790*F1790</f>
        <v>1</v>
      </c>
      <c r="Q1790" s="0" t="n">
        <f aca="false">SUMPRODUCT(G1790:P1790,_XtX!$B$71:$K$71)</f>
        <v>43.3633096590909</v>
      </c>
      <c r="R1790" s="0" t="n">
        <f aca="false">SUMPRODUCT(MMULT(G1790:P1790,_XtX!$B$58:$K$67),G1790:P1790)</f>
        <v>0.481389825994318</v>
      </c>
      <c r="S1790" s="0" t="n">
        <f aca="false">04_回帰ANOVA!$K$19*04_回帰ANOVA!$K$14*SQRT(1+R1790)</f>
        <v>1.13162182500693</v>
      </c>
      <c r="T1790" s="0" t="n">
        <f aca="false">Q1790-S1790</f>
        <v>42.231687834084</v>
      </c>
      <c r="U1790" s="0" t="n">
        <f aca="false">Q1790+S1790</f>
        <v>44.4949314840979</v>
      </c>
      <c r="V1790" s="54" t="b">
        <f aca="false">AND(D1790&gt;=01_因子設定!$L$5-0.000000001,D1790&lt;=01_因子設定!$M$5+0.000000001,E1790&gt;=01_因子設定!$L$6-0.000000001,E1790&lt;=01_因子設定!$M$6+0.000000001,F1790&gt;=01_因子設定!$L$7-0.000000001,F1790&lt;=01_因子設定!$M$7+0.000000001,IF(01_因子設定!$B$20="Box-Behnken",D1790^2+E1790^2+F1790^2&lt;=2+0.000000001,TRUE()))</f>
        <v>1</v>
      </c>
      <c r="W1790" s="55" t="n">
        <f aca="false">IF(V1790,IF(01_因子設定!$B$13="最大化",T1790-01_因子設定!$B$14,IF(01_因子設定!$B$13="最小化",01_因子設定!$B$15-U1790,MIN(T1790-01_因子設定!$B$14,01_因子設定!$B$15-U1790))),-1E+030)</f>
        <v>-6.26831216591599</v>
      </c>
      <c r="X1790" s="55" t="n">
        <f aca="false">IF(V1790,IF(01_因子設定!$B$13="最大化",Q1790,IF(01_因子設定!$B$13="最小化",-Q1790,-ABS(Q1790-01_因子設定!$B$16))),-1E+030)</f>
        <v>43.3633096590909</v>
      </c>
      <c r="Y1790" s="55" t="n">
        <f aca="false">W1790+ROW()*0.000000001</f>
        <v>-6.26831037591599</v>
      </c>
      <c r="Z1790" s="55" t="n">
        <f aca="false">X1790+ROW()*0.000000001</f>
        <v>43.3633114490909</v>
      </c>
    </row>
    <row r="1791" customFormat="false" ht="15" hidden="false" customHeight="false" outlineLevel="0" collapsed="false">
      <c r="A1791" s="0" t="n">
        <v>6</v>
      </c>
      <c r="B1791" s="0" t="n">
        <v>3</v>
      </c>
      <c r="C1791" s="0" t="n">
        <v>1</v>
      </c>
      <c r="D1791" s="0" t="n">
        <f aca="false">-1+A1791*0.125</f>
        <v>-0.25</v>
      </c>
      <c r="E1791" s="0" t="n">
        <f aca="false">-1+B1791*0.125</f>
        <v>-0.625</v>
      </c>
      <c r="F1791" s="0" t="n">
        <f aca="false">-1+C1791*0.125</f>
        <v>-0.875</v>
      </c>
      <c r="G1791" s="0" t="n">
        <f aca="false">1</f>
        <v>1</v>
      </c>
      <c r="H1791" s="0" t="n">
        <f aca="false">D1791</f>
        <v>-0.25</v>
      </c>
      <c r="I1791" s="0" t="n">
        <f aca="false">E1791</f>
        <v>-0.625</v>
      </c>
      <c r="J1791" s="0" t="n">
        <f aca="false">F1791</f>
        <v>-0.875</v>
      </c>
      <c r="K1791" s="0" t="n">
        <f aca="false">D1791*E1791</f>
        <v>0.15625</v>
      </c>
      <c r="L1791" s="0" t="n">
        <f aca="false">D1791*F1791</f>
        <v>0.21875</v>
      </c>
      <c r="M1791" s="0" t="n">
        <f aca="false">E1791*F1791</f>
        <v>0.546875</v>
      </c>
      <c r="N1791" s="0" t="n">
        <f aca="false">D1791*D1791</f>
        <v>0.0625</v>
      </c>
      <c r="O1791" s="0" t="n">
        <f aca="false">E1791*E1791</f>
        <v>0.390625</v>
      </c>
      <c r="P1791" s="0" t="n">
        <f aca="false">F1791*F1791</f>
        <v>0.765625</v>
      </c>
      <c r="Q1791" s="0" t="n">
        <f aca="false">SUMPRODUCT(G1791:P1791,_XtX!$B$71:$K$71)</f>
        <v>43.7812642045455</v>
      </c>
      <c r="R1791" s="0" t="n">
        <f aca="false">SUMPRODUCT(MMULT(G1791:P1791,_XtX!$B$58:$K$67),G1791:P1791)</f>
        <v>0.34446855024858</v>
      </c>
      <c r="S1791" s="0" t="n">
        <f aca="false">04_回帰ANOVA!$K$19*04_回帰ANOVA!$K$14*SQRT(1+R1791)</f>
        <v>1.07805758590432</v>
      </c>
      <c r="T1791" s="0" t="n">
        <f aca="false">Q1791-S1791</f>
        <v>42.7032066186412</v>
      </c>
      <c r="U1791" s="0" t="n">
        <f aca="false">Q1791+S1791</f>
        <v>44.8593217904498</v>
      </c>
      <c r="V1791" s="54" t="b">
        <f aca="false">AND(D1791&gt;=01_因子設定!$L$5-0.000000001,D1791&lt;=01_因子設定!$M$5+0.000000001,E1791&gt;=01_因子設定!$L$6-0.000000001,E1791&lt;=01_因子設定!$M$6+0.000000001,F1791&gt;=01_因子設定!$L$7-0.000000001,F1791&lt;=01_因子設定!$M$7+0.000000001,IF(01_因子設定!$B$20="Box-Behnken",D1791^2+E1791^2+F1791^2&lt;=2+0.000000001,TRUE()))</f>
        <v>1</v>
      </c>
      <c r="W1791" s="55" t="n">
        <f aca="false">IF(V1791,IF(01_因子設定!$B$13="最大化",T1791-01_因子設定!$B$14,IF(01_因子設定!$B$13="最小化",01_因子設定!$B$15-U1791,MIN(T1791-01_因子設定!$B$14,01_因子設定!$B$15-U1791))),-1E+030)</f>
        <v>-5.79679338135884</v>
      </c>
      <c r="X1791" s="55" t="n">
        <f aca="false">IF(V1791,IF(01_因子設定!$B$13="最大化",Q1791,IF(01_因子設定!$B$13="最小化",-Q1791,-ABS(Q1791-01_因子設定!$B$16))),-1E+030)</f>
        <v>43.7812642045455</v>
      </c>
      <c r="Y1791" s="55" t="n">
        <f aca="false">W1791+ROW()*0.000000001</f>
        <v>-5.79679159035884</v>
      </c>
      <c r="Z1791" s="55" t="n">
        <f aca="false">X1791+ROW()*0.000000001</f>
        <v>43.7812659955455</v>
      </c>
    </row>
    <row r="1792" customFormat="false" ht="15" hidden="false" customHeight="false" outlineLevel="0" collapsed="false">
      <c r="A1792" s="0" t="n">
        <v>6</v>
      </c>
      <c r="B1792" s="0" t="n">
        <v>3</v>
      </c>
      <c r="C1792" s="0" t="n">
        <v>2</v>
      </c>
      <c r="D1792" s="0" t="n">
        <f aca="false">-1+A1792*0.125</f>
        <v>-0.25</v>
      </c>
      <c r="E1792" s="0" t="n">
        <f aca="false">-1+B1792*0.125</f>
        <v>-0.625</v>
      </c>
      <c r="F1792" s="0" t="n">
        <f aca="false">-1+C1792*0.125</f>
        <v>-0.75</v>
      </c>
      <c r="G1792" s="0" t="n">
        <f aca="false">1</f>
        <v>1</v>
      </c>
      <c r="H1792" s="0" t="n">
        <f aca="false">D1792</f>
        <v>-0.25</v>
      </c>
      <c r="I1792" s="0" t="n">
        <f aca="false">E1792</f>
        <v>-0.625</v>
      </c>
      <c r="J1792" s="0" t="n">
        <f aca="false">F1792</f>
        <v>-0.75</v>
      </c>
      <c r="K1792" s="0" t="n">
        <f aca="false">D1792*E1792</f>
        <v>0.15625</v>
      </c>
      <c r="L1792" s="0" t="n">
        <f aca="false">D1792*F1792</f>
        <v>0.1875</v>
      </c>
      <c r="M1792" s="0" t="n">
        <f aca="false">E1792*F1792</f>
        <v>0.46875</v>
      </c>
      <c r="N1792" s="0" t="n">
        <f aca="false">D1792*D1792</f>
        <v>0.0625</v>
      </c>
      <c r="O1792" s="0" t="n">
        <f aca="false">E1792*E1792</f>
        <v>0.390625</v>
      </c>
      <c r="P1792" s="0" t="n">
        <f aca="false">F1792*F1792</f>
        <v>0.5625</v>
      </c>
      <c r="Q1792" s="0" t="n">
        <f aca="false">SUMPRODUCT(G1792:P1792,_XtX!$B$71:$K$71)</f>
        <v>44.1624289772728</v>
      </c>
      <c r="R1792" s="0" t="n">
        <f aca="false">SUMPRODUCT(MMULT(G1792:P1792,_XtX!$B$58:$K$67),G1792:P1792)</f>
        <v>0.258118785511364</v>
      </c>
      <c r="S1792" s="0" t="n">
        <f aca="false">04_回帰ANOVA!$K$19*04_回帰ANOVA!$K$14*SQRT(1+R1792)</f>
        <v>1.04286348094876</v>
      </c>
      <c r="T1792" s="0" t="n">
        <f aca="false">Q1792-S1792</f>
        <v>43.119565496324</v>
      </c>
      <c r="U1792" s="0" t="n">
        <f aca="false">Q1792+S1792</f>
        <v>45.2052924582215</v>
      </c>
      <c r="V1792" s="54" t="b">
        <f aca="false">AND(D1792&gt;=01_因子設定!$L$5-0.000000001,D1792&lt;=01_因子設定!$M$5+0.000000001,E1792&gt;=01_因子設定!$L$6-0.000000001,E1792&lt;=01_因子設定!$M$6+0.000000001,F1792&gt;=01_因子設定!$L$7-0.000000001,F1792&lt;=01_因子設定!$M$7+0.000000001,IF(01_因子設定!$B$20="Box-Behnken",D1792^2+E1792^2+F1792^2&lt;=2+0.000000001,TRUE()))</f>
        <v>1</v>
      </c>
      <c r="W1792" s="55" t="n">
        <f aca="false">IF(V1792,IF(01_因子設定!$B$13="最大化",T1792-01_因子設定!$B$14,IF(01_因子設定!$B$13="最小化",01_因子設定!$B$15-U1792,MIN(T1792-01_因子設定!$B$14,01_因子設定!$B$15-U1792))),-1E+030)</f>
        <v>-5.38043450367601</v>
      </c>
      <c r="X1792" s="55" t="n">
        <f aca="false">IF(V1792,IF(01_因子設定!$B$13="最大化",Q1792,IF(01_因子設定!$B$13="最小化",-Q1792,-ABS(Q1792-01_因子設定!$B$16))),-1E+030)</f>
        <v>44.1624289772728</v>
      </c>
      <c r="Y1792" s="55" t="n">
        <f aca="false">W1792+ROW()*0.000000001</f>
        <v>-5.38043271167601</v>
      </c>
      <c r="Z1792" s="55" t="n">
        <f aca="false">X1792+ROW()*0.000000001</f>
        <v>44.1624307692727</v>
      </c>
    </row>
    <row r="1793" customFormat="false" ht="15" hidden="false" customHeight="false" outlineLevel="0" collapsed="false">
      <c r="A1793" s="0" t="n">
        <v>6</v>
      </c>
      <c r="B1793" s="0" t="n">
        <v>3</v>
      </c>
      <c r="C1793" s="0" t="n">
        <v>3</v>
      </c>
      <c r="D1793" s="0" t="n">
        <f aca="false">-1+A1793*0.125</f>
        <v>-0.25</v>
      </c>
      <c r="E1793" s="0" t="n">
        <f aca="false">-1+B1793*0.125</f>
        <v>-0.625</v>
      </c>
      <c r="F1793" s="0" t="n">
        <f aca="false">-1+C1793*0.125</f>
        <v>-0.625</v>
      </c>
      <c r="G1793" s="0" t="n">
        <f aca="false">1</f>
        <v>1</v>
      </c>
      <c r="H1793" s="0" t="n">
        <f aca="false">D1793</f>
        <v>-0.25</v>
      </c>
      <c r="I1793" s="0" t="n">
        <f aca="false">E1793</f>
        <v>-0.625</v>
      </c>
      <c r="J1793" s="0" t="n">
        <f aca="false">F1793</f>
        <v>-0.625</v>
      </c>
      <c r="K1793" s="0" t="n">
        <f aca="false">D1793*E1793</f>
        <v>0.15625</v>
      </c>
      <c r="L1793" s="0" t="n">
        <f aca="false">D1793*F1793</f>
        <v>0.15625</v>
      </c>
      <c r="M1793" s="0" t="n">
        <f aca="false">E1793*F1793</f>
        <v>0.390625</v>
      </c>
      <c r="N1793" s="0" t="n">
        <f aca="false">D1793*D1793</f>
        <v>0.0625</v>
      </c>
      <c r="O1793" s="0" t="n">
        <f aca="false">E1793*E1793</f>
        <v>0.390625</v>
      </c>
      <c r="P1793" s="0" t="n">
        <f aca="false">F1793*F1793</f>
        <v>0.390625</v>
      </c>
      <c r="Q1793" s="0" t="n">
        <f aca="false">SUMPRODUCT(G1793:P1793,_XtX!$B$71:$K$71)</f>
        <v>44.5068039772727</v>
      </c>
      <c r="R1793" s="0" t="n">
        <f aca="false">SUMPRODUCT(MMULT(G1793:P1793,_XtX!$B$58:$K$67),G1793:P1793)</f>
        <v>0.208491099964489</v>
      </c>
      <c r="S1793" s="0" t="n">
        <f aca="false">04_回帰ANOVA!$K$19*04_回帰ANOVA!$K$14*SQRT(1+R1793)</f>
        <v>1.02208817610259</v>
      </c>
      <c r="T1793" s="0" t="n">
        <f aca="false">Q1793-S1793</f>
        <v>43.4847158011702</v>
      </c>
      <c r="U1793" s="0" t="n">
        <f aca="false">Q1793+S1793</f>
        <v>45.5288921533753</v>
      </c>
      <c r="V1793" s="54" t="b">
        <f aca="false">AND(D1793&gt;=01_因子設定!$L$5-0.000000001,D1793&lt;=01_因子設定!$M$5+0.000000001,E1793&gt;=01_因子設定!$L$6-0.000000001,E1793&lt;=01_因子設定!$M$6+0.000000001,F1793&gt;=01_因子設定!$L$7-0.000000001,F1793&lt;=01_因子設定!$M$7+0.000000001,IF(01_因子設定!$B$20="Box-Behnken",D1793^2+E1793^2+F1793^2&lt;=2+0.000000001,TRUE()))</f>
        <v>1</v>
      </c>
      <c r="W1793" s="55" t="n">
        <f aca="false">IF(V1793,IF(01_因子設定!$B$13="最大化",T1793-01_因子設定!$B$14,IF(01_因子設定!$B$13="最小化",01_因子設定!$B$15-U1793,MIN(T1793-01_因子設定!$B$14,01_因子設定!$B$15-U1793))),-1E+030)</f>
        <v>-5.01528419882984</v>
      </c>
      <c r="X1793" s="55" t="n">
        <f aca="false">IF(V1793,IF(01_因子設定!$B$13="最大化",Q1793,IF(01_因子設定!$B$13="最小化",-Q1793,-ABS(Q1793-01_因子設定!$B$16))),-1E+030)</f>
        <v>44.5068039772727</v>
      </c>
      <c r="Y1793" s="55" t="n">
        <f aca="false">W1793+ROW()*0.000000001</f>
        <v>-5.01528240582984</v>
      </c>
      <c r="Z1793" s="55" t="n">
        <f aca="false">X1793+ROW()*0.000000001</f>
        <v>44.5068057702728</v>
      </c>
    </row>
    <row r="1794" customFormat="false" ht="15" hidden="false" customHeight="false" outlineLevel="0" collapsed="false">
      <c r="A1794" s="0" t="n">
        <v>6</v>
      </c>
      <c r="B1794" s="0" t="n">
        <v>3</v>
      </c>
      <c r="C1794" s="0" t="n">
        <v>4</v>
      </c>
      <c r="D1794" s="0" t="n">
        <f aca="false">-1+A1794*0.125</f>
        <v>-0.25</v>
      </c>
      <c r="E1794" s="0" t="n">
        <f aca="false">-1+B1794*0.125</f>
        <v>-0.625</v>
      </c>
      <c r="F1794" s="0" t="n">
        <f aca="false">-1+C1794*0.125</f>
        <v>-0.5</v>
      </c>
      <c r="G1794" s="0" t="n">
        <f aca="false">1</f>
        <v>1</v>
      </c>
      <c r="H1794" s="0" t="n">
        <f aca="false">D1794</f>
        <v>-0.25</v>
      </c>
      <c r="I1794" s="0" t="n">
        <f aca="false">E1794</f>
        <v>-0.625</v>
      </c>
      <c r="J1794" s="0" t="n">
        <f aca="false">F1794</f>
        <v>-0.5</v>
      </c>
      <c r="K1794" s="0" t="n">
        <f aca="false">D1794*E1794</f>
        <v>0.15625</v>
      </c>
      <c r="L1794" s="0" t="n">
        <f aca="false">D1794*F1794</f>
        <v>0.125</v>
      </c>
      <c r="M1794" s="0" t="n">
        <f aca="false">E1794*F1794</f>
        <v>0.3125</v>
      </c>
      <c r="N1794" s="0" t="n">
        <f aca="false">D1794*D1794</f>
        <v>0.0625</v>
      </c>
      <c r="O1794" s="0" t="n">
        <f aca="false">E1794*E1794</f>
        <v>0.390625</v>
      </c>
      <c r="P1794" s="0" t="n">
        <f aca="false">F1794*F1794</f>
        <v>0.25</v>
      </c>
      <c r="Q1794" s="0" t="n">
        <f aca="false">SUMPRODUCT(G1794:P1794,_XtX!$B$71:$K$71)</f>
        <v>44.8143892045455</v>
      </c>
      <c r="R1794" s="0" t="n">
        <f aca="false">SUMPRODUCT(MMULT(G1794:P1794,_XtX!$B$58:$K$67),G1794:P1794)</f>
        <v>0.183866743607955</v>
      </c>
      <c r="S1794" s="0" t="n">
        <f aca="false">04_回帰ANOVA!$K$19*04_回帰ANOVA!$K$14*SQRT(1+R1794)</f>
        <v>1.01162148983013</v>
      </c>
      <c r="T1794" s="0" t="n">
        <f aca="false">Q1794-S1794</f>
        <v>43.8027677147153</v>
      </c>
      <c r="U1794" s="0" t="n">
        <f aca="false">Q1794+S1794</f>
        <v>45.8260106943756</v>
      </c>
      <c r="V1794" s="54" t="b">
        <f aca="false">AND(D1794&gt;=01_因子設定!$L$5-0.000000001,D1794&lt;=01_因子設定!$M$5+0.000000001,E1794&gt;=01_因子設定!$L$6-0.000000001,E1794&lt;=01_因子設定!$M$6+0.000000001,F1794&gt;=01_因子設定!$L$7-0.000000001,F1794&lt;=01_因子設定!$M$7+0.000000001,IF(01_因子設定!$B$20="Box-Behnken",D1794^2+E1794^2+F1794^2&lt;=2+0.000000001,TRUE()))</f>
        <v>1</v>
      </c>
      <c r="W1794" s="55" t="n">
        <f aca="false">IF(V1794,IF(01_因子設定!$B$13="最大化",T1794-01_因子設定!$B$14,IF(01_因子設定!$B$13="最小化",01_因子設定!$B$15-U1794,MIN(T1794-01_因子設定!$B$14,01_因子設定!$B$15-U1794))),-1E+030)</f>
        <v>-4.69723228528466</v>
      </c>
      <c r="X1794" s="55" t="n">
        <f aca="false">IF(V1794,IF(01_因子設定!$B$13="最大化",Q1794,IF(01_因子設定!$B$13="最小化",-Q1794,-ABS(Q1794-01_因子設定!$B$16))),-1E+030)</f>
        <v>44.8143892045455</v>
      </c>
      <c r="Y1794" s="55" t="n">
        <f aca="false">W1794+ROW()*0.000000001</f>
        <v>-4.69723049128466</v>
      </c>
      <c r="Z1794" s="55" t="n">
        <f aca="false">X1794+ROW()*0.000000001</f>
        <v>44.8143909985455</v>
      </c>
    </row>
    <row r="1795" customFormat="false" ht="15" hidden="false" customHeight="false" outlineLevel="0" collapsed="false">
      <c r="A1795" s="0" t="n">
        <v>6</v>
      </c>
      <c r="B1795" s="0" t="n">
        <v>3</v>
      </c>
      <c r="C1795" s="0" t="n">
        <v>5</v>
      </c>
      <c r="D1795" s="0" t="n">
        <f aca="false">-1+A1795*0.125</f>
        <v>-0.25</v>
      </c>
      <c r="E1795" s="0" t="n">
        <f aca="false">-1+B1795*0.125</f>
        <v>-0.625</v>
      </c>
      <c r="F1795" s="0" t="n">
        <f aca="false">-1+C1795*0.125</f>
        <v>-0.375</v>
      </c>
      <c r="G1795" s="0" t="n">
        <f aca="false">1</f>
        <v>1</v>
      </c>
      <c r="H1795" s="0" t="n">
        <f aca="false">D1795</f>
        <v>-0.25</v>
      </c>
      <c r="I1795" s="0" t="n">
        <f aca="false">E1795</f>
        <v>-0.625</v>
      </c>
      <c r="J1795" s="0" t="n">
        <f aca="false">F1795</f>
        <v>-0.375</v>
      </c>
      <c r="K1795" s="0" t="n">
        <f aca="false">D1795*E1795</f>
        <v>0.15625</v>
      </c>
      <c r="L1795" s="0" t="n">
        <f aca="false">D1795*F1795</f>
        <v>0.09375</v>
      </c>
      <c r="M1795" s="0" t="n">
        <f aca="false">E1795*F1795</f>
        <v>0.234375</v>
      </c>
      <c r="N1795" s="0" t="n">
        <f aca="false">D1795*D1795</f>
        <v>0.0625</v>
      </c>
      <c r="O1795" s="0" t="n">
        <f aca="false">E1795*E1795</f>
        <v>0.390625</v>
      </c>
      <c r="P1795" s="0" t="n">
        <f aca="false">F1795*F1795</f>
        <v>0.140625</v>
      </c>
      <c r="Q1795" s="0" t="n">
        <f aca="false">SUMPRODUCT(G1795:P1795,_XtX!$B$71:$K$71)</f>
        <v>45.0851846590909</v>
      </c>
      <c r="R1795" s="0" t="n">
        <f aca="false">SUMPRODUCT(MMULT(G1795:P1795,_XtX!$B$58:$K$67),G1795:P1795)</f>
        <v>0.174657648259943</v>
      </c>
      <c r="S1795" s="0" t="n">
        <f aca="false">04_回帰ANOVA!$K$19*04_回帰ANOVA!$K$14*SQRT(1+R1795)</f>
        <v>1.00767919364845</v>
      </c>
      <c r="T1795" s="0" t="n">
        <f aca="false">Q1795-S1795</f>
        <v>44.0775054654425</v>
      </c>
      <c r="U1795" s="0" t="n">
        <f aca="false">Q1795+S1795</f>
        <v>46.0928638527394</v>
      </c>
      <c r="V1795" s="54" t="b">
        <f aca="false">AND(D1795&gt;=01_因子設定!$L$5-0.000000001,D1795&lt;=01_因子設定!$M$5+0.000000001,E1795&gt;=01_因子設定!$L$6-0.000000001,E1795&lt;=01_因子設定!$M$6+0.000000001,F1795&gt;=01_因子設定!$L$7-0.000000001,F1795&lt;=01_因子設定!$M$7+0.000000001,IF(01_因子設定!$B$20="Box-Behnken",D1795^2+E1795^2+F1795^2&lt;=2+0.000000001,TRUE()))</f>
        <v>1</v>
      </c>
      <c r="W1795" s="55" t="n">
        <f aca="false">IF(V1795,IF(01_因子設定!$B$13="最大化",T1795-01_因子設定!$B$14,IF(01_因子設定!$B$13="最小化",01_因子設定!$B$15-U1795,MIN(T1795-01_因子設定!$B$14,01_因子設定!$B$15-U1795))),-1E+030)</f>
        <v>-4.42249453455752</v>
      </c>
      <c r="X1795" s="55" t="n">
        <f aca="false">IF(V1795,IF(01_因子設定!$B$13="最大化",Q1795,IF(01_因子設定!$B$13="最小化",-Q1795,-ABS(Q1795-01_因子設定!$B$16))),-1E+030)</f>
        <v>45.0851846590909</v>
      </c>
      <c r="Y1795" s="55" t="n">
        <f aca="false">W1795+ROW()*0.000000001</f>
        <v>-4.42249273955752</v>
      </c>
      <c r="Z1795" s="55" t="n">
        <f aca="false">X1795+ROW()*0.000000001</f>
        <v>45.0851864540909</v>
      </c>
    </row>
    <row r="1796" customFormat="false" ht="15" hidden="false" customHeight="false" outlineLevel="0" collapsed="false">
      <c r="A1796" s="0" t="n">
        <v>6</v>
      </c>
      <c r="B1796" s="0" t="n">
        <v>3</v>
      </c>
      <c r="C1796" s="0" t="n">
        <v>6</v>
      </c>
      <c r="D1796" s="0" t="n">
        <f aca="false">-1+A1796*0.125</f>
        <v>-0.25</v>
      </c>
      <c r="E1796" s="0" t="n">
        <f aca="false">-1+B1796*0.125</f>
        <v>-0.625</v>
      </c>
      <c r="F1796" s="0" t="n">
        <f aca="false">-1+C1796*0.125</f>
        <v>-0.25</v>
      </c>
      <c r="G1796" s="0" t="n">
        <f aca="false">1</f>
        <v>1</v>
      </c>
      <c r="H1796" s="0" t="n">
        <f aca="false">D1796</f>
        <v>-0.25</v>
      </c>
      <c r="I1796" s="0" t="n">
        <f aca="false">E1796</f>
        <v>-0.625</v>
      </c>
      <c r="J1796" s="0" t="n">
        <f aca="false">F1796</f>
        <v>-0.25</v>
      </c>
      <c r="K1796" s="0" t="n">
        <f aca="false">D1796*E1796</f>
        <v>0.15625</v>
      </c>
      <c r="L1796" s="0" t="n">
        <f aca="false">D1796*F1796</f>
        <v>0.0625</v>
      </c>
      <c r="M1796" s="0" t="n">
        <f aca="false">E1796*F1796</f>
        <v>0.15625</v>
      </c>
      <c r="N1796" s="0" t="n">
        <f aca="false">D1796*D1796</f>
        <v>0.0625</v>
      </c>
      <c r="O1796" s="0" t="n">
        <f aca="false">E1796*E1796</f>
        <v>0.390625</v>
      </c>
      <c r="P1796" s="0" t="n">
        <f aca="false">F1796*F1796</f>
        <v>0.0625</v>
      </c>
      <c r="Q1796" s="0" t="n">
        <f aca="false">SUMPRODUCT(G1796:P1796,_XtX!$B$71:$K$71)</f>
        <v>45.3191903409091</v>
      </c>
      <c r="R1796" s="0" t="n">
        <f aca="false">SUMPRODUCT(MMULT(G1796:P1796,_XtX!$B$58:$K$67),G1796:P1796)</f>
        <v>0.173406427556818</v>
      </c>
      <c r="S1796" s="0" t="n">
        <f aca="false">04_回帰ANOVA!$K$19*04_回帰ANOVA!$K$14*SQRT(1+R1796)</f>
        <v>1.00714237128059</v>
      </c>
      <c r="T1796" s="0" t="n">
        <f aca="false">Q1796-S1796</f>
        <v>44.3120479696285</v>
      </c>
      <c r="U1796" s="0" t="n">
        <f aca="false">Q1796+S1796</f>
        <v>46.3263327121897</v>
      </c>
      <c r="V1796" s="54" t="b">
        <f aca="false">AND(D1796&gt;=01_因子設定!$L$5-0.000000001,D1796&lt;=01_因子設定!$M$5+0.000000001,E1796&gt;=01_因子設定!$L$6-0.000000001,E1796&lt;=01_因子設定!$M$6+0.000000001,F1796&gt;=01_因子設定!$L$7-0.000000001,F1796&lt;=01_因子設定!$M$7+0.000000001,IF(01_因子設定!$B$20="Box-Behnken",D1796^2+E1796^2+F1796^2&lt;=2+0.000000001,TRUE()))</f>
        <v>1</v>
      </c>
      <c r="W1796" s="55" t="n">
        <f aca="false">IF(V1796,IF(01_因子設定!$B$13="最大化",T1796-01_因子設定!$B$14,IF(01_因子設定!$B$13="最小化",01_因子設定!$B$15-U1796,MIN(T1796-01_因子設定!$B$14,01_因子設定!$B$15-U1796))),-1E+030)</f>
        <v>-4.18795203037149</v>
      </c>
      <c r="X1796" s="55" t="n">
        <f aca="false">IF(V1796,IF(01_因子設定!$B$13="最大化",Q1796,IF(01_因子設定!$B$13="最小化",-Q1796,-ABS(Q1796-01_因子設定!$B$16))),-1E+030)</f>
        <v>45.3191903409091</v>
      </c>
      <c r="Y1796" s="55" t="n">
        <f aca="false">W1796+ROW()*0.000000001</f>
        <v>-4.18795023437149</v>
      </c>
      <c r="Z1796" s="55" t="n">
        <f aca="false">X1796+ROW()*0.000000001</f>
        <v>45.3191921369091</v>
      </c>
    </row>
    <row r="1797" customFormat="false" ht="15" hidden="false" customHeight="false" outlineLevel="0" collapsed="false">
      <c r="A1797" s="0" t="n">
        <v>6</v>
      </c>
      <c r="B1797" s="0" t="n">
        <v>3</v>
      </c>
      <c r="C1797" s="0" t="n">
        <v>7</v>
      </c>
      <c r="D1797" s="0" t="n">
        <f aca="false">-1+A1797*0.125</f>
        <v>-0.25</v>
      </c>
      <c r="E1797" s="0" t="n">
        <f aca="false">-1+B1797*0.125</f>
        <v>-0.625</v>
      </c>
      <c r="F1797" s="0" t="n">
        <f aca="false">-1+C1797*0.125</f>
        <v>-0.125</v>
      </c>
      <c r="G1797" s="0" t="n">
        <f aca="false">1</f>
        <v>1</v>
      </c>
      <c r="H1797" s="0" t="n">
        <f aca="false">D1797</f>
        <v>-0.25</v>
      </c>
      <c r="I1797" s="0" t="n">
        <f aca="false">E1797</f>
        <v>-0.625</v>
      </c>
      <c r="J1797" s="0" t="n">
        <f aca="false">F1797</f>
        <v>-0.125</v>
      </c>
      <c r="K1797" s="0" t="n">
        <f aca="false">D1797*E1797</f>
        <v>0.15625</v>
      </c>
      <c r="L1797" s="0" t="n">
        <f aca="false">D1797*F1797</f>
        <v>0.03125</v>
      </c>
      <c r="M1797" s="0" t="n">
        <f aca="false">E1797*F1797</f>
        <v>0.078125</v>
      </c>
      <c r="N1797" s="0" t="n">
        <f aca="false">D1797*D1797</f>
        <v>0.0625</v>
      </c>
      <c r="O1797" s="0" t="n">
        <f aca="false">E1797*E1797</f>
        <v>0.390625</v>
      </c>
      <c r="P1797" s="0" t="n">
        <f aca="false">F1797*F1797</f>
        <v>0.015625</v>
      </c>
      <c r="Q1797" s="0" t="n">
        <f aca="false">SUMPRODUCT(G1797:P1797,_XtX!$B$71:$K$71)</f>
        <v>45.51640625</v>
      </c>
      <c r="R1797" s="0" t="n">
        <f aca="false">SUMPRODUCT(MMULT(G1797:P1797,_XtX!$B$58:$K$67),G1797:P1797)</f>
        <v>0.174786376953125</v>
      </c>
      <c r="S1797" s="0" t="n">
        <f aca="false">04_回帰ANOVA!$K$19*04_回帰ANOVA!$K$14*SQRT(1+R1797)</f>
        <v>1.00773440704286</v>
      </c>
      <c r="T1797" s="0" t="n">
        <f aca="false">Q1797-S1797</f>
        <v>44.5086718429572</v>
      </c>
      <c r="U1797" s="0" t="n">
        <f aca="false">Q1797+S1797</f>
        <v>46.5241406570429</v>
      </c>
      <c r="V1797" s="54" t="b">
        <f aca="false">AND(D1797&gt;=01_因子設定!$L$5-0.000000001,D1797&lt;=01_因子設定!$M$5+0.000000001,E1797&gt;=01_因子設定!$L$6-0.000000001,E1797&lt;=01_因子設定!$M$6+0.000000001,F1797&gt;=01_因子設定!$L$7-0.000000001,F1797&lt;=01_因子設定!$M$7+0.000000001,IF(01_因子設定!$B$20="Box-Behnken",D1797^2+E1797^2+F1797^2&lt;=2+0.000000001,TRUE()))</f>
        <v>1</v>
      </c>
      <c r="W1797" s="55" t="n">
        <f aca="false">IF(V1797,IF(01_因子設定!$B$13="最大化",T1797-01_因子設定!$B$14,IF(01_因子設定!$B$13="最小化",01_因子設定!$B$15-U1797,MIN(T1797-01_因子設定!$B$14,01_因子設定!$B$15-U1797))),-1E+030)</f>
        <v>-3.99132815704285</v>
      </c>
      <c r="X1797" s="55" t="n">
        <f aca="false">IF(V1797,IF(01_因子設定!$B$13="最大化",Q1797,IF(01_因子設定!$B$13="最小化",-Q1797,-ABS(Q1797-01_因子設定!$B$16))),-1E+030)</f>
        <v>45.51640625</v>
      </c>
      <c r="Y1797" s="55" t="n">
        <f aca="false">W1797+ROW()*0.000000001</f>
        <v>-3.99132636004285</v>
      </c>
      <c r="Z1797" s="55" t="n">
        <f aca="false">X1797+ROW()*0.000000001</f>
        <v>45.516408047</v>
      </c>
    </row>
    <row r="1798" customFormat="false" ht="15" hidden="false" customHeight="false" outlineLevel="0" collapsed="false">
      <c r="A1798" s="0" t="n">
        <v>6</v>
      </c>
      <c r="B1798" s="0" t="n">
        <v>3</v>
      </c>
      <c r="C1798" s="0" t="n">
        <v>8</v>
      </c>
      <c r="D1798" s="0" t="n">
        <f aca="false">-1+A1798*0.125</f>
        <v>-0.25</v>
      </c>
      <c r="E1798" s="0" t="n">
        <f aca="false">-1+B1798*0.125</f>
        <v>-0.625</v>
      </c>
      <c r="F1798" s="0" t="n">
        <f aca="false">-1+C1798*0.125</f>
        <v>0</v>
      </c>
      <c r="G1798" s="0" t="n">
        <f aca="false">1</f>
        <v>1</v>
      </c>
      <c r="H1798" s="0" t="n">
        <f aca="false">D1798</f>
        <v>-0.25</v>
      </c>
      <c r="I1798" s="0" t="n">
        <f aca="false">E1798</f>
        <v>-0.625</v>
      </c>
      <c r="J1798" s="0" t="n">
        <f aca="false">F1798</f>
        <v>0</v>
      </c>
      <c r="K1798" s="0" t="n">
        <f aca="false">D1798*E1798</f>
        <v>0.15625</v>
      </c>
      <c r="L1798" s="0" t="n">
        <f aca="false">D1798*F1798</f>
        <v>-0</v>
      </c>
      <c r="M1798" s="0" t="n">
        <f aca="false">E1798*F1798</f>
        <v>-0</v>
      </c>
      <c r="N1798" s="0" t="n">
        <f aca="false">D1798*D1798</f>
        <v>0.0625</v>
      </c>
      <c r="O1798" s="0" t="n">
        <f aca="false">E1798*E1798</f>
        <v>0.390625</v>
      </c>
      <c r="P1798" s="0" t="n">
        <f aca="false">F1798*F1798</f>
        <v>0</v>
      </c>
      <c r="Q1798" s="0" t="n">
        <f aca="false">SUMPRODUCT(G1798:P1798,_XtX!$B$71:$K$71)</f>
        <v>45.6768323863636</v>
      </c>
      <c r="R1798" s="0" t="n">
        <f aca="false">SUMPRODUCT(MMULT(G1798:P1798,_XtX!$B$58:$K$67),G1798:P1798)</f>
        <v>0.175601473721591</v>
      </c>
      <c r="S1798" s="0" t="n">
        <f aca="false">04_回帰ANOVA!$K$19*04_回帰ANOVA!$K$14*SQRT(1+R1798)</f>
        <v>1.00808394234856</v>
      </c>
      <c r="T1798" s="0" t="n">
        <f aca="false">Q1798-S1798</f>
        <v>44.6687484440151</v>
      </c>
      <c r="U1798" s="0" t="n">
        <f aca="false">Q1798+S1798</f>
        <v>46.6849163287122</v>
      </c>
      <c r="V1798" s="54" t="b">
        <f aca="false">AND(D1798&gt;=01_因子設定!$L$5-0.000000001,D1798&lt;=01_因子設定!$M$5+0.000000001,E1798&gt;=01_因子設定!$L$6-0.000000001,E1798&lt;=01_因子設定!$M$6+0.000000001,F1798&gt;=01_因子設定!$L$7-0.000000001,F1798&lt;=01_因子設定!$M$7+0.000000001,IF(01_因子設定!$B$20="Box-Behnken",D1798^2+E1798^2+F1798^2&lt;=2+0.000000001,TRUE()))</f>
        <v>1</v>
      </c>
      <c r="W1798" s="55" t="n">
        <f aca="false">IF(V1798,IF(01_因子設定!$B$13="最大化",T1798-01_因子設定!$B$14,IF(01_因子設定!$B$13="最小化",01_因子設定!$B$15-U1798,MIN(T1798-01_因子設定!$B$14,01_因子設定!$B$15-U1798))),-1E+030)</f>
        <v>-3.83125155598492</v>
      </c>
      <c r="X1798" s="55" t="n">
        <f aca="false">IF(V1798,IF(01_因子設定!$B$13="最大化",Q1798,IF(01_因子設定!$B$13="最小化",-Q1798,-ABS(Q1798-01_因子設定!$B$16))),-1E+030)</f>
        <v>45.6768323863636</v>
      </c>
      <c r="Y1798" s="55" t="n">
        <f aca="false">W1798+ROW()*0.000000001</f>
        <v>-3.83124975798492</v>
      </c>
      <c r="Z1798" s="55" t="n">
        <f aca="false">X1798+ROW()*0.000000001</f>
        <v>45.6768341843636</v>
      </c>
    </row>
    <row r="1799" customFormat="false" ht="15" hidden="false" customHeight="false" outlineLevel="0" collapsed="false">
      <c r="A1799" s="0" t="n">
        <v>6</v>
      </c>
      <c r="B1799" s="0" t="n">
        <v>3</v>
      </c>
      <c r="C1799" s="0" t="n">
        <v>9</v>
      </c>
      <c r="D1799" s="0" t="n">
        <f aca="false">-1+A1799*0.125</f>
        <v>-0.25</v>
      </c>
      <c r="E1799" s="0" t="n">
        <f aca="false">-1+B1799*0.125</f>
        <v>-0.625</v>
      </c>
      <c r="F1799" s="0" t="n">
        <f aca="false">-1+C1799*0.125</f>
        <v>0.125</v>
      </c>
      <c r="G1799" s="0" t="n">
        <f aca="false">1</f>
        <v>1</v>
      </c>
      <c r="H1799" s="0" t="n">
        <f aca="false">D1799</f>
        <v>-0.25</v>
      </c>
      <c r="I1799" s="0" t="n">
        <f aca="false">E1799</f>
        <v>-0.625</v>
      </c>
      <c r="J1799" s="0" t="n">
        <f aca="false">F1799</f>
        <v>0.125</v>
      </c>
      <c r="K1799" s="0" t="n">
        <f aca="false">D1799*E1799</f>
        <v>0.15625</v>
      </c>
      <c r="L1799" s="0" t="n">
        <f aca="false">D1799*F1799</f>
        <v>-0.03125</v>
      </c>
      <c r="M1799" s="0" t="n">
        <f aca="false">E1799*F1799</f>
        <v>-0.078125</v>
      </c>
      <c r="N1799" s="0" t="n">
        <f aca="false">D1799*D1799</f>
        <v>0.0625</v>
      </c>
      <c r="O1799" s="0" t="n">
        <f aca="false">E1799*E1799</f>
        <v>0.390625</v>
      </c>
      <c r="P1799" s="0" t="n">
        <f aca="false">F1799*F1799</f>
        <v>0.015625</v>
      </c>
      <c r="Q1799" s="0" t="n">
        <f aca="false">SUMPRODUCT(G1799:P1799,_XtX!$B$71:$K$71)</f>
        <v>45.80046875</v>
      </c>
      <c r="R1799" s="0" t="n">
        <f aca="false">SUMPRODUCT(MMULT(G1799:P1799,_XtX!$B$58:$K$67),G1799:P1799)</f>
        <v>0.174786376953125</v>
      </c>
      <c r="S1799" s="0" t="n">
        <f aca="false">04_回帰ANOVA!$K$19*04_回帰ANOVA!$K$14*SQRT(1+R1799)</f>
        <v>1.00773440704286</v>
      </c>
      <c r="T1799" s="0" t="n">
        <f aca="false">Q1799-S1799</f>
        <v>44.7927343429572</v>
      </c>
      <c r="U1799" s="0" t="n">
        <f aca="false">Q1799+S1799</f>
        <v>46.8082031570429</v>
      </c>
      <c r="V1799" s="54" t="b">
        <f aca="false">AND(D1799&gt;=01_因子設定!$L$5-0.000000001,D1799&lt;=01_因子設定!$M$5+0.000000001,E1799&gt;=01_因子設定!$L$6-0.000000001,E1799&lt;=01_因子設定!$M$6+0.000000001,F1799&gt;=01_因子設定!$L$7-0.000000001,F1799&lt;=01_因子設定!$M$7+0.000000001,IF(01_因子設定!$B$20="Box-Behnken",D1799^2+E1799^2+F1799^2&lt;=2+0.000000001,TRUE()))</f>
        <v>1</v>
      </c>
      <c r="W1799" s="55" t="n">
        <f aca="false">IF(V1799,IF(01_因子設定!$B$13="最大化",T1799-01_因子設定!$B$14,IF(01_因子設定!$B$13="最小化",01_因子設定!$B$15-U1799,MIN(T1799-01_因子設定!$B$14,01_因子設定!$B$15-U1799))),-1E+030)</f>
        <v>-3.70726565704285</v>
      </c>
      <c r="X1799" s="55" t="n">
        <f aca="false">IF(V1799,IF(01_因子設定!$B$13="最大化",Q1799,IF(01_因子設定!$B$13="最小化",-Q1799,-ABS(Q1799-01_因子設定!$B$16))),-1E+030)</f>
        <v>45.80046875</v>
      </c>
      <c r="Y1799" s="55" t="n">
        <f aca="false">W1799+ROW()*0.000000001</f>
        <v>-3.70726385804285</v>
      </c>
      <c r="Z1799" s="55" t="n">
        <f aca="false">X1799+ROW()*0.000000001</f>
        <v>45.800470549</v>
      </c>
    </row>
    <row r="1800" customFormat="false" ht="15" hidden="false" customHeight="false" outlineLevel="0" collapsed="false">
      <c r="A1800" s="0" t="n">
        <v>6</v>
      </c>
      <c r="B1800" s="0" t="n">
        <v>3</v>
      </c>
      <c r="C1800" s="0" t="n">
        <v>10</v>
      </c>
      <c r="D1800" s="0" t="n">
        <f aca="false">-1+A1800*0.125</f>
        <v>-0.25</v>
      </c>
      <c r="E1800" s="0" t="n">
        <f aca="false">-1+B1800*0.125</f>
        <v>-0.625</v>
      </c>
      <c r="F1800" s="0" t="n">
        <f aca="false">-1+C1800*0.125</f>
        <v>0.25</v>
      </c>
      <c r="G1800" s="0" t="n">
        <f aca="false">1</f>
        <v>1</v>
      </c>
      <c r="H1800" s="0" t="n">
        <f aca="false">D1800</f>
        <v>-0.25</v>
      </c>
      <c r="I1800" s="0" t="n">
        <f aca="false">E1800</f>
        <v>-0.625</v>
      </c>
      <c r="J1800" s="0" t="n">
        <f aca="false">F1800</f>
        <v>0.25</v>
      </c>
      <c r="K1800" s="0" t="n">
        <f aca="false">D1800*E1800</f>
        <v>0.15625</v>
      </c>
      <c r="L1800" s="0" t="n">
        <f aca="false">D1800*F1800</f>
        <v>-0.0625</v>
      </c>
      <c r="M1800" s="0" t="n">
        <f aca="false">E1800*F1800</f>
        <v>-0.15625</v>
      </c>
      <c r="N1800" s="0" t="n">
        <f aca="false">D1800*D1800</f>
        <v>0.0625</v>
      </c>
      <c r="O1800" s="0" t="n">
        <f aca="false">E1800*E1800</f>
        <v>0.390625</v>
      </c>
      <c r="P1800" s="0" t="n">
        <f aca="false">F1800*F1800</f>
        <v>0.0625</v>
      </c>
      <c r="Q1800" s="0" t="n">
        <f aca="false">SUMPRODUCT(G1800:P1800,_XtX!$B$71:$K$71)</f>
        <v>45.8873153409091</v>
      </c>
      <c r="R1800" s="0" t="n">
        <f aca="false">SUMPRODUCT(MMULT(G1800:P1800,_XtX!$B$58:$K$67),G1800:P1800)</f>
        <v>0.173406427556818</v>
      </c>
      <c r="S1800" s="0" t="n">
        <f aca="false">04_回帰ANOVA!$K$19*04_回帰ANOVA!$K$14*SQRT(1+R1800)</f>
        <v>1.00714237128059</v>
      </c>
      <c r="T1800" s="0" t="n">
        <f aca="false">Q1800-S1800</f>
        <v>44.8801729696285</v>
      </c>
      <c r="U1800" s="0" t="n">
        <f aca="false">Q1800+S1800</f>
        <v>46.8944577121897</v>
      </c>
      <c r="V1800" s="54" t="b">
        <f aca="false">AND(D1800&gt;=01_因子設定!$L$5-0.000000001,D1800&lt;=01_因子設定!$M$5+0.000000001,E1800&gt;=01_因子設定!$L$6-0.000000001,E1800&lt;=01_因子設定!$M$6+0.000000001,F1800&gt;=01_因子設定!$L$7-0.000000001,F1800&lt;=01_因子設定!$M$7+0.000000001,IF(01_因子設定!$B$20="Box-Behnken",D1800^2+E1800^2+F1800^2&lt;=2+0.000000001,TRUE()))</f>
        <v>1</v>
      </c>
      <c r="W1800" s="55" t="n">
        <f aca="false">IF(V1800,IF(01_因子設定!$B$13="最大化",T1800-01_因子設定!$B$14,IF(01_因子設定!$B$13="最小化",01_因子設定!$B$15-U1800,MIN(T1800-01_因子設定!$B$14,01_因子設定!$B$15-U1800))),-1E+030)</f>
        <v>-3.6198270303715</v>
      </c>
      <c r="X1800" s="55" t="n">
        <f aca="false">IF(V1800,IF(01_因子設定!$B$13="最大化",Q1800,IF(01_因子設定!$B$13="最小化",-Q1800,-ABS(Q1800-01_因子設定!$B$16))),-1E+030)</f>
        <v>45.8873153409091</v>
      </c>
      <c r="Y1800" s="55" t="n">
        <f aca="false">W1800+ROW()*0.000000001</f>
        <v>-3.6198252303715</v>
      </c>
      <c r="Z1800" s="55" t="n">
        <f aca="false">X1800+ROW()*0.000000001</f>
        <v>45.8873171409091</v>
      </c>
    </row>
    <row r="1801" customFormat="false" ht="15" hidden="false" customHeight="false" outlineLevel="0" collapsed="false">
      <c r="A1801" s="0" t="n">
        <v>6</v>
      </c>
      <c r="B1801" s="0" t="n">
        <v>3</v>
      </c>
      <c r="C1801" s="0" t="n">
        <v>11</v>
      </c>
      <c r="D1801" s="0" t="n">
        <f aca="false">-1+A1801*0.125</f>
        <v>-0.25</v>
      </c>
      <c r="E1801" s="0" t="n">
        <f aca="false">-1+B1801*0.125</f>
        <v>-0.625</v>
      </c>
      <c r="F1801" s="0" t="n">
        <f aca="false">-1+C1801*0.125</f>
        <v>0.375</v>
      </c>
      <c r="G1801" s="0" t="n">
        <f aca="false">1</f>
        <v>1</v>
      </c>
      <c r="H1801" s="0" t="n">
        <f aca="false">D1801</f>
        <v>-0.25</v>
      </c>
      <c r="I1801" s="0" t="n">
        <f aca="false">E1801</f>
        <v>-0.625</v>
      </c>
      <c r="J1801" s="0" t="n">
        <f aca="false">F1801</f>
        <v>0.375</v>
      </c>
      <c r="K1801" s="0" t="n">
        <f aca="false">D1801*E1801</f>
        <v>0.15625</v>
      </c>
      <c r="L1801" s="0" t="n">
        <f aca="false">D1801*F1801</f>
        <v>-0.09375</v>
      </c>
      <c r="M1801" s="0" t="n">
        <f aca="false">E1801*F1801</f>
        <v>-0.234375</v>
      </c>
      <c r="N1801" s="0" t="n">
        <f aca="false">D1801*D1801</f>
        <v>0.0625</v>
      </c>
      <c r="O1801" s="0" t="n">
        <f aca="false">E1801*E1801</f>
        <v>0.390625</v>
      </c>
      <c r="P1801" s="0" t="n">
        <f aca="false">F1801*F1801</f>
        <v>0.140625</v>
      </c>
      <c r="Q1801" s="0" t="n">
        <f aca="false">SUMPRODUCT(G1801:P1801,_XtX!$B$71:$K$71)</f>
        <v>45.9373721590909</v>
      </c>
      <c r="R1801" s="0" t="n">
        <f aca="false">SUMPRODUCT(MMULT(G1801:P1801,_XtX!$B$58:$K$67),G1801:P1801)</f>
        <v>0.174657648259943</v>
      </c>
      <c r="S1801" s="0" t="n">
        <f aca="false">04_回帰ANOVA!$K$19*04_回帰ANOVA!$K$14*SQRT(1+R1801)</f>
        <v>1.00767919364845</v>
      </c>
      <c r="T1801" s="0" t="n">
        <f aca="false">Q1801-S1801</f>
        <v>44.9296929654425</v>
      </c>
      <c r="U1801" s="0" t="n">
        <f aca="false">Q1801+S1801</f>
        <v>46.9450513527394</v>
      </c>
      <c r="V1801" s="54" t="b">
        <f aca="false">AND(D1801&gt;=01_因子設定!$L$5-0.000000001,D1801&lt;=01_因子設定!$M$5+0.000000001,E1801&gt;=01_因子設定!$L$6-0.000000001,E1801&lt;=01_因子設定!$M$6+0.000000001,F1801&gt;=01_因子設定!$L$7-0.000000001,F1801&lt;=01_因子設定!$M$7+0.000000001,IF(01_因子設定!$B$20="Box-Behnken",D1801^2+E1801^2+F1801^2&lt;=2+0.000000001,TRUE()))</f>
        <v>1</v>
      </c>
      <c r="W1801" s="55" t="n">
        <f aca="false">IF(V1801,IF(01_因子設定!$B$13="最大化",T1801-01_因子設定!$B$14,IF(01_因子設定!$B$13="最小化",01_因子設定!$B$15-U1801,MIN(T1801-01_因子設定!$B$14,01_因子設定!$B$15-U1801))),-1E+030)</f>
        <v>-3.57030703455752</v>
      </c>
      <c r="X1801" s="55" t="n">
        <f aca="false">IF(V1801,IF(01_因子設定!$B$13="最大化",Q1801,IF(01_因子設定!$B$13="最小化",-Q1801,-ABS(Q1801-01_因子設定!$B$16))),-1E+030)</f>
        <v>45.9373721590909</v>
      </c>
      <c r="Y1801" s="55" t="n">
        <f aca="false">W1801+ROW()*0.000000001</f>
        <v>-3.57030523355752</v>
      </c>
      <c r="Z1801" s="55" t="n">
        <f aca="false">X1801+ROW()*0.000000001</f>
        <v>45.9373739600909</v>
      </c>
    </row>
    <row r="1802" customFormat="false" ht="15" hidden="false" customHeight="false" outlineLevel="0" collapsed="false">
      <c r="A1802" s="0" t="n">
        <v>6</v>
      </c>
      <c r="B1802" s="0" t="n">
        <v>3</v>
      </c>
      <c r="C1802" s="0" t="n">
        <v>12</v>
      </c>
      <c r="D1802" s="0" t="n">
        <f aca="false">-1+A1802*0.125</f>
        <v>-0.25</v>
      </c>
      <c r="E1802" s="0" t="n">
        <f aca="false">-1+B1802*0.125</f>
        <v>-0.625</v>
      </c>
      <c r="F1802" s="0" t="n">
        <f aca="false">-1+C1802*0.125</f>
        <v>0.5</v>
      </c>
      <c r="G1802" s="0" t="n">
        <f aca="false">1</f>
        <v>1</v>
      </c>
      <c r="H1802" s="0" t="n">
        <f aca="false">D1802</f>
        <v>-0.25</v>
      </c>
      <c r="I1802" s="0" t="n">
        <f aca="false">E1802</f>
        <v>-0.625</v>
      </c>
      <c r="J1802" s="0" t="n">
        <f aca="false">F1802</f>
        <v>0.5</v>
      </c>
      <c r="K1802" s="0" t="n">
        <f aca="false">D1802*E1802</f>
        <v>0.15625</v>
      </c>
      <c r="L1802" s="0" t="n">
        <f aca="false">D1802*F1802</f>
        <v>-0.125</v>
      </c>
      <c r="M1802" s="0" t="n">
        <f aca="false">E1802*F1802</f>
        <v>-0.3125</v>
      </c>
      <c r="N1802" s="0" t="n">
        <f aca="false">D1802*D1802</f>
        <v>0.0625</v>
      </c>
      <c r="O1802" s="0" t="n">
        <f aca="false">E1802*E1802</f>
        <v>0.390625</v>
      </c>
      <c r="P1802" s="0" t="n">
        <f aca="false">F1802*F1802</f>
        <v>0.25</v>
      </c>
      <c r="Q1802" s="0" t="n">
        <f aca="false">SUMPRODUCT(G1802:P1802,_XtX!$B$71:$K$71)</f>
        <v>45.9506392045455</v>
      </c>
      <c r="R1802" s="0" t="n">
        <f aca="false">SUMPRODUCT(MMULT(G1802:P1802,_XtX!$B$58:$K$67),G1802:P1802)</f>
        <v>0.183866743607955</v>
      </c>
      <c r="S1802" s="0" t="n">
        <f aca="false">04_回帰ANOVA!$K$19*04_回帰ANOVA!$K$14*SQRT(1+R1802)</f>
        <v>1.01162148983013</v>
      </c>
      <c r="T1802" s="0" t="n">
        <f aca="false">Q1802-S1802</f>
        <v>44.9390177147153</v>
      </c>
      <c r="U1802" s="0" t="n">
        <f aca="false">Q1802+S1802</f>
        <v>46.9622606943756</v>
      </c>
      <c r="V1802" s="54" t="b">
        <f aca="false">AND(D1802&gt;=01_因子設定!$L$5-0.000000001,D1802&lt;=01_因子設定!$M$5+0.000000001,E1802&gt;=01_因子設定!$L$6-0.000000001,E1802&lt;=01_因子設定!$M$6+0.000000001,F1802&gt;=01_因子設定!$L$7-0.000000001,F1802&lt;=01_因子設定!$M$7+0.000000001,IF(01_因子設定!$B$20="Box-Behnken",D1802^2+E1802^2+F1802^2&lt;=2+0.000000001,TRUE()))</f>
        <v>1</v>
      </c>
      <c r="W1802" s="55" t="n">
        <f aca="false">IF(V1802,IF(01_因子設定!$B$13="最大化",T1802-01_因子設定!$B$14,IF(01_因子設定!$B$13="最小化",01_因子設定!$B$15-U1802,MIN(T1802-01_因子設定!$B$14,01_因子設定!$B$15-U1802))),-1E+030)</f>
        <v>-3.56098228528467</v>
      </c>
      <c r="X1802" s="55" t="n">
        <f aca="false">IF(V1802,IF(01_因子設定!$B$13="最大化",Q1802,IF(01_因子設定!$B$13="最小化",-Q1802,-ABS(Q1802-01_因子設定!$B$16))),-1E+030)</f>
        <v>45.9506392045455</v>
      </c>
      <c r="Y1802" s="55" t="n">
        <f aca="false">W1802+ROW()*0.000000001</f>
        <v>-3.56098048328467</v>
      </c>
      <c r="Z1802" s="55" t="n">
        <f aca="false">X1802+ROW()*0.000000001</f>
        <v>45.9506410065455</v>
      </c>
    </row>
    <row r="1803" customFormat="false" ht="15" hidden="false" customHeight="false" outlineLevel="0" collapsed="false">
      <c r="A1803" s="0" t="n">
        <v>6</v>
      </c>
      <c r="B1803" s="0" t="n">
        <v>3</v>
      </c>
      <c r="C1803" s="0" t="n">
        <v>13</v>
      </c>
      <c r="D1803" s="0" t="n">
        <f aca="false">-1+A1803*0.125</f>
        <v>-0.25</v>
      </c>
      <c r="E1803" s="0" t="n">
        <f aca="false">-1+B1803*0.125</f>
        <v>-0.625</v>
      </c>
      <c r="F1803" s="0" t="n">
        <f aca="false">-1+C1803*0.125</f>
        <v>0.625</v>
      </c>
      <c r="G1803" s="0" t="n">
        <f aca="false">1</f>
        <v>1</v>
      </c>
      <c r="H1803" s="0" t="n">
        <f aca="false">D1803</f>
        <v>-0.25</v>
      </c>
      <c r="I1803" s="0" t="n">
        <f aca="false">E1803</f>
        <v>-0.625</v>
      </c>
      <c r="J1803" s="0" t="n">
        <f aca="false">F1803</f>
        <v>0.625</v>
      </c>
      <c r="K1803" s="0" t="n">
        <f aca="false">D1803*E1803</f>
        <v>0.15625</v>
      </c>
      <c r="L1803" s="0" t="n">
        <f aca="false">D1803*F1803</f>
        <v>-0.15625</v>
      </c>
      <c r="M1803" s="0" t="n">
        <f aca="false">E1803*F1803</f>
        <v>-0.390625</v>
      </c>
      <c r="N1803" s="0" t="n">
        <f aca="false">D1803*D1803</f>
        <v>0.0625</v>
      </c>
      <c r="O1803" s="0" t="n">
        <f aca="false">E1803*E1803</f>
        <v>0.390625</v>
      </c>
      <c r="P1803" s="0" t="n">
        <f aca="false">F1803*F1803</f>
        <v>0.390625</v>
      </c>
      <c r="Q1803" s="0" t="n">
        <f aca="false">SUMPRODUCT(G1803:P1803,_XtX!$B$71:$K$71)</f>
        <v>45.9271164772727</v>
      </c>
      <c r="R1803" s="0" t="n">
        <f aca="false">SUMPRODUCT(MMULT(G1803:P1803,_XtX!$B$58:$K$67),G1803:P1803)</f>
        <v>0.208491099964489</v>
      </c>
      <c r="S1803" s="0" t="n">
        <f aca="false">04_回帰ANOVA!$K$19*04_回帰ANOVA!$K$14*SQRT(1+R1803)</f>
        <v>1.02208817610259</v>
      </c>
      <c r="T1803" s="0" t="n">
        <f aca="false">Q1803-S1803</f>
        <v>44.9050283011702</v>
      </c>
      <c r="U1803" s="0" t="n">
        <f aca="false">Q1803+S1803</f>
        <v>46.9492046533753</v>
      </c>
      <c r="V1803" s="54" t="b">
        <f aca="false">AND(D1803&gt;=01_因子設定!$L$5-0.000000001,D1803&lt;=01_因子設定!$M$5+0.000000001,E1803&gt;=01_因子設定!$L$6-0.000000001,E1803&lt;=01_因子設定!$M$6+0.000000001,F1803&gt;=01_因子設定!$L$7-0.000000001,F1803&lt;=01_因子設定!$M$7+0.000000001,IF(01_因子設定!$B$20="Box-Behnken",D1803^2+E1803^2+F1803^2&lt;=2+0.000000001,TRUE()))</f>
        <v>1</v>
      </c>
      <c r="W1803" s="55" t="n">
        <f aca="false">IF(V1803,IF(01_因子設定!$B$13="最大化",T1803-01_因子設定!$B$14,IF(01_因子設定!$B$13="最小化",01_因子設定!$B$15-U1803,MIN(T1803-01_因子設定!$B$14,01_因子設定!$B$15-U1803))),-1E+030)</f>
        <v>-3.59497169882985</v>
      </c>
      <c r="X1803" s="55" t="n">
        <f aca="false">IF(V1803,IF(01_因子設定!$B$13="最大化",Q1803,IF(01_因子設定!$B$13="最小化",-Q1803,-ABS(Q1803-01_因子設定!$B$16))),-1E+030)</f>
        <v>45.9271164772727</v>
      </c>
      <c r="Y1803" s="55" t="n">
        <f aca="false">W1803+ROW()*0.000000001</f>
        <v>-3.59496989582985</v>
      </c>
      <c r="Z1803" s="55" t="n">
        <f aca="false">X1803+ROW()*0.000000001</f>
        <v>45.9271182802727</v>
      </c>
    </row>
    <row r="1804" customFormat="false" ht="15" hidden="false" customHeight="false" outlineLevel="0" collapsed="false">
      <c r="A1804" s="0" t="n">
        <v>6</v>
      </c>
      <c r="B1804" s="0" t="n">
        <v>3</v>
      </c>
      <c r="C1804" s="0" t="n">
        <v>14</v>
      </c>
      <c r="D1804" s="0" t="n">
        <f aca="false">-1+A1804*0.125</f>
        <v>-0.25</v>
      </c>
      <c r="E1804" s="0" t="n">
        <f aca="false">-1+B1804*0.125</f>
        <v>-0.625</v>
      </c>
      <c r="F1804" s="0" t="n">
        <f aca="false">-1+C1804*0.125</f>
        <v>0.75</v>
      </c>
      <c r="G1804" s="0" t="n">
        <f aca="false">1</f>
        <v>1</v>
      </c>
      <c r="H1804" s="0" t="n">
        <f aca="false">D1804</f>
        <v>-0.25</v>
      </c>
      <c r="I1804" s="0" t="n">
        <f aca="false">E1804</f>
        <v>-0.625</v>
      </c>
      <c r="J1804" s="0" t="n">
        <f aca="false">F1804</f>
        <v>0.75</v>
      </c>
      <c r="K1804" s="0" t="n">
        <f aca="false">D1804*E1804</f>
        <v>0.15625</v>
      </c>
      <c r="L1804" s="0" t="n">
        <f aca="false">D1804*F1804</f>
        <v>-0.1875</v>
      </c>
      <c r="M1804" s="0" t="n">
        <f aca="false">E1804*F1804</f>
        <v>-0.46875</v>
      </c>
      <c r="N1804" s="0" t="n">
        <f aca="false">D1804*D1804</f>
        <v>0.0625</v>
      </c>
      <c r="O1804" s="0" t="n">
        <f aca="false">E1804*E1804</f>
        <v>0.390625</v>
      </c>
      <c r="P1804" s="0" t="n">
        <f aca="false">F1804*F1804</f>
        <v>0.5625</v>
      </c>
      <c r="Q1804" s="0" t="n">
        <f aca="false">SUMPRODUCT(G1804:P1804,_XtX!$B$71:$K$71)</f>
        <v>45.8668039772727</v>
      </c>
      <c r="R1804" s="0" t="n">
        <f aca="false">SUMPRODUCT(MMULT(G1804:P1804,_XtX!$B$58:$K$67),G1804:P1804)</f>
        <v>0.258118785511364</v>
      </c>
      <c r="S1804" s="0" t="n">
        <f aca="false">04_回帰ANOVA!$K$19*04_回帰ANOVA!$K$14*SQRT(1+R1804)</f>
        <v>1.04286348094876</v>
      </c>
      <c r="T1804" s="0" t="n">
        <f aca="false">Q1804-S1804</f>
        <v>44.823940496324</v>
      </c>
      <c r="U1804" s="0" t="n">
        <f aca="false">Q1804+S1804</f>
        <v>46.9096674582215</v>
      </c>
      <c r="V1804" s="54" t="b">
        <f aca="false">AND(D1804&gt;=01_因子設定!$L$5-0.000000001,D1804&lt;=01_因子設定!$M$5+0.000000001,E1804&gt;=01_因子設定!$L$6-0.000000001,E1804&lt;=01_因子設定!$M$6+0.000000001,F1804&gt;=01_因子設定!$L$7-0.000000001,F1804&lt;=01_因子設定!$M$7+0.000000001,IF(01_因子設定!$B$20="Box-Behnken",D1804^2+E1804^2+F1804^2&lt;=2+0.000000001,TRUE()))</f>
        <v>1</v>
      </c>
      <c r="W1804" s="55" t="n">
        <f aca="false">IF(V1804,IF(01_因子設定!$B$13="最大化",T1804-01_因子設定!$B$14,IF(01_因子設定!$B$13="最小化",01_因子設定!$B$15-U1804,MIN(T1804-01_因子設定!$B$14,01_因子設定!$B$15-U1804))),-1E+030)</f>
        <v>-3.67605950367602</v>
      </c>
      <c r="X1804" s="55" t="n">
        <f aca="false">IF(V1804,IF(01_因子設定!$B$13="最大化",Q1804,IF(01_因子設定!$B$13="最小化",-Q1804,-ABS(Q1804-01_因子設定!$B$16))),-1E+030)</f>
        <v>45.8668039772727</v>
      </c>
      <c r="Y1804" s="55" t="n">
        <f aca="false">W1804+ROW()*0.000000001</f>
        <v>-3.67605769967602</v>
      </c>
      <c r="Z1804" s="55" t="n">
        <f aca="false">X1804+ROW()*0.000000001</f>
        <v>45.8668057812727</v>
      </c>
    </row>
    <row r="1805" customFormat="false" ht="15" hidden="false" customHeight="false" outlineLevel="0" collapsed="false">
      <c r="A1805" s="0" t="n">
        <v>6</v>
      </c>
      <c r="B1805" s="0" t="n">
        <v>3</v>
      </c>
      <c r="C1805" s="0" t="n">
        <v>15</v>
      </c>
      <c r="D1805" s="0" t="n">
        <f aca="false">-1+A1805*0.125</f>
        <v>-0.25</v>
      </c>
      <c r="E1805" s="0" t="n">
        <f aca="false">-1+B1805*0.125</f>
        <v>-0.625</v>
      </c>
      <c r="F1805" s="0" t="n">
        <f aca="false">-1+C1805*0.125</f>
        <v>0.875</v>
      </c>
      <c r="G1805" s="0" t="n">
        <f aca="false">1</f>
        <v>1</v>
      </c>
      <c r="H1805" s="0" t="n">
        <f aca="false">D1805</f>
        <v>-0.25</v>
      </c>
      <c r="I1805" s="0" t="n">
        <f aca="false">E1805</f>
        <v>-0.625</v>
      </c>
      <c r="J1805" s="0" t="n">
        <f aca="false">F1805</f>
        <v>0.875</v>
      </c>
      <c r="K1805" s="0" t="n">
        <f aca="false">D1805*E1805</f>
        <v>0.15625</v>
      </c>
      <c r="L1805" s="0" t="n">
        <f aca="false">D1805*F1805</f>
        <v>-0.21875</v>
      </c>
      <c r="M1805" s="0" t="n">
        <f aca="false">E1805*F1805</f>
        <v>-0.546875</v>
      </c>
      <c r="N1805" s="0" t="n">
        <f aca="false">D1805*D1805</f>
        <v>0.0625</v>
      </c>
      <c r="O1805" s="0" t="n">
        <f aca="false">E1805*E1805</f>
        <v>0.390625</v>
      </c>
      <c r="P1805" s="0" t="n">
        <f aca="false">F1805*F1805</f>
        <v>0.765625</v>
      </c>
      <c r="Q1805" s="0" t="n">
        <f aca="false">SUMPRODUCT(G1805:P1805,_XtX!$B$71:$K$71)</f>
        <v>45.7697017045455</v>
      </c>
      <c r="R1805" s="0" t="n">
        <f aca="false">SUMPRODUCT(MMULT(G1805:P1805,_XtX!$B$58:$K$67),G1805:P1805)</f>
        <v>0.34446855024858</v>
      </c>
      <c r="S1805" s="0" t="n">
        <f aca="false">04_回帰ANOVA!$K$19*04_回帰ANOVA!$K$14*SQRT(1+R1805)</f>
        <v>1.07805758590432</v>
      </c>
      <c r="T1805" s="0" t="n">
        <f aca="false">Q1805-S1805</f>
        <v>44.6916441186412</v>
      </c>
      <c r="U1805" s="0" t="n">
        <f aca="false">Q1805+S1805</f>
        <v>46.8477592904498</v>
      </c>
      <c r="V1805" s="54" t="b">
        <f aca="false">AND(D1805&gt;=01_因子設定!$L$5-0.000000001,D1805&lt;=01_因子設定!$M$5+0.000000001,E1805&gt;=01_因子設定!$L$6-0.000000001,E1805&lt;=01_因子設定!$M$6+0.000000001,F1805&gt;=01_因子設定!$L$7-0.000000001,F1805&lt;=01_因子設定!$M$7+0.000000001,IF(01_因子設定!$B$20="Box-Behnken",D1805^2+E1805^2+F1805^2&lt;=2+0.000000001,TRUE()))</f>
        <v>1</v>
      </c>
      <c r="W1805" s="55" t="n">
        <f aca="false">IF(V1805,IF(01_因子設定!$B$13="最大化",T1805-01_因子設定!$B$14,IF(01_因子設定!$B$13="最小化",01_因子設定!$B$15-U1805,MIN(T1805-01_因子設定!$B$14,01_因子設定!$B$15-U1805))),-1E+030)</f>
        <v>-3.80835588135884</v>
      </c>
      <c r="X1805" s="55" t="n">
        <f aca="false">IF(V1805,IF(01_因子設定!$B$13="最大化",Q1805,IF(01_因子設定!$B$13="最小化",-Q1805,-ABS(Q1805-01_因子設定!$B$16))),-1E+030)</f>
        <v>45.7697017045455</v>
      </c>
      <c r="Y1805" s="55" t="n">
        <f aca="false">W1805+ROW()*0.000000001</f>
        <v>-3.80835407635884</v>
      </c>
      <c r="Z1805" s="55" t="n">
        <f aca="false">X1805+ROW()*0.000000001</f>
        <v>45.7697035095455</v>
      </c>
    </row>
    <row r="1806" customFormat="false" ht="15" hidden="false" customHeight="false" outlineLevel="0" collapsed="false">
      <c r="A1806" s="0" t="n">
        <v>6</v>
      </c>
      <c r="B1806" s="0" t="n">
        <v>3</v>
      </c>
      <c r="C1806" s="0" t="n">
        <v>16</v>
      </c>
      <c r="D1806" s="0" t="n">
        <f aca="false">-1+A1806*0.125</f>
        <v>-0.25</v>
      </c>
      <c r="E1806" s="0" t="n">
        <f aca="false">-1+B1806*0.125</f>
        <v>-0.625</v>
      </c>
      <c r="F1806" s="0" t="n">
        <f aca="false">-1+C1806*0.125</f>
        <v>1</v>
      </c>
      <c r="G1806" s="0" t="n">
        <f aca="false">1</f>
        <v>1</v>
      </c>
      <c r="H1806" s="0" t="n">
        <f aca="false">D1806</f>
        <v>-0.25</v>
      </c>
      <c r="I1806" s="0" t="n">
        <f aca="false">E1806</f>
        <v>-0.625</v>
      </c>
      <c r="J1806" s="0" t="n">
        <f aca="false">F1806</f>
        <v>1</v>
      </c>
      <c r="K1806" s="0" t="n">
        <f aca="false">D1806*E1806</f>
        <v>0.15625</v>
      </c>
      <c r="L1806" s="0" t="n">
        <f aca="false">D1806*F1806</f>
        <v>-0.25</v>
      </c>
      <c r="M1806" s="0" t="n">
        <f aca="false">E1806*F1806</f>
        <v>-0.625</v>
      </c>
      <c r="N1806" s="0" t="n">
        <f aca="false">D1806*D1806</f>
        <v>0.0625</v>
      </c>
      <c r="O1806" s="0" t="n">
        <f aca="false">E1806*E1806</f>
        <v>0.390625</v>
      </c>
      <c r="P1806" s="0" t="n">
        <f aca="false">F1806*F1806</f>
        <v>1</v>
      </c>
      <c r="Q1806" s="0" t="n">
        <f aca="false">SUMPRODUCT(G1806:P1806,_XtX!$B$71:$K$71)</f>
        <v>45.6358096590909</v>
      </c>
      <c r="R1806" s="0" t="n">
        <f aca="false">SUMPRODUCT(MMULT(G1806:P1806,_XtX!$B$58:$K$67),G1806:P1806)</f>
        <v>0.481389825994318</v>
      </c>
      <c r="S1806" s="0" t="n">
        <f aca="false">04_回帰ANOVA!$K$19*04_回帰ANOVA!$K$14*SQRT(1+R1806)</f>
        <v>1.13162182500693</v>
      </c>
      <c r="T1806" s="0" t="n">
        <f aca="false">Q1806-S1806</f>
        <v>44.504187834084</v>
      </c>
      <c r="U1806" s="0" t="n">
        <f aca="false">Q1806+S1806</f>
        <v>46.7674314840979</v>
      </c>
      <c r="V1806" s="54" t="b">
        <f aca="false">AND(D1806&gt;=01_因子設定!$L$5-0.000000001,D1806&lt;=01_因子設定!$M$5+0.000000001,E1806&gt;=01_因子設定!$L$6-0.000000001,E1806&lt;=01_因子設定!$M$6+0.000000001,F1806&gt;=01_因子設定!$L$7-0.000000001,F1806&lt;=01_因子設定!$M$7+0.000000001,IF(01_因子設定!$B$20="Box-Behnken",D1806^2+E1806^2+F1806^2&lt;=2+0.000000001,TRUE()))</f>
        <v>1</v>
      </c>
      <c r="W1806" s="55" t="n">
        <f aca="false">IF(V1806,IF(01_因子設定!$B$13="最大化",T1806-01_因子設定!$B$14,IF(01_因子設定!$B$13="最小化",01_因子設定!$B$15-U1806,MIN(T1806-01_因子設定!$B$14,01_因子設定!$B$15-U1806))),-1E+030)</f>
        <v>-3.99581216591599</v>
      </c>
      <c r="X1806" s="55" t="n">
        <f aca="false">IF(V1806,IF(01_因子設定!$B$13="最大化",Q1806,IF(01_因子設定!$B$13="最小化",-Q1806,-ABS(Q1806-01_因子設定!$B$16))),-1E+030)</f>
        <v>45.6358096590909</v>
      </c>
      <c r="Y1806" s="55" t="n">
        <f aca="false">W1806+ROW()*0.000000001</f>
        <v>-3.99581035991599</v>
      </c>
      <c r="Z1806" s="55" t="n">
        <f aca="false">X1806+ROW()*0.000000001</f>
        <v>45.6358114650909</v>
      </c>
    </row>
    <row r="1807" customFormat="false" ht="15" hidden="false" customHeight="false" outlineLevel="0" collapsed="false">
      <c r="A1807" s="0" t="n">
        <v>6</v>
      </c>
      <c r="B1807" s="0" t="n">
        <v>4</v>
      </c>
      <c r="C1807" s="0" t="n">
        <v>0</v>
      </c>
      <c r="D1807" s="0" t="n">
        <f aca="false">-1+A1807*0.125</f>
        <v>-0.25</v>
      </c>
      <c r="E1807" s="0" t="n">
        <f aca="false">-1+B1807*0.125</f>
        <v>-0.5</v>
      </c>
      <c r="F1807" s="0" t="n">
        <f aca="false">-1+C1807*0.125</f>
        <v>-1</v>
      </c>
      <c r="G1807" s="0" t="n">
        <f aca="false">1</f>
        <v>1</v>
      </c>
      <c r="H1807" s="0" t="n">
        <f aca="false">D1807</f>
        <v>-0.25</v>
      </c>
      <c r="I1807" s="0" t="n">
        <f aca="false">E1807</f>
        <v>-0.5</v>
      </c>
      <c r="J1807" s="0" t="n">
        <f aca="false">F1807</f>
        <v>-1</v>
      </c>
      <c r="K1807" s="0" t="n">
        <f aca="false">D1807*E1807</f>
        <v>0.125</v>
      </c>
      <c r="L1807" s="0" t="n">
        <f aca="false">D1807*F1807</f>
        <v>0.25</v>
      </c>
      <c r="M1807" s="0" t="n">
        <f aca="false">E1807*F1807</f>
        <v>0.5</v>
      </c>
      <c r="N1807" s="0" t="n">
        <f aca="false">D1807*D1807</f>
        <v>0.0625</v>
      </c>
      <c r="O1807" s="0" t="n">
        <f aca="false">E1807*E1807</f>
        <v>0.25</v>
      </c>
      <c r="P1807" s="0" t="n">
        <f aca="false">F1807*F1807</f>
        <v>1</v>
      </c>
      <c r="Q1807" s="0" t="n">
        <f aca="false">SUMPRODUCT(G1807:P1807,_XtX!$B$71:$K$71)</f>
        <v>43.8126136363637</v>
      </c>
      <c r="R1807" s="0" t="n">
        <f aca="false">SUMPRODUCT(MMULT(G1807:P1807,_XtX!$B$58:$K$67),G1807:P1807)</f>
        <v>0.469424715909091</v>
      </c>
      <c r="S1807" s="0" t="n">
        <f aca="false">04_回帰ANOVA!$K$19*04_回帰ANOVA!$K$14*SQRT(1+R1807)</f>
        <v>1.12704253369596</v>
      </c>
      <c r="T1807" s="0" t="n">
        <f aca="false">Q1807-S1807</f>
        <v>42.6855711026677</v>
      </c>
      <c r="U1807" s="0" t="n">
        <f aca="false">Q1807+S1807</f>
        <v>44.9396561700596</v>
      </c>
      <c r="V1807" s="54" t="b">
        <f aca="false">AND(D1807&gt;=01_因子設定!$L$5-0.000000001,D1807&lt;=01_因子設定!$M$5+0.000000001,E1807&gt;=01_因子設定!$L$6-0.000000001,E1807&lt;=01_因子設定!$M$6+0.000000001,F1807&gt;=01_因子設定!$L$7-0.000000001,F1807&lt;=01_因子設定!$M$7+0.000000001,IF(01_因子設定!$B$20="Box-Behnken",D1807^2+E1807^2+F1807^2&lt;=2+0.000000001,TRUE()))</f>
        <v>1</v>
      </c>
      <c r="W1807" s="55" t="n">
        <f aca="false">IF(V1807,IF(01_因子設定!$B$13="最大化",T1807-01_因子設定!$B$14,IF(01_因子設定!$B$13="最小化",01_因子設定!$B$15-U1807,MIN(T1807-01_因子設定!$B$14,01_因子設定!$B$15-U1807))),-1E+030)</f>
        <v>-5.81442889733229</v>
      </c>
      <c r="X1807" s="55" t="n">
        <f aca="false">IF(V1807,IF(01_因子設定!$B$13="最大化",Q1807,IF(01_因子設定!$B$13="最小化",-Q1807,-ABS(Q1807-01_因子設定!$B$16))),-1E+030)</f>
        <v>43.8126136363637</v>
      </c>
      <c r="Y1807" s="55" t="n">
        <f aca="false">W1807+ROW()*0.000000001</f>
        <v>-5.81442709033229</v>
      </c>
      <c r="Z1807" s="55" t="n">
        <f aca="false">X1807+ROW()*0.000000001</f>
        <v>43.8126154433637</v>
      </c>
    </row>
    <row r="1808" customFormat="false" ht="15" hidden="false" customHeight="false" outlineLevel="0" collapsed="false">
      <c r="A1808" s="0" t="n">
        <v>6</v>
      </c>
      <c r="B1808" s="0" t="n">
        <v>4</v>
      </c>
      <c r="C1808" s="0" t="n">
        <v>1</v>
      </c>
      <c r="D1808" s="0" t="n">
        <f aca="false">-1+A1808*0.125</f>
        <v>-0.25</v>
      </c>
      <c r="E1808" s="0" t="n">
        <f aca="false">-1+B1808*0.125</f>
        <v>-0.5</v>
      </c>
      <c r="F1808" s="0" t="n">
        <f aca="false">-1+C1808*0.125</f>
        <v>-0.875</v>
      </c>
      <c r="G1808" s="0" t="n">
        <f aca="false">1</f>
        <v>1</v>
      </c>
      <c r="H1808" s="0" t="n">
        <f aca="false">D1808</f>
        <v>-0.25</v>
      </c>
      <c r="I1808" s="0" t="n">
        <f aca="false">E1808</f>
        <v>-0.5</v>
      </c>
      <c r="J1808" s="0" t="n">
        <f aca="false">F1808</f>
        <v>-0.875</v>
      </c>
      <c r="K1808" s="0" t="n">
        <f aca="false">D1808*E1808</f>
        <v>0.125</v>
      </c>
      <c r="L1808" s="0" t="n">
        <f aca="false">D1808*F1808</f>
        <v>0.21875</v>
      </c>
      <c r="M1808" s="0" t="n">
        <f aca="false">E1808*F1808</f>
        <v>0.4375</v>
      </c>
      <c r="N1808" s="0" t="n">
        <f aca="false">D1808*D1808</f>
        <v>0.0625</v>
      </c>
      <c r="O1808" s="0" t="n">
        <f aca="false">E1808*E1808</f>
        <v>0.25</v>
      </c>
      <c r="P1808" s="0" t="n">
        <f aca="false">F1808*F1808</f>
        <v>0.765625</v>
      </c>
      <c r="Q1808" s="0" t="n">
        <f aca="false">SUMPRODUCT(G1808:P1808,_XtX!$B$71:$K$71)</f>
        <v>44.2375994318182</v>
      </c>
      <c r="R1808" s="0" t="n">
        <f aca="false">SUMPRODUCT(MMULT(G1808:P1808,_XtX!$B$58:$K$67),G1808:P1808)</f>
        <v>0.327634499289773</v>
      </c>
      <c r="S1808" s="0" t="n">
        <f aca="false">04_回帰ANOVA!$K$19*04_回帰ANOVA!$K$14*SQRT(1+R1808)</f>
        <v>1.07128716250217</v>
      </c>
      <c r="T1808" s="0" t="n">
        <f aca="false">Q1808-S1808</f>
        <v>43.166312269316</v>
      </c>
      <c r="U1808" s="0" t="n">
        <f aca="false">Q1808+S1808</f>
        <v>45.3088865943204</v>
      </c>
      <c r="V1808" s="54" t="b">
        <f aca="false">AND(D1808&gt;=01_因子設定!$L$5-0.000000001,D1808&lt;=01_因子設定!$M$5+0.000000001,E1808&gt;=01_因子設定!$L$6-0.000000001,E1808&lt;=01_因子設定!$M$6+0.000000001,F1808&gt;=01_因子設定!$L$7-0.000000001,F1808&lt;=01_因子設定!$M$7+0.000000001,IF(01_因子設定!$B$20="Box-Behnken",D1808^2+E1808^2+F1808^2&lt;=2+0.000000001,TRUE()))</f>
        <v>1</v>
      </c>
      <c r="W1808" s="55" t="n">
        <f aca="false">IF(V1808,IF(01_因子設定!$B$13="最大化",T1808-01_因子設定!$B$14,IF(01_因子設定!$B$13="最小化",01_因子設定!$B$15-U1808,MIN(T1808-01_因子設定!$B$14,01_因子設定!$B$15-U1808))),-1E+030)</f>
        <v>-5.33368773068397</v>
      </c>
      <c r="X1808" s="55" t="n">
        <f aca="false">IF(V1808,IF(01_因子設定!$B$13="最大化",Q1808,IF(01_因子設定!$B$13="最小化",-Q1808,-ABS(Q1808-01_因子設定!$B$16))),-1E+030)</f>
        <v>44.2375994318182</v>
      </c>
      <c r="Y1808" s="55" t="n">
        <f aca="false">W1808+ROW()*0.000000001</f>
        <v>-5.33368592268397</v>
      </c>
      <c r="Z1808" s="55" t="n">
        <f aca="false">X1808+ROW()*0.000000001</f>
        <v>44.2376012398182</v>
      </c>
    </row>
    <row r="1809" customFormat="false" ht="15" hidden="false" customHeight="false" outlineLevel="0" collapsed="false">
      <c r="A1809" s="0" t="n">
        <v>6</v>
      </c>
      <c r="B1809" s="0" t="n">
        <v>4</v>
      </c>
      <c r="C1809" s="0" t="n">
        <v>2</v>
      </c>
      <c r="D1809" s="0" t="n">
        <f aca="false">-1+A1809*0.125</f>
        <v>-0.25</v>
      </c>
      <c r="E1809" s="0" t="n">
        <f aca="false">-1+B1809*0.125</f>
        <v>-0.5</v>
      </c>
      <c r="F1809" s="0" t="n">
        <f aca="false">-1+C1809*0.125</f>
        <v>-0.75</v>
      </c>
      <c r="G1809" s="0" t="n">
        <f aca="false">1</f>
        <v>1</v>
      </c>
      <c r="H1809" s="0" t="n">
        <f aca="false">D1809</f>
        <v>-0.25</v>
      </c>
      <c r="I1809" s="0" t="n">
        <f aca="false">E1809</f>
        <v>-0.5</v>
      </c>
      <c r="J1809" s="0" t="n">
        <f aca="false">F1809</f>
        <v>-0.75</v>
      </c>
      <c r="K1809" s="0" t="n">
        <f aca="false">D1809*E1809</f>
        <v>0.125</v>
      </c>
      <c r="L1809" s="0" t="n">
        <f aca="false">D1809*F1809</f>
        <v>0.1875</v>
      </c>
      <c r="M1809" s="0" t="n">
        <f aca="false">E1809*F1809</f>
        <v>0.375</v>
      </c>
      <c r="N1809" s="0" t="n">
        <f aca="false">D1809*D1809</f>
        <v>0.0625</v>
      </c>
      <c r="O1809" s="0" t="n">
        <f aca="false">E1809*E1809</f>
        <v>0.25</v>
      </c>
      <c r="P1809" s="0" t="n">
        <f aca="false">F1809*F1809</f>
        <v>0.5625</v>
      </c>
      <c r="Q1809" s="0" t="n">
        <f aca="false">SUMPRODUCT(G1809:P1809,_XtX!$B$71:$K$71)</f>
        <v>44.6257954545455</v>
      </c>
      <c r="R1809" s="0" t="n">
        <f aca="false">SUMPRODUCT(MMULT(G1809:P1809,_XtX!$B$58:$K$67),G1809:P1809)</f>
        <v>0.237064985795455</v>
      </c>
      <c r="S1809" s="0" t="n">
        <f aca="false">04_回帰ANOVA!$K$19*04_回帰ANOVA!$K$14*SQRT(1+R1809)</f>
        <v>1.03410084594745</v>
      </c>
      <c r="T1809" s="0" t="n">
        <f aca="false">Q1809-S1809</f>
        <v>43.591694608598</v>
      </c>
      <c r="U1809" s="0" t="n">
        <f aca="false">Q1809+S1809</f>
        <v>45.6598963004929</v>
      </c>
      <c r="V1809" s="54" t="b">
        <f aca="false">AND(D1809&gt;=01_因子設定!$L$5-0.000000001,D1809&lt;=01_因子設定!$M$5+0.000000001,E1809&gt;=01_因子設定!$L$6-0.000000001,E1809&lt;=01_因子設定!$M$6+0.000000001,F1809&gt;=01_因子設定!$L$7-0.000000001,F1809&lt;=01_因子設定!$M$7+0.000000001,IF(01_因子設定!$B$20="Box-Behnken",D1809^2+E1809^2+F1809^2&lt;=2+0.000000001,TRUE()))</f>
        <v>1</v>
      </c>
      <c r="W1809" s="55" t="n">
        <f aca="false">IF(V1809,IF(01_因子設定!$B$13="最大化",T1809-01_因子設定!$B$14,IF(01_因子設定!$B$13="最小化",01_因子設定!$B$15-U1809,MIN(T1809-01_因子設定!$B$14,01_因子設定!$B$15-U1809))),-1E+030)</f>
        <v>-4.90830539140197</v>
      </c>
      <c r="X1809" s="55" t="n">
        <f aca="false">IF(V1809,IF(01_因子設定!$B$13="最大化",Q1809,IF(01_因子設定!$B$13="最小化",-Q1809,-ABS(Q1809-01_因子設定!$B$16))),-1E+030)</f>
        <v>44.6257954545455</v>
      </c>
      <c r="Y1809" s="55" t="n">
        <f aca="false">W1809+ROW()*0.000000001</f>
        <v>-4.90830358240197</v>
      </c>
      <c r="Z1809" s="55" t="n">
        <f aca="false">X1809+ROW()*0.000000001</f>
        <v>44.6257972635455</v>
      </c>
    </row>
    <row r="1810" customFormat="false" ht="15" hidden="false" customHeight="false" outlineLevel="0" collapsed="false">
      <c r="A1810" s="0" t="n">
        <v>6</v>
      </c>
      <c r="B1810" s="0" t="n">
        <v>4</v>
      </c>
      <c r="C1810" s="0" t="n">
        <v>3</v>
      </c>
      <c r="D1810" s="0" t="n">
        <f aca="false">-1+A1810*0.125</f>
        <v>-0.25</v>
      </c>
      <c r="E1810" s="0" t="n">
        <f aca="false">-1+B1810*0.125</f>
        <v>-0.5</v>
      </c>
      <c r="F1810" s="0" t="n">
        <f aca="false">-1+C1810*0.125</f>
        <v>-0.625</v>
      </c>
      <c r="G1810" s="0" t="n">
        <f aca="false">1</f>
        <v>1</v>
      </c>
      <c r="H1810" s="0" t="n">
        <f aca="false">D1810</f>
        <v>-0.25</v>
      </c>
      <c r="I1810" s="0" t="n">
        <f aca="false">E1810</f>
        <v>-0.5</v>
      </c>
      <c r="J1810" s="0" t="n">
        <f aca="false">F1810</f>
        <v>-0.625</v>
      </c>
      <c r="K1810" s="0" t="n">
        <f aca="false">D1810*E1810</f>
        <v>0.125</v>
      </c>
      <c r="L1810" s="0" t="n">
        <f aca="false">D1810*F1810</f>
        <v>0.15625</v>
      </c>
      <c r="M1810" s="0" t="n">
        <f aca="false">E1810*F1810</f>
        <v>0.3125</v>
      </c>
      <c r="N1810" s="0" t="n">
        <f aca="false">D1810*D1810</f>
        <v>0.0625</v>
      </c>
      <c r="O1810" s="0" t="n">
        <f aca="false">E1810*E1810</f>
        <v>0.25</v>
      </c>
      <c r="P1810" s="0" t="n">
        <f aca="false">F1810*F1810</f>
        <v>0.390625</v>
      </c>
      <c r="Q1810" s="0" t="n">
        <f aca="false">SUMPRODUCT(G1810:P1810,_XtX!$B$71:$K$71)</f>
        <v>44.9772017045455</v>
      </c>
      <c r="R1810" s="0" t="n">
        <f aca="false">SUMPRODUCT(MMULT(G1810:P1810,_XtX!$B$58:$K$67),G1810:P1810)</f>
        <v>0.183866743607955</v>
      </c>
      <c r="S1810" s="0" t="n">
        <f aca="false">04_回帰ANOVA!$K$19*04_回帰ANOVA!$K$14*SQRT(1+R1810)</f>
        <v>1.01162148983013</v>
      </c>
      <c r="T1810" s="0" t="n">
        <f aca="false">Q1810-S1810</f>
        <v>43.9655802147153</v>
      </c>
      <c r="U1810" s="0" t="n">
        <f aca="false">Q1810+S1810</f>
        <v>45.9888231943756</v>
      </c>
      <c r="V1810" s="54" t="b">
        <f aca="false">AND(D1810&gt;=01_因子設定!$L$5-0.000000001,D1810&lt;=01_因子設定!$M$5+0.000000001,E1810&gt;=01_因子設定!$L$6-0.000000001,E1810&lt;=01_因子設定!$M$6+0.000000001,F1810&gt;=01_因子設定!$L$7-0.000000001,F1810&lt;=01_因子設定!$M$7+0.000000001,IF(01_因子設定!$B$20="Box-Behnken",D1810^2+E1810^2+F1810^2&lt;=2+0.000000001,TRUE()))</f>
        <v>1</v>
      </c>
      <c r="W1810" s="55" t="n">
        <f aca="false">IF(V1810,IF(01_因子設定!$B$13="最大化",T1810-01_因子設定!$B$14,IF(01_因子設定!$B$13="最小化",01_因子設定!$B$15-U1810,MIN(T1810-01_因子設定!$B$14,01_因子設定!$B$15-U1810))),-1E+030)</f>
        <v>-4.53441978528466</v>
      </c>
      <c r="X1810" s="55" t="n">
        <f aca="false">IF(V1810,IF(01_因子設定!$B$13="最大化",Q1810,IF(01_因子設定!$B$13="最小化",-Q1810,-ABS(Q1810-01_因子設定!$B$16))),-1E+030)</f>
        <v>44.9772017045455</v>
      </c>
      <c r="Y1810" s="55" t="n">
        <f aca="false">W1810+ROW()*0.000000001</f>
        <v>-4.53441797528466</v>
      </c>
      <c r="Z1810" s="55" t="n">
        <f aca="false">X1810+ROW()*0.000000001</f>
        <v>44.9772035145455</v>
      </c>
    </row>
    <row r="1811" customFormat="false" ht="15" hidden="false" customHeight="false" outlineLevel="0" collapsed="false">
      <c r="A1811" s="0" t="n">
        <v>6</v>
      </c>
      <c r="B1811" s="0" t="n">
        <v>4</v>
      </c>
      <c r="C1811" s="0" t="n">
        <v>4</v>
      </c>
      <c r="D1811" s="0" t="n">
        <f aca="false">-1+A1811*0.125</f>
        <v>-0.25</v>
      </c>
      <c r="E1811" s="0" t="n">
        <f aca="false">-1+B1811*0.125</f>
        <v>-0.5</v>
      </c>
      <c r="F1811" s="0" t="n">
        <f aca="false">-1+C1811*0.125</f>
        <v>-0.5</v>
      </c>
      <c r="G1811" s="0" t="n">
        <f aca="false">1</f>
        <v>1</v>
      </c>
      <c r="H1811" s="0" t="n">
        <f aca="false">D1811</f>
        <v>-0.25</v>
      </c>
      <c r="I1811" s="0" t="n">
        <f aca="false">E1811</f>
        <v>-0.5</v>
      </c>
      <c r="J1811" s="0" t="n">
        <f aca="false">F1811</f>
        <v>-0.5</v>
      </c>
      <c r="K1811" s="0" t="n">
        <f aca="false">D1811*E1811</f>
        <v>0.125</v>
      </c>
      <c r="L1811" s="0" t="n">
        <f aca="false">D1811*F1811</f>
        <v>0.125</v>
      </c>
      <c r="M1811" s="0" t="n">
        <f aca="false">E1811*F1811</f>
        <v>0.25</v>
      </c>
      <c r="N1811" s="0" t="n">
        <f aca="false">D1811*D1811</f>
        <v>0.0625</v>
      </c>
      <c r="O1811" s="0" t="n">
        <f aca="false">E1811*E1811</f>
        <v>0.25</v>
      </c>
      <c r="P1811" s="0" t="n">
        <f aca="false">F1811*F1811</f>
        <v>0.25</v>
      </c>
      <c r="Q1811" s="0" t="n">
        <f aca="false">SUMPRODUCT(G1811:P1811,_XtX!$B$71:$K$71)</f>
        <v>45.2918181818182</v>
      </c>
      <c r="R1811" s="0" t="n">
        <f aca="false">SUMPRODUCT(MMULT(G1811:P1811,_XtX!$B$58:$K$67),G1811:P1811)</f>
        <v>0.156321022727273</v>
      </c>
      <c r="S1811" s="0" t="n">
        <f aca="false">04_回帰ANOVA!$K$19*04_回帰ANOVA!$K$14*SQRT(1+R1811)</f>
        <v>0.999783227753172</v>
      </c>
      <c r="T1811" s="0" t="n">
        <f aca="false">Q1811-S1811</f>
        <v>44.292034954065</v>
      </c>
      <c r="U1811" s="0" t="n">
        <f aca="false">Q1811+S1811</f>
        <v>46.2916014095714</v>
      </c>
      <c r="V1811" s="54" t="b">
        <f aca="false">AND(D1811&gt;=01_因子設定!$L$5-0.000000001,D1811&lt;=01_因子設定!$M$5+0.000000001,E1811&gt;=01_因子設定!$L$6-0.000000001,E1811&lt;=01_因子設定!$M$6+0.000000001,F1811&gt;=01_因子設定!$L$7-0.000000001,F1811&lt;=01_因子設定!$M$7+0.000000001,IF(01_因子設定!$B$20="Box-Behnken",D1811^2+E1811^2+F1811^2&lt;=2+0.000000001,TRUE()))</f>
        <v>1</v>
      </c>
      <c r="W1811" s="55" t="n">
        <f aca="false">IF(V1811,IF(01_因子設定!$B$13="最大化",T1811-01_因子設定!$B$14,IF(01_因子設定!$B$13="最小化",01_因子設定!$B$15-U1811,MIN(T1811-01_因子設定!$B$14,01_因子設定!$B$15-U1811))),-1E+030)</f>
        <v>-4.20796504593498</v>
      </c>
      <c r="X1811" s="55" t="n">
        <f aca="false">IF(V1811,IF(01_因子設定!$B$13="最大化",Q1811,IF(01_因子設定!$B$13="最小化",-Q1811,-ABS(Q1811-01_因子設定!$B$16))),-1E+030)</f>
        <v>45.2918181818182</v>
      </c>
      <c r="Y1811" s="55" t="n">
        <f aca="false">W1811+ROW()*0.000000001</f>
        <v>-4.20796323493498</v>
      </c>
      <c r="Z1811" s="55" t="n">
        <f aca="false">X1811+ROW()*0.000000001</f>
        <v>45.2918199928182</v>
      </c>
    </row>
    <row r="1812" customFormat="false" ht="15" hidden="false" customHeight="false" outlineLevel="0" collapsed="false">
      <c r="A1812" s="0" t="n">
        <v>6</v>
      </c>
      <c r="B1812" s="0" t="n">
        <v>4</v>
      </c>
      <c r="C1812" s="0" t="n">
        <v>5</v>
      </c>
      <c r="D1812" s="0" t="n">
        <f aca="false">-1+A1812*0.125</f>
        <v>-0.25</v>
      </c>
      <c r="E1812" s="0" t="n">
        <f aca="false">-1+B1812*0.125</f>
        <v>-0.5</v>
      </c>
      <c r="F1812" s="0" t="n">
        <f aca="false">-1+C1812*0.125</f>
        <v>-0.375</v>
      </c>
      <c r="G1812" s="0" t="n">
        <f aca="false">1</f>
        <v>1</v>
      </c>
      <c r="H1812" s="0" t="n">
        <f aca="false">D1812</f>
        <v>-0.25</v>
      </c>
      <c r="I1812" s="0" t="n">
        <f aca="false">E1812</f>
        <v>-0.5</v>
      </c>
      <c r="J1812" s="0" t="n">
        <f aca="false">F1812</f>
        <v>-0.375</v>
      </c>
      <c r="K1812" s="0" t="n">
        <f aca="false">D1812*E1812</f>
        <v>0.125</v>
      </c>
      <c r="L1812" s="0" t="n">
        <f aca="false">D1812*F1812</f>
        <v>0.09375</v>
      </c>
      <c r="M1812" s="0" t="n">
        <f aca="false">E1812*F1812</f>
        <v>0.1875</v>
      </c>
      <c r="N1812" s="0" t="n">
        <f aca="false">D1812*D1812</f>
        <v>0.0625</v>
      </c>
      <c r="O1812" s="0" t="n">
        <f aca="false">E1812*E1812</f>
        <v>0.25</v>
      </c>
      <c r="P1812" s="0" t="n">
        <f aca="false">F1812*F1812</f>
        <v>0.140625</v>
      </c>
      <c r="Q1812" s="0" t="n">
        <f aca="false">SUMPRODUCT(G1812:P1812,_XtX!$B$71:$K$71)</f>
        <v>45.5696448863637</v>
      </c>
      <c r="R1812" s="0" t="n">
        <f aca="false">SUMPRODUCT(MMULT(G1812:P1812,_XtX!$B$58:$K$67),G1812:P1812)</f>
        <v>0.144839754971591</v>
      </c>
      <c r="S1812" s="0" t="n">
        <f aca="false">04_回帰ANOVA!$K$19*04_回帰ANOVA!$K$14*SQRT(1+R1812)</f>
        <v>0.994807353995542</v>
      </c>
      <c r="T1812" s="0" t="n">
        <f aca="false">Q1812-S1812</f>
        <v>44.5748375323681</v>
      </c>
      <c r="U1812" s="0" t="n">
        <f aca="false">Q1812+S1812</f>
        <v>46.5644522403592</v>
      </c>
      <c r="V1812" s="54" t="b">
        <f aca="false">AND(D1812&gt;=01_因子設定!$L$5-0.000000001,D1812&lt;=01_因子設定!$M$5+0.000000001,E1812&gt;=01_因子設定!$L$6-0.000000001,E1812&lt;=01_因子設定!$M$6+0.000000001,F1812&gt;=01_因子設定!$L$7-0.000000001,F1812&lt;=01_因子設定!$M$7+0.000000001,IF(01_因子設定!$B$20="Box-Behnken",D1812^2+E1812^2+F1812^2&lt;=2+0.000000001,TRUE()))</f>
        <v>1</v>
      </c>
      <c r="W1812" s="55" t="n">
        <f aca="false">IF(V1812,IF(01_因子設定!$B$13="最大化",T1812-01_因子設定!$B$14,IF(01_因子設定!$B$13="最小化",01_因子設定!$B$15-U1812,MIN(T1812-01_因子設定!$B$14,01_因子設定!$B$15-U1812))),-1E+030)</f>
        <v>-3.92516246763189</v>
      </c>
      <c r="X1812" s="55" t="n">
        <f aca="false">IF(V1812,IF(01_因子設定!$B$13="最大化",Q1812,IF(01_因子設定!$B$13="最小化",-Q1812,-ABS(Q1812-01_因子設定!$B$16))),-1E+030)</f>
        <v>45.5696448863637</v>
      </c>
      <c r="Y1812" s="55" t="n">
        <f aca="false">W1812+ROW()*0.000000001</f>
        <v>-3.92516065563189</v>
      </c>
      <c r="Z1812" s="55" t="n">
        <f aca="false">X1812+ROW()*0.000000001</f>
        <v>45.5696466983637</v>
      </c>
    </row>
    <row r="1813" customFormat="false" ht="15" hidden="false" customHeight="false" outlineLevel="0" collapsed="false">
      <c r="A1813" s="0" t="n">
        <v>6</v>
      </c>
      <c r="B1813" s="0" t="n">
        <v>4</v>
      </c>
      <c r="C1813" s="0" t="n">
        <v>6</v>
      </c>
      <c r="D1813" s="0" t="n">
        <f aca="false">-1+A1813*0.125</f>
        <v>-0.25</v>
      </c>
      <c r="E1813" s="0" t="n">
        <f aca="false">-1+B1813*0.125</f>
        <v>-0.5</v>
      </c>
      <c r="F1813" s="0" t="n">
        <f aca="false">-1+C1813*0.125</f>
        <v>-0.25</v>
      </c>
      <c r="G1813" s="0" t="n">
        <f aca="false">1</f>
        <v>1</v>
      </c>
      <c r="H1813" s="0" t="n">
        <f aca="false">D1813</f>
        <v>-0.25</v>
      </c>
      <c r="I1813" s="0" t="n">
        <f aca="false">E1813</f>
        <v>-0.5</v>
      </c>
      <c r="J1813" s="0" t="n">
        <f aca="false">F1813</f>
        <v>-0.25</v>
      </c>
      <c r="K1813" s="0" t="n">
        <f aca="false">D1813*E1813</f>
        <v>0.125</v>
      </c>
      <c r="L1813" s="0" t="n">
        <f aca="false">D1813*F1813</f>
        <v>0.0625</v>
      </c>
      <c r="M1813" s="0" t="n">
        <f aca="false">E1813*F1813</f>
        <v>0.125</v>
      </c>
      <c r="N1813" s="0" t="n">
        <f aca="false">D1813*D1813</f>
        <v>0.0625</v>
      </c>
      <c r="O1813" s="0" t="n">
        <f aca="false">E1813*E1813</f>
        <v>0.25</v>
      </c>
      <c r="P1813" s="0" t="n">
        <f aca="false">F1813*F1813</f>
        <v>0.0625</v>
      </c>
      <c r="Q1813" s="0" t="n">
        <f aca="false">SUMPRODUCT(G1813:P1813,_XtX!$B$71:$K$71)</f>
        <v>45.8106818181818</v>
      </c>
      <c r="R1813" s="0" t="n">
        <f aca="false">SUMPRODUCT(MMULT(G1813:P1813,_XtX!$B$58:$K$67),G1813:P1813)</f>
        <v>0.141965553977273</v>
      </c>
      <c r="S1813" s="0" t="n">
        <f aca="false">04_回帰ANOVA!$K$19*04_回帰ANOVA!$K$14*SQRT(1+R1813)</f>
        <v>0.993557802198625</v>
      </c>
      <c r="T1813" s="0" t="n">
        <f aca="false">Q1813-S1813</f>
        <v>44.8171240159832</v>
      </c>
      <c r="U1813" s="0" t="n">
        <f aca="false">Q1813+S1813</f>
        <v>46.8042396203805</v>
      </c>
      <c r="V1813" s="54" t="b">
        <f aca="false">AND(D1813&gt;=01_因子設定!$L$5-0.000000001,D1813&lt;=01_因子設定!$M$5+0.000000001,E1813&gt;=01_因子設定!$L$6-0.000000001,E1813&lt;=01_因子設定!$M$6+0.000000001,F1813&gt;=01_因子設定!$L$7-0.000000001,F1813&lt;=01_因子設定!$M$7+0.000000001,IF(01_因子設定!$B$20="Box-Behnken",D1813^2+E1813^2+F1813^2&lt;=2+0.000000001,TRUE()))</f>
        <v>1</v>
      </c>
      <c r="W1813" s="55" t="n">
        <f aca="false">IF(V1813,IF(01_因子設定!$B$13="最大化",T1813-01_因子設定!$B$14,IF(01_因子設定!$B$13="最小化",01_因子設定!$B$15-U1813,MIN(T1813-01_因子設定!$B$14,01_因子設定!$B$15-U1813))),-1E+030)</f>
        <v>-3.6828759840168</v>
      </c>
      <c r="X1813" s="55" t="n">
        <f aca="false">IF(V1813,IF(01_因子設定!$B$13="最大化",Q1813,IF(01_因子設定!$B$13="最小化",-Q1813,-ABS(Q1813-01_因子設定!$B$16))),-1E+030)</f>
        <v>45.8106818181818</v>
      </c>
      <c r="Y1813" s="55" t="n">
        <f aca="false">W1813+ROW()*0.000000001</f>
        <v>-3.6828741710168</v>
      </c>
      <c r="Z1813" s="55" t="n">
        <f aca="false">X1813+ROW()*0.000000001</f>
        <v>45.8106836311818</v>
      </c>
    </row>
    <row r="1814" customFormat="false" ht="15" hidden="false" customHeight="false" outlineLevel="0" collapsed="false">
      <c r="A1814" s="0" t="n">
        <v>6</v>
      </c>
      <c r="B1814" s="0" t="n">
        <v>4</v>
      </c>
      <c r="C1814" s="0" t="n">
        <v>7</v>
      </c>
      <c r="D1814" s="0" t="n">
        <f aca="false">-1+A1814*0.125</f>
        <v>-0.25</v>
      </c>
      <c r="E1814" s="0" t="n">
        <f aca="false">-1+B1814*0.125</f>
        <v>-0.5</v>
      </c>
      <c r="F1814" s="0" t="n">
        <f aca="false">-1+C1814*0.125</f>
        <v>-0.125</v>
      </c>
      <c r="G1814" s="0" t="n">
        <f aca="false">1</f>
        <v>1</v>
      </c>
      <c r="H1814" s="0" t="n">
        <f aca="false">D1814</f>
        <v>-0.25</v>
      </c>
      <c r="I1814" s="0" t="n">
        <f aca="false">E1814</f>
        <v>-0.5</v>
      </c>
      <c r="J1814" s="0" t="n">
        <f aca="false">F1814</f>
        <v>-0.125</v>
      </c>
      <c r="K1814" s="0" t="n">
        <f aca="false">D1814*E1814</f>
        <v>0.125</v>
      </c>
      <c r="L1814" s="0" t="n">
        <f aca="false">D1814*F1814</f>
        <v>0.03125</v>
      </c>
      <c r="M1814" s="0" t="n">
        <f aca="false">E1814*F1814</f>
        <v>0.0625</v>
      </c>
      <c r="N1814" s="0" t="n">
        <f aca="false">D1814*D1814</f>
        <v>0.0625</v>
      </c>
      <c r="O1814" s="0" t="n">
        <f aca="false">E1814*E1814</f>
        <v>0.25</v>
      </c>
      <c r="P1814" s="0" t="n">
        <f aca="false">F1814*F1814</f>
        <v>0.015625</v>
      </c>
      <c r="Q1814" s="0" t="n">
        <f aca="false">SUMPRODUCT(G1814:P1814,_XtX!$B$71:$K$71)</f>
        <v>46.0149289772727</v>
      </c>
      <c r="R1814" s="0" t="n">
        <f aca="false">SUMPRODUCT(MMULT(G1814:P1814,_XtX!$B$58:$K$67),G1814:P1814)</f>
        <v>0.142371715198864</v>
      </c>
      <c r="S1814" s="0" t="n">
        <f aca="false">04_回帰ANOVA!$K$19*04_回帰ANOVA!$K$14*SQRT(1+R1814)</f>
        <v>0.99373447511735</v>
      </c>
      <c r="T1814" s="0" t="n">
        <f aca="false">Q1814-S1814</f>
        <v>45.0211945021554</v>
      </c>
      <c r="U1814" s="0" t="n">
        <f aca="false">Q1814+S1814</f>
        <v>47.0086634523901</v>
      </c>
      <c r="V1814" s="54" t="b">
        <f aca="false">AND(D1814&gt;=01_因子設定!$L$5-0.000000001,D1814&lt;=01_因子設定!$M$5+0.000000001,E1814&gt;=01_因子設定!$L$6-0.000000001,E1814&lt;=01_因子設定!$M$6+0.000000001,F1814&gt;=01_因子設定!$L$7-0.000000001,F1814&lt;=01_因子設定!$M$7+0.000000001,IF(01_因子設定!$B$20="Box-Behnken",D1814^2+E1814^2+F1814^2&lt;=2+0.000000001,TRUE()))</f>
        <v>1</v>
      </c>
      <c r="W1814" s="55" t="n">
        <f aca="false">IF(V1814,IF(01_因子設定!$B$13="最大化",T1814-01_因子設定!$B$14,IF(01_因子設定!$B$13="最小化",01_因子設定!$B$15-U1814,MIN(T1814-01_因子設定!$B$14,01_因子設定!$B$15-U1814))),-1E+030)</f>
        <v>-3.47880549784461</v>
      </c>
      <c r="X1814" s="55" t="n">
        <f aca="false">IF(V1814,IF(01_因子設定!$B$13="最大化",Q1814,IF(01_因子設定!$B$13="最小化",-Q1814,-ABS(Q1814-01_因子設定!$B$16))),-1E+030)</f>
        <v>46.0149289772727</v>
      </c>
      <c r="Y1814" s="55" t="n">
        <f aca="false">W1814+ROW()*0.000000001</f>
        <v>-3.47880368384461</v>
      </c>
      <c r="Z1814" s="55" t="n">
        <f aca="false">X1814+ROW()*0.000000001</f>
        <v>46.0149307912727</v>
      </c>
    </row>
    <row r="1815" customFormat="false" ht="15" hidden="false" customHeight="false" outlineLevel="0" collapsed="false">
      <c r="A1815" s="0" t="n">
        <v>6</v>
      </c>
      <c r="B1815" s="0" t="n">
        <v>4</v>
      </c>
      <c r="C1815" s="0" t="n">
        <v>8</v>
      </c>
      <c r="D1815" s="0" t="n">
        <f aca="false">-1+A1815*0.125</f>
        <v>-0.25</v>
      </c>
      <c r="E1815" s="0" t="n">
        <f aca="false">-1+B1815*0.125</f>
        <v>-0.5</v>
      </c>
      <c r="F1815" s="0" t="n">
        <f aca="false">-1+C1815*0.125</f>
        <v>0</v>
      </c>
      <c r="G1815" s="0" t="n">
        <f aca="false">1</f>
        <v>1</v>
      </c>
      <c r="H1815" s="0" t="n">
        <f aca="false">D1815</f>
        <v>-0.25</v>
      </c>
      <c r="I1815" s="0" t="n">
        <f aca="false">E1815</f>
        <v>-0.5</v>
      </c>
      <c r="J1815" s="0" t="n">
        <f aca="false">F1815</f>
        <v>0</v>
      </c>
      <c r="K1815" s="0" t="n">
        <f aca="false">D1815*E1815</f>
        <v>0.125</v>
      </c>
      <c r="L1815" s="0" t="n">
        <f aca="false">D1815*F1815</f>
        <v>-0</v>
      </c>
      <c r="M1815" s="0" t="n">
        <f aca="false">E1815*F1815</f>
        <v>-0</v>
      </c>
      <c r="N1815" s="0" t="n">
        <f aca="false">D1815*D1815</f>
        <v>0.0625</v>
      </c>
      <c r="O1815" s="0" t="n">
        <f aca="false">E1815*E1815</f>
        <v>0.25</v>
      </c>
      <c r="P1815" s="0" t="n">
        <f aca="false">F1815*F1815</f>
        <v>0</v>
      </c>
      <c r="Q1815" s="0" t="n">
        <f aca="false">SUMPRODUCT(G1815:P1815,_XtX!$B$71:$K$71)</f>
        <v>46.1823863636364</v>
      </c>
      <c r="R1815" s="0" t="n">
        <f aca="false">SUMPRODUCT(MMULT(G1815:P1815,_XtX!$B$58:$K$67),G1815:P1815)</f>
        <v>0.142862215909091</v>
      </c>
      <c r="S1815" s="0" t="n">
        <f aca="false">04_回帰ANOVA!$K$19*04_回帰ANOVA!$K$14*SQRT(1+R1815)</f>
        <v>0.993947792354123</v>
      </c>
      <c r="T1815" s="0" t="n">
        <f aca="false">Q1815-S1815</f>
        <v>45.1884385712823</v>
      </c>
      <c r="U1815" s="0" t="n">
        <f aca="false">Q1815+S1815</f>
        <v>47.1763341559905</v>
      </c>
      <c r="V1815" s="54" t="b">
        <f aca="false">AND(D1815&gt;=01_因子設定!$L$5-0.000000001,D1815&lt;=01_因子設定!$M$5+0.000000001,E1815&gt;=01_因子設定!$L$6-0.000000001,E1815&lt;=01_因子設定!$M$6+0.000000001,F1815&gt;=01_因子設定!$L$7-0.000000001,F1815&lt;=01_因子設定!$M$7+0.000000001,IF(01_因子設定!$B$20="Box-Behnken",D1815^2+E1815^2+F1815^2&lt;=2+0.000000001,TRUE()))</f>
        <v>1</v>
      </c>
      <c r="W1815" s="55" t="n">
        <f aca="false">IF(V1815,IF(01_因子設定!$B$13="最大化",T1815-01_因子設定!$B$14,IF(01_因子設定!$B$13="最小化",01_因子設定!$B$15-U1815,MIN(T1815-01_因子設定!$B$14,01_因子設定!$B$15-U1815))),-1E+030)</f>
        <v>-3.31156142871775</v>
      </c>
      <c r="X1815" s="55" t="n">
        <f aca="false">IF(V1815,IF(01_因子設定!$B$13="最大化",Q1815,IF(01_因子設定!$B$13="最小化",-Q1815,-ABS(Q1815-01_因子設定!$B$16))),-1E+030)</f>
        <v>46.1823863636364</v>
      </c>
      <c r="Y1815" s="55" t="n">
        <f aca="false">W1815+ROW()*0.000000001</f>
        <v>-3.31155961371775</v>
      </c>
      <c r="Z1815" s="55" t="n">
        <f aca="false">X1815+ROW()*0.000000001</f>
        <v>46.1823881786364</v>
      </c>
    </row>
    <row r="1816" customFormat="false" ht="15" hidden="false" customHeight="false" outlineLevel="0" collapsed="false">
      <c r="A1816" s="0" t="n">
        <v>6</v>
      </c>
      <c r="B1816" s="0" t="n">
        <v>4</v>
      </c>
      <c r="C1816" s="0" t="n">
        <v>9</v>
      </c>
      <c r="D1816" s="0" t="n">
        <f aca="false">-1+A1816*0.125</f>
        <v>-0.25</v>
      </c>
      <c r="E1816" s="0" t="n">
        <f aca="false">-1+B1816*0.125</f>
        <v>-0.5</v>
      </c>
      <c r="F1816" s="0" t="n">
        <f aca="false">-1+C1816*0.125</f>
        <v>0.125</v>
      </c>
      <c r="G1816" s="0" t="n">
        <f aca="false">1</f>
        <v>1</v>
      </c>
      <c r="H1816" s="0" t="n">
        <f aca="false">D1816</f>
        <v>-0.25</v>
      </c>
      <c r="I1816" s="0" t="n">
        <f aca="false">E1816</f>
        <v>-0.5</v>
      </c>
      <c r="J1816" s="0" t="n">
        <f aca="false">F1816</f>
        <v>0.125</v>
      </c>
      <c r="K1816" s="0" t="n">
        <f aca="false">D1816*E1816</f>
        <v>0.125</v>
      </c>
      <c r="L1816" s="0" t="n">
        <f aca="false">D1816*F1816</f>
        <v>-0.03125</v>
      </c>
      <c r="M1816" s="0" t="n">
        <f aca="false">E1816*F1816</f>
        <v>-0.0625</v>
      </c>
      <c r="N1816" s="0" t="n">
        <f aca="false">D1816*D1816</f>
        <v>0.0625</v>
      </c>
      <c r="O1816" s="0" t="n">
        <f aca="false">E1816*E1816</f>
        <v>0.25</v>
      </c>
      <c r="P1816" s="0" t="n">
        <f aca="false">F1816*F1816</f>
        <v>0.015625</v>
      </c>
      <c r="Q1816" s="0" t="n">
        <f aca="false">SUMPRODUCT(G1816:P1816,_XtX!$B$71:$K$71)</f>
        <v>46.3130539772727</v>
      </c>
      <c r="R1816" s="0" t="n">
        <f aca="false">SUMPRODUCT(MMULT(G1816:P1816,_XtX!$B$58:$K$67),G1816:P1816)</f>
        <v>0.142371715198864</v>
      </c>
      <c r="S1816" s="0" t="n">
        <f aca="false">04_回帰ANOVA!$K$19*04_回帰ANOVA!$K$14*SQRT(1+R1816)</f>
        <v>0.99373447511735</v>
      </c>
      <c r="T1816" s="0" t="n">
        <f aca="false">Q1816-S1816</f>
        <v>45.3193195021554</v>
      </c>
      <c r="U1816" s="0" t="n">
        <f aca="false">Q1816+S1816</f>
        <v>47.3067884523901</v>
      </c>
      <c r="V1816" s="54" t="b">
        <f aca="false">AND(D1816&gt;=01_因子設定!$L$5-0.000000001,D1816&lt;=01_因子設定!$M$5+0.000000001,E1816&gt;=01_因子設定!$L$6-0.000000001,E1816&lt;=01_因子設定!$M$6+0.000000001,F1816&gt;=01_因子設定!$L$7-0.000000001,F1816&lt;=01_因子設定!$M$7+0.000000001,IF(01_因子設定!$B$20="Box-Behnken",D1816^2+E1816^2+F1816^2&lt;=2+0.000000001,TRUE()))</f>
        <v>1</v>
      </c>
      <c r="W1816" s="55" t="n">
        <f aca="false">IF(V1816,IF(01_因子設定!$B$13="最大化",T1816-01_因子設定!$B$14,IF(01_因子設定!$B$13="最小化",01_因子設定!$B$15-U1816,MIN(T1816-01_因子設定!$B$14,01_因子設定!$B$15-U1816))),-1E+030)</f>
        <v>-3.18068049784461</v>
      </c>
      <c r="X1816" s="55" t="n">
        <f aca="false">IF(V1816,IF(01_因子設定!$B$13="最大化",Q1816,IF(01_因子設定!$B$13="最小化",-Q1816,-ABS(Q1816-01_因子設定!$B$16))),-1E+030)</f>
        <v>46.3130539772727</v>
      </c>
      <c r="Y1816" s="55" t="n">
        <f aca="false">W1816+ROW()*0.000000001</f>
        <v>-3.18067868184461</v>
      </c>
      <c r="Z1816" s="55" t="n">
        <f aca="false">X1816+ROW()*0.000000001</f>
        <v>46.3130557932727</v>
      </c>
    </row>
    <row r="1817" customFormat="false" ht="15" hidden="false" customHeight="false" outlineLevel="0" collapsed="false">
      <c r="A1817" s="0" t="n">
        <v>6</v>
      </c>
      <c r="B1817" s="0" t="n">
        <v>4</v>
      </c>
      <c r="C1817" s="0" t="n">
        <v>10</v>
      </c>
      <c r="D1817" s="0" t="n">
        <f aca="false">-1+A1817*0.125</f>
        <v>-0.25</v>
      </c>
      <c r="E1817" s="0" t="n">
        <f aca="false">-1+B1817*0.125</f>
        <v>-0.5</v>
      </c>
      <c r="F1817" s="0" t="n">
        <f aca="false">-1+C1817*0.125</f>
        <v>0.25</v>
      </c>
      <c r="G1817" s="0" t="n">
        <f aca="false">1</f>
        <v>1</v>
      </c>
      <c r="H1817" s="0" t="n">
        <f aca="false">D1817</f>
        <v>-0.25</v>
      </c>
      <c r="I1817" s="0" t="n">
        <f aca="false">E1817</f>
        <v>-0.5</v>
      </c>
      <c r="J1817" s="0" t="n">
        <f aca="false">F1817</f>
        <v>0.25</v>
      </c>
      <c r="K1817" s="0" t="n">
        <f aca="false">D1817*E1817</f>
        <v>0.125</v>
      </c>
      <c r="L1817" s="0" t="n">
        <f aca="false">D1817*F1817</f>
        <v>-0.0625</v>
      </c>
      <c r="M1817" s="0" t="n">
        <f aca="false">E1817*F1817</f>
        <v>-0.125</v>
      </c>
      <c r="N1817" s="0" t="n">
        <f aca="false">D1817*D1817</f>
        <v>0.0625</v>
      </c>
      <c r="O1817" s="0" t="n">
        <f aca="false">E1817*E1817</f>
        <v>0.25</v>
      </c>
      <c r="P1817" s="0" t="n">
        <f aca="false">F1817*F1817</f>
        <v>0.0625</v>
      </c>
      <c r="Q1817" s="0" t="n">
        <f aca="false">SUMPRODUCT(G1817:P1817,_XtX!$B$71:$K$71)</f>
        <v>46.4069318181818</v>
      </c>
      <c r="R1817" s="0" t="n">
        <f aca="false">SUMPRODUCT(MMULT(G1817:P1817,_XtX!$B$58:$K$67),G1817:P1817)</f>
        <v>0.141965553977273</v>
      </c>
      <c r="S1817" s="0" t="n">
        <f aca="false">04_回帰ANOVA!$K$19*04_回帰ANOVA!$K$14*SQRT(1+R1817)</f>
        <v>0.993557802198625</v>
      </c>
      <c r="T1817" s="0" t="n">
        <f aca="false">Q1817-S1817</f>
        <v>45.4133740159832</v>
      </c>
      <c r="U1817" s="0" t="n">
        <f aca="false">Q1817+S1817</f>
        <v>47.4004896203805</v>
      </c>
      <c r="V1817" s="54" t="b">
        <f aca="false">AND(D1817&gt;=01_因子設定!$L$5-0.000000001,D1817&lt;=01_因子設定!$M$5+0.000000001,E1817&gt;=01_因子設定!$L$6-0.000000001,E1817&lt;=01_因子設定!$M$6+0.000000001,F1817&gt;=01_因子設定!$L$7-0.000000001,F1817&lt;=01_因子設定!$M$7+0.000000001,IF(01_因子設定!$B$20="Box-Behnken",D1817^2+E1817^2+F1817^2&lt;=2+0.000000001,TRUE()))</f>
        <v>1</v>
      </c>
      <c r="W1817" s="55" t="n">
        <f aca="false">IF(V1817,IF(01_因子設定!$B$13="最大化",T1817-01_因子設定!$B$14,IF(01_因子設定!$B$13="最小化",01_因子設定!$B$15-U1817,MIN(T1817-01_因子設定!$B$14,01_因子設定!$B$15-U1817))),-1E+030)</f>
        <v>-3.0866259840168</v>
      </c>
      <c r="X1817" s="55" t="n">
        <f aca="false">IF(V1817,IF(01_因子設定!$B$13="最大化",Q1817,IF(01_因子設定!$B$13="最小化",-Q1817,-ABS(Q1817-01_因子設定!$B$16))),-1E+030)</f>
        <v>46.4069318181818</v>
      </c>
      <c r="Y1817" s="55" t="n">
        <f aca="false">W1817+ROW()*0.000000001</f>
        <v>-3.0866241670168</v>
      </c>
      <c r="Z1817" s="55" t="n">
        <f aca="false">X1817+ROW()*0.000000001</f>
        <v>46.4069336351818</v>
      </c>
    </row>
    <row r="1818" customFormat="false" ht="15" hidden="false" customHeight="false" outlineLevel="0" collapsed="false">
      <c r="A1818" s="0" t="n">
        <v>6</v>
      </c>
      <c r="B1818" s="0" t="n">
        <v>4</v>
      </c>
      <c r="C1818" s="0" t="n">
        <v>11</v>
      </c>
      <c r="D1818" s="0" t="n">
        <f aca="false">-1+A1818*0.125</f>
        <v>-0.25</v>
      </c>
      <c r="E1818" s="0" t="n">
        <f aca="false">-1+B1818*0.125</f>
        <v>-0.5</v>
      </c>
      <c r="F1818" s="0" t="n">
        <f aca="false">-1+C1818*0.125</f>
        <v>0.375</v>
      </c>
      <c r="G1818" s="0" t="n">
        <f aca="false">1</f>
        <v>1</v>
      </c>
      <c r="H1818" s="0" t="n">
        <f aca="false">D1818</f>
        <v>-0.25</v>
      </c>
      <c r="I1818" s="0" t="n">
        <f aca="false">E1818</f>
        <v>-0.5</v>
      </c>
      <c r="J1818" s="0" t="n">
        <f aca="false">F1818</f>
        <v>0.375</v>
      </c>
      <c r="K1818" s="0" t="n">
        <f aca="false">D1818*E1818</f>
        <v>0.125</v>
      </c>
      <c r="L1818" s="0" t="n">
        <f aca="false">D1818*F1818</f>
        <v>-0.09375</v>
      </c>
      <c r="M1818" s="0" t="n">
        <f aca="false">E1818*F1818</f>
        <v>-0.1875</v>
      </c>
      <c r="N1818" s="0" t="n">
        <f aca="false">D1818*D1818</f>
        <v>0.0625</v>
      </c>
      <c r="O1818" s="0" t="n">
        <f aca="false">E1818*E1818</f>
        <v>0.25</v>
      </c>
      <c r="P1818" s="0" t="n">
        <f aca="false">F1818*F1818</f>
        <v>0.140625</v>
      </c>
      <c r="Q1818" s="0" t="n">
        <f aca="false">SUMPRODUCT(G1818:P1818,_XtX!$B$71:$K$71)</f>
        <v>46.4640198863636</v>
      </c>
      <c r="R1818" s="0" t="n">
        <f aca="false">SUMPRODUCT(MMULT(G1818:P1818,_XtX!$B$58:$K$67),G1818:P1818)</f>
        <v>0.144839754971591</v>
      </c>
      <c r="S1818" s="0" t="n">
        <f aca="false">04_回帰ANOVA!$K$19*04_回帰ANOVA!$K$14*SQRT(1+R1818)</f>
        <v>0.994807353995542</v>
      </c>
      <c r="T1818" s="0" t="n">
        <f aca="false">Q1818-S1818</f>
        <v>45.4692125323681</v>
      </c>
      <c r="U1818" s="0" t="n">
        <f aca="false">Q1818+S1818</f>
        <v>47.4588272403592</v>
      </c>
      <c r="V1818" s="54" t="b">
        <f aca="false">AND(D1818&gt;=01_因子設定!$L$5-0.000000001,D1818&lt;=01_因子設定!$M$5+0.000000001,E1818&gt;=01_因子設定!$L$6-0.000000001,E1818&lt;=01_因子設定!$M$6+0.000000001,F1818&gt;=01_因子設定!$L$7-0.000000001,F1818&lt;=01_因子設定!$M$7+0.000000001,IF(01_因子設定!$B$20="Box-Behnken",D1818^2+E1818^2+F1818^2&lt;=2+0.000000001,TRUE()))</f>
        <v>1</v>
      </c>
      <c r="W1818" s="55" t="n">
        <f aca="false">IF(V1818,IF(01_因子設定!$B$13="最大化",T1818-01_因子設定!$B$14,IF(01_因子設定!$B$13="最小化",01_因子設定!$B$15-U1818,MIN(T1818-01_因子設定!$B$14,01_因子設定!$B$15-U1818))),-1E+030)</f>
        <v>-3.0307874676319</v>
      </c>
      <c r="X1818" s="55" t="n">
        <f aca="false">IF(V1818,IF(01_因子設定!$B$13="最大化",Q1818,IF(01_因子設定!$B$13="最小化",-Q1818,-ABS(Q1818-01_因子設定!$B$16))),-1E+030)</f>
        <v>46.4640198863636</v>
      </c>
      <c r="Y1818" s="55" t="n">
        <f aca="false">W1818+ROW()*0.000000001</f>
        <v>-3.0307856496319</v>
      </c>
      <c r="Z1818" s="55" t="n">
        <f aca="false">X1818+ROW()*0.000000001</f>
        <v>46.4640217043636</v>
      </c>
    </row>
    <row r="1819" customFormat="false" ht="15" hidden="false" customHeight="false" outlineLevel="0" collapsed="false">
      <c r="A1819" s="0" t="n">
        <v>6</v>
      </c>
      <c r="B1819" s="0" t="n">
        <v>4</v>
      </c>
      <c r="C1819" s="0" t="n">
        <v>12</v>
      </c>
      <c r="D1819" s="0" t="n">
        <f aca="false">-1+A1819*0.125</f>
        <v>-0.25</v>
      </c>
      <c r="E1819" s="0" t="n">
        <f aca="false">-1+B1819*0.125</f>
        <v>-0.5</v>
      </c>
      <c r="F1819" s="0" t="n">
        <f aca="false">-1+C1819*0.125</f>
        <v>0.5</v>
      </c>
      <c r="G1819" s="0" t="n">
        <f aca="false">1</f>
        <v>1</v>
      </c>
      <c r="H1819" s="0" t="n">
        <f aca="false">D1819</f>
        <v>-0.25</v>
      </c>
      <c r="I1819" s="0" t="n">
        <f aca="false">E1819</f>
        <v>-0.5</v>
      </c>
      <c r="J1819" s="0" t="n">
        <f aca="false">F1819</f>
        <v>0.5</v>
      </c>
      <c r="K1819" s="0" t="n">
        <f aca="false">D1819*E1819</f>
        <v>0.125</v>
      </c>
      <c r="L1819" s="0" t="n">
        <f aca="false">D1819*F1819</f>
        <v>-0.125</v>
      </c>
      <c r="M1819" s="0" t="n">
        <f aca="false">E1819*F1819</f>
        <v>-0.25</v>
      </c>
      <c r="N1819" s="0" t="n">
        <f aca="false">D1819*D1819</f>
        <v>0.0625</v>
      </c>
      <c r="O1819" s="0" t="n">
        <f aca="false">E1819*E1819</f>
        <v>0.25</v>
      </c>
      <c r="P1819" s="0" t="n">
        <f aca="false">F1819*F1819</f>
        <v>0.25</v>
      </c>
      <c r="Q1819" s="0" t="n">
        <f aca="false">SUMPRODUCT(G1819:P1819,_XtX!$B$71:$K$71)</f>
        <v>46.4843181818182</v>
      </c>
      <c r="R1819" s="0" t="n">
        <f aca="false">SUMPRODUCT(MMULT(G1819:P1819,_XtX!$B$58:$K$67),G1819:P1819)</f>
        <v>0.156321022727273</v>
      </c>
      <c r="S1819" s="0" t="n">
        <f aca="false">04_回帰ANOVA!$K$19*04_回帰ANOVA!$K$14*SQRT(1+R1819)</f>
        <v>0.999783227753172</v>
      </c>
      <c r="T1819" s="0" t="n">
        <f aca="false">Q1819-S1819</f>
        <v>45.484534954065</v>
      </c>
      <c r="U1819" s="0" t="n">
        <f aca="false">Q1819+S1819</f>
        <v>47.4841014095714</v>
      </c>
      <c r="V1819" s="54" t="b">
        <f aca="false">AND(D1819&gt;=01_因子設定!$L$5-0.000000001,D1819&lt;=01_因子設定!$M$5+0.000000001,E1819&gt;=01_因子設定!$L$6-0.000000001,E1819&lt;=01_因子設定!$M$6+0.000000001,F1819&gt;=01_因子設定!$L$7-0.000000001,F1819&lt;=01_因子設定!$M$7+0.000000001,IF(01_因子設定!$B$20="Box-Behnken",D1819^2+E1819^2+F1819^2&lt;=2+0.000000001,TRUE()))</f>
        <v>1</v>
      </c>
      <c r="W1819" s="55" t="n">
        <f aca="false">IF(V1819,IF(01_因子設定!$B$13="最大化",T1819-01_因子設定!$B$14,IF(01_因子設定!$B$13="最小化",01_因子設定!$B$15-U1819,MIN(T1819-01_因子設定!$B$14,01_因子設定!$B$15-U1819))),-1E+030)</f>
        <v>-3.01546504593497</v>
      </c>
      <c r="X1819" s="55" t="n">
        <f aca="false">IF(V1819,IF(01_因子設定!$B$13="最大化",Q1819,IF(01_因子設定!$B$13="最小化",-Q1819,-ABS(Q1819-01_因子設定!$B$16))),-1E+030)</f>
        <v>46.4843181818182</v>
      </c>
      <c r="Y1819" s="55" t="n">
        <f aca="false">W1819+ROW()*0.000000001</f>
        <v>-3.01546322693497</v>
      </c>
      <c r="Z1819" s="55" t="n">
        <f aca="false">X1819+ROW()*0.000000001</f>
        <v>46.4843200008182</v>
      </c>
    </row>
    <row r="1820" customFormat="false" ht="15" hidden="false" customHeight="false" outlineLevel="0" collapsed="false">
      <c r="A1820" s="0" t="n">
        <v>6</v>
      </c>
      <c r="B1820" s="0" t="n">
        <v>4</v>
      </c>
      <c r="C1820" s="0" t="n">
        <v>13</v>
      </c>
      <c r="D1820" s="0" t="n">
        <f aca="false">-1+A1820*0.125</f>
        <v>-0.25</v>
      </c>
      <c r="E1820" s="0" t="n">
        <f aca="false">-1+B1820*0.125</f>
        <v>-0.5</v>
      </c>
      <c r="F1820" s="0" t="n">
        <f aca="false">-1+C1820*0.125</f>
        <v>0.625</v>
      </c>
      <c r="G1820" s="0" t="n">
        <f aca="false">1</f>
        <v>1</v>
      </c>
      <c r="H1820" s="0" t="n">
        <f aca="false">D1820</f>
        <v>-0.25</v>
      </c>
      <c r="I1820" s="0" t="n">
        <f aca="false">E1820</f>
        <v>-0.5</v>
      </c>
      <c r="J1820" s="0" t="n">
        <f aca="false">F1820</f>
        <v>0.625</v>
      </c>
      <c r="K1820" s="0" t="n">
        <f aca="false">D1820*E1820</f>
        <v>0.125</v>
      </c>
      <c r="L1820" s="0" t="n">
        <f aca="false">D1820*F1820</f>
        <v>-0.15625</v>
      </c>
      <c r="M1820" s="0" t="n">
        <f aca="false">E1820*F1820</f>
        <v>-0.3125</v>
      </c>
      <c r="N1820" s="0" t="n">
        <f aca="false">D1820*D1820</f>
        <v>0.0625</v>
      </c>
      <c r="O1820" s="0" t="n">
        <f aca="false">E1820*E1820</f>
        <v>0.25</v>
      </c>
      <c r="P1820" s="0" t="n">
        <f aca="false">F1820*F1820</f>
        <v>0.390625</v>
      </c>
      <c r="Q1820" s="0" t="n">
        <f aca="false">SUMPRODUCT(G1820:P1820,_XtX!$B$71:$K$71)</f>
        <v>46.4678267045455</v>
      </c>
      <c r="R1820" s="0" t="n">
        <f aca="false">SUMPRODUCT(MMULT(G1820:P1820,_XtX!$B$58:$K$67),G1820:P1820)</f>
        <v>0.183866743607955</v>
      </c>
      <c r="S1820" s="0" t="n">
        <f aca="false">04_回帰ANOVA!$K$19*04_回帰ANOVA!$K$14*SQRT(1+R1820)</f>
        <v>1.01162148983013</v>
      </c>
      <c r="T1820" s="0" t="n">
        <f aca="false">Q1820-S1820</f>
        <v>45.4562052147153</v>
      </c>
      <c r="U1820" s="0" t="n">
        <f aca="false">Q1820+S1820</f>
        <v>47.4794481943756</v>
      </c>
      <c r="V1820" s="54" t="b">
        <f aca="false">AND(D1820&gt;=01_因子設定!$L$5-0.000000001,D1820&lt;=01_因子設定!$M$5+0.000000001,E1820&gt;=01_因子設定!$L$6-0.000000001,E1820&lt;=01_因子設定!$M$6+0.000000001,F1820&gt;=01_因子設定!$L$7-0.000000001,F1820&lt;=01_因子設定!$M$7+0.000000001,IF(01_因子設定!$B$20="Box-Behnken",D1820^2+E1820^2+F1820^2&lt;=2+0.000000001,TRUE()))</f>
        <v>1</v>
      </c>
      <c r="W1820" s="55" t="n">
        <f aca="false">IF(V1820,IF(01_因子設定!$B$13="最大化",T1820-01_因子設定!$B$14,IF(01_因子設定!$B$13="最小化",01_因子設定!$B$15-U1820,MIN(T1820-01_因子設定!$B$14,01_因子設定!$B$15-U1820))),-1E+030)</f>
        <v>-3.04379478528466</v>
      </c>
      <c r="X1820" s="55" t="n">
        <f aca="false">IF(V1820,IF(01_因子設定!$B$13="最大化",Q1820,IF(01_因子設定!$B$13="最小化",-Q1820,-ABS(Q1820-01_因子設定!$B$16))),-1E+030)</f>
        <v>46.4678267045455</v>
      </c>
      <c r="Y1820" s="55" t="n">
        <f aca="false">W1820+ROW()*0.000000001</f>
        <v>-3.04379296528466</v>
      </c>
      <c r="Z1820" s="55" t="n">
        <f aca="false">X1820+ROW()*0.000000001</f>
        <v>46.4678285245455</v>
      </c>
    </row>
    <row r="1821" customFormat="false" ht="15" hidden="false" customHeight="false" outlineLevel="0" collapsed="false">
      <c r="A1821" s="0" t="n">
        <v>6</v>
      </c>
      <c r="B1821" s="0" t="n">
        <v>4</v>
      </c>
      <c r="C1821" s="0" t="n">
        <v>14</v>
      </c>
      <c r="D1821" s="0" t="n">
        <f aca="false">-1+A1821*0.125</f>
        <v>-0.25</v>
      </c>
      <c r="E1821" s="0" t="n">
        <f aca="false">-1+B1821*0.125</f>
        <v>-0.5</v>
      </c>
      <c r="F1821" s="0" t="n">
        <f aca="false">-1+C1821*0.125</f>
        <v>0.75</v>
      </c>
      <c r="G1821" s="0" t="n">
        <f aca="false">1</f>
        <v>1</v>
      </c>
      <c r="H1821" s="0" t="n">
        <f aca="false">D1821</f>
        <v>-0.25</v>
      </c>
      <c r="I1821" s="0" t="n">
        <f aca="false">E1821</f>
        <v>-0.5</v>
      </c>
      <c r="J1821" s="0" t="n">
        <f aca="false">F1821</f>
        <v>0.75</v>
      </c>
      <c r="K1821" s="0" t="n">
        <f aca="false">D1821*E1821</f>
        <v>0.125</v>
      </c>
      <c r="L1821" s="0" t="n">
        <f aca="false">D1821*F1821</f>
        <v>-0.1875</v>
      </c>
      <c r="M1821" s="0" t="n">
        <f aca="false">E1821*F1821</f>
        <v>-0.375</v>
      </c>
      <c r="N1821" s="0" t="n">
        <f aca="false">D1821*D1821</f>
        <v>0.0625</v>
      </c>
      <c r="O1821" s="0" t="n">
        <f aca="false">E1821*E1821</f>
        <v>0.25</v>
      </c>
      <c r="P1821" s="0" t="n">
        <f aca="false">F1821*F1821</f>
        <v>0.5625</v>
      </c>
      <c r="Q1821" s="0" t="n">
        <f aca="false">SUMPRODUCT(G1821:P1821,_XtX!$B$71:$K$71)</f>
        <v>46.4145454545455</v>
      </c>
      <c r="R1821" s="0" t="n">
        <f aca="false">SUMPRODUCT(MMULT(G1821:P1821,_XtX!$B$58:$K$67),G1821:P1821)</f>
        <v>0.237064985795455</v>
      </c>
      <c r="S1821" s="0" t="n">
        <f aca="false">04_回帰ANOVA!$K$19*04_回帰ANOVA!$K$14*SQRT(1+R1821)</f>
        <v>1.03410084594745</v>
      </c>
      <c r="T1821" s="0" t="n">
        <f aca="false">Q1821-S1821</f>
        <v>45.380444608598</v>
      </c>
      <c r="U1821" s="0" t="n">
        <f aca="false">Q1821+S1821</f>
        <v>47.4486463004929</v>
      </c>
      <c r="V1821" s="54" t="b">
        <f aca="false">AND(D1821&gt;=01_因子設定!$L$5-0.000000001,D1821&lt;=01_因子設定!$M$5+0.000000001,E1821&gt;=01_因子設定!$L$6-0.000000001,E1821&lt;=01_因子設定!$M$6+0.000000001,F1821&gt;=01_因子設定!$L$7-0.000000001,F1821&lt;=01_因子設定!$M$7+0.000000001,IF(01_因子設定!$B$20="Box-Behnken",D1821^2+E1821^2+F1821^2&lt;=2+0.000000001,TRUE()))</f>
        <v>1</v>
      </c>
      <c r="W1821" s="55" t="n">
        <f aca="false">IF(V1821,IF(01_因子設定!$B$13="最大化",T1821-01_因子設定!$B$14,IF(01_因子設定!$B$13="最小化",01_因子設定!$B$15-U1821,MIN(T1821-01_因子設定!$B$14,01_因子設定!$B$15-U1821))),-1E+030)</f>
        <v>-3.11955539140197</v>
      </c>
      <c r="X1821" s="55" t="n">
        <f aca="false">IF(V1821,IF(01_因子設定!$B$13="最大化",Q1821,IF(01_因子設定!$B$13="最小化",-Q1821,-ABS(Q1821-01_因子設定!$B$16))),-1E+030)</f>
        <v>46.4145454545455</v>
      </c>
      <c r="Y1821" s="55" t="n">
        <f aca="false">W1821+ROW()*0.000000001</f>
        <v>-3.11955357040197</v>
      </c>
      <c r="Z1821" s="55" t="n">
        <f aca="false">X1821+ROW()*0.000000001</f>
        <v>46.4145472755455</v>
      </c>
    </row>
    <row r="1822" customFormat="false" ht="15" hidden="false" customHeight="false" outlineLevel="0" collapsed="false">
      <c r="A1822" s="0" t="n">
        <v>6</v>
      </c>
      <c r="B1822" s="0" t="n">
        <v>4</v>
      </c>
      <c r="C1822" s="0" t="n">
        <v>15</v>
      </c>
      <c r="D1822" s="0" t="n">
        <f aca="false">-1+A1822*0.125</f>
        <v>-0.25</v>
      </c>
      <c r="E1822" s="0" t="n">
        <f aca="false">-1+B1822*0.125</f>
        <v>-0.5</v>
      </c>
      <c r="F1822" s="0" t="n">
        <f aca="false">-1+C1822*0.125</f>
        <v>0.875</v>
      </c>
      <c r="G1822" s="0" t="n">
        <f aca="false">1</f>
        <v>1</v>
      </c>
      <c r="H1822" s="0" t="n">
        <f aca="false">D1822</f>
        <v>-0.25</v>
      </c>
      <c r="I1822" s="0" t="n">
        <f aca="false">E1822</f>
        <v>-0.5</v>
      </c>
      <c r="J1822" s="0" t="n">
        <f aca="false">F1822</f>
        <v>0.875</v>
      </c>
      <c r="K1822" s="0" t="n">
        <f aca="false">D1822*E1822</f>
        <v>0.125</v>
      </c>
      <c r="L1822" s="0" t="n">
        <f aca="false">D1822*F1822</f>
        <v>-0.21875</v>
      </c>
      <c r="M1822" s="0" t="n">
        <f aca="false">E1822*F1822</f>
        <v>-0.4375</v>
      </c>
      <c r="N1822" s="0" t="n">
        <f aca="false">D1822*D1822</f>
        <v>0.0625</v>
      </c>
      <c r="O1822" s="0" t="n">
        <f aca="false">E1822*E1822</f>
        <v>0.25</v>
      </c>
      <c r="P1822" s="0" t="n">
        <f aca="false">F1822*F1822</f>
        <v>0.765625</v>
      </c>
      <c r="Q1822" s="0" t="n">
        <f aca="false">SUMPRODUCT(G1822:P1822,_XtX!$B$71:$K$71)</f>
        <v>46.3244744318182</v>
      </c>
      <c r="R1822" s="0" t="n">
        <f aca="false">SUMPRODUCT(MMULT(G1822:P1822,_XtX!$B$58:$K$67),G1822:P1822)</f>
        <v>0.327634499289773</v>
      </c>
      <c r="S1822" s="0" t="n">
        <f aca="false">04_回帰ANOVA!$K$19*04_回帰ANOVA!$K$14*SQRT(1+R1822)</f>
        <v>1.07128716250217</v>
      </c>
      <c r="T1822" s="0" t="n">
        <f aca="false">Q1822-S1822</f>
        <v>45.253187269316</v>
      </c>
      <c r="U1822" s="0" t="n">
        <f aca="false">Q1822+S1822</f>
        <v>47.3957615943204</v>
      </c>
      <c r="V1822" s="54" t="b">
        <f aca="false">AND(D1822&gt;=01_因子設定!$L$5-0.000000001,D1822&lt;=01_因子設定!$M$5+0.000000001,E1822&gt;=01_因子設定!$L$6-0.000000001,E1822&lt;=01_因子設定!$M$6+0.000000001,F1822&gt;=01_因子設定!$L$7-0.000000001,F1822&lt;=01_因子設定!$M$7+0.000000001,IF(01_因子設定!$B$20="Box-Behnken",D1822^2+E1822^2+F1822^2&lt;=2+0.000000001,TRUE()))</f>
        <v>1</v>
      </c>
      <c r="W1822" s="55" t="n">
        <f aca="false">IF(V1822,IF(01_因子設定!$B$13="最大化",T1822-01_因子設定!$B$14,IF(01_因子設定!$B$13="最小化",01_因子設定!$B$15-U1822,MIN(T1822-01_因子設定!$B$14,01_因子設定!$B$15-U1822))),-1E+030)</f>
        <v>-3.24681273068397</v>
      </c>
      <c r="X1822" s="55" t="n">
        <f aca="false">IF(V1822,IF(01_因子設定!$B$13="最大化",Q1822,IF(01_因子設定!$B$13="最小化",-Q1822,-ABS(Q1822-01_因子設定!$B$16))),-1E+030)</f>
        <v>46.3244744318182</v>
      </c>
      <c r="Y1822" s="55" t="n">
        <f aca="false">W1822+ROW()*0.000000001</f>
        <v>-3.24681090868397</v>
      </c>
      <c r="Z1822" s="55" t="n">
        <f aca="false">X1822+ROW()*0.000000001</f>
        <v>46.3244762538182</v>
      </c>
    </row>
    <row r="1823" customFormat="false" ht="15" hidden="false" customHeight="false" outlineLevel="0" collapsed="false">
      <c r="A1823" s="0" t="n">
        <v>6</v>
      </c>
      <c r="B1823" s="0" t="n">
        <v>4</v>
      </c>
      <c r="C1823" s="0" t="n">
        <v>16</v>
      </c>
      <c r="D1823" s="0" t="n">
        <f aca="false">-1+A1823*0.125</f>
        <v>-0.25</v>
      </c>
      <c r="E1823" s="0" t="n">
        <f aca="false">-1+B1823*0.125</f>
        <v>-0.5</v>
      </c>
      <c r="F1823" s="0" t="n">
        <f aca="false">-1+C1823*0.125</f>
        <v>1</v>
      </c>
      <c r="G1823" s="0" t="n">
        <f aca="false">1</f>
        <v>1</v>
      </c>
      <c r="H1823" s="0" t="n">
        <f aca="false">D1823</f>
        <v>-0.25</v>
      </c>
      <c r="I1823" s="0" t="n">
        <f aca="false">E1823</f>
        <v>-0.5</v>
      </c>
      <c r="J1823" s="0" t="n">
        <f aca="false">F1823</f>
        <v>1</v>
      </c>
      <c r="K1823" s="0" t="n">
        <f aca="false">D1823*E1823</f>
        <v>0.125</v>
      </c>
      <c r="L1823" s="0" t="n">
        <f aca="false">D1823*F1823</f>
        <v>-0.25</v>
      </c>
      <c r="M1823" s="0" t="n">
        <f aca="false">E1823*F1823</f>
        <v>-0.5</v>
      </c>
      <c r="N1823" s="0" t="n">
        <f aca="false">D1823*D1823</f>
        <v>0.0625</v>
      </c>
      <c r="O1823" s="0" t="n">
        <f aca="false">E1823*E1823</f>
        <v>0.25</v>
      </c>
      <c r="P1823" s="0" t="n">
        <f aca="false">F1823*F1823</f>
        <v>1</v>
      </c>
      <c r="Q1823" s="0" t="n">
        <f aca="false">SUMPRODUCT(G1823:P1823,_XtX!$B$71:$K$71)</f>
        <v>46.1976136363637</v>
      </c>
      <c r="R1823" s="0" t="n">
        <f aca="false">SUMPRODUCT(MMULT(G1823:P1823,_XtX!$B$58:$K$67),G1823:P1823)</f>
        <v>0.469424715909091</v>
      </c>
      <c r="S1823" s="0" t="n">
        <f aca="false">04_回帰ANOVA!$K$19*04_回帰ANOVA!$K$14*SQRT(1+R1823)</f>
        <v>1.12704253369596</v>
      </c>
      <c r="T1823" s="0" t="n">
        <f aca="false">Q1823-S1823</f>
        <v>45.0705711026677</v>
      </c>
      <c r="U1823" s="0" t="n">
        <f aca="false">Q1823+S1823</f>
        <v>47.3246561700596</v>
      </c>
      <c r="V1823" s="54" t="b">
        <f aca="false">AND(D1823&gt;=01_因子設定!$L$5-0.000000001,D1823&lt;=01_因子設定!$M$5+0.000000001,E1823&gt;=01_因子設定!$L$6-0.000000001,E1823&lt;=01_因子設定!$M$6+0.000000001,F1823&gt;=01_因子設定!$L$7-0.000000001,F1823&lt;=01_因子設定!$M$7+0.000000001,IF(01_因子設定!$B$20="Box-Behnken",D1823^2+E1823^2+F1823^2&lt;=2+0.000000001,TRUE()))</f>
        <v>1</v>
      </c>
      <c r="W1823" s="55" t="n">
        <f aca="false">IF(V1823,IF(01_因子設定!$B$13="最大化",T1823-01_因子設定!$B$14,IF(01_因子設定!$B$13="最小化",01_因子設定!$B$15-U1823,MIN(T1823-01_因子設定!$B$14,01_因子設定!$B$15-U1823))),-1E+030)</f>
        <v>-3.42942889733229</v>
      </c>
      <c r="X1823" s="55" t="n">
        <f aca="false">IF(V1823,IF(01_因子設定!$B$13="最大化",Q1823,IF(01_因子設定!$B$13="最小化",-Q1823,-ABS(Q1823-01_因子設定!$B$16))),-1E+030)</f>
        <v>46.1976136363637</v>
      </c>
      <c r="Y1823" s="55" t="n">
        <f aca="false">W1823+ROW()*0.000000001</f>
        <v>-3.42942707433229</v>
      </c>
      <c r="Z1823" s="55" t="n">
        <f aca="false">X1823+ROW()*0.000000001</f>
        <v>46.1976154593637</v>
      </c>
    </row>
    <row r="1824" customFormat="false" ht="15" hidden="false" customHeight="false" outlineLevel="0" collapsed="false">
      <c r="A1824" s="0" t="n">
        <v>6</v>
      </c>
      <c r="B1824" s="0" t="n">
        <v>5</v>
      </c>
      <c r="C1824" s="0" t="n">
        <v>0</v>
      </c>
      <c r="D1824" s="0" t="n">
        <f aca="false">-1+A1824*0.125</f>
        <v>-0.25</v>
      </c>
      <c r="E1824" s="0" t="n">
        <f aca="false">-1+B1824*0.125</f>
        <v>-0.375</v>
      </c>
      <c r="F1824" s="0" t="n">
        <f aca="false">-1+C1824*0.125</f>
        <v>-1</v>
      </c>
      <c r="G1824" s="0" t="n">
        <f aca="false">1</f>
        <v>1</v>
      </c>
      <c r="H1824" s="0" t="n">
        <f aca="false">D1824</f>
        <v>-0.25</v>
      </c>
      <c r="I1824" s="0" t="n">
        <f aca="false">E1824</f>
        <v>-0.375</v>
      </c>
      <c r="J1824" s="0" t="n">
        <f aca="false">F1824</f>
        <v>-1</v>
      </c>
      <c r="K1824" s="0" t="n">
        <f aca="false">D1824*E1824</f>
        <v>0.09375</v>
      </c>
      <c r="L1824" s="0" t="n">
        <f aca="false">D1824*F1824</f>
        <v>0.25</v>
      </c>
      <c r="M1824" s="0" t="n">
        <f aca="false">E1824*F1824</f>
        <v>0.375</v>
      </c>
      <c r="N1824" s="0" t="n">
        <f aca="false">D1824*D1824</f>
        <v>0.0625</v>
      </c>
      <c r="O1824" s="0" t="n">
        <f aca="false">E1824*E1824</f>
        <v>0.140625</v>
      </c>
      <c r="P1824" s="0" t="n">
        <f aca="false">F1824*F1824</f>
        <v>1</v>
      </c>
      <c r="Q1824" s="0" t="n">
        <f aca="false">SUMPRODUCT(G1824:P1824,_XtX!$B$71:$K$71)</f>
        <v>44.1985653409091</v>
      </c>
      <c r="R1824" s="0" t="n">
        <f aca="false">SUMPRODUCT(MMULT(G1824:P1824,_XtX!$B$58:$K$67),G1824:P1824)</f>
        <v>0.470061700994318</v>
      </c>
      <c r="S1824" s="0" t="n">
        <f aca="false">04_回帰ANOVA!$K$19*04_回帰ANOVA!$K$14*SQRT(1+R1824)</f>
        <v>1.12728678965931</v>
      </c>
      <c r="T1824" s="0" t="n">
        <f aca="false">Q1824-S1824</f>
        <v>43.0712785512498</v>
      </c>
      <c r="U1824" s="0" t="n">
        <f aca="false">Q1824+S1824</f>
        <v>45.3258521305684</v>
      </c>
      <c r="V1824" s="54" t="b">
        <f aca="false">AND(D1824&gt;=01_因子設定!$L$5-0.000000001,D1824&lt;=01_因子設定!$M$5+0.000000001,E1824&gt;=01_因子設定!$L$6-0.000000001,E1824&lt;=01_因子設定!$M$6+0.000000001,F1824&gt;=01_因子設定!$L$7-0.000000001,F1824&lt;=01_因子設定!$M$7+0.000000001,IF(01_因子設定!$B$20="Box-Behnken",D1824^2+E1824^2+F1824^2&lt;=2+0.000000001,TRUE()))</f>
        <v>1</v>
      </c>
      <c r="W1824" s="55" t="n">
        <f aca="false">IF(V1824,IF(01_因子設定!$B$13="最大化",T1824-01_因子設定!$B$14,IF(01_因子設定!$B$13="最小化",01_因子設定!$B$15-U1824,MIN(T1824-01_因子設定!$B$14,01_因子設定!$B$15-U1824))),-1E+030)</f>
        <v>-5.42872144875019</v>
      </c>
      <c r="X1824" s="55" t="n">
        <f aca="false">IF(V1824,IF(01_因子設定!$B$13="最大化",Q1824,IF(01_因子設定!$B$13="最小化",-Q1824,-ABS(Q1824-01_因子設定!$B$16))),-1E+030)</f>
        <v>44.1985653409091</v>
      </c>
      <c r="Y1824" s="55" t="n">
        <f aca="false">W1824+ROW()*0.000000001</f>
        <v>-5.42871962475019</v>
      </c>
      <c r="Z1824" s="55" t="n">
        <f aca="false">X1824+ROW()*0.000000001</f>
        <v>44.1985671649091</v>
      </c>
    </row>
    <row r="1825" customFormat="false" ht="15" hidden="false" customHeight="false" outlineLevel="0" collapsed="false">
      <c r="A1825" s="0" t="n">
        <v>6</v>
      </c>
      <c r="B1825" s="0" t="n">
        <v>5</v>
      </c>
      <c r="C1825" s="0" t="n">
        <v>1</v>
      </c>
      <c r="D1825" s="0" t="n">
        <f aca="false">-1+A1825*0.125</f>
        <v>-0.25</v>
      </c>
      <c r="E1825" s="0" t="n">
        <f aca="false">-1+B1825*0.125</f>
        <v>-0.375</v>
      </c>
      <c r="F1825" s="0" t="n">
        <f aca="false">-1+C1825*0.125</f>
        <v>-0.875</v>
      </c>
      <c r="G1825" s="0" t="n">
        <f aca="false">1</f>
        <v>1</v>
      </c>
      <c r="H1825" s="0" t="n">
        <f aca="false">D1825</f>
        <v>-0.25</v>
      </c>
      <c r="I1825" s="0" t="n">
        <f aca="false">E1825</f>
        <v>-0.375</v>
      </c>
      <c r="J1825" s="0" t="n">
        <f aca="false">F1825</f>
        <v>-0.875</v>
      </c>
      <c r="K1825" s="0" t="n">
        <f aca="false">D1825*E1825</f>
        <v>0.09375</v>
      </c>
      <c r="L1825" s="0" t="n">
        <f aca="false">D1825*F1825</f>
        <v>0.21875</v>
      </c>
      <c r="M1825" s="0" t="n">
        <f aca="false">E1825*F1825</f>
        <v>0.328125</v>
      </c>
      <c r="N1825" s="0" t="n">
        <f aca="false">D1825*D1825</f>
        <v>0.0625</v>
      </c>
      <c r="O1825" s="0" t="n">
        <f aca="false">E1825*E1825</f>
        <v>0.140625</v>
      </c>
      <c r="P1825" s="0" t="n">
        <f aca="false">F1825*F1825</f>
        <v>0.765625</v>
      </c>
      <c r="Q1825" s="0" t="n">
        <f aca="false">SUMPRODUCT(G1825:P1825,_XtX!$B$71:$K$71)</f>
        <v>44.6305823863637</v>
      </c>
      <c r="R1825" s="0" t="n">
        <f aca="false">SUMPRODUCT(MMULT(G1825:P1825,_XtX!$B$58:$K$67),G1825:P1825)</f>
        <v>0.324484530362216</v>
      </c>
      <c r="S1825" s="0" t="n">
        <f aca="false">04_回帰ANOVA!$K$19*04_回帰ANOVA!$K$14*SQRT(1+R1825)</f>
        <v>1.07001553041279</v>
      </c>
      <c r="T1825" s="0" t="n">
        <f aca="false">Q1825-S1825</f>
        <v>43.5605668559509</v>
      </c>
      <c r="U1825" s="0" t="n">
        <f aca="false">Q1825+S1825</f>
        <v>45.7005979167764</v>
      </c>
      <c r="V1825" s="54" t="b">
        <f aca="false">AND(D1825&gt;=01_因子設定!$L$5-0.000000001,D1825&lt;=01_因子設定!$M$5+0.000000001,E1825&gt;=01_因子設定!$L$6-0.000000001,E1825&lt;=01_因子設定!$M$6+0.000000001,F1825&gt;=01_因子設定!$L$7-0.000000001,F1825&lt;=01_因子設定!$M$7+0.000000001,IF(01_因子設定!$B$20="Box-Behnken",D1825^2+E1825^2+F1825^2&lt;=2+0.000000001,TRUE()))</f>
        <v>1</v>
      </c>
      <c r="W1825" s="55" t="n">
        <f aca="false">IF(V1825,IF(01_因子設定!$B$13="最大化",T1825-01_因子設定!$B$14,IF(01_因子設定!$B$13="最小化",01_因子設定!$B$15-U1825,MIN(T1825-01_因子設定!$B$14,01_因子設定!$B$15-U1825))),-1E+030)</f>
        <v>-4.93943314404913</v>
      </c>
      <c r="X1825" s="55" t="n">
        <f aca="false">IF(V1825,IF(01_因子設定!$B$13="最大化",Q1825,IF(01_因子設定!$B$13="最小化",-Q1825,-ABS(Q1825-01_因子設定!$B$16))),-1E+030)</f>
        <v>44.6305823863637</v>
      </c>
      <c r="Y1825" s="55" t="n">
        <f aca="false">W1825+ROW()*0.000000001</f>
        <v>-4.93943131904913</v>
      </c>
      <c r="Z1825" s="55" t="n">
        <f aca="false">X1825+ROW()*0.000000001</f>
        <v>44.6305842113637</v>
      </c>
    </row>
    <row r="1826" customFormat="false" ht="15" hidden="false" customHeight="false" outlineLevel="0" collapsed="false">
      <c r="A1826" s="0" t="n">
        <v>6</v>
      </c>
      <c r="B1826" s="0" t="n">
        <v>5</v>
      </c>
      <c r="C1826" s="0" t="n">
        <v>2</v>
      </c>
      <c r="D1826" s="0" t="n">
        <f aca="false">-1+A1826*0.125</f>
        <v>-0.25</v>
      </c>
      <c r="E1826" s="0" t="n">
        <f aca="false">-1+B1826*0.125</f>
        <v>-0.375</v>
      </c>
      <c r="F1826" s="0" t="n">
        <f aca="false">-1+C1826*0.125</f>
        <v>-0.75</v>
      </c>
      <c r="G1826" s="0" t="n">
        <f aca="false">1</f>
        <v>1</v>
      </c>
      <c r="H1826" s="0" t="n">
        <f aca="false">D1826</f>
        <v>-0.25</v>
      </c>
      <c r="I1826" s="0" t="n">
        <f aca="false">E1826</f>
        <v>-0.375</v>
      </c>
      <c r="J1826" s="0" t="n">
        <f aca="false">F1826</f>
        <v>-0.75</v>
      </c>
      <c r="K1826" s="0" t="n">
        <f aca="false">D1826*E1826</f>
        <v>0.09375</v>
      </c>
      <c r="L1826" s="0" t="n">
        <f aca="false">D1826*F1826</f>
        <v>0.1875</v>
      </c>
      <c r="M1826" s="0" t="n">
        <f aca="false">E1826*F1826</f>
        <v>0.28125</v>
      </c>
      <c r="N1826" s="0" t="n">
        <f aca="false">D1826*D1826</f>
        <v>0.0625</v>
      </c>
      <c r="O1826" s="0" t="n">
        <f aca="false">E1826*E1826</f>
        <v>0.140625</v>
      </c>
      <c r="P1826" s="0" t="n">
        <f aca="false">F1826*F1826</f>
        <v>0.5625</v>
      </c>
      <c r="Q1826" s="0" t="n">
        <f aca="false">SUMPRODUCT(G1826:P1826,_XtX!$B$71:$K$71)</f>
        <v>45.0258096590909</v>
      </c>
      <c r="R1826" s="0" t="n">
        <f aca="false">SUMPRODUCT(MMULT(G1826:P1826,_XtX!$B$58:$K$67),G1826:P1826)</f>
        <v>0.230632990056818</v>
      </c>
      <c r="S1826" s="0" t="n">
        <f aca="false">04_回帰ANOVA!$K$19*04_回帰ANOVA!$K$14*SQRT(1+R1826)</f>
        <v>1.03140899038819</v>
      </c>
      <c r="T1826" s="0" t="n">
        <f aca="false">Q1826-S1826</f>
        <v>43.9944006687027</v>
      </c>
      <c r="U1826" s="0" t="n">
        <f aca="false">Q1826+S1826</f>
        <v>46.0572186494791</v>
      </c>
      <c r="V1826" s="54" t="b">
        <f aca="false">AND(D1826&gt;=01_因子設定!$L$5-0.000000001,D1826&lt;=01_因子設定!$M$5+0.000000001,E1826&gt;=01_因子設定!$L$6-0.000000001,E1826&lt;=01_因子設定!$M$6+0.000000001,F1826&gt;=01_因子設定!$L$7-0.000000001,F1826&lt;=01_因子設定!$M$7+0.000000001,IF(01_因子設定!$B$20="Box-Behnken",D1826^2+E1826^2+F1826^2&lt;=2+0.000000001,TRUE()))</f>
        <v>1</v>
      </c>
      <c r="W1826" s="55" t="n">
        <f aca="false">IF(V1826,IF(01_因子設定!$B$13="最大化",T1826-01_因子設定!$B$14,IF(01_因子設定!$B$13="最小化",01_因子設定!$B$15-U1826,MIN(T1826-01_因子設定!$B$14,01_因子設定!$B$15-U1826))),-1E+030)</f>
        <v>-4.50559933129726</v>
      </c>
      <c r="X1826" s="55" t="n">
        <f aca="false">IF(V1826,IF(01_因子設定!$B$13="最大化",Q1826,IF(01_因子設定!$B$13="最小化",-Q1826,-ABS(Q1826-01_因子設定!$B$16))),-1E+030)</f>
        <v>45.0258096590909</v>
      </c>
      <c r="Y1826" s="55" t="n">
        <f aca="false">W1826+ROW()*0.000000001</f>
        <v>-4.50559750529726</v>
      </c>
      <c r="Z1826" s="55" t="n">
        <f aca="false">X1826+ROW()*0.000000001</f>
        <v>45.0258114850909</v>
      </c>
    </row>
    <row r="1827" customFormat="false" ht="15" hidden="false" customHeight="false" outlineLevel="0" collapsed="false">
      <c r="A1827" s="0" t="n">
        <v>6</v>
      </c>
      <c r="B1827" s="0" t="n">
        <v>5</v>
      </c>
      <c r="C1827" s="0" t="n">
        <v>3</v>
      </c>
      <c r="D1827" s="0" t="n">
        <f aca="false">-1+A1827*0.125</f>
        <v>-0.25</v>
      </c>
      <c r="E1827" s="0" t="n">
        <f aca="false">-1+B1827*0.125</f>
        <v>-0.375</v>
      </c>
      <c r="F1827" s="0" t="n">
        <f aca="false">-1+C1827*0.125</f>
        <v>-0.625</v>
      </c>
      <c r="G1827" s="0" t="n">
        <f aca="false">1</f>
        <v>1</v>
      </c>
      <c r="H1827" s="0" t="n">
        <f aca="false">D1827</f>
        <v>-0.25</v>
      </c>
      <c r="I1827" s="0" t="n">
        <f aca="false">E1827</f>
        <v>-0.375</v>
      </c>
      <c r="J1827" s="0" t="n">
        <f aca="false">F1827</f>
        <v>-0.625</v>
      </c>
      <c r="K1827" s="0" t="n">
        <f aca="false">D1827*E1827</f>
        <v>0.09375</v>
      </c>
      <c r="L1827" s="0" t="n">
        <f aca="false">D1827*F1827</f>
        <v>0.15625</v>
      </c>
      <c r="M1827" s="0" t="n">
        <f aca="false">E1827*F1827</f>
        <v>0.234375</v>
      </c>
      <c r="N1827" s="0" t="n">
        <f aca="false">D1827*D1827</f>
        <v>0.0625</v>
      </c>
      <c r="O1827" s="0" t="n">
        <f aca="false">E1827*E1827</f>
        <v>0.140625</v>
      </c>
      <c r="P1827" s="0" t="n">
        <f aca="false">F1827*F1827</f>
        <v>0.390625</v>
      </c>
      <c r="Q1827" s="0" t="n">
        <f aca="false">SUMPRODUCT(G1827:P1827,_XtX!$B$71:$K$71)</f>
        <v>45.3842471590909</v>
      </c>
      <c r="R1827" s="0" t="n">
        <f aca="false">SUMPRODUCT(MMULT(G1827:P1827,_XtX!$B$58:$K$67),G1827:P1827)</f>
        <v>0.174657648259943</v>
      </c>
      <c r="S1827" s="0" t="n">
        <f aca="false">04_回帰ANOVA!$K$19*04_回帰ANOVA!$K$14*SQRT(1+R1827)</f>
        <v>1.00767919364845</v>
      </c>
      <c r="T1827" s="0" t="n">
        <f aca="false">Q1827-S1827</f>
        <v>44.3765679654425</v>
      </c>
      <c r="U1827" s="0" t="n">
        <f aca="false">Q1827+S1827</f>
        <v>46.3919263527394</v>
      </c>
      <c r="V1827" s="54" t="b">
        <f aca="false">AND(D1827&gt;=01_因子設定!$L$5-0.000000001,D1827&lt;=01_因子設定!$M$5+0.000000001,E1827&gt;=01_因子設定!$L$6-0.000000001,E1827&lt;=01_因子設定!$M$6+0.000000001,F1827&gt;=01_因子設定!$L$7-0.000000001,F1827&lt;=01_因子設定!$M$7+0.000000001,IF(01_因子設定!$B$20="Box-Behnken",D1827^2+E1827^2+F1827^2&lt;=2+0.000000001,TRUE()))</f>
        <v>1</v>
      </c>
      <c r="W1827" s="55" t="n">
        <f aca="false">IF(V1827,IF(01_因子設定!$B$13="最大化",T1827-01_因子設定!$B$14,IF(01_因子設定!$B$13="最小化",01_因子設定!$B$15-U1827,MIN(T1827-01_因子設定!$B$14,01_因子設定!$B$15-U1827))),-1E+030)</f>
        <v>-4.12343203455752</v>
      </c>
      <c r="X1827" s="55" t="n">
        <f aca="false">IF(V1827,IF(01_因子設定!$B$13="最大化",Q1827,IF(01_因子設定!$B$13="最小化",-Q1827,-ABS(Q1827-01_因子設定!$B$16))),-1E+030)</f>
        <v>45.3842471590909</v>
      </c>
      <c r="Y1827" s="55" t="n">
        <f aca="false">W1827+ROW()*0.000000001</f>
        <v>-4.12343020755752</v>
      </c>
      <c r="Z1827" s="55" t="n">
        <f aca="false">X1827+ROW()*0.000000001</f>
        <v>45.3842489860909</v>
      </c>
    </row>
    <row r="1828" customFormat="false" ht="15" hidden="false" customHeight="false" outlineLevel="0" collapsed="false">
      <c r="A1828" s="0" t="n">
        <v>6</v>
      </c>
      <c r="B1828" s="0" t="n">
        <v>5</v>
      </c>
      <c r="C1828" s="0" t="n">
        <v>4</v>
      </c>
      <c r="D1828" s="0" t="n">
        <f aca="false">-1+A1828*0.125</f>
        <v>-0.25</v>
      </c>
      <c r="E1828" s="0" t="n">
        <f aca="false">-1+B1828*0.125</f>
        <v>-0.375</v>
      </c>
      <c r="F1828" s="0" t="n">
        <f aca="false">-1+C1828*0.125</f>
        <v>-0.5</v>
      </c>
      <c r="G1828" s="0" t="n">
        <f aca="false">1</f>
        <v>1</v>
      </c>
      <c r="H1828" s="0" t="n">
        <f aca="false">D1828</f>
        <v>-0.25</v>
      </c>
      <c r="I1828" s="0" t="n">
        <f aca="false">E1828</f>
        <v>-0.375</v>
      </c>
      <c r="J1828" s="0" t="n">
        <f aca="false">F1828</f>
        <v>-0.5</v>
      </c>
      <c r="K1828" s="0" t="n">
        <f aca="false">D1828*E1828</f>
        <v>0.09375</v>
      </c>
      <c r="L1828" s="0" t="n">
        <f aca="false">D1828*F1828</f>
        <v>0.125</v>
      </c>
      <c r="M1828" s="0" t="n">
        <f aca="false">E1828*F1828</f>
        <v>0.1875</v>
      </c>
      <c r="N1828" s="0" t="n">
        <f aca="false">D1828*D1828</f>
        <v>0.0625</v>
      </c>
      <c r="O1828" s="0" t="n">
        <f aca="false">E1828*E1828</f>
        <v>0.140625</v>
      </c>
      <c r="P1828" s="0" t="n">
        <f aca="false">F1828*F1828</f>
        <v>0.25</v>
      </c>
      <c r="Q1828" s="0" t="n">
        <f aca="false">SUMPRODUCT(G1828:P1828,_XtX!$B$71:$K$71)</f>
        <v>45.7058948863637</v>
      </c>
      <c r="R1828" s="0" t="n">
        <f aca="false">SUMPRODUCT(MMULT(G1828:P1828,_XtX!$B$58:$K$67),G1828:P1828)</f>
        <v>0.144839754971591</v>
      </c>
      <c r="S1828" s="0" t="n">
        <f aca="false">04_回帰ANOVA!$K$19*04_回帰ANOVA!$K$14*SQRT(1+R1828)</f>
        <v>0.994807353995542</v>
      </c>
      <c r="T1828" s="0" t="n">
        <f aca="false">Q1828-S1828</f>
        <v>44.7110875323681</v>
      </c>
      <c r="U1828" s="0" t="n">
        <f aca="false">Q1828+S1828</f>
        <v>46.7007022403592</v>
      </c>
      <c r="V1828" s="54" t="b">
        <f aca="false">AND(D1828&gt;=01_因子設定!$L$5-0.000000001,D1828&lt;=01_因子設定!$M$5+0.000000001,E1828&gt;=01_因子設定!$L$6-0.000000001,E1828&lt;=01_因子設定!$M$6+0.000000001,F1828&gt;=01_因子設定!$L$7-0.000000001,F1828&lt;=01_因子設定!$M$7+0.000000001,IF(01_因子設定!$B$20="Box-Behnken",D1828^2+E1828^2+F1828^2&lt;=2+0.000000001,TRUE()))</f>
        <v>1</v>
      </c>
      <c r="W1828" s="55" t="n">
        <f aca="false">IF(V1828,IF(01_因子設定!$B$13="最大化",T1828-01_因子設定!$B$14,IF(01_因子設定!$B$13="最小化",01_因子設定!$B$15-U1828,MIN(T1828-01_因子設定!$B$14,01_因子設定!$B$15-U1828))),-1E+030)</f>
        <v>-3.78891246763189</v>
      </c>
      <c r="X1828" s="55" t="n">
        <f aca="false">IF(V1828,IF(01_因子設定!$B$13="最大化",Q1828,IF(01_因子設定!$B$13="最小化",-Q1828,-ABS(Q1828-01_因子設定!$B$16))),-1E+030)</f>
        <v>45.7058948863637</v>
      </c>
      <c r="Y1828" s="55" t="n">
        <f aca="false">W1828+ROW()*0.000000001</f>
        <v>-3.78891063963189</v>
      </c>
      <c r="Z1828" s="55" t="n">
        <f aca="false">X1828+ROW()*0.000000001</f>
        <v>45.7058967143637</v>
      </c>
    </row>
    <row r="1829" customFormat="false" ht="15" hidden="false" customHeight="false" outlineLevel="0" collapsed="false">
      <c r="A1829" s="0" t="n">
        <v>6</v>
      </c>
      <c r="B1829" s="0" t="n">
        <v>5</v>
      </c>
      <c r="C1829" s="0" t="n">
        <v>5</v>
      </c>
      <c r="D1829" s="0" t="n">
        <f aca="false">-1+A1829*0.125</f>
        <v>-0.25</v>
      </c>
      <c r="E1829" s="0" t="n">
        <f aca="false">-1+B1829*0.125</f>
        <v>-0.375</v>
      </c>
      <c r="F1829" s="0" t="n">
        <f aca="false">-1+C1829*0.125</f>
        <v>-0.375</v>
      </c>
      <c r="G1829" s="0" t="n">
        <f aca="false">1</f>
        <v>1</v>
      </c>
      <c r="H1829" s="0" t="n">
        <f aca="false">D1829</f>
        <v>-0.25</v>
      </c>
      <c r="I1829" s="0" t="n">
        <f aca="false">E1829</f>
        <v>-0.375</v>
      </c>
      <c r="J1829" s="0" t="n">
        <f aca="false">F1829</f>
        <v>-0.375</v>
      </c>
      <c r="K1829" s="0" t="n">
        <f aca="false">D1829*E1829</f>
        <v>0.09375</v>
      </c>
      <c r="L1829" s="0" t="n">
        <f aca="false">D1829*F1829</f>
        <v>0.09375</v>
      </c>
      <c r="M1829" s="0" t="n">
        <f aca="false">E1829*F1829</f>
        <v>0.140625</v>
      </c>
      <c r="N1829" s="0" t="n">
        <f aca="false">D1829*D1829</f>
        <v>0.0625</v>
      </c>
      <c r="O1829" s="0" t="n">
        <f aca="false">E1829*E1829</f>
        <v>0.140625</v>
      </c>
      <c r="P1829" s="0" t="n">
        <f aca="false">F1829*F1829</f>
        <v>0.140625</v>
      </c>
      <c r="Q1829" s="0" t="n">
        <f aca="false">SUMPRODUCT(G1829:P1829,_XtX!$B$71:$K$71)</f>
        <v>45.9907528409091</v>
      </c>
      <c r="R1829" s="0" t="n">
        <f aca="false">SUMPRODUCT(MMULT(G1829:P1829,_XtX!$B$58:$K$67),G1829:P1829)</f>
        <v>0.131591242009943</v>
      </c>
      <c r="S1829" s="0" t="n">
        <f aca="false">04_回帰ANOVA!$K$19*04_回帰ANOVA!$K$14*SQRT(1+R1829)</f>
        <v>0.989034462873572</v>
      </c>
      <c r="T1829" s="0" t="n">
        <f aca="false">Q1829-S1829</f>
        <v>45.0017183780355</v>
      </c>
      <c r="U1829" s="0" t="n">
        <f aca="false">Q1829+S1829</f>
        <v>46.9797873037827</v>
      </c>
      <c r="V1829" s="54" t="b">
        <f aca="false">AND(D1829&gt;=01_因子設定!$L$5-0.000000001,D1829&lt;=01_因子設定!$M$5+0.000000001,E1829&gt;=01_因子設定!$L$6-0.000000001,E1829&lt;=01_因子設定!$M$6+0.000000001,F1829&gt;=01_因子設定!$L$7-0.000000001,F1829&lt;=01_因子設定!$M$7+0.000000001,IF(01_因子設定!$B$20="Box-Behnken",D1829^2+E1829^2+F1829^2&lt;=2+0.000000001,TRUE()))</f>
        <v>1</v>
      </c>
      <c r="W1829" s="55" t="n">
        <f aca="false">IF(V1829,IF(01_因子設定!$B$13="最大化",T1829-01_因子設定!$B$14,IF(01_因子設定!$B$13="最小化",01_因子設定!$B$15-U1829,MIN(T1829-01_因子設定!$B$14,01_因子設定!$B$15-U1829))),-1E+030)</f>
        <v>-3.49828162196447</v>
      </c>
      <c r="X1829" s="55" t="n">
        <f aca="false">IF(V1829,IF(01_因子設定!$B$13="最大化",Q1829,IF(01_因子設定!$B$13="最小化",-Q1829,-ABS(Q1829-01_因子設定!$B$16))),-1E+030)</f>
        <v>45.9907528409091</v>
      </c>
      <c r="Y1829" s="55" t="n">
        <f aca="false">W1829+ROW()*0.000000001</f>
        <v>-3.49827979296447</v>
      </c>
      <c r="Z1829" s="55" t="n">
        <f aca="false">X1829+ROW()*0.000000001</f>
        <v>45.9907546699091</v>
      </c>
    </row>
    <row r="1830" customFormat="false" ht="15" hidden="false" customHeight="false" outlineLevel="0" collapsed="false">
      <c r="A1830" s="0" t="n">
        <v>6</v>
      </c>
      <c r="B1830" s="0" t="n">
        <v>5</v>
      </c>
      <c r="C1830" s="0" t="n">
        <v>6</v>
      </c>
      <c r="D1830" s="0" t="n">
        <f aca="false">-1+A1830*0.125</f>
        <v>-0.25</v>
      </c>
      <c r="E1830" s="0" t="n">
        <f aca="false">-1+B1830*0.125</f>
        <v>-0.375</v>
      </c>
      <c r="F1830" s="0" t="n">
        <f aca="false">-1+C1830*0.125</f>
        <v>-0.25</v>
      </c>
      <c r="G1830" s="0" t="n">
        <f aca="false">1</f>
        <v>1</v>
      </c>
      <c r="H1830" s="0" t="n">
        <f aca="false">D1830</f>
        <v>-0.25</v>
      </c>
      <c r="I1830" s="0" t="n">
        <f aca="false">E1830</f>
        <v>-0.375</v>
      </c>
      <c r="J1830" s="0" t="n">
        <f aca="false">F1830</f>
        <v>-0.25</v>
      </c>
      <c r="K1830" s="0" t="n">
        <f aca="false">D1830*E1830</f>
        <v>0.09375</v>
      </c>
      <c r="L1830" s="0" t="n">
        <f aca="false">D1830*F1830</f>
        <v>0.0625</v>
      </c>
      <c r="M1830" s="0" t="n">
        <f aca="false">E1830*F1830</f>
        <v>0.09375</v>
      </c>
      <c r="N1830" s="0" t="n">
        <f aca="false">D1830*D1830</f>
        <v>0.0625</v>
      </c>
      <c r="O1830" s="0" t="n">
        <f aca="false">E1830*E1830</f>
        <v>0.140625</v>
      </c>
      <c r="P1830" s="0" t="n">
        <f aca="false">F1830*F1830</f>
        <v>0.0625</v>
      </c>
      <c r="Q1830" s="0" t="n">
        <f aca="false">SUMPRODUCT(G1830:P1830,_XtX!$B$71:$K$71)</f>
        <v>46.2388210227273</v>
      </c>
      <c r="R1830" s="0" t="n">
        <f aca="false">SUMPRODUCT(MMULT(G1830:P1830,_XtX!$B$58:$K$67),G1830:P1830)</f>
        <v>0.127454723011364</v>
      </c>
      <c r="S1830" s="0" t="n">
        <f aca="false">04_回帰ANOVA!$K$19*04_回帰ANOVA!$K$14*SQRT(1+R1830)</f>
        <v>0.987225105686864</v>
      </c>
      <c r="T1830" s="0" t="n">
        <f aca="false">Q1830-S1830</f>
        <v>45.2515959170404</v>
      </c>
      <c r="U1830" s="0" t="n">
        <f aca="false">Q1830+S1830</f>
        <v>47.2260461284142</v>
      </c>
      <c r="V1830" s="54" t="b">
        <f aca="false">AND(D1830&gt;=01_因子設定!$L$5-0.000000001,D1830&lt;=01_因子設定!$M$5+0.000000001,E1830&gt;=01_因子設定!$L$6-0.000000001,E1830&lt;=01_因子設定!$M$6+0.000000001,F1830&gt;=01_因子設定!$L$7-0.000000001,F1830&lt;=01_因子設定!$M$7+0.000000001,IF(01_因子設定!$B$20="Box-Behnken",D1830^2+E1830^2+F1830^2&lt;=2+0.000000001,TRUE()))</f>
        <v>1</v>
      </c>
      <c r="W1830" s="55" t="n">
        <f aca="false">IF(V1830,IF(01_因子設定!$B$13="最大化",T1830-01_因子設定!$B$14,IF(01_因子設定!$B$13="最小化",01_因子設定!$B$15-U1830,MIN(T1830-01_因子設定!$B$14,01_因子設定!$B$15-U1830))),-1E+030)</f>
        <v>-3.24840408295959</v>
      </c>
      <c r="X1830" s="55" t="n">
        <f aca="false">IF(V1830,IF(01_因子設定!$B$13="最大化",Q1830,IF(01_因子設定!$B$13="最小化",-Q1830,-ABS(Q1830-01_因子設定!$B$16))),-1E+030)</f>
        <v>46.2388210227273</v>
      </c>
      <c r="Y1830" s="55" t="n">
        <f aca="false">W1830+ROW()*0.000000001</f>
        <v>-3.24840225295959</v>
      </c>
      <c r="Z1830" s="55" t="n">
        <f aca="false">X1830+ROW()*0.000000001</f>
        <v>46.2388228527273</v>
      </c>
    </row>
    <row r="1831" customFormat="false" ht="15" hidden="false" customHeight="false" outlineLevel="0" collapsed="false">
      <c r="A1831" s="0" t="n">
        <v>6</v>
      </c>
      <c r="B1831" s="0" t="n">
        <v>5</v>
      </c>
      <c r="C1831" s="0" t="n">
        <v>7</v>
      </c>
      <c r="D1831" s="0" t="n">
        <f aca="false">-1+A1831*0.125</f>
        <v>-0.25</v>
      </c>
      <c r="E1831" s="0" t="n">
        <f aca="false">-1+B1831*0.125</f>
        <v>-0.375</v>
      </c>
      <c r="F1831" s="0" t="n">
        <f aca="false">-1+C1831*0.125</f>
        <v>-0.125</v>
      </c>
      <c r="G1831" s="0" t="n">
        <f aca="false">1</f>
        <v>1</v>
      </c>
      <c r="H1831" s="0" t="n">
        <f aca="false">D1831</f>
        <v>-0.25</v>
      </c>
      <c r="I1831" s="0" t="n">
        <f aca="false">E1831</f>
        <v>-0.375</v>
      </c>
      <c r="J1831" s="0" t="n">
        <f aca="false">F1831</f>
        <v>-0.125</v>
      </c>
      <c r="K1831" s="0" t="n">
        <f aca="false">D1831*E1831</f>
        <v>0.09375</v>
      </c>
      <c r="L1831" s="0" t="n">
        <f aca="false">D1831*F1831</f>
        <v>0.03125</v>
      </c>
      <c r="M1831" s="0" t="n">
        <f aca="false">E1831*F1831</f>
        <v>0.046875</v>
      </c>
      <c r="N1831" s="0" t="n">
        <f aca="false">D1831*D1831</f>
        <v>0.0625</v>
      </c>
      <c r="O1831" s="0" t="n">
        <f aca="false">E1831*E1831</f>
        <v>0.140625</v>
      </c>
      <c r="P1831" s="0" t="n">
        <f aca="false">F1831*F1831</f>
        <v>0.015625</v>
      </c>
      <c r="Q1831" s="0" t="n">
        <f aca="false">SUMPRODUCT(G1831:P1831,_XtX!$B$71:$K$71)</f>
        <v>46.4500994318182</v>
      </c>
      <c r="R1831" s="0" t="n">
        <f aca="false">SUMPRODUCT(MMULT(G1831:P1831,_XtX!$B$58:$K$67),G1831:P1831)</f>
        <v>0.127103493430398</v>
      </c>
      <c r="S1831" s="0" t="n">
        <f aca="false">04_回帰ANOVA!$K$19*04_回帰ANOVA!$K$14*SQRT(1+R1831)</f>
        <v>0.987071321387587</v>
      </c>
      <c r="T1831" s="0" t="n">
        <f aca="false">Q1831-S1831</f>
        <v>45.4630281104306</v>
      </c>
      <c r="U1831" s="0" t="n">
        <f aca="false">Q1831+S1831</f>
        <v>47.4371707532058</v>
      </c>
      <c r="V1831" s="54" t="b">
        <f aca="false">AND(D1831&gt;=01_因子設定!$L$5-0.000000001,D1831&lt;=01_因子設定!$M$5+0.000000001,E1831&gt;=01_因子設定!$L$6-0.000000001,E1831&lt;=01_因子設定!$M$6+0.000000001,F1831&gt;=01_因子設定!$L$7-0.000000001,F1831&lt;=01_因子設定!$M$7+0.000000001,IF(01_因子設定!$B$20="Box-Behnken",D1831^2+E1831^2+F1831^2&lt;=2+0.000000001,TRUE()))</f>
        <v>1</v>
      </c>
      <c r="W1831" s="55" t="n">
        <f aca="false">IF(V1831,IF(01_因子設定!$B$13="最大化",T1831-01_因子設定!$B$14,IF(01_因子設定!$B$13="最小化",01_因子設定!$B$15-U1831,MIN(T1831-01_因子設定!$B$14,01_因子設定!$B$15-U1831))),-1E+030)</f>
        <v>-3.0369718895694</v>
      </c>
      <c r="X1831" s="55" t="n">
        <f aca="false">IF(V1831,IF(01_因子設定!$B$13="最大化",Q1831,IF(01_因子設定!$B$13="最小化",-Q1831,-ABS(Q1831-01_因子設定!$B$16))),-1E+030)</f>
        <v>46.4500994318182</v>
      </c>
      <c r="Y1831" s="55" t="n">
        <f aca="false">W1831+ROW()*0.000000001</f>
        <v>-3.0369700585694</v>
      </c>
      <c r="Z1831" s="55" t="n">
        <f aca="false">X1831+ROW()*0.000000001</f>
        <v>46.4501012628182</v>
      </c>
    </row>
    <row r="1832" customFormat="false" ht="15" hidden="false" customHeight="false" outlineLevel="0" collapsed="false">
      <c r="A1832" s="0" t="n">
        <v>6</v>
      </c>
      <c r="B1832" s="0" t="n">
        <v>5</v>
      </c>
      <c r="C1832" s="0" t="n">
        <v>8</v>
      </c>
      <c r="D1832" s="0" t="n">
        <f aca="false">-1+A1832*0.125</f>
        <v>-0.25</v>
      </c>
      <c r="E1832" s="0" t="n">
        <f aca="false">-1+B1832*0.125</f>
        <v>-0.375</v>
      </c>
      <c r="F1832" s="0" t="n">
        <f aca="false">-1+C1832*0.125</f>
        <v>0</v>
      </c>
      <c r="G1832" s="0" t="n">
        <f aca="false">1</f>
        <v>1</v>
      </c>
      <c r="H1832" s="0" t="n">
        <f aca="false">D1832</f>
        <v>-0.25</v>
      </c>
      <c r="I1832" s="0" t="n">
        <f aca="false">E1832</f>
        <v>-0.375</v>
      </c>
      <c r="J1832" s="0" t="n">
        <f aca="false">F1832</f>
        <v>0</v>
      </c>
      <c r="K1832" s="0" t="n">
        <f aca="false">D1832*E1832</f>
        <v>0.09375</v>
      </c>
      <c r="L1832" s="0" t="n">
        <f aca="false">D1832*F1832</f>
        <v>-0</v>
      </c>
      <c r="M1832" s="0" t="n">
        <f aca="false">E1832*F1832</f>
        <v>-0</v>
      </c>
      <c r="N1832" s="0" t="n">
        <f aca="false">D1832*D1832</f>
        <v>0.0625</v>
      </c>
      <c r="O1832" s="0" t="n">
        <f aca="false">E1832*E1832</f>
        <v>0.140625</v>
      </c>
      <c r="P1832" s="0" t="n">
        <f aca="false">F1832*F1832</f>
        <v>0</v>
      </c>
      <c r="Q1832" s="0" t="n">
        <f aca="false">SUMPRODUCT(G1832:P1832,_XtX!$B$71:$K$71)</f>
        <v>46.6245880681818</v>
      </c>
      <c r="R1832" s="0" t="n">
        <f aca="false">SUMPRODUCT(MMULT(G1832:P1832,_XtX!$B$58:$K$67),G1832:P1832)</f>
        <v>0.127341530539773</v>
      </c>
      <c r="S1832" s="0" t="n">
        <f aca="false">04_回帰ANOVA!$K$19*04_回帰ANOVA!$K$14*SQRT(1+R1832)</f>
        <v>0.987175547486288</v>
      </c>
      <c r="T1832" s="0" t="n">
        <f aca="false">Q1832-S1832</f>
        <v>45.6374125206955</v>
      </c>
      <c r="U1832" s="0" t="n">
        <f aca="false">Q1832+S1832</f>
        <v>47.6117636156681</v>
      </c>
      <c r="V1832" s="54" t="b">
        <f aca="false">AND(D1832&gt;=01_因子設定!$L$5-0.000000001,D1832&lt;=01_因子設定!$M$5+0.000000001,E1832&gt;=01_因子設定!$L$6-0.000000001,E1832&lt;=01_因子設定!$M$6+0.000000001,F1832&gt;=01_因子設定!$L$7-0.000000001,F1832&lt;=01_因子設定!$M$7+0.000000001,IF(01_因子設定!$B$20="Box-Behnken",D1832^2+E1832^2+F1832^2&lt;=2+0.000000001,TRUE()))</f>
        <v>1</v>
      </c>
      <c r="W1832" s="55" t="n">
        <f aca="false">IF(V1832,IF(01_因子設定!$B$13="最大化",T1832-01_因子設定!$B$14,IF(01_因子設定!$B$13="最小化",01_因子設定!$B$15-U1832,MIN(T1832-01_因子設定!$B$14,01_因子設定!$B$15-U1832))),-1E+030)</f>
        <v>-2.86258747930446</v>
      </c>
      <c r="X1832" s="55" t="n">
        <f aca="false">IF(V1832,IF(01_因子設定!$B$13="最大化",Q1832,IF(01_因子設定!$B$13="最小化",-Q1832,-ABS(Q1832-01_因子設定!$B$16))),-1E+030)</f>
        <v>46.6245880681818</v>
      </c>
      <c r="Y1832" s="55" t="n">
        <f aca="false">W1832+ROW()*0.000000001</f>
        <v>-2.86258564730446</v>
      </c>
      <c r="Z1832" s="55" t="n">
        <f aca="false">X1832+ROW()*0.000000001</f>
        <v>46.6245899001818</v>
      </c>
    </row>
    <row r="1833" customFormat="false" ht="15" hidden="false" customHeight="false" outlineLevel="0" collapsed="false">
      <c r="A1833" s="0" t="n">
        <v>6</v>
      </c>
      <c r="B1833" s="0" t="n">
        <v>5</v>
      </c>
      <c r="C1833" s="0" t="n">
        <v>9</v>
      </c>
      <c r="D1833" s="0" t="n">
        <f aca="false">-1+A1833*0.125</f>
        <v>-0.25</v>
      </c>
      <c r="E1833" s="0" t="n">
        <f aca="false">-1+B1833*0.125</f>
        <v>-0.375</v>
      </c>
      <c r="F1833" s="0" t="n">
        <f aca="false">-1+C1833*0.125</f>
        <v>0.125</v>
      </c>
      <c r="G1833" s="0" t="n">
        <f aca="false">1</f>
        <v>1</v>
      </c>
      <c r="H1833" s="0" t="n">
        <f aca="false">D1833</f>
        <v>-0.25</v>
      </c>
      <c r="I1833" s="0" t="n">
        <f aca="false">E1833</f>
        <v>-0.375</v>
      </c>
      <c r="J1833" s="0" t="n">
        <f aca="false">F1833</f>
        <v>0.125</v>
      </c>
      <c r="K1833" s="0" t="n">
        <f aca="false">D1833*E1833</f>
        <v>0.09375</v>
      </c>
      <c r="L1833" s="0" t="n">
        <f aca="false">D1833*F1833</f>
        <v>-0.03125</v>
      </c>
      <c r="M1833" s="0" t="n">
        <f aca="false">E1833*F1833</f>
        <v>-0.046875</v>
      </c>
      <c r="N1833" s="0" t="n">
        <f aca="false">D1833*D1833</f>
        <v>0.0625</v>
      </c>
      <c r="O1833" s="0" t="n">
        <f aca="false">E1833*E1833</f>
        <v>0.140625</v>
      </c>
      <c r="P1833" s="0" t="n">
        <f aca="false">F1833*F1833</f>
        <v>0.015625</v>
      </c>
      <c r="Q1833" s="0" t="n">
        <f aca="false">SUMPRODUCT(G1833:P1833,_XtX!$B$71:$K$71)</f>
        <v>46.7622869318182</v>
      </c>
      <c r="R1833" s="0" t="n">
        <f aca="false">SUMPRODUCT(MMULT(G1833:P1833,_XtX!$B$58:$K$67),G1833:P1833)</f>
        <v>0.127103493430398</v>
      </c>
      <c r="S1833" s="0" t="n">
        <f aca="false">04_回帰ANOVA!$K$19*04_回帰ANOVA!$K$14*SQRT(1+R1833)</f>
        <v>0.987071321387587</v>
      </c>
      <c r="T1833" s="0" t="n">
        <f aca="false">Q1833-S1833</f>
        <v>45.7752156104306</v>
      </c>
      <c r="U1833" s="0" t="n">
        <f aca="false">Q1833+S1833</f>
        <v>47.7493582532058</v>
      </c>
      <c r="V1833" s="54" t="b">
        <f aca="false">AND(D1833&gt;=01_因子設定!$L$5-0.000000001,D1833&lt;=01_因子設定!$M$5+0.000000001,E1833&gt;=01_因子設定!$L$6-0.000000001,E1833&lt;=01_因子設定!$M$6+0.000000001,F1833&gt;=01_因子設定!$L$7-0.000000001,F1833&lt;=01_因子設定!$M$7+0.000000001,IF(01_因子設定!$B$20="Box-Behnken",D1833^2+E1833^2+F1833^2&lt;=2+0.000000001,TRUE()))</f>
        <v>1</v>
      </c>
      <c r="W1833" s="55" t="n">
        <f aca="false">IF(V1833,IF(01_因子設定!$B$13="最大化",T1833-01_因子設定!$B$14,IF(01_因子設定!$B$13="最小化",01_因子設定!$B$15-U1833,MIN(T1833-01_因子設定!$B$14,01_因子設定!$B$15-U1833))),-1E+030)</f>
        <v>-2.7247843895694</v>
      </c>
      <c r="X1833" s="55" t="n">
        <f aca="false">IF(V1833,IF(01_因子設定!$B$13="最大化",Q1833,IF(01_因子設定!$B$13="最小化",-Q1833,-ABS(Q1833-01_因子設定!$B$16))),-1E+030)</f>
        <v>46.7622869318182</v>
      </c>
      <c r="Y1833" s="55" t="n">
        <f aca="false">W1833+ROW()*0.000000001</f>
        <v>-2.7247825565694</v>
      </c>
      <c r="Z1833" s="55" t="n">
        <f aca="false">X1833+ROW()*0.000000001</f>
        <v>46.7622887648182</v>
      </c>
    </row>
    <row r="1834" customFormat="false" ht="15" hidden="false" customHeight="false" outlineLevel="0" collapsed="false">
      <c r="A1834" s="0" t="n">
        <v>6</v>
      </c>
      <c r="B1834" s="0" t="n">
        <v>5</v>
      </c>
      <c r="C1834" s="0" t="n">
        <v>10</v>
      </c>
      <c r="D1834" s="0" t="n">
        <f aca="false">-1+A1834*0.125</f>
        <v>-0.25</v>
      </c>
      <c r="E1834" s="0" t="n">
        <f aca="false">-1+B1834*0.125</f>
        <v>-0.375</v>
      </c>
      <c r="F1834" s="0" t="n">
        <f aca="false">-1+C1834*0.125</f>
        <v>0.25</v>
      </c>
      <c r="G1834" s="0" t="n">
        <f aca="false">1</f>
        <v>1</v>
      </c>
      <c r="H1834" s="0" t="n">
        <f aca="false">D1834</f>
        <v>-0.25</v>
      </c>
      <c r="I1834" s="0" t="n">
        <f aca="false">E1834</f>
        <v>-0.375</v>
      </c>
      <c r="J1834" s="0" t="n">
        <f aca="false">F1834</f>
        <v>0.25</v>
      </c>
      <c r="K1834" s="0" t="n">
        <f aca="false">D1834*E1834</f>
        <v>0.09375</v>
      </c>
      <c r="L1834" s="0" t="n">
        <f aca="false">D1834*F1834</f>
        <v>-0.0625</v>
      </c>
      <c r="M1834" s="0" t="n">
        <f aca="false">E1834*F1834</f>
        <v>-0.09375</v>
      </c>
      <c r="N1834" s="0" t="n">
        <f aca="false">D1834*D1834</f>
        <v>0.0625</v>
      </c>
      <c r="O1834" s="0" t="n">
        <f aca="false">E1834*E1834</f>
        <v>0.140625</v>
      </c>
      <c r="P1834" s="0" t="n">
        <f aca="false">F1834*F1834</f>
        <v>0.0625</v>
      </c>
      <c r="Q1834" s="0" t="n">
        <f aca="false">SUMPRODUCT(G1834:P1834,_XtX!$B$71:$K$71)</f>
        <v>46.8631960227273</v>
      </c>
      <c r="R1834" s="0" t="n">
        <f aca="false">SUMPRODUCT(MMULT(G1834:P1834,_XtX!$B$58:$K$67),G1834:P1834)</f>
        <v>0.127454723011364</v>
      </c>
      <c r="S1834" s="0" t="n">
        <f aca="false">04_回帰ANOVA!$K$19*04_回帰ANOVA!$K$14*SQRT(1+R1834)</f>
        <v>0.987225105686864</v>
      </c>
      <c r="T1834" s="0" t="n">
        <f aca="false">Q1834-S1834</f>
        <v>45.8759709170404</v>
      </c>
      <c r="U1834" s="0" t="n">
        <f aca="false">Q1834+S1834</f>
        <v>47.8504211284142</v>
      </c>
      <c r="V1834" s="54" t="b">
        <f aca="false">AND(D1834&gt;=01_因子設定!$L$5-0.000000001,D1834&lt;=01_因子設定!$M$5+0.000000001,E1834&gt;=01_因子設定!$L$6-0.000000001,E1834&lt;=01_因子設定!$M$6+0.000000001,F1834&gt;=01_因子設定!$L$7-0.000000001,F1834&lt;=01_因子設定!$M$7+0.000000001,IF(01_因子設定!$B$20="Box-Behnken",D1834^2+E1834^2+F1834^2&lt;=2+0.000000001,TRUE()))</f>
        <v>1</v>
      </c>
      <c r="W1834" s="55" t="n">
        <f aca="false">IF(V1834,IF(01_因子設定!$B$13="最大化",T1834-01_因子設定!$B$14,IF(01_因子設定!$B$13="最小化",01_因子設定!$B$15-U1834,MIN(T1834-01_因子設定!$B$14,01_因子設定!$B$15-U1834))),-1E+030)</f>
        <v>-2.62402908295959</v>
      </c>
      <c r="X1834" s="55" t="n">
        <f aca="false">IF(V1834,IF(01_因子設定!$B$13="最大化",Q1834,IF(01_因子設定!$B$13="最小化",-Q1834,-ABS(Q1834-01_因子設定!$B$16))),-1E+030)</f>
        <v>46.8631960227273</v>
      </c>
      <c r="Y1834" s="55" t="n">
        <f aca="false">W1834+ROW()*0.000000001</f>
        <v>-2.62402724895959</v>
      </c>
      <c r="Z1834" s="55" t="n">
        <f aca="false">X1834+ROW()*0.000000001</f>
        <v>46.8631978567273</v>
      </c>
    </row>
    <row r="1835" customFormat="false" ht="15" hidden="false" customHeight="false" outlineLevel="0" collapsed="false">
      <c r="A1835" s="0" t="n">
        <v>6</v>
      </c>
      <c r="B1835" s="0" t="n">
        <v>5</v>
      </c>
      <c r="C1835" s="0" t="n">
        <v>11</v>
      </c>
      <c r="D1835" s="0" t="n">
        <f aca="false">-1+A1835*0.125</f>
        <v>-0.25</v>
      </c>
      <c r="E1835" s="0" t="n">
        <f aca="false">-1+B1835*0.125</f>
        <v>-0.375</v>
      </c>
      <c r="F1835" s="0" t="n">
        <f aca="false">-1+C1835*0.125</f>
        <v>0.375</v>
      </c>
      <c r="G1835" s="0" t="n">
        <f aca="false">1</f>
        <v>1</v>
      </c>
      <c r="H1835" s="0" t="n">
        <f aca="false">D1835</f>
        <v>-0.25</v>
      </c>
      <c r="I1835" s="0" t="n">
        <f aca="false">E1835</f>
        <v>-0.375</v>
      </c>
      <c r="J1835" s="0" t="n">
        <f aca="false">F1835</f>
        <v>0.375</v>
      </c>
      <c r="K1835" s="0" t="n">
        <f aca="false">D1835*E1835</f>
        <v>0.09375</v>
      </c>
      <c r="L1835" s="0" t="n">
        <f aca="false">D1835*F1835</f>
        <v>-0.09375</v>
      </c>
      <c r="M1835" s="0" t="n">
        <f aca="false">E1835*F1835</f>
        <v>-0.140625</v>
      </c>
      <c r="N1835" s="0" t="n">
        <f aca="false">D1835*D1835</f>
        <v>0.0625</v>
      </c>
      <c r="O1835" s="0" t="n">
        <f aca="false">E1835*E1835</f>
        <v>0.140625</v>
      </c>
      <c r="P1835" s="0" t="n">
        <f aca="false">F1835*F1835</f>
        <v>0.140625</v>
      </c>
      <c r="Q1835" s="0" t="n">
        <f aca="false">SUMPRODUCT(G1835:P1835,_XtX!$B$71:$K$71)</f>
        <v>46.9273153409091</v>
      </c>
      <c r="R1835" s="0" t="n">
        <f aca="false">SUMPRODUCT(MMULT(G1835:P1835,_XtX!$B$58:$K$67),G1835:P1835)</f>
        <v>0.131591242009943</v>
      </c>
      <c r="S1835" s="0" t="n">
        <f aca="false">04_回帰ANOVA!$K$19*04_回帰ANOVA!$K$14*SQRT(1+R1835)</f>
        <v>0.989034462873572</v>
      </c>
      <c r="T1835" s="0" t="n">
        <f aca="false">Q1835-S1835</f>
        <v>45.9382808780355</v>
      </c>
      <c r="U1835" s="0" t="n">
        <f aca="false">Q1835+S1835</f>
        <v>47.9163498037827</v>
      </c>
      <c r="V1835" s="54" t="b">
        <f aca="false">AND(D1835&gt;=01_因子設定!$L$5-0.000000001,D1835&lt;=01_因子設定!$M$5+0.000000001,E1835&gt;=01_因子設定!$L$6-0.000000001,E1835&lt;=01_因子設定!$M$6+0.000000001,F1835&gt;=01_因子設定!$L$7-0.000000001,F1835&lt;=01_因子設定!$M$7+0.000000001,IF(01_因子設定!$B$20="Box-Behnken",D1835^2+E1835^2+F1835^2&lt;=2+0.000000001,TRUE()))</f>
        <v>1</v>
      </c>
      <c r="W1835" s="55" t="n">
        <f aca="false">IF(V1835,IF(01_因子設定!$B$13="最大化",T1835-01_因子設定!$B$14,IF(01_因子設定!$B$13="最小化",01_因子設定!$B$15-U1835,MIN(T1835-01_因子設定!$B$14,01_因子設定!$B$15-U1835))),-1E+030)</f>
        <v>-2.56171912196447</v>
      </c>
      <c r="X1835" s="55" t="n">
        <f aca="false">IF(V1835,IF(01_因子設定!$B$13="最大化",Q1835,IF(01_因子設定!$B$13="最小化",-Q1835,-ABS(Q1835-01_因子設定!$B$16))),-1E+030)</f>
        <v>46.9273153409091</v>
      </c>
      <c r="Y1835" s="55" t="n">
        <f aca="false">W1835+ROW()*0.000000001</f>
        <v>-2.56171728696447</v>
      </c>
      <c r="Z1835" s="55" t="n">
        <f aca="false">X1835+ROW()*0.000000001</f>
        <v>46.9273171759091</v>
      </c>
    </row>
    <row r="1836" customFormat="false" ht="15" hidden="false" customHeight="false" outlineLevel="0" collapsed="false">
      <c r="A1836" s="0" t="n">
        <v>6</v>
      </c>
      <c r="B1836" s="0" t="n">
        <v>5</v>
      </c>
      <c r="C1836" s="0" t="n">
        <v>12</v>
      </c>
      <c r="D1836" s="0" t="n">
        <f aca="false">-1+A1836*0.125</f>
        <v>-0.25</v>
      </c>
      <c r="E1836" s="0" t="n">
        <f aca="false">-1+B1836*0.125</f>
        <v>-0.375</v>
      </c>
      <c r="F1836" s="0" t="n">
        <f aca="false">-1+C1836*0.125</f>
        <v>0.5</v>
      </c>
      <c r="G1836" s="0" t="n">
        <f aca="false">1</f>
        <v>1</v>
      </c>
      <c r="H1836" s="0" t="n">
        <f aca="false">D1836</f>
        <v>-0.25</v>
      </c>
      <c r="I1836" s="0" t="n">
        <f aca="false">E1836</f>
        <v>-0.375</v>
      </c>
      <c r="J1836" s="0" t="n">
        <f aca="false">F1836</f>
        <v>0.5</v>
      </c>
      <c r="K1836" s="0" t="n">
        <f aca="false">D1836*E1836</f>
        <v>0.09375</v>
      </c>
      <c r="L1836" s="0" t="n">
        <f aca="false">D1836*F1836</f>
        <v>-0.125</v>
      </c>
      <c r="M1836" s="0" t="n">
        <f aca="false">E1836*F1836</f>
        <v>-0.1875</v>
      </c>
      <c r="N1836" s="0" t="n">
        <f aca="false">D1836*D1836</f>
        <v>0.0625</v>
      </c>
      <c r="O1836" s="0" t="n">
        <f aca="false">E1836*E1836</f>
        <v>0.140625</v>
      </c>
      <c r="P1836" s="0" t="n">
        <f aca="false">F1836*F1836</f>
        <v>0.25</v>
      </c>
      <c r="Q1836" s="0" t="n">
        <f aca="false">SUMPRODUCT(G1836:P1836,_XtX!$B$71:$K$71)</f>
        <v>46.9546448863636</v>
      </c>
      <c r="R1836" s="0" t="n">
        <f aca="false">SUMPRODUCT(MMULT(G1836:P1836,_XtX!$B$58:$K$67),G1836:P1836)</f>
        <v>0.144839754971591</v>
      </c>
      <c r="S1836" s="0" t="n">
        <f aca="false">04_回帰ANOVA!$K$19*04_回帰ANOVA!$K$14*SQRT(1+R1836)</f>
        <v>0.994807353995542</v>
      </c>
      <c r="T1836" s="0" t="n">
        <f aca="false">Q1836-S1836</f>
        <v>45.9598375323681</v>
      </c>
      <c r="U1836" s="0" t="n">
        <f aca="false">Q1836+S1836</f>
        <v>47.9494522403592</v>
      </c>
      <c r="V1836" s="54" t="b">
        <f aca="false">AND(D1836&gt;=01_因子設定!$L$5-0.000000001,D1836&lt;=01_因子設定!$M$5+0.000000001,E1836&gt;=01_因子設定!$L$6-0.000000001,E1836&lt;=01_因子設定!$M$6+0.000000001,F1836&gt;=01_因子設定!$L$7-0.000000001,F1836&lt;=01_因子設定!$M$7+0.000000001,IF(01_因子設定!$B$20="Box-Behnken",D1836^2+E1836^2+F1836^2&lt;=2+0.000000001,TRUE()))</f>
        <v>1</v>
      </c>
      <c r="W1836" s="55" t="n">
        <f aca="false">IF(V1836,IF(01_因子設定!$B$13="最大化",T1836-01_因子設定!$B$14,IF(01_因子設定!$B$13="最小化",01_因子設定!$B$15-U1836,MIN(T1836-01_因子設定!$B$14,01_因子設定!$B$15-U1836))),-1E+030)</f>
        <v>-2.54016246763189</v>
      </c>
      <c r="X1836" s="55" t="n">
        <f aca="false">IF(V1836,IF(01_因子設定!$B$13="最大化",Q1836,IF(01_因子設定!$B$13="最小化",-Q1836,-ABS(Q1836-01_因子設定!$B$16))),-1E+030)</f>
        <v>46.9546448863636</v>
      </c>
      <c r="Y1836" s="55" t="n">
        <f aca="false">W1836+ROW()*0.000000001</f>
        <v>-2.54016063163189</v>
      </c>
      <c r="Z1836" s="55" t="n">
        <f aca="false">X1836+ROW()*0.000000001</f>
        <v>46.9546467223637</v>
      </c>
    </row>
    <row r="1837" customFormat="false" ht="15" hidden="false" customHeight="false" outlineLevel="0" collapsed="false">
      <c r="A1837" s="0" t="n">
        <v>6</v>
      </c>
      <c r="B1837" s="0" t="n">
        <v>5</v>
      </c>
      <c r="C1837" s="0" t="n">
        <v>13</v>
      </c>
      <c r="D1837" s="0" t="n">
        <f aca="false">-1+A1837*0.125</f>
        <v>-0.25</v>
      </c>
      <c r="E1837" s="0" t="n">
        <f aca="false">-1+B1837*0.125</f>
        <v>-0.375</v>
      </c>
      <c r="F1837" s="0" t="n">
        <f aca="false">-1+C1837*0.125</f>
        <v>0.625</v>
      </c>
      <c r="G1837" s="0" t="n">
        <f aca="false">1</f>
        <v>1</v>
      </c>
      <c r="H1837" s="0" t="n">
        <f aca="false">D1837</f>
        <v>-0.25</v>
      </c>
      <c r="I1837" s="0" t="n">
        <f aca="false">E1837</f>
        <v>-0.375</v>
      </c>
      <c r="J1837" s="0" t="n">
        <f aca="false">F1837</f>
        <v>0.625</v>
      </c>
      <c r="K1837" s="0" t="n">
        <f aca="false">D1837*E1837</f>
        <v>0.09375</v>
      </c>
      <c r="L1837" s="0" t="n">
        <f aca="false">D1837*F1837</f>
        <v>-0.15625</v>
      </c>
      <c r="M1837" s="0" t="n">
        <f aca="false">E1837*F1837</f>
        <v>-0.234375</v>
      </c>
      <c r="N1837" s="0" t="n">
        <f aca="false">D1837*D1837</f>
        <v>0.0625</v>
      </c>
      <c r="O1837" s="0" t="n">
        <f aca="false">E1837*E1837</f>
        <v>0.140625</v>
      </c>
      <c r="P1837" s="0" t="n">
        <f aca="false">F1837*F1837</f>
        <v>0.390625</v>
      </c>
      <c r="Q1837" s="0" t="n">
        <f aca="false">SUMPRODUCT(G1837:P1837,_XtX!$B$71:$K$71)</f>
        <v>46.9451846590909</v>
      </c>
      <c r="R1837" s="0" t="n">
        <f aca="false">SUMPRODUCT(MMULT(G1837:P1837,_XtX!$B$58:$K$67),G1837:P1837)</f>
        <v>0.174657648259943</v>
      </c>
      <c r="S1837" s="0" t="n">
        <f aca="false">04_回帰ANOVA!$K$19*04_回帰ANOVA!$K$14*SQRT(1+R1837)</f>
        <v>1.00767919364845</v>
      </c>
      <c r="T1837" s="0" t="n">
        <f aca="false">Q1837-S1837</f>
        <v>45.9375054654425</v>
      </c>
      <c r="U1837" s="0" t="n">
        <f aca="false">Q1837+S1837</f>
        <v>47.9528638527394</v>
      </c>
      <c r="V1837" s="54" t="b">
        <f aca="false">AND(D1837&gt;=01_因子設定!$L$5-0.000000001,D1837&lt;=01_因子設定!$M$5+0.000000001,E1837&gt;=01_因子設定!$L$6-0.000000001,E1837&lt;=01_因子設定!$M$6+0.000000001,F1837&gt;=01_因子設定!$L$7-0.000000001,F1837&lt;=01_因子設定!$M$7+0.000000001,IF(01_因子設定!$B$20="Box-Behnken",D1837^2+E1837^2+F1837^2&lt;=2+0.000000001,TRUE()))</f>
        <v>1</v>
      </c>
      <c r="W1837" s="55" t="n">
        <f aca="false">IF(V1837,IF(01_因子設定!$B$13="最大化",T1837-01_因子設定!$B$14,IF(01_因子設定!$B$13="最小化",01_因子設定!$B$15-U1837,MIN(T1837-01_因子設定!$B$14,01_因子設定!$B$15-U1837))),-1E+030)</f>
        <v>-2.56249453455752</v>
      </c>
      <c r="X1837" s="55" t="n">
        <f aca="false">IF(V1837,IF(01_因子設定!$B$13="最大化",Q1837,IF(01_因子設定!$B$13="最小化",-Q1837,-ABS(Q1837-01_因子設定!$B$16))),-1E+030)</f>
        <v>46.9451846590909</v>
      </c>
      <c r="Y1837" s="55" t="n">
        <f aca="false">W1837+ROW()*0.000000001</f>
        <v>-2.56249269755752</v>
      </c>
      <c r="Z1837" s="55" t="n">
        <f aca="false">X1837+ROW()*0.000000001</f>
        <v>46.9451864960909</v>
      </c>
    </row>
    <row r="1838" customFormat="false" ht="15" hidden="false" customHeight="false" outlineLevel="0" collapsed="false">
      <c r="A1838" s="0" t="n">
        <v>6</v>
      </c>
      <c r="B1838" s="0" t="n">
        <v>5</v>
      </c>
      <c r="C1838" s="0" t="n">
        <v>14</v>
      </c>
      <c r="D1838" s="0" t="n">
        <f aca="false">-1+A1838*0.125</f>
        <v>-0.25</v>
      </c>
      <c r="E1838" s="0" t="n">
        <f aca="false">-1+B1838*0.125</f>
        <v>-0.375</v>
      </c>
      <c r="F1838" s="0" t="n">
        <f aca="false">-1+C1838*0.125</f>
        <v>0.75</v>
      </c>
      <c r="G1838" s="0" t="n">
        <f aca="false">1</f>
        <v>1</v>
      </c>
      <c r="H1838" s="0" t="n">
        <f aca="false">D1838</f>
        <v>-0.25</v>
      </c>
      <c r="I1838" s="0" t="n">
        <f aca="false">E1838</f>
        <v>-0.375</v>
      </c>
      <c r="J1838" s="0" t="n">
        <f aca="false">F1838</f>
        <v>0.75</v>
      </c>
      <c r="K1838" s="0" t="n">
        <f aca="false">D1838*E1838</f>
        <v>0.09375</v>
      </c>
      <c r="L1838" s="0" t="n">
        <f aca="false">D1838*F1838</f>
        <v>-0.1875</v>
      </c>
      <c r="M1838" s="0" t="n">
        <f aca="false">E1838*F1838</f>
        <v>-0.28125</v>
      </c>
      <c r="N1838" s="0" t="n">
        <f aca="false">D1838*D1838</f>
        <v>0.0625</v>
      </c>
      <c r="O1838" s="0" t="n">
        <f aca="false">E1838*E1838</f>
        <v>0.140625</v>
      </c>
      <c r="P1838" s="0" t="n">
        <f aca="false">F1838*F1838</f>
        <v>0.5625</v>
      </c>
      <c r="Q1838" s="0" t="n">
        <f aca="false">SUMPRODUCT(G1838:P1838,_XtX!$B$71:$K$71)</f>
        <v>46.8989346590909</v>
      </c>
      <c r="R1838" s="0" t="n">
        <f aca="false">SUMPRODUCT(MMULT(G1838:P1838,_XtX!$B$58:$K$67),G1838:P1838)</f>
        <v>0.230632990056818</v>
      </c>
      <c r="S1838" s="0" t="n">
        <f aca="false">04_回帰ANOVA!$K$19*04_回帰ANOVA!$K$14*SQRT(1+R1838)</f>
        <v>1.03140899038819</v>
      </c>
      <c r="T1838" s="0" t="n">
        <f aca="false">Q1838-S1838</f>
        <v>45.8675256687027</v>
      </c>
      <c r="U1838" s="0" t="n">
        <f aca="false">Q1838+S1838</f>
        <v>47.9303436494791</v>
      </c>
      <c r="V1838" s="54" t="b">
        <f aca="false">AND(D1838&gt;=01_因子設定!$L$5-0.000000001,D1838&lt;=01_因子設定!$M$5+0.000000001,E1838&gt;=01_因子設定!$L$6-0.000000001,E1838&lt;=01_因子設定!$M$6+0.000000001,F1838&gt;=01_因子設定!$L$7-0.000000001,F1838&lt;=01_因子設定!$M$7+0.000000001,IF(01_因子設定!$B$20="Box-Behnken",D1838^2+E1838^2+F1838^2&lt;=2+0.000000001,TRUE()))</f>
        <v>1</v>
      </c>
      <c r="W1838" s="55" t="n">
        <f aca="false">IF(V1838,IF(01_因子設定!$B$13="最大化",T1838-01_因子設定!$B$14,IF(01_因子設定!$B$13="最小化",01_因子設定!$B$15-U1838,MIN(T1838-01_因子設定!$B$14,01_因子設定!$B$15-U1838))),-1E+030)</f>
        <v>-2.63247433129726</v>
      </c>
      <c r="X1838" s="55" t="n">
        <f aca="false">IF(V1838,IF(01_因子設定!$B$13="最大化",Q1838,IF(01_因子設定!$B$13="最小化",-Q1838,-ABS(Q1838-01_因子設定!$B$16))),-1E+030)</f>
        <v>46.8989346590909</v>
      </c>
      <c r="Y1838" s="55" t="n">
        <f aca="false">W1838+ROW()*0.000000001</f>
        <v>-2.63247249329726</v>
      </c>
      <c r="Z1838" s="55" t="n">
        <f aca="false">X1838+ROW()*0.000000001</f>
        <v>46.8989364970909</v>
      </c>
    </row>
    <row r="1839" customFormat="false" ht="15" hidden="false" customHeight="false" outlineLevel="0" collapsed="false">
      <c r="A1839" s="0" t="n">
        <v>6</v>
      </c>
      <c r="B1839" s="0" t="n">
        <v>5</v>
      </c>
      <c r="C1839" s="0" t="n">
        <v>15</v>
      </c>
      <c r="D1839" s="0" t="n">
        <f aca="false">-1+A1839*0.125</f>
        <v>-0.25</v>
      </c>
      <c r="E1839" s="0" t="n">
        <f aca="false">-1+B1839*0.125</f>
        <v>-0.375</v>
      </c>
      <c r="F1839" s="0" t="n">
        <f aca="false">-1+C1839*0.125</f>
        <v>0.875</v>
      </c>
      <c r="G1839" s="0" t="n">
        <f aca="false">1</f>
        <v>1</v>
      </c>
      <c r="H1839" s="0" t="n">
        <f aca="false">D1839</f>
        <v>-0.25</v>
      </c>
      <c r="I1839" s="0" t="n">
        <f aca="false">E1839</f>
        <v>-0.375</v>
      </c>
      <c r="J1839" s="0" t="n">
        <f aca="false">F1839</f>
        <v>0.875</v>
      </c>
      <c r="K1839" s="0" t="n">
        <f aca="false">D1839*E1839</f>
        <v>0.09375</v>
      </c>
      <c r="L1839" s="0" t="n">
        <f aca="false">D1839*F1839</f>
        <v>-0.21875</v>
      </c>
      <c r="M1839" s="0" t="n">
        <f aca="false">E1839*F1839</f>
        <v>-0.328125</v>
      </c>
      <c r="N1839" s="0" t="n">
        <f aca="false">D1839*D1839</f>
        <v>0.0625</v>
      </c>
      <c r="O1839" s="0" t="n">
        <f aca="false">E1839*E1839</f>
        <v>0.140625</v>
      </c>
      <c r="P1839" s="0" t="n">
        <f aca="false">F1839*F1839</f>
        <v>0.765625</v>
      </c>
      <c r="Q1839" s="0" t="n">
        <f aca="false">SUMPRODUCT(G1839:P1839,_XtX!$B$71:$K$71)</f>
        <v>46.8158948863637</v>
      </c>
      <c r="R1839" s="0" t="n">
        <f aca="false">SUMPRODUCT(MMULT(G1839:P1839,_XtX!$B$58:$K$67),G1839:P1839)</f>
        <v>0.324484530362216</v>
      </c>
      <c r="S1839" s="0" t="n">
        <f aca="false">04_回帰ANOVA!$K$19*04_回帰ANOVA!$K$14*SQRT(1+R1839)</f>
        <v>1.07001553041279</v>
      </c>
      <c r="T1839" s="0" t="n">
        <f aca="false">Q1839-S1839</f>
        <v>45.7458793559509</v>
      </c>
      <c r="U1839" s="0" t="n">
        <f aca="false">Q1839+S1839</f>
        <v>47.8859104167765</v>
      </c>
      <c r="V1839" s="54" t="b">
        <f aca="false">AND(D1839&gt;=01_因子設定!$L$5-0.000000001,D1839&lt;=01_因子設定!$M$5+0.000000001,E1839&gt;=01_因子設定!$L$6-0.000000001,E1839&lt;=01_因子設定!$M$6+0.000000001,F1839&gt;=01_因子設定!$L$7-0.000000001,F1839&lt;=01_因子設定!$M$7+0.000000001,IF(01_因子設定!$B$20="Box-Behnken",D1839^2+E1839^2+F1839^2&lt;=2+0.000000001,TRUE()))</f>
        <v>1</v>
      </c>
      <c r="W1839" s="55" t="n">
        <f aca="false">IF(V1839,IF(01_因子設定!$B$13="最大化",T1839-01_因子設定!$B$14,IF(01_因子設定!$B$13="最小化",01_因子設定!$B$15-U1839,MIN(T1839-01_因子設定!$B$14,01_因子設定!$B$15-U1839))),-1E+030)</f>
        <v>-2.75412064404913</v>
      </c>
      <c r="X1839" s="55" t="n">
        <f aca="false">IF(V1839,IF(01_因子設定!$B$13="最大化",Q1839,IF(01_因子設定!$B$13="最小化",-Q1839,-ABS(Q1839-01_因子設定!$B$16))),-1E+030)</f>
        <v>46.8158948863637</v>
      </c>
      <c r="Y1839" s="55" t="n">
        <f aca="false">W1839+ROW()*0.000000001</f>
        <v>-2.75411880504913</v>
      </c>
      <c r="Z1839" s="55" t="n">
        <f aca="false">X1839+ROW()*0.000000001</f>
        <v>46.8158967253637</v>
      </c>
    </row>
    <row r="1840" customFormat="false" ht="15" hidden="false" customHeight="false" outlineLevel="0" collapsed="false">
      <c r="A1840" s="0" t="n">
        <v>6</v>
      </c>
      <c r="B1840" s="0" t="n">
        <v>5</v>
      </c>
      <c r="C1840" s="0" t="n">
        <v>16</v>
      </c>
      <c r="D1840" s="0" t="n">
        <f aca="false">-1+A1840*0.125</f>
        <v>-0.25</v>
      </c>
      <c r="E1840" s="0" t="n">
        <f aca="false">-1+B1840*0.125</f>
        <v>-0.375</v>
      </c>
      <c r="F1840" s="0" t="n">
        <f aca="false">-1+C1840*0.125</f>
        <v>1</v>
      </c>
      <c r="G1840" s="0" t="n">
        <f aca="false">1</f>
        <v>1</v>
      </c>
      <c r="H1840" s="0" t="n">
        <f aca="false">D1840</f>
        <v>-0.25</v>
      </c>
      <c r="I1840" s="0" t="n">
        <f aca="false">E1840</f>
        <v>-0.375</v>
      </c>
      <c r="J1840" s="0" t="n">
        <f aca="false">F1840</f>
        <v>1</v>
      </c>
      <c r="K1840" s="0" t="n">
        <f aca="false">D1840*E1840</f>
        <v>0.09375</v>
      </c>
      <c r="L1840" s="0" t="n">
        <f aca="false">D1840*F1840</f>
        <v>-0.25</v>
      </c>
      <c r="M1840" s="0" t="n">
        <f aca="false">E1840*F1840</f>
        <v>-0.375</v>
      </c>
      <c r="N1840" s="0" t="n">
        <f aca="false">D1840*D1840</f>
        <v>0.0625</v>
      </c>
      <c r="O1840" s="0" t="n">
        <f aca="false">E1840*E1840</f>
        <v>0.140625</v>
      </c>
      <c r="P1840" s="0" t="n">
        <f aca="false">F1840*F1840</f>
        <v>1</v>
      </c>
      <c r="Q1840" s="0" t="n">
        <f aca="false">SUMPRODUCT(G1840:P1840,_XtX!$B$71:$K$71)</f>
        <v>46.6960653409091</v>
      </c>
      <c r="R1840" s="0" t="n">
        <f aca="false">SUMPRODUCT(MMULT(G1840:P1840,_XtX!$B$58:$K$67),G1840:P1840)</f>
        <v>0.470061700994318</v>
      </c>
      <c r="S1840" s="0" t="n">
        <f aca="false">04_回帰ANOVA!$K$19*04_回帰ANOVA!$K$14*SQRT(1+R1840)</f>
        <v>1.12728678965931</v>
      </c>
      <c r="T1840" s="0" t="n">
        <f aca="false">Q1840-S1840</f>
        <v>45.5687785512498</v>
      </c>
      <c r="U1840" s="0" t="n">
        <f aca="false">Q1840+S1840</f>
        <v>47.8233521305684</v>
      </c>
      <c r="V1840" s="54" t="b">
        <f aca="false">AND(D1840&gt;=01_因子設定!$L$5-0.000000001,D1840&lt;=01_因子設定!$M$5+0.000000001,E1840&gt;=01_因子設定!$L$6-0.000000001,E1840&lt;=01_因子設定!$M$6+0.000000001,F1840&gt;=01_因子設定!$L$7-0.000000001,F1840&lt;=01_因子設定!$M$7+0.000000001,IF(01_因子設定!$B$20="Box-Behnken",D1840^2+E1840^2+F1840^2&lt;=2+0.000000001,TRUE()))</f>
        <v>1</v>
      </c>
      <c r="W1840" s="55" t="n">
        <f aca="false">IF(V1840,IF(01_因子設定!$B$13="最大化",T1840-01_因子設定!$B$14,IF(01_因子設定!$B$13="最小化",01_因子設定!$B$15-U1840,MIN(T1840-01_因子設定!$B$14,01_因子設定!$B$15-U1840))),-1E+030)</f>
        <v>-2.93122144875019</v>
      </c>
      <c r="X1840" s="55" t="n">
        <f aca="false">IF(V1840,IF(01_因子設定!$B$13="最大化",Q1840,IF(01_因子設定!$B$13="最小化",-Q1840,-ABS(Q1840-01_因子設定!$B$16))),-1E+030)</f>
        <v>46.6960653409091</v>
      </c>
      <c r="Y1840" s="55" t="n">
        <f aca="false">W1840+ROW()*0.000000001</f>
        <v>-2.93121960875019</v>
      </c>
      <c r="Z1840" s="55" t="n">
        <f aca="false">X1840+ROW()*0.000000001</f>
        <v>46.6960671809091</v>
      </c>
    </row>
    <row r="1841" customFormat="false" ht="15" hidden="false" customHeight="false" outlineLevel="0" collapsed="false">
      <c r="A1841" s="0" t="n">
        <v>6</v>
      </c>
      <c r="B1841" s="0" t="n">
        <v>6</v>
      </c>
      <c r="C1841" s="0" t="n">
        <v>0</v>
      </c>
      <c r="D1841" s="0" t="n">
        <f aca="false">-1+A1841*0.125</f>
        <v>-0.25</v>
      </c>
      <c r="E1841" s="0" t="n">
        <f aca="false">-1+B1841*0.125</f>
        <v>-0.25</v>
      </c>
      <c r="F1841" s="0" t="n">
        <f aca="false">-1+C1841*0.125</f>
        <v>-1</v>
      </c>
      <c r="G1841" s="0" t="n">
        <f aca="false">1</f>
        <v>1</v>
      </c>
      <c r="H1841" s="0" t="n">
        <f aca="false">D1841</f>
        <v>-0.25</v>
      </c>
      <c r="I1841" s="0" t="n">
        <f aca="false">E1841</f>
        <v>-0.25</v>
      </c>
      <c r="J1841" s="0" t="n">
        <f aca="false">F1841</f>
        <v>-1</v>
      </c>
      <c r="K1841" s="0" t="n">
        <f aca="false">D1841*E1841</f>
        <v>0.0625</v>
      </c>
      <c r="L1841" s="0" t="n">
        <f aca="false">D1841*F1841</f>
        <v>0.25</v>
      </c>
      <c r="M1841" s="0" t="n">
        <f aca="false">E1841*F1841</f>
        <v>0.25</v>
      </c>
      <c r="N1841" s="0" t="n">
        <f aca="false">D1841*D1841</f>
        <v>0.0625</v>
      </c>
      <c r="O1841" s="0" t="n">
        <f aca="false">E1841*E1841</f>
        <v>0.0625</v>
      </c>
      <c r="P1841" s="0" t="n">
        <f aca="false">F1841*F1841</f>
        <v>1</v>
      </c>
      <c r="Q1841" s="0" t="n">
        <f aca="false">SUMPRODUCT(G1841:P1841,_XtX!$B$71:$K$71)</f>
        <v>44.5211647727273</v>
      </c>
      <c r="R1841" s="0" t="n">
        <f aca="false">SUMPRODUCT(MMULT(G1841:P1841,_XtX!$B$58:$K$67),G1841:P1841)</f>
        <v>0.475843394886364</v>
      </c>
      <c r="S1841" s="0" t="n">
        <f aca="false">04_回帰ANOVA!$K$19*04_回帰ANOVA!$K$14*SQRT(1+R1841)</f>
        <v>1.12950140123694</v>
      </c>
      <c r="T1841" s="0" t="n">
        <f aca="false">Q1841-S1841</f>
        <v>43.3916633714904</v>
      </c>
      <c r="U1841" s="0" t="n">
        <f aca="false">Q1841+S1841</f>
        <v>45.6506661739642</v>
      </c>
      <c r="V1841" s="54" t="b">
        <f aca="false">AND(D1841&gt;=01_因子設定!$L$5-0.000000001,D1841&lt;=01_因子設定!$M$5+0.000000001,E1841&gt;=01_因子設定!$L$6-0.000000001,E1841&lt;=01_因子設定!$M$6+0.000000001,F1841&gt;=01_因子設定!$L$7-0.000000001,F1841&lt;=01_因子設定!$M$7+0.000000001,IF(01_因子設定!$B$20="Box-Behnken",D1841^2+E1841^2+F1841^2&lt;=2+0.000000001,TRUE()))</f>
        <v>1</v>
      </c>
      <c r="W1841" s="55" t="n">
        <f aca="false">IF(V1841,IF(01_因子設定!$B$13="最大化",T1841-01_因子設定!$B$14,IF(01_因子設定!$B$13="最小化",01_因子設定!$B$15-U1841,MIN(T1841-01_因子設定!$B$14,01_因子設定!$B$15-U1841))),-1E+030)</f>
        <v>-5.10833662850964</v>
      </c>
      <c r="X1841" s="55" t="n">
        <f aca="false">IF(V1841,IF(01_因子設定!$B$13="最大化",Q1841,IF(01_因子設定!$B$13="最小化",-Q1841,-ABS(Q1841-01_因子設定!$B$16))),-1E+030)</f>
        <v>44.5211647727273</v>
      </c>
      <c r="Y1841" s="55" t="n">
        <f aca="false">W1841+ROW()*0.000000001</f>
        <v>-5.10833478750964</v>
      </c>
      <c r="Z1841" s="55" t="n">
        <f aca="false">X1841+ROW()*0.000000001</f>
        <v>44.5211666137273</v>
      </c>
    </row>
    <row r="1842" customFormat="false" ht="15" hidden="false" customHeight="false" outlineLevel="0" collapsed="false">
      <c r="A1842" s="0" t="n">
        <v>6</v>
      </c>
      <c r="B1842" s="0" t="n">
        <v>6</v>
      </c>
      <c r="C1842" s="0" t="n">
        <v>1</v>
      </c>
      <c r="D1842" s="0" t="n">
        <f aca="false">-1+A1842*0.125</f>
        <v>-0.25</v>
      </c>
      <c r="E1842" s="0" t="n">
        <f aca="false">-1+B1842*0.125</f>
        <v>-0.25</v>
      </c>
      <c r="F1842" s="0" t="n">
        <f aca="false">-1+C1842*0.125</f>
        <v>-0.875</v>
      </c>
      <c r="G1842" s="0" t="n">
        <f aca="false">1</f>
        <v>1</v>
      </c>
      <c r="H1842" s="0" t="n">
        <f aca="false">D1842</f>
        <v>-0.25</v>
      </c>
      <c r="I1842" s="0" t="n">
        <f aca="false">E1842</f>
        <v>-0.25</v>
      </c>
      <c r="J1842" s="0" t="n">
        <f aca="false">F1842</f>
        <v>-0.875</v>
      </c>
      <c r="K1842" s="0" t="n">
        <f aca="false">D1842*E1842</f>
        <v>0.0625</v>
      </c>
      <c r="L1842" s="0" t="n">
        <f aca="false">D1842*F1842</f>
        <v>0.21875</v>
      </c>
      <c r="M1842" s="0" t="n">
        <f aca="false">E1842*F1842</f>
        <v>0.21875</v>
      </c>
      <c r="N1842" s="0" t="n">
        <f aca="false">D1842*D1842</f>
        <v>0.0625</v>
      </c>
      <c r="O1842" s="0" t="n">
        <f aca="false">E1842*E1842</f>
        <v>0.0625</v>
      </c>
      <c r="P1842" s="0" t="n">
        <f aca="false">F1842*F1842</f>
        <v>0.765625</v>
      </c>
      <c r="Q1842" s="0" t="n">
        <f aca="false">SUMPRODUCT(G1842:P1842,_XtX!$B$71:$K$71)</f>
        <v>44.9602130681818</v>
      </c>
      <c r="R1842" s="0" t="n">
        <f aca="false">SUMPRODUCT(MMULT(G1842:P1842,_XtX!$B$58:$K$67),G1842:P1842)</f>
        <v>0.327561257102273</v>
      </c>
      <c r="S1842" s="0" t="n">
        <f aca="false">04_回帰ANOVA!$K$19*04_回帰ANOVA!$K$14*SQRT(1+R1842)</f>
        <v>1.07125761201315</v>
      </c>
      <c r="T1842" s="0" t="n">
        <f aca="false">Q1842-S1842</f>
        <v>43.8889554561687</v>
      </c>
      <c r="U1842" s="0" t="n">
        <f aca="false">Q1842+S1842</f>
        <v>46.031470680195</v>
      </c>
      <c r="V1842" s="54" t="b">
        <f aca="false">AND(D1842&gt;=01_因子設定!$L$5-0.000000001,D1842&lt;=01_因子設定!$M$5+0.000000001,E1842&gt;=01_因子設定!$L$6-0.000000001,E1842&lt;=01_因子設定!$M$6+0.000000001,F1842&gt;=01_因子設定!$L$7-0.000000001,F1842&lt;=01_因子設定!$M$7+0.000000001,IF(01_因子設定!$B$20="Box-Behnken",D1842^2+E1842^2+F1842^2&lt;=2+0.000000001,TRUE()))</f>
        <v>1</v>
      </c>
      <c r="W1842" s="55" t="n">
        <f aca="false">IF(V1842,IF(01_因子設定!$B$13="最大化",T1842-01_因子設定!$B$14,IF(01_因子設定!$B$13="最小化",01_因子設定!$B$15-U1842,MIN(T1842-01_因子設定!$B$14,01_因子設定!$B$15-U1842))),-1E+030)</f>
        <v>-4.61104454383131</v>
      </c>
      <c r="X1842" s="55" t="n">
        <f aca="false">IF(V1842,IF(01_因子設定!$B$13="最大化",Q1842,IF(01_因子設定!$B$13="最小化",-Q1842,-ABS(Q1842-01_因子設定!$B$16))),-1E+030)</f>
        <v>44.9602130681818</v>
      </c>
      <c r="Y1842" s="55" t="n">
        <f aca="false">W1842+ROW()*0.000000001</f>
        <v>-4.61104270183131</v>
      </c>
      <c r="Z1842" s="55" t="n">
        <f aca="false">X1842+ROW()*0.000000001</f>
        <v>44.9602149101819</v>
      </c>
    </row>
    <row r="1843" customFormat="false" ht="15" hidden="false" customHeight="false" outlineLevel="0" collapsed="false">
      <c r="A1843" s="0" t="n">
        <v>6</v>
      </c>
      <c r="B1843" s="0" t="n">
        <v>6</v>
      </c>
      <c r="C1843" s="0" t="n">
        <v>2</v>
      </c>
      <c r="D1843" s="0" t="n">
        <f aca="false">-1+A1843*0.125</f>
        <v>-0.25</v>
      </c>
      <c r="E1843" s="0" t="n">
        <f aca="false">-1+B1843*0.125</f>
        <v>-0.25</v>
      </c>
      <c r="F1843" s="0" t="n">
        <f aca="false">-1+C1843*0.125</f>
        <v>-0.75</v>
      </c>
      <c r="G1843" s="0" t="n">
        <f aca="false">1</f>
        <v>1</v>
      </c>
      <c r="H1843" s="0" t="n">
        <f aca="false">D1843</f>
        <v>-0.25</v>
      </c>
      <c r="I1843" s="0" t="n">
        <f aca="false">E1843</f>
        <v>-0.25</v>
      </c>
      <c r="J1843" s="0" t="n">
        <f aca="false">F1843</f>
        <v>-0.75</v>
      </c>
      <c r="K1843" s="0" t="n">
        <f aca="false">D1843*E1843</f>
        <v>0.0625</v>
      </c>
      <c r="L1843" s="0" t="n">
        <f aca="false">D1843*F1843</f>
        <v>0.1875</v>
      </c>
      <c r="M1843" s="0" t="n">
        <f aca="false">E1843*F1843</f>
        <v>0.1875</v>
      </c>
      <c r="N1843" s="0" t="n">
        <f aca="false">D1843*D1843</f>
        <v>0.0625</v>
      </c>
      <c r="O1843" s="0" t="n">
        <f aca="false">E1843*E1843</f>
        <v>0.0625</v>
      </c>
      <c r="P1843" s="0" t="n">
        <f aca="false">F1843*F1843</f>
        <v>0.5625</v>
      </c>
      <c r="Q1843" s="0" t="n">
        <f aca="false">SUMPRODUCT(G1843:P1843,_XtX!$B$71:$K$71)</f>
        <v>45.3624715909091</v>
      </c>
      <c r="R1843" s="0" t="n">
        <f aca="false">SUMPRODUCT(MMULT(G1843:P1843,_XtX!$B$58:$K$67),G1843:P1843)</f>
        <v>0.231365411931818</v>
      </c>
      <c r="S1843" s="0" t="n">
        <f aca="false">04_回帰ANOVA!$K$19*04_回帰ANOVA!$K$14*SQRT(1+R1843)</f>
        <v>1.03171587072803</v>
      </c>
      <c r="T1843" s="0" t="n">
        <f aca="false">Q1843-S1843</f>
        <v>44.3307557201811</v>
      </c>
      <c r="U1843" s="0" t="n">
        <f aca="false">Q1843+S1843</f>
        <v>46.3941874616371</v>
      </c>
      <c r="V1843" s="54" t="b">
        <f aca="false">AND(D1843&gt;=01_因子設定!$L$5-0.000000001,D1843&lt;=01_因子設定!$M$5+0.000000001,E1843&gt;=01_因子設定!$L$6-0.000000001,E1843&lt;=01_因子設定!$M$6+0.000000001,F1843&gt;=01_因子設定!$L$7-0.000000001,F1843&lt;=01_因子設定!$M$7+0.000000001,IF(01_因子設定!$B$20="Box-Behnken",D1843^2+E1843^2+F1843^2&lt;=2+0.000000001,TRUE()))</f>
        <v>1</v>
      </c>
      <c r="W1843" s="55" t="n">
        <f aca="false">IF(V1843,IF(01_因子設定!$B$13="最大化",T1843-01_因子設定!$B$14,IF(01_因子設定!$B$13="最小化",01_因子設定!$B$15-U1843,MIN(T1843-01_因子設定!$B$14,01_因子設定!$B$15-U1843))),-1E+030)</f>
        <v>-4.16924427981892</v>
      </c>
      <c r="X1843" s="55" t="n">
        <f aca="false">IF(V1843,IF(01_因子設定!$B$13="最大化",Q1843,IF(01_因子設定!$B$13="最小化",-Q1843,-ABS(Q1843-01_因子設定!$B$16))),-1E+030)</f>
        <v>45.3624715909091</v>
      </c>
      <c r="Y1843" s="55" t="n">
        <f aca="false">W1843+ROW()*0.000000001</f>
        <v>-4.16924243681892</v>
      </c>
      <c r="Z1843" s="55" t="n">
        <f aca="false">X1843+ROW()*0.000000001</f>
        <v>45.3624734339091</v>
      </c>
    </row>
    <row r="1844" customFormat="false" ht="15" hidden="false" customHeight="false" outlineLevel="0" collapsed="false">
      <c r="A1844" s="0" t="n">
        <v>6</v>
      </c>
      <c r="B1844" s="0" t="n">
        <v>6</v>
      </c>
      <c r="C1844" s="0" t="n">
        <v>3</v>
      </c>
      <c r="D1844" s="0" t="n">
        <f aca="false">-1+A1844*0.125</f>
        <v>-0.25</v>
      </c>
      <c r="E1844" s="0" t="n">
        <f aca="false">-1+B1844*0.125</f>
        <v>-0.25</v>
      </c>
      <c r="F1844" s="0" t="n">
        <f aca="false">-1+C1844*0.125</f>
        <v>-0.625</v>
      </c>
      <c r="G1844" s="0" t="n">
        <f aca="false">1</f>
        <v>1</v>
      </c>
      <c r="H1844" s="0" t="n">
        <f aca="false">D1844</f>
        <v>-0.25</v>
      </c>
      <c r="I1844" s="0" t="n">
        <f aca="false">E1844</f>
        <v>-0.25</v>
      </c>
      <c r="J1844" s="0" t="n">
        <f aca="false">F1844</f>
        <v>-0.625</v>
      </c>
      <c r="K1844" s="0" t="n">
        <f aca="false">D1844*E1844</f>
        <v>0.0625</v>
      </c>
      <c r="L1844" s="0" t="n">
        <f aca="false">D1844*F1844</f>
        <v>0.15625</v>
      </c>
      <c r="M1844" s="0" t="n">
        <f aca="false">E1844*F1844</f>
        <v>0.15625</v>
      </c>
      <c r="N1844" s="0" t="n">
        <f aca="false">D1844*D1844</f>
        <v>0.0625</v>
      </c>
      <c r="O1844" s="0" t="n">
        <f aca="false">E1844*E1844</f>
        <v>0.0625</v>
      </c>
      <c r="P1844" s="0" t="n">
        <f aca="false">F1844*F1844</f>
        <v>0.390625</v>
      </c>
      <c r="Q1844" s="0" t="n">
        <f aca="false">SUMPRODUCT(G1844:P1844,_XtX!$B$71:$K$71)</f>
        <v>45.7279403409091</v>
      </c>
      <c r="R1844" s="0" t="n">
        <f aca="false">SUMPRODUCT(MMULT(G1844:P1844,_XtX!$B$58:$K$67),G1844:P1844)</f>
        <v>0.173406427556818</v>
      </c>
      <c r="S1844" s="0" t="n">
        <f aca="false">04_回帰ANOVA!$K$19*04_回帰ANOVA!$K$14*SQRT(1+R1844)</f>
        <v>1.00714237128059</v>
      </c>
      <c r="T1844" s="0" t="n">
        <f aca="false">Q1844-S1844</f>
        <v>44.7207979696285</v>
      </c>
      <c r="U1844" s="0" t="n">
        <f aca="false">Q1844+S1844</f>
        <v>46.7350827121897</v>
      </c>
      <c r="V1844" s="54" t="b">
        <f aca="false">AND(D1844&gt;=01_因子設定!$L$5-0.000000001,D1844&lt;=01_因子設定!$M$5+0.000000001,E1844&gt;=01_因子設定!$L$6-0.000000001,E1844&lt;=01_因子設定!$M$6+0.000000001,F1844&gt;=01_因子設定!$L$7-0.000000001,F1844&lt;=01_因子設定!$M$7+0.000000001,IF(01_因子設定!$B$20="Box-Behnken",D1844^2+E1844^2+F1844^2&lt;=2+0.000000001,TRUE()))</f>
        <v>1</v>
      </c>
      <c r="W1844" s="55" t="n">
        <f aca="false">IF(V1844,IF(01_因子設定!$B$13="最大化",T1844-01_因子設定!$B$14,IF(01_因子設定!$B$13="最小化",01_因子設定!$B$15-U1844,MIN(T1844-01_因子設定!$B$14,01_因子設定!$B$15-U1844))),-1E+030)</f>
        <v>-3.77920203037149</v>
      </c>
      <c r="X1844" s="55" t="n">
        <f aca="false">IF(V1844,IF(01_因子設定!$B$13="最大化",Q1844,IF(01_因子設定!$B$13="最小化",-Q1844,-ABS(Q1844-01_因子設定!$B$16))),-1E+030)</f>
        <v>45.7279403409091</v>
      </c>
      <c r="Y1844" s="55" t="n">
        <f aca="false">W1844+ROW()*0.000000001</f>
        <v>-3.77920018637149</v>
      </c>
      <c r="Z1844" s="55" t="n">
        <f aca="false">X1844+ROW()*0.000000001</f>
        <v>45.7279421849091</v>
      </c>
    </row>
    <row r="1845" customFormat="false" ht="15" hidden="false" customHeight="false" outlineLevel="0" collapsed="false">
      <c r="A1845" s="0" t="n">
        <v>6</v>
      </c>
      <c r="B1845" s="0" t="n">
        <v>6</v>
      </c>
      <c r="C1845" s="0" t="n">
        <v>4</v>
      </c>
      <c r="D1845" s="0" t="n">
        <f aca="false">-1+A1845*0.125</f>
        <v>-0.25</v>
      </c>
      <c r="E1845" s="0" t="n">
        <f aca="false">-1+B1845*0.125</f>
        <v>-0.25</v>
      </c>
      <c r="F1845" s="0" t="n">
        <f aca="false">-1+C1845*0.125</f>
        <v>-0.5</v>
      </c>
      <c r="G1845" s="0" t="n">
        <f aca="false">1</f>
        <v>1</v>
      </c>
      <c r="H1845" s="0" t="n">
        <f aca="false">D1845</f>
        <v>-0.25</v>
      </c>
      <c r="I1845" s="0" t="n">
        <f aca="false">E1845</f>
        <v>-0.25</v>
      </c>
      <c r="J1845" s="0" t="n">
        <f aca="false">F1845</f>
        <v>-0.5</v>
      </c>
      <c r="K1845" s="0" t="n">
        <f aca="false">D1845*E1845</f>
        <v>0.0625</v>
      </c>
      <c r="L1845" s="0" t="n">
        <f aca="false">D1845*F1845</f>
        <v>0.125</v>
      </c>
      <c r="M1845" s="0" t="n">
        <f aca="false">E1845*F1845</f>
        <v>0.125</v>
      </c>
      <c r="N1845" s="0" t="n">
        <f aca="false">D1845*D1845</f>
        <v>0.0625</v>
      </c>
      <c r="O1845" s="0" t="n">
        <f aca="false">E1845*E1845</f>
        <v>0.0625</v>
      </c>
      <c r="P1845" s="0" t="n">
        <f aca="false">F1845*F1845</f>
        <v>0.25</v>
      </c>
      <c r="Q1845" s="0" t="n">
        <f aca="false">SUMPRODUCT(G1845:P1845,_XtX!$B$71:$K$71)</f>
        <v>46.0566193181818</v>
      </c>
      <c r="R1845" s="0" t="n">
        <f aca="false">SUMPRODUCT(MMULT(G1845:P1845,_XtX!$B$58:$K$67),G1845:P1845)</f>
        <v>0.141965553977273</v>
      </c>
      <c r="S1845" s="0" t="n">
        <f aca="false">04_回帰ANOVA!$K$19*04_回帰ANOVA!$K$14*SQRT(1+R1845)</f>
        <v>0.993557802198625</v>
      </c>
      <c r="T1845" s="0" t="n">
        <f aca="false">Q1845-S1845</f>
        <v>45.0630615159832</v>
      </c>
      <c r="U1845" s="0" t="n">
        <f aca="false">Q1845+S1845</f>
        <v>47.0501771203805</v>
      </c>
      <c r="V1845" s="54" t="b">
        <f aca="false">AND(D1845&gt;=01_因子設定!$L$5-0.000000001,D1845&lt;=01_因子設定!$M$5+0.000000001,E1845&gt;=01_因子設定!$L$6-0.000000001,E1845&lt;=01_因子設定!$M$6+0.000000001,F1845&gt;=01_因子設定!$L$7-0.000000001,F1845&lt;=01_因子設定!$M$7+0.000000001,IF(01_因子設定!$B$20="Box-Behnken",D1845^2+E1845^2+F1845^2&lt;=2+0.000000001,TRUE()))</f>
        <v>1</v>
      </c>
      <c r="W1845" s="55" t="n">
        <f aca="false">IF(V1845,IF(01_因子設定!$B$13="最大化",T1845-01_因子設定!$B$14,IF(01_因子設定!$B$13="最小化",01_因子設定!$B$15-U1845,MIN(T1845-01_因子設定!$B$14,01_因子設定!$B$15-U1845))),-1E+030)</f>
        <v>-3.43693848401679</v>
      </c>
      <c r="X1845" s="55" t="n">
        <f aca="false">IF(V1845,IF(01_因子設定!$B$13="最大化",Q1845,IF(01_因子設定!$B$13="最小化",-Q1845,-ABS(Q1845-01_因子設定!$B$16))),-1E+030)</f>
        <v>46.0566193181818</v>
      </c>
      <c r="Y1845" s="55" t="n">
        <f aca="false">W1845+ROW()*0.000000001</f>
        <v>-3.43693663901679</v>
      </c>
      <c r="Z1845" s="55" t="n">
        <f aca="false">X1845+ROW()*0.000000001</f>
        <v>46.0566211631818</v>
      </c>
    </row>
    <row r="1846" customFormat="false" ht="15" hidden="false" customHeight="false" outlineLevel="0" collapsed="false">
      <c r="A1846" s="0" t="n">
        <v>6</v>
      </c>
      <c r="B1846" s="0" t="n">
        <v>6</v>
      </c>
      <c r="C1846" s="0" t="n">
        <v>5</v>
      </c>
      <c r="D1846" s="0" t="n">
        <f aca="false">-1+A1846*0.125</f>
        <v>-0.25</v>
      </c>
      <c r="E1846" s="0" t="n">
        <f aca="false">-1+B1846*0.125</f>
        <v>-0.25</v>
      </c>
      <c r="F1846" s="0" t="n">
        <f aca="false">-1+C1846*0.125</f>
        <v>-0.375</v>
      </c>
      <c r="G1846" s="0" t="n">
        <f aca="false">1</f>
        <v>1</v>
      </c>
      <c r="H1846" s="0" t="n">
        <f aca="false">D1846</f>
        <v>-0.25</v>
      </c>
      <c r="I1846" s="0" t="n">
        <f aca="false">E1846</f>
        <v>-0.25</v>
      </c>
      <c r="J1846" s="0" t="n">
        <f aca="false">F1846</f>
        <v>-0.375</v>
      </c>
      <c r="K1846" s="0" t="n">
        <f aca="false">D1846*E1846</f>
        <v>0.0625</v>
      </c>
      <c r="L1846" s="0" t="n">
        <f aca="false">D1846*F1846</f>
        <v>0.09375</v>
      </c>
      <c r="M1846" s="0" t="n">
        <f aca="false">E1846*F1846</f>
        <v>0.09375</v>
      </c>
      <c r="N1846" s="0" t="n">
        <f aca="false">D1846*D1846</f>
        <v>0.0625</v>
      </c>
      <c r="O1846" s="0" t="n">
        <f aca="false">E1846*E1846</f>
        <v>0.0625</v>
      </c>
      <c r="P1846" s="0" t="n">
        <f aca="false">F1846*F1846</f>
        <v>0.140625</v>
      </c>
      <c r="Q1846" s="0" t="n">
        <f aca="false">SUMPRODUCT(G1846:P1846,_XtX!$B$71:$K$71)</f>
        <v>46.3485085227273</v>
      </c>
      <c r="R1846" s="0" t="n">
        <f aca="false">SUMPRODUCT(MMULT(G1846:P1846,_XtX!$B$58:$K$67),G1846:P1846)</f>
        <v>0.127454723011364</v>
      </c>
      <c r="S1846" s="0" t="n">
        <f aca="false">04_回帰ANOVA!$K$19*04_回帰ANOVA!$K$14*SQRT(1+R1846)</f>
        <v>0.987225105686864</v>
      </c>
      <c r="T1846" s="0" t="n">
        <f aca="false">Q1846-S1846</f>
        <v>45.3612834170404</v>
      </c>
      <c r="U1846" s="0" t="n">
        <f aca="false">Q1846+S1846</f>
        <v>47.3357336284142</v>
      </c>
      <c r="V1846" s="54" t="b">
        <f aca="false">AND(D1846&gt;=01_因子設定!$L$5-0.000000001,D1846&lt;=01_因子設定!$M$5+0.000000001,E1846&gt;=01_因子設定!$L$6-0.000000001,E1846&lt;=01_因子設定!$M$6+0.000000001,F1846&gt;=01_因子設定!$L$7-0.000000001,F1846&lt;=01_因子設定!$M$7+0.000000001,IF(01_因子設定!$B$20="Box-Behnken",D1846^2+E1846^2+F1846^2&lt;=2+0.000000001,TRUE()))</f>
        <v>1</v>
      </c>
      <c r="W1846" s="55" t="n">
        <f aca="false">IF(V1846,IF(01_因子設定!$B$13="最大化",T1846-01_因子設定!$B$14,IF(01_因子設定!$B$13="最小化",01_因子設定!$B$15-U1846,MIN(T1846-01_因子設定!$B$14,01_因子設定!$B$15-U1846))),-1E+030)</f>
        <v>-3.13871658295958</v>
      </c>
      <c r="X1846" s="55" t="n">
        <f aca="false">IF(V1846,IF(01_因子設定!$B$13="最大化",Q1846,IF(01_因子設定!$B$13="最小化",-Q1846,-ABS(Q1846-01_因子設定!$B$16))),-1E+030)</f>
        <v>46.3485085227273</v>
      </c>
      <c r="Y1846" s="55" t="n">
        <f aca="false">W1846+ROW()*0.000000001</f>
        <v>-3.13871473695958</v>
      </c>
      <c r="Z1846" s="55" t="n">
        <f aca="false">X1846+ROW()*0.000000001</f>
        <v>46.3485103687273</v>
      </c>
    </row>
    <row r="1847" customFormat="false" ht="15" hidden="false" customHeight="false" outlineLevel="0" collapsed="false">
      <c r="A1847" s="0" t="n">
        <v>6</v>
      </c>
      <c r="B1847" s="0" t="n">
        <v>6</v>
      </c>
      <c r="C1847" s="0" t="n">
        <v>6</v>
      </c>
      <c r="D1847" s="0" t="n">
        <f aca="false">-1+A1847*0.125</f>
        <v>-0.25</v>
      </c>
      <c r="E1847" s="0" t="n">
        <f aca="false">-1+B1847*0.125</f>
        <v>-0.25</v>
      </c>
      <c r="F1847" s="0" t="n">
        <f aca="false">-1+C1847*0.125</f>
        <v>-0.25</v>
      </c>
      <c r="G1847" s="0" t="n">
        <f aca="false">1</f>
        <v>1</v>
      </c>
      <c r="H1847" s="0" t="n">
        <f aca="false">D1847</f>
        <v>-0.25</v>
      </c>
      <c r="I1847" s="0" t="n">
        <f aca="false">E1847</f>
        <v>-0.25</v>
      </c>
      <c r="J1847" s="0" t="n">
        <f aca="false">F1847</f>
        <v>-0.25</v>
      </c>
      <c r="K1847" s="0" t="n">
        <f aca="false">D1847*E1847</f>
        <v>0.0625</v>
      </c>
      <c r="L1847" s="0" t="n">
        <f aca="false">D1847*F1847</f>
        <v>0.0625</v>
      </c>
      <c r="M1847" s="0" t="n">
        <f aca="false">E1847*F1847</f>
        <v>0.0625</v>
      </c>
      <c r="N1847" s="0" t="n">
        <f aca="false">D1847*D1847</f>
        <v>0.0625</v>
      </c>
      <c r="O1847" s="0" t="n">
        <f aca="false">E1847*E1847</f>
        <v>0.0625</v>
      </c>
      <c r="P1847" s="0" t="n">
        <f aca="false">F1847*F1847</f>
        <v>0.0625</v>
      </c>
      <c r="Q1847" s="0" t="n">
        <f aca="false">SUMPRODUCT(G1847:P1847,_XtX!$B$71:$K$71)</f>
        <v>46.6036079545455</v>
      </c>
      <c r="R1847" s="0" t="n">
        <f aca="false">SUMPRODUCT(MMULT(G1847:P1847,_XtX!$B$58:$K$67),G1847:P1847)</f>
        <v>0.122416548295455</v>
      </c>
      <c r="S1847" s="0" t="n">
        <f aca="false">04_回帰ANOVA!$K$19*04_回帰ANOVA!$K$14*SQRT(1+R1847)</f>
        <v>0.985016865549609</v>
      </c>
      <c r="T1847" s="0" t="n">
        <f aca="false">Q1847-S1847</f>
        <v>45.6185910889959</v>
      </c>
      <c r="U1847" s="0" t="n">
        <f aca="false">Q1847+S1847</f>
        <v>47.5886248200951</v>
      </c>
      <c r="V1847" s="54" t="b">
        <f aca="false">AND(D1847&gt;=01_因子設定!$L$5-0.000000001,D1847&lt;=01_因子設定!$M$5+0.000000001,E1847&gt;=01_因子設定!$L$6-0.000000001,E1847&lt;=01_因子設定!$M$6+0.000000001,F1847&gt;=01_因子設定!$L$7-0.000000001,F1847&lt;=01_因子設定!$M$7+0.000000001,IF(01_因子設定!$B$20="Box-Behnken",D1847^2+E1847^2+F1847^2&lt;=2+0.000000001,TRUE()))</f>
        <v>1</v>
      </c>
      <c r="W1847" s="55" t="n">
        <f aca="false">IF(V1847,IF(01_因子設定!$B$13="最大化",T1847-01_因子設定!$B$14,IF(01_因子設定!$B$13="最小化",01_因子設定!$B$15-U1847,MIN(T1847-01_因子設定!$B$14,01_因子設定!$B$15-U1847))),-1E+030)</f>
        <v>-2.88140891100415</v>
      </c>
      <c r="X1847" s="55" t="n">
        <f aca="false">IF(V1847,IF(01_因子設定!$B$13="最大化",Q1847,IF(01_因子設定!$B$13="最小化",-Q1847,-ABS(Q1847-01_因子設定!$B$16))),-1E+030)</f>
        <v>46.6036079545455</v>
      </c>
      <c r="Y1847" s="55" t="n">
        <f aca="false">W1847+ROW()*0.000000001</f>
        <v>-2.88140706400415</v>
      </c>
      <c r="Z1847" s="55" t="n">
        <f aca="false">X1847+ROW()*0.000000001</f>
        <v>46.6036098015455</v>
      </c>
    </row>
    <row r="1848" customFormat="false" ht="15" hidden="false" customHeight="false" outlineLevel="0" collapsed="false">
      <c r="A1848" s="0" t="n">
        <v>6</v>
      </c>
      <c r="B1848" s="0" t="n">
        <v>6</v>
      </c>
      <c r="C1848" s="0" t="n">
        <v>7</v>
      </c>
      <c r="D1848" s="0" t="n">
        <f aca="false">-1+A1848*0.125</f>
        <v>-0.25</v>
      </c>
      <c r="E1848" s="0" t="n">
        <f aca="false">-1+B1848*0.125</f>
        <v>-0.25</v>
      </c>
      <c r="F1848" s="0" t="n">
        <f aca="false">-1+C1848*0.125</f>
        <v>-0.125</v>
      </c>
      <c r="G1848" s="0" t="n">
        <f aca="false">1</f>
        <v>1</v>
      </c>
      <c r="H1848" s="0" t="n">
        <f aca="false">D1848</f>
        <v>-0.25</v>
      </c>
      <c r="I1848" s="0" t="n">
        <f aca="false">E1848</f>
        <v>-0.25</v>
      </c>
      <c r="J1848" s="0" t="n">
        <f aca="false">F1848</f>
        <v>-0.125</v>
      </c>
      <c r="K1848" s="0" t="n">
        <f aca="false">D1848*E1848</f>
        <v>0.0625</v>
      </c>
      <c r="L1848" s="0" t="n">
        <f aca="false">D1848*F1848</f>
        <v>0.03125</v>
      </c>
      <c r="M1848" s="0" t="n">
        <f aca="false">E1848*F1848</f>
        <v>0.03125</v>
      </c>
      <c r="N1848" s="0" t="n">
        <f aca="false">D1848*D1848</f>
        <v>0.0625</v>
      </c>
      <c r="O1848" s="0" t="n">
        <f aca="false">E1848*E1848</f>
        <v>0.0625</v>
      </c>
      <c r="P1848" s="0" t="n">
        <f aca="false">F1848*F1848</f>
        <v>0.015625</v>
      </c>
      <c r="Q1848" s="0" t="n">
        <f aca="false">SUMPRODUCT(G1848:P1848,_XtX!$B$71:$K$71)</f>
        <v>46.8219176136364</v>
      </c>
      <c r="R1848" s="0" t="n">
        <f aca="false">SUMPRODUCT(MMULT(G1848:P1848,_XtX!$B$58:$K$67),G1848:P1848)</f>
        <v>0.121524325284091</v>
      </c>
      <c r="S1848" s="0" t="n">
        <f aca="false">04_回帰ANOVA!$K$19*04_回帰ANOVA!$K$14*SQRT(1+R1848)</f>
        <v>0.984625286577447</v>
      </c>
      <c r="T1848" s="0" t="n">
        <f aca="false">Q1848-S1848</f>
        <v>45.8372923270589</v>
      </c>
      <c r="U1848" s="0" t="n">
        <f aca="false">Q1848+S1848</f>
        <v>47.8065429002138</v>
      </c>
      <c r="V1848" s="54" t="b">
        <f aca="false">AND(D1848&gt;=01_因子設定!$L$5-0.000000001,D1848&lt;=01_因子設定!$M$5+0.000000001,E1848&gt;=01_因子設定!$L$6-0.000000001,E1848&lt;=01_因子設定!$M$6+0.000000001,F1848&gt;=01_因子設定!$L$7-0.000000001,F1848&lt;=01_因子設定!$M$7+0.000000001,IF(01_因子設定!$B$20="Box-Behnken",D1848^2+E1848^2+F1848^2&lt;=2+0.000000001,TRUE()))</f>
        <v>1</v>
      </c>
      <c r="W1848" s="55" t="n">
        <f aca="false">IF(V1848,IF(01_因子設定!$B$13="最大化",T1848-01_因子設定!$B$14,IF(01_因子設定!$B$13="最小化",01_因子設定!$B$15-U1848,MIN(T1848-01_因子設定!$B$14,01_因子設定!$B$15-U1848))),-1E+030)</f>
        <v>-2.66270767294107</v>
      </c>
      <c r="X1848" s="55" t="n">
        <f aca="false">IF(V1848,IF(01_因子設定!$B$13="最大化",Q1848,IF(01_因子設定!$B$13="最小化",-Q1848,-ABS(Q1848-01_因子設定!$B$16))),-1E+030)</f>
        <v>46.8219176136364</v>
      </c>
      <c r="Y1848" s="55" t="n">
        <f aca="false">W1848+ROW()*0.000000001</f>
        <v>-2.66270582494107</v>
      </c>
      <c r="Z1848" s="55" t="n">
        <f aca="false">X1848+ROW()*0.000000001</f>
        <v>46.8219194616364</v>
      </c>
    </row>
    <row r="1849" customFormat="false" ht="15" hidden="false" customHeight="false" outlineLevel="0" collapsed="false">
      <c r="A1849" s="0" t="n">
        <v>6</v>
      </c>
      <c r="B1849" s="0" t="n">
        <v>6</v>
      </c>
      <c r="C1849" s="0" t="n">
        <v>8</v>
      </c>
      <c r="D1849" s="0" t="n">
        <f aca="false">-1+A1849*0.125</f>
        <v>-0.25</v>
      </c>
      <c r="E1849" s="0" t="n">
        <f aca="false">-1+B1849*0.125</f>
        <v>-0.25</v>
      </c>
      <c r="F1849" s="0" t="n">
        <f aca="false">-1+C1849*0.125</f>
        <v>0</v>
      </c>
      <c r="G1849" s="0" t="n">
        <f aca="false">1</f>
        <v>1</v>
      </c>
      <c r="H1849" s="0" t="n">
        <f aca="false">D1849</f>
        <v>-0.25</v>
      </c>
      <c r="I1849" s="0" t="n">
        <f aca="false">E1849</f>
        <v>-0.25</v>
      </c>
      <c r="J1849" s="0" t="n">
        <f aca="false">F1849</f>
        <v>0</v>
      </c>
      <c r="K1849" s="0" t="n">
        <f aca="false">D1849*E1849</f>
        <v>0.0625</v>
      </c>
      <c r="L1849" s="0" t="n">
        <f aca="false">D1849*F1849</f>
        <v>-0</v>
      </c>
      <c r="M1849" s="0" t="n">
        <f aca="false">E1849*F1849</f>
        <v>-0</v>
      </c>
      <c r="N1849" s="0" t="n">
        <f aca="false">D1849*D1849</f>
        <v>0.0625</v>
      </c>
      <c r="O1849" s="0" t="n">
        <f aca="false">E1849*E1849</f>
        <v>0.0625</v>
      </c>
      <c r="P1849" s="0" t="n">
        <f aca="false">F1849*F1849</f>
        <v>0</v>
      </c>
      <c r="Q1849" s="0" t="n">
        <f aca="false">SUMPRODUCT(G1849:P1849,_XtX!$B$71:$K$71)</f>
        <v>47.0034375</v>
      </c>
      <c r="R1849" s="0" t="n">
        <f aca="false">SUMPRODUCT(MMULT(G1849:P1849,_XtX!$B$58:$K$67),G1849:P1849)</f>
        <v>0.12158203125</v>
      </c>
      <c r="S1849" s="0" t="n">
        <f aca="false">04_回帰ANOVA!$K$19*04_回帰ANOVA!$K$14*SQRT(1+R1849)</f>
        <v>0.984650617290782</v>
      </c>
      <c r="T1849" s="0" t="n">
        <f aca="false">Q1849-S1849</f>
        <v>46.0187868827092</v>
      </c>
      <c r="U1849" s="0" t="n">
        <f aca="false">Q1849+S1849</f>
        <v>47.9880881172908</v>
      </c>
      <c r="V1849" s="54" t="b">
        <f aca="false">AND(D1849&gt;=01_因子設定!$L$5-0.000000001,D1849&lt;=01_因子設定!$M$5+0.000000001,E1849&gt;=01_因子設定!$L$6-0.000000001,E1849&lt;=01_因子設定!$M$6+0.000000001,F1849&gt;=01_因子設定!$L$7-0.000000001,F1849&lt;=01_因子設定!$M$7+0.000000001,IF(01_因子設定!$B$20="Box-Behnken",D1849^2+E1849^2+F1849^2&lt;=2+0.000000001,TRUE()))</f>
        <v>1</v>
      </c>
      <c r="W1849" s="55" t="n">
        <f aca="false">IF(V1849,IF(01_因子設定!$B$13="最大化",T1849-01_因子設定!$B$14,IF(01_因子設定!$B$13="最小化",01_因子設定!$B$15-U1849,MIN(T1849-01_因子設定!$B$14,01_因子設定!$B$15-U1849))),-1E+030)</f>
        <v>-2.48121311729078</v>
      </c>
      <c r="X1849" s="55" t="n">
        <f aca="false">IF(V1849,IF(01_因子設定!$B$13="最大化",Q1849,IF(01_因子設定!$B$13="最小化",-Q1849,-ABS(Q1849-01_因子設定!$B$16))),-1E+030)</f>
        <v>47.0034375</v>
      </c>
      <c r="Y1849" s="55" t="n">
        <f aca="false">W1849+ROW()*0.000000001</f>
        <v>-2.48121126829078</v>
      </c>
      <c r="Z1849" s="55" t="n">
        <f aca="false">X1849+ROW()*0.000000001</f>
        <v>47.003439349</v>
      </c>
    </row>
    <row r="1850" customFormat="false" ht="15" hidden="false" customHeight="false" outlineLevel="0" collapsed="false">
      <c r="A1850" s="0" t="n">
        <v>6</v>
      </c>
      <c r="B1850" s="0" t="n">
        <v>6</v>
      </c>
      <c r="C1850" s="0" t="n">
        <v>9</v>
      </c>
      <c r="D1850" s="0" t="n">
        <f aca="false">-1+A1850*0.125</f>
        <v>-0.25</v>
      </c>
      <c r="E1850" s="0" t="n">
        <f aca="false">-1+B1850*0.125</f>
        <v>-0.25</v>
      </c>
      <c r="F1850" s="0" t="n">
        <f aca="false">-1+C1850*0.125</f>
        <v>0.125</v>
      </c>
      <c r="G1850" s="0" t="n">
        <f aca="false">1</f>
        <v>1</v>
      </c>
      <c r="H1850" s="0" t="n">
        <f aca="false">D1850</f>
        <v>-0.25</v>
      </c>
      <c r="I1850" s="0" t="n">
        <f aca="false">E1850</f>
        <v>-0.25</v>
      </c>
      <c r="J1850" s="0" t="n">
        <f aca="false">F1850</f>
        <v>0.125</v>
      </c>
      <c r="K1850" s="0" t="n">
        <f aca="false">D1850*E1850</f>
        <v>0.0625</v>
      </c>
      <c r="L1850" s="0" t="n">
        <f aca="false">D1850*F1850</f>
        <v>-0.03125</v>
      </c>
      <c r="M1850" s="0" t="n">
        <f aca="false">E1850*F1850</f>
        <v>-0.03125</v>
      </c>
      <c r="N1850" s="0" t="n">
        <f aca="false">D1850*D1850</f>
        <v>0.0625</v>
      </c>
      <c r="O1850" s="0" t="n">
        <f aca="false">E1850*E1850</f>
        <v>0.0625</v>
      </c>
      <c r="P1850" s="0" t="n">
        <f aca="false">F1850*F1850</f>
        <v>0.015625</v>
      </c>
      <c r="Q1850" s="0" t="n">
        <f aca="false">SUMPRODUCT(G1850:P1850,_XtX!$B$71:$K$71)</f>
        <v>47.1481676136364</v>
      </c>
      <c r="R1850" s="0" t="n">
        <f aca="false">SUMPRODUCT(MMULT(G1850:P1850,_XtX!$B$58:$K$67),G1850:P1850)</f>
        <v>0.121524325284091</v>
      </c>
      <c r="S1850" s="0" t="n">
        <f aca="false">04_回帰ANOVA!$K$19*04_回帰ANOVA!$K$14*SQRT(1+R1850)</f>
        <v>0.984625286577447</v>
      </c>
      <c r="T1850" s="0" t="n">
        <f aca="false">Q1850-S1850</f>
        <v>46.1635423270589</v>
      </c>
      <c r="U1850" s="0" t="n">
        <f aca="false">Q1850+S1850</f>
        <v>48.1327929002138</v>
      </c>
      <c r="V1850" s="54" t="b">
        <f aca="false">AND(D1850&gt;=01_因子設定!$L$5-0.000000001,D1850&lt;=01_因子設定!$M$5+0.000000001,E1850&gt;=01_因子設定!$L$6-0.000000001,E1850&lt;=01_因子設定!$M$6+0.000000001,F1850&gt;=01_因子設定!$L$7-0.000000001,F1850&lt;=01_因子設定!$M$7+0.000000001,IF(01_因子設定!$B$20="Box-Behnken",D1850^2+E1850^2+F1850^2&lt;=2+0.000000001,TRUE()))</f>
        <v>1</v>
      </c>
      <c r="W1850" s="55" t="n">
        <f aca="false">IF(V1850,IF(01_因子設定!$B$13="最大化",T1850-01_因子設定!$B$14,IF(01_因子設定!$B$13="最小化",01_因子設定!$B$15-U1850,MIN(T1850-01_因子設定!$B$14,01_因子設定!$B$15-U1850))),-1E+030)</f>
        <v>-2.33645767294107</v>
      </c>
      <c r="X1850" s="55" t="n">
        <f aca="false">IF(V1850,IF(01_因子設定!$B$13="最大化",Q1850,IF(01_因子設定!$B$13="最小化",-Q1850,-ABS(Q1850-01_因子設定!$B$16))),-1E+030)</f>
        <v>47.1481676136364</v>
      </c>
      <c r="Y1850" s="55" t="n">
        <f aca="false">W1850+ROW()*0.000000001</f>
        <v>-2.33645582294107</v>
      </c>
      <c r="Z1850" s="55" t="n">
        <f aca="false">X1850+ROW()*0.000000001</f>
        <v>47.1481694636364</v>
      </c>
    </row>
    <row r="1851" customFormat="false" ht="15" hidden="false" customHeight="false" outlineLevel="0" collapsed="false">
      <c r="A1851" s="0" t="n">
        <v>6</v>
      </c>
      <c r="B1851" s="0" t="n">
        <v>6</v>
      </c>
      <c r="C1851" s="0" t="n">
        <v>10</v>
      </c>
      <c r="D1851" s="0" t="n">
        <f aca="false">-1+A1851*0.125</f>
        <v>-0.25</v>
      </c>
      <c r="E1851" s="0" t="n">
        <f aca="false">-1+B1851*0.125</f>
        <v>-0.25</v>
      </c>
      <c r="F1851" s="0" t="n">
        <f aca="false">-1+C1851*0.125</f>
        <v>0.25</v>
      </c>
      <c r="G1851" s="0" t="n">
        <f aca="false">1</f>
        <v>1</v>
      </c>
      <c r="H1851" s="0" t="n">
        <f aca="false">D1851</f>
        <v>-0.25</v>
      </c>
      <c r="I1851" s="0" t="n">
        <f aca="false">E1851</f>
        <v>-0.25</v>
      </c>
      <c r="J1851" s="0" t="n">
        <f aca="false">F1851</f>
        <v>0.25</v>
      </c>
      <c r="K1851" s="0" t="n">
        <f aca="false">D1851*E1851</f>
        <v>0.0625</v>
      </c>
      <c r="L1851" s="0" t="n">
        <f aca="false">D1851*F1851</f>
        <v>-0.0625</v>
      </c>
      <c r="M1851" s="0" t="n">
        <f aca="false">E1851*F1851</f>
        <v>-0.0625</v>
      </c>
      <c r="N1851" s="0" t="n">
        <f aca="false">D1851*D1851</f>
        <v>0.0625</v>
      </c>
      <c r="O1851" s="0" t="n">
        <f aca="false">E1851*E1851</f>
        <v>0.0625</v>
      </c>
      <c r="P1851" s="0" t="n">
        <f aca="false">F1851*F1851</f>
        <v>0.0625</v>
      </c>
      <c r="Q1851" s="0" t="n">
        <f aca="false">SUMPRODUCT(G1851:P1851,_XtX!$B$71:$K$71)</f>
        <v>47.2561079545455</v>
      </c>
      <c r="R1851" s="0" t="n">
        <f aca="false">SUMPRODUCT(MMULT(G1851:P1851,_XtX!$B$58:$K$67),G1851:P1851)</f>
        <v>0.122416548295455</v>
      </c>
      <c r="S1851" s="0" t="n">
        <f aca="false">04_回帰ANOVA!$K$19*04_回帰ANOVA!$K$14*SQRT(1+R1851)</f>
        <v>0.985016865549609</v>
      </c>
      <c r="T1851" s="0" t="n">
        <f aca="false">Q1851-S1851</f>
        <v>46.2710910889959</v>
      </c>
      <c r="U1851" s="0" t="n">
        <f aca="false">Q1851+S1851</f>
        <v>48.2411248200951</v>
      </c>
      <c r="V1851" s="54" t="b">
        <f aca="false">AND(D1851&gt;=01_因子設定!$L$5-0.000000001,D1851&lt;=01_因子設定!$M$5+0.000000001,E1851&gt;=01_因子設定!$L$6-0.000000001,E1851&lt;=01_因子設定!$M$6+0.000000001,F1851&gt;=01_因子設定!$L$7-0.000000001,F1851&lt;=01_因子設定!$M$7+0.000000001,IF(01_因子設定!$B$20="Box-Behnken",D1851^2+E1851^2+F1851^2&lt;=2+0.000000001,TRUE()))</f>
        <v>1</v>
      </c>
      <c r="W1851" s="55" t="n">
        <f aca="false">IF(V1851,IF(01_因子設定!$B$13="最大化",T1851-01_因子設定!$B$14,IF(01_因子設定!$B$13="最小化",01_因子設定!$B$15-U1851,MIN(T1851-01_因子設定!$B$14,01_因子設定!$B$15-U1851))),-1E+030)</f>
        <v>-2.22890891100415</v>
      </c>
      <c r="X1851" s="55" t="n">
        <f aca="false">IF(V1851,IF(01_因子設定!$B$13="最大化",Q1851,IF(01_因子設定!$B$13="最小化",-Q1851,-ABS(Q1851-01_因子設定!$B$16))),-1E+030)</f>
        <v>47.2561079545455</v>
      </c>
      <c r="Y1851" s="55" t="n">
        <f aca="false">W1851+ROW()*0.000000001</f>
        <v>-2.22890706000415</v>
      </c>
      <c r="Z1851" s="55" t="n">
        <f aca="false">X1851+ROW()*0.000000001</f>
        <v>47.2561098055455</v>
      </c>
    </row>
    <row r="1852" customFormat="false" ht="15" hidden="false" customHeight="false" outlineLevel="0" collapsed="false">
      <c r="A1852" s="0" t="n">
        <v>6</v>
      </c>
      <c r="B1852" s="0" t="n">
        <v>6</v>
      </c>
      <c r="C1852" s="0" t="n">
        <v>11</v>
      </c>
      <c r="D1852" s="0" t="n">
        <f aca="false">-1+A1852*0.125</f>
        <v>-0.25</v>
      </c>
      <c r="E1852" s="0" t="n">
        <f aca="false">-1+B1852*0.125</f>
        <v>-0.25</v>
      </c>
      <c r="F1852" s="0" t="n">
        <f aca="false">-1+C1852*0.125</f>
        <v>0.375</v>
      </c>
      <c r="G1852" s="0" t="n">
        <f aca="false">1</f>
        <v>1</v>
      </c>
      <c r="H1852" s="0" t="n">
        <f aca="false">D1852</f>
        <v>-0.25</v>
      </c>
      <c r="I1852" s="0" t="n">
        <f aca="false">E1852</f>
        <v>-0.25</v>
      </c>
      <c r="J1852" s="0" t="n">
        <f aca="false">F1852</f>
        <v>0.375</v>
      </c>
      <c r="K1852" s="0" t="n">
        <f aca="false">D1852*E1852</f>
        <v>0.0625</v>
      </c>
      <c r="L1852" s="0" t="n">
        <f aca="false">D1852*F1852</f>
        <v>-0.09375</v>
      </c>
      <c r="M1852" s="0" t="n">
        <f aca="false">E1852*F1852</f>
        <v>-0.09375</v>
      </c>
      <c r="N1852" s="0" t="n">
        <f aca="false">D1852*D1852</f>
        <v>0.0625</v>
      </c>
      <c r="O1852" s="0" t="n">
        <f aca="false">E1852*E1852</f>
        <v>0.0625</v>
      </c>
      <c r="P1852" s="0" t="n">
        <f aca="false">F1852*F1852</f>
        <v>0.140625</v>
      </c>
      <c r="Q1852" s="0" t="n">
        <f aca="false">SUMPRODUCT(G1852:P1852,_XtX!$B$71:$K$71)</f>
        <v>47.3272585227273</v>
      </c>
      <c r="R1852" s="0" t="n">
        <f aca="false">SUMPRODUCT(MMULT(G1852:P1852,_XtX!$B$58:$K$67),G1852:P1852)</f>
        <v>0.127454723011364</v>
      </c>
      <c r="S1852" s="0" t="n">
        <f aca="false">04_回帰ANOVA!$K$19*04_回帰ANOVA!$K$14*SQRT(1+R1852)</f>
        <v>0.987225105686864</v>
      </c>
      <c r="T1852" s="0" t="n">
        <f aca="false">Q1852-S1852</f>
        <v>46.3400334170404</v>
      </c>
      <c r="U1852" s="0" t="n">
        <f aca="false">Q1852+S1852</f>
        <v>48.3144836284142</v>
      </c>
      <c r="V1852" s="54" t="b">
        <f aca="false">AND(D1852&gt;=01_因子設定!$L$5-0.000000001,D1852&lt;=01_因子設定!$M$5+0.000000001,E1852&gt;=01_因子設定!$L$6-0.000000001,E1852&lt;=01_因子設定!$M$6+0.000000001,F1852&gt;=01_因子設定!$L$7-0.000000001,F1852&lt;=01_因子設定!$M$7+0.000000001,IF(01_因子設定!$B$20="Box-Behnken",D1852^2+E1852^2+F1852^2&lt;=2+0.000000001,TRUE()))</f>
        <v>1</v>
      </c>
      <c r="W1852" s="55" t="n">
        <f aca="false">IF(V1852,IF(01_因子設定!$B$13="最大化",T1852-01_因子設定!$B$14,IF(01_因子設定!$B$13="最小化",01_因子設定!$B$15-U1852,MIN(T1852-01_因子設定!$B$14,01_因子設定!$B$15-U1852))),-1E+030)</f>
        <v>-2.15996658295958</v>
      </c>
      <c r="X1852" s="55" t="n">
        <f aca="false">IF(V1852,IF(01_因子設定!$B$13="最大化",Q1852,IF(01_因子設定!$B$13="最小化",-Q1852,-ABS(Q1852-01_因子設定!$B$16))),-1E+030)</f>
        <v>47.3272585227273</v>
      </c>
      <c r="Y1852" s="55" t="n">
        <f aca="false">W1852+ROW()*0.000000001</f>
        <v>-2.15996473095958</v>
      </c>
      <c r="Z1852" s="55" t="n">
        <f aca="false">X1852+ROW()*0.000000001</f>
        <v>47.3272603747273</v>
      </c>
    </row>
    <row r="1853" customFormat="false" ht="15" hidden="false" customHeight="false" outlineLevel="0" collapsed="false">
      <c r="A1853" s="0" t="n">
        <v>6</v>
      </c>
      <c r="B1853" s="0" t="n">
        <v>6</v>
      </c>
      <c r="C1853" s="0" t="n">
        <v>12</v>
      </c>
      <c r="D1853" s="0" t="n">
        <f aca="false">-1+A1853*0.125</f>
        <v>-0.25</v>
      </c>
      <c r="E1853" s="0" t="n">
        <f aca="false">-1+B1853*0.125</f>
        <v>-0.25</v>
      </c>
      <c r="F1853" s="0" t="n">
        <f aca="false">-1+C1853*0.125</f>
        <v>0.5</v>
      </c>
      <c r="G1853" s="0" t="n">
        <f aca="false">1</f>
        <v>1</v>
      </c>
      <c r="H1853" s="0" t="n">
        <f aca="false">D1853</f>
        <v>-0.25</v>
      </c>
      <c r="I1853" s="0" t="n">
        <f aca="false">E1853</f>
        <v>-0.25</v>
      </c>
      <c r="J1853" s="0" t="n">
        <f aca="false">F1853</f>
        <v>0.5</v>
      </c>
      <c r="K1853" s="0" t="n">
        <f aca="false">D1853*E1853</f>
        <v>0.0625</v>
      </c>
      <c r="L1853" s="0" t="n">
        <f aca="false">D1853*F1853</f>
        <v>-0.125</v>
      </c>
      <c r="M1853" s="0" t="n">
        <f aca="false">E1853*F1853</f>
        <v>-0.125</v>
      </c>
      <c r="N1853" s="0" t="n">
        <f aca="false">D1853*D1853</f>
        <v>0.0625</v>
      </c>
      <c r="O1853" s="0" t="n">
        <f aca="false">E1853*E1853</f>
        <v>0.0625</v>
      </c>
      <c r="P1853" s="0" t="n">
        <f aca="false">F1853*F1853</f>
        <v>0.25</v>
      </c>
      <c r="Q1853" s="0" t="n">
        <f aca="false">SUMPRODUCT(G1853:P1853,_XtX!$B$71:$K$71)</f>
        <v>47.3616193181818</v>
      </c>
      <c r="R1853" s="0" t="n">
        <f aca="false">SUMPRODUCT(MMULT(G1853:P1853,_XtX!$B$58:$K$67),G1853:P1853)</f>
        <v>0.141965553977273</v>
      </c>
      <c r="S1853" s="0" t="n">
        <f aca="false">04_回帰ANOVA!$K$19*04_回帰ANOVA!$K$14*SQRT(1+R1853)</f>
        <v>0.993557802198625</v>
      </c>
      <c r="T1853" s="0" t="n">
        <f aca="false">Q1853-S1853</f>
        <v>46.3680615159832</v>
      </c>
      <c r="U1853" s="0" t="n">
        <f aca="false">Q1853+S1853</f>
        <v>48.3551771203805</v>
      </c>
      <c r="V1853" s="54" t="b">
        <f aca="false">AND(D1853&gt;=01_因子設定!$L$5-0.000000001,D1853&lt;=01_因子設定!$M$5+0.000000001,E1853&gt;=01_因子設定!$L$6-0.000000001,E1853&lt;=01_因子設定!$M$6+0.000000001,F1853&gt;=01_因子設定!$L$7-0.000000001,F1853&lt;=01_因子設定!$M$7+0.000000001,IF(01_因子設定!$B$20="Box-Behnken",D1853^2+E1853^2+F1853^2&lt;=2+0.000000001,TRUE()))</f>
        <v>1</v>
      </c>
      <c r="W1853" s="55" t="n">
        <f aca="false">IF(V1853,IF(01_因子設定!$B$13="最大化",T1853-01_因子設定!$B$14,IF(01_因子設定!$B$13="最小化",01_因子設定!$B$15-U1853,MIN(T1853-01_因子設定!$B$14,01_因子設定!$B$15-U1853))),-1E+030)</f>
        <v>-2.13193848401679</v>
      </c>
      <c r="X1853" s="55" t="n">
        <f aca="false">IF(V1853,IF(01_因子設定!$B$13="最大化",Q1853,IF(01_因子設定!$B$13="最小化",-Q1853,-ABS(Q1853-01_因子設定!$B$16))),-1E+030)</f>
        <v>47.3616193181818</v>
      </c>
      <c r="Y1853" s="55" t="n">
        <f aca="false">W1853+ROW()*0.000000001</f>
        <v>-2.13193663101679</v>
      </c>
      <c r="Z1853" s="55" t="n">
        <f aca="false">X1853+ROW()*0.000000001</f>
        <v>47.3616211711818</v>
      </c>
    </row>
    <row r="1854" customFormat="false" ht="15" hidden="false" customHeight="false" outlineLevel="0" collapsed="false">
      <c r="A1854" s="0" t="n">
        <v>6</v>
      </c>
      <c r="B1854" s="0" t="n">
        <v>6</v>
      </c>
      <c r="C1854" s="0" t="n">
        <v>13</v>
      </c>
      <c r="D1854" s="0" t="n">
        <f aca="false">-1+A1854*0.125</f>
        <v>-0.25</v>
      </c>
      <c r="E1854" s="0" t="n">
        <f aca="false">-1+B1854*0.125</f>
        <v>-0.25</v>
      </c>
      <c r="F1854" s="0" t="n">
        <f aca="false">-1+C1854*0.125</f>
        <v>0.625</v>
      </c>
      <c r="G1854" s="0" t="n">
        <f aca="false">1</f>
        <v>1</v>
      </c>
      <c r="H1854" s="0" t="n">
        <f aca="false">D1854</f>
        <v>-0.25</v>
      </c>
      <c r="I1854" s="0" t="n">
        <f aca="false">E1854</f>
        <v>-0.25</v>
      </c>
      <c r="J1854" s="0" t="n">
        <f aca="false">F1854</f>
        <v>0.625</v>
      </c>
      <c r="K1854" s="0" t="n">
        <f aca="false">D1854*E1854</f>
        <v>0.0625</v>
      </c>
      <c r="L1854" s="0" t="n">
        <f aca="false">D1854*F1854</f>
        <v>-0.15625</v>
      </c>
      <c r="M1854" s="0" t="n">
        <f aca="false">E1854*F1854</f>
        <v>-0.15625</v>
      </c>
      <c r="N1854" s="0" t="n">
        <f aca="false">D1854*D1854</f>
        <v>0.0625</v>
      </c>
      <c r="O1854" s="0" t="n">
        <f aca="false">E1854*E1854</f>
        <v>0.0625</v>
      </c>
      <c r="P1854" s="0" t="n">
        <f aca="false">F1854*F1854</f>
        <v>0.390625</v>
      </c>
      <c r="Q1854" s="0" t="n">
        <f aca="false">SUMPRODUCT(G1854:P1854,_XtX!$B$71:$K$71)</f>
        <v>47.3591903409091</v>
      </c>
      <c r="R1854" s="0" t="n">
        <f aca="false">SUMPRODUCT(MMULT(G1854:P1854,_XtX!$B$58:$K$67),G1854:P1854)</f>
        <v>0.173406427556818</v>
      </c>
      <c r="S1854" s="0" t="n">
        <f aca="false">04_回帰ANOVA!$K$19*04_回帰ANOVA!$K$14*SQRT(1+R1854)</f>
        <v>1.00714237128059</v>
      </c>
      <c r="T1854" s="0" t="n">
        <f aca="false">Q1854-S1854</f>
        <v>46.3520479696285</v>
      </c>
      <c r="U1854" s="0" t="n">
        <f aca="false">Q1854+S1854</f>
        <v>48.3663327121897</v>
      </c>
      <c r="V1854" s="54" t="b">
        <f aca="false">AND(D1854&gt;=01_因子設定!$L$5-0.000000001,D1854&lt;=01_因子設定!$M$5+0.000000001,E1854&gt;=01_因子設定!$L$6-0.000000001,E1854&lt;=01_因子設定!$M$6+0.000000001,F1854&gt;=01_因子設定!$L$7-0.000000001,F1854&lt;=01_因子設定!$M$7+0.000000001,IF(01_因子設定!$B$20="Box-Behnken",D1854^2+E1854^2+F1854^2&lt;=2+0.000000001,TRUE()))</f>
        <v>1</v>
      </c>
      <c r="W1854" s="55" t="n">
        <f aca="false">IF(V1854,IF(01_因子設定!$B$13="最大化",T1854-01_因子設定!$B$14,IF(01_因子設定!$B$13="最小化",01_因子設定!$B$15-U1854,MIN(T1854-01_因子設定!$B$14,01_因子設定!$B$15-U1854))),-1E+030)</f>
        <v>-2.14795203037149</v>
      </c>
      <c r="X1854" s="55" t="n">
        <f aca="false">IF(V1854,IF(01_因子設定!$B$13="最大化",Q1854,IF(01_因子設定!$B$13="最小化",-Q1854,-ABS(Q1854-01_因子設定!$B$16))),-1E+030)</f>
        <v>47.3591903409091</v>
      </c>
      <c r="Y1854" s="55" t="n">
        <f aca="false">W1854+ROW()*0.000000001</f>
        <v>-2.14795017637148</v>
      </c>
      <c r="Z1854" s="55" t="n">
        <f aca="false">X1854+ROW()*0.000000001</f>
        <v>47.3591921949091</v>
      </c>
    </row>
    <row r="1855" customFormat="false" ht="15" hidden="false" customHeight="false" outlineLevel="0" collapsed="false">
      <c r="A1855" s="0" t="n">
        <v>6</v>
      </c>
      <c r="B1855" s="0" t="n">
        <v>6</v>
      </c>
      <c r="C1855" s="0" t="n">
        <v>14</v>
      </c>
      <c r="D1855" s="0" t="n">
        <f aca="false">-1+A1855*0.125</f>
        <v>-0.25</v>
      </c>
      <c r="E1855" s="0" t="n">
        <f aca="false">-1+B1855*0.125</f>
        <v>-0.25</v>
      </c>
      <c r="F1855" s="0" t="n">
        <f aca="false">-1+C1855*0.125</f>
        <v>0.75</v>
      </c>
      <c r="G1855" s="0" t="n">
        <f aca="false">1</f>
        <v>1</v>
      </c>
      <c r="H1855" s="0" t="n">
        <f aca="false">D1855</f>
        <v>-0.25</v>
      </c>
      <c r="I1855" s="0" t="n">
        <f aca="false">E1855</f>
        <v>-0.25</v>
      </c>
      <c r="J1855" s="0" t="n">
        <f aca="false">F1855</f>
        <v>0.75</v>
      </c>
      <c r="K1855" s="0" t="n">
        <f aca="false">D1855*E1855</f>
        <v>0.0625</v>
      </c>
      <c r="L1855" s="0" t="n">
        <f aca="false">D1855*F1855</f>
        <v>-0.1875</v>
      </c>
      <c r="M1855" s="0" t="n">
        <f aca="false">E1855*F1855</f>
        <v>-0.1875</v>
      </c>
      <c r="N1855" s="0" t="n">
        <f aca="false">D1855*D1855</f>
        <v>0.0625</v>
      </c>
      <c r="O1855" s="0" t="n">
        <f aca="false">E1855*E1855</f>
        <v>0.0625</v>
      </c>
      <c r="P1855" s="0" t="n">
        <f aca="false">F1855*F1855</f>
        <v>0.5625</v>
      </c>
      <c r="Q1855" s="0" t="n">
        <f aca="false">SUMPRODUCT(G1855:P1855,_XtX!$B$71:$K$71)</f>
        <v>47.3199715909091</v>
      </c>
      <c r="R1855" s="0" t="n">
        <f aca="false">SUMPRODUCT(MMULT(G1855:P1855,_XtX!$B$58:$K$67),G1855:P1855)</f>
        <v>0.231365411931818</v>
      </c>
      <c r="S1855" s="0" t="n">
        <f aca="false">04_回帰ANOVA!$K$19*04_回帰ANOVA!$K$14*SQRT(1+R1855)</f>
        <v>1.03171587072803</v>
      </c>
      <c r="T1855" s="0" t="n">
        <f aca="false">Q1855-S1855</f>
        <v>46.2882557201811</v>
      </c>
      <c r="U1855" s="0" t="n">
        <f aca="false">Q1855+S1855</f>
        <v>48.3516874616371</v>
      </c>
      <c r="V1855" s="54" t="b">
        <f aca="false">AND(D1855&gt;=01_因子設定!$L$5-0.000000001,D1855&lt;=01_因子設定!$M$5+0.000000001,E1855&gt;=01_因子設定!$L$6-0.000000001,E1855&lt;=01_因子設定!$M$6+0.000000001,F1855&gt;=01_因子設定!$L$7-0.000000001,F1855&lt;=01_因子設定!$M$7+0.000000001,IF(01_因子設定!$B$20="Box-Behnken",D1855^2+E1855^2+F1855^2&lt;=2+0.000000001,TRUE()))</f>
        <v>1</v>
      </c>
      <c r="W1855" s="55" t="n">
        <f aca="false">IF(V1855,IF(01_因子設定!$B$13="最大化",T1855-01_因子設定!$B$14,IF(01_因子設定!$B$13="最小化",01_因子設定!$B$15-U1855,MIN(T1855-01_因子設定!$B$14,01_因子設定!$B$15-U1855))),-1E+030)</f>
        <v>-2.21174427981892</v>
      </c>
      <c r="X1855" s="55" t="n">
        <f aca="false">IF(V1855,IF(01_因子設定!$B$13="最大化",Q1855,IF(01_因子設定!$B$13="最小化",-Q1855,-ABS(Q1855-01_因子設定!$B$16))),-1E+030)</f>
        <v>47.3199715909091</v>
      </c>
      <c r="Y1855" s="55" t="n">
        <f aca="false">W1855+ROW()*0.000000001</f>
        <v>-2.21174242481892</v>
      </c>
      <c r="Z1855" s="55" t="n">
        <f aca="false">X1855+ROW()*0.000000001</f>
        <v>47.3199734459091</v>
      </c>
    </row>
    <row r="1856" customFormat="false" ht="15" hidden="false" customHeight="false" outlineLevel="0" collapsed="false">
      <c r="A1856" s="0" t="n">
        <v>6</v>
      </c>
      <c r="B1856" s="0" t="n">
        <v>6</v>
      </c>
      <c r="C1856" s="0" t="n">
        <v>15</v>
      </c>
      <c r="D1856" s="0" t="n">
        <f aca="false">-1+A1856*0.125</f>
        <v>-0.25</v>
      </c>
      <c r="E1856" s="0" t="n">
        <f aca="false">-1+B1856*0.125</f>
        <v>-0.25</v>
      </c>
      <c r="F1856" s="0" t="n">
        <f aca="false">-1+C1856*0.125</f>
        <v>0.875</v>
      </c>
      <c r="G1856" s="0" t="n">
        <f aca="false">1</f>
        <v>1</v>
      </c>
      <c r="H1856" s="0" t="n">
        <f aca="false">D1856</f>
        <v>-0.25</v>
      </c>
      <c r="I1856" s="0" t="n">
        <f aca="false">E1856</f>
        <v>-0.25</v>
      </c>
      <c r="J1856" s="0" t="n">
        <f aca="false">F1856</f>
        <v>0.875</v>
      </c>
      <c r="K1856" s="0" t="n">
        <f aca="false">D1856*E1856</f>
        <v>0.0625</v>
      </c>
      <c r="L1856" s="0" t="n">
        <f aca="false">D1856*F1856</f>
        <v>-0.21875</v>
      </c>
      <c r="M1856" s="0" t="n">
        <f aca="false">E1856*F1856</f>
        <v>-0.21875</v>
      </c>
      <c r="N1856" s="0" t="n">
        <f aca="false">D1856*D1856</f>
        <v>0.0625</v>
      </c>
      <c r="O1856" s="0" t="n">
        <f aca="false">E1856*E1856</f>
        <v>0.0625</v>
      </c>
      <c r="P1856" s="0" t="n">
        <f aca="false">F1856*F1856</f>
        <v>0.765625</v>
      </c>
      <c r="Q1856" s="0" t="n">
        <f aca="false">SUMPRODUCT(G1856:P1856,_XtX!$B$71:$K$71)</f>
        <v>47.2439630681818</v>
      </c>
      <c r="R1856" s="0" t="n">
        <f aca="false">SUMPRODUCT(MMULT(G1856:P1856,_XtX!$B$58:$K$67),G1856:P1856)</f>
        <v>0.327561257102273</v>
      </c>
      <c r="S1856" s="0" t="n">
        <f aca="false">04_回帰ANOVA!$K$19*04_回帰ANOVA!$K$14*SQRT(1+R1856)</f>
        <v>1.07125761201315</v>
      </c>
      <c r="T1856" s="0" t="n">
        <f aca="false">Q1856-S1856</f>
        <v>46.1727054561687</v>
      </c>
      <c r="U1856" s="0" t="n">
        <f aca="false">Q1856+S1856</f>
        <v>48.315220680195</v>
      </c>
      <c r="V1856" s="54" t="b">
        <f aca="false">AND(D1856&gt;=01_因子設定!$L$5-0.000000001,D1856&lt;=01_因子設定!$M$5+0.000000001,E1856&gt;=01_因子設定!$L$6-0.000000001,E1856&lt;=01_因子設定!$M$6+0.000000001,F1856&gt;=01_因子設定!$L$7-0.000000001,F1856&lt;=01_因子設定!$M$7+0.000000001,IF(01_因子設定!$B$20="Box-Behnken",D1856^2+E1856^2+F1856^2&lt;=2+0.000000001,TRUE()))</f>
        <v>1</v>
      </c>
      <c r="W1856" s="55" t="n">
        <f aca="false">IF(V1856,IF(01_因子設定!$B$13="最大化",T1856-01_因子設定!$B$14,IF(01_因子設定!$B$13="最小化",01_因子設定!$B$15-U1856,MIN(T1856-01_因子設定!$B$14,01_因子設定!$B$15-U1856))),-1E+030)</f>
        <v>-2.32729454383131</v>
      </c>
      <c r="X1856" s="55" t="n">
        <f aca="false">IF(V1856,IF(01_因子設定!$B$13="最大化",Q1856,IF(01_因子設定!$B$13="最小化",-Q1856,-ABS(Q1856-01_因子設定!$B$16))),-1E+030)</f>
        <v>47.2439630681818</v>
      </c>
      <c r="Y1856" s="55" t="n">
        <f aca="false">W1856+ROW()*0.000000001</f>
        <v>-2.32729268783131</v>
      </c>
      <c r="Z1856" s="55" t="n">
        <f aca="false">X1856+ROW()*0.000000001</f>
        <v>47.2439649241818</v>
      </c>
    </row>
    <row r="1857" customFormat="false" ht="15" hidden="false" customHeight="false" outlineLevel="0" collapsed="false">
      <c r="A1857" s="0" t="n">
        <v>6</v>
      </c>
      <c r="B1857" s="0" t="n">
        <v>6</v>
      </c>
      <c r="C1857" s="0" t="n">
        <v>16</v>
      </c>
      <c r="D1857" s="0" t="n">
        <f aca="false">-1+A1857*0.125</f>
        <v>-0.25</v>
      </c>
      <c r="E1857" s="0" t="n">
        <f aca="false">-1+B1857*0.125</f>
        <v>-0.25</v>
      </c>
      <c r="F1857" s="0" t="n">
        <f aca="false">-1+C1857*0.125</f>
        <v>1</v>
      </c>
      <c r="G1857" s="0" t="n">
        <f aca="false">1</f>
        <v>1</v>
      </c>
      <c r="H1857" s="0" t="n">
        <f aca="false">D1857</f>
        <v>-0.25</v>
      </c>
      <c r="I1857" s="0" t="n">
        <f aca="false">E1857</f>
        <v>-0.25</v>
      </c>
      <c r="J1857" s="0" t="n">
        <f aca="false">F1857</f>
        <v>1</v>
      </c>
      <c r="K1857" s="0" t="n">
        <f aca="false">D1857*E1857</f>
        <v>0.0625</v>
      </c>
      <c r="L1857" s="0" t="n">
        <f aca="false">D1857*F1857</f>
        <v>-0.25</v>
      </c>
      <c r="M1857" s="0" t="n">
        <f aca="false">E1857*F1857</f>
        <v>-0.25</v>
      </c>
      <c r="N1857" s="0" t="n">
        <f aca="false">D1857*D1857</f>
        <v>0.0625</v>
      </c>
      <c r="O1857" s="0" t="n">
        <f aca="false">E1857*E1857</f>
        <v>0.0625</v>
      </c>
      <c r="P1857" s="0" t="n">
        <f aca="false">F1857*F1857</f>
        <v>1</v>
      </c>
      <c r="Q1857" s="0" t="n">
        <f aca="false">SUMPRODUCT(G1857:P1857,_XtX!$B$71:$K$71)</f>
        <v>47.1311647727273</v>
      </c>
      <c r="R1857" s="0" t="n">
        <f aca="false">SUMPRODUCT(MMULT(G1857:P1857,_XtX!$B$58:$K$67),G1857:P1857)</f>
        <v>0.475843394886364</v>
      </c>
      <c r="S1857" s="0" t="n">
        <f aca="false">04_回帰ANOVA!$K$19*04_回帰ANOVA!$K$14*SQRT(1+R1857)</f>
        <v>1.12950140123694</v>
      </c>
      <c r="T1857" s="0" t="n">
        <f aca="false">Q1857-S1857</f>
        <v>46.0016633714904</v>
      </c>
      <c r="U1857" s="0" t="n">
        <f aca="false">Q1857+S1857</f>
        <v>48.2606661739642</v>
      </c>
      <c r="V1857" s="54" t="b">
        <f aca="false">AND(D1857&gt;=01_因子設定!$L$5-0.000000001,D1857&lt;=01_因子設定!$M$5+0.000000001,E1857&gt;=01_因子設定!$L$6-0.000000001,E1857&lt;=01_因子設定!$M$6+0.000000001,F1857&gt;=01_因子設定!$L$7-0.000000001,F1857&lt;=01_因子設定!$M$7+0.000000001,IF(01_因子設定!$B$20="Box-Behnken",D1857^2+E1857^2+F1857^2&lt;=2+0.000000001,TRUE()))</f>
        <v>1</v>
      </c>
      <c r="W1857" s="55" t="n">
        <f aca="false">IF(V1857,IF(01_因子設定!$B$13="最大化",T1857-01_因子設定!$B$14,IF(01_因子設定!$B$13="最小化",01_因子設定!$B$15-U1857,MIN(T1857-01_因子設定!$B$14,01_因子設定!$B$15-U1857))),-1E+030)</f>
        <v>-2.49833662850964</v>
      </c>
      <c r="X1857" s="55" t="n">
        <f aca="false">IF(V1857,IF(01_因子設定!$B$13="最大化",Q1857,IF(01_因子設定!$B$13="最小化",-Q1857,-ABS(Q1857-01_因子設定!$B$16))),-1E+030)</f>
        <v>47.1311647727273</v>
      </c>
      <c r="Y1857" s="55" t="n">
        <f aca="false">W1857+ROW()*0.000000001</f>
        <v>-2.49833477150964</v>
      </c>
      <c r="Z1857" s="55" t="n">
        <f aca="false">X1857+ROW()*0.000000001</f>
        <v>47.1311666297273</v>
      </c>
    </row>
    <row r="1858" customFormat="false" ht="15" hidden="false" customHeight="false" outlineLevel="0" collapsed="false">
      <c r="A1858" s="0" t="n">
        <v>6</v>
      </c>
      <c r="B1858" s="0" t="n">
        <v>7</v>
      </c>
      <c r="C1858" s="0" t="n">
        <v>0</v>
      </c>
      <c r="D1858" s="0" t="n">
        <f aca="false">-1+A1858*0.125</f>
        <v>-0.25</v>
      </c>
      <c r="E1858" s="0" t="n">
        <f aca="false">-1+B1858*0.125</f>
        <v>-0.125</v>
      </c>
      <c r="F1858" s="0" t="n">
        <f aca="false">-1+C1858*0.125</f>
        <v>-1</v>
      </c>
      <c r="G1858" s="0" t="n">
        <f aca="false">1</f>
        <v>1</v>
      </c>
      <c r="H1858" s="0" t="n">
        <f aca="false">D1858</f>
        <v>-0.25</v>
      </c>
      <c r="I1858" s="0" t="n">
        <f aca="false">E1858</f>
        <v>-0.125</v>
      </c>
      <c r="J1858" s="0" t="n">
        <f aca="false">F1858</f>
        <v>-1</v>
      </c>
      <c r="K1858" s="0" t="n">
        <f aca="false">D1858*E1858</f>
        <v>0.03125</v>
      </c>
      <c r="L1858" s="0" t="n">
        <f aca="false">D1858*F1858</f>
        <v>0.25</v>
      </c>
      <c r="M1858" s="0" t="n">
        <f aca="false">E1858*F1858</f>
        <v>0.125</v>
      </c>
      <c r="N1858" s="0" t="n">
        <f aca="false">D1858*D1858</f>
        <v>0.0625</v>
      </c>
      <c r="O1858" s="0" t="n">
        <f aca="false">E1858*E1858</f>
        <v>0.015625</v>
      </c>
      <c r="P1858" s="0" t="n">
        <f aca="false">F1858*F1858</f>
        <v>1</v>
      </c>
      <c r="Q1858" s="0" t="n">
        <f aca="false">SUMPRODUCT(G1858:P1858,_XtX!$B$71:$K$71)</f>
        <v>44.7804119318182</v>
      </c>
      <c r="R1858" s="0" t="n">
        <f aca="false">SUMPRODUCT(MMULT(G1858:P1858,_XtX!$B$58:$K$67),G1858:P1858)</f>
        <v>0.481443093039773</v>
      </c>
      <c r="S1858" s="0" t="n">
        <f aca="false">04_回帰ANOVA!$K$19*04_回帰ANOVA!$K$14*SQRT(1+R1858)</f>
        <v>1.13164216995877</v>
      </c>
      <c r="T1858" s="0" t="n">
        <f aca="false">Q1858-S1858</f>
        <v>43.6487697618594</v>
      </c>
      <c r="U1858" s="0" t="n">
        <f aca="false">Q1858+S1858</f>
        <v>45.912054101777</v>
      </c>
      <c r="V1858" s="54" t="b">
        <f aca="false">AND(D1858&gt;=01_因子設定!$L$5-0.000000001,D1858&lt;=01_因子設定!$M$5+0.000000001,E1858&gt;=01_因子設定!$L$6-0.000000001,E1858&lt;=01_因子設定!$M$6+0.000000001,F1858&gt;=01_因子設定!$L$7-0.000000001,F1858&lt;=01_因子設定!$M$7+0.000000001,IF(01_因子設定!$B$20="Box-Behnken",D1858^2+E1858^2+F1858^2&lt;=2+0.000000001,TRUE()))</f>
        <v>1</v>
      </c>
      <c r="W1858" s="55" t="n">
        <f aca="false">IF(V1858,IF(01_因子設定!$B$13="最大化",T1858-01_因子設定!$B$14,IF(01_因子設定!$B$13="最小化",01_因子設定!$B$15-U1858,MIN(T1858-01_因子設定!$B$14,01_因子設定!$B$15-U1858))),-1E+030)</f>
        <v>-4.85123023814056</v>
      </c>
      <c r="X1858" s="55" t="n">
        <f aca="false">IF(V1858,IF(01_因子設定!$B$13="最大化",Q1858,IF(01_因子設定!$B$13="最小化",-Q1858,-ABS(Q1858-01_因子設定!$B$16))),-1E+030)</f>
        <v>44.7804119318182</v>
      </c>
      <c r="Y1858" s="55" t="n">
        <f aca="false">W1858+ROW()*0.000000001</f>
        <v>-4.85122838014056</v>
      </c>
      <c r="Z1858" s="55" t="n">
        <f aca="false">X1858+ROW()*0.000000001</f>
        <v>44.7804137898182</v>
      </c>
    </row>
    <row r="1859" customFormat="false" ht="15" hidden="false" customHeight="false" outlineLevel="0" collapsed="false">
      <c r="A1859" s="0" t="n">
        <v>6</v>
      </c>
      <c r="B1859" s="0" t="n">
        <v>7</v>
      </c>
      <c r="C1859" s="0" t="n">
        <v>1</v>
      </c>
      <c r="D1859" s="0" t="n">
        <f aca="false">-1+A1859*0.125</f>
        <v>-0.25</v>
      </c>
      <c r="E1859" s="0" t="n">
        <f aca="false">-1+B1859*0.125</f>
        <v>-0.125</v>
      </c>
      <c r="F1859" s="0" t="n">
        <f aca="false">-1+C1859*0.125</f>
        <v>-0.875</v>
      </c>
      <c r="G1859" s="0" t="n">
        <f aca="false">1</f>
        <v>1</v>
      </c>
      <c r="H1859" s="0" t="n">
        <f aca="false">D1859</f>
        <v>-0.25</v>
      </c>
      <c r="I1859" s="0" t="n">
        <f aca="false">E1859</f>
        <v>-0.125</v>
      </c>
      <c r="J1859" s="0" t="n">
        <f aca="false">F1859</f>
        <v>-0.875</v>
      </c>
      <c r="K1859" s="0" t="n">
        <f aca="false">D1859*E1859</f>
        <v>0.03125</v>
      </c>
      <c r="L1859" s="0" t="n">
        <f aca="false">D1859*F1859</f>
        <v>0.21875</v>
      </c>
      <c r="M1859" s="0" t="n">
        <f aca="false">E1859*F1859</f>
        <v>0.109375</v>
      </c>
      <c r="N1859" s="0" t="n">
        <f aca="false">D1859*D1859</f>
        <v>0.0625</v>
      </c>
      <c r="O1859" s="0" t="n">
        <f aca="false">E1859*E1859</f>
        <v>0.015625</v>
      </c>
      <c r="P1859" s="0" t="n">
        <f aca="false">F1859*F1859</f>
        <v>0.765625</v>
      </c>
      <c r="Q1859" s="0" t="n">
        <f aca="false">SUMPRODUCT(G1859:P1859,_XtX!$B$71:$K$71)</f>
        <v>45.2264914772728</v>
      </c>
      <c r="R1859" s="0" t="n">
        <f aca="false">SUMPRODUCT(MMULT(G1859:P1859,_XtX!$B$58:$K$67),G1859:P1859)</f>
        <v>0.331537974964489</v>
      </c>
      <c r="S1859" s="0" t="n">
        <f aca="false">04_回帰ANOVA!$K$19*04_回帰ANOVA!$K$14*SQRT(1+R1859)</f>
        <v>1.07286089161565</v>
      </c>
      <c r="T1859" s="0" t="n">
        <f aca="false">Q1859-S1859</f>
        <v>44.1536305856571</v>
      </c>
      <c r="U1859" s="0" t="n">
        <f aca="false">Q1859+S1859</f>
        <v>46.2993523688884</v>
      </c>
      <c r="V1859" s="54" t="b">
        <f aca="false">AND(D1859&gt;=01_因子設定!$L$5-0.000000001,D1859&lt;=01_因子設定!$M$5+0.000000001,E1859&gt;=01_因子設定!$L$6-0.000000001,E1859&lt;=01_因子設定!$M$6+0.000000001,F1859&gt;=01_因子設定!$L$7-0.000000001,F1859&lt;=01_因子設定!$M$7+0.000000001,IF(01_因子設定!$B$20="Box-Behnken",D1859^2+E1859^2+F1859^2&lt;=2+0.000000001,TRUE()))</f>
        <v>1</v>
      </c>
      <c r="W1859" s="55" t="n">
        <f aca="false">IF(V1859,IF(01_因子設定!$B$13="最大化",T1859-01_因子設定!$B$14,IF(01_因子設定!$B$13="最小化",01_因子設定!$B$15-U1859,MIN(T1859-01_因子設定!$B$14,01_因子設定!$B$15-U1859))),-1E+030)</f>
        <v>-4.3463694143429</v>
      </c>
      <c r="X1859" s="55" t="n">
        <f aca="false">IF(V1859,IF(01_因子設定!$B$13="最大化",Q1859,IF(01_因子設定!$B$13="最小化",-Q1859,-ABS(Q1859-01_因子設定!$B$16))),-1E+030)</f>
        <v>45.2264914772728</v>
      </c>
      <c r="Y1859" s="55" t="n">
        <f aca="false">W1859+ROW()*0.000000001</f>
        <v>-4.3463675553429</v>
      </c>
      <c r="Z1859" s="55" t="n">
        <f aca="false">X1859+ROW()*0.000000001</f>
        <v>45.2264933362728</v>
      </c>
    </row>
    <row r="1860" customFormat="false" ht="15" hidden="false" customHeight="false" outlineLevel="0" collapsed="false">
      <c r="A1860" s="0" t="n">
        <v>6</v>
      </c>
      <c r="B1860" s="0" t="n">
        <v>7</v>
      </c>
      <c r="C1860" s="0" t="n">
        <v>2</v>
      </c>
      <c r="D1860" s="0" t="n">
        <f aca="false">-1+A1860*0.125</f>
        <v>-0.25</v>
      </c>
      <c r="E1860" s="0" t="n">
        <f aca="false">-1+B1860*0.125</f>
        <v>-0.125</v>
      </c>
      <c r="F1860" s="0" t="n">
        <f aca="false">-1+C1860*0.125</f>
        <v>-0.75</v>
      </c>
      <c r="G1860" s="0" t="n">
        <f aca="false">1</f>
        <v>1</v>
      </c>
      <c r="H1860" s="0" t="n">
        <f aca="false">D1860</f>
        <v>-0.25</v>
      </c>
      <c r="I1860" s="0" t="n">
        <f aca="false">E1860</f>
        <v>-0.125</v>
      </c>
      <c r="J1860" s="0" t="n">
        <f aca="false">F1860</f>
        <v>-0.75</v>
      </c>
      <c r="K1860" s="0" t="n">
        <f aca="false">D1860*E1860</f>
        <v>0.03125</v>
      </c>
      <c r="L1860" s="0" t="n">
        <f aca="false">D1860*F1860</f>
        <v>0.1875</v>
      </c>
      <c r="M1860" s="0" t="n">
        <f aca="false">E1860*F1860</f>
        <v>0.09375</v>
      </c>
      <c r="N1860" s="0" t="n">
        <f aca="false">D1860*D1860</f>
        <v>0.0625</v>
      </c>
      <c r="O1860" s="0" t="n">
        <f aca="false">E1860*E1860</f>
        <v>0.015625</v>
      </c>
      <c r="P1860" s="0" t="n">
        <f aca="false">F1860*F1860</f>
        <v>0.5625</v>
      </c>
      <c r="Q1860" s="0" t="n">
        <f aca="false">SUMPRODUCT(G1860:P1860,_XtX!$B$71:$K$71)</f>
        <v>45.63578125</v>
      </c>
      <c r="R1860" s="0" t="n">
        <f aca="false">SUMPRODUCT(MMULT(G1860:P1860,_XtX!$B$58:$K$67),G1860:P1860)</f>
        <v>0.233935546875</v>
      </c>
      <c r="S1860" s="0" t="n">
        <f aca="false">04_回帰ANOVA!$K$19*04_回帰ANOVA!$K$14*SQRT(1+R1860)</f>
        <v>1.03279202033444</v>
      </c>
      <c r="T1860" s="0" t="n">
        <f aca="false">Q1860-S1860</f>
        <v>44.6029892296656</v>
      </c>
      <c r="U1860" s="0" t="n">
        <f aca="false">Q1860+S1860</f>
        <v>46.6685732703345</v>
      </c>
      <c r="V1860" s="54" t="b">
        <f aca="false">AND(D1860&gt;=01_因子設定!$L$5-0.000000001,D1860&lt;=01_因子設定!$M$5+0.000000001,E1860&gt;=01_因子設定!$L$6-0.000000001,E1860&lt;=01_因子設定!$M$6+0.000000001,F1860&gt;=01_因子設定!$L$7-0.000000001,F1860&lt;=01_因子設定!$M$7+0.000000001,IF(01_因子設定!$B$20="Box-Behnken",D1860^2+E1860^2+F1860^2&lt;=2+0.000000001,TRUE()))</f>
        <v>1</v>
      </c>
      <c r="W1860" s="55" t="n">
        <f aca="false">IF(V1860,IF(01_因子設定!$B$13="最大化",T1860-01_因子設定!$B$14,IF(01_因子設定!$B$13="最小化",01_因子設定!$B$15-U1860,MIN(T1860-01_因子設定!$B$14,01_因子設定!$B$15-U1860))),-1E+030)</f>
        <v>-3.89701077033443</v>
      </c>
      <c r="X1860" s="55" t="n">
        <f aca="false">IF(V1860,IF(01_因子設定!$B$13="最大化",Q1860,IF(01_因子設定!$B$13="最小化",-Q1860,-ABS(Q1860-01_因子設定!$B$16))),-1E+030)</f>
        <v>45.63578125</v>
      </c>
      <c r="Y1860" s="55" t="n">
        <f aca="false">W1860+ROW()*0.000000001</f>
        <v>-3.89700891033443</v>
      </c>
      <c r="Z1860" s="55" t="n">
        <f aca="false">X1860+ROW()*0.000000001</f>
        <v>45.63578311</v>
      </c>
    </row>
    <row r="1861" customFormat="false" ht="15" hidden="false" customHeight="false" outlineLevel="0" collapsed="false">
      <c r="A1861" s="0" t="n">
        <v>6</v>
      </c>
      <c r="B1861" s="0" t="n">
        <v>7</v>
      </c>
      <c r="C1861" s="0" t="n">
        <v>3</v>
      </c>
      <c r="D1861" s="0" t="n">
        <f aca="false">-1+A1861*0.125</f>
        <v>-0.25</v>
      </c>
      <c r="E1861" s="0" t="n">
        <f aca="false">-1+B1861*0.125</f>
        <v>-0.125</v>
      </c>
      <c r="F1861" s="0" t="n">
        <f aca="false">-1+C1861*0.125</f>
        <v>-0.625</v>
      </c>
      <c r="G1861" s="0" t="n">
        <f aca="false">1</f>
        <v>1</v>
      </c>
      <c r="H1861" s="0" t="n">
        <f aca="false">D1861</f>
        <v>-0.25</v>
      </c>
      <c r="I1861" s="0" t="n">
        <f aca="false">E1861</f>
        <v>-0.125</v>
      </c>
      <c r="J1861" s="0" t="n">
        <f aca="false">F1861</f>
        <v>-0.625</v>
      </c>
      <c r="K1861" s="0" t="n">
        <f aca="false">D1861*E1861</f>
        <v>0.03125</v>
      </c>
      <c r="L1861" s="0" t="n">
        <f aca="false">D1861*F1861</f>
        <v>0.15625</v>
      </c>
      <c r="M1861" s="0" t="n">
        <f aca="false">E1861*F1861</f>
        <v>0.078125</v>
      </c>
      <c r="N1861" s="0" t="n">
        <f aca="false">D1861*D1861</f>
        <v>0.0625</v>
      </c>
      <c r="O1861" s="0" t="n">
        <f aca="false">E1861*E1861</f>
        <v>0.015625</v>
      </c>
      <c r="P1861" s="0" t="n">
        <f aca="false">F1861*F1861</f>
        <v>0.390625</v>
      </c>
      <c r="Q1861" s="0" t="n">
        <f aca="false">SUMPRODUCT(G1861:P1861,_XtX!$B$71:$K$71)</f>
        <v>46.00828125</v>
      </c>
      <c r="R1861" s="0" t="n">
        <f aca="false">SUMPRODUCT(MMULT(G1861:P1861,_XtX!$B$58:$K$67),G1861:P1861)</f>
        <v>0.174786376953125</v>
      </c>
      <c r="S1861" s="0" t="n">
        <f aca="false">04_回帰ANOVA!$K$19*04_回帰ANOVA!$K$14*SQRT(1+R1861)</f>
        <v>1.00773440704286</v>
      </c>
      <c r="T1861" s="0" t="n">
        <f aca="false">Q1861-S1861</f>
        <v>45.0005468429572</v>
      </c>
      <c r="U1861" s="0" t="n">
        <f aca="false">Q1861+S1861</f>
        <v>47.0160156570429</v>
      </c>
      <c r="V1861" s="54" t="b">
        <f aca="false">AND(D1861&gt;=01_因子設定!$L$5-0.000000001,D1861&lt;=01_因子設定!$M$5+0.000000001,E1861&gt;=01_因子設定!$L$6-0.000000001,E1861&lt;=01_因子設定!$M$6+0.000000001,F1861&gt;=01_因子設定!$L$7-0.000000001,F1861&lt;=01_因子設定!$M$7+0.000000001,IF(01_因子設定!$B$20="Box-Behnken",D1861^2+E1861^2+F1861^2&lt;=2+0.000000001,TRUE()))</f>
        <v>1</v>
      </c>
      <c r="W1861" s="55" t="n">
        <f aca="false">IF(V1861,IF(01_因子設定!$B$13="最大化",T1861-01_因子設定!$B$14,IF(01_因子設定!$B$13="最小化",01_因子設定!$B$15-U1861,MIN(T1861-01_因子設定!$B$14,01_因子設定!$B$15-U1861))),-1E+030)</f>
        <v>-3.49945315704284</v>
      </c>
      <c r="X1861" s="55" t="n">
        <f aca="false">IF(V1861,IF(01_因子設定!$B$13="最大化",Q1861,IF(01_因子設定!$B$13="最小化",-Q1861,-ABS(Q1861-01_因子設定!$B$16))),-1E+030)</f>
        <v>46.00828125</v>
      </c>
      <c r="Y1861" s="55" t="n">
        <f aca="false">W1861+ROW()*0.000000001</f>
        <v>-3.49945129604284</v>
      </c>
      <c r="Z1861" s="55" t="n">
        <f aca="false">X1861+ROW()*0.000000001</f>
        <v>46.008283111</v>
      </c>
    </row>
    <row r="1862" customFormat="false" ht="15" hidden="false" customHeight="false" outlineLevel="0" collapsed="false">
      <c r="A1862" s="0" t="n">
        <v>6</v>
      </c>
      <c r="B1862" s="0" t="n">
        <v>7</v>
      </c>
      <c r="C1862" s="0" t="n">
        <v>4</v>
      </c>
      <c r="D1862" s="0" t="n">
        <f aca="false">-1+A1862*0.125</f>
        <v>-0.25</v>
      </c>
      <c r="E1862" s="0" t="n">
        <f aca="false">-1+B1862*0.125</f>
        <v>-0.125</v>
      </c>
      <c r="F1862" s="0" t="n">
        <f aca="false">-1+C1862*0.125</f>
        <v>-0.5</v>
      </c>
      <c r="G1862" s="0" t="n">
        <f aca="false">1</f>
        <v>1</v>
      </c>
      <c r="H1862" s="0" t="n">
        <f aca="false">D1862</f>
        <v>-0.25</v>
      </c>
      <c r="I1862" s="0" t="n">
        <f aca="false">E1862</f>
        <v>-0.125</v>
      </c>
      <c r="J1862" s="0" t="n">
        <f aca="false">F1862</f>
        <v>-0.5</v>
      </c>
      <c r="K1862" s="0" t="n">
        <f aca="false">D1862*E1862</f>
        <v>0.03125</v>
      </c>
      <c r="L1862" s="0" t="n">
        <f aca="false">D1862*F1862</f>
        <v>0.125</v>
      </c>
      <c r="M1862" s="0" t="n">
        <f aca="false">E1862*F1862</f>
        <v>0.0625</v>
      </c>
      <c r="N1862" s="0" t="n">
        <f aca="false">D1862*D1862</f>
        <v>0.0625</v>
      </c>
      <c r="O1862" s="0" t="n">
        <f aca="false">E1862*E1862</f>
        <v>0.015625</v>
      </c>
      <c r="P1862" s="0" t="n">
        <f aca="false">F1862*F1862</f>
        <v>0.25</v>
      </c>
      <c r="Q1862" s="0" t="n">
        <f aca="false">SUMPRODUCT(G1862:P1862,_XtX!$B$71:$K$71)</f>
        <v>46.3439914772727</v>
      </c>
      <c r="R1862" s="0" t="n">
        <f aca="false">SUMPRODUCT(MMULT(G1862:P1862,_XtX!$B$58:$K$67),G1862:P1862)</f>
        <v>0.142371715198864</v>
      </c>
      <c r="S1862" s="0" t="n">
        <f aca="false">04_回帰ANOVA!$K$19*04_回帰ANOVA!$K$14*SQRT(1+R1862)</f>
        <v>0.99373447511735</v>
      </c>
      <c r="T1862" s="0" t="n">
        <f aca="false">Q1862-S1862</f>
        <v>45.3502570021554</v>
      </c>
      <c r="U1862" s="0" t="n">
        <f aca="false">Q1862+S1862</f>
        <v>47.3377259523901</v>
      </c>
      <c r="V1862" s="54" t="b">
        <f aca="false">AND(D1862&gt;=01_因子設定!$L$5-0.000000001,D1862&lt;=01_因子設定!$M$5+0.000000001,E1862&gt;=01_因子設定!$L$6-0.000000001,E1862&lt;=01_因子設定!$M$6+0.000000001,F1862&gt;=01_因子設定!$L$7-0.000000001,F1862&lt;=01_因子設定!$M$7+0.000000001,IF(01_因子設定!$B$20="Box-Behnken",D1862^2+E1862^2+F1862^2&lt;=2+0.000000001,TRUE()))</f>
        <v>1</v>
      </c>
      <c r="W1862" s="55" t="n">
        <f aca="false">IF(V1862,IF(01_因子設定!$B$13="最大化",T1862-01_因子設定!$B$14,IF(01_因子設定!$B$13="最小化",01_因子設定!$B$15-U1862,MIN(T1862-01_因子設定!$B$14,01_因子設定!$B$15-U1862))),-1E+030)</f>
        <v>-3.14974299784461</v>
      </c>
      <c r="X1862" s="55" t="n">
        <f aca="false">IF(V1862,IF(01_因子設定!$B$13="最大化",Q1862,IF(01_因子設定!$B$13="最小化",-Q1862,-ABS(Q1862-01_因子設定!$B$16))),-1E+030)</f>
        <v>46.3439914772727</v>
      </c>
      <c r="Y1862" s="55" t="n">
        <f aca="false">W1862+ROW()*0.000000001</f>
        <v>-3.14974113584461</v>
      </c>
      <c r="Z1862" s="55" t="n">
        <f aca="false">X1862+ROW()*0.000000001</f>
        <v>46.3439933392727</v>
      </c>
    </row>
    <row r="1863" customFormat="false" ht="15" hidden="false" customHeight="false" outlineLevel="0" collapsed="false">
      <c r="A1863" s="0" t="n">
        <v>6</v>
      </c>
      <c r="B1863" s="0" t="n">
        <v>7</v>
      </c>
      <c r="C1863" s="0" t="n">
        <v>5</v>
      </c>
      <c r="D1863" s="0" t="n">
        <f aca="false">-1+A1863*0.125</f>
        <v>-0.25</v>
      </c>
      <c r="E1863" s="0" t="n">
        <f aca="false">-1+B1863*0.125</f>
        <v>-0.125</v>
      </c>
      <c r="F1863" s="0" t="n">
        <f aca="false">-1+C1863*0.125</f>
        <v>-0.375</v>
      </c>
      <c r="G1863" s="0" t="n">
        <f aca="false">1</f>
        <v>1</v>
      </c>
      <c r="H1863" s="0" t="n">
        <f aca="false">D1863</f>
        <v>-0.25</v>
      </c>
      <c r="I1863" s="0" t="n">
        <f aca="false">E1863</f>
        <v>-0.125</v>
      </c>
      <c r="J1863" s="0" t="n">
        <f aca="false">F1863</f>
        <v>-0.375</v>
      </c>
      <c r="K1863" s="0" t="n">
        <f aca="false">D1863*E1863</f>
        <v>0.03125</v>
      </c>
      <c r="L1863" s="0" t="n">
        <f aca="false">D1863*F1863</f>
        <v>0.09375</v>
      </c>
      <c r="M1863" s="0" t="n">
        <f aca="false">E1863*F1863</f>
        <v>0.046875</v>
      </c>
      <c r="N1863" s="0" t="n">
        <f aca="false">D1863*D1863</f>
        <v>0.0625</v>
      </c>
      <c r="O1863" s="0" t="n">
        <f aca="false">E1863*E1863</f>
        <v>0.015625</v>
      </c>
      <c r="P1863" s="0" t="n">
        <f aca="false">F1863*F1863</f>
        <v>0.140625</v>
      </c>
      <c r="Q1863" s="0" t="n">
        <f aca="false">SUMPRODUCT(G1863:P1863,_XtX!$B$71:$K$71)</f>
        <v>46.6429119318182</v>
      </c>
      <c r="R1863" s="0" t="n">
        <f aca="false">SUMPRODUCT(MMULT(G1863:P1863,_XtX!$B$58:$K$67),G1863:P1863)</f>
        <v>0.127103493430398</v>
      </c>
      <c r="S1863" s="0" t="n">
        <f aca="false">04_回帰ANOVA!$K$19*04_回帰ANOVA!$K$14*SQRT(1+R1863)</f>
        <v>0.987071321387587</v>
      </c>
      <c r="T1863" s="0" t="n">
        <f aca="false">Q1863-S1863</f>
        <v>45.6558406104306</v>
      </c>
      <c r="U1863" s="0" t="n">
        <f aca="false">Q1863+S1863</f>
        <v>47.6299832532058</v>
      </c>
      <c r="V1863" s="54" t="b">
        <f aca="false">AND(D1863&gt;=01_因子設定!$L$5-0.000000001,D1863&lt;=01_因子設定!$M$5+0.000000001,E1863&gt;=01_因子設定!$L$6-0.000000001,E1863&lt;=01_因子設定!$M$6+0.000000001,F1863&gt;=01_因子設定!$L$7-0.000000001,F1863&lt;=01_因子設定!$M$7+0.000000001,IF(01_因子設定!$B$20="Box-Behnken",D1863^2+E1863^2+F1863^2&lt;=2+0.000000001,TRUE()))</f>
        <v>1</v>
      </c>
      <c r="W1863" s="55" t="n">
        <f aca="false">IF(V1863,IF(01_因子設定!$B$13="最大化",T1863-01_因子設定!$B$14,IF(01_因子設定!$B$13="最小化",01_因子設定!$B$15-U1863,MIN(T1863-01_因子設定!$B$14,01_因子設定!$B$15-U1863))),-1E+030)</f>
        <v>-2.8441593895694</v>
      </c>
      <c r="X1863" s="55" t="n">
        <f aca="false">IF(V1863,IF(01_因子設定!$B$13="最大化",Q1863,IF(01_因子設定!$B$13="最小化",-Q1863,-ABS(Q1863-01_因子設定!$B$16))),-1E+030)</f>
        <v>46.6429119318182</v>
      </c>
      <c r="Y1863" s="55" t="n">
        <f aca="false">W1863+ROW()*0.000000001</f>
        <v>-2.8441575265694</v>
      </c>
      <c r="Z1863" s="55" t="n">
        <f aca="false">X1863+ROW()*0.000000001</f>
        <v>46.6429137948182</v>
      </c>
    </row>
    <row r="1864" customFormat="false" ht="15" hidden="false" customHeight="false" outlineLevel="0" collapsed="false">
      <c r="A1864" s="0" t="n">
        <v>6</v>
      </c>
      <c r="B1864" s="0" t="n">
        <v>7</v>
      </c>
      <c r="C1864" s="0" t="n">
        <v>6</v>
      </c>
      <c r="D1864" s="0" t="n">
        <f aca="false">-1+A1864*0.125</f>
        <v>-0.25</v>
      </c>
      <c r="E1864" s="0" t="n">
        <f aca="false">-1+B1864*0.125</f>
        <v>-0.125</v>
      </c>
      <c r="F1864" s="0" t="n">
        <f aca="false">-1+C1864*0.125</f>
        <v>-0.25</v>
      </c>
      <c r="G1864" s="0" t="n">
        <f aca="false">1</f>
        <v>1</v>
      </c>
      <c r="H1864" s="0" t="n">
        <f aca="false">D1864</f>
        <v>-0.25</v>
      </c>
      <c r="I1864" s="0" t="n">
        <f aca="false">E1864</f>
        <v>-0.125</v>
      </c>
      <c r="J1864" s="0" t="n">
        <f aca="false">F1864</f>
        <v>-0.25</v>
      </c>
      <c r="K1864" s="0" t="n">
        <f aca="false">D1864*E1864</f>
        <v>0.03125</v>
      </c>
      <c r="L1864" s="0" t="n">
        <f aca="false">D1864*F1864</f>
        <v>0.0625</v>
      </c>
      <c r="M1864" s="0" t="n">
        <f aca="false">E1864*F1864</f>
        <v>0.03125</v>
      </c>
      <c r="N1864" s="0" t="n">
        <f aca="false">D1864*D1864</f>
        <v>0.0625</v>
      </c>
      <c r="O1864" s="0" t="n">
        <f aca="false">E1864*E1864</f>
        <v>0.015625</v>
      </c>
      <c r="P1864" s="0" t="n">
        <f aca="false">F1864*F1864</f>
        <v>0.0625</v>
      </c>
      <c r="Q1864" s="0" t="n">
        <f aca="false">SUMPRODUCT(G1864:P1864,_XtX!$B$71:$K$71)</f>
        <v>46.9050426136364</v>
      </c>
      <c r="R1864" s="0" t="n">
        <f aca="false">SUMPRODUCT(MMULT(G1864:P1864,_XtX!$B$58:$K$67),G1864:P1864)</f>
        <v>0.121524325284091</v>
      </c>
      <c r="S1864" s="0" t="n">
        <f aca="false">04_回帰ANOVA!$K$19*04_回帰ANOVA!$K$14*SQRT(1+R1864)</f>
        <v>0.984625286577447</v>
      </c>
      <c r="T1864" s="0" t="n">
        <f aca="false">Q1864-S1864</f>
        <v>45.9204173270589</v>
      </c>
      <c r="U1864" s="0" t="n">
        <f aca="false">Q1864+S1864</f>
        <v>47.8896679002138</v>
      </c>
      <c r="V1864" s="54" t="b">
        <f aca="false">AND(D1864&gt;=01_因子設定!$L$5-0.000000001,D1864&lt;=01_因子設定!$M$5+0.000000001,E1864&gt;=01_因子設定!$L$6-0.000000001,E1864&lt;=01_因子設定!$M$6+0.000000001,F1864&gt;=01_因子設定!$L$7-0.000000001,F1864&lt;=01_因子設定!$M$7+0.000000001,IF(01_因子設定!$B$20="Box-Behnken",D1864^2+E1864^2+F1864^2&lt;=2+0.000000001,TRUE()))</f>
        <v>1</v>
      </c>
      <c r="W1864" s="55" t="n">
        <f aca="false">IF(V1864,IF(01_因子設定!$B$13="最大化",T1864-01_因子設定!$B$14,IF(01_因子設定!$B$13="最小化",01_因子設定!$B$15-U1864,MIN(T1864-01_因子設定!$B$14,01_因子設定!$B$15-U1864))),-1E+030)</f>
        <v>-2.57958267294107</v>
      </c>
      <c r="X1864" s="55" t="n">
        <f aca="false">IF(V1864,IF(01_因子設定!$B$13="最大化",Q1864,IF(01_因子設定!$B$13="最小化",-Q1864,-ABS(Q1864-01_因子設定!$B$16))),-1E+030)</f>
        <v>46.9050426136364</v>
      </c>
      <c r="Y1864" s="55" t="n">
        <f aca="false">W1864+ROW()*0.000000001</f>
        <v>-2.57958080894107</v>
      </c>
      <c r="Z1864" s="55" t="n">
        <f aca="false">X1864+ROW()*0.000000001</f>
        <v>46.9050444776364</v>
      </c>
    </row>
    <row r="1865" customFormat="false" ht="15" hidden="false" customHeight="false" outlineLevel="0" collapsed="false">
      <c r="A1865" s="0" t="n">
        <v>6</v>
      </c>
      <c r="B1865" s="0" t="n">
        <v>7</v>
      </c>
      <c r="C1865" s="0" t="n">
        <v>7</v>
      </c>
      <c r="D1865" s="0" t="n">
        <f aca="false">-1+A1865*0.125</f>
        <v>-0.25</v>
      </c>
      <c r="E1865" s="0" t="n">
        <f aca="false">-1+B1865*0.125</f>
        <v>-0.125</v>
      </c>
      <c r="F1865" s="0" t="n">
        <f aca="false">-1+C1865*0.125</f>
        <v>-0.125</v>
      </c>
      <c r="G1865" s="0" t="n">
        <f aca="false">1</f>
        <v>1</v>
      </c>
      <c r="H1865" s="0" t="n">
        <f aca="false">D1865</f>
        <v>-0.25</v>
      </c>
      <c r="I1865" s="0" t="n">
        <f aca="false">E1865</f>
        <v>-0.125</v>
      </c>
      <c r="J1865" s="0" t="n">
        <f aca="false">F1865</f>
        <v>-0.125</v>
      </c>
      <c r="K1865" s="0" t="n">
        <f aca="false">D1865*E1865</f>
        <v>0.03125</v>
      </c>
      <c r="L1865" s="0" t="n">
        <f aca="false">D1865*F1865</f>
        <v>0.03125</v>
      </c>
      <c r="M1865" s="0" t="n">
        <f aca="false">E1865*F1865</f>
        <v>0.015625</v>
      </c>
      <c r="N1865" s="0" t="n">
        <f aca="false">D1865*D1865</f>
        <v>0.0625</v>
      </c>
      <c r="O1865" s="0" t="n">
        <f aca="false">E1865*E1865</f>
        <v>0.015625</v>
      </c>
      <c r="P1865" s="0" t="n">
        <f aca="false">F1865*F1865</f>
        <v>0.015625</v>
      </c>
      <c r="Q1865" s="0" t="n">
        <f aca="false">SUMPRODUCT(G1865:P1865,_XtX!$B$71:$K$71)</f>
        <v>47.1303835227273</v>
      </c>
      <c r="R1865" s="0" t="n">
        <f aca="false">SUMPRODUCT(MMULT(G1865:P1865,_XtX!$B$58:$K$67),G1865:P1865)</f>
        <v>0.120307506214489</v>
      </c>
      <c r="S1865" s="0" t="n">
        <f aca="false">04_回帰ANOVA!$K$19*04_回帰ANOVA!$K$14*SQRT(1+R1865)</f>
        <v>0.984090997684742</v>
      </c>
      <c r="T1865" s="0" t="n">
        <f aca="false">Q1865-S1865</f>
        <v>46.1462925250425</v>
      </c>
      <c r="U1865" s="0" t="n">
        <f aca="false">Q1865+S1865</f>
        <v>48.114474520412</v>
      </c>
      <c r="V1865" s="54" t="b">
        <f aca="false">AND(D1865&gt;=01_因子設定!$L$5-0.000000001,D1865&lt;=01_因子設定!$M$5+0.000000001,E1865&gt;=01_因子設定!$L$6-0.000000001,E1865&lt;=01_因子設定!$M$6+0.000000001,F1865&gt;=01_因子設定!$L$7-0.000000001,F1865&lt;=01_因子設定!$M$7+0.000000001,IF(01_因子設定!$B$20="Box-Behnken",D1865^2+E1865^2+F1865^2&lt;=2+0.000000001,TRUE()))</f>
        <v>1</v>
      </c>
      <c r="W1865" s="55" t="n">
        <f aca="false">IF(V1865,IF(01_因子設定!$B$13="最大化",T1865-01_因子設定!$B$14,IF(01_因子設定!$B$13="最小化",01_因子設定!$B$15-U1865,MIN(T1865-01_因子設定!$B$14,01_因子設定!$B$15-U1865))),-1E+030)</f>
        <v>-2.35370747495746</v>
      </c>
      <c r="X1865" s="55" t="n">
        <f aca="false">IF(V1865,IF(01_因子設定!$B$13="最大化",Q1865,IF(01_因子設定!$B$13="最小化",-Q1865,-ABS(Q1865-01_因子設定!$B$16))),-1E+030)</f>
        <v>47.1303835227273</v>
      </c>
      <c r="Y1865" s="55" t="n">
        <f aca="false">W1865+ROW()*0.000000001</f>
        <v>-2.35370560995746</v>
      </c>
      <c r="Z1865" s="55" t="n">
        <f aca="false">X1865+ROW()*0.000000001</f>
        <v>47.1303853877273</v>
      </c>
    </row>
    <row r="1866" customFormat="false" ht="15" hidden="false" customHeight="false" outlineLevel="0" collapsed="false">
      <c r="A1866" s="0" t="n">
        <v>6</v>
      </c>
      <c r="B1866" s="0" t="n">
        <v>7</v>
      </c>
      <c r="C1866" s="0" t="n">
        <v>8</v>
      </c>
      <c r="D1866" s="0" t="n">
        <f aca="false">-1+A1866*0.125</f>
        <v>-0.25</v>
      </c>
      <c r="E1866" s="0" t="n">
        <f aca="false">-1+B1866*0.125</f>
        <v>-0.125</v>
      </c>
      <c r="F1866" s="0" t="n">
        <f aca="false">-1+C1866*0.125</f>
        <v>0</v>
      </c>
      <c r="G1866" s="0" t="n">
        <f aca="false">1</f>
        <v>1</v>
      </c>
      <c r="H1866" s="0" t="n">
        <f aca="false">D1866</f>
        <v>-0.25</v>
      </c>
      <c r="I1866" s="0" t="n">
        <f aca="false">E1866</f>
        <v>-0.125</v>
      </c>
      <c r="J1866" s="0" t="n">
        <f aca="false">F1866</f>
        <v>0</v>
      </c>
      <c r="K1866" s="0" t="n">
        <f aca="false">D1866*E1866</f>
        <v>0.03125</v>
      </c>
      <c r="L1866" s="0" t="n">
        <f aca="false">D1866*F1866</f>
        <v>-0</v>
      </c>
      <c r="M1866" s="0" t="n">
        <f aca="false">E1866*F1866</f>
        <v>-0</v>
      </c>
      <c r="N1866" s="0" t="n">
        <f aca="false">D1866*D1866</f>
        <v>0.0625</v>
      </c>
      <c r="O1866" s="0" t="n">
        <f aca="false">E1866*E1866</f>
        <v>0.015625</v>
      </c>
      <c r="P1866" s="0" t="n">
        <f aca="false">F1866*F1866</f>
        <v>0</v>
      </c>
      <c r="Q1866" s="0" t="n">
        <f aca="false">SUMPRODUCT(G1866:P1866,_XtX!$B$71:$K$71)</f>
        <v>47.3189346590909</v>
      </c>
      <c r="R1866" s="0" t="n">
        <f aca="false">SUMPRODUCT(MMULT(G1866:P1866,_XtX!$B$58:$K$67),G1866:P1866)</f>
        <v>0.120257013494318</v>
      </c>
      <c r="S1866" s="0" t="n">
        <f aca="false">04_回帰ANOVA!$K$19*04_回帰ANOVA!$K$14*SQRT(1+R1866)</f>
        <v>0.984068820741811</v>
      </c>
      <c r="T1866" s="0" t="n">
        <f aca="false">Q1866-S1866</f>
        <v>46.3348658383491</v>
      </c>
      <c r="U1866" s="0" t="n">
        <f aca="false">Q1866+S1866</f>
        <v>48.3030034798327</v>
      </c>
      <c r="V1866" s="54" t="b">
        <f aca="false">AND(D1866&gt;=01_因子設定!$L$5-0.000000001,D1866&lt;=01_因子設定!$M$5+0.000000001,E1866&gt;=01_因子設定!$L$6-0.000000001,E1866&lt;=01_因子設定!$M$6+0.000000001,F1866&gt;=01_因子設定!$L$7-0.000000001,F1866&lt;=01_因子設定!$M$7+0.000000001,IF(01_因子設定!$B$20="Box-Behnken",D1866^2+E1866^2+F1866^2&lt;=2+0.000000001,TRUE()))</f>
        <v>1</v>
      </c>
      <c r="W1866" s="55" t="n">
        <f aca="false">IF(V1866,IF(01_因子設定!$B$13="最大化",T1866-01_因子設定!$B$14,IF(01_因子設定!$B$13="最小化",01_因子設定!$B$15-U1866,MIN(T1866-01_因子設定!$B$14,01_因子設定!$B$15-U1866))),-1E+030)</f>
        <v>-2.1651341616509</v>
      </c>
      <c r="X1866" s="55" t="n">
        <f aca="false">IF(V1866,IF(01_因子設定!$B$13="最大化",Q1866,IF(01_因子設定!$B$13="最小化",-Q1866,-ABS(Q1866-01_因子設定!$B$16))),-1E+030)</f>
        <v>47.3189346590909</v>
      </c>
      <c r="Y1866" s="55" t="n">
        <f aca="false">W1866+ROW()*0.000000001</f>
        <v>-2.1651322956509</v>
      </c>
      <c r="Z1866" s="55" t="n">
        <f aca="false">X1866+ROW()*0.000000001</f>
        <v>47.3189365250909</v>
      </c>
    </row>
    <row r="1867" customFormat="false" ht="15" hidden="false" customHeight="false" outlineLevel="0" collapsed="false">
      <c r="A1867" s="0" t="n">
        <v>6</v>
      </c>
      <c r="B1867" s="0" t="n">
        <v>7</v>
      </c>
      <c r="C1867" s="0" t="n">
        <v>9</v>
      </c>
      <c r="D1867" s="0" t="n">
        <f aca="false">-1+A1867*0.125</f>
        <v>-0.25</v>
      </c>
      <c r="E1867" s="0" t="n">
        <f aca="false">-1+B1867*0.125</f>
        <v>-0.125</v>
      </c>
      <c r="F1867" s="0" t="n">
        <f aca="false">-1+C1867*0.125</f>
        <v>0.125</v>
      </c>
      <c r="G1867" s="0" t="n">
        <f aca="false">1</f>
        <v>1</v>
      </c>
      <c r="H1867" s="0" t="n">
        <f aca="false">D1867</f>
        <v>-0.25</v>
      </c>
      <c r="I1867" s="0" t="n">
        <f aca="false">E1867</f>
        <v>-0.125</v>
      </c>
      <c r="J1867" s="0" t="n">
        <f aca="false">F1867</f>
        <v>0.125</v>
      </c>
      <c r="K1867" s="0" t="n">
        <f aca="false">D1867*E1867</f>
        <v>0.03125</v>
      </c>
      <c r="L1867" s="0" t="n">
        <f aca="false">D1867*F1867</f>
        <v>-0.03125</v>
      </c>
      <c r="M1867" s="0" t="n">
        <f aca="false">E1867*F1867</f>
        <v>-0.015625</v>
      </c>
      <c r="N1867" s="0" t="n">
        <f aca="false">D1867*D1867</f>
        <v>0.0625</v>
      </c>
      <c r="O1867" s="0" t="n">
        <f aca="false">E1867*E1867</f>
        <v>0.015625</v>
      </c>
      <c r="P1867" s="0" t="n">
        <f aca="false">F1867*F1867</f>
        <v>0.015625</v>
      </c>
      <c r="Q1867" s="0" t="n">
        <f aca="false">SUMPRODUCT(G1867:P1867,_XtX!$B$71:$K$71)</f>
        <v>47.4706960227273</v>
      </c>
      <c r="R1867" s="0" t="n">
        <f aca="false">SUMPRODUCT(MMULT(G1867:P1867,_XtX!$B$58:$K$67),G1867:P1867)</f>
        <v>0.120307506214489</v>
      </c>
      <c r="S1867" s="0" t="n">
        <f aca="false">04_回帰ANOVA!$K$19*04_回帰ANOVA!$K$14*SQRT(1+R1867)</f>
        <v>0.984090997684742</v>
      </c>
      <c r="T1867" s="0" t="n">
        <f aca="false">Q1867-S1867</f>
        <v>46.4866050250425</v>
      </c>
      <c r="U1867" s="0" t="n">
        <f aca="false">Q1867+S1867</f>
        <v>48.454787020412</v>
      </c>
      <c r="V1867" s="54" t="b">
        <f aca="false">AND(D1867&gt;=01_因子設定!$L$5-0.000000001,D1867&lt;=01_因子設定!$M$5+0.000000001,E1867&gt;=01_因子設定!$L$6-0.000000001,E1867&lt;=01_因子設定!$M$6+0.000000001,F1867&gt;=01_因子設定!$L$7-0.000000001,F1867&lt;=01_因子設定!$M$7+0.000000001,IF(01_因子設定!$B$20="Box-Behnken",D1867^2+E1867^2+F1867^2&lt;=2+0.000000001,TRUE()))</f>
        <v>1</v>
      </c>
      <c r="W1867" s="55" t="n">
        <f aca="false">IF(V1867,IF(01_因子設定!$B$13="最大化",T1867-01_因子設定!$B$14,IF(01_因子設定!$B$13="最小化",01_因子設定!$B$15-U1867,MIN(T1867-01_因子設定!$B$14,01_因子設定!$B$15-U1867))),-1E+030)</f>
        <v>-2.01339497495746</v>
      </c>
      <c r="X1867" s="55" t="n">
        <f aca="false">IF(V1867,IF(01_因子設定!$B$13="最大化",Q1867,IF(01_因子設定!$B$13="最小化",-Q1867,-ABS(Q1867-01_因子設定!$B$16))),-1E+030)</f>
        <v>47.4706960227273</v>
      </c>
      <c r="Y1867" s="55" t="n">
        <f aca="false">W1867+ROW()*0.000000001</f>
        <v>-2.01339310795746</v>
      </c>
      <c r="Z1867" s="55" t="n">
        <f aca="false">X1867+ROW()*0.000000001</f>
        <v>47.4706978897273</v>
      </c>
    </row>
    <row r="1868" customFormat="false" ht="15" hidden="false" customHeight="false" outlineLevel="0" collapsed="false">
      <c r="A1868" s="0" t="n">
        <v>6</v>
      </c>
      <c r="B1868" s="0" t="n">
        <v>7</v>
      </c>
      <c r="C1868" s="0" t="n">
        <v>10</v>
      </c>
      <c r="D1868" s="0" t="n">
        <f aca="false">-1+A1868*0.125</f>
        <v>-0.25</v>
      </c>
      <c r="E1868" s="0" t="n">
        <f aca="false">-1+B1868*0.125</f>
        <v>-0.125</v>
      </c>
      <c r="F1868" s="0" t="n">
        <f aca="false">-1+C1868*0.125</f>
        <v>0.25</v>
      </c>
      <c r="G1868" s="0" t="n">
        <f aca="false">1</f>
        <v>1</v>
      </c>
      <c r="H1868" s="0" t="n">
        <f aca="false">D1868</f>
        <v>-0.25</v>
      </c>
      <c r="I1868" s="0" t="n">
        <f aca="false">E1868</f>
        <v>-0.125</v>
      </c>
      <c r="J1868" s="0" t="n">
        <f aca="false">F1868</f>
        <v>0.25</v>
      </c>
      <c r="K1868" s="0" t="n">
        <f aca="false">D1868*E1868</f>
        <v>0.03125</v>
      </c>
      <c r="L1868" s="0" t="n">
        <f aca="false">D1868*F1868</f>
        <v>-0.0625</v>
      </c>
      <c r="M1868" s="0" t="n">
        <f aca="false">E1868*F1868</f>
        <v>-0.03125</v>
      </c>
      <c r="N1868" s="0" t="n">
        <f aca="false">D1868*D1868</f>
        <v>0.0625</v>
      </c>
      <c r="O1868" s="0" t="n">
        <f aca="false">E1868*E1868</f>
        <v>0.015625</v>
      </c>
      <c r="P1868" s="0" t="n">
        <f aca="false">F1868*F1868</f>
        <v>0.0625</v>
      </c>
      <c r="Q1868" s="0" t="n">
        <f aca="false">SUMPRODUCT(G1868:P1868,_XtX!$B$71:$K$71)</f>
        <v>47.5856676136364</v>
      </c>
      <c r="R1868" s="0" t="n">
        <f aca="false">SUMPRODUCT(MMULT(G1868:P1868,_XtX!$B$58:$K$67),G1868:P1868)</f>
        <v>0.121524325284091</v>
      </c>
      <c r="S1868" s="0" t="n">
        <f aca="false">04_回帰ANOVA!$K$19*04_回帰ANOVA!$K$14*SQRT(1+R1868)</f>
        <v>0.984625286577447</v>
      </c>
      <c r="T1868" s="0" t="n">
        <f aca="false">Q1868-S1868</f>
        <v>46.6010423270589</v>
      </c>
      <c r="U1868" s="0" t="n">
        <f aca="false">Q1868+S1868</f>
        <v>48.5702929002138</v>
      </c>
      <c r="V1868" s="54" t="b">
        <f aca="false">AND(D1868&gt;=01_因子設定!$L$5-0.000000001,D1868&lt;=01_因子設定!$M$5+0.000000001,E1868&gt;=01_因子設定!$L$6-0.000000001,E1868&lt;=01_因子設定!$M$6+0.000000001,F1868&gt;=01_因子設定!$L$7-0.000000001,F1868&lt;=01_因子設定!$M$7+0.000000001,IF(01_因子設定!$B$20="Box-Behnken",D1868^2+E1868^2+F1868^2&lt;=2+0.000000001,TRUE()))</f>
        <v>1</v>
      </c>
      <c r="W1868" s="55" t="n">
        <f aca="false">IF(V1868,IF(01_因子設定!$B$13="最大化",T1868-01_因子設定!$B$14,IF(01_因子設定!$B$13="最小化",01_因子設定!$B$15-U1868,MIN(T1868-01_因子設定!$B$14,01_因子設定!$B$15-U1868))),-1E+030)</f>
        <v>-1.89895767294107</v>
      </c>
      <c r="X1868" s="55" t="n">
        <f aca="false">IF(V1868,IF(01_因子設定!$B$13="最大化",Q1868,IF(01_因子設定!$B$13="最小化",-Q1868,-ABS(Q1868-01_因子設定!$B$16))),-1E+030)</f>
        <v>47.5856676136364</v>
      </c>
      <c r="Y1868" s="55" t="n">
        <f aca="false">W1868+ROW()*0.000000001</f>
        <v>-1.89895580494107</v>
      </c>
      <c r="Z1868" s="55" t="n">
        <f aca="false">X1868+ROW()*0.000000001</f>
        <v>47.5856694816364</v>
      </c>
    </row>
    <row r="1869" customFormat="false" ht="15" hidden="false" customHeight="false" outlineLevel="0" collapsed="false">
      <c r="A1869" s="0" t="n">
        <v>6</v>
      </c>
      <c r="B1869" s="0" t="n">
        <v>7</v>
      </c>
      <c r="C1869" s="0" t="n">
        <v>11</v>
      </c>
      <c r="D1869" s="0" t="n">
        <f aca="false">-1+A1869*0.125</f>
        <v>-0.25</v>
      </c>
      <c r="E1869" s="0" t="n">
        <f aca="false">-1+B1869*0.125</f>
        <v>-0.125</v>
      </c>
      <c r="F1869" s="0" t="n">
        <f aca="false">-1+C1869*0.125</f>
        <v>0.375</v>
      </c>
      <c r="G1869" s="0" t="n">
        <f aca="false">1</f>
        <v>1</v>
      </c>
      <c r="H1869" s="0" t="n">
        <f aca="false">D1869</f>
        <v>-0.25</v>
      </c>
      <c r="I1869" s="0" t="n">
        <f aca="false">E1869</f>
        <v>-0.125</v>
      </c>
      <c r="J1869" s="0" t="n">
        <f aca="false">F1869</f>
        <v>0.375</v>
      </c>
      <c r="K1869" s="0" t="n">
        <f aca="false">D1869*E1869</f>
        <v>0.03125</v>
      </c>
      <c r="L1869" s="0" t="n">
        <f aca="false">D1869*F1869</f>
        <v>-0.09375</v>
      </c>
      <c r="M1869" s="0" t="n">
        <f aca="false">E1869*F1869</f>
        <v>-0.046875</v>
      </c>
      <c r="N1869" s="0" t="n">
        <f aca="false">D1869*D1869</f>
        <v>0.0625</v>
      </c>
      <c r="O1869" s="0" t="n">
        <f aca="false">E1869*E1869</f>
        <v>0.015625</v>
      </c>
      <c r="P1869" s="0" t="n">
        <f aca="false">F1869*F1869</f>
        <v>0.140625</v>
      </c>
      <c r="Q1869" s="0" t="n">
        <f aca="false">SUMPRODUCT(G1869:P1869,_XtX!$B$71:$K$71)</f>
        <v>47.6638494318182</v>
      </c>
      <c r="R1869" s="0" t="n">
        <f aca="false">SUMPRODUCT(MMULT(G1869:P1869,_XtX!$B$58:$K$67),G1869:P1869)</f>
        <v>0.127103493430398</v>
      </c>
      <c r="S1869" s="0" t="n">
        <f aca="false">04_回帰ANOVA!$K$19*04_回帰ANOVA!$K$14*SQRT(1+R1869)</f>
        <v>0.987071321387587</v>
      </c>
      <c r="T1869" s="0" t="n">
        <f aca="false">Q1869-S1869</f>
        <v>46.6767781104306</v>
      </c>
      <c r="U1869" s="0" t="n">
        <f aca="false">Q1869+S1869</f>
        <v>48.6509207532058</v>
      </c>
      <c r="V1869" s="54" t="b">
        <f aca="false">AND(D1869&gt;=01_因子設定!$L$5-0.000000001,D1869&lt;=01_因子設定!$M$5+0.000000001,E1869&gt;=01_因子設定!$L$6-0.000000001,E1869&lt;=01_因子設定!$M$6+0.000000001,F1869&gt;=01_因子設定!$L$7-0.000000001,F1869&lt;=01_因子設定!$M$7+0.000000001,IF(01_因子設定!$B$20="Box-Behnken",D1869^2+E1869^2+F1869^2&lt;=2+0.000000001,TRUE()))</f>
        <v>1</v>
      </c>
      <c r="W1869" s="55" t="n">
        <f aca="false">IF(V1869,IF(01_因子設定!$B$13="最大化",T1869-01_因子設定!$B$14,IF(01_因子設定!$B$13="最小化",01_因子設定!$B$15-U1869,MIN(T1869-01_因子設定!$B$14,01_因子設定!$B$15-U1869))),-1E+030)</f>
        <v>-1.8232218895694</v>
      </c>
      <c r="X1869" s="55" t="n">
        <f aca="false">IF(V1869,IF(01_因子設定!$B$13="最大化",Q1869,IF(01_因子設定!$B$13="最小化",-Q1869,-ABS(Q1869-01_因子設定!$B$16))),-1E+030)</f>
        <v>47.6638494318182</v>
      </c>
      <c r="Y1869" s="55" t="n">
        <f aca="false">W1869+ROW()*0.000000001</f>
        <v>-1.8232200205694</v>
      </c>
      <c r="Z1869" s="55" t="n">
        <f aca="false">X1869+ROW()*0.000000001</f>
        <v>47.6638513008182</v>
      </c>
    </row>
    <row r="1870" customFormat="false" ht="15" hidden="false" customHeight="false" outlineLevel="0" collapsed="false">
      <c r="A1870" s="0" t="n">
        <v>6</v>
      </c>
      <c r="B1870" s="0" t="n">
        <v>7</v>
      </c>
      <c r="C1870" s="0" t="n">
        <v>12</v>
      </c>
      <c r="D1870" s="0" t="n">
        <f aca="false">-1+A1870*0.125</f>
        <v>-0.25</v>
      </c>
      <c r="E1870" s="0" t="n">
        <f aca="false">-1+B1870*0.125</f>
        <v>-0.125</v>
      </c>
      <c r="F1870" s="0" t="n">
        <f aca="false">-1+C1870*0.125</f>
        <v>0.5</v>
      </c>
      <c r="G1870" s="0" t="n">
        <f aca="false">1</f>
        <v>1</v>
      </c>
      <c r="H1870" s="0" t="n">
        <f aca="false">D1870</f>
        <v>-0.25</v>
      </c>
      <c r="I1870" s="0" t="n">
        <f aca="false">E1870</f>
        <v>-0.125</v>
      </c>
      <c r="J1870" s="0" t="n">
        <f aca="false">F1870</f>
        <v>0.5</v>
      </c>
      <c r="K1870" s="0" t="n">
        <f aca="false">D1870*E1870</f>
        <v>0.03125</v>
      </c>
      <c r="L1870" s="0" t="n">
        <f aca="false">D1870*F1870</f>
        <v>-0.125</v>
      </c>
      <c r="M1870" s="0" t="n">
        <f aca="false">E1870*F1870</f>
        <v>-0.0625</v>
      </c>
      <c r="N1870" s="0" t="n">
        <f aca="false">D1870*D1870</f>
        <v>0.0625</v>
      </c>
      <c r="O1870" s="0" t="n">
        <f aca="false">E1870*E1870</f>
        <v>0.015625</v>
      </c>
      <c r="P1870" s="0" t="n">
        <f aca="false">F1870*F1870</f>
        <v>0.25</v>
      </c>
      <c r="Q1870" s="0" t="n">
        <f aca="false">SUMPRODUCT(G1870:P1870,_XtX!$B$71:$K$71)</f>
        <v>47.7052414772727</v>
      </c>
      <c r="R1870" s="0" t="n">
        <f aca="false">SUMPRODUCT(MMULT(G1870:P1870,_XtX!$B$58:$K$67),G1870:P1870)</f>
        <v>0.142371715198864</v>
      </c>
      <c r="S1870" s="0" t="n">
        <f aca="false">04_回帰ANOVA!$K$19*04_回帰ANOVA!$K$14*SQRT(1+R1870)</f>
        <v>0.99373447511735</v>
      </c>
      <c r="T1870" s="0" t="n">
        <f aca="false">Q1870-S1870</f>
        <v>46.7115070021554</v>
      </c>
      <c r="U1870" s="0" t="n">
        <f aca="false">Q1870+S1870</f>
        <v>48.6989759523901</v>
      </c>
      <c r="V1870" s="54" t="b">
        <f aca="false">AND(D1870&gt;=01_因子設定!$L$5-0.000000001,D1870&lt;=01_因子設定!$M$5+0.000000001,E1870&gt;=01_因子設定!$L$6-0.000000001,E1870&lt;=01_因子設定!$M$6+0.000000001,F1870&gt;=01_因子設定!$L$7-0.000000001,F1870&lt;=01_因子設定!$M$7+0.000000001,IF(01_因子設定!$B$20="Box-Behnken",D1870^2+E1870^2+F1870^2&lt;=2+0.000000001,TRUE()))</f>
        <v>1</v>
      </c>
      <c r="W1870" s="55" t="n">
        <f aca="false">IF(V1870,IF(01_因子設定!$B$13="最大化",T1870-01_因子設定!$B$14,IF(01_因子設定!$B$13="最小化",01_因子設定!$B$15-U1870,MIN(T1870-01_因子設定!$B$14,01_因子設定!$B$15-U1870))),-1E+030)</f>
        <v>-1.78849299784461</v>
      </c>
      <c r="X1870" s="55" t="n">
        <f aca="false">IF(V1870,IF(01_因子設定!$B$13="最大化",Q1870,IF(01_因子設定!$B$13="最小化",-Q1870,-ABS(Q1870-01_因子設定!$B$16))),-1E+030)</f>
        <v>47.7052414772727</v>
      </c>
      <c r="Y1870" s="55" t="n">
        <f aca="false">W1870+ROW()*0.000000001</f>
        <v>-1.78849112784461</v>
      </c>
      <c r="Z1870" s="55" t="n">
        <f aca="false">X1870+ROW()*0.000000001</f>
        <v>47.7052433472727</v>
      </c>
    </row>
    <row r="1871" customFormat="false" ht="15" hidden="false" customHeight="false" outlineLevel="0" collapsed="false">
      <c r="A1871" s="0" t="n">
        <v>6</v>
      </c>
      <c r="B1871" s="0" t="n">
        <v>7</v>
      </c>
      <c r="C1871" s="0" t="n">
        <v>13</v>
      </c>
      <c r="D1871" s="0" t="n">
        <f aca="false">-1+A1871*0.125</f>
        <v>-0.25</v>
      </c>
      <c r="E1871" s="0" t="n">
        <f aca="false">-1+B1871*0.125</f>
        <v>-0.125</v>
      </c>
      <c r="F1871" s="0" t="n">
        <f aca="false">-1+C1871*0.125</f>
        <v>0.625</v>
      </c>
      <c r="G1871" s="0" t="n">
        <f aca="false">1</f>
        <v>1</v>
      </c>
      <c r="H1871" s="0" t="n">
        <f aca="false">D1871</f>
        <v>-0.25</v>
      </c>
      <c r="I1871" s="0" t="n">
        <f aca="false">E1871</f>
        <v>-0.125</v>
      </c>
      <c r="J1871" s="0" t="n">
        <f aca="false">F1871</f>
        <v>0.625</v>
      </c>
      <c r="K1871" s="0" t="n">
        <f aca="false">D1871*E1871</f>
        <v>0.03125</v>
      </c>
      <c r="L1871" s="0" t="n">
        <f aca="false">D1871*F1871</f>
        <v>-0.15625</v>
      </c>
      <c r="M1871" s="0" t="n">
        <f aca="false">E1871*F1871</f>
        <v>-0.078125</v>
      </c>
      <c r="N1871" s="0" t="n">
        <f aca="false">D1871*D1871</f>
        <v>0.0625</v>
      </c>
      <c r="O1871" s="0" t="n">
        <f aca="false">E1871*E1871</f>
        <v>0.015625</v>
      </c>
      <c r="P1871" s="0" t="n">
        <f aca="false">F1871*F1871</f>
        <v>0.390625</v>
      </c>
      <c r="Q1871" s="0" t="n">
        <f aca="false">SUMPRODUCT(G1871:P1871,_XtX!$B$71:$K$71)</f>
        <v>47.70984375</v>
      </c>
      <c r="R1871" s="0" t="n">
        <f aca="false">SUMPRODUCT(MMULT(G1871:P1871,_XtX!$B$58:$K$67),G1871:P1871)</f>
        <v>0.174786376953125</v>
      </c>
      <c r="S1871" s="0" t="n">
        <f aca="false">04_回帰ANOVA!$K$19*04_回帰ANOVA!$K$14*SQRT(1+R1871)</f>
        <v>1.00773440704286</v>
      </c>
      <c r="T1871" s="0" t="n">
        <f aca="false">Q1871-S1871</f>
        <v>46.7021093429572</v>
      </c>
      <c r="U1871" s="0" t="n">
        <f aca="false">Q1871+S1871</f>
        <v>48.7175781570429</v>
      </c>
      <c r="V1871" s="54" t="b">
        <f aca="false">AND(D1871&gt;=01_因子設定!$L$5-0.000000001,D1871&lt;=01_因子設定!$M$5+0.000000001,E1871&gt;=01_因子設定!$L$6-0.000000001,E1871&lt;=01_因子設定!$M$6+0.000000001,F1871&gt;=01_因子設定!$L$7-0.000000001,F1871&lt;=01_因子設定!$M$7+0.000000001,IF(01_因子設定!$B$20="Box-Behnken",D1871^2+E1871^2+F1871^2&lt;=2+0.000000001,TRUE()))</f>
        <v>1</v>
      </c>
      <c r="W1871" s="55" t="n">
        <f aca="false">IF(V1871,IF(01_因子設定!$B$13="最大化",T1871-01_因子設定!$B$14,IF(01_因子設定!$B$13="最小化",01_因子設定!$B$15-U1871,MIN(T1871-01_因子設定!$B$14,01_因子設定!$B$15-U1871))),-1E+030)</f>
        <v>-1.79789065704285</v>
      </c>
      <c r="X1871" s="55" t="n">
        <f aca="false">IF(V1871,IF(01_因子設定!$B$13="最大化",Q1871,IF(01_因子設定!$B$13="最小化",-Q1871,-ABS(Q1871-01_因子設定!$B$16))),-1E+030)</f>
        <v>47.70984375</v>
      </c>
      <c r="Y1871" s="55" t="n">
        <f aca="false">W1871+ROW()*0.000000001</f>
        <v>-1.79788878604285</v>
      </c>
      <c r="Z1871" s="55" t="n">
        <f aca="false">X1871+ROW()*0.000000001</f>
        <v>47.709845621</v>
      </c>
    </row>
    <row r="1872" customFormat="false" ht="15" hidden="false" customHeight="false" outlineLevel="0" collapsed="false">
      <c r="A1872" s="0" t="n">
        <v>6</v>
      </c>
      <c r="B1872" s="0" t="n">
        <v>7</v>
      </c>
      <c r="C1872" s="0" t="n">
        <v>14</v>
      </c>
      <c r="D1872" s="0" t="n">
        <f aca="false">-1+A1872*0.125</f>
        <v>-0.25</v>
      </c>
      <c r="E1872" s="0" t="n">
        <f aca="false">-1+B1872*0.125</f>
        <v>-0.125</v>
      </c>
      <c r="F1872" s="0" t="n">
        <f aca="false">-1+C1872*0.125</f>
        <v>0.75</v>
      </c>
      <c r="G1872" s="0" t="n">
        <f aca="false">1</f>
        <v>1</v>
      </c>
      <c r="H1872" s="0" t="n">
        <f aca="false">D1872</f>
        <v>-0.25</v>
      </c>
      <c r="I1872" s="0" t="n">
        <f aca="false">E1872</f>
        <v>-0.125</v>
      </c>
      <c r="J1872" s="0" t="n">
        <f aca="false">F1872</f>
        <v>0.75</v>
      </c>
      <c r="K1872" s="0" t="n">
        <f aca="false">D1872*E1872</f>
        <v>0.03125</v>
      </c>
      <c r="L1872" s="0" t="n">
        <f aca="false">D1872*F1872</f>
        <v>-0.1875</v>
      </c>
      <c r="M1872" s="0" t="n">
        <f aca="false">E1872*F1872</f>
        <v>-0.09375</v>
      </c>
      <c r="N1872" s="0" t="n">
        <f aca="false">D1872*D1872</f>
        <v>0.0625</v>
      </c>
      <c r="O1872" s="0" t="n">
        <f aca="false">E1872*E1872</f>
        <v>0.015625</v>
      </c>
      <c r="P1872" s="0" t="n">
        <f aca="false">F1872*F1872</f>
        <v>0.5625</v>
      </c>
      <c r="Q1872" s="0" t="n">
        <f aca="false">SUMPRODUCT(G1872:P1872,_XtX!$B$71:$K$71)</f>
        <v>47.67765625</v>
      </c>
      <c r="R1872" s="0" t="n">
        <f aca="false">SUMPRODUCT(MMULT(G1872:P1872,_XtX!$B$58:$K$67),G1872:P1872)</f>
        <v>0.233935546875</v>
      </c>
      <c r="S1872" s="0" t="n">
        <f aca="false">04_回帰ANOVA!$K$19*04_回帰ANOVA!$K$14*SQRT(1+R1872)</f>
        <v>1.03279202033444</v>
      </c>
      <c r="T1872" s="0" t="n">
        <f aca="false">Q1872-S1872</f>
        <v>46.6448642296656</v>
      </c>
      <c r="U1872" s="0" t="n">
        <f aca="false">Q1872+S1872</f>
        <v>48.7104482703345</v>
      </c>
      <c r="V1872" s="54" t="b">
        <f aca="false">AND(D1872&gt;=01_因子設定!$L$5-0.000000001,D1872&lt;=01_因子設定!$M$5+0.000000001,E1872&gt;=01_因子設定!$L$6-0.000000001,E1872&lt;=01_因子設定!$M$6+0.000000001,F1872&gt;=01_因子設定!$L$7-0.000000001,F1872&lt;=01_因子設定!$M$7+0.000000001,IF(01_因子設定!$B$20="Box-Behnken",D1872^2+E1872^2+F1872^2&lt;=2+0.000000001,TRUE()))</f>
        <v>1</v>
      </c>
      <c r="W1872" s="55" t="n">
        <f aca="false">IF(V1872,IF(01_因子設定!$B$13="最大化",T1872-01_因子設定!$B$14,IF(01_因子設定!$B$13="最小化",01_因子設定!$B$15-U1872,MIN(T1872-01_因子設定!$B$14,01_因子設定!$B$15-U1872))),-1E+030)</f>
        <v>-1.85513577033442</v>
      </c>
      <c r="X1872" s="55" t="n">
        <f aca="false">IF(V1872,IF(01_因子設定!$B$13="最大化",Q1872,IF(01_因子設定!$B$13="最小化",-Q1872,-ABS(Q1872-01_因子設定!$B$16))),-1E+030)</f>
        <v>47.67765625</v>
      </c>
      <c r="Y1872" s="55" t="n">
        <f aca="false">W1872+ROW()*0.000000001</f>
        <v>-1.85513389833442</v>
      </c>
      <c r="Z1872" s="55" t="n">
        <f aca="false">X1872+ROW()*0.000000001</f>
        <v>47.677658122</v>
      </c>
    </row>
    <row r="1873" customFormat="false" ht="15" hidden="false" customHeight="false" outlineLevel="0" collapsed="false">
      <c r="A1873" s="0" t="n">
        <v>6</v>
      </c>
      <c r="B1873" s="0" t="n">
        <v>7</v>
      </c>
      <c r="C1873" s="0" t="n">
        <v>15</v>
      </c>
      <c r="D1873" s="0" t="n">
        <f aca="false">-1+A1873*0.125</f>
        <v>-0.25</v>
      </c>
      <c r="E1873" s="0" t="n">
        <f aca="false">-1+B1873*0.125</f>
        <v>-0.125</v>
      </c>
      <c r="F1873" s="0" t="n">
        <f aca="false">-1+C1873*0.125</f>
        <v>0.875</v>
      </c>
      <c r="G1873" s="0" t="n">
        <f aca="false">1</f>
        <v>1</v>
      </c>
      <c r="H1873" s="0" t="n">
        <f aca="false">D1873</f>
        <v>-0.25</v>
      </c>
      <c r="I1873" s="0" t="n">
        <f aca="false">E1873</f>
        <v>-0.125</v>
      </c>
      <c r="J1873" s="0" t="n">
        <f aca="false">F1873</f>
        <v>0.875</v>
      </c>
      <c r="K1873" s="0" t="n">
        <f aca="false">D1873*E1873</f>
        <v>0.03125</v>
      </c>
      <c r="L1873" s="0" t="n">
        <f aca="false">D1873*F1873</f>
        <v>-0.21875</v>
      </c>
      <c r="M1873" s="0" t="n">
        <f aca="false">E1873*F1873</f>
        <v>-0.109375</v>
      </c>
      <c r="N1873" s="0" t="n">
        <f aca="false">D1873*D1873</f>
        <v>0.0625</v>
      </c>
      <c r="O1873" s="0" t="n">
        <f aca="false">E1873*E1873</f>
        <v>0.015625</v>
      </c>
      <c r="P1873" s="0" t="n">
        <f aca="false">F1873*F1873</f>
        <v>0.765625</v>
      </c>
      <c r="Q1873" s="0" t="n">
        <f aca="false">SUMPRODUCT(G1873:P1873,_XtX!$B$71:$K$71)</f>
        <v>47.6086789772727</v>
      </c>
      <c r="R1873" s="0" t="n">
        <f aca="false">SUMPRODUCT(MMULT(G1873:P1873,_XtX!$B$58:$K$67),G1873:P1873)</f>
        <v>0.331537974964489</v>
      </c>
      <c r="S1873" s="0" t="n">
        <f aca="false">04_回帰ANOVA!$K$19*04_回帰ANOVA!$K$14*SQRT(1+R1873)</f>
        <v>1.07286089161565</v>
      </c>
      <c r="T1873" s="0" t="n">
        <f aca="false">Q1873-S1873</f>
        <v>46.5358180856571</v>
      </c>
      <c r="U1873" s="0" t="n">
        <f aca="false">Q1873+S1873</f>
        <v>48.6815398688884</v>
      </c>
      <c r="V1873" s="54" t="b">
        <f aca="false">AND(D1873&gt;=01_因子設定!$L$5-0.000000001,D1873&lt;=01_因子設定!$M$5+0.000000001,E1873&gt;=01_因子設定!$L$6-0.000000001,E1873&lt;=01_因子設定!$M$6+0.000000001,F1873&gt;=01_因子設定!$L$7-0.000000001,F1873&lt;=01_因子設定!$M$7+0.000000001,IF(01_因子設定!$B$20="Box-Behnken",D1873^2+E1873^2+F1873^2&lt;=2+0.000000001,TRUE()))</f>
        <v>1</v>
      </c>
      <c r="W1873" s="55" t="n">
        <f aca="false">IF(V1873,IF(01_因子設定!$B$13="最大化",T1873-01_因子設定!$B$14,IF(01_因子設定!$B$13="最小化",01_因子設定!$B$15-U1873,MIN(T1873-01_因子設定!$B$14,01_因子設定!$B$15-U1873))),-1E+030)</f>
        <v>-1.96418191434291</v>
      </c>
      <c r="X1873" s="55" t="n">
        <f aca="false">IF(V1873,IF(01_因子設定!$B$13="最大化",Q1873,IF(01_因子設定!$B$13="最小化",-Q1873,-ABS(Q1873-01_因子設定!$B$16))),-1E+030)</f>
        <v>47.6086789772727</v>
      </c>
      <c r="Y1873" s="55" t="n">
        <f aca="false">W1873+ROW()*0.000000001</f>
        <v>-1.96418004134291</v>
      </c>
      <c r="Z1873" s="55" t="n">
        <f aca="false">X1873+ROW()*0.000000001</f>
        <v>47.6086808502728</v>
      </c>
    </row>
    <row r="1874" customFormat="false" ht="15" hidden="false" customHeight="false" outlineLevel="0" collapsed="false">
      <c r="A1874" s="0" t="n">
        <v>6</v>
      </c>
      <c r="B1874" s="0" t="n">
        <v>7</v>
      </c>
      <c r="C1874" s="0" t="n">
        <v>16</v>
      </c>
      <c r="D1874" s="0" t="n">
        <f aca="false">-1+A1874*0.125</f>
        <v>-0.25</v>
      </c>
      <c r="E1874" s="0" t="n">
        <f aca="false">-1+B1874*0.125</f>
        <v>-0.125</v>
      </c>
      <c r="F1874" s="0" t="n">
        <f aca="false">-1+C1874*0.125</f>
        <v>1</v>
      </c>
      <c r="G1874" s="0" t="n">
        <f aca="false">1</f>
        <v>1</v>
      </c>
      <c r="H1874" s="0" t="n">
        <f aca="false">D1874</f>
        <v>-0.25</v>
      </c>
      <c r="I1874" s="0" t="n">
        <f aca="false">E1874</f>
        <v>-0.125</v>
      </c>
      <c r="J1874" s="0" t="n">
        <f aca="false">F1874</f>
        <v>1</v>
      </c>
      <c r="K1874" s="0" t="n">
        <f aca="false">D1874*E1874</f>
        <v>0.03125</v>
      </c>
      <c r="L1874" s="0" t="n">
        <f aca="false">D1874*F1874</f>
        <v>-0.25</v>
      </c>
      <c r="M1874" s="0" t="n">
        <f aca="false">E1874*F1874</f>
        <v>-0.125</v>
      </c>
      <c r="N1874" s="0" t="n">
        <f aca="false">D1874*D1874</f>
        <v>0.0625</v>
      </c>
      <c r="O1874" s="0" t="n">
        <f aca="false">E1874*E1874</f>
        <v>0.015625</v>
      </c>
      <c r="P1874" s="0" t="n">
        <f aca="false">F1874*F1874</f>
        <v>1</v>
      </c>
      <c r="Q1874" s="0" t="n">
        <f aca="false">SUMPRODUCT(G1874:P1874,_XtX!$B$71:$K$71)</f>
        <v>47.5029119318182</v>
      </c>
      <c r="R1874" s="0" t="n">
        <f aca="false">SUMPRODUCT(MMULT(G1874:P1874,_XtX!$B$58:$K$67),G1874:P1874)</f>
        <v>0.481443093039773</v>
      </c>
      <c r="S1874" s="0" t="n">
        <f aca="false">04_回帰ANOVA!$K$19*04_回帰ANOVA!$K$14*SQRT(1+R1874)</f>
        <v>1.13164216995877</v>
      </c>
      <c r="T1874" s="0" t="n">
        <f aca="false">Q1874-S1874</f>
        <v>46.3712697618594</v>
      </c>
      <c r="U1874" s="0" t="n">
        <f aca="false">Q1874+S1874</f>
        <v>48.634554101777</v>
      </c>
      <c r="V1874" s="54" t="b">
        <f aca="false">AND(D1874&gt;=01_因子設定!$L$5-0.000000001,D1874&lt;=01_因子設定!$M$5+0.000000001,E1874&gt;=01_因子設定!$L$6-0.000000001,E1874&lt;=01_因子設定!$M$6+0.000000001,F1874&gt;=01_因子設定!$L$7-0.000000001,F1874&lt;=01_因子設定!$M$7+0.000000001,IF(01_因子設定!$B$20="Box-Behnken",D1874^2+E1874^2+F1874^2&lt;=2+0.000000001,TRUE()))</f>
        <v>1</v>
      </c>
      <c r="W1874" s="55" t="n">
        <f aca="false">IF(V1874,IF(01_因子設定!$B$13="最大化",T1874-01_因子設定!$B$14,IF(01_因子設定!$B$13="最小化",01_因子設定!$B$15-U1874,MIN(T1874-01_因子設定!$B$14,01_因子設定!$B$15-U1874))),-1E+030)</f>
        <v>-2.12873023814056</v>
      </c>
      <c r="X1874" s="55" t="n">
        <f aca="false">IF(V1874,IF(01_因子設定!$B$13="最大化",Q1874,IF(01_因子設定!$B$13="最小化",-Q1874,-ABS(Q1874-01_因子設定!$B$16))),-1E+030)</f>
        <v>47.5029119318182</v>
      </c>
      <c r="Y1874" s="55" t="n">
        <f aca="false">W1874+ROW()*0.000000001</f>
        <v>-2.12872836414056</v>
      </c>
      <c r="Z1874" s="55" t="n">
        <f aca="false">X1874+ROW()*0.000000001</f>
        <v>47.5029138058182</v>
      </c>
    </row>
    <row r="1875" customFormat="false" ht="15" hidden="false" customHeight="false" outlineLevel="0" collapsed="false">
      <c r="A1875" s="0" t="n">
        <v>6</v>
      </c>
      <c r="B1875" s="0" t="n">
        <v>8</v>
      </c>
      <c r="C1875" s="0" t="n">
        <v>0</v>
      </c>
      <c r="D1875" s="0" t="n">
        <f aca="false">-1+A1875*0.125</f>
        <v>-0.25</v>
      </c>
      <c r="E1875" s="0" t="n">
        <f aca="false">-1+B1875*0.125</f>
        <v>0</v>
      </c>
      <c r="F1875" s="0" t="n">
        <f aca="false">-1+C1875*0.125</f>
        <v>-1</v>
      </c>
      <c r="G1875" s="0" t="n">
        <f aca="false">1</f>
        <v>1</v>
      </c>
      <c r="H1875" s="0" t="n">
        <f aca="false">D1875</f>
        <v>-0.25</v>
      </c>
      <c r="I1875" s="0" t="n">
        <f aca="false">E1875</f>
        <v>0</v>
      </c>
      <c r="J1875" s="0" t="n">
        <f aca="false">F1875</f>
        <v>-1</v>
      </c>
      <c r="K1875" s="0" t="n">
        <f aca="false">D1875*E1875</f>
        <v>-0</v>
      </c>
      <c r="L1875" s="0" t="n">
        <f aca="false">D1875*F1875</f>
        <v>0.25</v>
      </c>
      <c r="M1875" s="0" t="n">
        <f aca="false">E1875*F1875</f>
        <v>-0</v>
      </c>
      <c r="N1875" s="0" t="n">
        <f aca="false">D1875*D1875</f>
        <v>0.0625</v>
      </c>
      <c r="O1875" s="0" t="n">
        <f aca="false">E1875*E1875</f>
        <v>0</v>
      </c>
      <c r="P1875" s="0" t="n">
        <f aca="false">F1875*F1875</f>
        <v>1</v>
      </c>
      <c r="Q1875" s="0" t="n">
        <f aca="false">SUMPRODUCT(G1875:P1875,_XtX!$B$71:$K$71)</f>
        <v>44.9763068181819</v>
      </c>
      <c r="R1875" s="0" t="n">
        <f aca="false">SUMPRODUCT(MMULT(G1875:P1875,_XtX!$B$58:$K$67),G1875:P1875)</f>
        <v>0.483664772727273</v>
      </c>
      <c r="S1875" s="0" t="n">
        <f aca="false">04_回帰ANOVA!$K$19*04_回帰ANOVA!$K$14*SQRT(1+R1875)</f>
        <v>1.13249039846694</v>
      </c>
      <c r="T1875" s="0" t="n">
        <f aca="false">Q1875-S1875</f>
        <v>43.8438164197149</v>
      </c>
      <c r="U1875" s="0" t="n">
        <f aca="false">Q1875+S1875</f>
        <v>46.1087972166488</v>
      </c>
      <c r="V1875" s="54" t="b">
        <f aca="false">AND(D1875&gt;=01_因子設定!$L$5-0.000000001,D1875&lt;=01_因子設定!$M$5+0.000000001,E1875&gt;=01_因子設定!$L$6-0.000000001,E1875&lt;=01_因子設定!$M$6+0.000000001,F1875&gt;=01_因子設定!$L$7-0.000000001,F1875&lt;=01_因子設定!$M$7+0.000000001,IF(01_因子設定!$B$20="Box-Behnken",D1875^2+E1875^2+F1875^2&lt;=2+0.000000001,TRUE()))</f>
        <v>1</v>
      </c>
      <c r="W1875" s="55" t="n">
        <f aca="false">IF(V1875,IF(01_因子設定!$B$13="最大化",T1875-01_因子設定!$B$14,IF(01_因子設定!$B$13="最小化",01_因子設定!$B$15-U1875,MIN(T1875-01_因子設定!$B$14,01_因子設定!$B$15-U1875))),-1E+030)</f>
        <v>-4.65618358028509</v>
      </c>
      <c r="X1875" s="55" t="n">
        <f aca="false">IF(V1875,IF(01_因子設定!$B$13="最大化",Q1875,IF(01_因子設定!$B$13="最小化",-Q1875,-ABS(Q1875-01_因子設定!$B$16))),-1E+030)</f>
        <v>44.9763068181819</v>
      </c>
      <c r="Y1875" s="55" t="n">
        <f aca="false">W1875+ROW()*0.000000001</f>
        <v>-4.65618170528509</v>
      </c>
      <c r="Z1875" s="55" t="n">
        <f aca="false">X1875+ROW()*0.000000001</f>
        <v>44.9763086931819</v>
      </c>
    </row>
    <row r="1876" customFormat="false" ht="15" hidden="false" customHeight="false" outlineLevel="0" collapsed="false">
      <c r="A1876" s="0" t="n">
        <v>6</v>
      </c>
      <c r="B1876" s="0" t="n">
        <v>8</v>
      </c>
      <c r="C1876" s="0" t="n">
        <v>1</v>
      </c>
      <c r="D1876" s="0" t="n">
        <f aca="false">-1+A1876*0.125</f>
        <v>-0.25</v>
      </c>
      <c r="E1876" s="0" t="n">
        <f aca="false">-1+B1876*0.125</f>
        <v>0</v>
      </c>
      <c r="F1876" s="0" t="n">
        <f aca="false">-1+C1876*0.125</f>
        <v>-0.875</v>
      </c>
      <c r="G1876" s="0" t="n">
        <f aca="false">1</f>
        <v>1</v>
      </c>
      <c r="H1876" s="0" t="n">
        <f aca="false">D1876</f>
        <v>-0.25</v>
      </c>
      <c r="I1876" s="0" t="n">
        <f aca="false">E1876</f>
        <v>0</v>
      </c>
      <c r="J1876" s="0" t="n">
        <f aca="false">F1876</f>
        <v>-0.875</v>
      </c>
      <c r="K1876" s="0" t="n">
        <f aca="false">D1876*E1876</f>
        <v>-0</v>
      </c>
      <c r="L1876" s="0" t="n">
        <f aca="false">D1876*F1876</f>
        <v>0.21875</v>
      </c>
      <c r="M1876" s="0" t="n">
        <f aca="false">E1876*F1876</f>
        <v>-0</v>
      </c>
      <c r="N1876" s="0" t="n">
        <f aca="false">D1876*D1876</f>
        <v>0.0625</v>
      </c>
      <c r="O1876" s="0" t="n">
        <f aca="false">E1876*E1876</f>
        <v>0</v>
      </c>
      <c r="P1876" s="0" t="n">
        <f aca="false">F1876*F1876</f>
        <v>0.765625</v>
      </c>
      <c r="Q1876" s="0" t="n">
        <f aca="false">SUMPRODUCT(G1876:P1876,_XtX!$B$71:$K$71)</f>
        <v>45.4294176136364</v>
      </c>
      <c r="R1876" s="0" t="n">
        <f aca="false">SUMPRODUCT(MMULT(G1876:P1876,_XtX!$B$58:$K$67),G1876:P1876)</f>
        <v>0.333218661221591</v>
      </c>
      <c r="S1876" s="0" t="n">
        <f aca="false">04_回帰ANOVA!$K$19*04_回帰ANOVA!$K$14*SQRT(1+R1876)</f>
        <v>1.07353776826542</v>
      </c>
      <c r="T1876" s="0" t="n">
        <f aca="false">Q1876-S1876</f>
        <v>44.355879845371</v>
      </c>
      <c r="U1876" s="0" t="n">
        <f aca="false">Q1876+S1876</f>
        <v>46.5029553819018</v>
      </c>
      <c r="V1876" s="54" t="b">
        <f aca="false">AND(D1876&gt;=01_因子設定!$L$5-0.000000001,D1876&lt;=01_因子設定!$M$5+0.000000001,E1876&gt;=01_因子設定!$L$6-0.000000001,E1876&lt;=01_因子設定!$M$6+0.000000001,F1876&gt;=01_因子設定!$L$7-0.000000001,F1876&lt;=01_因子設定!$M$7+0.000000001,IF(01_因子設定!$B$20="Box-Behnken",D1876^2+E1876^2+F1876^2&lt;=2+0.000000001,TRUE()))</f>
        <v>1</v>
      </c>
      <c r="W1876" s="55" t="n">
        <f aca="false">IF(V1876,IF(01_因子設定!$B$13="最大化",T1876-01_因子設定!$B$14,IF(01_因子設定!$B$13="最小化",01_因子設定!$B$15-U1876,MIN(T1876-01_因子設定!$B$14,01_因子設定!$B$15-U1876))),-1E+030)</f>
        <v>-4.14412015462903</v>
      </c>
      <c r="X1876" s="55" t="n">
        <f aca="false">IF(V1876,IF(01_因子設定!$B$13="最大化",Q1876,IF(01_因子設定!$B$13="最小化",-Q1876,-ABS(Q1876-01_因子設定!$B$16))),-1E+030)</f>
        <v>45.4294176136364</v>
      </c>
      <c r="Y1876" s="55" t="n">
        <f aca="false">W1876+ROW()*0.000000001</f>
        <v>-4.14411827862903</v>
      </c>
      <c r="Z1876" s="55" t="n">
        <f aca="false">X1876+ROW()*0.000000001</f>
        <v>45.4294194896364</v>
      </c>
    </row>
    <row r="1877" customFormat="false" ht="15" hidden="false" customHeight="false" outlineLevel="0" collapsed="false">
      <c r="A1877" s="0" t="n">
        <v>6</v>
      </c>
      <c r="B1877" s="0" t="n">
        <v>8</v>
      </c>
      <c r="C1877" s="0" t="n">
        <v>2</v>
      </c>
      <c r="D1877" s="0" t="n">
        <f aca="false">-1+A1877*0.125</f>
        <v>-0.25</v>
      </c>
      <c r="E1877" s="0" t="n">
        <f aca="false">-1+B1877*0.125</f>
        <v>0</v>
      </c>
      <c r="F1877" s="0" t="n">
        <f aca="false">-1+C1877*0.125</f>
        <v>-0.75</v>
      </c>
      <c r="G1877" s="0" t="n">
        <f aca="false">1</f>
        <v>1</v>
      </c>
      <c r="H1877" s="0" t="n">
        <f aca="false">D1877</f>
        <v>-0.25</v>
      </c>
      <c r="I1877" s="0" t="n">
        <f aca="false">E1877</f>
        <v>0</v>
      </c>
      <c r="J1877" s="0" t="n">
        <f aca="false">F1877</f>
        <v>-0.75</v>
      </c>
      <c r="K1877" s="0" t="n">
        <f aca="false">D1877*E1877</f>
        <v>-0</v>
      </c>
      <c r="L1877" s="0" t="n">
        <f aca="false">D1877*F1877</f>
        <v>0.1875</v>
      </c>
      <c r="M1877" s="0" t="n">
        <f aca="false">E1877*F1877</f>
        <v>-0</v>
      </c>
      <c r="N1877" s="0" t="n">
        <f aca="false">D1877*D1877</f>
        <v>0.0625</v>
      </c>
      <c r="O1877" s="0" t="n">
        <f aca="false">E1877*E1877</f>
        <v>0</v>
      </c>
      <c r="P1877" s="0" t="n">
        <f aca="false">F1877*F1877</f>
        <v>0.5625</v>
      </c>
      <c r="Q1877" s="0" t="n">
        <f aca="false">SUMPRODUCT(G1877:P1877,_XtX!$B$71:$K$71)</f>
        <v>45.8457386363637</v>
      </c>
      <c r="R1877" s="0" t="n">
        <f aca="false">SUMPRODUCT(MMULT(G1877:P1877,_XtX!$B$58:$K$67),G1877:P1877)</f>
        <v>0.235147372159091</v>
      </c>
      <c r="S1877" s="0" t="n">
        <f aca="false">04_回帰ANOVA!$K$19*04_回帰ANOVA!$K$14*SQRT(1+R1877)</f>
        <v>1.03329903885461</v>
      </c>
      <c r="T1877" s="0" t="n">
        <f aca="false">Q1877-S1877</f>
        <v>44.8124395975091</v>
      </c>
      <c r="U1877" s="0" t="n">
        <f aca="false">Q1877+S1877</f>
        <v>46.8790376752183</v>
      </c>
      <c r="V1877" s="54" t="b">
        <f aca="false">AND(D1877&gt;=01_因子設定!$L$5-0.000000001,D1877&lt;=01_因子設定!$M$5+0.000000001,E1877&gt;=01_因子設定!$L$6-0.000000001,E1877&lt;=01_因子設定!$M$6+0.000000001,F1877&gt;=01_因子設定!$L$7-0.000000001,F1877&lt;=01_因子設定!$M$7+0.000000001,IF(01_因子設定!$B$20="Box-Behnken",D1877^2+E1877^2+F1877^2&lt;=2+0.000000001,TRUE()))</f>
        <v>1</v>
      </c>
      <c r="W1877" s="55" t="n">
        <f aca="false">IF(V1877,IF(01_因子設定!$B$13="最大化",T1877-01_因子設定!$B$14,IF(01_因子設定!$B$13="最小化",01_因子設定!$B$15-U1877,MIN(T1877-01_因子設定!$B$14,01_因子設定!$B$15-U1877))),-1E+030)</f>
        <v>-3.68756040249095</v>
      </c>
      <c r="X1877" s="55" t="n">
        <f aca="false">IF(V1877,IF(01_因子設定!$B$13="最大化",Q1877,IF(01_因子設定!$B$13="最小化",-Q1877,-ABS(Q1877-01_因子設定!$B$16))),-1E+030)</f>
        <v>45.8457386363637</v>
      </c>
      <c r="Y1877" s="55" t="n">
        <f aca="false">W1877+ROW()*0.000000001</f>
        <v>-3.68755852549095</v>
      </c>
      <c r="Z1877" s="55" t="n">
        <f aca="false">X1877+ROW()*0.000000001</f>
        <v>45.8457405133637</v>
      </c>
    </row>
    <row r="1878" customFormat="false" ht="15" hidden="false" customHeight="false" outlineLevel="0" collapsed="false">
      <c r="A1878" s="0" t="n">
        <v>6</v>
      </c>
      <c r="B1878" s="0" t="n">
        <v>8</v>
      </c>
      <c r="C1878" s="0" t="n">
        <v>3</v>
      </c>
      <c r="D1878" s="0" t="n">
        <f aca="false">-1+A1878*0.125</f>
        <v>-0.25</v>
      </c>
      <c r="E1878" s="0" t="n">
        <f aca="false">-1+B1878*0.125</f>
        <v>0</v>
      </c>
      <c r="F1878" s="0" t="n">
        <f aca="false">-1+C1878*0.125</f>
        <v>-0.625</v>
      </c>
      <c r="G1878" s="0" t="n">
        <f aca="false">1</f>
        <v>1</v>
      </c>
      <c r="H1878" s="0" t="n">
        <f aca="false">D1878</f>
        <v>-0.25</v>
      </c>
      <c r="I1878" s="0" t="n">
        <f aca="false">E1878</f>
        <v>0</v>
      </c>
      <c r="J1878" s="0" t="n">
        <f aca="false">F1878</f>
        <v>-0.625</v>
      </c>
      <c r="K1878" s="0" t="n">
        <f aca="false">D1878*E1878</f>
        <v>-0</v>
      </c>
      <c r="L1878" s="0" t="n">
        <f aca="false">D1878*F1878</f>
        <v>0.15625</v>
      </c>
      <c r="M1878" s="0" t="n">
        <f aca="false">E1878*F1878</f>
        <v>-0</v>
      </c>
      <c r="N1878" s="0" t="n">
        <f aca="false">D1878*D1878</f>
        <v>0.0625</v>
      </c>
      <c r="O1878" s="0" t="n">
        <f aca="false">E1878*E1878</f>
        <v>0</v>
      </c>
      <c r="P1878" s="0" t="n">
        <f aca="false">F1878*F1878</f>
        <v>0.390625</v>
      </c>
      <c r="Q1878" s="0" t="n">
        <f aca="false">SUMPRODUCT(G1878:P1878,_XtX!$B$71:$K$71)</f>
        <v>46.2252698863637</v>
      </c>
      <c r="R1878" s="0" t="n">
        <f aca="false">SUMPRODUCT(MMULT(G1878:P1878,_XtX!$B$58:$K$67),G1878:P1878)</f>
        <v>0.175601473721591</v>
      </c>
      <c r="S1878" s="0" t="n">
        <f aca="false">04_回帰ANOVA!$K$19*04_回帰ANOVA!$K$14*SQRT(1+R1878)</f>
        <v>1.00808394234856</v>
      </c>
      <c r="T1878" s="0" t="n">
        <f aca="false">Q1878-S1878</f>
        <v>45.2171859440151</v>
      </c>
      <c r="U1878" s="0" t="n">
        <f aca="false">Q1878+S1878</f>
        <v>47.2333538287122</v>
      </c>
      <c r="V1878" s="54" t="b">
        <f aca="false">AND(D1878&gt;=01_因子設定!$L$5-0.000000001,D1878&lt;=01_因子設定!$M$5+0.000000001,E1878&gt;=01_因子設定!$L$6-0.000000001,E1878&lt;=01_因子設定!$M$6+0.000000001,F1878&gt;=01_因子設定!$L$7-0.000000001,F1878&lt;=01_因子設定!$M$7+0.000000001,IF(01_因子設定!$B$20="Box-Behnken",D1878^2+E1878^2+F1878^2&lt;=2+0.000000001,TRUE()))</f>
        <v>1</v>
      </c>
      <c r="W1878" s="55" t="n">
        <f aca="false">IF(V1878,IF(01_因子設定!$B$13="最大化",T1878-01_因子設定!$B$14,IF(01_因子設定!$B$13="最小化",01_因子設定!$B$15-U1878,MIN(T1878-01_因子設定!$B$14,01_因子設定!$B$15-U1878))),-1E+030)</f>
        <v>-3.28281405598491</v>
      </c>
      <c r="X1878" s="55" t="n">
        <f aca="false">IF(V1878,IF(01_因子設定!$B$13="最大化",Q1878,IF(01_因子設定!$B$13="最小化",-Q1878,-ABS(Q1878-01_因子設定!$B$16))),-1E+030)</f>
        <v>46.2252698863637</v>
      </c>
      <c r="Y1878" s="55" t="n">
        <f aca="false">W1878+ROW()*0.000000001</f>
        <v>-3.28281217798491</v>
      </c>
      <c r="Z1878" s="55" t="n">
        <f aca="false">X1878+ROW()*0.000000001</f>
        <v>46.2252717643637</v>
      </c>
    </row>
    <row r="1879" customFormat="false" ht="15" hidden="false" customHeight="false" outlineLevel="0" collapsed="false">
      <c r="A1879" s="0" t="n">
        <v>6</v>
      </c>
      <c r="B1879" s="0" t="n">
        <v>8</v>
      </c>
      <c r="C1879" s="0" t="n">
        <v>4</v>
      </c>
      <c r="D1879" s="0" t="n">
        <f aca="false">-1+A1879*0.125</f>
        <v>-0.25</v>
      </c>
      <c r="E1879" s="0" t="n">
        <f aca="false">-1+B1879*0.125</f>
        <v>0</v>
      </c>
      <c r="F1879" s="0" t="n">
        <f aca="false">-1+C1879*0.125</f>
        <v>-0.5</v>
      </c>
      <c r="G1879" s="0" t="n">
        <f aca="false">1</f>
        <v>1</v>
      </c>
      <c r="H1879" s="0" t="n">
        <f aca="false">D1879</f>
        <v>-0.25</v>
      </c>
      <c r="I1879" s="0" t="n">
        <f aca="false">E1879</f>
        <v>0</v>
      </c>
      <c r="J1879" s="0" t="n">
        <f aca="false">F1879</f>
        <v>-0.5</v>
      </c>
      <c r="K1879" s="0" t="n">
        <f aca="false">D1879*E1879</f>
        <v>-0</v>
      </c>
      <c r="L1879" s="0" t="n">
        <f aca="false">D1879*F1879</f>
        <v>0.125</v>
      </c>
      <c r="M1879" s="0" t="n">
        <f aca="false">E1879*F1879</f>
        <v>-0</v>
      </c>
      <c r="N1879" s="0" t="n">
        <f aca="false">D1879*D1879</f>
        <v>0.0625</v>
      </c>
      <c r="O1879" s="0" t="n">
        <f aca="false">E1879*E1879</f>
        <v>0</v>
      </c>
      <c r="P1879" s="0" t="n">
        <f aca="false">F1879*F1879</f>
        <v>0.25</v>
      </c>
      <c r="Q1879" s="0" t="n">
        <f aca="false">SUMPRODUCT(G1879:P1879,_XtX!$B$71:$K$71)</f>
        <v>46.5680113636364</v>
      </c>
      <c r="R1879" s="0" t="n">
        <f aca="false">SUMPRODUCT(MMULT(G1879:P1879,_XtX!$B$58:$K$67),G1879:P1879)</f>
        <v>0.142862215909091</v>
      </c>
      <c r="S1879" s="0" t="n">
        <f aca="false">04_回帰ANOVA!$K$19*04_回帰ANOVA!$K$14*SQRT(1+R1879)</f>
        <v>0.993947792354123</v>
      </c>
      <c r="T1879" s="0" t="n">
        <f aca="false">Q1879-S1879</f>
        <v>45.5740635712823</v>
      </c>
      <c r="U1879" s="0" t="n">
        <f aca="false">Q1879+S1879</f>
        <v>47.5619591559905</v>
      </c>
      <c r="V1879" s="54" t="b">
        <f aca="false">AND(D1879&gt;=01_因子設定!$L$5-0.000000001,D1879&lt;=01_因子設定!$M$5+0.000000001,E1879&gt;=01_因子設定!$L$6-0.000000001,E1879&lt;=01_因子設定!$M$6+0.000000001,F1879&gt;=01_因子設定!$L$7-0.000000001,F1879&lt;=01_因子設定!$M$7+0.000000001,IF(01_因子設定!$B$20="Box-Behnken",D1879^2+E1879^2+F1879^2&lt;=2+0.000000001,TRUE()))</f>
        <v>1</v>
      </c>
      <c r="W1879" s="55" t="n">
        <f aca="false">IF(V1879,IF(01_因子設定!$B$13="最大化",T1879-01_因子設定!$B$14,IF(01_因子設定!$B$13="最小化",01_因子設定!$B$15-U1879,MIN(T1879-01_因子設定!$B$14,01_因子設定!$B$15-U1879))),-1E+030)</f>
        <v>-2.92593642871775</v>
      </c>
      <c r="X1879" s="55" t="n">
        <f aca="false">IF(V1879,IF(01_因子設定!$B$13="最大化",Q1879,IF(01_因子設定!$B$13="最小化",-Q1879,-ABS(Q1879-01_因子設定!$B$16))),-1E+030)</f>
        <v>46.5680113636364</v>
      </c>
      <c r="Y1879" s="55" t="n">
        <f aca="false">W1879+ROW()*0.000000001</f>
        <v>-2.92593454971775</v>
      </c>
      <c r="Z1879" s="55" t="n">
        <f aca="false">X1879+ROW()*0.000000001</f>
        <v>46.5680132426364</v>
      </c>
    </row>
    <row r="1880" customFormat="false" ht="15" hidden="false" customHeight="false" outlineLevel="0" collapsed="false">
      <c r="A1880" s="0" t="n">
        <v>6</v>
      </c>
      <c r="B1880" s="0" t="n">
        <v>8</v>
      </c>
      <c r="C1880" s="0" t="n">
        <v>5</v>
      </c>
      <c r="D1880" s="0" t="n">
        <f aca="false">-1+A1880*0.125</f>
        <v>-0.25</v>
      </c>
      <c r="E1880" s="0" t="n">
        <f aca="false">-1+B1880*0.125</f>
        <v>0</v>
      </c>
      <c r="F1880" s="0" t="n">
        <f aca="false">-1+C1880*0.125</f>
        <v>-0.375</v>
      </c>
      <c r="G1880" s="0" t="n">
        <f aca="false">1</f>
        <v>1</v>
      </c>
      <c r="H1880" s="0" t="n">
        <f aca="false">D1880</f>
        <v>-0.25</v>
      </c>
      <c r="I1880" s="0" t="n">
        <f aca="false">E1880</f>
        <v>0</v>
      </c>
      <c r="J1880" s="0" t="n">
        <f aca="false">F1880</f>
        <v>-0.375</v>
      </c>
      <c r="K1880" s="0" t="n">
        <f aca="false">D1880*E1880</f>
        <v>-0</v>
      </c>
      <c r="L1880" s="0" t="n">
        <f aca="false">D1880*F1880</f>
        <v>0.09375</v>
      </c>
      <c r="M1880" s="0" t="n">
        <f aca="false">E1880*F1880</f>
        <v>-0</v>
      </c>
      <c r="N1880" s="0" t="n">
        <f aca="false">D1880*D1880</f>
        <v>0.0625</v>
      </c>
      <c r="O1880" s="0" t="n">
        <f aca="false">E1880*E1880</f>
        <v>0</v>
      </c>
      <c r="P1880" s="0" t="n">
        <f aca="false">F1880*F1880</f>
        <v>0.140625</v>
      </c>
      <c r="Q1880" s="0" t="n">
        <f aca="false">SUMPRODUCT(G1880:P1880,_XtX!$B$71:$K$71)</f>
        <v>46.8739630681818</v>
      </c>
      <c r="R1880" s="0" t="n">
        <f aca="false">SUMPRODUCT(MMULT(G1880:P1880,_XtX!$B$58:$K$67),G1880:P1880)</f>
        <v>0.127341530539773</v>
      </c>
      <c r="S1880" s="0" t="n">
        <f aca="false">04_回帰ANOVA!$K$19*04_回帰ANOVA!$K$14*SQRT(1+R1880)</f>
        <v>0.987175547486288</v>
      </c>
      <c r="T1880" s="0" t="n">
        <f aca="false">Q1880-S1880</f>
        <v>45.8867875206955</v>
      </c>
      <c r="U1880" s="0" t="n">
        <f aca="false">Q1880+S1880</f>
        <v>47.8611386156681</v>
      </c>
      <c r="V1880" s="54" t="b">
        <f aca="false">AND(D1880&gt;=01_因子設定!$L$5-0.000000001,D1880&lt;=01_因子設定!$M$5+0.000000001,E1880&gt;=01_因子設定!$L$6-0.000000001,E1880&lt;=01_因子設定!$M$6+0.000000001,F1880&gt;=01_因子設定!$L$7-0.000000001,F1880&lt;=01_因子設定!$M$7+0.000000001,IF(01_因子設定!$B$20="Box-Behnken",D1880^2+E1880^2+F1880^2&lt;=2+0.000000001,TRUE()))</f>
        <v>1</v>
      </c>
      <c r="W1880" s="55" t="n">
        <f aca="false">IF(V1880,IF(01_因子設定!$B$13="最大化",T1880-01_因子設定!$B$14,IF(01_因子設定!$B$13="最小化",01_因子設定!$B$15-U1880,MIN(T1880-01_因子設定!$B$14,01_因子設定!$B$15-U1880))),-1E+030)</f>
        <v>-2.61321247930446</v>
      </c>
      <c r="X1880" s="55" t="n">
        <f aca="false">IF(V1880,IF(01_因子設定!$B$13="最大化",Q1880,IF(01_因子設定!$B$13="最小化",-Q1880,-ABS(Q1880-01_因子設定!$B$16))),-1E+030)</f>
        <v>46.8739630681818</v>
      </c>
      <c r="Y1880" s="55" t="n">
        <f aca="false">W1880+ROW()*0.000000001</f>
        <v>-2.61321059930446</v>
      </c>
      <c r="Z1880" s="55" t="n">
        <f aca="false">X1880+ROW()*0.000000001</f>
        <v>46.8739649481818</v>
      </c>
    </row>
    <row r="1881" customFormat="false" ht="15" hidden="false" customHeight="false" outlineLevel="0" collapsed="false">
      <c r="A1881" s="0" t="n">
        <v>6</v>
      </c>
      <c r="B1881" s="0" t="n">
        <v>8</v>
      </c>
      <c r="C1881" s="0" t="n">
        <v>6</v>
      </c>
      <c r="D1881" s="0" t="n">
        <f aca="false">-1+A1881*0.125</f>
        <v>-0.25</v>
      </c>
      <c r="E1881" s="0" t="n">
        <f aca="false">-1+B1881*0.125</f>
        <v>0</v>
      </c>
      <c r="F1881" s="0" t="n">
        <f aca="false">-1+C1881*0.125</f>
        <v>-0.25</v>
      </c>
      <c r="G1881" s="0" t="n">
        <f aca="false">1</f>
        <v>1</v>
      </c>
      <c r="H1881" s="0" t="n">
        <f aca="false">D1881</f>
        <v>-0.25</v>
      </c>
      <c r="I1881" s="0" t="n">
        <f aca="false">E1881</f>
        <v>0</v>
      </c>
      <c r="J1881" s="0" t="n">
        <f aca="false">F1881</f>
        <v>-0.25</v>
      </c>
      <c r="K1881" s="0" t="n">
        <f aca="false">D1881*E1881</f>
        <v>-0</v>
      </c>
      <c r="L1881" s="0" t="n">
        <f aca="false">D1881*F1881</f>
        <v>0.0625</v>
      </c>
      <c r="M1881" s="0" t="n">
        <f aca="false">E1881*F1881</f>
        <v>-0</v>
      </c>
      <c r="N1881" s="0" t="n">
        <f aca="false">D1881*D1881</f>
        <v>0.0625</v>
      </c>
      <c r="O1881" s="0" t="n">
        <f aca="false">E1881*E1881</f>
        <v>0</v>
      </c>
      <c r="P1881" s="0" t="n">
        <f aca="false">F1881*F1881</f>
        <v>0.0625</v>
      </c>
      <c r="Q1881" s="0" t="n">
        <f aca="false">SUMPRODUCT(G1881:P1881,_XtX!$B$71:$K$71)</f>
        <v>47.143125</v>
      </c>
      <c r="R1881" s="0" t="n">
        <f aca="false">SUMPRODUCT(MMULT(G1881:P1881,_XtX!$B$58:$K$67),G1881:P1881)</f>
        <v>0.12158203125</v>
      </c>
      <c r="S1881" s="0" t="n">
        <f aca="false">04_回帰ANOVA!$K$19*04_回帰ANOVA!$K$14*SQRT(1+R1881)</f>
        <v>0.984650617290782</v>
      </c>
      <c r="T1881" s="0" t="n">
        <f aca="false">Q1881-S1881</f>
        <v>46.1584743827092</v>
      </c>
      <c r="U1881" s="0" t="n">
        <f aca="false">Q1881+S1881</f>
        <v>48.1277756172908</v>
      </c>
      <c r="V1881" s="54" t="b">
        <f aca="false">AND(D1881&gt;=01_因子設定!$L$5-0.000000001,D1881&lt;=01_因子設定!$M$5+0.000000001,E1881&gt;=01_因子設定!$L$6-0.000000001,E1881&lt;=01_因子設定!$M$6+0.000000001,F1881&gt;=01_因子設定!$L$7-0.000000001,F1881&lt;=01_因子設定!$M$7+0.000000001,IF(01_因子設定!$B$20="Box-Behnken",D1881^2+E1881^2+F1881^2&lt;=2+0.000000001,TRUE()))</f>
        <v>1</v>
      </c>
      <c r="W1881" s="55" t="n">
        <f aca="false">IF(V1881,IF(01_因子設定!$B$13="最大化",T1881-01_因子設定!$B$14,IF(01_因子設定!$B$13="最小化",01_因子設定!$B$15-U1881,MIN(T1881-01_因子設定!$B$14,01_因子設定!$B$15-U1881))),-1E+030)</f>
        <v>-2.34152561729077</v>
      </c>
      <c r="X1881" s="55" t="n">
        <f aca="false">IF(V1881,IF(01_因子設定!$B$13="最大化",Q1881,IF(01_因子設定!$B$13="最小化",-Q1881,-ABS(Q1881-01_因子設定!$B$16))),-1E+030)</f>
        <v>47.143125</v>
      </c>
      <c r="Y1881" s="55" t="n">
        <f aca="false">W1881+ROW()*0.000000001</f>
        <v>-2.34152373629077</v>
      </c>
      <c r="Z1881" s="55" t="n">
        <f aca="false">X1881+ROW()*0.000000001</f>
        <v>47.143126881</v>
      </c>
    </row>
    <row r="1882" customFormat="false" ht="15" hidden="false" customHeight="false" outlineLevel="0" collapsed="false">
      <c r="A1882" s="0" t="n">
        <v>6</v>
      </c>
      <c r="B1882" s="0" t="n">
        <v>8</v>
      </c>
      <c r="C1882" s="0" t="n">
        <v>7</v>
      </c>
      <c r="D1882" s="0" t="n">
        <f aca="false">-1+A1882*0.125</f>
        <v>-0.25</v>
      </c>
      <c r="E1882" s="0" t="n">
        <f aca="false">-1+B1882*0.125</f>
        <v>0</v>
      </c>
      <c r="F1882" s="0" t="n">
        <f aca="false">-1+C1882*0.125</f>
        <v>-0.125</v>
      </c>
      <c r="G1882" s="0" t="n">
        <f aca="false">1</f>
        <v>1</v>
      </c>
      <c r="H1882" s="0" t="n">
        <f aca="false">D1882</f>
        <v>-0.25</v>
      </c>
      <c r="I1882" s="0" t="n">
        <f aca="false">E1882</f>
        <v>0</v>
      </c>
      <c r="J1882" s="0" t="n">
        <f aca="false">F1882</f>
        <v>-0.125</v>
      </c>
      <c r="K1882" s="0" t="n">
        <f aca="false">D1882*E1882</f>
        <v>-0</v>
      </c>
      <c r="L1882" s="0" t="n">
        <f aca="false">D1882*F1882</f>
        <v>0.03125</v>
      </c>
      <c r="M1882" s="0" t="n">
        <f aca="false">E1882*F1882</f>
        <v>-0</v>
      </c>
      <c r="N1882" s="0" t="n">
        <f aca="false">D1882*D1882</f>
        <v>0.0625</v>
      </c>
      <c r="O1882" s="0" t="n">
        <f aca="false">E1882*E1882</f>
        <v>0</v>
      </c>
      <c r="P1882" s="0" t="n">
        <f aca="false">F1882*F1882</f>
        <v>0.015625</v>
      </c>
      <c r="Q1882" s="0" t="n">
        <f aca="false">SUMPRODUCT(G1882:P1882,_XtX!$B$71:$K$71)</f>
        <v>47.3754971590909</v>
      </c>
      <c r="R1882" s="0" t="n">
        <f aca="false">SUMPRODUCT(MMULT(G1882:P1882,_XtX!$B$58:$K$67),G1882:P1882)</f>
        <v>0.120257013494318</v>
      </c>
      <c r="S1882" s="0" t="n">
        <f aca="false">04_回帰ANOVA!$K$19*04_回帰ANOVA!$K$14*SQRT(1+R1882)</f>
        <v>0.984068820741811</v>
      </c>
      <c r="T1882" s="0" t="n">
        <f aca="false">Q1882-S1882</f>
        <v>46.3914283383491</v>
      </c>
      <c r="U1882" s="0" t="n">
        <f aca="false">Q1882+S1882</f>
        <v>48.3595659798327</v>
      </c>
      <c r="V1882" s="54" t="b">
        <f aca="false">AND(D1882&gt;=01_因子設定!$L$5-0.000000001,D1882&lt;=01_因子設定!$M$5+0.000000001,E1882&gt;=01_因子設定!$L$6-0.000000001,E1882&lt;=01_因子設定!$M$6+0.000000001,F1882&gt;=01_因子設定!$L$7-0.000000001,F1882&lt;=01_因子設定!$M$7+0.000000001,IF(01_因子設定!$B$20="Box-Behnken",D1882^2+E1882^2+F1882^2&lt;=2+0.000000001,TRUE()))</f>
        <v>1</v>
      </c>
      <c r="W1882" s="55" t="n">
        <f aca="false">IF(V1882,IF(01_因子設定!$B$13="最大化",T1882-01_因子設定!$B$14,IF(01_因子設定!$B$13="最小化",01_因子設定!$B$15-U1882,MIN(T1882-01_因子設定!$B$14,01_因子設定!$B$15-U1882))),-1E+030)</f>
        <v>-2.10857166165089</v>
      </c>
      <c r="X1882" s="55" t="n">
        <f aca="false">IF(V1882,IF(01_因子設定!$B$13="最大化",Q1882,IF(01_因子設定!$B$13="最小化",-Q1882,-ABS(Q1882-01_因子設定!$B$16))),-1E+030)</f>
        <v>47.3754971590909</v>
      </c>
      <c r="Y1882" s="55" t="n">
        <f aca="false">W1882+ROW()*0.000000001</f>
        <v>-2.10856977965089</v>
      </c>
      <c r="Z1882" s="55" t="n">
        <f aca="false">X1882+ROW()*0.000000001</f>
        <v>47.3754990410909</v>
      </c>
    </row>
    <row r="1883" customFormat="false" ht="15" hidden="false" customHeight="false" outlineLevel="0" collapsed="false">
      <c r="A1883" s="0" t="n">
        <v>6</v>
      </c>
      <c r="B1883" s="0" t="n">
        <v>8</v>
      </c>
      <c r="C1883" s="0" t="n">
        <v>8</v>
      </c>
      <c r="D1883" s="0" t="n">
        <f aca="false">-1+A1883*0.125</f>
        <v>-0.25</v>
      </c>
      <c r="E1883" s="0" t="n">
        <f aca="false">-1+B1883*0.125</f>
        <v>0</v>
      </c>
      <c r="F1883" s="0" t="n">
        <f aca="false">-1+C1883*0.125</f>
        <v>0</v>
      </c>
      <c r="G1883" s="0" t="n">
        <f aca="false">1</f>
        <v>1</v>
      </c>
      <c r="H1883" s="0" t="n">
        <f aca="false">D1883</f>
        <v>-0.25</v>
      </c>
      <c r="I1883" s="0" t="n">
        <f aca="false">E1883</f>
        <v>0</v>
      </c>
      <c r="J1883" s="0" t="n">
        <f aca="false">F1883</f>
        <v>0</v>
      </c>
      <c r="K1883" s="0" t="n">
        <f aca="false">D1883*E1883</f>
        <v>-0</v>
      </c>
      <c r="L1883" s="0" t="n">
        <f aca="false">D1883*F1883</f>
        <v>-0</v>
      </c>
      <c r="M1883" s="0" t="n">
        <f aca="false">E1883*F1883</f>
        <v>0</v>
      </c>
      <c r="N1883" s="0" t="n">
        <f aca="false">D1883*D1883</f>
        <v>0.0625</v>
      </c>
      <c r="O1883" s="0" t="n">
        <f aca="false">E1883*E1883</f>
        <v>0</v>
      </c>
      <c r="P1883" s="0" t="n">
        <f aca="false">F1883*F1883</f>
        <v>0</v>
      </c>
      <c r="Q1883" s="0" t="n">
        <f aca="false">SUMPRODUCT(G1883:P1883,_XtX!$B$71:$K$71)</f>
        <v>47.5710795454546</v>
      </c>
      <c r="R1883" s="0" t="n">
        <f aca="false">SUMPRODUCT(MMULT(G1883:P1883,_XtX!$B$58:$K$67),G1883:P1883)</f>
        <v>0.120170454545455</v>
      </c>
      <c r="S1883" s="0" t="n">
        <f aca="false">04_回帰ANOVA!$K$19*04_回帰ANOVA!$K$14*SQRT(1+R1883)</f>
        <v>0.984030801962561</v>
      </c>
      <c r="T1883" s="0" t="n">
        <f aca="false">Q1883-S1883</f>
        <v>46.587048743492</v>
      </c>
      <c r="U1883" s="0" t="n">
        <f aca="false">Q1883+S1883</f>
        <v>48.5551103474171</v>
      </c>
      <c r="V1883" s="54" t="b">
        <f aca="false">AND(D1883&gt;=01_因子設定!$L$5-0.000000001,D1883&lt;=01_因子設定!$M$5+0.000000001,E1883&gt;=01_因子設定!$L$6-0.000000001,E1883&lt;=01_因子設定!$M$6+0.000000001,F1883&gt;=01_因子設定!$L$7-0.000000001,F1883&lt;=01_因子設定!$M$7+0.000000001,IF(01_因子設定!$B$20="Box-Behnken",D1883^2+E1883^2+F1883^2&lt;=2+0.000000001,TRUE()))</f>
        <v>1</v>
      </c>
      <c r="W1883" s="55" t="n">
        <f aca="false">IF(V1883,IF(01_因子設定!$B$13="最大化",T1883-01_因子設定!$B$14,IF(01_因子設定!$B$13="最小化",01_因子設定!$B$15-U1883,MIN(T1883-01_因子設定!$B$14,01_因子設定!$B$15-U1883))),-1E+030)</f>
        <v>-1.91295125650801</v>
      </c>
      <c r="X1883" s="55" t="n">
        <f aca="false">IF(V1883,IF(01_因子設定!$B$13="最大化",Q1883,IF(01_因子設定!$B$13="最小化",-Q1883,-ABS(Q1883-01_因子設定!$B$16))),-1E+030)</f>
        <v>47.5710795454546</v>
      </c>
      <c r="Y1883" s="55" t="n">
        <f aca="false">W1883+ROW()*0.000000001</f>
        <v>-1.91294937350801</v>
      </c>
      <c r="Z1883" s="55" t="n">
        <f aca="false">X1883+ROW()*0.000000001</f>
        <v>47.5710814284546</v>
      </c>
    </row>
    <row r="1884" customFormat="false" ht="15" hidden="false" customHeight="false" outlineLevel="0" collapsed="false">
      <c r="A1884" s="0" t="n">
        <v>6</v>
      </c>
      <c r="B1884" s="0" t="n">
        <v>8</v>
      </c>
      <c r="C1884" s="0" t="n">
        <v>9</v>
      </c>
      <c r="D1884" s="0" t="n">
        <f aca="false">-1+A1884*0.125</f>
        <v>-0.25</v>
      </c>
      <c r="E1884" s="0" t="n">
        <f aca="false">-1+B1884*0.125</f>
        <v>0</v>
      </c>
      <c r="F1884" s="0" t="n">
        <f aca="false">-1+C1884*0.125</f>
        <v>0.125</v>
      </c>
      <c r="G1884" s="0" t="n">
        <f aca="false">1</f>
        <v>1</v>
      </c>
      <c r="H1884" s="0" t="n">
        <f aca="false">D1884</f>
        <v>-0.25</v>
      </c>
      <c r="I1884" s="0" t="n">
        <f aca="false">E1884</f>
        <v>0</v>
      </c>
      <c r="J1884" s="0" t="n">
        <f aca="false">F1884</f>
        <v>0.125</v>
      </c>
      <c r="K1884" s="0" t="n">
        <f aca="false">D1884*E1884</f>
        <v>-0</v>
      </c>
      <c r="L1884" s="0" t="n">
        <f aca="false">D1884*F1884</f>
        <v>-0.03125</v>
      </c>
      <c r="M1884" s="0" t="n">
        <f aca="false">E1884*F1884</f>
        <v>0</v>
      </c>
      <c r="N1884" s="0" t="n">
        <f aca="false">D1884*D1884</f>
        <v>0.0625</v>
      </c>
      <c r="O1884" s="0" t="n">
        <f aca="false">E1884*E1884</f>
        <v>0</v>
      </c>
      <c r="P1884" s="0" t="n">
        <f aca="false">F1884*F1884</f>
        <v>0.015625</v>
      </c>
      <c r="Q1884" s="0" t="n">
        <f aca="false">SUMPRODUCT(G1884:P1884,_XtX!$B$71:$K$71)</f>
        <v>47.7298721590909</v>
      </c>
      <c r="R1884" s="0" t="n">
        <f aca="false">SUMPRODUCT(MMULT(G1884:P1884,_XtX!$B$58:$K$67),G1884:P1884)</f>
        <v>0.120257013494318</v>
      </c>
      <c r="S1884" s="0" t="n">
        <f aca="false">04_回帰ANOVA!$K$19*04_回帰ANOVA!$K$14*SQRT(1+R1884)</f>
        <v>0.984068820741811</v>
      </c>
      <c r="T1884" s="0" t="n">
        <f aca="false">Q1884-S1884</f>
        <v>46.7458033383491</v>
      </c>
      <c r="U1884" s="0" t="n">
        <f aca="false">Q1884+S1884</f>
        <v>48.7139409798327</v>
      </c>
      <c r="V1884" s="54" t="b">
        <f aca="false">AND(D1884&gt;=01_因子設定!$L$5-0.000000001,D1884&lt;=01_因子設定!$M$5+0.000000001,E1884&gt;=01_因子設定!$L$6-0.000000001,E1884&lt;=01_因子設定!$M$6+0.000000001,F1884&gt;=01_因子設定!$L$7-0.000000001,F1884&lt;=01_因子設定!$M$7+0.000000001,IF(01_因子設定!$B$20="Box-Behnken",D1884^2+E1884^2+F1884^2&lt;=2+0.000000001,TRUE()))</f>
        <v>1</v>
      </c>
      <c r="W1884" s="55" t="n">
        <f aca="false">IF(V1884,IF(01_因子設定!$B$13="最大化",T1884-01_因子設定!$B$14,IF(01_因子設定!$B$13="最小化",01_因子設定!$B$15-U1884,MIN(T1884-01_因子設定!$B$14,01_因子設定!$B$15-U1884))),-1E+030)</f>
        <v>-1.75419666165089</v>
      </c>
      <c r="X1884" s="55" t="n">
        <f aca="false">IF(V1884,IF(01_因子設定!$B$13="最大化",Q1884,IF(01_因子設定!$B$13="最小化",-Q1884,-ABS(Q1884-01_因子設定!$B$16))),-1E+030)</f>
        <v>47.7298721590909</v>
      </c>
      <c r="Y1884" s="55" t="n">
        <f aca="false">W1884+ROW()*0.000000001</f>
        <v>-1.75419477765089</v>
      </c>
      <c r="Z1884" s="55" t="n">
        <f aca="false">X1884+ROW()*0.000000001</f>
        <v>47.7298740430909</v>
      </c>
    </row>
    <row r="1885" customFormat="false" ht="15" hidden="false" customHeight="false" outlineLevel="0" collapsed="false">
      <c r="A1885" s="0" t="n">
        <v>6</v>
      </c>
      <c r="B1885" s="0" t="n">
        <v>8</v>
      </c>
      <c r="C1885" s="0" t="n">
        <v>10</v>
      </c>
      <c r="D1885" s="0" t="n">
        <f aca="false">-1+A1885*0.125</f>
        <v>-0.25</v>
      </c>
      <c r="E1885" s="0" t="n">
        <f aca="false">-1+B1885*0.125</f>
        <v>0</v>
      </c>
      <c r="F1885" s="0" t="n">
        <f aca="false">-1+C1885*0.125</f>
        <v>0.25</v>
      </c>
      <c r="G1885" s="0" t="n">
        <f aca="false">1</f>
        <v>1</v>
      </c>
      <c r="H1885" s="0" t="n">
        <f aca="false">D1885</f>
        <v>-0.25</v>
      </c>
      <c r="I1885" s="0" t="n">
        <f aca="false">E1885</f>
        <v>0</v>
      </c>
      <c r="J1885" s="0" t="n">
        <f aca="false">F1885</f>
        <v>0.25</v>
      </c>
      <c r="K1885" s="0" t="n">
        <f aca="false">D1885*E1885</f>
        <v>-0</v>
      </c>
      <c r="L1885" s="0" t="n">
        <f aca="false">D1885*F1885</f>
        <v>-0.0625</v>
      </c>
      <c r="M1885" s="0" t="n">
        <f aca="false">E1885*F1885</f>
        <v>0</v>
      </c>
      <c r="N1885" s="0" t="n">
        <f aca="false">D1885*D1885</f>
        <v>0.0625</v>
      </c>
      <c r="O1885" s="0" t="n">
        <f aca="false">E1885*E1885</f>
        <v>0</v>
      </c>
      <c r="P1885" s="0" t="n">
        <f aca="false">F1885*F1885</f>
        <v>0.0625</v>
      </c>
      <c r="Q1885" s="0" t="n">
        <f aca="false">SUMPRODUCT(G1885:P1885,_XtX!$B$71:$K$71)</f>
        <v>47.851875</v>
      </c>
      <c r="R1885" s="0" t="n">
        <f aca="false">SUMPRODUCT(MMULT(G1885:P1885,_XtX!$B$58:$K$67),G1885:P1885)</f>
        <v>0.12158203125</v>
      </c>
      <c r="S1885" s="0" t="n">
        <f aca="false">04_回帰ANOVA!$K$19*04_回帰ANOVA!$K$14*SQRT(1+R1885)</f>
        <v>0.984650617290782</v>
      </c>
      <c r="T1885" s="0" t="n">
        <f aca="false">Q1885-S1885</f>
        <v>46.8672243827092</v>
      </c>
      <c r="U1885" s="0" t="n">
        <f aca="false">Q1885+S1885</f>
        <v>48.8365256172908</v>
      </c>
      <c r="V1885" s="54" t="b">
        <f aca="false">AND(D1885&gt;=01_因子設定!$L$5-0.000000001,D1885&lt;=01_因子設定!$M$5+0.000000001,E1885&gt;=01_因子設定!$L$6-0.000000001,E1885&lt;=01_因子設定!$M$6+0.000000001,F1885&gt;=01_因子設定!$L$7-0.000000001,F1885&lt;=01_因子設定!$M$7+0.000000001,IF(01_因子設定!$B$20="Box-Behnken",D1885^2+E1885^2+F1885^2&lt;=2+0.000000001,TRUE()))</f>
        <v>1</v>
      </c>
      <c r="W1885" s="55" t="n">
        <f aca="false">IF(V1885,IF(01_因子設定!$B$13="最大化",T1885-01_因子設定!$B$14,IF(01_因子設定!$B$13="最小化",01_因子設定!$B$15-U1885,MIN(T1885-01_因子設定!$B$14,01_因子設定!$B$15-U1885))),-1E+030)</f>
        <v>-1.63277561729078</v>
      </c>
      <c r="X1885" s="55" t="n">
        <f aca="false">IF(V1885,IF(01_因子設定!$B$13="最大化",Q1885,IF(01_因子設定!$B$13="最小化",-Q1885,-ABS(Q1885-01_因子設定!$B$16))),-1E+030)</f>
        <v>47.851875</v>
      </c>
      <c r="Y1885" s="55" t="n">
        <f aca="false">W1885+ROW()*0.000000001</f>
        <v>-1.63277373229078</v>
      </c>
      <c r="Z1885" s="55" t="n">
        <f aca="false">X1885+ROW()*0.000000001</f>
        <v>47.851876885</v>
      </c>
    </row>
    <row r="1886" customFormat="false" ht="15" hidden="false" customHeight="false" outlineLevel="0" collapsed="false">
      <c r="A1886" s="0" t="n">
        <v>6</v>
      </c>
      <c r="B1886" s="0" t="n">
        <v>8</v>
      </c>
      <c r="C1886" s="0" t="n">
        <v>11</v>
      </c>
      <c r="D1886" s="0" t="n">
        <f aca="false">-1+A1886*0.125</f>
        <v>-0.25</v>
      </c>
      <c r="E1886" s="0" t="n">
        <f aca="false">-1+B1886*0.125</f>
        <v>0</v>
      </c>
      <c r="F1886" s="0" t="n">
        <f aca="false">-1+C1886*0.125</f>
        <v>0.375</v>
      </c>
      <c r="G1886" s="0" t="n">
        <f aca="false">1</f>
        <v>1</v>
      </c>
      <c r="H1886" s="0" t="n">
        <f aca="false">D1886</f>
        <v>-0.25</v>
      </c>
      <c r="I1886" s="0" t="n">
        <f aca="false">E1886</f>
        <v>0</v>
      </c>
      <c r="J1886" s="0" t="n">
        <f aca="false">F1886</f>
        <v>0.375</v>
      </c>
      <c r="K1886" s="0" t="n">
        <f aca="false">D1886*E1886</f>
        <v>-0</v>
      </c>
      <c r="L1886" s="0" t="n">
        <f aca="false">D1886*F1886</f>
        <v>-0.09375</v>
      </c>
      <c r="M1886" s="0" t="n">
        <f aca="false">E1886*F1886</f>
        <v>0</v>
      </c>
      <c r="N1886" s="0" t="n">
        <f aca="false">D1886*D1886</f>
        <v>0.0625</v>
      </c>
      <c r="O1886" s="0" t="n">
        <f aca="false">E1886*E1886</f>
        <v>0</v>
      </c>
      <c r="P1886" s="0" t="n">
        <f aca="false">F1886*F1886</f>
        <v>0.140625</v>
      </c>
      <c r="Q1886" s="0" t="n">
        <f aca="false">SUMPRODUCT(G1886:P1886,_XtX!$B$71:$K$71)</f>
        <v>47.9370880681818</v>
      </c>
      <c r="R1886" s="0" t="n">
        <f aca="false">SUMPRODUCT(MMULT(G1886:P1886,_XtX!$B$58:$K$67),G1886:P1886)</f>
        <v>0.127341530539773</v>
      </c>
      <c r="S1886" s="0" t="n">
        <f aca="false">04_回帰ANOVA!$K$19*04_回帰ANOVA!$K$14*SQRT(1+R1886)</f>
        <v>0.987175547486288</v>
      </c>
      <c r="T1886" s="0" t="n">
        <f aca="false">Q1886-S1886</f>
        <v>46.9499125206955</v>
      </c>
      <c r="U1886" s="0" t="n">
        <f aca="false">Q1886+S1886</f>
        <v>48.9242636156681</v>
      </c>
      <c r="V1886" s="54" t="b">
        <f aca="false">AND(D1886&gt;=01_因子設定!$L$5-0.000000001,D1886&lt;=01_因子設定!$M$5+0.000000001,E1886&gt;=01_因子設定!$L$6-0.000000001,E1886&lt;=01_因子設定!$M$6+0.000000001,F1886&gt;=01_因子設定!$L$7-0.000000001,F1886&lt;=01_因子設定!$M$7+0.000000001,IF(01_因子設定!$B$20="Box-Behnken",D1886^2+E1886^2+F1886^2&lt;=2+0.000000001,TRUE()))</f>
        <v>1</v>
      </c>
      <c r="W1886" s="55" t="n">
        <f aca="false">IF(V1886,IF(01_因子設定!$B$13="最大化",T1886-01_因子設定!$B$14,IF(01_因子設定!$B$13="最小化",01_因子設定!$B$15-U1886,MIN(T1886-01_因子設定!$B$14,01_因子設定!$B$15-U1886))),-1E+030)</f>
        <v>-1.55008747930446</v>
      </c>
      <c r="X1886" s="55" t="n">
        <f aca="false">IF(V1886,IF(01_因子設定!$B$13="最大化",Q1886,IF(01_因子設定!$B$13="最小化",-Q1886,-ABS(Q1886-01_因子設定!$B$16))),-1E+030)</f>
        <v>47.9370880681818</v>
      </c>
      <c r="Y1886" s="55" t="n">
        <f aca="false">W1886+ROW()*0.000000001</f>
        <v>-1.55008559330446</v>
      </c>
      <c r="Z1886" s="55" t="n">
        <f aca="false">X1886+ROW()*0.000000001</f>
        <v>47.9370899541818</v>
      </c>
    </row>
    <row r="1887" customFormat="false" ht="15" hidden="false" customHeight="false" outlineLevel="0" collapsed="false">
      <c r="A1887" s="0" t="n">
        <v>6</v>
      </c>
      <c r="B1887" s="0" t="n">
        <v>8</v>
      </c>
      <c r="C1887" s="0" t="n">
        <v>12</v>
      </c>
      <c r="D1887" s="0" t="n">
        <f aca="false">-1+A1887*0.125</f>
        <v>-0.25</v>
      </c>
      <c r="E1887" s="0" t="n">
        <f aca="false">-1+B1887*0.125</f>
        <v>0</v>
      </c>
      <c r="F1887" s="0" t="n">
        <f aca="false">-1+C1887*0.125</f>
        <v>0.5</v>
      </c>
      <c r="G1887" s="0" t="n">
        <f aca="false">1</f>
        <v>1</v>
      </c>
      <c r="H1887" s="0" t="n">
        <f aca="false">D1887</f>
        <v>-0.25</v>
      </c>
      <c r="I1887" s="0" t="n">
        <f aca="false">E1887</f>
        <v>0</v>
      </c>
      <c r="J1887" s="0" t="n">
        <f aca="false">F1887</f>
        <v>0.5</v>
      </c>
      <c r="K1887" s="0" t="n">
        <f aca="false">D1887*E1887</f>
        <v>-0</v>
      </c>
      <c r="L1887" s="0" t="n">
        <f aca="false">D1887*F1887</f>
        <v>-0.125</v>
      </c>
      <c r="M1887" s="0" t="n">
        <f aca="false">E1887*F1887</f>
        <v>0</v>
      </c>
      <c r="N1887" s="0" t="n">
        <f aca="false">D1887*D1887</f>
        <v>0.0625</v>
      </c>
      <c r="O1887" s="0" t="n">
        <f aca="false">E1887*E1887</f>
        <v>0</v>
      </c>
      <c r="P1887" s="0" t="n">
        <f aca="false">F1887*F1887</f>
        <v>0.25</v>
      </c>
      <c r="Q1887" s="0" t="n">
        <f aca="false">SUMPRODUCT(G1887:P1887,_XtX!$B$71:$K$71)</f>
        <v>47.9855113636364</v>
      </c>
      <c r="R1887" s="0" t="n">
        <f aca="false">SUMPRODUCT(MMULT(G1887:P1887,_XtX!$B$58:$K$67),G1887:P1887)</f>
        <v>0.142862215909091</v>
      </c>
      <c r="S1887" s="0" t="n">
        <f aca="false">04_回帰ANOVA!$K$19*04_回帰ANOVA!$K$14*SQRT(1+R1887)</f>
        <v>0.993947792354123</v>
      </c>
      <c r="T1887" s="0" t="n">
        <f aca="false">Q1887-S1887</f>
        <v>46.9915635712823</v>
      </c>
      <c r="U1887" s="0" t="n">
        <f aca="false">Q1887+S1887</f>
        <v>48.9794591559905</v>
      </c>
      <c r="V1887" s="54" t="b">
        <f aca="false">AND(D1887&gt;=01_因子設定!$L$5-0.000000001,D1887&lt;=01_因子設定!$M$5+0.000000001,E1887&gt;=01_因子設定!$L$6-0.000000001,E1887&lt;=01_因子設定!$M$6+0.000000001,F1887&gt;=01_因子設定!$L$7-0.000000001,F1887&lt;=01_因子設定!$M$7+0.000000001,IF(01_因子設定!$B$20="Box-Behnken",D1887^2+E1887^2+F1887^2&lt;=2+0.000000001,TRUE()))</f>
        <v>1</v>
      </c>
      <c r="W1887" s="55" t="n">
        <f aca="false">IF(V1887,IF(01_因子設定!$B$13="最大化",T1887-01_因子設定!$B$14,IF(01_因子設定!$B$13="最小化",01_因子設定!$B$15-U1887,MIN(T1887-01_因子設定!$B$14,01_因子設定!$B$15-U1887))),-1E+030)</f>
        <v>-1.50843642871774</v>
      </c>
      <c r="X1887" s="55" t="n">
        <f aca="false">IF(V1887,IF(01_因子設定!$B$13="最大化",Q1887,IF(01_因子設定!$B$13="最小化",-Q1887,-ABS(Q1887-01_因子設定!$B$16))),-1E+030)</f>
        <v>47.9855113636364</v>
      </c>
      <c r="Y1887" s="55" t="n">
        <f aca="false">W1887+ROW()*0.000000001</f>
        <v>-1.50843454171774</v>
      </c>
      <c r="Z1887" s="55" t="n">
        <f aca="false">X1887+ROW()*0.000000001</f>
        <v>47.9855132506364</v>
      </c>
    </row>
    <row r="1888" customFormat="false" ht="15" hidden="false" customHeight="false" outlineLevel="0" collapsed="false">
      <c r="A1888" s="0" t="n">
        <v>6</v>
      </c>
      <c r="B1888" s="0" t="n">
        <v>8</v>
      </c>
      <c r="C1888" s="0" t="n">
        <v>13</v>
      </c>
      <c r="D1888" s="0" t="n">
        <f aca="false">-1+A1888*0.125</f>
        <v>-0.25</v>
      </c>
      <c r="E1888" s="0" t="n">
        <f aca="false">-1+B1888*0.125</f>
        <v>0</v>
      </c>
      <c r="F1888" s="0" t="n">
        <f aca="false">-1+C1888*0.125</f>
        <v>0.625</v>
      </c>
      <c r="G1888" s="0" t="n">
        <f aca="false">1</f>
        <v>1</v>
      </c>
      <c r="H1888" s="0" t="n">
        <f aca="false">D1888</f>
        <v>-0.25</v>
      </c>
      <c r="I1888" s="0" t="n">
        <f aca="false">E1888</f>
        <v>0</v>
      </c>
      <c r="J1888" s="0" t="n">
        <f aca="false">F1888</f>
        <v>0.625</v>
      </c>
      <c r="K1888" s="0" t="n">
        <f aca="false">D1888*E1888</f>
        <v>-0</v>
      </c>
      <c r="L1888" s="0" t="n">
        <f aca="false">D1888*F1888</f>
        <v>-0.15625</v>
      </c>
      <c r="M1888" s="0" t="n">
        <f aca="false">E1888*F1888</f>
        <v>0</v>
      </c>
      <c r="N1888" s="0" t="n">
        <f aca="false">D1888*D1888</f>
        <v>0.0625</v>
      </c>
      <c r="O1888" s="0" t="n">
        <f aca="false">E1888*E1888</f>
        <v>0</v>
      </c>
      <c r="P1888" s="0" t="n">
        <f aca="false">F1888*F1888</f>
        <v>0.390625</v>
      </c>
      <c r="Q1888" s="0" t="n">
        <f aca="false">SUMPRODUCT(G1888:P1888,_XtX!$B$71:$K$71)</f>
        <v>47.9971448863637</v>
      </c>
      <c r="R1888" s="0" t="n">
        <f aca="false">SUMPRODUCT(MMULT(G1888:P1888,_XtX!$B$58:$K$67),G1888:P1888)</f>
        <v>0.175601473721591</v>
      </c>
      <c r="S1888" s="0" t="n">
        <f aca="false">04_回帰ANOVA!$K$19*04_回帰ANOVA!$K$14*SQRT(1+R1888)</f>
        <v>1.00808394234856</v>
      </c>
      <c r="T1888" s="0" t="n">
        <f aca="false">Q1888-S1888</f>
        <v>46.9890609440151</v>
      </c>
      <c r="U1888" s="0" t="n">
        <f aca="false">Q1888+S1888</f>
        <v>49.0052288287122</v>
      </c>
      <c r="V1888" s="54" t="b">
        <f aca="false">AND(D1888&gt;=01_因子設定!$L$5-0.000000001,D1888&lt;=01_因子設定!$M$5+0.000000001,E1888&gt;=01_因子設定!$L$6-0.000000001,E1888&lt;=01_因子設定!$M$6+0.000000001,F1888&gt;=01_因子設定!$L$7-0.000000001,F1888&lt;=01_因子設定!$M$7+0.000000001,IF(01_因子設定!$B$20="Box-Behnken",D1888^2+E1888^2+F1888^2&lt;=2+0.000000001,TRUE()))</f>
        <v>1</v>
      </c>
      <c r="W1888" s="55" t="n">
        <f aca="false">IF(V1888,IF(01_因子設定!$B$13="最大化",T1888-01_因子設定!$B$14,IF(01_因子設定!$B$13="最小化",01_因子設定!$B$15-U1888,MIN(T1888-01_因子設定!$B$14,01_因子設定!$B$15-U1888))),-1E+030)</f>
        <v>-1.51093905598491</v>
      </c>
      <c r="X1888" s="55" t="n">
        <f aca="false">IF(V1888,IF(01_因子設定!$B$13="最大化",Q1888,IF(01_因子設定!$B$13="最小化",-Q1888,-ABS(Q1888-01_因子設定!$B$16))),-1E+030)</f>
        <v>47.9971448863637</v>
      </c>
      <c r="Y1888" s="55" t="n">
        <f aca="false">W1888+ROW()*0.000000001</f>
        <v>-1.51093716798491</v>
      </c>
      <c r="Z1888" s="55" t="n">
        <f aca="false">X1888+ROW()*0.000000001</f>
        <v>47.9971467743637</v>
      </c>
    </row>
    <row r="1889" customFormat="false" ht="15" hidden="false" customHeight="false" outlineLevel="0" collapsed="false">
      <c r="A1889" s="0" t="n">
        <v>6</v>
      </c>
      <c r="B1889" s="0" t="n">
        <v>8</v>
      </c>
      <c r="C1889" s="0" t="n">
        <v>14</v>
      </c>
      <c r="D1889" s="0" t="n">
        <f aca="false">-1+A1889*0.125</f>
        <v>-0.25</v>
      </c>
      <c r="E1889" s="0" t="n">
        <f aca="false">-1+B1889*0.125</f>
        <v>0</v>
      </c>
      <c r="F1889" s="0" t="n">
        <f aca="false">-1+C1889*0.125</f>
        <v>0.75</v>
      </c>
      <c r="G1889" s="0" t="n">
        <f aca="false">1</f>
        <v>1</v>
      </c>
      <c r="H1889" s="0" t="n">
        <f aca="false">D1889</f>
        <v>-0.25</v>
      </c>
      <c r="I1889" s="0" t="n">
        <f aca="false">E1889</f>
        <v>0</v>
      </c>
      <c r="J1889" s="0" t="n">
        <f aca="false">F1889</f>
        <v>0.75</v>
      </c>
      <c r="K1889" s="0" t="n">
        <f aca="false">D1889*E1889</f>
        <v>-0</v>
      </c>
      <c r="L1889" s="0" t="n">
        <f aca="false">D1889*F1889</f>
        <v>-0.1875</v>
      </c>
      <c r="M1889" s="0" t="n">
        <f aca="false">E1889*F1889</f>
        <v>0</v>
      </c>
      <c r="N1889" s="0" t="n">
        <f aca="false">D1889*D1889</f>
        <v>0.0625</v>
      </c>
      <c r="O1889" s="0" t="n">
        <f aca="false">E1889*E1889</f>
        <v>0</v>
      </c>
      <c r="P1889" s="0" t="n">
        <f aca="false">F1889*F1889</f>
        <v>0.5625</v>
      </c>
      <c r="Q1889" s="0" t="n">
        <f aca="false">SUMPRODUCT(G1889:P1889,_XtX!$B$71:$K$71)</f>
        <v>47.9719886363637</v>
      </c>
      <c r="R1889" s="0" t="n">
        <f aca="false">SUMPRODUCT(MMULT(G1889:P1889,_XtX!$B$58:$K$67),G1889:P1889)</f>
        <v>0.235147372159091</v>
      </c>
      <c r="S1889" s="0" t="n">
        <f aca="false">04_回帰ANOVA!$K$19*04_回帰ANOVA!$K$14*SQRT(1+R1889)</f>
        <v>1.03329903885461</v>
      </c>
      <c r="T1889" s="0" t="n">
        <f aca="false">Q1889-S1889</f>
        <v>46.9386895975091</v>
      </c>
      <c r="U1889" s="0" t="n">
        <f aca="false">Q1889+S1889</f>
        <v>49.0052876752183</v>
      </c>
      <c r="V1889" s="54" t="b">
        <f aca="false">AND(D1889&gt;=01_因子設定!$L$5-0.000000001,D1889&lt;=01_因子設定!$M$5+0.000000001,E1889&gt;=01_因子設定!$L$6-0.000000001,E1889&lt;=01_因子設定!$M$6+0.000000001,F1889&gt;=01_因子設定!$L$7-0.000000001,F1889&lt;=01_因子設定!$M$7+0.000000001,IF(01_因子設定!$B$20="Box-Behnken",D1889^2+E1889^2+F1889^2&lt;=2+0.000000001,TRUE()))</f>
        <v>1</v>
      </c>
      <c r="W1889" s="55" t="n">
        <f aca="false">IF(V1889,IF(01_因子設定!$B$13="最大化",T1889-01_因子設定!$B$14,IF(01_因子設定!$B$13="最小化",01_因子設定!$B$15-U1889,MIN(T1889-01_因子設定!$B$14,01_因子設定!$B$15-U1889))),-1E+030)</f>
        <v>-1.56131040249095</v>
      </c>
      <c r="X1889" s="55" t="n">
        <f aca="false">IF(V1889,IF(01_因子設定!$B$13="最大化",Q1889,IF(01_因子設定!$B$13="最小化",-Q1889,-ABS(Q1889-01_因子設定!$B$16))),-1E+030)</f>
        <v>47.9719886363637</v>
      </c>
      <c r="Y1889" s="55" t="n">
        <f aca="false">W1889+ROW()*0.000000001</f>
        <v>-1.56130851349095</v>
      </c>
      <c r="Z1889" s="55" t="n">
        <f aca="false">X1889+ROW()*0.000000001</f>
        <v>47.9719905253637</v>
      </c>
    </row>
    <row r="1890" customFormat="false" ht="15" hidden="false" customHeight="false" outlineLevel="0" collapsed="false">
      <c r="A1890" s="0" t="n">
        <v>6</v>
      </c>
      <c r="B1890" s="0" t="n">
        <v>8</v>
      </c>
      <c r="C1890" s="0" t="n">
        <v>15</v>
      </c>
      <c r="D1890" s="0" t="n">
        <f aca="false">-1+A1890*0.125</f>
        <v>-0.25</v>
      </c>
      <c r="E1890" s="0" t="n">
        <f aca="false">-1+B1890*0.125</f>
        <v>0</v>
      </c>
      <c r="F1890" s="0" t="n">
        <f aca="false">-1+C1890*0.125</f>
        <v>0.875</v>
      </c>
      <c r="G1890" s="0" t="n">
        <f aca="false">1</f>
        <v>1</v>
      </c>
      <c r="H1890" s="0" t="n">
        <f aca="false">D1890</f>
        <v>-0.25</v>
      </c>
      <c r="I1890" s="0" t="n">
        <f aca="false">E1890</f>
        <v>0</v>
      </c>
      <c r="J1890" s="0" t="n">
        <f aca="false">F1890</f>
        <v>0.875</v>
      </c>
      <c r="K1890" s="0" t="n">
        <f aca="false">D1890*E1890</f>
        <v>-0</v>
      </c>
      <c r="L1890" s="0" t="n">
        <f aca="false">D1890*F1890</f>
        <v>-0.21875</v>
      </c>
      <c r="M1890" s="0" t="n">
        <f aca="false">E1890*F1890</f>
        <v>0</v>
      </c>
      <c r="N1890" s="0" t="n">
        <f aca="false">D1890*D1890</f>
        <v>0.0625</v>
      </c>
      <c r="O1890" s="0" t="n">
        <f aca="false">E1890*E1890</f>
        <v>0</v>
      </c>
      <c r="P1890" s="0" t="n">
        <f aca="false">F1890*F1890</f>
        <v>0.765625</v>
      </c>
      <c r="Q1890" s="0" t="n">
        <f aca="false">SUMPRODUCT(G1890:P1890,_XtX!$B$71:$K$71)</f>
        <v>47.9100426136364</v>
      </c>
      <c r="R1890" s="0" t="n">
        <f aca="false">SUMPRODUCT(MMULT(G1890:P1890,_XtX!$B$58:$K$67),G1890:P1890)</f>
        <v>0.333218661221591</v>
      </c>
      <c r="S1890" s="0" t="n">
        <f aca="false">04_回帰ANOVA!$K$19*04_回帰ANOVA!$K$14*SQRT(1+R1890)</f>
        <v>1.07353776826542</v>
      </c>
      <c r="T1890" s="0" t="n">
        <f aca="false">Q1890-S1890</f>
        <v>46.836504845371</v>
      </c>
      <c r="U1890" s="0" t="n">
        <f aca="false">Q1890+S1890</f>
        <v>48.9835803819018</v>
      </c>
      <c r="V1890" s="54" t="b">
        <f aca="false">AND(D1890&gt;=01_因子設定!$L$5-0.000000001,D1890&lt;=01_因子設定!$M$5+0.000000001,E1890&gt;=01_因子設定!$L$6-0.000000001,E1890&lt;=01_因子設定!$M$6+0.000000001,F1890&gt;=01_因子設定!$L$7-0.000000001,F1890&lt;=01_因子設定!$M$7+0.000000001,IF(01_因子設定!$B$20="Box-Behnken",D1890^2+E1890^2+F1890^2&lt;=2+0.000000001,TRUE()))</f>
        <v>1</v>
      </c>
      <c r="W1890" s="55" t="n">
        <f aca="false">IF(V1890,IF(01_因子設定!$B$13="最大化",T1890-01_因子設定!$B$14,IF(01_因子設定!$B$13="最小化",01_因子設定!$B$15-U1890,MIN(T1890-01_因子設定!$B$14,01_因子設定!$B$15-U1890))),-1E+030)</f>
        <v>-1.66349515462903</v>
      </c>
      <c r="X1890" s="55" t="n">
        <f aca="false">IF(V1890,IF(01_因子設定!$B$13="最大化",Q1890,IF(01_因子設定!$B$13="最小化",-Q1890,-ABS(Q1890-01_因子設定!$B$16))),-1E+030)</f>
        <v>47.9100426136364</v>
      </c>
      <c r="Y1890" s="55" t="n">
        <f aca="false">W1890+ROW()*0.000000001</f>
        <v>-1.66349326462903</v>
      </c>
      <c r="Z1890" s="55" t="n">
        <f aca="false">X1890+ROW()*0.000000001</f>
        <v>47.9100445036364</v>
      </c>
    </row>
    <row r="1891" customFormat="false" ht="15" hidden="false" customHeight="false" outlineLevel="0" collapsed="false">
      <c r="A1891" s="0" t="n">
        <v>6</v>
      </c>
      <c r="B1891" s="0" t="n">
        <v>8</v>
      </c>
      <c r="C1891" s="0" t="n">
        <v>16</v>
      </c>
      <c r="D1891" s="0" t="n">
        <f aca="false">-1+A1891*0.125</f>
        <v>-0.25</v>
      </c>
      <c r="E1891" s="0" t="n">
        <f aca="false">-1+B1891*0.125</f>
        <v>0</v>
      </c>
      <c r="F1891" s="0" t="n">
        <f aca="false">-1+C1891*0.125</f>
        <v>1</v>
      </c>
      <c r="G1891" s="0" t="n">
        <f aca="false">1</f>
        <v>1</v>
      </c>
      <c r="H1891" s="0" t="n">
        <f aca="false">D1891</f>
        <v>-0.25</v>
      </c>
      <c r="I1891" s="0" t="n">
        <f aca="false">E1891</f>
        <v>0</v>
      </c>
      <c r="J1891" s="0" t="n">
        <f aca="false">F1891</f>
        <v>1</v>
      </c>
      <c r="K1891" s="0" t="n">
        <f aca="false">D1891*E1891</f>
        <v>-0</v>
      </c>
      <c r="L1891" s="0" t="n">
        <f aca="false">D1891*F1891</f>
        <v>-0.25</v>
      </c>
      <c r="M1891" s="0" t="n">
        <f aca="false">E1891*F1891</f>
        <v>0</v>
      </c>
      <c r="N1891" s="0" t="n">
        <f aca="false">D1891*D1891</f>
        <v>0.0625</v>
      </c>
      <c r="O1891" s="0" t="n">
        <f aca="false">E1891*E1891</f>
        <v>0</v>
      </c>
      <c r="P1891" s="0" t="n">
        <f aca="false">F1891*F1891</f>
        <v>1</v>
      </c>
      <c r="Q1891" s="0" t="n">
        <f aca="false">SUMPRODUCT(G1891:P1891,_XtX!$B$71:$K$71)</f>
        <v>47.8113068181819</v>
      </c>
      <c r="R1891" s="0" t="n">
        <f aca="false">SUMPRODUCT(MMULT(G1891:P1891,_XtX!$B$58:$K$67),G1891:P1891)</f>
        <v>0.483664772727273</v>
      </c>
      <c r="S1891" s="0" t="n">
        <f aca="false">04_回帰ANOVA!$K$19*04_回帰ANOVA!$K$14*SQRT(1+R1891)</f>
        <v>1.13249039846694</v>
      </c>
      <c r="T1891" s="0" t="n">
        <f aca="false">Q1891-S1891</f>
        <v>46.6788164197149</v>
      </c>
      <c r="U1891" s="0" t="n">
        <f aca="false">Q1891+S1891</f>
        <v>48.9437972166488</v>
      </c>
      <c r="V1891" s="54" t="b">
        <f aca="false">AND(D1891&gt;=01_因子設定!$L$5-0.000000001,D1891&lt;=01_因子設定!$M$5+0.000000001,E1891&gt;=01_因子設定!$L$6-0.000000001,E1891&lt;=01_因子設定!$M$6+0.000000001,F1891&gt;=01_因子設定!$L$7-0.000000001,F1891&lt;=01_因子設定!$M$7+0.000000001,IF(01_因子設定!$B$20="Box-Behnken",D1891^2+E1891^2+F1891^2&lt;=2+0.000000001,TRUE()))</f>
        <v>1</v>
      </c>
      <c r="W1891" s="55" t="n">
        <f aca="false">IF(V1891,IF(01_因子設定!$B$13="最大化",T1891-01_因子設定!$B$14,IF(01_因子設定!$B$13="最小化",01_因子設定!$B$15-U1891,MIN(T1891-01_因子設定!$B$14,01_因子設定!$B$15-U1891))),-1E+030)</f>
        <v>-1.82118358028509</v>
      </c>
      <c r="X1891" s="55" t="n">
        <f aca="false">IF(V1891,IF(01_因子設定!$B$13="最大化",Q1891,IF(01_因子設定!$B$13="最小化",-Q1891,-ABS(Q1891-01_因子設定!$B$16))),-1E+030)</f>
        <v>47.8113068181819</v>
      </c>
      <c r="Y1891" s="55" t="n">
        <f aca="false">W1891+ROW()*0.000000001</f>
        <v>-1.82118168928509</v>
      </c>
      <c r="Z1891" s="55" t="n">
        <f aca="false">X1891+ROW()*0.000000001</f>
        <v>47.8113087091818</v>
      </c>
    </row>
    <row r="1892" customFormat="false" ht="15" hidden="false" customHeight="false" outlineLevel="0" collapsed="false">
      <c r="A1892" s="0" t="n">
        <v>6</v>
      </c>
      <c r="B1892" s="0" t="n">
        <v>9</v>
      </c>
      <c r="C1892" s="0" t="n">
        <v>0</v>
      </c>
      <c r="D1892" s="0" t="n">
        <f aca="false">-1+A1892*0.125</f>
        <v>-0.25</v>
      </c>
      <c r="E1892" s="0" t="n">
        <f aca="false">-1+B1892*0.125</f>
        <v>0.125</v>
      </c>
      <c r="F1892" s="0" t="n">
        <f aca="false">-1+C1892*0.125</f>
        <v>-1</v>
      </c>
      <c r="G1892" s="0" t="n">
        <f aca="false">1</f>
        <v>1</v>
      </c>
      <c r="H1892" s="0" t="n">
        <f aca="false">D1892</f>
        <v>-0.25</v>
      </c>
      <c r="I1892" s="0" t="n">
        <f aca="false">E1892</f>
        <v>0.125</v>
      </c>
      <c r="J1892" s="0" t="n">
        <f aca="false">F1892</f>
        <v>-1</v>
      </c>
      <c r="K1892" s="0" t="n">
        <f aca="false">D1892*E1892</f>
        <v>-0.03125</v>
      </c>
      <c r="L1892" s="0" t="n">
        <f aca="false">D1892*F1892</f>
        <v>0.25</v>
      </c>
      <c r="M1892" s="0" t="n">
        <f aca="false">E1892*F1892</f>
        <v>-0.125</v>
      </c>
      <c r="N1892" s="0" t="n">
        <f aca="false">D1892*D1892</f>
        <v>0.0625</v>
      </c>
      <c r="O1892" s="0" t="n">
        <f aca="false">E1892*E1892</f>
        <v>0.015625</v>
      </c>
      <c r="P1892" s="0" t="n">
        <f aca="false">F1892*F1892</f>
        <v>1</v>
      </c>
      <c r="Q1892" s="0" t="n">
        <f aca="false">SUMPRODUCT(G1892:P1892,_XtX!$B$71:$K$71)</f>
        <v>45.1088494318182</v>
      </c>
      <c r="R1892" s="0" t="n">
        <f aca="false">SUMPRODUCT(MMULT(G1892:P1892,_XtX!$B$58:$K$67),G1892:P1892)</f>
        <v>0.481443093039773</v>
      </c>
      <c r="S1892" s="0" t="n">
        <f aca="false">04_回帰ANOVA!$K$19*04_回帰ANOVA!$K$14*SQRT(1+R1892)</f>
        <v>1.13164216995877</v>
      </c>
      <c r="T1892" s="0" t="n">
        <f aca="false">Q1892-S1892</f>
        <v>43.9772072618594</v>
      </c>
      <c r="U1892" s="0" t="n">
        <f aca="false">Q1892+S1892</f>
        <v>46.240491601777</v>
      </c>
      <c r="V1892" s="54" t="b">
        <f aca="false">AND(D1892&gt;=01_因子設定!$L$5-0.000000001,D1892&lt;=01_因子設定!$M$5+0.000000001,E1892&gt;=01_因子設定!$L$6-0.000000001,E1892&lt;=01_因子設定!$M$6+0.000000001,F1892&gt;=01_因子設定!$L$7-0.000000001,F1892&lt;=01_因子設定!$M$7+0.000000001,IF(01_因子設定!$B$20="Box-Behnken",D1892^2+E1892^2+F1892^2&lt;=2+0.000000001,TRUE()))</f>
        <v>1</v>
      </c>
      <c r="W1892" s="55" t="n">
        <f aca="false">IF(V1892,IF(01_因子設定!$B$13="最大化",T1892-01_因子設定!$B$14,IF(01_因子設定!$B$13="最小化",01_因子設定!$B$15-U1892,MIN(T1892-01_因子設定!$B$14,01_因子設定!$B$15-U1892))),-1E+030)</f>
        <v>-4.52279273814056</v>
      </c>
      <c r="X1892" s="55" t="n">
        <f aca="false">IF(V1892,IF(01_因子設定!$B$13="最大化",Q1892,IF(01_因子設定!$B$13="最小化",-Q1892,-ABS(Q1892-01_因子設定!$B$16))),-1E+030)</f>
        <v>45.1088494318182</v>
      </c>
      <c r="Y1892" s="55" t="n">
        <f aca="false">W1892+ROW()*0.000000001</f>
        <v>-4.52279084614056</v>
      </c>
      <c r="Z1892" s="55" t="n">
        <f aca="false">X1892+ROW()*0.000000001</f>
        <v>45.1088513238182</v>
      </c>
    </row>
    <row r="1893" customFormat="false" ht="15" hidden="false" customHeight="false" outlineLevel="0" collapsed="false">
      <c r="A1893" s="0" t="n">
        <v>6</v>
      </c>
      <c r="B1893" s="0" t="n">
        <v>9</v>
      </c>
      <c r="C1893" s="0" t="n">
        <v>1</v>
      </c>
      <c r="D1893" s="0" t="n">
        <f aca="false">-1+A1893*0.125</f>
        <v>-0.25</v>
      </c>
      <c r="E1893" s="0" t="n">
        <f aca="false">-1+B1893*0.125</f>
        <v>0.125</v>
      </c>
      <c r="F1893" s="0" t="n">
        <f aca="false">-1+C1893*0.125</f>
        <v>-0.875</v>
      </c>
      <c r="G1893" s="0" t="n">
        <f aca="false">1</f>
        <v>1</v>
      </c>
      <c r="H1893" s="0" t="n">
        <f aca="false">D1893</f>
        <v>-0.25</v>
      </c>
      <c r="I1893" s="0" t="n">
        <f aca="false">E1893</f>
        <v>0.125</v>
      </c>
      <c r="J1893" s="0" t="n">
        <f aca="false">F1893</f>
        <v>-0.875</v>
      </c>
      <c r="K1893" s="0" t="n">
        <f aca="false">D1893*E1893</f>
        <v>-0.03125</v>
      </c>
      <c r="L1893" s="0" t="n">
        <f aca="false">D1893*F1893</f>
        <v>0.21875</v>
      </c>
      <c r="M1893" s="0" t="n">
        <f aca="false">E1893*F1893</f>
        <v>-0.109375</v>
      </c>
      <c r="N1893" s="0" t="n">
        <f aca="false">D1893*D1893</f>
        <v>0.0625</v>
      </c>
      <c r="O1893" s="0" t="n">
        <f aca="false">E1893*E1893</f>
        <v>0.015625</v>
      </c>
      <c r="P1893" s="0" t="n">
        <f aca="false">F1893*F1893</f>
        <v>0.765625</v>
      </c>
      <c r="Q1893" s="0" t="n">
        <f aca="false">SUMPRODUCT(G1893:P1893,_XtX!$B$71:$K$71)</f>
        <v>45.5689914772727</v>
      </c>
      <c r="R1893" s="0" t="n">
        <f aca="false">SUMPRODUCT(MMULT(G1893:P1893,_XtX!$B$58:$K$67),G1893:P1893)</f>
        <v>0.331537974964489</v>
      </c>
      <c r="S1893" s="0" t="n">
        <f aca="false">04_回帰ANOVA!$K$19*04_回帰ANOVA!$K$14*SQRT(1+R1893)</f>
        <v>1.07286089161565</v>
      </c>
      <c r="T1893" s="0" t="n">
        <f aca="false">Q1893-S1893</f>
        <v>44.4961305856571</v>
      </c>
      <c r="U1893" s="0" t="n">
        <f aca="false">Q1893+S1893</f>
        <v>46.6418523688884</v>
      </c>
      <c r="V1893" s="54" t="b">
        <f aca="false">AND(D1893&gt;=01_因子設定!$L$5-0.000000001,D1893&lt;=01_因子設定!$M$5+0.000000001,E1893&gt;=01_因子設定!$L$6-0.000000001,E1893&lt;=01_因子設定!$M$6+0.000000001,F1893&gt;=01_因子設定!$L$7-0.000000001,F1893&lt;=01_因子設定!$M$7+0.000000001,IF(01_因子設定!$B$20="Box-Behnken",D1893^2+E1893^2+F1893^2&lt;=2+0.000000001,TRUE()))</f>
        <v>1</v>
      </c>
      <c r="W1893" s="55" t="n">
        <f aca="false">IF(V1893,IF(01_因子設定!$B$13="最大化",T1893-01_因子設定!$B$14,IF(01_因子設定!$B$13="最小化",01_因子設定!$B$15-U1893,MIN(T1893-01_因子設定!$B$14,01_因子設定!$B$15-U1893))),-1E+030)</f>
        <v>-4.00386941434291</v>
      </c>
      <c r="X1893" s="55" t="n">
        <f aca="false">IF(V1893,IF(01_因子設定!$B$13="最大化",Q1893,IF(01_因子設定!$B$13="最小化",-Q1893,-ABS(Q1893-01_因子設定!$B$16))),-1E+030)</f>
        <v>45.5689914772727</v>
      </c>
      <c r="Y1893" s="55" t="n">
        <f aca="false">W1893+ROW()*0.000000001</f>
        <v>-4.00386752134291</v>
      </c>
      <c r="Z1893" s="55" t="n">
        <f aca="false">X1893+ROW()*0.000000001</f>
        <v>45.5689933702727</v>
      </c>
    </row>
    <row r="1894" customFormat="false" ht="15" hidden="false" customHeight="false" outlineLevel="0" collapsed="false">
      <c r="A1894" s="0" t="n">
        <v>6</v>
      </c>
      <c r="B1894" s="0" t="n">
        <v>9</v>
      </c>
      <c r="C1894" s="0" t="n">
        <v>2</v>
      </c>
      <c r="D1894" s="0" t="n">
        <f aca="false">-1+A1894*0.125</f>
        <v>-0.25</v>
      </c>
      <c r="E1894" s="0" t="n">
        <f aca="false">-1+B1894*0.125</f>
        <v>0.125</v>
      </c>
      <c r="F1894" s="0" t="n">
        <f aca="false">-1+C1894*0.125</f>
        <v>-0.75</v>
      </c>
      <c r="G1894" s="0" t="n">
        <f aca="false">1</f>
        <v>1</v>
      </c>
      <c r="H1894" s="0" t="n">
        <f aca="false">D1894</f>
        <v>-0.25</v>
      </c>
      <c r="I1894" s="0" t="n">
        <f aca="false">E1894</f>
        <v>0.125</v>
      </c>
      <c r="J1894" s="0" t="n">
        <f aca="false">F1894</f>
        <v>-0.75</v>
      </c>
      <c r="K1894" s="0" t="n">
        <f aca="false">D1894*E1894</f>
        <v>-0.03125</v>
      </c>
      <c r="L1894" s="0" t="n">
        <f aca="false">D1894*F1894</f>
        <v>0.1875</v>
      </c>
      <c r="M1894" s="0" t="n">
        <f aca="false">E1894*F1894</f>
        <v>-0.09375</v>
      </c>
      <c r="N1894" s="0" t="n">
        <f aca="false">D1894*D1894</f>
        <v>0.0625</v>
      </c>
      <c r="O1894" s="0" t="n">
        <f aca="false">E1894*E1894</f>
        <v>0.015625</v>
      </c>
      <c r="P1894" s="0" t="n">
        <f aca="false">F1894*F1894</f>
        <v>0.5625</v>
      </c>
      <c r="Q1894" s="0" t="n">
        <f aca="false">SUMPRODUCT(G1894:P1894,_XtX!$B$71:$K$71)</f>
        <v>45.99234375</v>
      </c>
      <c r="R1894" s="0" t="n">
        <f aca="false">SUMPRODUCT(MMULT(G1894:P1894,_XtX!$B$58:$K$67),G1894:P1894)</f>
        <v>0.233935546875</v>
      </c>
      <c r="S1894" s="0" t="n">
        <f aca="false">04_回帰ANOVA!$K$19*04_回帰ANOVA!$K$14*SQRT(1+R1894)</f>
        <v>1.03279202033444</v>
      </c>
      <c r="T1894" s="0" t="n">
        <f aca="false">Q1894-S1894</f>
        <v>44.9595517296656</v>
      </c>
      <c r="U1894" s="0" t="n">
        <f aca="false">Q1894+S1894</f>
        <v>47.0251357703345</v>
      </c>
      <c r="V1894" s="54" t="b">
        <f aca="false">AND(D1894&gt;=01_因子設定!$L$5-0.000000001,D1894&lt;=01_因子設定!$M$5+0.000000001,E1894&gt;=01_因子設定!$L$6-0.000000001,E1894&lt;=01_因子設定!$M$6+0.000000001,F1894&gt;=01_因子設定!$L$7-0.000000001,F1894&lt;=01_因子設定!$M$7+0.000000001,IF(01_因子設定!$B$20="Box-Behnken",D1894^2+E1894^2+F1894^2&lt;=2+0.000000001,TRUE()))</f>
        <v>1</v>
      </c>
      <c r="W1894" s="55" t="n">
        <f aca="false">IF(V1894,IF(01_因子設定!$B$13="最大化",T1894-01_因子設定!$B$14,IF(01_因子設定!$B$13="最小化",01_因子設定!$B$15-U1894,MIN(T1894-01_因子設定!$B$14,01_因子設定!$B$15-U1894))),-1E+030)</f>
        <v>-3.54044827033442</v>
      </c>
      <c r="X1894" s="55" t="n">
        <f aca="false">IF(V1894,IF(01_因子設定!$B$13="最大化",Q1894,IF(01_因子設定!$B$13="最小化",-Q1894,-ABS(Q1894-01_因子設定!$B$16))),-1E+030)</f>
        <v>45.99234375</v>
      </c>
      <c r="Y1894" s="55" t="n">
        <f aca="false">W1894+ROW()*0.000000001</f>
        <v>-3.54044637633442</v>
      </c>
      <c r="Z1894" s="55" t="n">
        <f aca="false">X1894+ROW()*0.000000001</f>
        <v>45.992345644</v>
      </c>
    </row>
    <row r="1895" customFormat="false" ht="15" hidden="false" customHeight="false" outlineLevel="0" collapsed="false">
      <c r="A1895" s="0" t="n">
        <v>6</v>
      </c>
      <c r="B1895" s="0" t="n">
        <v>9</v>
      </c>
      <c r="C1895" s="0" t="n">
        <v>3</v>
      </c>
      <c r="D1895" s="0" t="n">
        <f aca="false">-1+A1895*0.125</f>
        <v>-0.25</v>
      </c>
      <c r="E1895" s="0" t="n">
        <f aca="false">-1+B1895*0.125</f>
        <v>0.125</v>
      </c>
      <c r="F1895" s="0" t="n">
        <f aca="false">-1+C1895*0.125</f>
        <v>-0.625</v>
      </c>
      <c r="G1895" s="0" t="n">
        <f aca="false">1</f>
        <v>1</v>
      </c>
      <c r="H1895" s="0" t="n">
        <f aca="false">D1895</f>
        <v>-0.25</v>
      </c>
      <c r="I1895" s="0" t="n">
        <f aca="false">E1895</f>
        <v>0.125</v>
      </c>
      <c r="J1895" s="0" t="n">
        <f aca="false">F1895</f>
        <v>-0.625</v>
      </c>
      <c r="K1895" s="0" t="n">
        <f aca="false">D1895*E1895</f>
        <v>-0.03125</v>
      </c>
      <c r="L1895" s="0" t="n">
        <f aca="false">D1895*F1895</f>
        <v>0.15625</v>
      </c>
      <c r="M1895" s="0" t="n">
        <f aca="false">E1895*F1895</f>
        <v>-0.078125</v>
      </c>
      <c r="N1895" s="0" t="n">
        <f aca="false">D1895*D1895</f>
        <v>0.0625</v>
      </c>
      <c r="O1895" s="0" t="n">
        <f aca="false">E1895*E1895</f>
        <v>0.015625</v>
      </c>
      <c r="P1895" s="0" t="n">
        <f aca="false">F1895*F1895</f>
        <v>0.390625</v>
      </c>
      <c r="Q1895" s="0" t="n">
        <f aca="false">SUMPRODUCT(G1895:P1895,_XtX!$B$71:$K$71)</f>
        <v>46.37890625</v>
      </c>
      <c r="R1895" s="0" t="n">
        <f aca="false">SUMPRODUCT(MMULT(G1895:P1895,_XtX!$B$58:$K$67),G1895:P1895)</f>
        <v>0.174786376953125</v>
      </c>
      <c r="S1895" s="0" t="n">
        <f aca="false">04_回帰ANOVA!$K$19*04_回帰ANOVA!$K$14*SQRT(1+R1895)</f>
        <v>1.00773440704286</v>
      </c>
      <c r="T1895" s="0" t="n">
        <f aca="false">Q1895-S1895</f>
        <v>45.3711718429572</v>
      </c>
      <c r="U1895" s="0" t="n">
        <f aca="false">Q1895+S1895</f>
        <v>47.3866406570429</v>
      </c>
      <c r="V1895" s="54" t="b">
        <f aca="false">AND(D1895&gt;=01_因子設定!$L$5-0.000000001,D1895&lt;=01_因子設定!$M$5+0.000000001,E1895&gt;=01_因子設定!$L$6-0.000000001,E1895&lt;=01_因子設定!$M$6+0.000000001,F1895&gt;=01_因子設定!$L$7-0.000000001,F1895&lt;=01_因子設定!$M$7+0.000000001,IF(01_因子設定!$B$20="Box-Behnken",D1895^2+E1895^2+F1895^2&lt;=2+0.000000001,TRUE()))</f>
        <v>1</v>
      </c>
      <c r="W1895" s="55" t="n">
        <f aca="false">IF(V1895,IF(01_因子設定!$B$13="最大化",T1895-01_因子設定!$B$14,IF(01_因子設定!$B$13="最小化",01_因子設定!$B$15-U1895,MIN(T1895-01_因子設定!$B$14,01_因子設定!$B$15-U1895))),-1E+030)</f>
        <v>-3.12882815704285</v>
      </c>
      <c r="X1895" s="55" t="n">
        <f aca="false">IF(V1895,IF(01_因子設定!$B$13="最大化",Q1895,IF(01_因子設定!$B$13="最小化",-Q1895,-ABS(Q1895-01_因子設定!$B$16))),-1E+030)</f>
        <v>46.37890625</v>
      </c>
      <c r="Y1895" s="55" t="n">
        <f aca="false">W1895+ROW()*0.000000001</f>
        <v>-3.12882626204285</v>
      </c>
      <c r="Z1895" s="55" t="n">
        <f aca="false">X1895+ROW()*0.000000001</f>
        <v>46.378908145</v>
      </c>
    </row>
    <row r="1896" customFormat="false" ht="15" hidden="false" customHeight="false" outlineLevel="0" collapsed="false">
      <c r="A1896" s="0" t="n">
        <v>6</v>
      </c>
      <c r="B1896" s="0" t="n">
        <v>9</v>
      </c>
      <c r="C1896" s="0" t="n">
        <v>4</v>
      </c>
      <c r="D1896" s="0" t="n">
        <f aca="false">-1+A1896*0.125</f>
        <v>-0.25</v>
      </c>
      <c r="E1896" s="0" t="n">
        <f aca="false">-1+B1896*0.125</f>
        <v>0.125</v>
      </c>
      <c r="F1896" s="0" t="n">
        <f aca="false">-1+C1896*0.125</f>
        <v>-0.5</v>
      </c>
      <c r="G1896" s="0" t="n">
        <f aca="false">1</f>
        <v>1</v>
      </c>
      <c r="H1896" s="0" t="n">
        <f aca="false">D1896</f>
        <v>-0.25</v>
      </c>
      <c r="I1896" s="0" t="n">
        <f aca="false">E1896</f>
        <v>0.125</v>
      </c>
      <c r="J1896" s="0" t="n">
        <f aca="false">F1896</f>
        <v>-0.5</v>
      </c>
      <c r="K1896" s="0" t="n">
        <f aca="false">D1896*E1896</f>
        <v>-0.03125</v>
      </c>
      <c r="L1896" s="0" t="n">
        <f aca="false">D1896*F1896</f>
        <v>0.125</v>
      </c>
      <c r="M1896" s="0" t="n">
        <f aca="false">E1896*F1896</f>
        <v>-0.0625</v>
      </c>
      <c r="N1896" s="0" t="n">
        <f aca="false">D1896*D1896</f>
        <v>0.0625</v>
      </c>
      <c r="O1896" s="0" t="n">
        <f aca="false">E1896*E1896</f>
        <v>0.015625</v>
      </c>
      <c r="P1896" s="0" t="n">
        <f aca="false">F1896*F1896</f>
        <v>0.25</v>
      </c>
      <c r="Q1896" s="0" t="n">
        <f aca="false">SUMPRODUCT(G1896:P1896,_XtX!$B$71:$K$71)</f>
        <v>46.7286789772727</v>
      </c>
      <c r="R1896" s="0" t="n">
        <f aca="false">SUMPRODUCT(MMULT(G1896:P1896,_XtX!$B$58:$K$67),G1896:P1896)</f>
        <v>0.142371715198864</v>
      </c>
      <c r="S1896" s="0" t="n">
        <f aca="false">04_回帰ANOVA!$K$19*04_回帰ANOVA!$K$14*SQRT(1+R1896)</f>
        <v>0.99373447511735</v>
      </c>
      <c r="T1896" s="0" t="n">
        <f aca="false">Q1896-S1896</f>
        <v>45.7349445021554</v>
      </c>
      <c r="U1896" s="0" t="n">
        <f aca="false">Q1896+S1896</f>
        <v>47.7224134523901</v>
      </c>
      <c r="V1896" s="54" t="b">
        <f aca="false">AND(D1896&gt;=01_因子設定!$L$5-0.000000001,D1896&lt;=01_因子設定!$M$5+0.000000001,E1896&gt;=01_因子設定!$L$6-0.000000001,E1896&lt;=01_因子設定!$M$6+0.000000001,F1896&gt;=01_因子設定!$L$7-0.000000001,F1896&lt;=01_因子設定!$M$7+0.000000001,IF(01_因子設定!$B$20="Box-Behnken",D1896^2+E1896^2+F1896^2&lt;=2+0.000000001,TRUE()))</f>
        <v>1</v>
      </c>
      <c r="W1896" s="55" t="n">
        <f aca="false">IF(V1896,IF(01_因子設定!$B$13="最大化",T1896-01_因子設定!$B$14,IF(01_因子設定!$B$13="最小化",01_因子設定!$B$15-U1896,MIN(T1896-01_因子設定!$B$14,01_因子設定!$B$15-U1896))),-1E+030)</f>
        <v>-2.76505549784461</v>
      </c>
      <c r="X1896" s="55" t="n">
        <f aca="false">IF(V1896,IF(01_因子設定!$B$13="最大化",Q1896,IF(01_因子設定!$B$13="最小化",-Q1896,-ABS(Q1896-01_因子設定!$B$16))),-1E+030)</f>
        <v>46.7286789772727</v>
      </c>
      <c r="Y1896" s="55" t="n">
        <f aca="false">W1896+ROW()*0.000000001</f>
        <v>-2.76505360184461</v>
      </c>
      <c r="Z1896" s="55" t="n">
        <f aca="false">X1896+ROW()*0.000000001</f>
        <v>46.7286808732727</v>
      </c>
    </row>
    <row r="1897" customFormat="false" ht="15" hidden="false" customHeight="false" outlineLevel="0" collapsed="false">
      <c r="A1897" s="0" t="n">
        <v>6</v>
      </c>
      <c r="B1897" s="0" t="n">
        <v>9</v>
      </c>
      <c r="C1897" s="0" t="n">
        <v>5</v>
      </c>
      <c r="D1897" s="0" t="n">
        <f aca="false">-1+A1897*0.125</f>
        <v>-0.25</v>
      </c>
      <c r="E1897" s="0" t="n">
        <f aca="false">-1+B1897*0.125</f>
        <v>0.125</v>
      </c>
      <c r="F1897" s="0" t="n">
        <f aca="false">-1+C1897*0.125</f>
        <v>-0.375</v>
      </c>
      <c r="G1897" s="0" t="n">
        <f aca="false">1</f>
        <v>1</v>
      </c>
      <c r="H1897" s="0" t="n">
        <f aca="false">D1897</f>
        <v>-0.25</v>
      </c>
      <c r="I1897" s="0" t="n">
        <f aca="false">E1897</f>
        <v>0.125</v>
      </c>
      <c r="J1897" s="0" t="n">
        <f aca="false">F1897</f>
        <v>-0.375</v>
      </c>
      <c r="K1897" s="0" t="n">
        <f aca="false">D1897*E1897</f>
        <v>-0.03125</v>
      </c>
      <c r="L1897" s="0" t="n">
        <f aca="false">D1897*F1897</f>
        <v>0.09375</v>
      </c>
      <c r="M1897" s="0" t="n">
        <f aca="false">E1897*F1897</f>
        <v>-0.046875</v>
      </c>
      <c r="N1897" s="0" t="n">
        <f aca="false">D1897*D1897</f>
        <v>0.0625</v>
      </c>
      <c r="O1897" s="0" t="n">
        <f aca="false">E1897*E1897</f>
        <v>0.015625</v>
      </c>
      <c r="P1897" s="0" t="n">
        <f aca="false">F1897*F1897</f>
        <v>0.140625</v>
      </c>
      <c r="Q1897" s="0" t="n">
        <f aca="false">SUMPRODUCT(G1897:P1897,_XtX!$B$71:$K$71)</f>
        <v>47.0416619318182</v>
      </c>
      <c r="R1897" s="0" t="n">
        <f aca="false">SUMPRODUCT(MMULT(G1897:P1897,_XtX!$B$58:$K$67),G1897:P1897)</f>
        <v>0.127103493430398</v>
      </c>
      <c r="S1897" s="0" t="n">
        <f aca="false">04_回帰ANOVA!$K$19*04_回帰ANOVA!$K$14*SQRT(1+R1897)</f>
        <v>0.987071321387587</v>
      </c>
      <c r="T1897" s="0" t="n">
        <f aca="false">Q1897-S1897</f>
        <v>46.0545906104306</v>
      </c>
      <c r="U1897" s="0" t="n">
        <f aca="false">Q1897+S1897</f>
        <v>48.0287332532058</v>
      </c>
      <c r="V1897" s="54" t="b">
        <f aca="false">AND(D1897&gt;=01_因子設定!$L$5-0.000000001,D1897&lt;=01_因子設定!$M$5+0.000000001,E1897&gt;=01_因子設定!$L$6-0.000000001,E1897&lt;=01_因子設定!$M$6+0.000000001,F1897&gt;=01_因子設定!$L$7-0.000000001,F1897&lt;=01_因子設定!$M$7+0.000000001,IF(01_因子設定!$B$20="Box-Behnken",D1897^2+E1897^2+F1897^2&lt;=2+0.000000001,TRUE()))</f>
        <v>1</v>
      </c>
      <c r="W1897" s="55" t="n">
        <f aca="false">IF(V1897,IF(01_因子設定!$B$13="最大化",T1897-01_因子設定!$B$14,IF(01_因子設定!$B$13="最小化",01_因子設定!$B$15-U1897,MIN(T1897-01_因子設定!$B$14,01_因子設定!$B$15-U1897))),-1E+030)</f>
        <v>-2.4454093895694</v>
      </c>
      <c r="X1897" s="55" t="n">
        <f aca="false">IF(V1897,IF(01_因子設定!$B$13="最大化",Q1897,IF(01_因子設定!$B$13="最小化",-Q1897,-ABS(Q1897-01_因子設定!$B$16))),-1E+030)</f>
        <v>47.0416619318182</v>
      </c>
      <c r="Y1897" s="55" t="n">
        <f aca="false">W1897+ROW()*0.000000001</f>
        <v>-2.4454074925694</v>
      </c>
      <c r="Z1897" s="55" t="n">
        <f aca="false">X1897+ROW()*0.000000001</f>
        <v>47.0416638288182</v>
      </c>
    </row>
    <row r="1898" customFormat="false" ht="15" hidden="false" customHeight="false" outlineLevel="0" collapsed="false">
      <c r="A1898" s="0" t="n">
        <v>6</v>
      </c>
      <c r="B1898" s="0" t="n">
        <v>9</v>
      </c>
      <c r="C1898" s="0" t="n">
        <v>6</v>
      </c>
      <c r="D1898" s="0" t="n">
        <f aca="false">-1+A1898*0.125</f>
        <v>-0.25</v>
      </c>
      <c r="E1898" s="0" t="n">
        <f aca="false">-1+B1898*0.125</f>
        <v>0.125</v>
      </c>
      <c r="F1898" s="0" t="n">
        <f aca="false">-1+C1898*0.125</f>
        <v>-0.25</v>
      </c>
      <c r="G1898" s="0" t="n">
        <f aca="false">1</f>
        <v>1</v>
      </c>
      <c r="H1898" s="0" t="n">
        <f aca="false">D1898</f>
        <v>-0.25</v>
      </c>
      <c r="I1898" s="0" t="n">
        <f aca="false">E1898</f>
        <v>0.125</v>
      </c>
      <c r="J1898" s="0" t="n">
        <f aca="false">F1898</f>
        <v>-0.25</v>
      </c>
      <c r="K1898" s="0" t="n">
        <f aca="false">D1898*E1898</f>
        <v>-0.03125</v>
      </c>
      <c r="L1898" s="0" t="n">
        <f aca="false">D1898*F1898</f>
        <v>0.0625</v>
      </c>
      <c r="M1898" s="0" t="n">
        <f aca="false">E1898*F1898</f>
        <v>-0.03125</v>
      </c>
      <c r="N1898" s="0" t="n">
        <f aca="false">D1898*D1898</f>
        <v>0.0625</v>
      </c>
      <c r="O1898" s="0" t="n">
        <f aca="false">E1898*E1898</f>
        <v>0.015625</v>
      </c>
      <c r="P1898" s="0" t="n">
        <f aca="false">F1898*F1898</f>
        <v>0.0625</v>
      </c>
      <c r="Q1898" s="0" t="n">
        <f aca="false">SUMPRODUCT(G1898:P1898,_XtX!$B$71:$K$71)</f>
        <v>47.3178551136364</v>
      </c>
      <c r="R1898" s="0" t="n">
        <f aca="false">SUMPRODUCT(MMULT(G1898:P1898,_XtX!$B$58:$K$67),G1898:P1898)</f>
        <v>0.121524325284091</v>
      </c>
      <c r="S1898" s="0" t="n">
        <f aca="false">04_回帰ANOVA!$K$19*04_回帰ANOVA!$K$14*SQRT(1+R1898)</f>
        <v>0.984625286577447</v>
      </c>
      <c r="T1898" s="0" t="n">
        <f aca="false">Q1898-S1898</f>
        <v>46.3332298270589</v>
      </c>
      <c r="U1898" s="0" t="n">
        <f aca="false">Q1898+S1898</f>
        <v>48.3024804002138</v>
      </c>
      <c r="V1898" s="54" t="b">
        <f aca="false">AND(D1898&gt;=01_因子設定!$L$5-0.000000001,D1898&lt;=01_因子設定!$M$5+0.000000001,E1898&gt;=01_因子設定!$L$6-0.000000001,E1898&lt;=01_因子設定!$M$6+0.000000001,F1898&gt;=01_因子設定!$L$7-0.000000001,F1898&lt;=01_因子設定!$M$7+0.000000001,IF(01_因子設定!$B$20="Box-Behnken",D1898^2+E1898^2+F1898^2&lt;=2+0.000000001,TRUE()))</f>
        <v>1</v>
      </c>
      <c r="W1898" s="55" t="n">
        <f aca="false">IF(V1898,IF(01_因子設定!$B$13="最大化",T1898-01_因子設定!$B$14,IF(01_因子設定!$B$13="最小化",01_因子設定!$B$15-U1898,MIN(T1898-01_因子設定!$B$14,01_因子設定!$B$15-U1898))),-1E+030)</f>
        <v>-2.16677017294108</v>
      </c>
      <c r="X1898" s="55" t="n">
        <f aca="false">IF(V1898,IF(01_因子設定!$B$13="最大化",Q1898,IF(01_因子設定!$B$13="最小化",-Q1898,-ABS(Q1898-01_因子設定!$B$16))),-1E+030)</f>
        <v>47.3178551136364</v>
      </c>
      <c r="Y1898" s="55" t="n">
        <f aca="false">W1898+ROW()*0.000000001</f>
        <v>-2.16676827494108</v>
      </c>
      <c r="Z1898" s="55" t="n">
        <f aca="false">X1898+ROW()*0.000000001</f>
        <v>47.3178570116364</v>
      </c>
    </row>
    <row r="1899" customFormat="false" ht="15" hidden="false" customHeight="false" outlineLevel="0" collapsed="false">
      <c r="A1899" s="0" t="n">
        <v>6</v>
      </c>
      <c r="B1899" s="0" t="n">
        <v>9</v>
      </c>
      <c r="C1899" s="0" t="n">
        <v>7</v>
      </c>
      <c r="D1899" s="0" t="n">
        <f aca="false">-1+A1899*0.125</f>
        <v>-0.25</v>
      </c>
      <c r="E1899" s="0" t="n">
        <f aca="false">-1+B1899*0.125</f>
        <v>0.125</v>
      </c>
      <c r="F1899" s="0" t="n">
        <f aca="false">-1+C1899*0.125</f>
        <v>-0.125</v>
      </c>
      <c r="G1899" s="0" t="n">
        <f aca="false">1</f>
        <v>1</v>
      </c>
      <c r="H1899" s="0" t="n">
        <f aca="false">D1899</f>
        <v>-0.25</v>
      </c>
      <c r="I1899" s="0" t="n">
        <f aca="false">E1899</f>
        <v>0.125</v>
      </c>
      <c r="J1899" s="0" t="n">
        <f aca="false">F1899</f>
        <v>-0.125</v>
      </c>
      <c r="K1899" s="0" t="n">
        <f aca="false">D1899*E1899</f>
        <v>-0.03125</v>
      </c>
      <c r="L1899" s="0" t="n">
        <f aca="false">D1899*F1899</f>
        <v>0.03125</v>
      </c>
      <c r="M1899" s="0" t="n">
        <f aca="false">E1899*F1899</f>
        <v>-0.015625</v>
      </c>
      <c r="N1899" s="0" t="n">
        <f aca="false">D1899*D1899</f>
        <v>0.0625</v>
      </c>
      <c r="O1899" s="0" t="n">
        <f aca="false">E1899*E1899</f>
        <v>0.015625</v>
      </c>
      <c r="P1899" s="0" t="n">
        <f aca="false">F1899*F1899</f>
        <v>0.015625</v>
      </c>
      <c r="Q1899" s="0" t="n">
        <f aca="false">SUMPRODUCT(G1899:P1899,_XtX!$B$71:$K$71)</f>
        <v>47.5572585227273</v>
      </c>
      <c r="R1899" s="0" t="n">
        <f aca="false">SUMPRODUCT(MMULT(G1899:P1899,_XtX!$B$58:$K$67),G1899:P1899)</f>
        <v>0.120307506214489</v>
      </c>
      <c r="S1899" s="0" t="n">
        <f aca="false">04_回帰ANOVA!$K$19*04_回帰ANOVA!$K$14*SQRT(1+R1899)</f>
        <v>0.984090997684742</v>
      </c>
      <c r="T1899" s="0" t="n">
        <f aca="false">Q1899-S1899</f>
        <v>46.5731675250425</v>
      </c>
      <c r="U1899" s="0" t="n">
        <f aca="false">Q1899+S1899</f>
        <v>48.541349520412</v>
      </c>
      <c r="V1899" s="54" t="b">
        <f aca="false">AND(D1899&gt;=01_因子設定!$L$5-0.000000001,D1899&lt;=01_因子設定!$M$5+0.000000001,E1899&gt;=01_因子設定!$L$6-0.000000001,E1899&lt;=01_因子設定!$M$6+0.000000001,F1899&gt;=01_因子設定!$L$7-0.000000001,F1899&lt;=01_因子設定!$M$7+0.000000001,IF(01_因子設定!$B$20="Box-Behnken",D1899^2+E1899^2+F1899^2&lt;=2+0.000000001,TRUE()))</f>
        <v>1</v>
      </c>
      <c r="W1899" s="55" t="n">
        <f aca="false">IF(V1899,IF(01_因子設定!$B$13="最大化",T1899-01_因子設定!$B$14,IF(01_因子設定!$B$13="最小化",01_因子設定!$B$15-U1899,MIN(T1899-01_因子設定!$B$14,01_因子設定!$B$15-U1899))),-1E+030)</f>
        <v>-1.92683247495746</v>
      </c>
      <c r="X1899" s="55" t="n">
        <f aca="false">IF(V1899,IF(01_因子設定!$B$13="最大化",Q1899,IF(01_因子設定!$B$13="最小化",-Q1899,-ABS(Q1899-01_因子設定!$B$16))),-1E+030)</f>
        <v>47.5572585227273</v>
      </c>
      <c r="Y1899" s="55" t="n">
        <f aca="false">W1899+ROW()*0.000000001</f>
        <v>-1.92683057595746</v>
      </c>
      <c r="Z1899" s="55" t="n">
        <f aca="false">X1899+ROW()*0.000000001</f>
        <v>47.5572604217273</v>
      </c>
    </row>
    <row r="1900" customFormat="false" ht="15" hidden="false" customHeight="false" outlineLevel="0" collapsed="false">
      <c r="A1900" s="0" t="n">
        <v>6</v>
      </c>
      <c r="B1900" s="0" t="n">
        <v>9</v>
      </c>
      <c r="C1900" s="0" t="n">
        <v>8</v>
      </c>
      <c r="D1900" s="0" t="n">
        <f aca="false">-1+A1900*0.125</f>
        <v>-0.25</v>
      </c>
      <c r="E1900" s="0" t="n">
        <f aca="false">-1+B1900*0.125</f>
        <v>0.125</v>
      </c>
      <c r="F1900" s="0" t="n">
        <f aca="false">-1+C1900*0.125</f>
        <v>0</v>
      </c>
      <c r="G1900" s="0" t="n">
        <f aca="false">1</f>
        <v>1</v>
      </c>
      <c r="H1900" s="0" t="n">
        <f aca="false">D1900</f>
        <v>-0.25</v>
      </c>
      <c r="I1900" s="0" t="n">
        <f aca="false">E1900</f>
        <v>0.125</v>
      </c>
      <c r="J1900" s="0" t="n">
        <f aca="false">F1900</f>
        <v>0</v>
      </c>
      <c r="K1900" s="0" t="n">
        <f aca="false">D1900*E1900</f>
        <v>-0.03125</v>
      </c>
      <c r="L1900" s="0" t="n">
        <f aca="false">D1900*F1900</f>
        <v>-0</v>
      </c>
      <c r="M1900" s="0" t="n">
        <f aca="false">E1900*F1900</f>
        <v>0</v>
      </c>
      <c r="N1900" s="0" t="n">
        <f aca="false">D1900*D1900</f>
        <v>0.0625</v>
      </c>
      <c r="O1900" s="0" t="n">
        <f aca="false">E1900*E1900</f>
        <v>0.015625</v>
      </c>
      <c r="P1900" s="0" t="n">
        <f aca="false">F1900*F1900</f>
        <v>0</v>
      </c>
      <c r="Q1900" s="0" t="n">
        <f aca="false">SUMPRODUCT(G1900:P1900,_XtX!$B$71:$K$71)</f>
        <v>47.7598721590909</v>
      </c>
      <c r="R1900" s="0" t="n">
        <f aca="false">SUMPRODUCT(MMULT(G1900:P1900,_XtX!$B$58:$K$67),G1900:P1900)</f>
        <v>0.120257013494318</v>
      </c>
      <c r="S1900" s="0" t="n">
        <f aca="false">04_回帰ANOVA!$K$19*04_回帰ANOVA!$K$14*SQRT(1+R1900)</f>
        <v>0.984068820741811</v>
      </c>
      <c r="T1900" s="0" t="n">
        <f aca="false">Q1900-S1900</f>
        <v>46.7758033383491</v>
      </c>
      <c r="U1900" s="0" t="n">
        <f aca="false">Q1900+S1900</f>
        <v>48.7439409798327</v>
      </c>
      <c r="V1900" s="54" t="b">
        <f aca="false">AND(D1900&gt;=01_因子設定!$L$5-0.000000001,D1900&lt;=01_因子設定!$M$5+0.000000001,E1900&gt;=01_因子設定!$L$6-0.000000001,E1900&lt;=01_因子設定!$M$6+0.000000001,F1900&gt;=01_因子設定!$L$7-0.000000001,F1900&lt;=01_因子設定!$M$7+0.000000001,IF(01_因子設定!$B$20="Box-Behnken",D1900^2+E1900^2+F1900^2&lt;=2+0.000000001,TRUE()))</f>
        <v>1</v>
      </c>
      <c r="W1900" s="55" t="n">
        <f aca="false">IF(V1900,IF(01_因子設定!$B$13="最大化",T1900-01_因子設定!$B$14,IF(01_因子設定!$B$13="最小化",01_因子設定!$B$15-U1900,MIN(T1900-01_因子設定!$B$14,01_因子設定!$B$15-U1900))),-1E+030)</f>
        <v>-1.72419666165089</v>
      </c>
      <c r="X1900" s="55" t="n">
        <f aca="false">IF(V1900,IF(01_因子設定!$B$13="最大化",Q1900,IF(01_因子設定!$B$13="最小化",-Q1900,-ABS(Q1900-01_因子設定!$B$16))),-1E+030)</f>
        <v>47.7598721590909</v>
      </c>
      <c r="Y1900" s="55" t="n">
        <f aca="false">W1900+ROW()*0.000000001</f>
        <v>-1.72419476165089</v>
      </c>
      <c r="Z1900" s="55" t="n">
        <f aca="false">X1900+ROW()*0.000000001</f>
        <v>47.7598740590909</v>
      </c>
    </row>
    <row r="1901" customFormat="false" ht="15" hidden="false" customHeight="false" outlineLevel="0" collapsed="false">
      <c r="A1901" s="0" t="n">
        <v>6</v>
      </c>
      <c r="B1901" s="0" t="n">
        <v>9</v>
      </c>
      <c r="C1901" s="0" t="n">
        <v>9</v>
      </c>
      <c r="D1901" s="0" t="n">
        <f aca="false">-1+A1901*0.125</f>
        <v>-0.25</v>
      </c>
      <c r="E1901" s="0" t="n">
        <f aca="false">-1+B1901*0.125</f>
        <v>0.125</v>
      </c>
      <c r="F1901" s="0" t="n">
        <f aca="false">-1+C1901*0.125</f>
        <v>0.125</v>
      </c>
      <c r="G1901" s="0" t="n">
        <f aca="false">1</f>
        <v>1</v>
      </c>
      <c r="H1901" s="0" t="n">
        <f aca="false">D1901</f>
        <v>-0.25</v>
      </c>
      <c r="I1901" s="0" t="n">
        <f aca="false">E1901</f>
        <v>0.125</v>
      </c>
      <c r="J1901" s="0" t="n">
        <f aca="false">F1901</f>
        <v>0.125</v>
      </c>
      <c r="K1901" s="0" t="n">
        <f aca="false">D1901*E1901</f>
        <v>-0.03125</v>
      </c>
      <c r="L1901" s="0" t="n">
        <f aca="false">D1901*F1901</f>
        <v>-0.03125</v>
      </c>
      <c r="M1901" s="0" t="n">
        <f aca="false">E1901*F1901</f>
        <v>0.015625</v>
      </c>
      <c r="N1901" s="0" t="n">
        <f aca="false">D1901*D1901</f>
        <v>0.0625</v>
      </c>
      <c r="O1901" s="0" t="n">
        <f aca="false">E1901*E1901</f>
        <v>0.015625</v>
      </c>
      <c r="P1901" s="0" t="n">
        <f aca="false">F1901*F1901</f>
        <v>0.015625</v>
      </c>
      <c r="Q1901" s="0" t="n">
        <f aca="false">SUMPRODUCT(G1901:P1901,_XtX!$B$71:$K$71)</f>
        <v>47.9256960227273</v>
      </c>
      <c r="R1901" s="0" t="n">
        <f aca="false">SUMPRODUCT(MMULT(G1901:P1901,_XtX!$B$58:$K$67),G1901:P1901)</f>
        <v>0.120307506214489</v>
      </c>
      <c r="S1901" s="0" t="n">
        <f aca="false">04_回帰ANOVA!$K$19*04_回帰ANOVA!$K$14*SQRT(1+R1901)</f>
        <v>0.984090997684742</v>
      </c>
      <c r="T1901" s="0" t="n">
        <f aca="false">Q1901-S1901</f>
        <v>46.9416050250425</v>
      </c>
      <c r="U1901" s="0" t="n">
        <f aca="false">Q1901+S1901</f>
        <v>48.909787020412</v>
      </c>
      <c r="V1901" s="54" t="b">
        <f aca="false">AND(D1901&gt;=01_因子設定!$L$5-0.000000001,D1901&lt;=01_因子設定!$M$5+0.000000001,E1901&gt;=01_因子設定!$L$6-0.000000001,E1901&lt;=01_因子設定!$M$6+0.000000001,F1901&gt;=01_因子設定!$L$7-0.000000001,F1901&lt;=01_因子設定!$M$7+0.000000001,IF(01_因子設定!$B$20="Box-Behnken",D1901^2+E1901^2+F1901^2&lt;=2+0.000000001,TRUE()))</f>
        <v>1</v>
      </c>
      <c r="W1901" s="55" t="n">
        <f aca="false">IF(V1901,IF(01_因子設定!$B$13="最大化",T1901-01_因子設定!$B$14,IF(01_因子設定!$B$13="最小化",01_因子設定!$B$15-U1901,MIN(T1901-01_因子設定!$B$14,01_因子設定!$B$15-U1901))),-1E+030)</f>
        <v>-1.55839497495746</v>
      </c>
      <c r="X1901" s="55" t="n">
        <f aca="false">IF(V1901,IF(01_因子設定!$B$13="最大化",Q1901,IF(01_因子設定!$B$13="最小化",-Q1901,-ABS(Q1901-01_因子設定!$B$16))),-1E+030)</f>
        <v>47.9256960227273</v>
      </c>
      <c r="Y1901" s="55" t="n">
        <f aca="false">W1901+ROW()*0.000000001</f>
        <v>-1.55839307395746</v>
      </c>
      <c r="Z1901" s="55" t="n">
        <f aca="false">X1901+ROW()*0.000000001</f>
        <v>47.9256979237273</v>
      </c>
    </row>
    <row r="1902" customFormat="false" ht="15" hidden="false" customHeight="false" outlineLevel="0" collapsed="false">
      <c r="A1902" s="0" t="n">
        <v>6</v>
      </c>
      <c r="B1902" s="0" t="n">
        <v>9</v>
      </c>
      <c r="C1902" s="0" t="n">
        <v>10</v>
      </c>
      <c r="D1902" s="0" t="n">
        <f aca="false">-1+A1902*0.125</f>
        <v>-0.25</v>
      </c>
      <c r="E1902" s="0" t="n">
        <f aca="false">-1+B1902*0.125</f>
        <v>0.125</v>
      </c>
      <c r="F1902" s="0" t="n">
        <f aca="false">-1+C1902*0.125</f>
        <v>0.25</v>
      </c>
      <c r="G1902" s="0" t="n">
        <f aca="false">1</f>
        <v>1</v>
      </c>
      <c r="H1902" s="0" t="n">
        <f aca="false">D1902</f>
        <v>-0.25</v>
      </c>
      <c r="I1902" s="0" t="n">
        <f aca="false">E1902</f>
        <v>0.125</v>
      </c>
      <c r="J1902" s="0" t="n">
        <f aca="false">F1902</f>
        <v>0.25</v>
      </c>
      <c r="K1902" s="0" t="n">
        <f aca="false">D1902*E1902</f>
        <v>-0.03125</v>
      </c>
      <c r="L1902" s="0" t="n">
        <f aca="false">D1902*F1902</f>
        <v>-0.0625</v>
      </c>
      <c r="M1902" s="0" t="n">
        <f aca="false">E1902*F1902</f>
        <v>0.03125</v>
      </c>
      <c r="N1902" s="0" t="n">
        <f aca="false">D1902*D1902</f>
        <v>0.0625</v>
      </c>
      <c r="O1902" s="0" t="n">
        <f aca="false">E1902*E1902</f>
        <v>0.015625</v>
      </c>
      <c r="P1902" s="0" t="n">
        <f aca="false">F1902*F1902</f>
        <v>0.0625</v>
      </c>
      <c r="Q1902" s="0" t="n">
        <f aca="false">SUMPRODUCT(G1902:P1902,_XtX!$B$71:$K$71)</f>
        <v>48.0547301136364</v>
      </c>
      <c r="R1902" s="0" t="n">
        <f aca="false">SUMPRODUCT(MMULT(G1902:P1902,_XtX!$B$58:$K$67),G1902:P1902)</f>
        <v>0.121524325284091</v>
      </c>
      <c r="S1902" s="0" t="n">
        <f aca="false">04_回帰ANOVA!$K$19*04_回帰ANOVA!$K$14*SQRT(1+R1902)</f>
        <v>0.984625286577447</v>
      </c>
      <c r="T1902" s="0" t="n">
        <f aca="false">Q1902-S1902</f>
        <v>47.0701048270589</v>
      </c>
      <c r="U1902" s="0" t="n">
        <f aca="false">Q1902+S1902</f>
        <v>49.0393554002138</v>
      </c>
      <c r="V1902" s="54" t="b">
        <f aca="false">AND(D1902&gt;=01_因子設定!$L$5-0.000000001,D1902&lt;=01_因子設定!$M$5+0.000000001,E1902&gt;=01_因子設定!$L$6-0.000000001,E1902&lt;=01_因子設定!$M$6+0.000000001,F1902&gt;=01_因子設定!$L$7-0.000000001,F1902&lt;=01_因子設定!$M$7+0.000000001,IF(01_因子設定!$B$20="Box-Behnken",D1902^2+E1902^2+F1902^2&lt;=2+0.000000001,TRUE()))</f>
        <v>1</v>
      </c>
      <c r="W1902" s="55" t="n">
        <f aca="false">IF(V1902,IF(01_因子設定!$B$13="最大化",T1902-01_因子設定!$B$14,IF(01_因子設定!$B$13="最小化",01_因子設定!$B$15-U1902,MIN(T1902-01_因子設定!$B$14,01_因子設定!$B$15-U1902))),-1E+030)</f>
        <v>-1.42989517294107</v>
      </c>
      <c r="X1902" s="55" t="n">
        <f aca="false">IF(V1902,IF(01_因子設定!$B$13="最大化",Q1902,IF(01_因子設定!$B$13="最小化",-Q1902,-ABS(Q1902-01_因子設定!$B$16))),-1E+030)</f>
        <v>48.0547301136364</v>
      </c>
      <c r="Y1902" s="55" t="n">
        <f aca="false">W1902+ROW()*0.000000001</f>
        <v>-1.42989327094107</v>
      </c>
      <c r="Z1902" s="55" t="n">
        <f aca="false">X1902+ROW()*0.000000001</f>
        <v>48.0547320156364</v>
      </c>
    </row>
    <row r="1903" customFormat="false" ht="15" hidden="false" customHeight="false" outlineLevel="0" collapsed="false">
      <c r="A1903" s="0" t="n">
        <v>6</v>
      </c>
      <c r="B1903" s="0" t="n">
        <v>9</v>
      </c>
      <c r="C1903" s="0" t="n">
        <v>11</v>
      </c>
      <c r="D1903" s="0" t="n">
        <f aca="false">-1+A1903*0.125</f>
        <v>-0.25</v>
      </c>
      <c r="E1903" s="0" t="n">
        <f aca="false">-1+B1903*0.125</f>
        <v>0.125</v>
      </c>
      <c r="F1903" s="0" t="n">
        <f aca="false">-1+C1903*0.125</f>
        <v>0.375</v>
      </c>
      <c r="G1903" s="0" t="n">
        <f aca="false">1</f>
        <v>1</v>
      </c>
      <c r="H1903" s="0" t="n">
        <f aca="false">D1903</f>
        <v>-0.25</v>
      </c>
      <c r="I1903" s="0" t="n">
        <f aca="false">E1903</f>
        <v>0.125</v>
      </c>
      <c r="J1903" s="0" t="n">
        <f aca="false">F1903</f>
        <v>0.375</v>
      </c>
      <c r="K1903" s="0" t="n">
        <f aca="false">D1903*E1903</f>
        <v>-0.03125</v>
      </c>
      <c r="L1903" s="0" t="n">
        <f aca="false">D1903*F1903</f>
        <v>-0.09375</v>
      </c>
      <c r="M1903" s="0" t="n">
        <f aca="false">E1903*F1903</f>
        <v>0.046875</v>
      </c>
      <c r="N1903" s="0" t="n">
        <f aca="false">D1903*D1903</f>
        <v>0.0625</v>
      </c>
      <c r="O1903" s="0" t="n">
        <f aca="false">E1903*E1903</f>
        <v>0.015625</v>
      </c>
      <c r="P1903" s="0" t="n">
        <f aca="false">F1903*F1903</f>
        <v>0.140625</v>
      </c>
      <c r="Q1903" s="0" t="n">
        <f aca="false">SUMPRODUCT(G1903:P1903,_XtX!$B$71:$K$71)</f>
        <v>48.1469744318182</v>
      </c>
      <c r="R1903" s="0" t="n">
        <f aca="false">SUMPRODUCT(MMULT(G1903:P1903,_XtX!$B$58:$K$67),G1903:P1903)</f>
        <v>0.127103493430398</v>
      </c>
      <c r="S1903" s="0" t="n">
        <f aca="false">04_回帰ANOVA!$K$19*04_回帰ANOVA!$K$14*SQRT(1+R1903)</f>
        <v>0.987071321387587</v>
      </c>
      <c r="T1903" s="0" t="n">
        <f aca="false">Q1903-S1903</f>
        <v>47.1599031104306</v>
      </c>
      <c r="U1903" s="0" t="n">
        <f aca="false">Q1903+S1903</f>
        <v>49.1340457532058</v>
      </c>
      <c r="V1903" s="54" t="b">
        <f aca="false">AND(D1903&gt;=01_因子設定!$L$5-0.000000001,D1903&lt;=01_因子設定!$M$5+0.000000001,E1903&gt;=01_因子設定!$L$6-0.000000001,E1903&lt;=01_因子設定!$M$6+0.000000001,F1903&gt;=01_因子設定!$L$7-0.000000001,F1903&lt;=01_因子設定!$M$7+0.000000001,IF(01_因子設定!$B$20="Box-Behnken",D1903^2+E1903^2+F1903^2&lt;=2+0.000000001,TRUE()))</f>
        <v>1</v>
      </c>
      <c r="W1903" s="55" t="n">
        <f aca="false">IF(V1903,IF(01_因子設定!$B$13="最大化",T1903-01_因子設定!$B$14,IF(01_因子設定!$B$13="最小化",01_因子設定!$B$15-U1903,MIN(T1903-01_因子設定!$B$14,01_因子設定!$B$15-U1903))),-1E+030)</f>
        <v>-1.3400968895694</v>
      </c>
      <c r="X1903" s="55" t="n">
        <f aca="false">IF(V1903,IF(01_因子設定!$B$13="最大化",Q1903,IF(01_因子設定!$B$13="最小化",-Q1903,-ABS(Q1903-01_因子設定!$B$16))),-1E+030)</f>
        <v>48.1469744318182</v>
      </c>
      <c r="Y1903" s="55" t="n">
        <f aca="false">W1903+ROW()*0.000000001</f>
        <v>-1.3400949865694</v>
      </c>
      <c r="Z1903" s="55" t="n">
        <f aca="false">X1903+ROW()*0.000000001</f>
        <v>48.1469763348182</v>
      </c>
    </row>
    <row r="1904" customFormat="false" ht="15" hidden="false" customHeight="false" outlineLevel="0" collapsed="false">
      <c r="A1904" s="0" t="n">
        <v>6</v>
      </c>
      <c r="B1904" s="0" t="n">
        <v>9</v>
      </c>
      <c r="C1904" s="0" t="n">
        <v>12</v>
      </c>
      <c r="D1904" s="0" t="n">
        <f aca="false">-1+A1904*0.125</f>
        <v>-0.25</v>
      </c>
      <c r="E1904" s="0" t="n">
        <f aca="false">-1+B1904*0.125</f>
        <v>0.125</v>
      </c>
      <c r="F1904" s="0" t="n">
        <f aca="false">-1+C1904*0.125</f>
        <v>0.5</v>
      </c>
      <c r="G1904" s="0" t="n">
        <f aca="false">1</f>
        <v>1</v>
      </c>
      <c r="H1904" s="0" t="n">
        <f aca="false">D1904</f>
        <v>-0.25</v>
      </c>
      <c r="I1904" s="0" t="n">
        <f aca="false">E1904</f>
        <v>0.125</v>
      </c>
      <c r="J1904" s="0" t="n">
        <f aca="false">F1904</f>
        <v>0.5</v>
      </c>
      <c r="K1904" s="0" t="n">
        <f aca="false">D1904*E1904</f>
        <v>-0.03125</v>
      </c>
      <c r="L1904" s="0" t="n">
        <f aca="false">D1904*F1904</f>
        <v>-0.125</v>
      </c>
      <c r="M1904" s="0" t="n">
        <f aca="false">E1904*F1904</f>
        <v>0.0625</v>
      </c>
      <c r="N1904" s="0" t="n">
        <f aca="false">D1904*D1904</f>
        <v>0.0625</v>
      </c>
      <c r="O1904" s="0" t="n">
        <f aca="false">E1904*E1904</f>
        <v>0.015625</v>
      </c>
      <c r="P1904" s="0" t="n">
        <f aca="false">F1904*F1904</f>
        <v>0.25</v>
      </c>
      <c r="Q1904" s="0" t="n">
        <f aca="false">SUMPRODUCT(G1904:P1904,_XtX!$B$71:$K$71)</f>
        <v>48.2024289772727</v>
      </c>
      <c r="R1904" s="0" t="n">
        <f aca="false">SUMPRODUCT(MMULT(G1904:P1904,_XtX!$B$58:$K$67),G1904:P1904)</f>
        <v>0.142371715198864</v>
      </c>
      <c r="S1904" s="0" t="n">
        <f aca="false">04_回帰ANOVA!$K$19*04_回帰ANOVA!$K$14*SQRT(1+R1904)</f>
        <v>0.99373447511735</v>
      </c>
      <c r="T1904" s="0" t="n">
        <f aca="false">Q1904-S1904</f>
        <v>47.2086945021554</v>
      </c>
      <c r="U1904" s="0" t="n">
        <f aca="false">Q1904+S1904</f>
        <v>49.1961634523901</v>
      </c>
      <c r="V1904" s="54" t="b">
        <f aca="false">AND(D1904&gt;=01_因子設定!$L$5-0.000000001,D1904&lt;=01_因子設定!$M$5+0.000000001,E1904&gt;=01_因子設定!$L$6-0.000000001,E1904&lt;=01_因子設定!$M$6+0.000000001,F1904&gt;=01_因子設定!$L$7-0.000000001,F1904&lt;=01_因子設定!$M$7+0.000000001,IF(01_因子設定!$B$20="Box-Behnken",D1904^2+E1904^2+F1904^2&lt;=2+0.000000001,TRUE()))</f>
        <v>1</v>
      </c>
      <c r="W1904" s="55" t="n">
        <f aca="false">IF(V1904,IF(01_因子設定!$B$13="最大化",T1904-01_因子設定!$B$14,IF(01_因子設定!$B$13="最小化",01_因子設定!$B$15-U1904,MIN(T1904-01_因子設定!$B$14,01_因子設定!$B$15-U1904))),-1E+030)</f>
        <v>-1.29130549784461</v>
      </c>
      <c r="X1904" s="55" t="n">
        <f aca="false">IF(V1904,IF(01_因子設定!$B$13="最大化",Q1904,IF(01_因子設定!$B$13="最小化",-Q1904,-ABS(Q1904-01_因子設定!$B$16))),-1E+030)</f>
        <v>48.2024289772727</v>
      </c>
      <c r="Y1904" s="55" t="n">
        <f aca="false">W1904+ROW()*0.000000001</f>
        <v>-1.29130359384461</v>
      </c>
      <c r="Z1904" s="55" t="n">
        <f aca="false">X1904+ROW()*0.000000001</f>
        <v>48.2024308812727</v>
      </c>
    </row>
    <row r="1905" customFormat="false" ht="15" hidden="false" customHeight="false" outlineLevel="0" collapsed="false">
      <c r="A1905" s="0" t="n">
        <v>6</v>
      </c>
      <c r="B1905" s="0" t="n">
        <v>9</v>
      </c>
      <c r="C1905" s="0" t="n">
        <v>13</v>
      </c>
      <c r="D1905" s="0" t="n">
        <f aca="false">-1+A1905*0.125</f>
        <v>-0.25</v>
      </c>
      <c r="E1905" s="0" t="n">
        <f aca="false">-1+B1905*0.125</f>
        <v>0.125</v>
      </c>
      <c r="F1905" s="0" t="n">
        <f aca="false">-1+C1905*0.125</f>
        <v>0.625</v>
      </c>
      <c r="G1905" s="0" t="n">
        <f aca="false">1</f>
        <v>1</v>
      </c>
      <c r="H1905" s="0" t="n">
        <f aca="false">D1905</f>
        <v>-0.25</v>
      </c>
      <c r="I1905" s="0" t="n">
        <f aca="false">E1905</f>
        <v>0.125</v>
      </c>
      <c r="J1905" s="0" t="n">
        <f aca="false">F1905</f>
        <v>0.625</v>
      </c>
      <c r="K1905" s="0" t="n">
        <f aca="false">D1905*E1905</f>
        <v>-0.03125</v>
      </c>
      <c r="L1905" s="0" t="n">
        <f aca="false">D1905*F1905</f>
        <v>-0.15625</v>
      </c>
      <c r="M1905" s="0" t="n">
        <f aca="false">E1905*F1905</f>
        <v>0.078125</v>
      </c>
      <c r="N1905" s="0" t="n">
        <f aca="false">D1905*D1905</f>
        <v>0.0625</v>
      </c>
      <c r="O1905" s="0" t="n">
        <f aca="false">E1905*E1905</f>
        <v>0.015625</v>
      </c>
      <c r="P1905" s="0" t="n">
        <f aca="false">F1905*F1905</f>
        <v>0.390625</v>
      </c>
      <c r="Q1905" s="0" t="n">
        <f aca="false">SUMPRODUCT(G1905:P1905,_XtX!$B$71:$K$71)</f>
        <v>48.22109375</v>
      </c>
      <c r="R1905" s="0" t="n">
        <f aca="false">SUMPRODUCT(MMULT(G1905:P1905,_XtX!$B$58:$K$67),G1905:P1905)</f>
        <v>0.174786376953125</v>
      </c>
      <c r="S1905" s="0" t="n">
        <f aca="false">04_回帰ANOVA!$K$19*04_回帰ANOVA!$K$14*SQRT(1+R1905)</f>
        <v>1.00773440704286</v>
      </c>
      <c r="T1905" s="0" t="n">
        <f aca="false">Q1905-S1905</f>
        <v>47.2133593429572</v>
      </c>
      <c r="U1905" s="0" t="n">
        <f aca="false">Q1905+S1905</f>
        <v>49.2288281570429</v>
      </c>
      <c r="V1905" s="54" t="b">
        <f aca="false">AND(D1905&gt;=01_因子設定!$L$5-0.000000001,D1905&lt;=01_因子設定!$M$5+0.000000001,E1905&gt;=01_因子設定!$L$6-0.000000001,E1905&lt;=01_因子設定!$M$6+0.000000001,F1905&gt;=01_因子設定!$L$7-0.000000001,F1905&lt;=01_因子設定!$M$7+0.000000001,IF(01_因子設定!$B$20="Box-Behnken",D1905^2+E1905^2+F1905^2&lt;=2+0.000000001,TRUE()))</f>
        <v>1</v>
      </c>
      <c r="W1905" s="55" t="n">
        <f aca="false">IF(V1905,IF(01_因子設定!$B$13="最大化",T1905-01_因子設定!$B$14,IF(01_因子設定!$B$13="最小化",01_因子設定!$B$15-U1905,MIN(T1905-01_因子設定!$B$14,01_因子設定!$B$15-U1905))),-1E+030)</f>
        <v>-1.28664065704285</v>
      </c>
      <c r="X1905" s="55" t="n">
        <f aca="false">IF(V1905,IF(01_因子設定!$B$13="最大化",Q1905,IF(01_因子設定!$B$13="最小化",-Q1905,-ABS(Q1905-01_因子設定!$B$16))),-1E+030)</f>
        <v>48.22109375</v>
      </c>
      <c r="Y1905" s="55" t="n">
        <f aca="false">W1905+ROW()*0.000000001</f>
        <v>-1.28663875204285</v>
      </c>
      <c r="Z1905" s="55" t="n">
        <f aca="false">X1905+ROW()*0.000000001</f>
        <v>48.221095655</v>
      </c>
    </row>
    <row r="1906" customFormat="false" ht="15" hidden="false" customHeight="false" outlineLevel="0" collapsed="false">
      <c r="A1906" s="0" t="n">
        <v>6</v>
      </c>
      <c r="B1906" s="0" t="n">
        <v>9</v>
      </c>
      <c r="C1906" s="0" t="n">
        <v>14</v>
      </c>
      <c r="D1906" s="0" t="n">
        <f aca="false">-1+A1906*0.125</f>
        <v>-0.25</v>
      </c>
      <c r="E1906" s="0" t="n">
        <f aca="false">-1+B1906*0.125</f>
        <v>0.125</v>
      </c>
      <c r="F1906" s="0" t="n">
        <f aca="false">-1+C1906*0.125</f>
        <v>0.75</v>
      </c>
      <c r="G1906" s="0" t="n">
        <f aca="false">1</f>
        <v>1</v>
      </c>
      <c r="H1906" s="0" t="n">
        <f aca="false">D1906</f>
        <v>-0.25</v>
      </c>
      <c r="I1906" s="0" t="n">
        <f aca="false">E1906</f>
        <v>0.125</v>
      </c>
      <c r="J1906" s="0" t="n">
        <f aca="false">F1906</f>
        <v>0.75</v>
      </c>
      <c r="K1906" s="0" t="n">
        <f aca="false">D1906*E1906</f>
        <v>-0.03125</v>
      </c>
      <c r="L1906" s="0" t="n">
        <f aca="false">D1906*F1906</f>
        <v>-0.1875</v>
      </c>
      <c r="M1906" s="0" t="n">
        <f aca="false">E1906*F1906</f>
        <v>0.09375</v>
      </c>
      <c r="N1906" s="0" t="n">
        <f aca="false">D1906*D1906</f>
        <v>0.0625</v>
      </c>
      <c r="O1906" s="0" t="n">
        <f aca="false">E1906*E1906</f>
        <v>0.015625</v>
      </c>
      <c r="P1906" s="0" t="n">
        <f aca="false">F1906*F1906</f>
        <v>0.5625</v>
      </c>
      <c r="Q1906" s="0" t="n">
        <f aca="false">SUMPRODUCT(G1906:P1906,_XtX!$B$71:$K$71)</f>
        <v>48.20296875</v>
      </c>
      <c r="R1906" s="0" t="n">
        <f aca="false">SUMPRODUCT(MMULT(G1906:P1906,_XtX!$B$58:$K$67),G1906:P1906)</f>
        <v>0.233935546875</v>
      </c>
      <c r="S1906" s="0" t="n">
        <f aca="false">04_回帰ANOVA!$K$19*04_回帰ANOVA!$K$14*SQRT(1+R1906)</f>
        <v>1.03279202033444</v>
      </c>
      <c r="T1906" s="0" t="n">
        <f aca="false">Q1906-S1906</f>
        <v>47.1701767296656</v>
      </c>
      <c r="U1906" s="0" t="n">
        <f aca="false">Q1906+S1906</f>
        <v>49.2357607703345</v>
      </c>
      <c r="V1906" s="54" t="b">
        <f aca="false">AND(D1906&gt;=01_因子設定!$L$5-0.000000001,D1906&lt;=01_因子設定!$M$5+0.000000001,E1906&gt;=01_因子設定!$L$6-0.000000001,E1906&lt;=01_因子設定!$M$6+0.000000001,F1906&gt;=01_因子設定!$L$7-0.000000001,F1906&lt;=01_因子設定!$M$7+0.000000001,IF(01_因子設定!$B$20="Box-Behnken",D1906^2+E1906^2+F1906^2&lt;=2+0.000000001,TRUE()))</f>
        <v>1</v>
      </c>
      <c r="W1906" s="55" t="n">
        <f aca="false">IF(V1906,IF(01_因子設定!$B$13="最大化",T1906-01_因子設定!$B$14,IF(01_因子設定!$B$13="最小化",01_因子設定!$B$15-U1906,MIN(T1906-01_因子設定!$B$14,01_因子設定!$B$15-U1906))),-1E+030)</f>
        <v>-1.32982327033442</v>
      </c>
      <c r="X1906" s="55" t="n">
        <f aca="false">IF(V1906,IF(01_因子設定!$B$13="最大化",Q1906,IF(01_因子設定!$B$13="最小化",-Q1906,-ABS(Q1906-01_因子設定!$B$16))),-1E+030)</f>
        <v>48.20296875</v>
      </c>
      <c r="Y1906" s="55" t="n">
        <f aca="false">W1906+ROW()*0.000000001</f>
        <v>-1.32982136433442</v>
      </c>
      <c r="Z1906" s="55" t="n">
        <f aca="false">X1906+ROW()*0.000000001</f>
        <v>48.202970656</v>
      </c>
    </row>
    <row r="1907" customFormat="false" ht="15" hidden="false" customHeight="false" outlineLevel="0" collapsed="false">
      <c r="A1907" s="0" t="n">
        <v>6</v>
      </c>
      <c r="B1907" s="0" t="n">
        <v>9</v>
      </c>
      <c r="C1907" s="0" t="n">
        <v>15</v>
      </c>
      <c r="D1907" s="0" t="n">
        <f aca="false">-1+A1907*0.125</f>
        <v>-0.25</v>
      </c>
      <c r="E1907" s="0" t="n">
        <f aca="false">-1+B1907*0.125</f>
        <v>0.125</v>
      </c>
      <c r="F1907" s="0" t="n">
        <f aca="false">-1+C1907*0.125</f>
        <v>0.875</v>
      </c>
      <c r="G1907" s="0" t="n">
        <f aca="false">1</f>
        <v>1</v>
      </c>
      <c r="H1907" s="0" t="n">
        <f aca="false">D1907</f>
        <v>-0.25</v>
      </c>
      <c r="I1907" s="0" t="n">
        <f aca="false">E1907</f>
        <v>0.125</v>
      </c>
      <c r="J1907" s="0" t="n">
        <f aca="false">F1907</f>
        <v>0.875</v>
      </c>
      <c r="K1907" s="0" t="n">
        <f aca="false">D1907*E1907</f>
        <v>-0.03125</v>
      </c>
      <c r="L1907" s="0" t="n">
        <f aca="false">D1907*F1907</f>
        <v>-0.21875</v>
      </c>
      <c r="M1907" s="0" t="n">
        <f aca="false">E1907*F1907</f>
        <v>0.109375</v>
      </c>
      <c r="N1907" s="0" t="n">
        <f aca="false">D1907*D1907</f>
        <v>0.0625</v>
      </c>
      <c r="O1907" s="0" t="n">
        <f aca="false">E1907*E1907</f>
        <v>0.015625</v>
      </c>
      <c r="P1907" s="0" t="n">
        <f aca="false">F1907*F1907</f>
        <v>0.765625</v>
      </c>
      <c r="Q1907" s="0" t="n">
        <f aca="false">SUMPRODUCT(G1907:P1907,_XtX!$B$71:$K$71)</f>
        <v>48.1480539772728</v>
      </c>
      <c r="R1907" s="0" t="n">
        <f aca="false">SUMPRODUCT(MMULT(G1907:P1907,_XtX!$B$58:$K$67),G1907:P1907)</f>
        <v>0.331537974964489</v>
      </c>
      <c r="S1907" s="0" t="n">
        <f aca="false">04_回帰ANOVA!$K$19*04_回帰ANOVA!$K$14*SQRT(1+R1907)</f>
        <v>1.07286089161565</v>
      </c>
      <c r="T1907" s="0" t="n">
        <f aca="false">Q1907-S1907</f>
        <v>47.0751930856571</v>
      </c>
      <c r="U1907" s="0" t="n">
        <f aca="false">Q1907+S1907</f>
        <v>49.2209148688884</v>
      </c>
      <c r="V1907" s="54" t="b">
        <f aca="false">AND(D1907&gt;=01_因子設定!$L$5-0.000000001,D1907&lt;=01_因子設定!$M$5+0.000000001,E1907&gt;=01_因子設定!$L$6-0.000000001,E1907&lt;=01_因子設定!$M$6+0.000000001,F1907&gt;=01_因子設定!$L$7-0.000000001,F1907&lt;=01_因子設定!$M$7+0.000000001,IF(01_因子設定!$B$20="Box-Behnken",D1907^2+E1907^2+F1907^2&lt;=2+0.000000001,TRUE()))</f>
        <v>1</v>
      </c>
      <c r="W1907" s="55" t="n">
        <f aca="false">IF(V1907,IF(01_因子設定!$B$13="最大化",T1907-01_因子設定!$B$14,IF(01_因子設定!$B$13="最小化",01_因子設定!$B$15-U1907,MIN(T1907-01_因子設定!$B$14,01_因子設定!$B$15-U1907))),-1E+030)</f>
        <v>-1.4248069143429</v>
      </c>
      <c r="X1907" s="55" t="n">
        <f aca="false">IF(V1907,IF(01_因子設定!$B$13="最大化",Q1907,IF(01_因子設定!$B$13="最小化",-Q1907,-ABS(Q1907-01_因子設定!$B$16))),-1E+030)</f>
        <v>48.1480539772728</v>
      </c>
      <c r="Y1907" s="55" t="n">
        <f aca="false">W1907+ROW()*0.000000001</f>
        <v>-1.4248050073429</v>
      </c>
      <c r="Z1907" s="55" t="n">
        <f aca="false">X1907+ROW()*0.000000001</f>
        <v>48.1480558842728</v>
      </c>
    </row>
    <row r="1908" customFormat="false" ht="15" hidden="false" customHeight="false" outlineLevel="0" collapsed="false">
      <c r="A1908" s="0" t="n">
        <v>6</v>
      </c>
      <c r="B1908" s="0" t="n">
        <v>9</v>
      </c>
      <c r="C1908" s="0" t="n">
        <v>16</v>
      </c>
      <c r="D1908" s="0" t="n">
        <f aca="false">-1+A1908*0.125</f>
        <v>-0.25</v>
      </c>
      <c r="E1908" s="0" t="n">
        <f aca="false">-1+B1908*0.125</f>
        <v>0.125</v>
      </c>
      <c r="F1908" s="0" t="n">
        <f aca="false">-1+C1908*0.125</f>
        <v>1</v>
      </c>
      <c r="G1908" s="0" t="n">
        <f aca="false">1</f>
        <v>1</v>
      </c>
      <c r="H1908" s="0" t="n">
        <f aca="false">D1908</f>
        <v>-0.25</v>
      </c>
      <c r="I1908" s="0" t="n">
        <f aca="false">E1908</f>
        <v>0.125</v>
      </c>
      <c r="J1908" s="0" t="n">
        <f aca="false">F1908</f>
        <v>1</v>
      </c>
      <c r="K1908" s="0" t="n">
        <f aca="false">D1908*E1908</f>
        <v>-0.03125</v>
      </c>
      <c r="L1908" s="0" t="n">
        <f aca="false">D1908*F1908</f>
        <v>-0.25</v>
      </c>
      <c r="M1908" s="0" t="n">
        <f aca="false">E1908*F1908</f>
        <v>0.125</v>
      </c>
      <c r="N1908" s="0" t="n">
        <f aca="false">D1908*D1908</f>
        <v>0.0625</v>
      </c>
      <c r="O1908" s="0" t="n">
        <f aca="false">E1908*E1908</f>
        <v>0.015625</v>
      </c>
      <c r="P1908" s="0" t="n">
        <f aca="false">F1908*F1908</f>
        <v>1</v>
      </c>
      <c r="Q1908" s="0" t="n">
        <f aca="false">SUMPRODUCT(G1908:P1908,_XtX!$B$71:$K$71)</f>
        <v>48.0563494318182</v>
      </c>
      <c r="R1908" s="0" t="n">
        <f aca="false">SUMPRODUCT(MMULT(G1908:P1908,_XtX!$B$58:$K$67),G1908:P1908)</f>
        <v>0.481443093039773</v>
      </c>
      <c r="S1908" s="0" t="n">
        <f aca="false">04_回帰ANOVA!$K$19*04_回帰ANOVA!$K$14*SQRT(1+R1908)</f>
        <v>1.13164216995877</v>
      </c>
      <c r="T1908" s="0" t="n">
        <f aca="false">Q1908-S1908</f>
        <v>46.9247072618594</v>
      </c>
      <c r="U1908" s="0" t="n">
        <f aca="false">Q1908+S1908</f>
        <v>49.187991601777</v>
      </c>
      <c r="V1908" s="54" t="b">
        <f aca="false">AND(D1908&gt;=01_因子設定!$L$5-0.000000001,D1908&lt;=01_因子設定!$M$5+0.000000001,E1908&gt;=01_因子設定!$L$6-0.000000001,E1908&lt;=01_因子設定!$M$6+0.000000001,F1908&gt;=01_因子設定!$L$7-0.000000001,F1908&lt;=01_因子設定!$M$7+0.000000001,IF(01_因子設定!$B$20="Box-Behnken",D1908^2+E1908^2+F1908^2&lt;=2+0.000000001,TRUE()))</f>
        <v>1</v>
      </c>
      <c r="W1908" s="55" t="n">
        <f aca="false">IF(V1908,IF(01_因子設定!$B$13="最大化",T1908-01_因子設定!$B$14,IF(01_因子設定!$B$13="最小化",01_因子設定!$B$15-U1908,MIN(T1908-01_因子設定!$B$14,01_因子設定!$B$15-U1908))),-1E+030)</f>
        <v>-1.57529273814056</v>
      </c>
      <c r="X1908" s="55" t="n">
        <f aca="false">IF(V1908,IF(01_因子設定!$B$13="最大化",Q1908,IF(01_因子設定!$B$13="最小化",-Q1908,-ABS(Q1908-01_因子設定!$B$16))),-1E+030)</f>
        <v>48.0563494318182</v>
      </c>
      <c r="Y1908" s="55" t="n">
        <f aca="false">W1908+ROW()*0.000000001</f>
        <v>-1.57529083014056</v>
      </c>
      <c r="Z1908" s="55" t="n">
        <f aca="false">X1908+ROW()*0.000000001</f>
        <v>48.0563513398182</v>
      </c>
    </row>
    <row r="1909" customFormat="false" ht="15" hidden="false" customHeight="false" outlineLevel="0" collapsed="false">
      <c r="A1909" s="0" t="n">
        <v>6</v>
      </c>
      <c r="B1909" s="0" t="n">
        <v>10</v>
      </c>
      <c r="C1909" s="0" t="n">
        <v>0</v>
      </c>
      <c r="D1909" s="0" t="n">
        <f aca="false">-1+A1909*0.125</f>
        <v>-0.25</v>
      </c>
      <c r="E1909" s="0" t="n">
        <f aca="false">-1+B1909*0.125</f>
        <v>0.25</v>
      </c>
      <c r="F1909" s="0" t="n">
        <f aca="false">-1+C1909*0.125</f>
        <v>-1</v>
      </c>
      <c r="G1909" s="0" t="n">
        <f aca="false">1</f>
        <v>1</v>
      </c>
      <c r="H1909" s="0" t="n">
        <f aca="false">D1909</f>
        <v>-0.25</v>
      </c>
      <c r="I1909" s="0" t="n">
        <f aca="false">E1909</f>
        <v>0.25</v>
      </c>
      <c r="J1909" s="0" t="n">
        <f aca="false">F1909</f>
        <v>-1</v>
      </c>
      <c r="K1909" s="0" t="n">
        <f aca="false">D1909*E1909</f>
        <v>-0.0625</v>
      </c>
      <c r="L1909" s="0" t="n">
        <f aca="false">D1909*F1909</f>
        <v>0.25</v>
      </c>
      <c r="M1909" s="0" t="n">
        <f aca="false">E1909*F1909</f>
        <v>-0.25</v>
      </c>
      <c r="N1909" s="0" t="n">
        <f aca="false">D1909*D1909</f>
        <v>0.0625</v>
      </c>
      <c r="O1909" s="0" t="n">
        <f aca="false">E1909*E1909</f>
        <v>0.0625</v>
      </c>
      <c r="P1909" s="0" t="n">
        <f aca="false">F1909*F1909</f>
        <v>1</v>
      </c>
      <c r="Q1909" s="0" t="n">
        <f aca="false">SUMPRODUCT(G1909:P1909,_XtX!$B$71:$K$71)</f>
        <v>45.1780397727273</v>
      </c>
      <c r="R1909" s="0" t="n">
        <f aca="false">SUMPRODUCT(MMULT(G1909:P1909,_XtX!$B$58:$K$67),G1909:P1909)</f>
        <v>0.475843394886364</v>
      </c>
      <c r="S1909" s="0" t="n">
        <f aca="false">04_回帰ANOVA!$K$19*04_回帰ANOVA!$K$14*SQRT(1+R1909)</f>
        <v>1.12950140123694</v>
      </c>
      <c r="T1909" s="0" t="n">
        <f aca="false">Q1909-S1909</f>
        <v>44.0485383714904</v>
      </c>
      <c r="U1909" s="0" t="n">
        <f aca="false">Q1909+S1909</f>
        <v>46.3075411739642</v>
      </c>
      <c r="V1909" s="54" t="b">
        <f aca="false">AND(D1909&gt;=01_因子設定!$L$5-0.000000001,D1909&lt;=01_因子設定!$M$5+0.000000001,E1909&gt;=01_因子設定!$L$6-0.000000001,E1909&lt;=01_因子設定!$M$6+0.000000001,F1909&gt;=01_因子設定!$L$7-0.000000001,F1909&lt;=01_因子設定!$M$7+0.000000001,IF(01_因子設定!$B$20="Box-Behnken",D1909^2+E1909^2+F1909^2&lt;=2+0.000000001,TRUE()))</f>
        <v>1</v>
      </c>
      <c r="W1909" s="55" t="n">
        <f aca="false">IF(V1909,IF(01_因子設定!$B$13="最大化",T1909-01_因子設定!$B$14,IF(01_因子設定!$B$13="最小化",01_因子設定!$B$15-U1909,MIN(T1909-01_因子設定!$B$14,01_因子設定!$B$15-U1909))),-1E+030)</f>
        <v>-4.45146162850963</v>
      </c>
      <c r="X1909" s="55" t="n">
        <f aca="false">IF(V1909,IF(01_因子設定!$B$13="最大化",Q1909,IF(01_因子設定!$B$13="最小化",-Q1909,-ABS(Q1909-01_因子設定!$B$16))),-1E+030)</f>
        <v>45.1780397727273</v>
      </c>
      <c r="Y1909" s="55" t="n">
        <f aca="false">W1909+ROW()*0.000000001</f>
        <v>-4.45145971950963</v>
      </c>
      <c r="Z1909" s="55" t="n">
        <f aca="false">X1909+ROW()*0.000000001</f>
        <v>45.1780416817273</v>
      </c>
    </row>
    <row r="1910" customFormat="false" ht="15" hidden="false" customHeight="false" outlineLevel="0" collapsed="false">
      <c r="A1910" s="0" t="n">
        <v>6</v>
      </c>
      <c r="B1910" s="0" t="n">
        <v>10</v>
      </c>
      <c r="C1910" s="0" t="n">
        <v>1</v>
      </c>
      <c r="D1910" s="0" t="n">
        <f aca="false">-1+A1910*0.125</f>
        <v>-0.25</v>
      </c>
      <c r="E1910" s="0" t="n">
        <f aca="false">-1+B1910*0.125</f>
        <v>0.25</v>
      </c>
      <c r="F1910" s="0" t="n">
        <f aca="false">-1+C1910*0.125</f>
        <v>-0.875</v>
      </c>
      <c r="G1910" s="0" t="n">
        <f aca="false">1</f>
        <v>1</v>
      </c>
      <c r="H1910" s="0" t="n">
        <f aca="false">D1910</f>
        <v>-0.25</v>
      </c>
      <c r="I1910" s="0" t="n">
        <f aca="false">E1910</f>
        <v>0.25</v>
      </c>
      <c r="J1910" s="0" t="n">
        <f aca="false">F1910</f>
        <v>-0.875</v>
      </c>
      <c r="K1910" s="0" t="n">
        <f aca="false">D1910*E1910</f>
        <v>-0.0625</v>
      </c>
      <c r="L1910" s="0" t="n">
        <f aca="false">D1910*F1910</f>
        <v>0.21875</v>
      </c>
      <c r="M1910" s="0" t="n">
        <f aca="false">E1910*F1910</f>
        <v>-0.21875</v>
      </c>
      <c r="N1910" s="0" t="n">
        <f aca="false">D1910*D1910</f>
        <v>0.0625</v>
      </c>
      <c r="O1910" s="0" t="n">
        <f aca="false">E1910*E1910</f>
        <v>0.0625</v>
      </c>
      <c r="P1910" s="0" t="n">
        <f aca="false">F1910*F1910</f>
        <v>0.765625</v>
      </c>
      <c r="Q1910" s="0" t="n">
        <f aca="false">SUMPRODUCT(G1910:P1910,_XtX!$B$71:$K$71)</f>
        <v>45.6452130681818</v>
      </c>
      <c r="R1910" s="0" t="n">
        <f aca="false">SUMPRODUCT(MMULT(G1910:P1910,_XtX!$B$58:$K$67),G1910:P1910)</f>
        <v>0.327561257102273</v>
      </c>
      <c r="S1910" s="0" t="n">
        <f aca="false">04_回帰ANOVA!$K$19*04_回帰ANOVA!$K$14*SQRT(1+R1910)</f>
        <v>1.07125761201315</v>
      </c>
      <c r="T1910" s="0" t="n">
        <f aca="false">Q1910-S1910</f>
        <v>44.5739554561687</v>
      </c>
      <c r="U1910" s="0" t="n">
        <f aca="false">Q1910+S1910</f>
        <v>46.716470680195</v>
      </c>
      <c r="V1910" s="54" t="b">
        <f aca="false">AND(D1910&gt;=01_因子設定!$L$5-0.000000001,D1910&lt;=01_因子設定!$M$5+0.000000001,E1910&gt;=01_因子設定!$L$6-0.000000001,E1910&lt;=01_因子設定!$M$6+0.000000001,F1910&gt;=01_因子設定!$L$7-0.000000001,F1910&lt;=01_因子設定!$M$7+0.000000001,IF(01_因子設定!$B$20="Box-Behnken",D1910^2+E1910^2+F1910^2&lt;=2+0.000000001,TRUE()))</f>
        <v>1</v>
      </c>
      <c r="W1910" s="55" t="n">
        <f aca="false">IF(V1910,IF(01_因子設定!$B$13="最大化",T1910-01_因子設定!$B$14,IF(01_因子設定!$B$13="最小化",01_因子設定!$B$15-U1910,MIN(T1910-01_因子設定!$B$14,01_因子設定!$B$15-U1910))),-1E+030)</f>
        <v>-3.92604454383131</v>
      </c>
      <c r="X1910" s="55" t="n">
        <f aca="false">IF(V1910,IF(01_因子設定!$B$13="最大化",Q1910,IF(01_因子設定!$B$13="最小化",-Q1910,-ABS(Q1910-01_因子設定!$B$16))),-1E+030)</f>
        <v>45.6452130681818</v>
      </c>
      <c r="Y1910" s="55" t="n">
        <f aca="false">W1910+ROW()*0.000000001</f>
        <v>-3.92604263383131</v>
      </c>
      <c r="Z1910" s="55" t="n">
        <f aca="false">X1910+ROW()*0.000000001</f>
        <v>45.6452149781818</v>
      </c>
    </row>
    <row r="1911" customFormat="false" ht="15" hidden="false" customHeight="false" outlineLevel="0" collapsed="false">
      <c r="A1911" s="0" t="n">
        <v>6</v>
      </c>
      <c r="B1911" s="0" t="n">
        <v>10</v>
      </c>
      <c r="C1911" s="0" t="n">
        <v>2</v>
      </c>
      <c r="D1911" s="0" t="n">
        <f aca="false">-1+A1911*0.125</f>
        <v>-0.25</v>
      </c>
      <c r="E1911" s="0" t="n">
        <f aca="false">-1+B1911*0.125</f>
        <v>0.25</v>
      </c>
      <c r="F1911" s="0" t="n">
        <f aca="false">-1+C1911*0.125</f>
        <v>-0.75</v>
      </c>
      <c r="G1911" s="0" t="n">
        <f aca="false">1</f>
        <v>1</v>
      </c>
      <c r="H1911" s="0" t="n">
        <f aca="false">D1911</f>
        <v>-0.25</v>
      </c>
      <c r="I1911" s="0" t="n">
        <f aca="false">E1911</f>
        <v>0.25</v>
      </c>
      <c r="J1911" s="0" t="n">
        <f aca="false">F1911</f>
        <v>-0.75</v>
      </c>
      <c r="K1911" s="0" t="n">
        <f aca="false">D1911*E1911</f>
        <v>-0.0625</v>
      </c>
      <c r="L1911" s="0" t="n">
        <f aca="false">D1911*F1911</f>
        <v>0.1875</v>
      </c>
      <c r="M1911" s="0" t="n">
        <f aca="false">E1911*F1911</f>
        <v>-0.1875</v>
      </c>
      <c r="N1911" s="0" t="n">
        <f aca="false">D1911*D1911</f>
        <v>0.0625</v>
      </c>
      <c r="O1911" s="0" t="n">
        <f aca="false">E1911*E1911</f>
        <v>0.0625</v>
      </c>
      <c r="P1911" s="0" t="n">
        <f aca="false">F1911*F1911</f>
        <v>0.5625</v>
      </c>
      <c r="Q1911" s="0" t="n">
        <f aca="false">SUMPRODUCT(G1911:P1911,_XtX!$B$71:$K$71)</f>
        <v>46.0755965909091</v>
      </c>
      <c r="R1911" s="0" t="n">
        <f aca="false">SUMPRODUCT(MMULT(G1911:P1911,_XtX!$B$58:$K$67),G1911:P1911)</f>
        <v>0.231365411931818</v>
      </c>
      <c r="S1911" s="0" t="n">
        <f aca="false">04_回帰ANOVA!$K$19*04_回帰ANOVA!$K$14*SQRT(1+R1911)</f>
        <v>1.03171587072803</v>
      </c>
      <c r="T1911" s="0" t="n">
        <f aca="false">Q1911-S1911</f>
        <v>45.0438807201811</v>
      </c>
      <c r="U1911" s="0" t="n">
        <f aca="false">Q1911+S1911</f>
        <v>47.1073124616371</v>
      </c>
      <c r="V1911" s="54" t="b">
        <f aca="false">AND(D1911&gt;=01_因子設定!$L$5-0.000000001,D1911&lt;=01_因子設定!$M$5+0.000000001,E1911&gt;=01_因子設定!$L$6-0.000000001,E1911&lt;=01_因子設定!$M$6+0.000000001,F1911&gt;=01_因子設定!$L$7-0.000000001,F1911&lt;=01_因子設定!$M$7+0.000000001,IF(01_因子設定!$B$20="Box-Behnken",D1911^2+E1911^2+F1911^2&lt;=2+0.000000001,TRUE()))</f>
        <v>1</v>
      </c>
      <c r="W1911" s="55" t="n">
        <f aca="false">IF(V1911,IF(01_因子設定!$B$13="最大化",T1911-01_因子設定!$B$14,IF(01_因子設定!$B$13="最小化",01_因子設定!$B$15-U1911,MIN(T1911-01_因子設定!$B$14,01_因子設定!$B$15-U1911))),-1E+030)</f>
        <v>-3.45611927981892</v>
      </c>
      <c r="X1911" s="55" t="n">
        <f aca="false">IF(V1911,IF(01_因子設定!$B$13="最大化",Q1911,IF(01_因子設定!$B$13="最小化",-Q1911,-ABS(Q1911-01_因子設定!$B$16))),-1E+030)</f>
        <v>46.0755965909091</v>
      </c>
      <c r="Y1911" s="55" t="n">
        <f aca="false">W1911+ROW()*0.000000001</f>
        <v>-3.45611736881892</v>
      </c>
      <c r="Z1911" s="55" t="n">
        <f aca="false">X1911+ROW()*0.000000001</f>
        <v>46.0755985019091</v>
      </c>
    </row>
    <row r="1912" customFormat="false" ht="15" hidden="false" customHeight="false" outlineLevel="0" collapsed="false">
      <c r="A1912" s="0" t="n">
        <v>6</v>
      </c>
      <c r="B1912" s="0" t="n">
        <v>10</v>
      </c>
      <c r="C1912" s="0" t="n">
        <v>3</v>
      </c>
      <c r="D1912" s="0" t="n">
        <f aca="false">-1+A1912*0.125</f>
        <v>-0.25</v>
      </c>
      <c r="E1912" s="0" t="n">
        <f aca="false">-1+B1912*0.125</f>
        <v>0.25</v>
      </c>
      <c r="F1912" s="0" t="n">
        <f aca="false">-1+C1912*0.125</f>
        <v>-0.625</v>
      </c>
      <c r="G1912" s="0" t="n">
        <f aca="false">1</f>
        <v>1</v>
      </c>
      <c r="H1912" s="0" t="n">
        <f aca="false">D1912</f>
        <v>-0.25</v>
      </c>
      <c r="I1912" s="0" t="n">
        <f aca="false">E1912</f>
        <v>0.25</v>
      </c>
      <c r="J1912" s="0" t="n">
        <f aca="false">F1912</f>
        <v>-0.625</v>
      </c>
      <c r="K1912" s="0" t="n">
        <f aca="false">D1912*E1912</f>
        <v>-0.0625</v>
      </c>
      <c r="L1912" s="0" t="n">
        <f aca="false">D1912*F1912</f>
        <v>0.15625</v>
      </c>
      <c r="M1912" s="0" t="n">
        <f aca="false">E1912*F1912</f>
        <v>-0.15625</v>
      </c>
      <c r="N1912" s="0" t="n">
        <f aca="false">D1912*D1912</f>
        <v>0.0625</v>
      </c>
      <c r="O1912" s="0" t="n">
        <f aca="false">E1912*E1912</f>
        <v>0.0625</v>
      </c>
      <c r="P1912" s="0" t="n">
        <f aca="false">F1912*F1912</f>
        <v>0.390625</v>
      </c>
      <c r="Q1912" s="0" t="n">
        <f aca="false">SUMPRODUCT(G1912:P1912,_XtX!$B$71:$K$71)</f>
        <v>46.4691903409091</v>
      </c>
      <c r="R1912" s="0" t="n">
        <f aca="false">SUMPRODUCT(MMULT(G1912:P1912,_XtX!$B$58:$K$67),G1912:P1912)</f>
        <v>0.173406427556818</v>
      </c>
      <c r="S1912" s="0" t="n">
        <f aca="false">04_回帰ANOVA!$K$19*04_回帰ANOVA!$K$14*SQRT(1+R1912)</f>
        <v>1.00714237128059</v>
      </c>
      <c r="T1912" s="0" t="n">
        <f aca="false">Q1912-S1912</f>
        <v>45.4620479696285</v>
      </c>
      <c r="U1912" s="0" t="n">
        <f aca="false">Q1912+S1912</f>
        <v>47.4763327121897</v>
      </c>
      <c r="V1912" s="54" t="b">
        <f aca="false">AND(D1912&gt;=01_因子設定!$L$5-0.000000001,D1912&lt;=01_因子設定!$M$5+0.000000001,E1912&gt;=01_因子設定!$L$6-0.000000001,E1912&lt;=01_因子設定!$M$6+0.000000001,F1912&gt;=01_因子設定!$L$7-0.000000001,F1912&lt;=01_因子設定!$M$7+0.000000001,IF(01_因子設定!$B$20="Box-Behnken",D1912^2+E1912^2+F1912^2&lt;=2+0.000000001,TRUE()))</f>
        <v>1</v>
      </c>
      <c r="W1912" s="55" t="n">
        <f aca="false">IF(V1912,IF(01_因子設定!$B$13="最大化",T1912-01_因子設定!$B$14,IF(01_因子設定!$B$13="最小化",01_因子設定!$B$15-U1912,MIN(T1912-01_因子設定!$B$14,01_因子設定!$B$15-U1912))),-1E+030)</f>
        <v>-3.03795203037149</v>
      </c>
      <c r="X1912" s="55" t="n">
        <f aca="false">IF(V1912,IF(01_因子設定!$B$13="最大化",Q1912,IF(01_因子設定!$B$13="最小化",-Q1912,-ABS(Q1912-01_因子設定!$B$16))),-1E+030)</f>
        <v>46.4691903409091</v>
      </c>
      <c r="Y1912" s="55" t="n">
        <f aca="false">W1912+ROW()*0.000000001</f>
        <v>-3.03795011837149</v>
      </c>
      <c r="Z1912" s="55" t="n">
        <f aca="false">X1912+ROW()*0.000000001</f>
        <v>46.4691922529091</v>
      </c>
    </row>
    <row r="1913" customFormat="false" ht="15" hidden="false" customHeight="false" outlineLevel="0" collapsed="false">
      <c r="A1913" s="0" t="n">
        <v>6</v>
      </c>
      <c r="B1913" s="0" t="n">
        <v>10</v>
      </c>
      <c r="C1913" s="0" t="n">
        <v>4</v>
      </c>
      <c r="D1913" s="0" t="n">
        <f aca="false">-1+A1913*0.125</f>
        <v>-0.25</v>
      </c>
      <c r="E1913" s="0" t="n">
        <f aca="false">-1+B1913*0.125</f>
        <v>0.25</v>
      </c>
      <c r="F1913" s="0" t="n">
        <f aca="false">-1+C1913*0.125</f>
        <v>-0.5</v>
      </c>
      <c r="G1913" s="0" t="n">
        <f aca="false">1</f>
        <v>1</v>
      </c>
      <c r="H1913" s="0" t="n">
        <f aca="false">D1913</f>
        <v>-0.25</v>
      </c>
      <c r="I1913" s="0" t="n">
        <f aca="false">E1913</f>
        <v>0.25</v>
      </c>
      <c r="J1913" s="0" t="n">
        <f aca="false">F1913</f>
        <v>-0.5</v>
      </c>
      <c r="K1913" s="0" t="n">
        <f aca="false">D1913*E1913</f>
        <v>-0.0625</v>
      </c>
      <c r="L1913" s="0" t="n">
        <f aca="false">D1913*F1913</f>
        <v>0.125</v>
      </c>
      <c r="M1913" s="0" t="n">
        <f aca="false">E1913*F1913</f>
        <v>-0.125</v>
      </c>
      <c r="N1913" s="0" t="n">
        <f aca="false">D1913*D1913</f>
        <v>0.0625</v>
      </c>
      <c r="O1913" s="0" t="n">
        <f aca="false">E1913*E1913</f>
        <v>0.0625</v>
      </c>
      <c r="P1913" s="0" t="n">
        <f aca="false">F1913*F1913</f>
        <v>0.25</v>
      </c>
      <c r="Q1913" s="0" t="n">
        <f aca="false">SUMPRODUCT(G1913:P1913,_XtX!$B$71:$K$71)</f>
        <v>46.8259943181818</v>
      </c>
      <c r="R1913" s="0" t="n">
        <f aca="false">SUMPRODUCT(MMULT(G1913:P1913,_XtX!$B$58:$K$67),G1913:P1913)</f>
        <v>0.141965553977273</v>
      </c>
      <c r="S1913" s="0" t="n">
        <f aca="false">04_回帰ANOVA!$K$19*04_回帰ANOVA!$K$14*SQRT(1+R1913)</f>
        <v>0.993557802198625</v>
      </c>
      <c r="T1913" s="0" t="n">
        <f aca="false">Q1913-S1913</f>
        <v>45.8324365159832</v>
      </c>
      <c r="U1913" s="0" t="n">
        <f aca="false">Q1913+S1913</f>
        <v>47.8195521203805</v>
      </c>
      <c r="V1913" s="54" t="b">
        <f aca="false">AND(D1913&gt;=01_因子設定!$L$5-0.000000001,D1913&lt;=01_因子設定!$M$5+0.000000001,E1913&gt;=01_因子設定!$L$6-0.000000001,E1913&lt;=01_因子設定!$M$6+0.000000001,F1913&gt;=01_因子設定!$L$7-0.000000001,F1913&lt;=01_因子設定!$M$7+0.000000001,IF(01_因子設定!$B$20="Box-Behnken",D1913^2+E1913^2+F1913^2&lt;=2+0.000000001,TRUE()))</f>
        <v>1</v>
      </c>
      <c r="W1913" s="55" t="n">
        <f aca="false">IF(V1913,IF(01_因子設定!$B$13="最大化",T1913-01_因子設定!$B$14,IF(01_因子設定!$B$13="最小化",01_因子設定!$B$15-U1913,MIN(T1913-01_因子設定!$B$14,01_因子設定!$B$15-U1913))),-1E+030)</f>
        <v>-2.6675634840168</v>
      </c>
      <c r="X1913" s="55" t="n">
        <f aca="false">IF(V1913,IF(01_因子設定!$B$13="最大化",Q1913,IF(01_因子設定!$B$13="最小化",-Q1913,-ABS(Q1913-01_因子設定!$B$16))),-1E+030)</f>
        <v>46.8259943181818</v>
      </c>
      <c r="Y1913" s="55" t="n">
        <f aca="false">W1913+ROW()*0.000000001</f>
        <v>-2.6675615710168</v>
      </c>
      <c r="Z1913" s="55" t="n">
        <f aca="false">X1913+ROW()*0.000000001</f>
        <v>46.8259962311818</v>
      </c>
    </row>
    <row r="1914" customFormat="false" ht="15" hidden="false" customHeight="false" outlineLevel="0" collapsed="false">
      <c r="A1914" s="0" t="n">
        <v>6</v>
      </c>
      <c r="B1914" s="0" t="n">
        <v>10</v>
      </c>
      <c r="C1914" s="0" t="n">
        <v>5</v>
      </c>
      <c r="D1914" s="0" t="n">
        <f aca="false">-1+A1914*0.125</f>
        <v>-0.25</v>
      </c>
      <c r="E1914" s="0" t="n">
        <f aca="false">-1+B1914*0.125</f>
        <v>0.25</v>
      </c>
      <c r="F1914" s="0" t="n">
        <f aca="false">-1+C1914*0.125</f>
        <v>-0.375</v>
      </c>
      <c r="G1914" s="0" t="n">
        <f aca="false">1</f>
        <v>1</v>
      </c>
      <c r="H1914" s="0" t="n">
        <f aca="false">D1914</f>
        <v>-0.25</v>
      </c>
      <c r="I1914" s="0" t="n">
        <f aca="false">E1914</f>
        <v>0.25</v>
      </c>
      <c r="J1914" s="0" t="n">
        <f aca="false">F1914</f>
        <v>-0.375</v>
      </c>
      <c r="K1914" s="0" t="n">
        <f aca="false">D1914*E1914</f>
        <v>-0.0625</v>
      </c>
      <c r="L1914" s="0" t="n">
        <f aca="false">D1914*F1914</f>
        <v>0.09375</v>
      </c>
      <c r="M1914" s="0" t="n">
        <f aca="false">E1914*F1914</f>
        <v>-0.09375</v>
      </c>
      <c r="N1914" s="0" t="n">
        <f aca="false">D1914*D1914</f>
        <v>0.0625</v>
      </c>
      <c r="O1914" s="0" t="n">
        <f aca="false">E1914*E1914</f>
        <v>0.0625</v>
      </c>
      <c r="P1914" s="0" t="n">
        <f aca="false">F1914*F1914</f>
        <v>0.140625</v>
      </c>
      <c r="Q1914" s="0" t="n">
        <f aca="false">SUMPRODUCT(G1914:P1914,_XtX!$B$71:$K$71)</f>
        <v>47.1460085227273</v>
      </c>
      <c r="R1914" s="0" t="n">
        <f aca="false">SUMPRODUCT(MMULT(G1914:P1914,_XtX!$B$58:$K$67),G1914:P1914)</f>
        <v>0.127454723011364</v>
      </c>
      <c r="S1914" s="0" t="n">
        <f aca="false">04_回帰ANOVA!$K$19*04_回帰ANOVA!$K$14*SQRT(1+R1914)</f>
        <v>0.987225105686864</v>
      </c>
      <c r="T1914" s="0" t="n">
        <f aca="false">Q1914-S1914</f>
        <v>46.1587834170404</v>
      </c>
      <c r="U1914" s="0" t="n">
        <f aca="false">Q1914+S1914</f>
        <v>48.1332336284142</v>
      </c>
      <c r="V1914" s="54" t="b">
        <f aca="false">AND(D1914&gt;=01_因子設定!$L$5-0.000000001,D1914&lt;=01_因子設定!$M$5+0.000000001,E1914&gt;=01_因子設定!$L$6-0.000000001,E1914&lt;=01_因子設定!$M$6+0.000000001,F1914&gt;=01_因子設定!$L$7-0.000000001,F1914&lt;=01_因子設定!$M$7+0.000000001,IF(01_因子設定!$B$20="Box-Behnken",D1914^2+E1914^2+F1914^2&lt;=2+0.000000001,TRUE()))</f>
        <v>1</v>
      </c>
      <c r="W1914" s="55" t="n">
        <f aca="false">IF(V1914,IF(01_因子設定!$B$13="最大化",T1914-01_因子設定!$B$14,IF(01_因子設定!$B$13="最小化",01_因子設定!$B$15-U1914,MIN(T1914-01_因子設定!$B$14,01_因子設定!$B$15-U1914))),-1E+030)</f>
        <v>-2.34121658295958</v>
      </c>
      <c r="X1914" s="55" t="n">
        <f aca="false">IF(V1914,IF(01_因子設定!$B$13="最大化",Q1914,IF(01_因子設定!$B$13="最小化",-Q1914,-ABS(Q1914-01_因子設定!$B$16))),-1E+030)</f>
        <v>47.1460085227273</v>
      </c>
      <c r="Y1914" s="55" t="n">
        <f aca="false">W1914+ROW()*0.000000001</f>
        <v>-2.34121466895958</v>
      </c>
      <c r="Z1914" s="55" t="n">
        <f aca="false">X1914+ROW()*0.000000001</f>
        <v>47.1460104367273</v>
      </c>
    </row>
    <row r="1915" customFormat="false" ht="15" hidden="false" customHeight="false" outlineLevel="0" collapsed="false">
      <c r="A1915" s="0" t="n">
        <v>6</v>
      </c>
      <c r="B1915" s="0" t="n">
        <v>10</v>
      </c>
      <c r="C1915" s="0" t="n">
        <v>6</v>
      </c>
      <c r="D1915" s="0" t="n">
        <f aca="false">-1+A1915*0.125</f>
        <v>-0.25</v>
      </c>
      <c r="E1915" s="0" t="n">
        <f aca="false">-1+B1915*0.125</f>
        <v>0.25</v>
      </c>
      <c r="F1915" s="0" t="n">
        <f aca="false">-1+C1915*0.125</f>
        <v>-0.25</v>
      </c>
      <c r="G1915" s="0" t="n">
        <f aca="false">1</f>
        <v>1</v>
      </c>
      <c r="H1915" s="0" t="n">
        <f aca="false">D1915</f>
        <v>-0.25</v>
      </c>
      <c r="I1915" s="0" t="n">
        <f aca="false">E1915</f>
        <v>0.25</v>
      </c>
      <c r="J1915" s="0" t="n">
        <f aca="false">F1915</f>
        <v>-0.25</v>
      </c>
      <c r="K1915" s="0" t="n">
        <f aca="false">D1915*E1915</f>
        <v>-0.0625</v>
      </c>
      <c r="L1915" s="0" t="n">
        <f aca="false">D1915*F1915</f>
        <v>0.0625</v>
      </c>
      <c r="M1915" s="0" t="n">
        <f aca="false">E1915*F1915</f>
        <v>-0.0625</v>
      </c>
      <c r="N1915" s="0" t="n">
        <f aca="false">D1915*D1915</f>
        <v>0.0625</v>
      </c>
      <c r="O1915" s="0" t="n">
        <f aca="false">E1915*E1915</f>
        <v>0.0625</v>
      </c>
      <c r="P1915" s="0" t="n">
        <f aca="false">F1915*F1915</f>
        <v>0.0625</v>
      </c>
      <c r="Q1915" s="0" t="n">
        <f aca="false">SUMPRODUCT(G1915:P1915,_XtX!$B$71:$K$71)</f>
        <v>47.4292329545455</v>
      </c>
      <c r="R1915" s="0" t="n">
        <f aca="false">SUMPRODUCT(MMULT(G1915:P1915,_XtX!$B$58:$K$67),G1915:P1915)</f>
        <v>0.122416548295455</v>
      </c>
      <c r="S1915" s="0" t="n">
        <f aca="false">04_回帰ANOVA!$K$19*04_回帰ANOVA!$K$14*SQRT(1+R1915)</f>
        <v>0.985016865549609</v>
      </c>
      <c r="T1915" s="0" t="n">
        <f aca="false">Q1915-S1915</f>
        <v>46.4442160889959</v>
      </c>
      <c r="U1915" s="0" t="n">
        <f aca="false">Q1915+S1915</f>
        <v>48.4142498200951</v>
      </c>
      <c r="V1915" s="54" t="b">
        <f aca="false">AND(D1915&gt;=01_因子設定!$L$5-0.000000001,D1915&lt;=01_因子設定!$M$5+0.000000001,E1915&gt;=01_因子設定!$L$6-0.000000001,E1915&lt;=01_因子設定!$M$6+0.000000001,F1915&gt;=01_因子設定!$L$7-0.000000001,F1915&lt;=01_因子設定!$M$7+0.000000001,IF(01_因子設定!$B$20="Box-Behnken",D1915^2+E1915^2+F1915^2&lt;=2+0.000000001,TRUE()))</f>
        <v>1</v>
      </c>
      <c r="W1915" s="55" t="n">
        <f aca="false">IF(V1915,IF(01_因子設定!$B$13="最大化",T1915-01_因子設定!$B$14,IF(01_因子設定!$B$13="最小化",01_因子設定!$B$15-U1915,MIN(T1915-01_因子設定!$B$14,01_因子設定!$B$15-U1915))),-1E+030)</f>
        <v>-2.05578391100415</v>
      </c>
      <c r="X1915" s="55" t="n">
        <f aca="false">IF(V1915,IF(01_因子設定!$B$13="最大化",Q1915,IF(01_因子設定!$B$13="最小化",-Q1915,-ABS(Q1915-01_因子設定!$B$16))),-1E+030)</f>
        <v>47.4292329545455</v>
      </c>
      <c r="Y1915" s="55" t="n">
        <f aca="false">W1915+ROW()*0.000000001</f>
        <v>-2.05578199600415</v>
      </c>
      <c r="Z1915" s="55" t="n">
        <f aca="false">X1915+ROW()*0.000000001</f>
        <v>47.4292348695455</v>
      </c>
    </row>
    <row r="1916" customFormat="false" ht="15" hidden="false" customHeight="false" outlineLevel="0" collapsed="false">
      <c r="A1916" s="0" t="n">
        <v>6</v>
      </c>
      <c r="B1916" s="0" t="n">
        <v>10</v>
      </c>
      <c r="C1916" s="0" t="n">
        <v>7</v>
      </c>
      <c r="D1916" s="0" t="n">
        <f aca="false">-1+A1916*0.125</f>
        <v>-0.25</v>
      </c>
      <c r="E1916" s="0" t="n">
        <f aca="false">-1+B1916*0.125</f>
        <v>0.25</v>
      </c>
      <c r="F1916" s="0" t="n">
        <f aca="false">-1+C1916*0.125</f>
        <v>-0.125</v>
      </c>
      <c r="G1916" s="0" t="n">
        <f aca="false">1</f>
        <v>1</v>
      </c>
      <c r="H1916" s="0" t="n">
        <f aca="false">D1916</f>
        <v>-0.25</v>
      </c>
      <c r="I1916" s="0" t="n">
        <f aca="false">E1916</f>
        <v>0.25</v>
      </c>
      <c r="J1916" s="0" t="n">
        <f aca="false">F1916</f>
        <v>-0.125</v>
      </c>
      <c r="K1916" s="0" t="n">
        <f aca="false">D1916*E1916</f>
        <v>-0.0625</v>
      </c>
      <c r="L1916" s="0" t="n">
        <f aca="false">D1916*F1916</f>
        <v>0.03125</v>
      </c>
      <c r="M1916" s="0" t="n">
        <f aca="false">E1916*F1916</f>
        <v>-0.03125</v>
      </c>
      <c r="N1916" s="0" t="n">
        <f aca="false">D1916*D1916</f>
        <v>0.0625</v>
      </c>
      <c r="O1916" s="0" t="n">
        <f aca="false">E1916*E1916</f>
        <v>0.0625</v>
      </c>
      <c r="P1916" s="0" t="n">
        <f aca="false">F1916*F1916</f>
        <v>0.015625</v>
      </c>
      <c r="Q1916" s="0" t="n">
        <f aca="false">SUMPRODUCT(G1916:P1916,_XtX!$B$71:$K$71)</f>
        <v>47.6756676136364</v>
      </c>
      <c r="R1916" s="0" t="n">
        <f aca="false">SUMPRODUCT(MMULT(G1916:P1916,_XtX!$B$58:$K$67),G1916:P1916)</f>
        <v>0.121524325284091</v>
      </c>
      <c r="S1916" s="0" t="n">
        <f aca="false">04_回帰ANOVA!$K$19*04_回帰ANOVA!$K$14*SQRT(1+R1916)</f>
        <v>0.984625286577447</v>
      </c>
      <c r="T1916" s="0" t="n">
        <f aca="false">Q1916-S1916</f>
        <v>46.6910423270589</v>
      </c>
      <c r="U1916" s="0" t="n">
        <f aca="false">Q1916+S1916</f>
        <v>48.6602929002138</v>
      </c>
      <c r="V1916" s="54" t="b">
        <f aca="false">AND(D1916&gt;=01_因子設定!$L$5-0.000000001,D1916&lt;=01_因子設定!$M$5+0.000000001,E1916&gt;=01_因子設定!$L$6-0.000000001,E1916&lt;=01_因子設定!$M$6+0.000000001,F1916&gt;=01_因子設定!$L$7-0.000000001,F1916&lt;=01_因子設定!$M$7+0.000000001,IF(01_因子設定!$B$20="Box-Behnken",D1916^2+E1916^2+F1916^2&lt;=2+0.000000001,TRUE()))</f>
        <v>1</v>
      </c>
      <c r="W1916" s="55" t="n">
        <f aca="false">IF(V1916,IF(01_因子設定!$B$13="最大化",T1916-01_因子設定!$B$14,IF(01_因子設定!$B$13="最小化",01_因子設定!$B$15-U1916,MIN(T1916-01_因子設定!$B$14,01_因子設定!$B$15-U1916))),-1E+030)</f>
        <v>-1.80895767294108</v>
      </c>
      <c r="X1916" s="55" t="n">
        <f aca="false">IF(V1916,IF(01_因子設定!$B$13="最大化",Q1916,IF(01_因子設定!$B$13="最小化",-Q1916,-ABS(Q1916-01_因子設定!$B$16))),-1E+030)</f>
        <v>47.6756676136364</v>
      </c>
      <c r="Y1916" s="55" t="n">
        <f aca="false">W1916+ROW()*0.000000001</f>
        <v>-1.80895575694108</v>
      </c>
      <c r="Z1916" s="55" t="n">
        <f aca="false">X1916+ROW()*0.000000001</f>
        <v>47.6756695296364</v>
      </c>
    </row>
    <row r="1917" customFormat="false" ht="15" hidden="false" customHeight="false" outlineLevel="0" collapsed="false">
      <c r="A1917" s="0" t="n">
        <v>6</v>
      </c>
      <c r="B1917" s="0" t="n">
        <v>10</v>
      </c>
      <c r="C1917" s="0" t="n">
        <v>8</v>
      </c>
      <c r="D1917" s="0" t="n">
        <f aca="false">-1+A1917*0.125</f>
        <v>-0.25</v>
      </c>
      <c r="E1917" s="0" t="n">
        <f aca="false">-1+B1917*0.125</f>
        <v>0.25</v>
      </c>
      <c r="F1917" s="0" t="n">
        <f aca="false">-1+C1917*0.125</f>
        <v>0</v>
      </c>
      <c r="G1917" s="0" t="n">
        <f aca="false">1</f>
        <v>1</v>
      </c>
      <c r="H1917" s="0" t="n">
        <f aca="false">D1917</f>
        <v>-0.25</v>
      </c>
      <c r="I1917" s="0" t="n">
        <f aca="false">E1917</f>
        <v>0.25</v>
      </c>
      <c r="J1917" s="0" t="n">
        <f aca="false">F1917</f>
        <v>0</v>
      </c>
      <c r="K1917" s="0" t="n">
        <f aca="false">D1917*E1917</f>
        <v>-0.0625</v>
      </c>
      <c r="L1917" s="0" t="n">
        <f aca="false">D1917*F1917</f>
        <v>-0</v>
      </c>
      <c r="M1917" s="0" t="n">
        <f aca="false">E1917*F1917</f>
        <v>0</v>
      </c>
      <c r="N1917" s="0" t="n">
        <f aca="false">D1917*D1917</f>
        <v>0.0625</v>
      </c>
      <c r="O1917" s="0" t="n">
        <f aca="false">E1917*E1917</f>
        <v>0.0625</v>
      </c>
      <c r="P1917" s="0" t="n">
        <f aca="false">F1917*F1917</f>
        <v>0</v>
      </c>
      <c r="Q1917" s="0" t="n">
        <f aca="false">SUMPRODUCT(G1917:P1917,_XtX!$B$71:$K$71)</f>
        <v>47.8853125</v>
      </c>
      <c r="R1917" s="0" t="n">
        <f aca="false">SUMPRODUCT(MMULT(G1917:P1917,_XtX!$B$58:$K$67),G1917:P1917)</f>
        <v>0.12158203125</v>
      </c>
      <c r="S1917" s="0" t="n">
        <f aca="false">04_回帰ANOVA!$K$19*04_回帰ANOVA!$K$14*SQRT(1+R1917)</f>
        <v>0.984650617290782</v>
      </c>
      <c r="T1917" s="0" t="n">
        <f aca="false">Q1917-S1917</f>
        <v>46.9006618827092</v>
      </c>
      <c r="U1917" s="0" t="n">
        <f aca="false">Q1917+S1917</f>
        <v>48.8699631172908</v>
      </c>
      <c r="V1917" s="54" t="b">
        <f aca="false">AND(D1917&gt;=01_因子設定!$L$5-0.000000001,D1917&lt;=01_因子設定!$M$5+0.000000001,E1917&gt;=01_因子設定!$L$6-0.000000001,E1917&lt;=01_因子設定!$M$6+0.000000001,F1917&gt;=01_因子設定!$L$7-0.000000001,F1917&lt;=01_因子設定!$M$7+0.000000001,IF(01_因子設定!$B$20="Box-Behnken",D1917^2+E1917^2+F1917^2&lt;=2+0.000000001,TRUE()))</f>
        <v>1</v>
      </c>
      <c r="W1917" s="55" t="n">
        <f aca="false">IF(V1917,IF(01_因子設定!$B$13="最大化",T1917-01_因子設定!$B$14,IF(01_因子設定!$B$13="最小化",01_因子設定!$B$15-U1917,MIN(T1917-01_因子設定!$B$14,01_因子設定!$B$15-U1917))),-1E+030)</f>
        <v>-1.59933811729078</v>
      </c>
      <c r="X1917" s="55" t="n">
        <f aca="false">IF(V1917,IF(01_因子設定!$B$13="最大化",Q1917,IF(01_因子設定!$B$13="最小化",-Q1917,-ABS(Q1917-01_因子設定!$B$16))),-1E+030)</f>
        <v>47.8853125</v>
      </c>
      <c r="Y1917" s="55" t="n">
        <f aca="false">W1917+ROW()*0.000000001</f>
        <v>-1.59933620029078</v>
      </c>
      <c r="Z1917" s="55" t="n">
        <f aca="false">X1917+ROW()*0.000000001</f>
        <v>47.885314417</v>
      </c>
    </row>
    <row r="1918" customFormat="false" ht="15" hidden="false" customHeight="false" outlineLevel="0" collapsed="false">
      <c r="A1918" s="0" t="n">
        <v>6</v>
      </c>
      <c r="B1918" s="0" t="n">
        <v>10</v>
      </c>
      <c r="C1918" s="0" t="n">
        <v>9</v>
      </c>
      <c r="D1918" s="0" t="n">
        <f aca="false">-1+A1918*0.125</f>
        <v>-0.25</v>
      </c>
      <c r="E1918" s="0" t="n">
        <f aca="false">-1+B1918*0.125</f>
        <v>0.25</v>
      </c>
      <c r="F1918" s="0" t="n">
        <f aca="false">-1+C1918*0.125</f>
        <v>0.125</v>
      </c>
      <c r="G1918" s="0" t="n">
        <f aca="false">1</f>
        <v>1</v>
      </c>
      <c r="H1918" s="0" t="n">
        <f aca="false">D1918</f>
        <v>-0.25</v>
      </c>
      <c r="I1918" s="0" t="n">
        <f aca="false">E1918</f>
        <v>0.25</v>
      </c>
      <c r="J1918" s="0" t="n">
        <f aca="false">F1918</f>
        <v>0.125</v>
      </c>
      <c r="K1918" s="0" t="n">
        <f aca="false">D1918*E1918</f>
        <v>-0.0625</v>
      </c>
      <c r="L1918" s="0" t="n">
        <f aca="false">D1918*F1918</f>
        <v>-0.03125</v>
      </c>
      <c r="M1918" s="0" t="n">
        <f aca="false">E1918*F1918</f>
        <v>0.03125</v>
      </c>
      <c r="N1918" s="0" t="n">
        <f aca="false">D1918*D1918</f>
        <v>0.0625</v>
      </c>
      <c r="O1918" s="0" t="n">
        <f aca="false">E1918*E1918</f>
        <v>0.0625</v>
      </c>
      <c r="P1918" s="0" t="n">
        <f aca="false">F1918*F1918</f>
        <v>0.015625</v>
      </c>
      <c r="Q1918" s="0" t="n">
        <f aca="false">SUMPRODUCT(G1918:P1918,_XtX!$B$71:$K$71)</f>
        <v>48.0581676136364</v>
      </c>
      <c r="R1918" s="0" t="n">
        <f aca="false">SUMPRODUCT(MMULT(G1918:P1918,_XtX!$B$58:$K$67),G1918:P1918)</f>
        <v>0.121524325284091</v>
      </c>
      <c r="S1918" s="0" t="n">
        <f aca="false">04_回帰ANOVA!$K$19*04_回帰ANOVA!$K$14*SQRT(1+R1918)</f>
        <v>0.984625286577447</v>
      </c>
      <c r="T1918" s="0" t="n">
        <f aca="false">Q1918-S1918</f>
        <v>47.0735423270589</v>
      </c>
      <c r="U1918" s="0" t="n">
        <f aca="false">Q1918+S1918</f>
        <v>49.0427929002138</v>
      </c>
      <c r="V1918" s="54" t="b">
        <f aca="false">AND(D1918&gt;=01_因子設定!$L$5-0.000000001,D1918&lt;=01_因子設定!$M$5+0.000000001,E1918&gt;=01_因子設定!$L$6-0.000000001,E1918&lt;=01_因子設定!$M$6+0.000000001,F1918&gt;=01_因子設定!$L$7-0.000000001,F1918&lt;=01_因子設定!$M$7+0.000000001,IF(01_因子設定!$B$20="Box-Behnken",D1918^2+E1918^2+F1918^2&lt;=2+0.000000001,TRUE()))</f>
        <v>1</v>
      </c>
      <c r="W1918" s="55" t="n">
        <f aca="false">IF(V1918,IF(01_因子設定!$B$13="最大化",T1918-01_因子設定!$B$14,IF(01_因子設定!$B$13="最小化",01_因子設定!$B$15-U1918,MIN(T1918-01_因子設定!$B$14,01_因子設定!$B$15-U1918))),-1E+030)</f>
        <v>-1.42645767294108</v>
      </c>
      <c r="X1918" s="55" t="n">
        <f aca="false">IF(V1918,IF(01_因子設定!$B$13="最大化",Q1918,IF(01_因子設定!$B$13="最小化",-Q1918,-ABS(Q1918-01_因子設定!$B$16))),-1E+030)</f>
        <v>48.0581676136364</v>
      </c>
      <c r="Y1918" s="55" t="n">
        <f aca="false">W1918+ROW()*0.000000001</f>
        <v>-1.42645575494108</v>
      </c>
      <c r="Z1918" s="55" t="n">
        <f aca="false">X1918+ROW()*0.000000001</f>
        <v>48.0581695316364</v>
      </c>
    </row>
    <row r="1919" customFormat="false" ht="15" hidden="false" customHeight="false" outlineLevel="0" collapsed="false">
      <c r="A1919" s="0" t="n">
        <v>6</v>
      </c>
      <c r="B1919" s="0" t="n">
        <v>10</v>
      </c>
      <c r="C1919" s="0" t="n">
        <v>10</v>
      </c>
      <c r="D1919" s="0" t="n">
        <f aca="false">-1+A1919*0.125</f>
        <v>-0.25</v>
      </c>
      <c r="E1919" s="0" t="n">
        <f aca="false">-1+B1919*0.125</f>
        <v>0.25</v>
      </c>
      <c r="F1919" s="0" t="n">
        <f aca="false">-1+C1919*0.125</f>
        <v>0.25</v>
      </c>
      <c r="G1919" s="0" t="n">
        <f aca="false">1</f>
        <v>1</v>
      </c>
      <c r="H1919" s="0" t="n">
        <f aca="false">D1919</f>
        <v>-0.25</v>
      </c>
      <c r="I1919" s="0" t="n">
        <f aca="false">E1919</f>
        <v>0.25</v>
      </c>
      <c r="J1919" s="0" t="n">
        <f aca="false">F1919</f>
        <v>0.25</v>
      </c>
      <c r="K1919" s="0" t="n">
        <f aca="false">D1919*E1919</f>
        <v>-0.0625</v>
      </c>
      <c r="L1919" s="0" t="n">
        <f aca="false">D1919*F1919</f>
        <v>-0.0625</v>
      </c>
      <c r="M1919" s="0" t="n">
        <f aca="false">E1919*F1919</f>
        <v>0.0625</v>
      </c>
      <c r="N1919" s="0" t="n">
        <f aca="false">D1919*D1919</f>
        <v>0.0625</v>
      </c>
      <c r="O1919" s="0" t="n">
        <f aca="false">E1919*E1919</f>
        <v>0.0625</v>
      </c>
      <c r="P1919" s="0" t="n">
        <f aca="false">F1919*F1919</f>
        <v>0.0625</v>
      </c>
      <c r="Q1919" s="0" t="n">
        <f aca="false">SUMPRODUCT(G1919:P1919,_XtX!$B$71:$K$71)</f>
        <v>48.1942329545455</v>
      </c>
      <c r="R1919" s="0" t="n">
        <f aca="false">SUMPRODUCT(MMULT(G1919:P1919,_XtX!$B$58:$K$67),G1919:P1919)</f>
        <v>0.122416548295455</v>
      </c>
      <c r="S1919" s="0" t="n">
        <f aca="false">04_回帰ANOVA!$K$19*04_回帰ANOVA!$K$14*SQRT(1+R1919)</f>
        <v>0.985016865549609</v>
      </c>
      <c r="T1919" s="0" t="n">
        <f aca="false">Q1919-S1919</f>
        <v>47.2092160889959</v>
      </c>
      <c r="U1919" s="0" t="n">
        <f aca="false">Q1919+S1919</f>
        <v>49.1792498200951</v>
      </c>
      <c r="V1919" s="54" t="b">
        <f aca="false">AND(D1919&gt;=01_因子設定!$L$5-0.000000001,D1919&lt;=01_因子設定!$M$5+0.000000001,E1919&gt;=01_因子設定!$L$6-0.000000001,E1919&lt;=01_因子設定!$M$6+0.000000001,F1919&gt;=01_因子設定!$L$7-0.000000001,F1919&lt;=01_因子設定!$M$7+0.000000001,IF(01_因子設定!$B$20="Box-Behnken",D1919^2+E1919^2+F1919^2&lt;=2+0.000000001,TRUE()))</f>
        <v>1</v>
      </c>
      <c r="W1919" s="55" t="n">
        <f aca="false">IF(V1919,IF(01_因子設定!$B$13="最大化",T1919-01_因子設定!$B$14,IF(01_因子設定!$B$13="最小化",01_因子設定!$B$15-U1919,MIN(T1919-01_因子設定!$B$14,01_因子設定!$B$15-U1919))),-1E+030)</f>
        <v>-1.29078391100415</v>
      </c>
      <c r="X1919" s="55" t="n">
        <f aca="false">IF(V1919,IF(01_因子設定!$B$13="最大化",Q1919,IF(01_因子設定!$B$13="最小化",-Q1919,-ABS(Q1919-01_因子設定!$B$16))),-1E+030)</f>
        <v>48.1942329545455</v>
      </c>
      <c r="Y1919" s="55" t="n">
        <f aca="false">W1919+ROW()*0.000000001</f>
        <v>-1.29078199200415</v>
      </c>
      <c r="Z1919" s="55" t="n">
        <f aca="false">X1919+ROW()*0.000000001</f>
        <v>48.1942348735455</v>
      </c>
    </row>
    <row r="1920" customFormat="false" ht="15" hidden="false" customHeight="false" outlineLevel="0" collapsed="false">
      <c r="A1920" s="0" t="n">
        <v>6</v>
      </c>
      <c r="B1920" s="0" t="n">
        <v>10</v>
      </c>
      <c r="C1920" s="0" t="n">
        <v>11</v>
      </c>
      <c r="D1920" s="0" t="n">
        <f aca="false">-1+A1920*0.125</f>
        <v>-0.25</v>
      </c>
      <c r="E1920" s="0" t="n">
        <f aca="false">-1+B1920*0.125</f>
        <v>0.25</v>
      </c>
      <c r="F1920" s="0" t="n">
        <f aca="false">-1+C1920*0.125</f>
        <v>0.375</v>
      </c>
      <c r="G1920" s="0" t="n">
        <f aca="false">1</f>
        <v>1</v>
      </c>
      <c r="H1920" s="0" t="n">
        <f aca="false">D1920</f>
        <v>-0.25</v>
      </c>
      <c r="I1920" s="0" t="n">
        <f aca="false">E1920</f>
        <v>0.25</v>
      </c>
      <c r="J1920" s="0" t="n">
        <f aca="false">F1920</f>
        <v>0.375</v>
      </c>
      <c r="K1920" s="0" t="n">
        <f aca="false">D1920*E1920</f>
        <v>-0.0625</v>
      </c>
      <c r="L1920" s="0" t="n">
        <f aca="false">D1920*F1920</f>
        <v>-0.09375</v>
      </c>
      <c r="M1920" s="0" t="n">
        <f aca="false">E1920*F1920</f>
        <v>0.09375</v>
      </c>
      <c r="N1920" s="0" t="n">
        <f aca="false">D1920*D1920</f>
        <v>0.0625</v>
      </c>
      <c r="O1920" s="0" t="n">
        <f aca="false">E1920*E1920</f>
        <v>0.0625</v>
      </c>
      <c r="P1920" s="0" t="n">
        <f aca="false">F1920*F1920</f>
        <v>0.140625</v>
      </c>
      <c r="Q1920" s="0" t="n">
        <f aca="false">SUMPRODUCT(G1920:P1920,_XtX!$B$71:$K$71)</f>
        <v>48.2935085227273</v>
      </c>
      <c r="R1920" s="0" t="n">
        <f aca="false">SUMPRODUCT(MMULT(G1920:P1920,_XtX!$B$58:$K$67),G1920:P1920)</f>
        <v>0.127454723011364</v>
      </c>
      <c r="S1920" s="0" t="n">
        <f aca="false">04_回帰ANOVA!$K$19*04_回帰ANOVA!$K$14*SQRT(1+R1920)</f>
        <v>0.987225105686864</v>
      </c>
      <c r="T1920" s="0" t="n">
        <f aca="false">Q1920-S1920</f>
        <v>47.3062834170404</v>
      </c>
      <c r="U1920" s="0" t="n">
        <f aca="false">Q1920+S1920</f>
        <v>49.2807336284142</v>
      </c>
      <c r="V1920" s="54" t="b">
        <f aca="false">AND(D1920&gt;=01_因子設定!$L$5-0.000000001,D1920&lt;=01_因子設定!$M$5+0.000000001,E1920&gt;=01_因子設定!$L$6-0.000000001,E1920&lt;=01_因子設定!$M$6+0.000000001,F1920&gt;=01_因子設定!$L$7-0.000000001,F1920&lt;=01_因子設定!$M$7+0.000000001,IF(01_因子設定!$B$20="Box-Behnken",D1920^2+E1920^2+F1920^2&lt;=2+0.000000001,TRUE()))</f>
        <v>1</v>
      </c>
      <c r="W1920" s="55" t="n">
        <f aca="false">IF(V1920,IF(01_因子設定!$B$13="最大化",T1920-01_因子設定!$B$14,IF(01_因子設定!$B$13="最小化",01_因子設定!$B$15-U1920,MIN(T1920-01_因子設定!$B$14,01_因子設定!$B$15-U1920))),-1E+030)</f>
        <v>-1.19371658295959</v>
      </c>
      <c r="X1920" s="55" t="n">
        <f aca="false">IF(V1920,IF(01_因子設定!$B$13="最大化",Q1920,IF(01_因子設定!$B$13="最小化",-Q1920,-ABS(Q1920-01_因子設定!$B$16))),-1E+030)</f>
        <v>48.2935085227273</v>
      </c>
      <c r="Y1920" s="55" t="n">
        <f aca="false">W1920+ROW()*0.000000001</f>
        <v>-1.19371466295959</v>
      </c>
      <c r="Z1920" s="55" t="n">
        <f aca="false">X1920+ROW()*0.000000001</f>
        <v>48.2935104427273</v>
      </c>
    </row>
    <row r="1921" customFormat="false" ht="15" hidden="false" customHeight="false" outlineLevel="0" collapsed="false">
      <c r="A1921" s="0" t="n">
        <v>6</v>
      </c>
      <c r="B1921" s="0" t="n">
        <v>10</v>
      </c>
      <c r="C1921" s="0" t="n">
        <v>12</v>
      </c>
      <c r="D1921" s="0" t="n">
        <f aca="false">-1+A1921*0.125</f>
        <v>-0.25</v>
      </c>
      <c r="E1921" s="0" t="n">
        <f aca="false">-1+B1921*0.125</f>
        <v>0.25</v>
      </c>
      <c r="F1921" s="0" t="n">
        <f aca="false">-1+C1921*0.125</f>
        <v>0.5</v>
      </c>
      <c r="G1921" s="0" t="n">
        <f aca="false">1</f>
        <v>1</v>
      </c>
      <c r="H1921" s="0" t="n">
        <f aca="false">D1921</f>
        <v>-0.25</v>
      </c>
      <c r="I1921" s="0" t="n">
        <f aca="false">E1921</f>
        <v>0.25</v>
      </c>
      <c r="J1921" s="0" t="n">
        <f aca="false">F1921</f>
        <v>0.5</v>
      </c>
      <c r="K1921" s="0" t="n">
        <f aca="false">D1921*E1921</f>
        <v>-0.0625</v>
      </c>
      <c r="L1921" s="0" t="n">
        <f aca="false">D1921*F1921</f>
        <v>-0.125</v>
      </c>
      <c r="M1921" s="0" t="n">
        <f aca="false">E1921*F1921</f>
        <v>0.125</v>
      </c>
      <c r="N1921" s="0" t="n">
        <f aca="false">D1921*D1921</f>
        <v>0.0625</v>
      </c>
      <c r="O1921" s="0" t="n">
        <f aca="false">E1921*E1921</f>
        <v>0.0625</v>
      </c>
      <c r="P1921" s="0" t="n">
        <f aca="false">F1921*F1921</f>
        <v>0.25</v>
      </c>
      <c r="Q1921" s="0" t="n">
        <f aca="false">SUMPRODUCT(G1921:P1921,_XtX!$B$71:$K$71)</f>
        <v>48.3559943181818</v>
      </c>
      <c r="R1921" s="0" t="n">
        <f aca="false">SUMPRODUCT(MMULT(G1921:P1921,_XtX!$B$58:$K$67),G1921:P1921)</f>
        <v>0.141965553977273</v>
      </c>
      <c r="S1921" s="0" t="n">
        <f aca="false">04_回帰ANOVA!$K$19*04_回帰ANOVA!$K$14*SQRT(1+R1921)</f>
        <v>0.993557802198625</v>
      </c>
      <c r="T1921" s="0" t="n">
        <f aca="false">Q1921-S1921</f>
        <v>47.3624365159832</v>
      </c>
      <c r="U1921" s="0" t="n">
        <f aca="false">Q1921+S1921</f>
        <v>49.3495521203805</v>
      </c>
      <c r="V1921" s="54" t="b">
        <f aca="false">AND(D1921&gt;=01_因子設定!$L$5-0.000000001,D1921&lt;=01_因子設定!$M$5+0.000000001,E1921&gt;=01_因子設定!$L$6-0.000000001,E1921&lt;=01_因子設定!$M$6+0.000000001,F1921&gt;=01_因子設定!$L$7-0.000000001,F1921&lt;=01_因子設定!$M$7+0.000000001,IF(01_因子設定!$B$20="Box-Behnken",D1921^2+E1921^2+F1921^2&lt;=2+0.000000001,TRUE()))</f>
        <v>1</v>
      </c>
      <c r="W1921" s="55" t="n">
        <f aca="false">IF(V1921,IF(01_因子設定!$B$13="最大化",T1921-01_因子設定!$B$14,IF(01_因子設定!$B$13="最小化",01_因子設定!$B$15-U1921,MIN(T1921-01_因子設定!$B$14,01_因子設定!$B$15-U1921))),-1E+030)</f>
        <v>-1.13756348401679</v>
      </c>
      <c r="X1921" s="55" t="n">
        <f aca="false">IF(V1921,IF(01_因子設定!$B$13="最大化",Q1921,IF(01_因子設定!$B$13="最小化",-Q1921,-ABS(Q1921-01_因子設定!$B$16))),-1E+030)</f>
        <v>48.3559943181818</v>
      </c>
      <c r="Y1921" s="55" t="n">
        <f aca="false">W1921+ROW()*0.000000001</f>
        <v>-1.13756156301679</v>
      </c>
      <c r="Z1921" s="55" t="n">
        <f aca="false">X1921+ROW()*0.000000001</f>
        <v>48.3559962391818</v>
      </c>
    </row>
    <row r="1922" customFormat="false" ht="15" hidden="false" customHeight="false" outlineLevel="0" collapsed="false">
      <c r="A1922" s="0" t="n">
        <v>6</v>
      </c>
      <c r="B1922" s="0" t="n">
        <v>10</v>
      </c>
      <c r="C1922" s="0" t="n">
        <v>13</v>
      </c>
      <c r="D1922" s="0" t="n">
        <f aca="false">-1+A1922*0.125</f>
        <v>-0.25</v>
      </c>
      <c r="E1922" s="0" t="n">
        <f aca="false">-1+B1922*0.125</f>
        <v>0.25</v>
      </c>
      <c r="F1922" s="0" t="n">
        <f aca="false">-1+C1922*0.125</f>
        <v>0.625</v>
      </c>
      <c r="G1922" s="0" t="n">
        <f aca="false">1</f>
        <v>1</v>
      </c>
      <c r="H1922" s="0" t="n">
        <f aca="false">D1922</f>
        <v>-0.25</v>
      </c>
      <c r="I1922" s="0" t="n">
        <f aca="false">E1922</f>
        <v>0.25</v>
      </c>
      <c r="J1922" s="0" t="n">
        <f aca="false">F1922</f>
        <v>0.625</v>
      </c>
      <c r="K1922" s="0" t="n">
        <f aca="false">D1922*E1922</f>
        <v>-0.0625</v>
      </c>
      <c r="L1922" s="0" t="n">
        <f aca="false">D1922*F1922</f>
        <v>-0.15625</v>
      </c>
      <c r="M1922" s="0" t="n">
        <f aca="false">E1922*F1922</f>
        <v>0.15625</v>
      </c>
      <c r="N1922" s="0" t="n">
        <f aca="false">D1922*D1922</f>
        <v>0.0625</v>
      </c>
      <c r="O1922" s="0" t="n">
        <f aca="false">E1922*E1922</f>
        <v>0.0625</v>
      </c>
      <c r="P1922" s="0" t="n">
        <f aca="false">F1922*F1922</f>
        <v>0.390625</v>
      </c>
      <c r="Q1922" s="0" t="n">
        <f aca="false">SUMPRODUCT(G1922:P1922,_XtX!$B$71:$K$71)</f>
        <v>48.3816903409091</v>
      </c>
      <c r="R1922" s="0" t="n">
        <f aca="false">SUMPRODUCT(MMULT(G1922:P1922,_XtX!$B$58:$K$67),G1922:P1922)</f>
        <v>0.173406427556818</v>
      </c>
      <c r="S1922" s="0" t="n">
        <f aca="false">04_回帰ANOVA!$K$19*04_回帰ANOVA!$K$14*SQRT(1+R1922)</f>
        <v>1.00714237128059</v>
      </c>
      <c r="T1922" s="0" t="n">
        <f aca="false">Q1922-S1922</f>
        <v>47.3745479696285</v>
      </c>
      <c r="U1922" s="0" t="n">
        <f aca="false">Q1922+S1922</f>
        <v>49.3888327121897</v>
      </c>
      <c r="V1922" s="54" t="b">
        <f aca="false">AND(D1922&gt;=01_因子設定!$L$5-0.000000001,D1922&lt;=01_因子設定!$M$5+0.000000001,E1922&gt;=01_因子設定!$L$6-0.000000001,E1922&lt;=01_因子設定!$M$6+0.000000001,F1922&gt;=01_因子設定!$L$7-0.000000001,F1922&lt;=01_因子設定!$M$7+0.000000001,IF(01_因子設定!$B$20="Box-Behnken",D1922^2+E1922^2+F1922^2&lt;=2+0.000000001,TRUE()))</f>
        <v>1</v>
      </c>
      <c r="W1922" s="55" t="n">
        <f aca="false">IF(V1922,IF(01_因子設定!$B$13="最大化",T1922-01_因子設定!$B$14,IF(01_因子設定!$B$13="最小化",01_因子設定!$B$15-U1922,MIN(T1922-01_因子設定!$B$14,01_因子設定!$B$15-U1922))),-1E+030)</f>
        <v>-1.12545203037149</v>
      </c>
      <c r="X1922" s="55" t="n">
        <f aca="false">IF(V1922,IF(01_因子設定!$B$13="最大化",Q1922,IF(01_因子設定!$B$13="最小化",-Q1922,-ABS(Q1922-01_因子設定!$B$16))),-1E+030)</f>
        <v>48.3816903409091</v>
      </c>
      <c r="Y1922" s="55" t="n">
        <f aca="false">W1922+ROW()*0.000000001</f>
        <v>-1.12545010837149</v>
      </c>
      <c r="Z1922" s="55" t="n">
        <f aca="false">X1922+ROW()*0.000000001</f>
        <v>48.3816922629091</v>
      </c>
    </row>
    <row r="1923" customFormat="false" ht="15" hidden="false" customHeight="false" outlineLevel="0" collapsed="false">
      <c r="A1923" s="0" t="n">
        <v>6</v>
      </c>
      <c r="B1923" s="0" t="n">
        <v>10</v>
      </c>
      <c r="C1923" s="0" t="n">
        <v>14</v>
      </c>
      <c r="D1923" s="0" t="n">
        <f aca="false">-1+A1923*0.125</f>
        <v>-0.25</v>
      </c>
      <c r="E1923" s="0" t="n">
        <f aca="false">-1+B1923*0.125</f>
        <v>0.25</v>
      </c>
      <c r="F1923" s="0" t="n">
        <f aca="false">-1+C1923*0.125</f>
        <v>0.75</v>
      </c>
      <c r="G1923" s="0" t="n">
        <f aca="false">1</f>
        <v>1</v>
      </c>
      <c r="H1923" s="0" t="n">
        <f aca="false">D1923</f>
        <v>-0.25</v>
      </c>
      <c r="I1923" s="0" t="n">
        <f aca="false">E1923</f>
        <v>0.25</v>
      </c>
      <c r="J1923" s="0" t="n">
        <f aca="false">F1923</f>
        <v>0.75</v>
      </c>
      <c r="K1923" s="0" t="n">
        <f aca="false">D1923*E1923</f>
        <v>-0.0625</v>
      </c>
      <c r="L1923" s="0" t="n">
        <f aca="false">D1923*F1923</f>
        <v>-0.1875</v>
      </c>
      <c r="M1923" s="0" t="n">
        <f aca="false">E1923*F1923</f>
        <v>0.1875</v>
      </c>
      <c r="N1923" s="0" t="n">
        <f aca="false">D1923*D1923</f>
        <v>0.0625</v>
      </c>
      <c r="O1923" s="0" t="n">
        <f aca="false">E1923*E1923</f>
        <v>0.0625</v>
      </c>
      <c r="P1923" s="0" t="n">
        <f aca="false">F1923*F1923</f>
        <v>0.5625</v>
      </c>
      <c r="Q1923" s="0" t="n">
        <f aca="false">SUMPRODUCT(G1923:P1923,_XtX!$B$71:$K$71)</f>
        <v>48.3705965909091</v>
      </c>
      <c r="R1923" s="0" t="n">
        <f aca="false">SUMPRODUCT(MMULT(G1923:P1923,_XtX!$B$58:$K$67),G1923:P1923)</f>
        <v>0.231365411931818</v>
      </c>
      <c r="S1923" s="0" t="n">
        <f aca="false">04_回帰ANOVA!$K$19*04_回帰ANOVA!$K$14*SQRT(1+R1923)</f>
        <v>1.03171587072803</v>
      </c>
      <c r="T1923" s="0" t="n">
        <f aca="false">Q1923-S1923</f>
        <v>47.3388807201811</v>
      </c>
      <c r="U1923" s="0" t="n">
        <f aca="false">Q1923+S1923</f>
        <v>49.4023124616371</v>
      </c>
      <c r="V1923" s="54" t="b">
        <f aca="false">AND(D1923&gt;=01_因子設定!$L$5-0.000000001,D1923&lt;=01_因子設定!$M$5+0.000000001,E1923&gt;=01_因子設定!$L$6-0.000000001,E1923&lt;=01_因子設定!$M$6+0.000000001,F1923&gt;=01_因子設定!$L$7-0.000000001,F1923&lt;=01_因子設定!$M$7+0.000000001,IF(01_因子設定!$B$20="Box-Behnken",D1923^2+E1923^2+F1923^2&lt;=2+0.000000001,TRUE()))</f>
        <v>1</v>
      </c>
      <c r="W1923" s="55" t="n">
        <f aca="false">IF(V1923,IF(01_因子設定!$B$13="最大化",T1923-01_因子設定!$B$14,IF(01_因子設定!$B$13="最小化",01_因子設定!$B$15-U1923,MIN(T1923-01_因子設定!$B$14,01_因子設定!$B$15-U1923))),-1E+030)</f>
        <v>-1.16111927981892</v>
      </c>
      <c r="X1923" s="55" t="n">
        <f aca="false">IF(V1923,IF(01_因子設定!$B$13="最大化",Q1923,IF(01_因子設定!$B$13="最小化",-Q1923,-ABS(Q1923-01_因子設定!$B$16))),-1E+030)</f>
        <v>48.3705965909091</v>
      </c>
      <c r="Y1923" s="55" t="n">
        <f aca="false">W1923+ROW()*0.000000001</f>
        <v>-1.16111735681892</v>
      </c>
      <c r="Z1923" s="55" t="n">
        <f aca="false">X1923+ROW()*0.000000001</f>
        <v>48.3705985139091</v>
      </c>
    </row>
    <row r="1924" customFormat="false" ht="15" hidden="false" customHeight="false" outlineLevel="0" collapsed="false">
      <c r="A1924" s="0" t="n">
        <v>6</v>
      </c>
      <c r="B1924" s="0" t="n">
        <v>10</v>
      </c>
      <c r="C1924" s="0" t="n">
        <v>15</v>
      </c>
      <c r="D1924" s="0" t="n">
        <f aca="false">-1+A1924*0.125</f>
        <v>-0.25</v>
      </c>
      <c r="E1924" s="0" t="n">
        <f aca="false">-1+B1924*0.125</f>
        <v>0.25</v>
      </c>
      <c r="F1924" s="0" t="n">
        <f aca="false">-1+C1924*0.125</f>
        <v>0.875</v>
      </c>
      <c r="G1924" s="0" t="n">
        <f aca="false">1</f>
        <v>1</v>
      </c>
      <c r="H1924" s="0" t="n">
        <f aca="false">D1924</f>
        <v>-0.25</v>
      </c>
      <c r="I1924" s="0" t="n">
        <f aca="false">E1924</f>
        <v>0.25</v>
      </c>
      <c r="J1924" s="0" t="n">
        <f aca="false">F1924</f>
        <v>0.875</v>
      </c>
      <c r="K1924" s="0" t="n">
        <f aca="false">D1924*E1924</f>
        <v>-0.0625</v>
      </c>
      <c r="L1924" s="0" t="n">
        <f aca="false">D1924*F1924</f>
        <v>-0.21875</v>
      </c>
      <c r="M1924" s="0" t="n">
        <f aca="false">E1924*F1924</f>
        <v>0.21875</v>
      </c>
      <c r="N1924" s="0" t="n">
        <f aca="false">D1924*D1924</f>
        <v>0.0625</v>
      </c>
      <c r="O1924" s="0" t="n">
        <f aca="false">E1924*E1924</f>
        <v>0.0625</v>
      </c>
      <c r="P1924" s="0" t="n">
        <f aca="false">F1924*F1924</f>
        <v>0.765625</v>
      </c>
      <c r="Q1924" s="0" t="n">
        <f aca="false">SUMPRODUCT(G1924:P1924,_XtX!$B$71:$K$71)</f>
        <v>48.3227130681818</v>
      </c>
      <c r="R1924" s="0" t="n">
        <f aca="false">SUMPRODUCT(MMULT(G1924:P1924,_XtX!$B$58:$K$67),G1924:P1924)</f>
        <v>0.327561257102273</v>
      </c>
      <c r="S1924" s="0" t="n">
        <f aca="false">04_回帰ANOVA!$K$19*04_回帰ANOVA!$K$14*SQRT(1+R1924)</f>
        <v>1.07125761201315</v>
      </c>
      <c r="T1924" s="0" t="n">
        <f aca="false">Q1924-S1924</f>
        <v>47.2514554561687</v>
      </c>
      <c r="U1924" s="0" t="n">
        <f aca="false">Q1924+S1924</f>
        <v>49.393970680195</v>
      </c>
      <c r="V1924" s="54" t="b">
        <f aca="false">AND(D1924&gt;=01_因子設定!$L$5-0.000000001,D1924&lt;=01_因子設定!$M$5+0.000000001,E1924&gt;=01_因子設定!$L$6-0.000000001,E1924&lt;=01_因子設定!$M$6+0.000000001,F1924&gt;=01_因子設定!$L$7-0.000000001,F1924&lt;=01_因子設定!$M$7+0.000000001,IF(01_因子設定!$B$20="Box-Behnken",D1924^2+E1924^2+F1924^2&lt;=2+0.000000001,TRUE()))</f>
        <v>1</v>
      </c>
      <c r="W1924" s="55" t="n">
        <f aca="false">IF(V1924,IF(01_因子設定!$B$13="最大化",T1924-01_因子設定!$B$14,IF(01_因子設定!$B$13="最小化",01_因子設定!$B$15-U1924,MIN(T1924-01_因子設定!$B$14,01_因子設定!$B$15-U1924))),-1E+030)</f>
        <v>-1.24854454383131</v>
      </c>
      <c r="X1924" s="55" t="n">
        <f aca="false">IF(V1924,IF(01_因子設定!$B$13="最大化",Q1924,IF(01_因子設定!$B$13="最小化",-Q1924,-ABS(Q1924-01_因子設定!$B$16))),-1E+030)</f>
        <v>48.3227130681818</v>
      </c>
      <c r="Y1924" s="55" t="n">
        <f aca="false">W1924+ROW()*0.000000001</f>
        <v>-1.24854261983131</v>
      </c>
      <c r="Z1924" s="55" t="n">
        <f aca="false">X1924+ROW()*0.000000001</f>
        <v>48.3227149921818</v>
      </c>
    </row>
    <row r="1925" customFormat="false" ht="15" hidden="false" customHeight="false" outlineLevel="0" collapsed="false">
      <c r="A1925" s="0" t="n">
        <v>6</v>
      </c>
      <c r="B1925" s="0" t="n">
        <v>10</v>
      </c>
      <c r="C1925" s="0" t="n">
        <v>16</v>
      </c>
      <c r="D1925" s="0" t="n">
        <f aca="false">-1+A1925*0.125</f>
        <v>-0.25</v>
      </c>
      <c r="E1925" s="0" t="n">
        <f aca="false">-1+B1925*0.125</f>
        <v>0.25</v>
      </c>
      <c r="F1925" s="0" t="n">
        <f aca="false">-1+C1925*0.125</f>
        <v>1</v>
      </c>
      <c r="G1925" s="0" t="n">
        <f aca="false">1</f>
        <v>1</v>
      </c>
      <c r="H1925" s="0" t="n">
        <f aca="false">D1925</f>
        <v>-0.25</v>
      </c>
      <c r="I1925" s="0" t="n">
        <f aca="false">E1925</f>
        <v>0.25</v>
      </c>
      <c r="J1925" s="0" t="n">
        <f aca="false">F1925</f>
        <v>1</v>
      </c>
      <c r="K1925" s="0" t="n">
        <f aca="false">D1925*E1925</f>
        <v>-0.0625</v>
      </c>
      <c r="L1925" s="0" t="n">
        <f aca="false">D1925*F1925</f>
        <v>-0.25</v>
      </c>
      <c r="M1925" s="0" t="n">
        <f aca="false">E1925*F1925</f>
        <v>0.25</v>
      </c>
      <c r="N1925" s="0" t="n">
        <f aca="false">D1925*D1925</f>
        <v>0.0625</v>
      </c>
      <c r="O1925" s="0" t="n">
        <f aca="false">E1925*E1925</f>
        <v>0.0625</v>
      </c>
      <c r="P1925" s="0" t="n">
        <f aca="false">F1925*F1925</f>
        <v>1</v>
      </c>
      <c r="Q1925" s="0" t="n">
        <f aca="false">SUMPRODUCT(G1925:P1925,_XtX!$B$71:$K$71)</f>
        <v>48.2380397727273</v>
      </c>
      <c r="R1925" s="0" t="n">
        <f aca="false">SUMPRODUCT(MMULT(G1925:P1925,_XtX!$B$58:$K$67),G1925:P1925)</f>
        <v>0.475843394886364</v>
      </c>
      <c r="S1925" s="0" t="n">
        <f aca="false">04_回帰ANOVA!$K$19*04_回帰ANOVA!$K$14*SQRT(1+R1925)</f>
        <v>1.12950140123694</v>
      </c>
      <c r="T1925" s="0" t="n">
        <f aca="false">Q1925-S1925</f>
        <v>47.1085383714904</v>
      </c>
      <c r="U1925" s="0" t="n">
        <f aca="false">Q1925+S1925</f>
        <v>49.3675411739642</v>
      </c>
      <c r="V1925" s="54" t="b">
        <f aca="false">AND(D1925&gt;=01_因子設定!$L$5-0.000000001,D1925&lt;=01_因子設定!$M$5+0.000000001,E1925&gt;=01_因子設定!$L$6-0.000000001,E1925&lt;=01_因子設定!$M$6+0.000000001,F1925&gt;=01_因子設定!$L$7-0.000000001,F1925&lt;=01_因子設定!$M$7+0.000000001,IF(01_因子設定!$B$20="Box-Behnken",D1925^2+E1925^2+F1925^2&lt;=2+0.000000001,TRUE()))</f>
        <v>1</v>
      </c>
      <c r="W1925" s="55" t="n">
        <f aca="false">IF(V1925,IF(01_因子設定!$B$13="最大化",T1925-01_因子設定!$B$14,IF(01_因子設定!$B$13="最小化",01_因子設定!$B$15-U1925,MIN(T1925-01_因子設定!$B$14,01_因子設定!$B$15-U1925))),-1E+030)</f>
        <v>-1.39146162850964</v>
      </c>
      <c r="X1925" s="55" t="n">
        <f aca="false">IF(V1925,IF(01_因子設定!$B$13="最大化",Q1925,IF(01_因子設定!$B$13="最小化",-Q1925,-ABS(Q1925-01_因子設定!$B$16))),-1E+030)</f>
        <v>48.2380397727273</v>
      </c>
      <c r="Y1925" s="55" t="n">
        <f aca="false">W1925+ROW()*0.000000001</f>
        <v>-1.39145970350964</v>
      </c>
      <c r="Z1925" s="55" t="n">
        <f aca="false">X1925+ROW()*0.000000001</f>
        <v>48.2380416977273</v>
      </c>
    </row>
    <row r="1926" customFormat="false" ht="15" hidden="false" customHeight="false" outlineLevel="0" collapsed="false">
      <c r="A1926" s="0" t="n">
        <v>6</v>
      </c>
      <c r="B1926" s="0" t="n">
        <v>11</v>
      </c>
      <c r="C1926" s="0" t="n">
        <v>0</v>
      </c>
      <c r="D1926" s="0" t="n">
        <f aca="false">-1+A1926*0.125</f>
        <v>-0.25</v>
      </c>
      <c r="E1926" s="0" t="n">
        <f aca="false">-1+B1926*0.125</f>
        <v>0.375</v>
      </c>
      <c r="F1926" s="0" t="n">
        <f aca="false">-1+C1926*0.125</f>
        <v>-1</v>
      </c>
      <c r="G1926" s="0" t="n">
        <f aca="false">1</f>
        <v>1</v>
      </c>
      <c r="H1926" s="0" t="n">
        <f aca="false">D1926</f>
        <v>-0.25</v>
      </c>
      <c r="I1926" s="0" t="n">
        <f aca="false">E1926</f>
        <v>0.375</v>
      </c>
      <c r="J1926" s="0" t="n">
        <f aca="false">F1926</f>
        <v>-1</v>
      </c>
      <c r="K1926" s="0" t="n">
        <f aca="false">D1926*E1926</f>
        <v>-0.09375</v>
      </c>
      <c r="L1926" s="0" t="n">
        <f aca="false">D1926*F1926</f>
        <v>0.25</v>
      </c>
      <c r="M1926" s="0" t="n">
        <f aca="false">E1926*F1926</f>
        <v>-0.375</v>
      </c>
      <c r="N1926" s="0" t="n">
        <f aca="false">D1926*D1926</f>
        <v>0.0625</v>
      </c>
      <c r="O1926" s="0" t="n">
        <f aca="false">E1926*E1926</f>
        <v>0.140625</v>
      </c>
      <c r="P1926" s="0" t="n">
        <f aca="false">F1926*F1926</f>
        <v>1</v>
      </c>
      <c r="Q1926" s="0" t="n">
        <f aca="false">SUMPRODUCT(G1926:P1926,_XtX!$B$71:$K$71)</f>
        <v>45.1838778409091</v>
      </c>
      <c r="R1926" s="0" t="n">
        <f aca="false">SUMPRODUCT(MMULT(G1926:P1926,_XtX!$B$58:$K$67),G1926:P1926)</f>
        <v>0.470061700994318</v>
      </c>
      <c r="S1926" s="0" t="n">
        <f aca="false">04_回帰ANOVA!$K$19*04_回帰ANOVA!$K$14*SQRT(1+R1926)</f>
        <v>1.12728678965931</v>
      </c>
      <c r="T1926" s="0" t="n">
        <f aca="false">Q1926-S1926</f>
        <v>44.0565910512498</v>
      </c>
      <c r="U1926" s="0" t="n">
        <f aca="false">Q1926+S1926</f>
        <v>46.3111646305684</v>
      </c>
      <c r="V1926" s="54" t="b">
        <f aca="false">AND(D1926&gt;=01_因子設定!$L$5-0.000000001,D1926&lt;=01_因子設定!$M$5+0.000000001,E1926&gt;=01_因子設定!$L$6-0.000000001,E1926&lt;=01_因子設定!$M$6+0.000000001,F1926&gt;=01_因子設定!$L$7-0.000000001,F1926&lt;=01_因子設定!$M$7+0.000000001,IF(01_因子設定!$B$20="Box-Behnken",D1926^2+E1926^2+F1926^2&lt;=2+0.000000001,TRUE()))</f>
        <v>1</v>
      </c>
      <c r="W1926" s="55" t="n">
        <f aca="false">IF(V1926,IF(01_因子設定!$B$13="最大化",T1926-01_因子設定!$B$14,IF(01_因子設定!$B$13="最小化",01_因子設定!$B$15-U1926,MIN(T1926-01_因子設定!$B$14,01_因子設定!$B$15-U1926))),-1E+030)</f>
        <v>-4.44340894875019</v>
      </c>
      <c r="X1926" s="55" t="n">
        <f aca="false">IF(V1926,IF(01_因子設定!$B$13="最大化",Q1926,IF(01_因子設定!$B$13="最小化",-Q1926,-ABS(Q1926-01_因子設定!$B$16))),-1E+030)</f>
        <v>45.1838778409091</v>
      </c>
      <c r="Y1926" s="55" t="n">
        <f aca="false">W1926+ROW()*0.000000001</f>
        <v>-4.44340702275019</v>
      </c>
      <c r="Z1926" s="55" t="n">
        <f aca="false">X1926+ROW()*0.000000001</f>
        <v>45.1838797669091</v>
      </c>
    </row>
    <row r="1927" customFormat="false" ht="15" hidden="false" customHeight="false" outlineLevel="0" collapsed="false">
      <c r="A1927" s="0" t="n">
        <v>6</v>
      </c>
      <c r="B1927" s="0" t="n">
        <v>11</v>
      </c>
      <c r="C1927" s="0" t="n">
        <v>1</v>
      </c>
      <c r="D1927" s="0" t="n">
        <f aca="false">-1+A1927*0.125</f>
        <v>-0.25</v>
      </c>
      <c r="E1927" s="0" t="n">
        <f aca="false">-1+B1927*0.125</f>
        <v>0.375</v>
      </c>
      <c r="F1927" s="0" t="n">
        <f aca="false">-1+C1927*0.125</f>
        <v>-0.875</v>
      </c>
      <c r="G1927" s="0" t="n">
        <f aca="false">1</f>
        <v>1</v>
      </c>
      <c r="H1927" s="0" t="n">
        <f aca="false">D1927</f>
        <v>-0.25</v>
      </c>
      <c r="I1927" s="0" t="n">
        <f aca="false">E1927</f>
        <v>0.375</v>
      </c>
      <c r="J1927" s="0" t="n">
        <f aca="false">F1927</f>
        <v>-0.875</v>
      </c>
      <c r="K1927" s="0" t="n">
        <f aca="false">D1927*E1927</f>
        <v>-0.09375</v>
      </c>
      <c r="L1927" s="0" t="n">
        <f aca="false">D1927*F1927</f>
        <v>0.21875</v>
      </c>
      <c r="M1927" s="0" t="n">
        <f aca="false">E1927*F1927</f>
        <v>-0.328125</v>
      </c>
      <c r="N1927" s="0" t="n">
        <f aca="false">D1927*D1927</f>
        <v>0.0625</v>
      </c>
      <c r="O1927" s="0" t="n">
        <f aca="false">E1927*E1927</f>
        <v>0.140625</v>
      </c>
      <c r="P1927" s="0" t="n">
        <f aca="false">F1927*F1927</f>
        <v>0.765625</v>
      </c>
      <c r="Q1927" s="0" t="n">
        <f aca="false">SUMPRODUCT(G1927:P1927,_XtX!$B$71:$K$71)</f>
        <v>45.6580823863637</v>
      </c>
      <c r="R1927" s="0" t="n">
        <f aca="false">SUMPRODUCT(MMULT(G1927:P1927,_XtX!$B$58:$K$67),G1927:P1927)</f>
        <v>0.324484530362216</v>
      </c>
      <c r="S1927" s="0" t="n">
        <f aca="false">04_回帰ANOVA!$K$19*04_回帰ANOVA!$K$14*SQRT(1+R1927)</f>
        <v>1.07001553041279</v>
      </c>
      <c r="T1927" s="0" t="n">
        <f aca="false">Q1927-S1927</f>
        <v>44.5880668559509</v>
      </c>
      <c r="U1927" s="0" t="n">
        <f aca="false">Q1927+S1927</f>
        <v>46.7280979167765</v>
      </c>
      <c r="V1927" s="54" t="b">
        <f aca="false">AND(D1927&gt;=01_因子設定!$L$5-0.000000001,D1927&lt;=01_因子設定!$M$5+0.000000001,E1927&gt;=01_因子設定!$L$6-0.000000001,E1927&lt;=01_因子設定!$M$6+0.000000001,F1927&gt;=01_因子設定!$L$7-0.000000001,F1927&lt;=01_因子設定!$M$7+0.000000001,IF(01_因子設定!$B$20="Box-Behnken",D1927^2+E1927^2+F1927^2&lt;=2+0.000000001,TRUE()))</f>
        <v>1</v>
      </c>
      <c r="W1927" s="55" t="n">
        <f aca="false">IF(V1927,IF(01_因子設定!$B$13="最大化",T1927-01_因子設定!$B$14,IF(01_因子設定!$B$13="最小化",01_因子設定!$B$15-U1927,MIN(T1927-01_因子設定!$B$14,01_因子設定!$B$15-U1927))),-1E+030)</f>
        <v>-3.91193314404913</v>
      </c>
      <c r="X1927" s="55" t="n">
        <f aca="false">IF(V1927,IF(01_因子設定!$B$13="最大化",Q1927,IF(01_因子設定!$B$13="最小化",-Q1927,-ABS(Q1927-01_因子設定!$B$16))),-1E+030)</f>
        <v>45.6580823863637</v>
      </c>
      <c r="Y1927" s="55" t="n">
        <f aca="false">W1927+ROW()*0.000000001</f>
        <v>-3.91193121704913</v>
      </c>
      <c r="Z1927" s="55" t="n">
        <f aca="false">X1927+ROW()*0.000000001</f>
        <v>45.6580843133637</v>
      </c>
    </row>
    <row r="1928" customFormat="false" ht="15" hidden="false" customHeight="false" outlineLevel="0" collapsed="false">
      <c r="A1928" s="0" t="n">
        <v>6</v>
      </c>
      <c r="B1928" s="0" t="n">
        <v>11</v>
      </c>
      <c r="C1928" s="0" t="n">
        <v>2</v>
      </c>
      <c r="D1928" s="0" t="n">
        <f aca="false">-1+A1928*0.125</f>
        <v>-0.25</v>
      </c>
      <c r="E1928" s="0" t="n">
        <f aca="false">-1+B1928*0.125</f>
        <v>0.375</v>
      </c>
      <c r="F1928" s="0" t="n">
        <f aca="false">-1+C1928*0.125</f>
        <v>-0.75</v>
      </c>
      <c r="G1928" s="0" t="n">
        <f aca="false">1</f>
        <v>1</v>
      </c>
      <c r="H1928" s="0" t="n">
        <f aca="false">D1928</f>
        <v>-0.25</v>
      </c>
      <c r="I1928" s="0" t="n">
        <f aca="false">E1928</f>
        <v>0.375</v>
      </c>
      <c r="J1928" s="0" t="n">
        <f aca="false">F1928</f>
        <v>-0.75</v>
      </c>
      <c r="K1928" s="0" t="n">
        <f aca="false">D1928*E1928</f>
        <v>-0.09375</v>
      </c>
      <c r="L1928" s="0" t="n">
        <f aca="false">D1928*F1928</f>
        <v>0.1875</v>
      </c>
      <c r="M1928" s="0" t="n">
        <f aca="false">E1928*F1928</f>
        <v>-0.28125</v>
      </c>
      <c r="N1928" s="0" t="n">
        <f aca="false">D1928*D1928</f>
        <v>0.0625</v>
      </c>
      <c r="O1928" s="0" t="n">
        <f aca="false">E1928*E1928</f>
        <v>0.140625</v>
      </c>
      <c r="P1928" s="0" t="n">
        <f aca="false">F1928*F1928</f>
        <v>0.5625</v>
      </c>
      <c r="Q1928" s="0" t="n">
        <f aca="false">SUMPRODUCT(G1928:P1928,_XtX!$B$71:$K$71)</f>
        <v>46.0954971590909</v>
      </c>
      <c r="R1928" s="0" t="n">
        <f aca="false">SUMPRODUCT(MMULT(G1928:P1928,_XtX!$B$58:$K$67),G1928:P1928)</f>
        <v>0.230632990056818</v>
      </c>
      <c r="S1928" s="0" t="n">
        <f aca="false">04_回帰ANOVA!$K$19*04_回帰ANOVA!$K$14*SQRT(1+R1928)</f>
        <v>1.03140899038819</v>
      </c>
      <c r="T1928" s="0" t="n">
        <f aca="false">Q1928-S1928</f>
        <v>45.0640881687027</v>
      </c>
      <c r="U1928" s="0" t="n">
        <f aca="false">Q1928+S1928</f>
        <v>47.1269061494791</v>
      </c>
      <c r="V1928" s="54" t="b">
        <f aca="false">AND(D1928&gt;=01_因子設定!$L$5-0.000000001,D1928&lt;=01_因子設定!$M$5+0.000000001,E1928&gt;=01_因子設定!$L$6-0.000000001,E1928&lt;=01_因子設定!$M$6+0.000000001,F1928&gt;=01_因子設定!$L$7-0.000000001,F1928&lt;=01_因子設定!$M$7+0.000000001,IF(01_因子設定!$B$20="Box-Behnken",D1928^2+E1928^2+F1928^2&lt;=2+0.000000001,TRUE()))</f>
        <v>1</v>
      </c>
      <c r="W1928" s="55" t="n">
        <f aca="false">IF(V1928,IF(01_因子設定!$B$13="最大化",T1928-01_因子設定!$B$14,IF(01_因子設定!$B$13="最小化",01_因子設定!$B$15-U1928,MIN(T1928-01_因子設定!$B$14,01_因子設定!$B$15-U1928))),-1E+030)</f>
        <v>-3.43591183129726</v>
      </c>
      <c r="X1928" s="55" t="n">
        <f aca="false">IF(V1928,IF(01_因子設定!$B$13="最大化",Q1928,IF(01_因子設定!$B$13="最小化",-Q1928,-ABS(Q1928-01_因子設定!$B$16))),-1E+030)</f>
        <v>46.0954971590909</v>
      </c>
      <c r="Y1928" s="55" t="n">
        <f aca="false">W1928+ROW()*0.000000001</f>
        <v>-3.43590990329726</v>
      </c>
      <c r="Z1928" s="55" t="n">
        <f aca="false">X1928+ROW()*0.000000001</f>
        <v>46.0954990870909</v>
      </c>
    </row>
    <row r="1929" customFormat="false" ht="15" hidden="false" customHeight="false" outlineLevel="0" collapsed="false">
      <c r="A1929" s="0" t="n">
        <v>6</v>
      </c>
      <c r="B1929" s="0" t="n">
        <v>11</v>
      </c>
      <c r="C1929" s="0" t="n">
        <v>3</v>
      </c>
      <c r="D1929" s="0" t="n">
        <f aca="false">-1+A1929*0.125</f>
        <v>-0.25</v>
      </c>
      <c r="E1929" s="0" t="n">
        <f aca="false">-1+B1929*0.125</f>
        <v>0.375</v>
      </c>
      <c r="F1929" s="0" t="n">
        <f aca="false">-1+C1929*0.125</f>
        <v>-0.625</v>
      </c>
      <c r="G1929" s="0" t="n">
        <f aca="false">1</f>
        <v>1</v>
      </c>
      <c r="H1929" s="0" t="n">
        <f aca="false">D1929</f>
        <v>-0.25</v>
      </c>
      <c r="I1929" s="0" t="n">
        <f aca="false">E1929</f>
        <v>0.375</v>
      </c>
      <c r="J1929" s="0" t="n">
        <f aca="false">F1929</f>
        <v>-0.625</v>
      </c>
      <c r="K1929" s="0" t="n">
        <f aca="false">D1929*E1929</f>
        <v>-0.09375</v>
      </c>
      <c r="L1929" s="0" t="n">
        <f aca="false">D1929*F1929</f>
        <v>0.15625</v>
      </c>
      <c r="M1929" s="0" t="n">
        <f aca="false">E1929*F1929</f>
        <v>-0.234375</v>
      </c>
      <c r="N1929" s="0" t="n">
        <f aca="false">D1929*D1929</f>
        <v>0.0625</v>
      </c>
      <c r="O1929" s="0" t="n">
        <f aca="false">E1929*E1929</f>
        <v>0.140625</v>
      </c>
      <c r="P1929" s="0" t="n">
        <f aca="false">F1929*F1929</f>
        <v>0.390625</v>
      </c>
      <c r="Q1929" s="0" t="n">
        <f aca="false">SUMPRODUCT(G1929:P1929,_XtX!$B$71:$K$71)</f>
        <v>46.4961221590909</v>
      </c>
      <c r="R1929" s="0" t="n">
        <f aca="false">SUMPRODUCT(MMULT(G1929:P1929,_XtX!$B$58:$K$67),G1929:P1929)</f>
        <v>0.174657648259943</v>
      </c>
      <c r="S1929" s="0" t="n">
        <f aca="false">04_回帰ANOVA!$K$19*04_回帰ANOVA!$K$14*SQRT(1+R1929)</f>
        <v>1.00767919364845</v>
      </c>
      <c r="T1929" s="0" t="n">
        <f aca="false">Q1929-S1929</f>
        <v>45.4884429654425</v>
      </c>
      <c r="U1929" s="0" t="n">
        <f aca="false">Q1929+S1929</f>
        <v>47.5038013527394</v>
      </c>
      <c r="V1929" s="54" t="b">
        <f aca="false">AND(D1929&gt;=01_因子設定!$L$5-0.000000001,D1929&lt;=01_因子設定!$M$5+0.000000001,E1929&gt;=01_因子設定!$L$6-0.000000001,E1929&lt;=01_因子設定!$M$6+0.000000001,F1929&gt;=01_因子設定!$L$7-0.000000001,F1929&lt;=01_因子設定!$M$7+0.000000001,IF(01_因子設定!$B$20="Box-Behnken",D1929^2+E1929^2+F1929^2&lt;=2+0.000000001,TRUE()))</f>
        <v>1</v>
      </c>
      <c r="W1929" s="55" t="n">
        <f aca="false">IF(V1929,IF(01_因子設定!$B$13="最大化",T1929-01_因子設定!$B$14,IF(01_因子設定!$B$13="最小化",01_因子設定!$B$15-U1929,MIN(T1929-01_因子設定!$B$14,01_因子設定!$B$15-U1929))),-1E+030)</f>
        <v>-3.01155703455752</v>
      </c>
      <c r="X1929" s="55" t="n">
        <f aca="false">IF(V1929,IF(01_因子設定!$B$13="最大化",Q1929,IF(01_因子設定!$B$13="最小化",-Q1929,-ABS(Q1929-01_因子設定!$B$16))),-1E+030)</f>
        <v>46.4961221590909</v>
      </c>
      <c r="Y1929" s="55" t="n">
        <f aca="false">W1929+ROW()*0.000000001</f>
        <v>-3.01155510555752</v>
      </c>
      <c r="Z1929" s="55" t="n">
        <f aca="false">X1929+ROW()*0.000000001</f>
        <v>46.4961240880909</v>
      </c>
    </row>
    <row r="1930" customFormat="false" ht="15" hidden="false" customHeight="false" outlineLevel="0" collapsed="false">
      <c r="A1930" s="0" t="n">
        <v>6</v>
      </c>
      <c r="B1930" s="0" t="n">
        <v>11</v>
      </c>
      <c r="C1930" s="0" t="n">
        <v>4</v>
      </c>
      <c r="D1930" s="0" t="n">
        <f aca="false">-1+A1930*0.125</f>
        <v>-0.25</v>
      </c>
      <c r="E1930" s="0" t="n">
        <f aca="false">-1+B1930*0.125</f>
        <v>0.375</v>
      </c>
      <c r="F1930" s="0" t="n">
        <f aca="false">-1+C1930*0.125</f>
        <v>-0.5</v>
      </c>
      <c r="G1930" s="0" t="n">
        <f aca="false">1</f>
        <v>1</v>
      </c>
      <c r="H1930" s="0" t="n">
        <f aca="false">D1930</f>
        <v>-0.25</v>
      </c>
      <c r="I1930" s="0" t="n">
        <f aca="false">E1930</f>
        <v>0.375</v>
      </c>
      <c r="J1930" s="0" t="n">
        <f aca="false">F1930</f>
        <v>-0.5</v>
      </c>
      <c r="K1930" s="0" t="n">
        <f aca="false">D1930*E1930</f>
        <v>-0.09375</v>
      </c>
      <c r="L1930" s="0" t="n">
        <f aca="false">D1930*F1930</f>
        <v>0.125</v>
      </c>
      <c r="M1930" s="0" t="n">
        <f aca="false">E1930*F1930</f>
        <v>-0.1875</v>
      </c>
      <c r="N1930" s="0" t="n">
        <f aca="false">D1930*D1930</f>
        <v>0.0625</v>
      </c>
      <c r="O1930" s="0" t="n">
        <f aca="false">E1930*E1930</f>
        <v>0.140625</v>
      </c>
      <c r="P1930" s="0" t="n">
        <f aca="false">F1930*F1930</f>
        <v>0.25</v>
      </c>
      <c r="Q1930" s="0" t="n">
        <f aca="false">SUMPRODUCT(G1930:P1930,_XtX!$B$71:$K$71)</f>
        <v>46.8599573863637</v>
      </c>
      <c r="R1930" s="0" t="n">
        <f aca="false">SUMPRODUCT(MMULT(G1930:P1930,_XtX!$B$58:$K$67),G1930:P1930)</f>
        <v>0.144839754971591</v>
      </c>
      <c r="S1930" s="0" t="n">
        <f aca="false">04_回帰ANOVA!$K$19*04_回帰ANOVA!$K$14*SQRT(1+R1930)</f>
        <v>0.994807353995542</v>
      </c>
      <c r="T1930" s="0" t="n">
        <f aca="false">Q1930-S1930</f>
        <v>45.8651500323681</v>
      </c>
      <c r="U1930" s="0" t="n">
        <f aca="false">Q1930+S1930</f>
        <v>47.8547647403592</v>
      </c>
      <c r="V1930" s="54" t="b">
        <f aca="false">AND(D1930&gt;=01_因子設定!$L$5-0.000000001,D1930&lt;=01_因子設定!$M$5+0.000000001,E1930&gt;=01_因子設定!$L$6-0.000000001,E1930&lt;=01_因子設定!$M$6+0.000000001,F1930&gt;=01_因子設定!$L$7-0.000000001,F1930&lt;=01_因子設定!$M$7+0.000000001,IF(01_因子設定!$B$20="Box-Behnken",D1930^2+E1930^2+F1930^2&lt;=2+0.000000001,TRUE()))</f>
        <v>1</v>
      </c>
      <c r="W1930" s="55" t="n">
        <f aca="false">IF(V1930,IF(01_因子設定!$B$13="最大化",T1930-01_因子設定!$B$14,IF(01_因子設定!$B$13="最小化",01_因子設定!$B$15-U1930,MIN(T1930-01_因子設定!$B$14,01_因子設定!$B$15-U1930))),-1E+030)</f>
        <v>-2.63484996763189</v>
      </c>
      <c r="X1930" s="55" t="n">
        <f aca="false">IF(V1930,IF(01_因子設定!$B$13="最大化",Q1930,IF(01_因子設定!$B$13="最小化",-Q1930,-ABS(Q1930-01_因子設定!$B$16))),-1E+030)</f>
        <v>46.8599573863637</v>
      </c>
      <c r="Y1930" s="55" t="n">
        <f aca="false">W1930+ROW()*0.000000001</f>
        <v>-2.63484803763189</v>
      </c>
      <c r="Z1930" s="55" t="n">
        <f aca="false">X1930+ROW()*0.000000001</f>
        <v>46.8599593163637</v>
      </c>
    </row>
    <row r="1931" customFormat="false" ht="15" hidden="false" customHeight="false" outlineLevel="0" collapsed="false">
      <c r="A1931" s="0" t="n">
        <v>6</v>
      </c>
      <c r="B1931" s="0" t="n">
        <v>11</v>
      </c>
      <c r="C1931" s="0" t="n">
        <v>5</v>
      </c>
      <c r="D1931" s="0" t="n">
        <f aca="false">-1+A1931*0.125</f>
        <v>-0.25</v>
      </c>
      <c r="E1931" s="0" t="n">
        <f aca="false">-1+B1931*0.125</f>
        <v>0.375</v>
      </c>
      <c r="F1931" s="0" t="n">
        <f aca="false">-1+C1931*0.125</f>
        <v>-0.375</v>
      </c>
      <c r="G1931" s="0" t="n">
        <f aca="false">1</f>
        <v>1</v>
      </c>
      <c r="H1931" s="0" t="n">
        <f aca="false">D1931</f>
        <v>-0.25</v>
      </c>
      <c r="I1931" s="0" t="n">
        <f aca="false">E1931</f>
        <v>0.375</v>
      </c>
      <c r="J1931" s="0" t="n">
        <f aca="false">F1931</f>
        <v>-0.375</v>
      </c>
      <c r="K1931" s="0" t="n">
        <f aca="false">D1931*E1931</f>
        <v>-0.09375</v>
      </c>
      <c r="L1931" s="0" t="n">
        <f aca="false">D1931*F1931</f>
        <v>0.09375</v>
      </c>
      <c r="M1931" s="0" t="n">
        <f aca="false">E1931*F1931</f>
        <v>-0.140625</v>
      </c>
      <c r="N1931" s="0" t="n">
        <f aca="false">D1931*D1931</f>
        <v>0.0625</v>
      </c>
      <c r="O1931" s="0" t="n">
        <f aca="false">E1931*E1931</f>
        <v>0.140625</v>
      </c>
      <c r="P1931" s="0" t="n">
        <f aca="false">F1931*F1931</f>
        <v>0.140625</v>
      </c>
      <c r="Q1931" s="0" t="n">
        <f aca="false">SUMPRODUCT(G1931:P1931,_XtX!$B$71:$K$71)</f>
        <v>47.1870028409091</v>
      </c>
      <c r="R1931" s="0" t="n">
        <f aca="false">SUMPRODUCT(MMULT(G1931:P1931,_XtX!$B$58:$K$67),G1931:P1931)</f>
        <v>0.131591242009943</v>
      </c>
      <c r="S1931" s="0" t="n">
        <f aca="false">04_回帰ANOVA!$K$19*04_回帰ANOVA!$K$14*SQRT(1+R1931)</f>
        <v>0.989034462873572</v>
      </c>
      <c r="T1931" s="0" t="n">
        <f aca="false">Q1931-S1931</f>
        <v>46.1979683780355</v>
      </c>
      <c r="U1931" s="0" t="n">
        <f aca="false">Q1931+S1931</f>
        <v>48.1760373037827</v>
      </c>
      <c r="V1931" s="54" t="b">
        <f aca="false">AND(D1931&gt;=01_因子設定!$L$5-0.000000001,D1931&lt;=01_因子設定!$M$5+0.000000001,E1931&gt;=01_因子設定!$L$6-0.000000001,E1931&lt;=01_因子設定!$M$6+0.000000001,F1931&gt;=01_因子設定!$L$7-0.000000001,F1931&lt;=01_因子設定!$M$7+0.000000001,IF(01_因子設定!$B$20="Box-Behnken",D1931^2+E1931^2+F1931^2&lt;=2+0.000000001,TRUE()))</f>
        <v>1</v>
      </c>
      <c r="W1931" s="55" t="n">
        <f aca="false">IF(V1931,IF(01_因子設定!$B$13="最大化",T1931-01_因子設定!$B$14,IF(01_因子設定!$B$13="最小化",01_因子設定!$B$15-U1931,MIN(T1931-01_因子設定!$B$14,01_因子設定!$B$15-U1931))),-1E+030)</f>
        <v>-2.30203162196447</v>
      </c>
      <c r="X1931" s="55" t="n">
        <f aca="false">IF(V1931,IF(01_因子設定!$B$13="最大化",Q1931,IF(01_因子設定!$B$13="最小化",-Q1931,-ABS(Q1931-01_因子設定!$B$16))),-1E+030)</f>
        <v>47.1870028409091</v>
      </c>
      <c r="Y1931" s="55" t="n">
        <f aca="false">W1931+ROW()*0.000000001</f>
        <v>-2.30202969096447</v>
      </c>
      <c r="Z1931" s="55" t="n">
        <f aca="false">X1931+ROW()*0.000000001</f>
        <v>47.1870047719091</v>
      </c>
    </row>
    <row r="1932" customFormat="false" ht="15" hidden="false" customHeight="false" outlineLevel="0" collapsed="false">
      <c r="A1932" s="0" t="n">
        <v>6</v>
      </c>
      <c r="B1932" s="0" t="n">
        <v>11</v>
      </c>
      <c r="C1932" s="0" t="n">
        <v>6</v>
      </c>
      <c r="D1932" s="0" t="n">
        <f aca="false">-1+A1932*0.125</f>
        <v>-0.25</v>
      </c>
      <c r="E1932" s="0" t="n">
        <f aca="false">-1+B1932*0.125</f>
        <v>0.375</v>
      </c>
      <c r="F1932" s="0" t="n">
        <f aca="false">-1+C1932*0.125</f>
        <v>-0.25</v>
      </c>
      <c r="G1932" s="0" t="n">
        <f aca="false">1</f>
        <v>1</v>
      </c>
      <c r="H1932" s="0" t="n">
        <f aca="false">D1932</f>
        <v>-0.25</v>
      </c>
      <c r="I1932" s="0" t="n">
        <f aca="false">E1932</f>
        <v>0.375</v>
      </c>
      <c r="J1932" s="0" t="n">
        <f aca="false">F1932</f>
        <v>-0.25</v>
      </c>
      <c r="K1932" s="0" t="n">
        <f aca="false">D1932*E1932</f>
        <v>-0.09375</v>
      </c>
      <c r="L1932" s="0" t="n">
        <f aca="false">D1932*F1932</f>
        <v>0.0625</v>
      </c>
      <c r="M1932" s="0" t="n">
        <f aca="false">E1932*F1932</f>
        <v>-0.09375</v>
      </c>
      <c r="N1932" s="0" t="n">
        <f aca="false">D1932*D1932</f>
        <v>0.0625</v>
      </c>
      <c r="O1932" s="0" t="n">
        <f aca="false">E1932*E1932</f>
        <v>0.140625</v>
      </c>
      <c r="P1932" s="0" t="n">
        <f aca="false">F1932*F1932</f>
        <v>0.0625</v>
      </c>
      <c r="Q1932" s="0" t="n">
        <f aca="false">SUMPRODUCT(G1932:P1932,_XtX!$B$71:$K$71)</f>
        <v>47.4772585227273</v>
      </c>
      <c r="R1932" s="0" t="n">
        <f aca="false">SUMPRODUCT(MMULT(G1932:P1932,_XtX!$B$58:$K$67),G1932:P1932)</f>
        <v>0.127454723011364</v>
      </c>
      <c r="S1932" s="0" t="n">
        <f aca="false">04_回帰ANOVA!$K$19*04_回帰ANOVA!$K$14*SQRT(1+R1932)</f>
        <v>0.987225105686864</v>
      </c>
      <c r="T1932" s="0" t="n">
        <f aca="false">Q1932-S1932</f>
        <v>46.4900334170404</v>
      </c>
      <c r="U1932" s="0" t="n">
        <f aca="false">Q1932+S1932</f>
        <v>48.4644836284142</v>
      </c>
      <c r="V1932" s="54" t="b">
        <f aca="false">AND(D1932&gt;=01_因子設定!$L$5-0.000000001,D1932&lt;=01_因子設定!$M$5+0.000000001,E1932&gt;=01_因子設定!$L$6-0.000000001,E1932&lt;=01_因子設定!$M$6+0.000000001,F1932&gt;=01_因子設定!$L$7-0.000000001,F1932&lt;=01_因子設定!$M$7+0.000000001,IF(01_因子設定!$B$20="Box-Behnken",D1932^2+E1932^2+F1932^2&lt;=2+0.000000001,TRUE()))</f>
        <v>1</v>
      </c>
      <c r="W1932" s="55" t="n">
        <f aca="false">IF(V1932,IF(01_因子設定!$B$13="最大化",T1932-01_因子設定!$B$14,IF(01_因子設定!$B$13="最小化",01_因子設定!$B$15-U1932,MIN(T1932-01_因子設定!$B$14,01_因子設定!$B$15-U1932))),-1E+030)</f>
        <v>-2.00996658295959</v>
      </c>
      <c r="X1932" s="55" t="n">
        <f aca="false">IF(V1932,IF(01_因子設定!$B$13="最大化",Q1932,IF(01_因子設定!$B$13="最小化",-Q1932,-ABS(Q1932-01_因子設定!$B$16))),-1E+030)</f>
        <v>47.4772585227273</v>
      </c>
      <c r="Y1932" s="55" t="n">
        <f aca="false">W1932+ROW()*0.000000001</f>
        <v>-2.00996465095959</v>
      </c>
      <c r="Z1932" s="55" t="n">
        <f aca="false">X1932+ROW()*0.000000001</f>
        <v>47.4772604547273</v>
      </c>
    </row>
    <row r="1933" customFormat="false" ht="15" hidden="false" customHeight="false" outlineLevel="0" collapsed="false">
      <c r="A1933" s="0" t="n">
        <v>6</v>
      </c>
      <c r="B1933" s="0" t="n">
        <v>11</v>
      </c>
      <c r="C1933" s="0" t="n">
        <v>7</v>
      </c>
      <c r="D1933" s="0" t="n">
        <f aca="false">-1+A1933*0.125</f>
        <v>-0.25</v>
      </c>
      <c r="E1933" s="0" t="n">
        <f aca="false">-1+B1933*0.125</f>
        <v>0.375</v>
      </c>
      <c r="F1933" s="0" t="n">
        <f aca="false">-1+C1933*0.125</f>
        <v>-0.125</v>
      </c>
      <c r="G1933" s="0" t="n">
        <f aca="false">1</f>
        <v>1</v>
      </c>
      <c r="H1933" s="0" t="n">
        <f aca="false">D1933</f>
        <v>-0.25</v>
      </c>
      <c r="I1933" s="0" t="n">
        <f aca="false">E1933</f>
        <v>0.375</v>
      </c>
      <c r="J1933" s="0" t="n">
        <f aca="false">F1933</f>
        <v>-0.125</v>
      </c>
      <c r="K1933" s="0" t="n">
        <f aca="false">D1933*E1933</f>
        <v>-0.09375</v>
      </c>
      <c r="L1933" s="0" t="n">
        <f aca="false">D1933*F1933</f>
        <v>0.03125</v>
      </c>
      <c r="M1933" s="0" t="n">
        <f aca="false">E1933*F1933</f>
        <v>-0.046875</v>
      </c>
      <c r="N1933" s="0" t="n">
        <f aca="false">D1933*D1933</f>
        <v>0.0625</v>
      </c>
      <c r="O1933" s="0" t="n">
        <f aca="false">E1933*E1933</f>
        <v>0.140625</v>
      </c>
      <c r="P1933" s="0" t="n">
        <f aca="false">F1933*F1933</f>
        <v>0.015625</v>
      </c>
      <c r="Q1933" s="0" t="n">
        <f aca="false">SUMPRODUCT(G1933:P1933,_XtX!$B$71:$K$71)</f>
        <v>47.7307244318182</v>
      </c>
      <c r="R1933" s="0" t="n">
        <f aca="false">SUMPRODUCT(MMULT(G1933:P1933,_XtX!$B$58:$K$67),G1933:P1933)</f>
        <v>0.127103493430398</v>
      </c>
      <c r="S1933" s="0" t="n">
        <f aca="false">04_回帰ANOVA!$K$19*04_回帰ANOVA!$K$14*SQRT(1+R1933)</f>
        <v>0.987071321387587</v>
      </c>
      <c r="T1933" s="0" t="n">
        <f aca="false">Q1933-S1933</f>
        <v>46.7436531104306</v>
      </c>
      <c r="U1933" s="0" t="n">
        <f aca="false">Q1933+S1933</f>
        <v>48.7177957532058</v>
      </c>
      <c r="V1933" s="54" t="b">
        <f aca="false">AND(D1933&gt;=01_因子設定!$L$5-0.000000001,D1933&lt;=01_因子設定!$M$5+0.000000001,E1933&gt;=01_因子設定!$L$6-0.000000001,E1933&lt;=01_因子設定!$M$6+0.000000001,F1933&gt;=01_因子設定!$L$7-0.000000001,F1933&lt;=01_因子設定!$M$7+0.000000001,IF(01_因子設定!$B$20="Box-Behnken",D1933^2+E1933^2+F1933^2&lt;=2+0.000000001,TRUE()))</f>
        <v>1</v>
      </c>
      <c r="W1933" s="55" t="n">
        <f aca="false">IF(V1933,IF(01_因子設定!$B$13="最大化",T1933-01_因子設定!$B$14,IF(01_因子設定!$B$13="最小化",01_因子設定!$B$15-U1933,MIN(T1933-01_因子設定!$B$14,01_因子設定!$B$15-U1933))),-1E+030)</f>
        <v>-1.7563468895694</v>
      </c>
      <c r="X1933" s="55" t="n">
        <f aca="false">IF(V1933,IF(01_因子設定!$B$13="最大化",Q1933,IF(01_因子設定!$B$13="最小化",-Q1933,-ABS(Q1933-01_因子設定!$B$16))),-1E+030)</f>
        <v>47.7307244318182</v>
      </c>
      <c r="Y1933" s="55" t="n">
        <f aca="false">W1933+ROW()*0.000000001</f>
        <v>-1.7563449565694</v>
      </c>
      <c r="Z1933" s="55" t="n">
        <f aca="false">X1933+ROW()*0.000000001</f>
        <v>47.7307263648182</v>
      </c>
    </row>
    <row r="1934" customFormat="false" ht="15" hidden="false" customHeight="false" outlineLevel="0" collapsed="false">
      <c r="A1934" s="0" t="n">
        <v>6</v>
      </c>
      <c r="B1934" s="0" t="n">
        <v>11</v>
      </c>
      <c r="C1934" s="0" t="n">
        <v>8</v>
      </c>
      <c r="D1934" s="0" t="n">
        <f aca="false">-1+A1934*0.125</f>
        <v>-0.25</v>
      </c>
      <c r="E1934" s="0" t="n">
        <f aca="false">-1+B1934*0.125</f>
        <v>0.375</v>
      </c>
      <c r="F1934" s="0" t="n">
        <f aca="false">-1+C1934*0.125</f>
        <v>0</v>
      </c>
      <c r="G1934" s="0" t="n">
        <f aca="false">1</f>
        <v>1</v>
      </c>
      <c r="H1934" s="0" t="n">
        <f aca="false">D1934</f>
        <v>-0.25</v>
      </c>
      <c r="I1934" s="0" t="n">
        <f aca="false">E1934</f>
        <v>0.375</v>
      </c>
      <c r="J1934" s="0" t="n">
        <f aca="false">F1934</f>
        <v>0</v>
      </c>
      <c r="K1934" s="0" t="n">
        <f aca="false">D1934*E1934</f>
        <v>-0.09375</v>
      </c>
      <c r="L1934" s="0" t="n">
        <f aca="false">D1934*F1934</f>
        <v>-0</v>
      </c>
      <c r="M1934" s="0" t="n">
        <f aca="false">E1934*F1934</f>
        <v>0</v>
      </c>
      <c r="N1934" s="0" t="n">
        <f aca="false">D1934*D1934</f>
        <v>0.0625</v>
      </c>
      <c r="O1934" s="0" t="n">
        <f aca="false">E1934*E1934</f>
        <v>0.140625</v>
      </c>
      <c r="P1934" s="0" t="n">
        <f aca="false">F1934*F1934</f>
        <v>0</v>
      </c>
      <c r="Q1934" s="0" t="n">
        <f aca="false">SUMPRODUCT(G1934:P1934,_XtX!$B$71:$K$71)</f>
        <v>47.9474005681818</v>
      </c>
      <c r="R1934" s="0" t="n">
        <f aca="false">SUMPRODUCT(MMULT(G1934:P1934,_XtX!$B$58:$K$67),G1934:P1934)</f>
        <v>0.127341530539773</v>
      </c>
      <c r="S1934" s="0" t="n">
        <f aca="false">04_回帰ANOVA!$K$19*04_回帰ANOVA!$K$14*SQRT(1+R1934)</f>
        <v>0.987175547486288</v>
      </c>
      <c r="T1934" s="0" t="n">
        <f aca="false">Q1934-S1934</f>
        <v>46.9602250206955</v>
      </c>
      <c r="U1934" s="0" t="n">
        <f aca="false">Q1934+S1934</f>
        <v>48.9345761156681</v>
      </c>
      <c r="V1934" s="54" t="b">
        <f aca="false">AND(D1934&gt;=01_因子設定!$L$5-0.000000001,D1934&lt;=01_因子設定!$M$5+0.000000001,E1934&gt;=01_因子設定!$L$6-0.000000001,E1934&lt;=01_因子設定!$M$6+0.000000001,F1934&gt;=01_因子設定!$L$7-0.000000001,F1934&lt;=01_因子設定!$M$7+0.000000001,IF(01_因子設定!$B$20="Box-Behnken",D1934^2+E1934^2+F1934^2&lt;=2+0.000000001,TRUE()))</f>
        <v>1</v>
      </c>
      <c r="W1934" s="55" t="n">
        <f aca="false">IF(V1934,IF(01_因子設定!$B$13="最大化",T1934-01_因子設定!$B$14,IF(01_因子設定!$B$13="最小化",01_因子設定!$B$15-U1934,MIN(T1934-01_因子設定!$B$14,01_因子設定!$B$15-U1934))),-1E+030)</f>
        <v>-1.53977497930446</v>
      </c>
      <c r="X1934" s="55" t="n">
        <f aca="false">IF(V1934,IF(01_因子設定!$B$13="最大化",Q1934,IF(01_因子設定!$B$13="最小化",-Q1934,-ABS(Q1934-01_因子設定!$B$16))),-1E+030)</f>
        <v>47.9474005681818</v>
      </c>
      <c r="Y1934" s="55" t="n">
        <f aca="false">W1934+ROW()*0.000000001</f>
        <v>-1.53977304530446</v>
      </c>
      <c r="Z1934" s="55" t="n">
        <f aca="false">X1934+ROW()*0.000000001</f>
        <v>47.9474025021818</v>
      </c>
    </row>
    <row r="1935" customFormat="false" ht="15" hidden="false" customHeight="false" outlineLevel="0" collapsed="false">
      <c r="A1935" s="0" t="n">
        <v>6</v>
      </c>
      <c r="B1935" s="0" t="n">
        <v>11</v>
      </c>
      <c r="C1935" s="0" t="n">
        <v>9</v>
      </c>
      <c r="D1935" s="0" t="n">
        <f aca="false">-1+A1935*0.125</f>
        <v>-0.25</v>
      </c>
      <c r="E1935" s="0" t="n">
        <f aca="false">-1+B1935*0.125</f>
        <v>0.375</v>
      </c>
      <c r="F1935" s="0" t="n">
        <f aca="false">-1+C1935*0.125</f>
        <v>0.125</v>
      </c>
      <c r="G1935" s="0" t="n">
        <f aca="false">1</f>
        <v>1</v>
      </c>
      <c r="H1935" s="0" t="n">
        <f aca="false">D1935</f>
        <v>-0.25</v>
      </c>
      <c r="I1935" s="0" t="n">
        <f aca="false">E1935</f>
        <v>0.375</v>
      </c>
      <c r="J1935" s="0" t="n">
        <f aca="false">F1935</f>
        <v>0.125</v>
      </c>
      <c r="K1935" s="0" t="n">
        <f aca="false">D1935*E1935</f>
        <v>-0.09375</v>
      </c>
      <c r="L1935" s="0" t="n">
        <f aca="false">D1935*F1935</f>
        <v>-0.03125</v>
      </c>
      <c r="M1935" s="0" t="n">
        <f aca="false">E1935*F1935</f>
        <v>0.046875</v>
      </c>
      <c r="N1935" s="0" t="n">
        <f aca="false">D1935*D1935</f>
        <v>0.0625</v>
      </c>
      <c r="O1935" s="0" t="n">
        <f aca="false">E1935*E1935</f>
        <v>0.140625</v>
      </c>
      <c r="P1935" s="0" t="n">
        <f aca="false">F1935*F1935</f>
        <v>0.015625</v>
      </c>
      <c r="Q1935" s="0" t="n">
        <f aca="false">SUMPRODUCT(G1935:P1935,_XtX!$B$71:$K$71)</f>
        <v>48.1272869318182</v>
      </c>
      <c r="R1935" s="0" t="n">
        <f aca="false">SUMPRODUCT(MMULT(G1935:P1935,_XtX!$B$58:$K$67),G1935:P1935)</f>
        <v>0.127103493430398</v>
      </c>
      <c r="S1935" s="0" t="n">
        <f aca="false">04_回帰ANOVA!$K$19*04_回帰ANOVA!$K$14*SQRT(1+R1935)</f>
        <v>0.987071321387587</v>
      </c>
      <c r="T1935" s="0" t="n">
        <f aca="false">Q1935-S1935</f>
        <v>47.1402156104306</v>
      </c>
      <c r="U1935" s="0" t="n">
        <f aca="false">Q1935+S1935</f>
        <v>49.1143582532058</v>
      </c>
      <c r="V1935" s="54" t="b">
        <f aca="false">AND(D1935&gt;=01_因子設定!$L$5-0.000000001,D1935&lt;=01_因子設定!$M$5+0.000000001,E1935&gt;=01_因子設定!$L$6-0.000000001,E1935&lt;=01_因子設定!$M$6+0.000000001,F1935&gt;=01_因子設定!$L$7-0.000000001,F1935&lt;=01_因子設定!$M$7+0.000000001,IF(01_因子設定!$B$20="Box-Behnken",D1935^2+E1935^2+F1935^2&lt;=2+0.000000001,TRUE()))</f>
        <v>1</v>
      </c>
      <c r="W1935" s="55" t="n">
        <f aca="false">IF(V1935,IF(01_因子設定!$B$13="最大化",T1935-01_因子設定!$B$14,IF(01_因子設定!$B$13="最小化",01_因子設定!$B$15-U1935,MIN(T1935-01_因子設定!$B$14,01_因子設定!$B$15-U1935))),-1E+030)</f>
        <v>-1.3597843895694</v>
      </c>
      <c r="X1935" s="55" t="n">
        <f aca="false">IF(V1935,IF(01_因子設定!$B$13="最大化",Q1935,IF(01_因子設定!$B$13="最小化",-Q1935,-ABS(Q1935-01_因子設定!$B$16))),-1E+030)</f>
        <v>48.1272869318182</v>
      </c>
      <c r="Y1935" s="55" t="n">
        <f aca="false">W1935+ROW()*0.000000001</f>
        <v>-1.3597824545694</v>
      </c>
      <c r="Z1935" s="55" t="n">
        <f aca="false">X1935+ROW()*0.000000001</f>
        <v>48.1272888668182</v>
      </c>
    </row>
    <row r="1936" customFormat="false" ht="15" hidden="false" customHeight="false" outlineLevel="0" collapsed="false">
      <c r="A1936" s="0" t="n">
        <v>6</v>
      </c>
      <c r="B1936" s="0" t="n">
        <v>11</v>
      </c>
      <c r="C1936" s="0" t="n">
        <v>10</v>
      </c>
      <c r="D1936" s="0" t="n">
        <f aca="false">-1+A1936*0.125</f>
        <v>-0.25</v>
      </c>
      <c r="E1936" s="0" t="n">
        <f aca="false">-1+B1936*0.125</f>
        <v>0.375</v>
      </c>
      <c r="F1936" s="0" t="n">
        <f aca="false">-1+C1936*0.125</f>
        <v>0.25</v>
      </c>
      <c r="G1936" s="0" t="n">
        <f aca="false">1</f>
        <v>1</v>
      </c>
      <c r="H1936" s="0" t="n">
        <f aca="false">D1936</f>
        <v>-0.25</v>
      </c>
      <c r="I1936" s="0" t="n">
        <f aca="false">E1936</f>
        <v>0.375</v>
      </c>
      <c r="J1936" s="0" t="n">
        <f aca="false">F1936</f>
        <v>0.25</v>
      </c>
      <c r="K1936" s="0" t="n">
        <f aca="false">D1936*E1936</f>
        <v>-0.09375</v>
      </c>
      <c r="L1936" s="0" t="n">
        <f aca="false">D1936*F1936</f>
        <v>-0.0625</v>
      </c>
      <c r="M1936" s="0" t="n">
        <f aca="false">E1936*F1936</f>
        <v>0.09375</v>
      </c>
      <c r="N1936" s="0" t="n">
        <f aca="false">D1936*D1936</f>
        <v>0.0625</v>
      </c>
      <c r="O1936" s="0" t="n">
        <f aca="false">E1936*E1936</f>
        <v>0.140625</v>
      </c>
      <c r="P1936" s="0" t="n">
        <f aca="false">F1936*F1936</f>
        <v>0.0625</v>
      </c>
      <c r="Q1936" s="0" t="n">
        <f aca="false">SUMPRODUCT(G1936:P1936,_XtX!$B$71:$K$71)</f>
        <v>48.2703835227273</v>
      </c>
      <c r="R1936" s="0" t="n">
        <f aca="false">SUMPRODUCT(MMULT(G1936:P1936,_XtX!$B$58:$K$67),G1936:P1936)</f>
        <v>0.127454723011364</v>
      </c>
      <c r="S1936" s="0" t="n">
        <f aca="false">04_回帰ANOVA!$K$19*04_回帰ANOVA!$K$14*SQRT(1+R1936)</f>
        <v>0.987225105686864</v>
      </c>
      <c r="T1936" s="0" t="n">
        <f aca="false">Q1936-S1936</f>
        <v>47.2831584170404</v>
      </c>
      <c r="U1936" s="0" t="n">
        <f aca="false">Q1936+S1936</f>
        <v>49.2576086284142</v>
      </c>
      <c r="V1936" s="54" t="b">
        <f aca="false">AND(D1936&gt;=01_因子設定!$L$5-0.000000001,D1936&lt;=01_因子設定!$M$5+0.000000001,E1936&gt;=01_因子設定!$L$6-0.000000001,E1936&lt;=01_因子設定!$M$6+0.000000001,F1936&gt;=01_因子設定!$L$7-0.000000001,F1936&lt;=01_因子設定!$M$7+0.000000001,IF(01_因子設定!$B$20="Box-Behnken",D1936^2+E1936^2+F1936^2&lt;=2+0.000000001,TRUE()))</f>
        <v>1</v>
      </c>
      <c r="W1936" s="55" t="n">
        <f aca="false">IF(V1936,IF(01_因子設定!$B$13="最大化",T1936-01_因子設定!$B$14,IF(01_因子設定!$B$13="最小化",01_因子設定!$B$15-U1936,MIN(T1936-01_因子設定!$B$14,01_因子設定!$B$15-U1936))),-1E+030)</f>
        <v>-1.21684158295959</v>
      </c>
      <c r="X1936" s="55" t="n">
        <f aca="false">IF(V1936,IF(01_因子設定!$B$13="最大化",Q1936,IF(01_因子設定!$B$13="最小化",-Q1936,-ABS(Q1936-01_因子設定!$B$16))),-1E+030)</f>
        <v>48.2703835227273</v>
      </c>
      <c r="Y1936" s="55" t="n">
        <f aca="false">W1936+ROW()*0.000000001</f>
        <v>-1.21683964695959</v>
      </c>
      <c r="Z1936" s="55" t="n">
        <f aca="false">X1936+ROW()*0.000000001</f>
        <v>48.2703854587273</v>
      </c>
    </row>
    <row r="1937" customFormat="false" ht="15" hidden="false" customHeight="false" outlineLevel="0" collapsed="false">
      <c r="A1937" s="0" t="n">
        <v>6</v>
      </c>
      <c r="B1937" s="0" t="n">
        <v>11</v>
      </c>
      <c r="C1937" s="0" t="n">
        <v>11</v>
      </c>
      <c r="D1937" s="0" t="n">
        <f aca="false">-1+A1937*0.125</f>
        <v>-0.25</v>
      </c>
      <c r="E1937" s="0" t="n">
        <f aca="false">-1+B1937*0.125</f>
        <v>0.375</v>
      </c>
      <c r="F1937" s="0" t="n">
        <f aca="false">-1+C1937*0.125</f>
        <v>0.375</v>
      </c>
      <c r="G1937" s="0" t="n">
        <f aca="false">1</f>
        <v>1</v>
      </c>
      <c r="H1937" s="0" t="n">
        <f aca="false">D1937</f>
        <v>-0.25</v>
      </c>
      <c r="I1937" s="0" t="n">
        <f aca="false">E1937</f>
        <v>0.375</v>
      </c>
      <c r="J1937" s="0" t="n">
        <f aca="false">F1937</f>
        <v>0.375</v>
      </c>
      <c r="K1937" s="0" t="n">
        <f aca="false">D1937*E1937</f>
        <v>-0.09375</v>
      </c>
      <c r="L1937" s="0" t="n">
        <f aca="false">D1937*F1937</f>
        <v>-0.09375</v>
      </c>
      <c r="M1937" s="0" t="n">
        <f aca="false">E1937*F1937</f>
        <v>0.140625</v>
      </c>
      <c r="N1937" s="0" t="n">
        <f aca="false">D1937*D1937</f>
        <v>0.0625</v>
      </c>
      <c r="O1937" s="0" t="n">
        <f aca="false">E1937*E1937</f>
        <v>0.140625</v>
      </c>
      <c r="P1937" s="0" t="n">
        <f aca="false">F1937*F1937</f>
        <v>0.140625</v>
      </c>
      <c r="Q1937" s="0" t="n">
        <f aca="false">SUMPRODUCT(G1937:P1937,_XtX!$B$71:$K$71)</f>
        <v>48.3766903409091</v>
      </c>
      <c r="R1937" s="0" t="n">
        <f aca="false">SUMPRODUCT(MMULT(G1937:P1937,_XtX!$B$58:$K$67),G1937:P1937)</f>
        <v>0.131591242009943</v>
      </c>
      <c r="S1937" s="0" t="n">
        <f aca="false">04_回帰ANOVA!$K$19*04_回帰ANOVA!$K$14*SQRT(1+R1937)</f>
        <v>0.989034462873572</v>
      </c>
      <c r="T1937" s="0" t="n">
        <f aca="false">Q1937-S1937</f>
        <v>47.3876558780355</v>
      </c>
      <c r="U1937" s="0" t="n">
        <f aca="false">Q1937+S1937</f>
        <v>49.3657248037827</v>
      </c>
      <c r="V1937" s="54" t="b">
        <f aca="false">AND(D1937&gt;=01_因子設定!$L$5-0.000000001,D1937&lt;=01_因子設定!$M$5+0.000000001,E1937&gt;=01_因子設定!$L$6-0.000000001,E1937&lt;=01_因子設定!$M$6+0.000000001,F1937&gt;=01_因子設定!$L$7-0.000000001,F1937&lt;=01_因子設定!$M$7+0.000000001,IF(01_因子設定!$B$20="Box-Behnken",D1937^2+E1937^2+F1937^2&lt;=2+0.000000001,TRUE()))</f>
        <v>1</v>
      </c>
      <c r="W1937" s="55" t="n">
        <f aca="false">IF(V1937,IF(01_因子設定!$B$13="最大化",T1937-01_因子設定!$B$14,IF(01_因子設定!$B$13="最小化",01_因子設定!$B$15-U1937,MIN(T1937-01_因子設定!$B$14,01_因子設定!$B$15-U1937))),-1E+030)</f>
        <v>-1.11234412196447</v>
      </c>
      <c r="X1937" s="55" t="n">
        <f aca="false">IF(V1937,IF(01_因子設定!$B$13="最大化",Q1937,IF(01_因子設定!$B$13="最小化",-Q1937,-ABS(Q1937-01_因子設定!$B$16))),-1E+030)</f>
        <v>48.3766903409091</v>
      </c>
      <c r="Y1937" s="55" t="n">
        <f aca="false">W1937+ROW()*0.000000001</f>
        <v>-1.11234218496447</v>
      </c>
      <c r="Z1937" s="55" t="n">
        <f aca="false">X1937+ROW()*0.000000001</f>
        <v>48.3766922779091</v>
      </c>
    </row>
    <row r="1938" customFormat="false" ht="15" hidden="false" customHeight="false" outlineLevel="0" collapsed="false">
      <c r="A1938" s="0" t="n">
        <v>6</v>
      </c>
      <c r="B1938" s="0" t="n">
        <v>11</v>
      </c>
      <c r="C1938" s="0" t="n">
        <v>12</v>
      </c>
      <c r="D1938" s="0" t="n">
        <f aca="false">-1+A1938*0.125</f>
        <v>-0.25</v>
      </c>
      <c r="E1938" s="0" t="n">
        <f aca="false">-1+B1938*0.125</f>
        <v>0.375</v>
      </c>
      <c r="F1938" s="0" t="n">
        <f aca="false">-1+C1938*0.125</f>
        <v>0.5</v>
      </c>
      <c r="G1938" s="0" t="n">
        <f aca="false">1</f>
        <v>1</v>
      </c>
      <c r="H1938" s="0" t="n">
        <f aca="false">D1938</f>
        <v>-0.25</v>
      </c>
      <c r="I1938" s="0" t="n">
        <f aca="false">E1938</f>
        <v>0.375</v>
      </c>
      <c r="J1938" s="0" t="n">
        <f aca="false">F1938</f>
        <v>0.5</v>
      </c>
      <c r="K1938" s="0" t="n">
        <f aca="false">D1938*E1938</f>
        <v>-0.09375</v>
      </c>
      <c r="L1938" s="0" t="n">
        <f aca="false">D1938*F1938</f>
        <v>-0.125</v>
      </c>
      <c r="M1938" s="0" t="n">
        <f aca="false">E1938*F1938</f>
        <v>0.1875</v>
      </c>
      <c r="N1938" s="0" t="n">
        <f aca="false">D1938*D1938</f>
        <v>0.0625</v>
      </c>
      <c r="O1938" s="0" t="n">
        <f aca="false">E1938*E1938</f>
        <v>0.140625</v>
      </c>
      <c r="P1938" s="0" t="n">
        <f aca="false">F1938*F1938</f>
        <v>0.25</v>
      </c>
      <c r="Q1938" s="0" t="n">
        <f aca="false">SUMPRODUCT(G1938:P1938,_XtX!$B$71:$K$71)</f>
        <v>48.4462073863636</v>
      </c>
      <c r="R1938" s="0" t="n">
        <f aca="false">SUMPRODUCT(MMULT(G1938:P1938,_XtX!$B$58:$K$67),G1938:P1938)</f>
        <v>0.144839754971591</v>
      </c>
      <c r="S1938" s="0" t="n">
        <f aca="false">04_回帰ANOVA!$K$19*04_回帰ANOVA!$K$14*SQRT(1+R1938)</f>
        <v>0.994807353995542</v>
      </c>
      <c r="T1938" s="0" t="n">
        <f aca="false">Q1938-S1938</f>
        <v>47.4514000323681</v>
      </c>
      <c r="U1938" s="0" t="n">
        <f aca="false">Q1938+S1938</f>
        <v>49.4410147403592</v>
      </c>
      <c r="V1938" s="54" t="b">
        <f aca="false">AND(D1938&gt;=01_因子設定!$L$5-0.000000001,D1938&lt;=01_因子設定!$M$5+0.000000001,E1938&gt;=01_因子設定!$L$6-0.000000001,E1938&lt;=01_因子設定!$M$6+0.000000001,F1938&gt;=01_因子設定!$L$7-0.000000001,F1938&lt;=01_因子設定!$M$7+0.000000001,IF(01_因子設定!$B$20="Box-Behnken",D1938^2+E1938^2+F1938^2&lt;=2+0.000000001,TRUE()))</f>
        <v>1</v>
      </c>
      <c r="W1938" s="55" t="n">
        <f aca="false">IF(V1938,IF(01_因子設定!$B$13="最大化",T1938-01_因子設定!$B$14,IF(01_因子設定!$B$13="最小化",01_因子設定!$B$15-U1938,MIN(T1938-01_因子設定!$B$14,01_因子設定!$B$15-U1938))),-1E+030)</f>
        <v>-1.04859996763189</v>
      </c>
      <c r="X1938" s="55" t="n">
        <f aca="false">IF(V1938,IF(01_因子設定!$B$13="最大化",Q1938,IF(01_因子設定!$B$13="最小化",-Q1938,-ABS(Q1938-01_因子設定!$B$16))),-1E+030)</f>
        <v>48.4462073863636</v>
      </c>
      <c r="Y1938" s="55" t="n">
        <f aca="false">W1938+ROW()*0.000000001</f>
        <v>-1.04859802963189</v>
      </c>
      <c r="Z1938" s="55" t="n">
        <f aca="false">X1938+ROW()*0.000000001</f>
        <v>48.4462093243636</v>
      </c>
    </row>
    <row r="1939" customFormat="false" ht="15" hidden="false" customHeight="false" outlineLevel="0" collapsed="false">
      <c r="A1939" s="0" t="n">
        <v>6</v>
      </c>
      <c r="B1939" s="0" t="n">
        <v>11</v>
      </c>
      <c r="C1939" s="0" t="n">
        <v>13</v>
      </c>
      <c r="D1939" s="0" t="n">
        <f aca="false">-1+A1939*0.125</f>
        <v>-0.25</v>
      </c>
      <c r="E1939" s="0" t="n">
        <f aca="false">-1+B1939*0.125</f>
        <v>0.375</v>
      </c>
      <c r="F1939" s="0" t="n">
        <f aca="false">-1+C1939*0.125</f>
        <v>0.625</v>
      </c>
      <c r="G1939" s="0" t="n">
        <f aca="false">1</f>
        <v>1</v>
      </c>
      <c r="H1939" s="0" t="n">
        <f aca="false">D1939</f>
        <v>-0.25</v>
      </c>
      <c r="I1939" s="0" t="n">
        <f aca="false">E1939</f>
        <v>0.375</v>
      </c>
      <c r="J1939" s="0" t="n">
        <f aca="false">F1939</f>
        <v>0.625</v>
      </c>
      <c r="K1939" s="0" t="n">
        <f aca="false">D1939*E1939</f>
        <v>-0.09375</v>
      </c>
      <c r="L1939" s="0" t="n">
        <f aca="false">D1939*F1939</f>
        <v>-0.15625</v>
      </c>
      <c r="M1939" s="0" t="n">
        <f aca="false">E1939*F1939</f>
        <v>0.234375</v>
      </c>
      <c r="N1939" s="0" t="n">
        <f aca="false">D1939*D1939</f>
        <v>0.0625</v>
      </c>
      <c r="O1939" s="0" t="n">
        <f aca="false">E1939*E1939</f>
        <v>0.140625</v>
      </c>
      <c r="P1939" s="0" t="n">
        <f aca="false">F1939*F1939</f>
        <v>0.390625</v>
      </c>
      <c r="Q1939" s="0" t="n">
        <f aca="false">SUMPRODUCT(G1939:P1939,_XtX!$B$71:$K$71)</f>
        <v>48.4789346590909</v>
      </c>
      <c r="R1939" s="0" t="n">
        <f aca="false">SUMPRODUCT(MMULT(G1939:P1939,_XtX!$B$58:$K$67),G1939:P1939)</f>
        <v>0.174657648259943</v>
      </c>
      <c r="S1939" s="0" t="n">
        <f aca="false">04_回帰ANOVA!$K$19*04_回帰ANOVA!$K$14*SQRT(1+R1939)</f>
        <v>1.00767919364845</v>
      </c>
      <c r="T1939" s="0" t="n">
        <f aca="false">Q1939-S1939</f>
        <v>47.4712554654425</v>
      </c>
      <c r="U1939" s="0" t="n">
        <f aca="false">Q1939+S1939</f>
        <v>49.4866138527394</v>
      </c>
      <c r="V1939" s="54" t="b">
        <f aca="false">AND(D1939&gt;=01_因子設定!$L$5-0.000000001,D1939&lt;=01_因子設定!$M$5+0.000000001,E1939&gt;=01_因子設定!$L$6-0.000000001,E1939&lt;=01_因子設定!$M$6+0.000000001,F1939&gt;=01_因子設定!$L$7-0.000000001,F1939&lt;=01_因子設定!$M$7+0.000000001,IF(01_因子設定!$B$20="Box-Behnken",D1939^2+E1939^2+F1939^2&lt;=2+0.000000001,TRUE()))</f>
        <v>1</v>
      </c>
      <c r="W1939" s="55" t="n">
        <f aca="false">IF(V1939,IF(01_因子設定!$B$13="最大化",T1939-01_因子設定!$B$14,IF(01_因子設定!$B$13="最小化",01_因子設定!$B$15-U1939,MIN(T1939-01_因子設定!$B$14,01_因子設定!$B$15-U1939))),-1E+030)</f>
        <v>-1.02874453455752</v>
      </c>
      <c r="X1939" s="55" t="n">
        <f aca="false">IF(V1939,IF(01_因子設定!$B$13="最大化",Q1939,IF(01_因子設定!$B$13="最小化",-Q1939,-ABS(Q1939-01_因子設定!$B$16))),-1E+030)</f>
        <v>48.4789346590909</v>
      </c>
      <c r="Y1939" s="55" t="n">
        <f aca="false">W1939+ROW()*0.000000001</f>
        <v>-1.02874259555752</v>
      </c>
      <c r="Z1939" s="55" t="n">
        <f aca="false">X1939+ROW()*0.000000001</f>
        <v>48.4789365980909</v>
      </c>
    </row>
    <row r="1940" customFormat="false" ht="15" hidden="false" customHeight="false" outlineLevel="0" collapsed="false">
      <c r="A1940" s="0" t="n">
        <v>6</v>
      </c>
      <c r="B1940" s="0" t="n">
        <v>11</v>
      </c>
      <c r="C1940" s="0" t="n">
        <v>14</v>
      </c>
      <c r="D1940" s="0" t="n">
        <f aca="false">-1+A1940*0.125</f>
        <v>-0.25</v>
      </c>
      <c r="E1940" s="0" t="n">
        <f aca="false">-1+B1940*0.125</f>
        <v>0.375</v>
      </c>
      <c r="F1940" s="0" t="n">
        <f aca="false">-1+C1940*0.125</f>
        <v>0.75</v>
      </c>
      <c r="G1940" s="0" t="n">
        <f aca="false">1</f>
        <v>1</v>
      </c>
      <c r="H1940" s="0" t="n">
        <f aca="false">D1940</f>
        <v>-0.25</v>
      </c>
      <c r="I1940" s="0" t="n">
        <f aca="false">E1940</f>
        <v>0.375</v>
      </c>
      <c r="J1940" s="0" t="n">
        <f aca="false">F1940</f>
        <v>0.75</v>
      </c>
      <c r="K1940" s="0" t="n">
        <f aca="false">D1940*E1940</f>
        <v>-0.09375</v>
      </c>
      <c r="L1940" s="0" t="n">
        <f aca="false">D1940*F1940</f>
        <v>-0.1875</v>
      </c>
      <c r="M1940" s="0" t="n">
        <f aca="false">E1940*F1940</f>
        <v>0.28125</v>
      </c>
      <c r="N1940" s="0" t="n">
        <f aca="false">D1940*D1940</f>
        <v>0.0625</v>
      </c>
      <c r="O1940" s="0" t="n">
        <f aca="false">E1940*E1940</f>
        <v>0.140625</v>
      </c>
      <c r="P1940" s="0" t="n">
        <f aca="false">F1940*F1940</f>
        <v>0.5625</v>
      </c>
      <c r="Q1940" s="0" t="n">
        <f aca="false">SUMPRODUCT(G1940:P1940,_XtX!$B$71:$K$71)</f>
        <v>48.4748721590909</v>
      </c>
      <c r="R1940" s="0" t="n">
        <f aca="false">SUMPRODUCT(MMULT(G1940:P1940,_XtX!$B$58:$K$67),G1940:P1940)</f>
        <v>0.230632990056818</v>
      </c>
      <c r="S1940" s="0" t="n">
        <f aca="false">04_回帰ANOVA!$K$19*04_回帰ANOVA!$K$14*SQRT(1+R1940)</f>
        <v>1.03140899038819</v>
      </c>
      <c r="T1940" s="0" t="n">
        <f aca="false">Q1940-S1940</f>
        <v>47.4434631687027</v>
      </c>
      <c r="U1940" s="0" t="n">
        <f aca="false">Q1940+S1940</f>
        <v>49.5062811494791</v>
      </c>
      <c r="V1940" s="54" t="b">
        <f aca="false">AND(D1940&gt;=01_因子設定!$L$5-0.000000001,D1940&lt;=01_因子設定!$M$5+0.000000001,E1940&gt;=01_因子設定!$L$6-0.000000001,E1940&lt;=01_因子設定!$M$6+0.000000001,F1940&gt;=01_因子設定!$L$7-0.000000001,F1940&lt;=01_因子設定!$M$7+0.000000001,IF(01_因子設定!$B$20="Box-Behnken",D1940^2+E1940^2+F1940^2&lt;=2+0.000000001,TRUE()))</f>
        <v>1</v>
      </c>
      <c r="W1940" s="55" t="n">
        <f aca="false">IF(V1940,IF(01_因子設定!$B$13="最大化",T1940-01_因子設定!$B$14,IF(01_因子設定!$B$13="最小化",01_因子設定!$B$15-U1940,MIN(T1940-01_因子設定!$B$14,01_因子設定!$B$15-U1940))),-1E+030)</f>
        <v>-1.05653683129726</v>
      </c>
      <c r="X1940" s="55" t="n">
        <f aca="false">IF(V1940,IF(01_因子設定!$B$13="最大化",Q1940,IF(01_因子設定!$B$13="最小化",-Q1940,-ABS(Q1940-01_因子設定!$B$16))),-1E+030)</f>
        <v>48.4748721590909</v>
      </c>
      <c r="Y1940" s="55" t="n">
        <f aca="false">W1940+ROW()*0.000000001</f>
        <v>-1.05653489129726</v>
      </c>
      <c r="Z1940" s="55" t="n">
        <f aca="false">X1940+ROW()*0.000000001</f>
        <v>48.4748740990909</v>
      </c>
    </row>
    <row r="1941" customFormat="false" ht="15" hidden="false" customHeight="false" outlineLevel="0" collapsed="false">
      <c r="A1941" s="0" t="n">
        <v>6</v>
      </c>
      <c r="B1941" s="0" t="n">
        <v>11</v>
      </c>
      <c r="C1941" s="0" t="n">
        <v>15</v>
      </c>
      <c r="D1941" s="0" t="n">
        <f aca="false">-1+A1941*0.125</f>
        <v>-0.25</v>
      </c>
      <c r="E1941" s="0" t="n">
        <f aca="false">-1+B1941*0.125</f>
        <v>0.375</v>
      </c>
      <c r="F1941" s="0" t="n">
        <f aca="false">-1+C1941*0.125</f>
        <v>0.875</v>
      </c>
      <c r="G1941" s="0" t="n">
        <f aca="false">1</f>
        <v>1</v>
      </c>
      <c r="H1941" s="0" t="n">
        <f aca="false">D1941</f>
        <v>-0.25</v>
      </c>
      <c r="I1941" s="0" t="n">
        <f aca="false">E1941</f>
        <v>0.375</v>
      </c>
      <c r="J1941" s="0" t="n">
        <f aca="false">F1941</f>
        <v>0.875</v>
      </c>
      <c r="K1941" s="0" t="n">
        <f aca="false">D1941*E1941</f>
        <v>-0.09375</v>
      </c>
      <c r="L1941" s="0" t="n">
        <f aca="false">D1941*F1941</f>
        <v>-0.21875</v>
      </c>
      <c r="M1941" s="0" t="n">
        <f aca="false">E1941*F1941</f>
        <v>0.328125</v>
      </c>
      <c r="N1941" s="0" t="n">
        <f aca="false">D1941*D1941</f>
        <v>0.0625</v>
      </c>
      <c r="O1941" s="0" t="n">
        <f aca="false">E1941*E1941</f>
        <v>0.140625</v>
      </c>
      <c r="P1941" s="0" t="n">
        <f aca="false">F1941*F1941</f>
        <v>0.765625</v>
      </c>
      <c r="Q1941" s="0" t="n">
        <f aca="false">SUMPRODUCT(G1941:P1941,_XtX!$B$71:$K$71)</f>
        <v>48.4340198863637</v>
      </c>
      <c r="R1941" s="0" t="n">
        <f aca="false">SUMPRODUCT(MMULT(G1941:P1941,_XtX!$B$58:$K$67),G1941:P1941)</f>
        <v>0.324484530362216</v>
      </c>
      <c r="S1941" s="0" t="n">
        <f aca="false">04_回帰ANOVA!$K$19*04_回帰ANOVA!$K$14*SQRT(1+R1941)</f>
        <v>1.07001553041279</v>
      </c>
      <c r="T1941" s="0" t="n">
        <f aca="false">Q1941-S1941</f>
        <v>47.3640043559509</v>
      </c>
      <c r="U1941" s="0" t="n">
        <f aca="false">Q1941+S1941</f>
        <v>49.5040354167764</v>
      </c>
      <c r="V1941" s="54" t="b">
        <f aca="false">AND(D1941&gt;=01_因子設定!$L$5-0.000000001,D1941&lt;=01_因子設定!$M$5+0.000000001,E1941&gt;=01_因子設定!$L$6-0.000000001,E1941&lt;=01_因子設定!$M$6+0.000000001,F1941&gt;=01_因子設定!$L$7-0.000000001,F1941&lt;=01_因子設定!$M$7+0.000000001,IF(01_因子設定!$B$20="Box-Behnken",D1941^2+E1941^2+F1941^2&lt;=2+0.000000001,TRUE()))</f>
        <v>1</v>
      </c>
      <c r="W1941" s="55" t="n">
        <f aca="false">IF(V1941,IF(01_因子設定!$B$13="最大化",T1941-01_因子設定!$B$14,IF(01_因子設定!$B$13="最小化",01_因子設定!$B$15-U1941,MIN(T1941-01_因子設定!$B$14,01_因子設定!$B$15-U1941))),-1E+030)</f>
        <v>-1.13599564404913</v>
      </c>
      <c r="X1941" s="55" t="n">
        <f aca="false">IF(V1941,IF(01_因子設定!$B$13="最大化",Q1941,IF(01_因子設定!$B$13="最小化",-Q1941,-ABS(Q1941-01_因子設定!$B$16))),-1E+030)</f>
        <v>48.4340198863637</v>
      </c>
      <c r="Y1941" s="55" t="n">
        <f aca="false">W1941+ROW()*0.000000001</f>
        <v>-1.13599370304913</v>
      </c>
      <c r="Z1941" s="55" t="n">
        <f aca="false">X1941+ROW()*0.000000001</f>
        <v>48.4340218273637</v>
      </c>
    </row>
    <row r="1942" customFormat="false" ht="15" hidden="false" customHeight="false" outlineLevel="0" collapsed="false">
      <c r="A1942" s="0" t="n">
        <v>6</v>
      </c>
      <c r="B1942" s="0" t="n">
        <v>11</v>
      </c>
      <c r="C1942" s="0" t="n">
        <v>16</v>
      </c>
      <c r="D1942" s="0" t="n">
        <f aca="false">-1+A1942*0.125</f>
        <v>-0.25</v>
      </c>
      <c r="E1942" s="0" t="n">
        <f aca="false">-1+B1942*0.125</f>
        <v>0.375</v>
      </c>
      <c r="F1942" s="0" t="n">
        <f aca="false">-1+C1942*0.125</f>
        <v>1</v>
      </c>
      <c r="G1942" s="0" t="n">
        <f aca="false">1</f>
        <v>1</v>
      </c>
      <c r="H1942" s="0" t="n">
        <f aca="false">D1942</f>
        <v>-0.25</v>
      </c>
      <c r="I1942" s="0" t="n">
        <f aca="false">E1942</f>
        <v>0.375</v>
      </c>
      <c r="J1942" s="0" t="n">
        <f aca="false">F1942</f>
        <v>1</v>
      </c>
      <c r="K1942" s="0" t="n">
        <f aca="false">D1942*E1942</f>
        <v>-0.09375</v>
      </c>
      <c r="L1942" s="0" t="n">
        <f aca="false">D1942*F1942</f>
        <v>-0.25</v>
      </c>
      <c r="M1942" s="0" t="n">
        <f aca="false">E1942*F1942</f>
        <v>0.375</v>
      </c>
      <c r="N1942" s="0" t="n">
        <f aca="false">D1942*D1942</f>
        <v>0.0625</v>
      </c>
      <c r="O1942" s="0" t="n">
        <f aca="false">E1942*E1942</f>
        <v>0.140625</v>
      </c>
      <c r="P1942" s="0" t="n">
        <f aca="false">F1942*F1942</f>
        <v>1</v>
      </c>
      <c r="Q1942" s="0" t="n">
        <f aca="false">SUMPRODUCT(G1942:P1942,_XtX!$B$71:$K$71)</f>
        <v>48.3563778409091</v>
      </c>
      <c r="R1942" s="0" t="n">
        <f aca="false">SUMPRODUCT(MMULT(G1942:P1942,_XtX!$B$58:$K$67),G1942:P1942)</f>
        <v>0.470061700994318</v>
      </c>
      <c r="S1942" s="0" t="n">
        <f aca="false">04_回帰ANOVA!$K$19*04_回帰ANOVA!$K$14*SQRT(1+R1942)</f>
        <v>1.12728678965931</v>
      </c>
      <c r="T1942" s="0" t="n">
        <f aca="false">Q1942-S1942</f>
        <v>47.2290910512498</v>
      </c>
      <c r="U1942" s="0" t="n">
        <f aca="false">Q1942+S1942</f>
        <v>49.4836646305684</v>
      </c>
      <c r="V1942" s="54" t="b">
        <f aca="false">AND(D1942&gt;=01_因子設定!$L$5-0.000000001,D1942&lt;=01_因子設定!$M$5+0.000000001,E1942&gt;=01_因子設定!$L$6-0.000000001,E1942&lt;=01_因子設定!$M$6+0.000000001,F1942&gt;=01_因子設定!$L$7-0.000000001,F1942&lt;=01_因子設定!$M$7+0.000000001,IF(01_因子設定!$B$20="Box-Behnken",D1942^2+E1942^2+F1942^2&lt;=2+0.000000001,TRUE()))</f>
        <v>1</v>
      </c>
      <c r="W1942" s="55" t="n">
        <f aca="false">IF(V1942,IF(01_因子設定!$B$13="最大化",T1942-01_因子設定!$B$14,IF(01_因子設定!$B$13="最小化",01_因子設定!$B$15-U1942,MIN(T1942-01_因子設定!$B$14,01_因子設定!$B$15-U1942))),-1E+030)</f>
        <v>-1.27090894875019</v>
      </c>
      <c r="X1942" s="55" t="n">
        <f aca="false">IF(V1942,IF(01_因子設定!$B$13="最大化",Q1942,IF(01_因子設定!$B$13="最小化",-Q1942,-ABS(Q1942-01_因子設定!$B$16))),-1E+030)</f>
        <v>48.3563778409091</v>
      </c>
      <c r="Y1942" s="55" t="n">
        <f aca="false">W1942+ROW()*0.000000001</f>
        <v>-1.27090700675019</v>
      </c>
      <c r="Z1942" s="55" t="n">
        <f aca="false">X1942+ROW()*0.000000001</f>
        <v>48.3563797829091</v>
      </c>
    </row>
    <row r="1943" customFormat="false" ht="15" hidden="false" customHeight="false" outlineLevel="0" collapsed="false">
      <c r="A1943" s="0" t="n">
        <v>6</v>
      </c>
      <c r="B1943" s="0" t="n">
        <v>12</v>
      </c>
      <c r="C1943" s="0" t="n">
        <v>0</v>
      </c>
      <c r="D1943" s="0" t="n">
        <f aca="false">-1+A1943*0.125</f>
        <v>-0.25</v>
      </c>
      <c r="E1943" s="0" t="n">
        <f aca="false">-1+B1943*0.125</f>
        <v>0.5</v>
      </c>
      <c r="F1943" s="0" t="n">
        <f aca="false">-1+C1943*0.125</f>
        <v>-1</v>
      </c>
      <c r="G1943" s="0" t="n">
        <f aca="false">1</f>
        <v>1</v>
      </c>
      <c r="H1943" s="0" t="n">
        <f aca="false">D1943</f>
        <v>-0.25</v>
      </c>
      <c r="I1943" s="0" t="n">
        <f aca="false">E1943</f>
        <v>0.5</v>
      </c>
      <c r="J1943" s="0" t="n">
        <f aca="false">F1943</f>
        <v>-1</v>
      </c>
      <c r="K1943" s="0" t="n">
        <f aca="false">D1943*E1943</f>
        <v>-0.125</v>
      </c>
      <c r="L1943" s="0" t="n">
        <f aca="false">D1943*F1943</f>
        <v>0.25</v>
      </c>
      <c r="M1943" s="0" t="n">
        <f aca="false">E1943*F1943</f>
        <v>-0.5</v>
      </c>
      <c r="N1943" s="0" t="n">
        <f aca="false">D1943*D1943</f>
        <v>0.0625</v>
      </c>
      <c r="O1943" s="0" t="n">
        <f aca="false">E1943*E1943</f>
        <v>0.25</v>
      </c>
      <c r="P1943" s="0" t="n">
        <f aca="false">F1943*F1943</f>
        <v>1</v>
      </c>
      <c r="Q1943" s="0" t="n">
        <f aca="false">SUMPRODUCT(G1943:P1943,_XtX!$B$71:$K$71)</f>
        <v>45.1263636363637</v>
      </c>
      <c r="R1943" s="0" t="n">
        <f aca="false">SUMPRODUCT(MMULT(G1943:P1943,_XtX!$B$58:$K$67),G1943:P1943)</f>
        <v>0.469424715909091</v>
      </c>
      <c r="S1943" s="0" t="n">
        <f aca="false">04_回帰ANOVA!$K$19*04_回帰ANOVA!$K$14*SQRT(1+R1943)</f>
        <v>1.12704253369596</v>
      </c>
      <c r="T1943" s="0" t="n">
        <f aca="false">Q1943-S1943</f>
        <v>43.9993211026677</v>
      </c>
      <c r="U1943" s="0" t="n">
        <f aca="false">Q1943+S1943</f>
        <v>46.2534061700596</v>
      </c>
      <c r="V1943" s="54" t="b">
        <f aca="false">AND(D1943&gt;=01_因子設定!$L$5-0.000000001,D1943&lt;=01_因子設定!$M$5+0.000000001,E1943&gt;=01_因子設定!$L$6-0.000000001,E1943&lt;=01_因子設定!$M$6+0.000000001,F1943&gt;=01_因子設定!$L$7-0.000000001,F1943&lt;=01_因子設定!$M$7+0.000000001,IF(01_因子設定!$B$20="Box-Behnken",D1943^2+E1943^2+F1943^2&lt;=2+0.000000001,TRUE()))</f>
        <v>1</v>
      </c>
      <c r="W1943" s="55" t="n">
        <f aca="false">IF(V1943,IF(01_因子設定!$B$13="最大化",T1943-01_因子設定!$B$14,IF(01_因子設定!$B$13="最小化",01_因子設定!$B$15-U1943,MIN(T1943-01_因子設定!$B$14,01_因子設定!$B$15-U1943))),-1E+030)</f>
        <v>-4.50067889733229</v>
      </c>
      <c r="X1943" s="55" t="n">
        <f aca="false">IF(V1943,IF(01_因子設定!$B$13="最大化",Q1943,IF(01_因子設定!$B$13="最小化",-Q1943,-ABS(Q1943-01_因子設定!$B$16))),-1E+030)</f>
        <v>45.1263636363637</v>
      </c>
      <c r="Y1943" s="55" t="n">
        <f aca="false">W1943+ROW()*0.000000001</f>
        <v>-4.50067695433229</v>
      </c>
      <c r="Z1943" s="55" t="n">
        <f aca="false">X1943+ROW()*0.000000001</f>
        <v>45.1263655793637</v>
      </c>
    </row>
    <row r="1944" customFormat="false" ht="15" hidden="false" customHeight="false" outlineLevel="0" collapsed="false">
      <c r="A1944" s="0" t="n">
        <v>6</v>
      </c>
      <c r="B1944" s="0" t="n">
        <v>12</v>
      </c>
      <c r="C1944" s="0" t="n">
        <v>1</v>
      </c>
      <c r="D1944" s="0" t="n">
        <f aca="false">-1+A1944*0.125</f>
        <v>-0.25</v>
      </c>
      <c r="E1944" s="0" t="n">
        <f aca="false">-1+B1944*0.125</f>
        <v>0.5</v>
      </c>
      <c r="F1944" s="0" t="n">
        <f aca="false">-1+C1944*0.125</f>
        <v>-0.875</v>
      </c>
      <c r="G1944" s="0" t="n">
        <f aca="false">1</f>
        <v>1</v>
      </c>
      <c r="H1944" s="0" t="n">
        <f aca="false">D1944</f>
        <v>-0.25</v>
      </c>
      <c r="I1944" s="0" t="n">
        <f aca="false">E1944</f>
        <v>0.5</v>
      </c>
      <c r="J1944" s="0" t="n">
        <f aca="false">F1944</f>
        <v>-0.875</v>
      </c>
      <c r="K1944" s="0" t="n">
        <f aca="false">D1944*E1944</f>
        <v>-0.125</v>
      </c>
      <c r="L1944" s="0" t="n">
        <f aca="false">D1944*F1944</f>
        <v>0.21875</v>
      </c>
      <c r="M1944" s="0" t="n">
        <f aca="false">E1944*F1944</f>
        <v>-0.4375</v>
      </c>
      <c r="N1944" s="0" t="n">
        <f aca="false">D1944*D1944</f>
        <v>0.0625</v>
      </c>
      <c r="O1944" s="0" t="n">
        <f aca="false">E1944*E1944</f>
        <v>0.25</v>
      </c>
      <c r="P1944" s="0" t="n">
        <f aca="false">F1944*F1944</f>
        <v>0.765625</v>
      </c>
      <c r="Q1944" s="0" t="n">
        <f aca="false">SUMPRODUCT(G1944:P1944,_XtX!$B$71:$K$71)</f>
        <v>45.6075994318182</v>
      </c>
      <c r="R1944" s="0" t="n">
        <f aca="false">SUMPRODUCT(MMULT(G1944:P1944,_XtX!$B$58:$K$67),G1944:P1944)</f>
        <v>0.327634499289773</v>
      </c>
      <c r="S1944" s="0" t="n">
        <f aca="false">04_回帰ANOVA!$K$19*04_回帰ANOVA!$K$14*SQRT(1+R1944)</f>
        <v>1.07128716250217</v>
      </c>
      <c r="T1944" s="0" t="n">
        <f aca="false">Q1944-S1944</f>
        <v>44.536312269316</v>
      </c>
      <c r="U1944" s="0" t="n">
        <f aca="false">Q1944+S1944</f>
        <v>46.6788865943204</v>
      </c>
      <c r="V1944" s="54" t="b">
        <f aca="false">AND(D1944&gt;=01_因子設定!$L$5-0.000000001,D1944&lt;=01_因子設定!$M$5+0.000000001,E1944&gt;=01_因子設定!$L$6-0.000000001,E1944&lt;=01_因子設定!$M$6+0.000000001,F1944&gt;=01_因子設定!$L$7-0.000000001,F1944&lt;=01_因子設定!$M$7+0.000000001,IF(01_因子設定!$B$20="Box-Behnken",D1944^2+E1944^2+F1944^2&lt;=2+0.000000001,TRUE()))</f>
        <v>1</v>
      </c>
      <c r="W1944" s="55" t="n">
        <f aca="false">IF(V1944,IF(01_因子設定!$B$13="最大化",T1944-01_因子設定!$B$14,IF(01_因子設定!$B$13="最小化",01_因子設定!$B$15-U1944,MIN(T1944-01_因子設定!$B$14,01_因子設定!$B$15-U1944))),-1E+030)</f>
        <v>-3.96368773068397</v>
      </c>
      <c r="X1944" s="55" t="n">
        <f aca="false">IF(V1944,IF(01_因子設定!$B$13="最大化",Q1944,IF(01_因子設定!$B$13="最小化",-Q1944,-ABS(Q1944-01_因子設定!$B$16))),-1E+030)</f>
        <v>45.6075994318182</v>
      </c>
      <c r="Y1944" s="55" t="n">
        <f aca="false">W1944+ROW()*0.000000001</f>
        <v>-3.96368578668397</v>
      </c>
      <c r="Z1944" s="55" t="n">
        <f aca="false">X1944+ROW()*0.000000001</f>
        <v>45.6076013758182</v>
      </c>
    </row>
    <row r="1945" customFormat="false" ht="15" hidden="false" customHeight="false" outlineLevel="0" collapsed="false">
      <c r="A1945" s="0" t="n">
        <v>6</v>
      </c>
      <c r="B1945" s="0" t="n">
        <v>12</v>
      </c>
      <c r="C1945" s="0" t="n">
        <v>2</v>
      </c>
      <c r="D1945" s="0" t="n">
        <f aca="false">-1+A1945*0.125</f>
        <v>-0.25</v>
      </c>
      <c r="E1945" s="0" t="n">
        <f aca="false">-1+B1945*0.125</f>
        <v>0.5</v>
      </c>
      <c r="F1945" s="0" t="n">
        <f aca="false">-1+C1945*0.125</f>
        <v>-0.75</v>
      </c>
      <c r="G1945" s="0" t="n">
        <f aca="false">1</f>
        <v>1</v>
      </c>
      <c r="H1945" s="0" t="n">
        <f aca="false">D1945</f>
        <v>-0.25</v>
      </c>
      <c r="I1945" s="0" t="n">
        <f aca="false">E1945</f>
        <v>0.5</v>
      </c>
      <c r="J1945" s="0" t="n">
        <f aca="false">F1945</f>
        <v>-0.75</v>
      </c>
      <c r="K1945" s="0" t="n">
        <f aca="false">D1945*E1945</f>
        <v>-0.125</v>
      </c>
      <c r="L1945" s="0" t="n">
        <f aca="false">D1945*F1945</f>
        <v>0.1875</v>
      </c>
      <c r="M1945" s="0" t="n">
        <f aca="false">E1945*F1945</f>
        <v>-0.375</v>
      </c>
      <c r="N1945" s="0" t="n">
        <f aca="false">D1945*D1945</f>
        <v>0.0625</v>
      </c>
      <c r="O1945" s="0" t="n">
        <f aca="false">E1945*E1945</f>
        <v>0.25</v>
      </c>
      <c r="P1945" s="0" t="n">
        <f aca="false">F1945*F1945</f>
        <v>0.5625</v>
      </c>
      <c r="Q1945" s="0" t="n">
        <f aca="false">SUMPRODUCT(G1945:P1945,_XtX!$B$71:$K$71)</f>
        <v>46.0520454545455</v>
      </c>
      <c r="R1945" s="0" t="n">
        <f aca="false">SUMPRODUCT(MMULT(G1945:P1945,_XtX!$B$58:$K$67),G1945:P1945)</f>
        <v>0.237064985795455</v>
      </c>
      <c r="S1945" s="0" t="n">
        <f aca="false">04_回帰ANOVA!$K$19*04_回帰ANOVA!$K$14*SQRT(1+R1945)</f>
        <v>1.03410084594745</v>
      </c>
      <c r="T1945" s="0" t="n">
        <f aca="false">Q1945-S1945</f>
        <v>45.017944608598</v>
      </c>
      <c r="U1945" s="0" t="n">
        <f aca="false">Q1945+S1945</f>
        <v>47.0861463004929</v>
      </c>
      <c r="V1945" s="54" t="b">
        <f aca="false">AND(D1945&gt;=01_因子設定!$L$5-0.000000001,D1945&lt;=01_因子設定!$M$5+0.000000001,E1945&gt;=01_因子設定!$L$6-0.000000001,E1945&lt;=01_因子設定!$M$6+0.000000001,F1945&gt;=01_因子設定!$L$7-0.000000001,F1945&lt;=01_因子設定!$M$7+0.000000001,IF(01_因子設定!$B$20="Box-Behnken",D1945^2+E1945^2+F1945^2&lt;=2+0.000000001,TRUE()))</f>
        <v>1</v>
      </c>
      <c r="W1945" s="55" t="n">
        <f aca="false">IF(V1945,IF(01_因子設定!$B$13="最大化",T1945-01_因子設定!$B$14,IF(01_因子設定!$B$13="最小化",01_因子設定!$B$15-U1945,MIN(T1945-01_因子設定!$B$14,01_因子設定!$B$15-U1945))),-1E+030)</f>
        <v>-3.48205539140197</v>
      </c>
      <c r="X1945" s="55" t="n">
        <f aca="false">IF(V1945,IF(01_因子設定!$B$13="最大化",Q1945,IF(01_因子設定!$B$13="最小化",-Q1945,-ABS(Q1945-01_因子設定!$B$16))),-1E+030)</f>
        <v>46.0520454545455</v>
      </c>
      <c r="Y1945" s="55" t="n">
        <f aca="false">W1945+ROW()*0.000000001</f>
        <v>-3.48205344640197</v>
      </c>
      <c r="Z1945" s="55" t="n">
        <f aca="false">X1945+ROW()*0.000000001</f>
        <v>46.0520473995455</v>
      </c>
    </row>
    <row r="1946" customFormat="false" ht="15" hidden="false" customHeight="false" outlineLevel="0" collapsed="false">
      <c r="A1946" s="0" t="n">
        <v>6</v>
      </c>
      <c r="B1946" s="0" t="n">
        <v>12</v>
      </c>
      <c r="C1946" s="0" t="n">
        <v>3</v>
      </c>
      <c r="D1946" s="0" t="n">
        <f aca="false">-1+A1946*0.125</f>
        <v>-0.25</v>
      </c>
      <c r="E1946" s="0" t="n">
        <f aca="false">-1+B1946*0.125</f>
        <v>0.5</v>
      </c>
      <c r="F1946" s="0" t="n">
        <f aca="false">-1+C1946*0.125</f>
        <v>-0.625</v>
      </c>
      <c r="G1946" s="0" t="n">
        <f aca="false">1</f>
        <v>1</v>
      </c>
      <c r="H1946" s="0" t="n">
        <f aca="false">D1946</f>
        <v>-0.25</v>
      </c>
      <c r="I1946" s="0" t="n">
        <f aca="false">E1946</f>
        <v>0.5</v>
      </c>
      <c r="J1946" s="0" t="n">
        <f aca="false">F1946</f>
        <v>-0.625</v>
      </c>
      <c r="K1946" s="0" t="n">
        <f aca="false">D1946*E1946</f>
        <v>-0.125</v>
      </c>
      <c r="L1946" s="0" t="n">
        <f aca="false">D1946*F1946</f>
        <v>0.15625</v>
      </c>
      <c r="M1946" s="0" t="n">
        <f aca="false">E1946*F1946</f>
        <v>-0.3125</v>
      </c>
      <c r="N1946" s="0" t="n">
        <f aca="false">D1946*D1946</f>
        <v>0.0625</v>
      </c>
      <c r="O1946" s="0" t="n">
        <f aca="false">E1946*E1946</f>
        <v>0.25</v>
      </c>
      <c r="P1946" s="0" t="n">
        <f aca="false">F1946*F1946</f>
        <v>0.390625</v>
      </c>
      <c r="Q1946" s="0" t="n">
        <f aca="false">SUMPRODUCT(G1946:P1946,_XtX!$B$71:$K$71)</f>
        <v>46.4597017045455</v>
      </c>
      <c r="R1946" s="0" t="n">
        <f aca="false">SUMPRODUCT(MMULT(G1946:P1946,_XtX!$B$58:$K$67),G1946:P1946)</f>
        <v>0.183866743607955</v>
      </c>
      <c r="S1946" s="0" t="n">
        <f aca="false">04_回帰ANOVA!$K$19*04_回帰ANOVA!$K$14*SQRT(1+R1946)</f>
        <v>1.01162148983013</v>
      </c>
      <c r="T1946" s="0" t="n">
        <f aca="false">Q1946-S1946</f>
        <v>45.4480802147153</v>
      </c>
      <c r="U1946" s="0" t="n">
        <f aca="false">Q1946+S1946</f>
        <v>47.4713231943756</v>
      </c>
      <c r="V1946" s="54" t="b">
        <f aca="false">AND(D1946&gt;=01_因子設定!$L$5-0.000000001,D1946&lt;=01_因子設定!$M$5+0.000000001,E1946&gt;=01_因子設定!$L$6-0.000000001,E1946&lt;=01_因子設定!$M$6+0.000000001,F1946&gt;=01_因子設定!$L$7-0.000000001,F1946&lt;=01_因子設定!$M$7+0.000000001,IF(01_因子設定!$B$20="Box-Behnken",D1946^2+E1946^2+F1946^2&lt;=2+0.000000001,TRUE()))</f>
        <v>1</v>
      </c>
      <c r="W1946" s="55" t="n">
        <f aca="false">IF(V1946,IF(01_因子設定!$B$13="最大化",T1946-01_因子設定!$B$14,IF(01_因子設定!$B$13="最小化",01_因子設定!$B$15-U1946,MIN(T1946-01_因子設定!$B$14,01_因子設定!$B$15-U1946))),-1E+030)</f>
        <v>-3.05191978528466</v>
      </c>
      <c r="X1946" s="55" t="n">
        <f aca="false">IF(V1946,IF(01_因子設定!$B$13="最大化",Q1946,IF(01_因子設定!$B$13="最小化",-Q1946,-ABS(Q1946-01_因子設定!$B$16))),-1E+030)</f>
        <v>46.4597017045455</v>
      </c>
      <c r="Y1946" s="55" t="n">
        <f aca="false">W1946+ROW()*0.000000001</f>
        <v>-3.05191783928466</v>
      </c>
      <c r="Z1946" s="55" t="n">
        <f aca="false">X1946+ROW()*0.000000001</f>
        <v>46.4597036505455</v>
      </c>
    </row>
    <row r="1947" customFormat="false" ht="15" hidden="false" customHeight="false" outlineLevel="0" collapsed="false">
      <c r="A1947" s="0" t="n">
        <v>6</v>
      </c>
      <c r="B1947" s="0" t="n">
        <v>12</v>
      </c>
      <c r="C1947" s="0" t="n">
        <v>4</v>
      </c>
      <c r="D1947" s="0" t="n">
        <f aca="false">-1+A1947*0.125</f>
        <v>-0.25</v>
      </c>
      <c r="E1947" s="0" t="n">
        <f aca="false">-1+B1947*0.125</f>
        <v>0.5</v>
      </c>
      <c r="F1947" s="0" t="n">
        <f aca="false">-1+C1947*0.125</f>
        <v>-0.5</v>
      </c>
      <c r="G1947" s="0" t="n">
        <f aca="false">1</f>
        <v>1</v>
      </c>
      <c r="H1947" s="0" t="n">
        <f aca="false">D1947</f>
        <v>-0.25</v>
      </c>
      <c r="I1947" s="0" t="n">
        <f aca="false">E1947</f>
        <v>0.5</v>
      </c>
      <c r="J1947" s="0" t="n">
        <f aca="false">F1947</f>
        <v>-0.5</v>
      </c>
      <c r="K1947" s="0" t="n">
        <f aca="false">D1947*E1947</f>
        <v>-0.125</v>
      </c>
      <c r="L1947" s="0" t="n">
        <f aca="false">D1947*F1947</f>
        <v>0.125</v>
      </c>
      <c r="M1947" s="0" t="n">
        <f aca="false">E1947*F1947</f>
        <v>-0.25</v>
      </c>
      <c r="N1947" s="0" t="n">
        <f aca="false">D1947*D1947</f>
        <v>0.0625</v>
      </c>
      <c r="O1947" s="0" t="n">
        <f aca="false">E1947*E1947</f>
        <v>0.25</v>
      </c>
      <c r="P1947" s="0" t="n">
        <f aca="false">F1947*F1947</f>
        <v>0.25</v>
      </c>
      <c r="Q1947" s="0" t="n">
        <f aca="false">SUMPRODUCT(G1947:P1947,_XtX!$B$71:$K$71)</f>
        <v>46.8305681818182</v>
      </c>
      <c r="R1947" s="0" t="n">
        <f aca="false">SUMPRODUCT(MMULT(G1947:P1947,_XtX!$B$58:$K$67),G1947:P1947)</f>
        <v>0.156321022727273</v>
      </c>
      <c r="S1947" s="0" t="n">
        <f aca="false">04_回帰ANOVA!$K$19*04_回帰ANOVA!$K$14*SQRT(1+R1947)</f>
        <v>0.999783227753172</v>
      </c>
      <c r="T1947" s="0" t="n">
        <f aca="false">Q1947-S1947</f>
        <v>45.830784954065</v>
      </c>
      <c r="U1947" s="0" t="n">
        <f aca="false">Q1947+S1947</f>
        <v>47.8303514095714</v>
      </c>
      <c r="V1947" s="54" t="b">
        <f aca="false">AND(D1947&gt;=01_因子設定!$L$5-0.000000001,D1947&lt;=01_因子設定!$M$5+0.000000001,E1947&gt;=01_因子設定!$L$6-0.000000001,E1947&lt;=01_因子設定!$M$6+0.000000001,F1947&gt;=01_因子設定!$L$7-0.000000001,F1947&lt;=01_因子設定!$M$7+0.000000001,IF(01_因子設定!$B$20="Box-Behnken",D1947^2+E1947^2+F1947^2&lt;=2+0.000000001,TRUE()))</f>
        <v>1</v>
      </c>
      <c r="W1947" s="55" t="n">
        <f aca="false">IF(V1947,IF(01_因子設定!$B$13="最大化",T1947-01_因子設定!$B$14,IF(01_因子設定!$B$13="最小化",01_因子設定!$B$15-U1947,MIN(T1947-01_因子設定!$B$14,01_因子設定!$B$15-U1947))),-1E+030)</f>
        <v>-2.66921504593498</v>
      </c>
      <c r="X1947" s="55" t="n">
        <f aca="false">IF(V1947,IF(01_因子設定!$B$13="最大化",Q1947,IF(01_因子設定!$B$13="最小化",-Q1947,-ABS(Q1947-01_因子設定!$B$16))),-1E+030)</f>
        <v>46.8305681818182</v>
      </c>
      <c r="Y1947" s="55" t="n">
        <f aca="false">W1947+ROW()*0.000000001</f>
        <v>-2.66921309893498</v>
      </c>
      <c r="Z1947" s="55" t="n">
        <f aca="false">X1947+ROW()*0.000000001</f>
        <v>46.8305701288182</v>
      </c>
    </row>
    <row r="1948" customFormat="false" ht="15" hidden="false" customHeight="false" outlineLevel="0" collapsed="false">
      <c r="A1948" s="0" t="n">
        <v>6</v>
      </c>
      <c r="B1948" s="0" t="n">
        <v>12</v>
      </c>
      <c r="C1948" s="0" t="n">
        <v>5</v>
      </c>
      <c r="D1948" s="0" t="n">
        <f aca="false">-1+A1948*0.125</f>
        <v>-0.25</v>
      </c>
      <c r="E1948" s="0" t="n">
        <f aca="false">-1+B1948*0.125</f>
        <v>0.5</v>
      </c>
      <c r="F1948" s="0" t="n">
        <f aca="false">-1+C1948*0.125</f>
        <v>-0.375</v>
      </c>
      <c r="G1948" s="0" t="n">
        <f aca="false">1</f>
        <v>1</v>
      </c>
      <c r="H1948" s="0" t="n">
        <f aca="false">D1948</f>
        <v>-0.25</v>
      </c>
      <c r="I1948" s="0" t="n">
        <f aca="false">E1948</f>
        <v>0.5</v>
      </c>
      <c r="J1948" s="0" t="n">
        <f aca="false">F1948</f>
        <v>-0.375</v>
      </c>
      <c r="K1948" s="0" t="n">
        <f aca="false">D1948*E1948</f>
        <v>-0.125</v>
      </c>
      <c r="L1948" s="0" t="n">
        <f aca="false">D1948*F1948</f>
        <v>0.09375</v>
      </c>
      <c r="M1948" s="0" t="n">
        <f aca="false">E1948*F1948</f>
        <v>-0.1875</v>
      </c>
      <c r="N1948" s="0" t="n">
        <f aca="false">D1948*D1948</f>
        <v>0.0625</v>
      </c>
      <c r="O1948" s="0" t="n">
        <f aca="false">E1948*E1948</f>
        <v>0.25</v>
      </c>
      <c r="P1948" s="0" t="n">
        <f aca="false">F1948*F1948</f>
        <v>0.140625</v>
      </c>
      <c r="Q1948" s="0" t="n">
        <f aca="false">SUMPRODUCT(G1948:P1948,_XtX!$B$71:$K$71)</f>
        <v>47.1646448863637</v>
      </c>
      <c r="R1948" s="0" t="n">
        <f aca="false">SUMPRODUCT(MMULT(G1948:P1948,_XtX!$B$58:$K$67),G1948:P1948)</f>
        <v>0.144839754971591</v>
      </c>
      <c r="S1948" s="0" t="n">
        <f aca="false">04_回帰ANOVA!$K$19*04_回帰ANOVA!$K$14*SQRT(1+R1948)</f>
        <v>0.994807353995542</v>
      </c>
      <c r="T1948" s="0" t="n">
        <f aca="false">Q1948-S1948</f>
        <v>46.1698375323681</v>
      </c>
      <c r="U1948" s="0" t="n">
        <f aca="false">Q1948+S1948</f>
        <v>48.1594522403592</v>
      </c>
      <c r="V1948" s="54" t="b">
        <f aca="false">AND(D1948&gt;=01_因子設定!$L$5-0.000000001,D1948&lt;=01_因子設定!$M$5+0.000000001,E1948&gt;=01_因子設定!$L$6-0.000000001,E1948&lt;=01_因子設定!$M$6+0.000000001,F1948&gt;=01_因子設定!$L$7-0.000000001,F1948&lt;=01_因子設定!$M$7+0.000000001,IF(01_因子設定!$B$20="Box-Behnken",D1948^2+E1948^2+F1948^2&lt;=2+0.000000001,TRUE()))</f>
        <v>1</v>
      </c>
      <c r="W1948" s="55" t="n">
        <f aca="false">IF(V1948,IF(01_因子設定!$B$13="最大化",T1948-01_因子設定!$B$14,IF(01_因子設定!$B$13="最小化",01_因子設定!$B$15-U1948,MIN(T1948-01_因子設定!$B$14,01_因子設定!$B$15-U1948))),-1E+030)</f>
        <v>-2.33016246763189</v>
      </c>
      <c r="X1948" s="55" t="n">
        <f aca="false">IF(V1948,IF(01_因子設定!$B$13="最大化",Q1948,IF(01_因子設定!$B$13="最小化",-Q1948,-ABS(Q1948-01_因子設定!$B$16))),-1E+030)</f>
        <v>47.1646448863637</v>
      </c>
      <c r="Y1948" s="55" t="n">
        <f aca="false">W1948+ROW()*0.000000001</f>
        <v>-2.33016051963189</v>
      </c>
      <c r="Z1948" s="55" t="n">
        <f aca="false">X1948+ROW()*0.000000001</f>
        <v>47.1646468343636</v>
      </c>
    </row>
    <row r="1949" customFormat="false" ht="15" hidden="false" customHeight="false" outlineLevel="0" collapsed="false">
      <c r="A1949" s="0" t="n">
        <v>6</v>
      </c>
      <c r="B1949" s="0" t="n">
        <v>12</v>
      </c>
      <c r="C1949" s="0" t="n">
        <v>6</v>
      </c>
      <c r="D1949" s="0" t="n">
        <f aca="false">-1+A1949*0.125</f>
        <v>-0.25</v>
      </c>
      <c r="E1949" s="0" t="n">
        <f aca="false">-1+B1949*0.125</f>
        <v>0.5</v>
      </c>
      <c r="F1949" s="0" t="n">
        <f aca="false">-1+C1949*0.125</f>
        <v>-0.25</v>
      </c>
      <c r="G1949" s="0" t="n">
        <f aca="false">1</f>
        <v>1</v>
      </c>
      <c r="H1949" s="0" t="n">
        <f aca="false">D1949</f>
        <v>-0.25</v>
      </c>
      <c r="I1949" s="0" t="n">
        <f aca="false">E1949</f>
        <v>0.5</v>
      </c>
      <c r="J1949" s="0" t="n">
        <f aca="false">F1949</f>
        <v>-0.25</v>
      </c>
      <c r="K1949" s="0" t="n">
        <f aca="false">D1949*E1949</f>
        <v>-0.125</v>
      </c>
      <c r="L1949" s="0" t="n">
        <f aca="false">D1949*F1949</f>
        <v>0.0625</v>
      </c>
      <c r="M1949" s="0" t="n">
        <f aca="false">E1949*F1949</f>
        <v>-0.125</v>
      </c>
      <c r="N1949" s="0" t="n">
        <f aca="false">D1949*D1949</f>
        <v>0.0625</v>
      </c>
      <c r="O1949" s="0" t="n">
        <f aca="false">E1949*E1949</f>
        <v>0.25</v>
      </c>
      <c r="P1949" s="0" t="n">
        <f aca="false">F1949*F1949</f>
        <v>0.0625</v>
      </c>
      <c r="Q1949" s="0" t="n">
        <f aca="false">SUMPRODUCT(G1949:P1949,_XtX!$B$71:$K$71)</f>
        <v>47.4619318181818</v>
      </c>
      <c r="R1949" s="0" t="n">
        <f aca="false">SUMPRODUCT(MMULT(G1949:P1949,_XtX!$B$58:$K$67),G1949:P1949)</f>
        <v>0.141965553977273</v>
      </c>
      <c r="S1949" s="0" t="n">
        <f aca="false">04_回帰ANOVA!$K$19*04_回帰ANOVA!$K$14*SQRT(1+R1949)</f>
        <v>0.993557802198625</v>
      </c>
      <c r="T1949" s="0" t="n">
        <f aca="false">Q1949-S1949</f>
        <v>46.4683740159832</v>
      </c>
      <c r="U1949" s="0" t="n">
        <f aca="false">Q1949+S1949</f>
        <v>48.4554896203805</v>
      </c>
      <c r="V1949" s="54" t="b">
        <f aca="false">AND(D1949&gt;=01_因子設定!$L$5-0.000000001,D1949&lt;=01_因子設定!$M$5+0.000000001,E1949&gt;=01_因子設定!$L$6-0.000000001,E1949&lt;=01_因子設定!$M$6+0.000000001,F1949&gt;=01_因子設定!$L$7-0.000000001,F1949&lt;=01_因子設定!$M$7+0.000000001,IF(01_因子設定!$B$20="Box-Behnken",D1949^2+E1949^2+F1949^2&lt;=2+0.000000001,TRUE()))</f>
        <v>1</v>
      </c>
      <c r="W1949" s="55" t="n">
        <f aca="false">IF(V1949,IF(01_因子設定!$B$13="最大化",T1949-01_因子設定!$B$14,IF(01_因子設定!$B$13="最小化",01_因子設定!$B$15-U1949,MIN(T1949-01_因子設定!$B$14,01_因子設定!$B$15-U1949))),-1E+030)</f>
        <v>-2.0316259840168</v>
      </c>
      <c r="X1949" s="55" t="n">
        <f aca="false">IF(V1949,IF(01_因子設定!$B$13="最大化",Q1949,IF(01_因子設定!$B$13="最小化",-Q1949,-ABS(Q1949-01_因子設定!$B$16))),-1E+030)</f>
        <v>47.4619318181818</v>
      </c>
      <c r="Y1949" s="55" t="n">
        <f aca="false">W1949+ROW()*0.000000001</f>
        <v>-2.0316240350168</v>
      </c>
      <c r="Z1949" s="55" t="n">
        <f aca="false">X1949+ROW()*0.000000001</f>
        <v>47.4619337671818</v>
      </c>
    </row>
    <row r="1950" customFormat="false" ht="15" hidden="false" customHeight="false" outlineLevel="0" collapsed="false">
      <c r="A1950" s="0" t="n">
        <v>6</v>
      </c>
      <c r="B1950" s="0" t="n">
        <v>12</v>
      </c>
      <c r="C1950" s="0" t="n">
        <v>7</v>
      </c>
      <c r="D1950" s="0" t="n">
        <f aca="false">-1+A1950*0.125</f>
        <v>-0.25</v>
      </c>
      <c r="E1950" s="0" t="n">
        <f aca="false">-1+B1950*0.125</f>
        <v>0.5</v>
      </c>
      <c r="F1950" s="0" t="n">
        <f aca="false">-1+C1950*0.125</f>
        <v>-0.125</v>
      </c>
      <c r="G1950" s="0" t="n">
        <f aca="false">1</f>
        <v>1</v>
      </c>
      <c r="H1950" s="0" t="n">
        <f aca="false">D1950</f>
        <v>-0.25</v>
      </c>
      <c r="I1950" s="0" t="n">
        <f aca="false">E1950</f>
        <v>0.5</v>
      </c>
      <c r="J1950" s="0" t="n">
        <f aca="false">F1950</f>
        <v>-0.125</v>
      </c>
      <c r="K1950" s="0" t="n">
        <f aca="false">D1950*E1950</f>
        <v>-0.125</v>
      </c>
      <c r="L1950" s="0" t="n">
        <f aca="false">D1950*F1950</f>
        <v>0.03125</v>
      </c>
      <c r="M1950" s="0" t="n">
        <f aca="false">E1950*F1950</f>
        <v>-0.0625</v>
      </c>
      <c r="N1950" s="0" t="n">
        <f aca="false">D1950*D1950</f>
        <v>0.0625</v>
      </c>
      <c r="O1950" s="0" t="n">
        <f aca="false">E1950*E1950</f>
        <v>0.25</v>
      </c>
      <c r="P1950" s="0" t="n">
        <f aca="false">F1950*F1950</f>
        <v>0.015625</v>
      </c>
      <c r="Q1950" s="0" t="n">
        <f aca="false">SUMPRODUCT(G1950:P1950,_XtX!$B$71:$K$71)</f>
        <v>47.7224289772727</v>
      </c>
      <c r="R1950" s="0" t="n">
        <f aca="false">SUMPRODUCT(MMULT(G1950:P1950,_XtX!$B$58:$K$67),G1950:P1950)</f>
        <v>0.142371715198864</v>
      </c>
      <c r="S1950" s="0" t="n">
        <f aca="false">04_回帰ANOVA!$K$19*04_回帰ANOVA!$K$14*SQRT(1+R1950)</f>
        <v>0.99373447511735</v>
      </c>
      <c r="T1950" s="0" t="n">
        <f aca="false">Q1950-S1950</f>
        <v>46.7286945021554</v>
      </c>
      <c r="U1950" s="0" t="n">
        <f aca="false">Q1950+S1950</f>
        <v>48.7161634523901</v>
      </c>
      <c r="V1950" s="54" t="b">
        <f aca="false">AND(D1950&gt;=01_因子設定!$L$5-0.000000001,D1950&lt;=01_因子設定!$M$5+0.000000001,E1950&gt;=01_因子設定!$L$6-0.000000001,E1950&lt;=01_因子設定!$M$6+0.000000001,F1950&gt;=01_因子設定!$L$7-0.000000001,F1950&lt;=01_因子設定!$M$7+0.000000001,IF(01_因子設定!$B$20="Box-Behnken",D1950^2+E1950^2+F1950^2&lt;=2+0.000000001,TRUE()))</f>
        <v>1</v>
      </c>
      <c r="W1950" s="55" t="n">
        <f aca="false">IF(V1950,IF(01_因子設定!$B$13="最大化",T1950-01_因子設定!$B$14,IF(01_因子設定!$B$13="最小化",01_因子設定!$B$15-U1950,MIN(T1950-01_因子設定!$B$14,01_因子設定!$B$15-U1950))),-1E+030)</f>
        <v>-1.77130549784462</v>
      </c>
      <c r="X1950" s="55" t="n">
        <f aca="false">IF(V1950,IF(01_因子設定!$B$13="最大化",Q1950,IF(01_因子設定!$B$13="最小化",-Q1950,-ABS(Q1950-01_因子設定!$B$16))),-1E+030)</f>
        <v>47.7224289772727</v>
      </c>
      <c r="Y1950" s="55" t="n">
        <f aca="false">W1950+ROW()*0.000000001</f>
        <v>-1.77130354784462</v>
      </c>
      <c r="Z1950" s="55" t="n">
        <f aca="false">X1950+ROW()*0.000000001</f>
        <v>47.7224309272727</v>
      </c>
    </row>
    <row r="1951" customFormat="false" ht="15" hidden="false" customHeight="false" outlineLevel="0" collapsed="false">
      <c r="A1951" s="0" t="n">
        <v>6</v>
      </c>
      <c r="B1951" s="0" t="n">
        <v>12</v>
      </c>
      <c r="C1951" s="0" t="n">
        <v>8</v>
      </c>
      <c r="D1951" s="0" t="n">
        <f aca="false">-1+A1951*0.125</f>
        <v>-0.25</v>
      </c>
      <c r="E1951" s="0" t="n">
        <f aca="false">-1+B1951*0.125</f>
        <v>0.5</v>
      </c>
      <c r="F1951" s="0" t="n">
        <f aca="false">-1+C1951*0.125</f>
        <v>0</v>
      </c>
      <c r="G1951" s="0" t="n">
        <f aca="false">1</f>
        <v>1</v>
      </c>
      <c r="H1951" s="0" t="n">
        <f aca="false">D1951</f>
        <v>-0.25</v>
      </c>
      <c r="I1951" s="0" t="n">
        <f aca="false">E1951</f>
        <v>0.5</v>
      </c>
      <c r="J1951" s="0" t="n">
        <f aca="false">F1951</f>
        <v>0</v>
      </c>
      <c r="K1951" s="0" t="n">
        <f aca="false">D1951*E1951</f>
        <v>-0.125</v>
      </c>
      <c r="L1951" s="0" t="n">
        <f aca="false">D1951*F1951</f>
        <v>-0</v>
      </c>
      <c r="M1951" s="0" t="n">
        <f aca="false">E1951*F1951</f>
        <v>0</v>
      </c>
      <c r="N1951" s="0" t="n">
        <f aca="false">D1951*D1951</f>
        <v>0.0625</v>
      </c>
      <c r="O1951" s="0" t="n">
        <f aca="false">E1951*E1951</f>
        <v>0.25</v>
      </c>
      <c r="P1951" s="0" t="n">
        <f aca="false">F1951*F1951</f>
        <v>0</v>
      </c>
      <c r="Q1951" s="0" t="n">
        <f aca="false">SUMPRODUCT(G1951:P1951,_XtX!$B$71:$K$71)</f>
        <v>47.9461363636364</v>
      </c>
      <c r="R1951" s="0" t="n">
        <f aca="false">SUMPRODUCT(MMULT(G1951:P1951,_XtX!$B$58:$K$67),G1951:P1951)</f>
        <v>0.142862215909091</v>
      </c>
      <c r="S1951" s="0" t="n">
        <f aca="false">04_回帰ANOVA!$K$19*04_回帰ANOVA!$K$14*SQRT(1+R1951)</f>
        <v>0.993947792354123</v>
      </c>
      <c r="T1951" s="0" t="n">
        <f aca="false">Q1951-S1951</f>
        <v>46.9521885712823</v>
      </c>
      <c r="U1951" s="0" t="n">
        <f aca="false">Q1951+S1951</f>
        <v>48.9400841559905</v>
      </c>
      <c r="V1951" s="54" t="b">
        <f aca="false">AND(D1951&gt;=01_因子設定!$L$5-0.000000001,D1951&lt;=01_因子設定!$M$5+0.000000001,E1951&gt;=01_因子設定!$L$6-0.000000001,E1951&lt;=01_因子設定!$M$6+0.000000001,F1951&gt;=01_因子設定!$L$7-0.000000001,F1951&lt;=01_因子設定!$M$7+0.000000001,IF(01_因子設定!$B$20="Box-Behnken",D1951^2+E1951^2+F1951^2&lt;=2+0.000000001,TRUE()))</f>
        <v>1</v>
      </c>
      <c r="W1951" s="55" t="n">
        <f aca="false">IF(V1951,IF(01_因子設定!$B$13="最大化",T1951-01_因子設定!$B$14,IF(01_因子設定!$B$13="最小化",01_因子設定!$B$15-U1951,MIN(T1951-01_因子設定!$B$14,01_因子設定!$B$15-U1951))),-1E+030)</f>
        <v>-1.54781142871775</v>
      </c>
      <c r="X1951" s="55" t="n">
        <f aca="false">IF(V1951,IF(01_因子設定!$B$13="最大化",Q1951,IF(01_因子設定!$B$13="最小化",-Q1951,-ABS(Q1951-01_因子設定!$B$16))),-1E+030)</f>
        <v>47.9461363636364</v>
      </c>
      <c r="Y1951" s="55" t="n">
        <f aca="false">W1951+ROW()*0.000000001</f>
        <v>-1.54780947771775</v>
      </c>
      <c r="Z1951" s="55" t="n">
        <f aca="false">X1951+ROW()*0.000000001</f>
        <v>47.9461383146364</v>
      </c>
    </row>
    <row r="1952" customFormat="false" ht="15" hidden="false" customHeight="false" outlineLevel="0" collapsed="false">
      <c r="A1952" s="0" t="n">
        <v>6</v>
      </c>
      <c r="B1952" s="0" t="n">
        <v>12</v>
      </c>
      <c r="C1952" s="0" t="n">
        <v>9</v>
      </c>
      <c r="D1952" s="0" t="n">
        <f aca="false">-1+A1952*0.125</f>
        <v>-0.25</v>
      </c>
      <c r="E1952" s="0" t="n">
        <f aca="false">-1+B1952*0.125</f>
        <v>0.5</v>
      </c>
      <c r="F1952" s="0" t="n">
        <f aca="false">-1+C1952*0.125</f>
        <v>0.125</v>
      </c>
      <c r="G1952" s="0" t="n">
        <f aca="false">1</f>
        <v>1</v>
      </c>
      <c r="H1952" s="0" t="n">
        <f aca="false">D1952</f>
        <v>-0.25</v>
      </c>
      <c r="I1952" s="0" t="n">
        <f aca="false">E1952</f>
        <v>0.5</v>
      </c>
      <c r="J1952" s="0" t="n">
        <f aca="false">F1952</f>
        <v>0.125</v>
      </c>
      <c r="K1952" s="0" t="n">
        <f aca="false">D1952*E1952</f>
        <v>-0.125</v>
      </c>
      <c r="L1952" s="0" t="n">
        <f aca="false">D1952*F1952</f>
        <v>-0.03125</v>
      </c>
      <c r="M1952" s="0" t="n">
        <f aca="false">E1952*F1952</f>
        <v>0.0625</v>
      </c>
      <c r="N1952" s="0" t="n">
        <f aca="false">D1952*D1952</f>
        <v>0.0625</v>
      </c>
      <c r="O1952" s="0" t="n">
        <f aca="false">E1952*E1952</f>
        <v>0.25</v>
      </c>
      <c r="P1952" s="0" t="n">
        <f aca="false">F1952*F1952</f>
        <v>0.015625</v>
      </c>
      <c r="Q1952" s="0" t="n">
        <f aca="false">SUMPRODUCT(G1952:P1952,_XtX!$B$71:$K$71)</f>
        <v>48.1330539772727</v>
      </c>
      <c r="R1952" s="0" t="n">
        <f aca="false">SUMPRODUCT(MMULT(G1952:P1952,_XtX!$B$58:$K$67),G1952:P1952)</f>
        <v>0.142371715198864</v>
      </c>
      <c r="S1952" s="0" t="n">
        <f aca="false">04_回帰ANOVA!$K$19*04_回帰ANOVA!$K$14*SQRT(1+R1952)</f>
        <v>0.99373447511735</v>
      </c>
      <c r="T1952" s="0" t="n">
        <f aca="false">Q1952-S1952</f>
        <v>47.1393195021554</v>
      </c>
      <c r="U1952" s="0" t="n">
        <f aca="false">Q1952+S1952</f>
        <v>49.1267884523901</v>
      </c>
      <c r="V1952" s="54" t="b">
        <f aca="false">AND(D1952&gt;=01_因子設定!$L$5-0.000000001,D1952&lt;=01_因子設定!$M$5+0.000000001,E1952&gt;=01_因子設定!$L$6-0.000000001,E1952&lt;=01_因子設定!$M$6+0.000000001,F1952&gt;=01_因子設定!$L$7-0.000000001,F1952&lt;=01_因子設定!$M$7+0.000000001,IF(01_因子設定!$B$20="Box-Behnken",D1952^2+E1952^2+F1952^2&lt;=2+0.000000001,TRUE()))</f>
        <v>1</v>
      </c>
      <c r="W1952" s="55" t="n">
        <f aca="false">IF(V1952,IF(01_因子設定!$B$13="最大化",T1952-01_因子設定!$B$14,IF(01_因子設定!$B$13="最小化",01_因子設定!$B$15-U1952,MIN(T1952-01_因子設定!$B$14,01_因子設定!$B$15-U1952))),-1E+030)</f>
        <v>-1.36068049784461</v>
      </c>
      <c r="X1952" s="55" t="n">
        <f aca="false">IF(V1952,IF(01_因子設定!$B$13="最大化",Q1952,IF(01_因子設定!$B$13="最小化",-Q1952,-ABS(Q1952-01_因子設定!$B$16))),-1E+030)</f>
        <v>48.1330539772727</v>
      </c>
      <c r="Y1952" s="55" t="n">
        <f aca="false">W1952+ROW()*0.000000001</f>
        <v>-1.36067854584461</v>
      </c>
      <c r="Z1952" s="55" t="n">
        <f aca="false">X1952+ROW()*0.000000001</f>
        <v>48.1330559292727</v>
      </c>
    </row>
    <row r="1953" customFormat="false" ht="15" hidden="false" customHeight="false" outlineLevel="0" collapsed="false">
      <c r="A1953" s="0" t="n">
        <v>6</v>
      </c>
      <c r="B1953" s="0" t="n">
        <v>12</v>
      </c>
      <c r="C1953" s="0" t="n">
        <v>10</v>
      </c>
      <c r="D1953" s="0" t="n">
        <f aca="false">-1+A1953*0.125</f>
        <v>-0.25</v>
      </c>
      <c r="E1953" s="0" t="n">
        <f aca="false">-1+B1953*0.125</f>
        <v>0.5</v>
      </c>
      <c r="F1953" s="0" t="n">
        <f aca="false">-1+C1953*0.125</f>
        <v>0.25</v>
      </c>
      <c r="G1953" s="0" t="n">
        <f aca="false">1</f>
        <v>1</v>
      </c>
      <c r="H1953" s="0" t="n">
        <f aca="false">D1953</f>
        <v>-0.25</v>
      </c>
      <c r="I1953" s="0" t="n">
        <f aca="false">E1953</f>
        <v>0.5</v>
      </c>
      <c r="J1953" s="0" t="n">
        <f aca="false">F1953</f>
        <v>0.25</v>
      </c>
      <c r="K1953" s="0" t="n">
        <f aca="false">D1953*E1953</f>
        <v>-0.125</v>
      </c>
      <c r="L1953" s="0" t="n">
        <f aca="false">D1953*F1953</f>
        <v>-0.0625</v>
      </c>
      <c r="M1953" s="0" t="n">
        <f aca="false">E1953*F1953</f>
        <v>0.125</v>
      </c>
      <c r="N1953" s="0" t="n">
        <f aca="false">D1953*D1953</f>
        <v>0.0625</v>
      </c>
      <c r="O1953" s="0" t="n">
        <f aca="false">E1953*E1953</f>
        <v>0.25</v>
      </c>
      <c r="P1953" s="0" t="n">
        <f aca="false">F1953*F1953</f>
        <v>0.0625</v>
      </c>
      <c r="Q1953" s="0" t="n">
        <f aca="false">SUMPRODUCT(G1953:P1953,_XtX!$B$71:$K$71)</f>
        <v>48.2831818181818</v>
      </c>
      <c r="R1953" s="0" t="n">
        <f aca="false">SUMPRODUCT(MMULT(G1953:P1953,_XtX!$B$58:$K$67),G1953:P1953)</f>
        <v>0.141965553977273</v>
      </c>
      <c r="S1953" s="0" t="n">
        <f aca="false">04_回帰ANOVA!$K$19*04_回帰ANOVA!$K$14*SQRT(1+R1953)</f>
        <v>0.993557802198625</v>
      </c>
      <c r="T1953" s="0" t="n">
        <f aca="false">Q1953-S1953</f>
        <v>47.2896240159832</v>
      </c>
      <c r="U1953" s="0" t="n">
        <f aca="false">Q1953+S1953</f>
        <v>49.2767396203805</v>
      </c>
      <c r="V1953" s="54" t="b">
        <f aca="false">AND(D1953&gt;=01_因子設定!$L$5-0.000000001,D1953&lt;=01_因子設定!$M$5+0.000000001,E1953&gt;=01_因子設定!$L$6-0.000000001,E1953&lt;=01_因子設定!$M$6+0.000000001,F1953&gt;=01_因子設定!$L$7-0.000000001,F1953&lt;=01_因子設定!$M$7+0.000000001,IF(01_因子設定!$B$20="Box-Behnken",D1953^2+E1953^2+F1953^2&lt;=2+0.000000001,TRUE()))</f>
        <v>1</v>
      </c>
      <c r="W1953" s="55" t="n">
        <f aca="false">IF(V1953,IF(01_因子設定!$B$13="最大化",T1953-01_因子設定!$B$14,IF(01_因子設定!$B$13="最小化",01_因子設定!$B$15-U1953,MIN(T1953-01_因子設定!$B$14,01_因子設定!$B$15-U1953))),-1E+030)</f>
        <v>-1.21037598401679</v>
      </c>
      <c r="X1953" s="55" t="n">
        <f aca="false">IF(V1953,IF(01_因子設定!$B$13="最大化",Q1953,IF(01_因子設定!$B$13="最小化",-Q1953,-ABS(Q1953-01_因子設定!$B$16))),-1E+030)</f>
        <v>48.2831818181818</v>
      </c>
      <c r="Y1953" s="55" t="n">
        <f aca="false">W1953+ROW()*0.000000001</f>
        <v>-1.21037403101679</v>
      </c>
      <c r="Z1953" s="55" t="n">
        <f aca="false">X1953+ROW()*0.000000001</f>
        <v>48.2831837711818</v>
      </c>
    </row>
    <row r="1954" customFormat="false" ht="15" hidden="false" customHeight="false" outlineLevel="0" collapsed="false">
      <c r="A1954" s="0" t="n">
        <v>6</v>
      </c>
      <c r="B1954" s="0" t="n">
        <v>12</v>
      </c>
      <c r="C1954" s="0" t="n">
        <v>11</v>
      </c>
      <c r="D1954" s="0" t="n">
        <f aca="false">-1+A1954*0.125</f>
        <v>-0.25</v>
      </c>
      <c r="E1954" s="0" t="n">
        <f aca="false">-1+B1954*0.125</f>
        <v>0.5</v>
      </c>
      <c r="F1954" s="0" t="n">
        <f aca="false">-1+C1954*0.125</f>
        <v>0.375</v>
      </c>
      <c r="G1954" s="0" t="n">
        <f aca="false">1</f>
        <v>1</v>
      </c>
      <c r="H1954" s="0" t="n">
        <f aca="false">D1954</f>
        <v>-0.25</v>
      </c>
      <c r="I1954" s="0" t="n">
        <f aca="false">E1954</f>
        <v>0.5</v>
      </c>
      <c r="J1954" s="0" t="n">
        <f aca="false">F1954</f>
        <v>0.375</v>
      </c>
      <c r="K1954" s="0" t="n">
        <f aca="false">D1954*E1954</f>
        <v>-0.125</v>
      </c>
      <c r="L1954" s="0" t="n">
        <f aca="false">D1954*F1954</f>
        <v>-0.09375</v>
      </c>
      <c r="M1954" s="0" t="n">
        <f aca="false">E1954*F1954</f>
        <v>0.1875</v>
      </c>
      <c r="N1954" s="0" t="n">
        <f aca="false">D1954*D1954</f>
        <v>0.0625</v>
      </c>
      <c r="O1954" s="0" t="n">
        <f aca="false">E1954*E1954</f>
        <v>0.25</v>
      </c>
      <c r="P1954" s="0" t="n">
        <f aca="false">F1954*F1954</f>
        <v>0.140625</v>
      </c>
      <c r="Q1954" s="0" t="n">
        <f aca="false">SUMPRODUCT(G1954:P1954,_XtX!$B$71:$K$71)</f>
        <v>48.3965198863637</v>
      </c>
      <c r="R1954" s="0" t="n">
        <f aca="false">SUMPRODUCT(MMULT(G1954:P1954,_XtX!$B$58:$K$67),G1954:P1954)</f>
        <v>0.144839754971591</v>
      </c>
      <c r="S1954" s="0" t="n">
        <f aca="false">04_回帰ANOVA!$K$19*04_回帰ANOVA!$K$14*SQRT(1+R1954)</f>
        <v>0.994807353995542</v>
      </c>
      <c r="T1954" s="0" t="n">
        <f aca="false">Q1954-S1954</f>
        <v>47.4017125323681</v>
      </c>
      <c r="U1954" s="0" t="n">
        <f aca="false">Q1954+S1954</f>
        <v>49.3913272403592</v>
      </c>
      <c r="V1954" s="54" t="b">
        <f aca="false">AND(D1954&gt;=01_因子設定!$L$5-0.000000001,D1954&lt;=01_因子設定!$M$5+0.000000001,E1954&gt;=01_因子設定!$L$6-0.000000001,E1954&lt;=01_因子設定!$M$6+0.000000001,F1954&gt;=01_因子設定!$L$7-0.000000001,F1954&lt;=01_因子設定!$M$7+0.000000001,IF(01_因子設定!$B$20="Box-Behnken",D1954^2+E1954^2+F1954^2&lt;=2+0.000000001,TRUE()))</f>
        <v>1</v>
      </c>
      <c r="W1954" s="55" t="n">
        <f aca="false">IF(V1954,IF(01_因子設定!$B$13="最大化",T1954-01_因子設定!$B$14,IF(01_因子設定!$B$13="最小化",01_因子設定!$B$15-U1954,MIN(T1954-01_因子設定!$B$14,01_因子設定!$B$15-U1954))),-1E+030)</f>
        <v>-1.09828746763189</v>
      </c>
      <c r="X1954" s="55" t="n">
        <f aca="false">IF(V1954,IF(01_因子設定!$B$13="最大化",Q1954,IF(01_因子設定!$B$13="最小化",-Q1954,-ABS(Q1954-01_因子設定!$B$16))),-1E+030)</f>
        <v>48.3965198863637</v>
      </c>
      <c r="Y1954" s="55" t="n">
        <f aca="false">W1954+ROW()*0.000000001</f>
        <v>-1.09828551363189</v>
      </c>
      <c r="Z1954" s="55" t="n">
        <f aca="false">X1954+ROW()*0.000000001</f>
        <v>48.3965218403637</v>
      </c>
    </row>
    <row r="1955" customFormat="false" ht="15" hidden="false" customHeight="false" outlineLevel="0" collapsed="false">
      <c r="A1955" s="0" t="n">
        <v>6</v>
      </c>
      <c r="B1955" s="0" t="n">
        <v>12</v>
      </c>
      <c r="C1955" s="0" t="n">
        <v>12</v>
      </c>
      <c r="D1955" s="0" t="n">
        <f aca="false">-1+A1955*0.125</f>
        <v>-0.25</v>
      </c>
      <c r="E1955" s="0" t="n">
        <f aca="false">-1+B1955*0.125</f>
        <v>0.5</v>
      </c>
      <c r="F1955" s="0" t="n">
        <f aca="false">-1+C1955*0.125</f>
        <v>0.5</v>
      </c>
      <c r="G1955" s="0" t="n">
        <f aca="false">1</f>
        <v>1</v>
      </c>
      <c r="H1955" s="0" t="n">
        <f aca="false">D1955</f>
        <v>-0.25</v>
      </c>
      <c r="I1955" s="0" t="n">
        <f aca="false">E1955</f>
        <v>0.5</v>
      </c>
      <c r="J1955" s="0" t="n">
        <f aca="false">F1955</f>
        <v>0.5</v>
      </c>
      <c r="K1955" s="0" t="n">
        <f aca="false">D1955*E1955</f>
        <v>-0.125</v>
      </c>
      <c r="L1955" s="0" t="n">
        <f aca="false">D1955*F1955</f>
        <v>-0.125</v>
      </c>
      <c r="M1955" s="0" t="n">
        <f aca="false">E1955*F1955</f>
        <v>0.25</v>
      </c>
      <c r="N1955" s="0" t="n">
        <f aca="false">D1955*D1955</f>
        <v>0.0625</v>
      </c>
      <c r="O1955" s="0" t="n">
        <f aca="false">E1955*E1955</f>
        <v>0.25</v>
      </c>
      <c r="P1955" s="0" t="n">
        <f aca="false">F1955*F1955</f>
        <v>0.25</v>
      </c>
      <c r="Q1955" s="0" t="n">
        <f aca="false">SUMPRODUCT(G1955:P1955,_XtX!$B$71:$K$71)</f>
        <v>48.4730681818182</v>
      </c>
      <c r="R1955" s="0" t="n">
        <f aca="false">SUMPRODUCT(MMULT(G1955:P1955,_XtX!$B$58:$K$67),G1955:P1955)</f>
        <v>0.156321022727273</v>
      </c>
      <c r="S1955" s="0" t="n">
        <f aca="false">04_回帰ANOVA!$K$19*04_回帰ANOVA!$K$14*SQRT(1+R1955)</f>
        <v>0.999783227753172</v>
      </c>
      <c r="T1955" s="0" t="n">
        <f aca="false">Q1955-S1955</f>
        <v>47.473284954065</v>
      </c>
      <c r="U1955" s="0" t="n">
        <f aca="false">Q1955+S1955</f>
        <v>49.4728514095714</v>
      </c>
      <c r="V1955" s="54" t="b">
        <f aca="false">AND(D1955&gt;=01_因子設定!$L$5-0.000000001,D1955&lt;=01_因子設定!$M$5+0.000000001,E1955&gt;=01_因子設定!$L$6-0.000000001,E1955&lt;=01_因子設定!$M$6+0.000000001,F1955&gt;=01_因子設定!$L$7-0.000000001,F1955&lt;=01_因子設定!$M$7+0.000000001,IF(01_因子設定!$B$20="Box-Behnken",D1955^2+E1955^2+F1955^2&lt;=2+0.000000001,TRUE()))</f>
        <v>1</v>
      </c>
      <c r="W1955" s="55" t="n">
        <f aca="false">IF(V1955,IF(01_因子設定!$B$13="最大化",T1955-01_因子設定!$B$14,IF(01_因子設定!$B$13="最小化",01_因子設定!$B$15-U1955,MIN(T1955-01_因子設定!$B$14,01_因子設定!$B$15-U1955))),-1E+030)</f>
        <v>-1.02671504593498</v>
      </c>
      <c r="X1955" s="55" t="n">
        <f aca="false">IF(V1955,IF(01_因子設定!$B$13="最大化",Q1955,IF(01_因子設定!$B$13="最小化",-Q1955,-ABS(Q1955-01_因子設定!$B$16))),-1E+030)</f>
        <v>48.4730681818182</v>
      </c>
      <c r="Y1955" s="55" t="n">
        <f aca="false">W1955+ROW()*0.000000001</f>
        <v>-1.02671309093498</v>
      </c>
      <c r="Z1955" s="55" t="n">
        <f aca="false">X1955+ROW()*0.000000001</f>
        <v>48.4730701368182</v>
      </c>
    </row>
    <row r="1956" customFormat="false" ht="15" hidden="false" customHeight="false" outlineLevel="0" collapsed="false">
      <c r="A1956" s="0" t="n">
        <v>6</v>
      </c>
      <c r="B1956" s="0" t="n">
        <v>12</v>
      </c>
      <c r="C1956" s="0" t="n">
        <v>13</v>
      </c>
      <c r="D1956" s="0" t="n">
        <f aca="false">-1+A1956*0.125</f>
        <v>-0.25</v>
      </c>
      <c r="E1956" s="0" t="n">
        <f aca="false">-1+B1956*0.125</f>
        <v>0.5</v>
      </c>
      <c r="F1956" s="0" t="n">
        <f aca="false">-1+C1956*0.125</f>
        <v>0.625</v>
      </c>
      <c r="G1956" s="0" t="n">
        <f aca="false">1</f>
        <v>1</v>
      </c>
      <c r="H1956" s="0" t="n">
        <f aca="false">D1956</f>
        <v>-0.25</v>
      </c>
      <c r="I1956" s="0" t="n">
        <f aca="false">E1956</f>
        <v>0.5</v>
      </c>
      <c r="J1956" s="0" t="n">
        <f aca="false">F1956</f>
        <v>0.625</v>
      </c>
      <c r="K1956" s="0" t="n">
        <f aca="false">D1956*E1956</f>
        <v>-0.125</v>
      </c>
      <c r="L1956" s="0" t="n">
        <f aca="false">D1956*F1956</f>
        <v>-0.15625</v>
      </c>
      <c r="M1956" s="0" t="n">
        <f aca="false">E1956*F1956</f>
        <v>0.3125</v>
      </c>
      <c r="N1956" s="0" t="n">
        <f aca="false">D1956*D1956</f>
        <v>0.0625</v>
      </c>
      <c r="O1956" s="0" t="n">
        <f aca="false">E1956*E1956</f>
        <v>0.25</v>
      </c>
      <c r="P1956" s="0" t="n">
        <f aca="false">F1956*F1956</f>
        <v>0.390625</v>
      </c>
      <c r="Q1956" s="0" t="n">
        <f aca="false">SUMPRODUCT(G1956:P1956,_XtX!$B$71:$K$71)</f>
        <v>48.5128267045455</v>
      </c>
      <c r="R1956" s="0" t="n">
        <f aca="false">SUMPRODUCT(MMULT(G1956:P1956,_XtX!$B$58:$K$67),G1956:P1956)</f>
        <v>0.183866743607955</v>
      </c>
      <c r="S1956" s="0" t="n">
        <f aca="false">04_回帰ANOVA!$K$19*04_回帰ANOVA!$K$14*SQRT(1+R1956)</f>
        <v>1.01162148983013</v>
      </c>
      <c r="T1956" s="0" t="n">
        <f aca="false">Q1956-S1956</f>
        <v>47.5012052147153</v>
      </c>
      <c r="U1956" s="0" t="n">
        <f aca="false">Q1956+S1956</f>
        <v>49.5244481943756</v>
      </c>
      <c r="V1956" s="54" t="b">
        <f aca="false">AND(D1956&gt;=01_因子設定!$L$5-0.000000001,D1956&lt;=01_因子設定!$M$5+0.000000001,E1956&gt;=01_因子設定!$L$6-0.000000001,E1956&lt;=01_因子設定!$M$6+0.000000001,F1956&gt;=01_因子設定!$L$7-0.000000001,F1956&lt;=01_因子設定!$M$7+0.000000001,IF(01_因子設定!$B$20="Box-Behnken",D1956^2+E1956^2+F1956^2&lt;=2+0.000000001,TRUE()))</f>
        <v>1</v>
      </c>
      <c r="W1956" s="55" t="n">
        <f aca="false">IF(V1956,IF(01_因子設定!$B$13="最大化",T1956-01_因子設定!$B$14,IF(01_因子設定!$B$13="最小化",01_因子設定!$B$15-U1956,MIN(T1956-01_因子設定!$B$14,01_因子設定!$B$15-U1956))),-1E+030)</f>
        <v>-0.998794785284666</v>
      </c>
      <c r="X1956" s="55" t="n">
        <f aca="false">IF(V1956,IF(01_因子設定!$B$13="最大化",Q1956,IF(01_因子設定!$B$13="最小化",-Q1956,-ABS(Q1956-01_因子設定!$B$16))),-1E+030)</f>
        <v>48.5128267045455</v>
      </c>
      <c r="Y1956" s="55" t="n">
        <f aca="false">W1956+ROW()*0.000000001</f>
        <v>-0.998792829284666</v>
      </c>
      <c r="Z1956" s="55" t="n">
        <f aca="false">X1956+ROW()*0.000000001</f>
        <v>48.5128286605455</v>
      </c>
    </row>
    <row r="1957" customFormat="false" ht="15" hidden="false" customHeight="false" outlineLevel="0" collapsed="false">
      <c r="A1957" s="0" t="n">
        <v>6</v>
      </c>
      <c r="B1957" s="0" t="n">
        <v>12</v>
      </c>
      <c r="C1957" s="0" t="n">
        <v>14</v>
      </c>
      <c r="D1957" s="0" t="n">
        <f aca="false">-1+A1957*0.125</f>
        <v>-0.25</v>
      </c>
      <c r="E1957" s="0" t="n">
        <f aca="false">-1+B1957*0.125</f>
        <v>0.5</v>
      </c>
      <c r="F1957" s="0" t="n">
        <f aca="false">-1+C1957*0.125</f>
        <v>0.75</v>
      </c>
      <c r="G1957" s="0" t="n">
        <f aca="false">1</f>
        <v>1</v>
      </c>
      <c r="H1957" s="0" t="n">
        <f aca="false">D1957</f>
        <v>-0.25</v>
      </c>
      <c r="I1957" s="0" t="n">
        <f aca="false">E1957</f>
        <v>0.5</v>
      </c>
      <c r="J1957" s="0" t="n">
        <f aca="false">F1957</f>
        <v>0.75</v>
      </c>
      <c r="K1957" s="0" t="n">
        <f aca="false">D1957*E1957</f>
        <v>-0.125</v>
      </c>
      <c r="L1957" s="0" t="n">
        <f aca="false">D1957*F1957</f>
        <v>-0.1875</v>
      </c>
      <c r="M1957" s="0" t="n">
        <f aca="false">E1957*F1957</f>
        <v>0.375</v>
      </c>
      <c r="N1957" s="0" t="n">
        <f aca="false">D1957*D1957</f>
        <v>0.0625</v>
      </c>
      <c r="O1957" s="0" t="n">
        <f aca="false">E1957*E1957</f>
        <v>0.25</v>
      </c>
      <c r="P1957" s="0" t="n">
        <f aca="false">F1957*F1957</f>
        <v>0.5625</v>
      </c>
      <c r="Q1957" s="0" t="n">
        <f aca="false">SUMPRODUCT(G1957:P1957,_XtX!$B$71:$K$71)</f>
        <v>48.5157954545455</v>
      </c>
      <c r="R1957" s="0" t="n">
        <f aca="false">SUMPRODUCT(MMULT(G1957:P1957,_XtX!$B$58:$K$67),G1957:P1957)</f>
        <v>0.237064985795455</v>
      </c>
      <c r="S1957" s="0" t="n">
        <f aca="false">04_回帰ANOVA!$K$19*04_回帰ANOVA!$K$14*SQRT(1+R1957)</f>
        <v>1.03410084594745</v>
      </c>
      <c r="T1957" s="0" t="n">
        <f aca="false">Q1957-S1957</f>
        <v>47.481694608598</v>
      </c>
      <c r="U1957" s="0" t="n">
        <f aca="false">Q1957+S1957</f>
        <v>49.5498963004929</v>
      </c>
      <c r="V1957" s="54" t="b">
        <f aca="false">AND(D1957&gt;=01_因子設定!$L$5-0.000000001,D1957&lt;=01_因子設定!$M$5+0.000000001,E1957&gt;=01_因子設定!$L$6-0.000000001,E1957&lt;=01_因子設定!$M$6+0.000000001,F1957&gt;=01_因子設定!$L$7-0.000000001,F1957&lt;=01_因子設定!$M$7+0.000000001,IF(01_因子設定!$B$20="Box-Behnken",D1957^2+E1957^2+F1957^2&lt;=2+0.000000001,TRUE()))</f>
        <v>1</v>
      </c>
      <c r="W1957" s="55" t="n">
        <f aca="false">IF(V1957,IF(01_因子設定!$B$13="最大化",T1957-01_因子設定!$B$14,IF(01_因子設定!$B$13="最小化",01_因子設定!$B$15-U1957,MIN(T1957-01_因子設定!$B$14,01_因子設定!$B$15-U1957))),-1E+030)</f>
        <v>-1.01830539140197</v>
      </c>
      <c r="X1957" s="55" t="n">
        <f aca="false">IF(V1957,IF(01_因子設定!$B$13="最大化",Q1957,IF(01_因子設定!$B$13="最小化",-Q1957,-ABS(Q1957-01_因子設定!$B$16))),-1E+030)</f>
        <v>48.5157954545455</v>
      </c>
      <c r="Y1957" s="55" t="n">
        <f aca="false">W1957+ROW()*0.000000001</f>
        <v>-1.01830343440197</v>
      </c>
      <c r="Z1957" s="55" t="n">
        <f aca="false">X1957+ROW()*0.000000001</f>
        <v>48.5157974115455</v>
      </c>
    </row>
    <row r="1958" customFormat="false" ht="15" hidden="false" customHeight="false" outlineLevel="0" collapsed="false">
      <c r="A1958" s="0" t="n">
        <v>6</v>
      </c>
      <c r="B1958" s="0" t="n">
        <v>12</v>
      </c>
      <c r="C1958" s="0" t="n">
        <v>15</v>
      </c>
      <c r="D1958" s="0" t="n">
        <f aca="false">-1+A1958*0.125</f>
        <v>-0.25</v>
      </c>
      <c r="E1958" s="0" t="n">
        <f aca="false">-1+B1958*0.125</f>
        <v>0.5</v>
      </c>
      <c r="F1958" s="0" t="n">
        <f aca="false">-1+C1958*0.125</f>
        <v>0.875</v>
      </c>
      <c r="G1958" s="0" t="n">
        <f aca="false">1</f>
        <v>1</v>
      </c>
      <c r="H1958" s="0" t="n">
        <f aca="false">D1958</f>
        <v>-0.25</v>
      </c>
      <c r="I1958" s="0" t="n">
        <f aca="false">E1958</f>
        <v>0.5</v>
      </c>
      <c r="J1958" s="0" t="n">
        <f aca="false">F1958</f>
        <v>0.875</v>
      </c>
      <c r="K1958" s="0" t="n">
        <f aca="false">D1958*E1958</f>
        <v>-0.125</v>
      </c>
      <c r="L1958" s="0" t="n">
        <f aca="false">D1958*F1958</f>
        <v>-0.21875</v>
      </c>
      <c r="M1958" s="0" t="n">
        <f aca="false">E1958*F1958</f>
        <v>0.4375</v>
      </c>
      <c r="N1958" s="0" t="n">
        <f aca="false">D1958*D1958</f>
        <v>0.0625</v>
      </c>
      <c r="O1958" s="0" t="n">
        <f aca="false">E1958*E1958</f>
        <v>0.25</v>
      </c>
      <c r="P1958" s="0" t="n">
        <f aca="false">F1958*F1958</f>
        <v>0.765625</v>
      </c>
      <c r="Q1958" s="0" t="n">
        <f aca="false">SUMPRODUCT(G1958:P1958,_XtX!$B$71:$K$71)</f>
        <v>48.4819744318182</v>
      </c>
      <c r="R1958" s="0" t="n">
        <f aca="false">SUMPRODUCT(MMULT(G1958:P1958,_XtX!$B$58:$K$67),G1958:P1958)</f>
        <v>0.327634499289773</v>
      </c>
      <c r="S1958" s="0" t="n">
        <f aca="false">04_回帰ANOVA!$K$19*04_回帰ANOVA!$K$14*SQRT(1+R1958)</f>
        <v>1.07128716250217</v>
      </c>
      <c r="T1958" s="0" t="n">
        <f aca="false">Q1958-S1958</f>
        <v>47.410687269316</v>
      </c>
      <c r="U1958" s="0" t="n">
        <f aca="false">Q1958+S1958</f>
        <v>49.5532615943204</v>
      </c>
      <c r="V1958" s="54" t="b">
        <f aca="false">AND(D1958&gt;=01_因子設定!$L$5-0.000000001,D1958&lt;=01_因子設定!$M$5+0.000000001,E1958&gt;=01_因子設定!$L$6-0.000000001,E1958&lt;=01_因子設定!$M$6+0.000000001,F1958&gt;=01_因子設定!$L$7-0.000000001,F1958&lt;=01_因子設定!$M$7+0.000000001,IF(01_因子設定!$B$20="Box-Behnken",D1958^2+E1958^2+F1958^2&lt;=2+0.000000001,TRUE()))</f>
        <v>1</v>
      </c>
      <c r="W1958" s="55" t="n">
        <f aca="false">IF(V1958,IF(01_因子設定!$B$13="最大化",T1958-01_因子設定!$B$14,IF(01_因子設定!$B$13="最小化",01_因子設定!$B$15-U1958,MIN(T1958-01_因子設定!$B$14,01_因子設定!$B$15-U1958))),-1E+030)</f>
        <v>-1.08931273068397</v>
      </c>
      <c r="X1958" s="55" t="n">
        <f aca="false">IF(V1958,IF(01_因子設定!$B$13="最大化",Q1958,IF(01_因子設定!$B$13="最小化",-Q1958,-ABS(Q1958-01_因子設定!$B$16))),-1E+030)</f>
        <v>48.4819744318182</v>
      </c>
      <c r="Y1958" s="55" t="n">
        <f aca="false">W1958+ROW()*0.000000001</f>
        <v>-1.08931077268397</v>
      </c>
      <c r="Z1958" s="55" t="n">
        <f aca="false">X1958+ROW()*0.000000001</f>
        <v>48.4819763898182</v>
      </c>
    </row>
    <row r="1959" customFormat="false" ht="15" hidden="false" customHeight="false" outlineLevel="0" collapsed="false">
      <c r="A1959" s="0" t="n">
        <v>6</v>
      </c>
      <c r="B1959" s="0" t="n">
        <v>12</v>
      </c>
      <c r="C1959" s="0" t="n">
        <v>16</v>
      </c>
      <c r="D1959" s="0" t="n">
        <f aca="false">-1+A1959*0.125</f>
        <v>-0.25</v>
      </c>
      <c r="E1959" s="0" t="n">
        <f aca="false">-1+B1959*0.125</f>
        <v>0.5</v>
      </c>
      <c r="F1959" s="0" t="n">
        <f aca="false">-1+C1959*0.125</f>
        <v>1</v>
      </c>
      <c r="G1959" s="0" t="n">
        <f aca="false">1</f>
        <v>1</v>
      </c>
      <c r="H1959" s="0" t="n">
        <f aca="false">D1959</f>
        <v>-0.25</v>
      </c>
      <c r="I1959" s="0" t="n">
        <f aca="false">E1959</f>
        <v>0.5</v>
      </c>
      <c r="J1959" s="0" t="n">
        <f aca="false">F1959</f>
        <v>1</v>
      </c>
      <c r="K1959" s="0" t="n">
        <f aca="false">D1959*E1959</f>
        <v>-0.125</v>
      </c>
      <c r="L1959" s="0" t="n">
        <f aca="false">D1959*F1959</f>
        <v>-0.25</v>
      </c>
      <c r="M1959" s="0" t="n">
        <f aca="false">E1959*F1959</f>
        <v>0.5</v>
      </c>
      <c r="N1959" s="0" t="n">
        <f aca="false">D1959*D1959</f>
        <v>0.0625</v>
      </c>
      <c r="O1959" s="0" t="n">
        <f aca="false">E1959*E1959</f>
        <v>0.25</v>
      </c>
      <c r="P1959" s="0" t="n">
        <f aca="false">F1959*F1959</f>
        <v>1</v>
      </c>
      <c r="Q1959" s="0" t="n">
        <f aca="false">SUMPRODUCT(G1959:P1959,_XtX!$B$71:$K$71)</f>
        <v>48.4113636363637</v>
      </c>
      <c r="R1959" s="0" t="n">
        <f aca="false">SUMPRODUCT(MMULT(G1959:P1959,_XtX!$B$58:$K$67),G1959:P1959)</f>
        <v>0.469424715909091</v>
      </c>
      <c r="S1959" s="0" t="n">
        <f aca="false">04_回帰ANOVA!$K$19*04_回帰ANOVA!$K$14*SQRT(1+R1959)</f>
        <v>1.12704253369596</v>
      </c>
      <c r="T1959" s="0" t="n">
        <f aca="false">Q1959-S1959</f>
        <v>47.2843211026677</v>
      </c>
      <c r="U1959" s="0" t="n">
        <f aca="false">Q1959+S1959</f>
        <v>49.5384061700596</v>
      </c>
      <c r="V1959" s="54" t="b">
        <f aca="false">AND(D1959&gt;=01_因子設定!$L$5-0.000000001,D1959&lt;=01_因子設定!$M$5+0.000000001,E1959&gt;=01_因子設定!$L$6-0.000000001,E1959&lt;=01_因子設定!$M$6+0.000000001,F1959&gt;=01_因子設定!$L$7-0.000000001,F1959&lt;=01_因子設定!$M$7+0.000000001,IF(01_因子設定!$B$20="Box-Behnken",D1959^2+E1959^2+F1959^2&lt;=2+0.000000001,TRUE()))</f>
        <v>1</v>
      </c>
      <c r="W1959" s="55" t="n">
        <f aca="false">IF(V1959,IF(01_因子設定!$B$13="最大化",T1959-01_因子設定!$B$14,IF(01_因子設定!$B$13="最小化",01_因子設定!$B$15-U1959,MIN(T1959-01_因子設定!$B$14,01_因子設定!$B$15-U1959))),-1E+030)</f>
        <v>-1.2156788973323</v>
      </c>
      <c r="X1959" s="55" t="n">
        <f aca="false">IF(V1959,IF(01_因子設定!$B$13="最大化",Q1959,IF(01_因子設定!$B$13="最小化",-Q1959,-ABS(Q1959-01_因子設定!$B$16))),-1E+030)</f>
        <v>48.4113636363637</v>
      </c>
      <c r="Y1959" s="55" t="n">
        <f aca="false">W1959+ROW()*0.000000001</f>
        <v>-1.2156769383323</v>
      </c>
      <c r="Z1959" s="55" t="n">
        <f aca="false">X1959+ROW()*0.000000001</f>
        <v>48.4113655953637</v>
      </c>
    </row>
    <row r="1960" customFormat="false" ht="15" hidden="false" customHeight="false" outlineLevel="0" collapsed="false">
      <c r="A1960" s="0" t="n">
        <v>6</v>
      </c>
      <c r="B1960" s="0" t="n">
        <v>13</v>
      </c>
      <c r="C1960" s="0" t="n">
        <v>0</v>
      </c>
      <c r="D1960" s="0" t="n">
        <f aca="false">-1+A1960*0.125</f>
        <v>-0.25</v>
      </c>
      <c r="E1960" s="0" t="n">
        <f aca="false">-1+B1960*0.125</f>
        <v>0.625</v>
      </c>
      <c r="F1960" s="0" t="n">
        <f aca="false">-1+C1960*0.125</f>
        <v>-1</v>
      </c>
      <c r="G1960" s="0" t="n">
        <f aca="false">1</f>
        <v>1</v>
      </c>
      <c r="H1960" s="0" t="n">
        <f aca="false">D1960</f>
        <v>-0.25</v>
      </c>
      <c r="I1960" s="0" t="n">
        <f aca="false">E1960</f>
        <v>0.625</v>
      </c>
      <c r="J1960" s="0" t="n">
        <f aca="false">F1960</f>
        <v>-1</v>
      </c>
      <c r="K1960" s="0" t="n">
        <f aca="false">D1960*E1960</f>
        <v>-0.15625</v>
      </c>
      <c r="L1960" s="0" t="n">
        <f aca="false">D1960*F1960</f>
        <v>0.25</v>
      </c>
      <c r="M1960" s="0" t="n">
        <f aca="false">E1960*F1960</f>
        <v>-0.625</v>
      </c>
      <c r="N1960" s="0" t="n">
        <f aca="false">D1960*D1960</f>
        <v>0.0625</v>
      </c>
      <c r="O1960" s="0" t="n">
        <f aca="false">E1960*E1960</f>
        <v>0.390625</v>
      </c>
      <c r="P1960" s="0" t="n">
        <f aca="false">F1960*F1960</f>
        <v>1</v>
      </c>
      <c r="Q1960" s="0" t="n">
        <f aca="false">SUMPRODUCT(G1960:P1960,_XtX!$B$71:$K$71)</f>
        <v>45.0054971590909</v>
      </c>
      <c r="R1960" s="0" t="n">
        <f aca="false">SUMPRODUCT(MMULT(G1960:P1960,_XtX!$B$58:$K$67),G1960:P1960)</f>
        <v>0.481389825994318</v>
      </c>
      <c r="S1960" s="0" t="n">
        <f aca="false">04_回帰ANOVA!$K$19*04_回帰ANOVA!$K$14*SQRT(1+R1960)</f>
        <v>1.13162182500693</v>
      </c>
      <c r="T1960" s="0" t="n">
        <f aca="false">Q1960-S1960</f>
        <v>43.873875334084</v>
      </c>
      <c r="U1960" s="0" t="n">
        <f aca="false">Q1960+S1960</f>
        <v>46.1371189840979</v>
      </c>
      <c r="V1960" s="54" t="b">
        <f aca="false">AND(D1960&gt;=01_因子設定!$L$5-0.000000001,D1960&lt;=01_因子設定!$M$5+0.000000001,E1960&gt;=01_因子設定!$L$6-0.000000001,E1960&lt;=01_因子設定!$M$6+0.000000001,F1960&gt;=01_因子設定!$L$7-0.000000001,F1960&lt;=01_因子設定!$M$7+0.000000001,IF(01_因子設定!$B$20="Box-Behnken",D1960^2+E1960^2+F1960^2&lt;=2+0.000000001,TRUE()))</f>
        <v>1</v>
      </c>
      <c r="W1960" s="55" t="n">
        <f aca="false">IF(V1960,IF(01_因子設定!$B$13="最大化",T1960-01_因子設定!$B$14,IF(01_因子設定!$B$13="最小化",01_因子設定!$B$15-U1960,MIN(T1960-01_因子設定!$B$14,01_因子設定!$B$15-U1960))),-1E+030)</f>
        <v>-4.62612466591599</v>
      </c>
      <c r="X1960" s="55" t="n">
        <f aca="false">IF(V1960,IF(01_因子設定!$B$13="最大化",Q1960,IF(01_因子設定!$B$13="最小化",-Q1960,-ABS(Q1960-01_因子設定!$B$16))),-1E+030)</f>
        <v>45.0054971590909</v>
      </c>
      <c r="Y1960" s="55" t="n">
        <f aca="false">W1960+ROW()*0.000000001</f>
        <v>-4.62612270591599</v>
      </c>
      <c r="Z1960" s="55" t="n">
        <f aca="false">X1960+ROW()*0.000000001</f>
        <v>45.0054991190909</v>
      </c>
    </row>
    <row r="1961" customFormat="false" ht="15" hidden="false" customHeight="false" outlineLevel="0" collapsed="false">
      <c r="A1961" s="0" t="n">
        <v>6</v>
      </c>
      <c r="B1961" s="0" t="n">
        <v>13</v>
      </c>
      <c r="C1961" s="0" t="n">
        <v>1</v>
      </c>
      <c r="D1961" s="0" t="n">
        <f aca="false">-1+A1961*0.125</f>
        <v>-0.25</v>
      </c>
      <c r="E1961" s="0" t="n">
        <f aca="false">-1+B1961*0.125</f>
        <v>0.625</v>
      </c>
      <c r="F1961" s="0" t="n">
        <f aca="false">-1+C1961*0.125</f>
        <v>-0.875</v>
      </c>
      <c r="G1961" s="0" t="n">
        <f aca="false">1</f>
        <v>1</v>
      </c>
      <c r="H1961" s="0" t="n">
        <f aca="false">D1961</f>
        <v>-0.25</v>
      </c>
      <c r="I1961" s="0" t="n">
        <f aca="false">E1961</f>
        <v>0.625</v>
      </c>
      <c r="J1961" s="0" t="n">
        <f aca="false">F1961</f>
        <v>-0.875</v>
      </c>
      <c r="K1961" s="0" t="n">
        <f aca="false">D1961*E1961</f>
        <v>-0.15625</v>
      </c>
      <c r="L1961" s="0" t="n">
        <f aca="false">D1961*F1961</f>
        <v>0.21875</v>
      </c>
      <c r="M1961" s="0" t="n">
        <f aca="false">E1961*F1961</f>
        <v>-0.546875</v>
      </c>
      <c r="N1961" s="0" t="n">
        <f aca="false">D1961*D1961</f>
        <v>0.0625</v>
      </c>
      <c r="O1961" s="0" t="n">
        <f aca="false">E1961*E1961</f>
        <v>0.390625</v>
      </c>
      <c r="P1961" s="0" t="n">
        <f aca="false">F1961*F1961</f>
        <v>0.765625</v>
      </c>
      <c r="Q1961" s="0" t="n">
        <f aca="false">SUMPRODUCT(G1961:P1961,_XtX!$B$71:$K$71)</f>
        <v>45.4937642045455</v>
      </c>
      <c r="R1961" s="0" t="n">
        <f aca="false">SUMPRODUCT(MMULT(G1961:P1961,_XtX!$B$58:$K$67),G1961:P1961)</f>
        <v>0.34446855024858</v>
      </c>
      <c r="S1961" s="0" t="n">
        <f aca="false">04_回帰ANOVA!$K$19*04_回帰ANOVA!$K$14*SQRT(1+R1961)</f>
        <v>1.07805758590432</v>
      </c>
      <c r="T1961" s="0" t="n">
        <f aca="false">Q1961-S1961</f>
        <v>44.4157066186412</v>
      </c>
      <c r="U1961" s="0" t="n">
        <f aca="false">Q1961+S1961</f>
        <v>46.5718217904498</v>
      </c>
      <c r="V1961" s="54" t="b">
        <f aca="false">AND(D1961&gt;=01_因子設定!$L$5-0.000000001,D1961&lt;=01_因子設定!$M$5+0.000000001,E1961&gt;=01_因子設定!$L$6-0.000000001,E1961&lt;=01_因子設定!$M$6+0.000000001,F1961&gt;=01_因子設定!$L$7-0.000000001,F1961&lt;=01_因子設定!$M$7+0.000000001,IF(01_因子設定!$B$20="Box-Behnken",D1961^2+E1961^2+F1961^2&lt;=2+0.000000001,TRUE()))</f>
        <v>1</v>
      </c>
      <c r="W1961" s="55" t="n">
        <f aca="false">IF(V1961,IF(01_因子設定!$B$13="最大化",T1961-01_因子設定!$B$14,IF(01_因子設定!$B$13="最小化",01_因子設定!$B$15-U1961,MIN(T1961-01_因子設定!$B$14,01_因子設定!$B$15-U1961))),-1E+030)</f>
        <v>-4.08429338135884</v>
      </c>
      <c r="X1961" s="55" t="n">
        <f aca="false">IF(V1961,IF(01_因子設定!$B$13="最大化",Q1961,IF(01_因子設定!$B$13="最小化",-Q1961,-ABS(Q1961-01_因子設定!$B$16))),-1E+030)</f>
        <v>45.4937642045455</v>
      </c>
      <c r="Y1961" s="55" t="n">
        <f aca="false">W1961+ROW()*0.000000001</f>
        <v>-4.08429142035884</v>
      </c>
      <c r="Z1961" s="55" t="n">
        <f aca="false">X1961+ROW()*0.000000001</f>
        <v>45.4937661655455</v>
      </c>
    </row>
    <row r="1962" customFormat="false" ht="15" hidden="false" customHeight="false" outlineLevel="0" collapsed="false">
      <c r="A1962" s="0" t="n">
        <v>6</v>
      </c>
      <c r="B1962" s="0" t="n">
        <v>13</v>
      </c>
      <c r="C1962" s="0" t="n">
        <v>2</v>
      </c>
      <c r="D1962" s="0" t="n">
        <f aca="false">-1+A1962*0.125</f>
        <v>-0.25</v>
      </c>
      <c r="E1962" s="0" t="n">
        <f aca="false">-1+B1962*0.125</f>
        <v>0.625</v>
      </c>
      <c r="F1962" s="0" t="n">
        <f aca="false">-1+C1962*0.125</f>
        <v>-0.75</v>
      </c>
      <c r="G1962" s="0" t="n">
        <f aca="false">1</f>
        <v>1</v>
      </c>
      <c r="H1962" s="0" t="n">
        <f aca="false">D1962</f>
        <v>-0.25</v>
      </c>
      <c r="I1962" s="0" t="n">
        <f aca="false">E1962</f>
        <v>0.625</v>
      </c>
      <c r="J1962" s="0" t="n">
        <f aca="false">F1962</f>
        <v>-0.75</v>
      </c>
      <c r="K1962" s="0" t="n">
        <f aca="false">D1962*E1962</f>
        <v>-0.15625</v>
      </c>
      <c r="L1962" s="0" t="n">
        <f aca="false">D1962*F1962</f>
        <v>0.1875</v>
      </c>
      <c r="M1962" s="0" t="n">
        <f aca="false">E1962*F1962</f>
        <v>-0.46875</v>
      </c>
      <c r="N1962" s="0" t="n">
        <f aca="false">D1962*D1962</f>
        <v>0.0625</v>
      </c>
      <c r="O1962" s="0" t="n">
        <f aca="false">E1962*E1962</f>
        <v>0.390625</v>
      </c>
      <c r="P1962" s="0" t="n">
        <f aca="false">F1962*F1962</f>
        <v>0.5625</v>
      </c>
      <c r="Q1962" s="0" t="n">
        <f aca="false">SUMPRODUCT(G1962:P1962,_XtX!$B$71:$K$71)</f>
        <v>45.9452414772727</v>
      </c>
      <c r="R1962" s="0" t="n">
        <f aca="false">SUMPRODUCT(MMULT(G1962:P1962,_XtX!$B$58:$K$67),G1962:P1962)</f>
        <v>0.258118785511364</v>
      </c>
      <c r="S1962" s="0" t="n">
        <f aca="false">04_回帰ANOVA!$K$19*04_回帰ANOVA!$K$14*SQRT(1+R1962)</f>
        <v>1.04286348094876</v>
      </c>
      <c r="T1962" s="0" t="n">
        <f aca="false">Q1962-S1962</f>
        <v>44.902377996324</v>
      </c>
      <c r="U1962" s="0" t="n">
        <f aca="false">Q1962+S1962</f>
        <v>46.9881049582215</v>
      </c>
      <c r="V1962" s="54" t="b">
        <f aca="false">AND(D1962&gt;=01_因子設定!$L$5-0.000000001,D1962&lt;=01_因子設定!$M$5+0.000000001,E1962&gt;=01_因子設定!$L$6-0.000000001,E1962&lt;=01_因子設定!$M$6+0.000000001,F1962&gt;=01_因子設定!$L$7-0.000000001,F1962&lt;=01_因子設定!$M$7+0.000000001,IF(01_因子設定!$B$20="Box-Behnken",D1962^2+E1962^2+F1962^2&lt;=2+0.000000001,TRUE()))</f>
        <v>1</v>
      </c>
      <c r="W1962" s="55" t="n">
        <f aca="false">IF(V1962,IF(01_因子設定!$B$13="最大化",T1962-01_因子設定!$B$14,IF(01_因子設定!$B$13="最小化",01_因子設定!$B$15-U1962,MIN(T1962-01_因子設定!$B$14,01_因子設定!$B$15-U1962))),-1E+030)</f>
        <v>-3.59762200367602</v>
      </c>
      <c r="X1962" s="55" t="n">
        <f aca="false">IF(V1962,IF(01_因子設定!$B$13="最大化",Q1962,IF(01_因子設定!$B$13="最小化",-Q1962,-ABS(Q1962-01_因子設定!$B$16))),-1E+030)</f>
        <v>45.9452414772727</v>
      </c>
      <c r="Y1962" s="55" t="n">
        <f aca="false">W1962+ROW()*0.000000001</f>
        <v>-3.59762004167602</v>
      </c>
      <c r="Z1962" s="55" t="n">
        <f aca="false">X1962+ROW()*0.000000001</f>
        <v>45.9452434392727</v>
      </c>
    </row>
    <row r="1963" customFormat="false" ht="15" hidden="false" customHeight="false" outlineLevel="0" collapsed="false">
      <c r="A1963" s="0" t="n">
        <v>6</v>
      </c>
      <c r="B1963" s="0" t="n">
        <v>13</v>
      </c>
      <c r="C1963" s="0" t="n">
        <v>3</v>
      </c>
      <c r="D1963" s="0" t="n">
        <f aca="false">-1+A1963*0.125</f>
        <v>-0.25</v>
      </c>
      <c r="E1963" s="0" t="n">
        <f aca="false">-1+B1963*0.125</f>
        <v>0.625</v>
      </c>
      <c r="F1963" s="0" t="n">
        <f aca="false">-1+C1963*0.125</f>
        <v>-0.625</v>
      </c>
      <c r="G1963" s="0" t="n">
        <f aca="false">1</f>
        <v>1</v>
      </c>
      <c r="H1963" s="0" t="n">
        <f aca="false">D1963</f>
        <v>-0.25</v>
      </c>
      <c r="I1963" s="0" t="n">
        <f aca="false">E1963</f>
        <v>0.625</v>
      </c>
      <c r="J1963" s="0" t="n">
        <f aca="false">F1963</f>
        <v>-0.625</v>
      </c>
      <c r="K1963" s="0" t="n">
        <f aca="false">D1963*E1963</f>
        <v>-0.15625</v>
      </c>
      <c r="L1963" s="0" t="n">
        <f aca="false">D1963*F1963</f>
        <v>0.15625</v>
      </c>
      <c r="M1963" s="0" t="n">
        <f aca="false">E1963*F1963</f>
        <v>-0.390625</v>
      </c>
      <c r="N1963" s="0" t="n">
        <f aca="false">D1963*D1963</f>
        <v>0.0625</v>
      </c>
      <c r="O1963" s="0" t="n">
        <f aca="false">E1963*E1963</f>
        <v>0.390625</v>
      </c>
      <c r="P1963" s="0" t="n">
        <f aca="false">F1963*F1963</f>
        <v>0.390625</v>
      </c>
      <c r="Q1963" s="0" t="n">
        <f aca="false">SUMPRODUCT(G1963:P1963,_XtX!$B$71:$K$71)</f>
        <v>46.3599289772727</v>
      </c>
      <c r="R1963" s="0" t="n">
        <f aca="false">SUMPRODUCT(MMULT(G1963:P1963,_XtX!$B$58:$K$67),G1963:P1963)</f>
        <v>0.208491099964489</v>
      </c>
      <c r="S1963" s="0" t="n">
        <f aca="false">04_回帰ANOVA!$K$19*04_回帰ANOVA!$K$14*SQRT(1+R1963)</f>
        <v>1.02208817610259</v>
      </c>
      <c r="T1963" s="0" t="n">
        <f aca="false">Q1963-S1963</f>
        <v>45.3378408011702</v>
      </c>
      <c r="U1963" s="0" t="n">
        <f aca="false">Q1963+S1963</f>
        <v>47.3820171533753</v>
      </c>
      <c r="V1963" s="54" t="b">
        <f aca="false">AND(D1963&gt;=01_因子設定!$L$5-0.000000001,D1963&lt;=01_因子設定!$M$5+0.000000001,E1963&gt;=01_因子設定!$L$6-0.000000001,E1963&lt;=01_因子設定!$M$6+0.000000001,F1963&gt;=01_因子設定!$L$7-0.000000001,F1963&lt;=01_因子設定!$M$7+0.000000001,IF(01_因子設定!$B$20="Box-Behnken",D1963^2+E1963^2+F1963^2&lt;=2+0.000000001,TRUE()))</f>
        <v>1</v>
      </c>
      <c r="W1963" s="55" t="n">
        <f aca="false">IF(V1963,IF(01_因子設定!$B$13="最大化",T1963-01_因子設定!$B$14,IF(01_因子設定!$B$13="最小化",01_因子設定!$B$15-U1963,MIN(T1963-01_因子設定!$B$14,01_因子設定!$B$15-U1963))),-1E+030)</f>
        <v>-3.16215919882984</v>
      </c>
      <c r="X1963" s="55" t="n">
        <f aca="false">IF(V1963,IF(01_因子設定!$B$13="最大化",Q1963,IF(01_因子設定!$B$13="最小化",-Q1963,-ABS(Q1963-01_因子設定!$B$16))),-1E+030)</f>
        <v>46.3599289772727</v>
      </c>
      <c r="Y1963" s="55" t="n">
        <f aca="false">W1963+ROW()*0.000000001</f>
        <v>-3.16215723582984</v>
      </c>
      <c r="Z1963" s="55" t="n">
        <f aca="false">X1963+ROW()*0.000000001</f>
        <v>46.3599309402728</v>
      </c>
    </row>
    <row r="1964" customFormat="false" ht="15" hidden="false" customHeight="false" outlineLevel="0" collapsed="false">
      <c r="A1964" s="0" t="n">
        <v>6</v>
      </c>
      <c r="B1964" s="0" t="n">
        <v>13</v>
      </c>
      <c r="C1964" s="0" t="n">
        <v>4</v>
      </c>
      <c r="D1964" s="0" t="n">
        <f aca="false">-1+A1964*0.125</f>
        <v>-0.25</v>
      </c>
      <c r="E1964" s="0" t="n">
        <f aca="false">-1+B1964*0.125</f>
        <v>0.625</v>
      </c>
      <c r="F1964" s="0" t="n">
        <f aca="false">-1+C1964*0.125</f>
        <v>-0.5</v>
      </c>
      <c r="G1964" s="0" t="n">
        <f aca="false">1</f>
        <v>1</v>
      </c>
      <c r="H1964" s="0" t="n">
        <f aca="false">D1964</f>
        <v>-0.25</v>
      </c>
      <c r="I1964" s="0" t="n">
        <f aca="false">E1964</f>
        <v>0.625</v>
      </c>
      <c r="J1964" s="0" t="n">
        <f aca="false">F1964</f>
        <v>-0.5</v>
      </c>
      <c r="K1964" s="0" t="n">
        <f aca="false">D1964*E1964</f>
        <v>-0.15625</v>
      </c>
      <c r="L1964" s="0" t="n">
        <f aca="false">D1964*F1964</f>
        <v>0.125</v>
      </c>
      <c r="M1964" s="0" t="n">
        <f aca="false">E1964*F1964</f>
        <v>-0.3125</v>
      </c>
      <c r="N1964" s="0" t="n">
        <f aca="false">D1964*D1964</f>
        <v>0.0625</v>
      </c>
      <c r="O1964" s="0" t="n">
        <f aca="false">E1964*E1964</f>
        <v>0.390625</v>
      </c>
      <c r="P1964" s="0" t="n">
        <f aca="false">F1964*F1964</f>
        <v>0.25</v>
      </c>
      <c r="Q1964" s="0" t="n">
        <f aca="false">SUMPRODUCT(G1964:P1964,_XtX!$B$71:$K$71)</f>
        <v>46.7378267045455</v>
      </c>
      <c r="R1964" s="0" t="n">
        <f aca="false">SUMPRODUCT(MMULT(G1964:P1964,_XtX!$B$58:$K$67),G1964:P1964)</f>
        <v>0.183866743607955</v>
      </c>
      <c r="S1964" s="0" t="n">
        <f aca="false">04_回帰ANOVA!$K$19*04_回帰ANOVA!$K$14*SQRT(1+R1964)</f>
        <v>1.01162148983013</v>
      </c>
      <c r="T1964" s="0" t="n">
        <f aca="false">Q1964-S1964</f>
        <v>45.7262052147153</v>
      </c>
      <c r="U1964" s="0" t="n">
        <f aca="false">Q1964+S1964</f>
        <v>47.7494481943756</v>
      </c>
      <c r="V1964" s="54" t="b">
        <f aca="false">AND(D1964&gt;=01_因子設定!$L$5-0.000000001,D1964&lt;=01_因子設定!$M$5+0.000000001,E1964&gt;=01_因子設定!$L$6-0.000000001,E1964&lt;=01_因子設定!$M$6+0.000000001,F1964&gt;=01_因子設定!$L$7-0.000000001,F1964&lt;=01_因子設定!$M$7+0.000000001,IF(01_因子設定!$B$20="Box-Behnken",D1964^2+E1964^2+F1964^2&lt;=2+0.000000001,TRUE()))</f>
        <v>1</v>
      </c>
      <c r="W1964" s="55" t="n">
        <f aca="false">IF(V1964,IF(01_因子設定!$B$13="最大化",T1964-01_因子設定!$B$14,IF(01_因子設定!$B$13="最小化",01_因子設定!$B$15-U1964,MIN(T1964-01_因子設定!$B$14,01_因子設定!$B$15-U1964))),-1E+030)</f>
        <v>-2.77379478528466</v>
      </c>
      <c r="X1964" s="55" t="n">
        <f aca="false">IF(V1964,IF(01_因子設定!$B$13="最大化",Q1964,IF(01_因子設定!$B$13="最小化",-Q1964,-ABS(Q1964-01_因子設定!$B$16))),-1E+030)</f>
        <v>46.7378267045455</v>
      </c>
      <c r="Y1964" s="55" t="n">
        <f aca="false">W1964+ROW()*0.000000001</f>
        <v>-2.77379282128466</v>
      </c>
      <c r="Z1964" s="55" t="n">
        <f aca="false">X1964+ROW()*0.000000001</f>
        <v>46.7378286685455</v>
      </c>
    </row>
    <row r="1965" customFormat="false" ht="15" hidden="false" customHeight="false" outlineLevel="0" collapsed="false">
      <c r="A1965" s="0" t="n">
        <v>6</v>
      </c>
      <c r="B1965" s="0" t="n">
        <v>13</v>
      </c>
      <c r="C1965" s="0" t="n">
        <v>5</v>
      </c>
      <c r="D1965" s="0" t="n">
        <f aca="false">-1+A1965*0.125</f>
        <v>-0.25</v>
      </c>
      <c r="E1965" s="0" t="n">
        <f aca="false">-1+B1965*0.125</f>
        <v>0.625</v>
      </c>
      <c r="F1965" s="0" t="n">
        <f aca="false">-1+C1965*0.125</f>
        <v>-0.375</v>
      </c>
      <c r="G1965" s="0" t="n">
        <f aca="false">1</f>
        <v>1</v>
      </c>
      <c r="H1965" s="0" t="n">
        <f aca="false">D1965</f>
        <v>-0.25</v>
      </c>
      <c r="I1965" s="0" t="n">
        <f aca="false">E1965</f>
        <v>0.625</v>
      </c>
      <c r="J1965" s="0" t="n">
        <f aca="false">F1965</f>
        <v>-0.375</v>
      </c>
      <c r="K1965" s="0" t="n">
        <f aca="false">D1965*E1965</f>
        <v>-0.15625</v>
      </c>
      <c r="L1965" s="0" t="n">
        <f aca="false">D1965*F1965</f>
        <v>0.09375</v>
      </c>
      <c r="M1965" s="0" t="n">
        <f aca="false">E1965*F1965</f>
        <v>-0.234375</v>
      </c>
      <c r="N1965" s="0" t="n">
        <f aca="false">D1965*D1965</f>
        <v>0.0625</v>
      </c>
      <c r="O1965" s="0" t="n">
        <f aca="false">E1965*E1965</f>
        <v>0.390625</v>
      </c>
      <c r="P1965" s="0" t="n">
        <f aca="false">F1965*F1965</f>
        <v>0.140625</v>
      </c>
      <c r="Q1965" s="0" t="n">
        <f aca="false">SUMPRODUCT(G1965:P1965,_XtX!$B$71:$K$71)</f>
        <v>47.0789346590909</v>
      </c>
      <c r="R1965" s="0" t="n">
        <f aca="false">SUMPRODUCT(MMULT(G1965:P1965,_XtX!$B$58:$K$67),G1965:P1965)</f>
        <v>0.174657648259943</v>
      </c>
      <c r="S1965" s="0" t="n">
        <f aca="false">04_回帰ANOVA!$K$19*04_回帰ANOVA!$K$14*SQRT(1+R1965)</f>
        <v>1.00767919364845</v>
      </c>
      <c r="T1965" s="0" t="n">
        <f aca="false">Q1965-S1965</f>
        <v>46.0712554654425</v>
      </c>
      <c r="U1965" s="0" t="n">
        <f aca="false">Q1965+S1965</f>
        <v>48.0866138527394</v>
      </c>
      <c r="V1965" s="54" t="b">
        <f aca="false">AND(D1965&gt;=01_因子設定!$L$5-0.000000001,D1965&lt;=01_因子設定!$M$5+0.000000001,E1965&gt;=01_因子設定!$L$6-0.000000001,E1965&lt;=01_因子設定!$M$6+0.000000001,F1965&gt;=01_因子設定!$L$7-0.000000001,F1965&lt;=01_因子設定!$M$7+0.000000001,IF(01_因子設定!$B$20="Box-Behnken",D1965^2+E1965^2+F1965^2&lt;=2+0.000000001,TRUE()))</f>
        <v>1</v>
      </c>
      <c r="W1965" s="55" t="n">
        <f aca="false">IF(V1965,IF(01_因子設定!$B$13="最大化",T1965-01_因子設定!$B$14,IF(01_因子設定!$B$13="最小化",01_因子設定!$B$15-U1965,MIN(T1965-01_因子設定!$B$14,01_因子設定!$B$15-U1965))),-1E+030)</f>
        <v>-2.42874453455752</v>
      </c>
      <c r="X1965" s="55" t="n">
        <f aca="false">IF(V1965,IF(01_因子設定!$B$13="最大化",Q1965,IF(01_因子設定!$B$13="最小化",-Q1965,-ABS(Q1965-01_因子設定!$B$16))),-1E+030)</f>
        <v>47.0789346590909</v>
      </c>
      <c r="Y1965" s="55" t="n">
        <f aca="false">W1965+ROW()*0.000000001</f>
        <v>-2.42874256955752</v>
      </c>
      <c r="Z1965" s="55" t="n">
        <f aca="false">X1965+ROW()*0.000000001</f>
        <v>47.0789366240909</v>
      </c>
    </row>
    <row r="1966" customFormat="false" ht="15" hidden="false" customHeight="false" outlineLevel="0" collapsed="false">
      <c r="A1966" s="0" t="n">
        <v>6</v>
      </c>
      <c r="B1966" s="0" t="n">
        <v>13</v>
      </c>
      <c r="C1966" s="0" t="n">
        <v>6</v>
      </c>
      <c r="D1966" s="0" t="n">
        <f aca="false">-1+A1966*0.125</f>
        <v>-0.25</v>
      </c>
      <c r="E1966" s="0" t="n">
        <f aca="false">-1+B1966*0.125</f>
        <v>0.625</v>
      </c>
      <c r="F1966" s="0" t="n">
        <f aca="false">-1+C1966*0.125</f>
        <v>-0.25</v>
      </c>
      <c r="G1966" s="0" t="n">
        <f aca="false">1</f>
        <v>1</v>
      </c>
      <c r="H1966" s="0" t="n">
        <f aca="false">D1966</f>
        <v>-0.25</v>
      </c>
      <c r="I1966" s="0" t="n">
        <f aca="false">E1966</f>
        <v>0.625</v>
      </c>
      <c r="J1966" s="0" t="n">
        <f aca="false">F1966</f>
        <v>-0.25</v>
      </c>
      <c r="K1966" s="0" t="n">
        <f aca="false">D1966*E1966</f>
        <v>-0.15625</v>
      </c>
      <c r="L1966" s="0" t="n">
        <f aca="false">D1966*F1966</f>
        <v>0.0625</v>
      </c>
      <c r="M1966" s="0" t="n">
        <f aca="false">E1966*F1966</f>
        <v>-0.15625</v>
      </c>
      <c r="N1966" s="0" t="n">
        <f aca="false">D1966*D1966</f>
        <v>0.0625</v>
      </c>
      <c r="O1966" s="0" t="n">
        <f aca="false">E1966*E1966</f>
        <v>0.390625</v>
      </c>
      <c r="P1966" s="0" t="n">
        <f aca="false">F1966*F1966</f>
        <v>0.0625</v>
      </c>
      <c r="Q1966" s="0" t="n">
        <f aca="false">SUMPRODUCT(G1966:P1966,_XtX!$B$71:$K$71)</f>
        <v>47.3832528409091</v>
      </c>
      <c r="R1966" s="0" t="n">
        <f aca="false">SUMPRODUCT(MMULT(G1966:P1966,_XtX!$B$58:$K$67),G1966:P1966)</f>
        <v>0.173406427556818</v>
      </c>
      <c r="S1966" s="0" t="n">
        <f aca="false">04_回帰ANOVA!$K$19*04_回帰ANOVA!$K$14*SQRT(1+R1966)</f>
        <v>1.00714237128059</v>
      </c>
      <c r="T1966" s="0" t="n">
        <f aca="false">Q1966-S1966</f>
        <v>46.3761104696285</v>
      </c>
      <c r="U1966" s="0" t="n">
        <f aca="false">Q1966+S1966</f>
        <v>48.3903952121897</v>
      </c>
      <c r="V1966" s="54" t="b">
        <f aca="false">AND(D1966&gt;=01_因子設定!$L$5-0.000000001,D1966&lt;=01_因子設定!$M$5+0.000000001,E1966&gt;=01_因子設定!$L$6-0.000000001,E1966&lt;=01_因子設定!$M$6+0.000000001,F1966&gt;=01_因子設定!$L$7-0.000000001,F1966&lt;=01_因子設定!$M$7+0.000000001,IF(01_因子設定!$B$20="Box-Behnken",D1966^2+E1966^2+F1966^2&lt;=2+0.000000001,TRUE()))</f>
        <v>1</v>
      </c>
      <c r="W1966" s="55" t="n">
        <f aca="false">IF(V1966,IF(01_因子設定!$B$13="最大化",T1966-01_因子設定!$B$14,IF(01_因子設定!$B$13="最小化",01_因子設定!$B$15-U1966,MIN(T1966-01_因子設定!$B$14,01_因子設定!$B$15-U1966))),-1E+030)</f>
        <v>-2.12388953037149</v>
      </c>
      <c r="X1966" s="55" t="n">
        <f aca="false">IF(V1966,IF(01_因子設定!$B$13="最大化",Q1966,IF(01_因子設定!$B$13="最小化",-Q1966,-ABS(Q1966-01_因子設定!$B$16))),-1E+030)</f>
        <v>47.3832528409091</v>
      </c>
      <c r="Y1966" s="55" t="n">
        <f aca="false">W1966+ROW()*0.000000001</f>
        <v>-2.12388756437149</v>
      </c>
      <c r="Z1966" s="55" t="n">
        <f aca="false">X1966+ROW()*0.000000001</f>
        <v>47.3832548069091</v>
      </c>
    </row>
    <row r="1967" customFormat="false" ht="15" hidden="false" customHeight="false" outlineLevel="0" collapsed="false">
      <c r="A1967" s="0" t="n">
        <v>6</v>
      </c>
      <c r="B1967" s="0" t="n">
        <v>13</v>
      </c>
      <c r="C1967" s="0" t="n">
        <v>7</v>
      </c>
      <c r="D1967" s="0" t="n">
        <f aca="false">-1+A1967*0.125</f>
        <v>-0.25</v>
      </c>
      <c r="E1967" s="0" t="n">
        <f aca="false">-1+B1967*0.125</f>
        <v>0.625</v>
      </c>
      <c r="F1967" s="0" t="n">
        <f aca="false">-1+C1967*0.125</f>
        <v>-0.125</v>
      </c>
      <c r="G1967" s="0" t="n">
        <f aca="false">1</f>
        <v>1</v>
      </c>
      <c r="H1967" s="0" t="n">
        <f aca="false">D1967</f>
        <v>-0.25</v>
      </c>
      <c r="I1967" s="0" t="n">
        <f aca="false">E1967</f>
        <v>0.625</v>
      </c>
      <c r="J1967" s="0" t="n">
        <f aca="false">F1967</f>
        <v>-0.125</v>
      </c>
      <c r="K1967" s="0" t="n">
        <f aca="false">D1967*E1967</f>
        <v>-0.15625</v>
      </c>
      <c r="L1967" s="0" t="n">
        <f aca="false">D1967*F1967</f>
        <v>0.03125</v>
      </c>
      <c r="M1967" s="0" t="n">
        <f aca="false">E1967*F1967</f>
        <v>-0.078125</v>
      </c>
      <c r="N1967" s="0" t="n">
        <f aca="false">D1967*D1967</f>
        <v>0.0625</v>
      </c>
      <c r="O1967" s="0" t="n">
        <f aca="false">E1967*E1967</f>
        <v>0.390625</v>
      </c>
      <c r="P1967" s="0" t="n">
        <f aca="false">F1967*F1967</f>
        <v>0.015625</v>
      </c>
      <c r="Q1967" s="0" t="n">
        <f aca="false">SUMPRODUCT(G1967:P1967,_XtX!$B$71:$K$71)</f>
        <v>47.65078125</v>
      </c>
      <c r="R1967" s="0" t="n">
        <f aca="false">SUMPRODUCT(MMULT(G1967:P1967,_XtX!$B$58:$K$67),G1967:P1967)</f>
        <v>0.174786376953125</v>
      </c>
      <c r="S1967" s="0" t="n">
        <f aca="false">04_回帰ANOVA!$K$19*04_回帰ANOVA!$K$14*SQRT(1+R1967)</f>
        <v>1.00773440704286</v>
      </c>
      <c r="T1967" s="0" t="n">
        <f aca="false">Q1967-S1967</f>
        <v>46.6430468429572</v>
      </c>
      <c r="U1967" s="0" t="n">
        <f aca="false">Q1967+S1967</f>
        <v>48.6585156570429</v>
      </c>
      <c r="V1967" s="54" t="b">
        <f aca="false">AND(D1967&gt;=01_因子設定!$L$5-0.000000001,D1967&lt;=01_因子設定!$M$5+0.000000001,E1967&gt;=01_因子設定!$L$6-0.000000001,E1967&lt;=01_因子設定!$M$6+0.000000001,F1967&gt;=01_因子設定!$L$7-0.000000001,F1967&lt;=01_因子設定!$M$7+0.000000001,IF(01_因子設定!$B$20="Box-Behnken",D1967^2+E1967^2+F1967^2&lt;=2+0.000000001,TRUE()))</f>
        <v>1</v>
      </c>
      <c r="W1967" s="55" t="n">
        <f aca="false">IF(V1967,IF(01_因子設定!$B$13="最大化",T1967-01_因子設定!$B$14,IF(01_因子設定!$B$13="最小化",01_因子設定!$B$15-U1967,MIN(T1967-01_因子設定!$B$14,01_因子設定!$B$15-U1967))),-1E+030)</f>
        <v>-1.85695315704285</v>
      </c>
      <c r="X1967" s="55" t="n">
        <f aca="false">IF(V1967,IF(01_因子設定!$B$13="最大化",Q1967,IF(01_因子設定!$B$13="最小化",-Q1967,-ABS(Q1967-01_因子設定!$B$16))),-1E+030)</f>
        <v>47.65078125</v>
      </c>
      <c r="Y1967" s="55" t="n">
        <f aca="false">W1967+ROW()*0.000000001</f>
        <v>-1.85695119004285</v>
      </c>
      <c r="Z1967" s="55" t="n">
        <f aca="false">X1967+ROW()*0.000000001</f>
        <v>47.650783217</v>
      </c>
    </row>
    <row r="1968" customFormat="false" ht="15" hidden="false" customHeight="false" outlineLevel="0" collapsed="false">
      <c r="A1968" s="0" t="n">
        <v>6</v>
      </c>
      <c r="B1968" s="0" t="n">
        <v>13</v>
      </c>
      <c r="C1968" s="0" t="n">
        <v>8</v>
      </c>
      <c r="D1968" s="0" t="n">
        <f aca="false">-1+A1968*0.125</f>
        <v>-0.25</v>
      </c>
      <c r="E1968" s="0" t="n">
        <f aca="false">-1+B1968*0.125</f>
        <v>0.625</v>
      </c>
      <c r="F1968" s="0" t="n">
        <f aca="false">-1+C1968*0.125</f>
        <v>0</v>
      </c>
      <c r="G1968" s="0" t="n">
        <f aca="false">1</f>
        <v>1</v>
      </c>
      <c r="H1968" s="0" t="n">
        <f aca="false">D1968</f>
        <v>-0.25</v>
      </c>
      <c r="I1968" s="0" t="n">
        <f aca="false">E1968</f>
        <v>0.625</v>
      </c>
      <c r="J1968" s="0" t="n">
        <f aca="false">F1968</f>
        <v>0</v>
      </c>
      <c r="K1968" s="0" t="n">
        <f aca="false">D1968*E1968</f>
        <v>-0.15625</v>
      </c>
      <c r="L1968" s="0" t="n">
        <f aca="false">D1968*F1968</f>
        <v>-0</v>
      </c>
      <c r="M1968" s="0" t="n">
        <f aca="false">E1968*F1968</f>
        <v>0</v>
      </c>
      <c r="N1968" s="0" t="n">
        <f aca="false">D1968*D1968</f>
        <v>0.0625</v>
      </c>
      <c r="O1968" s="0" t="n">
        <f aca="false">E1968*E1968</f>
        <v>0.390625</v>
      </c>
      <c r="P1968" s="0" t="n">
        <f aca="false">F1968*F1968</f>
        <v>0</v>
      </c>
      <c r="Q1968" s="0" t="n">
        <f aca="false">SUMPRODUCT(G1968:P1968,_XtX!$B$71:$K$71)</f>
        <v>47.8815198863637</v>
      </c>
      <c r="R1968" s="0" t="n">
        <f aca="false">SUMPRODUCT(MMULT(G1968:P1968,_XtX!$B$58:$K$67),G1968:P1968)</f>
        <v>0.175601473721591</v>
      </c>
      <c r="S1968" s="0" t="n">
        <f aca="false">04_回帰ANOVA!$K$19*04_回帰ANOVA!$K$14*SQRT(1+R1968)</f>
        <v>1.00808394234856</v>
      </c>
      <c r="T1968" s="0" t="n">
        <f aca="false">Q1968-S1968</f>
        <v>46.8734359440151</v>
      </c>
      <c r="U1968" s="0" t="n">
        <f aca="false">Q1968+S1968</f>
        <v>48.8896038287122</v>
      </c>
      <c r="V1968" s="54" t="b">
        <f aca="false">AND(D1968&gt;=01_因子設定!$L$5-0.000000001,D1968&lt;=01_因子設定!$M$5+0.000000001,E1968&gt;=01_因子設定!$L$6-0.000000001,E1968&lt;=01_因子設定!$M$6+0.000000001,F1968&gt;=01_因子設定!$L$7-0.000000001,F1968&lt;=01_因子設定!$M$7+0.000000001,IF(01_因子設定!$B$20="Box-Behnken",D1968^2+E1968^2+F1968^2&lt;=2+0.000000001,TRUE()))</f>
        <v>1</v>
      </c>
      <c r="W1968" s="55" t="n">
        <f aca="false">IF(V1968,IF(01_因子設定!$B$13="最大化",T1968-01_因子設定!$B$14,IF(01_因子設定!$B$13="最小化",01_因子設定!$B$15-U1968,MIN(T1968-01_因子設定!$B$14,01_因子設定!$B$15-U1968))),-1E+030)</f>
        <v>-1.62656405598491</v>
      </c>
      <c r="X1968" s="55" t="n">
        <f aca="false">IF(V1968,IF(01_因子設定!$B$13="最大化",Q1968,IF(01_因子設定!$B$13="最小化",-Q1968,-ABS(Q1968-01_因子設定!$B$16))),-1E+030)</f>
        <v>47.8815198863637</v>
      </c>
      <c r="Y1968" s="55" t="n">
        <f aca="false">W1968+ROW()*0.000000001</f>
        <v>-1.62656208798491</v>
      </c>
      <c r="Z1968" s="55" t="n">
        <f aca="false">X1968+ROW()*0.000000001</f>
        <v>47.8815218543637</v>
      </c>
    </row>
    <row r="1969" customFormat="false" ht="15" hidden="false" customHeight="false" outlineLevel="0" collapsed="false">
      <c r="A1969" s="0" t="n">
        <v>6</v>
      </c>
      <c r="B1969" s="0" t="n">
        <v>13</v>
      </c>
      <c r="C1969" s="0" t="n">
        <v>9</v>
      </c>
      <c r="D1969" s="0" t="n">
        <f aca="false">-1+A1969*0.125</f>
        <v>-0.25</v>
      </c>
      <c r="E1969" s="0" t="n">
        <f aca="false">-1+B1969*0.125</f>
        <v>0.625</v>
      </c>
      <c r="F1969" s="0" t="n">
        <f aca="false">-1+C1969*0.125</f>
        <v>0.125</v>
      </c>
      <c r="G1969" s="0" t="n">
        <f aca="false">1</f>
        <v>1</v>
      </c>
      <c r="H1969" s="0" t="n">
        <f aca="false">D1969</f>
        <v>-0.25</v>
      </c>
      <c r="I1969" s="0" t="n">
        <f aca="false">E1969</f>
        <v>0.625</v>
      </c>
      <c r="J1969" s="0" t="n">
        <f aca="false">F1969</f>
        <v>0.125</v>
      </c>
      <c r="K1969" s="0" t="n">
        <f aca="false">D1969*E1969</f>
        <v>-0.15625</v>
      </c>
      <c r="L1969" s="0" t="n">
        <f aca="false">D1969*F1969</f>
        <v>-0.03125</v>
      </c>
      <c r="M1969" s="0" t="n">
        <f aca="false">E1969*F1969</f>
        <v>0.078125</v>
      </c>
      <c r="N1969" s="0" t="n">
        <f aca="false">D1969*D1969</f>
        <v>0.0625</v>
      </c>
      <c r="O1969" s="0" t="n">
        <f aca="false">E1969*E1969</f>
        <v>0.390625</v>
      </c>
      <c r="P1969" s="0" t="n">
        <f aca="false">F1969*F1969</f>
        <v>0.015625</v>
      </c>
      <c r="Q1969" s="0" t="n">
        <f aca="false">SUMPRODUCT(G1969:P1969,_XtX!$B$71:$K$71)</f>
        <v>48.07546875</v>
      </c>
      <c r="R1969" s="0" t="n">
        <f aca="false">SUMPRODUCT(MMULT(G1969:P1969,_XtX!$B$58:$K$67),G1969:P1969)</f>
        <v>0.174786376953125</v>
      </c>
      <c r="S1969" s="0" t="n">
        <f aca="false">04_回帰ANOVA!$K$19*04_回帰ANOVA!$K$14*SQRT(1+R1969)</f>
        <v>1.00773440704286</v>
      </c>
      <c r="T1969" s="0" t="n">
        <f aca="false">Q1969-S1969</f>
        <v>47.0677343429571</v>
      </c>
      <c r="U1969" s="0" t="n">
        <f aca="false">Q1969+S1969</f>
        <v>49.0832031570429</v>
      </c>
      <c r="V1969" s="54" t="b">
        <f aca="false">AND(D1969&gt;=01_因子設定!$L$5-0.000000001,D1969&lt;=01_因子設定!$M$5+0.000000001,E1969&gt;=01_因子設定!$L$6-0.000000001,E1969&lt;=01_因子設定!$M$6+0.000000001,F1969&gt;=01_因子設定!$L$7-0.000000001,F1969&lt;=01_因子設定!$M$7+0.000000001,IF(01_因子設定!$B$20="Box-Behnken",D1969^2+E1969^2+F1969^2&lt;=2+0.000000001,TRUE()))</f>
        <v>1</v>
      </c>
      <c r="W1969" s="55" t="n">
        <f aca="false">IF(V1969,IF(01_因子設定!$B$13="最大化",T1969-01_因子設定!$B$14,IF(01_因子設定!$B$13="最小化",01_因子設定!$B$15-U1969,MIN(T1969-01_因子設定!$B$14,01_因子設定!$B$15-U1969))),-1E+030)</f>
        <v>-1.43226565704286</v>
      </c>
      <c r="X1969" s="55" t="n">
        <f aca="false">IF(V1969,IF(01_因子設定!$B$13="最大化",Q1969,IF(01_因子設定!$B$13="最小化",-Q1969,-ABS(Q1969-01_因子設定!$B$16))),-1E+030)</f>
        <v>48.07546875</v>
      </c>
      <c r="Y1969" s="55" t="n">
        <f aca="false">W1969+ROW()*0.000000001</f>
        <v>-1.43226368804286</v>
      </c>
      <c r="Z1969" s="55" t="n">
        <f aca="false">X1969+ROW()*0.000000001</f>
        <v>48.075470719</v>
      </c>
    </row>
    <row r="1970" customFormat="false" ht="15" hidden="false" customHeight="false" outlineLevel="0" collapsed="false">
      <c r="A1970" s="0" t="n">
        <v>6</v>
      </c>
      <c r="B1970" s="0" t="n">
        <v>13</v>
      </c>
      <c r="C1970" s="0" t="n">
        <v>10</v>
      </c>
      <c r="D1970" s="0" t="n">
        <f aca="false">-1+A1970*0.125</f>
        <v>-0.25</v>
      </c>
      <c r="E1970" s="0" t="n">
        <f aca="false">-1+B1970*0.125</f>
        <v>0.625</v>
      </c>
      <c r="F1970" s="0" t="n">
        <f aca="false">-1+C1970*0.125</f>
        <v>0.25</v>
      </c>
      <c r="G1970" s="0" t="n">
        <f aca="false">1</f>
        <v>1</v>
      </c>
      <c r="H1970" s="0" t="n">
        <f aca="false">D1970</f>
        <v>-0.25</v>
      </c>
      <c r="I1970" s="0" t="n">
        <f aca="false">E1970</f>
        <v>0.625</v>
      </c>
      <c r="J1970" s="0" t="n">
        <f aca="false">F1970</f>
        <v>0.25</v>
      </c>
      <c r="K1970" s="0" t="n">
        <f aca="false">D1970*E1970</f>
        <v>-0.15625</v>
      </c>
      <c r="L1970" s="0" t="n">
        <f aca="false">D1970*F1970</f>
        <v>-0.0625</v>
      </c>
      <c r="M1970" s="0" t="n">
        <f aca="false">E1970*F1970</f>
        <v>0.15625</v>
      </c>
      <c r="N1970" s="0" t="n">
        <f aca="false">D1970*D1970</f>
        <v>0.0625</v>
      </c>
      <c r="O1970" s="0" t="n">
        <f aca="false">E1970*E1970</f>
        <v>0.390625</v>
      </c>
      <c r="P1970" s="0" t="n">
        <f aca="false">F1970*F1970</f>
        <v>0.0625</v>
      </c>
      <c r="Q1970" s="0" t="n">
        <f aca="false">SUMPRODUCT(G1970:P1970,_XtX!$B$71:$K$71)</f>
        <v>48.2326278409091</v>
      </c>
      <c r="R1970" s="0" t="n">
        <f aca="false">SUMPRODUCT(MMULT(G1970:P1970,_XtX!$B$58:$K$67),G1970:P1970)</f>
        <v>0.173406427556818</v>
      </c>
      <c r="S1970" s="0" t="n">
        <f aca="false">04_回帰ANOVA!$K$19*04_回帰ANOVA!$K$14*SQRT(1+R1970)</f>
        <v>1.00714237128059</v>
      </c>
      <c r="T1970" s="0" t="n">
        <f aca="false">Q1970-S1970</f>
        <v>47.2254854696285</v>
      </c>
      <c r="U1970" s="0" t="n">
        <f aca="false">Q1970+S1970</f>
        <v>49.2397702121897</v>
      </c>
      <c r="V1970" s="54" t="b">
        <f aca="false">AND(D1970&gt;=01_因子設定!$L$5-0.000000001,D1970&lt;=01_因子設定!$M$5+0.000000001,E1970&gt;=01_因子設定!$L$6-0.000000001,E1970&lt;=01_因子設定!$M$6+0.000000001,F1970&gt;=01_因子設定!$L$7-0.000000001,F1970&lt;=01_因子設定!$M$7+0.000000001,IF(01_因子設定!$B$20="Box-Behnken",D1970^2+E1970^2+F1970^2&lt;=2+0.000000001,TRUE()))</f>
        <v>1</v>
      </c>
      <c r="W1970" s="55" t="n">
        <f aca="false">IF(V1970,IF(01_因子設定!$B$13="最大化",T1970-01_因子設定!$B$14,IF(01_因子設定!$B$13="最小化",01_因子設定!$B$15-U1970,MIN(T1970-01_因子設定!$B$14,01_因子設定!$B$15-U1970))),-1E+030)</f>
        <v>-1.27451453037149</v>
      </c>
      <c r="X1970" s="55" t="n">
        <f aca="false">IF(V1970,IF(01_因子設定!$B$13="最大化",Q1970,IF(01_因子設定!$B$13="最小化",-Q1970,-ABS(Q1970-01_因子設定!$B$16))),-1E+030)</f>
        <v>48.2326278409091</v>
      </c>
      <c r="Y1970" s="55" t="n">
        <f aca="false">W1970+ROW()*0.000000001</f>
        <v>-1.27451256037149</v>
      </c>
      <c r="Z1970" s="55" t="n">
        <f aca="false">X1970+ROW()*0.000000001</f>
        <v>48.2326298109091</v>
      </c>
    </row>
    <row r="1971" customFormat="false" ht="15" hidden="false" customHeight="false" outlineLevel="0" collapsed="false">
      <c r="A1971" s="0" t="n">
        <v>6</v>
      </c>
      <c r="B1971" s="0" t="n">
        <v>13</v>
      </c>
      <c r="C1971" s="0" t="n">
        <v>11</v>
      </c>
      <c r="D1971" s="0" t="n">
        <f aca="false">-1+A1971*0.125</f>
        <v>-0.25</v>
      </c>
      <c r="E1971" s="0" t="n">
        <f aca="false">-1+B1971*0.125</f>
        <v>0.625</v>
      </c>
      <c r="F1971" s="0" t="n">
        <f aca="false">-1+C1971*0.125</f>
        <v>0.375</v>
      </c>
      <c r="G1971" s="0" t="n">
        <f aca="false">1</f>
        <v>1</v>
      </c>
      <c r="H1971" s="0" t="n">
        <f aca="false">D1971</f>
        <v>-0.25</v>
      </c>
      <c r="I1971" s="0" t="n">
        <f aca="false">E1971</f>
        <v>0.625</v>
      </c>
      <c r="J1971" s="0" t="n">
        <f aca="false">F1971</f>
        <v>0.375</v>
      </c>
      <c r="K1971" s="0" t="n">
        <f aca="false">D1971*E1971</f>
        <v>-0.15625</v>
      </c>
      <c r="L1971" s="0" t="n">
        <f aca="false">D1971*F1971</f>
        <v>-0.09375</v>
      </c>
      <c r="M1971" s="0" t="n">
        <f aca="false">E1971*F1971</f>
        <v>0.234375</v>
      </c>
      <c r="N1971" s="0" t="n">
        <f aca="false">D1971*D1971</f>
        <v>0.0625</v>
      </c>
      <c r="O1971" s="0" t="n">
        <f aca="false">E1971*E1971</f>
        <v>0.390625</v>
      </c>
      <c r="P1971" s="0" t="n">
        <f aca="false">F1971*F1971</f>
        <v>0.140625</v>
      </c>
      <c r="Q1971" s="0" t="n">
        <f aca="false">SUMPRODUCT(G1971:P1971,_XtX!$B$71:$K$71)</f>
        <v>48.3529971590909</v>
      </c>
      <c r="R1971" s="0" t="n">
        <f aca="false">SUMPRODUCT(MMULT(G1971:P1971,_XtX!$B$58:$K$67),G1971:P1971)</f>
        <v>0.174657648259943</v>
      </c>
      <c r="S1971" s="0" t="n">
        <f aca="false">04_回帰ANOVA!$K$19*04_回帰ANOVA!$K$14*SQRT(1+R1971)</f>
        <v>1.00767919364845</v>
      </c>
      <c r="T1971" s="0" t="n">
        <f aca="false">Q1971-S1971</f>
        <v>47.3453179654425</v>
      </c>
      <c r="U1971" s="0" t="n">
        <f aca="false">Q1971+S1971</f>
        <v>49.3606763527394</v>
      </c>
      <c r="V1971" s="54" t="b">
        <f aca="false">AND(D1971&gt;=01_因子設定!$L$5-0.000000001,D1971&lt;=01_因子設定!$M$5+0.000000001,E1971&gt;=01_因子設定!$L$6-0.000000001,E1971&lt;=01_因子設定!$M$6+0.000000001,F1971&gt;=01_因子設定!$L$7-0.000000001,F1971&lt;=01_因子設定!$M$7+0.000000001,IF(01_因子設定!$B$20="Box-Behnken",D1971^2+E1971^2+F1971^2&lt;=2+0.000000001,TRUE()))</f>
        <v>1</v>
      </c>
      <c r="W1971" s="55" t="n">
        <f aca="false">IF(V1971,IF(01_因子設定!$B$13="最大化",T1971-01_因子設定!$B$14,IF(01_因子設定!$B$13="最小化",01_因子設定!$B$15-U1971,MIN(T1971-01_因子設定!$B$14,01_因子設定!$B$15-U1971))),-1E+030)</f>
        <v>-1.15468203455752</v>
      </c>
      <c r="X1971" s="55" t="n">
        <f aca="false">IF(V1971,IF(01_因子設定!$B$13="最大化",Q1971,IF(01_因子設定!$B$13="最小化",-Q1971,-ABS(Q1971-01_因子設定!$B$16))),-1E+030)</f>
        <v>48.3529971590909</v>
      </c>
      <c r="Y1971" s="55" t="n">
        <f aca="false">W1971+ROW()*0.000000001</f>
        <v>-1.15468006355752</v>
      </c>
      <c r="Z1971" s="55" t="n">
        <f aca="false">X1971+ROW()*0.000000001</f>
        <v>48.3529991300909</v>
      </c>
    </row>
    <row r="1972" customFormat="false" ht="15" hidden="false" customHeight="false" outlineLevel="0" collapsed="false">
      <c r="A1972" s="0" t="n">
        <v>6</v>
      </c>
      <c r="B1972" s="0" t="n">
        <v>13</v>
      </c>
      <c r="C1972" s="0" t="n">
        <v>12</v>
      </c>
      <c r="D1972" s="0" t="n">
        <f aca="false">-1+A1972*0.125</f>
        <v>-0.25</v>
      </c>
      <c r="E1972" s="0" t="n">
        <f aca="false">-1+B1972*0.125</f>
        <v>0.625</v>
      </c>
      <c r="F1972" s="0" t="n">
        <f aca="false">-1+C1972*0.125</f>
        <v>0.5</v>
      </c>
      <c r="G1972" s="0" t="n">
        <f aca="false">1</f>
        <v>1</v>
      </c>
      <c r="H1972" s="0" t="n">
        <f aca="false">D1972</f>
        <v>-0.25</v>
      </c>
      <c r="I1972" s="0" t="n">
        <f aca="false">E1972</f>
        <v>0.625</v>
      </c>
      <c r="J1972" s="0" t="n">
        <f aca="false">F1972</f>
        <v>0.5</v>
      </c>
      <c r="K1972" s="0" t="n">
        <f aca="false">D1972*E1972</f>
        <v>-0.15625</v>
      </c>
      <c r="L1972" s="0" t="n">
        <f aca="false">D1972*F1972</f>
        <v>-0.125</v>
      </c>
      <c r="M1972" s="0" t="n">
        <f aca="false">E1972*F1972</f>
        <v>0.3125</v>
      </c>
      <c r="N1972" s="0" t="n">
        <f aca="false">D1972*D1972</f>
        <v>0.0625</v>
      </c>
      <c r="O1972" s="0" t="n">
        <f aca="false">E1972*E1972</f>
        <v>0.390625</v>
      </c>
      <c r="P1972" s="0" t="n">
        <f aca="false">F1972*F1972</f>
        <v>0.25</v>
      </c>
      <c r="Q1972" s="0" t="n">
        <f aca="false">SUMPRODUCT(G1972:P1972,_XtX!$B$71:$K$71)</f>
        <v>48.4365767045455</v>
      </c>
      <c r="R1972" s="0" t="n">
        <f aca="false">SUMPRODUCT(MMULT(G1972:P1972,_XtX!$B$58:$K$67),G1972:P1972)</f>
        <v>0.183866743607955</v>
      </c>
      <c r="S1972" s="0" t="n">
        <f aca="false">04_回帰ANOVA!$K$19*04_回帰ANOVA!$K$14*SQRT(1+R1972)</f>
        <v>1.01162148983013</v>
      </c>
      <c r="T1972" s="0" t="n">
        <f aca="false">Q1972-S1972</f>
        <v>47.4249552147153</v>
      </c>
      <c r="U1972" s="0" t="n">
        <f aca="false">Q1972+S1972</f>
        <v>49.4481981943756</v>
      </c>
      <c r="V1972" s="54" t="b">
        <f aca="false">AND(D1972&gt;=01_因子設定!$L$5-0.000000001,D1972&lt;=01_因子設定!$M$5+0.000000001,E1972&gt;=01_因子設定!$L$6-0.000000001,E1972&lt;=01_因子設定!$M$6+0.000000001,F1972&gt;=01_因子設定!$L$7-0.000000001,F1972&lt;=01_因子設定!$M$7+0.000000001,IF(01_因子設定!$B$20="Box-Behnken",D1972^2+E1972^2+F1972^2&lt;=2+0.000000001,TRUE()))</f>
        <v>1</v>
      </c>
      <c r="W1972" s="55" t="n">
        <f aca="false">IF(V1972,IF(01_因子設定!$B$13="最大化",T1972-01_因子設定!$B$14,IF(01_因子設定!$B$13="最小化",01_因子設定!$B$15-U1972,MIN(T1972-01_因子設定!$B$14,01_因子設定!$B$15-U1972))),-1E+030)</f>
        <v>-1.07504478528467</v>
      </c>
      <c r="X1972" s="55" t="n">
        <f aca="false">IF(V1972,IF(01_因子設定!$B$13="最大化",Q1972,IF(01_因子設定!$B$13="最小化",-Q1972,-ABS(Q1972-01_因子設定!$B$16))),-1E+030)</f>
        <v>48.4365767045455</v>
      </c>
      <c r="Y1972" s="55" t="n">
        <f aca="false">W1972+ROW()*0.000000001</f>
        <v>-1.07504281328467</v>
      </c>
      <c r="Z1972" s="55" t="n">
        <f aca="false">X1972+ROW()*0.000000001</f>
        <v>48.4365786765455</v>
      </c>
    </row>
    <row r="1973" customFormat="false" ht="15" hidden="false" customHeight="false" outlineLevel="0" collapsed="false">
      <c r="A1973" s="0" t="n">
        <v>6</v>
      </c>
      <c r="B1973" s="0" t="n">
        <v>13</v>
      </c>
      <c r="C1973" s="0" t="n">
        <v>13</v>
      </c>
      <c r="D1973" s="0" t="n">
        <f aca="false">-1+A1973*0.125</f>
        <v>-0.25</v>
      </c>
      <c r="E1973" s="0" t="n">
        <f aca="false">-1+B1973*0.125</f>
        <v>0.625</v>
      </c>
      <c r="F1973" s="0" t="n">
        <f aca="false">-1+C1973*0.125</f>
        <v>0.625</v>
      </c>
      <c r="G1973" s="0" t="n">
        <f aca="false">1</f>
        <v>1</v>
      </c>
      <c r="H1973" s="0" t="n">
        <f aca="false">D1973</f>
        <v>-0.25</v>
      </c>
      <c r="I1973" s="0" t="n">
        <f aca="false">E1973</f>
        <v>0.625</v>
      </c>
      <c r="J1973" s="0" t="n">
        <f aca="false">F1973</f>
        <v>0.625</v>
      </c>
      <c r="K1973" s="0" t="n">
        <f aca="false">D1973*E1973</f>
        <v>-0.15625</v>
      </c>
      <c r="L1973" s="0" t="n">
        <f aca="false">D1973*F1973</f>
        <v>-0.15625</v>
      </c>
      <c r="M1973" s="0" t="n">
        <f aca="false">E1973*F1973</f>
        <v>0.390625</v>
      </c>
      <c r="N1973" s="0" t="n">
        <f aca="false">D1973*D1973</f>
        <v>0.0625</v>
      </c>
      <c r="O1973" s="0" t="n">
        <f aca="false">E1973*E1973</f>
        <v>0.390625</v>
      </c>
      <c r="P1973" s="0" t="n">
        <f aca="false">F1973*F1973</f>
        <v>0.390625</v>
      </c>
      <c r="Q1973" s="0" t="n">
        <f aca="false">SUMPRODUCT(G1973:P1973,_XtX!$B$71:$K$71)</f>
        <v>48.4833664772727</v>
      </c>
      <c r="R1973" s="0" t="n">
        <f aca="false">SUMPRODUCT(MMULT(G1973:P1973,_XtX!$B$58:$K$67),G1973:P1973)</f>
        <v>0.208491099964489</v>
      </c>
      <c r="S1973" s="0" t="n">
        <f aca="false">04_回帰ANOVA!$K$19*04_回帰ANOVA!$K$14*SQRT(1+R1973)</f>
        <v>1.02208817610259</v>
      </c>
      <c r="T1973" s="0" t="n">
        <f aca="false">Q1973-S1973</f>
        <v>47.4612783011702</v>
      </c>
      <c r="U1973" s="0" t="n">
        <f aca="false">Q1973+S1973</f>
        <v>49.5054546533753</v>
      </c>
      <c r="V1973" s="54" t="b">
        <f aca="false">AND(D1973&gt;=01_因子設定!$L$5-0.000000001,D1973&lt;=01_因子設定!$M$5+0.000000001,E1973&gt;=01_因子設定!$L$6-0.000000001,E1973&lt;=01_因子設定!$M$6+0.000000001,F1973&gt;=01_因子設定!$L$7-0.000000001,F1973&lt;=01_因子設定!$M$7+0.000000001,IF(01_因子設定!$B$20="Box-Behnken",D1973^2+E1973^2+F1973^2&lt;=2+0.000000001,TRUE()))</f>
        <v>1</v>
      </c>
      <c r="W1973" s="55" t="n">
        <f aca="false">IF(V1973,IF(01_因子設定!$B$13="最大化",T1973-01_因子設定!$B$14,IF(01_因子設定!$B$13="最小化",01_因子設定!$B$15-U1973,MIN(T1973-01_因子設定!$B$14,01_因子設定!$B$15-U1973))),-1E+030)</f>
        <v>-1.03872169882984</v>
      </c>
      <c r="X1973" s="55" t="n">
        <f aca="false">IF(V1973,IF(01_因子設定!$B$13="最大化",Q1973,IF(01_因子設定!$B$13="最小化",-Q1973,-ABS(Q1973-01_因子設定!$B$16))),-1E+030)</f>
        <v>48.4833664772727</v>
      </c>
      <c r="Y1973" s="55" t="n">
        <f aca="false">W1973+ROW()*0.000000001</f>
        <v>-1.03871972582984</v>
      </c>
      <c r="Z1973" s="55" t="n">
        <f aca="false">X1973+ROW()*0.000000001</f>
        <v>48.4833684502728</v>
      </c>
    </row>
    <row r="1974" customFormat="false" ht="15" hidden="false" customHeight="false" outlineLevel="0" collapsed="false">
      <c r="A1974" s="0" t="n">
        <v>6</v>
      </c>
      <c r="B1974" s="0" t="n">
        <v>13</v>
      </c>
      <c r="C1974" s="0" t="n">
        <v>14</v>
      </c>
      <c r="D1974" s="0" t="n">
        <f aca="false">-1+A1974*0.125</f>
        <v>-0.25</v>
      </c>
      <c r="E1974" s="0" t="n">
        <f aca="false">-1+B1974*0.125</f>
        <v>0.625</v>
      </c>
      <c r="F1974" s="0" t="n">
        <f aca="false">-1+C1974*0.125</f>
        <v>0.75</v>
      </c>
      <c r="G1974" s="0" t="n">
        <f aca="false">1</f>
        <v>1</v>
      </c>
      <c r="H1974" s="0" t="n">
        <f aca="false">D1974</f>
        <v>-0.25</v>
      </c>
      <c r="I1974" s="0" t="n">
        <f aca="false">E1974</f>
        <v>0.625</v>
      </c>
      <c r="J1974" s="0" t="n">
        <f aca="false">F1974</f>
        <v>0.75</v>
      </c>
      <c r="K1974" s="0" t="n">
        <f aca="false">D1974*E1974</f>
        <v>-0.15625</v>
      </c>
      <c r="L1974" s="0" t="n">
        <f aca="false">D1974*F1974</f>
        <v>-0.1875</v>
      </c>
      <c r="M1974" s="0" t="n">
        <f aca="false">E1974*F1974</f>
        <v>0.46875</v>
      </c>
      <c r="N1974" s="0" t="n">
        <f aca="false">D1974*D1974</f>
        <v>0.0625</v>
      </c>
      <c r="O1974" s="0" t="n">
        <f aca="false">E1974*E1974</f>
        <v>0.390625</v>
      </c>
      <c r="P1974" s="0" t="n">
        <f aca="false">F1974*F1974</f>
        <v>0.5625</v>
      </c>
      <c r="Q1974" s="0" t="n">
        <f aca="false">SUMPRODUCT(G1974:P1974,_XtX!$B$71:$K$71)</f>
        <v>48.4933664772727</v>
      </c>
      <c r="R1974" s="0" t="n">
        <f aca="false">SUMPRODUCT(MMULT(G1974:P1974,_XtX!$B$58:$K$67),G1974:P1974)</f>
        <v>0.258118785511364</v>
      </c>
      <c r="S1974" s="0" t="n">
        <f aca="false">04_回帰ANOVA!$K$19*04_回帰ANOVA!$K$14*SQRT(1+R1974)</f>
        <v>1.04286348094876</v>
      </c>
      <c r="T1974" s="0" t="n">
        <f aca="false">Q1974-S1974</f>
        <v>47.450502996324</v>
      </c>
      <c r="U1974" s="0" t="n">
        <f aca="false">Q1974+S1974</f>
        <v>49.5362299582215</v>
      </c>
      <c r="V1974" s="54" t="b">
        <f aca="false">AND(D1974&gt;=01_因子設定!$L$5-0.000000001,D1974&lt;=01_因子設定!$M$5+0.000000001,E1974&gt;=01_因子設定!$L$6-0.000000001,E1974&lt;=01_因子設定!$M$6+0.000000001,F1974&gt;=01_因子設定!$L$7-0.000000001,F1974&lt;=01_因子設定!$M$7+0.000000001,IF(01_因子設定!$B$20="Box-Behnken",D1974^2+E1974^2+F1974^2&lt;=2+0.000000001,TRUE()))</f>
        <v>1</v>
      </c>
      <c r="W1974" s="55" t="n">
        <f aca="false">IF(V1974,IF(01_因子設定!$B$13="最大化",T1974-01_因子設定!$B$14,IF(01_因子設定!$B$13="最小化",01_因子設定!$B$15-U1974,MIN(T1974-01_因子設定!$B$14,01_因子設定!$B$15-U1974))),-1E+030)</f>
        <v>-1.04949700367602</v>
      </c>
      <c r="X1974" s="55" t="n">
        <f aca="false">IF(V1974,IF(01_因子設定!$B$13="最大化",Q1974,IF(01_因子設定!$B$13="最小化",-Q1974,-ABS(Q1974-01_因子設定!$B$16))),-1E+030)</f>
        <v>48.4933664772727</v>
      </c>
      <c r="Y1974" s="55" t="n">
        <f aca="false">W1974+ROW()*0.000000001</f>
        <v>-1.04949502967602</v>
      </c>
      <c r="Z1974" s="55" t="n">
        <f aca="false">X1974+ROW()*0.000000001</f>
        <v>48.4933684512727</v>
      </c>
    </row>
    <row r="1975" customFormat="false" ht="15" hidden="false" customHeight="false" outlineLevel="0" collapsed="false">
      <c r="A1975" s="0" t="n">
        <v>6</v>
      </c>
      <c r="B1975" s="0" t="n">
        <v>13</v>
      </c>
      <c r="C1975" s="0" t="n">
        <v>15</v>
      </c>
      <c r="D1975" s="0" t="n">
        <f aca="false">-1+A1975*0.125</f>
        <v>-0.25</v>
      </c>
      <c r="E1975" s="0" t="n">
        <f aca="false">-1+B1975*0.125</f>
        <v>0.625</v>
      </c>
      <c r="F1975" s="0" t="n">
        <f aca="false">-1+C1975*0.125</f>
        <v>0.875</v>
      </c>
      <c r="G1975" s="0" t="n">
        <f aca="false">1</f>
        <v>1</v>
      </c>
      <c r="H1975" s="0" t="n">
        <f aca="false">D1975</f>
        <v>-0.25</v>
      </c>
      <c r="I1975" s="0" t="n">
        <f aca="false">E1975</f>
        <v>0.625</v>
      </c>
      <c r="J1975" s="0" t="n">
        <f aca="false">F1975</f>
        <v>0.875</v>
      </c>
      <c r="K1975" s="0" t="n">
        <f aca="false">D1975*E1975</f>
        <v>-0.15625</v>
      </c>
      <c r="L1975" s="0" t="n">
        <f aca="false">D1975*F1975</f>
        <v>-0.21875</v>
      </c>
      <c r="M1975" s="0" t="n">
        <f aca="false">E1975*F1975</f>
        <v>0.546875</v>
      </c>
      <c r="N1975" s="0" t="n">
        <f aca="false">D1975*D1975</f>
        <v>0.0625</v>
      </c>
      <c r="O1975" s="0" t="n">
        <f aca="false">E1975*E1975</f>
        <v>0.390625</v>
      </c>
      <c r="P1975" s="0" t="n">
        <f aca="false">F1975*F1975</f>
        <v>0.765625</v>
      </c>
      <c r="Q1975" s="0" t="n">
        <f aca="false">SUMPRODUCT(G1975:P1975,_XtX!$B$71:$K$71)</f>
        <v>48.4665767045455</v>
      </c>
      <c r="R1975" s="0" t="n">
        <f aca="false">SUMPRODUCT(MMULT(G1975:P1975,_XtX!$B$58:$K$67),G1975:P1975)</f>
        <v>0.34446855024858</v>
      </c>
      <c r="S1975" s="0" t="n">
        <f aca="false">04_回帰ANOVA!$K$19*04_回帰ANOVA!$K$14*SQRT(1+R1975)</f>
        <v>1.07805758590432</v>
      </c>
      <c r="T1975" s="0" t="n">
        <f aca="false">Q1975-S1975</f>
        <v>47.3885191186412</v>
      </c>
      <c r="U1975" s="0" t="n">
        <f aca="false">Q1975+S1975</f>
        <v>49.5446342904498</v>
      </c>
      <c r="V1975" s="54" t="b">
        <f aca="false">AND(D1975&gt;=01_因子設定!$L$5-0.000000001,D1975&lt;=01_因子設定!$M$5+0.000000001,E1975&gt;=01_因子設定!$L$6-0.000000001,E1975&lt;=01_因子設定!$M$6+0.000000001,F1975&gt;=01_因子設定!$L$7-0.000000001,F1975&lt;=01_因子設定!$M$7+0.000000001,IF(01_因子設定!$B$20="Box-Behnken",D1975^2+E1975^2+F1975^2&lt;=2+0.000000001,TRUE()))</f>
        <v>1</v>
      </c>
      <c r="W1975" s="55" t="n">
        <f aca="false">IF(V1975,IF(01_因子設定!$B$13="最大化",T1975-01_因子設定!$B$14,IF(01_因子設定!$B$13="最小化",01_因子設定!$B$15-U1975,MIN(T1975-01_因子設定!$B$14,01_因子設定!$B$15-U1975))),-1E+030)</f>
        <v>-1.11148088135884</v>
      </c>
      <c r="X1975" s="55" t="n">
        <f aca="false">IF(V1975,IF(01_因子設定!$B$13="最大化",Q1975,IF(01_因子設定!$B$13="最小化",-Q1975,-ABS(Q1975-01_因子設定!$B$16))),-1E+030)</f>
        <v>48.4665767045455</v>
      </c>
      <c r="Y1975" s="55" t="n">
        <f aca="false">W1975+ROW()*0.000000001</f>
        <v>-1.11147890635884</v>
      </c>
      <c r="Z1975" s="55" t="n">
        <f aca="false">X1975+ROW()*0.000000001</f>
        <v>48.4665786795455</v>
      </c>
    </row>
    <row r="1976" customFormat="false" ht="15" hidden="false" customHeight="false" outlineLevel="0" collapsed="false">
      <c r="A1976" s="0" t="n">
        <v>6</v>
      </c>
      <c r="B1976" s="0" t="n">
        <v>13</v>
      </c>
      <c r="C1976" s="0" t="n">
        <v>16</v>
      </c>
      <c r="D1976" s="0" t="n">
        <f aca="false">-1+A1976*0.125</f>
        <v>-0.25</v>
      </c>
      <c r="E1976" s="0" t="n">
        <f aca="false">-1+B1976*0.125</f>
        <v>0.625</v>
      </c>
      <c r="F1976" s="0" t="n">
        <f aca="false">-1+C1976*0.125</f>
        <v>1</v>
      </c>
      <c r="G1976" s="0" t="n">
        <f aca="false">1</f>
        <v>1</v>
      </c>
      <c r="H1976" s="0" t="n">
        <f aca="false">D1976</f>
        <v>-0.25</v>
      </c>
      <c r="I1976" s="0" t="n">
        <f aca="false">E1976</f>
        <v>0.625</v>
      </c>
      <c r="J1976" s="0" t="n">
        <f aca="false">F1976</f>
        <v>1</v>
      </c>
      <c r="K1976" s="0" t="n">
        <f aca="false">D1976*E1976</f>
        <v>-0.15625</v>
      </c>
      <c r="L1976" s="0" t="n">
        <f aca="false">D1976*F1976</f>
        <v>-0.25</v>
      </c>
      <c r="M1976" s="0" t="n">
        <f aca="false">E1976*F1976</f>
        <v>0.625</v>
      </c>
      <c r="N1976" s="0" t="n">
        <f aca="false">D1976*D1976</f>
        <v>0.0625</v>
      </c>
      <c r="O1976" s="0" t="n">
        <f aca="false">E1976*E1976</f>
        <v>0.390625</v>
      </c>
      <c r="P1976" s="0" t="n">
        <f aca="false">F1976*F1976</f>
        <v>1</v>
      </c>
      <c r="Q1976" s="0" t="n">
        <f aca="false">SUMPRODUCT(G1976:P1976,_XtX!$B$71:$K$71)</f>
        <v>48.4029971590909</v>
      </c>
      <c r="R1976" s="0" t="n">
        <f aca="false">SUMPRODUCT(MMULT(G1976:P1976,_XtX!$B$58:$K$67),G1976:P1976)</f>
        <v>0.481389825994318</v>
      </c>
      <c r="S1976" s="0" t="n">
        <f aca="false">04_回帰ANOVA!$K$19*04_回帰ANOVA!$K$14*SQRT(1+R1976)</f>
        <v>1.13162182500693</v>
      </c>
      <c r="T1976" s="0" t="n">
        <f aca="false">Q1976-S1976</f>
        <v>47.271375334084</v>
      </c>
      <c r="U1976" s="0" t="n">
        <f aca="false">Q1976+S1976</f>
        <v>49.5346189840979</v>
      </c>
      <c r="V1976" s="54" t="b">
        <f aca="false">AND(D1976&gt;=01_因子設定!$L$5-0.000000001,D1976&lt;=01_因子設定!$M$5+0.000000001,E1976&gt;=01_因子設定!$L$6-0.000000001,E1976&lt;=01_因子設定!$M$6+0.000000001,F1976&gt;=01_因子設定!$L$7-0.000000001,F1976&lt;=01_因子設定!$M$7+0.000000001,IF(01_因子設定!$B$20="Box-Behnken",D1976^2+E1976^2+F1976^2&lt;=2+0.000000001,TRUE()))</f>
        <v>1</v>
      </c>
      <c r="W1976" s="55" t="n">
        <f aca="false">IF(V1976,IF(01_因子設定!$B$13="最大化",T1976-01_因子設定!$B$14,IF(01_因子設定!$B$13="最小化",01_因子設定!$B$15-U1976,MIN(T1976-01_因子設定!$B$14,01_因子設定!$B$15-U1976))),-1E+030)</f>
        <v>-1.22862466591599</v>
      </c>
      <c r="X1976" s="55" t="n">
        <f aca="false">IF(V1976,IF(01_因子設定!$B$13="最大化",Q1976,IF(01_因子設定!$B$13="最小化",-Q1976,-ABS(Q1976-01_因子設定!$B$16))),-1E+030)</f>
        <v>48.4029971590909</v>
      </c>
      <c r="Y1976" s="55" t="n">
        <f aca="false">W1976+ROW()*0.000000001</f>
        <v>-1.22862268991599</v>
      </c>
      <c r="Z1976" s="55" t="n">
        <f aca="false">X1976+ROW()*0.000000001</f>
        <v>48.4029991350909</v>
      </c>
    </row>
    <row r="1977" customFormat="false" ht="15" hidden="false" customHeight="false" outlineLevel="0" collapsed="false">
      <c r="A1977" s="0" t="n">
        <v>6</v>
      </c>
      <c r="B1977" s="0" t="n">
        <v>14</v>
      </c>
      <c r="C1977" s="0" t="n">
        <v>0</v>
      </c>
      <c r="D1977" s="0" t="n">
        <f aca="false">-1+A1977*0.125</f>
        <v>-0.25</v>
      </c>
      <c r="E1977" s="0" t="n">
        <f aca="false">-1+B1977*0.125</f>
        <v>0.75</v>
      </c>
      <c r="F1977" s="0" t="n">
        <f aca="false">-1+C1977*0.125</f>
        <v>-1</v>
      </c>
      <c r="G1977" s="0" t="n">
        <f aca="false">1</f>
        <v>1</v>
      </c>
      <c r="H1977" s="0" t="n">
        <f aca="false">D1977</f>
        <v>-0.25</v>
      </c>
      <c r="I1977" s="0" t="n">
        <f aca="false">E1977</f>
        <v>0.75</v>
      </c>
      <c r="J1977" s="0" t="n">
        <f aca="false">F1977</f>
        <v>-1</v>
      </c>
      <c r="K1977" s="0" t="n">
        <f aca="false">D1977*E1977</f>
        <v>-0.1875</v>
      </c>
      <c r="L1977" s="0" t="n">
        <f aca="false">D1977*F1977</f>
        <v>0.25</v>
      </c>
      <c r="M1977" s="0" t="n">
        <f aca="false">E1977*F1977</f>
        <v>-0.75</v>
      </c>
      <c r="N1977" s="0" t="n">
        <f aca="false">D1977*D1977</f>
        <v>0.0625</v>
      </c>
      <c r="O1977" s="0" t="n">
        <f aca="false">E1977*E1977</f>
        <v>0.5625</v>
      </c>
      <c r="P1977" s="0" t="n">
        <f aca="false">F1977*F1977</f>
        <v>1</v>
      </c>
      <c r="Q1977" s="0" t="n">
        <f aca="false">SUMPRODUCT(G1977:P1977,_XtX!$B$71:$K$71)</f>
        <v>44.8212784090909</v>
      </c>
      <c r="R1977" s="0" t="n">
        <f aca="false">SUMPRODUCT(MMULT(G1977:P1977,_XtX!$B$58:$K$67),G1977:P1977)</f>
        <v>0.515545099431818</v>
      </c>
      <c r="S1977" s="0" t="n">
        <f aca="false">04_回帰ANOVA!$K$19*04_回帰ANOVA!$K$14*SQRT(1+R1977)</f>
        <v>1.14459295464101</v>
      </c>
      <c r="T1977" s="0" t="n">
        <f aca="false">Q1977-S1977</f>
        <v>43.6766854544499</v>
      </c>
      <c r="U1977" s="0" t="n">
        <f aca="false">Q1977+S1977</f>
        <v>45.965871363732</v>
      </c>
      <c r="V1977" s="54" t="b">
        <f aca="false">AND(D1977&gt;=01_因子設定!$L$5-0.000000001,D1977&lt;=01_因子設定!$M$5+0.000000001,E1977&gt;=01_因子設定!$L$6-0.000000001,E1977&lt;=01_因子設定!$M$6+0.000000001,F1977&gt;=01_因子設定!$L$7-0.000000001,F1977&lt;=01_因子設定!$M$7+0.000000001,IF(01_因子設定!$B$20="Box-Behnken",D1977^2+E1977^2+F1977^2&lt;=2+0.000000001,TRUE()))</f>
        <v>1</v>
      </c>
      <c r="W1977" s="55" t="n">
        <f aca="false">IF(V1977,IF(01_因子設定!$B$13="最大化",T1977-01_因子設定!$B$14,IF(01_因子設定!$B$13="最小化",01_因子設定!$B$15-U1977,MIN(T1977-01_因子設定!$B$14,01_因子設定!$B$15-U1977))),-1E+030)</f>
        <v>-4.82331454555008</v>
      </c>
      <c r="X1977" s="55" t="n">
        <f aca="false">IF(V1977,IF(01_因子設定!$B$13="最大化",Q1977,IF(01_因子設定!$B$13="最小化",-Q1977,-ABS(Q1977-01_因子設定!$B$16))),-1E+030)</f>
        <v>44.8212784090909</v>
      </c>
      <c r="Y1977" s="55" t="n">
        <f aca="false">W1977+ROW()*0.000000001</f>
        <v>-4.82331256855008</v>
      </c>
      <c r="Z1977" s="55" t="n">
        <f aca="false">X1977+ROW()*0.000000001</f>
        <v>44.8212803860909</v>
      </c>
    </row>
    <row r="1978" customFormat="false" ht="15" hidden="false" customHeight="false" outlineLevel="0" collapsed="false">
      <c r="A1978" s="0" t="n">
        <v>6</v>
      </c>
      <c r="B1978" s="0" t="n">
        <v>14</v>
      </c>
      <c r="C1978" s="0" t="n">
        <v>1</v>
      </c>
      <c r="D1978" s="0" t="n">
        <f aca="false">-1+A1978*0.125</f>
        <v>-0.25</v>
      </c>
      <c r="E1978" s="0" t="n">
        <f aca="false">-1+B1978*0.125</f>
        <v>0.75</v>
      </c>
      <c r="F1978" s="0" t="n">
        <f aca="false">-1+C1978*0.125</f>
        <v>-0.875</v>
      </c>
      <c r="G1978" s="0" t="n">
        <f aca="false">1</f>
        <v>1</v>
      </c>
      <c r="H1978" s="0" t="n">
        <f aca="false">D1978</f>
        <v>-0.25</v>
      </c>
      <c r="I1978" s="0" t="n">
        <f aca="false">E1978</f>
        <v>0.75</v>
      </c>
      <c r="J1978" s="0" t="n">
        <f aca="false">F1978</f>
        <v>-0.875</v>
      </c>
      <c r="K1978" s="0" t="n">
        <f aca="false">D1978*E1978</f>
        <v>-0.1875</v>
      </c>
      <c r="L1978" s="0" t="n">
        <f aca="false">D1978*F1978</f>
        <v>0.21875</v>
      </c>
      <c r="M1978" s="0" t="n">
        <f aca="false">E1978*F1978</f>
        <v>-0.65625</v>
      </c>
      <c r="N1978" s="0" t="n">
        <f aca="false">D1978*D1978</f>
        <v>0.0625</v>
      </c>
      <c r="O1978" s="0" t="n">
        <f aca="false">E1978*E1978</f>
        <v>0.5625</v>
      </c>
      <c r="P1978" s="0" t="n">
        <f aca="false">F1978*F1978</f>
        <v>0.765625</v>
      </c>
      <c r="Q1978" s="0" t="n">
        <f aca="false">SUMPRODUCT(G1978:P1978,_XtX!$B$71:$K$71)</f>
        <v>45.3165767045455</v>
      </c>
      <c r="R1978" s="0" t="n">
        <f aca="false">SUMPRODUCT(MMULT(G1978:P1978,_XtX!$B$58:$K$67),G1978:P1978)</f>
        <v>0.384574751420455</v>
      </c>
      <c r="S1978" s="0" t="n">
        <f aca="false">04_回帰ANOVA!$K$19*04_回帰ANOVA!$K$14*SQRT(1+R1978)</f>
        <v>1.0940189380139</v>
      </c>
      <c r="T1978" s="0" t="n">
        <f aca="false">Q1978-S1978</f>
        <v>44.2225577665316</v>
      </c>
      <c r="U1978" s="0" t="n">
        <f aca="false">Q1978+S1978</f>
        <v>46.4105956425594</v>
      </c>
      <c r="V1978" s="54" t="b">
        <f aca="false">AND(D1978&gt;=01_因子設定!$L$5-0.000000001,D1978&lt;=01_因子設定!$M$5+0.000000001,E1978&gt;=01_因子設定!$L$6-0.000000001,E1978&lt;=01_因子設定!$M$6+0.000000001,F1978&gt;=01_因子設定!$L$7-0.000000001,F1978&lt;=01_因子設定!$M$7+0.000000001,IF(01_因子設定!$B$20="Box-Behnken",D1978^2+E1978^2+F1978^2&lt;=2+0.000000001,TRUE()))</f>
        <v>1</v>
      </c>
      <c r="W1978" s="55" t="n">
        <f aca="false">IF(V1978,IF(01_因子設定!$B$13="最大化",T1978-01_因子設定!$B$14,IF(01_因子設定!$B$13="最小化",01_因子設定!$B$15-U1978,MIN(T1978-01_因子設定!$B$14,01_因子設定!$B$15-U1978))),-1E+030)</f>
        <v>-4.27744223346843</v>
      </c>
      <c r="X1978" s="55" t="n">
        <f aca="false">IF(V1978,IF(01_因子設定!$B$13="最大化",Q1978,IF(01_因子設定!$B$13="最小化",-Q1978,-ABS(Q1978-01_因子設定!$B$16))),-1E+030)</f>
        <v>45.3165767045455</v>
      </c>
      <c r="Y1978" s="55" t="n">
        <f aca="false">W1978+ROW()*0.000000001</f>
        <v>-4.27744025546843</v>
      </c>
      <c r="Z1978" s="55" t="n">
        <f aca="false">X1978+ROW()*0.000000001</f>
        <v>45.3165786825455</v>
      </c>
    </row>
    <row r="1979" customFormat="false" ht="15" hidden="false" customHeight="false" outlineLevel="0" collapsed="false">
      <c r="A1979" s="0" t="n">
        <v>6</v>
      </c>
      <c r="B1979" s="0" t="n">
        <v>14</v>
      </c>
      <c r="C1979" s="0" t="n">
        <v>2</v>
      </c>
      <c r="D1979" s="0" t="n">
        <f aca="false">-1+A1979*0.125</f>
        <v>-0.25</v>
      </c>
      <c r="E1979" s="0" t="n">
        <f aca="false">-1+B1979*0.125</f>
        <v>0.75</v>
      </c>
      <c r="F1979" s="0" t="n">
        <f aca="false">-1+C1979*0.125</f>
        <v>-0.75</v>
      </c>
      <c r="G1979" s="0" t="n">
        <f aca="false">1</f>
        <v>1</v>
      </c>
      <c r="H1979" s="0" t="n">
        <f aca="false">D1979</f>
        <v>-0.25</v>
      </c>
      <c r="I1979" s="0" t="n">
        <f aca="false">E1979</f>
        <v>0.75</v>
      </c>
      <c r="J1979" s="0" t="n">
        <f aca="false">F1979</f>
        <v>-0.75</v>
      </c>
      <c r="K1979" s="0" t="n">
        <f aca="false">D1979*E1979</f>
        <v>-0.1875</v>
      </c>
      <c r="L1979" s="0" t="n">
        <f aca="false">D1979*F1979</f>
        <v>0.1875</v>
      </c>
      <c r="M1979" s="0" t="n">
        <f aca="false">E1979*F1979</f>
        <v>-0.5625</v>
      </c>
      <c r="N1979" s="0" t="n">
        <f aca="false">D1979*D1979</f>
        <v>0.0625</v>
      </c>
      <c r="O1979" s="0" t="n">
        <f aca="false">E1979*E1979</f>
        <v>0.5625</v>
      </c>
      <c r="P1979" s="0" t="n">
        <f aca="false">F1979*F1979</f>
        <v>0.5625</v>
      </c>
      <c r="Q1979" s="0" t="n">
        <f aca="false">SUMPRODUCT(G1979:P1979,_XtX!$B$71:$K$71)</f>
        <v>45.7750852272728</v>
      </c>
      <c r="R1979" s="0" t="n">
        <f aca="false">SUMPRODUCT(MMULT(G1979:P1979,_XtX!$B$58:$K$67),G1979:P1979)</f>
        <v>0.303382457386364</v>
      </c>
      <c r="S1979" s="0" t="n">
        <f aca="false">04_回帰ANOVA!$K$19*04_回帰ANOVA!$K$14*SQRT(1+R1979)</f>
        <v>1.06145740650883</v>
      </c>
      <c r="T1979" s="0" t="n">
        <f aca="false">Q1979-S1979</f>
        <v>44.7136278207639</v>
      </c>
      <c r="U1979" s="0" t="n">
        <f aca="false">Q1979+S1979</f>
        <v>46.8365426337816</v>
      </c>
      <c r="V1979" s="54" t="b">
        <f aca="false">AND(D1979&gt;=01_因子設定!$L$5-0.000000001,D1979&lt;=01_因子設定!$M$5+0.000000001,E1979&gt;=01_因子設定!$L$6-0.000000001,E1979&lt;=01_因子設定!$M$6+0.000000001,F1979&gt;=01_因子設定!$L$7-0.000000001,F1979&lt;=01_因子設定!$M$7+0.000000001,IF(01_因子設定!$B$20="Box-Behnken",D1979^2+E1979^2+F1979^2&lt;=2+0.000000001,TRUE()))</f>
        <v>1</v>
      </c>
      <c r="W1979" s="55" t="n">
        <f aca="false">IF(V1979,IF(01_因子設定!$B$13="最大化",T1979-01_因子設定!$B$14,IF(01_因子設定!$B$13="最小化",01_因子設定!$B$15-U1979,MIN(T1979-01_因子設定!$B$14,01_因子設定!$B$15-U1979))),-1E+030)</f>
        <v>-3.78637217923609</v>
      </c>
      <c r="X1979" s="55" t="n">
        <f aca="false">IF(V1979,IF(01_因子設定!$B$13="最大化",Q1979,IF(01_因子設定!$B$13="最小化",-Q1979,-ABS(Q1979-01_因子設定!$B$16))),-1E+030)</f>
        <v>45.7750852272728</v>
      </c>
      <c r="Y1979" s="55" t="n">
        <f aca="false">W1979+ROW()*0.000000001</f>
        <v>-3.78637020023609</v>
      </c>
      <c r="Z1979" s="55" t="n">
        <f aca="false">X1979+ROW()*0.000000001</f>
        <v>45.7750872062727</v>
      </c>
    </row>
    <row r="1980" customFormat="false" ht="15" hidden="false" customHeight="false" outlineLevel="0" collapsed="false">
      <c r="A1980" s="0" t="n">
        <v>6</v>
      </c>
      <c r="B1980" s="0" t="n">
        <v>14</v>
      </c>
      <c r="C1980" s="0" t="n">
        <v>3</v>
      </c>
      <c r="D1980" s="0" t="n">
        <f aca="false">-1+A1980*0.125</f>
        <v>-0.25</v>
      </c>
      <c r="E1980" s="0" t="n">
        <f aca="false">-1+B1980*0.125</f>
        <v>0.75</v>
      </c>
      <c r="F1980" s="0" t="n">
        <f aca="false">-1+C1980*0.125</f>
        <v>-0.625</v>
      </c>
      <c r="G1980" s="0" t="n">
        <f aca="false">1</f>
        <v>1</v>
      </c>
      <c r="H1980" s="0" t="n">
        <f aca="false">D1980</f>
        <v>-0.25</v>
      </c>
      <c r="I1980" s="0" t="n">
        <f aca="false">E1980</f>
        <v>0.75</v>
      </c>
      <c r="J1980" s="0" t="n">
        <f aca="false">F1980</f>
        <v>-0.625</v>
      </c>
      <c r="K1980" s="0" t="n">
        <f aca="false">D1980*E1980</f>
        <v>-0.1875</v>
      </c>
      <c r="L1980" s="0" t="n">
        <f aca="false">D1980*F1980</f>
        <v>0.15625</v>
      </c>
      <c r="M1980" s="0" t="n">
        <f aca="false">E1980*F1980</f>
        <v>-0.46875</v>
      </c>
      <c r="N1980" s="0" t="n">
        <f aca="false">D1980*D1980</f>
        <v>0.0625</v>
      </c>
      <c r="O1980" s="0" t="n">
        <f aca="false">E1980*E1980</f>
        <v>0.5625</v>
      </c>
      <c r="P1980" s="0" t="n">
        <f aca="false">F1980*F1980</f>
        <v>0.390625</v>
      </c>
      <c r="Q1980" s="0" t="n">
        <f aca="false">SUMPRODUCT(G1980:P1980,_XtX!$B$71:$K$71)</f>
        <v>46.1968039772727</v>
      </c>
      <c r="R1980" s="0" t="n">
        <f aca="false">SUMPRODUCT(MMULT(G1980:P1980,_XtX!$B$58:$K$67),G1980:P1980)</f>
        <v>0.258118785511364</v>
      </c>
      <c r="S1980" s="0" t="n">
        <f aca="false">04_回帰ANOVA!$K$19*04_回帰ANOVA!$K$14*SQRT(1+R1980)</f>
        <v>1.04286348094876</v>
      </c>
      <c r="T1980" s="0" t="n">
        <f aca="false">Q1980-S1980</f>
        <v>45.153940496324</v>
      </c>
      <c r="U1980" s="0" t="n">
        <f aca="false">Q1980+S1980</f>
        <v>47.2396674582215</v>
      </c>
      <c r="V1980" s="54" t="b">
        <f aca="false">AND(D1980&gt;=01_因子設定!$L$5-0.000000001,D1980&lt;=01_因子設定!$M$5+0.000000001,E1980&gt;=01_因子設定!$L$6-0.000000001,E1980&lt;=01_因子設定!$M$6+0.000000001,F1980&gt;=01_因子設定!$L$7-0.000000001,F1980&lt;=01_因子設定!$M$7+0.000000001,IF(01_因子設定!$B$20="Box-Behnken",D1980^2+E1980^2+F1980^2&lt;=2+0.000000001,TRUE()))</f>
        <v>1</v>
      </c>
      <c r="W1980" s="55" t="n">
        <f aca="false">IF(V1980,IF(01_因子設定!$B$13="最大化",T1980-01_因子設定!$B$14,IF(01_因子設定!$B$13="最小化",01_因子設定!$B$15-U1980,MIN(T1980-01_因子設定!$B$14,01_因子設定!$B$15-U1980))),-1E+030)</f>
        <v>-3.34605950367602</v>
      </c>
      <c r="X1980" s="55" t="n">
        <f aca="false">IF(V1980,IF(01_因子設定!$B$13="最大化",Q1980,IF(01_因子設定!$B$13="最小化",-Q1980,-ABS(Q1980-01_因子設定!$B$16))),-1E+030)</f>
        <v>46.1968039772727</v>
      </c>
      <c r="Y1980" s="55" t="n">
        <f aca="false">W1980+ROW()*0.000000001</f>
        <v>-3.34605752367602</v>
      </c>
      <c r="Z1980" s="55" t="n">
        <f aca="false">X1980+ROW()*0.000000001</f>
        <v>46.1968059572727</v>
      </c>
    </row>
    <row r="1981" customFormat="false" ht="15" hidden="false" customHeight="false" outlineLevel="0" collapsed="false">
      <c r="A1981" s="0" t="n">
        <v>6</v>
      </c>
      <c r="B1981" s="0" t="n">
        <v>14</v>
      </c>
      <c r="C1981" s="0" t="n">
        <v>4</v>
      </c>
      <c r="D1981" s="0" t="n">
        <f aca="false">-1+A1981*0.125</f>
        <v>-0.25</v>
      </c>
      <c r="E1981" s="0" t="n">
        <f aca="false">-1+B1981*0.125</f>
        <v>0.75</v>
      </c>
      <c r="F1981" s="0" t="n">
        <f aca="false">-1+C1981*0.125</f>
        <v>-0.5</v>
      </c>
      <c r="G1981" s="0" t="n">
        <f aca="false">1</f>
        <v>1</v>
      </c>
      <c r="H1981" s="0" t="n">
        <f aca="false">D1981</f>
        <v>-0.25</v>
      </c>
      <c r="I1981" s="0" t="n">
        <f aca="false">E1981</f>
        <v>0.75</v>
      </c>
      <c r="J1981" s="0" t="n">
        <f aca="false">F1981</f>
        <v>-0.5</v>
      </c>
      <c r="K1981" s="0" t="n">
        <f aca="false">D1981*E1981</f>
        <v>-0.1875</v>
      </c>
      <c r="L1981" s="0" t="n">
        <f aca="false">D1981*F1981</f>
        <v>0.125</v>
      </c>
      <c r="M1981" s="0" t="n">
        <f aca="false">E1981*F1981</f>
        <v>-0.375</v>
      </c>
      <c r="N1981" s="0" t="n">
        <f aca="false">D1981*D1981</f>
        <v>0.0625</v>
      </c>
      <c r="O1981" s="0" t="n">
        <f aca="false">E1981*E1981</f>
        <v>0.5625</v>
      </c>
      <c r="P1981" s="0" t="n">
        <f aca="false">F1981*F1981</f>
        <v>0.25</v>
      </c>
      <c r="Q1981" s="0" t="n">
        <f aca="false">SUMPRODUCT(G1981:P1981,_XtX!$B$71:$K$71)</f>
        <v>46.5817329545455</v>
      </c>
      <c r="R1981" s="0" t="n">
        <f aca="false">SUMPRODUCT(MMULT(G1981:P1981,_XtX!$B$58:$K$67),G1981:P1981)</f>
        <v>0.237064985795455</v>
      </c>
      <c r="S1981" s="0" t="n">
        <f aca="false">04_回帰ANOVA!$K$19*04_回帰ANOVA!$K$14*SQRT(1+R1981)</f>
        <v>1.03410084594745</v>
      </c>
      <c r="T1981" s="0" t="n">
        <f aca="false">Q1981-S1981</f>
        <v>45.547632108598</v>
      </c>
      <c r="U1981" s="0" t="n">
        <f aca="false">Q1981+S1981</f>
        <v>47.6158338004929</v>
      </c>
      <c r="V1981" s="54" t="b">
        <f aca="false">AND(D1981&gt;=01_因子設定!$L$5-0.000000001,D1981&lt;=01_因子設定!$M$5+0.000000001,E1981&gt;=01_因子設定!$L$6-0.000000001,E1981&lt;=01_因子設定!$M$6+0.000000001,F1981&gt;=01_因子設定!$L$7-0.000000001,F1981&lt;=01_因子設定!$M$7+0.000000001,IF(01_因子設定!$B$20="Box-Behnken",D1981^2+E1981^2+F1981^2&lt;=2+0.000000001,TRUE()))</f>
        <v>1</v>
      </c>
      <c r="W1981" s="55" t="n">
        <f aca="false">IF(V1981,IF(01_因子設定!$B$13="最大化",T1981-01_因子設定!$B$14,IF(01_因子設定!$B$13="最小化",01_因子設定!$B$15-U1981,MIN(T1981-01_因子設定!$B$14,01_因子設定!$B$15-U1981))),-1E+030)</f>
        <v>-2.95236789140198</v>
      </c>
      <c r="X1981" s="55" t="n">
        <f aca="false">IF(V1981,IF(01_因子設定!$B$13="最大化",Q1981,IF(01_因子設定!$B$13="最小化",-Q1981,-ABS(Q1981-01_因子設定!$B$16))),-1E+030)</f>
        <v>46.5817329545455</v>
      </c>
      <c r="Y1981" s="55" t="n">
        <f aca="false">W1981+ROW()*0.000000001</f>
        <v>-2.95236591040198</v>
      </c>
      <c r="Z1981" s="55" t="n">
        <f aca="false">X1981+ROW()*0.000000001</f>
        <v>46.5817349355455</v>
      </c>
    </row>
    <row r="1982" customFormat="false" ht="15" hidden="false" customHeight="false" outlineLevel="0" collapsed="false">
      <c r="A1982" s="0" t="n">
        <v>6</v>
      </c>
      <c r="B1982" s="0" t="n">
        <v>14</v>
      </c>
      <c r="C1982" s="0" t="n">
        <v>5</v>
      </c>
      <c r="D1982" s="0" t="n">
        <f aca="false">-1+A1982*0.125</f>
        <v>-0.25</v>
      </c>
      <c r="E1982" s="0" t="n">
        <f aca="false">-1+B1982*0.125</f>
        <v>0.75</v>
      </c>
      <c r="F1982" s="0" t="n">
        <f aca="false">-1+C1982*0.125</f>
        <v>-0.375</v>
      </c>
      <c r="G1982" s="0" t="n">
        <f aca="false">1</f>
        <v>1</v>
      </c>
      <c r="H1982" s="0" t="n">
        <f aca="false">D1982</f>
        <v>-0.25</v>
      </c>
      <c r="I1982" s="0" t="n">
        <f aca="false">E1982</f>
        <v>0.75</v>
      </c>
      <c r="J1982" s="0" t="n">
        <f aca="false">F1982</f>
        <v>-0.375</v>
      </c>
      <c r="K1982" s="0" t="n">
        <f aca="false">D1982*E1982</f>
        <v>-0.1875</v>
      </c>
      <c r="L1982" s="0" t="n">
        <f aca="false">D1982*F1982</f>
        <v>0.09375</v>
      </c>
      <c r="M1982" s="0" t="n">
        <f aca="false">E1982*F1982</f>
        <v>-0.28125</v>
      </c>
      <c r="N1982" s="0" t="n">
        <f aca="false">D1982*D1982</f>
        <v>0.0625</v>
      </c>
      <c r="O1982" s="0" t="n">
        <f aca="false">E1982*E1982</f>
        <v>0.5625</v>
      </c>
      <c r="P1982" s="0" t="n">
        <f aca="false">F1982*F1982</f>
        <v>0.140625</v>
      </c>
      <c r="Q1982" s="0" t="n">
        <f aca="false">SUMPRODUCT(G1982:P1982,_XtX!$B$71:$K$71)</f>
        <v>46.9298721590909</v>
      </c>
      <c r="R1982" s="0" t="n">
        <f aca="false">SUMPRODUCT(MMULT(G1982:P1982,_XtX!$B$58:$K$67),G1982:P1982)</f>
        <v>0.230632990056818</v>
      </c>
      <c r="S1982" s="0" t="n">
        <f aca="false">04_回帰ANOVA!$K$19*04_回帰ANOVA!$K$14*SQRT(1+R1982)</f>
        <v>1.03140899038819</v>
      </c>
      <c r="T1982" s="0" t="n">
        <f aca="false">Q1982-S1982</f>
        <v>45.8984631687027</v>
      </c>
      <c r="U1982" s="0" t="n">
        <f aca="false">Q1982+S1982</f>
        <v>47.9612811494791</v>
      </c>
      <c r="V1982" s="54" t="b">
        <f aca="false">AND(D1982&gt;=01_因子設定!$L$5-0.000000001,D1982&lt;=01_因子設定!$M$5+0.000000001,E1982&gt;=01_因子設定!$L$6-0.000000001,E1982&lt;=01_因子設定!$M$6+0.000000001,F1982&gt;=01_因子設定!$L$7-0.000000001,F1982&lt;=01_因子設定!$M$7+0.000000001,IF(01_因子設定!$B$20="Box-Behnken",D1982^2+E1982^2+F1982^2&lt;=2+0.000000001,TRUE()))</f>
        <v>1</v>
      </c>
      <c r="W1982" s="55" t="n">
        <f aca="false">IF(V1982,IF(01_因子設定!$B$13="最大化",T1982-01_因子設定!$B$14,IF(01_因子設定!$B$13="最小化",01_因子設定!$B$15-U1982,MIN(T1982-01_因子設定!$B$14,01_因子設定!$B$15-U1982))),-1E+030)</f>
        <v>-2.60153683129727</v>
      </c>
      <c r="X1982" s="55" t="n">
        <f aca="false">IF(V1982,IF(01_因子設定!$B$13="最大化",Q1982,IF(01_因子設定!$B$13="最小化",-Q1982,-ABS(Q1982-01_因子設定!$B$16))),-1E+030)</f>
        <v>46.9298721590909</v>
      </c>
      <c r="Y1982" s="55" t="n">
        <f aca="false">W1982+ROW()*0.000000001</f>
        <v>-2.60153484929727</v>
      </c>
      <c r="Z1982" s="55" t="n">
        <f aca="false">X1982+ROW()*0.000000001</f>
        <v>46.9298741410909</v>
      </c>
    </row>
    <row r="1983" customFormat="false" ht="15" hidden="false" customHeight="false" outlineLevel="0" collapsed="false">
      <c r="A1983" s="0" t="n">
        <v>6</v>
      </c>
      <c r="B1983" s="0" t="n">
        <v>14</v>
      </c>
      <c r="C1983" s="0" t="n">
        <v>6</v>
      </c>
      <c r="D1983" s="0" t="n">
        <f aca="false">-1+A1983*0.125</f>
        <v>-0.25</v>
      </c>
      <c r="E1983" s="0" t="n">
        <f aca="false">-1+B1983*0.125</f>
        <v>0.75</v>
      </c>
      <c r="F1983" s="0" t="n">
        <f aca="false">-1+C1983*0.125</f>
        <v>-0.25</v>
      </c>
      <c r="G1983" s="0" t="n">
        <f aca="false">1</f>
        <v>1</v>
      </c>
      <c r="H1983" s="0" t="n">
        <f aca="false">D1983</f>
        <v>-0.25</v>
      </c>
      <c r="I1983" s="0" t="n">
        <f aca="false">E1983</f>
        <v>0.75</v>
      </c>
      <c r="J1983" s="0" t="n">
        <f aca="false">F1983</f>
        <v>-0.25</v>
      </c>
      <c r="K1983" s="0" t="n">
        <f aca="false">D1983*E1983</f>
        <v>-0.1875</v>
      </c>
      <c r="L1983" s="0" t="n">
        <f aca="false">D1983*F1983</f>
        <v>0.0625</v>
      </c>
      <c r="M1983" s="0" t="n">
        <f aca="false">E1983*F1983</f>
        <v>-0.1875</v>
      </c>
      <c r="N1983" s="0" t="n">
        <f aca="false">D1983*D1983</f>
        <v>0.0625</v>
      </c>
      <c r="O1983" s="0" t="n">
        <f aca="false">E1983*E1983</f>
        <v>0.5625</v>
      </c>
      <c r="P1983" s="0" t="n">
        <f aca="false">F1983*F1983</f>
        <v>0.0625</v>
      </c>
      <c r="Q1983" s="0" t="n">
        <f aca="false">SUMPRODUCT(G1983:P1983,_XtX!$B$71:$K$71)</f>
        <v>47.2412215909091</v>
      </c>
      <c r="R1983" s="0" t="n">
        <f aca="false">SUMPRODUCT(MMULT(G1983:P1983,_XtX!$B$58:$K$67),G1983:P1983)</f>
        <v>0.231365411931818</v>
      </c>
      <c r="S1983" s="0" t="n">
        <f aca="false">04_回帰ANOVA!$K$19*04_回帰ANOVA!$K$14*SQRT(1+R1983)</f>
        <v>1.03171587072803</v>
      </c>
      <c r="T1983" s="0" t="n">
        <f aca="false">Q1983-S1983</f>
        <v>46.2095057201811</v>
      </c>
      <c r="U1983" s="0" t="n">
        <f aca="false">Q1983+S1983</f>
        <v>48.2729374616371</v>
      </c>
      <c r="V1983" s="54" t="b">
        <f aca="false">AND(D1983&gt;=01_因子設定!$L$5-0.000000001,D1983&lt;=01_因子設定!$M$5+0.000000001,E1983&gt;=01_因子設定!$L$6-0.000000001,E1983&lt;=01_因子設定!$M$6+0.000000001,F1983&gt;=01_因子設定!$L$7-0.000000001,F1983&lt;=01_因子設定!$M$7+0.000000001,IF(01_因子設定!$B$20="Box-Behnken",D1983^2+E1983^2+F1983^2&lt;=2+0.000000001,TRUE()))</f>
        <v>1</v>
      </c>
      <c r="W1983" s="55" t="n">
        <f aca="false">IF(V1983,IF(01_因子設定!$B$13="最大化",T1983-01_因子設定!$B$14,IF(01_因子設定!$B$13="最小化",01_因子設定!$B$15-U1983,MIN(T1983-01_因子設定!$B$14,01_因子設定!$B$15-U1983))),-1E+030)</f>
        <v>-2.29049427981893</v>
      </c>
      <c r="X1983" s="55" t="n">
        <f aca="false">IF(V1983,IF(01_因子設定!$B$13="最大化",Q1983,IF(01_因子設定!$B$13="最小化",-Q1983,-ABS(Q1983-01_因子設定!$B$16))),-1E+030)</f>
        <v>47.2412215909091</v>
      </c>
      <c r="Y1983" s="55" t="n">
        <f aca="false">W1983+ROW()*0.000000001</f>
        <v>-2.29049229681893</v>
      </c>
      <c r="Z1983" s="55" t="n">
        <f aca="false">X1983+ROW()*0.000000001</f>
        <v>47.2412235739091</v>
      </c>
    </row>
    <row r="1984" customFormat="false" ht="15" hidden="false" customHeight="false" outlineLevel="0" collapsed="false">
      <c r="A1984" s="0" t="n">
        <v>6</v>
      </c>
      <c r="B1984" s="0" t="n">
        <v>14</v>
      </c>
      <c r="C1984" s="0" t="n">
        <v>7</v>
      </c>
      <c r="D1984" s="0" t="n">
        <f aca="false">-1+A1984*0.125</f>
        <v>-0.25</v>
      </c>
      <c r="E1984" s="0" t="n">
        <f aca="false">-1+B1984*0.125</f>
        <v>0.75</v>
      </c>
      <c r="F1984" s="0" t="n">
        <f aca="false">-1+C1984*0.125</f>
        <v>-0.125</v>
      </c>
      <c r="G1984" s="0" t="n">
        <f aca="false">1</f>
        <v>1</v>
      </c>
      <c r="H1984" s="0" t="n">
        <f aca="false">D1984</f>
        <v>-0.25</v>
      </c>
      <c r="I1984" s="0" t="n">
        <f aca="false">E1984</f>
        <v>0.75</v>
      </c>
      <c r="J1984" s="0" t="n">
        <f aca="false">F1984</f>
        <v>-0.125</v>
      </c>
      <c r="K1984" s="0" t="n">
        <f aca="false">D1984*E1984</f>
        <v>-0.1875</v>
      </c>
      <c r="L1984" s="0" t="n">
        <f aca="false">D1984*F1984</f>
        <v>0.03125</v>
      </c>
      <c r="M1984" s="0" t="n">
        <f aca="false">E1984*F1984</f>
        <v>-0.09375</v>
      </c>
      <c r="N1984" s="0" t="n">
        <f aca="false">D1984*D1984</f>
        <v>0.0625</v>
      </c>
      <c r="O1984" s="0" t="n">
        <f aca="false">E1984*E1984</f>
        <v>0.5625</v>
      </c>
      <c r="P1984" s="0" t="n">
        <f aca="false">F1984*F1984</f>
        <v>0.015625</v>
      </c>
      <c r="Q1984" s="0" t="n">
        <f aca="false">SUMPRODUCT(G1984:P1984,_XtX!$B$71:$K$71)</f>
        <v>47.51578125</v>
      </c>
      <c r="R1984" s="0" t="n">
        <f aca="false">SUMPRODUCT(MMULT(G1984:P1984,_XtX!$B$58:$K$67),G1984:P1984)</f>
        <v>0.233935546875</v>
      </c>
      <c r="S1984" s="0" t="n">
        <f aca="false">04_回帰ANOVA!$K$19*04_回帰ANOVA!$K$14*SQRT(1+R1984)</f>
        <v>1.03279202033444</v>
      </c>
      <c r="T1984" s="0" t="n">
        <f aca="false">Q1984-S1984</f>
        <v>46.4829892296656</v>
      </c>
      <c r="U1984" s="0" t="n">
        <f aca="false">Q1984+S1984</f>
        <v>48.5485732703345</v>
      </c>
      <c r="V1984" s="54" t="b">
        <f aca="false">AND(D1984&gt;=01_因子設定!$L$5-0.000000001,D1984&lt;=01_因子設定!$M$5+0.000000001,E1984&gt;=01_因子設定!$L$6-0.000000001,E1984&lt;=01_因子設定!$M$6+0.000000001,F1984&gt;=01_因子設定!$L$7-0.000000001,F1984&lt;=01_因子設定!$M$7+0.000000001,IF(01_因子設定!$B$20="Box-Behnken",D1984^2+E1984^2+F1984^2&lt;=2+0.000000001,TRUE()))</f>
        <v>1</v>
      </c>
      <c r="W1984" s="55" t="n">
        <f aca="false">IF(V1984,IF(01_因子設定!$B$13="最大化",T1984-01_因子設定!$B$14,IF(01_因子設定!$B$13="最小化",01_因子設定!$B$15-U1984,MIN(T1984-01_因子設定!$B$14,01_因子設定!$B$15-U1984))),-1E+030)</f>
        <v>-2.01701077033443</v>
      </c>
      <c r="X1984" s="55" t="n">
        <f aca="false">IF(V1984,IF(01_因子設定!$B$13="最大化",Q1984,IF(01_因子設定!$B$13="最小化",-Q1984,-ABS(Q1984-01_因子設定!$B$16))),-1E+030)</f>
        <v>47.51578125</v>
      </c>
      <c r="Y1984" s="55" t="n">
        <f aca="false">W1984+ROW()*0.000000001</f>
        <v>-2.01700878633443</v>
      </c>
      <c r="Z1984" s="55" t="n">
        <f aca="false">X1984+ROW()*0.000000001</f>
        <v>47.515783234</v>
      </c>
    </row>
    <row r="1985" customFormat="false" ht="15" hidden="false" customHeight="false" outlineLevel="0" collapsed="false">
      <c r="A1985" s="0" t="n">
        <v>6</v>
      </c>
      <c r="B1985" s="0" t="n">
        <v>14</v>
      </c>
      <c r="C1985" s="0" t="n">
        <v>8</v>
      </c>
      <c r="D1985" s="0" t="n">
        <f aca="false">-1+A1985*0.125</f>
        <v>-0.25</v>
      </c>
      <c r="E1985" s="0" t="n">
        <f aca="false">-1+B1985*0.125</f>
        <v>0.75</v>
      </c>
      <c r="F1985" s="0" t="n">
        <f aca="false">-1+C1985*0.125</f>
        <v>0</v>
      </c>
      <c r="G1985" s="0" t="n">
        <f aca="false">1</f>
        <v>1</v>
      </c>
      <c r="H1985" s="0" t="n">
        <f aca="false">D1985</f>
        <v>-0.25</v>
      </c>
      <c r="I1985" s="0" t="n">
        <f aca="false">E1985</f>
        <v>0.75</v>
      </c>
      <c r="J1985" s="0" t="n">
        <f aca="false">F1985</f>
        <v>0</v>
      </c>
      <c r="K1985" s="0" t="n">
        <f aca="false">D1985*E1985</f>
        <v>-0.1875</v>
      </c>
      <c r="L1985" s="0" t="n">
        <f aca="false">D1985*F1985</f>
        <v>-0</v>
      </c>
      <c r="M1985" s="0" t="n">
        <f aca="false">E1985*F1985</f>
        <v>0</v>
      </c>
      <c r="N1985" s="0" t="n">
        <f aca="false">D1985*D1985</f>
        <v>0.0625</v>
      </c>
      <c r="O1985" s="0" t="n">
        <f aca="false">E1985*E1985</f>
        <v>0.5625</v>
      </c>
      <c r="P1985" s="0" t="n">
        <f aca="false">F1985*F1985</f>
        <v>0</v>
      </c>
      <c r="Q1985" s="0" t="n">
        <f aca="false">SUMPRODUCT(G1985:P1985,_XtX!$B$71:$K$71)</f>
        <v>47.7535511363637</v>
      </c>
      <c r="R1985" s="0" t="n">
        <f aca="false">SUMPRODUCT(MMULT(G1985:P1985,_XtX!$B$58:$K$67),G1985:P1985)</f>
        <v>0.235147372159091</v>
      </c>
      <c r="S1985" s="0" t="n">
        <f aca="false">04_回帰ANOVA!$K$19*04_回帰ANOVA!$K$14*SQRT(1+R1985)</f>
        <v>1.03329903885461</v>
      </c>
      <c r="T1985" s="0" t="n">
        <f aca="false">Q1985-S1985</f>
        <v>46.720252097509</v>
      </c>
      <c r="U1985" s="0" t="n">
        <f aca="false">Q1985+S1985</f>
        <v>48.7868501752183</v>
      </c>
      <c r="V1985" s="54" t="b">
        <f aca="false">AND(D1985&gt;=01_因子設定!$L$5-0.000000001,D1985&lt;=01_因子設定!$M$5+0.000000001,E1985&gt;=01_因子設定!$L$6-0.000000001,E1985&lt;=01_因子設定!$M$6+0.000000001,F1985&gt;=01_因子設定!$L$7-0.000000001,F1985&lt;=01_因子設定!$M$7+0.000000001,IF(01_因子設定!$B$20="Box-Behnken",D1985^2+E1985^2+F1985^2&lt;=2+0.000000001,TRUE()))</f>
        <v>1</v>
      </c>
      <c r="W1985" s="55" t="n">
        <f aca="false">IF(V1985,IF(01_因子設定!$B$13="最大化",T1985-01_因子設定!$B$14,IF(01_因子設定!$B$13="最小化",01_因子設定!$B$15-U1985,MIN(T1985-01_因子設定!$B$14,01_因子設定!$B$15-U1985))),-1E+030)</f>
        <v>-1.77974790249096</v>
      </c>
      <c r="X1985" s="55" t="n">
        <f aca="false">IF(V1985,IF(01_因子設定!$B$13="最大化",Q1985,IF(01_因子設定!$B$13="最小化",-Q1985,-ABS(Q1985-01_因子設定!$B$16))),-1E+030)</f>
        <v>47.7535511363637</v>
      </c>
      <c r="Y1985" s="55" t="n">
        <f aca="false">W1985+ROW()*0.000000001</f>
        <v>-1.77974591749096</v>
      </c>
      <c r="Z1985" s="55" t="n">
        <f aca="false">X1985+ROW()*0.000000001</f>
        <v>47.7535531213636</v>
      </c>
    </row>
    <row r="1986" customFormat="false" ht="15" hidden="false" customHeight="false" outlineLevel="0" collapsed="false">
      <c r="A1986" s="0" t="n">
        <v>6</v>
      </c>
      <c r="B1986" s="0" t="n">
        <v>14</v>
      </c>
      <c r="C1986" s="0" t="n">
        <v>9</v>
      </c>
      <c r="D1986" s="0" t="n">
        <f aca="false">-1+A1986*0.125</f>
        <v>-0.25</v>
      </c>
      <c r="E1986" s="0" t="n">
        <f aca="false">-1+B1986*0.125</f>
        <v>0.75</v>
      </c>
      <c r="F1986" s="0" t="n">
        <f aca="false">-1+C1986*0.125</f>
        <v>0.125</v>
      </c>
      <c r="G1986" s="0" t="n">
        <f aca="false">1</f>
        <v>1</v>
      </c>
      <c r="H1986" s="0" t="n">
        <f aca="false">D1986</f>
        <v>-0.25</v>
      </c>
      <c r="I1986" s="0" t="n">
        <f aca="false">E1986</f>
        <v>0.75</v>
      </c>
      <c r="J1986" s="0" t="n">
        <f aca="false">F1986</f>
        <v>0.125</v>
      </c>
      <c r="K1986" s="0" t="n">
        <f aca="false">D1986*E1986</f>
        <v>-0.1875</v>
      </c>
      <c r="L1986" s="0" t="n">
        <f aca="false">D1986*F1986</f>
        <v>-0.03125</v>
      </c>
      <c r="M1986" s="0" t="n">
        <f aca="false">E1986*F1986</f>
        <v>0.09375</v>
      </c>
      <c r="N1986" s="0" t="n">
        <f aca="false">D1986*D1986</f>
        <v>0.0625</v>
      </c>
      <c r="O1986" s="0" t="n">
        <f aca="false">E1986*E1986</f>
        <v>0.5625</v>
      </c>
      <c r="P1986" s="0" t="n">
        <f aca="false">F1986*F1986</f>
        <v>0.015625</v>
      </c>
      <c r="Q1986" s="0" t="n">
        <f aca="false">SUMPRODUCT(G1986:P1986,_XtX!$B$71:$K$71)</f>
        <v>47.95453125</v>
      </c>
      <c r="R1986" s="0" t="n">
        <f aca="false">SUMPRODUCT(MMULT(G1986:P1986,_XtX!$B$58:$K$67),G1986:P1986)</f>
        <v>0.233935546875</v>
      </c>
      <c r="S1986" s="0" t="n">
        <f aca="false">04_回帰ANOVA!$K$19*04_回帰ANOVA!$K$14*SQRT(1+R1986)</f>
        <v>1.03279202033444</v>
      </c>
      <c r="T1986" s="0" t="n">
        <f aca="false">Q1986-S1986</f>
        <v>46.9217392296656</v>
      </c>
      <c r="U1986" s="0" t="n">
        <f aca="false">Q1986+S1986</f>
        <v>48.9873232703345</v>
      </c>
      <c r="V1986" s="54" t="b">
        <f aca="false">AND(D1986&gt;=01_因子設定!$L$5-0.000000001,D1986&lt;=01_因子設定!$M$5+0.000000001,E1986&gt;=01_因子設定!$L$6-0.000000001,E1986&lt;=01_因子設定!$M$6+0.000000001,F1986&gt;=01_因子設定!$L$7-0.000000001,F1986&lt;=01_因子設定!$M$7+0.000000001,IF(01_因子設定!$B$20="Box-Behnken",D1986^2+E1986^2+F1986^2&lt;=2+0.000000001,TRUE()))</f>
        <v>1</v>
      </c>
      <c r="W1986" s="55" t="n">
        <f aca="false">IF(V1986,IF(01_因子設定!$B$13="最大化",T1986-01_因子設定!$B$14,IF(01_因子設定!$B$13="最小化",01_因子設定!$B$15-U1986,MIN(T1986-01_因子設定!$B$14,01_因子設定!$B$15-U1986))),-1E+030)</f>
        <v>-1.57826077033443</v>
      </c>
      <c r="X1986" s="55" t="n">
        <f aca="false">IF(V1986,IF(01_因子設定!$B$13="最大化",Q1986,IF(01_因子設定!$B$13="最小化",-Q1986,-ABS(Q1986-01_因子設定!$B$16))),-1E+030)</f>
        <v>47.95453125</v>
      </c>
      <c r="Y1986" s="55" t="n">
        <f aca="false">W1986+ROW()*0.000000001</f>
        <v>-1.57825878433443</v>
      </c>
      <c r="Z1986" s="55" t="n">
        <f aca="false">X1986+ROW()*0.000000001</f>
        <v>47.954533236</v>
      </c>
    </row>
    <row r="1987" customFormat="false" ht="15" hidden="false" customHeight="false" outlineLevel="0" collapsed="false">
      <c r="A1987" s="0" t="n">
        <v>6</v>
      </c>
      <c r="B1987" s="0" t="n">
        <v>14</v>
      </c>
      <c r="C1987" s="0" t="n">
        <v>10</v>
      </c>
      <c r="D1987" s="0" t="n">
        <f aca="false">-1+A1987*0.125</f>
        <v>-0.25</v>
      </c>
      <c r="E1987" s="0" t="n">
        <f aca="false">-1+B1987*0.125</f>
        <v>0.75</v>
      </c>
      <c r="F1987" s="0" t="n">
        <f aca="false">-1+C1987*0.125</f>
        <v>0.25</v>
      </c>
      <c r="G1987" s="0" t="n">
        <f aca="false">1</f>
        <v>1</v>
      </c>
      <c r="H1987" s="0" t="n">
        <f aca="false">D1987</f>
        <v>-0.25</v>
      </c>
      <c r="I1987" s="0" t="n">
        <f aca="false">E1987</f>
        <v>0.75</v>
      </c>
      <c r="J1987" s="0" t="n">
        <f aca="false">F1987</f>
        <v>0.25</v>
      </c>
      <c r="K1987" s="0" t="n">
        <f aca="false">D1987*E1987</f>
        <v>-0.1875</v>
      </c>
      <c r="L1987" s="0" t="n">
        <f aca="false">D1987*F1987</f>
        <v>-0.0625</v>
      </c>
      <c r="M1987" s="0" t="n">
        <f aca="false">E1987*F1987</f>
        <v>0.1875</v>
      </c>
      <c r="N1987" s="0" t="n">
        <f aca="false">D1987*D1987</f>
        <v>0.0625</v>
      </c>
      <c r="O1987" s="0" t="n">
        <f aca="false">E1987*E1987</f>
        <v>0.5625</v>
      </c>
      <c r="P1987" s="0" t="n">
        <f aca="false">F1987*F1987</f>
        <v>0.0625</v>
      </c>
      <c r="Q1987" s="0" t="n">
        <f aca="false">SUMPRODUCT(G1987:P1987,_XtX!$B$71:$K$71)</f>
        <v>48.1187215909091</v>
      </c>
      <c r="R1987" s="0" t="n">
        <f aca="false">SUMPRODUCT(MMULT(G1987:P1987,_XtX!$B$58:$K$67),G1987:P1987)</f>
        <v>0.231365411931818</v>
      </c>
      <c r="S1987" s="0" t="n">
        <f aca="false">04_回帰ANOVA!$K$19*04_回帰ANOVA!$K$14*SQRT(1+R1987)</f>
        <v>1.03171587072803</v>
      </c>
      <c r="T1987" s="0" t="n">
        <f aca="false">Q1987-S1987</f>
        <v>47.0870057201811</v>
      </c>
      <c r="U1987" s="0" t="n">
        <f aca="false">Q1987+S1987</f>
        <v>49.1504374616371</v>
      </c>
      <c r="V1987" s="54" t="b">
        <f aca="false">AND(D1987&gt;=01_因子設定!$L$5-0.000000001,D1987&lt;=01_因子設定!$M$5+0.000000001,E1987&gt;=01_因子設定!$L$6-0.000000001,E1987&lt;=01_因子設定!$M$6+0.000000001,F1987&gt;=01_因子設定!$L$7-0.000000001,F1987&lt;=01_因子設定!$M$7+0.000000001,IF(01_因子設定!$B$20="Box-Behnken",D1987^2+E1987^2+F1987^2&lt;=2+0.000000001,TRUE()))</f>
        <v>1</v>
      </c>
      <c r="W1987" s="55" t="n">
        <f aca="false">IF(V1987,IF(01_因子設定!$B$13="最大化",T1987-01_因子設定!$B$14,IF(01_因子設定!$B$13="最小化",01_因子設定!$B$15-U1987,MIN(T1987-01_因子設定!$B$14,01_因子設定!$B$15-U1987))),-1E+030)</f>
        <v>-1.41299427981892</v>
      </c>
      <c r="X1987" s="55" t="n">
        <f aca="false">IF(V1987,IF(01_因子設定!$B$13="最大化",Q1987,IF(01_因子設定!$B$13="最小化",-Q1987,-ABS(Q1987-01_因子設定!$B$16))),-1E+030)</f>
        <v>48.1187215909091</v>
      </c>
      <c r="Y1987" s="55" t="n">
        <f aca="false">W1987+ROW()*0.000000001</f>
        <v>-1.41299229281892</v>
      </c>
      <c r="Z1987" s="55" t="n">
        <f aca="false">X1987+ROW()*0.000000001</f>
        <v>48.1187235779091</v>
      </c>
    </row>
    <row r="1988" customFormat="false" ht="15" hidden="false" customHeight="false" outlineLevel="0" collapsed="false">
      <c r="A1988" s="0" t="n">
        <v>6</v>
      </c>
      <c r="B1988" s="0" t="n">
        <v>14</v>
      </c>
      <c r="C1988" s="0" t="n">
        <v>11</v>
      </c>
      <c r="D1988" s="0" t="n">
        <f aca="false">-1+A1988*0.125</f>
        <v>-0.25</v>
      </c>
      <c r="E1988" s="0" t="n">
        <f aca="false">-1+B1988*0.125</f>
        <v>0.75</v>
      </c>
      <c r="F1988" s="0" t="n">
        <f aca="false">-1+C1988*0.125</f>
        <v>0.375</v>
      </c>
      <c r="G1988" s="0" t="n">
        <f aca="false">1</f>
        <v>1</v>
      </c>
      <c r="H1988" s="0" t="n">
        <f aca="false">D1988</f>
        <v>-0.25</v>
      </c>
      <c r="I1988" s="0" t="n">
        <f aca="false">E1988</f>
        <v>0.75</v>
      </c>
      <c r="J1988" s="0" t="n">
        <f aca="false">F1988</f>
        <v>0.375</v>
      </c>
      <c r="K1988" s="0" t="n">
        <f aca="false">D1988*E1988</f>
        <v>-0.1875</v>
      </c>
      <c r="L1988" s="0" t="n">
        <f aca="false">D1988*F1988</f>
        <v>-0.09375</v>
      </c>
      <c r="M1988" s="0" t="n">
        <f aca="false">E1988*F1988</f>
        <v>0.28125</v>
      </c>
      <c r="N1988" s="0" t="n">
        <f aca="false">D1988*D1988</f>
        <v>0.0625</v>
      </c>
      <c r="O1988" s="0" t="n">
        <f aca="false">E1988*E1988</f>
        <v>0.5625</v>
      </c>
      <c r="P1988" s="0" t="n">
        <f aca="false">F1988*F1988</f>
        <v>0.140625</v>
      </c>
      <c r="Q1988" s="0" t="n">
        <f aca="false">SUMPRODUCT(G1988:P1988,_XtX!$B$71:$K$71)</f>
        <v>48.2461221590909</v>
      </c>
      <c r="R1988" s="0" t="n">
        <f aca="false">SUMPRODUCT(MMULT(G1988:P1988,_XtX!$B$58:$K$67),G1988:P1988)</f>
        <v>0.230632990056818</v>
      </c>
      <c r="S1988" s="0" t="n">
        <f aca="false">04_回帰ANOVA!$K$19*04_回帰ANOVA!$K$14*SQRT(1+R1988)</f>
        <v>1.03140899038819</v>
      </c>
      <c r="T1988" s="0" t="n">
        <f aca="false">Q1988-S1988</f>
        <v>47.2147131687027</v>
      </c>
      <c r="U1988" s="0" t="n">
        <f aca="false">Q1988+S1988</f>
        <v>49.2775311494791</v>
      </c>
      <c r="V1988" s="54" t="b">
        <f aca="false">AND(D1988&gt;=01_因子設定!$L$5-0.000000001,D1988&lt;=01_因子設定!$M$5+0.000000001,E1988&gt;=01_因子設定!$L$6-0.000000001,E1988&lt;=01_因子設定!$M$6+0.000000001,F1988&gt;=01_因子設定!$L$7-0.000000001,F1988&lt;=01_因子設定!$M$7+0.000000001,IF(01_因子設定!$B$20="Box-Behnken",D1988^2+E1988^2+F1988^2&lt;=2+0.000000001,TRUE()))</f>
        <v>1</v>
      </c>
      <c r="W1988" s="55" t="n">
        <f aca="false">IF(V1988,IF(01_因子設定!$B$13="最大化",T1988-01_因子設定!$B$14,IF(01_因子設定!$B$13="最小化",01_因子設定!$B$15-U1988,MIN(T1988-01_因子設定!$B$14,01_因子設定!$B$15-U1988))),-1E+030)</f>
        <v>-1.28528683129726</v>
      </c>
      <c r="X1988" s="55" t="n">
        <f aca="false">IF(V1988,IF(01_因子設定!$B$13="最大化",Q1988,IF(01_因子設定!$B$13="最小化",-Q1988,-ABS(Q1988-01_因子設定!$B$16))),-1E+030)</f>
        <v>48.2461221590909</v>
      </c>
      <c r="Y1988" s="55" t="n">
        <f aca="false">W1988+ROW()*0.000000001</f>
        <v>-1.28528484329726</v>
      </c>
      <c r="Z1988" s="55" t="n">
        <f aca="false">X1988+ROW()*0.000000001</f>
        <v>48.2461241470909</v>
      </c>
    </row>
    <row r="1989" customFormat="false" ht="15" hidden="false" customHeight="false" outlineLevel="0" collapsed="false">
      <c r="A1989" s="0" t="n">
        <v>6</v>
      </c>
      <c r="B1989" s="0" t="n">
        <v>14</v>
      </c>
      <c r="C1989" s="0" t="n">
        <v>12</v>
      </c>
      <c r="D1989" s="0" t="n">
        <f aca="false">-1+A1989*0.125</f>
        <v>-0.25</v>
      </c>
      <c r="E1989" s="0" t="n">
        <f aca="false">-1+B1989*0.125</f>
        <v>0.75</v>
      </c>
      <c r="F1989" s="0" t="n">
        <f aca="false">-1+C1989*0.125</f>
        <v>0.5</v>
      </c>
      <c r="G1989" s="0" t="n">
        <f aca="false">1</f>
        <v>1</v>
      </c>
      <c r="H1989" s="0" t="n">
        <f aca="false">D1989</f>
        <v>-0.25</v>
      </c>
      <c r="I1989" s="0" t="n">
        <f aca="false">E1989</f>
        <v>0.75</v>
      </c>
      <c r="J1989" s="0" t="n">
        <f aca="false">F1989</f>
        <v>0.5</v>
      </c>
      <c r="K1989" s="0" t="n">
        <f aca="false">D1989*E1989</f>
        <v>-0.1875</v>
      </c>
      <c r="L1989" s="0" t="n">
        <f aca="false">D1989*F1989</f>
        <v>-0.125</v>
      </c>
      <c r="M1989" s="0" t="n">
        <f aca="false">E1989*F1989</f>
        <v>0.375</v>
      </c>
      <c r="N1989" s="0" t="n">
        <f aca="false">D1989*D1989</f>
        <v>0.0625</v>
      </c>
      <c r="O1989" s="0" t="n">
        <f aca="false">E1989*E1989</f>
        <v>0.5625</v>
      </c>
      <c r="P1989" s="0" t="n">
        <f aca="false">F1989*F1989</f>
        <v>0.25</v>
      </c>
      <c r="Q1989" s="0" t="n">
        <f aca="false">SUMPRODUCT(G1989:P1989,_XtX!$B$71:$K$71)</f>
        <v>48.3367329545455</v>
      </c>
      <c r="R1989" s="0" t="n">
        <f aca="false">SUMPRODUCT(MMULT(G1989:P1989,_XtX!$B$58:$K$67),G1989:P1989)</f>
        <v>0.237064985795455</v>
      </c>
      <c r="S1989" s="0" t="n">
        <f aca="false">04_回帰ANOVA!$K$19*04_回帰ANOVA!$K$14*SQRT(1+R1989)</f>
        <v>1.03410084594745</v>
      </c>
      <c r="T1989" s="0" t="n">
        <f aca="false">Q1989-S1989</f>
        <v>47.302632108598</v>
      </c>
      <c r="U1989" s="0" t="n">
        <f aca="false">Q1989+S1989</f>
        <v>49.3708338004929</v>
      </c>
      <c r="V1989" s="54" t="b">
        <f aca="false">AND(D1989&gt;=01_因子設定!$L$5-0.000000001,D1989&lt;=01_因子設定!$M$5+0.000000001,E1989&gt;=01_因子設定!$L$6-0.000000001,E1989&lt;=01_因子設定!$M$6+0.000000001,F1989&gt;=01_因子設定!$L$7-0.000000001,F1989&lt;=01_因子設定!$M$7+0.000000001,IF(01_因子設定!$B$20="Box-Behnken",D1989^2+E1989^2+F1989^2&lt;=2+0.000000001,TRUE()))</f>
        <v>1</v>
      </c>
      <c r="W1989" s="55" t="n">
        <f aca="false">IF(V1989,IF(01_因子設定!$B$13="最大化",T1989-01_因子設定!$B$14,IF(01_因子設定!$B$13="最小化",01_因子設定!$B$15-U1989,MIN(T1989-01_因子設定!$B$14,01_因子設定!$B$15-U1989))),-1E+030)</f>
        <v>-1.19736789140197</v>
      </c>
      <c r="X1989" s="55" t="n">
        <f aca="false">IF(V1989,IF(01_因子設定!$B$13="最大化",Q1989,IF(01_因子設定!$B$13="最小化",-Q1989,-ABS(Q1989-01_因子設定!$B$16))),-1E+030)</f>
        <v>48.3367329545455</v>
      </c>
      <c r="Y1989" s="55" t="n">
        <f aca="false">W1989+ROW()*0.000000001</f>
        <v>-1.19736590240197</v>
      </c>
      <c r="Z1989" s="55" t="n">
        <f aca="false">X1989+ROW()*0.000000001</f>
        <v>48.3367349435455</v>
      </c>
    </row>
    <row r="1990" customFormat="false" ht="15" hidden="false" customHeight="false" outlineLevel="0" collapsed="false">
      <c r="A1990" s="0" t="n">
        <v>6</v>
      </c>
      <c r="B1990" s="0" t="n">
        <v>14</v>
      </c>
      <c r="C1990" s="0" t="n">
        <v>13</v>
      </c>
      <c r="D1990" s="0" t="n">
        <f aca="false">-1+A1990*0.125</f>
        <v>-0.25</v>
      </c>
      <c r="E1990" s="0" t="n">
        <f aca="false">-1+B1990*0.125</f>
        <v>0.75</v>
      </c>
      <c r="F1990" s="0" t="n">
        <f aca="false">-1+C1990*0.125</f>
        <v>0.625</v>
      </c>
      <c r="G1990" s="0" t="n">
        <f aca="false">1</f>
        <v>1</v>
      </c>
      <c r="H1990" s="0" t="n">
        <f aca="false">D1990</f>
        <v>-0.25</v>
      </c>
      <c r="I1990" s="0" t="n">
        <f aca="false">E1990</f>
        <v>0.75</v>
      </c>
      <c r="J1990" s="0" t="n">
        <f aca="false">F1990</f>
        <v>0.625</v>
      </c>
      <c r="K1990" s="0" t="n">
        <f aca="false">D1990*E1990</f>
        <v>-0.1875</v>
      </c>
      <c r="L1990" s="0" t="n">
        <f aca="false">D1990*F1990</f>
        <v>-0.15625</v>
      </c>
      <c r="M1990" s="0" t="n">
        <f aca="false">E1990*F1990</f>
        <v>0.46875</v>
      </c>
      <c r="N1990" s="0" t="n">
        <f aca="false">D1990*D1990</f>
        <v>0.0625</v>
      </c>
      <c r="O1990" s="0" t="n">
        <f aca="false">E1990*E1990</f>
        <v>0.5625</v>
      </c>
      <c r="P1990" s="0" t="n">
        <f aca="false">F1990*F1990</f>
        <v>0.390625</v>
      </c>
      <c r="Q1990" s="0" t="n">
        <f aca="false">SUMPRODUCT(G1990:P1990,_XtX!$B$71:$K$71)</f>
        <v>48.3905539772727</v>
      </c>
      <c r="R1990" s="0" t="n">
        <f aca="false">SUMPRODUCT(MMULT(G1990:P1990,_XtX!$B$58:$K$67),G1990:P1990)</f>
        <v>0.258118785511364</v>
      </c>
      <c r="S1990" s="0" t="n">
        <f aca="false">04_回帰ANOVA!$K$19*04_回帰ANOVA!$K$14*SQRT(1+R1990)</f>
        <v>1.04286348094876</v>
      </c>
      <c r="T1990" s="0" t="n">
        <f aca="false">Q1990-S1990</f>
        <v>47.347690496324</v>
      </c>
      <c r="U1990" s="0" t="n">
        <f aca="false">Q1990+S1990</f>
        <v>49.4334174582215</v>
      </c>
      <c r="V1990" s="54" t="b">
        <f aca="false">AND(D1990&gt;=01_因子設定!$L$5-0.000000001,D1990&lt;=01_因子設定!$M$5+0.000000001,E1990&gt;=01_因子設定!$L$6-0.000000001,E1990&lt;=01_因子設定!$M$6+0.000000001,F1990&gt;=01_因子設定!$L$7-0.000000001,F1990&lt;=01_因子設定!$M$7+0.000000001,IF(01_因子設定!$B$20="Box-Behnken",D1990^2+E1990^2+F1990^2&lt;=2+0.000000001,TRUE()))</f>
        <v>1</v>
      </c>
      <c r="W1990" s="55" t="n">
        <f aca="false">IF(V1990,IF(01_因子設定!$B$13="最大化",T1990-01_因子設定!$B$14,IF(01_因子設定!$B$13="最小化",01_因子設定!$B$15-U1990,MIN(T1990-01_因子設定!$B$14,01_因子設定!$B$15-U1990))),-1E+030)</f>
        <v>-1.15230950367602</v>
      </c>
      <c r="X1990" s="55" t="n">
        <f aca="false">IF(V1990,IF(01_因子設定!$B$13="最大化",Q1990,IF(01_因子設定!$B$13="最小化",-Q1990,-ABS(Q1990-01_因子設定!$B$16))),-1E+030)</f>
        <v>48.3905539772727</v>
      </c>
      <c r="Y1990" s="55" t="n">
        <f aca="false">W1990+ROW()*0.000000001</f>
        <v>-1.15230751367602</v>
      </c>
      <c r="Z1990" s="55" t="n">
        <f aca="false">X1990+ROW()*0.000000001</f>
        <v>48.3905559672727</v>
      </c>
    </row>
    <row r="1991" customFormat="false" ht="15" hidden="false" customHeight="false" outlineLevel="0" collapsed="false">
      <c r="A1991" s="0" t="n">
        <v>6</v>
      </c>
      <c r="B1991" s="0" t="n">
        <v>14</v>
      </c>
      <c r="C1991" s="0" t="n">
        <v>14</v>
      </c>
      <c r="D1991" s="0" t="n">
        <f aca="false">-1+A1991*0.125</f>
        <v>-0.25</v>
      </c>
      <c r="E1991" s="0" t="n">
        <f aca="false">-1+B1991*0.125</f>
        <v>0.75</v>
      </c>
      <c r="F1991" s="0" t="n">
        <f aca="false">-1+C1991*0.125</f>
        <v>0.75</v>
      </c>
      <c r="G1991" s="0" t="n">
        <f aca="false">1</f>
        <v>1</v>
      </c>
      <c r="H1991" s="0" t="n">
        <f aca="false">D1991</f>
        <v>-0.25</v>
      </c>
      <c r="I1991" s="0" t="n">
        <f aca="false">E1991</f>
        <v>0.75</v>
      </c>
      <c r="J1991" s="0" t="n">
        <f aca="false">F1991</f>
        <v>0.75</v>
      </c>
      <c r="K1991" s="0" t="n">
        <f aca="false">D1991*E1991</f>
        <v>-0.1875</v>
      </c>
      <c r="L1991" s="0" t="n">
        <f aca="false">D1991*F1991</f>
        <v>-0.1875</v>
      </c>
      <c r="M1991" s="0" t="n">
        <f aca="false">E1991*F1991</f>
        <v>0.5625</v>
      </c>
      <c r="N1991" s="0" t="n">
        <f aca="false">D1991*D1991</f>
        <v>0.0625</v>
      </c>
      <c r="O1991" s="0" t="n">
        <f aca="false">E1991*E1991</f>
        <v>0.5625</v>
      </c>
      <c r="P1991" s="0" t="n">
        <f aca="false">F1991*F1991</f>
        <v>0.5625</v>
      </c>
      <c r="Q1991" s="0" t="n">
        <f aca="false">SUMPRODUCT(G1991:P1991,_XtX!$B$71:$K$71)</f>
        <v>48.4075852272728</v>
      </c>
      <c r="R1991" s="0" t="n">
        <f aca="false">SUMPRODUCT(MMULT(G1991:P1991,_XtX!$B$58:$K$67),G1991:P1991)</f>
        <v>0.303382457386364</v>
      </c>
      <c r="S1991" s="0" t="n">
        <f aca="false">04_回帰ANOVA!$K$19*04_回帰ANOVA!$K$14*SQRT(1+R1991)</f>
        <v>1.06145740650883</v>
      </c>
      <c r="T1991" s="0" t="n">
        <f aca="false">Q1991-S1991</f>
        <v>47.3461278207639</v>
      </c>
      <c r="U1991" s="0" t="n">
        <f aca="false">Q1991+S1991</f>
        <v>49.4690426337816</v>
      </c>
      <c r="V1991" s="54" t="b">
        <f aca="false">AND(D1991&gt;=01_因子設定!$L$5-0.000000001,D1991&lt;=01_因子設定!$M$5+0.000000001,E1991&gt;=01_因子設定!$L$6-0.000000001,E1991&lt;=01_因子設定!$M$6+0.000000001,F1991&gt;=01_因子設定!$L$7-0.000000001,F1991&lt;=01_因子設定!$M$7+0.000000001,IF(01_因子設定!$B$20="Box-Behnken",D1991^2+E1991^2+F1991^2&lt;=2+0.000000001,TRUE()))</f>
        <v>1</v>
      </c>
      <c r="W1991" s="55" t="n">
        <f aca="false">IF(V1991,IF(01_因子設定!$B$13="最大化",T1991-01_因子設定!$B$14,IF(01_因子設定!$B$13="最小化",01_因子設定!$B$15-U1991,MIN(T1991-01_因子設定!$B$14,01_因子設定!$B$15-U1991))),-1E+030)</f>
        <v>-1.15387217923609</v>
      </c>
      <c r="X1991" s="55" t="n">
        <f aca="false">IF(V1991,IF(01_因子設定!$B$13="最大化",Q1991,IF(01_因子設定!$B$13="最小化",-Q1991,-ABS(Q1991-01_因子設定!$B$16))),-1E+030)</f>
        <v>48.4075852272728</v>
      </c>
      <c r="Y1991" s="55" t="n">
        <f aca="false">W1991+ROW()*0.000000001</f>
        <v>-1.15387018823609</v>
      </c>
      <c r="Z1991" s="55" t="n">
        <f aca="false">X1991+ROW()*0.000000001</f>
        <v>48.4075872182727</v>
      </c>
    </row>
    <row r="1992" customFormat="false" ht="15" hidden="false" customHeight="false" outlineLevel="0" collapsed="false">
      <c r="A1992" s="0" t="n">
        <v>6</v>
      </c>
      <c r="B1992" s="0" t="n">
        <v>14</v>
      </c>
      <c r="C1992" s="0" t="n">
        <v>15</v>
      </c>
      <c r="D1992" s="0" t="n">
        <f aca="false">-1+A1992*0.125</f>
        <v>-0.25</v>
      </c>
      <c r="E1992" s="0" t="n">
        <f aca="false">-1+B1992*0.125</f>
        <v>0.75</v>
      </c>
      <c r="F1992" s="0" t="n">
        <f aca="false">-1+C1992*0.125</f>
        <v>0.875</v>
      </c>
      <c r="G1992" s="0" t="n">
        <f aca="false">1</f>
        <v>1</v>
      </c>
      <c r="H1992" s="0" t="n">
        <f aca="false">D1992</f>
        <v>-0.25</v>
      </c>
      <c r="I1992" s="0" t="n">
        <f aca="false">E1992</f>
        <v>0.75</v>
      </c>
      <c r="J1992" s="0" t="n">
        <f aca="false">F1992</f>
        <v>0.875</v>
      </c>
      <c r="K1992" s="0" t="n">
        <f aca="false">D1992*E1992</f>
        <v>-0.1875</v>
      </c>
      <c r="L1992" s="0" t="n">
        <f aca="false">D1992*F1992</f>
        <v>-0.21875</v>
      </c>
      <c r="M1992" s="0" t="n">
        <f aca="false">E1992*F1992</f>
        <v>0.65625</v>
      </c>
      <c r="N1992" s="0" t="n">
        <f aca="false">D1992*D1992</f>
        <v>0.0625</v>
      </c>
      <c r="O1992" s="0" t="n">
        <f aca="false">E1992*E1992</f>
        <v>0.5625</v>
      </c>
      <c r="P1992" s="0" t="n">
        <f aca="false">F1992*F1992</f>
        <v>0.765625</v>
      </c>
      <c r="Q1992" s="0" t="n">
        <f aca="false">SUMPRODUCT(G1992:P1992,_XtX!$B$71:$K$71)</f>
        <v>48.3878267045455</v>
      </c>
      <c r="R1992" s="0" t="n">
        <f aca="false">SUMPRODUCT(MMULT(G1992:P1992,_XtX!$B$58:$K$67),G1992:P1992)</f>
        <v>0.384574751420455</v>
      </c>
      <c r="S1992" s="0" t="n">
        <f aca="false">04_回帰ANOVA!$K$19*04_回帰ANOVA!$K$14*SQRT(1+R1992)</f>
        <v>1.0940189380139</v>
      </c>
      <c r="T1992" s="0" t="n">
        <f aca="false">Q1992-S1992</f>
        <v>47.2938077665316</v>
      </c>
      <c r="U1992" s="0" t="n">
        <f aca="false">Q1992+S1992</f>
        <v>49.4818456425594</v>
      </c>
      <c r="V1992" s="54" t="b">
        <f aca="false">AND(D1992&gt;=01_因子設定!$L$5-0.000000001,D1992&lt;=01_因子設定!$M$5+0.000000001,E1992&gt;=01_因子設定!$L$6-0.000000001,E1992&lt;=01_因子設定!$M$6+0.000000001,F1992&gt;=01_因子設定!$L$7-0.000000001,F1992&lt;=01_因子設定!$M$7+0.000000001,IF(01_因子設定!$B$20="Box-Behnken",D1992^2+E1992^2+F1992^2&lt;=2+0.000000001,TRUE()))</f>
        <v>1</v>
      </c>
      <c r="W1992" s="55" t="n">
        <f aca="false">IF(V1992,IF(01_因子設定!$B$13="最大化",T1992-01_因子設定!$B$14,IF(01_因子設定!$B$13="最小化",01_因子設定!$B$15-U1992,MIN(T1992-01_因子設定!$B$14,01_因子設定!$B$15-U1992))),-1E+030)</f>
        <v>-1.20619223346842</v>
      </c>
      <c r="X1992" s="55" t="n">
        <f aca="false">IF(V1992,IF(01_因子設定!$B$13="最大化",Q1992,IF(01_因子設定!$B$13="最小化",-Q1992,-ABS(Q1992-01_因子設定!$B$16))),-1E+030)</f>
        <v>48.3878267045455</v>
      </c>
      <c r="Y1992" s="55" t="n">
        <f aca="false">W1992+ROW()*0.000000001</f>
        <v>-1.20619024146842</v>
      </c>
      <c r="Z1992" s="55" t="n">
        <f aca="false">X1992+ROW()*0.000000001</f>
        <v>48.3878286965455</v>
      </c>
    </row>
    <row r="1993" customFormat="false" ht="15" hidden="false" customHeight="false" outlineLevel="0" collapsed="false">
      <c r="A1993" s="0" t="n">
        <v>6</v>
      </c>
      <c r="B1993" s="0" t="n">
        <v>14</v>
      </c>
      <c r="C1993" s="0" t="n">
        <v>16</v>
      </c>
      <c r="D1993" s="0" t="n">
        <f aca="false">-1+A1993*0.125</f>
        <v>-0.25</v>
      </c>
      <c r="E1993" s="0" t="n">
        <f aca="false">-1+B1993*0.125</f>
        <v>0.75</v>
      </c>
      <c r="F1993" s="0" t="n">
        <f aca="false">-1+C1993*0.125</f>
        <v>1</v>
      </c>
      <c r="G1993" s="0" t="n">
        <f aca="false">1</f>
        <v>1</v>
      </c>
      <c r="H1993" s="0" t="n">
        <f aca="false">D1993</f>
        <v>-0.25</v>
      </c>
      <c r="I1993" s="0" t="n">
        <f aca="false">E1993</f>
        <v>0.75</v>
      </c>
      <c r="J1993" s="0" t="n">
        <f aca="false">F1993</f>
        <v>1</v>
      </c>
      <c r="K1993" s="0" t="n">
        <f aca="false">D1993*E1993</f>
        <v>-0.1875</v>
      </c>
      <c r="L1993" s="0" t="n">
        <f aca="false">D1993*F1993</f>
        <v>-0.25</v>
      </c>
      <c r="M1993" s="0" t="n">
        <f aca="false">E1993*F1993</f>
        <v>0.75</v>
      </c>
      <c r="N1993" s="0" t="n">
        <f aca="false">D1993*D1993</f>
        <v>0.0625</v>
      </c>
      <c r="O1993" s="0" t="n">
        <f aca="false">E1993*E1993</f>
        <v>0.5625</v>
      </c>
      <c r="P1993" s="0" t="n">
        <f aca="false">F1993*F1993</f>
        <v>1</v>
      </c>
      <c r="Q1993" s="0" t="n">
        <f aca="false">SUMPRODUCT(G1993:P1993,_XtX!$B$71:$K$71)</f>
        <v>48.3312784090909</v>
      </c>
      <c r="R1993" s="0" t="n">
        <f aca="false">SUMPRODUCT(MMULT(G1993:P1993,_XtX!$B$58:$K$67),G1993:P1993)</f>
        <v>0.515545099431818</v>
      </c>
      <c r="S1993" s="0" t="n">
        <f aca="false">04_回帰ANOVA!$K$19*04_回帰ANOVA!$K$14*SQRT(1+R1993)</f>
        <v>1.14459295464101</v>
      </c>
      <c r="T1993" s="0" t="n">
        <f aca="false">Q1993-S1993</f>
        <v>47.1866854544499</v>
      </c>
      <c r="U1993" s="0" t="n">
        <f aca="false">Q1993+S1993</f>
        <v>49.475871363732</v>
      </c>
      <c r="V1993" s="54" t="b">
        <f aca="false">AND(D1993&gt;=01_因子設定!$L$5-0.000000001,D1993&lt;=01_因子設定!$M$5+0.000000001,E1993&gt;=01_因子設定!$L$6-0.000000001,E1993&lt;=01_因子設定!$M$6+0.000000001,F1993&gt;=01_因子設定!$L$7-0.000000001,F1993&lt;=01_因子設定!$M$7+0.000000001,IF(01_因子設定!$B$20="Box-Behnken",D1993^2+E1993^2+F1993^2&lt;=2+0.000000001,TRUE()))</f>
        <v>1</v>
      </c>
      <c r="W1993" s="55" t="n">
        <f aca="false">IF(V1993,IF(01_因子設定!$B$13="最大化",T1993-01_因子設定!$B$14,IF(01_因子設定!$B$13="最小化",01_因子設定!$B$15-U1993,MIN(T1993-01_因子設定!$B$14,01_因子設定!$B$15-U1993))),-1E+030)</f>
        <v>-1.31331454555008</v>
      </c>
      <c r="X1993" s="55" t="n">
        <f aca="false">IF(V1993,IF(01_因子設定!$B$13="最大化",Q1993,IF(01_因子設定!$B$13="最小化",-Q1993,-ABS(Q1993-01_因子設定!$B$16))),-1E+030)</f>
        <v>48.3312784090909</v>
      </c>
      <c r="Y1993" s="55" t="n">
        <f aca="false">W1993+ROW()*0.000000001</f>
        <v>-1.31331255255008</v>
      </c>
      <c r="Z1993" s="55" t="n">
        <f aca="false">X1993+ROW()*0.000000001</f>
        <v>48.3312804020909</v>
      </c>
    </row>
    <row r="1994" customFormat="false" ht="15" hidden="false" customHeight="false" outlineLevel="0" collapsed="false">
      <c r="A1994" s="0" t="n">
        <v>6</v>
      </c>
      <c r="B1994" s="0" t="n">
        <v>15</v>
      </c>
      <c r="C1994" s="0" t="n">
        <v>0</v>
      </c>
      <c r="D1994" s="0" t="n">
        <f aca="false">-1+A1994*0.125</f>
        <v>-0.25</v>
      </c>
      <c r="E1994" s="0" t="n">
        <f aca="false">-1+B1994*0.125</f>
        <v>0.875</v>
      </c>
      <c r="F1994" s="0" t="n">
        <f aca="false">-1+C1994*0.125</f>
        <v>-1</v>
      </c>
      <c r="G1994" s="0" t="n">
        <f aca="false">1</f>
        <v>1</v>
      </c>
      <c r="H1994" s="0" t="n">
        <f aca="false">D1994</f>
        <v>-0.25</v>
      </c>
      <c r="I1994" s="0" t="n">
        <f aca="false">E1994</f>
        <v>0.875</v>
      </c>
      <c r="J1994" s="0" t="n">
        <f aca="false">F1994</f>
        <v>-1</v>
      </c>
      <c r="K1994" s="0" t="n">
        <f aca="false">D1994*E1994</f>
        <v>-0.21875</v>
      </c>
      <c r="L1994" s="0" t="n">
        <f aca="false">D1994*F1994</f>
        <v>0.25</v>
      </c>
      <c r="M1994" s="0" t="n">
        <f aca="false">E1994*F1994</f>
        <v>-0.875</v>
      </c>
      <c r="N1994" s="0" t="n">
        <f aca="false">D1994*D1994</f>
        <v>0.0625</v>
      </c>
      <c r="O1994" s="0" t="n">
        <f aca="false">E1994*E1994</f>
        <v>0.765625</v>
      </c>
      <c r="P1994" s="0" t="n">
        <f aca="false">F1994*F1994</f>
        <v>1</v>
      </c>
      <c r="Q1994" s="0" t="n">
        <f aca="false">SUMPRODUCT(G1994:P1994,_XtX!$B$71:$K$71)</f>
        <v>44.5737073863637</v>
      </c>
      <c r="R1994" s="0" t="n">
        <f aca="false">SUMPRODUCT(MMULT(G1994:P1994,_XtX!$B$58:$K$67),G1994:P1994)</f>
        <v>0.583609286221591</v>
      </c>
      <c r="S1994" s="0" t="n">
        <f aca="false">04_回帰ANOVA!$K$19*04_回帰ANOVA!$K$14*SQRT(1+R1994)</f>
        <v>1.1700129157584</v>
      </c>
      <c r="T1994" s="0" t="n">
        <f aca="false">Q1994-S1994</f>
        <v>43.4036944706053</v>
      </c>
      <c r="U1994" s="0" t="n">
        <f aca="false">Q1994+S1994</f>
        <v>45.7437203021221</v>
      </c>
      <c r="V1994" s="54" t="b">
        <f aca="false">AND(D1994&gt;=01_因子設定!$L$5-0.000000001,D1994&lt;=01_因子設定!$M$5+0.000000001,E1994&gt;=01_因子設定!$L$6-0.000000001,E1994&lt;=01_因子設定!$M$6+0.000000001,F1994&gt;=01_因子設定!$L$7-0.000000001,F1994&lt;=01_因子設定!$M$7+0.000000001,IF(01_因子設定!$B$20="Box-Behnken",D1994^2+E1994^2+F1994^2&lt;=2+0.000000001,TRUE()))</f>
        <v>1</v>
      </c>
      <c r="W1994" s="55" t="n">
        <f aca="false">IF(V1994,IF(01_因子設定!$B$13="最大化",T1994-01_因子設定!$B$14,IF(01_因子設定!$B$13="最小化",01_因子設定!$B$15-U1994,MIN(T1994-01_因子設定!$B$14,01_因子設定!$B$15-U1994))),-1E+030)</f>
        <v>-5.09630552939473</v>
      </c>
      <c r="X1994" s="55" t="n">
        <f aca="false">IF(V1994,IF(01_因子設定!$B$13="最大化",Q1994,IF(01_因子設定!$B$13="最小化",-Q1994,-ABS(Q1994-01_因子設定!$B$16))),-1E+030)</f>
        <v>44.5737073863637</v>
      </c>
      <c r="Y1994" s="55" t="n">
        <f aca="false">W1994+ROW()*0.000000001</f>
        <v>-5.09630353539473</v>
      </c>
      <c r="Z1994" s="55" t="n">
        <f aca="false">X1994+ROW()*0.000000001</f>
        <v>44.5737093803637</v>
      </c>
    </row>
    <row r="1995" customFormat="false" ht="15" hidden="false" customHeight="false" outlineLevel="0" collapsed="false">
      <c r="A1995" s="0" t="n">
        <v>6</v>
      </c>
      <c r="B1995" s="0" t="n">
        <v>15</v>
      </c>
      <c r="C1995" s="0" t="n">
        <v>1</v>
      </c>
      <c r="D1995" s="0" t="n">
        <f aca="false">-1+A1995*0.125</f>
        <v>-0.25</v>
      </c>
      <c r="E1995" s="0" t="n">
        <f aca="false">-1+B1995*0.125</f>
        <v>0.875</v>
      </c>
      <c r="F1995" s="0" t="n">
        <f aca="false">-1+C1995*0.125</f>
        <v>-0.875</v>
      </c>
      <c r="G1995" s="0" t="n">
        <f aca="false">1</f>
        <v>1</v>
      </c>
      <c r="H1995" s="0" t="n">
        <f aca="false">D1995</f>
        <v>-0.25</v>
      </c>
      <c r="I1995" s="0" t="n">
        <f aca="false">E1995</f>
        <v>0.875</v>
      </c>
      <c r="J1995" s="0" t="n">
        <f aca="false">F1995</f>
        <v>-0.875</v>
      </c>
      <c r="K1995" s="0" t="n">
        <f aca="false">D1995*E1995</f>
        <v>-0.21875</v>
      </c>
      <c r="L1995" s="0" t="n">
        <f aca="false">D1995*F1995</f>
        <v>0.21875</v>
      </c>
      <c r="M1995" s="0" t="n">
        <f aca="false">E1995*F1995</f>
        <v>-0.765625</v>
      </c>
      <c r="N1995" s="0" t="n">
        <f aca="false">D1995*D1995</f>
        <v>0.0625</v>
      </c>
      <c r="O1995" s="0" t="n">
        <f aca="false">E1995*E1995</f>
        <v>0.765625</v>
      </c>
      <c r="P1995" s="0" t="n">
        <f aca="false">F1995*F1995</f>
        <v>0.765625</v>
      </c>
      <c r="Q1995" s="0" t="n">
        <f aca="false">SUMPRODUCT(G1995:P1995,_XtX!$B$71:$K$71)</f>
        <v>45.0760369318182</v>
      </c>
      <c r="R1995" s="0" t="n">
        <f aca="false">SUMPRODUCT(MMULT(G1995:P1995,_XtX!$B$58:$K$67),G1995:P1995)</f>
        <v>0.459671852805398</v>
      </c>
      <c r="S1995" s="0" t="n">
        <f aca="false">04_回帰ANOVA!$K$19*04_回帰ANOVA!$K$14*SQRT(1+R1995)</f>
        <v>1.12329610455115</v>
      </c>
      <c r="T1995" s="0" t="n">
        <f aca="false">Q1995-S1995</f>
        <v>43.9527408272671</v>
      </c>
      <c r="U1995" s="0" t="n">
        <f aca="false">Q1995+S1995</f>
        <v>46.1993330363694</v>
      </c>
      <c r="V1995" s="54" t="b">
        <f aca="false">AND(D1995&gt;=01_因子設定!$L$5-0.000000001,D1995&lt;=01_因子設定!$M$5+0.000000001,E1995&gt;=01_因子設定!$L$6-0.000000001,E1995&lt;=01_因子設定!$M$6+0.000000001,F1995&gt;=01_因子設定!$L$7-0.000000001,F1995&lt;=01_因子設定!$M$7+0.000000001,IF(01_因子設定!$B$20="Box-Behnken",D1995^2+E1995^2+F1995^2&lt;=2+0.000000001,TRUE()))</f>
        <v>1</v>
      </c>
      <c r="W1995" s="55" t="n">
        <f aca="false">IF(V1995,IF(01_因子設定!$B$13="最大化",T1995-01_因子設定!$B$14,IF(01_因子設定!$B$13="最小化",01_因子設定!$B$15-U1995,MIN(T1995-01_因子設定!$B$14,01_因子設定!$B$15-U1995))),-1E+030)</f>
        <v>-4.54725917273294</v>
      </c>
      <c r="X1995" s="55" t="n">
        <f aca="false">IF(V1995,IF(01_因子設定!$B$13="最大化",Q1995,IF(01_因子設定!$B$13="最小化",-Q1995,-ABS(Q1995-01_因子設定!$B$16))),-1E+030)</f>
        <v>45.0760369318182</v>
      </c>
      <c r="Y1995" s="55" t="n">
        <f aca="false">W1995+ROW()*0.000000001</f>
        <v>-4.54725717773294</v>
      </c>
      <c r="Z1995" s="55" t="n">
        <f aca="false">X1995+ROW()*0.000000001</f>
        <v>45.0760389268182</v>
      </c>
    </row>
    <row r="1996" customFormat="false" ht="15" hidden="false" customHeight="false" outlineLevel="0" collapsed="false">
      <c r="A1996" s="0" t="n">
        <v>6</v>
      </c>
      <c r="B1996" s="0" t="n">
        <v>15</v>
      </c>
      <c r="C1996" s="0" t="n">
        <v>2</v>
      </c>
      <c r="D1996" s="0" t="n">
        <f aca="false">-1+A1996*0.125</f>
        <v>-0.25</v>
      </c>
      <c r="E1996" s="0" t="n">
        <f aca="false">-1+B1996*0.125</f>
        <v>0.875</v>
      </c>
      <c r="F1996" s="0" t="n">
        <f aca="false">-1+C1996*0.125</f>
        <v>-0.75</v>
      </c>
      <c r="G1996" s="0" t="n">
        <f aca="false">1</f>
        <v>1</v>
      </c>
      <c r="H1996" s="0" t="n">
        <f aca="false">D1996</f>
        <v>-0.25</v>
      </c>
      <c r="I1996" s="0" t="n">
        <f aca="false">E1996</f>
        <v>0.875</v>
      </c>
      <c r="J1996" s="0" t="n">
        <f aca="false">F1996</f>
        <v>-0.75</v>
      </c>
      <c r="K1996" s="0" t="n">
        <f aca="false">D1996*E1996</f>
        <v>-0.21875</v>
      </c>
      <c r="L1996" s="0" t="n">
        <f aca="false">D1996*F1996</f>
        <v>0.1875</v>
      </c>
      <c r="M1996" s="0" t="n">
        <f aca="false">E1996*F1996</f>
        <v>-0.65625</v>
      </c>
      <c r="N1996" s="0" t="n">
        <f aca="false">D1996*D1996</f>
        <v>0.0625</v>
      </c>
      <c r="O1996" s="0" t="n">
        <f aca="false">E1996*E1996</f>
        <v>0.765625</v>
      </c>
      <c r="P1996" s="0" t="n">
        <f aca="false">F1996*F1996</f>
        <v>0.5625</v>
      </c>
      <c r="Q1996" s="0" t="n">
        <f aca="false">SUMPRODUCT(G1996:P1996,_XtX!$B$71:$K$71)</f>
        <v>45.5415767045455</v>
      </c>
      <c r="R1996" s="0" t="n">
        <f aca="false">SUMPRODUCT(MMULT(G1996:P1996,_XtX!$B$58:$K$67),G1996:P1996)</f>
        <v>0.384574751420455</v>
      </c>
      <c r="S1996" s="0" t="n">
        <f aca="false">04_回帰ANOVA!$K$19*04_回帰ANOVA!$K$14*SQRT(1+R1996)</f>
        <v>1.0940189380139</v>
      </c>
      <c r="T1996" s="0" t="n">
        <f aca="false">Q1996-S1996</f>
        <v>44.4475577665316</v>
      </c>
      <c r="U1996" s="0" t="n">
        <f aca="false">Q1996+S1996</f>
        <v>46.6355956425594</v>
      </c>
      <c r="V1996" s="54" t="b">
        <f aca="false">AND(D1996&gt;=01_因子設定!$L$5-0.000000001,D1996&lt;=01_因子設定!$M$5+0.000000001,E1996&gt;=01_因子設定!$L$6-0.000000001,E1996&lt;=01_因子設定!$M$6+0.000000001,F1996&gt;=01_因子設定!$L$7-0.000000001,F1996&lt;=01_因子設定!$M$7+0.000000001,IF(01_因子設定!$B$20="Box-Behnken",D1996^2+E1996^2+F1996^2&lt;=2+0.000000001,TRUE()))</f>
        <v>1</v>
      </c>
      <c r="W1996" s="55" t="n">
        <f aca="false">IF(V1996,IF(01_因子設定!$B$13="最大化",T1996-01_因子設定!$B$14,IF(01_因子設定!$B$13="最小化",01_因子設定!$B$15-U1996,MIN(T1996-01_因子設定!$B$14,01_因子設定!$B$15-U1996))),-1E+030)</f>
        <v>-4.05244223346843</v>
      </c>
      <c r="X1996" s="55" t="n">
        <f aca="false">IF(V1996,IF(01_因子設定!$B$13="最大化",Q1996,IF(01_因子設定!$B$13="最小化",-Q1996,-ABS(Q1996-01_因子設定!$B$16))),-1E+030)</f>
        <v>45.5415767045455</v>
      </c>
      <c r="Y1996" s="55" t="n">
        <f aca="false">W1996+ROW()*0.000000001</f>
        <v>-4.05244023746843</v>
      </c>
      <c r="Z1996" s="55" t="n">
        <f aca="false">X1996+ROW()*0.000000001</f>
        <v>45.5415787005455</v>
      </c>
    </row>
    <row r="1997" customFormat="false" ht="15" hidden="false" customHeight="false" outlineLevel="0" collapsed="false">
      <c r="A1997" s="0" t="n">
        <v>6</v>
      </c>
      <c r="B1997" s="0" t="n">
        <v>15</v>
      </c>
      <c r="C1997" s="0" t="n">
        <v>3</v>
      </c>
      <c r="D1997" s="0" t="n">
        <f aca="false">-1+A1997*0.125</f>
        <v>-0.25</v>
      </c>
      <c r="E1997" s="0" t="n">
        <f aca="false">-1+B1997*0.125</f>
        <v>0.875</v>
      </c>
      <c r="F1997" s="0" t="n">
        <f aca="false">-1+C1997*0.125</f>
        <v>-0.625</v>
      </c>
      <c r="G1997" s="0" t="n">
        <f aca="false">1</f>
        <v>1</v>
      </c>
      <c r="H1997" s="0" t="n">
        <f aca="false">D1997</f>
        <v>-0.25</v>
      </c>
      <c r="I1997" s="0" t="n">
        <f aca="false">E1997</f>
        <v>0.875</v>
      </c>
      <c r="J1997" s="0" t="n">
        <f aca="false">F1997</f>
        <v>-0.625</v>
      </c>
      <c r="K1997" s="0" t="n">
        <f aca="false">D1997*E1997</f>
        <v>-0.21875</v>
      </c>
      <c r="L1997" s="0" t="n">
        <f aca="false">D1997*F1997</f>
        <v>0.15625</v>
      </c>
      <c r="M1997" s="0" t="n">
        <f aca="false">E1997*F1997</f>
        <v>-0.546875</v>
      </c>
      <c r="N1997" s="0" t="n">
        <f aca="false">D1997*D1997</f>
        <v>0.0625</v>
      </c>
      <c r="O1997" s="0" t="n">
        <f aca="false">E1997*E1997</f>
        <v>0.765625</v>
      </c>
      <c r="P1997" s="0" t="n">
        <f aca="false">F1997*F1997</f>
        <v>0.390625</v>
      </c>
      <c r="Q1997" s="0" t="n">
        <f aca="false">SUMPRODUCT(G1997:P1997,_XtX!$B$71:$K$71)</f>
        <v>45.9703267045455</v>
      </c>
      <c r="R1997" s="0" t="n">
        <f aca="false">SUMPRODUCT(MMULT(G1997:P1997,_XtX!$B$58:$K$67),G1997:P1997)</f>
        <v>0.34446855024858</v>
      </c>
      <c r="S1997" s="0" t="n">
        <f aca="false">04_回帰ANOVA!$K$19*04_回帰ANOVA!$K$14*SQRT(1+R1997)</f>
        <v>1.07805758590432</v>
      </c>
      <c r="T1997" s="0" t="n">
        <f aca="false">Q1997-S1997</f>
        <v>44.8922691186412</v>
      </c>
      <c r="U1997" s="0" t="n">
        <f aca="false">Q1997+S1997</f>
        <v>47.0483842904498</v>
      </c>
      <c r="V1997" s="54" t="b">
        <f aca="false">AND(D1997&gt;=01_因子設定!$L$5-0.000000001,D1997&lt;=01_因子設定!$M$5+0.000000001,E1997&gt;=01_因子設定!$L$6-0.000000001,E1997&lt;=01_因子設定!$M$6+0.000000001,F1997&gt;=01_因子設定!$L$7-0.000000001,F1997&lt;=01_因子設定!$M$7+0.000000001,IF(01_因子設定!$B$20="Box-Behnken",D1997^2+E1997^2+F1997^2&lt;=2+0.000000001,TRUE()))</f>
        <v>1</v>
      </c>
      <c r="W1997" s="55" t="n">
        <f aca="false">IF(V1997,IF(01_因子設定!$B$13="最大化",T1997-01_因子設定!$B$14,IF(01_因子設定!$B$13="最小化",01_因子設定!$B$15-U1997,MIN(T1997-01_因子設定!$B$14,01_因子設定!$B$15-U1997))),-1E+030)</f>
        <v>-3.60773088135885</v>
      </c>
      <c r="X1997" s="55" t="n">
        <f aca="false">IF(V1997,IF(01_因子設定!$B$13="最大化",Q1997,IF(01_因子設定!$B$13="最小化",-Q1997,-ABS(Q1997-01_因子設定!$B$16))),-1E+030)</f>
        <v>45.9703267045455</v>
      </c>
      <c r="Y1997" s="55" t="n">
        <f aca="false">W1997+ROW()*0.000000001</f>
        <v>-3.60772888435885</v>
      </c>
      <c r="Z1997" s="55" t="n">
        <f aca="false">X1997+ROW()*0.000000001</f>
        <v>45.9703287015455</v>
      </c>
    </row>
    <row r="1998" customFormat="false" ht="15" hidden="false" customHeight="false" outlineLevel="0" collapsed="false">
      <c r="A1998" s="0" t="n">
        <v>6</v>
      </c>
      <c r="B1998" s="0" t="n">
        <v>15</v>
      </c>
      <c r="C1998" s="0" t="n">
        <v>4</v>
      </c>
      <c r="D1998" s="0" t="n">
        <f aca="false">-1+A1998*0.125</f>
        <v>-0.25</v>
      </c>
      <c r="E1998" s="0" t="n">
        <f aca="false">-1+B1998*0.125</f>
        <v>0.875</v>
      </c>
      <c r="F1998" s="0" t="n">
        <f aca="false">-1+C1998*0.125</f>
        <v>-0.5</v>
      </c>
      <c r="G1998" s="0" t="n">
        <f aca="false">1</f>
        <v>1</v>
      </c>
      <c r="H1998" s="0" t="n">
        <f aca="false">D1998</f>
        <v>-0.25</v>
      </c>
      <c r="I1998" s="0" t="n">
        <f aca="false">E1998</f>
        <v>0.875</v>
      </c>
      <c r="J1998" s="0" t="n">
        <f aca="false">F1998</f>
        <v>-0.5</v>
      </c>
      <c r="K1998" s="0" t="n">
        <f aca="false">D1998*E1998</f>
        <v>-0.21875</v>
      </c>
      <c r="L1998" s="0" t="n">
        <f aca="false">D1998*F1998</f>
        <v>0.125</v>
      </c>
      <c r="M1998" s="0" t="n">
        <f aca="false">E1998*F1998</f>
        <v>-0.4375</v>
      </c>
      <c r="N1998" s="0" t="n">
        <f aca="false">D1998*D1998</f>
        <v>0.0625</v>
      </c>
      <c r="O1998" s="0" t="n">
        <f aca="false">E1998*E1998</f>
        <v>0.765625</v>
      </c>
      <c r="P1998" s="0" t="n">
        <f aca="false">F1998*F1998</f>
        <v>0.25</v>
      </c>
      <c r="Q1998" s="0" t="n">
        <f aca="false">SUMPRODUCT(G1998:P1998,_XtX!$B$71:$K$71)</f>
        <v>46.3622869318182</v>
      </c>
      <c r="R1998" s="0" t="n">
        <f aca="false">SUMPRODUCT(MMULT(G1998:P1998,_XtX!$B$58:$K$67),G1998:P1998)</f>
        <v>0.327634499289773</v>
      </c>
      <c r="S1998" s="0" t="n">
        <f aca="false">04_回帰ANOVA!$K$19*04_回帰ANOVA!$K$14*SQRT(1+R1998)</f>
        <v>1.07128716250217</v>
      </c>
      <c r="T1998" s="0" t="n">
        <f aca="false">Q1998-S1998</f>
        <v>45.290999769316</v>
      </c>
      <c r="U1998" s="0" t="n">
        <f aca="false">Q1998+S1998</f>
        <v>47.4335740943204</v>
      </c>
      <c r="V1998" s="54" t="b">
        <f aca="false">AND(D1998&gt;=01_因子設定!$L$5-0.000000001,D1998&lt;=01_因子設定!$M$5+0.000000001,E1998&gt;=01_因子設定!$L$6-0.000000001,E1998&lt;=01_因子設定!$M$6+0.000000001,F1998&gt;=01_因子設定!$L$7-0.000000001,F1998&lt;=01_因子設定!$M$7+0.000000001,IF(01_因子設定!$B$20="Box-Behnken",D1998^2+E1998^2+F1998^2&lt;=2+0.000000001,TRUE()))</f>
        <v>1</v>
      </c>
      <c r="W1998" s="55" t="n">
        <f aca="false">IF(V1998,IF(01_因子設定!$B$13="最大化",T1998-01_因子設定!$B$14,IF(01_因子設定!$B$13="最小化",01_因子設定!$B$15-U1998,MIN(T1998-01_因子設定!$B$14,01_因子設定!$B$15-U1998))),-1E+030)</f>
        <v>-3.20900023068398</v>
      </c>
      <c r="X1998" s="55" t="n">
        <f aca="false">IF(V1998,IF(01_因子設定!$B$13="最大化",Q1998,IF(01_因子設定!$B$13="最小化",-Q1998,-ABS(Q1998-01_因子設定!$B$16))),-1E+030)</f>
        <v>46.3622869318182</v>
      </c>
      <c r="Y1998" s="55" t="n">
        <f aca="false">W1998+ROW()*0.000000001</f>
        <v>-3.20899823268398</v>
      </c>
      <c r="Z1998" s="55" t="n">
        <f aca="false">X1998+ROW()*0.000000001</f>
        <v>46.3622889298182</v>
      </c>
    </row>
    <row r="1999" customFormat="false" ht="15" hidden="false" customHeight="false" outlineLevel="0" collapsed="false">
      <c r="A1999" s="0" t="n">
        <v>6</v>
      </c>
      <c r="B1999" s="0" t="n">
        <v>15</v>
      </c>
      <c r="C1999" s="0" t="n">
        <v>5</v>
      </c>
      <c r="D1999" s="0" t="n">
        <f aca="false">-1+A1999*0.125</f>
        <v>-0.25</v>
      </c>
      <c r="E1999" s="0" t="n">
        <f aca="false">-1+B1999*0.125</f>
        <v>0.875</v>
      </c>
      <c r="F1999" s="0" t="n">
        <f aca="false">-1+C1999*0.125</f>
        <v>-0.375</v>
      </c>
      <c r="G1999" s="0" t="n">
        <f aca="false">1</f>
        <v>1</v>
      </c>
      <c r="H1999" s="0" t="n">
        <f aca="false">D1999</f>
        <v>-0.25</v>
      </c>
      <c r="I1999" s="0" t="n">
        <f aca="false">E1999</f>
        <v>0.875</v>
      </c>
      <c r="J1999" s="0" t="n">
        <f aca="false">F1999</f>
        <v>-0.375</v>
      </c>
      <c r="K1999" s="0" t="n">
        <f aca="false">D1999*E1999</f>
        <v>-0.21875</v>
      </c>
      <c r="L1999" s="0" t="n">
        <f aca="false">D1999*F1999</f>
        <v>0.09375</v>
      </c>
      <c r="M1999" s="0" t="n">
        <f aca="false">E1999*F1999</f>
        <v>-0.328125</v>
      </c>
      <c r="N1999" s="0" t="n">
        <f aca="false">D1999*D1999</f>
        <v>0.0625</v>
      </c>
      <c r="O1999" s="0" t="n">
        <f aca="false">E1999*E1999</f>
        <v>0.765625</v>
      </c>
      <c r="P1999" s="0" t="n">
        <f aca="false">F1999*F1999</f>
        <v>0.140625</v>
      </c>
      <c r="Q1999" s="0" t="n">
        <f aca="false">SUMPRODUCT(G1999:P1999,_XtX!$B$71:$K$71)</f>
        <v>46.7174573863637</v>
      </c>
      <c r="R1999" s="0" t="n">
        <f aca="false">SUMPRODUCT(MMULT(G1999:P1999,_XtX!$B$58:$K$67),G1999:P1999)</f>
        <v>0.324484530362216</v>
      </c>
      <c r="S1999" s="0" t="n">
        <f aca="false">04_回帰ANOVA!$K$19*04_回帰ANOVA!$K$14*SQRT(1+R1999)</f>
        <v>1.07001553041279</v>
      </c>
      <c r="T1999" s="0" t="n">
        <f aca="false">Q1999-S1999</f>
        <v>45.6474418559509</v>
      </c>
      <c r="U1999" s="0" t="n">
        <f aca="false">Q1999+S1999</f>
        <v>47.7874729167764</v>
      </c>
      <c r="V1999" s="54" t="b">
        <f aca="false">AND(D1999&gt;=01_因子設定!$L$5-0.000000001,D1999&lt;=01_因子設定!$M$5+0.000000001,E1999&gt;=01_因子設定!$L$6-0.000000001,E1999&lt;=01_因子設定!$M$6+0.000000001,F1999&gt;=01_因子設定!$L$7-0.000000001,F1999&lt;=01_因子設定!$M$7+0.000000001,IF(01_因子設定!$B$20="Box-Behnken",D1999^2+E1999^2+F1999^2&lt;=2+0.000000001,TRUE()))</f>
        <v>1</v>
      </c>
      <c r="W1999" s="55" t="n">
        <f aca="false">IF(V1999,IF(01_因子設定!$B$13="最大化",T1999-01_因子設定!$B$14,IF(01_因子設定!$B$13="最小化",01_因子設定!$B$15-U1999,MIN(T1999-01_因子設定!$B$14,01_因子設定!$B$15-U1999))),-1E+030)</f>
        <v>-2.85255814404914</v>
      </c>
      <c r="X1999" s="55" t="n">
        <f aca="false">IF(V1999,IF(01_因子設定!$B$13="最大化",Q1999,IF(01_因子設定!$B$13="最小化",-Q1999,-ABS(Q1999-01_因子設定!$B$16))),-1E+030)</f>
        <v>46.7174573863637</v>
      </c>
      <c r="Y1999" s="55" t="n">
        <f aca="false">W1999+ROW()*0.000000001</f>
        <v>-2.85255614504914</v>
      </c>
      <c r="Z1999" s="55" t="n">
        <f aca="false">X1999+ROW()*0.000000001</f>
        <v>46.7174593853637</v>
      </c>
    </row>
    <row r="2000" customFormat="false" ht="15" hidden="false" customHeight="false" outlineLevel="0" collapsed="false">
      <c r="A2000" s="0" t="n">
        <v>6</v>
      </c>
      <c r="B2000" s="0" t="n">
        <v>15</v>
      </c>
      <c r="C2000" s="0" t="n">
        <v>6</v>
      </c>
      <c r="D2000" s="0" t="n">
        <f aca="false">-1+A2000*0.125</f>
        <v>-0.25</v>
      </c>
      <c r="E2000" s="0" t="n">
        <f aca="false">-1+B2000*0.125</f>
        <v>0.875</v>
      </c>
      <c r="F2000" s="0" t="n">
        <f aca="false">-1+C2000*0.125</f>
        <v>-0.25</v>
      </c>
      <c r="G2000" s="0" t="n">
        <f aca="false">1</f>
        <v>1</v>
      </c>
      <c r="H2000" s="0" t="n">
        <f aca="false">D2000</f>
        <v>-0.25</v>
      </c>
      <c r="I2000" s="0" t="n">
        <f aca="false">E2000</f>
        <v>0.875</v>
      </c>
      <c r="J2000" s="0" t="n">
        <f aca="false">F2000</f>
        <v>-0.25</v>
      </c>
      <c r="K2000" s="0" t="n">
        <f aca="false">D2000*E2000</f>
        <v>-0.21875</v>
      </c>
      <c r="L2000" s="0" t="n">
        <f aca="false">D2000*F2000</f>
        <v>0.0625</v>
      </c>
      <c r="M2000" s="0" t="n">
        <f aca="false">E2000*F2000</f>
        <v>-0.21875</v>
      </c>
      <c r="N2000" s="0" t="n">
        <f aca="false">D2000*D2000</f>
        <v>0.0625</v>
      </c>
      <c r="O2000" s="0" t="n">
        <f aca="false">E2000*E2000</f>
        <v>0.765625</v>
      </c>
      <c r="P2000" s="0" t="n">
        <f aca="false">F2000*F2000</f>
        <v>0.0625</v>
      </c>
      <c r="Q2000" s="0" t="n">
        <f aca="false">SUMPRODUCT(G2000:P2000,_XtX!$B$71:$K$71)</f>
        <v>47.0358380681818</v>
      </c>
      <c r="R2000" s="0" t="n">
        <f aca="false">SUMPRODUCT(MMULT(G2000:P2000,_XtX!$B$58:$K$67),G2000:P2000)</f>
        <v>0.327561257102273</v>
      </c>
      <c r="S2000" s="0" t="n">
        <f aca="false">04_回帰ANOVA!$K$19*04_回帰ANOVA!$K$14*SQRT(1+R2000)</f>
        <v>1.07125761201315</v>
      </c>
      <c r="T2000" s="0" t="n">
        <f aca="false">Q2000-S2000</f>
        <v>45.9645804561687</v>
      </c>
      <c r="U2000" s="0" t="n">
        <f aca="false">Q2000+S2000</f>
        <v>48.107095680195</v>
      </c>
      <c r="V2000" s="54" t="b">
        <f aca="false">AND(D2000&gt;=01_因子設定!$L$5-0.000000001,D2000&lt;=01_因子設定!$M$5+0.000000001,E2000&gt;=01_因子設定!$L$6-0.000000001,E2000&lt;=01_因子設定!$M$6+0.000000001,F2000&gt;=01_因子設定!$L$7-0.000000001,F2000&lt;=01_因子設定!$M$7+0.000000001,IF(01_因子設定!$B$20="Box-Behnken",D2000^2+E2000^2+F2000^2&lt;=2+0.000000001,TRUE()))</f>
        <v>1</v>
      </c>
      <c r="W2000" s="55" t="n">
        <f aca="false">IF(V2000,IF(01_因子設定!$B$13="最大化",T2000-01_因子設定!$B$14,IF(01_因子設定!$B$13="最小化",01_因子設定!$B$15-U2000,MIN(T2000-01_因子設定!$B$14,01_因子設定!$B$15-U2000))),-1E+030)</f>
        <v>-2.53541954383132</v>
      </c>
      <c r="X2000" s="55" t="n">
        <f aca="false">IF(V2000,IF(01_因子設定!$B$13="最大化",Q2000,IF(01_因子設定!$B$13="最小化",-Q2000,-ABS(Q2000-01_因子設定!$B$16))),-1E+030)</f>
        <v>47.0358380681818</v>
      </c>
      <c r="Y2000" s="55" t="n">
        <f aca="false">W2000+ROW()*0.000000001</f>
        <v>-2.53541754383132</v>
      </c>
      <c r="Z2000" s="55" t="n">
        <f aca="false">X2000+ROW()*0.000000001</f>
        <v>47.0358400681818</v>
      </c>
    </row>
    <row r="2001" customFormat="false" ht="15" hidden="false" customHeight="false" outlineLevel="0" collapsed="false">
      <c r="A2001" s="0" t="n">
        <v>6</v>
      </c>
      <c r="B2001" s="0" t="n">
        <v>15</v>
      </c>
      <c r="C2001" s="0" t="n">
        <v>7</v>
      </c>
      <c r="D2001" s="0" t="n">
        <f aca="false">-1+A2001*0.125</f>
        <v>-0.25</v>
      </c>
      <c r="E2001" s="0" t="n">
        <f aca="false">-1+B2001*0.125</f>
        <v>0.875</v>
      </c>
      <c r="F2001" s="0" t="n">
        <f aca="false">-1+C2001*0.125</f>
        <v>-0.125</v>
      </c>
      <c r="G2001" s="0" t="n">
        <f aca="false">1</f>
        <v>1</v>
      </c>
      <c r="H2001" s="0" t="n">
        <f aca="false">D2001</f>
        <v>-0.25</v>
      </c>
      <c r="I2001" s="0" t="n">
        <f aca="false">E2001</f>
        <v>0.875</v>
      </c>
      <c r="J2001" s="0" t="n">
        <f aca="false">F2001</f>
        <v>-0.125</v>
      </c>
      <c r="K2001" s="0" t="n">
        <f aca="false">D2001*E2001</f>
        <v>-0.21875</v>
      </c>
      <c r="L2001" s="0" t="n">
        <f aca="false">D2001*F2001</f>
        <v>0.03125</v>
      </c>
      <c r="M2001" s="0" t="n">
        <f aca="false">E2001*F2001</f>
        <v>-0.109375</v>
      </c>
      <c r="N2001" s="0" t="n">
        <f aca="false">D2001*D2001</f>
        <v>0.0625</v>
      </c>
      <c r="O2001" s="0" t="n">
        <f aca="false">E2001*E2001</f>
        <v>0.765625</v>
      </c>
      <c r="P2001" s="0" t="n">
        <f aca="false">F2001*F2001</f>
        <v>0.015625</v>
      </c>
      <c r="Q2001" s="0" t="n">
        <f aca="false">SUMPRODUCT(G2001:P2001,_XtX!$B$71:$K$71)</f>
        <v>47.3174289772727</v>
      </c>
      <c r="R2001" s="0" t="n">
        <f aca="false">SUMPRODUCT(MMULT(G2001:P2001,_XtX!$B$58:$K$67),G2001:P2001)</f>
        <v>0.331537974964489</v>
      </c>
      <c r="S2001" s="0" t="n">
        <f aca="false">04_回帰ANOVA!$K$19*04_回帰ANOVA!$K$14*SQRT(1+R2001)</f>
        <v>1.07286089161565</v>
      </c>
      <c r="T2001" s="0" t="n">
        <f aca="false">Q2001-S2001</f>
        <v>46.2445680856571</v>
      </c>
      <c r="U2001" s="0" t="n">
        <f aca="false">Q2001+S2001</f>
        <v>48.3902898688884</v>
      </c>
      <c r="V2001" s="54" t="b">
        <f aca="false">AND(D2001&gt;=01_因子設定!$L$5-0.000000001,D2001&lt;=01_因子設定!$M$5+0.000000001,E2001&gt;=01_因子設定!$L$6-0.000000001,E2001&lt;=01_因子設定!$M$6+0.000000001,F2001&gt;=01_因子設定!$L$7-0.000000001,F2001&lt;=01_因子設定!$M$7+0.000000001,IF(01_因子設定!$B$20="Box-Behnken",D2001^2+E2001^2+F2001^2&lt;=2+0.000000001,TRUE()))</f>
        <v>1</v>
      </c>
      <c r="W2001" s="55" t="n">
        <f aca="false">IF(V2001,IF(01_因子設定!$B$13="最大化",T2001-01_因子設定!$B$14,IF(01_因子設定!$B$13="最小化",01_因子設定!$B$15-U2001,MIN(T2001-01_因子設定!$B$14,01_因子設定!$B$15-U2001))),-1E+030)</f>
        <v>-2.25543191434291</v>
      </c>
      <c r="X2001" s="55" t="n">
        <f aca="false">IF(V2001,IF(01_因子設定!$B$13="最大化",Q2001,IF(01_因子設定!$B$13="最小化",-Q2001,-ABS(Q2001-01_因子設定!$B$16))),-1E+030)</f>
        <v>47.3174289772727</v>
      </c>
      <c r="Y2001" s="55" t="n">
        <f aca="false">W2001+ROW()*0.000000001</f>
        <v>-2.25542991334291</v>
      </c>
      <c r="Z2001" s="55" t="n">
        <f aca="false">X2001+ROW()*0.000000001</f>
        <v>47.3174309782727</v>
      </c>
    </row>
    <row r="2002" customFormat="false" ht="15" hidden="false" customHeight="false" outlineLevel="0" collapsed="false">
      <c r="A2002" s="0" t="n">
        <v>6</v>
      </c>
      <c r="B2002" s="0" t="n">
        <v>15</v>
      </c>
      <c r="C2002" s="0" t="n">
        <v>8</v>
      </c>
      <c r="D2002" s="0" t="n">
        <f aca="false">-1+A2002*0.125</f>
        <v>-0.25</v>
      </c>
      <c r="E2002" s="0" t="n">
        <f aca="false">-1+B2002*0.125</f>
        <v>0.875</v>
      </c>
      <c r="F2002" s="0" t="n">
        <f aca="false">-1+C2002*0.125</f>
        <v>0</v>
      </c>
      <c r="G2002" s="0" t="n">
        <f aca="false">1</f>
        <v>1</v>
      </c>
      <c r="H2002" s="0" t="n">
        <f aca="false">D2002</f>
        <v>-0.25</v>
      </c>
      <c r="I2002" s="0" t="n">
        <f aca="false">E2002</f>
        <v>0.875</v>
      </c>
      <c r="J2002" s="0" t="n">
        <f aca="false">F2002</f>
        <v>0</v>
      </c>
      <c r="K2002" s="0" t="n">
        <f aca="false">D2002*E2002</f>
        <v>-0.21875</v>
      </c>
      <c r="L2002" s="0" t="n">
        <f aca="false">D2002*F2002</f>
        <v>-0</v>
      </c>
      <c r="M2002" s="0" t="n">
        <f aca="false">E2002*F2002</f>
        <v>0</v>
      </c>
      <c r="N2002" s="0" t="n">
        <f aca="false">D2002*D2002</f>
        <v>0.0625</v>
      </c>
      <c r="O2002" s="0" t="n">
        <f aca="false">E2002*E2002</f>
        <v>0.765625</v>
      </c>
      <c r="P2002" s="0" t="n">
        <f aca="false">F2002*F2002</f>
        <v>0</v>
      </c>
      <c r="Q2002" s="0" t="n">
        <f aca="false">SUMPRODUCT(G2002:P2002,_XtX!$B$71:$K$71)</f>
        <v>47.5622301136364</v>
      </c>
      <c r="R2002" s="0" t="n">
        <f aca="false">SUMPRODUCT(MMULT(G2002:P2002,_XtX!$B$58:$K$67),G2002:P2002)</f>
        <v>0.333218661221591</v>
      </c>
      <c r="S2002" s="0" t="n">
        <f aca="false">04_回帰ANOVA!$K$19*04_回帰ANOVA!$K$14*SQRT(1+R2002)</f>
        <v>1.07353776826542</v>
      </c>
      <c r="T2002" s="0" t="n">
        <f aca="false">Q2002-S2002</f>
        <v>46.488692345371</v>
      </c>
      <c r="U2002" s="0" t="n">
        <f aca="false">Q2002+S2002</f>
        <v>48.6357678819018</v>
      </c>
      <c r="V2002" s="54" t="b">
        <f aca="false">AND(D2002&gt;=01_因子設定!$L$5-0.000000001,D2002&lt;=01_因子設定!$M$5+0.000000001,E2002&gt;=01_因子設定!$L$6-0.000000001,E2002&lt;=01_因子設定!$M$6+0.000000001,F2002&gt;=01_因子設定!$L$7-0.000000001,F2002&lt;=01_因子設定!$M$7+0.000000001,IF(01_因子設定!$B$20="Box-Behnken",D2002^2+E2002^2+F2002^2&lt;=2+0.000000001,TRUE()))</f>
        <v>1</v>
      </c>
      <c r="W2002" s="55" t="n">
        <f aca="false">IF(V2002,IF(01_因子設定!$B$13="最大化",T2002-01_因子設定!$B$14,IF(01_因子設定!$B$13="最小化",01_因子設定!$B$15-U2002,MIN(T2002-01_因子設定!$B$14,01_因子設定!$B$15-U2002))),-1E+030)</f>
        <v>-2.01130765462904</v>
      </c>
      <c r="X2002" s="55" t="n">
        <f aca="false">IF(V2002,IF(01_因子設定!$B$13="最大化",Q2002,IF(01_因子設定!$B$13="最小化",-Q2002,-ABS(Q2002-01_因子設定!$B$16))),-1E+030)</f>
        <v>47.5622301136364</v>
      </c>
      <c r="Y2002" s="55" t="n">
        <f aca="false">W2002+ROW()*0.000000001</f>
        <v>-2.01130565262904</v>
      </c>
      <c r="Z2002" s="55" t="n">
        <f aca="false">X2002+ROW()*0.000000001</f>
        <v>47.5622321156364</v>
      </c>
    </row>
    <row r="2003" customFormat="false" ht="15" hidden="false" customHeight="false" outlineLevel="0" collapsed="false">
      <c r="A2003" s="0" t="n">
        <v>6</v>
      </c>
      <c r="B2003" s="0" t="n">
        <v>15</v>
      </c>
      <c r="C2003" s="0" t="n">
        <v>9</v>
      </c>
      <c r="D2003" s="0" t="n">
        <f aca="false">-1+A2003*0.125</f>
        <v>-0.25</v>
      </c>
      <c r="E2003" s="0" t="n">
        <f aca="false">-1+B2003*0.125</f>
        <v>0.875</v>
      </c>
      <c r="F2003" s="0" t="n">
        <f aca="false">-1+C2003*0.125</f>
        <v>0.125</v>
      </c>
      <c r="G2003" s="0" t="n">
        <f aca="false">1</f>
        <v>1</v>
      </c>
      <c r="H2003" s="0" t="n">
        <f aca="false">D2003</f>
        <v>-0.25</v>
      </c>
      <c r="I2003" s="0" t="n">
        <f aca="false">E2003</f>
        <v>0.875</v>
      </c>
      <c r="J2003" s="0" t="n">
        <f aca="false">F2003</f>
        <v>0.125</v>
      </c>
      <c r="K2003" s="0" t="n">
        <f aca="false">D2003*E2003</f>
        <v>-0.21875</v>
      </c>
      <c r="L2003" s="0" t="n">
        <f aca="false">D2003*F2003</f>
        <v>-0.03125</v>
      </c>
      <c r="M2003" s="0" t="n">
        <f aca="false">E2003*F2003</f>
        <v>0.109375</v>
      </c>
      <c r="N2003" s="0" t="n">
        <f aca="false">D2003*D2003</f>
        <v>0.0625</v>
      </c>
      <c r="O2003" s="0" t="n">
        <f aca="false">E2003*E2003</f>
        <v>0.765625</v>
      </c>
      <c r="P2003" s="0" t="n">
        <f aca="false">F2003*F2003</f>
        <v>0.015625</v>
      </c>
      <c r="Q2003" s="0" t="n">
        <f aca="false">SUMPRODUCT(G2003:P2003,_XtX!$B$71:$K$71)</f>
        <v>47.7702414772727</v>
      </c>
      <c r="R2003" s="0" t="n">
        <f aca="false">SUMPRODUCT(MMULT(G2003:P2003,_XtX!$B$58:$K$67),G2003:P2003)</f>
        <v>0.331537974964489</v>
      </c>
      <c r="S2003" s="0" t="n">
        <f aca="false">04_回帰ANOVA!$K$19*04_回帰ANOVA!$K$14*SQRT(1+R2003)</f>
        <v>1.07286089161565</v>
      </c>
      <c r="T2003" s="0" t="n">
        <f aca="false">Q2003-S2003</f>
        <v>46.6973805856571</v>
      </c>
      <c r="U2003" s="0" t="n">
        <f aca="false">Q2003+S2003</f>
        <v>48.8431023688884</v>
      </c>
      <c r="V2003" s="54" t="b">
        <f aca="false">AND(D2003&gt;=01_因子設定!$L$5-0.000000001,D2003&lt;=01_因子設定!$M$5+0.000000001,E2003&gt;=01_因子設定!$L$6-0.000000001,E2003&lt;=01_因子設定!$M$6+0.000000001,F2003&gt;=01_因子設定!$L$7-0.000000001,F2003&lt;=01_因子設定!$M$7+0.000000001,IF(01_因子設定!$B$20="Box-Behnken",D2003^2+E2003^2+F2003^2&lt;=2+0.000000001,TRUE()))</f>
        <v>1</v>
      </c>
      <c r="W2003" s="55" t="n">
        <f aca="false">IF(V2003,IF(01_因子設定!$B$13="最大化",T2003-01_因子設定!$B$14,IF(01_因子設定!$B$13="最小化",01_因子設定!$B$15-U2003,MIN(T2003-01_因子設定!$B$14,01_因子設定!$B$15-U2003))),-1E+030)</f>
        <v>-1.80261941434291</v>
      </c>
      <c r="X2003" s="55" t="n">
        <f aca="false">IF(V2003,IF(01_因子設定!$B$13="最大化",Q2003,IF(01_因子設定!$B$13="最小化",-Q2003,-ABS(Q2003-01_因子設定!$B$16))),-1E+030)</f>
        <v>47.7702414772727</v>
      </c>
      <c r="Y2003" s="55" t="n">
        <f aca="false">W2003+ROW()*0.000000001</f>
        <v>-1.80261741134291</v>
      </c>
      <c r="Z2003" s="55" t="n">
        <f aca="false">X2003+ROW()*0.000000001</f>
        <v>47.7702434802727</v>
      </c>
    </row>
    <row r="2004" customFormat="false" ht="15" hidden="false" customHeight="false" outlineLevel="0" collapsed="false">
      <c r="A2004" s="0" t="n">
        <v>6</v>
      </c>
      <c r="B2004" s="0" t="n">
        <v>15</v>
      </c>
      <c r="C2004" s="0" t="n">
        <v>10</v>
      </c>
      <c r="D2004" s="0" t="n">
        <f aca="false">-1+A2004*0.125</f>
        <v>-0.25</v>
      </c>
      <c r="E2004" s="0" t="n">
        <f aca="false">-1+B2004*0.125</f>
        <v>0.875</v>
      </c>
      <c r="F2004" s="0" t="n">
        <f aca="false">-1+C2004*0.125</f>
        <v>0.25</v>
      </c>
      <c r="G2004" s="0" t="n">
        <f aca="false">1</f>
        <v>1</v>
      </c>
      <c r="H2004" s="0" t="n">
        <f aca="false">D2004</f>
        <v>-0.25</v>
      </c>
      <c r="I2004" s="0" t="n">
        <f aca="false">E2004</f>
        <v>0.875</v>
      </c>
      <c r="J2004" s="0" t="n">
        <f aca="false">F2004</f>
        <v>0.25</v>
      </c>
      <c r="K2004" s="0" t="n">
        <f aca="false">D2004*E2004</f>
        <v>-0.21875</v>
      </c>
      <c r="L2004" s="0" t="n">
        <f aca="false">D2004*F2004</f>
        <v>-0.0625</v>
      </c>
      <c r="M2004" s="0" t="n">
        <f aca="false">E2004*F2004</f>
        <v>0.21875</v>
      </c>
      <c r="N2004" s="0" t="n">
        <f aca="false">D2004*D2004</f>
        <v>0.0625</v>
      </c>
      <c r="O2004" s="0" t="n">
        <f aca="false">E2004*E2004</f>
        <v>0.765625</v>
      </c>
      <c r="P2004" s="0" t="n">
        <f aca="false">F2004*F2004</f>
        <v>0.0625</v>
      </c>
      <c r="Q2004" s="0" t="n">
        <f aca="false">SUMPRODUCT(G2004:P2004,_XtX!$B$71:$K$71)</f>
        <v>47.9414630681818</v>
      </c>
      <c r="R2004" s="0" t="n">
        <f aca="false">SUMPRODUCT(MMULT(G2004:P2004,_XtX!$B$58:$K$67),G2004:P2004)</f>
        <v>0.327561257102273</v>
      </c>
      <c r="S2004" s="0" t="n">
        <f aca="false">04_回帰ANOVA!$K$19*04_回帰ANOVA!$K$14*SQRT(1+R2004)</f>
        <v>1.07125761201315</v>
      </c>
      <c r="T2004" s="0" t="n">
        <f aca="false">Q2004-S2004</f>
        <v>46.8702054561687</v>
      </c>
      <c r="U2004" s="0" t="n">
        <f aca="false">Q2004+S2004</f>
        <v>49.012720680195</v>
      </c>
      <c r="V2004" s="54" t="b">
        <f aca="false">AND(D2004&gt;=01_因子設定!$L$5-0.000000001,D2004&lt;=01_因子設定!$M$5+0.000000001,E2004&gt;=01_因子設定!$L$6-0.000000001,E2004&lt;=01_因子設定!$M$6+0.000000001,F2004&gt;=01_因子設定!$L$7-0.000000001,F2004&lt;=01_因子設定!$M$7+0.000000001,IF(01_因子設定!$B$20="Box-Behnken",D2004^2+E2004^2+F2004^2&lt;=2+0.000000001,TRUE()))</f>
        <v>1</v>
      </c>
      <c r="W2004" s="55" t="n">
        <f aca="false">IF(V2004,IF(01_因子設定!$B$13="最大化",T2004-01_因子設定!$B$14,IF(01_因子設定!$B$13="最小化",01_因子設定!$B$15-U2004,MIN(T2004-01_因子設定!$B$14,01_因子設定!$B$15-U2004))),-1E+030)</f>
        <v>-1.62979454383132</v>
      </c>
      <c r="X2004" s="55" t="n">
        <f aca="false">IF(V2004,IF(01_因子設定!$B$13="最大化",Q2004,IF(01_因子設定!$B$13="最小化",-Q2004,-ABS(Q2004-01_因子設定!$B$16))),-1E+030)</f>
        <v>47.9414630681818</v>
      </c>
      <c r="Y2004" s="55" t="n">
        <f aca="false">W2004+ROW()*0.000000001</f>
        <v>-1.62979253983132</v>
      </c>
      <c r="Z2004" s="55" t="n">
        <f aca="false">X2004+ROW()*0.000000001</f>
        <v>47.9414650721818</v>
      </c>
    </row>
    <row r="2005" customFormat="false" ht="15" hidden="false" customHeight="false" outlineLevel="0" collapsed="false">
      <c r="A2005" s="0" t="n">
        <v>6</v>
      </c>
      <c r="B2005" s="0" t="n">
        <v>15</v>
      </c>
      <c r="C2005" s="0" t="n">
        <v>11</v>
      </c>
      <c r="D2005" s="0" t="n">
        <f aca="false">-1+A2005*0.125</f>
        <v>-0.25</v>
      </c>
      <c r="E2005" s="0" t="n">
        <f aca="false">-1+B2005*0.125</f>
        <v>0.875</v>
      </c>
      <c r="F2005" s="0" t="n">
        <f aca="false">-1+C2005*0.125</f>
        <v>0.375</v>
      </c>
      <c r="G2005" s="0" t="n">
        <f aca="false">1</f>
        <v>1</v>
      </c>
      <c r="H2005" s="0" t="n">
        <f aca="false">D2005</f>
        <v>-0.25</v>
      </c>
      <c r="I2005" s="0" t="n">
        <f aca="false">E2005</f>
        <v>0.875</v>
      </c>
      <c r="J2005" s="0" t="n">
        <f aca="false">F2005</f>
        <v>0.375</v>
      </c>
      <c r="K2005" s="0" t="n">
        <f aca="false">D2005*E2005</f>
        <v>-0.21875</v>
      </c>
      <c r="L2005" s="0" t="n">
        <f aca="false">D2005*F2005</f>
        <v>-0.09375</v>
      </c>
      <c r="M2005" s="0" t="n">
        <f aca="false">E2005*F2005</f>
        <v>0.328125</v>
      </c>
      <c r="N2005" s="0" t="n">
        <f aca="false">D2005*D2005</f>
        <v>0.0625</v>
      </c>
      <c r="O2005" s="0" t="n">
        <f aca="false">E2005*E2005</f>
        <v>0.765625</v>
      </c>
      <c r="P2005" s="0" t="n">
        <f aca="false">F2005*F2005</f>
        <v>0.140625</v>
      </c>
      <c r="Q2005" s="0" t="n">
        <f aca="false">SUMPRODUCT(G2005:P2005,_XtX!$B$71:$K$71)</f>
        <v>48.0758948863637</v>
      </c>
      <c r="R2005" s="0" t="n">
        <f aca="false">SUMPRODUCT(MMULT(G2005:P2005,_XtX!$B$58:$K$67),G2005:P2005)</f>
        <v>0.324484530362216</v>
      </c>
      <c r="S2005" s="0" t="n">
        <f aca="false">04_回帰ANOVA!$K$19*04_回帰ANOVA!$K$14*SQRT(1+R2005)</f>
        <v>1.07001553041279</v>
      </c>
      <c r="T2005" s="0" t="n">
        <f aca="false">Q2005-S2005</f>
        <v>47.0058793559509</v>
      </c>
      <c r="U2005" s="0" t="n">
        <f aca="false">Q2005+S2005</f>
        <v>49.1459104167764</v>
      </c>
      <c r="V2005" s="54" t="b">
        <f aca="false">AND(D2005&gt;=01_因子設定!$L$5-0.000000001,D2005&lt;=01_因子設定!$M$5+0.000000001,E2005&gt;=01_因子設定!$L$6-0.000000001,E2005&lt;=01_因子設定!$M$6+0.000000001,F2005&gt;=01_因子設定!$L$7-0.000000001,F2005&lt;=01_因子設定!$M$7+0.000000001,IF(01_因子設定!$B$20="Box-Behnken",D2005^2+E2005^2+F2005^2&lt;=2+0.000000001,TRUE()))</f>
        <v>1</v>
      </c>
      <c r="W2005" s="55" t="n">
        <f aca="false">IF(V2005,IF(01_因子設定!$B$13="最大化",T2005-01_因子設定!$B$14,IF(01_因子設定!$B$13="最小化",01_因子設定!$B$15-U2005,MIN(T2005-01_因子設定!$B$14,01_因子設定!$B$15-U2005))),-1E+030)</f>
        <v>-1.49412064404914</v>
      </c>
      <c r="X2005" s="55" t="n">
        <f aca="false">IF(V2005,IF(01_因子設定!$B$13="最大化",Q2005,IF(01_因子設定!$B$13="最小化",-Q2005,-ABS(Q2005-01_因子設定!$B$16))),-1E+030)</f>
        <v>48.0758948863637</v>
      </c>
      <c r="Y2005" s="55" t="n">
        <f aca="false">W2005+ROW()*0.000000001</f>
        <v>-1.49411863904914</v>
      </c>
      <c r="Z2005" s="55" t="n">
        <f aca="false">X2005+ROW()*0.000000001</f>
        <v>48.0758968913637</v>
      </c>
    </row>
    <row r="2006" customFormat="false" ht="15" hidden="false" customHeight="false" outlineLevel="0" collapsed="false">
      <c r="A2006" s="0" t="n">
        <v>6</v>
      </c>
      <c r="B2006" s="0" t="n">
        <v>15</v>
      </c>
      <c r="C2006" s="0" t="n">
        <v>12</v>
      </c>
      <c r="D2006" s="0" t="n">
        <f aca="false">-1+A2006*0.125</f>
        <v>-0.25</v>
      </c>
      <c r="E2006" s="0" t="n">
        <f aca="false">-1+B2006*0.125</f>
        <v>0.875</v>
      </c>
      <c r="F2006" s="0" t="n">
        <f aca="false">-1+C2006*0.125</f>
        <v>0.5</v>
      </c>
      <c r="G2006" s="0" t="n">
        <f aca="false">1</f>
        <v>1</v>
      </c>
      <c r="H2006" s="0" t="n">
        <f aca="false">D2006</f>
        <v>-0.25</v>
      </c>
      <c r="I2006" s="0" t="n">
        <f aca="false">E2006</f>
        <v>0.875</v>
      </c>
      <c r="J2006" s="0" t="n">
        <f aca="false">F2006</f>
        <v>0.5</v>
      </c>
      <c r="K2006" s="0" t="n">
        <f aca="false">D2006*E2006</f>
        <v>-0.21875</v>
      </c>
      <c r="L2006" s="0" t="n">
        <f aca="false">D2006*F2006</f>
        <v>-0.125</v>
      </c>
      <c r="M2006" s="0" t="n">
        <f aca="false">E2006*F2006</f>
        <v>0.4375</v>
      </c>
      <c r="N2006" s="0" t="n">
        <f aca="false">D2006*D2006</f>
        <v>0.0625</v>
      </c>
      <c r="O2006" s="0" t="n">
        <f aca="false">E2006*E2006</f>
        <v>0.765625</v>
      </c>
      <c r="P2006" s="0" t="n">
        <f aca="false">F2006*F2006</f>
        <v>0.25</v>
      </c>
      <c r="Q2006" s="0" t="n">
        <f aca="false">SUMPRODUCT(G2006:P2006,_XtX!$B$71:$K$71)</f>
        <v>48.1735369318182</v>
      </c>
      <c r="R2006" s="0" t="n">
        <f aca="false">SUMPRODUCT(MMULT(G2006:P2006,_XtX!$B$58:$K$67),G2006:P2006)</f>
        <v>0.327634499289773</v>
      </c>
      <c r="S2006" s="0" t="n">
        <f aca="false">04_回帰ANOVA!$K$19*04_回帰ANOVA!$K$14*SQRT(1+R2006)</f>
        <v>1.07128716250217</v>
      </c>
      <c r="T2006" s="0" t="n">
        <f aca="false">Q2006-S2006</f>
        <v>47.102249769316</v>
      </c>
      <c r="U2006" s="0" t="n">
        <f aca="false">Q2006+S2006</f>
        <v>49.2448240943204</v>
      </c>
      <c r="V2006" s="54" t="b">
        <f aca="false">AND(D2006&gt;=01_因子設定!$L$5-0.000000001,D2006&lt;=01_因子設定!$M$5+0.000000001,E2006&gt;=01_因子設定!$L$6-0.000000001,E2006&lt;=01_因子設定!$M$6+0.000000001,F2006&gt;=01_因子設定!$L$7-0.000000001,F2006&lt;=01_因子設定!$M$7+0.000000001,IF(01_因子設定!$B$20="Box-Behnken",D2006^2+E2006^2+F2006^2&lt;=2+0.000000001,TRUE()))</f>
        <v>1</v>
      </c>
      <c r="W2006" s="55" t="n">
        <f aca="false">IF(V2006,IF(01_因子設定!$B$13="最大化",T2006-01_因子設定!$B$14,IF(01_因子設定!$B$13="最小化",01_因子設定!$B$15-U2006,MIN(T2006-01_因子設定!$B$14,01_因子設定!$B$15-U2006))),-1E+030)</f>
        <v>-1.39775023068398</v>
      </c>
      <c r="X2006" s="55" t="n">
        <f aca="false">IF(V2006,IF(01_因子設定!$B$13="最大化",Q2006,IF(01_因子設定!$B$13="最小化",-Q2006,-ABS(Q2006-01_因子設定!$B$16))),-1E+030)</f>
        <v>48.1735369318182</v>
      </c>
      <c r="Y2006" s="55" t="n">
        <f aca="false">W2006+ROW()*0.000000001</f>
        <v>-1.39774822468398</v>
      </c>
      <c r="Z2006" s="55" t="n">
        <f aca="false">X2006+ROW()*0.000000001</f>
        <v>48.1735389378182</v>
      </c>
    </row>
    <row r="2007" customFormat="false" ht="15" hidden="false" customHeight="false" outlineLevel="0" collapsed="false">
      <c r="A2007" s="0" t="n">
        <v>6</v>
      </c>
      <c r="B2007" s="0" t="n">
        <v>15</v>
      </c>
      <c r="C2007" s="0" t="n">
        <v>13</v>
      </c>
      <c r="D2007" s="0" t="n">
        <f aca="false">-1+A2007*0.125</f>
        <v>-0.25</v>
      </c>
      <c r="E2007" s="0" t="n">
        <f aca="false">-1+B2007*0.125</f>
        <v>0.875</v>
      </c>
      <c r="F2007" s="0" t="n">
        <f aca="false">-1+C2007*0.125</f>
        <v>0.625</v>
      </c>
      <c r="G2007" s="0" t="n">
        <f aca="false">1</f>
        <v>1</v>
      </c>
      <c r="H2007" s="0" t="n">
        <f aca="false">D2007</f>
        <v>-0.25</v>
      </c>
      <c r="I2007" s="0" t="n">
        <f aca="false">E2007</f>
        <v>0.875</v>
      </c>
      <c r="J2007" s="0" t="n">
        <f aca="false">F2007</f>
        <v>0.625</v>
      </c>
      <c r="K2007" s="0" t="n">
        <f aca="false">D2007*E2007</f>
        <v>-0.21875</v>
      </c>
      <c r="L2007" s="0" t="n">
        <f aca="false">D2007*F2007</f>
        <v>-0.15625</v>
      </c>
      <c r="M2007" s="0" t="n">
        <f aca="false">E2007*F2007</f>
        <v>0.546875</v>
      </c>
      <c r="N2007" s="0" t="n">
        <f aca="false">D2007*D2007</f>
        <v>0.0625</v>
      </c>
      <c r="O2007" s="0" t="n">
        <f aca="false">E2007*E2007</f>
        <v>0.765625</v>
      </c>
      <c r="P2007" s="0" t="n">
        <f aca="false">F2007*F2007</f>
        <v>0.390625</v>
      </c>
      <c r="Q2007" s="0" t="n">
        <f aca="false">SUMPRODUCT(G2007:P2007,_XtX!$B$71:$K$71)</f>
        <v>48.2343892045455</v>
      </c>
      <c r="R2007" s="0" t="n">
        <f aca="false">SUMPRODUCT(MMULT(G2007:P2007,_XtX!$B$58:$K$67),G2007:P2007)</f>
        <v>0.34446855024858</v>
      </c>
      <c r="S2007" s="0" t="n">
        <f aca="false">04_回帰ANOVA!$K$19*04_回帰ANOVA!$K$14*SQRT(1+R2007)</f>
        <v>1.07805758590432</v>
      </c>
      <c r="T2007" s="0" t="n">
        <f aca="false">Q2007-S2007</f>
        <v>47.1563316186412</v>
      </c>
      <c r="U2007" s="0" t="n">
        <f aca="false">Q2007+S2007</f>
        <v>49.3124467904498</v>
      </c>
      <c r="V2007" s="54" t="b">
        <f aca="false">AND(D2007&gt;=01_因子設定!$L$5-0.000000001,D2007&lt;=01_因子設定!$M$5+0.000000001,E2007&gt;=01_因子設定!$L$6-0.000000001,E2007&lt;=01_因子設定!$M$6+0.000000001,F2007&gt;=01_因子設定!$L$7-0.000000001,F2007&lt;=01_因子設定!$M$7+0.000000001,IF(01_因子設定!$B$20="Box-Behnken",D2007^2+E2007^2+F2007^2&lt;=2+0.000000001,TRUE()))</f>
        <v>1</v>
      </c>
      <c r="W2007" s="55" t="n">
        <f aca="false">IF(V2007,IF(01_因子設定!$B$13="最大化",T2007-01_因子設定!$B$14,IF(01_因子設定!$B$13="最小化",01_因子設定!$B$15-U2007,MIN(T2007-01_因子設定!$B$14,01_因子設定!$B$15-U2007))),-1E+030)</f>
        <v>-1.34366838135885</v>
      </c>
      <c r="X2007" s="55" t="n">
        <f aca="false">IF(V2007,IF(01_因子設定!$B$13="最大化",Q2007,IF(01_因子設定!$B$13="最小化",-Q2007,-ABS(Q2007-01_因子設定!$B$16))),-1E+030)</f>
        <v>48.2343892045455</v>
      </c>
      <c r="Y2007" s="55" t="n">
        <f aca="false">W2007+ROW()*0.000000001</f>
        <v>-1.34366637435885</v>
      </c>
      <c r="Z2007" s="55" t="n">
        <f aca="false">X2007+ROW()*0.000000001</f>
        <v>48.2343912115455</v>
      </c>
    </row>
    <row r="2008" customFormat="false" ht="15" hidden="false" customHeight="false" outlineLevel="0" collapsed="false">
      <c r="A2008" s="0" t="n">
        <v>6</v>
      </c>
      <c r="B2008" s="0" t="n">
        <v>15</v>
      </c>
      <c r="C2008" s="0" t="n">
        <v>14</v>
      </c>
      <c r="D2008" s="0" t="n">
        <f aca="false">-1+A2008*0.125</f>
        <v>-0.25</v>
      </c>
      <c r="E2008" s="0" t="n">
        <f aca="false">-1+B2008*0.125</f>
        <v>0.875</v>
      </c>
      <c r="F2008" s="0" t="n">
        <f aca="false">-1+C2008*0.125</f>
        <v>0.75</v>
      </c>
      <c r="G2008" s="0" t="n">
        <f aca="false">1</f>
        <v>1</v>
      </c>
      <c r="H2008" s="0" t="n">
        <f aca="false">D2008</f>
        <v>-0.25</v>
      </c>
      <c r="I2008" s="0" t="n">
        <f aca="false">E2008</f>
        <v>0.875</v>
      </c>
      <c r="J2008" s="0" t="n">
        <f aca="false">F2008</f>
        <v>0.75</v>
      </c>
      <c r="K2008" s="0" t="n">
        <f aca="false">D2008*E2008</f>
        <v>-0.21875</v>
      </c>
      <c r="L2008" s="0" t="n">
        <f aca="false">D2008*F2008</f>
        <v>-0.1875</v>
      </c>
      <c r="M2008" s="0" t="n">
        <f aca="false">E2008*F2008</f>
        <v>0.65625</v>
      </c>
      <c r="N2008" s="0" t="n">
        <f aca="false">D2008*D2008</f>
        <v>0.0625</v>
      </c>
      <c r="O2008" s="0" t="n">
        <f aca="false">E2008*E2008</f>
        <v>0.765625</v>
      </c>
      <c r="P2008" s="0" t="n">
        <f aca="false">F2008*F2008</f>
        <v>0.5625</v>
      </c>
      <c r="Q2008" s="0" t="n">
        <f aca="false">SUMPRODUCT(G2008:P2008,_XtX!$B$71:$K$71)</f>
        <v>48.2584517045455</v>
      </c>
      <c r="R2008" s="0" t="n">
        <f aca="false">SUMPRODUCT(MMULT(G2008:P2008,_XtX!$B$58:$K$67),G2008:P2008)</f>
        <v>0.384574751420455</v>
      </c>
      <c r="S2008" s="0" t="n">
        <f aca="false">04_回帰ANOVA!$K$19*04_回帰ANOVA!$K$14*SQRT(1+R2008)</f>
        <v>1.0940189380139</v>
      </c>
      <c r="T2008" s="0" t="n">
        <f aca="false">Q2008-S2008</f>
        <v>47.1644327665316</v>
      </c>
      <c r="U2008" s="0" t="n">
        <f aca="false">Q2008+S2008</f>
        <v>49.3524706425594</v>
      </c>
      <c r="V2008" s="54" t="b">
        <f aca="false">AND(D2008&gt;=01_因子設定!$L$5-0.000000001,D2008&lt;=01_因子設定!$M$5+0.000000001,E2008&gt;=01_因子設定!$L$6-0.000000001,E2008&lt;=01_因子設定!$M$6+0.000000001,F2008&gt;=01_因子設定!$L$7-0.000000001,F2008&lt;=01_因子設定!$M$7+0.000000001,IF(01_因子設定!$B$20="Box-Behnken",D2008^2+E2008^2+F2008^2&lt;=2+0.000000001,TRUE()))</f>
        <v>1</v>
      </c>
      <c r="W2008" s="55" t="n">
        <f aca="false">IF(V2008,IF(01_因子設定!$B$13="最大化",T2008-01_因子設定!$B$14,IF(01_因子設定!$B$13="最小化",01_因子設定!$B$15-U2008,MIN(T2008-01_因子設定!$B$14,01_因子設定!$B$15-U2008))),-1E+030)</f>
        <v>-1.33556723346843</v>
      </c>
      <c r="X2008" s="55" t="n">
        <f aca="false">IF(V2008,IF(01_因子設定!$B$13="最大化",Q2008,IF(01_因子設定!$B$13="最小化",-Q2008,-ABS(Q2008-01_因子設定!$B$16))),-1E+030)</f>
        <v>48.2584517045455</v>
      </c>
      <c r="Y2008" s="55" t="n">
        <f aca="false">W2008+ROW()*0.000000001</f>
        <v>-1.33556522546843</v>
      </c>
      <c r="Z2008" s="55" t="n">
        <f aca="false">X2008+ROW()*0.000000001</f>
        <v>48.2584537125455</v>
      </c>
    </row>
    <row r="2009" customFormat="false" ht="15" hidden="false" customHeight="false" outlineLevel="0" collapsed="false">
      <c r="A2009" s="0" t="n">
        <v>6</v>
      </c>
      <c r="B2009" s="0" t="n">
        <v>15</v>
      </c>
      <c r="C2009" s="0" t="n">
        <v>15</v>
      </c>
      <c r="D2009" s="0" t="n">
        <f aca="false">-1+A2009*0.125</f>
        <v>-0.25</v>
      </c>
      <c r="E2009" s="0" t="n">
        <f aca="false">-1+B2009*0.125</f>
        <v>0.875</v>
      </c>
      <c r="F2009" s="0" t="n">
        <f aca="false">-1+C2009*0.125</f>
        <v>0.875</v>
      </c>
      <c r="G2009" s="0" t="n">
        <f aca="false">1</f>
        <v>1</v>
      </c>
      <c r="H2009" s="0" t="n">
        <f aca="false">D2009</f>
        <v>-0.25</v>
      </c>
      <c r="I2009" s="0" t="n">
        <f aca="false">E2009</f>
        <v>0.875</v>
      </c>
      <c r="J2009" s="0" t="n">
        <f aca="false">F2009</f>
        <v>0.875</v>
      </c>
      <c r="K2009" s="0" t="n">
        <f aca="false">D2009*E2009</f>
        <v>-0.21875</v>
      </c>
      <c r="L2009" s="0" t="n">
        <f aca="false">D2009*F2009</f>
        <v>-0.21875</v>
      </c>
      <c r="M2009" s="0" t="n">
        <f aca="false">E2009*F2009</f>
        <v>0.765625</v>
      </c>
      <c r="N2009" s="0" t="n">
        <f aca="false">D2009*D2009</f>
        <v>0.0625</v>
      </c>
      <c r="O2009" s="0" t="n">
        <f aca="false">E2009*E2009</f>
        <v>0.765625</v>
      </c>
      <c r="P2009" s="0" t="n">
        <f aca="false">F2009*F2009</f>
        <v>0.765625</v>
      </c>
      <c r="Q2009" s="0" t="n">
        <f aca="false">SUMPRODUCT(G2009:P2009,_XtX!$B$71:$K$71)</f>
        <v>48.2457244318182</v>
      </c>
      <c r="R2009" s="0" t="n">
        <f aca="false">SUMPRODUCT(MMULT(G2009:P2009,_XtX!$B$58:$K$67),G2009:P2009)</f>
        <v>0.459671852805398</v>
      </c>
      <c r="S2009" s="0" t="n">
        <f aca="false">04_回帰ANOVA!$K$19*04_回帰ANOVA!$K$14*SQRT(1+R2009)</f>
        <v>1.12329610455115</v>
      </c>
      <c r="T2009" s="0" t="n">
        <f aca="false">Q2009-S2009</f>
        <v>47.1224283272671</v>
      </c>
      <c r="U2009" s="0" t="n">
        <f aca="false">Q2009+S2009</f>
        <v>49.3690205363694</v>
      </c>
      <c r="V2009" s="54" t="b">
        <f aca="false">AND(D2009&gt;=01_因子設定!$L$5-0.000000001,D2009&lt;=01_因子設定!$M$5+0.000000001,E2009&gt;=01_因子設定!$L$6-0.000000001,E2009&lt;=01_因子設定!$M$6+0.000000001,F2009&gt;=01_因子設定!$L$7-0.000000001,F2009&lt;=01_因子設定!$M$7+0.000000001,IF(01_因子設定!$B$20="Box-Behnken",D2009^2+E2009^2+F2009^2&lt;=2+0.000000001,TRUE()))</f>
        <v>1</v>
      </c>
      <c r="W2009" s="55" t="n">
        <f aca="false">IF(V2009,IF(01_因子設定!$B$13="最大化",T2009-01_因子設定!$B$14,IF(01_因子設定!$B$13="最小化",01_因子設定!$B$15-U2009,MIN(T2009-01_因子設定!$B$14,01_因子設定!$B$15-U2009))),-1E+030)</f>
        <v>-1.37757167273295</v>
      </c>
      <c r="X2009" s="55" t="n">
        <f aca="false">IF(V2009,IF(01_因子設定!$B$13="最大化",Q2009,IF(01_因子設定!$B$13="最小化",-Q2009,-ABS(Q2009-01_因子設定!$B$16))),-1E+030)</f>
        <v>48.2457244318182</v>
      </c>
      <c r="Y2009" s="55" t="n">
        <f aca="false">W2009+ROW()*0.000000001</f>
        <v>-1.37756966373295</v>
      </c>
      <c r="Z2009" s="55" t="n">
        <f aca="false">X2009+ROW()*0.000000001</f>
        <v>48.2457264408182</v>
      </c>
    </row>
    <row r="2010" customFormat="false" ht="15" hidden="false" customHeight="false" outlineLevel="0" collapsed="false">
      <c r="A2010" s="0" t="n">
        <v>6</v>
      </c>
      <c r="B2010" s="0" t="n">
        <v>15</v>
      </c>
      <c r="C2010" s="0" t="n">
        <v>16</v>
      </c>
      <c r="D2010" s="0" t="n">
        <f aca="false">-1+A2010*0.125</f>
        <v>-0.25</v>
      </c>
      <c r="E2010" s="0" t="n">
        <f aca="false">-1+B2010*0.125</f>
        <v>0.875</v>
      </c>
      <c r="F2010" s="0" t="n">
        <f aca="false">-1+C2010*0.125</f>
        <v>1</v>
      </c>
      <c r="G2010" s="0" t="n">
        <f aca="false">1</f>
        <v>1</v>
      </c>
      <c r="H2010" s="0" t="n">
        <f aca="false">D2010</f>
        <v>-0.25</v>
      </c>
      <c r="I2010" s="0" t="n">
        <f aca="false">E2010</f>
        <v>0.875</v>
      </c>
      <c r="J2010" s="0" t="n">
        <f aca="false">F2010</f>
        <v>1</v>
      </c>
      <c r="K2010" s="0" t="n">
        <f aca="false">D2010*E2010</f>
        <v>-0.21875</v>
      </c>
      <c r="L2010" s="0" t="n">
        <f aca="false">D2010*F2010</f>
        <v>-0.25</v>
      </c>
      <c r="M2010" s="0" t="n">
        <f aca="false">E2010*F2010</f>
        <v>0.875</v>
      </c>
      <c r="N2010" s="0" t="n">
        <f aca="false">D2010*D2010</f>
        <v>0.0625</v>
      </c>
      <c r="O2010" s="0" t="n">
        <f aca="false">E2010*E2010</f>
        <v>0.765625</v>
      </c>
      <c r="P2010" s="0" t="n">
        <f aca="false">F2010*F2010</f>
        <v>1</v>
      </c>
      <c r="Q2010" s="0" t="n">
        <f aca="false">SUMPRODUCT(G2010:P2010,_XtX!$B$71:$K$71)</f>
        <v>48.1962073863637</v>
      </c>
      <c r="R2010" s="0" t="n">
        <f aca="false">SUMPRODUCT(MMULT(G2010:P2010,_XtX!$B$58:$K$67),G2010:P2010)</f>
        <v>0.583609286221591</v>
      </c>
      <c r="S2010" s="0" t="n">
        <f aca="false">04_回帰ANOVA!$K$19*04_回帰ANOVA!$K$14*SQRT(1+R2010)</f>
        <v>1.1700129157584</v>
      </c>
      <c r="T2010" s="0" t="n">
        <f aca="false">Q2010-S2010</f>
        <v>47.0261944706053</v>
      </c>
      <c r="U2010" s="0" t="n">
        <f aca="false">Q2010+S2010</f>
        <v>49.3662203021221</v>
      </c>
      <c r="V2010" s="54" t="b">
        <f aca="false">AND(D2010&gt;=01_因子設定!$L$5-0.000000001,D2010&lt;=01_因子設定!$M$5+0.000000001,E2010&gt;=01_因子設定!$L$6-0.000000001,E2010&lt;=01_因子設定!$M$6+0.000000001,F2010&gt;=01_因子設定!$L$7-0.000000001,F2010&lt;=01_因子設定!$M$7+0.000000001,IF(01_因子設定!$B$20="Box-Behnken",D2010^2+E2010^2+F2010^2&lt;=2+0.000000001,TRUE()))</f>
        <v>1</v>
      </c>
      <c r="W2010" s="55" t="n">
        <f aca="false">IF(V2010,IF(01_因子設定!$B$13="最大化",T2010-01_因子設定!$B$14,IF(01_因子設定!$B$13="最小化",01_因子設定!$B$15-U2010,MIN(T2010-01_因子設定!$B$14,01_因子設定!$B$15-U2010))),-1E+030)</f>
        <v>-1.47380552939472</v>
      </c>
      <c r="X2010" s="55" t="n">
        <f aca="false">IF(V2010,IF(01_因子設定!$B$13="最大化",Q2010,IF(01_因子設定!$B$13="最小化",-Q2010,-ABS(Q2010-01_因子設定!$B$16))),-1E+030)</f>
        <v>48.1962073863637</v>
      </c>
      <c r="Y2010" s="55" t="n">
        <f aca="false">W2010+ROW()*0.000000001</f>
        <v>-1.47380351939472</v>
      </c>
      <c r="Z2010" s="55" t="n">
        <f aca="false">X2010+ROW()*0.000000001</f>
        <v>48.1962093963637</v>
      </c>
    </row>
    <row r="2011" customFormat="false" ht="15" hidden="false" customHeight="false" outlineLevel="0" collapsed="false">
      <c r="A2011" s="0" t="n">
        <v>6</v>
      </c>
      <c r="B2011" s="0" t="n">
        <v>16</v>
      </c>
      <c r="C2011" s="0" t="n">
        <v>0</v>
      </c>
      <c r="D2011" s="0" t="n">
        <f aca="false">-1+A2011*0.125</f>
        <v>-0.25</v>
      </c>
      <c r="E2011" s="0" t="n">
        <f aca="false">-1+B2011*0.125</f>
        <v>1</v>
      </c>
      <c r="F2011" s="0" t="n">
        <f aca="false">-1+C2011*0.125</f>
        <v>-1</v>
      </c>
      <c r="G2011" s="0" t="n">
        <f aca="false">1</f>
        <v>1</v>
      </c>
      <c r="H2011" s="0" t="n">
        <f aca="false">D2011</f>
        <v>-0.25</v>
      </c>
      <c r="I2011" s="0" t="n">
        <f aca="false">E2011</f>
        <v>1</v>
      </c>
      <c r="J2011" s="0" t="n">
        <f aca="false">F2011</f>
        <v>-1</v>
      </c>
      <c r="K2011" s="0" t="n">
        <f aca="false">D2011*E2011</f>
        <v>-0.25</v>
      </c>
      <c r="L2011" s="0" t="n">
        <f aca="false">D2011*F2011</f>
        <v>0.25</v>
      </c>
      <c r="M2011" s="0" t="n">
        <f aca="false">E2011*F2011</f>
        <v>-1</v>
      </c>
      <c r="N2011" s="0" t="n">
        <f aca="false">D2011*D2011</f>
        <v>0.0625</v>
      </c>
      <c r="O2011" s="0" t="n">
        <f aca="false">E2011*E2011</f>
        <v>1</v>
      </c>
      <c r="P2011" s="0" t="n">
        <f aca="false">F2011*F2011</f>
        <v>1</v>
      </c>
      <c r="Q2011" s="0" t="n">
        <f aca="false">SUMPRODUCT(G2011:P2011,_XtX!$B$71:$K$71)</f>
        <v>44.2627840909091</v>
      </c>
      <c r="R2011" s="0" t="n">
        <f aca="false">SUMPRODUCT(MMULT(G2011:P2011,_XtX!$B$58:$K$67),G2011:P2011)</f>
        <v>0.699431818181818</v>
      </c>
      <c r="S2011" s="0" t="n">
        <f aca="false">04_回帰ANOVA!$K$19*04_回帰ANOVA!$K$14*SQRT(1+R2011)</f>
        <v>1.21204434231192</v>
      </c>
      <c r="T2011" s="0" t="n">
        <f aca="false">Q2011-S2011</f>
        <v>43.0507397485972</v>
      </c>
      <c r="U2011" s="0" t="n">
        <f aca="false">Q2011+S2011</f>
        <v>45.474828433221</v>
      </c>
      <c r="V2011" s="54" t="b">
        <f aca="false">AND(D2011&gt;=01_因子設定!$L$5-0.000000001,D2011&lt;=01_因子設定!$M$5+0.000000001,E2011&gt;=01_因子設定!$L$6-0.000000001,E2011&lt;=01_因子設定!$M$6+0.000000001,F2011&gt;=01_因子設定!$L$7-0.000000001,F2011&lt;=01_因子設定!$M$7+0.000000001,IF(01_因子設定!$B$20="Box-Behnken",D2011^2+E2011^2+F2011^2&lt;=2+0.000000001,TRUE()))</f>
        <v>1</v>
      </c>
      <c r="W2011" s="55" t="n">
        <f aca="false">IF(V2011,IF(01_因子設定!$B$13="最大化",T2011-01_因子設定!$B$14,IF(01_因子設定!$B$13="最小化",01_因子設定!$B$15-U2011,MIN(T2011-01_因子設定!$B$14,01_因子設定!$B$15-U2011))),-1E+030)</f>
        <v>-5.4492602514028</v>
      </c>
      <c r="X2011" s="55" t="n">
        <f aca="false">IF(V2011,IF(01_因子設定!$B$13="最大化",Q2011,IF(01_因子設定!$B$13="最小化",-Q2011,-ABS(Q2011-01_因子設定!$B$16))),-1E+030)</f>
        <v>44.2627840909091</v>
      </c>
      <c r="Y2011" s="55" t="n">
        <f aca="false">W2011+ROW()*0.000000001</f>
        <v>-5.4492582404028</v>
      </c>
      <c r="Z2011" s="55" t="n">
        <f aca="false">X2011+ROW()*0.000000001</f>
        <v>44.2627861019091</v>
      </c>
    </row>
    <row r="2012" customFormat="false" ht="15" hidden="false" customHeight="false" outlineLevel="0" collapsed="false">
      <c r="A2012" s="0" t="n">
        <v>6</v>
      </c>
      <c r="B2012" s="0" t="n">
        <v>16</v>
      </c>
      <c r="C2012" s="0" t="n">
        <v>1</v>
      </c>
      <c r="D2012" s="0" t="n">
        <f aca="false">-1+A2012*0.125</f>
        <v>-0.25</v>
      </c>
      <c r="E2012" s="0" t="n">
        <f aca="false">-1+B2012*0.125</f>
        <v>1</v>
      </c>
      <c r="F2012" s="0" t="n">
        <f aca="false">-1+C2012*0.125</f>
        <v>-0.875</v>
      </c>
      <c r="G2012" s="0" t="n">
        <f aca="false">1</f>
        <v>1</v>
      </c>
      <c r="H2012" s="0" t="n">
        <f aca="false">D2012</f>
        <v>-0.25</v>
      </c>
      <c r="I2012" s="0" t="n">
        <f aca="false">E2012</f>
        <v>1</v>
      </c>
      <c r="J2012" s="0" t="n">
        <f aca="false">F2012</f>
        <v>-0.875</v>
      </c>
      <c r="K2012" s="0" t="n">
        <f aca="false">D2012*E2012</f>
        <v>-0.25</v>
      </c>
      <c r="L2012" s="0" t="n">
        <f aca="false">D2012*F2012</f>
        <v>0.21875</v>
      </c>
      <c r="M2012" s="0" t="n">
        <f aca="false">E2012*F2012</f>
        <v>-0.875</v>
      </c>
      <c r="N2012" s="0" t="n">
        <f aca="false">D2012*D2012</f>
        <v>0.0625</v>
      </c>
      <c r="O2012" s="0" t="n">
        <f aca="false">E2012*E2012</f>
        <v>1</v>
      </c>
      <c r="P2012" s="0" t="n">
        <f aca="false">F2012*F2012</f>
        <v>0.765625</v>
      </c>
      <c r="Q2012" s="0" t="n">
        <f aca="false">SUMPRODUCT(G2012:P2012,_XtX!$B$71:$K$71)</f>
        <v>44.7721448863637</v>
      </c>
      <c r="R2012" s="0" t="n">
        <f aca="false">SUMPRODUCT(MMULT(G2012:P2012,_XtX!$B$58:$K$67),G2012:P2012)</f>
        <v>0.583609286221591</v>
      </c>
      <c r="S2012" s="0" t="n">
        <f aca="false">04_回帰ANOVA!$K$19*04_回帰ANOVA!$K$14*SQRT(1+R2012)</f>
        <v>1.1700129157584</v>
      </c>
      <c r="T2012" s="0" t="n">
        <f aca="false">Q2012-S2012</f>
        <v>43.6021319706053</v>
      </c>
      <c r="U2012" s="0" t="n">
        <f aca="false">Q2012+S2012</f>
        <v>45.9421578021221</v>
      </c>
      <c r="V2012" s="54" t="b">
        <f aca="false">AND(D2012&gt;=01_因子設定!$L$5-0.000000001,D2012&lt;=01_因子設定!$M$5+0.000000001,E2012&gt;=01_因子設定!$L$6-0.000000001,E2012&lt;=01_因子設定!$M$6+0.000000001,F2012&gt;=01_因子設定!$L$7-0.000000001,F2012&lt;=01_因子設定!$M$7+0.000000001,IF(01_因子設定!$B$20="Box-Behnken",D2012^2+E2012^2+F2012^2&lt;=2+0.000000001,TRUE()))</f>
        <v>1</v>
      </c>
      <c r="W2012" s="55" t="n">
        <f aca="false">IF(V2012,IF(01_因子設定!$B$13="最大化",T2012-01_因子設定!$B$14,IF(01_因子設定!$B$13="最小化",01_因子設定!$B$15-U2012,MIN(T2012-01_因子設定!$B$14,01_因子設定!$B$15-U2012))),-1E+030)</f>
        <v>-4.89786802939473</v>
      </c>
      <c r="X2012" s="55" t="n">
        <f aca="false">IF(V2012,IF(01_因子設定!$B$13="最大化",Q2012,IF(01_因子設定!$B$13="最小化",-Q2012,-ABS(Q2012-01_因子設定!$B$16))),-1E+030)</f>
        <v>44.7721448863637</v>
      </c>
      <c r="Y2012" s="55" t="n">
        <f aca="false">W2012+ROW()*0.000000001</f>
        <v>-4.89786601739473</v>
      </c>
      <c r="Z2012" s="55" t="n">
        <f aca="false">X2012+ROW()*0.000000001</f>
        <v>44.7721468983637</v>
      </c>
    </row>
    <row r="2013" customFormat="false" ht="15" hidden="false" customHeight="false" outlineLevel="0" collapsed="false">
      <c r="A2013" s="0" t="n">
        <v>6</v>
      </c>
      <c r="B2013" s="0" t="n">
        <v>16</v>
      </c>
      <c r="C2013" s="0" t="n">
        <v>2</v>
      </c>
      <c r="D2013" s="0" t="n">
        <f aca="false">-1+A2013*0.125</f>
        <v>-0.25</v>
      </c>
      <c r="E2013" s="0" t="n">
        <f aca="false">-1+B2013*0.125</f>
        <v>1</v>
      </c>
      <c r="F2013" s="0" t="n">
        <f aca="false">-1+C2013*0.125</f>
        <v>-0.75</v>
      </c>
      <c r="G2013" s="0" t="n">
        <f aca="false">1</f>
        <v>1</v>
      </c>
      <c r="H2013" s="0" t="n">
        <f aca="false">D2013</f>
        <v>-0.25</v>
      </c>
      <c r="I2013" s="0" t="n">
        <f aca="false">E2013</f>
        <v>1</v>
      </c>
      <c r="J2013" s="0" t="n">
        <f aca="false">F2013</f>
        <v>-0.75</v>
      </c>
      <c r="K2013" s="0" t="n">
        <f aca="false">D2013*E2013</f>
        <v>-0.25</v>
      </c>
      <c r="L2013" s="0" t="n">
        <f aca="false">D2013*F2013</f>
        <v>0.1875</v>
      </c>
      <c r="M2013" s="0" t="n">
        <f aca="false">E2013*F2013</f>
        <v>-0.75</v>
      </c>
      <c r="N2013" s="0" t="n">
        <f aca="false">D2013*D2013</f>
        <v>0.0625</v>
      </c>
      <c r="O2013" s="0" t="n">
        <f aca="false">E2013*E2013</f>
        <v>1</v>
      </c>
      <c r="P2013" s="0" t="n">
        <f aca="false">F2013*F2013</f>
        <v>0.5625</v>
      </c>
      <c r="Q2013" s="0" t="n">
        <f aca="false">SUMPRODUCT(G2013:P2013,_XtX!$B$71:$K$71)</f>
        <v>45.2447159090909</v>
      </c>
      <c r="R2013" s="0" t="n">
        <f aca="false">SUMPRODUCT(MMULT(G2013:P2013,_XtX!$B$58:$K$67),G2013:P2013)</f>
        <v>0.515545099431818</v>
      </c>
      <c r="S2013" s="0" t="n">
        <f aca="false">04_回帰ANOVA!$K$19*04_回帰ANOVA!$K$14*SQRT(1+R2013)</f>
        <v>1.14459295464101</v>
      </c>
      <c r="T2013" s="0" t="n">
        <f aca="false">Q2013-S2013</f>
        <v>44.1001229544499</v>
      </c>
      <c r="U2013" s="0" t="n">
        <f aca="false">Q2013+S2013</f>
        <v>46.3893088637319</v>
      </c>
      <c r="V2013" s="54" t="b">
        <f aca="false">AND(D2013&gt;=01_因子設定!$L$5-0.000000001,D2013&lt;=01_因子設定!$M$5+0.000000001,E2013&gt;=01_因子設定!$L$6-0.000000001,E2013&lt;=01_因子設定!$M$6+0.000000001,F2013&gt;=01_因子設定!$L$7-0.000000001,F2013&lt;=01_因子設定!$M$7+0.000000001,IF(01_因子設定!$B$20="Box-Behnken",D2013^2+E2013^2+F2013^2&lt;=2+0.000000001,TRUE()))</f>
        <v>1</v>
      </c>
      <c r="W2013" s="55" t="n">
        <f aca="false">IF(V2013,IF(01_因子設定!$B$13="最大化",T2013-01_因子設定!$B$14,IF(01_因子設定!$B$13="最小化",01_因子設定!$B$15-U2013,MIN(T2013-01_因子設定!$B$14,01_因子設定!$B$15-U2013))),-1E+030)</f>
        <v>-4.39987704555009</v>
      </c>
      <c r="X2013" s="55" t="n">
        <f aca="false">IF(V2013,IF(01_因子設定!$B$13="最大化",Q2013,IF(01_因子設定!$B$13="最小化",-Q2013,-ABS(Q2013-01_因子設定!$B$16))),-1E+030)</f>
        <v>45.2447159090909</v>
      </c>
      <c r="Y2013" s="55" t="n">
        <f aca="false">W2013+ROW()*0.000000001</f>
        <v>-4.39987503255009</v>
      </c>
      <c r="Z2013" s="55" t="n">
        <f aca="false">X2013+ROW()*0.000000001</f>
        <v>45.2447179220909</v>
      </c>
    </row>
    <row r="2014" customFormat="false" ht="15" hidden="false" customHeight="false" outlineLevel="0" collapsed="false">
      <c r="A2014" s="0" t="n">
        <v>6</v>
      </c>
      <c r="B2014" s="0" t="n">
        <v>16</v>
      </c>
      <c r="C2014" s="0" t="n">
        <v>3</v>
      </c>
      <c r="D2014" s="0" t="n">
        <f aca="false">-1+A2014*0.125</f>
        <v>-0.25</v>
      </c>
      <c r="E2014" s="0" t="n">
        <f aca="false">-1+B2014*0.125</f>
        <v>1</v>
      </c>
      <c r="F2014" s="0" t="n">
        <f aca="false">-1+C2014*0.125</f>
        <v>-0.625</v>
      </c>
      <c r="G2014" s="0" t="n">
        <f aca="false">1</f>
        <v>1</v>
      </c>
      <c r="H2014" s="0" t="n">
        <f aca="false">D2014</f>
        <v>-0.25</v>
      </c>
      <c r="I2014" s="0" t="n">
        <f aca="false">E2014</f>
        <v>1</v>
      </c>
      <c r="J2014" s="0" t="n">
        <f aca="false">F2014</f>
        <v>-0.625</v>
      </c>
      <c r="K2014" s="0" t="n">
        <f aca="false">D2014*E2014</f>
        <v>-0.25</v>
      </c>
      <c r="L2014" s="0" t="n">
        <f aca="false">D2014*F2014</f>
        <v>0.15625</v>
      </c>
      <c r="M2014" s="0" t="n">
        <f aca="false">E2014*F2014</f>
        <v>-0.625</v>
      </c>
      <c r="N2014" s="0" t="n">
        <f aca="false">D2014*D2014</f>
        <v>0.0625</v>
      </c>
      <c r="O2014" s="0" t="n">
        <f aca="false">E2014*E2014</f>
        <v>1</v>
      </c>
      <c r="P2014" s="0" t="n">
        <f aca="false">F2014*F2014</f>
        <v>0.390625</v>
      </c>
      <c r="Q2014" s="0" t="n">
        <f aca="false">SUMPRODUCT(G2014:P2014,_XtX!$B$71:$K$71)</f>
        <v>45.6804971590909</v>
      </c>
      <c r="R2014" s="0" t="n">
        <f aca="false">SUMPRODUCT(MMULT(G2014:P2014,_XtX!$B$58:$K$67),G2014:P2014)</f>
        <v>0.481389825994318</v>
      </c>
      <c r="S2014" s="0" t="n">
        <f aca="false">04_回帰ANOVA!$K$19*04_回帰ANOVA!$K$14*SQRT(1+R2014)</f>
        <v>1.13162182500693</v>
      </c>
      <c r="T2014" s="0" t="n">
        <f aca="false">Q2014-S2014</f>
        <v>44.548875334084</v>
      </c>
      <c r="U2014" s="0" t="n">
        <f aca="false">Q2014+S2014</f>
        <v>46.8121189840979</v>
      </c>
      <c r="V2014" s="54" t="b">
        <f aca="false">AND(D2014&gt;=01_因子設定!$L$5-0.000000001,D2014&lt;=01_因子設定!$M$5+0.000000001,E2014&gt;=01_因子設定!$L$6-0.000000001,E2014&lt;=01_因子設定!$M$6+0.000000001,F2014&gt;=01_因子設定!$L$7-0.000000001,F2014&lt;=01_因子設定!$M$7+0.000000001,IF(01_因子設定!$B$20="Box-Behnken",D2014^2+E2014^2+F2014^2&lt;=2+0.000000001,TRUE()))</f>
        <v>1</v>
      </c>
      <c r="W2014" s="55" t="n">
        <f aca="false">IF(V2014,IF(01_因子設定!$B$13="最大化",T2014-01_因子設定!$B$14,IF(01_因子設定!$B$13="最小化",01_因子設定!$B$15-U2014,MIN(T2014-01_因子設定!$B$14,01_因子設定!$B$15-U2014))),-1E+030)</f>
        <v>-3.951124665916</v>
      </c>
      <c r="X2014" s="55" t="n">
        <f aca="false">IF(V2014,IF(01_因子設定!$B$13="最大化",Q2014,IF(01_因子設定!$B$13="最小化",-Q2014,-ABS(Q2014-01_因子設定!$B$16))),-1E+030)</f>
        <v>45.6804971590909</v>
      </c>
      <c r="Y2014" s="55" t="n">
        <f aca="false">W2014+ROW()*0.000000001</f>
        <v>-3.951122651916</v>
      </c>
      <c r="Z2014" s="55" t="n">
        <f aca="false">X2014+ROW()*0.000000001</f>
        <v>45.6804991730909</v>
      </c>
    </row>
    <row r="2015" customFormat="false" ht="15" hidden="false" customHeight="false" outlineLevel="0" collapsed="false">
      <c r="A2015" s="0" t="n">
        <v>6</v>
      </c>
      <c r="B2015" s="0" t="n">
        <v>16</v>
      </c>
      <c r="C2015" s="0" t="n">
        <v>4</v>
      </c>
      <c r="D2015" s="0" t="n">
        <f aca="false">-1+A2015*0.125</f>
        <v>-0.25</v>
      </c>
      <c r="E2015" s="0" t="n">
        <f aca="false">-1+B2015*0.125</f>
        <v>1</v>
      </c>
      <c r="F2015" s="0" t="n">
        <f aca="false">-1+C2015*0.125</f>
        <v>-0.5</v>
      </c>
      <c r="G2015" s="0" t="n">
        <f aca="false">1</f>
        <v>1</v>
      </c>
      <c r="H2015" s="0" t="n">
        <f aca="false">D2015</f>
        <v>-0.25</v>
      </c>
      <c r="I2015" s="0" t="n">
        <f aca="false">E2015</f>
        <v>1</v>
      </c>
      <c r="J2015" s="0" t="n">
        <f aca="false">F2015</f>
        <v>-0.5</v>
      </c>
      <c r="K2015" s="0" t="n">
        <f aca="false">D2015*E2015</f>
        <v>-0.25</v>
      </c>
      <c r="L2015" s="0" t="n">
        <f aca="false">D2015*F2015</f>
        <v>0.125</v>
      </c>
      <c r="M2015" s="0" t="n">
        <f aca="false">E2015*F2015</f>
        <v>-0.5</v>
      </c>
      <c r="N2015" s="0" t="n">
        <f aca="false">D2015*D2015</f>
        <v>0.0625</v>
      </c>
      <c r="O2015" s="0" t="n">
        <f aca="false">E2015*E2015</f>
        <v>1</v>
      </c>
      <c r="P2015" s="0" t="n">
        <f aca="false">F2015*F2015</f>
        <v>0.25</v>
      </c>
      <c r="Q2015" s="0" t="n">
        <f aca="false">SUMPRODUCT(G2015:P2015,_XtX!$B$71:$K$71)</f>
        <v>46.0794886363637</v>
      </c>
      <c r="R2015" s="0" t="n">
        <f aca="false">SUMPRODUCT(MMULT(G2015:P2015,_XtX!$B$58:$K$67),G2015:P2015)</f>
        <v>0.469424715909091</v>
      </c>
      <c r="S2015" s="0" t="n">
        <f aca="false">04_回帰ANOVA!$K$19*04_回帰ANOVA!$K$14*SQRT(1+R2015)</f>
        <v>1.12704253369596</v>
      </c>
      <c r="T2015" s="0" t="n">
        <f aca="false">Q2015-S2015</f>
        <v>44.9524461026677</v>
      </c>
      <c r="U2015" s="0" t="n">
        <f aca="false">Q2015+S2015</f>
        <v>47.2065311700596</v>
      </c>
      <c r="V2015" s="54" t="b">
        <f aca="false">AND(D2015&gt;=01_因子設定!$L$5-0.000000001,D2015&lt;=01_因子設定!$M$5+0.000000001,E2015&gt;=01_因子設定!$L$6-0.000000001,E2015&lt;=01_因子設定!$M$6+0.000000001,F2015&gt;=01_因子設定!$L$7-0.000000001,F2015&lt;=01_因子設定!$M$7+0.000000001,IF(01_因子設定!$B$20="Box-Behnken",D2015^2+E2015^2+F2015^2&lt;=2+0.000000001,TRUE()))</f>
        <v>1</v>
      </c>
      <c r="W2015" s="55" t="n">
        <f aca="false">IF(V2015,IF(01_因子設定!$B$13="最大化",T2015-01_因子設定!$B$14,IF(01_因子設定!$B$13="最小化",01_因子設定!$B$15-U2015,MIN(T2015-01_因子設定!$B$14,01_因子設定!$B$15-U2015))),-1E+030)</f>
        <v>-3.54755389733231</v>
      </c>
      <c r="X2015" s="55" t="n">
        <f aca="false">IF(V2015,IF(01_因子設定!$B$13="最大化",Q2015,IF(01_因子設定!$B$13="最小化",-Q2015,-ABS(Q2015-01_因子設定!$B$16))),-1E+030)</f>
        <v>46.0794886363637</v>
      </c>
      <c r="Y2015" s="55" t="n">
        <f aca="false">W2015+ROW()*0.000000001</f>
        <v>-3.54755188233231</v>
      </c>
      <c r="Z2015" s="55" t="n">
        <f aca="false">X2015+ROW()*0.000000001</f>
        <v>46.0794906513637</v>
      </c>
    </row>
    <row r="2016" customFormat="false" ht="15" hidden="false" customHeight="false" outlineLevel="0" collapsed="false">
      <c r="A2016" s="0" t="n">
        <v>6</v>
      </c>
      <c r="B2016" s="0" t="n">
        <v>16</v>
      </c>
      <c r="C2016" s="0" t="n">
        <v>5</v>
      </c>
      <c r="D2016" s="0" t="n">
        <f aca="false">-1+A2016*0.125</f>
        <v>-0.25</v>
      </c>
      <c r="E2016" s="0" t="n">
        <f aca="false">-1+B2016*0.125</f>
        <v>1</v>
      </c>
      <c r="F2016" s="0" t="n">
        <f aca="false">-1+C2016*0.125</f>
        <v>-0.375</v>
      </c>
      <c r="G2016" s="0" t="n">
        <f aca="false">1</f>
        <v>1</v>
      </c>
      <c r="H2016" s="0" t="n">
        <f aca="false">D2016</f>
        <v>-0.25</v>
      </c>
      <c r="I2016" s="0" t="n">
        <f aca="false">E2016</f>
        <v>1</v>
      </c>
      <c r="J2016" s="0" t="n">
        <f aca="false">F2016</f>
        <v>-0.375</v>
      </c>
      <c r="K2016" s="0" t="n">
        <f aca="false">D2016*E2016</f>
        <v>-0.25</v>
      </c>
      <c r="L2016" s="0" t="n">
        <f aca="false">D2016*F2016</f>
        <v>0.09375</v>
      </c>
      <c r="M2016" s="0" t="n">
        <f aca="false">E2016*F2016</f>
        <v>-0.375</v>
      </c>
      <c r="N2016" s="0" t="n">
        <f aca="false">D2016*D2016</f>
        <v>0.0625</v>
      </c>
      <c r="O2016" s="0" t="n">
        <f aca="false">E2016*E2016</f>
        <v>1</v>
      </c>
      <c r="P2016" s="0" t="n">
        <f aca="false">F2016*F2016</f>
        <v>0.140625</v>
      </c>
      <c r="Q2016" s="0" t="n">
        <f aca="false">SUMPRODUCT(G2016:P2016,_XtX!$B$71:$K$71)</f>
        <v>46.4416903409091</v>
      </c>
      <c r="R2016" s="0" t="n">
        <f aca="false">SUMPRODUCT(MMULT(G2016:P2016,_XtX!$B$58:$K$67),G2016:P2016)</f>
        <v>0.470061700994318</v>
      </c>
      <c r="S2016" s="0" t="n">
        <f aca="false">04_回帰ANOVA!$K$19*04_回帰ANOVA!$K$14*SQRT(1+R2016)</f>
        <v>1.12728678965931</v>
      </c>
      <c r="T2016" s="0" t="n">
        <f aca="false">Q2016-S2016</f>
        <v>45.3144035512498</v>
      </c>
      <c r="U2016" s="0" t="n">
        <f aca="false">Q2016+S2016</f>
        <v>47.5689771305684</v>
      </c>
      <c r="V2016" s="54" t="b">
        <f aca="false">AND(D2016&gt;=01_因子設定!$L$5-0.000000001,D2016&lt;=01_因子設定!$M$5+0.000000001,E2016&gt;=01_因子設定!$L$6-0.000000001,E2016&lt;=01_因子設定!$M$6+0.000000001,F2016&gt;=01_因子設定!$L$7-0.000000001,F2016&lt;=01_因子設定!$M$7+0.000000001,IF(01_因子設定!$B$20="Box-Behnken",D2016^2+E2016^2+F2016^2&lt;=2+0.000000001,TRUE()))</f>
        <v>1</v>
      </c>
      <c r="W2016" s="55" t="n">
        <f aca="false">IF(V2016,IF(01_因子設定!$B$13="最大化",T2016-01_因子設定!$B$14,IF(01_因子設定!$B$13="最小化",01_因子設定!$B$15-U2016,MIN(T2016-01_因子設定!$B$14,01_因子設定!$B$15-U2016))),-1E+030)</f>
        <v>-3.1855964487502</v>
      </c>
      <c r="X2016" s="55" t="n">
        <f aca="false">IF(V2016,IF(01_因子設定!$B$13="最大化",Q2016,IF(01_因子設定!$B$13="最小化",-Q2016,-ABS(Q2016-01_因子設定!$B$16))),-1E+030)</f>
        <v>46.4416903409091</v>
      </c>
      <c r="Y2016" s="55" t="n">
        <f aca="false">W2016+ROW()*0.000000001</f>
        <v>-3.1855944327502</v>
      </c>
      <c r="Z2016" s="55" t="n">
        <f aca="false">X2016+ROW()*0.000000001</f>
        <v>46.4416923569091</v>
      </c>
    </row>
    <row r="2017" customFormat="false" ht="15" hidden="false" customHeight="false" outlineLevel="0" collapsed="false">
      <c r="A2017" s="0" t="n">
        <v>6</v>
      </c>
      <c r="B2017" s="0" t="n">
        <v>16</v>
      </c>
      <c r="C2017" s="0" t="n">
        <v>6</v>
      </c>
      <c r="D2017" s="0" t="n">
        <f aca="false">-1+A2017*0.125</f>
        <v>-0.25</v>
      </c>
      <c r="E2017" s="0" t="n">
        <f aca="false">-1+B2017*0.125</f>
        <v>1</v>
      </c>
      <c r="F2017" s="0" t="n">
        <f aca="false">-1+C2017*0.125</f>
        <v>-0.25</v>
      </c>
      <c r="G2017" s="0" t="n">
        <f aca="false">1</f>
        <v>1</v>
      </c>
      <c r="H2017" s="0" t="n">
        <f aca="false">D2017</f>
        <v>-0.25</v>
      </c>
      <c r="I2017" s="0" t="n">
        <f aca="false">E2017</f>
        <v>1</v>
      </c>
      <c r="J2017" s="0" t="n">
        <f aca="false">F2017</f>
        <v>-0.25</v>
      </c>
      <c r="K2017" s="0" t="n">
        <f aca="false">D2017*E2017</f>
        <v>-0.25</v>
      </c>
      <c r="L2017" s="0" t="n">
        <f aca="false">D2017*F2017</f>
        <v>0.0625</v>
      </c>
      <c r="M2017" s="0" t="n">
        <f aca="false">E2017*F2017</f>
        <v>-0.25</v>
      </c>
      <c r="N2017" s="0" t="n">
        <f aca="false">D2017*D2017</f>
        <v>0.0625</v>
      </c>
      <c r="O2017" s="0" t="n">
        <f aca="false">E2017*E2017</f>
        <v>1</v>
      </c>
      <c r="P2017" s="0" t="n">
        <f aca="false">F2017*F2017</f>
        <v>0.0625</v>
      </c>
      <c r="Q2017" s="0" t="n">
        <f aca="false">SUMPRODUCT(G2017:P2017,_XtX!$B$71:$K$71)</f>
        <v>46.7671022727273</v>
      </c>
      <c r="R2017" s="0" t="n">
        <f aca="false">SUMPRODUCT(MMULT(G2017:P2017,_XtX!$B$58:$K$67),G2017:P2017)</f>
        <v>0.475843394886364</v>
      </c>
      <c r="S2017" s="0" t="n">
        <f aca="false">04_回帰ANOVA!$K$19*04_回帰ANOVA!$K$14*SQRT(1+R2017)</f>
        <v>1.12950140123694</v>
      </c>
      <c r="T2017" s="0" t="n">
        <f aca="false">Q2017-S2017</f>
        <v>45.6376008714904</v>
      </c>
      <c r="U2017" s="0" t="n">
        <f aca="false">Q2017+S2017</f>
        <v>47.8966036739642</v>
      </c>
      <c r="V2017" s="54" t="b">
        <f aca="false">AND(D2017&gt;=01_因子設定!$L$5-0.000000001,D2017&lt;=01_因子設定!$M$5+0.000000001,E2017&gt;=01_因子設定!$L$6-0.000000001,E2017&lt;=01_因子設定!$M$6+0.000000001,F2017&gt;=01_因子設定!$L$7-0.000000001,F2017&lt;=01_因子設定!$M$7+0.000000001,IF(01_因子設定!$B$20="Box-Behnken",D2017^2+E2017^2+F2017^2&lt;=2+0.000000001,TRUE()))</f>
        <v>1</v>
      </c>
      <c r="W2017" s="55" t="n">
        <f aca="false">IF(V2017,IF(01_因子設定!$B$13="最大化",T2017-01_因子設定!$B$14,IF(01_因子設定!$B$13="最小化",01_因子設定!$B$15-U2017,MIN(T2017-01_因子設定!$B$14,01_因子設定!$B$15-U2017))),-1E+030)</f>
        <v>-2.86239912850965</v>
      </c>
      <c r="X2017" s="55" t="n">
        <f aca="false">IF(V2017,IF(01_因子設定!$B$13="最大化",Q2017,IF(01_因子設定!$B$13="最小化",-Q2017,-ABS(Q2017-01_因子設定!$B$16))),-1E+030)</f>
        <v>46.7671022727273</v>
      </c>
      <c r="Y2017" s="55" t="n">
        <f aca="false">W2017+ROW()*0.000000001</f>
        <v>-2.86239711150965</v>
      </c>
      <c r="Z2017" s="55" t="n">
        <f aca="false">X2017+ROW()*0.000000001</f>
        <v>46.7671042897273</v>
      </c>
    </row>
    <row r="2018" customFormat="false" ht="15" hidden="false" customHeight="false" outlineLevel="0" collapsed="false">
      <c r="A2018" s="0" t="n">
        <v>6</v>
      </c>
      <c r="B2018" s="0" t="n">
        <v>16</v>
      </c>
      <c r="C2018" s="0" t="n">
        <v>7</v>
      </c>
      <c r="D2018" s="0" t="n">
        <f aca="false">-1+A2018*0.125</f>
        <v>-0.25</v>
      </c>
      <c r="E2018" s="0" t="n">
        <f aca="false">-1+B2018*0.125</f>
        <v>1</v>
      </c>
      <c r="F2018" s="0" t="n">
        <f aca="false">-1+C2018*0.125</f>
        <v>-0.125</v>
      </c>
      <c r="G2018" s="0" t="n">
        <f aca="false">1</f>
        <v>1</v>
      </c>
      <c r="H2018" s="0" t="n">
        <f aca="false">D2018</f>
        <v>-0.25</v>
      </c>
      <c r="I2018" s="0" t="n">
        <f aca="false">E2018</f>
        <v>1</v>
      </c>
      <c r="J2018" s="0" t="n">
        <f aca="false">F2018</f>
        <v>-0.125</v>
      </c>
      <c r="K2018" s="0" t="n">
        <f aca="false">D2018*E2018</f>
        <v>-0.25</v>
      </c>
      <c r="L2018" s="0" t="n">
        <f aca="false">D2018*F2018</f>
        <v>0.03125</v>
      </c>
      <c r="M2018" s="0" t="n">
        <f aca="false">E2018*F2018</f>
        <v>-0.125</v>
      </c>
      <c r="N2018" s="0" t="n">
        <f aca="false">D2018*D2018</f>
        <v>0.0625</v>
      </c>
      <c r="O2018" s="0" t="n">
        <f aca="false">E2018*E2018</f>
        <v>1</v>
      </c>
      <c r="P2018" s="0" t="n">
        <f aca="false">F2018*F2018</f>
        <v>0.015625</v>
      </c>
      <c r="Q2018" s="0" t="n">
        <f aca="false">SUMPRODUCT(G2018:P2018,_XtX!$B$71:$K$71)</f>
        <v>47.0557244318182</v>
      </c>
      <c r="R2018" s="0" t="n">
        <f aca="false">SUMPRODUCT(MMULT(G2018:P2018,_XtX!$B$58:$K$67),G2018:P2018)</f>
        <v>0.481443093039773</v>
      </c>
      <c r="S2018" s="0" t="n">
        <f aca="false">04_回帰ANOVA!$K$19*04_回帰ANOVA!$K$14*SQRT(1+R2018)</f>
        <v>1.13164216995877</v>
      </c>
      <c r="T2018" s="0" t="n">
        <f aca="false">Q2018-S2018</f>
        <v>45.9240822618594</v>
      </c>
      <c r="U2018" s="0" t="n">
        <f aca="false">Q2018+S2018</f>
        <v>48.187366601777</v>
      </c>
      <c r="V2018" s="54" t="b">
        <f aca="false">AND(D2018&gt;=01_因子設定!$L$5-0.000000001,D2018&lt;=01_因子設定!$M$5+0.000000001,E2018&gt;=01_因子設定!$L$6-0.000000001,E2018&lt;=01_因子設定!$M$6+0.000000001,F2018&gt;=01_因子設定!$L$7-0.000000001,F2018&lt;=01_因子設定!$M$7+0.000000001,IF(01_因子設定!$B$20="Box-Behnken",D2018^2+E2018^2+F2018^2&lt;=2+0.000000001,TRUE()))</f>
        <v>1</v>
      </c>
      <c r="W2018" s="55" t="n">
        <f aca="false">IF(V2018,IF(01_因子設定!$B$13="最大化",T2018-01_因子設定!$B$14,IF(01_因子設定!$B$13="最小化",01_因子設定!$B$15-U2018,MIN(T2018-01_因子設定!$B$14,01_因子設定!$B$15-U2018))),-1E+030)</f>
        <v>-2.57591773814058</v>
      </c>
      <c r="X2018" s="55" t="n">
        <f aca="false">IF(V2018,IF(01_因子設定!$B$13="最大化",Q2018,IF(01_因子設定!$B$13="最小化",-Q2018,-ABS(Q2018-01_因子設定!$B$16))),-1E+030)</f>
        <v>47.0557244318182</v>
      </c>
      <c r="Y2018" s="55" t="n">
        <f aca="false">W2018+ROW()*0.000000001</f>
        <v>-2.57591572014058</v>
      </c>
      <c r="Z2018" s="55" t="n">
        <f aca="false">X2018+ROW()*0.000000001</f>
        <v>47.0557264498182</v>
      </c>
    </row>
    <row r="2019" customFormat="false" ht="15" hidden="false" customHeight="false" outlineLevel="0" collapsed="false">
      <c r="A2019" s="0" t="n">
        <v>6</v>
      </c>
      <c r="B2019" s="0" t="n">
        <v>16</v>
      </c>
      <c r="C2019" s="0" t="n">
        <v>8</v>
      </c>
      <c r="D2019" s="0" t="n">
        <f aca="false">-1+A2019*0.125</f>
        <v>-0.25</v>
      </c>
      <c r="E2019" s="0" t="n">
        <f aca="false">-1+B2019*0.125</f>
        <v>1</v>
      </c>
      <c r="F2019" s="0" t="n">
        <f aca="false">-1+C2019*0.125</f>
        <v>0</v>
      </c>
      <c r="G2019" s="0" t="n">
        <f aca="false">1</f>
        <v>1</v>
      </c>
      <c r="H2019" s="0" t="n">
        <f aca="false">D2019</f>
        <v>-0.25</v>
      </c>
      <c r="I2019" s="0" t="n">
        <f aca="false">E2019</f>
        <v>1</v>
      </c>
      <c r="J2019" s="0" t="n">
        <f aca="false">F2019</f>
        <v>0</v>
      </c>
      <c r="K2019" s="0" t="n">
        <f aca="false">D2019*E2019</f>
        <v>-0.25</v>
      </c>
      <c r="L2019" s="0" t="n">
        <f aca="false">D2019*F2019</f>
        <v>-0</v>
      </c>
      <c r="M2019" s="0" t="n">
        <f aca="false">E2019*F2019</f>
        <v>0</v>
      </c>
      <c r="N2019" s="0" t="n">
        <f aca="false">D2019*D2019</f>
        <v>0.0625</v>
      </c>
      <c r="O2019" s="0" t="n">
        <f aca="false">E2019*E2019</f>
        <v>1</v>
      </c>
      <c r="P2019" s="0" t="n">
        <f aca="false">F2019*F2019</f>
        <v>0</v>
      </c>
      <c r="Q2019" s="0" t="n">
        <f aca="false">SUMPRODUCT(G2019:P2019,_XtX!$B$71:$K$71)</f>
        <v>47.3075568181818</v>
      </c>
      <c r="R2019" s="0" t="n">
        <f aca="false">SUMPRODUCT(MMULT(G2019:P2019,_XtX!$B$58:$K$67),G2019:P2019)</f>
        <v>0.483664772727273</v>
      </c>
      <c r="S2019" s="0" t="n">
        <f aca="false">04_回帰ANOVA!$K$19*04_回帰ANOVA!$K$14*SQRT(1+R2019)</f>
        <v>1.13249039846694</v>
      </c>
      <c r="T2019" s="0" t="n">
        <f aca="false">Q2019-S2019</f>
        <v>46.1750664197149</v>
      </c>
      <c r="U2019" s="0" t="n">
        <f aca="false">Q2019+S2019</f>
        <v>48.4400472166488</v>
      </c>
      <c r="V2019" s="54" t="b">
        <f aca="false">AND(D2019&gt;=01_因子設定!$L$5-0.000000001,D2019&lt;=01_因子設定!$M$5+0.000000001,E2019&gt;=01_因子設定!$L$6-0.000000001,E2019&lt;=01_因子設定!$M$6+0.000000001,F2019&gt;=01_因子設定!$L$7-0.000000001,F2019&lt;=01_因子設定!$M$7+0.000000001,IF(01_因子設定!$B$20="Box-Behnken",D2019^2+E2019^2+F2019^2&lt;=2+0.000000001,TRUE()))</f>
        <v>1</v>
      </c>
      <c r="W2019" s="55" t="n">
        <f aca="false">IF(V2019,IF(01_因子設定!$B$13="最大化",T2019-01_因子設定!$B$14,IF(01_因子設定!$B$13="最小化",01_因子設定!$B$15-U2019,MIN(T2019-01_因子設定!$B$14,01_因子設定!$B$15-U2019))),-1E+030)</f>
        <v>-2.32493358028511</v>
      </c>
      <c r="X2019" s="55" t="n">
        <f aca="false">IF(V2019,IF(01_因子設定!$B$13="最大化",Q2019,IF(01_因子設定!$B$13="最小化",-Q2019,-ABS(Q2019-01_因子設定!$B$16))),-1E+030)</f>
        <v>47.3075568181818</v>
      </c>
      <c r="Y2019" s="55" t="n">
        <f aca="false">W2019+ROW()*0.000000001</f>
        <v>-2.32493156128511</v>
      </c>
      <c r="Z2019" s="55" t="n">
        <f aca="false">X2019+ROW()*0.000000001</f>
        <v>47.3075588371818</v>
      </c>
    </row>
    <row r="2020" customFormat="false" ht="15" hidden="false" customHeight="false" outlineLevel="0" collapsed="false">
      <c r="A2020" s="0" t="n">
        <v>6</v>
      </c>
      <c r="B2020" s="0" t="n">
        <v>16</v>
      </c>
      <c r="C2020" s="0" t="n">
        <v>9</v>
      </c>
      <c r="D2020" s="0" t="n">
        <f aca="false">-1+A2020*0.125</f>
        <v>-0.25</v>
      </c>
      <c r="E2020" s="0" t="n">
        <f aca="false">-1+B2020*0.125</f>
        <v>1</v>
      </c>
      <c r="F2020" s="0" t="n">
        <f aca="false">-1+C2020*0.125</f>
        <v>0.125</v>
      </c>
      <c r="G2020" s="0" t="n">
        <f aca="false">1</f>
        <v>1</v>
      </c>
      <c r="H2020" s="0" t="n">
        <f aca="false">D2020</f>
        <v>-0.25</v>
      </c>
      <c r="I2020" s="0" t="n">
        <f aca="false">E2020</f>
        <v>1</v>
      </c>
      <c r="J2020" s="0" t="n">
        <f aca="false">F2020</f>
        <v>0.125</v>
      </c>
      <c r="K2020" s="0" t="n">
        <f aca="false">D2020*E2020</f>
        <v>-0.25</v>
      </c>
      <c r="L2020" s="0" t="n">
        <f aca="false">D2020*F2020</f>
        <v>-0.03125</v>
      </c>
      <c r="M2020" s="0" t="n">
        <f aca="false">E2020*F2020</f>
        <v>0.125</v>
      </c>
      <c r="N2020" s="0" t="n">
        <f aca="false">D2020*D2020</f>
        <v>0.0625</v>
      </c>
      <c r="O2020" s="0" t="n">
        <f aca="false">E2020*E2020</f>
        <v>1</v>
      </c>
      <c r="P2020" s="0" t="n">
        <f aca="false">F2020*F2020</f>
        <v>0.015625</v>
      </c>
      <c r="Q2020" s="0" t="n">
        <f aca="false">SUMPRODUCT(G2020:P2020,_XtX!$B$71:$K$71)</f>
        <v>47.5225994318182</v>
      </c>
      <c r="R2020" s="0" t="n">
        <f aca="false">SUMPRODUCT(MMULT(G2020:P2020,_XtX!$B$58:$K$67),G2020:P2020)</f>
        <v>0.481443093039773</v>
      </c>
      <c r="S2020" s="0" t="n">
        <f aca="false">04_回帰ANOVA!$K$19*04_回帰ANOVA!$K$14*SQRT(1+R2020)</f>
        <v>1.13164216995877</v>
      </c>
      <c r="T2020" s="0" t="n">
        <f aca="false">Q2020-S2020</f>
        <v>46.3909572618594</v>
      </c>
      <c r="U2020" s="0" t="n">
        <f aca="false">Q2020+S2020</f>
        <v>48.654241601777</v>
      </c>
      <c r="V2020" s="54" t="b">
        <f aca="false">AND(D2020&gt;=01_因子設定!$L$5-0.000000001,D2020&lt;=01_因子設定!$M$5+0.000000001,E2020&gt;=01_因子設定!$L$6-0.000000001,E2020&lt;=01_因子設定!$M$6+0.000000001,F2020&gt;=01_因子設定!$L$7-0.000000001,F2020&lt;=01_因子設定!$M$7+0.000000001,IF(01_因子設定!$B$20="Box-Behnken",D2020^2+E2020^2+F2020^2&lt;=2+0.000000001,TRUE()))</f>
        <v>1</v>
      </c>
      <c r="W2020" s="55" t="n">
        <f aca="false">IF(V2020,IF(01_因子設定!$B$13="最大化",T2020-01_因子設定!$B$14,IF(01_因子設定!$B$13="最小化",01_因子設定!$B$15-U2020,MIN(T2020-01_因子設定!$B$14,01_因子設定!$B$15-U2020))),-1E+030)</f>
        <v>-2.10904273814057</v>
      </c>
      <c r="X2020" s="55" t="n">
        <f aca="false">IF(V2020,IF(01_因子設定!$B$13="最大化",Q2020,IF(01_因子設定!$B$13="最小化",-Q2020,-ABS(Q2020-01_因子設定!$B$16))),-1E+030)</f>
        <v>47.5225994318182</v>
      </c>
      <c r="Y2020" s="55" t="n">
        <f aca="false">W2020+ROW()*0.000000001</f>
        <v>-2.10904071814057</v>
      </c>
      <c r="Z2020" s="55" t="n">
        <f aca="false">X2020+ROW()*0.000000001</f>
        <v>47.5226014518182</v>
      </c>
    </row>
    <row r="2021" customFormat="false" ht="15" hidden="false" customHeight="false" outlineLevel="0" collapsed="false">
      <c r="A2021" s="0" t="n">
        <v>6</v>
      </c>
      <c r="B2021" s="0" t="n">
        <v>16</v>
      </c>
      <c r="C2021" s="0" t="n">
        <v>10</v>
      </c>
      <c r="D2021" s="0" t="n">
        <f aca="false">-1+A2021*0.125</f>
        <v>-0.25</v>
      </c>
      <c r="E2021" s="0" t="n">
        <f aca="false">-1+B2021*0.125</f>
        <v>1</v>
      </c>
      <c r="F2021" s="0" t="n">
        <f aca="false">-1+C2021*0.125</f>
        <v>0.25</v>
      </c>
      <c r="G2021" s="0" t="n">
        <f aca="false">1</f>
        <v>1</v>
      </c>
      <c r="H2021" s="0" t="n">
        <f aca="false">D2021</f>
        <v>-0.25</v>
      </c>
      <c r="I2021" s="0" t="n">
        <f aca="false">E2021</f>
        <v>1</v>
      </c>
      <c r="J2021" s="0" t="n">
        <f aca="false">F2021</f>
        <v>0.25</v>
      </c>
      <c r="K2021" s="0" t="n">
        <f aca="false">D2021*E2021</f>
        <v>-0.25</v>
      </c>
      <c r="L2021" s="0" t="n">
        <f aca="false">D2021*F2021</f>
        <v>-0.0625</v>
      </c>
      <c r="M2021" s="0" t="n">
        <f aca="false">E2021*F2021</f>
        <v>0.25</v>
      </c>
      <c r="N2021" s="0" t="n">
        <f aca="false">D2021*D2021</f>
        <v>0.0625</v>
      </c>
      <c r="O2021" s="0" t="n">
        <f aca="false">E2021*E2021</f>
        <v>1</v>
      </c>
      <c r="P2021" s="0" t="n">
        <f aca="false">F2021*F2021</f>
        <v>0.0625</v>
      </c>
      <c r="Q2021" s="0" t="n">
        <f aca="false">SUMPRODUCT(G2021:P2021,_XtX!$B$71:$K$71)</f>
        <v>47.7008522727273</v>
      </c>
      <c r="R2021" s="0" t="n">
        <f aca="false">SUMPRODUCT(MMULT(G2021:P2021,_XtX!$B$58:$K$67),G2021:P2021)</f>
        <v>0.475843394886364</v>
      </c>
      <c r="S2021" s="0" t="n">
        <f aca="false">04_回帰ANOVA!$K$19*04_回帰ANOVA!$K$14*SQRT(1+R2021)</f>
        <v>1.12950140123694</v>
      </c>
      <c r="T2021" s="0" t="n">
        <f aca="false">Q2021-S2021</f>
        <v>46.5713508714903</v>
      </c>
      <c r="U2021" s="0" t="n">
        <f aca="false">Q2021+S2021</f>
        <v>48.8303536739642</v>
      </c>
      <c r="V2021" s="54" t="b">
        <f aca="false">AND(D2021&gt;=01_因子設定!$L$5-0.000000001,D2021&lt;=01_因子設定!$M$5+0.000000001,E2021&gt;=01_因子設定!$L$6-0.000000001,E2021&lt;=01_因子設定!$M$6+0.000000001,F2021&gt;=01_因子設定!$L$7-0.000000001,F2021&lt;=01_因子設定!$M$7+0.000000001,IF(01_因子設定!$B$20="Box-Behnken",D2021^2+E2021^2+F2021^2&lt;=2+0.000000001,TRUE()))</f>
        <v>1</v>
      </c>
      <c r="W2021" s="55" t="n">
        <f aca="false">IF(V2021,IF(01_因子設定!$B$13="最大化",T2021-01_因子設定!$B$14,IF(01_因子設定!$B$13="最小化",01_因子設定!$B$15-U2021,MIN(T2021-01_因子設定!$B$14,01_因子設定!$B$15-U2021))),-1E+030)</f>
        <v>-1.92864912850965</v>
      </c>
      <c r="X2021" s="55" t="n">
        <f aca="false">IF(V2021,IF(01_因子設定!$B$13="最大化",Q2021,IF(01_因子設定!$B$13="最小化",-Q2021,-ABS(Q2021-01_因子設定!$B$16))),-1E+030)</f>
        <v>47.7008522727273</v>
      </c>
      <c r="Y2021" s="55" t="n">
        <f aca="false">W2021+ROW()*0.000000001</f>
        <v>-1.92864710750965</v>
      </c>
      <c r="Z2021" s="55" t="n">
        <f aca="false">X2021+ROW()*0.000000001</f>
        <v>47.7008542937273</v>
      </c>
    </row>
    <row r="2022" customFormat="false" ht="15" hidden="false" customHeight="false" outlineLevel="0" collapsed="false">
      <c r="A2022" s="0" t="n">
        <v>6</v>
      </c>
      <c r="B2022" s="0" t="n">
        <v>16</v>
      </c>
      <c r="C2022" s="0" t="n">
        <v>11</v>
      </c>
      <c r="D2022" s="0" t="n">
        <f aca="false">-1+A2022*0.125</f>
        <v>-0.25</v>
      </c>
      <c r="E2022" s="0" t="n">
        <f aca="false">-1+B2022*0.125</f>
        <v>1</v>
      </c>
      <c r="F2022" s="0" t="n">
        <f aca="false">-1+C2022*0.125</f>
        <v>0.375</v>
      </c>
      <c r="G2022" s="0" t="n">
        <f aca="false">1</f>
        <v>1</v>
      </c>
      <c r="H2022" s="0" t="n">
        <f aca="false">D2022</f>
        <v>-0.25</v>
      </c>
      <c r="I2022" s="0" t="n">
        <f aca="false">E2022</f>
        <v>1</v>
      </c>
      <c r="J2022" s="0" t="n">
        <f aca="false">F2022</f>
        <v>0.375</v>
      </c>
      <c r="K2022" s="0" t="n">
        <f aca="false">D2022*E2022</f>
        <v>-0.25</v>
      </c>
      <c r="L2022" s="0" t="n">
        <f aca="false">D2022*F2022</f>
        <v>-0.09375</v>
      </c>
      <c r="M2022" s="0" t="n">
        <f aca="false">E2022*F2022</f>
        <v>0.375</v>
      </c>
      <c r="N2022" s="0" t="n">
        <f aca="false">D2022*D2022</f>
        <v>0.0625</v>
      </c>
      <c r="O2022" s="0" t="n">
        <f aca="false">E2022*E2022</f>
        <v>1</v>
      </c>
      <c r="P2022" s="0" t="n">
        <f aca="false">F2022*F2022</f>
        <v>0.140625</v>
      </c>
      <c r="Q2022" s="0" t="n">
        <f aca="false">SUMPRODUCT(G2022:P2022,_XtX!$B$71:$K$71)</f>
        <v>47.8423153409091</v>
      </c>
      <c r="R2022" s="0" t="n">
        <f aca="false">SUMPRODUCT(MMULT(G2022:P2022,_XtX!$B$58:$K$67),G2022:P2022)</f>
        <v>0.470061700994318</v>
      </c>
      <c r="S2022" s="0" t="n">
        <f aca="false">04_回帰ANOVA!$K$19*04_回帰ANOVA!$K$14*SQRT(1+R2022)</f>
        <v>1.12728678965931</v>
      </c>
      <c r="T2022" s="0" t="n">
        <f aca="false">Q2022-S2022</f>
        <v>46.7150285512498</v>
      </c>
      <c r="U2022" s="0" t="n">
        <f aca="false">Q2022+S2022</f>
        <v>48.9696021305684</v>
      </c>
      <c r="V2022" s="54" t="b">
        <f aca="false">AND(D2022&gt;=01_因子設定!$L$5-0.000000001,D2022&lt;=01_因子設定!$M$5+0.000000001,E2022&gt;=01_因子設定!$L$6-0.000000001,E2022&lt;=01_因子設定!$M$6+0.000000001,F2022&gt;=01_因子設定!$L$7-0.000000001,F2022&lt;=01_因子設定!$M$7+0.000000001,IF(01_因子設定!$B$20="Box-Behnken",D2022^2+E2022^2+F2022^2&lt;=2+0.000000001,TRUE()))</f>
        <v>1</v>
      </c>
      <c r="W2022" s="55" t="n">
        <f aca="false">IF(V2022,IF(01_因子設定!$B$13="最大化",T2022-01_因子設定!$B$14,IF(01_因子設定!$B$13="最小化",01_因子設定!$B$15-U2022,MIN(T2022-01_因子設定!$B$14,01_因子設定!$B$15-U2022))),-1E+030)</f>
        <v>-1.78497144875021</v>
      </c>
      <c r="X2022" s="55" t="n">
        <f aca="false">IF(V2022,IF(01_因子設定!$B$13="最大化",Q2022,IF(01_因子設定!$B$13="最小化",-Q2022,-ABS(Q2022-01_因子設定!$B$16))),-1E+030)</f>
        <v>47.8423153409091</v>
      </c>
      <c r="Y2022" s="55" t="n">
        <f aca="false">W2022+ROW()*0.000000001</f>
        <v>-1.78496942675021</v>
      </c>
      <c r="Z2022" s="55" t="n">
        <f aca="false">X2022+ROW()*0.000000001</f>
        <v>47.8423173629091</v>
      </c>
    </row>
    <row r="2023" customFormat="false" ht="15" hidden="false" customHeight="false" outlineLevel="0" collapsed="false">
      <c r="A2023" s="0" t="n">
        <v>6</v>
      </c>
      <c r="B2023" s="0" t="n">
        <v>16</v>
      </c>
      <c r="C2023" s="0" t="n">
        <v>12</v>
      </c>
      <c r="D2023" s="0" t="n">
        <f aca="false">-1+A2023*0.125</f>
        <v>-0.25</v>
      </c>
      <c r="E2023" s="0" t="n">
        <f aca="false">-1+B2023*0.125</f>
        <v>1</v>
      </c>
      <c r="F2023" s="0" t="n">
        <f aca="false">-1+C2023*0.125</f>
        <v>0.5</v>
      </c>
      <c r="G2023" s="0" t="n">
        <f aca="false">1</f>
        <v>1</v>
      </c>
      <c r="H2023" s="0" t="n">
        <f aca="false">D2023</f>
        <v>-0.25</v>
      </c>
      <c r="I2023" s="0" t="n">
        <f aca="false">E2023</f>
        <v>1</v>
      </c>
      <c r="J2023" s="0" t="n">
        <f aca="false">F2023</f>
        <v>0.5</v>
      </c>
      <c r="K2023" s="0" t="n">
        <f aca="false">D2023*E2023</f>
        <v>-0.25</v>
      </c>
      <c r="L2023" s="0" t="n">
        <f aca="false">D2023*F2023</f>
        <v>-0.125</v>
      </c>
      <c r="M2023" s="0" t="n">
        <f aca="false">E2023*F2023</f>
        <v>0.5</v>
      </c>
      <c r="N2023" s="0" t="n">
        <f aca="false">D2023*D2023</f>
        <v>0.0625</v>
      </c>
      <c r="O2023" s="0" t="n">
        <f aca="false">E2023*E2023</f>
        <v>1</v>
      </c>
      <c r="P2023" s="0" t="n">
        <f aca="false">F2023*F2023</f>
        <v>0.25</v>
      </c>
      <c r="Q2023" s="0" t="n">
        <f aca="false">SUMPRODUCT(G2023:P2023,_XtX!$B$71:$K$71)</f>
        <v>47.9469886363637</v>
      </c>
      <c r="R2023" s="0" t="n">
        <f aca="false">SUMPRODUCT(MMULT(G2023:P2023,_XtX!$B$58:$K$67),G2023:P2023)</f>
        <v>0.469424715909091</v>
      </c>
      <c r="S2023" s="0" t="n">
        <f aca="false">04_回帰ANOVA!$K$19*04_回帰ANOVA!$K$14*SQRT(1+R2023)</f>
        <v>1.12704253369596</v>
      </c>
      <c r="T2023" s="0" t="n">
        <f aca="false">Q2023-S2023</f>
        <v>46.8199461026677</v>
      </c>
      <c r="U2023" s="0" t="n">
        <f aca="false">Q2023+S2023</f>
        <v>49.0740311700596</v>
      </c>
      <c r="V2023" s="54" t="b">
        <f aca="false">AND(D2023&gt;=01_因子設定!$L$5-0.000000001,D2023&lt;=01_因子設定!$M$5+0.000000001,E2023&gt;=01_因子設定!$L$6-0.000000001,E2023&lt;=01_因子設定!$M$6+0.000000001,F2023&gt;=01_因子設定!$L$7-0.000000001,F2023&lt;=01_因子設定!$M$7+0.000000001,IF(01_因子設定!$B$20="Box-Behnken",D2023^2+E2023^2+F2023^2&lt;=2+0.000000001,TRUE()))</f>
        <v>1</v>
      </c>
      <c r="W2023" s="55" t="n">
        <f aca="false">IF(V2023,IF(01_因子設定!$B$13="最大化",T2023-01_因子設定!$B$14,IF(01_因子設定!$B$13="最小化",01_因子設定!$B$15-U2023,MIN(T2023-01_因子設定!$B$14,01_因子設定!$B$15-U2023))),-1E+030)</f>
        <v>-1.68005389733231</v>
      </c>
      <c r="X2023" s="55" t="n">
        <f aca="false">IF(V2023,IF(01_因子設定!$B$13="最大化",Q2023,IF(01_因子設定!$B$13="最小化",-Q2023,-ABS(Q2023-01_因子設定!$B$16))),-1E+030)</f>
        <v>47.9469886363637</v>
      </c>
      <c r="Y2023" s="55" t="n">
        <f aca="false">W2023+ROW()*0.000000001</f>
        <v>-1.68005187433231</v>
      </c>
      <c r="Z2023" s="55" t="n">
        <f aca="false">X2023+ROW()*0.000000001</f>
        <v>47.9469906593637</v>
      </c>
    </row>
    <row r="2024" customFormat="false" ht="15" hidden="false" customHeight="false" outlineLevel="0" collapsed="false">
      <c r="A2024" s="0" t="n">
        <v>6</v>
      </c>
      <c r="B2024" s="0" t="n">
        <v>16</v>
      </c>
      <c r="C2024" s="0" t="n">
        <v>13</v>
      </c>
      <c r="D2024" s="0" t="n">
        <f aca="false">-1+A2024*0.125</f>
        <v>-0.25</v>
      </c>
      <c r="E2024" s="0" t="n">
        <f aca="false">-1+B2024*0.125</f>
        <v>1</v>
      </c>
      <c r="F2024" s="0" t="n">
        <f aca="false">-1+C2024*0.125</f>
        <v>0.625</v>
      </c>
      <c r="G2024" s="0" t="n">
        <f aca="false">1</f>
        <v>1</v>
      </c>
      <c r="H2024" s="0" t="n">
        <f aca="false">D2024</f>
        <v>-0.25</v>
      </c>
      <c r="I2024" s="0" t="n">
        <f aca="false">E2024</f>
        <v>1</v>
      </c>
      <c r="J2024" s="0" t="n">
        <f aca="false">F2024</f>
        <v>0.625</v>
      </c>
      <c r="K2024" s="0" t="n">
        <f aca="false">D2024*E2024</f>
        <v>-0.25</v>
      </c>
      <c r="L2024" s="0" t="n">
        <f aca="false">D2024*F2024</f>
        <v>-0.15625</v>
      </c>
      <c r="M2024" s="0" t="n">
        <f aca="false">E2024*F2024</f>
        <v>0.625</v>
      </c>
      <c r="N2024" s="0" t="n">
        <f aca="false">D2024*D2024</f>
        <v>0.0625</v>
      </c>
      <c r="O2024" s="0" t="n">
        <f aca="false">E2024*E2024</f>
        <v>1</v>
      </c>
      <c r="P2024" s="0" t="n">
        <f aca="false">F2024*F2024</f>
        <v>0.390625</v>
      </c>
      <c r="Q2024" s="0" t="n">
        <f aca="false">SUMPRODUCT(G2024:P2024,_XtX!$B$71:$K$71)</f>
        <v>48.0148721590909</v>
      </c>
      <c r="R2024" s="0" t="n">
        <f aca="false">SUMPRODUCT(MMULT(G2024:P2024,_XtX!$B$58:$K$67),G2024:P2024)</f>
        <v>0.481389825994318</v>
      </c>
      <c r="S2024" s="0" t="n">
        <f aca="false">04_回帰ANOVA!$K$19*04_回帰ANOVA!$K$14*SQRT(1+R2024)</f>
        <v>1.13162182500693</v>
      </c>
      <c r="T2024" s="0" t="n">
        <f aca="false">Q2024-S2024</f>
        <v>46.883250334084</v>
      </c>
      <c r="U2024" s="0" t="n">
        <f aca="false">Q2024+S2024</f>
        <v>49.1464939840979</v>
      </c>
      <c r="V2024" s="54" t="b">
        <f aca="false">AND(D2024&gt;=01_因子設定!$L$5-0.000000001,D2024&lt;=01_因子設定!$M$5+0.000000001,E2024&gt;=01_因子設定!$L$6-0.000000001,E2024&lt;=01_因子設定!$M$6+0.000000001,F2024&gt;=01_因子設定!$L$7-0.000000001,F2024&lt;=01_因子設定!$M$7+0.000000001,IF(01_因子設定!$B$20="Box-Behnken",D2024^2+E2024^2+F2024^2&lt;=2+0.000000001,TRUE()))</f>
        <v>1</v>
      </c>
      <c r="W2024" s="55" t="n">
        <f aca="false">IF(V2024,IF(01_因子設定!$B$13="最大化",T2024-01_因子設定!$B$14,IF(01_因子設定!$B$13="最小化",01_因子設定!$B$15-U2024,MIN(T2024-01_因子設定!$B$14,01_因子設定!$B$15-U2024))),-1E+030)</f>
        <v>-1.616749665916</v>
      </c>
      <c r="X2024" s="55" t="n">
        <f aca="false">IF(V2024,IF(01_因子設定!$B$13="最大化",Q2024,IF(01_因子設定!$B$13="最小化",-Q2024,-ABS(Q2024-01_因子設定!$B$16))),-1E+030)</f>
        <v>48.0148721590909</v>
      </c>
      <c r="Y2024" s="55" t="n">
        <f aca="false">W2024+ROW()*0.000000001</f>
        <v>-1.616747641916</v>
      </c>
      <c r="Z2024" s="55" t="n">
        <f aca="false">X2024+ROW()*0.000000001</f>
        <v>48.0148741830909</v>
      </c>
    </row>
    <row r="2025" customFormat="false" ht="15" hidden="false" customHeight="false" outlineLevel="0" collapsed="false">
      <c r="A2025" s="0" t="n">
        <v>6</v>
      </c>
      <c r="B2025" s="0" t="n">
        <v>16</v>
      </c>
      <c r="C2025" s="0" t="n">
        <v>14</v>
      </c>
      <c r="D2025" s="0" t="n">
        <f aca="false">-1+A2025*0.125</f>
        <v>-0.25</v>
      </c>
      <c r="E2025" s="0" t="n">
        <f aca="false">-1+B2025*0.125</f>
        <v>1</v>
      </c>
      <c r="F2025" s="0" t="n">
        <f aca="false">-1+C2025*0.125</f>
        <v>0.75</v>
      </c>
      <c r="G2025" s="0" t="n">
        <f aca="false">1</f>
        <v>1</v>
      </c>
      <c r="H2025" s="0" t="n">
        <f aca="false">D2025</f>
        <v>-0.25</v>
      </c>
      <c r="I2025" s="0" t="n">
        <f aca="false">E2025</f>
        <v>1</v>
      </c>
      <c r="J2025" s="0" t="n">
        <f aca="false">F2025</f>
        <v>0.75</v>
      </c>
      <c r="K2025" s="0" t="n">
        <f aca="false">D2025*E2025</f>
        <v>-0.25</v>
      </c>
      <c r="L2025" s="0" t="n">
        <f aca="false">D2025*F2025</f>
        <v>-0.1875</v>
      </c>
      <c r="M2025" s="0" t="n">
        <f aca="false">E2025*F2025</f>
        <v>0.75</v>
      </c>
      <c r="N2025" s="0" t="n">
        <f aca="false">D2025*D2025</f>
        <v>0.0625</v>
      </c>
      <c r="O2025" s="0" t="n">
        <f aca="false">E2025*E2025</f>
        <v>1</v>
      </c>
      <c r="P2025" s="0" t="n">
        <f aca="false">F2025*F2025</f>
        <v>0.5625</v>
      </c>
      <c r="Q2025" s="0" t="n">
        <f aca="false">SUMPRODUCT(G2025:P2025,_XtX!$B$71:$K$71)</f>
        <v>48.0459659090909</v>
      </c>
      <c r="R2025" s="0" t="n">
        <f aca="false">SUMPRODUCT(MMULT(G2025:P2025,_XtX!$B$58:$K$67),G2025:P2025)</f>
        <v>0.515545099431818</v>
      </c>
      <c r="S2025" s="0" t="n">
        <f aca="false">04_回帰ANOVA!$K$19*04_回帰ANOVA!$K$14*SQRT(1+R2025)</f>
        <v>1.14459295464101</v>
      </c>
      <c r="T2025" s="0" t="n">
        <f aca="false">Q2025-S2025</f>
        <v>46.9013729544499</v>
      </c>
      <c r="U2025" s="0" t="n">
        <f aca="false">Q2025+S2025</f>
        <v>49.1905588637319</v>
      </c>
      <c r="V2025" s="54" t="b">
        <f aca="false">AND(D2025&gt;=01_因子設定!$L$5-0.000000001,D2025&lt;=01_因子設定!$M$5+0.000000001,E2025&gt;=01_因子設定!$L$6-0.000000001,E2025&lt;=01_因子設定!$M$6+0.000000001,F2025&gt;=01_因子設定!$L$7-0.000000001,F2025&lt;=01_因子設定!$M$7+0.000000001,IF(01_因子設定!$B$20="Box-Behnken",D2025^2+E2025^2+F2025^2&lt;=2+0.000000001,TRUE()))</f>
        <v>1</v>
      </c>
      <c r="W2025" s="55" t="n">
        <f aca="false">IF(V2025,IF(01_因子設定!$B$13="最大化",T2025-01_因子設定!$B$14,IF(01_因子設定!$B$13="最小化",01_因子設定!$B$15-U2025,MIN(T2025-01_因子設定!$B$14,01_因子設定!$B$15-U2025))),-1E+030)</f>
        <v>-1.59862704555008</v>
      </c>
      <c r="X2025" s="55" t="n">
        <f aca="false">IF(V2025,IF(01_因子設定!$B$13="最大化",Q2025,IF(01_因子設定!$B$13="最小化",-Q2025,-ABS(Q2025-01_因子設定!$B$16))),-1E+030)</f>
        <v>48.0459659090909</v>
      </c>
      <c r="Y2025" s="55" t="n">
        <f aca="false">W2025+ROW()*0.000000001</f>
        <v>-1.59862502055008</v>
      </c>
      <c r="Z2025" s="55" t="n">
        <f aca="false">X2025+ROW()*0.000000001</f>
        <v>48.0459679340909</v>
      </c>
    </row>
    <row r="2026" customFormat="false" ht="15" hidden="false" customHeight="false" outlineLevel="0" collapsed="false">
      <c r="A2026" s="0" t="n">
        <v>6</v>
      </c>
      <c r="B2026" s="0" t="n">
        <v>16</v>
      </c>
      <c r="C2026" s="0" t="n">
        <v>15</v>
      </c>
      <c r="D2026" s="0" t="n">
        <f aca="false">-1+A2026*0.125</f>
        <v>-0.25</v>
      </c>
      <c r="E2026" s="0" t="n">
        <f aca="false">-1+B2026*0.125</f>
        <v>1</v>
      </c>
      <c r="F2026" s="0" t="n">
        <f aca="false">-1+C2026*0.125</f>
        <v>0.875</v>
      </c>
      <c r="G2026" s="0" t="n">
        <f aca="false">1</f>
        <v>1</v>
      </c>
      <c r="H2026" s="0" t="n">
        <f aca="false">D2026</f>
        <v>-0.25</v>
      </c>
      <c r="I2026" s="0" t="n">
        <f aca="false">E2026</f>
        <v>1</v>
      </c>
      <c r="J2026" s="0" t="n">
        <f aca="false">F2026</f>
        <v>0.875</v>
      </c>
      <c r="K2026" s="0" t="n">
        <f aca="false">D2026*E2026</f>
        <v>-0.25</v>
      </c>
      <c r="L2026" s="0" t="n">
        <f aca="false">D2026*F2026</f>
        <v>-0.21875</v>
      </c>
      <c r="M2026" s="0" t="n">
        <f aca="false">E2026*F2026</f>
        <v>0.875</v>
      </c>
      <c r="N2026" s="0" t="n">
        <f aca="false">D2026*D2026</f>
        <v>0.0625</v>
      </c>
      <c r="O2026" s="0" t="n">
        <f aca="false">E2026*E2026</f>
        <v>1</v>
      </c>
      <c r="P2026" s="0" t="n">
        <f aca="false">F2026*F2026</f>
        <v>0.765625</v>
      </c>
      <c r="Q2026" s="0" t="n">
        <f aca="false">SUMPRODUCT(G2026:P2026,_XtX!$B$71:$K$71)</f>
        <v>48.0402698863637</v>
      </c>
      <c r="R2026" s="0" t="n">
        <f aca="false">SUMPRODUCT(MMULT(G2026:P2026,_XtX!$B$58:$K$67),G2026:P2026)</f>
        <v>0.583609286221591</v>
      </c>
      <c r="S2026" s="0" t="n">
        <f aca="false">04_回帰ANOVA!$K$19*04_回帰ANOVA!$K$14*SQRT(1+R2026)</f>
        <v>1.1700129157584</v>
      </c>
      <c r="T2026" s="0" t="n">
        <f aca="false">Q2026-S2026</f>
        <v>46.8702569706053</v>
      </c>
      <c r="U2026" s="0" t="n">
        <f aca="false">Q2026+S2026</f>
        <v>49.2102828021221</v>
      </c>
      <c r="V2026" s="54" t="b">
        <f aca="false">AND(D2026&gt;=01_因子設定!$L$5-0.000000001,D2026&lt;=01_因子設定!$M$5+0.000000001,E2026&gt;=01_因子設定!$L$6-0.000000001,E2026&lt;=01_因子設定!$M$6+0.000000001,F2026&gt;=01_因子設定!$L$7-0.000000001,F2026&lt;=01_因子設定!$M$7+0.000000001,IF(01_因子設定!$B$20="Box-Behnken",D2026^2+E2026^2+F2026^2&lt;=2+0.000000001,TRUE()))</f>
        <v>1</v>
      </c>
      <c r="W2026" s="55" t="n">
        <f aca="false">IF(V2026,IF(01_因子設定!$B$13="最大化",T2026-01_因子設定!$B$14,IF(01_因子設定!$B$13="最小化",01_因子設定!$B$15-U2026,MIN(T2026-01_因子設定!$B$14,01_因子設定!$B$15-U2026))),-1E+030)</f>
        <v>-1.62974302939473</v>
      </c>
      <c r="X2026" s="55" t="n">
        <f aca="false">IF(V2026,IF(01_因子設定!$B$13="最大化",Q2026,IF(01_因子設定!$B$13="最小化",-Q2026,-ABS(Q2026-01_因子設定!$B$16))),-1E+030)</f>
        <v>48.0402698863637</v>
      </c>
      <c r="Y2026" s="55" t="n">
        <f aca="false">W2026+ROW()*0.000000001</f>
        <v>-1.62974100339473</v>
      </c>
      <c r="Z2026" s="55" t="n">
        <f aca="false">X2026+ROW()*0.000000001</f>
        <v>48.0402719123637</v>
      </c>
    </row>
    <row r="2027" customFormat="false" ht="15" hidden="false" customHeight="false" outlineLevel="0" collapsed="false">
      <c r="A2027" s="0" t="n">
        <v>6</v>
      </c>
      <c r="B2027" s="0" t="n">
        <v>16</v>
      </c>
      <c r="C2027" s="0" t="n">
        <v>16</v>
      </c>
      <c r="D2027" s="0" t="n">
        <f aca="false">-1+A2027*0.125</f>
        <v>-0.25</v>
      </c>
      <c r="E2027" s="0" t="n">
        <f aca="false">-1+B2027*0.125</f>
        <v>1</v>
      </c>
      <c r="F2027" s="0" t="n">
        <f aca="false">-1+C2027*0.125</f>
        <v>1</v>
      </c>
      <c r="G2027" s="0" t="n">
        <f aca="false">1</f>
        <v>1</v>
      </c>
      <c r="H2027" s="0" t="n">
        <f aca="false">D2027</f>
        <v>-0.25</v>
      </c>
      <c r="I2027" s="0" t="n">
        <f aca="false">E2027</f>
        <v>1</v>
      </c>
      <c r="J2027" s="0" t="n">
        <f aca="false">F2027</f>
        <v>1</v>
      </c>
      <c r="K2027" s="0" t="n">
        <f aca="false">D2027*E2027</f>
        <v>-0.25</v>
      </c>
      <c r="L2027" s="0" t="n">
        <f aca="false">D2027*F2027</f>
        <v>-0.25</v>
      </c>
      <c r="M2027" s="0" t="n">
        <f aca="false">E2027*F2027</f>
        <v>1</v>
      </c>
      <c r="N2027" s="0" t="n">
        <f aca="false">D2027*D2027</f>
        <v>0.0625</v>
      </c>
      <c r="O2027" s="0" t="n">
        <f aca="false">E2027*E2027</f>
        <v>1</v>
      </c>
      <c r="P2027" s="0" t="n">
        <f aca="false">F2027*F2027</f>
        <v>1</v>
      </c>
      <c r="Q2027" s="0" t="n">
        <f aca="false">SUMPRODUCT(G2027:P2027,_XtX!$B$71:$K$71)</f>
        <v>47.9977840909091</v>
      </c>
      <c r="R2027" s="0" t="n">
        <f aca="false">SUMPRODUCT(MMULT(G2027:P2027,_XtX!$B$58:$K$67),G2027:P2027)</f>
        <v>0.699431818181818</v>
      </c>
      <c r="S2027" s="0" t="n">
        <f aca="false">04_回帰ANOVA!$K$19*04_回帰ANOVA!$K$14*SQRT(1+R2027)</f>
        <v>1.21204434231192</v>
      </c>
      <c r="T2027" s="0" t="n">
        <f aca="false">Q2027-S2027</f>
        <v>46.7857397485972</v>
      </c>
      <c r="U2027" s="0" t="n">
        <f aca="false">Q2027+S2027</f>
        <v>49.209828433221</v>
      </c>
      <c r="V2027" s="54" t="b">
        <f aca="false">AND(D2027&gt;=01_因子設定!$L$5-0.000000001,D2027&lt;=01_因子設定!$M$5+0.000000001,E2027&gt;=01_因子設定!$L$6-0.000000001,E2027&lt;=01_因子設定!$M$6+0.000000001,F2027&gt;=01_因子設定!$L$7-0.000000001,F2027&lt;=01_因子設定!$M$7+0.000000001,IF(01_因子設定!$B$20="Box-Behnken",D2027^2+E2027^2+F2027^2&lt;=2+0.000000001,TRUE()))</f>
        <v>1</v>
      </c>
      <c r="W2027" s="55" t="n">
        <f aca="false">IF(V2027,IF(01_因子設定!$B$13="最大化",T2027-01_因子設定!$B$14,IF(01_因子設定!$B$13="最小化",01_因子設定!$B$15-U2027,MIN(T2027-01_因子設定!$B$14,01_因子設定!$B$15-U2027))),-1E+030)</f>
        <v>-1.7142602514028</v>
      </c>
      <c r="X2027" s="55" t="n">
        <f aca="false">IF(V2027,IF(01_因子設定!$B$13="最大化",Q2027,IF(01_因子設定!$B$13="最小化",-Q2027,-ABS(Q2027-01_因子設定!$B$16))),-1E+030)</f>
        <v>47.9977840909091</v>
      </c>
      <c r="Y2027" s="55" t="n">
        <f aca="false">W2027+ROW()*0.000000001</f>
        <v>-1.7142582244028</v>
      </c>
      <c r="Z2027" s="55" t="n">
        <f aca="false">X2027+ROW()*0.000000001</f>
        <v>47.9977861179091</v>
      </c>
    </row>
    <row r="2028" customFormat="false" ht="15" hidden="false" customHeight="false" outlineLevel="0" collapsed="false">
      <c r="A2028" s="0" t="n">
        <v>7</v>
      </c>
      <c r="B2028" s="0" t="n">
        <v>0</v>
      </c>
      <c r="C2028" s="0" t="n">
        <v>0</v>
      </c>
      <c r="D2028" s="0" t="n">
        <f aca="false">-1+A2028*0.125</f>
        <v>-0.125</v>
      </c>
      <c r="E2028" s="0" t="n">
        <f aca="false">-1+B2028*0.125</f>
        <v>-1</v>
      </c>
      <c r="F2028" s="0" t="n">
        <f aca="false">-1+C2028*0.125</f>
        <v>-1</v>
      </c>
      <c r="G2028" s="0" t="n">
        <f aca="false">1</f>
        <v>1</v>
      </c>
      <c r="H2028" s="0" t="n">
        <f aca="false">D2028</f>
        <v>-0.125</v>
      </c>
      <c r="I2028" s="0" t="n">
        <f aca="false">E2028</f>
        <v>-1</v>
      </c>
      <c r="J2028" s="0" t="n">
        <f aca="false">F2028</f>
        <v>-1</v>
      </c>
      <c r="K2028" s="0" t="n">
        <f aca="false">D2028*E2028</f>
        <v>0.125</v>
      </c>
      <c r="L2028" s="0" t="n">
        <f aca="false">D2028*F2028</f>
        <v>0.125</v>
      </c>
      <c r="M2028" s="0" t="n">
        <f aca="false">E2028*F2028</f>
        <v>1</v>
      </c>
      <c r="N2028" s="0" t="n">
        <f aca="false">D2028*D2028</f>
        <v>0.015625</v>
      </c>
      <c r="O2028" s="0" t="n">
        <f aca="false">E2028*E2028</f>
        <v>1</v>
      </c>
      <c r="P2028" s="0" t="n">
        <f aca="false">F2028*F2028</f>
        <v>1</v>
      </c>
      <c r="Q2028" s="0" t="n">
        <f aca="false">SUMPRODUCT(G2028:P2028,_XtX!$B$71:$K$71)</f>
        <v>41.94453125</v>
      </c>
      <c r="R2028" s="0" t="n">
        <f aca="false">SUMPRODUCT(MMULT(G2028:P2028,_XtX!$B$58:$K$67),G2028:P2028)</f>
        <v>0.7115234375</v>
      </c>
      <c r="S2028" s="0" t="n">
        <f aca="false">04_回帰ANOVA!$K$19*04_回帰ANOVA!$K$14*SQRT(1+R2028)</f>
        <v>1.21634860506574</v>
      </c>
      <c r="T2028" s="0" t="n">
        <f aca="false">Q2028-S2028</f>
        <v>40.7281826449343</v>
      </c>
      <c r="U2028" s="0" t="n">
        <f aca="false">Q2028+S2028</f>
        <v>43.1608798550658</v>
      </c>
      <c r="V2028" s="54" t="b">
        <f aca="false">AND(D2028&gt;=01_因子設定!$L$5-0.000000001,D2028&lt;=01_因子設定!$M$5+0.000000001,E2028&gt;=01_因子設定!$L$6-0.000000001,E2028&lt;=01_因子設定!$M$6+0.000000001,F2028&gt;=01_因子設定!$L$7-0.000000001,F2028&lt;=01_因子設定!$M$7+0.000000001,IF(01_因子設定!$B$20="Box-Behnken",D2028^2+E2028^2+F2028^2&lt;=2+0.000000001,TRUE()))</f>
        <v>1</v>
      </c>
      <c r="W2028" s="55" t="n">
        <f aca="false">IF(V2028,IF(01_因子設定!$B$13="最大化",T2028-01_因子設定!$B$14,IF(01_因子設定!$B$13="最小化",01_因子設定!$B$15-U2028,MIN(T2028-01_因子設定!$B$14,01_因子設定!$B$15-U2028))),-1E+030)</f>
        <v>-7.7718173550657</v>
      </c>
      <c r="X2028" s="55" t="n">
        <f aca="false">IF(V2028,IF(01_因子設定!$B$13="最大化",Q2028,IF(01_因子設定!$B$13="最小化",-Q2028,-ABS(Q2028-01_因子設定!$B$16))),-1E+030)</f>
        <v>41.94453125</v>
      </c>
      <c r="Y2028" s="55" t="n">
        <f aca="false">W2028+ROW()*0.000000001</f>
        <v>-7.7718153270657</v>
      </c>
      <c r="Z2028" s="55" t="n">
        <f aca="false">X2028+ROW()*0.000000001</f>
        <v>41.944533278</v>
      </c>
    </row>
    <row r="2029" customFormat="false" ht="15" hidden="false" customHeight="false" outlineLevel="0" collapsed="false">
      <c r="A2029" s="0" t="n">
        <v>7</v>
      </c>
      <c r="B2029" s="0" t="n">
        <v>0</v>
      </c>
      <c r="C2029" s="0" t="n">
        <v>1</v>
      </c>
      <c r="D2029" s="0" t="n">
        <f aca="false">-1+A2029*0.125</f>
        <v>-0.125</v>
      </c>
      <c r="E2029" s="0" t="n">
        <f aca="false">-1+B2029*0.125</f>
        <v>-1</v>
      </c>
      <c r="F2029" s="0" t="n">
        <f aca="false">-1+C2029*0.125</f>
        <v>-0.875</v>
      </c>
      <c r="G2029" s="0" t="n">
        <f aca="false">1</f>
        <v>1</v>
      </c>
      <c r="H2029" s="0" t="n">
        <f aca="false">D2029</f>
        <v>-0.125</v>
      </c>
      <c r="I2029" s="0" t="n">
        <f aca="false">E2029</f>
        <v>-1</v>
      </c>
      <c r="J2029" s="0" t="n">
        <f aca="false">F2029</f>
        <v>-0.875</v>
      </c>
      <c r="K2029" s="0" t="n">
        <f aca="false">D2029*E2029</f>
        <v>0.125</v>
      </c>
      <c r="L2029" s="0" t="n">
        <f aca="false">D2029*F2029</f>
        <v>0.109375</v>
      </c>
      <c r="M2029" s="0" t="n">
        <f aca="false">E2029*F2029</f>
        <v>0.875</v>
      </c>
      <c r="N2029" s="0" t="n">
        <f aca="false">D2029*D2029</f>
        <v>0.015625</v>
      </c>
      <c r="O2029" s="0" t="n">
        <f aca="false">E2029*E2029</f>
        <v>1</v>
      </c>
      <c r="P2029" s="0" t="n">
        <f aca="false">F2029*F2029</f>
        <v>0.765625</v>
      </c>
      <c r="Q2029" s="0" t="n">
        <f aca="false">SUMPRODUCT(G2029:P2029,_XtX!$B$71:$K$71)</f>
        <v>42.3390482954546</v>
      </c>
      <c r="R2029" s="0" t="n">
        <f aca="false">SUMPRODUCT(MMULT(G2029:P2029,_XtX!$B$58:$K$67),G2029:P2029)</f>
        <v>0.59407792524858</v>
      </c>
      <c r="S2029" s="0" t="n">
        <f aca="false">04_回帰ANOVA!$K$19*04_回帰ANOVA!$K$14*SQRT(1+R2029)</f>
        <v>1.17387380087722</v>
      </c>
      <c r="T2029" s="0" t="n">
        <f aca="false">Q2029-S2029</f>
        <v>41.1651744945774</v>
      </c>
      <c r="U2029" s="0" t="n">
        <f aca="false">Q2029+S2029</f>
        <v>43.5129220963318</v>
      </c>
      <c r="V2029" s="54" t="b">
        <f aca="false">AND(D2029&gt;=01_因子設定!$L$5-0.000000001,D2029&lt;=01_因子設定!$M$5+0.000000001,E2029&gt;=01_因子設定!$L$6-0.000000001,E2029&lt;=01_因子設定!$M$6+0.000000001,F2029&gt;=01_因子設定!$L$7-0.000000001,F2029&lt;=01_因子設定!$M$7+0.000000001,IF(01_因子設定!$B$20="Box-Behnken",D2029^2+E2029^2+F2029^2&lt;=2+0.000000001,TRUE()))</f>
        <v>1</v>
      </c>
      <c r="W2029" s="55" t="n">
        <f aca="false">IF(V2029,IF(01_因子設定!$B$13="最大化",T2029-01_因子設定!$B$14,IF(01_因子設定!$B$13="最小化",01_因子設定!$B$15-U2029,MIN(T2029-01_因子設定!$B$14,01_因子設定!$B$15-U2029))),-1E+030)</f>
        <v>-7.33482550542264</v>
      </c>
      <c r="X2029" s="55" t="n">
        <f aca="false">IF(V2029,IF(01_因子設定!$B$13="最大化",Q2029,IF(01_因子設定!$B$13="最小化",-Q2029,-ABS(Q2029-01_因子設定!$B$16))),-1E+030)</f>
        <v>42.3390482954546</v>
      </c>
      <c r="Y2029" s="55" t="n">
        <f aca="false">W2029+ROW()*0.000000001</f>
        <v>-7.33482347642264</v>
      </c>
      <c r="Z2029" s="55" t="n">
        <f aca="false">X2029+ROW()*0.000000001</f>
        <v>42.3390503244546</v>
      </c>
    </row>
    <row r="2030" customFormat="false" ht="15" hidden="false" customHeight="false" outlineLevel="0" collapsed="false">
      <c r="A2030" s="0" t="n">
        <v>7</v>
      </c>
      <c r="B2030" s="0" t="n">
        <v>0</v>
      </c>
      <c r="C2030" s="0" t="n">
        <v>2</v>
      </c>
      <c r="D2030" s="0" t="n">
        <f aca="false">-1+A2030*0.125</f>
        <v>-0.125</v>
      </c>
      <c r="E2030" s="0" t="n">
        <f aca="false">-1+B2030*0.125</f>
        <v>-1</v>
      </c>
      <c r="F2030" s="0" t="n">
        <f aca="false">-1+C2030*0.125</f>
        <v>-0.75</v>
      </c>
      <c r="G2030" s="0" t="n">
        <f aca="false">1</f>
        <v>1</v>
      </c>
      <c r="H2030" s="0" t="n">
        <f aca="false">D2030</f>
        <v>-0.125</v>
      </c>
      <c r="I2030" s="0" t="n">
        <f aca="false">E2030</f>
        <v>-1</v>
      </c>
      <c r="J2030" s="0" t="n">
        <f aca="false">F2030</f>
        <v>-0.75</v>
      </c>
      <c r="K2030" s="0" t="n">
        <f aca="false">D2030*E2030</f>
        <v>0.125</v>
      </c>
      <c r="L2030" s="0" t="n">
        <f aca="false">D2030*F2030</f>
        <v>0.09375</v>
      </c>
      <c r="M2030" s="0" t="n">
        <f aca="false">E2030*F2030</f>
        <v>0.75</v>
      </c>
      <c r="N2030" s="0" t="n">
        <f aca="false">D2030*D2030</f>
        <v>0.015625</v>
      </c>
      <c r="O2030" s="0" t="n">
        <f aca="false">E2030*E2030</f>
        <v>1</v>
      </c>
      <c r="P2030" s="0" t="n">
        <f aca="false">F2030*F2030</f>
        <v>0.5625</v>
      </c>
      <c r="Q2030" s="0" t="n">
        <f aca="false">SUMPRODUCT(G2030:P2030,_XtX!$B$71:$K$71)</f>
        <v>42.6967755681818</v>
      </c>
      <c r="R2030" s="0" t="n">
        <f aca="false">SUMPRODUCT(MMULT(G2030:P2030,_XtX!$B$58:$K$67),G2030:P2030)</f>
        <v>0.524607155539773</v>
      </c>
      <c r="S2030" s="0" t="n">
        <f aca="false">04_回帰ANOVA!$K$19*04_回帰ANOVA!$K$14*SQRT(1+R2030)</f>
        <v>1.14800984623412</v>
      </c>
      <c r="T2030" s="0" t="n">
        <f aca="false">Q2030-S2030</f>
        <v>41.5487657219477</v>
      </c>
      <c r="U2030" s="0" t="n">
        <f aca="false">Q2030+S2030</f>
        <v>43.844785414416</v>
      </c>
      <c r="V2030" s="54" t="b">
        <f aca="false">AND(D2030&gt;=01_因子設定!$L$5-0.000000001,D2030&lt;=01_因子設定!$M$5+0.000000001,E2030&gt;=01_因子設定!$L$6-0.000000001,E2030&lt;=01_因子設定!$M$6+0.000000001,F2030&gt;=01_因子設定!$L$7-0.000000001,F2030&lt;=01_因子設定!$M$7+0.000000001,IF(01_因子設定!$B$20="Box-Behnken",D2030^2+E2030^2+F2030^2&lt;=2+0.000000001,TRUE()))</f>
        <v>1</v>
      </c>
      <c r="W2030" s="55" t="n">
        <f aca="false">IF(V2030,IF(01_因子設定!$B$13="最大化",T2030-01_因子設定!$B$14,IF(01_因子設定!$B$13="最小化",01_因子設定!$B$15-U2030,MIN(T2030-01_因子設定!$B$14,01_因子設定!$B$15-U2030))),-1E+030)</f>
        <v>-6.95123427805228</v>
      </c>
      <c r="X2030" s="55" t="n">
        <f aca="false">IF(V2030,IF(01_因子設定!$B$13="最大化",Q2030,IF(01_因子設定!$B$13="最小化",-Q2030,-ABS(Q2030-01_因子設定!$B$16))),-1E+030)</f>
        <v>42.6967755681818</v>
      </c>
      <c r="Y2030" s="55" t="n">
        <f aca="false">W2030+ROW()*0.000000001</f>
        <v>-6.95123224805228</v>
      </c>
      <c r="Z2030" s="55" t="n">
        <f aca="false">X2030+ROW()*0.000000001</f>
        <v>42.6967775981818</v>
      </c>
    </row>
    <row r="2031" customFormat="false" ht="15" hidden="false" customHeight="false" outlineLevel="0" collapsed="false">
      <c r="A2031" s="0" t="n">
        <v>7</v>
      </c>
      <c r="B2031" s="0" t="n">
        <v>0</v>
      </c>
      <c r="C2031" s="0" t="n">
        <v>3</v>
      </c>
      <c r="D2031" s="0" t="n">
        <f aca="false">-1+A2031*0.125</f>
        <v>-0.125</v>
      </c>
      <c r="E2031" s="0" t="n">
        <f aca="false">-1+B2031*0.125</f>
        <v>-1</v>
      </c>
      <c r="F2031" s="0" t="n">
        <f aca="false">-1+C2031*0.125</f>
        <v>-0.625</v>
      </c>
      <c r="G2031" s="0" t="n">
        <f aca="false">1</f>
        <v>1</v>
      </c>
      <c r="H2031" s="0" t="n">
        <f aca="false">D2031</f>
        <v>-0.125</v>
      </c>
      <c r="I2031" s="0" t="n">
        <f aca="false">E2031</f>
        <v>-1</v>
      </c>
      <c r="J2031" s="0" t="n">
        <f aca="false">F2031</f>
        <v>-0.625</v>
      </c>
      <c r="K2031" s="0" t="n">
        <f aca="false">D2031*E2031</f>
        <v>0.125</v>
      </c>
      <c r="L2031" s="0" t="n">
        <f aca="false">D2031*F2031</f>
        <v>0.078125</v>
      </c>
      <c r="M2031" s="0" t="n">
        <f aca="false">E2031*F2031</f>
        <v>0.625</v>
      </c>
      <c r="N2031" s="0" t="n">
        <f aca="false">D2031*D2031</f>
        <v>0.015625</v>
      </c>
      <c r="O2031" s="0" t="n">
        <f aca="false">E2031*E2031</f>
        <v>1</v>
      </c>
      <c r="P2031" s="0" t="n">
        <f aca="false">F2031*F2031</f>
        <v>0.390625</v>
      </c>
      <c r="Q2031" s="0" t="n">
        <f aca="false">SUMPRODUCT(G2031:P2031,_XtX!$B$71:$K$71)</f>
        <v>43.0177130681818</v>
      </c>
      <c r="R2031" s="0" t="n">
        <f aca="false">SUMPRODUCT(MMULT(G2031:P2031,_XtX!$B$58:$K$67),G2031:P2031)</f>
        <v>0.489261696555398</v>
      </c>
      <c r="S2031" s="0" t="n">
        <f aca="false">04_回帰ANOVA!$K$19*04_回帰ANOVA!$K$14*SQRT(1+R2031)</f>
        <v>1.13462447083763</v>
      </c>
      <c r="T2031" s="0" t="n">
        <f aca="false">Q2031-S2031</f>
        <v>41.8830885973442</v>
      </c>
      <c r="U2031" s="0" t="n">
        <f aca="false">Q2031+S2031</f>
        <v>44.1523375390195</v>
      </c>
      <c r="V2031" s="54" t="b">
        <f aca="false">AND(D2031&gt;=01_因子設定!$L$5-0.000000001,D2031&lt;=01_因子設定!$M$5+0.000000001,E2031&gt;=01_因子設定!$L$6-0.000000001,E2031&lt;=01_因子設定!$M$6+0.000000001,F2031&gt;=01_因子設定!$L$7-0.000000001,F2031&lt;=01_因子設定!$M$7+0.000000001,IF(01_因子設定!$B$20="Box-Behnken",D2031^2+E2031^2+F2031^2&lt;=2+0.000000001,TRUE()))</f>
        <v>1</v>
      </c>
      <c r="W2031" s="55" t="n">
        <f aca="false">IF(V2031,IF(01_因子設定!$B$13="最大化",T2031-01_因子設定!$B$14,IF(01_因子設定!$B$13="最小化",01_因子設定!$B$15-U2031,MIN(T2031-01_因子設定!$B$14,01_因子設定!$B$15-U2031))),-1E+030)</f>
        <v>-6.6169114026558</v>
      </c>
      <c r="X2031" s="55" t="n">
        <f aca="false">IF(V2031,IF(01_因子設定!$B$13="最大化",Q2031,IF(01_因子設定!$B$13="最小化",-Q2031,-ABS(Q2031-01_因子設定!$B$16))),-1E+030)</f>
        <v>43.0177130681818</v>
      </c>
      <c r="Y2031" s="55" t="n">
        <f aca="false">W2031+ROW()*0.000000001</f>
        <v>-6.6169093716558</v>
      </c>
      <c r="Z2031" s="55" t="n">
        <f aca="false">X2031+ROW()*0.000000001</f>
        <v>43.0177150991818</v>
      </c>
    </row>
    <row r="2032" customFormat="false" ht="15" hidden="false" customHeight="false" outlineLevel="0" collapsed="false">
      <c r="A2032" s="0" t="n">
        <v>7</v>
      </c>
      <c r="B2032" s="0" t="n">
        <v>0</v>
      </c>
      <c r="C2032" s="0" t="n">
        <v>4</v>
      </c>
      <c r="D2032" s="0" t="n">
        <f aca="false">-1+A2032*0.125</f>
        <v>-0.125</v>
      </c>
      <c r="E2032" s="0" t="n">
        <f aca="false">-1+B2032*0.125</f>
        <v>-1</v>
      </c>
      <c r="F2032" s="0" t="n">
        <f aca="false">-1+C2032*0.125</f>
        <v>-0.5</v>
      </c>
      <c r="G2032" s="0" t="n">
        <f aca="false">1</f>
        <v>1</v>
      </c>
      <c r="H2032" s="0" t="n">
        <f aca="false">D2032</f>
        <v>-0.125</v>
      </c>
      <c r="I2032" s="0" t="n">
        <f aca="false">E2032</f>
        <v>-1</v>
      </c>
      <c r="J2032" s="0" t="n">
        <f aca="false">F2032</f>
        <v>-0.5</v>
      </c>
      <c r="K2032" s="0" t="n">
        <f aca="false">D2032*E2032</f>
        <v>0.125</v>
      </c>
      <c r="L2032" s="0" t="n">
        <f aca="false">D2032*F2032</f>
        <v>0.0625</v>
      </c>
      <c r="M2032" s="0" t="n">
        <f aca="false">E2032*F2032</f>
        <v>0.5</v>
      </c>
      <c r="N2032" s="0" t="n">
        <f aca="false">D2032*D2032</f>
        <v>0.015625</v>
      </c>
      <c r="O2032" s="0" t="n">
        <f aca="false">E2032*E2032</f>
        <v>1</v>
      </c>
      <c r="P2032" s="0" t="n">
        <f aca="false">F2032*F2032</f>
        <v>0.25</v>
      </c>
      <c r="Q2032" s="0" t="n">
        <f aca="false">SUMPRODUCT(G2032:P2032,_XtX!$B$71:$K$71)</f>
        <v>43.3018607954546</v>
      </c>
      <c r="R2032" s="0" t="n">
        <f aca="false">SUMPRODUCT(MMULT(G2032:P2032,_XtX!$B$58:$K$67),G2032:P2032)</f>
        <v>0.476322798295455</v>
      </c>
      <c r="S2032" s="0" t="n">
        <f aca="false">04_回帰ANOVA!$K$19*04_回帰ANOVA!$K$14*SQRT(1+R2032)</f>
        <v>1.12968483630128</v>
      </c>
      <c r="T2032" s="0" t="n">
        <f aca="false">Q2032-S2032</f>
        <v>42.1721759591533</v>
      </c>
      <c r="U2032" s="0" t="n">
        <f aca="false">Q2032+S2032</f>
        <v>44.4315456317558</v>
      </c>
      <c r="V2032" s="54" t="b">
        <f aca="false">AND(D2032&gt;=01_因子設定!$L$5-0.000000001,D2032&lt;=01_因子設定!$M$5+0.000000001,E2032&gt;=01_因子設定!$L$6-0.000000001,E2032&lt;=01_因子設定!$M$6+0.000000001,F2032&gt;=01_因子設定!$L$7-0.000000001,F2032&lt;=01_因子設定!$M$7+0.000000001,IF(01_因子設定!$B$20="Box-Behnken",D2032^2+E2032^2+F2032^2&lt;=2+0.000000001,TRUE()))</f>
        <v>1</v>
      </c>
      <c r="W2032" s="55" t="n">
        <f aca="false">IF(V2032,IF(01_因子設定!$B$13="最大化",T2032-01_因子設定!$B$14,IF(01_因子設定!$B$13="最小化",01_因子設定!$B$15-U2032,MIN(T2032-01_因子設定!$B$14,01_因子設定!$B$15-U2032))),-1E+030)</f>
        <v>-6.32782404084671</v>
      </c>
      <c r="X2032" s="55" t="n">
        <f aca="false">IF(V2032,IF(01_因子設定!$B$13="最大化",Q2032,IF(01_因子設定!$B$13="最小化",-Q2032,-ABS(Q2032-01_因子設定!$B$16))),-1E+030)</f>
        <v>43.3018607954546</v>
      </c>
      <c r="Y2032" s="55" t="n">
        <f aca="false">W2032+ROW()*0.000000001</f>
        <v>-6.32782200884671</v>
      </c>
      <c r="Z2032" s="55" t="n">
        <f aca="false">X2032+ROW()*0.000000001</f>
        <v>43.3018628274546</v>
      </c>
    </row>
    <row r="2033" customFormat="false" ht="15" hidden="false" customHeight="false" outlineLevel="0" collapsed="false">
      <c r="A2033" s="0" t="n">
        <v>7</v>
      </c>
      <c r="B2033" s="0" t="n">
        <v>0</v>
      </c>
      <c r="C2033" s="0" t="n">
        <v>5</v>
      </c>
      <c r="D2033" s="0" t="n">
        <f aca="false">-1+A2033*0.125</f>
        <v>-0.125</v>
      </c>
      <c r="E2033" s="0" t="n">
        <f aca="false">-1+B2033*0.125</f>
        <v>-1</v>
      </c>
      <c r="F2033" s="0" t="n">
        <f aca="false">-1+C2033*0.125</f>
        <v>-0.375</v>
      </c>
      <c r="G2033" s="0" t="n">
        <f aca="false">1</f>
        <v>1</v>
      </c>
      <c r="H2033" s="0" t="n">
        <f aca="false">D2033</f>
        <v>-0.125</v>
      </c>
      <c r="I2033" s="0" t="n">
        <f aca="false">E2033</f>
        <v>-1</v>
      </c>
      <c r="J2033" s="0" t="n">
        <f aca="false">F2033</f>
        <v>-0.375</v>
      </c>
      <c r="K2033" s="0" t="n">
        <f aca="false">D2033*E2033</f>
        <v>0.125</v>
      </c>
      <c r="L2033" s="0" t="n">
        <f aca="false">D2033*F2033</f>
        <v>0.046875</v>
      </c>
      <c r="M2033" s="0" t="n">
        <f aca="false">E2033*F2033</f>
        <v>0.375</v>
      </c>
      <c r="N2033" s="0" t="n">
        <f aca="false">D2033*D2033</f>
        <v>0.015625</v>
      </c>
      <c r="O2033" s="0" t="n">
        <f aca="false">E2033*E2033</f>
        <v>1</v>
      </c>
      <c r="P2033" s="0" t="n">
        <f aca="false">F2033*F2033</f>
        <v>0.140625</v>
      </c>
      <c r="Q2033" s="0" t="n">
        <f aca="false">SUMPRODUCT(G2033:P2033,_XtX!$B$71:$K$71)</f>
        <v>43.54921875</v>
      </c>
      <c r="R2033" s="0" t="n">
        <f aca="false">SUMPRODUCT(MMULT(G2033:P2033,_XtX!$B$58:$K$67),G2033:P2033)</f>
        <v>0.476202392578125</v>
      </c>
      <c r="S2033" s="0" t="n">
        <f aca="false">04_回帰ANOVA!$K$19*04_回帰ANOVA!$K$14*SQRT(1+R2033)</f>
        <v>1.12963876802721</v>
      </c>
      <c r="T2033" s="0" t="n">
        <f aca="false">Q2033-S2033</f>
        <v>42.4195799819728</v>
      </c>
      <c r="U2033" s="0" t="n">
        <f aca="false">Q2033+S2033</f>
        <v>44.6788575180272</v>
      </c>
      <c r="V2033" s="54" t="b">
        <f aca="false">AND(D2033&gt;=01_因子設定!$L$5-0.000000001,D2033&lt;=01_因子設定!$M$5+0.000000001,E2033&gt;=01_因子設定!$L$6-0.000000001,E2033&lt;=01_因子設定!$M$6+0.000000001,F2033&gt;=01_因子設定!$L$7-0.000000001,F2033&lt;=01_因子設定!$M$7+0.000000001,IF(01_因子設定!$B$20="Box-Behnken",D2033^2+E2033^2+F2033^2&lt;=2+0.000000001,TRUE()))</f>
        <v>1</v>
      </c>
      <c r="W2033" s="55" t="n">
        <f aca="false">IF(V2033,IF(01_因子設定!$B$13="最大化",T2033-01_因子設定!$B$14,IF(01_因子設定!$B$13="最小化",01_因子設定!$B$15-U2033,MIN(T2033-01_因子設定!$B$14,01_因子設定!$B$15-U2033))),-1E+030)</f>
        <v>-6.08042001802719</v>
      </c>
      <c r="X2033" s="55" t="n">
        <f aca="false">IF(V2033,IF(01_因子設定!$B$13="最大化",Q2033,IF(01_因子設定!$B$13="最小化",-Q2033,-ABS(Q2033-01_因子設定!$B$16))),-1E+030)</f>
        <v>43.54921875</v>
      </c>
      <c r="Y2033" s="55" t="n">
        <f aca="false">W2033+ROW()*0.000000001</f>
        <v>-6.08041798502719</v>
      </c>
      <c r="Z2033" s="55" t="n">
        <f aca="false">X2033+ROW()*0.000000001</f>
        <v>43.549220783</v>
      </c>
    </row>
    <row r="2034" customFormat="false" ht="15" hidden="false" customHeight="false" outlineLevel="0" collapsed="false">
      <c r="A2034" s="0" t="n">
        <v>7</v>
      </c>
      <c r="B2034" s="0" t="n">
        <v>0</v>
      </c>
      <c r="C2034" s="0" t="n">
        <v>6</v>
      </c>
      <c r="D2034" s="0" t="n">
        <f aca="false">-1+A2034*0.125</f>
        <v>-0.125</v>
      </c>
      <c r="E2034" s="0" t="n">
        <f aca="false">-1+B2034*0.125</f>
        <v>-1</v>
      </c>
      <c r="F2034" s="0" t="n">
        <f aca="false">-1+C2034*0.125</f>
        <v>-0.25</v>
      </c>
      <c r="G2034" s="0" t="n">
        <f aca="false">1</f>
        <v>1</v>
      </c>
      <c r="H2034" s="0" t="n">
        <f aca="false">D2034</f>
        <v>-0.125</v>
      </c>
      <c r="I2034" s="0" t="n">
        <f aca="false">E2034</f>
        <v>-1</v>
      </c>
      <c r="J2034" s="0" t="n">
        <f aca="false">F2034</f>
        <v>-0.25</v>
      </c>
      <c r="K2034" s="0" t="n">
        <f aca="false">D2034*E2034</f>
        <v>0.125</v>
      </c>
      <c r="L2034" s="0" t="n">
        <f aca="false">D2034*F2034</f>
        <v>0.03125</v>
      </c>
      <c r="M2034" s="0" t="n">
        <f aca="false">E2034*F2034</f>
        <v>0.25</v>
      </c>
      <c r="N2034" s="0" t="n">
        <f aca="false">D2034*D2034</f>
        <v>0.015625</v>
      </c>
      <c r="O2034" s="0" t="n">
        <f aca="false">E2034*E2034</f>
        <v>1</v>
      </c>
      <c r="P2034" s="0" t="n">
        <f aca="false">F2034*F2034</f>
        <v>0.0625</v>
      </c>
      <c r="Q2034" s="0" t="n">
        <f aca="false">SUMPRODUCT(G2034:P2034,_XtX!$B$71:$K$71)</f>
        <v>43.7597869318182</v>
      </c>
      <c r="R2034" s="0" t="n">
        <f aca="false">SUMPRODUCT(MMULT(G2034:P2034,_XtX!$B$58:$K$67),G2034:P2034)</f>
        <v>0.481443093039773</v>
      </c>
      <c r="S2034" s="0" t="n">
        <f aca="false">04_回帰ANOVA!$K$19*04_回帰ANOVA!$K$14*SQRT(1+R2034)</f>
        <v>1.13164216995877</v>
      </c>
      <c r="T2034" s="0" t="n">
        <f aca="false">Q2034-S2034</f>
        <v>42.6281447618594</v>
      </c>
      <c r="U2034" s="0" t="n">
        <f aca="false">Q2034+S2034</f>
        <v>44.891429101777</v>
      </c>
      <c r="V2034" s="54" t="b">
        <f aca="false">AND(D2034&gt;=01_因子設定!$L$5-0.000000001,D2034&lt;=01_因子設定!$M$5+0.000000001,E2034&gt;=01_因子設定!$L$6-0.000000001,E2034&lt;=01_因子設定!$M$6+0.000000001,F2034&gt;=01_因子設定!$L$7-0.000000001,F2034&lt;=01_因子設定!$M$7+0.000000001,IF(01_因子設定!$B$20="Box-Behnken",D2034^2+E2034^2+F2034^2&lt;=2+0.000000001,TRUE()))</f>
        <v>1</v>
      </c>
      <c r="W2034" s="55" t="n">
        <f aca="false">IF(V2034,IF(01_因子設定!$B$13="最大化",T2034-01_因子設定!$B$14,IF(01_因子設定!$B$13="最小化",01_因子設定!$B$15-U2034,MIN(T2034-01_因子設定!$B$14,01_因子設定!$B$15-U2034))),-1E+030)</f>
        <v>-5.87185523814057</v>
      </c>
      <c r="X2034" s="55" t="n">
        <f aca="false">IF(V2034,IF(01_因子設定!$B$13="最大化",Q2034,IF(01_因子設定!$B$13="最小化",-Q2034,-ABS(Q2034-01_因子設定!$B$16))),-1E+030)</f>
        <v>43.7597869318182</v>
      </c>
      <c r="Y2034" s="55" t="n">
        <f aca="false">W2034+ROW()*0.000000001</f>
        <v>-5.87185320414057</v>
      </c>
      <c r="Z2034" s="55" t="n">
        <f aca="false">X2034+ROW()*0.000000001</f>
        <v>43.7597889658182</v>
      </c>
    </row>
    <row r="2035" customFormat="false" ht="15" hidden="false" customHeight="false" outlineLevel="0" collapsed="false">
      <c r="A2035" s="0" t="n">
        <v>7</v>
      </c>
      <c r="B2035" s="0" t="n">
        <v>0</v>
      </c>
      <c r="C2035" s="0" t="n">
        <v>7</v>
      </c>
      <c r="D2035" s="0" t="n">
        <f aca="false">-1+A2035*0.125</f>
        <v>-0.125</v>
      </c>
      <c r="E2035" s="0" t="n">
        <f aca="false">-1+B2035*0.125</f>
        <v>-1</v>
      </c>
      <c r="F2035" s="0" t="n">
        <f aca="false">-1+C2035*0.125</f>
        <v>-0.125</v>
      </c>
      <c r="G2035" s="0" t="n">
        <f aca="false">1</f>
        <v>1</v>
      </c>
      <c r="H2035" s="0" t="n">
        <f aca="false">D2035</f>
        <v>-0.125</v>
      </c>
      <c r="I2035" s="0" t="n">
        <f aca="false">E2035</f>
        <v>-1</v>
      </c>
      <c r="J2035" s="0" t="n">
        <f aca="false">F2035</f>
        <v>-0.125</v>
      </c>
      <c r="K2035" s="0" t="n">
        <f aca="false">D2035*E2035</f>
        <v>0.125</v>
      </c>
      <c r="L2035" s="0" t="n">
        <f aca="false">D2035*F2035</f>
        <v>0.015625</v>
      </c>
      <c r="M2035" s="0" t="n">
        <f aca="false">E2035*F2035</f>
        <v>0.125</v>
      </c>
      <c r="N2035" s="0" t="n">
        <f aca="false">D2035*D2035</f>
        <v>0.015625</v>
      </c>
      <c r="O2035" s="0" t="n">
        <f aca="false">E2035*E2035</f>
        <v>1</v>
      </c>
      <c r="P2035" s="0" t="n">
        <f aca="false">F2035*F2035</f>
        <v>0.015625</v>
      </c>
      <c r="Q2035" s="0" t="n">
        <f aca="false">SUMPRODUCT(G2035:P2035,_XtX!$B$71:$K$71)</f>
        <v>43.9335653409091</v>
      </c>
      <c r="R2035" s="0" t="n">
        <f aca="false">SUMPRODUCT(MMULT(G2035:P2035,_XtX!$B$58:$K$67),G2035:P2035)</f>
        <v>0.486718195134943</v>
      </c>
      <c r="S2035" s="0" t="n">
        <f aca="false">04_回帰ANOVA!$K$19*04_回帰ANOVA!$K$14*SQRT(1+R2035)</f>
        <v>1.13365514750636</v>
      </c>
      <c r="T2035" s="0" t="n">
        <f aca="false">Q2035-S2035</f>
        <v>42.7999101934027</v>
      </c>
      <c r="U2035" s="0" t="n">
        <f aca="false">Q2035+S2035</f>
        <v>45.0672204884155</v>
      </c>
      <c r="V2035" s="54" t="b">
        <f aca="false">AND(D2035&gt;=01_因子設定!$L$5-0.000000001,D2035&lt;=01_因子設定!$M$5+0.000000001,E2035&gt;=01_因子設定!$L$6-0.000000001,E2035&lt;=01_因子設定!$M$6+0.000000001,F2035&gt;=01_因子設定!$L$7-0.000000001,F2035&lt;=01_因子設定!$M$7+0.000000001,IF(01_因子設定!$B$20="Box-Behnken",D2035^2+E2035^2+F2035^2&lt;=2+0.000000001,TRUE()))</f>
        <v>1</v>
      </c>
      <c r="W2035" s="55" t="n">
        <f aca="false">IF(V2035,IF(01_因子設定!$B$13="最大化",T2035-01_因子設定!$B$14,IF(01_因子設定!$B$13="最小化",01_因子設定!$B$15-U2035,MIN(T2035-01_因子設定!$B$14,01_因子設定!$B$15-U2035))),-1E+030)</f>
        <v>-5.70008980659726</v>
      </c>
      <c r="X2035" s="55" t="n">
        <f aca="false">IF(V2035,IF(01_因子設定!$B$13="最大化",Q2035,IF(01_因子設定!$B$13="最小化",-Q2035,-ABS(Q2035-01_因子設定!$B$16))),-1E+030)</f>
        <v>43.9335653409091</v>
      </c>
      <c r="Y2035" s="55" t="n">
        <f aca="false">W2035+ROW()*0.000000001</f>
        <v>-5.70008777159726</v>
      </c>
      <c r="Z2035" s="55" t="n">
        <f aca="false">X2035+ROW()*0.000000001</f>
        <v>43.9335673759091</v>
      </c>
    </row>
    <row r="2036" customFormat="false" ht="15" hidden="false" customHeight="false" outlineLevel="0" collapsed="false">
      <c r="A2036" s="0" t="n">
        <v>7</v>
      </c>
      <c r="B2036" s="0" t="n">
        <v>0</v>
      </c>
      <c r="C2036" s="0" t="n">
        <v>8</v>
      </c>
      <c r="D2036" s="0" t="n">
        <f aca="false">-1+A2036*0.125</f>
        <v>-0.125</v>
      </c>
      <c r="E2036" s="0" t="n">
        <f aca="false">-1+B2036*0.125</f>
        <v>-1</v>
      </c>
      <c r="F2036" s="0" t="n">
        <f aca="false">-1+C2036*0.125</f>
        <v>0</v>
      </c>
      <c r="G2036" s="0" t="n">
        <f aca="false">1</f>
        <v>1</v>
      </c>
      <c r="H2036" s="0" t="n">
        <f aca="false">D2036</f>
        <v>-0.125</v>
      </c>
      <c r="I2036" s="0" t="n">
        <f aca="false">E2036</f>
        <v>-1</v>
      </c>
      <c r="J2036" s="0" t="n">
        <f aca="false">F2036</f>
        <v>0</v>
      </c>
      <c r="K2036" s="0" t="n">
        <f aca="false">D2036*E2036</f>
        <v>0.125</v>
      </c>
      <c r="L2036" s="0" t="n">
        <f aca="false">D2036*F2036</f>
        <v>-0</v>
      </c>
      <c r="M2036" s="0" t="n">
        <f aca="false">E2036*F2036</f>
        <v>-0</v>
      </c>
      <c r="N2036" s="0" t="n">
        <f aca="false">D2036*D2036</f>
        <v>0.015625</v>
      </c>
      <c r="O2036" s="0" t="n">
        <f aca="false">E2036*E2036</f>
        <v>1</v>
      </c>
      <c r="P2036" s="0" t="n">
        <f aca="false">F2036*F2036</f>
        <v>0</v>
      </c>
      <c r="Q2036" s="0" t="n">
        <f aca="false">SUMPRODUCT(G2036:P2036,_XtX!$B$71:$K$71)</f>
        <v>44.0705539772727</v>
      </c>
      <c r="R2036" s="0" t="n">
        <f aca="false">SUMPRODUCT(MMULT(G2036:P2036,_XtX!$B$58:$K$67),G2036:P2036)</f>
        <v>0.488831676136364</v>
      </c>
      <c r="S2036" s="0" t="n">
        <f aca="false">04_回帰ANOVA!$K$19*04_回帰ANOVA!$K$14*SQRT(1+R2036)</f>
        <v>1.13446064908709</v>
      </c>
      <c r="T2036" s="0" t="n">
        <f aca="false">Q2036-S2036</f>
        <v>42.9360933281857</v>
      </c>
      <c r="U2036" s="0" t="n">
        <f aca="false">Q2036+S2036</f>
        <v>45.2050146263598</v>
      </c>
      <c r="V2036" s="54" t="b">
        <f aca="false">AND(D2036&gt;=01_因子設定!$L$5-0.000000001,D2036&lt;=01_因子設定!$M$5+0.000000001,E2036&gt;=01_因子設定!$L$6-0.000000001,E2036&lt;=01_因子設定!$M$6+0.000000001,F2036&gt;=01_因子設定!$L$7-0.000000001,F2036&lt;=01_因子設定!$M$7+0.000000001,IF(01_因子設定!$B$20="Box-Behnken",D2036^2+E2036^2+F2036^2&lt;=2+0.000000001,TRUE()))</f>
        <v>1</v>
      </c>
      <c r="W2036" s="55" t="n">
        <f aca="false">IF(V2036,IF(01_因子設定!$B$13="最大化",T2036-01_因子設定!$B$14,IF(01_因子設定!$B$13="最小化",01_因子設定!$B$15-U2036,MIN(T2036-01_因子設定!$B$14,01_因子設定!$B$15-U2036))),-1E+030)</f>
        <v>-5.56390667181435</v>
      </c>
      <c r="X2036" s="55" t="n">
        <f aca="false">IF(V2036,IF(01_因子設定!$B$13="最大化",Q2036,IF(01_因子設定!$B$13="最小化",-Q2036,-ABS(Q2036-01_因子設定!$B$16))),-1E+030)</f>
        <v>44.0705539772727</v>
      </c>
      <c r="Y2036" s="55" t="n">
        <f aca="false">W2036+ROW()*0.000000001</f>
        <v>-5.56390463581435</v>
      </c>
      <c r="Z2036" s="55" t="n">
        <f aca="false">X2036+ROW()*0.000000001</f>
        <v>44.0705560132727</v>
      </c>
    </row>
    <row r="2037" customFormat="false" ht="15" hidden="false" customHeight="false" outlineLevel="0" collapsed="false">
      <c r="A2037" s="0" t="n">
        <v>7</v>
      </c>
      <c r="B2037" s="0" t="n">
        <v>0</v>
      </c>
      <c r="C2037" s="0" t="n">
        <v>9</v>
      </c>
      <c r="D2037" s="0" t="n">
        <f aca="false">-1+A2037*0.125</f>
        <v>-0.125</v>
      </c>
      <c r="E2037" s="0" t="n">
        <f aca="false">-1+B2037*0.125</f>
        <v>-1</v>
      </c>
      <c r="F2037" s="0" t="n">
        <f aca="false">-1+C2037*0.125</f>
        <v>0.125</v>
      </c>
      <c r="G2037" s="0" t="n">
        <f aca="false">1</f>
        <v>1</v>
      </c>
      <c r="H2037" s="0" t="n">
        <f aca="false">D2037</f>
        <v>-0.125</v>
      </c>
      <c r="I2037" s="0" t="n">
        <f aca="false">E2037</f>
        <v>-1</v>
      </c>
      <c r="J2037" s="0" t="n">
        <f aca="false">F2037</f>
        <v>0.125</v>
      </c>
      <c r="K2037" s="0" t="n">
        <f aca="false">D2037*E2037</f>
        <v>0.125</v>
      </c>
      <c r="L2037" s="0" t="n">
        <f aca="false">D2037*F2037</f>
        <v>-0.015625</v>
      </c>
      <c r="M2037" s="0" t="n">
        <f aca="false">E2037*F2037</f>
        <v>-0.125</v>
      </c>
      <c r="N2037" s="0" t="n">
        <f aca="false">D2037*D2037</f>
        <v>0.015625</v>
      </c>
      <c r="O2037" s="0" t="n">
        <f aca="false">E2037*E2037</f>
        <v>1</v>
      </c>
      <c r="P2037" s="0" t="n">
        <f aca="false">F2037*F2037</f>
        <v>0.015625</v>
      </c>
      <c r="Q2037" s="0" t="n">
        <f aca="false">SUMPRODUCT(G2037:P2037,_XtX!$B$71:$K$71)</f>
        <v>44.1707528409091</v>
      </c>
      <c r="R2037" s="0" t="n">
        <f aca="false">SUMPRODUCT(MMULT(G2037:P2037,_XtX!$B$58:$K$67),G2037:P2037)</f>
        <v>0.486718195134943</v>
      </c>
      <c r="S2037" s="0" t="n">
        <f aca="false">04_回帰ANOVA!$K$19*04_回帰ANOVA!$K$14*SQRT(1+R2037)</f>
        <v>1.13365514750636</v>
      </c>
      <c r="T2037" s="0" t="n">
        <f aca="false">Q2037-S2037</f>
        <v>43.0370976934027</v>
      </c>
      <c r="U2037" s="0" t="n">
        <f aca="false">Q2037+S2037</f>
        <v>45.3044079884155</v>
      </c>
      <c r="V2037" s="54" t="b">
        <f aca="false">AND(D2037&gt;=01_因子設定!$L$5-0.000000001,D2037&lt;=01_因子設定!$M$5+0.000000001,E2037&gt;=01_因子設定!$L$6-0.000000001,E2037&lt;=01_因子設定!$M$6+0.000000001,F2037&gt;=01_因子設定!$L$7-0.000000001,F2037&lt;=01_因子設定!$M$7+0.000000001,IF(01_因子設定!$B$20="Box-Behnken",D2037^2+E2037^2+F2037^2&lt;=2+0.000000001,TRUE()))</f>
        <v>1</v>
      </c>
      <c r="W2037" s="55" t="n">
        <f aca="false">IF(V2037,IF(01_因子設定!$B$13="最大化",T2037-01_因子設定!$B$14,IF(01_因子設定!$B$13="最小化",01_因子設定!$B$15-U2037,MIN(T2037-01_因子設定!$B$14,01_因子設定!$B$15-U2037))),-1E+030)</f>
        <v>-5.46290230659726</v>
      </c>
      <c r="X2037" s="55" t="n">
        <f aca="false">IF(V2037,IF(01_因子設定!$B$13="最大化",Q2037,IF(01_因子設定!$B$13="最小化",-Q2037,-ABS(Q2037-01_因子設定!$B$16))),-1E+030)</f>
        <v>44.1707528409091</v>
      </c>
      <c r="Y2037" s="55" t="n">
        <f aca="false">W2037+ROW()*0.000000001</f>
        <v>-5.46290026959726</v>
      </c>
      <c r="Z2037" s="55" t="n">
        <f aca="false">X2037+ROW()*0.000000001</f>
        <v>44.1707548779091</v>
      </c>
    </row>
    <row r="2038" customFormat="false" ht="15" hidden="false" customHeight="false" outlineLevel="0" collapsed="false">
      <c r="A2038" s="0" t="n">
        <v>7</v>
      </c>
      <c r="B2038" s="0" t="n">
        <v>0</v>
      </c>
      <c r="C2038" s="0" t="n">
        <v>10</v>
      </c>
      <c r="D2038" s="0" t="n">
        <f aca="false">-1+A2038*0.125</f>
        <v>-0.125</v>
      </c>
      <c r="E2038" s="0" t="n">
        <f aca="false">-1+B2038*0.125</f>
        <v>-1</v>
      </c>
      <c r="F2038" s="0" t="n">
        <f aca="false">-1+C2038*0.125</f>
        <v>0.25</v>
      </c>
      <c r="G2038" s="0" t="n">
        <f aca="false">1</f>
        <v>1</v>
      </c>
      <c r="H2038" s="0" t="n">
        <f aca="false">D2038</f>
        <v>-0.125</v>
      </c>
      <c r="I2038" s="0" t="n">
        <f aca="false">E2038</f>
        <v>-1</v>
      </c>
      <c r="J2038" s="0" t="n">
        <f aca="false">F2038</f>
        <v>0.25</v>
      </c>
      <c r="K2038" s="0" t="n">
        <f aca="false">D2038*E2038</f>
        <v>0.125</v>
      </c>
      <c r="L2038" s="0" t="n">
        <f aca="false">D2038*F2038</f>
        <v>-0.03125</v>
      </c>
      <c r="M2038" s="0" t="n">
        <f aca="false">E2038*F2038</f>
        <v>-0.25</v>
      </c>
      <c r="N2038" s="0" t="n">
        <f aca="false">D2038*D2038</f>
        <v>0.015625</v>
      </c>
      <c r="O2038" s="0" t="n">
        <f aca="false">E2038*E2038</f>
        <v>1</v>
      </c>
      <c r="P2038" s="0" t="n">
        <f aca="false">F2038*F2038</f>
        <v>0.0625</v>
      </c>
      <c r="Q2038" s="0" t="n">
        <f aca="false">SUMPRODUCT(G2038:P2038,_XtX!$B$71:$K$71)</f>
        <v>44.2341619318182</v>
      </c>
      <c r="R2038" s="0" t="n">
        <f aca="false">SUMPRODUCT(MMULT(G2038:P2038,_XtX!$B$58:$K$67),G2038:P2038)</f>
        <v>0.481443093039773</v>
      </c>
      <c r="S2038" s="0" t="n">
        <f aca="false">04_回帰ANOVA!$K$19*04_回帰ANOVA!$K$14*SQRT(1+R2038)</f>
        <v>1.13164216995877</v>
      </c>
      <c r="T2038" s="0" t="n">
        <f aca="false">Q2038-S2038</f>
        <v>43.1025197618594</v>
      </c>
      <c r="U2038" s="0" t="n">
        <f aca="false">Q2038+S2038</f>
        <v>45.365804101777</v>
      </c>
      <c r="V2038" s="54" t="b">
        <f aca="false">AND(D2038&gt;=01_因子設定!$L$5-0.000000001,D2038&lt;=01_因子設定!$M$5+0.000000001,E2038&gt;=01_因子設定!$L$6-0.000000001,E2038&lt;=01_因子設定!$M$6+0.000000001,F2038&gt;=01_因子設定!$L$7-0.000000001,F2038&lt;=01_因子設定!$M$7+0.000000001,IF(01_因子設定!$B$20="Box-Behnken",D2038^2+E2038^2+F2038^2&lt;=2+0.000000001,TRUE()))</f>
        <v>1</v>
      </c>
      <c r="W2038" s="55" t="n">
        <f aca="false">IF(V2038,IF(01_因子設定!$B$13="最大化",T2038-01_因子設定!$B$14,IF(01_因子設定!$B$13="最小化",01_因子設定!$B$15-U2038,MIN(T2038-01_因子設定!$B$14,01_因子設定!$B$15-U2038))),-1E+030)</f>
        <v>-5.39748023814057</v>
      </c>
      <c r="X2038" s="55" t="n">
        <f aca="false">IF(V2038,IF(01_因子設定!$B$13="最大化",Q2038,IF(01_因子設定!$B$13="最小化",-Q2038,-ABS(Q2038-01_因子設定!$B$16))),-1E+030)</f>
        <v>44.2341619318182</v>
      </c>
      <c r="Y2038" s="55" t="n">
        <f aca="false">W2038+ROW()*0.000000001</f>
        <v>-5.39747820014057</v>
      </c>
      <c r="Z2038" s="55" t="n">
        <f aca="false">X2038+ROW()*0.000000001</f>
        <v>44.2341639698182</v>
      </c>
    </row>
    <row r="2039" customFormat="false" ht="15" hidden="false" customHeight="false" outlineLevel="0" collapsed="false">
      <c r="A2039" s="0" t="n">
        <v>7</v>
      </c>
      <c r="B2039" s="0" t="n">
        <v>0</v>
      </c>
      <c r="C2039" s="0" t="n">
        <v>11</v>
      </c>
      <c r="D2039" s="0" t="n">
        <f aca="false">-1+A2039*0.125</f>
        <v>-0.125</v>
      </c>
      <c r="E2039" s="0" t="n">
        <f aca="false">-1+B2039*0.125</f>
        <v>-1</v>
      </c>
      <c r="F2039" s="0" t="n">
        <f aca="false">-1+C2039*0.125</f>
        <v>0.375</v>
      </c>
      <c r="G2039" s="0" t="n">
        <f aca="false">1</f>
        <v>1</v>
      </c>
      <c r="H2039" s="0" t="n">
        <f aca="false">D2039</f>
        <v>-0.125</v>
      </c>
      <c r="I2039" s="0" t="n">
        <f aca="false">E2039</f>
        <v>-1</v>
      </c>
      <c r="J2039" s="0" t="n">
        <f aca="false">F2039</f>
        <v>0.375</v>
      </c>
      <c r="K2039" s="0" t="n">
        <f aca="false">D2039*E2039</f>
        <v>0.125</v>
      </c>
      <c r="L2039" s="0" t="n">
        <f aca="false">D2039*F2039</f>
        <v>-0.046875</v>
      </c>
      <c r="M2039" s="0" t="n">
        <f aca="false">E2039*F2039</f>
        <v>-0.375</v>
      </c>
      <c r="N2039" s="0" t="n">
        <f aca="false">D2039*D2039</f>
        <v>0.015625</v>
      </c>
      <c r="O2039" s="0" t="n">
        <f aca="false">E2039*E2039</f>
        <v>1</v>
      </c>
      <c r="P2039" s="0" t="n">
        <f aca="false">F2039*F2039</f>
        <v>0.140625</v>
      </c>
      <c r="Q2039" s="0" t="n">
        <f aca="false">SUMPRODUCT(G2039:P2039,_XtX!$B$71:$K$71)</f>
        <v>44.26078125</v>
      </c>
      <c r="R2039" s="0" t="n">
        <f aca="false">SUMPRODUCT(MMULT(G2039:P2039,_XtX!$B$58:$K$67),G2039:P2039)</f>
        <v>0.476202392578125</v>
      </c>
      <c r="S2039" s="0" t="n">
        <f aca="false">04_回帰ANOVA!$K$19*04_回帰ANOVA!$K$14*SQRT(1+R2039)</f>
        <v>1.12963876802721</v>
      </c>
      <c r="T2039" s="0" t="n">
        <f aca="false">Q2039-S2039</f>
        <v>43.1311424819728</v>
      </c>
      <c r="U2039" s="0" t="n">
        <f aca="false">Q2039+S2039</f>
        <v>45.3904200180272</v>
      </c>
      <c r="V2039" s="54" t="b">
        <f aca="false">AND(D2039&gt;=01_因子設定!$L$5-0.000000001,D2039&lt;=01_因子設定!$M$5+0.000000001,E2039&gt;=01_因子設定!$L$6-0.000000001,E2039&lt;=01_因子設定!$M$6+0.000000001,F2039&gt;=01_因子設定!$L$7-0.000000001,F2039&lt;=01_因子設定!$M$7+0.000000001,IF(01_因子設定!$B$20="Box-Behnken",D2039^2+E2039^2+F2039^2&lt;=2+0.000000001,TRUE()))</f>
        <v>1</v>
      </c>
      <c r="W2039" s="55" t="n">
        <f aca="false">IF(V2039,IF(01_因子設定!$B$13="最大化",T2039-01_因子設定!$B$14,IF(01_因子設定!$B$13="最小化",01_因子設定!$B$15-U2039,MIN(T2039-01_因子設定!$B$14,01_因子設定!$B$15-U2039))),-1E+030)</f>
        <v>-5.36885751802719</v>
      </c>
      <c r="X2039" s="55" t="n">
        <f aca="false">IF(V2039,IF(01_因子設定!$B$13="最大化",Q2039,IF(01_因子設定!$B$13="最小化",-Q2039,-ABS(Q2039-01_因子設定!$B$16))),-1E+030)</f>
        <v>44.26078125</v>
      </c>
      <c r="Y2039" s="55" t="n">
        <f aca="false">W2039+ROW()*0.000000001</f>
        <v>-5.36885547902719</v>
      </c>
      <c r="Z2039" s="55" t="n">
        <f aca="false">X2039+ROW()*0.000000001</f>
        <v>44.260783289</v>
      </c>
    </row>
    <row r="2040" customFormat="false" ht="15" hidden="false" customHeight="false" outlineLevel="0" collapsed="false">
      <c r="A2040" s="0" t="n">
        <v>7</v>
      </c>
      <c r="B2040" s="0" t="n">
        <v>0</v>
      </c>
      <c r="C2040" s="0" t="n">
        <v>12</v>
      </c>
      <c r="D2040" s="0" t="n">
        <f aca="false">-1+A2040*0.125</f>
        <v>-0.125</v>
      </c>
      <c r="E2040" s="0" t="n">
        <f aca="false">-1+B2040*0.125</f>
        <v>-1</v>
      </c>
      <c r="F2040" s="0" t="n">
        <f aca="false">-1+C2040*0.125</f>
        <v>0.5</v>
      </c>
      <c r="G2040" s="0" t="n">
        <f aca="false">1</f>
        <v>1</v>
      </c>
      <c r="H2040" s="0" t="n">
        <f aca="false">D2040</f>
        <v>-0.125</v>
      </c>
      <c r="I2040" s="0" t="n">
        <f aca="false">E2040</f>
        <v>-1</v>
      </c>
      <c r="J2040" s="0" t="n">
        <f aca="false">F2040</f>
        <v>0.5</v>
      </c>
      <c r="K2040" s="0" t="n">
        <f aca="false">D2040*E2040</f>
        <v>0.125</v>
      </c>
      <c r="L2040" s="0" t="n">
        <f aca="false">D2040*F2040</f>
        <v>-0.0625</v>
      </c>
      <c r="M2040" s="0" t="n">
        <f aca="false">E2040*F2040</f>
        <v>-0.5</v>
      </c>
      <c r="N2040" s="0" t="n">
        <f aca="false">D2040*D2040</f>
        <v>0.015625</v>
      </c>
      <c r="O2040" s="0" t="n">
        <f aca="false">E2040*E2040</f>
        <v>1</v>
      </c>
      <c r="P2040" s="0" t="n">
        <f aca="false">F2040*F2040</f>
        <v>0.25</v>
      </c>
      <c r="Q2040" s="0" t="n">
        <f aca="false">SUMPRODUCT(G2040:P2040,_XtX!$B$71:$K$71)</f>
        <v>44.2506107954546</v>
      </c>
      <c r="R2040" s="0" t="n">
        <f aca="false">SUMPRODUCT(MMULT(G2040:P2040,_XtX!$B$58:$K$67),G2040:P2040)</f>
        <v>0.476322798295455</v>
      </c>
      <c r="S2040" s="0" t="n">
        <f aca="false">04_回帰ANOVA!$K$19*04_回帰ANOVA!$K$14*SQRT(1+R2040)</f>
        <v>1.12968483630128</v>
      </c>
      <c r="T2040" s="0" t="n">
        <f aca="false">Q2040-S2040</f>
        <v>43.1209259591533</v>
      </c>
      <c r="U2040" s="0" t="n">
        <f aca="false">Q2040+S2040</f>
        <v>45.3802956317558</v>
      </c>
      <c r="V2040" s="54" t="b">
        <f aca="false">AND(D2040&gt;=01_因子設定!$L$5-0.000000001,D2040&lt;=01_因子設定!$M$5+0.000000001,E2040&gt;=01_因子設定!$L$6-0.000000001,E2040&lt;=01_因子設定!$M$6+0.000000001,F2040&gt;=01_因子設定!$L$7-0.000000001,F2040&lt;=01_因子設定!$M$7+0.000000001,IF(01_因子設定!$B$20="Box-Behnken",D2040^2+E2040^2+F2040^2&lt;=2+0.000000001,TRUE()))</f>
        <v>1</v>
      </c>
      <c r="W2040" s="55" t="n">
        <f aca="false">IF(V2040,IF(01_因子設定!$B$13="最大化",T2040-01_因子設定!$B$14,IF(01_因子設定!$B$13="最小化",01_因子設定!$B$15-U2040,MIN(T2040-01_因子設定!$B$14,01_因子設定!$B$15-U2040))),-1E+030)</f>
        <v>-5.37907404084672</v>
      </c>
      <c r="X2040" s="55" t="n">
        <f aca="false">IF(V2040,IF(01_因子設定!$B$13="最大化",Q2040,IF(01_因子設定!$B$13="最小化",-Q2040,-ABS(Q2040-01_因子設定!$B$16))),-1E+030)</f>
        <v>44.2506107954546</v>
      </c>
      <c r="Y2040" s="55" t="n">
        <f aca="false">W2040+ROW()*0.000000001</f>
        <v>-5.37907200084672</v>
      </c>
      <c r="Z2040" s="55" t="n">
        <f aca="false">X2040+ROW()*0.000000001</f>
        <v>44.2506128354546</v>
      </c>
    </row>
    <row r="2041" customFormat="false" ht="15" hidden="false" customHeight="false" outlineLevel="0" collapsed="false">
      <c r="A2041" s="0" t="n">
        <v>7</v>
      </c>
      <c r="B2041" s="0" t="n">
        <v>0</v>
      </c>
      <c r="C2041" s="0" t="n">
        <v>13</v>
      </c>
      <c r="D2041" s="0" t="n">
        <f aca="false">-1+A2041*0.125</f>
        <v>-0.125</v>
      </c>
      <c r="E2041" s="0" t="n">
        <f aca="false">-1+B2041*0.125</f>
        <v>-1</v>
      </c>
      <c r="F2041" s="0" t="n">
        <f aca="false">-1+C2041*0.125</f>
        <v>0.625</v>
      </c>
      <c r="G2041" s="0" t="n">
        <f aca="false">1</f>
        <v>1</v>
      </c>
      <c r="H2041" s="0" t="n">
        <f aca="false">D2041</f>
        <v>-0.125</v>
      </c>
      <c r="I2041" s="0" t="n">
        <f aca="false">E2041</f>
        <v>-1</v>
      </c>
      <c r="J2041" s="0" t="n">
        <f aca="false">F2041</f>
        <v>0.625</v>
      </c>
      <c r="K2041" s="0" t="n">
        <f aca="false">D2041*E2041</f>
        <v>0.125</v>
      </c>
      <c r="L2041" s="0" t="n">
        <f aca="false">D2041*F2041</f>
        <v>-0.078125</v>
      </c>
      <c r="M2041" s="0" t="n">
        <f aca="false">E2041*F2041</f>
        <v>-0.625</v>
      </c>
      <c r="N2041" s="0" t="n">
        <f aca="false">D2041*D2041</f>
        <v>0.015625</v>
      </c>
      <c r="O2041" s="0" t="n">
        <f aca="false">E2041*E2041</f>
        <v>1</v>
      </c>
      <c r="P2041" s="0" t="n">
        <f aca="false">F2041*F2041</f>
        <v>0.390625</v>
      </c>
      <c r="Q2041" s="0" t="n">
        <f aca="false">SUMPRODUCT(G2041:P2041,_XtX!$B$71:$K$71)</f>
        <v>44.2036505681818</v>
      </c>
      <c r="R2041" s="0" t="n">
        <f aca="false">SUMPRODUCT(MMULT(G2041:P2041,_XtX!$B$58:$K$67),G2041:P2041)</f>
        <v>0.489261696555398</v>
      </c>
      <c r="S2041" s="0" t="n">
        <f aca="false">04_回帰ANOVA!$K$19*04_回帰ANOVA!$K$14*SQRT(1+R2041)</f>
        <v>1.13462447083763</v>
      </c>
      <c r="T2041" s="0" t="n">
        <f aca="false">Q2041-S2041</f>
        <v>43.0690260973442</v>
      </c>
      <c r="U2041" s="0" t="n">
        <f aca="false">Q2041+S2041</f>
        <v>45.3382750390195</v>
      </c>
      <c r="V2041" s="54" t="b">
        <f aca="false">AND(D2041&gt;=01_因子設定!$L$5-0.000000001,D2041&lt;=01_因子設定!$M$5+0.000000001,E2041&gt;=01_因子設定!$L$6-0.000000001,E2041&lt;=01_因子設定!$M$6+0.000000001,F2041&gt;=01_因子設定!$L$7-0.000000001,F2041&lt;=01_因子設定!$M$7+0.000000001,IF(01_因子設定!$B$20="Box-Behnken",D2041^2+E2041^2+F2041^2&lt;=2+0.000000001,TRUE()))</f>
        <v>1</v>
      </c>
      <c r="W2041" s="55" t="n">
        <f aca="false">IF(V2041,IF(01_因子設定!$B$13="最大化",T2041-01_因子設定!$B$14,IF(01_因子設定!$B$13="最小化",01_因子設定!$B$15-U2041,MIN(T2041-01_因子設定!$B$14,01_因子設定!$B$15-U2041))),-1E+030)</f>
        <v>-5.4309739026558</v>
      </c>
      <c r="X2041" s="55" t="n">
        <f aca="false">IF(V2041,IF(01_因子設定!$B$13="最大化",Q2041,IF(01_因子設定!$B$13="最小化",-Q2041,-ABS(Q2041-01_因子設定!$B$16))),-1E+030)</f>
        <v>44.2036505681818</v>
      </c>
      <c r="Y2041" s="55" t="n">
        <f aca="false">W2041+ROW()*0.000000001</f>
        <v>-5.4309718616558</v>
      </c>
      <c r="Z2041" s="55" t="n">
        <f aca="false">X2041+ROW()*0.000000001</f>
        <v>44.2036526091818</v>
      </c>
    </row>
    <row r="2042" customFormat="false" ht="15" hidden="false" customHeight="false" outlineLevel="0" collapsed="false">
      <c r="A2042" s="0" t="n">
        <v>7</v>
      </c>
      <c r="B2042" s="0" t="n">
        <v>0</v>
      </c>
      <c r="C2042" s="0" t="n">
        <v>14</v>
      </c>
      <c r="D2042" s="0" t="n">
        <f aca="false">-1+A2042*0.125</f>
        <v>-0.125</v>
      </c>
      <c r="E2042" s="0" t="n">
        <f aca="false">-1+B2042*0.125</f>
        <v>-1</v>
      </c>
      <c r="F2042" s="0" t="n">
        <f aca="false">-1+C2042*0.125</f>
        <v>0.75</v>
      </c>
      <c r="G2042" s="0" t="n">
        <f aca="false">1</f>
        <v>1</v>
      </c>
      <c r="H2042" s="0" t="n">
        <f aca="false">D2042</f>
        <v>-0.125</v>
      </c>
      <c r="I2042" s="0" t="n">
        <f aca="false">E2042</f>
        <v>-1</v>
      </c>
      <c r="J2042" s="0" t="n">
        <f aca="false">F2042</f>
        <v>0.75</v>
      </c>
      <c r="K2042" s="0" t="n">
        <f aca="false">D2042*E2042</f>
        <v>0.125</v>
      </c>
      <c r="L2042" s="0" t="n">
        <f aca="false">D2042*F2042</f>
        <v>-0.09375</v>
      </c>
      <c r="M2042" s="0" t="n">
        <f aca="false">E2042*F2042</f>
        <v>-0.75</v>
      </c>
      <c r="N2042" s="0" t="n">
        <f aca="false">D2042*D2042</f>
        <v>0.015625</v>
      </c>
      <c r="O2042" s="0" t="n">
        <f aca="false">E2042*E2042</f>
        <v>1</v>
      </c>
      <c r="P2042" s="0" t="n">
        <f aca="false">F2042*F2042</f>
        <v>0.5625</v>
      </c>
      <c r="Q2042" s="0" t="n">
        <f aca="false">SUMPRODUCT(G2042:P2042,_XtX!$B$71:$K$71)</f>
        <v>44.1199005681818</v>
      </c>
      <c r="R2042" s="0" t="n">
        <f aca="false">SUMPRODUCT(MMULT(G2042:P2042,_XtX!$B$58:$K$67),G2042:P2042)</f>
        <v>0.524607155539773</v>
      </c>
      <c r="S2042" s="0" t="n">
        <f aca="false">04_回帰ANOVA!$K$19*04_回帰ANOVA!$K$14*SQRT(1+R2042)</f>
        <v>1.14800984623412</v>
      </c>
      <c r="T2042" s="0" t="n">
        <f aca="false">Q2042-S2042</f>
        <v>42.9718907219477</v>
      </c>
      <c r="U2042" s="0" t="n">
        <f aca="false">Q2042+S2042</f>
        <v>45.267910414416</v>
      </c>
      <c r="V2042" s="54" t="b">
        <f aca="false">AND(D2042&gt;=01_因子設定!$L$5-0.000000001,D2042&lt;=01_因子設定!$M$5+0.000000001,E2042&gt;=01_因子設定!$L$6-0.000000001,E2042&lt;=01_因子設定!$M$6+0.000000001,F2042&gt;=01_因子設定!$L$7-0.000000001,F2042&lt;=01_因子設定!$M$7+0.000000001,IF(01_因子設定!$B$20="Box-Behnken",D2042^2+E2042^2+F2042^2&lt;=2+0.000000001,TRUE()))</f>
        <v>1</v>
      </c>
      <c r="W2042" s="55" t="n">
        <f aca="false">IF(V2042,IF(01_因子設定!$B$13="最大化",T2042-01_因子設定!$B$14,IF(01_因子設定!$B$13="最小化",01_因子設定!$B$15-U2042,MIN(T2042-01_因子設定!$B$14,01_因子設定!$B$15-U2042))),-1E+030)</f>
        <v>-5.52810927805228</v>
      </c>
      <c r="X2042" s="55" t="n">
        <f aca="false">IF(V2042,IF(01_因子設定!$B$13="最大化",Q2042,IF(01_因子設定!$B$13="最小化",-Q2042,-ABS(Q2042-01_因子設定!$B$16))),-1E+030)</f>
        <v>44.1199005681818</v>
      </c>
      <c r="Y2042" s="55" t="n">
        <f aca="false">W2042+ROW()*0.000000001</f>
        <v>-5.52810723605228</v>
      </c>
      <c r="Z2042" s="55" t="n">
        <f aca="false">X2042+ROW()*0.000000001</f>
        <v>44.1199026101818</v>
      </c>
    </row>
    <row r="2043" customFormat="false" ht="15" hidden="false" customHeight="false" outlineLevel="0" collapsed="false">
      <c r="A2043" s="0" t="n">
        <v>7</v>
      </c>
      <c r="B2043" s="0" t="n">
        <v>0</v>
      </c>
      <c r="C2043" s="0" t="n">
        <v>15</v>
      </c>
      <c r="D2043" s="0" t="n">
        <f aca="false">-1+A2043*0.125</f>
        <v>-0.125</v>
      </c>
      <c r="E2043" s="0" t="n">
        <f aca="false">-1+B2043*0.125</f>
        <v>-1</v>
      </c>
      <c r="F2043" s="0" t="n">
        <f aca="false">-1+C2043*0.125</f>
        <v>0.875</v>
      </c>
      <c r="G2043" s="0" t="n">
        <f aca="false">1</f>
        <v>1</v>
      </c>
      <c r="H2043" s="0" t="n">
        <f aca="false">D2043</f>
        <v>-0.125</v>
      </c>
      <c r="I2043" s="0" t="n">
        <f aca="false">E2043</f>
        <v>-1</v>
      </c>
      <c r="J2043" s="0" t="n">
        <f aca="false">F2043</f>
        <v>0.875</v>
      </c>
      <c r="K2043" s="0" t="n">
        <f aca="false">D2043*E2043</f>
        <v>0.125</v>
      </c>
      <c r="L2043" s="0" t="n">
        <f aca="false">D2043*F2043</f>
        <v>-0.109375</v>
      </c>
      <c r="M2043" s="0" t="n">
        <f aca="false">E2043*F2043</f>
        <v>-0.875</v>
      </c>
      <c r="N2043" s="0" t="n">
        <f aca="false">D2043*D2043</f>
        <v>0.015625</v>
      </c>
      <c r="O2043" s="0" t="n">
        <f aca="false">E2043*E2043</f>
        <v>1</v>
      </c>
      <c r="P2043" s="0" t="n">
        <f aca="false">F2043*F2043</f>
        <v>0.765625</v>
      </c>
      <c r="Q2043" s="0" t="n">
        <f aca="false">SUMPRODUCT(G2043:P2043,_XtX!$B$71:$K$71)</f>
        <v>43.9993607954546</v>
      </c>
      <c r="R2043" s="0" t="n">
        <f aca="false">SUMPRODUCT(MMULT(G2043:P2043,_XtX!$B$58:$K$67),G2043:P2043)</f>
        <v>0.59407792524858</v>
      </c>
      <c r="S2043" s="0" t="n">
        <f aca="false">04_回帰ANOVA!$K$19*04_回帰ANOVA!$K$14*SQRT(1+R2043)</f>
        <v>1.17387380087722</v>
      </c>
      <c r="T2043" s="0" t="n">
        <f aca="false">Q2043-S2043</f>
        <v>42.8254869945774</v>
      </c>
      <c r="U2043" s="0" t="n">
        <f aca="false">Q2043+S2043</f>
        <v>45.1732345963318</v>
      </c>
      <c r="V2043" s="54" t="b">
        <f aca="false">AND(D2043&gt;=01_因子設定!$L$5-0.000000001,D2043&lt;=01_因子設定!$M$5+0.000000001,E2043&gt;=01_因子設定!$L$6-0.000000001,E2043&lt;=01_因子設定!$M$6+0.000000001,F2043&gt;=01_因子設定!$L$7-0.000000001,F2043&lt;=01_因子設定!$M$7+0.000000001,IF(01_因子設定!$B$20="Box-Behnken",D2043^2+E2043^2+F2043^2&lt;=2+0.000000001,TRUE()))</f>
        <v>1</v>
      </c>
      <c r="W2043" s="55" t="n">
        <f aca="false">IF(V2043,IF(01_因子設定!$B$13="最大化",T2043-01_因子設定!$B$14,IF(01_因子設定!$B$13="最小化",01_因子設定!$B$15-U2043,MIN(T2043-01_因子設定!$B$14,01_因子設定!$B$15-U2043))),-1E+030)</f>
        <v>-5.67451300542265</v>
      </c>
      <c r="X2043" s="55" t="n">
        <f aca="false">IF(V2043,IF(01_因子設定!$B$13="最大化",Q2043,IF(01_因子設定!$B$13="最小化",-Q2043,-ABS(Q2043-01_因子設定!$B$16))),-1E+030)</f>
        <v>43.9993607954546</v>
      </c>
      <c r="Y2043" s="55" t="n">
        <f aca="false">W2043+ROW()*0.000000001</f>
        <v>-5.67451096242265</v>
      </c>
      <c r="Z2043" s="55" t="n">
        <f aca="false">X2043+ROW()*0.000000001</f>
        <v>43.9993628384546</v>
      </c>
    </row>
    <row r="2044" customFormat="false" ht="15" hidden="false" customHeight="false" outlineLevel="0" collapsed="false">
      <c r="A2044" s="0" t="n">
        <v>7</v>
      </c>
      <c r="B2044" s="0" t="n">
        <v>0</v>
      </c>
      <c r="C2044" s="0" t="n">
        <v>16</v>
      </c>
      <c r="D2044" s="0" t="n">
        <f aca="false">-1+A2044*0.125</f>
        <v>-0.125</v>
      </c>
      <c r="E2044" s="0" t="n">
        <f aca="false">-1+B2044*0.125</f>
        <v>-1</v>
      </c>
      <c r="F2044" s="0" t="n">
        <f aca="false">-1+C2044*0.125</f>
        <v>1</v>
      </c>
      <c r="G2044" s="0" t="n">
        <f aca="false">1</f>
        <v>1</v>
      </c>
      <c r="H2044" s="0" t="n">
        <f aca="false">D2044</f>
        <v>-0.125</v>
      </c>
      <c r="I2044" s="0" t="n">
        <f aca="false">E2044</f>
        <v>-1</v>
      </c>
      <c r="J2044" s="0" t="n">
        <f aca="false">F2044</f>
        <v>1</v>
      </c>
      <c r="K2044" s="0" t="n">
        <f aca="false">D2044*E2044</f>
        <v>0.125</v>
      </c>
      <c r="L2044" s="0" t="n">
        <f aca="false">D2044*F2044</f>
        <v>-0.125</v>
      </c>
      <c r="M2044" s="0" t="n">
        <f aca="false">E2044*F2044</f>
        <v>-1</v>
      </c>
      <c r="N2044" s="0" t="n">
        <f aca="false">D2044*D2044</f>
        <v>0.015625</v>
      </c>
      <c r="O2044" s="0" t="n">
        <f aca="false">E2044*E2044</f>
        <v>1</v>
      </c>
      <c r="P2044" s="0" t="n">
        <f aca="false">F2044*F2044</f>
        <v>1</v>
      </c>
      <c r="Q2044" s="0" t="n">
        <f aca="false">SUMPRODUCT(G2044:P2044,_XtX!$B$71:$K$71)</f>
        <v>43.84203125</v>
      </c>
      <c r="R2044" s="0" t="n">
        <f aca="false">SUMPRODUCT(MMULT(G2044:P2044,_XtX!$B$58:$K$67),G2044:P2044)</f>
        <v>0.7115234375</v>
      </c>
      <c r="S2044" s="0" t="n">
        <f aca="false">04_回帰ANOVA!$K$19*04_回帰ANOVA!$K$14*SQRT(1+R2044)</f>
        <v>1.21634860506574</v>
      </c>
      <c r="T2044" s="0" t="n">
        <f aca="false">Q2044-S2044</f>
        <v>42.6256826449343</v>
      </c>
      <c r="U2044" s="0" t="n">
        <f aca="false">Q2044+S2044</f>
        <v>45.0583798550658</v>
      </c>
      <c r="V2044" s="54" t="b">
        <f aca="false">AND(D2044&gt;=01_因子設定!$L$5-0.000000001,D2044&lt;=01_因子設定!$M$5+0.000000001,E2044&gt;=01_因子設定!$L$6-0.000000001,E2044&lt;=01_因子設定!$M$6+0.000000001,F2044&gt;=01_因子設定!$L$7-0.000000001,F2044&lt;=01_因子設定!$M$7+0.000000001,IF(01_因子設定!$B$20="Box-Behnken",D2044^2+E2044^2+F2044^2&lt;=2+0.000000001,TRUE()))</f>
        <v>1</v>
      </c>
      <c r="W2044" s="55" t="n">
        <f aca="false">IF(V2044,IF(01_因子設定!$B$13="最大化",T2044-01_因子設定!$B$14,IF(01_因子設定!$B$13="最小化",01_因子設定!$B$15-U2044,MIN(T2044-01_因子設定!$B$14,01_因子設定!$B$15-U2044))),-1E+030)</f>
        <v>-5.8743173550657</v>
      </c>
      <c r="X2044" s="55" t="n">
        <f aca="false">IF(V2044,IF(01_因子設定!$B$13="最大化",Q2044,IF(01_因子設定!$B$13="最小化",-Q2044,-ABS(Q2044-01_因子設定!$B$16))),-1E+030)</f>
        <v>43.84203125</v>
      </c>
      <c r="Y2044" s="55" t="n">
        <f aca="false">W2044+ROW()*0.000000001</f>
        <v>-5.8743153110657</v>
      </c>
      <c r="Z2044" s="55" t="n">
        <f aca="false">X2044+ROW()*0.000000001</f>
        <v>43.842033294</v>
      </c>
    </row>
    <row r="2045" customFormat="false" ht="15" hidden="false" customHeight="false" outlineLevel="0" collapsed="false">
      <c r="A2045" s="0" t="n">
        <v>7</v>
      </c>
      <c r="B2045" s="0" t="n">
        <v>1</v>
      </c>
      <c r="C2045" s="0" t="n">
        <v>0</v>
      </c>
      <c r="D2045" s="0" t="n">
        <f aca="false">-1+A2045*0.125</f>
        <v>-0.125</v>
      </c>
      <c r="E2045" s="0" t="n">
        <f aca="false">-1+B2045*0.125</f>
        <v>-0.875</v>
      </c>
      <c r="F2045" s="0" t="n">
        <f aca="false">-1+C2045*0.125</f>
        <v>-1</v>
      </c>
      <c r="G2045" s="0" t="n">
        <f aca="false">1</f>
        <v>1</v>
      </c>
      <c r="H2045" s="0" t="n">
        <f aca="false">D2045</f>
        <v>-0.125</v>
      </c>
      <c r="I2045" s="0" t="n">
        <f aca="false">E2045</f>
        <v>-0.875</v>
      </c>
      <c r="J2045" s="0" t="n">
        <f aca="false">F2045</f>
        <v>-1</v>
      </c>
      <c r="K2045" s="0" t="n">
        <f aca="false">D2045*E2045</f>
        <v>0.109375</v>
      </c>
      <c r="L2045" s="0" t="n">
        <f aca="false">D2045*F2045</f>
        <v>0.125</v>
      </c>
      <c r="M2045" s="0" t="n">
        <f aca="false">E2045*F2045</f>
        <v>0.875</v>
      </c>
      <c r="N2045" s="0" t="n">
        <f aca="false">D2045*D2045</f>
        <v>0.015625</v>
      </c>
      <c r="O2045" s="0" t="n">
        <f aca="false">E2045*E2045</f>
        <v>0.765625</v>
      </c>
      <c r="P2045" s="0" t="n">
        <f aca="false">F2045*F2045</f>
        <v>1</v>
      </c>
      <c r="Q2045" s="0" t="n">
        <f aca="false">SUMPRODUCT(G2045:P2045,_XtX!$B$71:$K$71)</f>
        <v>42.6030326704546</v>
      </c>
      <c r="R2045" s="0" t="n">
        <f aca="false">SUMPRODUCT(MMULT(G2045:P2045,_XtX!$B$58:$K$67),G2045:P2045)</f>
        <v>0.59407792524858</v>
      </c>
      <c r="S2045" s="0" t="n">
        <f aca="false">04_回帰ANOVA!$K$19*04_回帰ANOVA!$K$14*SQRT(1+R2045)</f>
        <v>1.17387380087722</v>
      </c>
      <c r="T2045" s="0" t="n">
        <f aca="false">Q2045-S2045</f>
        <v>41.4291588695774</v>
      </c>
      <c r="U2045" s="0" t="n">
        <f aca="false">Q2045+S2045</f>
        <v>43.7769064713318</v>
      </c>
      <c r="V2045" s="54" t="b">
        <f aca="false">AND(D2045&gt;=01_因子設定!$L$5-0.000000001,D2045&lt;=01_因子設定!$M$5+0.000000001,E2045&gt;=01_因子設定!$L$6-0.000000001,E2045&lt;=01_因子設定!$M$6+0.000000001,F2045&gt;=01_因子設定!$L$7-0.000000001,F2045&lt;=01_因子設定!$M$7+0.000000001,IF(01_因子設定!$B$20="Box-Behnken",D2045^2+E2045^2+F2045^2&lt;=2+0.000000001,TRUE()))</f>
        <v>1</v>
      </c>
      <c r="W2045" s="55" t="n">
        <f aca="false">IF(V2045,IF(01_因子設定!$B$13="最大化",T2045-01_因子設定!$B$14,IF(01_因子設定!$B$13="最小化",01_因子設定!$B$15-U2045,MIN(T2045-01_因子設定!$B$14,01_因子設定!$B$15-U2045))),-1E+030)</f>
        <v>-7.07084113042264</v>
      </c>
      <c r="X2045" s="55" t="n">
        <f aca="false">IF(V2045,IF(01_因子設定!$B$13="最大化",Q2045,IF(01_因子設定!$B$13="最小化",-Q2045,-ABS(Q2045-01_因子設定!$B$16))),-1E+030)</f>
        <v>42.6030326704546</v>
      </c>
      <c r="Y2045" s="55" t="n">
        <f aca="false">W2045+ROW()*0.000000001</f>
        <v>-7.07083908542264</v>
      </c>
      <c r="Z2045" s="55" t="n">
        <f aca="false">X2045+ROW()*0.000000001</f>
        <v>42.6030347154546</v>
      </c>
    </row>
    <row r="2046" customFormat="false" ht="15" hidden="false" customHeight="false" outlineLevel="0" collapsed="false">
      <c r="A2046" s="0" t="n">
        <v>7</v>
      </c>
      <c r="B2046" s="0" t="n">
        <v>1</v>
      </c>
      <c r="C2046" s="0" t="n">
        <v>1</v>
      </c>
      <c r="D2046" s="0" t="n">
        <f aca="false">-1+A2046*0.125</f>
        <v>-0.125</v>
      </c>
      <c r="E2046" s="0" t="n">
        <f aca="false">-1+B2046*0.125</f>
        <v>-0.875</v>
      </c>
      <c r="F2046" s="0" t="n">
        <f aca="false">-1+C2046*0.125</f>
        <v>-0.875</v>
      </c>
      <c r="G2046" s="0" t="n">
        <f aca="false">1</f>
        <v>1</v>
      </c>
      <c r="H2046" s="0" t="n">
        <f aca="false">D2046</f>
        <v>-0.125</v>
      </c>
      <c r="I2046" s="0" t="n">
        <f aca="false">E2046</f>
        <v>-0.875</v>
      </c>
      <c r="J2046" s="0" t="n">
        <f aca="false">F2046</f>
        <v>-0.875</v>
      </c>
      <c r="K2046" s="0" t="n">
        <f aca="false">D2046*E2046</f>
        <v>0.109375</v>
      </c>
      <c r="L2046" s="0" t="n">
        <f aca="false">D2046*F2046</f>
        <v>0.109375</v>
      </c>
      <c r="M2046" s="0" t="n">
        <f aca="false">E2046*F2046</f>
        <v>0.765625</v>
      </c>
      <c r="N2046" s="0" t="n">
        <f aca="false">D2046*D2046</f>
        <v>0.015625</v>
      </c>
      <c r="O2046" s="0" t="n">
        <f aca="false">E2046*E2046</f>
        <v>0.765625</v>
      </c>
      <c r="P2046" s="0" t="n">
        <f aca="false">F2046*F2046</f>
        <v>0.765625</v>
      </c>
      <c r="Q2046" s="0" t="n">
        <f aca="false">SUMPRODUCT(G2046:P2046,_XtX!$B$71:$K$71)</f>
        <v>43.0045809659091</v>
      </c>
      <c r="R2046" s="0" t="n">
        <f aca="false">SUMPRODUCT(MMULT(G2046:P2046,_XtX!$B$58:$K$67),G2046:P2046)</f>
        <v>0.468517511541193</v>
      </c>
      <c r="S2046" s="0" t="n">
        <f aca="false">04_回帰ANOVA!$K$19*04_回帰ANOVA!$K$14*SQRT(1+R2046)</f>
        <v>1.12669456902645</v>
      </c>
      <c r="T2046" s="0" t="n">
        <f aca="false">Q2046-S2046</f>
        <v>41.8778863968827</v>
      </c>
      <c r="U2046" s="0" t="n">
        <f aca="false">Q2046+S2046</f>
        <v>44.1312755349356</v>
      </c>
      <c r="V2046" s="54" t="b">
        <f aca="false">AND(D2046&gt;=01_因子設定!$L$5-0.000000001,D2046&lt;=01_因子設定!$M$5+0.000000001,E2046&gt;=01_因子設定!$L$6-0.000000001,E2046&lt;=01_因子設定!$M$6+0.000000001,F2046&gt;=01_因子設定!$L$7-0.000000001,F2046&lt;=01_因子設定!$M$7+0.000000001,IF(01_因子設定!$B$20="Box-Behnken",D2046^2+E2046^2+F2046^2&lt;=2+0.000000001,TRUE()))</f>
        <v>1</v>
      </c>
      <c r="W2046" s="55" t="n">
        <f aca="false">IF(V2046,IF(01_因子設定!$B$13="最大化",T2046-01_因子設定!$B$14,IF(01_因子設定!$B$13="最小化",01_因子設定!$B$15-U2046,MIN(T2046-01_因子設定!$B$14,01_因子設定!$B$15-U2046))),-1E+030)</f>
        <v>-6.62211360311733</v>
      </c>
      <c r="X2046" s="55" t="n">
        <f aca="false">IF(V2046,IF(01_因子設定!$B$13="最大化",Q2046,IF(01_因子設定!$B$13="最小化",-Q2046,-ABS(Q2046-01_因子設定!$B$16))),-1E+030)</f>
        <v>43.0045809659091</v>
      </c>
      <c r="Y2046" s="55" t="n">
        <f aca="false">W2046+ROW()*0.000000001</f>
        <v>-6.62211155711734</v>
      </c>
      <c r="Z2046" s="55" t="n">
        <f aca="false">X2046+ROW()*0.000000001</f>
        <v>43.0045830119091</v>
      </c>
    </row>
    <row r="2047" customFormat="false" ht="15" hidden="false" customHeight="false" outlineLevel="0" collapsed="false">
      <c r="A2047" s="0" t="n">
        <v>7</v>
      </c>
      <c r="B2047" s="0" t="n">
        <v>1</v>
      </c>
      <c r="C2047" s="0" t="n">
        <v>2</v>
      </c>
      <c r="D2047" s="0" t="n">
        <f aca="false">-1+A2047*0.125</f>
        <v>-0.125</v>
      </c>
      <c r="E2047" s="0" t="n">
        <f aca="false">-1+B2047*0.125</f>
        <v>-0.875</v>
      </c>
      <c r="F2047" s="0" t="n">
        <f aca="false">-1+C2047*0.125</f>
        <v>-0.75</v>
      </c>
      <c r="G2047" s="0" t="n">
        <f aca="false">1</f>
        <v>1</v>
      </c>
      <c r="H2047" s="0" t="n">
        <f aca="false">D2047</f>
        <v>-0.125</v>
      </c>
      <c r="I2047" s="0" t="n">
        <f aca="false">E2047</f>
        <v>-0.875</v>
      </c>
      <c r="J2047" s="0" t="n">
        <f aca="false">F2047</f>
        <v>-0.75</v>
      </c>
      <c r="K2047" s="0" t="n">
        <f aca="false">D2047*E2047</f>
        <v>0.109375</v>
      </c>
      <c r="L2047" s="0" t="n">
        <f aca="false">D2047*F2047</f>
        <v>0.09375</v>
      </c>
      <c r="M2047" s="0" t="n">
        <f aca="false">E2047*F2047</f>
        <v>0.65625</v>
      </c>
      <c r="N2047" s="0" t="n">
        <f aca="false">D2047*D2047</f>
        <v>0.015625</v>
      </c>
      <c r="O2047" s="0" t="n">
        <f aca="false">E2047*E2047</f>
        <v>0.765625</v>
      </c>
      <c r="P2047" s="0" t="n">
        <f aca="false">F2047*F2047</f>
        <v>0.5625</v>
      </c>
      <c r="Q2047" s="0" t="n">
        <f aca="false">SUMPRODUCT(G2047:P2047,_XtX!$B$71:$K$71)</f>
        <v>43.3693394886364</v>
      </c>
      <c r="R2047" s="0" t="n">
        <f aca="false">SUMPRODUCT(MMULT(G2047:P2047,_XtX!$B$58:$K$67),G2047:P2047)</f>
        <v>0.392013827237216</v>
      </c>
      <c r="S2047" s="0" t="n">
        <f aca="false">04_回帰ANOVA!$K$19*04_回帰ANOVA!$K$14*SQRT(1+R2047)</f>
        <v>1.09695398627251</v>
      </c>
      <c r="T2047" s="0" t="n">
        <f aca="false">Q2047-S2047</f>
        <v>42.2723855023639</v>
      </c>
      <c r="U2047" s="0" t="n">
        <f aca="false">Q2047+S2047</f>
        <v>44.4662934749089</v>
      </c>
      <c r="V2047" s="54" t="b">
        <f aca="false">AND(D2047&gt;=01_因子設定!$L$5-0.000000001,D2047&lt;=01_因子設定!$M$5+0.000000001,E2047&gt;=01_因子設定!$L$6-0.000000001,E2047&lt;=01_因子設定!$M$6+0.000000001,F2047&gt;=01_因子設定!$L$7-0.000000001,F2047&lt;=01_因子設定!$M$7+0.000000001,IF(01_因子設定!$B$20="Box-Behnken",D2047^2+E2047^2+F2047^2&lt;=2+0.000000001,TRUE()))</f>
        <v>1</v>
      </c>
      <c r="W2047" s="55" t="n">
        <f aca="false">IF(V2047,IF(01_因子設定!$B$13="最大化",T2047-01_因子設定!$B$14,IF(01_因子設定!$B$13="最小化",01_因子設定!$B$15-U2047,MIN(T2047-01_因子設定!$B$14,01_因子設定!$B$15-U2047))),-1E+030)</f>
        <v>-6.22761449763613</v>
      </c>
      <c r="X2047" s="55" t="n">
        <f aca="false">IF(V2047,IF(01_因子設定!$B$13="最大化",Q2047,IF(01_因子設定!$B$13="最小化",-Q2047,-ABS(Q2047-01_因子設定!$B$16))),-1E+030)</f>
        <v>43.3693394886364</v>
      </c>
      <c r="Y2047" s="55" t="n">
        <f aca="false">W2047+ROW()*0.000000001</f>
        <v>-6.22761245063613</v>
      </c>
      <c r="Z2047" s="55" t="n">
        <f aca="false">X2047+ROW()*0.000000001</f>
        <v>43.3693415356364</v>
      </c>
    </row>
    <row r="2048" customFormat="false" ht="15" hidden="false" customHeight="false" outlineLevel="0" collapsed="false">
      <c r="A2048" s="0" t="n">
        <v>7</v>
      </c>
      <c r="B2048" s="0" t="n">
        <v>1</v>
      </c>
      <c r="C2048" s="0" t="n">
        <v>3</v>
      </c>
      <c r="D2048" s="0" t="n">
        <f aca="false">-1+A2048*0.125</f>
        <v>-0.125</v>
      </c>
      <c r="E2048" s="0" t="n">
        <f aca="false">-1+B2048*0.125</f>
        <v>-0.875</v>
      </c>
      <c r="F2048" s="0" t="n">
        <f aca="false">-1+C2048*0.125</f>
        <v>-0.625</v>
      </c>
      <c r="G2048" s="0" t="n">
        <f aca="false">1</f>
        <v>1</v>
      </c>
      <c r="H2048" s="0" t="n">
        <f aca="false">D2048</f>
        <v>-0.125</v>
      </c>
      <c r="I2048" s="0" t="n">
        <f aca="false">E2048</f>
        <v>-0.875</v>
      </c>
      <c r="J2048" s="0" t="n">
        <f aca="false">F2048</f>
        <v>-0.625</v>
      </c>
      <c r="K2048" s="0" t="n">
        <f aca="false">D2048*E2048</f>
        <v>0.109375</v>
      </c>
      <c r="L2048" s="0" t="n">
        <f aca="false">D2048*F2048</f>
        <v>0.078125</v>
      </c>
      <c r="M2048" s="0" t="n">
        <f aca="false">E2048*F2048</f>
        <v>0.546875</v>
      </c>
      <c r="N2048" s="0" t="n">
        <f aca="false">D2048*D2048</f>
        <v>0.015625</v>
      </c>
      <c r="O2048" s="0" t="n">
        <f aca="false">E2048*E2048</f>
        <v>0.765625</v>
      </c>
      <c r="P2048" s="0" t="n">
        <f aca="false">F2048*F2048</f>
        <v>0.390625</v>
      </c>
      <c r="Q2048" s="0" t="n">
        <f aca="false">SUMPRODUCT(G2048:P2048,_XtX!$B$71:$K$71)</f>
        <v>43.6973082386364</v>
      </c>
      <c r="R2048" s="0" t="n">
        <f aca="false">SUMPRODUCT(MMULT(G2048:P2048,_XtX!$B$58:$K$67),G2048:P2048)</f>
        <v>0.350717440518466</v>
      </c>
      <c r="S2048" s="0" t="n">
        <f aca="false">04_回帰ANOVA!$K$19*04_回帰ANOVA!$K$14*SQRT(1+R2048)</f>
        <v>1.08056000737898</v>
      </c>
      <c r="T2048" s="0" t="n">
        <f aca="false">Q2048-S2048</f>
        <v>42.6167482312574</v>
      </c>
      <c r="U2048" s="0" t="n">
        <f aca="false">Q2048+S2048</f>
        <v>44.7778682460154</v>
      </c>
      <c r="V2048" s="54" t="b">
        <f aca="false">AND(D2048&gt;=01_因子設定!$L$5-0.000000001,D2048&lt;=01_因子設定!$M$5+0.000000001,E2048&gt;=01_因子設定!$L$6-0.000000001,E2048&lt;=01_因子設定!$M$6+0.000000001,F2048&gt;=01_因子設定!$L$7-0.000000001,F2048&lt;=01_因子設定!$M$7+0.000000001,IF(01_因子設定!$B$20="Box-Behnken",D2048^2+E2048^2+F2048^2&lt;=2+0.000000001,TRUE()))</f>
        <v>1</v>
      </c>
      <c r="W2048" s="55" t="n">
        <f aca="false">IF(V2048,IF(01_因子設定!$B$13="最大化",T2048-01_因子設定!$B$14,IF(01_因子設定!$B$13="最小化",01_因子設定!$B$15-U2048,MIN(T2048-01_因子設定!$B$14,01_因子設定!$B$15-U2048))),-1E+030)</f>
        <v>-5.8832517687426</v>
      </c>
      <c r="X2048" s="55" t="n">
        <f aca="false">IF(V2048,IF(01_因子設定!$B$13="最大化",Q2048,IF(01_因子設定!$B$13="最小化",-Q2048,-ABS(Q2048-01_因子設定!$B$16))),-1E+030)</f>
        <v>43.6973082386364</v>
      </c>
      <c r="Y2048" s="55" t="n">
        <f aca="false">W2048+ROW()*0.000000001</f>
        <v>-5.8832497207426</v>
      </c>
      <c r="Z2048" s="55" t="n">
        <f aca="false">X2048+ROW()*0.000000001</f>
        <v>43.6973102866364</v>
      </c>
    </row>
    <row r="2049" customFormat="false" ht="15" hidden="false" customHeight="false" outlineLevel="0" collapsed="false">
      <c r="A2049" s="0" t="n">
        <v>7</v>
      </c>
      <c r="B2049" s="0" t="n">
        <v>1</v>
      </c>
      <c r="C2049" s="0" t="n">
        <v>4</v>
      </c>
      <c r="D2049" s="0" t="n">
        <f aca="false">-1+A2049*0.125</f>
        <v>-0.125</v>
      </c>
      <c r="E2049" s="0" t="n">
        <f aca="false">-1+B2049*0.125</f>
        <v>-0.875</v>
      </c>
      <c r="F2049" s="0" t="n">
        <f aca="false">-1+C2049*0.125</f>
        <v>-0.5</v>
      </c>
      <c r="G2049" s="0" t="n">
        <f aca="false">1</f>
        <v>1</v>
      </c>
      <c r="H2049" s="0" t="n">
        <f aca="false">D2049</f>
        <v>-0.125</v>
      </c>
      <c r="I2049" s="0" t="n">
        <f aca="false">E2049</f>
        <v>-0.875</v>
      </c>
      <c r="J2049" s="0" t="n">
        <f aca="false">F2049</f>
        <v>-0.5</v>
      </c>
      <c r="K2049" s="0" t="n">
        <f aca="false">D2049*E2049</f>
        <v>0.109375</v>
      </c>
      <c r="L2049" s="0" t="n">
        <f aca="false">D2049*F2049</f>
        <v>0.0625</v>
      </c>
      <c r="M2049" s="0" t="n">
        <f aca="false">E2049*F2049</f>
        <v>0.4375</v>
      </c>
      <c r="N2049" s="0" t="n">
        <f aca="false">D2049*D2049</f>
        <v>0.015625</v>
      </c>
      <c r="O2049" s="0" t="n">
        <f aca="false">E2049*E2049</f>
        <v>0.765625</v>
      </c>
      <c r="P2049" s="0" t="n">
        <f aca="false">F2049*F2049</f>
        <v>0.25</v>
      </c>
      <c r="Q2049" s="0" t="n">
        <f aca="false">SUMPRODUCT(G2049:P2049,_XtX!$B$71:$K$71)</f>
        <v>43.9884872159091</v>
      </c>
      <c r="R2049" s="0" t="n">
        <f aca="false">SUMPRODUCT(MMULT(G2049:P2049,_XtX!$B$58:$K$67),G2049:P2049)</f>
        <v>0.332909601384943</v>
      </c>
      <c r="S2049" s="0" t="n">
        <f aca="false">04_回帰ANOVA!$K$19*04_回帰ANOVA!$K$14*SQRT(1+R2049)</f>
        <v>1.07341333007404</v>
      </c>
      <c r="T2049" s="0" t="n">
        <f aca="false">Q2049-S2049</f>
        <v>42.9150738858351</v>
      </c>
      <c r="U2049" s="0" t="n">
        <f aca="false">Q2049+S2049</f>
        <v>45.0619005459832</v>
      </c>
      <c r="V2049" s="54" t="b">
        <f aca="false">AND(D2049&gt;=01_因子設定!$L$5-0.000000001,D2049&lt;=01_因子設定!$M$5+0.000000001,E2049&gt;=01_因子設定!$L$6-0.000000001,E2049&lt;=01_因子設定!$M$6+0.000000001,F2049&gt;=01_因子設定!$L$7-0.000000001,F2049&lt;=01_因子設定!$M$7+0.000000001,IF(01_因子設定!$B$20="Box-Behnken",D2049^2+E2049^2+F2049^2&lt;=2+0.000000001,TRUE()))</f>
        <v>1</v>
      </c>
      <c r="W2049" s="55" t="n">
        <f aca="false">IF(V2049,IF(01_因子設定!$B$13="最大化",T2049-01_因子設定!$B$14,IF(01_因子設定!$B$13="最小化",01_因子設定!$B$15-U2049,MIN(T2049-01_因子設定!$B$14,01_因子設定!$B$15-U2049))),-1E+030)</f>
        <v>-5.58492611416493</v>
      </c>
      <c r="X2049" s="55" t="n">
        <f aca="false">IF(V2049,IF(01_因子設定!$B$13="最大化",Q2049,IF(01_因子設定!$B$13="最小化",-Q2049,-ABS(Q2049-01_因子設定!$B$16))),-1E+030)</f>
        <v>43.9884872159091</v>
      </c>
      <c r="Y2049" s="55" t="n">
        <f aca="false">W2049+ROW()*0.000000001</f>
        <v>-5.58492406516493</v>
      </c>
      <c r="Z2049" s="55" t="n">
        <f aca="false">X2049+ROW()*0.000000001</f>
        <v>43.9884892649091</v>
      </c>
    </row>
    <row r="2050" customFormat="false" ht="15" hidden="false" customHeight="false" outlineLevel="0" collapsed="false">
      <c r="A2050" s="0" t="n">
        <v>7</v>
      </c>
      <c r="B2050" s="0" t="n">
        <v>1</v>
      </c>
      <c r="C2050" s="0" t="n">
        <v>5</v>
      </c>
      <c r="D2050" s="0" t="n">
        <f aca="false">-1+A2050*0.125</f>
        <v>-0.125</v>
      </c>
      <c r="E2050" s="0" t="n">
        <f aca="false">-1+B2050*0.125</f>
        <v>-0.875</v>
      </c>
      <c r="F2050" s="0" t="n">
        <f aca="false">-1+C2050*0.125</f>
        <v>-0.375</v>
      </c>
      <c r="G2050" s="0" t="n">
        <f aca="false">1</f>
        <v>1</v>
      </c>
      <c r="H2050" s="0" t="n">
        <f aca="false">D2050</f>
        <v>-0.125</v>
      </c>
      <c r="I2050" s="0" t="n">
        <f aca="false">E2050</f>
        <v>-0.875</v>
      </c>
      <c r="J2050" s="0" t="n">
        <f aca="false">F2050</f>
        <v>-0.375</v>
      </c>
      <c r="K2050" s="0" t="n">
        <f aca="false">D2050*E2050</f>
        <v>0.109375</v>
      </c>
      <c r="L2050" s="0" t="n">
        <f aca="false">D2050*F2050</f>
        <v>0.046875</v>
      </c>
      <c r="M2050" s="0" t="n">
        <f aca="false">E2050*F2050</f>
        <v>0.328125</v>
      </c>
      <c r="N2050" s="0" t="n">
        <f aca="false">D2050*D2050</f>
        <v>0.015625</v>
      </c>
      <c r="O2050" s="0" t="n">
        <f aca="false">E2050*E2050</f>
        <v>0.765625</v>
      </c>
      <c r="P2050" s="0" t="n">
        <f aca="false">F2050*F2050</f>
        <v>0.140625</v>
      </c>
      <c r="Q2050" s="0" t="n">
        <f aca="false">SUMPRODUCT(G2050:P2050,_XtX!$B$71:$K$71)</f>
        <v>44.2428764204546</v>
      </c>
      <c r="R2050" s="0" t="n">
        <f aca="false">SUMPRODUCT(MMULT(G2050:P2050,_XtX!$B$58:$K$67),G2050:P2050)</f>
        <v>0.32900224165483</v>
      </c>
      <c r="S2050" s="0" t="n">
        <f aca="false">04_回帰ANOVA!$K$19*04_回帰ANOVA!$K$14*SQRT(1+R2050)</f>
        <v>1.07183884583628</v>
      </c>
      <c r="T2050" s="0" t="n">
        <f aca="false">Q2050-S2050</f>
        <v>43.1710375746183</v>
      </c>
      <c r="U2050" s="0" t="n">
        <f aca="false">Q2050+S2050</f>
        <v>45.3147152662908</v>
      </c>
      <c r="V2050" s="54" t="b">
        <f aca="false">AND(D2050&gt;=01_因子設定!$L$5-0.000000001,D2050&lt;=01_因子設定!$M$5+0.000000001,E2050&gt;=01_因子設定!$L$6-0.000000001,E2050&lt;=01_因子設定!$M$6+0.000000001,F2050&gt;=01_因子設定!$L$7-0.000000001,F2050&lt;=01_因子設定!$M$7+0.000000001,IF(01_因子設定!$B$20="Box-Behnken",D2050^2+E2050^2+F2050^2&lt;=2+0.000000001,TRUE()))</f>
        <v>1</v>
      </c>
      <c r="W2050" s="55" t="n">
        <f aca="false">IF(V2050,IF(01_因子設定!$B$13="最大化",T2050-01_因子設定!$B$14,IF(01_因子設定!$B$13="最小化",01_因子設定!$B$15-U2050,MIN(T2050-01_因子設定!$B$14,01_因子設定!$B$15-U2050))),-1E+030)</f>
        <v>-5.32896242538172</v>
      </c>
      <c r="X2050" s="55" t="n">
        <f aca="false">IF(V2050,IF(01_因子設定!$B$13="最大化",Q2050,IF(01_因子設定!$B$13="最小化",-Q2050,-ABS(Q2050-01_因子設定!$B$16))),-1E+030)</f>
        <v>44.2428764204546</v>
      </c>
      <c r="Y2050" s="55" t="n">
        <f aca="false">W2050+ROW()*0.000000001</f>
        <v>-5.32896037538172</v>
      </c>
      <c r="Z2050" s="55" t="n">
        <f aca="false">X2050+ROW()*0.000000001</f>
        <v>44.2428784704546</v>
      </c>
    </row>
    <row r="2051" customFormat="false" ht="15" hidden="false" customHeight="false" outlineLevel="0" collapsed="false">
      <c r="A2051" s="0" t="n">
        <v>7</v>
      </c>
      <c r="B2051" s="0" t="n">
        <v>1</v>
      </c>
      <c r="C2051" s="0" t="n">
        <v>6</v>
      </c>
      <c r="D2051" s="0" t="n">
        <f aca="false">-1+A2051*0.125</f>
        <v>-0.125</v>
      </c>
      <c r="E2051" s="0" t="n">
        <f aca="false">-1+B2051*0.125</f>
        <v>-0.875</v>
      </c>
      <c r="F2051" s="0" t="n">
        <f aca="false">-1+C2051*0.125</f>
        <v>-0.25</v>
      </c>
      <c r="G2051" s="0" t="n">
        <f aca="false">1</f>
        <v>1</v>
      </c>
      <c r="H2051" s="0" t="n">
        <f aca="false">D2051</f>
        <v>-0.125</v>
      </c>
      <c r="I2051" s="0" t="n">
        <f aca="false">E2051</f>
        <v>-0.875</v>
      </c>
      <c r="J2051" s="0" t="n">
        <f aca="false">F2051</f>
        <v>-0.25</v>
      </c>
      <c r="K2051" s="0" t="n">
        <f aca="false">D2051*E2051</f>
        <v>0.109375</v>
      </c>
      <c r="L2051" s="0" t="n">
        <f aca="false">D2051*F2051</f>
        <v>0.03125</v>
      </c>
      <c r="M2051" s="0" t="n">
        <f aca="false">E2051*F2051</f>
        <v>0.21875</v>
      </c>
      <c r="N2051" s="0" t="n">
        <f aca="false">D2051*D2051</f>
        <v>0.015625</v>
      </c>
      <c r="O2051" s="0" t="n">
        <f aca="false">E2051*E2051</f>
        <v>0.765625</v>
      </c>
      <c r="P2051" s="0" t="n">
        <f aca="false">F2051*F2051</f>
        <v>0.0625</v>
      </c>
      <c r="Q2051" s="0" t="n">
        <f aca="false">SUMPRODUCT(G2051:P2051,_XtX!$B$71:$K$71)</f>
        <v>44.4604758522727</v>
      </c>
      <c r="R2051" s="0" t="n">
        <f aca="false">SUMPRODUCT(MMULT(G2051:P2051,_XtX!$B$58:$K$67),G2051:P2051)</f>
        <v>0.331537974964489</v>
      </c>
      <c r="S2051" s="0" t="n">
        <f aca="false">04_回帰ANOVA!$K$19*04_回帰ANOVA!$K$14*SQRT(1+R2051)</f>
        <v>1.07286089161565</v>
      </c>
      <c r="T2051" s="0" t="n">
        <f aca="false">Q2051-S2051</f>
        <v>43.3876149606571</v>
      </c>
      <c r="U2051" s="0" t="n">
        <f aca="false">Q2051+S2051</f>
        <v>45.5333367438884</v>
      </c>
      <c r="V2051" s="54" t="b">
        <f aca="false">AND(D2051&gt;=01_因子設定!$L$5-0.000000001,D2051&lt;=01_因子設定!$M$5+0.000000001,E2051&gt;=01_因子設定!$L$6-0.000000001,E2051&lt;=01_因子設定!$M$6+0.000000001,F2051&gt;=01_因子設定!$L$7-0.000000001,F2051&lt;=01_因子設定!$M$7+0.000000001,IF(01_因子設定!$B$20="Box-Behnken",D2051^2+E2051^2+F2051^2&lt;=2+0.000000001,TRUE()))</f>
        <v>1</v>
      </c>
      <c r="W2051" s="55" t="n">
        <f aca="false">IF(V2051,IF(01_因子設定!$B$13="最大化",T2051-01_因子設定!$B$14,IF(01_因子設定!$B$13="最小化",01_因子設定!$B$15-U2051,MIN(T2051-01_因子設定!$B$14,01_因子設定!$B$15-U2051))),-1E+030)</f>
        <v>-5.11238503934292</v>
      </c>
      <c r="X2051" s="55" t="n">
        <f aca="false">IF(V2051,IF(01_因子設定!$B$13="最大化",Q2051,IF(01_因子設定!$B$13="最小化",-Q2051,-ABS(Q2051-01_因子設定!$B$16))),-1E+030)</f>
        <v>44.4604758522727</v>
      </c>
      <c r="Y2051" s="55" t="n">
        <f aca="false">W2051+ROW()*0.000000001</f>
        <v>-5.11238298834292</v>
      </c>
      <c r="Z2051" s="55" t="n">
        <f aca="false">X2051+ROW()*0.000000001</f>
        <v>44.4604779032727</v>
      </c>
    </row>
    <row r="2052" customFormat="false" ht="15" hidden="false" customHeight="false" outlineLevel="0" collapsed="false">
      <c r="A2052" s="0" t="n">
        <v>7</v>
      </c>
      <c r="B2052" s="0" t="n">
        <v>1</v>
      </c>
      <c r="C2052" s="0" t="n">
        <v>7</v>
      </c>
      <c r="D2052" s="0" t="n">
        <f aca="false">-1+A2052*0.125</f>
        <v>-0.125</v>
      </c>
      <c r="E2052" s="0" t="n">
        <f aca="false">-1+B2052*0.125</f>
        <v>-0.875</v>
      </c>
      <c r="F2052" s="0" t="n">
        <f aca="false">-1+C2052*0.125</f>
        <v>-0.125</v>
      </c>
      <c r="G2052" s="0" t="n">
        <f aca="false">1</f>
        <v>1</v>
      </c>
      <c r="H2052" s="0" t="n">
        <f aca="false">D2052</f>
        <v>-0.125</v>
      </c>
      <c r="I2052" s="0" t="n">
        <f aca="false">E2052</f>
        <v>-0.875</v>
      </c>
      <c r="J2052" s="0" t="n">
        <f aca="false">F2052</f>
        <v>-0.125</v>
      </c>
      <c r="K2052" s="0" t="n">
        <f aca="false">D2052*E2052</f>
        <v>0.109375</v>
      </c>
      <c r="L2052" s="0" t="n">
        <f aca="false">D2052*F2052</f>
        <v>0.015625</v>
      </c>
      <c r="M2052" s="0" t="n">
        <f aca="false">E2052*F2052</f>
        <v>0.109375</v>
      </c>
      <c r="N2052" s="0" t="n">
        <f aca="false">D2052*D2052</f>
        <v>0.015625</v>
      </c>
      <c r="O2052" s="0" t="n">
        <f aca="false">E2052*E2052</f>
        <v>0.765625</v>
      </c>
      <c r="P2052" s="0" t="n">
        <f aca="false">F2052*F2052</f>
        <v>0.015625</v>
      </c>
      <c r="Q2052" s="0" t="n">
        <f aca="false">SUMPRODUCT(G2052:P2052,_XtX!$B$71:$K$71)</f>
        <v>44.6412855113637</v>
      </c>
      <c r="R2052" s="0" t="n">
        <f aca="false">SUMPRODUCT(MMULT(G2052:P2052,_XtX!$B$58:$K$67),G2052:P2052)</f>
        <v>0.335190096768466</v>
      </c>
      <c r="S2052" s="0" t="n">
        <f aca="false">04_回帰ANOVA!$K$19*04_回帰ANOVA!$K$14*SQRT(1+R2052)</f>
        <v>1.07433119726947</v>
      </c>
      <c r="T2052" s="0" t="n">
        <f aca="false">Q2052-S2052</f>
        <v>43.5669543140942</v>
      </c>
      <c r="U2052" s="0" t="n">
        <f aca="false">Q2052+S2052</f>
        <v>45.7156167086331</v>
      </c>
      <c r="V2052" s="54" t="b">
        <f aca="false">AND(D2052&gt;=01_因子設定!$L$5-0.000000001,D2052&lt;=01_因子設定!$M$5+0.000000001,E2052&gt;=01_因子設定!$L$6-0.000000001,E2052&lt;=01_因子設定!$M$6+0.000000001,F2052&gt;=01_因子設定!$L$7-0.000000001,F2052&lt;=01_因子設定!$M$7+0.000000001,IF(01_因子設定!$B$20="Box-Behnken",D2052^2+E2052^2+F2052^2&lt;=2+0.000000001,TRUE()))</f>
        <v>1</v>
      </c>
      <c r="W2052" s="55" t="n">
        <f aca="false">IF(V2052,IF(01_因子設定!$B$13="最大化",T2052-01_因子設定!$B$14,IF(01_因子設定!$B$13="最小化",01_因子設定!$B$15-U2052,MIN(T2052-01_因子設定!$B$14,01_因子設定!$B$15-U2052))),-1E+030)</f>
        <v>-4.93304568590582</v>
      </c>
      <c r="X2052" s="55" t="n">
        <f aca="false">IF(V2052,IF(01_因子設定!$B$13="最大化",Q2052,IF(01_因子設定!$B$13="最小化",-Q2052,-ABS(Q2052-01_因子設定!$B$16))),-1E+030)</f>
        <v>44.6412855113637</v>
      </c>
      <c r="Y2052" s="55" t="n">
        <f aca="false">W2052+ROW()*0.000000001</f>
        <v>-4.93304363390582</v>
      </c>
      <c r="Z2052" s="55" t="n">
        <f aca="false">X2052+ROW()*0.000000001</f>
        <v>44.6412875633637</v>
      </c>
    </row>
    <row r="2053" customFormat="false" ht="15" hidden="false" customHeight="false" outlineLevel="0" collapsed="false">
      <c r="A2053" s="0" t="n">
        <v>7</v>
      </c>
      <c r="B2053" s="0" t="n">
        <v>1</v>
      </c>
      <c r="C2053" s="0" t="n">
        <v>8</v>
      </c>
      <c r="D2053" s="0" t="n">
        <f aca="false">-1+A2053*0.125</f>
        <v>-0.125</v>
      </c>
      <c r="E2053" s="0" t="n">
        <f aca="false">-1+B2053*0.125</f>
        <v>-0.875</v>
      </c>
      <c r="F2053" s="0" t="n">
        <f aca="false">-1+C2053*0.125</f>
        <v>0</v>
      </c>
      <c r="G2053" s="0" t="n">
        <f aca="false">1</f>
        <v>1</v>
      </c>
      <c r="H2053" s="0" t="n">
        <f aca="false">D2053</f>
        <v>-0.125</v>
      </c>
      <c r="I2053" s="0" t="n">
        <f aca="false">E2053</f>
        <v>-0.875</v>
      </c>
      <c r="J2053" s="0" t="n">
        <f aca="false">F2053</f>
        <v>0</v>
      </c>
      <c r="K2053" s="0" t="n">
        <f aca="false">D2053*E2053</f>
        <v>0.109375</v>
      </c>
      <c r="L2053" s="0" t="n">
        <f aca="false">D2053*F2053</f>
        <v>-0</v>
      </c>
      <c r="M2053" s="0" t="n">
        <f aca="false">E2053*F2053</f>
        <v>-0</v>
      </c>
      <c r="N2053" s="0" t="n">
        <f aca="false">D2053*D2053</f>
        <v>0.015625</v>
      </c>
      <c r="O2053" s="0" t="n">
        <f aca="false">E2053*E2053</f>
        <v>0.765625</v>
      </c>
      <c r="P2053" s="0" t="n">
        <f aca="false">F2053*F2053</f>
        <v>0</v>
      </c>
      <c r="Q2053" s="0" t="n">
        <f aca="false">SUMPRODUCT(G2053:P2053,_XtX!$B$71:$K$71)</f>
        <v>44.7853053977273</v>
      </c>
      <c r="R2053" s="0" t="n">
        <f aca="false">SUMPRODUCT(MMULT(G2053:P2053,_XtX!$B$58:$K$67),G2053:P2053)</f>
        <v>0.336762584339489</v>
      </c>
      <c r="S2053" s="0" t="n">
        <f aca="false">04_回帰ANOVA!$K$19*04_回帰ANOVA!$K$14*SQRT(1+R2053)</f>
        <v>1.07496364479411</v>
      </c>
      <c r="T2053" s="0" t="n">
        <f aca="false">Q2053-S2053</f>
        <v>43.7103417529332</v>
      </c>
      <c r="U2053" s="0" t="n">
        <f aca="false">Q2053+S2053</f>
        <v>45.8602690425214</v>
      </c>
      <c r="V2053" s="54" t="b">
        <f aca="false">AND(D2053&gt;=01_因子設定!$L$5-0.000000001,D2053&lt;=01_因子設定!$M$5+0.000000001,E2053&gt;=01_因子設定!$L$6-0.000000001,E2053&lt;=01_因子設定!$M$6+0.000000001,F2053&gt;=01_因子設定!$L$7-0.000000001,F2053&lt;=01_因子設定!$M$7+0.000000001,IF(01_因子設定!$B$20="Box-Behnken",D2053^2+E2053^2+F2053^2&lt;=2+0.000000001,TRUE()))</f>
        <v>1</v>
      </c>
      <c r="W2053" s="55" t="n">
        <f aca="false">IF(V2053,IF(01_因子設定!$B$13="最大化",T2053-01_因子設定!$B$14,IF(01_因子設定!$B$13="最小化",01_因子設定!$B$15-U2053,MIN(T2053-01_因子設定!$B$14,01_因子設定!$B$15-U2053))),-1E+030)</f>
        <v>-4.78965824706683</v>
      </c>
      <c r="X2053" s="55" t="n">
        <f aca="false">IF(V2053,IF(01_因子設定!$B$13="最大化",Q2053,IF(01_因子設定!$B$13="最小化",-Q2053,-ABS(Q2053-01_因子設定!$B$16))),-1E+030)</f>
        <v>44.7853053977273</v>
      </c>
      <c r="Y2053" s="55" t="n">
        <f aca="false">W2053+ROW()*0.000000001</f>
        <v>-4.78965619406683</v>
      </c>
      <c r="Z2053" s="55" t="n">
        <f aca="false">X2053+ROW()*0.000000001</f>
        <v>44.7853074507273</v>
      </c>
    </row>
    <row r="2054" customFormat="false" ht="15" hidden="false" customHeight="false" outlineLevel="0" collapsed="false">
      <c r="A2054" s="0" t="n">
        <v>7</v>
      </c>
      <c r="B2054" s="0" t="n">
        <v>1</v>
      </c>
      <c r="C2054" s="0" t="n">
        <v>9</v>
      </c>
      <c r="D2054" s="0" t="n">
        <f aca="false">-1+A2054*0.125</f>
        <v>-0.125</v>
      </c>
      <c r="E2054" s="0" t="n">
        <f aca="false">-1+B2054*0.125</f>
        <v>-0.875</v>
      </c>
      <c r="F2054" s="0" t="n">
        <f aca="false">-1+C2054*0.125</f>
        <v>0.125</v>
      </c>
      <c r="G2054" s="0" t="n">
        <f aca="false">1</f>
        <v>1</v>
      </c>
      <c r="H2054" s="0" t="n">
        <f aca="false">D2054</f>
        <v>-0.125</v>
      </c>
      <c r="I2054" s="0" t="n">
        <f aca="false">E2054</f>
        <v>-0.875</v>
      </c>
      <c r="J2054" s="0" t="n">
        <f aca="false">F2054</f>
        <v>0.125</v>
      </c>
      <c r="K2054" s="0" t="n">
        <f aca="false">D2054*E2054</f>
        <v>0.109375</v>
      </c>
      <c r="L2054" s="0" t="n">
        <f aca="false">D2054*F2054</f>
        <v>-0.015625</v>
      </c>
      <c r="M2054" s="0" t="n">
        <f aca="false">E2054*F2054</f>
        <v>-0.109375</v>
      </c>
      <c r="N2054" s="0" t="n">
        <f aca="false">D2054*D2054</f>
        <v>0.015625</v>
      </c>
      <c r="O2054" s="0" t="n">
        <f aca="false">E2054*E2054</f>
        <v>0.765625</v>
      </c>
      <c r="P2054" s="0" t="n">
        <f aca="false">F2054*F2054</f>
        <v>0.015625</v>
      </c>
      <c r="Q2054" s="0" t="n">
        <f aca="false">SUMPRODUCT(G2054:P2054,_XtX!$B$71:$K$71)</f>
        <v>44.8925355113637</v>
      </c>
      <c r="R2054" s="0" t="n">
        <f aca="false">SUMPRODUCT(MMULT(G2054:P2054,_XtX!$B$58:$K$67),G2054:P2054)</f>
        <v>0.335190096768466</v>
      </c>
      <c r="S2054" s="0" t="n">
        <f aca="false">04_回帰ANOVA!$K$19*04_回帰ANOVA!$K$14*SQRT(1+R2054)</f>
        <v>1.07433119726947</v>
      </c>
      <c r="T2054" s="0" t="n">
        <f aca="false">Q2054-S2054</f>
        <v>43.8182043140942</v>
      </c>
      <c r="U2054" s="0" t="n">
        <f aca="false">Q2054+S2054</f>
        <v>45.9668667086331</v>
      </c>
      <c r="V2054" s="54" t="b">
        <f aca="false">AND(D2054&gt;=01_因子設定!$L$5-0.000000001,D2054&lt;=01_因子設定!$M$5+0.000000001,E2054&gt;=01_因子設定!$L$6-0.000000001,E2054&lt;=01_因子設定!$M$6+0.000000001,F2054&gt;=01_因子設定!$L$7-0.000000001,F2054&lt;=01_因子設定!$M$7+0.000000001,IF(01_因子設定!$B$20="Box-Behnken",D2054^2+E2054^2+F2054^2&lt;=2+0.000000001,TRUE()))</f>
        <v>1</v>
      </c>
      <c r="W2054" s="55" t="n">
        <f aca="false">IF(V2054,IF(01_因子設定!$B$13="最大化",T2054-01_因子設定!$B$14,IF(01_因子設定!$B$13="最小化",01_因子設定!$B$15-U2054,MIN(T2054-01_因子設定!$B$14,01_因子設定!$B$15-U2054))),-1E+030)</f>
        <v>-4.68179568590582</v>
      </c>
      <c r="X2054" s="55" t="n">
        <f aca="false">IF(V2054,IF(01_因子設定!$B$13="最大化",Q2054,IF(01_因子設定!$B$13="最小化",-Q2054,-ABS(Q2054-01_因子設定!$B$16))),-1E+030)</f>
        <v>44.8925355113637</v>
      </c>
      <c r="Y2054" s="55" t="n">
        <f aca="false">W2054+ROW()*0.000000001</f>
        <v>-4.68179363190582</v>
      </c>
      <c r="Z2054" s="55" t="n">
        <f aca="false">X2054+ROW()*0.000000001</f>
        <v>44.8925375653637</v>
      </c>
    </row>
    <row r="2055" customFormat="false" ht="15" hidden="false" customHeight="false" outlineLevel="0" collapsed="false">
      <c r="A2055" s="0" t="n">
        <v>7</v>
      </c>
      <c r="B2055" s="0" t="n">
        <v>1</v>
      </c>
      <c r="C2055" s="0" t="n">
        <v>10</v>
      </c>
      <c r="D2055" s="0" t="n">
        <f aca="false">-1+A2055*0.125</f>
        <v>-0.125</v>
      </c>
      <c r="E2055" s="0" t="n">
        <f aca="false">-1+B2055*0.125</f>
        <v>-0.875</v>
      </c>
      <c r="F2055" s="0" t="n">
        <f aca="false">-1+C2055*0.125</f>
        <v>0.25</v>
      </c>
      <c r="G2055" s="0" t="n">
        <f aca="false">1</f>
        <v>1</v>
      </c>
      <c r="H2055" s="0" t="n">
        <f aca="false">D2055</f>
        <v>-0.125</v>
      </c>
      <c r="I2055" s="0" t="n">
        <f aca="false">E2055</f>
        <v>-0.875</v>
      </c>
      <c r="J2055" s="0" t="n">
        <f aca="false">F2055</f>
        <v>0.25</v>
      </c>
      <c r="K2055" s="0" t="n">
        <f aca="false">D2055*E2055</f>
        <v>0.109375</v>
      </c>
      <c r="L2055" s="0" t="n">
        <f aca="false">D2055*F2055</f>
        <v>-0.03125</v>
      </c>
      <c r="M2055" s="0" t="n">
        <f aca="false">E2055*F2055</f>
        <v>-0.21875</v>
      </c>
      <c r="N2055" s="0" t="n">
        <f aca="false">D2055*D2055</f>
        <v>0.015625</v>
      </c>
      <c r="O2055" s="0" t="n">
        <f aca="false">E2055*E2055</f>
        <v>0.765625</v>
      </c>
      <c r="P2055" s="0" t="n">
        <f aca="false">F2055*F2055</f>
        <v>0.0625</v>
      </c>
      <c r="Q2055" s="0" t="n">
        <f aca="false">SUMPRODUCT(G2055:P2055,_XtX!$B$71:$K$71)</f>
        <v>44.9629758522727</v>
      </c>
      <c r="R2055" s="0" t="n">
        <f aca="false">SUMPRODUCT(MMULT(G2055:P2055,_XtX!$B$58:$K$67),G2055:P2055)</f>
        <v>0.331537974964489</v>
      </c>
      <c r="S2055" s="0" t="n">
        <f aca="false">04_回帰ANOVA!$K$19*04_回帰ANOVA!$K$14*SQRT(1+R2055)</f>
        <v>1.07286089161565</v>
      </c>
      <c r="T2055" s="0" t="n">
        <f aca="false">Q2055-S2055</f>
        <v>43.8901149606571</v>
      </c>
      <c r="U2055" s="0" t="n">
        <f aca="false">Q2055+S2055</f>
        <v>46.0358367438884</v>
      </c>
      <c r="V2055" s="54" t="b">
        <f aca="false">AND(D2055&gt;=01_因子設定!$L$5-0.000000001,D2055&lt;=01_因子設定!$M$5+0.000000001,E2055&gt;=01_因子設定!$L$6-0.000000001,E2055&lt;=01_因子設定!$M$6+0.000000001,F2055&gt;=01_因子設定!$L$7-0.000000001,F2055&lt;=01_因子設定!$M$7+0.000000001,IF(01_因子設定!$B$20="Box-Behnken",D2055^2+E2055^2+F2055^2&lt;=2+0.000000001,TRUE()))</f>
        <v>1</v>
      </c>
      <c r="W2055" s="55" t="n">
        <f aca="false">IF(V2055,IF(01_因子設定!$B$13="最大化",T2055-01_因子設定!$B$14,IF(01_因子設定!$B$13="最小化",01_因子設定!$B$15-U2055,MIN(T2055-01_因子設定!$B$14,01_因子設定!$B$15-U2055))),-1E+030)</f>
        <v>-4.60988503934291</v>
      </c>
      <c r="X2055" s="55" t="n">
        <f aca="false">IF(V2055,IF(01_因子設定!$B$13="最大化",Q2055,IF(01_因子設定!$B$13="最小化",-Q2055,-ABS(Q2055-01_因子設定!$B$16))),-1E+030)</f>
        <v>44.9629758522727</v>
      </c>
      <c r="Y2055" s="55" t="n">
        <f aca="false">W2055+ROW()*0.000000001</f>
        <v>-4.60988298434291</v>
      </c>
      <c r="Z2055" s="55" t="n">
        <f aca="false">X2055+ROW()*0.000000001</f>
        <v>44.9629779072727</v>
      </c>
    </row>
    <row r="2056" customFormat="false" ht="15" hidden="false" customHeight="false" outlineLevel="0" collapsed="false">
      <c r="A2056" s="0" t="n">
        <v>7</v>
      </c>
      <c r="B2056" s="0" t="n">
        <v>1</v>
      </c>
      <c r="C2056" s="0" t="n">
        <v>11</v>
      </c>
      <c r="D2056" s="0" t="n">
        <f aca="false">-1+A2056*0.125</f>
        <v>-0.125</v>
      </c>
      <c r="E2056" s="0" t="n">
        <f aca="false">-1+B2056*0.125</f>
        <v>-0.875</v>
      </c>
      <c r="F2056" s="0" t="n">
        <f aca="false">-1+C2056*0.125</f>
        <v>0.375</v>
      </c>
      <c r="G2056" s="0" t="n">
        <f aca="false">1</f>
        <v>1</v>
      </c>
      <c r="H2056" s="0" t="n">
        <f aca="false">D2056</f>
        <v>-0.125</v>
      </c>
      <c r="I2056" s="0" t="n">
        <f aca="false">E2056</f>
        <v>-0.875</v>
      </c>
      <c r="J2056" s="0" t="n">
        <f aca="false">F2056</f>
        <v>0.375</v>
      </c>
      <c r="K2056" s="0" t="n">
        <f aca="false">D2056*E2056</f>
        <v>0.109375</v>
      </c>
      <c r="L2056" s="0" t="n">
        <f aca="false">D2056*F2056</f>
        <v>-0.046875</v>
      </c>
      <c r="M2056" s="0" t="n">
        <f aca="false">E2056*F2056</f>
        <v>-0.328125</v>
      </c>
      <c r="N2056" s="0" t="n">
        <f aca="false">D2056*D2056</f>
        <v>0.015625</v>
      </c>
      <c r="O2056" s="0" t="n">
        <f aca="false">E2056*E2056</f>
        <v>0.765625</v>
      </c>
      <c r="P2056" s="0" t="n">
        <f aca="false">F2056*F2056</f>
        <v>0.140625</v>
      </c>
      <c r="Q2056" s="0" t="n">
        <f aca="false">SUMPRODUCT(G2056:P2056,_XtX!$B$71:$K$71)</f>
        <v>44.9966264204546</v>
      </c>
      <c r="R2056" s="0" t="n">
        <f aca="false">SUMPRODUCT(MMULT(G2056:P2056,_XtX!$B$58:$K$67),G2056:P2056)</f>
        <v>0.32900224165483</v>
      </c>
      <c r="S2056" s="0" t="n">
        <f aca="false">04_回帰ANOVA!$K$19*04_回帰ANOVA!$K$14*SQRT(1+R2056)</f>
        <v>1.07183884583628</v>
      </c>
      <c r="T2056" s="0" t="n">
        <f aca="false">Q2056-S2056</f>
        <v>43.9247875746183</v>
      </c>
      <c r="U2056" s="0" t="n">
        <f aca="false">Q2056+S2056</f>
        <v>46.0684652662908</v>
      </c>
      <c r="V2056" s="54" t="b">
        <f aca="false">AND(D2056&gt;=01_因子設定!$L$5-0.000000001,D2056&lt;=01_因子設定!$M$5+0.000000001,E2056&gt;=01_因子設定!$L$6-0.000000001,E2056&lt;=01_因子設定!$M$6+0.000000001,F2056&gt;=01_因子設定!$L$7-0.000000001,F2056&lt;=01_因子設定!$M$7+0.000000001,IF(01_因子設定!$B$20="Box-Behnken",D2056^2+E2056^2+F2056^2&lt;=2+0.000000001,TRUE()))</f>
        <v>1</v>
      </c>
      <c r="W2056" s="55" t="n">
        <f aca="false">IF(V2056,IF(01_因子設定!$B$13="最大化",T2056-01_因子設定!$B$14,IF(01_因子設定!$B$13="最小化",01_因子設定!$B$15-U2056,MIN(T2056-01_因子設定!$B$14,01_因子設定!$B$15-U2056))),-1E+030)</f>
        <v>-4.57521242538172</v>
      </c>
      <c r="X2056" s="55" t="n">
        <f aca="false">IF(V2056,IF(01_因子設定!$B$13="最大化",Q2056,IF(01_因子設定!$B$13="最小化",-Q2056,-ABS(Q2056-01_因子設定!$B$16))),-1E+030)</f>
        <v>44.9966264204546</v>
      </c>
      <c r="Y2056" s="55" t="n">
        <f aca="false">W2056+ROW()*0.000000001</f>
        <v>-4.57521036938172</v>
      </c>
      <c r="Z2056" s="55" t="n">
        <f aca="false">X2056+ROW()*0.000000001</f>
        <v>44.9966284764546</v>
      </c>
    </row>
    <row r="2057" customFormat="false" ht="15" hidden="false" customHeight="false" outlineLevel="0" collapsed="false">
      <c r="A2057" s="0" t="n">
        <v>7</v>
      </c>
      <c r="B2057" s="0" t="n">
        <v>1</v>
      </c>
      <c r="C2057" s="0" t="n">
        <v>12</v>
      </c>
      <c r="D2057" s="0" t="n">
        <f aca="false">-1+A2057*0.125</f>
        <v>-0.125</v>
      </c>
      <c r="E2057" s="0" t="n">
        <f aca="false">-1+B2057*0.125</f>
        <v>-0.875</v>
      </c>
      <c r="F2057" s="0" t="n">
        <f aca="false">-1+C2057*0.125</f>
        <v>0.5</v>
      </c>
      <c r="G2057" s="0" t="n">
        <f aca="false">1</f>
        <v>1</v>
      </c>
      <c r="H2057" s="0" t="n">
        <f aca="false">D2057</f>
        <v>-0.125</v>
      </c>
      <c r="I2057" s="0" t="n">
        <f aca="false">E2057</f>
        <v>-0.875</v>
      </c>
      <c r="J2057" s="0" t="n">
        <f aca="false">F2057</f>
        <v>0.5</v>
      </c>
      <c r="K2057" s="0" t="n">
        <f aca="false">D2057*E2057</f>
        <v>0.109375</v>
      </c>
      <c r="L2057" s="0" t="n">
        <f aca="false">D2057*F2057</f>
        <v>-0.0625</v>
      </c>
      <c r="M2057" s="0" t="n">
        <f aca="false">E2057*F2057</f>
        <v>-0.4375</v>
      </c>
      <c r="N2057" s="0" t="n">
        <f aca="false">D2057*D2057</f>
        <v>0.015625</v>
      </c>
      <c r="O2057" s="0" t="n">
        <f aca="false">E2057*E2057</f>
        <v>0.765625</v>
      </c>
      <c r="P2057" s="0" t="n">
        <f aca="false">F2057*F2057</f>
        <v>0.25</v>
      </c>
      <c r="Q2057" s="0" t="n">
        <f aca="false">SUMPRODUCT(G2057:P2057,_XtX!$B$71:$K$71)</f>
        <v>44.9934872159091</v>
      </c>
      <c r="R2057" s="0" t="n">
        <f aca="false">SUMPRODUCT(MMULT(G2057:P2057,_XtX!$B$58:$K$67),G2057:P2057)</f>
        <v>0.332909601384943</v>
      </c>
      <c r="S2057" s="0" t="n">
        <f aca="false">04_回帰ANOVA!$K$19*04_回帰ANOVA!$K$14*SQRT(1+R2057)</f>
        <v>1.07341333007404</v>
      </c>
      <c r="T2057" s="0" t="n">
        <f aca="false">Q2057-S2057</f>
        <v>43.9200738858351</v>
      </c>
      <c r="U2057" s="0" t="n">
        <f aca="false">Q2057+S2057</f>
        <v>46.0669005459831</v>
      </c>
      <c r="V2057" s="54" t="b">
        <f aca="false">AND(D2057&gt;=01_因子設定!$L$5-0.000000001,D2057&lt;=01_因子設定!$M$5+0.000000001,E2057&gt;=01_因子設定!$L$6-0.000000001,E2057&lt;=01_因子設定!$M$6+0.000000001,F2057&gt;=01_因子設定!$L$7-0.000000001,F2057&lt;=01_因子設定!$M$7+0.000000001,IF(01_因子設定!$B$20="Box-Behnken",D2057^2+E2057^2+F2057^2&lt;=2+0.000000001,TRUE()))</f>
        <v>1</v>
      </c>
      <c r="W2057" s="55" t="n">
        <f aca="false">IF(V2057,IF(01_因子設定!$B$13="最大化",T2057-01_因子設定!$B$14,IF(01_因子設定!$B$13="最小化",01_因子設定!$B$15-U2057,MIN(T2057-01_因子設定!$B$14,01_因子設定!$B$15-U2057))),-1E+030)</f>
        <v>-4.57992611416493</v>
      </c>
      <c r="X2057" s="55" t="n">
        <f aca="false">IF(V2057,IF(01_因子設定!$B$13="最大化",Q2057,IF(01_因子設定!$B$13="最小化",-Q2057,-ABS(Q2057-01_因子設定!$B$16))),-1E+030)</f>
        <v>44.9934872159091</v>
      </c>
      <c r="Y2057" s="55" t="n">
        <f aca="false">W2057+ROW()*0.000000001</f>
        <v>-4.57992405716493</v>
      </c>
      <c r="Z2057" s="55" t="n">
        <f aca="false">X2057+ROW()*0.000000001</f>
        <v>44.9934892729091</v>
      </c>
    </row>
    <row r="2058" customFormat="false" ht="15" hidden="false" customHeight="false" outlineLevel="0" collapsed="false">
      <c r="A2058" s="0" t="n">
        <v>7</v>
      </c>
      <c r="B2058" s="0" t="n">
        <v>1</v>
      </c>
      <c r="C2058" s="0" t="n">
        <v>13</v>
      </c>
      <c r="D2058" s="0" t="n">
        <f aca="false">-1+A2058*0.125</f>
        <v>-0.125</v>
      </c>
      <c r="E2058" s="0" t="n">
        <f aca="false">-1+B2058*0.125</f>
        <v>-0.875</v>
      </c>
      <c r="F2058" s="0" t="n">
        <f aca="false">-1+C2058*0.125</f>
        <v>0.625</v>
      </c>
      <c r="G2058" s="0" t="n">
        <f aca="false">1</f>
        <v>1</v>
      </c>
      <c r="H2058" s="0" t="n">
        <f aca="false">D2058</f>
        <v>-0.125</v>
      </c>
      <c r="I2058" s="0" t="n">
        <f aca="false">E2058</f>
        <v>-0.875</v>
      </c>
      <c r="J2058" s="0" t="n">
        <f aca="false">F2058</f>
        <v>0.625</v>
      </c>
      <c r="K2058" s="0" t="n">
        <f aca="false">D2058*E2058</f>
        <v>0.109375</v>
      </c>
      <c r="L2058" s="0" t="n">
        <f aca="false">D2058*F2058</f>
        <v>-0.078125</v>
      </c>
      <c r="M2058" s="0" t="n">
        <f aca="false">E2058*F2058</f>
        <v>-0.546875</v>
      </c>
      <c r="N2058" s="0" t="n">
        <f aca="false">D2058*D2058</f>
        <v>0.015625</v>
      </c>
      <c r="O2058" s="0" t="n">
        <f aca="false">E2058*E2058</f>
        <v>0.765625</v>
      </c>
      <c r="P2058" s="0" t="n">
        <f aca="false">F2058*F2058</f>
        <v>0.390625</v>
      </c>
      <c r="Q2058" s="0" t="n">
        <f aca="false">SUMPRODUCT(G2058:P2058,_XtX!$B$71:$K$71)</f>
        <v>44.9535582386364</v>
      </c>
      <c r="R2058" s="0" t="n">
        <f aca="false">SUMPRODUCT(MMULT(G2058:P2058,_XtX!$B$58:$K$67),G2058:P2058)</f>
        <v>0.350717440518466</v>
      </c>
      <c r="S2058" s="0" t="n">
        <f aca="false">04_回帰ANOVA!$K$19*04_回帰ANOVA!$K$14*SQRT(1+R2058)</f>
        <v>1.08056000737898</v>
      </c>
      <c r="T2058" s="0" t="n">
        <f aca="false">Q2058-S2058</f>
        <v>43.8729982312574</v>
      </c>
      <c r="U2058" s="0" t="n">
        <f aca="false">Q2058+S2058</f>
        <v>46.0341182460154</v>
      </c>
      <c r="V2058" s="54" t="b">
        <f aca="false">AND(D2058&gt;=01_因子設定!$L$5-0.000000001,D2058&lt;=01_因子設定!$M$5+0.000000001,E2058&gt;=01_因子設定!$L$6-0.000000001,E2058&lt;=01_因子設定!$M$6+0.000000001,F2058&gt;=01_因子設定!$L$7-0.000000001,F2058&lt;=01_因子設定!$M$7+0.000000001,IF(01_因子設定!$B$20="Box-Behnken",D2058^2+E2058^2+F2058^2&lt;=2+0.000000001,TRUE()))</f>
        <v>1</v>
      </c>
      <c r="W2058" s="55" t="n">
        <f aca="false">IF(V2058,IF(01_因子設定!$B$13="最大化",T2058-01_因子設定!$B$14,IF(01_因子設定!$B$13="最小化",01_因子設定!$B$15-U2058,MIN(T2058-01_因子設定!$B$14,01_因子設定!$B$15-U2058))),-1E+030)</f>
        <v>-4.6270017687426</v>
      </c>
      <c r="X2058" s="55" t="n">
        <f aca="false">IF(V2058,IF(01_因子設定!$B$13="最大化",Q2058,IF(01_因子設定!$B$13="最小化",-Q2058,-ABS(Q2058-01_因子設定!$B$16))),-1E+030)</f>
        <v>44.9535582386364</v>
      </c>
      <c r="Y2058" s="55" t="n">
        <f aca="false">W2058+ROW()*0.000000001</f>
        <v>-4.6269997107426</v>
      </c>
      <c r="Z2058" s="55" t="n">
        <f aca="false">X2058+ROW()*0.000000001</f>
        <v>44.9535602966364</v>
      </c>
    </row>
    <row r="2059" customFormat="false" ht="15" hidden="false" customHeight="false" outlineLevel="0" collapsed="false">
      <c r="A2059" s="0" t="n">
        <v>7</v>
      </c>
      <c r="B2059" s="0" t="n">
        <v>1</v>
      </c>
      <c r="C2059" s="0" t="n">
        <v>14</v>
      </c>
      <c r="D2059" s="0" t="n">
        <f aca="false">-1+A2059*0.125</f>
        <v>-0.125</v>
      </c>
      <c r="E2059" s="0" t="n">
        <f aca="false">-1+B2059*0.125</f>
        <v>-0.875</v>
      </c>
      <c r="F2059" s="0" t="n">
        <f aca="false">-1+C2059*0.125</f>
        <v>0.75</v>
      </c>
      <c r="G2059" s="0" t="n">
        <f aca="false">1</f>
        <v>1</v>
      </c>
      <c r="H2059" s="0" t="n">
        <f aca="false">D2059</f>
        <v>-0.125</v>
      </c>
      <c r="I2059" s="0" t="n">
        <f aca="false">E2059</f>
        <v>-0.875</v>
      </c>
      <c r="J2059" s="0" t="n">
        <f aca="false">F2059</f>
        <v>0.75</v>
      </c>
      <c r="K2059" s="0" t="n">
        <f aca="false">D2059*E2059</f>
        <v>0.109375</v>
      </c>
      <c r="L2059" s="0" t="n">
        <f aca="false">D2059*F2059</f>
        <v>-0.09375</v>
      </c>
      <c r="M2059" s="0" t="n">
        <f aca="false">E2059*F2059</f>
        <v>-0.65625</v>
      </c>
      <c r="N2059" s="0" t="n">
        <f aca="false">D2059*D2059</f>
        <v>0.015625</v>
      </c>
      <c r="O2059" s="0" t="n">
        <f aca="false">E2059*E2059</f>
        <v>0.765625</v>
      </c>
      <c r="P2059" s="0" t="n">
        <f aca="false">F2059*F2059</f>
        <v>0.5625</v>
      </c>
      <c r="Q2059" s="0" t="n">
        <f aca="false">SUMPRODUCT(G2059:P2059,_XtX!$B$71:$K$71)</f>
        <v>44.8768394886364</v>
      </c>
      <c r="R2059" s="0" t="n">
        <f aca="false">SUMPRODUCT(MMULT(G2059:P2059,_XtX!$B$58:$K$67),G2059:P2059)</f>
        <v>0.392013827237216</v>
      </c>
      <c r="S2059" s="0" t="n">
        <f aca="false">04_回帰ANOVA!$K$19*04_回帰ANOVA!$K$14*SQRT(1+R2059)</f>
        <v>1.09695398627251</v>
      </c>
      <c r="T2059" s="0" t="n">
        <f aca="false">Q2059-S2059</f>
        <v>43.7798855023639</v>
      </c>
      <c r="U2059" s="0" t="n">
        <f aca="false">Q2059+S2059</f>
        <v>45.9737934749089</v>
      </c>
      <c r="V2059" s="54" t="b">
        <f aca="false">AND(D2059&gt;=01_因子設定!$L$5-0.000000001,D2059&lt;=01_因子設定!$M$5+0.000000001,E2059&gt;=01_因子設定!$L$6-0.000000001,E2059&lt;=01_因子設定!$M$6+0.000000001,F2059&gt;=01_因子設定!$L$7-0.000000001,F2059&lt;=01_因子設定!$M$7+0.000000001,IF(01_因子設定!$B$20="Box-Behnken",D2059^2+E2059^2+F2059^2&lt;=2+0.000000001,TRUE()))</f>
        <v>1</v>
      </c>
      <c r="W2059" s="55" t="n">
        <f aca="false">IF(V2059,IF(01_因子設定!$B$13="最大化",T2059-01_因子設定!$B$14,IF(01_因子設定!$B$13="最小化",01_因子設定!$B$15-U2059,MIN(T2059-01_因子設定!$B$14,01_因子設定!$B$15-U2059))),-1E+030)</f>
        <v>-4.72011449763613</v>
      </c>
      <c r="X2059" s="55" t="n">
        <f aca="false">IF(V2059,IF(01_因子設定!$B$13="最大化",Q2059,IF(01_因子設定!$B$13="最小化",-Q2059,-ABS(Q2059-01_因子設定!$B$16))),-1E+030)</f>
        <v>44.8768394886364</v>
      </c>
      <c r="Y2059" s="55" t="n">
        <f aca="false">W2059+ROW()*0.000000001</f>
        <v>-4.72011243863613</v>
      </c>
      <c r="Z2059" s="55" t="n">
        <f aca="false">X2059+ROW()*0.000000001</f>
        <v>44.8768415476364</v>
      </c>
    </row>
    <row r="2060" customFormat="false" ht="15" hidden="false" customHeight="false" outlineLevel="0" collapsed="false">
      <c r="A2060" s="0" t="n">
        <v>7</v>
      </c>
      <c r="B2060" s="0" t="n">
        <v>1</v>
      </c>
      <c r="C2060" s="0" t="n">
        <v>15</v>
      </c>
      <c r="D2060" s="0" t="n">
        <f aca="false">-1+A2060*0.125</f>
        <v>-0.125</v>
      </c>
      <c r="E2060" s="0" t="n">
        <f aca="false">-1+B2060*0.125</f>
        <v>-0.875</v>
      </c>
      <c r="F2060" s="0" t="n">
        <f aca="false">-1+C2060*0.125</f>
        <v>0.875</v>
      </c>
      <c r="G2060" s="0" t="n">
        <f aca="false">1</f>
        <v>1</v>
      </c>
      <c r="H2060" s="0" t="n">
        <f aca="false">D2060</f>
        <v>-0.125</v>
      </c>
      <c r="I2060" s="0" t="n">
        <f aca="false">E2060</f>
        <v>-0.875</v>
      </c>
      <c r="J2060" s="0" t="n">
        <f aca="false">F2060</f>
        <v>0.875</v>
      </c>
      <c r="K2060" s="0" t="n">
        <f aca="false">D2060*E2060</f>
        <v>0.109375</v>
      </c>
      <c r="L2060" s="0" t="n">
        <f aca="false">D2060*F2060</f>
        <v>-0.109375</v>
      </c>
      <c r="M2060" s="0" t="n">
        <f aca="false">E2060*F2060</f>
        <v>-0.765625</v>
      </c>
      <c r="N2060" s="0" t="n">
        <f aca="false">D2060*D2060</f>
        <v>0.015625</v>
      </c>
      <c r="O2060" s="0" t="n">
        <f aca="false">E2060*E2060</f>
        <v>0.765625</v>
      </c>
      <c r="P2060" s="0" t="n">
        <f aca="false">F2060*F2060</f>
        <v>0.765625</v>
      </c>
      <c r="Q2060" s="0" t="n">
        <f aca="false">SUMPRODUCT(G2060:P2060,_XtX!$B$71:$K$71)</f>
        <v>44.7633309659091</v>
      </c>
      <c r="R2060" s="0" t="n">
        <f aca="false">SUMPRODUCT(MMULT(G2060:P2060,_XtX!$B$58:$K$67),G2060:P2060)</f>
        <v>0.468517511541193</v>
      </c>
      <c r="S2060" s="0" t="n">
        <f aca="false">04_回帰ANOVA!$K$19*04_回帰ANOVA!$K$14*SQRT(1+R2060)</f>
        <v>1.12669456902645</v>
      </c>
      <c r="T2060" s="0" t="n">
        <f aca="false">Q2060-S2060</f>
        <v>43.6366363968827</v>
      </c>
      <c r="U2060" s="0" t="n">
        <f aca="false">Q2060+S2060</f>
        <v>45.8900255349356</v>
      </c>
      <c r="V2060" s="54" t="b">
        <f aca="false">AND(D2060&gt;=01_因子設定!$L$5-0.000000001,D2060&lt;=01_因子設定!$M$5+0.000000001,E2060&gt;=01_因子設定!$L$6-0.000000001,E2060&lt;=01_因子設定!$M$6+0.000000001,F2060&gt;=01_因子設定!$L$7-0.000000001,F2060&lt;=01_因子設定!$M$7+0.000000001,IF(01_因子設定!$B$20="Box-Behnken",D2060^2+E2060^2+F2060^2&lt;=2+0.000000001,TRUE()))</f>
        <v>1</v>
      </c>
      <c r="W2060" s="55" t="n">
        <f aca="false">IF(V2060,IF(01_因子設定!$B$13="最大化",T2060-01_因子設定!$B$14,IF(01_因子設定!$B$13="最小化",01_因子設定!$B$15-U2060,MIN(T2060-01_因子設定!$B$14,01_因子設定!$B$15-U2060))),-1E+030)</f>
        <v>-4.86336360311733</v>
      </c>
      <c r="X2060" s="55" t="n">
        <f aca="false">IF(V2060,IF(01_因子設定!$B$13="最大化",Q2060,IF(01_因子設定!$B$13="最小化",-Q2060,-ABS(Q2060-01_因子設定!$B$16))),-1E+030)</f>
        <v>44.7633309659091</v>
      </c>
      <c r="Y2060" s="55" t="n">
        <f aca="false">W2060+ROW()*0.000000001</f>
        <v>-4.86336154311733</v>
      </c>
      <c r="Z2060" s="55" t="n">
        <f aca="false">X2060+ROW()*0.000000001</f>
        <v>44.7633330259091</v>
      </c>
    </row>
    <row r="2061" customFormat="false" ht="15" hidden="false" customHeight="false" outlineLevel="0" collapsed="false">
      <c r="A2061" s="0" t="n">
        <v>7</v>
      </c>
      <c r="B2061" s="0" t="n">
        <v>1</v>
      </c>
      <c r="C2061" s="0" t="n">
        <v>16</v>
      </c>
      <c r="D2061" s="0" t="n">
        <f aca="false">-1+A2061*0.125</f>
        <v>-0.125</v>
      </c>
      <c r="E2061" s="0" t="n">
        <f aca="false">-1+B2061*0.125</f>
        <v>-0.875</v>
      </c>
      <c r="F2061" s="0" t="n">
        <f aca="false">-1+C2061*0.125</f>
        <v>1</v>
      </c>
      <c r="G2061" s="0" t="n">
        <f aca="false">1</f>
        <v>1</v>
      </c>
      <c r="H2061" s="0" t="n">
        <f aca="false">D2061</f>
        <v>-0.125</v>
      </c>
      <c r="I2061" s="0" t="n">
        <f aca="false">E2061</f>
        <v>-0.875</v>
      </c>
      <c r="J2061" s="0" t="n">
        <f aca="false">F2061</f>
        <v>1</v>
      </c>
      <c r="K2061" s="0" t="n">
        <f aca="false">D2061*E2061</f>
        <v>0.109375</v>
      </c>
      <c r="L2061" s="0" t="n">
        <f aca="false">D2061*F2061</f>
        <v>-0.125</v>
      </c>
      <c r="M2061" s="0" t="n">
        <f aca="false">E2061*F2061</f>
        <v>-0.875</v>
      </c>
      <c r="N2061" s="0" t="n">
        <f aca="false">D2061*D2061</f>
        <v>0.015625</v>
      </c>
      <c r="O2061" s="0" t="n">
        <f aca="false">E2061*E2061</f>
        <v>0.765625</v>
      </c>
      <c r="P2061" s="0" t="n">
        <f aca="false">F2061*F2061</f>
        <v>1</v>
      </c>
      <c r="Q2061" s="0" t="n">
        <f aca="false">SUMPRODUCT(G2061:P2061,_XtX!$B$71:$K$71)</f>
        <v>44.6130326704546</v>
      </c>
      <c r="R2061" s="0" t="n">
        <f aca="false">SUMPRODUCT(MMULT(G2061:P2061,_XtX!$B$58:$K$67),G2061:P2061)</f>
        <v>0.59407792524858</v>
      </c>
      <c r="S2061" s="0" t="n">
        <f aca="false">04_回帰ANOVA!$K$19*04_回帰ANOVA!$K$14*SQRT(1+R2061)</f>
        <v>1.17387380087722</v>
      </c>
      <c r="T2061" s="0" t="n">
        <f aca="false">Q2061-S2061</f>
        <v>43.4391588695774</v>
      </c>
      <c r="U2061" s="0" t="n">
        <f aca="false">Q2061+S2061</f>
        <v>45.7869064713318</v>
      </c>
      <c r="V2061" s="54" t="b">
        <f aca="false">AND(D2061&gt;=01_因子設定!$L$5-0.000000001,D2061&lt;=01_因子設定!$M$5+0.000000001,E2061&gt;=01_因子設定!$L$6-0.000000001,E2061&lt;=01_因子設定!$M$6+0.000000001,F2061&gt;=01_因子設定!$L$7-0.000000001,F2061&lt;=01_因子設定!$M$7+0.000000001,IF(01_因子設定!$B$20="Box-Behnken",D2061^2+E2061^2+F2061^2&lt;=2+0.000000001,TRUE()))</f>
        <v>1</v>
      </c>
      <c r="W2061" s="55" t="n">
        <f aca="false">IF(V2061,IF(01_因子設定!$B$13="最大化",T2061-01_因子設定!$B$14,IF(01_因子設定!$B$13="最小化",01_因子設定!$B$15-U2061,MIN(T2061-01_因子設定!$B$14,01_因子設定!$B$15-U2061))),-1E+030)</f>
        <v>-5.06084113042265</v>
      </c>
      <c r="X2061" s="55" t="n">
        <f aca="false">IF(V2061,IF(01_因子設定!$B$13="最大化",Q2061,IF(01_因子設定!$B$13="最小化",-Q2061,-ABS(Q2061-01_因子設定!$B$16))),-1E+030)</f>
        <v>44.6130326704546</v>
      </c>
      <c r="Y2061" s="55" t="n">
        <f aca="false">W2061+ROW()*0.000000001</f>
        <v>-5.06083906942265</v>
      </c>
      <c r="Z2061" s="55" t="n">
        <f aca="false">X2061+ROW()*0.000000001</f>
        <v>44.6130347314546</v>
      </c>
    </row>
    <row r="2062" customFormat="false" ht="15" hidden="false" customHeight="false" outlineLevel="0" collapsed="false">
      <c r="A2062" s="0" t="n">
        <v>7</v>
      </c>
      <c r="B2062" s="0" t="n">
        <v>2</v>
      </c>
      <c r="C2062" s="0" t="n">
        <v>0</v>
      </c>
      <c r="D2062" s="0" t="n">
        <f aca="false">-1+A2062*0.125</f>
        <v>-0.125</v>
      </c>
      <c r="E2062" s="0" t="n">
        <f aca="false">-1+B2062*0.125</f>
        <v>-0.75</v>
      </c>
      <c r="F2062" s="0" t="n">
        <f aca="false">-1+C2062*0.125</f>
        <v>-1</v>
      </c>
      <c r="G2062" s="0" t="n">
        <f aca="false">1</f>
        <v>1</v>
      </c>
      <c r="H2062" s="0" t="n">
        <f aca="false">D2062</f>
        <v>-0.125</v>
      </c>
      <c r="I2062" s="0" t="n">
        <f aca="false">E2062</f>
        <v>-0.75</v>
      </c>
      <c r="J2062" s="0" t="n">
        <f aca="false">F2062</f>
        <v>-1</v>
      </c>
      <c r="K2062" s="0" t="n">
        <f aca="false">D2062*E2062</f>
        <v>0.09375</v>
      </c>
      <c r="L2062" s="0" t="n">
        <f aca="false">D2062*F2062</f>
        <v>0.125</v>
      </c>
      <c r="M2062" s="0" t="n">
        <f aca="false">E2062*F2062</f>
        <v>0.75</v>
      </c>
      <c r="N2062" s="0" t="n">
        <f aca="false">D2062*D2062</f>
        <v>0.015625</v>
      </c>
      <c r="O2062" s="0" t="n">
        <f aca="false">E2062*E2062</f>
        <v>0.5625</v>
      </c>
      <c r="P2062" s="0" t="n">
        <f aca="false">F2062*F2062</f>
        <v>1</v>
      </c>
      <c r="Q2062" s="0" t="n">
        <f aca="false">SUMPRODUCT(G2062:P2062,_XtX!$B$71:$K$71)</f>
        <v>43.1981818181819</v>
      </c>
      <c r="R2062" s="0" t="n">
        <f aca="false">SUMPRODUCT(MMULT(G2062:P2062,_XtX!$B$58:$K$67),G2062:P2062)</f>
        <v>0.524607155539773</v>
      </c>
      <c r="S2062" s="0" t="n">
        <f aca="false">04_回帰ANOVA!$K$19*04_回帰ANOVA!$K$14*SQRT(1+R2062)</f>
        <v>1.14800984623412</v>
      </c>
      <c r="T2062" s="0" t="n">
        <f aca="false">Q2062-S2062</f>
        <v>42.0501719719477</v>
      </c>
      <c r="U2062" s="0" t="n">
        <f aca="false">Q2062+S2062</f>
        <v>44.346191664416</v>
      </c>
      <c r="V2062" s="54" t="b">
        <f aca="false">AND(D2062&gt;=01_因子設定!$L$5-0.000000001,D2062&lt;=01_因子設定!$M$5+0.000000001,E2062&gt;=01_因子設定!$L$6-0.000000001,E2062&lt;=01_因子設定!$M$6+0.000000001,F2062&gt;=01_因子設定!$L$7-0.000000001,F2062&lt;=01_因子設定!$M$7+0.000000001,IF(01_因子設定!$B$20="Box-Behnken",D2062^2+E2062^2+F2062^2&lt;=2+0.000000001,TRUE()))</f>
        <v>1</v>
      </c>
      <c r="W2062" s="55" t="n">
        <f aca="false">IF(V2062,IF(01_因子設定!$B$13="最大化",T2062-01_因子設定!$B$14,IF(01_因子設定!$B$13="最小化",01_因子設定!$B$15-U2062,MIN(T2062-01_因子設定!$B$14,01_因子設定!$B$15-U2062))),-1E+030)</f>
        <v>-6.44982802805227</v>
      </c>
      <c r="X2062" s="55" t="n">
        <f aca="false">IF(V2062,IF(01_因子設定!$B$13="最大化",Q2062,IF(01_因子設定!$B$13="最小化",-Q2062,-ABS(Q2062-01_因子設定!$B$16))),-1E+030)</f>
        <v>43.1981818181819</v>
      </c>
      <c r="Y2062" s="55" t="n">
        <f aca="false">W2062+ROW()*0.000000001</f>
        <v>-6.44982596605227</v>
      </c>
      <c r="Z2062" s="55" t="n">
        <f aca="false">X2062+ROW()*0.000000001</f>
        <v>43.1981838801819</v>
      </c>
    </row>
    <row r="2063" customFormat="false" ht="15" hidden="false" customHeight="false" outlineLevel="0" collapsed="false">
      <c r="A2063" s="0" t="n">
        <v>7</v>
      </c>
      <c r="B2063" s="0" t="n">
        <v>2</v>
      </c>
      <c r="C2063" s="0" t="n">
        <v>1</v>
      </c>
      <c r="D2063" s="0" t="n">
        <f aca="false">-1+A2063*0.125</f>
        <v>-0.125</v>
      </c>
      <c r="E2063" s="0" t="n">
        <f aca="false">-1+B2063*0.125</f>
        <v>-0.75</v>
      </c>
      <c r="F2063" s="0" t="n">
        <f aca="false">-1+C2063*0.125</f>
        <v>-0.875</v>
      </c>
      <c r="G2063" s="0" t="n">
        <f aca="false">1</f>
        <v>1</v>
      </c>
      <c r="H2063" s="0" t="n">
        <f aca="false">D2063</f>
        <v>-0.125</v>
      </c>
      <c r="I2063" s="0" t="n">
        <f aca="false">E2063</f>
        <v>-0.75</v>
      </c>
      <c r="J2063" s="0" t="n">
        <f aca="false">F2063</f>
        <v>-0.875</v>
      </c>
      <c r="K2063" s="0" t="n">
        <f aca="false">D2063*E2063</f>
        <v>0.09375</v>
      </c>
      <c r="L2063" s="0" t="n">
        <f aca="false">D2063*F2063</f>
        <v>0.109375</v>
      </c>
      <c r="M2063" s="0" t="n">
        <f aca="false">E2063*F2063</f>
        <v>0.65625</v>
      </c>
      <c r="N2063" s="0" t="n">
        <f aca="false">D2063*D2063</f>
        <v>0.015625</v>
      </c>
      <c r="O2063" s="0" t="n">
        <f aca="false">E2063*E2063</f>
        <v>0.5625</v>
      </c>
      <c r="P2063" s="0" t="n">
        <f aca="false">F2063*F2063</f>
        <v>0.765625</v>
      </c>
      <c r="Q2063" s="0" t="n">
        <f aca="false">SUMPRODUCT(G2063:P2063,_XtX!$B$71:$K$71)</f>
        <v>43.6067613636364</v>
      </c>
      <c r="R2063" s="0" t="n">
        <f aca="false">SUMPRODUCT(MMULT(G2063:P2063,_XtX!$B$58:$K$67),G2063:P2063)</f>
        <v>0.392013827237216</v>
      </c>
      <c r="S2063" s="0" t="n">
        <f aca="false">04_回帰ANOVA!$K$19*04_回帰ANOVA!$K$14*SQRT(1+R2063)</f>
        <v>1.09695398627251</v>
      </c>
      <c r="T2063" s="0" t="n">
        <f aca="false">Q2063-S2063</f>
        <v>42.5098073773639</v>
      </c>
      <c r="U2063" s="0" t="n">
        <f aca="false">Q2063+S2063</f>
        <v>44.7037153499089</v>
      </c>
      <c r="V2063" s="54" t="b">
        <f aca="false">AND(D2063&gt;=01_因子設定!$L$5-0.000000001,D2063&lt;=01_因子設定!$M$5+0.000000001,E2063&gt;=01_因子設定!$L$6-0.000000001,E2063&lt;=01_因子設定!$M$6+0.000000001,F2063&gt;=01_因子設定!$L$7-0.000000001,F2063&lt;=01_因子設定!$M$7+0.000000001,IF(01_因子設定!$B$20="Box-Behnken",D2063^2+E2063^2+F2063^2&lt;=2+0.000000001,TRUE()))</f>
        <v>1</v>
      </c>
      <c r="W2063" s="55" t="n">
        <f aca="false">IF(V2063,IF(01_因子設定!$B$13="最大化",T2063-01_因子設定!$B$14,IF(01_因子設定!$B$13="最小化",01_因子設定!$B$15-U2063,MIN(T2063-01_因子設定!$B$14,01_因子設定!$B$15-U2063))),-1E+030)</f>
        <v>-5.99019262263612</v>
      </c>
      <c r="X2063" s="55" t="n">
        <f aca="false">IF(V2063,IF(01_因子設定!$B$13="最大化",Q2063,IF(01_因子設定!$B$13="最小化",-Q2063,-ABS(Q2063-01_因子設定!$B$16))),-1E+030)</f>
        <v>43.6067613636364</v>
      </c>
      <c r="Y2063" s="55" t="n">
        <f aca="false">W2063+ROW()*0.000000001</f>
        <v>-5.99019055963612</v>
      </c>
      <c r="Z2063" s="55" t="n">
        <f aca="false">X2063+ROW()*0.000000001</f>
        <v>43.6067634266364</v>
      </c>
    </row>
    <row r="2064" customFormat="false" ht="15" hidden="false" customHeight="false" outlineLevel="0" collapsed="false">
      <c r="A2064" s="0" t="n">
        <v>7</v>
      </c>
      <c r="B2064" s="0" t="n">
        <v>2</v>
      </c>
      <c r="C2064" s="0" t="n">
        <v>2</v>
      </c>
      <c r="D2064" s="0" t="n">
        <f aca="false">-1+A2064*0.125</f>
        <v>-0.125</v>
      </c>
      <c r="E2064" s="0" t="n">
        <f aca="false">-1+B2064*0.125</f>
        <v>-0.75</v>
      </c>
      <c r="F2064" s="0" t="n">
        <f aca="false">-1+C2064*0.125</f>
        <v>-0.75</v>
      </c>
      <c r="G2064" s="0" t="n">
        <f aca="false">1</f>
        <v>1</v>
      </c>
      <c r="H2064" s="0" t="n">
        <f aca="false">D2064</f>
        <v>-0.125</v>
      </c>
      <c r="I2064" s="0" t="n">
        <f aca="false">E2064</f>
        <v>-0.75</v>
      </c>
      <c r="J2064" s="0" t="n">
        <f aca="false">F2064</f>
        <v>-0.75</v>
      </c>
      <c r="K2064" s="0" t="n">
        <f aca="false">D2064*E2064</f>
        <v>0.09375</v>
      </c>
      <c r="L2064" s="0" t="n">
        <f aca="false">D2064*F2064</f>
        <v>0.09375</v>
      </c>
      <c r="M2064" s="0" t="n">
        <f aca="false">E2064*F2064</f>
        <v>0.5625</v>
      </c>
      <c r="N2064" s="0" t="n">
        <f aca="false">D2064*D2064</f>
        <v>0.015625</v>
      </c>
      <c r="O2064" s="0" t="n">
        <f aca="false">E2064*E2064</f>
        <v>0.5625</v>
      </c>
      <c r="P2064" s="0" t="n">
        <f aca="false">F2064*F2064</f>
        <v>0.5625</v>
      </c>
      <c r="Q2064" s="0" t="n">
        <f aca="false">SUMPRODUCT(G2064:P2064,_XtX!$B$71:$K$71)</f>
        <v>43.9785511363637</v>
      </c>
      <c r="R2064" s="0" t="n">
        <f aca="false">SUMPRODUCT(MMULT(G2064:P2064,_XtX!$B$58:$K$67),G2064:P2064)</f>
        <v>0.309414950284091</v>
      </c>
      <c r="S2064" s="0" t="n">
        <f aca="false">04_回帰ANOVA!$K$19*04_回帰ANOVA!$K$14*SQRT(1+R2064)</f>
        <v>1.06391096196568</v>
      </c>
      <c r="T2064" s="0" t="n">
        <f aca="false">Q2064-S2064</f>
        <v>42.914640174398</v>
      </c>
      <c r="U2064" s="0" t="n">
        <f aca="false">Q2064+S2064</f>
        <v>45.0424620983293</v>
      </c>
      <c r="V2064" s="54" t="b">
        <f aca="false">AND(D2064&gt;=01_因子設定!$L$5-0.000000001,D2064&lt;=01_因子設定!$M$5+0.000000001,E2064&gt;=01_因子設定!$L$6-0.000000001,E2064&lt;=01_因子設定!$M$6+0.000000001,F2064&gt;=01_因子設定!$L$7-0.000000001,F2064&lt;=01_因子設定!$M$7+0.000000001,IF(01_因子設定!$B$20="Box-Behnken",D2064^2+E2064^2+F2064^2&lt;=2+0.000000001,TRUE()))</f>
        <v>1</v>
      </c>
      <c r="W2064" s="55" t="n">
        <f aca="false">IF(V2064,IF(01_因子設定!$B$13="最大化",T2064-01_因子設定!$B$14,IF(01_因子設定!$B$13="最小化",01_因子設定!$B$15-U2064,MIN(T2064-01_因子設定!$B$14,01_因子設定!$B$15-U2064))),-1E+030)</f>
        <v>-5.58535982560202</v>
      </c>
      <c r="X2064" s="55" t="n">
        <f aca="false">IF(V2064,IF(01_因子設定!$B$13="最大化",Q2064,IF(01_因子設定!$B$13="最小化",-Q2064,-ABS(Q2064-01_因子設定!$B$16))),-1E+030)</f>
        <v>43.9785511363637</v>
      </c>
      <c r="Y2064" s="55" t="n">
        <f aca="false">W2064+ROW()*0.000000001</f>
        <v>-5.58535776160202</v>
      </c>
      <c r="Z2064" s="55" t="n">
        <f aca="false">X2064+ROW()*0.000000001</f>
        <v>43.9785532003637</v>
      </c>
    </row>
    <row r="2065" customFormat="false" ht="15" hidden="false" customHeight="false" outlineLevel="0" collapsed="false">
      <c r="A2065" s="0" t="n">
        <v>7</v>
      </c>
      <c r="B2065" s="0" t="n">
        <v>2</v>
      </c>
      <c r="C2065" s="0" t="n">
        <v>3</v>
      </c>
      <c r="D2065" s="0" t="n">
        <f aca="false">-1+A2065*0.125</f>
        <v>-0.125</v>
      </c>
      <c r="E2065" s="0" t="n">
        <f aca="false">-1+B2065*0.125</f>
        <v>-0.75</v>
      </c>
      <c r="F2065" s="0" t="n">
        <f aca="false">-1+C2065*0.125</f>
        <v>-0.625</v>
      </c>
      <c r="G2065" s="0" t="n">
        <f aca="false">1</f>
        <v>1</v>
      </c>
      <c r="H2065" s="0" t="n">
        <f aca="false">D2065</f>
        <v>-0.125</v>
      </c>
      <c r="I2065" s="0" t="n">
        <f aca="false">E2065</f>
        <v>-0.75</v>
      </c>
      <c r="J2065" s="0" t="n">
        <f aca="false">F2065</f>
        <v>-0.625</v>
      </c>
      <c r="K2065" s="0" t="n">
        <f aca="false">D2065*E2065</f>
        <v>0.09375</v>
      </c>
      <c r="L2065" s="0" t="n">
        <f aca="false">D2065*F2065</f>
        <v>0.078125</v>
      </c>
      <c r="M2065" s="0" t="n">
        <f aca="false">E2065*F2065</f>
        <v>0.46875</v>
      </c>
      <c r="N2065" s="0" t="n">
        <f aca="false">D2065*D2065</f>
        <v>0.015625</v>
      </c>
      <c r="O2065" s="0" t="n">
        <f aca="false">E2065*E2065</f>
        <v>0.5625</v>
      </c>
      <c r="P2065" s="0" t="n">
        <f aca="false">F2065*F2065</f>
        <v>0.390625</v>
      </c>
      <c r="Q2065" s="0" t="n">
        <f aca="false">SUMPRODUCT(G2065:P2065,_XtX!$B$71:$K$71)</f>
        <v>44.3135511363637</v>
      </c>
      <c r="R2065" s="0" t="n">
        <f aca="false">SUMPRODUCT(MMULT(G2065:P2065,_XtX!$B$58:$K$67),G2065:P2065)</f>
        <v>0.262961092862216</v>
      </c>
      <c r="S2065" s="0" t="n">
        <f aca="false">04_回帰ANOVA!$K$19*04_回帰ANOVA!$K$14*SQRT(1+R2065)</f>
        <v>1.04486846483649</v>
      </c>
      <c r="T2065" s="0" t="n">
        <f aca="false">Q2065-S2065</f>
        <v>43.2686826715272</v>
      </c>
      <c r="U2065" s="0" t="n">
        <f aca="false">Q2065+S2065</f>
        <v>45.3584196012001</v>
      </c>
      <c r="V2065" s="54" t="b">
        <f aca="false">AND(D2065&gt;=01_因子設定!$L$5-0.000000001,D2065&lt;=01_因子設定!$M$5+0.000000001,E2065&gt;=01_因子設定!$L$6-0.000000001,E2065&lt;=01_因子設定!$M$6+0.000000001,F2065&gt;=01_因子設定!$L$7-0.000000001,F2065&lt;=01_因子設定!$M$7+0.000000001,IF(01_因子設定!$B$20="Box-Behnken",D2065^2+E2065^2+F2065^2&lt;=2+0.000000001,TRUE()))</f>
        <v>1</v>
      </c>
      <c r="W2065" s="55" t="n">
        <f aca="false">IF(V2065,IF(01_因子設定!$B$13="最大化",T2065-01_因子設定!$B$14,IF(01_因子設定!$B$13="最小化",01_因子設定!$B$15-U2065,MIN(T2065-01_因子設定!$B$14,01_因子設定!$B$15-U2065))),-1E+030)</f>
        <v>-5.23131732847283</v>
      </c>
      <c r="X2065" s="55" t="n">
        <f aca="false">IF(V2065,IF(01_因子設定!$B$13="最大化",Q2065,IF(01_因子設定!$B$13="最小化",-Q2065,-ABS(Q2065-01_因子設定!$B$16))),-1E+030)</f>
        <v>44.3135511363637</v>
      </c>
      <c r="Y2065" s="55" t="n">
        <f aca="false">W2065+ROW()*0.000000001</f>
        <v>-5.23131526347283</v>
      </c>
      <c r="Z2065" s="55" t="n">
        <f aca="false">X2065+ROW()*0.000000001</f>
        <v>44.3135532013637</v>
      </c>
    </row>
    <row r="2066" customFormat="false" ht="15" hidden="false" customHeight="false" outlineLevel="0" collapsed="false">
      <c r="A2066" s="0" t="n">
        <v>7</v>
      </c>
      <c r="B2066" s="0" t="n">
        <v>2</v>
      </c>
      <c r="C2066" s="0" t="n">
        <v>4</v>
      </c>
      <c r="D2066" s="0" t="n">
        <f aca="false">-1+A2066*0.125</f>
        <v>-0.125</v>
      </c>
      <c r="E2066" s="0" t="n">
        <f aca="false">-1+B2066*0.125</f>
        <v>-0.75</v>
      </c>
      <c r="F2066" s="0" t="n">
        <f aca="false">-1+C2066*0.125</f>
        <v>-0.5</v>
      </c>
      <c r="G2066" s="0" t="n">
        <f aca="false">1</f>
        <v>1</v>
      </c>
      <c r="H2066" s="0" t="n">
        <f aca="false">D2066</f>
        <v>-0.125</v>
      </c>
      <c r="I2066" s="0" t="n">
        <f aca="false">E2066</f>
        <v>-0.75</v>
      </c>
      <c r="J2066" s="0" t="n">
        <f aca="false">F2066</f>
        <v>-0.5</v>
      </c>
      <c r="K2066" s="0" t="n">
        <f aca="false">D2066*E2066</f>
        <v>0.09375</v>
      </c>
      <c r="L2066" s="0" t="n">
        <f aca="false">D2066*F2066</f>
        <v>0.0625</v>
      </c>
      <c r="M2066" s="0" t="n">
        <f aca="false">E2066*F2066</f>
        <v>0.375</v>
      </c>
      <c r="N2066" s="0" t="n">
        <f aca="false">D2066*D2066</f>
        <v>0.015625</v>
      </c>
      <c r="O2066" s="0" t="n">
        <f aca="false">E2066*E2066</f>
        <v>0.5625</v>
      </c>
      <c r="P2066" s="0" t="n">
        <f aca="false">F2066*F2066</f>
        <v>0.25</v>
      </c>
      <c r="Q2066" s="0" t="n">
        <f aca="false">SUMPRODUCT(G2066:P2066,_XtX!$B$71:$K$71)</f>
        <v>44.6117613636364</v>
      </c>
      <c r="R2066" s="0" t="n">
        <f aca="false">SUMPRODUCT(MMULT(G2066:P2066,_XtX!$B$58:$K$67),G2066:P2066)</f>
        <v>0.240933504971591</v>
      </c>
      <c r="S2066" s="0" t="n">
        <f aca="false">04_回帰ANOVA!$K$19*04_回帰ANOVA!$K$14*SQRT(1+R2066)</f>
        <v>1.03571649118863</v>
      </c>
      <c r="T2066" s="0" t="n">
        <f aca="false">Q2066-S2066</f>
        <v>43.5760448724478</v>
      </c>
      <c r="U2066" s="0" t="n">
        <f aca="false">Q2066+S2066</f>
        <v>45.647477854825</v>
      </c>
      <c r="V2066" s="54" t="b">
        <f aca="false">AND(D2066&gt;=01_因子設定!$L$5-0.000000001,D2066&lt;=01_因子設定!$M$5+0.000000001,E2066&gt;=01_因子設定!$L$6-0.000000001,E2066&lt;=01_因子設定!$M$6+0.000000001,F2066&gt;=01_因子設定!$L$7-0.000000001,F2066&lt;=01_因子設定!$M$7+0.000000001,IF(01_因子設定!$B$20="Box-Behnken",D2066^2+E2066^2+F2066^2&lt;=2+0.000000001,TRUE()))</f>
        <v>1</v>
      </c>
      <c r="W2066" s="55" t="n">
        <f aca="false">IF(V2066,IF(01_因子設定!$B$13="最大化",T2066-01_因子設定!$B$14,IF(01_因子設定!$B$13="最小化",01_因子設定!$B$15-U2066,MIN(T2066-01_因子設定!$B$14,01_因子設定!$B$15-U2066))),-1E+030)</f>
        <v>-4.92395512755225</v>
      </c>
      <c r="X2066" s="55" t="n">
        <f aca="false">IF(V2066,IF(01_因子設定!$B$13="最大化",Q2066,IF(01_因子設定!$B$13="最小化",-Q2066,-ABS(Q2066-01_因子設定!$B$16))),-1E+030)</f>
        <v>44.6117613636364</v>
      </c>
      <c r="Y2066" s="55" t="n">
        <f aca="false">W2066+ROW()*0.000000001</f>
        <v>-4.92395306155225</v>
      </c>
      <c r="Z2066" s="55" t="n">
        <f aca="false">X2066+ROW()*0.000000001</f>
        <v>44.6117634296364</v>
      </c>
    </row>
    <row r="2067" customFormat="false" ht="15" hidden="false" customHeight="false" outlineLevel="0" collapsed="false">
      <c r="A2067" s="0" t="n">
        <v>7</v>
      </c>
      <c r="B2067" s="0" t="n">
        <v>2</v>
      </c>
      <c r="C2067" s="0" t="n">
        <v>5</v>
      </c>
      <c r="D2067" s="0" t="n">
        <f aca="false">-1+A2067*0.125</f>
        <v>-0.125</v>
      </c>
      <c r="E2067" s="0" t="n">
        <f aca="false">-1+B2067*0.125</f>
        <v>-0.75</v>
      </c>
      <c r="F2067" s="0" t="n">
        <f aca="false">-1+C2067*0.125</f>
        <v>-0.375</v>
      </c>
      <c r="G2067" s="0" t="n">
        <f aca="false">1</f>
        <v>1</v>
      </c>
      <c r="H2067" s="0" t="n">
        <f aca="false">D2067</f>
        <v>-0.125</v>
      </c>
      <c r="I2067" s="0" t="n">
        <f aca="false">E2067</f>
        <v>-0.75</v>
      </c>
      <c r="J2067" s="0" t="n">
        <f aca="false">F2067</f>
        <v>-0.375</v>
      </c>
      <c r="K2067" s="0" t="n">
        <f aca="false">D2067*E2067</f>
        <v>0.09375</v>
      </c>
      <c r="L2067" s="0" t="n">
        <f aca="false">D2067*F2067</f>
        <v>0.046875</v>
      </c>
      <c r="M2067" s="0" t="n">
        <f aca="false">E2067*F2067</f>
        <v>0.28125</v>
      </c>
      <c r="N2067" s="0" t="n">
        <f aca="false">D2067*D2067</f>
        <v>0.015625</v>
      </c>
      <c r="O2067" s="0" t="n">
        <f aca="false">E2067*E2067</f>
        <v>0.5625</v>
      </c>
      <c r="P2067" s="0" t="n">
        <f aca="false">F2067*F2067</f>
        <v>0.140625</v>
      </c>
      <c r="Q2067" s="0" t="n">
        <f aca="false">SUMPRODUCT(G2067:P2067,_XtX!$B$71:$K$71)</f>
        <v>44.8731818181818</v>
      </c>
      <c r="R2067" s="0" t="n">
        <f aca="false">SUMPRODUCT(MMULT(G2067:P2067,_XtX!$B$58:$K$67),G2067:P2067)</f>
        <v>0.233744118430398</v>
      </c>
      <c r="S2067" s="0" t="n">
        <f aca="false">04_回帰ANOVA!$K$19*04_回帰ANOVA!$K$14*SQRT(1+R2067)</f>
        <v>1.0327119053564</v>
      </c>
      <c r="T2067" s="0" t="n">
        <f aca="false">Q2067-S2067</f>
        <v>43.8404699128254</v>
      </c>
      <c r="U2067" s="0" t="n">
        <f aca="false">Q2067+S2067</f>
        <v>45.9058937235382</v>
      </c>
      <c r="V2067" s="54" t="b">
        <f aca="false">AND(D2067&gt;=01_因子設定!$L$5-0.000000001,D2067&lt;=01_因子設定!$M$5+0.000000001,E2067&gt;=01_因子設定!$L$6-0.000000001,E2067&lt;=01_因子設定!$M$6+0.000000001,F2067&gt;=01_因子設定!$L$7-0.000000001,F2067&lt;=01_因子設定!$M$7+0.000000001,IF(01_因子設定!$B$20="Box-Behnken",D2067^2+E2067^2+F2067^2&lt;=2+0.000000001,TRUE()))</f>
        <v>1</v>
      </c>
      <c r="W2067" s="55" t="n">
        <f aca="false">IF(V2067,IF(01_因子設定!$B$13="最大化",T2067-01_因子設定!$B$14,IF(01_因子設定!$B$13="最小化",01_因子設定!$B$15-U2067,MIN(T2067-01_因子設定!$B$14,01_因子設定!$B$15-U2067))),-1E+030)</f>
        <v>-4.65953008717457</v>
      </c>
      <c r="X2067" s="55" t="n">
        <f aca="false">IF(V2067,IF(01_因子設定!$B$13="最大化",Q2067,IF(01_因子設定!$B$13="最小化",-Q2067,-ABS(Q2067-01_因子設定!$B$16))),-1E+030)</f>
        <v>44.8731818181818</v>
      </c>
      <c r="Y2067" s="55" t="n">
        <f aca="false">W2067+ROW()*0.000000001</f>
        <v>-4.65952802017457</v>
      </c>
      <c r="Z2067" s="55" t="n">
        <f aca="false">X2067+ROW()*0.000000001</f>
        <v>44.8731838851818</v>
      </c>
    </row>
    <row r="2068" customFormat="false" ht="15" hidden="false" customHeight="false" outlineLevel="0" collapsed="false">
      <c r="A2068" s="0" t="n">
        <v>7</v>
      </c>
      <c r="B2068" s="0" t="n">
        <v>2</v>
      </c>
      <c r="C2068" s="0" t="n">
        <v>6</v>
      </c>
      <c r="D2068" s="0" t="n">
        <f aca="false">-1+A2068*0.125</f>
        <v>-0.125</v>
      </c>
      <c r="E2068" s="0" t="n">
        <f aca="false">-1+B2068*0.125</f>
        <v>-0.75</v>
      </c>
      <c r="F2068" s="0" t="n">
        <f aca="false">-1+C2068*0.125</f>
        <v>-0.25</v>
      </c>
      <c r="G2068" s="0" t="n">
        <f aca="false">1</f>
        <v>1</v>
      </c>
      <c r="H2068" s="0" t="n">
        <f aca="false">D2068</f>
        <v>-0.125</v>
      </c>
      <c r="I2068" s="0" t="n">
        <f aca="false">E2068</f>
        <v>-0.75</v>
      </c>
      <c r="J2068" s="0" t="n">
        <f aca="false">F2068</f>
        <v>-0.25</v>
      </c>
      <c r="K2068" s="0" t="n">
        <f aca="false">D2068*E2068</f>
        <v>0.09375</v>
      </c>
      <c r="L2068" s="0" t="n">
        <f aca="false">D2068*F2068</f>
        <v>0.03125</v>
      </c>
      <c r="M2068" s="0" t="n">
        <f aca="false">E2068*F2068</f>
        <v>0.1875</v>
      </c>
      <c r="N2068" s="0" t="n">
        <f aca="false">D2068*D2068</f>
        <v>0.015625</v>
      </c>
      <c r="O2068" s="0" t="n">
        <f aca="false">E2068*E2068</f>
        <v>0.5625</v>
      </c>
      <c r="P2068" s="0" t="n">
        <f aca="false">F2068*F2068</f>
        <v>0.0625</v>
      </c>
      <c r="Q2068" s="0" t="n">
        <f aca="false">SUMPRODUCT(G2068:P2068,_XtX!$B$71:$K$71)</f>
        <v>45.0978125</v>
      </c>
      <c r="R2068" s="0" t="n">
        <f aca="false">SUMPRODUCT(MMULT(G2068:P2068,_XtX!$B$58:$K$67),G2068:P2068)</f>
        <v>0.233935546875</v>
      </c>
      <c r="S2068" s="0" t="n">
        <f aca="false">04_回帰ANOVA!$K$19*04_回帰ANOVA!$K$14*SQRT(1+R2068)</f>
        <v>1.03279202033444</v>
      </c>
      <c r="T2068" s="0" t="n">
        <f aca="false">Q2068-S2068</f>
        <v>44.0650204796656</v>
      </c>
      <c r="U2068" s="0" t="n">
        <f aca="false">Q2068+S2068</f>
        <v>46.1306045203345</v>
      </c>
      <c r="V2068" s="54" t="b">
        <f aca="false">AND(D2068&gt;=01_因子設定!$L$5-0.000000001,D2068&lt;=01_因子設定!$M$5+0.000000001,E2068&gt;=01_因子設定!$L$6-0.000000001,E2068&lt;=01_因子設定!$M$6+0.000000001,F2068&gt;=01_因子設定!$L$7-0.000000001,F2068&lt;=01_因子設定!$M$7+0.000000001,IF(01_因子設定!$B$20="Box-Behnken",D2068^2+E2068^2+F2068^2&lt;=2+0.000000001,TRUE()))</f>
        <v>1</v>
      </c>
      <c r="W2068" s="55" t="n">
        <f aca="false">IF(V2068,IF(01_因子設定!$B$13="最大化",T2068-01_因子設定!$B$14,IF(01_因子設定!$B$13="最小化",01_因子設定!$B$15-U2068,MIN(T2068-01_因子設定!$B$14,01_因子設定!$B$15-U2068))),-1E+030)</f>
        <v>-4.43497952033443</v>
      </c>
      <c r="X2068" s="55" t="n">
        <f aca="false">IF(V2068,IF(01_因子設定!$B$13="最大化",Q2068,IF(01_因子設定!$B$13="最小化",-Q2068,-ABS(Q2068-01_因子設定!$B$16))),-1E+030)</f>
        <v>45.0978125</v>
      </c>
      <c r="Y2068" s="55" t="n">
        <f aca="false">W2068+ROW()*0.000000001</f>
        <v>-4.43497745233443</v>
      </c>
      <c r="Z2068" s="55" t="n">
        <f aca="false">X2068+ROW()*0.000000001</f>
        <v>45.097814568</v>
      </c>
    </row>
    <row r="2069" customFormat="false" ht="15" hidden="false" customHeight="false" outlineLevel="0" collapsed="false">
      <c r="A2069" s="0" t="n">
        <v>7</v>
      </c>
      <c r="B2069" s="0" t="n">
        <v>2</v>
      </c>
      <c r="C2069" s="0" t="n">
        <v>7</v>
      </c>
      <c r="D2069" s="0" t="n">
        <f aca="false">-1+A2069*0.125</f>
        <v>-0.125</v>
      </c>
      <c r="E2069" s="0" t="n">
        <f aca="false">-1+B2069*0.125</f>
        <v>-0.75</v>
      </c>
      <c r="F2069" s="0" t="n">
        <f aca="false">-1+C2069*0.125</f>
        <v>-0.125</v>
      </c>
      <c r="G2069" s="0" t="n">
        <f aca="false">1</f>
        <v>1</v>
      </c>
      <c r="H2069" s="0" t="n">
        <f aca="false">D2069</f>
        <v>-0.125</v>
      </c>
      <c r="I2069" s="0" t="n">
        <f aca="false">E2069</f>
        <v>-0.75</v>
      </c>
      <c r="J2069" s="0" t="n">
        <f aca="false">F2069</f>
        <v>-0.125</v>
      </c>
      <c r="K2069" s="0" t="n">
        <f aca="false">D2069*E2069</f>
        <v>0.09375</v>
      </c>
      <c r="L2069" s="0" t="n">
        <f aca="false">D2069*F2069</f>
        <v>0.015625</v>
      </c>
      <c r="M2069" s="0" t="n">
        <f aca="false">E2069*F2069</f>
        <v>0.09375</v>
      </c>
      <c r="N2069" s="0" t="n">
        <f aca="false">D2069*D2069</f>
        <v>0.015625</v>
      </c>
      <c r="O2069" s="0" t="n">
        <f aca="false">E2069*E2069</f>
        <v>0.5625</v>
      </c>
      <c r="P2069" s="0" t="n">
        <f aca="false">F2069*F2069</f>
        <v>0.015625</v>
      </c>
      <c r="Q2069" s="0" t="n">
        <f aca="false">SUMPRODUCT(G2069:P2069,_XtX!$B$71:$K$71)</f>
        <v>45.2856534090909</v>
      </c>
      <c r="R2069" s="0" t="n">
        <f aca="false">SUMPRODUCT(MMULT(G2069:P2069,_XtX!$B$58:$K$67),G2069:P2069)</f>
        <v>0.236181085759943</v>
      </c>
      <c r="S2069" s="0" t="n">
        <f aca="false">04_回帰ANOVA!$K$19*04_回帰ANOVA!$K$14*SQRT(1+R2069)</f>
        <v>1.03373134025567</v>
      </c>
      <c r="T2069" s="0" t="n">
        <f aca="false">Q2069-S2069</f>
        <v>44.2519220688352</v>
      </c>
      <c r="U2069" s="0" t="n">
        <f aca="false">Q2069+S2069</f>
        <v>46.3193847493466</v>
      </c>
      <c r="V2069" s="54" t="b">
        <f aca="false">AND(D2069&gt;=01_因子設定!$L$5-0.000000001,D2069&lt;=01_因子設定!$M$5+0.000000001,E2069&gt;=01_因子設定!$L$6-0.000000001,E2069&lt;=01_因子設定!$M$6+0.000000001,F2069&gt;=01_因子設定!$L$7-0.000000001,F2069&lt;=01_因子設定!$M$7+0.000000001,IF(01_因子設定!$B$20="Box-Behnken",D2069^2+E2069^2+F2069^2&lt;=2+0.000000001,TRUE()))</f>
        <v>1</v>
      </c>
      <c r="W2069" s="55" t="n">
        <f aca="false">IF(V2069,IF(01_因子設定!$B$13="最大化",T2069-01_因子設定!$B$14,IF(01_因子設定!$B$13="最小化",01_因子設定!$B$15-U2069,MIN(T2069-01_因子設定!$B$14,01_因子設定!$B$15-U2069))),-1E+030)</f>
        <v>-4.24807793116476</v>
      </c>
      <c r="X2069" s="55" t="n">
        <f aca="false">IF(V2069,IF(01_因子設定!$B$13="最大化",Q2069,IF(01_因子設定!$B$13="最小化",-Q2069,-ABS(Q2069-01_因子設定!$B$16))),-1E+030)</f>
        <v>45.2856534090909</v>
      </c>
      <c r="Y2069" s="55" t="n">
        <f aca="false">W2069+ROW()*0.000000001</f>
        <v>-4.24807586216476</v>
      </c>
      <c r="Z2069" s="55" t="n">
        <f aca="false">X2069+ROW()*0.000000001</f>
        <v>45.2856554780909</v>
      </c>
    </row>
    <row r="2070" customFormat="false" ht="15" hidden="false" customHeight="false" outlineLevel="0" collapsed="false">
      <c r="A2070" s="0" t="n">
        <v>7</v>
      </c>
      <c r="B2070" s="0" t="n">
        <v>2</v>
      </c>
      <c r="C2070" s="0" t="n">
        <v>8</v>
      </c>
      <c r="D2070" s="0" t="n">
        <f aca="false">-1+A2070*0.125</f>
        <v>-0.125</v>
      </c>
      <c r="E2070" s="0" t="n">
        <f aca="false">-1+B2070*0.125</f>
        <v>-0.75</v>
      </c>
      <c r="F2070" s="0" t="n">
        <f aca="false">-1+C2070*0.125</f>
        <v>0</v>
      </c>
      <c r="G2070" s="0" t="n">
        <f aca="false">1</f>
        <v>1</v>
      </c>
      <c r="H2070" s="0" t="n">
        <f aca="false">D2070</f>
        <v>-0.125</v>
      </c>
      <c r="I2070" s="0" t="n">
        <f aca="false">E2070</f>
        <v>-0.75</v>
      </c>
      <c r="J2070" s="0" t="n">
        <f aca="false">F2070</f>
        <v>0</v>
      </c>
      <c r="K2070" s="0" t="n">
        <f aca="false">D2070*E2070</f>
        <v>0.09375</v>
      </c>
      <c r="L2070" s="0" t="n">
        <f aca="false">D2070*F2070</f>
        <v>-0</v>
      </c>
      <c r="M2070" s="0" t="n">
        <f aca="false">E2070*F2070</f>
        <v>-0</v>
      </c>
      <c r="N2070" s="0" t="n">
        <f aca="false">D2070*D2070</f>
        <v>0.015625</v>
      </c>
      <c r="O2070" s="0" t="n">
        <f aca="false">E2070*E2070</f>
        <v>0.5625</v>
      </c>
      <c r="P2070" s="0" t="n">
        <f aca="false">F2070*F2070</f>
        <v>0</v>
      </c>
      <c r="Q2070" s="0" t="n">
        <f aca="false">SUMPRODUCT(G2070:P2070,_XtX!$B$71:$K$71)</f>
        <v>45.4367045454546</v>
      </c>
      <c r="R2070" s="0" t="n">
        <f aca="false">SUMPRODUCT(MMULT(G2070:P2070,_XtX!$B$58:$K$67),G2070:P2070)</f>
        <v>0.237284712357955</v>
      </c>
      <c r="S2070" s="0" t="n">
        <f aca="false">04_回帰ANOVA!$K$19*04_回帰ANOVA!$K$14*SQRT(1+R2070)</f>
        <v>1.03419267998124</v>
      </c>
      <c r="T2070" s="0" t="n">
        <f aca="false">Q2070-S2070</f>
        <v>44.4025118654733</v>
      </c>
      <c r="U2070" s="0" t="n">
        <f aca="false">Q2070+S2070</f>
        <v>46.4708972254358</v>
      </c>
      <c r="V2070" s="54" t="b">
        <f aca="false">AND(D2070&gt;=01_因子設定!$L$5-0.000000001,D2070&lt;=01_因子設定!$M$5+0.000000001,E2070&gt;=01_因子設定!$L$6-0.000000001,E2070&lt;=01_因子設定!$M$6+0.000000001,F2070&gt;=01_因子設定!$L$7-0.000000001,F2070&lt;=01_因子設定!$M$7+0.000000001,IF(01_因子設定!$B$20="Box-Behnken",D2070^2+E2070^2+F2070^2&lt;=2+0.000000001,TRUE()))</f>
        <v>1</v>
      </c>
      <c r="W2070" s="55" t="n">
        <f aca="false">IF(V2070,IF(01_因子設定!$B$13="最大化",T2070-01_因子設定!$B$14,IF(01_因子設定!$B$13="最小化",01_因子設定!$B$15-U2070,MIN(T2070-01_因子設定!$B$14,01_因子設定!$B$15-U2070))),-1E+030)</f>
        <v>-4.09748813452669</v>
      </c>
      <c r="X2070" s="55" t="n">
        <f aca="false">IF(V2070,IF(01_因子設定!$B$13="最大化",Q2070,IF(01_因子設定!$B$13="最小化",-Q2070,-ABS(Q2070-01_因子設定!$B$16))),-1E+030)</f>
        <v>45.4367045454546</v>
      </c>
      <c r="Y2070" s="55" t="n">
        <f aca="false">W2070+ROW()*0.000000001</f>
        <v>-4.09748606452669</v>
      </c>
      <c r="Z2070" s="55" t="n">
        <f aca="false">X2070+ROW()*0.000000001</f>
        <v>45.4367066154546</v>
      </c>
    </row>
    <row r="2071" customFormat="false" ht="15" hidden="false" customHeight="false" outlineLevel="0" collapsed="false">
      <c r="A2071" s="0" t="n">
        <v>7</v>
      </c>
      <c r="B2071" s="0" t="n">
        <v>2</v>
      </c>
      <c r="C2071" s="0" t="n">
        <v>9</v>
      </c>
      <c r="D2071" s="0" t="n">
        <f aca="false">-1+A2071*0.125</f>
        <v>-0.125</v>
      </c>
      <c r="E2071" s="0" t="n">
        <f aca="false">-1+B2071*0.125</f>
        <v>-0.75</v>
      </c>
      <c r="F2071" s="0" t="n">
        <f aca="false">-1+C2071*0.125</f>
        <v>0.125</v>
      </c>
      <c r="G2071" s="0" t="n">
        <f aca="false">1</f>
        <v>1</v>
      </c>
      <c r="H2071" s="0" t="n">
        <f aca="false">D2071</f>
        <v>-0.125</v>
      </c>
      <c r="I2071" s="0" t="n">
        <f aca="false">E2071</f>
        <v>-0.75</v>
      </c>
      <c r="J2071" s="0" t="n">
        <f aca="false">F2071</f>
        <v>0.125</v>
      </c>
      <c r="K2071" s="0" t="n">
        <f aca="false">D2071*E2071</f>
        <v>0.09375</v>
      </c>
      <c r="L2071" s="0" t="n">
        <f aca="false">D2071*F2071</f>
        <v>-0.015625</v>
      </c>
      <c r="M2071" s="0" t="n">
        <f aca="false">E2071*F2071</f>
        <v>-0.09375</v>
      </c>
      <c r="N2071" s="0" t="n">
        <f aca="false">D2071*D2071</f>
        <v>0.015625</v>
      </c>
      <c r="O2071" s="0" t="n">
        <f aca="false">E2071*E2071</f>
        <v>0.5625</v>
      </c>
      <c r="P2071" s="0" t="n">
        <f aca="false">F2071*F2071</f>
        <v>0.015625</v>
      </c>
      <c r="Q2071" s="0" t="n">
        <f aca="false">SUMPRODUCT(G2071:P2071,_XtX!$B$71:$K$71)</f>
        <v>45.5509659090909</v>
      </c>
      <c r="R2071" s="0" t="n">
        <f aca="false">SUMPRODUCT(MMULT(G2071:P2071,_XtX!$B$58:$K$67),G2071:P2071)</f>
        <v>0.236181085759943</v>
      </c>
      <c r="S2071" s="0" t="n">
        <f aca="false">04_回帰ANOVA!$K$19*04_回帰ANOVA!$K$14*SQRT(1+R2071)</f>
        <v>1.03373134025567</v>
      </c>
      <c r="T2071" s="0" t="n">
        <f aca="false">Q2071-S2071</f>
        <v>44.5172345688352</v>
      </c>
      <c r="U2071" s="0" t="n">
        <f aca="false">Q2071+S2071</f>
        <v>46.5846972493466</v>
      </c>
      <c r="V2071" s="54" t="b">
        <f aca="false">AND(D2071&gt;=01_因子設定!$L$5-0.000000001,D2071&lt;=01_因子設定!$M$5+0.000000001,E2071&gt;=01_因子設定!$L$6-0.000000001,E2071&lt;=01_因子設定!$M$6+0.000000001,F2071&gt;=01_因子設定!$L$7-0.000000001,F2071&lt;=01_因子設定!$M$7+0.000000001,IF(01_因子設定!$B$20="Box-Behnken",D2071^2+E2071^2+F2071^2&lt;=2+0.000000001,TRUE()))</f>
        <v>1</v>
      </c>
      <c r="W2071" s="55" t="n">
        <f aca="false">IF(V2071,IF(01_因子設定!$B$13="最大化",T2071-01_因子設定!$B$14,IF(01_因子設定!$B$13="最小化",01_因子設定!$B$15-U2071,MIN(T2071-01_因子設定!$B$14,01_因子設定!$B$15-U2071))),-1E+030)</f>
        <v>-3.98276543116476</v>
      </c>
      <c r="X2071" s="55" t="n">
        <f aca="false">IF(V2071,IF(01_因子設定!$B$13="最大化",Q2071,IF(01_因子設定!$B$13="最小化",-Q2071,-ABS(Q2071-01_因子設定!$B$16))),-1E+030)</f>
        <v>45.5509659090909</v>
      </c>
      <c r="Y2071" s="55" t="n">
        <f aca="false">W2071+ROW()*0.000000001</f>
        <v>-3.98276336016476</v>
      </c>
      <c r="Z2071" s="55" t="n">
        <f aca="false">X2071+ROW()*0.000000001</f>
        <v>45.5509679800909</v>
      </c>
    </row>
    <row r="2072" customFormat="false" ht="15" hidden="false" customHeight="false" outlineLevel="0" collapsed="false">
      <c r="A2072" s="0" t="n">
        <v>7</v>
      </c>
      <c r="B2072" s="0" t="n">
        <v>2</v>
      </c>
      <c r="C2072" s="0" t="n">
        <v>10</v>
      </c>
      <c r="D2072" s="0" t="n">
        <f aca="false">-1+A2072*0.125</f>
        <v>-0.125</v>
      </c>
      <c r="E2072" s="0" t="n">
        <f aca="false">-1+B2072*0.125</f>
        <v>-0.75</v>
      </c>
      <c r="F2072" s="0" t="n">
        <f aca="false">-1+C2072*0.125</f>
        <v>0.25</v>
      </c>
      <c r="G2072" s="0" t="n">
        <f aca="false">1</f>
        <v>1</v>
      </c>
      <c r="H2072" s="0" t="n">
        <f aca="false">D2072</f>
        <v>-0.125</v>
      </c>
      <c r="I2072" s="0" t="n">
        <f aca="false">E2072</f>
        <v>-0.75</v>
      </c>
      <c r="J2072" s="0" t="n">
        <f aca="false">F2072</f>
        <v>0.25</v>
      </c>
      <c r="K2072" s="0" t="n">
        <f aca="false">D2072*E2072</f>
        <v>0.09375</v>
      </c>
      <c r="L2072" s="0" t="n">
        <f aca="false">D2072*F2072</f>
        <v>-0.03125</v>
      </c>
      <c r="M2072" s="0" t="n">
        <f aca="false">E2072*F2072</f>
        <v>-0.1875</v>
      </c>
      <c r="N2072" s="0" t="n">
        <f aca="false">D2072*D2072</f>
        <v>0.015625</v>
      </c>
      <c r="O2072" s="0" t="n">
        <f aca="false">E2072*E2072</f>
        <v>0.5625</v>
      </c>
      <c r="P2072" s="0" t="n">
        <f aca="false">F2072*F2072</f>
        <v>0.0625</v>
      </c>
      <c r="Q2072" s="0" t="n">
        <f aca="false">SUMPRODUCT(G2072:P2072,_XtX!$B$71:$K$71)</f>
        <v>45.6284375</v>
      </c>
      <c r="R2072" s="0" t="n">
        <f aca="false">SUMPRODUCT(MMULT(G2072:P2072,_XtX!$B$58:$K$67),G2072:P2072)</f>
        <v>0.233935546875</v>
      </c>
      <c r="S2072" s="0" t="n">
        <f aca="false">04_回帰ANOVA!$K$19*04_回帰ANOVA!$K$14*SQRT(1+R2072)</f>
        <v>1.03279202033444</v>
      </c>
      <c r="T2072" s="0" t="n">
        <f aca="false">Q2072-S2072</f>
        <v>44.5956454796656</v>
      </c>
      <c r="U2072" s="0" t="n">
        <f aca="false">Q2072+S2072</f>
        <v>46.6612295203345</v>
      </c>
      <c r="V2072" s="54" t="b">
        <f aca="false">AND(D2072&gt;=01_因子設定!$L$5-0.000000001,D2072&lt;=01_因子設定!$M$5+0.000000001,E2072&gt;=01_因子設定!$L$6-0.000000001,E2072&lt;=01_因子設定!$M$6+0.000000001,F2072&gt;=01_因子設定!$L$7-0.000000001,F2072&lt;=01_因子設定!$M$7+0.000000001,IF(01_因子設定!$B$20="Box-Behnken",D2072^2+E2072^2+F2072^2&lt;=2+0.000000001,TRUE()))</f>
        <v>1</v>
      </c>
      <c r="W2072" s="55" t="n">
        <f aca="false">IF(V2072,IF(01_因子設定!$B$13="最大化",T2072-01_因子設定!$B$14,IF(01_因子設定!$B$13="最小化",01_因子設定!$B$15-U2072,MIN(T2072-01_因子設定!$B$14,01_因子設定!$B$15-U2072))),-1E+030)</f>
        <v>-3.90435452033443</v>
      </c>
      <c r="X2072" s="55" t="n">
        <f aca="false">IF(V2072,IF(01_因子設定!$B$13="最大化",Q2072,IF(01_因子設定!$B$13="最小化",-Q2072,-ABS(Q2072-01_因子設定!$B$16))),-1E+030)</f>
        <v>45.6284375</v>
      </c>
      <c r="Y2072" s="55" t="n">
        <f aca="false">W2072+ROW()*0.000000001</f>
        <v>-3.90435244833443</v>
      </c>
      <c r="Z2072" s="55" t="n">
        <f aca="false">X2072+ROW()*0.000000001</f>
        <v>45.628439572</v>
      </c>
    </row>
    <row r="2073" customFormat="false" ht="15" hidden="false" customHeight="false" outlineLevel="0" collapsed="false">
      <c r="A2073" s="0" t="n">
        <v>7</v>
      </c>
      <c r="B2073" s="0" t="n">
        <v>2</v>
      </c>
      <c r="C2073" s="0" t="n">
        <v>11</v>
      </c>
      <c r="D2073" s="0" t="n">
        <f aca="false">-1+A2073*0.125</f>
        <v>-0.125</v>
      </c>
      <c r="E2073" s="0" t="n">
        <f aca="false">-1+B2073*0.125</f>
        <v>-0.75</v>
      </c>
      <c r="F2073" s="0" t="n">
        <f aca="false">-1+C2073*0.125</f>
        <v>0.375</v>
      </c>
      <c r="G2073" s="0" t="n">
        <f aca="false">1</f>
        <v>1</v>
      </c>
      <c r="H2073" s="0" t="n">
        <f aca="false">D2073</f>
        <v>-0.125</v>
      </c>
      <c r="I2073" s="0" t="n">
        <f aca="false">E2073</f>
        <v>-0.75</v>
      </c>
      <c r="J2073" s="0" t="n">
        <f aca="false">F2073</f>
        <v>0.375</v>
      </c>
      <c r="K2073" s="0" t="n">
        <f aca="false">D2073*E2073</f>
        <v>0.09375</v>
      </c>
      <c r="L2073" s="0" t="n">
        <f aca="false">D2073*F2073</f>
        <v>-0.046875</v>
      </c>
      <c r="M2073" s="0" t="n">
        <f aca="false">E2073*F2073</f>
        <v>-0.28125</v>
      </c>
      <c r="N2073" s="0" t="n">
        <f aca="false">D2073*D2073</f>
        <v>0.015625</v>
      </c>
      <c r="O2073" s="0" t="n">
        <f aca="false">E2073*E2073</f>
        <v>0.5625</v>
      </c>
      <c r="P2073" s="0" t="n">
        <f aca="false">F2073*F2073</f>
        <v>0.140625</v>
      </c>
      <c r="Q2073" s="0" t="n">
        <f aca="false">SUMPRODUCT(G2073:P2073,_XtX!$B$71:$K$71)</f>
        <v>45.6691193181818</v>
      </c>
      <c r="R2073" s="0" t="n">
        <f aca="false">SUMPRODUCT(MMULT(G2073:P2073,_XtX!$B$58:$K$67),G2073:P2073)</f>
        <v>0.233744118430398</v>
      </c>
      <c r="S2073" s="0" t="n">
        <f aca="false">04_回帰ANOVA!$K$19*04_回帰ANOVA!$K$14*SQRT(1+R2073)</f>
        <v>1.0327119053564</v>
      </c>
      <c r="T2073" s="0" t="n">
        <f aca="false">Q2073-S2073</f>
        <v>44.6364074128254</v>
      </c>
      <c r="U2073" s="0" t="n">
        <f aca="false">Q2073+S2073</f>
        <v>46.7018312235382</v>
      </c>
      <c r="V2073" s="54" t="b">
        <f aca="false">AND(D2073&gt;=01_因子設定!$L$5-0.000000001,D2073&lt;=01_因子設定!$M$5+0.000000001,E2073&gt;=01_因子設定!$L$6-0.000000001,E2073&lt;=01_因子設定!$M$6+0.000000001,F2073&gt;=01_因子設定!$L$7-0.000000001,F2073&lt;=01_因子設定!$M$7+0.000000001,IF(01_因子設定!$B$20="Box-Behnken",D2073^2+E2073^2+F2073^2&lt;=2+0.000000001,TRUE()))</f>
        <v>1</v>
      </c>
      <c r="W2073" s="55" t="n">
        <f aca="false">IF(V2073,IF(01_因子設定!$B$13="最大化",T2073-01_因子設定!$B$14,IF(01_因子設定!$B$13="最小化",01_因子設定!$B$15-U2073,MIN(T2073-01_因子設定!$B$14,01_因子設定!$B$15-U2073))),-1E+030)</f>
        <v>-3.86359258717457</v>
      </c>
      <c r="X2073" s="55" t="n">
        <f aca="false">IF(V2073,IF(01_因子設定!$B$13="最大化",Q2073,IF(01_因子設定!$B$13="最小化",-Q2073,-ABS(Q2073-01_因子設定!$B$16))),-1E+030)</f>
        <v>45.6691193181818</v>
      </c>
      <c r="Y2073" s="55" t="n">
        <f aca="false">W2073+ROW()*0.000000001</f>
        <v>-3.86359051417457</v>
      </c>
      <c r="Z2073" s="55" t="n">
        <f aca="false">X2073+ROW()*0.000000001</f>
        <v>45.6691213911818</v>
      </c>
    </row>
    <row r="2074" customFormat="false" ht="15" hidden="false" customHeight="false" outlineLevel="0" collapsed="false">
      <c r="A2074" s="0" t="n">
        <v>7</v>
      </c>
      <c r="B2074" s="0" t="n">
        <v>2</v>
      </c>
      <c r="C2074" s="0" t="n">
        <v>12</v>
      </c>
      <c r="D2074" s="0" t="n">
        <f aca="false">-1+A2074*0.125</f>
        <v>-0.125</v>
      </c>
      <c r="E2074" s="0" t="n">
        <f aca="false">-1+B2074*0.125</f>
        <v>-0.75</v>
      </c>
      <c r="F2074" s="0" t="n">
        <f aca="false">-1+C2074*0.125</f>
        <v>0.5</v>
      </c>
      <c r="G2074" s="0" t="n">
        <f aca="false">1</f>
        <v>1</v>
      </c>
      <c r="H2074" s="0" t="n">
        <f aca="false">D2074</f>
        <v>-0.125</v>
      </c>
      <c r="I2074" s="0" t="n">
        <f aca="false">E2074</f>
        <v>-0.75</v>
      </c>
      <c r="J2074" s="0" t="n">
        <f aca="false">F2074</f>
        <v>0.5</v>
      </c>
      <c r="K2074" s="0" t="n">
        <f aca="false">D2074*E2074</f>
        <v>0.09375</v>
      </c>
      <c r="L2074" s="0" t="n">
        <f aca="false">D2074*F2074</f>
        <v>-0.0625</v>
      </c>
      <c r="M2074" s="0" t="n">
        <f aca="false">E2074*F2074</f>
        <v>-0.375</v>
      </c>
      <c r="N2074" s="0" t="n">
        <f aca="false">D2074*D2074</f>
        <v>0.015625</v>
      </c>
      <c r="O2074" s="0" t="n">
        <f aca="false">E2074*E2074</f>
        <v>0.5625</v>
      </c>
      <c r="P2074" s="0" t="n">
        <f aca="false">F2074*F2074</f>
        <v>0.25</v>
      </c>
      <c r="Q2074" s="0" t="n">
        <f aca="false">SUMPRODUCT(G2074:P2074,_XtX!$B$71:$K$71)</f>
        <v>45.6730113636364</v>
      </c>
      <c r="R2074" s="0" t="n">
        <f aca="false">SUMPRODUCT(MMULT(G2074:P2074,_XtX!$B$58:$K$67),G2074:P2074)</f>
        <v>0.240933504971591</v>
      </c>
      <c r="S2074" s="0" t="n">
        <f aca="false">04_回帰ANOVA!$K$19*04_回帰ANOVA!$K$14*SQRT(1+R2074)</f>
        <v>1.03571649118863</v>
      </c>
      <c r="T2074" s="0" t="n">
        <f aca="false">Q2074-S2074</f>
        <v>44.6372948724478</v>
      </c>
      <c r="U2074" s="0" t="n">
        <f aca="false">Q2074+S2074</f>
        <v>46.708727854825</v>
      </c>
      <c r="V2074" s="54" t="b">
        <f aca="false">AND(D2074&gt;=01_因子設定!$L$5-0.000000001,D2074&lt;=01_因子設定!$M$5+0.000000001,E2074&gt;=01_因子設定!$L$6-0.000000001,E2074&lt;=01_因子設定!$M$6+0.000000001,F2074&gt;=01_因子設定!$L$7-0.000000001,F2074&lt;=01_因子設定!$M$7+0.000000001,IF(01_因子設定!$B$20="Box-Behnken",D2074^2+E2074^2+F2074^2&lt;=2+0.000000001,TRUE()))</f>
        <v>1</v>
      </c>
      <c r="W2074" s="55" t="n">
        <f aca="false">IF(V2074,IF(01_因子設定!$B$13="最大化",T2074-01_因子設定!$B$14,IF(01_因子設定!$B$13="最小化",01_因子設定!$B$15-U2074,MIN(T2074-01_因子設定!$B$14,01_因子設定!$B$15-U2074))),-1E+030)</f>
        <v>-3.86270512755225</v>
      </c>
      <c r="X2074" s="55" t="n">
        <f aca="false">IF(V2074,IF(01_因子設定!$B$13="最大化",Q2074,IF(01_因子設定!$B$13="最小化",-Q2074,-ABS(Q2074-01_因子設定!$B$16))),-1E+030)</f>
        <v>45.6730113636364</v>
      </c>
      <c r="Y2074" s="55" t="n">
        <f aca="false">W2074+ROW()*0.000000001</f>
        <v>-3.86270305355225</v>
      </c>
      <c r="Z2074" s="55" t="n">
        <f aca="false">X2074+ROW()*0.000000001</f>
        <v>45.6730134376364</v>
      </c>
    </row>
    <row r="2075" customFormat="false" ht="15" hidden="false" customHeight="false" outlineLevel="0" collapsed="false">
      <c r="A2075" s="0" t="n">
        <v>7</v>
      </c>
      <c r="B2075" s="0" t="n">
        <v>2</v>
      </c>
      <c r="C2075" s="0" t="n">
        <v>13</v>
      </c>
      <c r="D2075" s="0" t="n">
        <f aca="false">-1+A2075*0.125</f>
        <v>-0.125</v>
      </c>
      <c r="E2075" s="0" t="n">
        <f aca="false">-1+B2075*0.125</f>
        <v>-0.75</v>
      </c>
      <c r="F2075" s="0" t="n">
        <f aca="false">-1+C2075*0.125</f>
        <v>0.625</v>
      </c>
      <c r="G2075" s="0" t="n">
        <f aca="false">1</f>
        <v>1</v>
      </c>
      <c r="H2075" s="0" t="n">
        <f aca="false">D2075</f>
        <v>-0.125</v>
      </c>
      <c r="I2075" s="0" t="n">
        <f aca="false">E2075</f>
        <v>-0.75</v>
      </c>
      <c r="J2075" s="0" t="n">
        <f aca="false">F2075</f>
        <v>0.625</v>
      </c>
      <c r="K2075" s="0" t="n">
        <f aca="false">D2075*E2075</f>
        <v>0.09375</v>
      </c>
      <c r="L2075" s="0" t="n">
        <f aca="false">D2075*F2075</f>
        <v>-0.078125</v>
      </c>
      <c r="M2075" s="0" t="n">
        <f aca="false">E2075*F2075</f>
        <v>-0.46875</v>
      </c>
      <c r="N2075" s="0" t="n">
        <f aca="false">D2075*D2075</f>
        <v>0.015625</v>
      </c>
      <c r="O2075" s="0" t="n">
        <f aca="false">E2075*E2075</f>
        <v>0.5625</v>
      </c>
      <c r="P2075" s="0" t="n">
        <f aca="false">F2075*F2075</f>
        <v>0.390625</v>
      </c>
      <c r="Q2075" s="0" t="n">
        <f aca="false">SUMPRODUCT(G2075:P2075,_XtX!$B$71:$K$71)</f>
        <v>45.6401136363637</v>
      </c>
      <c r="R2075" s="0" t="n">
        <f aca="false">SUMPRODUCT(MMULT(G2075:P2075,_XtX!$B$58:$K$67),G2075:P2075)</f>
        <v>0.262961092862216</v>
      </c>
      <c r="S2075" s="0" t="n">
        <f aca="false">04_回帰ANOVA!$K$19*04_回帰ANOVA!$K$14*SQRT(1+R2075)</f>
        <v>1.04486846483649</v>
      </c>
      <c r="T2075" s="0" t="n">
        <f aca="false">Q2075-S2075</f>
        <v>44.5952451715272</v>
      </c>
      <c r="U2075" s="0" t="n">
        <f aca="false">Q2075+S2075</f>
        <v>46.6849821012001</v>
      </c>
      <c r="V2075" s="54" t="b">
        <f aca="false">AND(D2075&gt;=01_因子設定!$L$5-0.000000001,D2075&lt;=01_因子設定!$M$5+0.000000001,E2075&gt;=01_因子設定!$L$6-0.000000001,E2075&lt;=01_因子設定!$M$6+0.000000001,F2075&gt;=01_因子設定!$L$7-0.000000001,F2075&lt;=01_因子設定!$M$7+0.000000001,IF(01_因子設定!$B$20="Box-Behnken",D2075^2+E2075^2+F2075^2&lt;=2+0.000000001,TRUE()))</f>
        <v>1</v>
      </c>
      <c r="W2075" s="55" t="n">
        <f aca="false">IF(V2075,IF(01_因子設定!$B$13="最大化",T2075-01_因子設定!$B$14,IF(01_因子設定!$B$13="最小化",01_因子設定!$B$15-U2075,MIN(T2075-01_因子設定!$B$14,01_因子設定!$B$15-U2075))),-1E+030)</f>
        <v>-3.90475482847283</v>
      </c>
      <c r="X2075" s="55" t="n">
        <f aca="false">IF(V2075,IF(01_因子設定!$B$13="最大化",Q2075,IF(01_因子設定!$B$13="最小化",-Q2075,-ABS(Q2075-01_因子設定!$B$16))),-1E+030)</f>
        <v>45.6401136363637</v>
      </c>
      <c r="Y2075" s="55" t="n">
        <f aca="false">W2075+ROW()*0.000000001</f>
        <v>-3.90475275347283</v>
      </c>
      <c r="Z2075" s="55" t="n">
        <f aca="false">X2075+ROW()*0.000000001</f>
        <v>45.6401157113637</v>
      </c>
    </row>
    <row r="2076" customFormat="false" ht="15" hidden="false" customHeight="false" outlineLevel="0" collapsed="false">
      <c r="A2076" s="0" t="n">
        <v>7</v>
      </c>
      <c r="B2076" s="0" t="n">
        <v>2</v>
      </c>
      <c r="C2076" s="0" t="n">
        <v>14</v>
      </c>
      <c r="D2076" s="0" t="n">
        <f aca="false">-1+A2076*0.125</f>
        <v>-0.125</v>
      </c>
      <c r="E2076" s="0" t="n">
        <f aca="false">-1+B2076*0.125</f>
        <v>-0.75</v>
      </c>
      <c r="F2076" s="0" t="n">
        <f aca="false">-1+C2076*0.125</f>
        <v>0.75</v>
      </c>
      <c r="G2076" s="0" t="n">
        <f aca="false">1</f>
        <v>1</v>
      </c>
      <c r="H2076" s="0" t="n">
        <f aca="false">D2076</f>
        <v>-0.125</v>
      </c>
      <c r="I2076" s="0" t="n">
        <f aca="false">E2076</f>
        <v>-0.75</v>
      </c>
      <c r="J2076" s="0" t="n">
        <f aca="false">F2076</f>
        <v>0.75</v>
      </c>
      <c r="K2076" s="0" t="n">
        <f aca="false">D2076*E2076</f>
        <v>0.09375</v>
      </c>
      <c r="L2076" s="0" t="n">
        <f aca="false">D2076*F2076</f>
        <v>-0.09375</v>
      </c>
      <c r="M2076" s="0" t="n">
        <f aca="false">E2076*F2076</f>
        <v>-0.5625</v>
      </c>
      <c r="N2076" s="0" t="n">
        <f aca="false">D2076*D2076</f>
        <v>0.015625</v>
      </c>
      <c r="O2076" s="0" t="n">
        <f aca="false">E2076*E2076</f>
        <v>0.5625</v>
      </c>
      <c r="P2076" s="0" t="n">
        <f aca="false">F2076*F2076</f>
        <v>0.5625</v>
      </c>
      <c r="Q2076" s="0" t="n">
        <f aca="false">SUMPRODUCT(G2076:P2076,_XtX!$B$71:$K$71)</f>
        <v>45.5704261363637</v>
      </c>
      <c r="R2076" s="0" t="n">
        <f aca="false">SUMPRODUCT(MMULT(G2076:P2076,_XtX!$B$58:$K$67),G2076:P2076)</f>
        <v>0.309414950284091</v>
      </c>
      <c r="S2076" s="0" t="n">
        <f aca="false">04_回帰ANOVA!$K$19*04_回帰ANOVA!$K$14*SQRT(1+R2076)</f>
        <v>1.06391096196568</v>
      </c>
      <c r="T2076" s="0" t="n">
        <f aca="false">Q2076-S2076</f>
        <v>44.506515174398</v>
      </c>
      <c r="U2076" s="0" t="n">
        <f aca="false">Q2076+S2076</f>
        <v>46.6343370983293</v>
      </c>
      <c r="V2076" s="54" t="b">
        <f aca="false">AND(D2076&gt;=01_因子設定!$L$5-0.000000001,D2076&lt;=01_因子設定!$M$5+0.000000001,E2076&gt;=01_因子設定!$L$6-0.000000001,E2076&lt;=01_因子設定!$M$6+0.000000001,F2076&gt;=01_因子設定!$L$7-0.000000001,F2076&lt;=01_因子設定!$M$7+0.000000001,IF(01_因子設定!$B$20="Box-Behnken",D2076^2+E2076^2+F2076^2&lt;=2+0.000000001,TRUE()))</f>
        <v>1</v>
      </c>
      <c r="W2076" s="55" t="n">
        <f aca="false">IF(V2076,IF(01_因子設定!$B$13="最大化",T2076-01_因子設定!$B$14,IF(01_因子設定!$B$13="最小化",01_因子設定!$B$15-U2076,MIN(T2076-01_因子設定!$B$14,01_因子設定!$B$15-U2076))),-1E+030)</f>
        <v>-3.99348482560202</v>
      </c>
      <c r="X2076" s="55" t="n">
        <f aca="false">IF(V2076,IF(01_因子設定!$B$13="最大化",Q2076,IF(01_因子設定!$B$13="最小化",-Q2076,-ABS(Q2076-01_因子設定!$B$16))),-1E+030)</f>
        <v>45.5704261363637</v>
      </c>
      <c r="Y2076" s="55" t="n">
        <f aca="false">W2076+ROW()*0.000000001</f>
        <v>-3.99348274960202</v>
      </c>
      <c r="Z2076" s="55" t="n">
        <f aca="false">X2076+ROW()*0.000000001</f>
        <v>45.5704282123637</v>
      </c>
    </row>
    <row r="2077" customFormat="false" ht="15" hidden="false" customHeight="false" outlineLevel="0" collapsed="false">
      <c r="A2077" s="0" t="n">
        <v>7</v>
      </c>
      <c r="B2077" s="0" t="n">
        <v>2</v>
      </c>
      <c r="C2077" s="0" t="n">
        <v>15</v>
      </c>
      <c r="D2077" s="0" t="n">
        <f aca="false">-1+A2077*0.125</f>
        <v>-0.125</v>
      </c>
      <c r="E2077" s="0" t="n">
        <f aca="false">-1+B2077*0.125</f>
        <v>-0.75</v>
      </c>
      <c r="F2077" s="0" t="n">
        <f aca="false">-1+C2077*0.125</f>
        <v>0.875</v>
      </c>
      <c r="G2077" s="0" t="n">
        <f aca="false">1</f>
        <v>1</v>
      </c>
      <c r="H2077" s="0" t="n">
        <f aca="false">D2077</f>
        <v>-0.125</v>
      </c>
      <c r="I2077" s="0" t="n">
        <f aca="false">E2077</f>
        <v>-0.75</v>
      </c>
      <c r="J2077" s="0" t="n">
        <f aca="false">F2077</f>
        <v>0.875</v>
      </c>
      <c r="K2077" s="0" t="n">
        <f aca="false">D2077*E2077</f>
        <v>0.09375</v>
      </c>
      <c r="L2077" s="0" t="n">
        <f aca="false">D2077*F2077</f>
        <v>-0.109375</v>
      </c>
      <c r="M2077" s="0" t="n">
        <f aca="false">E2077*F2077</f>
        <v>-0.65625</v>
      </c>
      <c r="N2077" s="0" t="n">
        <f aca="false">D2077*D2077</f>
        <v>0.015625</v>
      </c>
      <c r="O2077" s="0" t="n">
        <f aca="false">E2077*E2077</f>
        <v>0.5625</v>
      </c>
      <c r="P2077" s="0" t="n">
        <f aca="false">F2077*F2077</f>
        <v>0.765625</v>
      </c>
      <c r="Q2077" s="0" t="n">
        <f aca="false">SUMPRODUCT(G2077:P2077,_XtX!$B$71:$K$71)</f>
        <v>45.4639488636364</v>
      </c>
      <c r="R2077" s="0" t="n">
        <f aca="false">SUMPRODUCT(MMULT(G2077:P2077,_XtX!$B$58:$K$67),G2077:P2077)</f>
        <v>0.392013827237216</v>
      </c>
      <c r="S2077" s="0" t="n">
        <f aca="false">04_回帰ANOVA!$K$19*04_回帰ANOVA!$K$14*SQRT(1+R2077)</f>
        <v>1.09695398627251</v>
      </c>
      <c r="T2077" s="0" t="n">
        <f aca="false">Q2077-S2077</f>
        <v>44.3669948773639</v>
      </c>
      <c r="U2077" s="0" t="n">
        <f aca="false">Q2077+S2077</f>
        <v>46.5609028499089</v>
      </c>
      <c r="V2077" s="54" t="b">
        <f aca="false">AND(D2077&gt;=01_因子設定!$L$5-0.000000001,D2077&lt;=01_因子設定!$M$5+0.000000001,E2077&gt;=01_因子設定!$L$6-0.000000001,E2077&lt;=01_因子設定!$M$6+0.000000001,F2077&gt;=01_因子設定!$L$7-0.000000001,F2077&lt;=01_因子設定!$M$7+0.000000001,IF(01_因子設定!$B$20="Box-Behnken",D2077^2+E2077^2+F2077^2&lt;=2+0.000000001,TRUE()))</f>
        <v>1</v>
      </c>
      <c r="W2077" s="55" t="n">
        <f aca="false">IF(V2077,IF(01_因子設定!$B$13="最大化",T2077-01_因子設定!$B$14,IF(01_因子設定!$B$13="最小化",01_因子設定!$B$15-U2077,MIN(T2077-01_因子設定!$B$14,01_因子設定!$B$15-U2077))),-1E+030)</f>
        <v>-4.13300512263612</v>
      </c>
      <c r="X2077" s="55" t="n">
        <f aca="false">IF(V2077,IF(01_因子設定!$B$13="最大化",Q2077,IF(01_因子設定!$B$13="最小化",-Q2077,-ABS(Q2077-01_因子設定!$B$16))),-1E+030)</f>
        <v>45.4639488636364</v>
      </c>
      <c r="Y2077" s="55" t="n">
        <f aca="false">W2077+ROW()*0.000000001</f>
        <v>-4.13300304563612</v>
      </c>
      <c r="Z2077" s="55" t="n">
        <f aca="false">X2077+ROW()*0.000000001</f>
        <v>45.4639509406364</v>
      </c>
    </row>
    <row r="2078" customFormat="false" ht="15" hidden="false" customHeight="false" outlineLevel="0" collapsed="false">
      <c r="A2078" s="0" t="n">
        <v>7</v>
      </c>
      <c r="B2078" s="0" t="n">
        <v>2</v>
      </c>
      <c r="C2078" s="0" t="n">
        <v>16</v>
      </c>
      <c r="D2078" s="0" t="n">
        <f aca="false">-1+A2078*0.125</f>
        <v>-0.125</v>
      </c>
      <c r="E2078" s="0" t="n">
        <f aca="false">-1+B2078*0.125</f>
        <v>-0.75</v>
      </c>
      <c r="F2078" s="0" t="n">
        <f aca="false">-1+C2078*0.125</f>
        <v>1</v>
      </c>
      <c r="G2078" s="0" t="n">
        <f aca="false">1</f>
        <v>1</v>
      </c>
      <c r="H2078" s="0" t="n">
        <f aca="false">D2078</f>
        <v>-0.125</v>
      </c>
      <c r="I2078" s="0" t="n">
        <f aca="false">E2078</f>
        <v>-0.75</v>
      </c>
      <c r="J2078" s="0" t="n">
        <f aca="false">F2078</f>
        <v>1</v>
      </c>
      <c r="K2078" s="0" t="n">
        <f aca="false">D2078*E2078</f>
        <v>0.09375</v>
      </c>
      <c r="L2078" s="0" t="n">
        <f aca="false">D2078*F2078</f>
        <v>-0.125</v>
      </c>
      <c r="M2078" s="0" t="n">
        <f aca="false">E2078*F2078</f>
        <v>-0.75</v>
      </c>
      <c r="N2078" s="0" t="n">
        <f aca="false">D2078*D2078</f>
        <v>0.015625</v>
      </c>
      <c r="O2078" s="0" t="n">
        <f aca="false">E2078*E2078</f>
        <v>0.5625</v>
      </c>
      <c r="P2078" s="0" t="n">
        <f aca="false">F2078*F2078</f>
        <v>1</v>
      </c>
      <c r="Q2078" s="0" t="n">
        <f aca="false">SUMPRODUCT(G2078:P2078,_XtX!$B$71:$K$71)</f>
        <v>45.3206818181818</v>
      </c>
      <c r="R2078" s="0" t="n">
        <f aca="false">SUMPRODUCT(MMULT(G2078:P2078,_XtX!$B$58:$K$67),G2078:P2078)</f>
        <v>0.524607155539773</v>
      </c>
      <c r="S2078" s="0" t="n">
        <f aca="false">04_回帰ANOVA!$K$19*04_回帰ANOVA!$K$14*SQRT(1+R2078)</f>
        <v>1.14800984623412</v>
      </c>
      <c r="T2078" s="0" t="n">
        <f aca="false">Q2078-S2078</f>
        <v>44.1726719719477</v>
      </c>
      <c r="U2078" s="0" t="n">
        <f aca="false">Q2078+S2078</f>
        <v>46.468691664416</v>
      </c>
      <c r="V2078" s="54" t="b">
        <f aca="false">AND(D2078&gt;=01_因子設定!$L$5-0.000000001,D2078&lt;=01_因子設定!$M$5+0.000000001,E2078&gt;=01_因子設定!$L$6-0.000000001,E2078&lt;=01_因子設定!$M$6+0.000000001,F2078&gt;=01_因子設定!$L$7-0.000000001,F2078&lt;=01_因子設定!$M$7+0.000000001,IF(01_因子設定!$B$20="Box-Behnken",D2078^2+E2078^2+F2078^2&lt;=2+0.000000001,TRUE()))</f>
        <v>1</v>
      </c>
      <c r="W2078" s="55" t="n">
        <f aca="false">IF(V2078,IF(01_因子設定!$B$13="最大化",T2078-01_因子設定!$B$14,IF(01_因子設定!$B$13="最小化",01_因子設定!$B$15-U2078,MIN(T2078-01_因子設定!$B$14,01_因子設定!$B$15-U2078))),-1E+030)</f>
        <v>-4.32732802805227</v>
      </c>
      <c r="X2078" s="55" t="n">
        <f aca="false">IF(V2078,IF(01_因子設定!$B$13="最大化",Q2078,IF(01_因子設定!$B$13="最小化",-Q2078,-ABS(Q2078-01_因子設定!$B$16))),-1E+030)</f>
        <v>45.3206818181818</v>
      </c>
      <c r="Y2078" s="55" t="n">
        <f aca="false">W2078+ROW()*0.000000001</f>
        <v>-4.32732595005227</v>
      </c>
      <c r="Z2078" s="55" t="n">
        <f aca="false">X2078+ROW()*0.000000001</f>
        <v>45.3206838961819</v>
      </c>
    </row>
    <row r="2079" customFormat="false" ht="15" hidden="false" customHeight="false" outlineLevel="0" collapsed="false">
      <c r="A2079" s="0" t="n">
        <v>7</v>
      </c>
      <c r="B2079" s="0" t="n">
        <v>3</v>
      </c>
      <c r="C2079" s="0" t="n">
        <v>0</v>
      </c>
      <c r="D2079" s="0" t="n">
        <f aca="false">-1+A2079*0.125</f>
        <v>-0.125</v>
      </c>
      <c r="E2079" s="0" t="n">
        <f aca="false">-1+B2079*0.125</f>
        <v>-0.625</v>
      </c>
      <c r="F2079" s="0" t="n">
        <f aca="false">-1+C2079*0.125</f>
        <v>-1</v>
      </c>
      <c r="G2079" s="0" t="n">
        <f aca="false">1</f>
        <v>1</v>
      </c>
      <c r="H2079" s="0" t="n">
        <f aca="false">D2079</f>
        <v>-0.125</v>
      </c>
      <c r="I2079" s="0" t="n">
        <f aca="false">E2079</f>
        <v>-0.625</v>
      </c>
      <c r="J2079" s="0" t="n">
        <f aca="false">F2079</f>
        <v>-1</v>
      </c>
      <c r="K2079" s="0" t="n">
        <f aca="false">D2079*E2079</f>
        <v>0.078125</v>
      </c>
      <c r="L2079" s="0" t="n">
        <f aca="false">D2079*F2079</f>
        <v>0.125</v>
      </c>
      <c r="M2079" s="0" t="n">
        <f aca="false">E2079*F2079</f>
        <v>0.625</v>
      </c>
      <c r="N2079" s="0" t="n">
        <f aca="false">D2079*D2079</f>
        <v>0.015625</v>
      </c>
      <c r="O2079" s="0" t="n">
        <f aca="false">E2079*E2079</f>
        <v>0.390625</v>
      </c>
      <c r="P2079" s="0" t="n">
        <f aca="false">F2079*F2079</f>
        <v>1</v>
      </c>
      <c r="Q2079" s="0" t="n">
        <f aca="false">SUMPRODUCT(G2079:P2079,_XtX!$B$71:$K$71)</f>
        <v>43.7299786931819</v>
      </c>
      <c r="R2079" s="0" t="n">
        <f aca="false">SUMPRODUCT(MMULT(G2079:P2079,_XtX!$B$58:$K$67),G2079:P2079)</f>
        <v>0.489261696555398</v>
      </c>
      <c r="S2079" s="0" t="n">
        <f aca="false">04_回帰ANOVA!$K$19*04_回帰ANOVA!$K$14*SQRT(1+R2079)</f>
        <v>1.13462447083763</v>
      </c>
      <c r="T2079" s="0" t="n">
        <f aca="false">Q2079-S2079</f>
        <v>42.5953542223442</v>
      </c>
      <c r="U2079" s="0" t="n">
        <f aca="false">Q2079+S2079</f>
        <v>44.8646031640195</v>
      </c>
      <c r="V2079" s="54" t="b">
        <f aca="false">AND(D2079&gt;=01_因子設定!$L$5-0.000000001,D2079&lt;=01_因子設定!$M$5+0.000000001,E2079&gt;=01_因子設定!$L$6-0.000000001,E2079&lt;=01_因子設定!$M$6+0.000000001,F2079&gt;=01_因子設定!$L$7-0.000000001,F2079&lt;=01_因子設定!$M$7+0.000000001,IF(01_因子設定!$B$20="Box-Behnken",D2079^2+E2079^2+F2079^2&lt;=2+0.000000001,TRUE()))</f>
        <v>1</v>
      </c>
      <c r="W2079" s="55" t="n">
        <f aca="false">IF(V2079,IF(01_因子設定!$B$13="最大化",T2079-01_因子設定!$B$14,IF(01_因子設定!$B$13="最小化",01_因子設定!$B$15-U2079,MIN(T2079-01_因子設定!$B$14,01_因子設定!$B$15-U2079))),-1E+030)</f>
        <v>-5.90464577765579</v>
      </c>
      <c r="X2079" s="55" t="n">
        <f aca="false">IF(V2079,IF(01_因子設定!$B$13="最大化",Q2079,IF(01_因子設定!$B$13="最小化",-Q2079,-ABS(Q2079-01_因子設定!$B$16))),-1E+030)</f>
        <v>43.7299786931819</v>
      </c>
      <c r="Y2079" s="55" t="n">
        <f aca="false">W2079+ROW()*0.000000001</f>
        <v>-5.90464369865579</v>
      </c>
      <c r="Z2079" s="55" t="n">
        <f aca="false">X2079+ROW()*0.000000001</f>
        <v>43.7299807721819</v>
      </c>
    </row>
    <row r="2080" customFormat="false" ht="15" hidden="false" customHeight="false" outlineLevel="0" collapsed="false">
      <c r="A2080" s="0" t="n">
        <v>7</v>
      </c>
      <c r="B2080" s="0" t="n">
        <v>3</v>
      </c>
      <c r="C2080" s="0" t="n">
        <v>1</v>
      </c>
      <c r="D2080" s="0" t="n">
        <f aca="false">-1+A2080*0.125</f>
        <v>-0.125</v>
      </c>
      <c r="E2080" s="0" t="n">
        <f aca="false">-1+B2080*0.125</f>
        <v>-0.625</v>
      </c>
      <c r="F2080" s="0" t="n">
        <f aca="false">-1+C2080*0.125</f>
        <v>-0.875</v>
      </c>
      <c r="G2080" s="0" t="n">
        <f aca="false">1</f>
        <v>1</v>
      </c>
      <c r="H2080" s="0" t="n">
        <f aca="false">D2080</f>
        <v>-0.125</v>
      </c>
      <c r="I2080" s="0" t="n">
        <f aca="false">E2080</f>
        <v>-0.625</v>
      </c>
      <c r="J2080" s="0" t="n">
        <f aca="false">F2080</f>
        <v>-0.875</v>
      </c>
      <c r="K2080" s="0" t="n">
        <f aca="false">D2080*E2080</f>
        <v>0.078125</v>
      </c>
      <c r="L2080" s="0" t="n">
        <f aca="false">D2080*F2080</f>
        <v>0.109375</v>
      </c>
      <c r="M2080" s="0" t="n">
        <f aca="false">E2080*F2080</f>
        <v>0.546875</v>
      </c>
      <c r="N2080" s="0" t="n">
        <f aca="false">D2080*D2080</f>
        <v>0.015625</v>
      </c>
      <c r="O2080" s="0" t="n">
        <f aca="false">E2080*E2080</f>
        <v>0.390625</v>
      </c>
      <c r="P2080" s="0" t="n">
        <f aca="false">F2080*F2080</f>
        <v>0.765625</v>
      </c>
      <c r="Q2080" s="0" t="n">
        <f aca="false">SUMPRODUCT(G2080:P2080,_XtX!$B$71:$K$71)</f>
        <v>44.1455894886364</v>
      </c>
      <c r="R2080" s="0" t="n">
        <f aca="false">SUMPRODUCT(MMULT(G2080:P2080,_XtX!$B$58:$K$67),G2080:P2080)</f>
        <v>0.350717440518466</v>
      </c>
      <c r="S2080" s="0" t="n">
        <f aca="false">04_回帰ANOVA!$K$19*04_回帰ANOVA!$K$14*SQRT(1+R2080)</f>
        <v>1.08056000737898</v>
      </c>
      <c r="T2080" s="0" t="n">
        <f aca="false">Q2080-S2080</f>
        <v>43.0650294812574</v>
      </c>
      <c r="U2080" s="0" t="n">
        <f aca="false">Q2080+S2080</f>
        <v>45.2261494960154</v>
      </c>
      <c r="V2080" s="54" t="b">
        <f aca="false">AND(D2080&gt;=01_因子設定!$L$5-0.000000001,D2080&lt;=01_因子設定!$M$5+0.000000001,E2080&gt;=01_因子設定!$L$6-0.000000001,E2080&lt;=01_因子設定!$M$6+0.000000001,F2080&gt;=01_因子設定!$L$7-0.000000001,F2080&lt;=01_因子設定!$M$7+0.000000001,IF(01_因子設定!$B$20="Box-Behnken",D2080^2+E2080^2+F2080^2&lt;=2+0.000000001,TRUE()))</f>
        <v>1</v>
      </c>
      <c r="W2080" s="55" t="n">
        <f aca="false">IF(V2080,IF(01_因子設定!$B$13="最大化",T2080-01_因子設定!$B$14,IF(01_因子設定!$B$13="最小化",01_因子設定!$B$15-U2080,MIN(T2080-01_因子設定!$B$14,01_因子設定!$B$15-U2080))),-1E+030)</f>
        <v>-5.43497051874259</v>
      </c>
      <c r="X2080" s="55" t="n">
        <f aca="false">IF(V2080,IF(01_因子設定!$B$13="最大化",Q2080,IF(01_因子設定!$B$13="最小化",-Q2080,-ABS(Q2080-01_因子設定!$B$16))),-1E+030)</f>
        <v>44.1455894886364</v>
      </c>
      <c r="Y2080" s="55" t="n">
        <f aca="false">W2080+ROW()*0.000000001</f>
        <v>-5.43496843874259</v>
      </c>
      <c r="Z2080" s="55" t="n">
        <f aca="false">X2080+ROW()*0.000000001</f>
        <v>44.1455915686364</v>
      </c>
    </row>
    <row r="2081" customFormat="false" ht="15" hidden="false" customHeight="false" outlineLevel="0" collapsed="false">
      <c r="A2081" s="0" t="n">
        <v>7</v>
      </c>
      <c r="B2081" s="0" t="n">
        <v>3</v>
      </c>
      <c r="C2081" s="0" t="n">
        <v>2</v>
      </c>
      <c r="D2081" s="0" t="n">
        <f aca="false">-1+A2081*0.125</f>
        <v>-0.125</v>
      </c>
      <c r="E2081" s="0" t="n">
        <f aca="false">-1+B2081*0.125</f>
        <v>-0.625</v>
      </c>
      <c r="F2081" s="0" t="n">
        <f aca="false">-1+C2081*0.125</f>
        <v>-0.75</v>
      </c>
      <c r="G2081" s="0" t="n">
        <f aca="false">1</f>
        <v>1</v>
      </c>
      <c r="H2081" s="0" t="n">
        <f aca="false">D2081</f>
        <v>-0.125</v>
      </c>
      <c r="I2081" s="0" t="n">
        <f aca="false">E2081</f>
        <v>-0.625</v>
      </c>
      <c r="J2081" s="0" t="n">
        <f aca="false">F2081</f>
        <v>-0.75</v>
      </c>
      <c r="K2081" s="0" t="n">
        <f aca="false">D2081*E2081</f>
        <v>0.078125</v>
      </c>
      <c r="L2081" s="0" t="n">
        <f aca="false">D2081*F2081</f>
        <v>0.09375</v>
      </c>
      <c r="M2081" s="0" t="n">
        <f aca="false">E2081*F2081</f>
        <v>0.46875</v>
      </c>
      <c r="N2081" s="0" t="n">
        <f aca="false">D2081*D2081</f>
        <v>0.015625</v>
      </c>
      <c r="O2081" s="0" t="n">
        <f aca="false">E2081*E2081</f>
        <v>0.390625</v>
      </c>
      <c r="P2081" s="0" t="n">
        <f aca="false">F2081*F2081</f>
        <v>0.5625</v>
      </c>
      <c r="Q2081" s="0" t="n">
        <f aca="false">SUMPRODUCT(G2081:P2081,_XtX!$B$71:$K$71)</f>
        <v>44.5244105113637</v>
      </c>
      <c r="R2081" s="0" t="n">
        <f aca="false">SUMPRODUCT(MMULT(G2081:P2081,_XtX!$B$58:$K$67),G2081:P2081)</f>
        <v>0.262961092862216</v>
      </c>
      <c r="S2081" s="0" t="n">
        <f aca="false">04_回帰ANOVA!$K$19*04_回帰ANOVA!$K$14*SQRT(1+R2081)</f>
        <v>1.04486846483649</v>
      </c>
      <c r="T2081" s="0" t="n">
        <f aca="false">Q2081-S2081</f>
        <v>43.4795420465272</v>
      </c>
      <c r="U2081" s="0" t="n">
        <f aca="false">Q2081+S2081</f>
        <v>45.5692789762001</v>
      </c>
      <c r="V2081" s="54" t="b">
        <f aca="false">AND(D2081&gt;=01_因子設定!$L$5-0.000000001,D2081&lt;=01_因子設定!$M$5+0.000000001,E2081&gt;=01_因子設定!$L$6-0.000000001,E2081&lt;=01_因子設定!$M$6+0.000000001,F2081&gt;=01_因子設定!$L$7-0.000000001,F2081&lt;=01_因子設定!$M$7+0.000000001,IF(01_因子設定!$B$20="Box-Behnken",D2081^2+E2081^2+F2081^2&lt;=2+0.000000001,TRUE()))</f>
        <v>1</v>
      </c>
      <c r="W2081" s="55" t="n">
        <f aca="false">IF(V2081,IF(01_因子設定!$B$13="最大化",T2081-01_因子設定!$B$14,IF(01_因子設定!$B$13="最小化",01_因子設定!$B$15-U2081,MIN(T2081-01_因子設定!$B$14,01_因子設定!$B$15-U2081))),-1E+030)</f>
        <v>-5.02045795347283</v>
      </c>
      <c r="X2081" s="55" t="n">
        <f aca="false">IF(V2081,IF(01_因子設定!$B$13="最大化",Q2081,IF(01_因子設定!$B$13="最小化",-Q2081,-ABS(Q2081-01_因子設定!$B$16))),-1E+030)</f>
        <v>44.5244105113637</v>
      </c>
      <c r="Y2081" s="55" t="n">
        <f aca="false">W2081+ROW()*0.000000001</f>
        <v>-5.02045587247283</v>
      </c>
      <c r="Z2081" s="55" t="n">
        <f aca="false">X2081+ROW()*0.000000001</f>
        <v>44.5244125923637</v>
      </c>
    </row>
    <row r="2082" customFormat="false" ht="15" hidden="false" customHeight="false" outlineLevel="0" collapsed="false">
      <c r="A2082" s="0" t="n">
        <v>7</v>
      </c>
      <c r="B2082" s="0" t="n">
        <v>3</v>
      </c>
      <c r="C2082" s="0" t="n">
        <v>3</v>
      </c>
      <c r="D2082" s="0" t="n">
        <f aca="false">-1+A2082*0.125</f>
        <v>-0.125</v>
      </c>
      <c r="E2082" s="0" t="n">
        <f aca="false">-1+B2082*0.125</f>
        <v>-0.625</v>
      </c>
      <c r="F2082" s="0" t="n">
        <f aca="false">-1+C2082*0.125</f>
        <v>-0.625</v>
      </c>
      <c r="G2082" s="0" t="n">
        <f aca="false">1</f>
        <v>1</v>
      </c>
      <c r="H2082" s="0" t="n">
        <f aca="false">D2082</f>
        <v>-0.125</v>
      </c>
      <c r="I2082" s="0" t="n">
        <f aca="false">E2082</f>
        <v>-0.625</v>
      </c>
      <c r="J2082" s="0" t="n">
        <f aca="false">F2082</f>
        <v>-0.625</v>
      </c>
      <c r="K2082" s="0" t="n">
        <f aca="false">D2082*E2082</f>
        <v>0.078125</v>
      </c>
      <c r="L2082" s="0" t="n">
        <f aca="false">D2082*F2082</f>
        <v>0.078125</v>
      </c>
      <c r="M2082" s="0" t="n">
        <f aca="false">E2082*F2082</f>
        <v>0.390625</v>
      </c>
      <c r="N2082" s="0" t="n">
        <f aca="false">D2082*D2082</f>
        <v>0.015625</v>
      </c>
      <c r="O2082" s="0" t="n">
        <f aca="false">E2082*E2082</f>
        <v>0.390625</v>
      </c>
      <c r="P2082" s="0" t="n">
        <f aca="false">F2082*F2082</f>
        <v>0.390625</v>
      </c>
      <c r="Q2082" s="0" t="n">
        <f aca="false">SUMPRODUCT(G2082:P2082,_XtX!$B$71:$K$71)</f>
        <v>44.8664417613637</v>
      </c>
      <c r="R2082" s="0" t="n">
        <f aca="false">SUMPRODUCT(MMULT(G2082:P2082,_XtX!$B$58:$K$67),G2082:P2082)</f>
        <v>0.212143221768466</v>
      </c>
      <c r="S2082" s="0" t="n">
        <f aca="false">04_回帰ANOVA!$K$19*04_回帰ANOVA!$K$14*SQRT(1+R2082)</f>
        <v>1.02363141237304</v>
      </c>
      <c r="T2082" s="0" t="n">
        <f aca="false">Q2082-S2082</f>
        <v>43.8428103489906</v>
      </c>
      <c r="U2082" s="0" t="n">
        <f aca="false">Q2082+S2082</f>
        <v>45.8900731737367</v>
      </c>
      <c r="V2082" s="54" t="b">
        <f aca="false">AND(D2082&gt;=01_因子設定!$L$5-0.000000001,D2082&lt;=01_因子設定!$M$5+0.000000001,E2082&gt;=01_因子設定!$L$6-0.000000001,E2082&lt;=01_因子設定!$M$6+0.000000001,F2082&gt;=01_因子設定!$L$7-0.000000001,F2082&lt;=01_因子設定!$M$7+0.000000001,IF(01_因子設定!$B$20="Box-Behnken",D2082^2+E2082^2+F2082^2&lt;=2+0.000000001,TRUE()))</f>
        <v>1</v>
      </c>
      <c r="W2082" s="55" t="n">
        <f aca="false">IF(V2082,IF(01_因子設定!$B$13="最大化",T2082-01_因子設定!$B$14,IF(01_因子設定!$B$13="最小化",01_因子設定!$B$15-U2082,MIN(T2082-01_因子設定!$B$14,01_因子設定!$B$15-U2082))),-1E+030)</f>
        <v>-4.65718965100939</v>
      </c>
      <c r="X2082" s="55" t="n">
        <f aca="false">IF(V2082,IF(01_因子設定!$B$13="最大化",Q2082,IF(01_因子設定!$B$13="最小化",-Q2082,-ABS(Q2082-01_因子設定!$B$16))),-1E+030)</f>
        <v>44.8664417613637</v>
      </c>
      <c r="Y2082" s="55" t="n">
        <f aca="false">W2082+ROW()*0.000000001</f>
        <v>-4.65718756900939</v>
      </c>
      <c r="Z2082" s="55" t="n">
        <f aca="false">X2082+ROW()*0.000000001</f>
        <v>44.8664438433637</v>
      </c>
    </row>
    <row r="2083" customFormat="false" ht="15" hidden="false" customHeight="false" outlineLevel="0" collapsed="false">
      <c r="A2083" s="0" t="n">
        <v>7</v>
      </c>
      <c r="B2083" s="0" t="n">
        <v>3</v>
      </c>
      <c r="C2083" s="0" t="n">
        <v>4</v>
      </c>
      <c r="D2083" s="0" t="n">
        <f aca="false">-1+A2083*0.125</f>
        <v>-0.125</v>
      </c>
      <c r="E2083" s="0" t="n">
        <f aca="false">-1+B2083*0.125</f>
        <v>-0.625</v>
      </c>
      <c r="F2083" s="0" t="n">
        <f aca="false">-1+C2083*0.125</f>
        <v>-0.5</v>
      </c>
      <c r="G2083" s="0" t="n">
        <f aca="false">1</f>
        <v>1</v>
      </c>
      <c r="H2083" s="0" t="n">
        <f aca="false">D2083</f>
        <v>-0.125</v>
      </c>
      <c r="I2083" s="0" t="n">
        <f aca="false">E2083</f>
        <v>-0.625</v>
      </c>
      <c r="J2083" s="0" t="n">
        <f aca="false">F2083</f>
        <v>-0.5</v>
      </c>
      <c r="K2083" s="0" t="n">
        <f aca="false">D2083*E2083</f>
        <v>0.078125</v>
      </c>
      <c r="L2083" s="0" t="n">
        <f aca="false">D2083*F2083</f>
        <v>0.0625</v>
      </c>
      <c r="M2083" s="0" t="n">
        <f aca="false">E2083*F2083</f>
        <v>0.3125</v>
      </c>
      <c r="N2083" s="0" t="n">
        <f aca="false">D2083*D2083</f>
        <v>0.015625</v>
      </c>
      <c r="O2083" s="0" t="n">
        <f aca="false">E2083*E2083</f>
        <v>0.390625</v>
      </c>
      <c r="P2083" s="0" t="n">
        <f aca="false">F2083*F2083</f>
        <v>0.25</v>
      </c>
      <c r="Q2083" s="0" t="n">
        <f aca="false">SUMPRODUCT(G2083:P2083,_XtX!$B$71:$K$71)</f>
        <v>45.1716832386364</v>
      </c>
      <c r="R2083" s="0" t="n">
        <f aca="false">SUMPRODUCT(MMULT(G2083:P2083,_XtX!$B$58:$K$67),G2083:P2083)</f>
        <v>0.186545077237216</v>
      </c>
      <c r="S2083" s="0" t="n">
        <f aca="false">04_回帰ANOVA!$K$19*04_回帰ANOVA!$K$14*SQRT(1+R2083)</f>
        <v>1.01276516970713</v>
      </c>
      <c r="T2083" s="0" t="n">
        <f aca="false">Q2083-S2083</f>
        <v>44.1589180689292</v>
      </c>
      <c r="U2083" s="0" t="n">
        <f aca="false">Q2083+S2083</f>
        <v>46.1844484083435</v>
      </c>
      <c r="V2083" s="54" t="b">
        <f aca="false">AND(D2083&gt;=01_因子設定!$L$5-0.000000001,D2083&lt;=01_因子設定!$M$5+0.000000001,E2083&gt;=01_因子設定!$L$6-0.000000001,E2083&lt;=01_因子設定!$M$6+0.000000001,F2083&gt;=01_因子設定!$L$7-0.000000001,F2083&lt;=01_因子設定!$M$7+0.000000001,IF(01_因子設定!$B$20="Box-Behnken",D2083^2+E2083^2+F2083^2&lt;=2+0.000000001,TRUE()))</f>
        <v>1</v>
      </c>
      <c r="W2083" s="55" t="n">
        <f aca="false">IF(V2083,IF(01_因子設定!$B$13="最大化",T2083-01_因子設定!$B$14,IF(01_因子設定!$B$13="最小化",01_因子設定!$B$15-U2083,MIN(T2083-01_因子設定!$B$14,01_因子設定!$B$15-U2083))),-1E+030)</f>
        <v>-4.34108193107075</v>
      </c>
      <c r="X2083" s="55" t="n">
        <f aca="false">IF(V2083,IF(01_因子設定!$B$13="最大化",Q2083,IF(01_因子設定!$B$13="最小化",-Q2083,-ABS(Q2083-01_因子設定!$B$16))),-1E+030)</f>
        <v>45.1716832386364</v>
      </c>
      <c r="Y2083" s="55" t="n">
        <f aca="false">W2083+ROW()*0.000000001</f>
        <v>-4.34107984807075</v>
      </c>
      <c r="Z2083" s="55" t="n">
        <f aca="false">X2083+ROW()*0.000000001</f>
        <v>45.1716853216364</v>
      </c>
    </row>
    <row r="2084" customFormat="false" ht="15" hidden="false" customHeight="false" outlineLevel="0" collapsed="false">
      <c r="A2084" s="0" t="n">
        <v>7</v>
      </c>
      <c r="B2084" s="0" t="n">
        <v>3</v>
      </c>
      <c r="C2084" s="0" t="n">
        <v>5</v>
      </c>
      <c r="D2084" s="0" t="n">
        <f aca="false">-1+A2084*0.125</f>
        <v>-0.125</v>
      </c>
      <c r="E2084" s="0" t="n">
        <f aca="false">-1+B2084*0.125</f>
        <v>-0.625</v>
      </c>
      <c r="F2084" s="0" t="n">
        <f aca="false">-1+C2084*0.125</f>
        <v>-0.375</v>
      </c>
      <c r="G2084" s="0" t="n">
        <f aca="false">1</f>
        <v>1</v>
      </c>
      <c r="H2084" s="0" t="n">
        <f aca="false">D2084</f>
        <v>-0.125</v>
      </c>
      <c r="I2084" s="0" t="n">
        <f aca="false">E2084</f>
        <v>-0.625</v>
      </c>
      <c r="J2084" s="0" t="n">
        <f aca="false">F2084</f>
        <v>-0.375</v>
      </c>
      <c r="K2084" s="0" t="n">
        <f aca="false">D2084*E2084</f>
        <v>0.078125</v>
      </c>
      <c r="L2084" s="0" t="n">
        <f aca="false">D2084*F2084</f>
        <v>0.046875</v>
      </c>
      <c r="M2084" s="0" t="n">
        <f aca="false">E2084*F2084</f>
        <v>0.234375</v>
      </c>
      <c r="N2084" s="0" t="n">
        <f aca="false">D2084*D2084</f>
        <v>0.015625</v>
      </c>
      <c r="O2084" s="0" t="n">
        <f aca="false">E2084*E2084</f>
        <v>0.390625</v>
      </c>
      <c r="P2084" s="0" t="n">
        <f aca="false">F2084*F2084</f>
        <v>0.140625</v>
      </c>
      <c r="Q2084" s="0" t="n">
        <f aca="false">SUMPRODUCT(G2084:P2084,_XtX!$B$71:$K$71)</f>
        <v>45.4401349431818</v>
      </c>
      <c r="R2084" s="0" t="n">
        <f aca="false">SUMPRODUCT(MMULT(G2084:P2084,_XtX!$B$58:$K$67),G2084:P2084)</f>
        <v>0.176578591086648</v>
      </c>
      <c r="S2084" s="0" t="n">
        <f aca="false">04_回帰ANOVA!$K$19*04_回帰ANOVA!$K$14*SQRT(1+R2084)</f>
        <v>1.00850279676269</v>
      </c>
      <c r="T2084" s="0" t="n">
        <f aca="false">Q2084-S2084</f>
        <v>44.4316321464191</v>
      </c>
      <c r="U2084" s="0" t="n">
        <f aca="false">Q2084+S2084</f>
        <v>46.4486377399445</v>
      </c>
      <c r="V2084" s="54" t="b">
        <f aca="false">AND(D2084&gt;=01_因子設定!$L$5-0.000000001,D2084&lt;=01_因子設定!$M$5+0.000000001,E2084&gt;=01_因子設定!$L$6-0.000000001,E2084&lt;=01_因子設定!$M$6+0.000000001,F2084&gt;=01_因子設定!$L$7-0.000000001,F2084&lt;=01_因子設定!$M$7+0.000000001,IF(01_因子設定!$B$20="Box-Behnken",D2084^2+E2084^2+F2084^2&lt;=2+0.000000001,TRUE()))</f>
        <v>1</v>
      </c>
      <c r="W2084" s="55" t="n">
        <f aca="false">IF(V2084,IF(01_因子設定!$B$13="最大化",T2084-01_因子設定!$B$14,IF(01_因子設定!$B$13="最小化",01_因子設定!$B$15-U2084,MIN(T2084-01_因子設定!$B$14,01_因子設定!$B$15-U2084))),-1E+030)</f>
        <v>-4.06836785358086</v>
      </c>
      <c r="X2084" s="55" t="n">
        <f aca="false">IF(V2084,IF(01_因子設定!$B$13="最大化",Q2084,IF(01_因子設定!$B$13="最小化",-Q2084,-ABS(Q2084-01_因子設定!$B$16))),-1E+030)</f>
        <v>45.4401349431818</v>
      </c>
      <c r="Y2084" s="55" t="n">
        <f aca="false">W2084+ROW()*0.000000001</f>
        <v>-4.06836576958086</v>
      </c>
      <c r="Z2084" s="55" t="n">
        <f aca="false">X2084+ROW()*0.000000001</f>
        <v>45.4401370271818</v>
      </c>
    </row>
    <row r="2085" customFormat="false" ht="15" hidden="false" customHeight="false" outlineLevel="0" collapsed="false">
      <c r="A2085" s="0" t="n">
        <v>7</v>
      </c>
      <c r="B2085" s="0" t="n">
        <v>3</v>
      </c>
      <c r="C2085" s="0" t="n">
        <v>6</v>
      </c>
      <c r="D2085" s="0" t="n">
        <f aca="false">-1+A2085*0.125</f>
        <v>-0.125</v>
      </c>
      <c r="E2085" s="0" t="n">
        <f aca="false">-1+B2085*0.125</f>
        <v>-0.625</v>
      </c>
      <c r="F2085" s="0" t="n">
        <f aca="false">-1+C2085*0.125</f>
        <v>-0.25</v>
      </c>
      <c r="G2085" s="0" t="n">
        <f aca="false">1</f>
        <v>1</v>
      </c>
      <c r="H2085" s="0" t="n">
        <f aca="false">D2085</f>
        <v>-0.125</v>
      </c>
      <c r="I2085" s="0" t="n">
        <f aca="false">E2085</f>
        <v>-0.625</v>
      </c>
      <c r="J2085" s="0" t="n">
        <f aca="false">F2085</f>
        <v>-0.25</v>
      </c>
      <c r="K2085" s="0" t="n">
        <f aca="false">D2085*E2085</f>
        <v>0.078125</v>
      </c>
      <c r="L2085" s="0" t="n">
        <f aca="false">D2085*F2085</f>
        <v>0.03125</v>
      </c>
      <c r="M2085" s="0" t="n">
        <f aca="false">E2085*F2085</f>
        <v>0.15625</v>
      </c>
      <c r="N2085" s="0" t="n">
        <f aca="false">D2085*D2085</f>
        <v>0.015625</v>
      </c>
      <c r="O2085" s="0" t="n">
        <f aca="false">E2085*E2085</f>
        <v>0.390625</v>
      </c>
      <c r="P2085" s="0" t="n">
        <f aca="false">F2085*F2085</f>
        <v>0.0625</v>
      </c>
      <c r="Q2085" s="0" t="n">
        <f aca="false">SUMPRODUCT(G2085:P2085,_XtX!$B$71:$K$71)</f>
        <v>45.671796875</v>
      </c>
      <c r="R2085" s="0" t="n">
        <f aca="false">SUMPRODUCT(MMULT(G2085:P2085,_XtX!$B$58:$K$67),G2085:P2085)</f>
        <v>0.174786376953125</v>
      </c>
      <c r="S2085" s="0" t="n">
        <f aca="false">04_回帰ANOVA!$K$19*04_回帰ANOVA!$K$14*SQRT(1+R2085)</f>
        <v>1.00773440704286</v>
      </c>
      <c r="T2085" s="0" t="n">
        <f aca="false">Q2085-S2085</f>
        <v>44.6640624679572</v>
      </c>
      <c r="U2085" s="0" t="n">
        <f aca="false">Q2085+S2085</f>
        <v>46.6795312820429</v>
      </c>
      <c r="V2085" s="54" t="b">
        <f aca="false">AND(D2085&gt;=01_因子設定!$L$5-0.000000001,D2085&lt;=01_因子設定!$M$5+0.000000001,E2085&gt;=01_因子設定!$L$6-0.000000001,E2085&lt;=01_因子設定!$M$6+0.000000001,F2085&gt;=01_因子設定!$L$7-0.000000001,F2085&lt;=01_因子設定!$M$7+0.000000001,IF(01_因子設定!$B$20="Box-Behnken",D2085^2+E2085^2+F2085^2&lt;=2+0.000000001,TRUE()))</f>
        <v>1</v>
      </c>
      <c r="W2085" s="55" t="n">
        <f aca="false">IF(V2085,IF(01_因子設定!$B$13="最大化",T2085-01_因子設定!$B$14,IF(01_因子設定!$B$13="最小化",01_因子設定!$B$15-U2085,MIN(T2085-01_因子設定!$B$14,01_因子設定!$B$15-U2085))),-1E+030)</f>
        <v>-3.83593753204285</v>
      </c>
      <c r="X2085" s="55" t="n">
        <f aca="false">IF(V2085,IF(01_因子設定!$B$13="最大化",Q2085,IF(01_因子設定!$B$13="最小化",-Q2085,-ABS(Q2085-01_因子設定!$B$16))),-1E+030)</f>
        <v>45.671796875</v>
      </c>
      <c r="Y2085" s="55" t="n">
        <f aca="false">W2085+ROW()*0.000000001</f>
        <v>-3.83593544704285</v>
      </c>
      <c r="Z2085" s="55" t="n">
        <f aca="false">X2085+ROW()*0.000000001</f>
        <v>45.67179896</v>
      </c>
    </row>
    <row r="2086" customFormat="false" ht="15" hidden="false" customHeight="false" outlineLevel="0" collapsed="false">
      <c r="A2086" s="0" t="n">
        <v>7</v>
      </c>
      <c r="B2086" s="0" t="n">
        <v>3</v>
      </c>
      <c r="C2086" s="0" t="n">
        <v>7</v>
      </c>
      <c r="D2086" s="0" t="n">
        <f aca="false">-1+A2086*0.125</f>
        <v>-0.125</v>
      </c>
      <c r="E2086" s="0" t="n">
        <f aca="false">-1+B2086*0.125</f>
        <v>-0.625</v>
      </c>
      <c r="F2086" s="0" t="n">
        <f aca="false">-1+C2086*0.125</f>
        <v>-0.125</v>
      </c>
      <c r="G2086" s="0" t="n">
        <f aca="false">1</f>
        <v>1</v>
      </c>
      <c r="H2086" s="0" t="n">
        <f aca="false">D2086</f>
        <v>-0.125</v>
      </c>
      <c r="I2086" s="0" t="n">
        <f aca="false">E2086</f>
        <v>-0.625</v>
      </c>
      <c r="J2086" s="0" t="n">
        <f aca="false">F2086</f>
        <v>-0.125</v>
      </c>
      <c r="K2086" s="0" t="n">
        <f aca="false">D2086*E2086</f>
        <v>0.078125</v>
      </c>
      <c r="L2086" s="0" t="n">
        <f aca="false">D2086*F2086</f>
        <v>0.015625</v>
      </c>
      <c r="M2086" s="0" t="n">
        <f aca="false">E2086*F2086</f>
        <v>0.078125</v>
      </c>
      <c r="N2086" s="0" t="n">
        <f aca="false">D2086*D2086</f>
        <v>0.015625</v>
      </c>
      <c r="O2086" s="0" t="n">
        <f aca="false">E2086*E2086</f>
        <v>0.390625</v>
      </c>
      <c r="P2086" s="0" t="n">
        <f aca="false">F2086*F2086</f>
        <v>0.015625</v>
      </c>
      <c r="Q2086" s="0" t="n">
        <f aca="false">SUMPRODUCT(G2086:P2086,_XtX!$B$71:$K$71)</f>
        <v>45.8666690340909</v>
      </c>
      <c r="R2086" s="0" t="n">
        <f aca="false">SUMPRODUCT(MMULT(G2086:P2086,_XtX!$B$58:$K$67),G2086:P2086)</f>
        <v>0.175841730291193</v>
      </c>
      <c r="S2086" s="0" t="n">
        <f aca="false">04_回帰ANOVA!$K$19*04_回帰ANOVA!$K$14*SQRT(1+R2086)</f>
        <v>1.00818694767054</v>
      </c>
      <c r="T2086" s="0" t="n">
        <f aca="false">Q2086-S2086</f>
        <v>44.8584820864204</v>
      </c>
      <c r="U2086" s="0" t="n">
        <f aca="false">Q2086+S2086</f>
        <v>46.8748559817615</v>
      </c>
      <c r="V2086" s="54" t="b">
        <f aca="false">AND(D2086&gt;=01_因子設定!$L$5-0.000000001,D2086&lt;=01_因子設定!$M$5+0.000000001,E2086&gt;=01_因子設定!$L$6-0.000000001,E2086&lt;=01_因子設定!$M$6+0.000000001,F2086&gt;=01_因子設定!$L$7-0.000000001,F2086&lt;=01_因子設定!$M$7+0.000000001,IF(01_因子設定!$B$20="Box-Behnken",D2086^2+E2086^2+F2086^2&lt;=2+0.000000001,TRUE()))</f>
        <v>1</v>
      </c>
      <c r="W2086" s="55" t="n">
        <f aca="false">IF(V2086,IF(01_因子設定!$B$13="最大化",T2086-01_因子設定!$B$14,IF(01_因子設定!$B$13="最小化",01_因子設定!$B$15-U2086,MIN(T2086-01_因子設定!$B$14,01_因子設定!$B$15-U2086))),-1E+030)</f>
        <v>-3.64151791357962</v>
      </c>
      <c r="X2086" s="55" t="n">
        <f aca="false">IF(V2086,IF(01_因子設定!$B$13="最大化",Q2086,IF(01_因子設定!$B$13="最小化",-Q2086,-ABS(Q2086-01_因子設定!$B$16))),-1E+030)</f>
        <v>45.8666690340909</v>
      </c>
      <c r="Y2086" s="55" t="n">
        <f aca="false">W2086+ROW()*0.000000001</f>
        <v>-3.64151582757962</v>
      </c>
      <c r="Z2086" s="55" t="n">
        <f aca="false">X2086+ROW()*0.000000001</f>
        <v>45.8666711200909</v>
      </c>
    </row>
    <row r="2087" customFormat="false" ht="15" hidden="false" customHeight="false" outlineLevel="0" collapsed="false">
      <c r="A2087" s="0" t="n">
        <v>7</v>
      </c>
      <c r="B2087" s="0" t="n">
        <v>3</v>
      </c>
      <c r="C2087" s="0" t="n">
        <v>8</v>
      </c>
      <c r="D2087" s="0" t="n">
        <f aca="false">-1+A2087*0.125</f>
        <v>-0.125</v>
      </c>
      <c r="E2087" s="0" t="n">
        <f aca="false">-1+B2087*0.125</f>
        <v>-0.625</v>
      </c>
      <c r="F2087" s="0" t="n">
        <f aca="false">-1+C2087*0.125</f>
        <v>0</v>
      </c>
      <c r="G2087" s="0" t="n">
        <f aca="false">1</f>
        <v>1</v>
      </c>
      <c r="H2087" s="0" t="n">
        <f aca="false">D2087</f>
        <v>-0.125</v>
      </c>
      <c r="I2087" s="0" t="n">
        <f aca="false">E2087</f>
        <v>-0.625</v>
      </c>
      <c r="J2087" s="0" t="n">
        <f aca="false">F2087</f>
        <v>0</v>
      </c>
      <c r="K2087" s="0" t="n">
        <f aca="false">D2087*E2087</f>
        <v>0.078125</v>
      </c>
      <c r="L2087" s="0" t="n">
        <f aca="false">D2087*F2087</f>
        <v>-0</v>
      </c>
      <c r="M2087" s="0" t="n">
        <f aca="false">E2087*F2087</f>
        <v>-0</v>
      </c>
      <c r="N2087" s="0" t="n">
        <f aca="false">D2087*D2087</f>
        <v>0.015625</v>
      </c>
      <c r="O2087" s="0" t="n">
        <f aca="false">E2087*E2087</f>
        <v>0.390625</v>
      </c>
      <c r="P2087" s="0" t="n">
        <f aca="false">F2087*F2087</f>
        <v>0</v>
      </c>
      <c r="Q2087" s="0" t="n">
        <f aca="false">SUMPRODUCT(G2087:P2087,_XtX!$B$71:$K$71)</f>
        <v>46.0247514204546</v>
      </c>
      <c r="R2087" s="0" t="n">
        <f aca="false">SUMPRODUCT(MMULT(G2087:P2087,_XtX!$B$58:$K$67),G2087:P2087)</f>
        <v>0.17654862837358</v>
      </c>
      <c r="S2087" s="0" t="n">
        <f aca="false">04_回帰ANOVA!$K$19*04_回帰ANOVA!$K$14*SQRT(1+R2087)</f>
        <v>1.00848995543082</v>
      </c>
      <c r="T2087" s="0" t="n">
        <f aca="false">Q2087-S2087</f>
        <v>45.0162614650237</v>
      </c>
      <c r="U2087" s="0" t="n">
        <f aca="false">Q2087+S2087</f>
        <v>47.0332413758854</v>
      </c>
      <c r="V2087" s="54" t="b">
        <f aca="false">AND(D2087&gt;=01_因子設定!$L$5-0.000000001,D2087&lt;=01_因子設定!$M$5+0.000000001,E2087&gt;=01_因子設定!$L$6-0.000000001,E2087&lt;=01_因子設定!$M$6+0.000000001,F2087&gt;=01_因子設定!$L$7-0.000000001,F2087&lt;=01_因子設定!$M$7+0.000000001,IF(01_因子設定!$B$20="Box-Behnken",D2087^2+E2087^2+F2087^2&lt;=2+0.000000001,TRUE()))</f>
        <v>1</v>
      </c>
      <c r="W2087" s="55" t="n">
        <f aca="false">IF(V2087,IF(01_因子設定!$B$13="最大化",T2087-01_因子設定!$B$14,IF(01_因子設定!$B$13="最小化",01_因子設定!$B$15-U2087,MIN(T2087-01_因子設定!$B$14,01_因子設定!$B$15-U2087))),-1E+030)</f>
        <v>-3.48373853497627</v>
      </c>
      <c r="X2087" s="55" t="n">
        <f aca="false">IF(V2087,IF(01_因子設定!$B$13="最大化",Q2087,IF(01_因子設定!$B$13="最小化",-Q2087,-ABS(Q2087-01_因子設定!$B$16))),-1E+030)</f>
        <v>46.0247514204546</v>
      </c>
      <c r="Y2087" s="55" t="n">
        <f aca="false">W2087+ROW()*0.000000001</f>
        <v>-3.48373644797627</v>
      </c>
      <c r="Z2087" s="55" t="n">
        <f aca="false">X2087+ROW()*0.000000001</f>
        <v>46.0247535074546</v>
      </c>
    </row>
    <row r="2088" customFormat="false" ht="15" hidden="false" customHeight="false" outlineLevel="0" collapsed="false">
      <c r="A2088" s="0" t="n">
        <v>7</v>
      </c>
      <c r="B2088" s="0" t="n">
        <v>3</v>
      </c>
      <c r="C2088" s="0" t="n">
        <v>9</v>
      </c>
      <c r="D2088" s="0" t="n">
        <f aca="false">-1+A2088*0.125</f>
        <v>-0.125</v>
      </c>
      <c r="E2088" s="0" t="n">
        <f aca="false">-1+B2088*0.125</f>
        <v>-0.625</v>
      </c>
      <c r="F2088" s="0" t="n">
        <f aca="false">-1+C2088*0.125</f>
        <v>0.125</v>
      </c>
      <c r="G2088" s="0" t="n">
        <f aca="false">1</f>
        <v>1</v>
      </c>
      <c r="H2088" s="0" t="n">
        <f aca="false">D2088</f>
        <v>-0.125</v>
      </c>
      <c r="I2088" s="0" t="n">
        <f aca="false">E2088</f>
        <v>-0.625</v>
      </c>
      <c r="J2088" s="0" t="n">
        <f aca="false">F2088</f>
        <v>0.125</v>
      </c>
      <c r="K2088" s="0" t="n">
        <f aca="false">D2088*E2088</f>
        <v>0.078125</v>
      </c>
      <c r="L2088" s="0" t="n">
        <f aca="false">D2088*F2088</f>
        <v>-0.015625</v>
      </c>
      <c r="M2088" s="0" t="n">
        <f aca="false">E2088*F2088</f>
        <v>-0.078125</v>
      </c>
      <c r="N2088" s="0" t="n">
        <f aca="false">D2088*D2088</f>
        <v>0.015625</v>
      </c>
      <c r="O2088" s="0" t="n">
        <f aca="false">E2088*E2088</f>
        <v>0.390625</v>
      </c>
      <c r="P2088" s="0" t="n">
        <f aca="false">F2088*F2088</f>
        <v>0.015625</v>
      </c>
      <c r="Q2088" s="0" t="n">
        <f aca="false">SUMPRODUCT(G2088:P2088,_XtX!$B$71:$K$71)</f>
        <v>46.1460440340909</v>
      </c>
      <c r="R2088" s="0" t="n">
        <f aca="false">SUMPRODUCT(MMULT(G2088:P2088,_XtX!$B$58:$K$67),G2088:P2088)</f>
        <v>0.175841730291193</v>
      </c>
      <c r="S2088" s="0" t="n">
        <f aca="false">04_回帰ANOVA!$K$19*04_回帰ANOVA!$K$14*SQRT(1+R2088)</f>
        <v>1.00818694767054</v>
      </c>
      <c r="T2088" s="0" t="n">
        <f aca="false">Q2088-S2088</f>
        <v>45.1378570864204</v>
      </c>
      <c r="U2088" s="0" t="n">
        <f aca="false">Q2088+S2088</f>
        <v>47.1542309817615</v>
      </c>
      <c r="V2088" s="54" t="b">
        <f aca="false">AND(D2088&gt;=01_因子設定!$L$5-0.000000001,D2088&lt;=01_因子設定!$M$5+0.000000001,E2088&gt;=01_因子設定!$L$6-0.000000001,E2088&lt;=01_因子設定!$M$6+0.000000001,F2088&gt;=01_因子設定!$L$7-0.000000001,F2088&lt;=01_因子設定!$M$7+0.000000001,IF(01_因子設定!$B$20="Box-Behnken",D2088^2+E2088^2+F2088^2&lt;=2+0.000000001,TRUE()))</f>
        <v>1</v>
      </c>
      <c r="W2088" s="55" t="n">
        <f aca="false">IF(V2088,IF(01_因子設定!$B$13="最大化",T2088-01_因子設定!$B$14,IF(01_因子設定!$B$13="最小化",01_因子設定!$B$15-U2088,MIN(T2088-01_因子設定!$B$14,01_因子設定!$B$15-U2088))),-1E+030)</f>
        <v>-3.36214291357962</v>
      </c>
      <c r="X2088" s="55" t="n">
        <f aca="false">IF(V2088,IF(01_因子設定!$B$13="最大化",Q2088,IF(01_因子設定!$B$13="最小化",-Q2088,-ABS(Q2088-01_因子設定!$B$16))),-1E+030)</f>
        <v>46.1460440340909</v>
      </c>
      <c r="Y2088" s="55" t="n">
        <f aca="false">W2088+ROW()*0.000000001</f>
        <v>-3.36214082557962</v>
      </c>
      <c r="Z2088" s="55" t="n">
        <f aca="false">X2088+ROW()*0.000000001</f>
        <v>46.1460461220909</v>
      </c>
    </row>
    <row r="2089" customFormat="false" ht="15" hidden="false" customHeight="false" outlineLevel="0" collapsed="false">
      <c r="A2089" s="0" t="n">
        <v>7</v>
      </c>
      <c r="B2089" s="0" t="n">
        <v>3</v>
      </c>
      <c r="C2089" s="0" t="n">
        <v>10</v>
      </c>
      <c r="D2089" s="0" t="n">
        <f aca="false">-1+A2089*0.125</f>
        <v>-0.125</v>
      </c>
      <c r="E2089" s="0" t="n">
        <f aca="false">-1+B2089*0.125</f>
        <v>-0.625</v>
      </c>
      <c r="F2089" s="0" t="n">
        <f aca="false">-1+C2089*0.125</f>
        <v>0.25</v>
      </c>
      <c r="G2089" s="0" t="n">
        <f aca="false">1</f>
        <v>1</v>
      </c>
      <c r="H2089" s="0" t="n">
        <f aca="false">D2089</f>
        <v>-0.125</v>
      </c>
      <c r="I2089" s="0" t="n">
        <f aca="false">E2089</f>
        <v>-0.625</v>
      </c>
      <c r="J2089" s="0" t="n">
        <f aca="false">F2089</f>
        <v>0.25</v>
      </c>
      <c r="K2089" s="0" t="n">
        <f aca="false">D2089*E2089</f>
        <v>0.078125</v>
      </c>
      <c r="L2089" s="0" t="n">
        <f aca="false">D2089*F2089</f>
        <v>-0.03125</v>
      </c>
      <c r="M2089" s="0" t="n">
        <f aca="false">E2089*F2089</f>
        <v>-0.15625</v>
      </c>
      <c r="N2089" s="0" t="n">
        <f aca="false">D2089*D2089</f>
        <v>0.015625</v>
      </c>
      <c r="O2089" s="0" t="n">
        <f aca="false">E2089*E2089</f>
        <v>0.390625</v>
      </c>
      <c r="P2089" s="0" t="n">
        <f aca="false">F2089*F2089</f>
        <v>0.0625</v>
      </c>
      <c r="Q2089" s="0" t="n">
        <f aca="false">SUMPRODUCT(G2089:P2089,_XtX!$B$71:$K$71)</f>
        <v>46.230546875</v>
      </c>
      <c r="R2089" s="0" t="n">
        <f aca="false">SUMPRODUCT(MMULT(G2089:P2089,_XtX!$B$58:$K$67),G2089:P2089)</f>
        <v>0.174786376953125</v>
      </c>
      <c r="S2089" s="0" t="n">
        <f aca="false">04_回帰ANOVA!$K$19*04_回帰ANOVA!$K$14*SQRT(1+R2089)</f>
        <v>1.00773440704286</v>
      </c>
      <c r="T2089" s="0" t="n">
        <f aca="false">Q2089-S2089</f>
        <v>45.2228124679572</v>
      </c>
      <c r="U2089" s="0" t="n">
        <f aca="false">Q2089+S2089</f>
        <v>47.2382812820429</v>
      </c>
      <c r="V2089" s="54" t="b">
        <f aca="false">AND(D2089&gt;=01_因子設定!$L$5-0.000000001,D2089&lt;=01_因子設定!$M$5+0.000000001,E2089&gt;=01_因子設定!$L$6-0.000000001,E2089&lt;=01_因子設定!$M$6+0.000000001,F2089&gt;=01_因子設定!$L$7-0.000000001,F2089&lt;=01_因子設定!$M$7+0.000000001,IF(01_因子設定!$B$20="Box-Behnken",D2089^2+E2089^2+F2089^2&lt;=2+0.000000001,TRUE()))</f>
        <v>1</v>
      </c>
      <c r="W2089" s="55" t="n">
        <f aca="false">IF(V2089,IF(01_因子設定!$B$13="最大化",T2089-01_因子設定!$B$14,IF(01_因子設定!$B$13="最小化",01_因子設定!$B$15-U2089,MIN(T2089-01_因子設定!$B$14,01_因子設定!$B$15-U2089))),-1E+030)</f>
        <v>-3.27718753204285</v>
      </c>
      <c r="X2089" s="55" t="n">
        <f aca="false">IF(V2089,IF(01_因子設定!$B$13="最大化",Q2089,IF(01_因子設定!$B$13="最小化",-Q2089,-ABS(Q2089-01_因子設定!$B$16))),-1E+030)</f>
        <v>46.230546875</v>
      </c>
      <c r="Y2089" s="55" t="n">
        <f aca="false">W2089+ROW()*0.000000001</f>
        <v>-3.27718544304285</v>
      </c>
      <c r="Z2089" s="55" t="n">
        <f aca="false">X2089+ROW()*0.000000001</f>
        <v>46.230548964</v>
      </c>
    </row>
    <row r="2090" customFormat="false" ht="15" hidden="false" customHeight="false" outlineLevel="0" collapsed="false">
      <c r="A2090" s="0" t="n">
        <v>7</v>
      </c>
      <c r="B2090" s="0" t="n">
        <v>3</v>
      </c>
      <c r="C2090" s="0" t="n">
        <v>11</v>
      </c>
      <c r="D2090" s="0" t="n">
        <f aca="false">-1+A2090*0.125</f>
        <v>-0.125</v>
      </c>
      <c r="E2090" s="0" t="n">
        <f aca="false">-1+B2090*0.125</f>
        <v>-0.625</v>
      </c>
      <c r="F2090" s="0" t="n">
        <f aca="false">-1+C2090*0.125</f>
        <v>0.375</v>
      </c>
      <c r="G2090" s="0" t="n">
        <f aca="false">1</f>
        <v>1</v>
      </c>
      <c r="H2090" s="0" t="n">
        <f aca="false">D2090</f>
        <v>-0.125</v>
      </c>
      <c r="I2090" s="0" t="n">
        <f aca="false">E2090</f>
        <v>-0.625</v>
      </c>
      <c r="J2090" s="0" t="n">
        <f aca="false">F2090</f>
        <v>0.375</v>
      </c>
      <c r="K2090" s="0" t="n">
        <f aca="false">D2090*E2090</f>
        <v>0.078125</v>
      </c>
      <c r="L2090" s="0" t="n">
        <f aca="false">D2090*F2090</f>
        <v>-0.046875</v>
      </c>
      <c r="M2090" s="0" t="n">
        <f aca="false">E2090*F2090</f>
        <v>-0.234375</v>
      </c>
      <c r="N2090" s="0" t="n">
        <f aca="false">D2090*D2090</f>
        <v>0.015625</v>
      </c>
      <c r="O2090" s="0" t="n">
        <f aca="false">E2090*E2090</f>
        <v>0.390625</v>
      </c>
      <c r="P2090" s="0" t="n">
        <f aca="false">F2090*F2090</f>
        <v>0.140625</v>
      </c>
      <c r="Q2090" s="0" t="n">
        <f aca="false">SUMPRODUCT(G2090:P2090,_XtX!$B$71:$K$71)</f>
        <v>46.2782599431818</v>
      </c>
      <c r="R2090" s="0" t="n">
        <f aca="false">SUMPRODUCT(MMULT(G2090:P2090,_XtX!$B$58:$K$67),G2090:P2090)</f>
        <v>0.176578591086648</v>
      </c>
      <c r="S2090" s="0" t="n">
        <f aca="false">04_回帰ANOVA!$K$19*04_回帰ANOVA!$K$14*SQRT(1+R2090)</f>
        <v>1.00850279676269</v>
      </c>
      <c r="T2090" s="0" t="n">
        <f aca="false">Q2090-S2090</f>
        <v>45.2697571464191</v>
      </c>
      <c r="U2090" s="0" t="n">
        <f aca="false">Q2090+S2090</f>
        <v>47.2867627399445</v>
      </c>
      <c r="V2090" s="54" t="b">
        <f aca="false">AND(D2090&gt;=01_因子設定!$L$5-0.000000001,D2090&lt;=01_因子設定!$M$5+0.000000001,E2090&gt;=01_因子設定!$L$6-0.000000001,E2090&lt;=01_因子設定!$M$6+0.000000001,F2090&gt;=01_因子設定!$L$7-0.000000001,F2090&lt;=01_因子設定!$M$7+0.000000001,IF(01_因子設定!$B$20="Box-Behnken",D2090^2+E2090^2+F2090^2&lt;=2+0.000000001,TRUE()))</f>
        <v>1</v>
      </c>
      <c r="W2090" s="55" t="n">
        <f aca="false">IF(V2090,IF(01_因子設定!$B$13="最大化",T2090-01_因子設定!$B$14,IF(01_因子設定!$B$13="最小化",01_因子設定!$B$15-U2090,MIN(T2090-01_因子設定!$B$14,01_因子設定!$B$15-U2090))),-1E+030)</f>
        <v>-3.23024285358086</v>
      </c>
      <c r="X2090" s="55" t="n">
        <f aca="false">IF(V2090,IF(01_因子設定!$B$13="最大化",Q2090,IF(01_因子設定!$B$13="最小化",-Q2090,-ABS(Q2090-01_因子設定!$B$16))),-1E+030)</f>
        <v>46.2782599431818</v>
      </c>
      <c r="Y2090" s="55" t="n">
        <f aca="false">W2090+ROW()*0.000000001</f>
        <v>-3.23024076358086</v>
      </c>
      <c r="Z2090" s="55" t="n">
        <f aca="false">X2090+ROW()*0.000000001</f>
        <v>46.2782620331818</v>
      </c>
    </row>
    <row r="2091" customFormat="false" ht="15" hidden="false" customHeight="false" outlineLevel="0" collapsed="false">
      <c r="A2091" s="0" t="n">
        <v>7</v>
      </c>
      <c r="B2091" s="0" t="n">
        <v>3</v>
      </c>
      <c r="C2091" s="0" t="n">
        <v>12</v>
      </c>
      <c r="D2091" s="0" t="n">
        <f aca="false">-1+A2091*0.125</f>
        <v>-0.125</v>
      </c>
      <c r="E2091" s="0" t="n">
        <f aca="false">-1+B2091*0.125</f>
        <v>-0.625</v>
      </c>
      <c r="F2091" s="0" t="n">
        <f aca="false">-1+C2091*0.125</f>
        <v>0.5</v>
      </c>
      <c r="G2091" s="0" t="n">
        <f aca="false">1</f>
        <v>1</v>
      </c>
      <c r="H2091" s="0" t="n">
        <f aca="false">D2091</f>
        <v>-0.125</v>
      </c>
      <c r="I2091" s="0" t="n">
        <f aca="false">E2091</f>
        <v>-0.625</v>
      </c>
      <c r="J2091" s="0" t="n">
        <f aca="false">F2091</f>
        <v>0.5</v>
      </c>
      <c r="K2091" s="0" t="n">
        <f aca="false">D2091*E2091</f>
        <v>0.078125</v>
      </c>
      <c r="L2091" s="0" t="n">
        <f aca="false">D2091*F2091</f>
        <v>-0.0625</v>
      </c>
      <c r="M2091" s="0" t="n">
        <f aca="false">E2091*F2091</f>
        <v>-0.3125</v>
      </c>
      <c r="N2091" s="0" t="n">
        <f aca="false">D2091*D2091</f>
        <v>0.015625</v>
      </c>
      <c r="O2091" s="0" t="n">
        <f aca="false">E2091*E2091</f>
        <v>0.390625</v>
      </c>
      <c r="P2091" s="0" t="n">
        <f aca="false">F2091*F2091</f>
        <v>0.25</v>
      </c>
      <c r="Q2091" s="0" t="n">
        <f aca="false">SUMPRODUCT(G2091:P2091,_XtX!$B$71:$K$71)</f>
        <v>46.2891832386364</v>
      </c>
      <c r="R2091" s="0" t="n">
        <f aca="false">SUMPRODUCT(MMULT(G2091:P2091,_XtX!$B$58:$K$67),G2091:P2091)</f>
        <v>0.186545077237216</v>
      </c>
      <c r="S2091" s="0" t="n">
        <f aca="false">04_回帰ANOVA!$K$19*04_回帰ANOVA!$K$14*SQRT(1+R2091)</f>
        <v>1.01276516970713</v>
      </c>
      <c r="T2091" s="0" t="n">
        <f aca="false">Q2091-S2091</f>
        <v>45.2764180689292</v>
      </c>
      <c r="U2091" s="0" t="n">
        <f aca="false">Q2091+S2091</f>
        <v>47.3019484083435</v>
      </c>
      <c r="V2091" s="54" t="b">
        <f aca="false">AND(D2091&gt;=01_因子設定!$L$5-0.000000001,D2091&lt;=01_因子設定!$M$5+0.000000001,E2091&gt;=01_因子設定!$L$6-0.000000001,E2091&lt;=01_因子設定!$M$6+0.000000001,F2091&gt;=01_因子設定!$L$7-0.000000001,F2091&lt;=01_因子設定!$M$7+0.000000001,IF(01_因子設定!$B$20="Box-Behnken",D2091^2+E2091^2+F2091^2&lt;=2+0.000000001,TRUE()))</f>
        <v>1</v>
      </c>
      <c r="W2091" s="55" t="n">
        <f aca="false">IF(V2091,IF(01_因子設定!$B$13="最大化",T2091-01_因子設定!$B$14,IF(01_因子設定!$B$13="最小化",01_因子設定!$B$15-U2091,MIN(T2091-01_因子設定!$B$14,01_因子設定!$B$15-U2091))),-1E+030)</f>
        <v>-3.22358193107075</v>
      </c>
      <c r="X2091" s="55" t="n">
        <f aca="false">IF(V2091,IF(01_因子設定!$B$13="最大化",Q2091,IF(01_因子設定!$B$13="最小化",-Q2091,-ABS(Q2091-01_因子設定!$B$16))),-1E+030)</f>
        <v>46.2891832386364</v>
      </c>
      <c r="Y2091" s="55" t="n">
        <f aca="false">W2091+ROW()*0.000000001</f>
        <v>-3.22357984007075</v>
      </c>
      <c r="Z2091" s="55" t="n">
        <f aca="false">X2091+ROW()*0.000000001</f>
        <v>46.2891853296364</v>
      </c>
    </row>
    <row r="2092" customFormat="false" ht="15" hidden="false" customHeight="false" outlineLevel="0" collapsed="false">
      <c r="A2092" s="0" t="n">
        <v>7</v>
      </c>
      <c r="B2092" s="0" t="n">
        <v>3</v>
      </c>
      <c r="C2092" s="0" t="n">
        <v>13</v>
      </c>
      <c r="D2092" s="0" t="n">
        <f aca="false">-1+A2092*0.125</f>
        <v>-0.125</v>
      </c>
      <c r="E2092" s="0" t="n">
        <f aca="false">-1+B2092*0.125</f>
        <v>-0.625</v>
      </c>
      <c r="F2092" s="0" t="n">
        <f aca="false">-1+C2092*0.125</f>
        <v>0.625</v>
      </c>
      <c r="G2092" s="0" t="n">
        <f aca="false">1</f>
        <v>1</v>
      </c>
      <c r="H2092" s="0" t="n">
        <f aca="false">D2092</f>
        <v>-0.125</v>
      </c>
      <c r="I2092" s="0" t="n">
        <f aca="false">E2092</f>
        <v>-0.625</v>
      </c>
      <c r="J2092" s="0" t="n">
        <f aca="false">F2092</f>
        <v>0.625</v>
      </c>
      <c r="K2092" s="0" t="n">
        <f aca="false">D2092*E2092</f>
        <v>0.078125</v>
      </c>
      <c r="L2092" s="0" t="n">
        <f aca="false">D2092*F2092</f>
        <v>-0.078125</v>
      </c>
      <c r="M2092" s="0" t="n">
        <f aca="false">E2092*F2092</f>
        <v>-0.390625</v>
      </c>
      <c r="N2092" s="0" t="n">
        <f aca="false">D2092*D2092</f>
        <v>0.015625</v>
      </c>
      <c r="O2092" s="0" t="n">
        <f aca="false">E2092*E2092</f>
        <v>0.390625</v>
      </c>
      <c r="P2092" s="0" t="n">
        <f aca="false">F2092*F2092</f>
        <v>0.390625</v>
      </c>
      <c r="Q2092" s="0" t="n">
        <f aca="false">SUMPRODUCT(G2092:P2092,_XtX!$B$71:$K$71)</f>
        <v>46.2633167613637</v>
      </c>
      <c r="R2092" s="0" t="n">
        <f aca="false">SUMPRODUCT(MMULT(G2092:P2092,_XtX!$B$58:$K$67),G2092:P2092)</f>
        <v>0.212143221768466</v>
      </c>
      <c r="S2092" s="0" t="n">
        <f aca="false">04_回帰ANOVA!$K$19*04_回帰ANOVA!$K$14*SQRT(1+R2092)</f>
        <v>1.02363141237304</v>
      </c>
      <c r="T2092" s="0" t="n">
        <f aca="false">Q2092-S2092</f>
        <v>45.2396853489906</v>
      </c>
      <c r="U2092" s="0" t="n">
        <f aca="false">Q2092+S2092</f>
        <v>47.2869481737367</v>
      </c>
      <c r="V2092" s="54" t="b">
        <f aca="false">AND(D2092&gt;=01_因子設定!$L$5-0.000000001,D2092&lt;=01_因子設定!$M$5+0.000000001,E2092&gt;=01_因子設定!$L$6-0.000000001,E2092&lt;=01_因子設定!$M$6+0.000000001,F2092&gt;=01_因子設定!$L$7-0.000000001,F2092&lt;=01_因子設定!$M$7+0.000000001,IF(01_因子設定!$B$20="Box-Behnken",D2092^2+E2092^2+F2092^2&lt;=2+0.000000001,TRUE()))</f>
        <v>1</v>
      </c>
      <c r="W2092" s="55" t="n">
        <f aca="false">IF(V2092,IF(01_因子設定!$B$13="最大化",T2092-01_因子設定!$B$14,IF(01_因子設定!$B$13="最小化",01_因子設定!$B$15-U2092,MIN(T2092-01_因子設定!$B$14,01_因子設定!$B$15-U2092))),-1E+030)</f>
        <v>-3.26031465100939</v>
      </c>
      <c r="X2092" s="55" t="n">
        <f aca="false">IF(V2092,IF(01_因子設定!$B$13="最大化",Q2092,IF(01_因子設定!$B$13="最小化",-Q2092,-ABS(Q2092-01_因子設定!$B$16))),-1E+030)</f>
        <v>46.2633167613637</v>
      </c>
      <c r="Y2092" s="55" t="n">
        <f aca="false">W2092+ROW()*0.000000001</f>
        <v>-3.26031255900939</v>
      </c>
      <c r="Z2092" s="55" t="n">
        <f aca="false">X2092+ROW()*0.000000001</f>
        <v>46.2633188533637</v>
      </c>
    </row>
    <row r="2093" customFormat="false" ht="15" hidden="false" customHeight="false" outlineLevel="0" collapsed="false">
      <c r="A2093" s="0" t="n">
        <v>7</v>
      </c>
      <c r="B2093" s="0" t="n">
        <v>3</v>
      </c>
      <c r="C2093" s="0" t="n">
        <v>14</v>
      </c>
      <c r="D2093" s="0" t="n">
        <f aca="false">-1+A2093*0.125</f>
        <v>-0.125</v>
      </c>
      <c r="E2093" s="0" t="n">
        <f aca="false">-1+B2093*0.125</f>
        <v>-0.625</v>
      </c>
      <c r="F2093" s="0" t="n">
        <f aca="false">-1+C2093*0.125</f>
        <v>0.75</v>
      </c>
      <c r="G2093" s="0" t="n">
        <f aca="false">1</f>
        <v>1</v>
      </c>
      <c r="H2093" s="0" t="n">
        <f aca="false">D2093</f>
        <v>-0.125</v>
      </c>
      <c r="I2093" s="0" t="n">
        <f aca="false">E2093</f>
        <v>-0.625</v>
      </c>
      <c r="J2093" s="0" t="n">
        <f aca="false">F2093</f>
        <v>0.75</v>
      </c>
      <c r="K2093" s="0" t="n">
        <f aca="false">D2093*E2093</f>
        <v>0.078125</v>
      </c>
      <c r="L2093" s="0" t="n">
        <f aca="false">D2093*F2093</f>
        <v>-0.09375</v>
      </c>
      <c r="M2093" s="0" t="n">
        <f aca="false">E2093*F2093</f>
        <v>-0.46875</v>
      </c>
      <c r="N2093" s="0" t="n">
        <f aca="false">D2093*D2093</f>
        <v>0.015625</v>
      </c>
      <c r="O2093" s="0" t="n">
        <f aca="false">E2093*E2093</f>
        <v>0.390625</v>
      </c>
      <c r="P2093" s="0" t="n">
        <f aca="false">F2093*F2093</f>
        <v>0.5625</v>
      </c>
      <c r="Q2093" s="0" t="n">
        <f aca="false">SUMPRODUCT(G2093:P2093,_XtX!$B$71:$K$71)</f>
        <v>46.2006605113637</v>
      </c>
      <c r="R2093" s="0" t="n">
        <f aca="false">SUMPRODUCT(MMULT(G2093:P2093,_XtX!$B$58:$K$67),G2093:P2093)</f>
        <v>0.262961092862216</v>
      </c>
      <c r="S2093" s="0" t="n">
        <f aca="false">04_回帰ANOVA!$K$19*04_回帰ANOVA!$K$14*SQRT(1+R2093)</f>
        <v>1.04486846483649</v>
      </c>
      <c r="T2093" s="0" t="n">
        <f aca="false">Q2093-S2093</f>
        <v>45.1557920465272</v>
      </c>
      <c r="U2093" s="0" t="n">
        <f aca="false">Q2093+S2093</f>
        <v>47.2455289762001</v>
      </c>
      <c r="V2093" s="54" t="b">
        <f aca="false">AND(D2093&gt;=01_因子設定!$L$5-0.000000001,D2093&lt;=01_因子設定!$M$5+0.000000001,E2093&gt;=01_因子設定!$L$6-0.000000001,E2093&lt;=01_因子設定!$M$6+0.000000001,F2093&gt;=01_因子設定!$L$7-0.000000001,F2093&lt;=01_因子設定!$M$7+0.000000001,IF(01_因子設定!$B$20="Box-Behnken",D2093^2+E2093^2+F2093^2&lt;=2+0.000000001,TRUE()))</f>
        <v>1</v>
      </c>
      <c r="W2093" s="55" t="n">
        <f aca="false">IF(V2093,IF(01_因子設定!$B$13="最大化",T2093-01_因子設定!$B$14,IF(01_因子設定!$B$13="最小化",01_因子設定!$B$15-U2093,MIN(T2093-01_因子設定!$B$14,01_因子設定!$B$15-U2093))),-1E+030)</f>
        <v>-3.34420795347283</v>
      </c>
      <c r="X2093" s="55" t="n">
        <f aca="false">IF(V2093,IF(01_因子設定!$B$13="最大化",Q2093,IF(01_因子設定!$B$13="最小化",-Q2093,-ABS(Q2093-01_因子設定!$B$16))),-1E+030)</f>
        <v>46.2006605113637</v>
      </c>
      <c r="Y2093" s="55" t="n">
        <f aca="false">W2093+ROW()*0.000000001</f>
        <v>-3.34420586047283</v>
      </c>
      <c r="Z2093" s="55" t="n">
        <f aca="false">X2093+ROW()*0.000000001</f>
        <v>46.2006626043637</v>
      </c>
    </row>
    <row r="2094" customFormat="false" ht="15" hidden="false" customHeight="false" outlineLevel="0" collapsed="false">
      <c r="A2094" s="0" t="n">
        <v>7</v>
      </c>
      <c r="B2094" s="0" t="n">
        <v>3</v>
      </c>
      <c r="C2094" s="0" t="n">
        <v>15</v>
      </c>
      <c r="D2094" s="0" t="n">
        <f aca="false">-1+A2094*0.125</f>
        <v>-0.125</v>
      </c>
      <c r="E2094" s="0" t="n">
        <f aca="false">-1+B2094*0.125</f>
        <v>-0.625</v>
      </c>
      <c r="F2094" s="0" t="n">
        <f aca="false">-1+C2094*0.125</f>
        <v>0.875</v>
      </c>
      <c r="G2094" s="0" t="n">
        <f aca="false">1</f>
        <v>1</v>
      </c>
      <c r="H2094" s="0" t="n">
        <f aca="false">D2094</f>
        <v>-0.125</v>
      </c>
      <c r="I2094" s="0" t="n">
        <f aca="false">E2094</f>
        <v>-0.625</v>
      </c>
      <c r="J2094" s="0" t="n">
        <f aca="false">F2094</f>
        <v>0.875</v>
      </c>
      <c r="K2094" s="0" t="n">
        <f aca="false">D2094*E2094</f>
        <v>0.078125</v>
      </c>
      <c r="L2094" s="0" t="n">
        <f aca="false">D2094*F2094</f>
        <v>-0.109375</v>
      </c>
      <c r="M2094" s="0" t="n">
        <f aca="false">E2094*F2094</f>
        <v>-0.546875</v>
      </c>
      <c r="N2094" s="0" t="n">
        <f aca="false">D2094*D2094</f>
        <v>0.015625</v>
      </c>
      <c r="O2094" s="0" t="n">
        <f aca="false">E2094*E2094</f>
        <v>0.390625</v>
      </c>
      <c r="P2094" s="0" t="n">
        <f aca="false">F2094*F2094</f>
        <v>0.765625</v>
      </c>
      <c r="Q2094" s="0" t="n">
        <f aca="false">SUMPRODUCT(G2094:P2094,_XtX!$B$71:$K$71)</f>
        <v>46.1012144886364</v>
      </c>
      <c r="R2094" s="0" t="n">
        <f aca="false">SUMPRODUCT(MMULT(G2094:P2094,_XtX!$B$58:$K$67),G2094:P2094)</f>
        <v>0.350717440518466</v>
      </c>
      <c r="S2094" s="0" t="n">
        <f aca="false">04_回帰ANOVA!$K$19*04_回帰ANOVA!$K$14*SQRT(1+R2094)</f>
        <v>1.08056000737898</v>
      </c>
      <c r="T2094" s="0" t="n">
        <f aca="false">Q2094-S2094</f>
        <v>45.0206544812574</v>
      </c>
      <c r="U2094" s="0" t="n">
        <f aca="false">Q2094+S2094</f>
        <v>47.1817744960154</v>
      </c>
      <c r="V2094" s="54" t="b">
        <f aca="false">AND(D2094&gt;=01_因子設定!$L$5-0.000000001,D2094&lt;=01_因子設定!$M$5+0.000000001,E2094&gt;=01_因子設定!$L$6-0.000000001,E2094&lt;=01_因子設定!$M$6+0.000000001,F2094&gt;=01_因子設定!$L$7-0.000000001,F2094&lt;=01_因子設定!$M$7+0.000000001,IF(01_因子設定!$B$20="Box-Behnken",D2094^2+E2094^2+F2094^2&lt;=2+0.000000001,TRUE()))</f>
        <v>1</v>
      </c>
      <c r="W2094" s="55" t="n">
        <f aca="false">IF(V2094,IF(01_因子設定!$B$13="最大化",T2094-01_因子設定!$B$14,IF(01_因子設定!$B$13="最小化",01_因子設定!$B$15-U2094,MIN(T2094-01_因子設定!$B$14,01_因子設定!$B$15-U2094))),-1E+030)</f>
        <v>-3.47934551874259</v>
      </c>
      <c r="X2094" s="55" t="n">
        <f aca="false">IF(V2094,IF(01_因子設定!$B$13="最大化",Q2094,IF(01_因子設定!$B$13="最小化",-Q2094,-ABS(Q2094-01_因子設定!$B$16))),-1E+030)</f>
        <v>46.1012144886364</v>
      </c>
      <c r="Y2094" s="55" t="n">
        <f aca="false">W2094+ROW()*0.000000001</f>
        <v>-3.47934342474259</v>
      </c>
      <c r="Z2094" s="55" t="n">
        <f aca="false">X2094+ROW()*0.000000001</f>
        <v>46.1012165826364</v>
      </c>
    </row>
    <row r="2095" customFormat="false" ht="15" hidden="false" customHeight="false" outlineLevel="0" collapsed="false">
      <c r="A2095" s="0" t="n">
        <v>7</v>
      </c>
      <c r="B2095" s="0" t="n">
        <v>3</v>
      </c>
      <c r="C2095" s="0" t="n">
        <v>16</v>
      </c>
      <c r="D2095" s="0" t="n">
        <f aca="false">-1+A2095*0.125</f>
        <v>-0.125</v>
      </c>
      <c r="E2095" s="0" t="n">
        <f aca="false">-1+B2095*0.125</f>
        <v>-0.625</v>
      </c>
      <c r="F2095" s="0" t="n">
        <f aca="false">-1+C2095*0.125</f>
        <v>1</v>
      </c>
      <c r="G2095" s="0" t="n">
        <f aca="false">1</f>
        <v>1</v>
      </c>
      <c r="H2095" s="0" t="n">
        <f aca="false">D2095</f>
        <v>-0.125</v>
      </c>
      <c r="I2095" s="0" t="n">
        <f aca="false">E2095</f>
        <v>-0.625</v>
      </c>
      <c r="J2095" s="0" t="n">
        <f aca="false">F2095</f>
        <v>1</v>
      </c>
      <c r="K2095" s="0" t="n">
        <f aca="false">D2095*E2095</f>
        <v>0.078125</v>
      </c>
      <c r="L2095" s="0" t="n">
        <f aca="false">D2095*F2095</f>
        <v>-0.125</v>
      </c>
      <c r="M2095" s="0" t="n">
        <f aca="false">E2095*F2095</f>
        <v>-0.625</v>
      </c>
      <c r="N2095" s="0" t="n">
        <f aca="false">D2095*D2095</f>
        <v>0.015625</v>
      </c>
      <c r="O2095" s="0" t="n">
        <f aca="false">E2095*E2095</f>
        <v>0.390625</v>
      </c>
      <c r="P2095" s="0" t="n">
        <f aca="false">F2095*F2095</f>
        <v>1</v>
      </c>
      <c r="Q2095" s="0" t="n">
        <f aca="false">SUMPRODUCT(G2095:P2095,_XtX!$B$71:$K$71)</f>
        <v>45.9649786931819</v>
      </c>
      <c r="R2095" s="0" t="n">
        <f aca="false">SUMPRODUCT(MMULT(G2095:P2095,_XtX!$B$58:$K$67),G2095:P2095)</f>
        <v>0.489261696555398</v>
      </c>
      <c r="S2095" s="0" t="n">
        <f aca="false">04_回帰ANOVA!$K$19*04_回帰ANOVA!$K$14*SQRT(1+R2095)</f>
        <v>1.13462447083763</v>
      </c>
      <c r="T2095" s="0" t="n">
        <f aca="false">Q2095-S2095</f>
        <v>44.8303542223442</v>
      </c>
      <c r="U2095" s="0" t="n">
        <f aca="false">Q2095+S2095</f>
        <v>47.0996031640195</v>
      </c>
      <c r="V2095" s="54" t="b">
        <f aca="false">AND(D2095&gt;=01_因子設定!$L$5-0.000000001,D2095&lt;=01_因子設定!$M$5+0.000000001,E2095&gt;=01_因子設定!$L$6-0.000000001,E2095&lt;=01_因子設定!$M$6+0.000000001,F2095&gt;=01_因子設定!$L$7-0.000000001,F2095&lt;=01_因子設定!$M$7+0.000000001,IF(01_因子設定!$B$20="Box-Behnken",D2095^2+E2095^2+F2095^2&lt;=2+0.000000001,TRUE()))</f>
        <v>1</v>
      </c>
      <c r="W2095" s="55" t="n">
        <f aca="false">IF(V2095,IF(01_因子設定!$B$13="最大化",T2095-01_因子設定!$B$14,IF(01_因子設定!$B$13="最小化",01_因子設定!$B$15-U2095,MIN(T2095-01_因子設定!$B$14,01_因子設定!$B$15-U2095))),-1E+030)</f>
        <v>-3.66964577765579</v>
      </c>
      <c r="X2095" s="55" t="n">
        <f aca="false">IF(V2095,IF(01_因子設定!$B$13="最大化",Q2095,IF(01_因子設定!$B$13="最小化",-Q2095,-ABS(Q2095-01_因子設定!$B$16))),-1E+030)</f>
        <v>45.9649786931819</v>
      </c>
      <c r="Y2095" s="55" t="n">
        <f aca="false">W2095+ROW()*0.000000001</f>
        <v>-3.66964368265579</v>
      </c>
      <c r="Z2095" s="55" t="n">
        <f aca="false">X2095+ROW()*0.000000001</f>
        <v>45.9649807881819</v>
      </c>
    </row>
    <row r="2096" customFormat="false" ht="15" hidden="false" customHeight="false" outlineLevel="0" collapsed="false">
      <c r="A2096" s="0" t="n">
        <v>7</v>
      </c>
      <c r="B2096" s="0" t="n">
        <v>4</v>
      </c>
      <c r="C2096" s="0" t="n">
        <v>0</v>
      </c>
      <c r="D2096" s="0" t="n">
        <f aca="false">-1+A2096*0.125</f>
        <v>-0.125</v>
      </c>
      <c r="E2096" s="0" t="n">
        <f aca="false">-1+B2096*0.125</f>
        <v>-0.5</v>
      </c>
      <c r="F2096" s="0" t="n">
        <f aca="false">-1+C2096*0.125</f>
        <v>-1</v>
      </c>
      <c r="G2096" s="0" t="n">
        <f aca="false">1</f>
        <v>1</v>
      </c>
      <c r="H2096" s="0" t="n">
        <f aca="false">D2096</f>
        <v>-0.125</v>
      </c>
      <c r="I2096" s="0" t="n">
        <f aca="false">E2096</f>
        <v>-0.5</v>
      </c>
      <c r="J2096" s="0" t="n">
        <f aca="false">F2096</f>
        <v>-1</v>
      </c>
      <c r="K2096" s="0" t="n">
        <f aca="false">D2096*E2096</f>
        <v>0.0625</v>
      </c>
      <c r="L2096" s="0" t="n">
        <f aca="false">D2096*F2096</f>
        <v>0.125</v>
      </c>
      <c r="M2096" s="0" t="n">
        <f aca="false">E2096*F2096</f>
        <v>0.5</v>
      </c>
      <c r="N2096" s="0" t="n">
        <f aca="false">D2096*D2096</f>
        <v>0.015625</v>
      </c>
      <c r="O2096" s="0" t="n">
        <f aca="false">E2096*E2096</f>
        <v>0.25</v>
      </c>
      <c r="P2096" s="0" t="n">
        <f aca="false">F2096*F2096</f>
        <v>1</v>
      </c>
      <c r="Q2096" s="0" t="n">
        <f aca="false">SUMPRODUCT(G2096:P2096,_XtX!$B$71:$K$71)</f>
        <v>44.1984232954546</v>
      </c>
      <c r="R2096" s="0" t="n">
        <f aca="false">SUMPRODUCT(MMULT(G2096:P2096,_XtX!$B$58:$K$67),G2096:P2096)</f>
        <v>0.476322798295455</v>
      </c>
      <c r="S2096" s="0" t="n">
        <f aca="false">04_回帰ANOVA!$K$19*04_回帰ANOVA!$K$14*SQRT(1+R2096)</f>
        <v>1.12968483630128</v>
      </c>
      <c r="T2096" s="0" t="n">
        <f aca="false">Q2096-S2096</f>
        <v>43.0687384591533</v>
      </c>
      <c r="U2096" s="0" t="n">
        <f aca="false">Q2096+S2096</f>
        <v>45.3281081317559</v>
      </c>
      <c r="V2096" s="54" t="b">
        <f aca="false">AND(D2096&gt;=01_因子設定!$L$5-0.000000001,D2096&lt;=01_因子設定!$M$5+0.000000001,E2096&gt;=01_因子設定!$L$6-0.000000001,E2096&lt;=01_因子設定!$M$6+0.000000001,F2096&gt;=01_因子設定!$L$7-0.000000001,F2096&lt;=01_因子設定!$M$7+0.000000001,IF(01_因子設定!$B$20="Box-Behnken",D2096^2+E2096^2+F2096^2&lt;=2+0.000000001,TRUE()))</f>
        <v>1</v>
      </c>
      <c r="W2096" s="55" t="n">
        <f aca="false">IF(V2096,IF(01_因子設定!$B$13="最大化",T2096-01_因子設定!$B$14,IF(01_因子設定!$B$13="最小化",01_因子設定!$B$15-U2096,MIN(T2096-01_因子設定!$B$14,01_因子設定!$B$15-U2096))),-1E+030)</f>
        <v>-5.43126154084671</v>
      </c>
      <c r="X2096" s="55" t="n">
        <f aca="false">IF(V2096,IF(01_因子設定!$B$13="最大化",Q2096,IF(01_因子設定!$B$13="最小化",-Q2096,-ABS(Q2096-01_因子設定!$B$16))),-1E+030)</f>
        <v>44.1984232954546</v>
      </c>
      <c r="Y2096" s="55" t="n">
        <f aca="false">W2096+ROW()*0.000000001</f>
        <v>-5.43125944484671</v>
      </c>
      <c r="Z2096" s="55" t="n">
        <f aca="false">X2096+ROW()*0.000000001</f>
        <v>44.1984253914546</v>
      </c>
    </row>
    <row r="2097" customFormat="false" ht="15" hidden="false" customHeight="false" outlineLevel="0" collapsed="false">
      <c r="A2097" s="0" t="n">
        <v>7</v>
      </c>
      <c r="B2097" s="0" t="n">
        <v>4</v>
      </c>
      <c r="C2097" s="0" t="n">
        <v>1</v>
      </c>
      <c r="D2097" s="0" t="n">
        <f aca="false">-1+A2097*0.125</f>
        <v>-0.125</v>
      </c>
      <c r="E2097" s="0" t="n">
        <f aca="false">-1+B2097*0.125</f>
        <v>-0.5</v>
      </c>
      <c r="F2097" s="0" t="n">
        <f aca="false">-1+C2097*0.125</f>
        <v>-0.875</v>
      </c>
      <c r="G2097" s="0" t="n">
        <f aca="false">1</f>
        <v>1</v>
      </c>
      <c r="H2097" s="0" t="n">
        <f aca="false">D2097</f>
        <v>-0.125</v>
      </c>
      <c r="I2097" s="0" t="n">
        <f aca="false">E2097</f>
        <v>-0.5</v>
      </c>
      <c r="J2097" s="0" t="n">
        <f aca="false">F2097</f>
        <v>-0.875</v>
      </c>
      <c r="K2097" s="0" t="n">
        <f aca="false">D2097*E2097</f>
        <v>0.0625</v>
      </c>
      <c r="L2097" s="0" t="n">
        <f aca="false">D2097*F2097</f>
        <v>0.109375</v>
      </c>
      <c r="M2097" s="0" t="n">
        <f aca="false">E2097*F2097</f>
        <v>0.4375</v>
      </c>
      <c r="N2097" s="0" t="n">
        <f aca="false">D2097*D2097</f>
        <v>0.015625</v>
      </c>
      <c r="O2097" s="0" t="n">
        <f aca="false">E2097*E2097</f>
        <v>0.25</v>
      </c>
      <c r="P2097" s="0" t="n">
        <f aca="false">F2097*F2097</f>
        <v>0.765625</v>
      </c>
      <c r="Q2097" s="0" t="n">
        <f aca="false">SUMPRODUCT(G2097:P2097,_XtX!$B$71:$K$71)</f>
        <v>44.6210653409091</v>
      </c>
      <c r="R2097" s="0" t="n">
        <f aca="false">SUMPRODUCT(MMULT(G2097:P2097,_XtX!$B$58:$K$67),G2097:P2097)</f>
        <v>0.332909601384943</v>
      </c>
      <c r="S2097" s="0" t="n">
        <f aca="false">04_回帰ANOVA!$K$19*04_回帰ANOVA!$K$14*SQRT(1+R2097)</f>
        <v>1.07341333007404</v>
      </c>
      <c r="T2097" s="0" t="n">
        <f aca="false">Q2097-S2097</f>
        <v>43.5476520108351</v>
      </c>
      <c r="U2097" s="0" t="n">
        <f aca="false">Q2097+S2097</f>
        <v>45.6944786709832</v>
      </c>
      <c r="V2097" s="54" t="b">
        <f aca="false">AND(D2097&gt;=01_因子設定!$L$5-0.000000001,D2097&lt;=01_因子設定!$M$5+0.000000001,E2097&gt;=01_因子設定!$L$6-0.000000001,E2097&lt;=01_因子設定!$M$6+0.000000001,F2097&gt;=01_因子設定!$L$7-0.000000001,F2097&lt;=01_因子設定!$M$7+0.000000001,IF(01_因子設定!$B$20="Box-Behnken",D2097^2+E2097^2+F2097^2&lt;=2+0.000000001,TRUE()))</f>
        <v>1</v>
      </c>
      <c r="W2097" s="55" t="n">
        <f aca="false">IF(V2097,IF(01_因子設定!$B$13="最大化",T2097-01_因子設定!$B$14,IF(01_因子設定!$B$13="最小化",01_因子設定!$B$15-U2097,MIN(T2097-01_因子設定!$B$14,01_因子設定!$B$15-U2097))),-1E+030)</f>
        <v>-4.95234798916493</v>
      </c>
      <c r="X2097" s="55" t="n">
        <f aca="false">IF(V2097,IF(01_因子設定!$B$13="最大化",Q2097,IF(01_因子設定!$B$13="最小化",-Q2097,-ABS(Q2097-01_因子設定!$B$16))),-1E+030)</f>
        <v>44.6210653409091</v>
      </c>
      <c r="Y2097" s="55" t="n">
        <f aca="false">W2097+ROW()*0.000000001</f>
        <v>-4.95234589216493</v>
      </c>
      <c r="Z2097" s="55" t="n">
        <f aca="false">X2097+ROW()*0.000000001</f>
        <v>44.6210674379091</v>
      </c>
    </row>
    <row r="2098" customFormat="false" ht="15" hidden="false" customHeight="false" outlineLevel="0" collapsed="false">
      <c r="A2098" s="0" t="n">
        <v>7</v>
      </c>
      <c r="B2098" s="0" t="n">
        <v>4</v>
      </c>
      <c r="C2098" s="0" t="n">
        <v>2</v>
      </c>
      <c r="D2098" s="0" t="n">
        <f aca="false">-1+A2098*0.125</f>
        <v>-0.125</v>
      </c>
      <c r="E2098" s="0" t="n">
        <f aca="false">-1+B2098*0.125</f>
        <v>-0.5</v>
      </c>
      <c r="F2098" s="0" t="n">
        <f aca="false">-1+C2098*0.125</f>
        <v>-0.75</v>
      </c>
      <c r="G2098" s="0" t="n">
        <f aca="false">1</f>
        <v>1</v>
      </c>
      <c r="H2098" s="0" t="n">
        <f aca="false">D2098</f>
        <v>-0.125</v>
      </c>
      <c r="I2098" s="0" t="n">
        <f aca="false">E2098</f>
        <v>-0.5</v>
      </c>
      <c r="J2098" s="0" t="n">
        <f aca="false">F2098</f>
        <v>-0.75</v>
      </c>
      <c r="K2098" s="0" t="n">
        <f aca="false">D2098*E2098</f>
        <v>0.0625</v>
      </c>
      <c r="L2098" s="0" t="n">
        <f aca="false">D2098*F2098</f>
        <v>0.09375</v>
      </c>
      <c r="M2098" s="0" t="n">
        <f aca="false">E2098*F2098</f>
        <v>0.375</v>
      </c>
      <c r="N2098" s="0" t="n">
        <f aca="false">D2098*D2098</f>
        <v>0.015625</v>
      </c>
      <c r="O2098" s="0" t="n">
        <f aca="false">E2098*E2098</f>
        <v>0.25</v>
      </c>
      <c r="P2098" s="0" t="n">
        <f aca="false">F2098*F2098</f>
        <v>0.5625</v>
      </c>
      <c r="Q2098" s="0" t="n">
        <f aca="false">SUMPRODUCT(G2098:P2098,_XtX!$B$71:$K$71)</f>
        <v>45.0069176136364</v>
      </c>
      <c r="R2098" s="0" t="n">
        <f aca="false">SUMPRODUCT(MMULT(G2098:P2098,_XtX!$B$58:$K$67),G2098:P2098)</f>
        <v>0.240933504971591</v>
      </c>
      <c r="S2098" s="0" t="n">
        <f aca="false">04_回帰ANOVA!$K$19*04_回帰ANOVA!$K$14*SQRT(1+R2098)</f>
        <v>1.03571649118863</v>
      </c>
      <c r="T2098" s="0" t="n">
        <f aca="false">Q2098-S2098</f>
        <v>43.9712011224478</v>
      </c>
      <c r="U2098" s="0" t="n">
        <f aca="false">Q2098+S2098</f>
        <v>46.042634104825</v>
      </c>
      <c r="V2098" s="54" t="b">
        <f aca="false">AND(D2098&gt;=01_因子設定!$L$5-0.000000001,D2098&lt;=01_因子設定!$M$5+0.000000001,E2098&gt;=01_因子設定!$L$6-0.000000001,E2098&lt;=01_因子設定!$M$6+0.000000001,F2098&gt;=01_因子設定!$L$7-0.000000001,F2098&lt;=01_因子設定!$M$7+0.000000001,IF(01_因子設定!$B$20="Box-Behnken",D2098^2+E2098^2+F2098^2&lt;=2+0.000000001,TRUE()))</f>
        <v>1</v>
      </c>
      <c r="W2098" s="55" t="n">
        <f aca="false">IF(V2098,IF(01_因子設定!$B$13="最大化",T2098-01_因子設定!$B$14,IF(01_因子設定!$B$13="最小化",01_因子設定!$B$15-U2098,MIN(T2098-01_因子設定!$B$14,01_因子設定!$B$15-U2098))),-1E+030)</f>
        <v>-4.52879887755224</v>
      </c>
      <c r="X2098" s="55" t="n">
        <f aca="false">IF(V2098,IF(01_因子設定!$B$13="最大化",Q2098,IF(01_因子設定!$B$13="最小化",-Q2098,-ABS(Q2098-01_因子設定!$B$16))),-1E+030)</f>
        <v>45.0069176136364</v>
      </c>
      <c r="Y2098" s="55" t="n">
        <f aca="false">W2098+ROW()*0.000000001</f>
        <v>-4.52879677955224</v>
      </c>
      <c r="Z2098" s="55" t="n">
        <f aca="false">X2098+ROW()*0.000000001</f>
        <v>45.0069197116364</v>
      </c>
    </row>
    <row r="2099" customFormat="false" ht="15" hidden="false" customHeight="false" outlineLevel="0" collapsed="false">
      <c r="A2099" s="0" t="n">
        <v>7</v>
      </c>
      <c r="B2099" s="0" t="n">
        <v>4</v>
      </c>
      <c r="C2099" s="0" t="n">
        <v>3</v>
      </c>
      <c r="D2099" s="0" t="n">
        <f aca="false">-1+A2099*0.125</f>
        <v>-0.125</v>
      </c>
      <c r="E2099" s="0" t="n">
        <f aca="false">-1+B2099*0.125</f>
        <v>-0.5</v>
      </c>
      <c r="F2099" s="0" t="n">
        <f aca="false">-1+C2099*0.125</f>
        <v>-0.625</v>
      </c>
      <c r="G2099" s="0" t="n">
        <f aca="false">1</f>
        <v>1</v>
      </c>
      <c r="H2099" s="0" t="n">
        <f aca="false">D2099</f>
        <v>-0.125</v>
      </c>
      <c r="I2099" s="0" t="n">
        <f aca="false">E2099</f>
        <v>-0.5</v>
      </c>
      <c r="J2099" s="0" t="n">
        <f aca="false">F2099</f>
        <v>-0.625</v>
      </c>
      <c r="K2099" s="0" t="n">
        <f aca="false">D2099*E2099</f>
        <v>0.0625</v>
      </c>
      <c r="L2099" s="0" t="n">
        <f aca="false">D2099*F2099</f>
        <v>0.078125</v>
      </c>
      <c r="M2099" s="0" t="n">
        <f aca="false">E2099*F2099</f>
        <v>0.3125</v>
      </c>
      <c r="N2099" s="0" t="n">
        <f aca="false">D2099*D2099</f>
        <v>0.015625</v>
      </c>
      <c r="O2099" s="0" t="n">
        <f aca="false">E2099*E2099</f>
        <v>0.25</v>
      </c>
      <c r="P2099" s="0" t="n">
        <f aca="false">F2099*F2099</f>
        <v>0.390625</v>
      </c>
      <c r="Q2099" s="0" t="n">
        <f aca="false">SUMPRODUCT(G2099:P2099,_XtX!$B$71:$K$71)</f>
        <v>45.3559801136364</v>
      </c>
      <c r="R2099" s="0" t="n">
        <f aca="false">SUMPRODUCT(MMULT(G2099:P2099,_XtX!$B$58:$K$67),G2099:P2099)</f>
        <v>0.186545077237216</v>
      </c>
      <c r="S2099" s="0" t="n">
        <f aca="false">04_回帰ANOVA!$K$19*04_回帰ANOVA!$K$14*SQRT(1+R2099)</f>
        <v>1.01276516970713</v>
      </c>
      <c r="T2099" s="0" t="n">
        <f aca="false">Q2099-S2099</f>
        <v>44.3432149439293</v>
      </c>
      <c r="U2099" s="0" t="n">
        <f aca="false">Q2099+S2099</f>
        <v>46.3687452833435</v>
      </c>
      <c r="V2099" s="54" t="b">
        <f aca="false">AND(D2099&gt;=01_因子設定!$L$5-0.000000001,D2099&lt;=01_因子設定!$M$5+0.000000001,E2099&gt;=01_因子設定!$L$6-0.000000001,E2099&lt;=01_因子設定!$M$6+0.000000001,F2099&gt;=01_因子設定!$L$7-0.000000001,F2099&lt;=01_因子設定!$M$7+0.000000001,IF(01_因子設定!$B$20="Box-Behnken",D2099^2+E2099^2+F2099^2&lt;=2+0.000000001,TRUE()))</f>
        <v>1</v>
      </c>
      <c r="W2099" s="55" t="n">
        <f aca="false">IF(V2099,IF(01_因子設定!$B$13="最大化",T2099-01_因子設定!$B$14,IF(01_因子設定!$B$13="最小化",01_因子設定!$B$15-U2099,MIN(T2099-01_因子設定!$B$14,01_因子設定!$B$15-U2099))),-1E+030)</f>
        <v>-4.15678505607075</v>
      </c>
      <c r="X2099" s="55" t="n">
        <f aca="false">IF(V2099,IF(01_因子設定!$B$13="最大化",Q2099,IF(01_因子設定!$B$13="最小化",-Q2099,-ABS(Q2099-01_因子設定!$B$16))),-1E+030)</f>
        <v>45.3559801136364</v>
      </c>
      <c r="Y2099" s="55" t="n">
        <f aca="false">W2099+ROW()*0.000000001</f>
        <v>-4.15678295707075</v>
      </c>
      <c r="Z2099" s="55" t="n">
        <f aca="false">X2099+ROW()*0.000000001</f>
        <v>45.3559822126364</v>
      </c>
    </row>
    <row r="2100" customFormat="false" ht="15" hidden="false" customHeight="false" outlineLevel="0" collapsed="false">
      <c r="A2100" s="0" t="n">
        <v>7</v>
      </c>
      <c r="B2100" s="0" t="n">
        <v>4</v>
      </c>
      <c r="C2100" s="0" t="n">
        <v>4</v>
      </c>
      <c r="D2100" s="0" t="n">
        <f aca="false">-1+A2100*0.125</f>
        <v>-0.125</v>
      </c>
      <c r="E2100" s="0" t="n">
        <f aca="false">-1+B2100*0.125</f>
        <v>-0.5</v>
      </c>
      <c r="F2100" s="0" t="n">
        <f aca="false">-1+C2100*0.125</f>
        <v>-0.5</v>
      </c>
      <c r="G2100" s="0" t="n">
        <f aca="false">1</f>
        <v>1</v>
      </c>
      <c r="H2100" s="0" t="n">
        <f aca="false">D2100</f>
        <v>-0.125</v>
      </c>
      <c r="I2100" s="0" t="n">
        <f aca="false">E2100</f>
        <v>-0.5</v>
      </c>
      <c r="J2100" s="0" t="n">
        <f aca="false">F2100</f>
        <v>-0.5</v>
      </c>
      <c r="K2100" s="0" t="n">
        <f aca="false">D2100*E2100</f>
        <v>0.0625</v>
      </c>
      <c r="L2100" s="0" t="n">
        <f aca="false">D2100*F2100</f>
        <v>0.0625</v>
      </c>
      <c r="M2100" s="0" t="n">
        <f aca="false">E2100*F2100</f>
        <v>0.25</v>
      </c>
      <c r="N2100" s="0" t="n">
        <f aca="false">D2100*D2100</f>
        <v>0.015625</v>
      </c>
      <c r="O2100" s="0" t="n">
        <f aca="false">E2100*E2100</f>
        <v>0.25</v>
      </c>
      <c r="P2100" s="0" t="n">
        <f aca="false">F2100*F2100</f>
        <v>0.25</v>
      </c>
      <c r="Q2100" s="0" t="n">
        <f aca="false">SUMPRODUCT(G2100:P2100,_XtX!$B$71:$K$71)</f>
        <v>45.6682528409091</v>
      </c>
      <c r="R2100" s="0" t="n">
        <f aca="false">SUMPRODUCT(MMULT(G2100:P2100,_XtX!$B$58:$K$67),G2100:P2100)</f>
        <v>0.158025568181818</v>
      </c>
      <c r="S2100" s="0" t="n">
        <f aca="false">04_回帰ANOVA!$K$19*04_回帰ANOVA!$K$14*SQRT(1+R2100)</f>
        <v>1.00051985207691</v>
      </c>
      <c r="T2100" s="0" t="n">
        <f aca="false">Q2100-S2100</f>
        <v>44.6677329888322</v>
      </c>
      <c r="U2100" s="0" t="n">
        <f aca="false">Q2100+S2100</f>
        <v>46.668772692986</v>
      </c>
      <c r="V2100" s="54" t="b">
        <f aca="false">AND(D2100&gt;=01_因子設定!$L$5-0.000000001,D2100&lt;=01_因子設定!$M$5+0.000000001,E2100&gt;=01_因子設定!$L$6-0.000000001,E2100&lt;=01_因子設定!$M$6+0.000000001,F2100&gt;=01_因子設定!$L$7-0.000000001,F2100&lt;=01_因子設定!$M$7+0.000000001,IF(01_因子設定!$B$20="Box-Behnken",D2100^2+E2100^2+F2100^2&lt;=2+0.000000001,TRUE()))</f>
        <v>1</v>
      </c>
      <c r="W2100" s="55" t="n">
        <f aca="false">IF(V2100,IF(01_因子設定!$B$13="最大化",T2100-01_因子設定!$B$14,IF(01_因子設定!$B$13="最小化",01_因子設定!$B$15-U2100,MIN(T2100-01_因子設定!$B$14,01_因子設定!$B$15-U2100))),-1E+030)</f>
        <v>-3.8322670111678</v>
      </c>
      <c r="X2100" s="55" t="n">
        <f aca="false">IF(V2100,IF(01_因子設定!$B$13="最大化",Q2100,IF(01_因子設定!$B$13="最小化",-Q2100,-ABS(Q2100-01_因子設定!$B$16))),-1E+030)</f>
        <v>45.6682528409091</v>
      </c>
      <c r="Y2100" s="55" t="n">
        <f aca="false">W2100+ROW()*0.000000001</f>
        <v>-3.8322649111678</v>
      </c>
      <c r="Z2100" s="55" t="n">
        <f aca="false">X2100+ROW()*0.000000001</f>
        <v>45.6682549409091</v>
      </c>
    </row>
    <row r="2101" customFormat="false" ht="15" hidden="false" customHeight="false" outlineLevel="0" collapsed="false">
      <c r="A2101" s="0" t="n">
        <v>7</v>
      </c>
      <c r="B2101" s="0" t="n">
        <v>4</v>
      </c>
      <c r="C2101" s="0" t="n">
        <v>5</v>
      </c>
      <c r="D2101" s="0" t="n">
        <f aca="false">-1+A2101*0.125</f>
        <v>-0.125</v>
      </c>
      <c r="E2101" s="0" t="n">
        <f aca="false">-1+B2101*0.125</f>
        <v>-0.5</v>
      </c>
      <c r="F2101" s="0" t="n">
        <f aca="false">-1+C2101*0.125</f>
        <v>-0.375</v>
      </c>
      <c r="G2101" s="0" t="n">
        <f aca="false">1</f>
        <v>1</v>
      </c>
      <c r="H2101" s="0" t="n">
        <f aca="false">D2101</f>
        <v>-0.125</v>
      </c>
      <c r="I2101" s="0" t="n">
        <f aca="false">E2101</f>
        <v>-0.5</v>
      </c>
      <c r="J2101" s="0" t="n">
        <f aca="false">F2101</f>
        <v>-0.375</v>
      </c>
      <c r="K2101" s="0" t="n">
        <f aca="false">D2101*E2101</f>
        <v>0.0625</v>
      </c>
      <c r="L2101" s="0" t="n">
        <f aca="false">D2101*F2101</f>
        <v>0.046875</v>
      </c>
      <c r="M2101" s="0" t="n">
        <f aca="false">E2101*F2101</f>
        <v>0.1875</v>
      </c>
      <c r="N2101" s="0" t="n">
        <f aca="false">D2101*D2101</f>
        <v>0.015625</v>
      </c>
      <c r="O2101" s="0" t="n">
        <f aca="false">E2101*E2101</f>
        <v>0.25</v>
      </c>
      <c r="P2101" s="0" t="n">
        <f aca="false">F2101*F2101</f>
        <v>0.140625</v>
      </c>
      <c r="Q2101" s="0" t="n">
        <f aca="false">SUMPRODUCT(G2101:P2101,_XtX!$B$71:$K$71)</f>
        <v>45.9437357954546</v>
      </c>
      <c r="R2101" s="0" t="n">
        <f aca="false">SUMPRODUCT(MMULT(G2101:P2101,_XtX!$B$58:$K$67),G2101:P2101)</f>
        <v>0.14578690962358</v>
      </c>
      <c r="S2101" s="0" t="n">
        <f aca="false">04_回帰ANOVA!$K$19*04_回帰ANOVA!$K$14*SQRT(1+R2101)</f>
        <v>0.995218783457917</v>
      </c>
      <c r="T2101" s="0" t="n">
        <f aca="false">Q2101-S2101</f>
        <v>44.9485170119966</v>
      </c>
      <c r="U2101" s="0" t="n">
        <f aca="false">Q2101+S2101</f>
        <v>46.9389545789125</v>
      </c>
      <c r="V2101" s="54" t="b">
        <f aca="false">AND(D2101&gt;=01_因子設定!$L$5-0.000000001,D2101&lt;=01_因子設定!$M$5+0.000000001,E2101&gt;=01_因子設定!$L$6-0.000000001,E2101&lt;=01_因子設定!$M$6+0.000000001,F2101&gt;=01_因子設定!$L$7-0.000000001,F2101&lt;=01_因子設定!$M$7+0.000000001,IF(01_因子設定!$B$20="Box-Behnken",D2101^2+E2101^2+F2101^2&lt;=2+0.000000001,TRUE()))</f>
        <v>1</v>
      </c>
      <c r="W2101" s="55" t="n">
        <f aca="false">IF(V2101,IF(01_因子設定!$B$13="最大化",T2101-01_因子設定!$B$14,IF(01_因子設定!$B$13="最小化",01_因子設定!$B$15-U2101,MIN(T2101-01_因子設定!$B$14,01_因子設定!$B$15-U2101))),-1E+030)</f>
        <v>-3.55148298800336</v>
      </c>
      <c r="X2101" s="55" t="n">
        <f aca="false">IF(V2101,IF(01_因子設定!$B$13="最大化",Q2101,IF(01_因子設定!$B$13="最小化",-Q2101,-ABS(Q2101-01_因子設定!$B$16))),-1E+030)</f>
        <v>45.9437357954546</v>
      </c>
      <c r="Y2101" s="55" t="n">
        <f aca="false">W2101+ROW()*0.000000001</f>
        <v>-3.55148088700336</v>
      </c>
      <c r="Z2101" s="55" t="n">
        <f aca="false">X2101+ROW()*0.000000001</f>
        <v>45.9437378964546</v>
      </c>
    </row>
    <row r="2102" customFormat="false" ht="15" hidden="false" customHeight="false" outlineLevel="0" collapsed="false">
      <c r="A2102" s="0" t="n">
        <v>7</v>
      </c>
      <c r="B2102" s="0" t="n">
        <v>4</v>
      </c>
      <c r="C2102" s="0" t="n">
        <v>6</v>
      </c>
      <c r="D2102" s="0" t="n">
        <f aca="false">-1+A2102*0.125</f>
        <v>-0.125</v>
      </c>
      <c r="E2102" s="0" t="n">
        <f aca="false">-1+B2102*0.125</f>
        <v>-0.5</v>
      </c>
      <c r="F2102" s="0" t="n">
        <f aca="false">-1+C2102*0.125</f>
        <v>-0.25</v>
      </c>
      <c r="G2102" s="0" t="n">
        <f aca="false">1</f>
        <v>1</v>
      </c>
      <c r="H2102" s="0" t="n">
        <f aca="false">D2102</f>
        <v>-0.125</v>
      </c>
      <c r="I2102" s="0" t="n">
        <f aca="false">E2102</f>
        <v>-0.5</v>
      </c>
      <c r="J2102" s="0" t="n">
        <f aca="false">F2102</f>
        <v>-0.25</v>
      </c>
      <c r="K2102" s="0" t="n">
        <f aca="false">D2102*E2102</f>
        <v>0.0625</v>
      </c>
      <c r="L2102" s="0" t="n">
        <f aca="false">D2102*F2102</f>
        <v>0.03125</v>
      </c>
      <c r="M2102" s="0" t="n">
        <f aca="false">E2102*F2102</f>
        <v>0.125</v>
      </c>
      <c r="N2102" s="0" t="n">
        <f aca="false">D2102*D2102</f>
        <v>0.015625</v>
      </c>
      <c r="O2102" s="0" t="n">
        <f aca="false">E2102*E2102</f>
        <v>0.25</v>
      </c>
      <c r="P2102" s="0" t="n">
        <f aca="false">F2102*F2102</f>
        <v>0.0625</v>
      </c>
      <c r="Q2102" s="0" t="n">
        <f aca="false">SUMPRODUCT(G2102:P2102,_XtX!$B$71:$K$71)</f>
        <v>46.1824289772727</v>
      </c>
      <c r="R2102" s="0" t="n">
        <f aca="false">SUMPRODUCT(MMULT(G2102:P2102,_XtX!$B$58:$K$67),G2102:P2102)</f>
        <v>0.142371715198864</v>
      </c>
      <c r="S2102" s="0" t="n">
        <f aca="false">04_回帰ANOVA!$K$19*04_回帰ANOVA!$K$14*SQRT(1+R2102)</f>
        <v>0.99373447511735</v>
      </c>
      <c r="T2102" s="0" t="n">
        <f aca="false">Q2102-S2102</f>
        <v>45.1886945021554</v>
      </c>
      <c r="U2102" s="0" t="n">
        <f aca="false">Q2102+S2102</f>
        <v>47.1761634523901</v>
      </c>
      <c r="V2102" s="54" t="b">
        <f aca="false">AND(D2102&gt;=01_因子設定!$L$5-0.000000001,D2102&lt;=01_因子設定!$M$5+0.000000001,E2102&gt;=01_因子設定!$L$6-0.000000001,E2102&lt;=01_因子設定!$M$6+0.000000001,F2102&gt;=01_因子設定!$L$7-0.000000001,F2102&lt;=01_因子設定!$M$7+0.000000001,IF(01_因子設定!$B$20="Box-Behnken",D2102^2+E2102^2+F2102^2&lt;=2+0.000000001,TRUE()))</f>
        <v>1</v>
      </c>
      <c r="W2102" s="55" t="n">
        <f aca="false">IF(V2102,IF(01_因子設定!$B$13="最大化",T2102-01_因子設定!$B$14,IF(01_因子設定!$B$13="最小化",01_因子設定!$B$15-U2102,MIN(T2102-01_因子設定!$B$14,01_因子設定!$B$15-U2102))),-1E+030)</f>
        <v>-3.31130549784461</v>
      </c>
      <c r="X2102" s="55" t="n">
        <f aca="false">IF(V2102,IF(01_因子設定!$B$13="最大化",Q2102,IF(01_因子設定!$B$13="最小化",-Q2102,-ABS(Q2102-01_因子設定!$B$16))),-1E+030)</f>
        <v>46.1824289772727</v>
      </c>
      <c r="Y2102" s="55" t="n">
        <f aca="false">W2102+ROW()*0.000000001</f>
        <v>-3.31130339584461</v>
      </c>
      <c r="Z2102" s="55" t="n">
        <f aca="false">X2102+ROW()*0.000000001</f>
        <v>46.1824310792727</v>
      </c>
    </row>
    <row r="2103" customFormat="false" ht="15" hidden="false" customHeight="false" outlineLevel="0" collapsed="false">
      <c r="A2103" s="0" t="n">
        <v>7</v>
      </c>
      <c r="B2103" s="0" t="n">
        <v>4</v>
      </c>
      <c r="C2103" s="0" t="n">
        <v>7</v>
      </c>
      <c r="D2103" s="0" t="n">
        <f aca="false">-1+A2103*0.125</f>
        <v>-0.125</v>
      </c>
      <c r="E2103" s="0" t="n">
        <f aca="false">-1+B2103*0.125</f>
        <v>-0.5</v>
      </c>
      <c r="F2103" s="0" t="n">
        <f aca="false">-1+C2103*0.125</f>
        <v>-0.125</v>
      </c>
      <c r="G2103" s="0" t="n">
        <f aca="false">1</f>
        <v>1</v>
      </c>
      <c r="H2103" s="0" t="n">
        <f aca="false">D2103</f>
        <v>-0.125</v>
      </c>
      <c r="I2103" s="0" t="n">
        <f aca="false">E2103</f>
        <v>-0.5</v>
      </c>
      <c r="J2103" s="0" t="n">
        <f aca="false">F2103</f>
        <v>-0.125</v>
      </c>
      <c r="K2103" s="0" t="n">
        <f aca="false">D2103*E2103</f>
        <v>0.0625</v>
      </c>
      <c r="L2103" s="0" t="n">
        <f aca="false">D2103*F2103</f>
        <v>0.015625</v>
      </c>
      <c r="M2103" s="0" t="n">
        <f aca="false">E2103*F2103</f>
        <v>0.0625</v>
      </c>
      <c r="N2103" s="0" t="n">
        <f aca="false">D2103*D2103</f>
        <v>0.015625</v>
      </c>
      <c r="O2103" s="0" t="n">
        <f aca="false">E2103*E2103</f>
        <v>0.25</v>
      </c>
      <c r="P2103" s="0" t="n">
        <f aca="false">F2103*F2103</f>
        <v>0.015625</v>
      </c>
      <c r="Q2103" s="0" t="n">
        <f aca="false">SUMPRODUCT(G2103:P2103,_XtX!$B$71:$K$71)</f>
        <v>46.3843323863636</v>
      </c>
      <c r="R2103" s="0" t="n">
        <f aca="false">SUMPRODUCT(MMULT(G2103:P2103,_XtX!$B$58:$K$67),G2103:P2103)</f>
        <v>0.142453280362216</v>
      </c>
      <c r="S2103" s="0" t="n">
        <f aca="false">04_回帰ANOVA!$K$19*04_回帰ANOVA!$K$14*SQRT(1+R2103)</f>
        <v>0.99376995072785</v>
      </c>
      <c r="T2103" s="0" t="n">
        <f aca="false">Q2103-S2103</f>
        <v>45.3905624356358</v>
      </c>
      <c r="U2103" s="0" t="n">
        <f aca="false">Q2103+S2103</f>
        <v>47.3781023370915</v>
      </c>
      <c r="V2103" s="54" t="b">
        <f aca="false">AND(D2103&gt;=01_因子設定!$L$5-0.000000001,D2103&lt;=01_因子設定!$M$5+0.000000001,E2103&gt;=01_因子設定!$L$6-0.000000001,E2103&lt;=01_因子設定!$M$6+0.000000001,F2103&gt;=01_因子設定!$L$7-0.000000001,F2103&lt;=01_因子設定!$M$7+0.000000001,IF(01_因子設定!$B$20="Box-Behnken",D2103^2+E2103^2+F2103^2&lt;=2+0.000000001,TRUE()))</f>
        <v>1</v>
      </c>
      <c r="W2103" s="55" t="n">
        <f aca="false">IF(V2103,IF(01_因子設定!$B$13="最大化",T2103-01_因子設定!$B$14,IF(01_因子設定!$B$13="最小化",01_因子設定!$B$15-U2103,MIN(T2103-01_因子設定!$B$14,01_因子設定!$B$15-U2103))),-1E+030)</f>
        <v>-3.10943756436421</v>
      </c>
      <c r="X2103" s="55" t="n">
        <f aca="false">IF(V2103,IF(01_因子設定!$B$13="最大化",Q2103,IF(01_因子設定!$B$13="最小化",-Q2103,-ABS(Q2103-01_因子設定!$B$16))),-1E+030)</f>
        <v>46.3843323863636</v>
      </c>
      <c r="Y2103" s="55" t="n">
        <f aca="false">W2103+ROW()*0.000000001</f>
        <v>-3.10943546136421</v>
      </c>
      <c r="Z2103" s="55" t="n">
        <f aca="false">X2103+ROW()*0.000000001</f>
        <v>46.3843344893636</v>
      </c>
    </row>
    <row r="2104" customFormat="false" ht="15" hidden="false" customHeight="false" outlineLevel="0" collapsed="false">
      <c r="A2104" s="0" t="n">
        <v>7</v>
      </c>
      <c r="B2104" s="0" t="n">
        <v>4</v>
      </c>
      <c r="C2104" s="0" t="n">
        <v>8</v>
      </c>
      <c r="D2104" s="0" t="n">
        <f aca="false">-1+A2104*0.125</f>
        <v>-0.125</v>
      </c>
      <c r="E2104" s="0" t="n">
        <f aca="false">-1+B2104*0.125</f>
        <v>-0.5</v>
      </c>
      <c r="F2104" s="0" t="n">
        <f aca="false">-1+C2104*0.125</f>
        <v>0</v>
      </c>
      <c r="G2104" s="0" t="n">
        <f aca="false">1</f>
        <v>1</v>
      </c>
      <c r="H2104" s="0" t="n">
        <f aca="false">D2104</f>
        <v>-0.125</v>
      </c>
      <c r="I2104" s="0" t="n">
        <f aca="false">E2104</f>
        <v>-0.5</v>
      </c>
      <c r="J2104" s="0" t="n">
        <f aca="false">F2104</f>
        <v>0</v>
      </c>
      <c r="K2104" s="0" t="n">
        <f aca="false">D2104*E2104</f>
        <v>0.0625</v>
      </c>
      <c r="L2104" s="0" t="n">
        <f aca="false">D2104*F2104</f>
        <v>-0</v>
      </c>
      <c r="M2104" s="0" t="n">
        <f aca="false">E2104*F2104</f>
        <v>-0</v>
      </c>
      <c r="N2104" s="0" t="n">
        <f aca="false">D2104*D2104</f>
        <v>0.015625</v>
      </c>
      <c r="O2104" s="0" t="n">
        <f aca="false">E2104*E2104</f>
        <v>0.25</v>
      </c>
      <c r="P2104" s="0" t="n">
        <f aca="false">F2104*F2104</f>
        <v>0</v>
      </c>
      <c r="Q2104" s="0" t="n">
        <f aca="false">SUMPRODUCT(G2104:P2104,_XtX!$B$71:$K$71)</f>
        <v>46.5494460227273</v>
      </c>
      <c r="R2104" s="0" t="n">
        <f aca="false">SUMPRODUCT(MMULT(G2104:P2104,_XtX!$B$58:$K$67),G2104:P2104)</f>
        <v>0.142835582386364</v>
      </c>
      <c r="S2104" s="0" t="n">
        <f aca="false">04_回帰ANOVA!$K$19*04_回帰ANOVA!$K$14*SQRT(1+R2104)</f>
        <v>0.993936210693193</v>
      </c>
      <c r="T2104" s="0" t="n">
        <f aca="false">Q2104-S2104</f>
        <v>45.5555098120341</v>
      </c>
      <c r="U2104" s="0" t="n">
        <f aca="false">Q2104+S2104</f>
        <v>47.5433822334205</v>
      </c>
      <c r="V2104" s="54" t="b">
        <f aca="false">AND(D2104&gt;=01_因子設定!$L$5-0.000000001,D2104&lt;=01_因子設定!$M$5+0.000000001,E2104&gt;=01_因子設定!$L$6-0.000000001,E2104&lt;=01_因子設定!$M$6+0.000000001,F2104&gt;=01_因子設定!$L$7-0.000000001,F2104&lt;=01_因子設定!$M$7+0.000000001,IF(01_因子設定!$B$20="Box-Behnken",D2104^2+E2104^2+F2104^2&lt;=2+0.000000001,TRUE()))</f>
        <v>1</v>
      </c>
      <c r="W2104" s="55" t="n">
        <f aca="false">IF(V2104,IF(01_因子設定!$B$13="最大化",T2104-01_因子設定!$B$14,IF(01_因子設定!$B$13="最小化",01_因子設定!$B$15-U2104,MIN(T2104-01_因子設定!$B$14,01_因子設定!$B$15-U2104))),-1E+030)</f>
        <v>-2.94449018796591</v>
      </c>
      <c r="X2104" s="55" t="n">
        <f aca="false">IF(V2104,IF(01_因子設定!$B$13="最大化",Q2104,IF(01_因子設定!$B$13="最小化",-Q2104,-ABS(Q2104-01_因子設定!$B$16))),-1E+030)</f>
        <v>46.5494460227273</v>
      </c>
      <c r="Y2104" s="55" t="n">
        <f aca="false">W2104+ROW()*0.000000001</f>
        <v>-2.94448808396591</v>
      </c>
      <c r="Z2104" s="55" t="n">
        <f aca="false">X2104+ROW()*0.000000001</f>
        <v>46.5494481267273</v>
      </c>
    </row>
    <row r="2105" customFormat="false" ht="15" hidden="false" customHeight="false" outlineLevel="0" collapsed="false">
      <c r="A2105" s="0" t="n">
        <v>7</v>
      </c>
      <c r="B2105" s="0" t="n">
        <v>4</v>
      </c>
      <c r="C2105" s="0" t="n">
        <v>9</v>
      </c>
      <c r="D2105" s="0" t="n">
        <f aca="false">-1+A2105*0.125</f>
        <v>-0.125</v>
      </c>
      <c r="E2105" s="0" t="n">
        <f aca="false">-1+B2105*0.125</f>
        <v>-0.5</v>
      </c>
      <c r="F2105" s="0" t="n">
        <f aca="false">-1+C2105*0.125</f>
        <v>0.125</v>
      </c>
      <c r="G2105" s="0" t="n">
        <f aca="false">1</f>
        <v>1</v>
      </c>
      <c r="H2105" s="0" t="n">
        <f aca="false">D2105</f>
        <v>-0.125</v>
      </c>
      <c r="I2105" s="0" t="n">
        <f aca="false">E2105</f>
        <v>-0.5</v>
      </c>
      <c r="J2105" s="0" t="n">
        <f aca="false">F2105</f>
        <v>0.125</v>
      </c>
      <c r="K2105" s="0" t="n">
        <f aca="false">D2105*E2105</f>
        <v>0.0625</v>
      </c>
      <c r="L2105" s="0" t="n">
        <f aca="false">D2105*F2105</f>
        <v>-0.015625</v>
      </c>
      <c r="M2105" s="0" t="n">
        <f aca="false">E2105*F2105</f>
        <v>-0.0625</v>
      </c>
      <c r="N2105" s="0" t="n">
        <f aca="false">D2105*D2105</f>
        <v>0.015625</v>
      </c>
      <c r="O2105" s="0" t="n">
        <f aca="false">E2105*E2105</f>
        <v>0.25</v>
      </c>
      <c r="P2105" s="0" t="n">
        <f aca="false">F2105*F2105</f>
        <v>0.015625</v>
      </c>
      <c r="Q2105" s="0" t="n">
        <f aca="false">SUMPRODUCT(G2105:P2105,_XtX!$B$71:$K$71)</f>
        <v>46.6777698863637</v>
      </c>
      <c r="R2105" s="0" t="n">
        <f aca="false">SUMPRODUCT(MMULT(G2105:P2105,_XtX!$B$58:$K$67),G2105:P2105)</f>
        <v>0.142453280362216</v>
      </c>
      <c r="S2105" s="0" t="n">
        <f aca="false">04_回帰ANOVA!$K$19*04_回帰ANOVA!$K$14*SQRT(1+R2105)</f>
        <v>0.99376995072785</v>
      </c>
      <c r="T2105" s="0" t="n">
        <f aca="false">Q2105-S2105</f>
        <v>45.6839999356358</v>
      </c>
      <c r="U2105" s="0" t="n">
        <f aca="false">Q2105+S2105</f>
        <v>47.6715398370915</v>
      </c>
      <c r="V2105" s="54" t="b">
        <f aca="false">AND(D2105&gt;=01_因子設定!$L$5-0.000000001,D2105&lt;=01_因子設定!$M$5+0.000000001,E2105&gt;=01_因子設定!$L$6-0.000000001,E2105&lt;=01_因子設定!$M$6+0.000000001,F2105&gt;=01_因子設定!$L$7-0.000000001,F2105&lt;=01_因子設定!$M$7+0.000000001,IF(01_因子設定!$B$20="Box-Behnken",D2105^2+E2105^2+F2105^2&lt;=2+0.000000001,TRUE()))</f>
        <v>1</v>
      </c>
      <c r="W2105" s="55" t="n">
        <f aca="false">IF(V2105,IF(01_因子設定!$B$13="最大化",T2105-01_因子設定!$B$14,IF(01_因子設定!$B$13="最小化",01_因子設定!$B$15-U2105,MIN(T2105-01_因子設定!$B$14,01_因子設定!$B$15-U2105))),-1E+030)</f>
        <v>-2.8160000643642</v>
      </c>
      <c r="X2105" s="55" t="n">
        <f aca="false">IF(V2105,IF(01_因子設定!$B$13="最大化",Q2105,IF(01_因子設定!$B$13="最小化",-Q2105,-ABS(Q2105-01_因子設定!$B$16))),-1E+030)</f>
        <v>46.6777698863637</v>
      </c>
      <c r="Y2105" s="55" t="n">
        <f aca="false">W2105+ROW()*0.000000001</f>
        <v>-2.8159979593642</v>
      </c>
      <c r="Z2105" s="55" t="n">
        <f aca="false">X2105+ROW()*0.000000001</f>
        <v>46.6777719913637</v>
      </c>
    </row>
    <row r="2106" customFormat="false" ht="15" hidden="false" customHeight="false" outlineLevel="0" collapsed="false">
      <c r="A2106" s="0" t="n">
        <v>7</v>
      </c>
      <c r="B2106" s="0" t="n">
        <v>4</v>
      </c>
      <c r="C2106" s="0" t="n">
        <v>10</v>
      </c>
      <c r="D2106" s="0" t="n">
        <f aca="false">-1+A2106*0.125</f>
        <v>-0.125</v>
      </c>
      <c r="E2106" s="0" t="n">
        <f aca="false">-1+B2106*0.125</f>
        <v>-0.5</v>
      </c>
      <c r="F2106" s="0" t="n">
        <f aca="false">-1+C2106*0.125</f>
        <v>0.25</v>
      </c>
      <c r="G2106" s="0" t="n">
        <f aca="false">1</f>
        <v>1</v>
      </c>
      <c r="H2106" s="0" t="n">
        <f aca="false">D2106</f>
        <v>-0.125</v>
      </c>
      <c r="I2106" s="0" t="n">
        <f aca="false">E2106</f>
        <v>-0.5</v>
      </c>
      <c r="J2106" s="0" t="n">
        <f aca="false">F2106</f>
        <v>0.25</v>
      </c>
      <c r="K2106" s="0" t="n">
        <f aca="false">D2106*E2106</f>
        <v>0.0625</v>
      </c>
      <c r="L2106" s="0" t="n">
        <f aca="false">D2106*F2106</f>
        <v>-0.03125</v>
      </c>
      <c r="M2106" s="0" t="n">
        <f aca="false">E2106*F2106</f>
        <v>-0.125</v>
      </c>
      <c r="N2106" s="0" t="n">
        <f aca="false">D2106*D2106</f>
        <v>0.015625</v>
      </c>
      <c r="O2106" s="0" t="n">
        <f aca="false">E2106*E2106</f>
        <v>0.25</v>
      </c>
      <c r="P2106" s="0" t="n">
        <f aca="false">F2106*F2106</f>
        <v>0.0625</v>
      </c>
      <c r="Q2106" s="0" t="n">
        <f aca="false">SUMPRODUCT(G2106:P2106,_XtX!$B$71:$K$71)</f>
        <v>46.7693039772727</v>
      </c>
      <c r="R2106" s="0" t="n">
        <f aca="false">SUMPRODUCT(MMULT(G2106:P2106,_XtX!$B$58:$K$67),G2106:P2106)</f>
        <v>0.142371715198864</v>
      </c>
      <c r="S2106" s="0" t="n">
        <f aca="false">04_回帰ANOVA!$K$19*04_回帰ANOVA!$K$14*SQRT(1+R2106)</f>
        <v>0.99373447511735</v>
      </c>
      <c r="T2106" s="0" t="n">
        <f aca="false">Q2106-S2106</f>
        <v>45.7755695021554</v>
      </c>
      <c r="U2106" s="0" t="n">
        <f aca="false">Q2106+S2106</f>
        <v>47.7630384523901</v>
      </c>
      <c r="V2106" s="54" t="b">
        <f aca="false">AND(D2106&gt;=01_因子設定!$L$5-0.000000001,D2106&lt;=01_因子設定!$M$5+0.000000001,E2106&gt;=01_因子設定!$L$6-0.000000001,E2106&lt;=01_因子設定!$M$6+0.000000001,F2106&gt;=01_因子設定!$L$7-0.000000001,F2106&lt;=01_因子設定!$M$7+0.000000001,IF(01_因子設定!$B$20="Box-Behnken",D2106^2+E2106^2+F2106^2&lt;=2+0.000000001,TRUE()))</f>
        <v>1</v>
      </c>
      <c r="W2106" s="55" t="n">
        <f aca="false">IF(V2106,IF(01_因子設定!$B$13="最大化",T2106-01_因子設定!$B$14,IF(01_因子設定!$B$13="最小化",01_因子設定!$B$15-U2106,MIN(T2106-01_因子設定!$B$14,01_因子設定!$B$15-U2106))),-1E+030)</f>
        <v>-2.72443049784462</v>
      </c>
      <c r="X2106" s="55" t="n">
        <f aca="false">IF(V2106,IF(01_因子設定!$B$13="最大化",Q2106,IF(01_因子設定!$B$13="最小化",-Q2106,-ABS(Q2106-01_因子設定!$B$16))),-1E+030)</f>
        <v>46.7693039772727</v>
      </c>
      <c r="Y2106" s="55" t="n">
        <f aca="false">W2106+ROW()*0.000000001</f>
        <v>-2.72442839184462</v>
      </c>
      <c r="Z2106" s="55" t="n">
        <f aca="false">X2106+ROW()*0.000000001</f>
        <v>46.7693060832727</v>
      </c>
    </row>
    <row r="2107" customFormat="false" ht="15" hidden="false" customHeight="false" outlineLevel="0" collapsed="false">
      <c r="A2107" s="0" t="n">
        <v>7</v>
      </c>
      <c r="B2107" s="0" t="n">
        <v>4</v>
      </c>
      <c r="C2107" s="0" t="n">
        <v>11</v>
      </c>
      <c r="D2107" s="0" t="n">
        <f aca="false">-1+A2107*0.125</f>
        <v>-0.125</v>
      </c>
      <c r="E2107" s="0" t="n">
        <f aca="false">-1+B2107*0.125</f>
        <v>-0.5</v>
      </c>
      <c r="F2107" s="0" t="n">
        <f aca="false">-1+C2107*0.125</f>
        <v>0.375</v>
      </c>
      <c r="G2107" s="0" t="n">
        <f aca="false">1</f>
        <v>1</v>
      </c>
      <c r="H2107" s="0" t="n">
        <f aca="false">D2107</f>
        <v>-0.125</v>
      </c>
      <c r="I2107" s="0" t="n">
        <f aca="false">E2107</f>
        <v>-0.5</v>
      </c>
      <c r="J2107" s="0" t="n">
        <f aca="false">F2107</f>
        <v>0.375</v>
      </c>
      <c r="K2107" s="0" t="n">
        <f aca="false">D2107*E2107</f>
        <v>0.0625</v>
      </c>
      <c r="L2107" s="0" t="n">
        <f aca="false">D2107*F2107</f>
        <v>-0.046875</v>
      </c>
      <c r="M2107" s="0" t="n">
        <f aca="false">E2107*F2107</f>
        <v>-0.1875</v>
      </c>
      <c r="N2107" s="0" t="n">
        <f aca="false">D2107*D2107</f>
        <v>0.015625</v>
      </c>
      <c r="O2107" s="0" t="n">
        <f aca="false">E2107*E2107</f>
        <v>0.25</v>
      </c>
      <c r="P2107" s="0" t="n">
        <f aca="false">F2107*F2107</f>
        <v>0.140625</v>
      </c>
      <c r="Q2107" s="0" t="n">
        <f aca="false">SUMPRODUCT(G2107:P2107,_XtX!$B$71:$K$71)</f>
        <v>46.8240482954546</v>
      </c>
      <c r="R2107" s="0" t="n">
        <f aca="false">SUMPRODUCT(MMULT(G2107:P2107,_XtX!$B$58:$K$67),G2107:P2107)</f>
        <v>0.14578690962358</v>
      </c>
      <c r="S2107" s="0" t="n">
        <f aca="false">04_回帰ANOVA!$K$19*04_回帰ANOVA!$K$14*SQRT(1+R2107)</f>
        <v>0.995218783457917</v>
      </c>
      <c r="T2107" s="0" t="n">
        <f aca="false">Q2107-S2107</f>
        <v>45.8288295119966</v>
      </c>
      <c r="U2107" s="0" t="n">
        <f aca="false">Q2107+S2107</f>
        <v>47.8192670789125</v>
      </c>
      <c r="V2107" s="54" t="b">
        <f aca="false">AND(D2107&gt;=01_因子設定!$L$5-0.000000001,D2107&lt;=01_因子設定!$M$5+0.000000001,E2107&gt;=01_因子設定!$L$6-0.000000001,E2107&lt;=01_因子設定!$M$6+0.000000001,F2107&gt;=01_因子設定!$L$7-0.000000001,F2107&lt;=01_因子設定!$M$7+0.000000001,IF(01_因子設定!$B$20="Box-Behnken",D2107^2+E2107^2+F2107^2&lt;=2+0.000000001,TRUE()))</f>
        <v>1</v>
      </c>
      <c r="W2107" s="55" t="n">
        <f aca="false">IF(V2107,IF(01_因子設定!$B$13="最大化",T2107-01_因子設定!$B$14,IF(01_因子設定!$B$13="最小化",01_因子設定!$B$15-U2107,MIN(T2107-01_因子設定!$B$14,01_因子設定!$B$15-U2107))),-1E+030)</f>
        <v>-2.67117048800336</v>
      </c>
      <c r="X2107" s="55" t="n">
        <f aca="false">IF(V2107,IF(01_因子設定!$B$13="最大化",Q2107,IF(01_因子設定!$B$13="最小化",-Q2107,-ABS(Q2107-01_因子設定!$B$16))),-1E+030)</f>
        <v>46.8240482954546</v>
      </c>
      <c r="Y2107" s="55" t="n">
        <f aca="false">W2107+ROW()*0.000000001</f>
        <v>-2.67116838100336</v>
      </c>
      <c r="Z2107" s="55" t="n">
        <f aca="false">X2107+ROW()*0.000000001</f>
        <v>46.8240504024546</v>
      </c>
    </row>
    <row r="2108" customFormat="false" ht="15" hidden="false" customHeight="false" outlineLevel="0" collapsed="false">
      <c r="A2108" s="0" t="n">
        <v>7</v>
      </c>
      <c r="B2108" s="0" t="n">
        <v>4</v>
      </c>
      <c r="C2108" s="0" t="n">
        <v>12</v>
      </c>
      <c r="D2108" s="0" t="n">
        <f aca="false">-1+A2108*0.125</f>
        <v>-0.125</v>
      </c>
      <c r="E2108" s="0" t="n">
        <f aca="false">-1+B2108*0.125</f>
        <v>-0.5</v>
      </c>
      <c r="F2108" s="0" t="n">
        <f aca="false">-1+C2108*0.125</f>
        <v>0.5</v>
      </c>
      <c r="G2108" s="0" t="n">
        <f aca="false">1</f>
        <v>1</v>
      </c>
      <c r="H2108" s="0" t="n">
        <f aca="false">D2108</f>
        <v>-0.125</v>
      </c>
      <c r="I2108" s="0" t="n">
        <f aca="false">E2108</f>
        <v>-0.5</v>
      </c>
      <c r="J2108" s="0" t="n">
        <f aca="false">F2108</f>
        <v>0.5</v>
      </c>
      <c r="K2108" s="0" t="n">
        <f aca="false">D2108*E2108</f>
        <v>0.0625</v>
      </c>
      <c r="L2108" s="0" t="n">
        <f aca="false">D2108*F2108</f>
        <v>-0.0625</v>
      </c>
      <c r="M2108" s="0" t="n">
        <f aca="false">E2108*F2108</f>
        <v>-0.25</v>
      </c>
      <c r="N2108" s="0" t="n">
        <f aca="false">D2108*D2108</f>
        <v>0.015625</v>
      </c>
      <c r="O2108" s="0" t="n">
        <f aca="false">E2108*E2108</f>
        <v>0.25</v>
      </c>
      <c r="P2108" s="0" t="n">
        <f aca="false">F2108*F2108</f>
        <v>0.25</v>
      </c>
      <c r="Q2108" s="0" t="n">
        <f aca="false">SUMPRODUCT(G2108:P2108,_XtX!$B$71:$K$71)</f>
        <v>46.8420028409091</v>
      </c>
      <c r="R2108" s="0" t="n">
        <f aca="false">SUMPRODUCT(MMULT(G2108:P2108,_XtX!$B$58:$K$67),G2108:P2108)</f>
        <v>0.158025568181818</v>
      </c>
      <c r="S2108" s="0" t="n">
        <f aca="false">04_回帰ANOVA!$K$19*04_回帰ANOVA!$K$14*SQRT(1+R2108)</f>
        <v>1.00051985207691</v>
      </c>
      <c r="T2108" s="0" t="n">
        <f aca="false">Q2108-S2108</f>
        <v>45.8414829888322</v>
      </c>
      <c r="U2108" s="0" t="n">
        <f aca="false">Q2108+S2108</f>
        <v>47.842522692986</v>
      </c>
      <c r="V2108" s="54" t="b">
        <f aca="false">AND(D2108&gt;=01_因子設定!$L$5-0.000000001,D2108&lt;=01_因子設定!$M$5+0.000000001,E2108&gt;=01_因子設定!$L$6-0.000000001,E2108&lt;=01_因子設定!$M$6+0.000000001,F2108&gt;=01_因子設定!$L$7-0.000000001,F2108&lt;=01_因子設定!$M$7+0.000000001,IF(01_因子設定!$B$20="Box-Behnken",D2108^2+E2108^2+F2108^2&lt;=2+0.000000001,TRUE()))</f>
        <v>1</v>
      </c>
      <c r="W2108" s="55" t="n">
        <f aca="false">IF(V2108,IF(01_因子設定!$B$13="最大化",T2108-01_因子設定!$B$14,IF(01_因子設定!$B$13="最小化",01_因子設定!$B$15-U2108,MIN(T2108-01_因子設定!$B$14,01_因子設定!$B$15-U2108))),-1E+030)</f>
        <v>-2.6585170111678</v>
      </c>
      <c r="X2108" s="55" t="n">
        <f aca="false">IF(V2108,IF(01_因子設定!$B$13="最大化",Q2108,IF(01_因子設定!$B$13="最小化",-Q2108,-ABS(Q2108-01_因子設定!$B$16))),-1E+030)</f>
        <v>46.8420028409091</v>
      </c>
      <c r="Y2108" s="55" t="n">
        <f aca="false">W2108+ROW()*0.000000001</f>
        <v>-2.6585149031678</v>
      </c>
      <c r="Z2108" s="55" t="n">
        <f aca="false">X2108+ROW()*0.000000001</f>
        <v>46.8420049489091</v>
      </c>
    </row>
    <row r="2109" customFormat="false" ht="15" hidden="false" customHeight="false" outlineLevel="0" collapsed="false">
      <c r="A2109" s="0" t="n">
        <v>7</v>
      </c>
      <c r="B2109" s="0" t="n">
        <v>4</v>
      </c>
      <c r="C2109" s="0" t="n">
        <v>13</v>
      </c>
      <c r="D2109" s="0" t="n">
        <f aca="false">-1+A2109*0.125</f>
        <v>-0.125</v>
      </c>
      <c r="E2109" s="0" t="n">
        <f aca="false">-1+B2109*0.125</f>
        <v>-0.5</v>
      </c>
      <c r="F2109" s="0" t="n">
        <f aca="false">-1+C2109*0.125</f>
        <v>0.625</v>
      </c>
      <c r="G2109" s="0" t="n">
        <f aca="false">1</f>
        <v>1</v>
      </c>
      <c r="H2109" s="0" t="n">
        <f aca="false">D2109</f>
        <v>-0.125</v>
      </c>
      <c r="I2109" s="0" t="n">
        <f aca="false">E2109</f>
        <v>-0.5</v>
      </c>
      <c r="J2109" s="0" t="n">
        <f aca="false">F2109</f>
        <v>0.625</v>
      </c>
      <c r="K2109" s="0" t="n">
        <f aca="false">D2109*E2109</f>
        <v>0.0625</v>
      </c>
      <c r="L2109" s="0" t="n">
        <f aca="false">D2109*F2109</f>
        <v>-0.078125</v>
      </c>
      <c r="M2109" s="0" t="n">
        <f aca="false">E2109*F2109</f>
        <v>-0.3125</v>
      </c>
      <c r="N2109" s="0" t="n">
        <f aca="false">D2109*D2109</f>
        <v>0.015625</v>
      </c>
      <c r="O2109" s="0" t="n">
        <f aca="false">E2109*E2109</f>
        <v>0.25</v>
      </c>
      <c r="P2109" s="0" t="n">
        <f aca="false">F2109*F2109</f>
        <v>0.390625</v>
      </c>
      <c r="Q2109" s="0" t="n">
        <f aca="false">SUMPRODUCT(G2109:P2109,_XtX!$B$71:$K$71)</f>
        <v>46.8231676136364</v>
      </c>
      <c r="R2109" s="0" t="n">
        <f aca="false">SUMPRODUCT(MMULT(G2109:P2109,_XtX!$B$58:$K$67),G2109:P2109)</f>
        <v>0.186545077237216</v>
      </c>
      <c r="S2109" s="0" t="n">
        <f aca="false">04_回帰ANOVA!$K$19*04_回帰ANOVA!$K$14*SQRT(1+R2109)</f>
        <v>1.01276516970713</v>
      </c>
      <c r="T2109" s="0" t="n">
        <f aca="false">Q2109-S2109</f>
        <v>45.8104024439293</v>
      </c>
      <c r="U2109" s="0" t="n">
        <f aca="false">Q2109+S2109</f>
        <v>47.8359327833435</v>
      </c>
      <c r="V2109" s="54" t="b">
        <f aca="false">AND(D2109&gt;=01_因子設定!$L$5-0.000000001,D2109&lt;=01_因子設定!$M$5+0.000000001,E2109&gt;=01_因子設定!$L$6-0.000000001,E2109&lt;=01_因子設定!$M$6+0.000000001,F2109&gt;=01_因子設定!$L$7-0.000000001,F2109&lt;=01_因子設定!$M$7+0.000000001,IF(01_因子設定!$B$20="Box-Behnken",D2109^2+E2109^2+F2109^2&lt;=2+0.000000001,TRUE()))</f>
        <v>1</v>
      </c>
      <c r="W2109" s="55" t="n">
        <f aca="false">IF(V2109,IF(01_因子設定!$B$13="最大化",T2109-01_因子設定!$B$14,IF(01_因子設定!$B$13="最小化",01_因子設定!$B$15-U2109,MIN(T2109-01_因子設定!$B$14,01_因子設定!$B$15-U2109))),-1E+030)</f>
        <v>-2.68959755607075</v>
      </c>
      <c r="X2109" s="55" t="n">
        <f aca="false">IF(V2109,IF(01_因子設定!$B$13="最大化",Q2109,IF(01_因子設定!$B$13="最小化",-Q2109,-ABS(Q2109-01_因子設定!$B$16))),-1E+030)</f>
        <v>46.8231676136364</v>
      </c>
      <c r="Y2109" s="55" t="n">
        <f aca="false">W2109+ROW()*0.000000001</f>
        <v>-2.68959544707075</v>
      </c>
      <c r="Z2109" s="55" t="n">
        <f aca="false">X2109+ROW()*0.000000001</f>
        <v>46.8231697226364</v>
      </c>
    </row>
    <row r="2110" customFormat="false" ht="15" hidden="false" customHeight="false" outlineLevel="0" collapsed="false">
      <c r="A2110" s="0" t="n">
        <v>7</v>
      </c>
      <c r="B2110" s="0" t="n">
        <v>4</v>
      </c>
      <c r="C2110" s="0" t="n">
        <v>14</v>
      </c>
      <c r="D2110" s="0" t="n">
        <f aca="false">-1+A2110*0.125</f>
        <v>-0.125</v>
      </c>
      <c r="E2110" s="0" t="n">
        <f aca="false">-1+B2110*0.125</f>
        <v>-0.5</v>
      </c>
      <c r="F2110" s="0" t="n">
        <f aca="false">-1+C2110*0.125</f>
        <v>0.75</v>
      </c>
      <c r="G2110" s="0" t="n">
        <f aca="false">1</f>
        <v>1</v>
      </c>
      <c r="H2110" s="0" t="n">
        <f aca="false">D2110</f>
        <v>-0.125</v>
      </c>
      <c r="I2110" s="0" t="n">
        <f aca="false">E2110</f>
        <v>-0.5</v>
      </c>
      <c r="J2110" s="0" t="n">
        <f aca="false">F2110</f>
        <v>0.75</v>
      </c>
      <c r="K2110" s="0" t="n">
        <f aca="false">D2110*E2110</f>
        <v>0.0625</v>
      </c>
      <c r="L2110" s="0" t="n">
        <f aca="false">D2110*F2110</f>
        <v>-0.09375</v>
      </c>
      <c r="M2110" s="0" t="n">
        <f aca="false">E2110*F2110</f>
        <v>-0.375</v>
      </c>
      <c r="N2110" s="0" t="n">
        <f aca="false">D2110*D2110</f>
        <v>0.015625</v>
      </c>
      <c r="O2110" s="0" t="n">
        <f aca="false">E2110*E2110</f>
        <v>0.25</v>
      </c>
      <c r="P2110" s="0" t="n">
        <f aca="false">F2110*F2110</f>
        <v>0.5625</v>
      </c>
      <c r="Q2110" s="0" t="n">
        <f aca="false">SUMPRODUCT(G2110:P2110,_XtX!$B$71:$K$71)</f>
        <v>46.7675426136364</v>
      </c>
      <c r="R2110" s="0" t="n">
        <f aca="false">SUMPRODUCT(MMULT(G2110:P2110,_XtX!$B$58:$K$67),G2110:P2110)</f>
        <v>0.240933504971591</v>
      </c>
      <c r="S2110" s="0" t="n">
        <f aca="false">04_回帰ANOVA!$K$19*04_回帰ANOVA!$K$14*SQRT(1+R2110)</f>
        <v>1.03571649118863</v>
      </c>
      <c r="T2110" s="0" t="n">
        <f aca="false">Q2110-S2110</f>
        <v>45.7318261224478</v>
      </c>
      <c r="U2110" s="0" t="n">
        <f aca="false">Q2110+S2110</f>
        <v>47.803259104825</v>
      </c>
      <c r="V2110" s="54" t="b">
        <f aca="false">AND(D2110&gt;=01_因子設定!$L$5-0.000000001,D2110&lt;=01_因子設定!$M$5+0.000000001,E2110&gt;=01_因子設定!$L$6-0.000000001,E2110&lt;=01_因子設定!$M$6+0.000000001,F2110&gt;=01_因子設定!$L$7-0.000000001,F2110&lt;=01_因子設定!$M$7+0.000000001,IF(01_因子設定!$B$20="Box-Behnken",D2110^2+E2110^2+F2110^2&lt;=2+0.000000001,TRUE()))</f>
        <v>1</v>
      </c>
      <c r="W2110" s="55" t="n">
        <f aca="false">IF(V2110,IF(01_因子設定!$B$13="最大化",T2110-01_因子設定!$B$14,IF(01_因子設定!$B$13="最小化",01_因子設定!$B$15-U2110,MIN(T2110-01_因子設定!$B$14,01_因子設定!$B$15-U2110))),-1E+030)</f>
        <v>-2.76817387755224</v>
      </c>
      <c r="X2110" s="55" t="n">
        <f aca="false">IF(V2110,IF(01_因子設定!$B$13="最大化",Q2110,IF(01_因子設定!$B$13="最小化",-Q2110,-ABS(Q2110-01_因子設定!$B$16))),-1E+030)</f>
        <v>46.7675426136364</v>
      </c>
      <c r="Y2110" s="55" t="n">
        <f aca="false">W2110+ROW()*0.000000001</f>
        <v>-2.76817176755224</v>
      </c>
      <c r="Z2110" s="55" t="n">
        <f aca="false">X2110+ROW()*0.000000001</f>
        <v>46.7675447236364</v>
      </c>
    </row>
    <row r="2111" customFormat="false" ht="15" hidden="false" customHeight="false" outlineLevel="0" collapsed="false">
      <c r="A2111" s="0" t="n">
        <v>7</v>
      </c>
      <c r="B2111" s="0" t="n">
        <v>4</v>
      </c>
      <c r="C2111" s="0" t="n">
        <v>15</v>
      </c>
      <c r="D2111" s="0" t="n">
        <f aca="false">-1+A2111*0.125</f>
        <v>-0.125</v>
      </c>
      <c r="E2111" s="0" t="n">
        <f aca="false">-1+B2111*0.125</f>
        <v>-0.5</v>
      </c>
      <c r="F2111" s="0" t="n">
        <f aca="false">-1+C2111*0.125</f>
        <v>0.875</v>
      </c>
      <c r="G2111" s="0" t="n">
        <f aca="false">1</f>
        <v>1</v>
      </c>
      <c r="H2111" s="0" t="n">
        <f aca="false">D2111</f>
        <v>-0.125</v>
      </c>
      <c r="I2111" s="0" t="n">
        <f aca="false">E2111</f>
        <v>-0.5</v>
      </c>
      <c r="J2111" s="0" t="n">
        <f aca="false">F2111</f>
        <v>0.875</v>
      </c>
      <c r="K2111" s="0" t="n">
        <f aca="false">D2111*E2111</f>
        <v>0.0625</v>
      </c>
      <c r="L2111" s="0" t="n">
        <f aca="false">D2111*F2111</f>
        <v>-0.109375</v>
      </c>
      <c r="M2111" s="0" t="n">
        <f aca="false">E2111*F2111</f>
        <v>-0.4375</v>
      </c>
      <c r="N2111" s="0" t="n">
        <f aca="false">D2111*D2111</f>
        <v>0.015625</v>
      </c>
      <c r="O2111" s="0" t="n">
        <f aca="false">E2111*E2111</f>
        <v>0.25</v>
      </c>
      <c r="P2111" s="0" t="n">
        <f aca="false">F2111*F2111</f>
        <v>0.765625</v>
      </c>
      <c r="Q2111" s="0" t="n">
        <f aca="false">SUMPRODUCT(G2111:P2111,_XtX!$B$71:$K$71)</f>
        <v>46.6751278409091</v>
      </c>
      <c r="R2111" s="0" t="n">
        <f aca="false">SUMPRODUCT(MMULT(G2111:P2111,_XtX!$B$58:$K$67),G2111:P2111)</f>
        <v>0.332909601384943</v>
      </c>
      <c r="S2111" s="0" t="n">
        <f aca="false">04_回帰ANOVA!$K$19*04_回帰ANOVA!$K$14*SQRT(1+R2111)</f>
        <v>1.07341333007404</v>
      </c>
      <c r="T2111" s="0" t="n">
        <f aca="false">Q2111-S2111</f>
        <v>45.6017145108351</v>
      </c>
      <c r="U2111" s="0" t="n">
        <f aca="false">Q2111+S2111</f>
        <v>47.7485411709832</v>
      </c>
      <c r="V2111" s="54" t="b">
        <f aca="false">AND(D2111&gt;=01_因子設定!$L$5-0.000000001,D2111&lt;=01_因子設定!$M$5+0.000000001,E2111&gt;=01_因子設定!$L$6-0.000000001,E2111&lt;=01_因子設定!$M$6+0.000000001,F2111&gt;=01_因子設定!$L$7-0.000000001,F2111&lt;=01_因子設定!$M$7+0.000000001,IF(01_因子設定!$B$20="Box-Behnken",D2111^2+E2111^2+F2111^2&lt;=2+0.000000001,TRUE()))</f>
        <v>1</v>
      </c>
      <c r="W2111" s="55" t="n">
        <f aca="false">IF(V2111,IF(01_因子設定!$B$13="最大化",T2111-01_因子設定!$B$14,IF(01_因子設定!$B$13="最小化",01_因子設定!$B$15-U2111,MIN(T2111-01_因子設定!$B$14,01_因子設定!$B$15-U2111))),-1E+030)</f>
        <v>-2.89828548916493</v>
      </c>
      <c r="X2111" s="55" t="n">
        <f aca="false">IF(V2111,IF(01_因子設定!$B$13="最大化",Q2111,IF(01_因子設定!$B$13="最小化",-Q2111,-ABS(Q2111-01_因子設定!$B$16))),-1E+030)</f>
        <v>46.6751278409091</v>
      </c>
      <c r="Y2111" s="55" t="n">
        <f aca="false">W2111+ROW()*0.000000001</f>
        <v>-2.89828337816493</v>
      </c>
      <c r="Z2111" s="55" t="n">
        <f aca="false">X2111+ROW()*0.000000001</f>
        <v>46.6751299519091</v>
      </c>
    </row>
    <row r="2112" customFormat="false" ht="15" hidden="false" customHeight="false" outlineLevel="0" collapsed="false">
      <c r="A2112" s="0" t="n">
        <v>7</v>
      </c>
      <c r="B2112" s="0" t="n">
        <v>4</v>
      </c>
      <c r="C2112" s="0" t="n">
        <v>16</v>
      </c>
      <c r="D2112" s="0" t="n">
        <f aca="false">-1+A2112*0.125</f>
        <v>-0.125</v>
      </c>
      <c r="E2112" s="0" t="n">
        <f aca="false">-1+B2112*0.125</f>
        <v>-0.5</v>
      </c>
      <c r="F2112" s="0" t="n">
        <f aca="false">-1+C2112*0.125</f>
        <v>1</v>
      </c>
      <c r="G2112" s="0" t="n">
        <f aca="false">1</f>
        <v>1</v>
      </c>
      <c r="H2112" s="0" t="n">
        <f aca="false">D2112</f>
        <v>-0.125</v>
      </c>
      <c r="I2112" s="0" t="n">
        <f aca="false">E2112</f>
        <v>-0.5</v>
      </c>
      <c r="J2112" s="0" t="n">
        <f aca="false">F2112</f>
        <v>1</v>
      </c>
      <c r="K2112" s="0" t="n">
        <f aca="false">D2112*E2112</f>
        <v>0.0625</v>
      </c>
      <c r="L2112" s="0" t="n">
        <f aca="false">D2112*F2112</f>
        <v>-0.125</v>
      </c>
      <c r="M2112" s="0" t="n">
        <f aca="false">E2112*F2112</f>
        <v>-0.5</v>
      </c>
      <c r="N2112" s="0" t="n">
        <f aca="false">D2112*D2112</f>
        <v>0.015625</v>
      </c>
      <c r="O2112" s="0" t="n">
        <f aca="false">E2112*E2112</f>
        <v>0.25</v>
      </c>
      <c r="P2112" s="0" t="n">
        <f aca="false">F2112*F2112</f>
        <v>1</v>
      </c>
      <c r="Q2112" s="0" t="n">
        <f aca="false">SUMPRODUCT(G2112:P2112,_XtX!$B$71:$K$71)</f>
        <v>46.5459232954546</v>
      </c>
      <c r="R2112" s="0" t="n">
        <f aca="false">SUMPRODUCT(MMULT(G2112:P2112,_XtX!$B$58:$K$67),G2112:P2112)</f>
        <v>0.476322798295455</v>
      </c>
      <c r="S2112" s="0" t="n">
        <f aca="false">04_回帰ANOVA!$K$19*04_回帰ANOVA!$K$14*SQRT(1+R2112)</f>
        <v>1.12968483630128</v>
      </c>
      <c r="T2112" s="0" t="n">
        <f aca="false">Q2112-S2112</f>
        <v>45.4162384591533</v>
      </c>
      <c r="U2112" s="0" t="n">
        <f aca="false">Q2112+S2112</f>
        <v>47.6756081317559</v>
      </c>
      <c r="V2112" s="54" t="b">
        <f aca="false">AND(D2112&gt;=01_因子設定!$L$5-0.000000001,D2112&lt;=01_因子設定!$M$5+0.000000001,E2112&gt;=01_因子設定!$L$6-0.000000001,E2112&lt;=01_因子設定!$M$6+0.000000001,F2112&gt;=01_因子設定!$L$7-0.000000001,F2112&lt;=01_因子設定!$M$7+0.000000001,IF(01_因子設定!$B$20="Box-Behnken",D2112^2+E2112^2+F2112^2&lt;=2+0.000000001,TRUE()))</f>
        <v>1</v>
      </c>
      <c r="W2112" s="55" t="n">
        <f aca="false">IF(V2112,IF(01_因子設定!$B$13="最大化",T2112-01_因子設定!$B$14,IF(01_因子設定!$B$13="最小化",01_因子設定!$B$15-U2112,MIN(T2112-01_因子設定!$B$14,01_因子設定!$B$15-U2112))),-1E+030)</f>
        <v>-3.08376154084671</v>
      </c>
      <c r="X2112" s="55" t="n">
        <f aca="false">IF(V2112,IF(01_因子設定!$B$13="最大化",Q2112,IF(01_因子設定!$B$13="最小化",-Q2112,-ABS(Q2112-01_因子設定!$B$16))),-1E+030)</f>
        <v>46.5459232954546</v>
      </c>
      <c r="Y2112" s="55" t="n">
        <f aca="false">W2112+ROW()*0.000000001</f>
        <v>-3.08375942884671</v>
      </c>
      <c r="Z2112" s="55" t="n">
        <f aca="false">X2112+ROW()*0.000000001</f>
        <v>46.5459254074546</v>
      </c>
    </row>
    <row r="2113" customFormat="false" ht="15" hidden="false" customHeight="false" outlineLevel="0" collapsed="false">
      <c r="A2113" s="0" t="n">
        <v>7</v>
      </c>
      <c r="B2113" s="0" t="n">
        <v>5</v>
      </c>
      <c r="C2113" s="0" t="n">
        <v>0</v>
      </c>
      <c r="D2113" s="0" t="n">
        <f aca="false">-1+A2113*0.125</f>
        <v>-0.125</v>
      </c>
      <c r="E2113" s="0" t="n">
        <f aca="false">-1+B2113*0.125</f>
        <v>-0.375</v>
      </c>
      <c r="F2113" s="0" t="n">
        <f aca="false">-1+C2113*0.125</f>
        <v>-1</v>
      </c>
      <c r="G2113" s="0" t="n">
        <f aca="false">1</f>
        <v>1</v>
      </c>
      <c r="H2113" s="0" t="n">
        <f aca="false">D2113</f>
        <v>-0.125</v>
      </c>
      <c r="I2113" s="0" t="n">
        <f aca="false">E2113</f>
        <v>-0.375</v>
      </c>
      <c r="J2113" s="0" t="n">
        <f aca="false">F2113</f>
        <v>-1</v>
      </c>
      <c r="K2113" s="0" t="n">
        <f aca="false">D2113*E2113</f>
        <v>0.046875</v>
      </c>
      <c r="L2113" s="0" t="n">
        <f aca="false">D2113*F2113</f>
        <v>0.125</v>
      </c>
      <c r="M2113" s="0" t="n">
        <f aca="false">E2113*F2113</f>
        <v>0.375</v>
      </c>
      <c r="N2113" s="0" t="n">
        <f aca="false">D2113*D2113</f>
        <v>0.015625</v>
      </c>
      <c r="O2113" s="0" t="n">
        <f aca="false">E2113*E2113</f>
        <v>0.140625</v>
      </c>
      <c r="P2113" s="0" t="n">
        <f aca="false">F2113*F2113</f>
        <v>1</v>
      </c>
      <c r="Q2113" s="0" t="n">
        <f aca="false">SUMPRODUCT(G2113:P2113,_XtX!$B$71:$K$71)</f>
        <v>44.603515625</v>
      </c>
      <c r="R2113" s="0" t="n">
        <f aca="false">SUMPRODUCT(MMULT(G2113:P2113,_XtX!$B$58:$K$67),G2113:P2113)</f>
        <v>0.476202392578125</v>
      </c>
      <c r="S2113" s="0" t="n">
        <f aca="false">04_回帰ANOVA!$K$19*04_回帰ANOVA!$K$14*SQRT(1+R2113)</f>
        <v>1.12963876802721</v>
      </c>
      <c r="T2113" s="0" t="n">
        <f aca="false">Q2113-S2113</f>
        <v>43.4738768569728</v>
      </c>
      <c r="U2113" s="0" t="n">
        <f aca="false">Q2113+S2113</f>
        <v>45.7331543930272</v>
      </c>
      <c r="V2113" s="54" t="b">
        <f aca="false">AND(D2113&gt;=01_因子設定!$L$5-0.000000001,D2113&lt;=01_因子設定!$M$5+0.000000001,E2113&gt;=01_因子設定!$L$6-0.000000001,E2113&lt;=01_因子設定!$M$6+0.000000001,F2113&gt;=01_因子設定!$L$7-0.000000001,F2113&lt;=01_因子設定!$M$7+0.000000001,IF(01_因子設定!$B$20="Box-Behnken",D2113^2+E2113^2+F2113^2&lt;=2+0.000000001,TRUE()))</f>
        <v>1</v>
      </c>
      <c r="W2113" s="55" t="n">
        <f aca="false">IF(V2113,IF(01_因子設定!$B$13="最大化",T2113-01_因子設定!$B$14,IF(01_因子設定!$B$13="最小化",01_因子設定!$B$15-U2113,MIN(T2113-01_因子設定!$B$14,01_因子設定!$B$15-U2113))),-1E+030)</f>
        <v>-5.02612314302718</v>
      </c>
      <c r="X2113" s="55" t="n">
        <f aca="false">IF(V2113,IF(01_因子設定!$B$13="最大化",Q2113,IF(01_因子設定!$B$13="最小化",-Q2113,-ABS(Q2113-01_因子設定!$B$16))),-1E+030)</f>
        <v>44.603515625</v>
      </c>
      <c r="Y2113" s="55" t="n">
        <f aca="false">W2113+ROW()*0.000000001</f>
        <v>-5.02612103002718</v>
      </c>
      <c r="Z2113" s="55" t="n">
        <f aca="false">X2113+ROW()*0.000000001</f>
        <v>44.603517738</v>
      </c>
    </row>
    <row r="2114" customFormat="false" ht="15" hidden="false" customHeight="false" outlineLevel="0" collapsed="false">
      <c r="A2114" s="0" t="n">
        <v>7</v>
      </c>
      <c r="B2114" s="0" t="n">
        <v>5</v>
      </c>
      <c r="C2114" s="0" t="n">
        <v>1</v>
      </c>
      <c r="D2114" s="0" t="n">
        <f aca="false">-1+A2114*0.125</f>
        <v>-0.125</v>
      </c>
      <c r="E2114" s="0" t="n">
        <f aca="false">-1+B2114*0.125</f>
        <v>-0.375</v>
      </c>
      <c r="F2114" s="0" t="n">
        <f aca="false">-1+C2114*0.125</f>
        <v>-0.875</v>
      </c>
      <c r="G2114" s="0" t="n">
        <f aca="false">1</f>
        <v>1</v>
      </c>
      <c r="H2114" s="0" t="n">
        <f aca="false">D2114</f>
        <v>-0.125</v>
      </c>
      <c r="I2114" s="0" t="n">
        <f aca="false">E2114</f>
        <v>-0.375</v>
      </c>
      <c r="J2114" s="0" t="n">
        <f aca="false">F2114</f>
        <v>-0.875</v>
      </c>
      <c r="K2114" s="0" t="n">
        <f aca="false">D2114*E2114</f>
        <v>0.046875</v>
      </c>
      <c r="L2114" s="0" t="n">
        <f aca="false">D2114*F2114</f>
        <v>0.109375</v>
      </c>
      <c r="M2114" s="0" t="n">
        <f aca="false">E2114*F2114</f>
        <v>0.328125</v>
      </c>
      <c r="N2114" s="0" t="n">
        <f aca="false">D2114*D2114</f>
        <v>0.015625</v>
      </c>
      <c r="O2114" s="0" t="n">
        <f aca="false">E2114*E2114</f>
        <v>0.140625</v>
      </c>
      <c r="P2114" s="0" t="n">
        <f aca="false">F2114*F2114</f>
        <v>0.765625</v>
      </c>
      <c r="Q2114" s="0" t="n">
        <f aca="false">SUMPRODUCT(G2114:P2114,_XtX!$B$71:$K$71)</f>
        <v>45.0331889204546</v>
      </c>
      <c r="R2114" s="0" t="n">
        <f aca="false">SUMPRODUCT(MMULT(G2114:P2114,_XtX!$B$58:$K$67),G2114:P2114)</f>
        <v>0.32900224165483</v>
      </c>
      <c r="S2114" s="0" t="n">
        <f aca="false">04_回帰ANOVA!$K$19*04_回帰ANOVA!$K$14*SQRT(1+R2114)</f>
        <v>1.07183884583628</v>
      </c>
      <c r="T2114" s="0" t="n">
        <f aca="false">Q2114-S2114</f>
        <v>43.9613500746183</v>
      </c>
      <c r="U2114" s="0" t="n">
        <f aca="false">Q2114+S2114</f>
        <v>46.1050277662908</v>
      </c>
      <c r="V2114" s="54" t="b">
        <f aca="false">AND(D2114&gt;=01_因子設定!$L$5-0.000000001,D2114&lt;=01_因子設定!$M$5+0.000000001,E2114&gt;=01_因子設定!$L$6-0.000000001,E2114&lt;=01_因子設定!$M$6+0.000000001,F2114&gt;=01_因子設定!$L$7-0.000000001,F2114&lt;=01_因子設定!$M$7+0.000000001,IF(01_因子設定!$B$20="Box-Behnken",D2114^2+E2114^2+F2114^2&lt;=2+0.000000001,TRUE()))</f>
        <v>1</v>
      </c>
      <c r="W2114" s="55" t="n">
        <f aca="false">IF(V2114,IF(01_因子設定!$B$13="最大化",T2114-01_因子設定!$B$14,IF(01_因子設定!$B$13="最小化",01_因子設定!$B$15-U2114,MIN(T2114-01_因子設定!$B$14,01_因子設定!$B$15-U2114))),-1E+030)</f>
        <v>-4.53864992538171</v>
      </c>
      <c r="X2114" s="55" t="n">
        <f aca="false">IF(V2114,IF(01_因子設定!$B$13="最大化",Q2114,IF(01_因子設定!$B$13="最小化",-Q2114,-ABS(Q2114-01_因子設定!$B$16))),-1E+030)</f>
        <v>45.0331889204546</v>
      </c>
      <c r="Y2114" s="55" t="n">
        <f aca="false">W2114+ROW()*0.000000001</f>
        <v>-4.53864781138171</v>
      </c>
      <c r="Z2114" s="55" t="n">
        <f aca="false">X2114+ROW()*0.000000001</f>
        <v>45.0331910344546</v>
      </c>
    </row>
    <row r="2115" customFormat="false" ht="15" hidden="false" customHeight="false" outlineLevel="0" collapsed="false">
      <c r="A2115" s="0" t="n">
        <v>7</v>
      </c>
      <c r="B2115" s="0" t="n">
        <v>5</v>
      </c>
      <c r="C2115" s="0" t="n">
        <v>2</v>
      </c>
      <c r="D2115" s="0" t="n">
        <f aca="false">-1+A2115*0.125</f>
        <v>-0.125</v>
      </c>
      <c r="E2115" s="0" t="n">
        <f aca="false">-1+B2115*0.125</f>
        <v>-0.375</v>
      </c>
      <c r="F2115" s="0" t="n">
        <f aca="false">-1+C2115*0.125</f>
        <v>-0.75</v>
      </c>
      <c r="G2115" s="0" t="n">
        <f aca="false">1</f>
        <v>1</v>
      </c>
      <c r="H2115" s="0" t="n">
        <f aca="false">D2115</f>
        <v>-0.125</v>
      </c>
      <c r="I2115" s="0" t="n">
        <f aca="false">E2115</f>
        <v>-0.375</v>
      </c>
      <c r="J2115" s="0" t="n">
        <f aca="false">F2115</f>
        <v>-0.75</v>
      </c>
      <c r="K2115" s="0" t="n">
        <f aca="false">D2115*E2115</f>
        <v>0.046875</v>
      </c>
      <c r="L2115" s="0" t="n">
        <f aca="false">D2115*F2115</f>
        <v>0.09375</v>
      </c>
      <c r="M2115" s="0" t="n">
        <f aca="false">E2115*F2115</f>
        <v>0.28125</v>
      </c>
      <c r="N2115" s="0" t="n">
        <f aca="false">D2115*D2115</f>
        <v>0.015625</v>
      </c>
      <c r="O2115" s="0" t="n">
        <f aca="false">E2115*E2115</f>
        <v>0.140625</v>
      </c>
      <c r="P2115" s="0" t="n">
        <f aca="false">F2115*F2115</f>
        <v>0.5625</v>
      </c>
      <c r="Q2115" s="0" t="n">
        <f aca="false">SUMPRODUCT(G2115:P2115,_XtX!$B$71:$K$71)</f>
        <v>45.4260724431818</v>
      </c>
      <c r="R2115" s="0" t="n">
        <f aca="false">SUMPRODUCT(MMULT(G2115:P2115,_XtX!$B$58:$K$67),G2115:P2115)</f>
        <v>0.233744118430398</v>
      </c>
      <c r="S2115" s="0" t="n">
        <f aca="false">04_回帰ANOVA!$K$19*04_回帰ANOVA!$K$14*SQRT(1+R2115)</f>
        <v>1.0327119053564</v>
      </c>
      <c r="T2115" s="0" t="n">
        <f aca="false">Q2115-S2115</f>
        <v>44.3933605378254</v>
      </c>
      <c r="U2115" s="0" t="n">
        <f aca="false">Q2115+S2115</f>
        <v>46.4587843485382</v>
      </c>
      <c r="V2115" s="54" t="b">
        <f aca="false">AND(D2115&gt;=01_因子設定!$L$5-0.000000001,D2115&lt;=01_因子設定!$M$5+0.000000001,E2115&gt;=01_因子設定!$L$6-0.000000001,E2115&lt;=01_因子設定!$M$6+0.000000001,F2115&gt;=01_因子設定!$L$7-0.000000001,F2115&lt;=01_因子設定!$M$7+0.000000001,IF(01_因子設定!$B$20="Box-Behnken",D2115^2+E2115^2+F2115^2&lt;=2+0.000000001,TRUE()))</f>
        <v>1</v>
      </c>
      <c r="W2115" s="55" t="n">
        <f aca="false">IF(V2115,IF(01_因子設定!$B$13="最大化",T2115-01_因子設定!$B$14,IF(01_因子設定!$B$13="最小化",01_因子設定!$B$15-U2115,MIN(T2115-01_因子設定!$B$14,01_因子設定!$B$15-U2115))),-1E+030)</f>
        <v>-4.10663946217456</v>
      </c>
      <c r="X2115" s="55" t="n">
        <f aca="false">IF(V2115,IF(01_因子設定!$B$13="最大化",Q2115,IF(01_因子設定!$B$13="最小化",-Q2115,-ABS(Q2115-01_因子設定!$B$16))),-1E+030)</f>
        <v>45.4260724431818</v>
      </c>
      <c r="Y2115" s="55" t="n">
        <f aca="false">W2115+ROW()*0.000000001</f>
        <v>-4.10663734717456</v>
      </c>
      <c r="Z2115" s="55" t="n">
        <f aca="false">X2115+ROW()*0.000000001</f>
        <v>45.4260745581818</v>
      </c>
    </row>
    <row r="2116" customFormat="false" ht="15" hidden="false" customHeight="false" outlineLevel="0" collapsed="false">
      <c r="A2116" s="0" t="n">
        <v>7</v>
      </c>
      <c r="B2116" s="0" t="n">
        <v>5</v>
      </c>
      <c r="C2116" s="0" t="n">
        <v>3</v>
      </c>
      <c r="D2116" s="0" t="n">
        <f aca="false">-1+A2116*0.125</f>
        <v>-0.125</v>
      </c>
      <c r="E2116" s="0" t="n">
        <f aca="false">-1+B2116*0.125</f>
        <v>-0.375</v>
      </c>
      <c r="F2116" s="0" t="n">
        <f aca="false">-1+C2116*0.125</f>
        <v>-0.625</v>
      </c>
      <c r="G2116" s="0" t="n">
        <f aca="false">1</f>
        <v>1</v>
      </c>
      <c r="H2116" s="0" t="n">
        <f aca="false">D2116</f>
        <v>-0.125</v>
      </c>
      <c r="I2116" s="0" t="n">
        <f aca="false">E2116</f>
        <v>-0.375</v>
      </c>
      <c r="J2116" s="0" t="n">
        <f aca="false">F2116</f>
        <v>-0.625</v>
      </c>
      <c r="K2116" s="0" t="n">
        <f aca="false">D2116*E2116</f>
        <v>0.046875</v>
      </c>
      <c r="L2116" s="0" t="n">
        <f aca="false">D2116*F2116</f>
        <v>0.078125</v>
      </c>
      <c r="M2116" s="0" t="n">
        <f aca="false">E2116*F2116</f>
        <v>0.234375</v>
      </c>
      <c r="N2116" s="0" t="n">
        <f aca="false">D2116*D2116</f>
        <v>0.015625</v>
      </c>
      <c r="O2116" s="0" t="n">
        <f aca="false">E2116*E2116</f>
        <v>0.140625</v>
      </c>
      <c r="P2116" s="0" t="n">
        <f aca="false">F2116*F2116</f>
        <v>0.390625</v>
      </c>
      <c r="Q2116" s="0" t="n">
        <f aca="false">SUMPRODUCT(G2116:P2116,_XtX!$B$71:$K$71)</f>
        <v>45.7821661931818</v>
      </c>
      <c r="R2116" s="0" t="n">
        <f aca="false">SUMPRODUCT(MMULT(G2116:P2116,_XtX!$B$58:$K$67),G2116:P2116)</f>
        <v>0.176578591086648</v>
      </c>
      <c r="S2116" s="0" t="n">
        <f aca="false">04_回帰ANOVA!$K$19*04_回帰ANOVA!$K$14*SQRT(1+R2116)</f>
        <v>1.00850279676269</v>
      </c>
      <c r="T2116" s="0" t="n">
        <f aca="false">Q2116-S2116</f>
        <v>44.7736633964191</v>
      </c>
      <c r="U2116" s="0" t="n">
        <f aca="false">Q2116+S2116</f>
        <v>46.7906689899445</v>
      </c>
      <c r="V2116" s="54" t="b">
        <f aca="false">AND(D2116&gt;=01_因子設定!$L$5-0.000000001,D2116&lt;=01_因子設定!$M$5+0.000000001,E2116&gt;=01_因子設定!$L$6-0.000000001,E2116&lt;=01_因子設定!$M$6+0.000000001,F2116&gt;=01_因子設定!$L$7-0.000000001,F2116&lt;=01_因子設定!$M$7+0.000000001,IF(01_因子設定!$B$20="Box-Behnken",D2116^2+E2116^2+F2116^2&lt;=2+0.000000001,TRUE()))</f>
        <v>1</v>
      </c>
      <c r="W2116" s="55" t="n">
        <f aca="false">IF(V2116,IF(01_因子設定!$B$13="最大化",T2116-01_因子設定!$B$14,IF(01_因子設定!$B$13="最小化",01_因子設定!$B$15-U2116,MIN(T2116-01_因子設定!$B$14,01_因子設定!$B$15-U2116))),-1E+030)</f>
        <v>-3.72633660358085</v>
      </c>
      <c r="X2116" s="55" t="n">
        <f aca="false">IF(V2116,IF(01_因子設定!$B$13="最大化",Q2116,IF(01_因子設定!$B$13="最小化",-Q2116,-ABS(Q2116-01_因子設定!$B$16))),-1E+030)</f>
        <v>45.7821661931818</v>
      </c>
      <c r="Y2116" s="55" t="n">
        <f aca="false">W2116+ROW()*0.000000001</f>
        <v>-3.72633448758085</v>
      </c>
      <c r="Z2116" s="55" t="n">
        <f aca="false">X2116+ROW()*0.000000001</f>
        <v>45.7821683091818</v>
      </c>
    </row>
    <row r="2117" customFormat="false" ht="15" hidden="false" customHeight="false" outlineLevel="0" collapsed="false">
      <c r="A2117" s="0" t="n">
        <v>7</v>
      </c>
      <c r="B2117" s="0" t="n">
        <v>5</v>
      </c>
      <c r="C2117" s="0" t="n">
        <v>4</v>
      </c>
      <c r="D2117" s="0" t="n">
        <f aca="false">-1+A2117*0.125</f>
        <v>-0.125</v>
      </c>
      <c r="E2117" s="0" t="n">
        <f aca="false">-1+B2117*0.125</f>
        <v>-0.375</v>
      </c>
      <c r="F2117" s="0" t="n">
        <f aca="false">-1+C2117*0.125</f>
        <v>-0.5</v>
      </c>
      <c r="G2117" s="0" t="n">
        <f aca="false">1</f>
        <v>1</v>
      </c>
      <c r="H2117" s="0" t="n">
        <f aca="false">D2117</f>
        <v>-0.125</v>
      </c>
      <c r="I2117" s="0" t="n">
        <f aca="false">E2117</f>
        <v>-0.375</v>
      </c>
      <c r="J2117" s="0" t="n">
        <f aca="false">F2117</f>
        <v>-0.5</v>
      </c>
      <c r="K2117" s="0" t="n">
        <f aca="false">D2117*E2117</f>
        <v>0.046875</v>
      </c>
      <c r="L2117" s="0" t="n">
        <f aca="false">D2117*F2117</f>
        <v>0.0625</v>
      </c>
      <c r="M2117" s="0" t="n">
        <f aca="false">E2117*F2117</f>
        <v>0.1875</v>
      </c>
      <c r="N2117" s="0" t="n">
        <f aca="false">D2117*D2117</f>
        <v>0.015625</v>
      </c>
      <c r="O2117" s="0" t="n">
        <f aca="false">E2117*E2117</f>
        <v>0.140625</v>
      </c>
      <c r="P2117" s="0" t="n">
        <f aca="false">F2117*F2117</f>
        <v>0.25</v>
      </c>
      <c r="Q2117" s="0" t="n">
        <f aca="false">SUMPRODUCT(G2117:P2117,_XtX!$B$71:$K$71)</f>
        <v>46.1014701704546</v>
      </c>
      <c r="R2117" s="0" t="n">
        <f aca="false">SUMPRODUCT(MMULT(G2117:P2117,_XtX!$B$58:$K$67),G2117:P2117)</f>
        <v>0.14578690962358</v>
      </c>
      <c r="S2117" s="0" t="n">
        <f aca="false">04_回帰ANOVA!$K$19*04_回帰ANOVA!$K$14*SQRT(1+R2117)</f>
        <v>0.995218783457917</v>
      </c>
      <c r="T2117" s="0" t="n">
        <f aca="false">Q2117-S2117</f>
        <v>45.1062513869967</v>
      </c>
      <c r="U2117" s="0" t="n">
        <f aca="false">Q2117+S2117</f>
        <v>47.0966889539125</v>
      </c>
      <c r="V2117" s="54" t="b">
        <f aca="false">AND(D2117&gt;=01_因子設定!$L$5-0.000000001,D2117&lt;=01_因子設定!$M$5+0.000000001,E2117&gt;=01_因子設定!$L$6-0.000000001,E2117&lt;=01_因子設定!$M$6+0.000000001,F2117&gt;=01_因子設定!$L$7-0.000000001,F2117&lt;=01_因子設定!$M$7+0.000000001,IF(01_因子設定!$B$20="Box-Behnken",D2117^2+E2117^2+F2117^2&lt;=2+0.000000001,TRUE()))</f>
        <v>1</v>
      </c>
      <c r="W2117" s="55" t="n">
        <f aca="false">IF(V2117,IF(01_因子設定!$B$13="最大化",T2117-01_因子設定!$B$14,IF(01_因子設定!$B$13="最小化",01_因子設定!$B$15-U2117,MIN(T2117-01_因子設定!$B$14,01_因子設定!$B$15-U2117))),-1E+030)</f>
        <v>-3.39374861300335</v>
      </c>
      <c r="X2117" s="55" t="n">
        <f aca="false">IF(V2117,IF(01_因子設定!$B$13="最大化",Q2117,IF(01_因子設定!$B$13="最小化",-Q2117,-ABS(Q2117-01_因子設定!$B$16))),-1E+030)</f>
        <v>46.1014701704546</v>
      </c>
      <c r="Y2117" s="55" t="n">
        <f aca="false">W2117+ROW()*0.000000001</f>
        <v>-3.39374649600335</v>
      </c>
      <c r="Z2117" s="55" t="n">
        <f aca="false">X2117+ROW()*0.000000001</f>
        <v>46.1014722874546</v>
      </c>
    </row>
    <row r="2118" customFormat="false" ht="15" hidden="false" customHeight="false" outlineLevel="0" collapsed="false">
      <c r="A2118" s="0" t="n">
        <v>7</v>
      </c>
      <c r="B2118" s="0" t="n">
        <v>5</v>
      </c>
      <c r="C2118" s="0" t="n">
        <v>5</v>
      </c>
      <c r="D2118" s="0" t="n">
        <f aca="false">-1+A2118*0.125</f>
        <v>-0.125</v>
      </c>
      <c r="E2118" s="0" t="n">
        <f aca="false">-1+B2118*0.125</f>
        <v>-0.375</v>
      </c>
      <c r="F2118" s="0" t="n">
        <f aca="false">-1+C2118*0.125</f>
        <v>-0.375</v>
      </c>
      <c r="G2118" s="0" t="n">
        <f aca="false">1</f>
        <v>1</v>
      </c>
      <c r="H2118" s="0" t="n">
        <f aca="false">D2118</f>
        <v>-0.125</v>
      </c>
      <c r="I2118" s="0" t="n">
        <f aca="false">E2118</f>
        <v>-0.375</v>
      </c>
      <c r="J2118" s="0" t="n">
        <f aca="false">F2118</f>
        <v>-0.375</v>
      </c>
      <c r="K2118" s="0" t="n">
        <f aca="false">D2118*E2118</f>
        <v>0.046875</v>
      </c>
      <c r="L2118" s="0" t="n">
        <f aca="false">D2118*F2118</f>
        <v>0.046875</v>
      </c>
      <c r="M2118" s="0" t="n">
        <f aca="false">E2118*F2118</f>
        <v>0.140625</v>
      </c>
      <c r="N2118" s="0" t="n">
        <f aca="false">D2118*D2118</f>
        <v>0.015625</v>
      </c>
      <c r="O2118" s="0" t="n">
        <f aca="false">E2118*E2118</f>
        <v>0.140625</v>
      </c>
      <c r="P2118" s="0" t="n">
        <f aca="false">F2118*F2118</f>
        <v>0.140625</v>
      </c>
      <c r="Q2118" s="0" t="n">
        <f aca="false">SUMPRODUCT(G2118:P2118,_XtX!$B$71:$K$71)</f>
        <v>46.383984375</v>
      </c>
      <c r="R2118" s="0" t="n">
        <f aca="false">SUMPRODUCT(MMULT(G2118:P2118,_XtX!$B$58:$K$67),G2118:P2118)</f>
        <v>0.131781005859375</v>
      </c>
      <c r="S2118" s="0" t="n">
        <f aca="false">04_回帰ANOVA!$K$19*04_回帰ANOVA!$K$14*SQRT(1+R2118)</f>
        <v>0.989117388188007</v>
      </c>
      <c r="T2118" s="0" t="n">
        <f aca="false">Q2118-S2118</f>
        <v>45.394866986812</v>
      </c>
      <c r="U2118" s="0" t="n">
        <f aca="false">Q2118+S2118</f>
        <v>47.373101763188</v>
      </c>
      <c r="V2118" s="54" t="b">
        <f aca="false">AND(D2118&gt;=01_因子設定!$L$5-0.000000001,D2118&lt;=01_因子設定!$M$5+0.000000001,E2118&gt;=01_因子設定!$L$6-0.000000001,E2118&lt;=01_因子設定!$M$6+0.000000001,F2118&gt;=01_因子設定!$L$7-0.000000001,F2118&lt;=01_因子設定!$M$7+0.000000001,IF(01_因子設定!$B$20="Box-Behnken",D2118^2+E2118^2+F2118^2&lt;=2+0.000000001,TRUE()))</f>
        <v>1</v>
      </c>
      <c r="W2118" s="55" t="n">
        <f aca="false">IF(V2118,IF(01_因子設定!$B$13="最大化",T2118-01_因子設定!$B$14,IF(01_因子設定!$B$13="最小化",01_因子設定!$B$15-U2118,MIN(T2118-01_因子設定!$B$14,01_因子設定!$B$15-U2118))),-1E+030)</f>
        <v>-3.105133013188</v>
      </c>
      <c r="X2118" s="55" t="n">
        <f aca="false">IF(V2118,IF(01_因子設定!$B$13="最大化",Q2118,IF(01_因子設定!$B$13="最小化",-Q2118,-ABS(Q2118-01_因子設定!$B$16))),-1E+030)</f>
        <v>46.383984375</v>
      </c>
      <c r="Y2118" s="55" t="n">
        <f aca="false">W2118+ROW()*0.000000001</f>
        <v>-3.105130895188</v>
      </c>
      <c r="Z2118" s="55" t="n">
        <f aca="false">X2118+ROW()*0.000000001</f>
        <v>46.383986493</v>
      </c>
    </row>
    <row r="2119" customFormat="false" ht="15" hidden="false" customHeight="false" outlineLevel="0" collapsed="false">
      <c r="A2119" s="0" t="n">
        <v>7</v>
      </c>
      <c r="B2119" s="0" t="n">
        <v>5</v>
      </c>
      <c r="C2119" s="0" t="n">
        <v>6</v>
      </c>
      <c r="D2119" s="0" t="n">
        <f aca="false">-1+A2119*0.125</f>
        <v>-0.125</v>
      </c>
      <c r="E2119" s="0" t="n">
        <f aca="false">-1+B2119*0.125</f>
        <v>-0.375</v>
      </c>
      <c r="F2119" s="0" t="n">
        <f aca="false">-1+C2119*0.125</f>
        <v>-0.25</v>
      </c>
      <c r="G2119" s="0" t="n">
        <f aca="false">1</f>
        <v>1</v>
      </c>
      <c r="H2119" s="0" t="n">
        <f aca="false">D2119</f>
        <v>-0.125</v>
      </c>
      <c r="I2119" s="0" t="n">
        <f aca="false">E2119</f>
        <v>-0.375</v>
      </c>
      <c r="J2119" s="0" t="n">
        <f aca="false">F2119</f>
        <v>-0.25</v>
      </c>
      <c r="K2119" s="0" t="n">
        <f aca="false">D2119*E2119</f>
        <v>0.046875</v>
      </c>
      <c r="L2119" s="0" t="n">
        <f aca="false">D2119*F2119</f>
        <v>0.03125</v>
      </c>
      <c r="M2119" s="0" t="n">
        <f aca="false">E2119*F2119</f>
        <v>0.09375</v>
      </c>
      <c r="N2119" s="0" t="n">
        <f aca="false">D2119*D2119</f>
        <v>0.015625</v>
      </c>
      <c r="O2119" s="0" t="n">
        <f aca="false">E2119*E2119</f>
        <v>0.140625</v>
      </c>
      <c r="P2119" s="0" t="n">
        <f aca="false">F2119*F2119</f>
        <v>0.0625</v>
      </c>
      <c r="Q2119" s="0" t="n">
        <f aca="false">SUMPRODUCT(G2119:P2119,_XtX!$B$71:$K$71)</f>
        <v>46.6297088068182</v>
      </c>
      <c r="R2119" s="0" t="n">
        <f aca="false">SUMPRODUCT(MMULT(G2119:P2119,_XtX!$B$58:$K$67),G2119:P2119)</f>
        <v>0.127103493430398</v>
      </c>
      <c r="S2119" s="0" t="n">
        <f aca="false">04_回帰ANOVA!$K$19*04_回帰ANOVA!$K$14*SQRT(1+R2119)</f>
        <v>0.987071321387587</v>
      </c>
      <c r="T2119" s="0" t="n">
        <f aca="false">Q2119-S2119</f>
        <v>45.6426374854306</v>
      </c>
      <c r="U2119" s="0" t="n">
        <f aca="false">Q2119+S2119</f>
        <v>47.6167801282058</v>
      </c>
      <c r="V2119" s="54" t="b">
        <f aca="false">AND(D2119&gt;=01_因子設定!$L$5-0.000000001,D2119&lt;=01_因子設定!$M$5+0.000000001,E2119&gt;=01_因子設定!$L$6-0.000000001,E2119&lt;=01_因子設定!$M$6+0.000000001,F2119&gt;=01_因子設定!$L$7-0.000000001,F2119&lt;=01_因子設定!$M$7+0.000000001,IF(01_因子設定!$B$20="Box-Behnken",D2119^2+E2119^2+F2119^2&lt;=2+0.000000001,TRUE()))</f>
        <v>1</v>
      </c>
      <c r="W2119" s="55" t="n">
        <f aca="false">IF(V2119,IF(01_因子設定!$B$13="最大化",T2119-01_因子設定!$B$14,IF(01_因子設定!$B$13="最小化",01_因子設定!$B$15-U2119,MIN(T2119-01_因子設定!$B$14,01_因子設定!$B$15-U2119))),-1E+030)</f>
        <v>-2.8573625145694</v>
      </c>
      <c r="X2119" s="55" t="n">
        <f aca="false">IF(V2119,IF(01_因子設定!$B$13="最大化",Q2119,IF(01_因子設定!$B$13="最小化",-Q2119,-ABS(Q2119-01_因子設定!$B$16))),-1E+030)</f>
        <v>46.6297088068182</v>
      </c>
      <c r="Y2119" s="55" t="n">
        <f aca="false">W2119+ROW()*0.000000001</f>
        <v>-2.8573603955694</v>
      </c>
      <c r="Z2119" s="55" t="n">
        <f aca="false">X2119+ROW()*0.000000001</f>
        <v>46.6297109258182</v>
      </c>
    </row>
    <row r="2120" customFormat="false" ht="15" hidden="false" customHeight="false" outlineLevel="0" collapsed="false">
      <c r="A2120" s="0" t="n">
        <v>7</v>
      </c>
      <c r="B2120" s="0" t="n">
        <v>5</v>
      </c>
      <c r="C2120" s="0" t="n">
        <v>7</v>
      </c>
      <c r="D2120" s="0" t="n">
        <f aca="false">-1+A2120*0.125</f>
        <v>-0.125</v>
      </c>
      <c r="E2120" s="0" t="n">
        <f aca="false">-1+B2120*0.125</f>
        <v>-0.375</v>
      </c>
      <c r="F2120" s="0" t="n">
        <f aca="false">-1+C2120*0.125</f>
        <v>-0.125</v>
      </c>
      <c r="G2120" s="0" t="n">
        <f aca="false">1</f>
        <v>1</v>
      </c>
      <c r="H2120" s="0" t="n">
        <f aca="false">D2120</f>
        <v>-0.125</v>
      </c>
      <c r="I2120" s="0" t="n">
        <f aca="false">E2120</f>
        <v>-0.375</v>
      </c>
      <c r="J2120" s="0" t="n">
        <f aca="false">F2120</f>
        <v>-0.125</v>
      </c>
      <c r="K2120" s="0" t="n">
        <f aca="false">D2120*E2120</f>
        <v>0.046875</v>
      </c>
      <c r="L2120" s="0" t="n">
        <f aca="false">D2120*F2120</f>
        <v>0.015625</v>
      </c>
      <c r="M2120" s="0" t="n">
        <f aca="false">E2120*F2120</f>
        <v>0.046875</v>
      </c>
      <c r="N2120" s="0" t="n">
        <f aca="false">D2120*D2120</f>
        <v>0.015625</v>
      </c>
      <c r="O2120" s="0" t="n">
        <f aca="false">E2120*E2120</f>
        <v>0.140625</v>
      </c>
      <c r="P2120" s="0" t="n">
        <f aca="false">F2120*F2120</f>
        <v>0.015625</v>
      </c>
      <c r="Q2120" s="0" t="n">
        <f aca="false">SUMPRODUCT(G2120:P2120,_XtX!$B$71:$K$71)</f>
        <v>46.8386434659091</v>
      </c>
      <c r="R2120" s="0" t="n">
        <f aca="false">SUMPRODUCT(MMULT(G2120:P2120,_XtX!$B$58:$K$67),G2120:P2120)</f>
        <v>0.126427667791193</v>
      </c>
      <c r="S2120" s="0" t="n">
        <f aca="false">04_回帰ANOVA!$K$19*04_回帰ANOVA!$K$14*SQRT(1+R2120)</f>
        <v>0.986775346732538</v>
      </c>
      <c r="T2120" s="0" t="n">
        <f aca="false">Q2120-S2120</f>
        <v>45.8518681191766</v>
      </c>
      <c r="U2120" s="0" t="n">
        <f aca="false">Q2120+S2120</f>
        <v>47.8254188126416</v>
      </c>
      <c r="V2120" s="54" t="b">
        <f aca="false">AND(D2120&gt;=01_因子設定!$L$5-0.000000001,D2120&lt;=01_因子設定!$M$5+0.000000001,E2120&gt;=01_因子設定!$L$6-0.000000001,E2120&lt;=01_因子設定!$M$6+0.000000001,F2120&gt;=01_因子設定!$L$7-0.000000001,F2120&lt;=01_因子設定!$M$7+0.000000001,IF(01_因子設定!$B$20="Box-Behnken",D2120^2+E2120^2+F2120^2&lt;=2+0.000000001,TRUE()))</f>
        <v>1</v>
      </c>
      <c r="W2120" s="55" t="n">
        <f aca="false">IF(V2120,IF(01_因子設定!$B$13="最大化",T2120-01_因子設定!$B$14,IF(01_因子設定!$B$13="最小化",01_因子設定!$B$15-U2120,MIN(T2120-01_因子設定!$B$14,01_因子設定!$B$15-U2120))),-1E+030)</f>
        <v>-2.64813188082344</v>
      </c>
      <c r="X2120" s="55" t="n">
        <f aca="false">IF(V2120,IF(01_因子設定!$B$13="最大化",Q2120,IF(01_因子設定!$B$13="最小化",-Q2120,-ABS(Q2120-01_因子設定!$B$16))),-1E+030)</f>
        <v>46.8386434659091</v>
      </c>
      <c r="Y2120" s="55" t="n">
        <f aca="false">W2120+ROW()*0.000000001</f>
        <v>-2.64812976082344</v>
      </c>
      <c r="Z2120" s="55" t="n">
        <f aca="false">X2120+ROW()*0.000000001</f>
        <v>46.8386455859091</v>
      </c>
    </row>
    <row r="2121" customFormat="false" ht="15" hidden="false" customHeight="false" outlineLevel="0" collapsed="false">
      <c r="A2121" s="0" t="n">
        <v>7</v>
      </c>
      <c r="B2121" s="0" t="n">
        <v>5</v>
      </c>
      <c r="C2121" s="0" t="n">
        <v>8</v>
      </c>
      <c r="D2121" s="0" t="n">
        <f aca="false">-1+A2121*0.125</f>
        <v>-0.125</v>
      </c>
      <c r="E2121" s="0" t="n">
        <f aca="false">-1+B2121*0.125</f>
        <v>-0.375</v>
      </c>
      <c r="F2121" s="0" t="n">
        <f aca="false">-1+C2121*0.125</f>
        <v>0</v>
      </c>
      <c r="G2121" s="0" t="n">
        <f aca="false">1</f>
        <v>1</v>
      </c>
      <c r="H2121" s="0" t="n">
        <f aca="false">D2121</f>
        <v>-0.125</v>
      </c>
      <c r="I2121" s="0" t="n">
        <f aca="false">E2121</f>
        <v>-0.375</v>
      </c>
      <c r="J2121" s="0" t="n">
        <f aca="false">F2121</f>
        <v>0</v>
      </c>
      <c r="K2121" s="0" t="n">
        <f aca="false">D2121*E2121</f>
        <v>0.046875</v>
      </c>
      <c r="L2121" s="0" t="n">
        <f aca="false">D2121*F2121</f>
        <v>-0</v>
      </c>
      <c r="M2121" s="0" t="n">
        <f aca="false">E2121*F2121</f>
        <v>-0</v>
      </c>
      <c r="N2121" s="0" t="n">
        <f aca="false">D2121*D2121</f>
        <v>0.015625</v>
      </c>
      <c r="O2121" s="0" t="n">
        <f aca="false">E2121*E2121</f>
        <v>0.140625</v>
      </c>
      <c r="P2121" s="0" t="n">
        <f aca="false">F2121*F2121</f>
        <v>0</v>
      </c>
      <c r="Q2121" s="0" t="n">
        <f aca="false">SUMPRODUCT(G2121:P2121,_XtX!$B$71:$K$71)</f>
        <v>47.0107883522727</v>
      </c>
      <c r="R2121" s="0" t="n">
        <f aca="false">SUMPRODUCT(MMULT(G2121:P2121,_XtX!$B$58:$K$67),G2121:P2121)</f>
        <v>0.126557506214489</v>
      </c>
      <c r="S2121" s="0" t="n">
        <f aca="false">04_回帰ANOVA!$K$19*04_回帰ANOVA!$K$14*SQRT(1+R2121)</f>
        <v>0.986832215747321</v>
      </c>
      <c r="T2121" s="0" t="n">
        <f aca="false">Q2121-S2121</f>
        <v>46.0239561365254</v>
      </c>
      <c r="U2121" s="0" t="n">
        <f aca="false">Q2121+S2121</f>
        <v>47.9976205680201</v>
      </c>
      <c r="V2121" s="54" t="b">
        <f aca="false">AND(D2121&gt;=01_因子設定!$L$5-0.000000001,D2121&lt;=01_因子設定!$M$5+0.000000001,E2121&gt;=01_因子設定!$L$6-0.000000001,E2121&lt;=01_因子設定!$M$6+0.000000001,F2121&gt;=01_因子設定!$L$7-0.000000001,F2121&lt;=01_因子設定!$M$7+0.000000001,IF(01_因子設定!$B$20="Box-Behnken",D2121^2+E2121^2+F2121^2&lt;=2+0.000000001,TRUE()))</f>
        <v>1</v>
      </c>
      <c r="W2121" s="55" t="n">
        <f aca="false">IF(V2121,IF(01_因子設定!$B$13="最大化",T2121-01_因子設定!$B$14,IF(01_因子設定!$B$13="最小化",01_因子設定!$B$15-U2121,MIN(T2121-01_因子設定!$B$14,01_因子設定!$B$15-U2121))),-1E+030)</f>
        <v>-2.47604386347459</v>
      </c>
      <c r="X2121" s="55" t="n">
        <f aca="false">IF(V2121,IF(01_因子設定!$B$13="最大化",Q2121,IF(01_因子設定!$B$13="最小化",-Q2121,-ABS(Q2121-01_因子設定!$B$16))),-1E+030)</f>
        <v>47.0107883522727</v>
      </c>
      <c r="Y2121" s="55" t="n">
        <f aca="false">W2121+ROW()*0.000000001</f>
        <v>-2.47604174247459</v>
      </c>
      <c r="Z2121" s="55" t="n">
        <f aca="false">X2121+ROW()*0.000000001</f>
        <v>47.0107904732727</v>
      </c>
    </row>
    <row r="2122" customFormat="false" ht="15" hidden="false" customHeight="false" outlineLevel="0" collapsed="false">
      <c r="A2122" s="0" t="n">
        <v>7</v>
      </c>
      <c r="B2122" s="0" t="n">
        <v>5</v>
      </c>
      <c r="C2122" s="0" t="n">
        <v>9</v>
      </c>
      <c r="D2122" s="0" t="n">
        <f aca="false">-1+A2122*0.125</f>
        <v>-0.125</v>
      </c>
      <c r="E2122" s="0" t="n">
        <f aca="false">-1+B2122*0.125</f>
        <v>-0.375</v>
      </c>
      <c r="F2122" s="0" t="n">
        <f aca="false">-1+C2122*0.125</f>
        <v>0.125</v>
      </c>
      <c r="G2122" s="0" t="n">
        <f aca="false">1</f>
        <v>1</v>
      </c>
      <c r="H2122" s="0" t="n">
        <f aca="false">D2122</f>
        <v>-0.125</v>
      </c>
      <c r="I2122" s="0" t="n">
        <f aca="false">E2122</f>
        <v>-0.375</v>
      </c>
      <c r="J2122" s="0" t="n">
        <f aca="false">F2122</f>
        <v>0.125</v>
      </c>
      <c r="K2122" s="0" t="n">
        <f aca="false">D2122*E2122</f>
        <v>0.046875</v>
      </c>
      <c r="L2122" s="0" t="n">
        <f aca="false">D2122*F2122</f>
        <v>-0.015625</v>
      </c>
      <c r="M2122" s="0" t="n">
        <f aca="false">E2122*F2122</f>
        <v>-0.046875</v>
      </c>
      <c r="N2122" s="0" t="n">
        <f aca="false">D2122*D2122</f>
        <v>0.015625</v>
      </c>
      <c r="O2122" s="0" t="n">
        <f aca="false">E2122*E2122</f>
        <v>0.140625</v>
      </c>
      <c r="P2122" s="0" t="n">
        <f aca="false">F2122*F2122</f>
        <v>0.015625</v>
      </c>
      <c r="Q2122" s="0" t="n">
        <f aca="false">SUMPRODUCT(G2122:P2122,_XtX!$B$71:$K$71)</f>
        <v>47.1461434659091</v>
      </c>
      <c r="R2122" s="0" t="n">
        <f aca="false">SUMPRODUCT(MMULT(G2122:P2122,_XtX!$B$58:$K$67),G2122:P2122)</f>
        <v>0.126427667791193</v>
      </c>
      <c r="S2122" s="0" t="n">
        <f aca="false">04_回帰ANOVA!$K$19*04_回帰ANOVA!$K$14*SQRT(1+R2122)</f>
        <v>0.986775346732538</v>
      </c>
      <c r="T2122" s="0" t="n">
        <f aca="false">Q2122-S2122</f>
        <v>46.1593681191766</v>
      </c>
      <c r="U2122" s="0" t="n">
        <f aca="false">Q2122+S2122</f>
        <v>48.1329188126416</v>
      </c>
      <c r="V2122" s="54" t="b">
        <f aca="false">AND(D2122&gt;=01_因子設定!$L$5-0.000000001,D2122&lt;=01_因子設定!$M$5+0.000000001,E2122&gt;=01_因子設定!$L$6-0.000000001,E2122&lt;=01_因子設定!$M$6+0.000000001,F2122&gt;=01_因子設定!$L$7-0.000000001,F2122&lt;=01_因子設定!$M$7+0.000000001,IF(01_因子設定!$B$20="Box-Behnken",D2122^2+E2122^2+F2122^2&lt;=2+0.000000001,TRUE()))</f>
        <v>1</v>
      </c>
      <c r="W2122" s="55" t="n">
        <f aca="false">IF(V2122,IF(01_因子設定!$B$13="最大化",T2122-01_因子設定!$B$14,IF(01_因子設定!$B$13="最小化",01_因子設定!$B$15-U2122,MIN(T2122-01_因子設定!$B$14,01_因子設定!$B$15-U2122))),-1E+030)</f>
        <v>-2.34063188082344</v>
      </c>
      <c r="X2122" s="55" t="n">
        <f aca="false">IF(V2122,IF(01_因子設定!$B$13="最大化",Q2122,IF(01_因子設定!$B$13="最小化",-Q2122,-ABS(Q2122-01_因子設定!$B$16))),-1E+030)</f>
        <v>47.1461434659091</v>
      </c>
      <c r="Y2122" s="55" t="n">
        <f aca="false">W2122+ROW()*0.000000001</f>
        <v>-2.34062975882344</v>
      </c>
      <c r="Z2122" s="55" t="n">
        <f aca="false">X2122+ROW()*0.000000001</f>
        <v>47.1461455879091</v>
      </c>
    </row>
    <row r="2123" customFormat="false" ht="15" hidden="false" customHeight="false" outlineLevel="0" collapsed="false">
      <c r="A2123" s="0" t="n">
        <v>7</v>
      </c>
      <c r="B2123" s="0" t="n">
        <v>5</v>
      </c>
      <c r="C2123" s="0" t="n">
        <v>10</v>
      </c>
      <c r="D2123" s="0" t="n">
        <f aca="false">-1+A2123*0.125</f>
        <v>-0.125</v>
      </c>
      <c r="E2123" s="0" t="n">
        <f aca="false">-1+B2123*0.125</f>
        <v>-0.375</v>
      </c>
      <c r="F2123" s="0" t="n">
        <f aca="false">-1+C2123*0.125</f>
        <v>0.25</v>
      </c>
      <c r="G2123" s="0" t="n">
        <f aca="false">1</f>
        <v>1</v>
      </c>
      <c r="H2123" s="0" t="n">
        <f aca="false">D2123</f>
        <v>-0.125</v>
      </c>
      <c r="I2123" s="0" t="n">
        <f aca="false">E2123</f>
        <v>-0.375</v>
      </c>
      <c r="J2123" s="0" t="n">
        <f aca="false">F2123</f>
        <v>0.25</v>
      </c>
      <c r="K2123" s="0" t="n">
        <f aca="false">D2123*E2123</f>
        <v>0.046875</v>
      </c>
      <c r="L2123" s="0" t="n">
        <f aca="false">D2123*F2123</f>
        <v>-0.03125</v>
      </c>
      <c r="M2123" s="0" t="n">
        <f aca="false">E2123*F2123</f>
        <v>-0.09375</v>
      </c>
      <c r="N2123" s="0" t="n">
        <f aca="false">D2123*D2123</f>
        <v>0.015625</v>
      </c>
      <c r="O2123" s="0" t="n">
        <f aca="false">E2123*E2123</f>
        <v>0.140625</v>
      </c>
      <c r="P2123" s="0" t="n">
        <f aca="false">F2123*F2123</f>
        <v>0.0625</v>
      </c>
      <c r="Q2123" s="0" t="n">
        <f aca="false">SUMPRODUCT(G2123:P2123,_XtX!$B$71:$K$71)</f>
        <v>47.2447088068182</v>
      </c>
      <c r="R2123" s="0" t="n">
        <f aca="false">SUMPRODUCT(MMULT(G2123:P2123,_XtX!$B$58:$K$67),G2123:P2123)</f>
        <v>0.127103493430398</v>
      </c>
      <c r="S2123" s="0" t="n">
        <f aca="false">04_回帰ANOVA!$K$19*04_回帰ANOVA!$K$14*SQRT(1+R2123)</f>
        <v>0.987071321387587</v>
      </c>
      <c r="T2123" s="0" t="n">
        <f aca="false">Q2123-S2123</f>
        <v>46.2576374854306</v>
      </c>
      <c r="U2123" s="0" t="n">
        <f aca="false">Q2123+S2123</f>
        <v>48.2317801282058</v>
      </c>
      <c r="V2123" s="54" t="b">
        <f aca="false">AND(D2123&gt;=01_因子設定!$L$5-0.000000001,D2123&lt;=01_因子設定!$M$5+0.000000001,E2123&gt;=01_因子設定!$L$6-0.000000001,E2123&lt;=01_因子設定!$M$6+0.000000001,F2123&gt;=01_因子設定!$L$7-0.000000001,F2123&lt;=01_因子設定!$M$7+0.000000001,IF(01_因子設定!$B$20="Box-Behnken",D2123^2+E2123^2+F2123^2&lt;=2+0.000000001,TRUE()))</f>
        <v>1</v>
      </c>
      <c r="W2123" s="55" t="n">
        <f aca="false">IF(V2123,IF(01_因子設定!$B$13="最大化",T2123-01_因子設定!$B$14,IF(01_因子設定!$B$13="最小化",01_因子設定!$B$15-U2123,MIN(T2123-01_因子設定!$B$14,01_因子設定!$B$15-U2123))),-1E+030)</f>
        <v>-2.2423625145694</v>
      </c>
      <c r="X2123" s="55" t="n">
        <f aca="false">IF(V2123,IF(01_因子設定!$B$13="最大化",Q2123,IF(01_因子設定!$B$13="最小化",-Q2123,-ABS(Q2123-01_因子設定!$B$16))),-1E+030)</f>
        <v>47.2447088068182</v>
      </c>
      <c r="Y2123" s="55" t="n">
        <f aca="false">W2123+ROW()*0.000000001</f>
        <v>-2.2423603915694</v>
      </c>
      <c r="Z2123" s="55" t="n">
        <f aca="false">X2123+ROW()*0.000000001</f>
        <v>47.2447109298182</v>
      </c>
    </row>
    <row r="2124" customFormat="false" ht="15" hidden="false" customHeight="false" outlineLevel="0" collapsed="false">
      <c r="A2124" s="0" t="n">
        <v>7</v>
      </c>
      <c r="B2124" s="0" t="n">
        <v>5</v>
      </c>
      <c r="C2124" s="0" t="n">
        <v>11</v>
      </c>
      <c r="D2124" s="0" t="n">
        <f aca="false">-1+A2124*0.125</f>
        <v>-0.125</v>
      </c>
      <c r="E2124" s="0" t="n">
        <f aca="false">-1+B2124*0.125</f>
        <v>-0.375</v>
      </c>
      <c r="F2124" s="0" t="n">
        <f aca="false">-1+C2124*0.125</f>
        <v>0.375</v>
      </c>
      <c r="G2124" s="0" t="n">
        <f aca="false">1</f>
        <v>1</v>
      </c>
      <c r="H2124" s="0" t="n">
        <f aca="false">D2124</f>
        <v>-0.125</v>
      </c>
      <c r="I2124" s="0" t="n">
        <f aca="false">E2124</f>
        <v>-0.375</v>
      </c>
      <c r="J2124" s="0" t="n">
        <f aca="false">F2124</f>
        <v>0.375</v>
      </c>
      <c r="K2124" s="0" t="n">
        <f aca="false">D2124*E2124</f>
        <v>0.046875</v>
      </c>
      <c r="L2124" s="0" t="n">
        <f aca="false">D2124*F2124</f>
        <v>-0.046875</v>
      </c>
      <c r="M2124" s="0" t="n">
        <f aca="false">E2124*F2124</f>
        <v>-0.140625</v>
      </c>
      <c r="N2124" s="0" t="n">
        <f aca="false">D2124*D2124</f>
        <v>0.015625</v>
      </c>
      <c r="O2124" s="0" t="n">
        <f aca="false">E2124*E2124</f>
        <v>0.140625</v>
      </c>
      <c r="P2124" s="0" t="n">
        <f aca="false">F2124*F2124</f>
        <v>0.140625</v>
      </c>
      <c r="Q2124" s="0" t="n">
        <f aca="false">SUMPRODUCT(G2124:P2124,_XtX!$B$71:$K$71)</f>
        <v>47.306484375</v>
      </c>
      <c r="R2124" s="0" t="n">
        <f aca="false">SUMPRODUCT(MMULT(G2124:P2124,_XtX!$B$58:$K$67),G2124:P2124)</f>
        <v>0.131781005859375</v>
      </c>
      <c r="S2124" s="0" t="n">
        <f aca="false">04_回帰ANOVA!$K$19*04_回帰ANOVA!$K$14*SQRT(1+R2124)</f>
        <v>0.989117388188007</v>
      </c>
      <c r="T2124" s="0" t="n">
        <f aca="false">Q2124-S2124</f>
        <v>46.317366986812</v>
      </c>
      <c r="U2124" s="0" t="n">
        <f aca="false">Q2124+S2124</f>
        <v>48.295601763188</v>
      </c>
      <c r="V2124" s="54" t="b">
        <f aca="false">AND(D2124&gt;=01_因子設定!$L$5-0.000000001,D2124&lt;=01_因子設定!$M$5+0.000000001,E2124&gt;=01_因子設定!$L$6-0.000000001,E2124&lt;=01_因子設定!$M$6+0.000000001,F2124&gt;=01_因子設定!$L$7-0.000000001,F2124&lt;=01_因子設定!$M$7+0.000000001,IF(01_因子設定!$B$20="Box-Behnken",D2124^2+E2124^2+F2124^2&lt;=2+0.000000001,TRUE()))</f>
        <v>1</v>
      </c>
      <c r="W2124" s="55" t="n">
        <f aca="false">IF(V2124,IF(01_因子設定!$B$13="最大化",T2124-01_因子設定!$B$14,IF(01_因子設定!$B$13="最小化",01_因子設定!$B$15-U2124,MIN(T2124-01_因子設定!$B$14,01_因子設定!$B$15-U2124))),-1E+030)</f>
        <v>-2.182633013188</v>
      </c>
      <c r="X2124" s="55" t="n">
        <f aca="false">IF(V2124,IF(01_因子設定!$B$13="最大化",Q2124,IF(01_因子設定!$B$13="最小化",-Q2124,-ABS(Q2124-01_因子設定!$B$16))),-1E+030)</f>
        <v>47.306484375</v>
      </c>
      <c r="Y2124" s="55" t="n">
        <f aca="false">W2124+ROW()*0.000000001</f>
        <v>-2.182630889188</v>
      </c>
      <c r="Z2124" s="55" t="n">
        <f aca="false">X2124+ROW()*0.000000001</f>
        <v>47.306486499</v>
      </c>
    </row>
    <row r="2125" customFormat="false" ht="15" hidden="false" customHeight="false" outlineLevel="0" collapsed="false">
      <c r="A2125" s="0" t="n">
        <v>7</v>
      </c>
      <c r="B2125" s="0" t="n">
        <v>5</v>
      </c>
      <c r="C2125" s="0" t="n">
        <v>12</v>
      </c>
      <c r="D2125" s="0" t="n">
        <f aca="false">-1+A2125*0.125</f>
        <v>-0.125</v>
      </c>
      <c r="E2125" s="0" t="n">
        <f aca="false">-1+B2125*0.125</f>
        <v>-0.375</v>
      </c>
      <c r="F2125" s="0" t="n">
        <f aca="false">-1+C2125*0.125</f>
        <v>0.5</v>
      </c>
      <c r="G2125" s="0" t="n">
        <f aca="false">1</f>
        <v>1</v>
      </c>
      <c r="H2125" s="0" t="n">
        <f aca="false">D2125</f>
        <v>-0.125</v>
      </c>
      <c r="I2125" s="0" t="n">
        <f aca="false">E2125</f>
        <v>-0.375</v>
      </c>
      <c r="J2125" s="0" t="n">
        <f aca="false">F2125</f>
        <v>0.5</v>
      </c>
      <c r="K2125" s="0" t="n">
        <f aca="false">D2125*E2125</f>
        <v>0.046875</v>
      </c>
      <c r="L2125" s="0" t="n">
        <f aca="false">D2125*F2125</f>
        <v>-0.0625</v>
      </c>
      <c r="M2125" s="0" t="n">
        <f aca="false">E2125*F2125</f>
        <v>-0.1875</v>
      </c>
      <c r="N2125" s="0" t="n">
        <f aca="false">D2125*D2125</f>
        <v>0.015625</v>
      </c>
      <c r="O2125" s="0" t="n">
        <f aca="false">E2125*E2125</f>
        <v>0.140625</v>
      </c>
      <c r="P2125" s="0" t="n">
        <f aca="false">F2125*F2125</f>
        <v>0.25</v>
      </c>
      <c r="Q2125" s="0" t="n">
        <f aca="false">SUMPRODUCT(G2125:P2125,_XtX!$B$71:$K$71)</f>
        <v>47.3314701704546</v>
      </c>
      <c r="R2125" s="0" t="n">
        <f aca="false">SUMPRODUCT(MMULT(G2125:P2125,_XtX!$B$58:$K$67),G2125:P2125)</f>
        <v>0.14578690962358</v>
      </c>
      <c r="S2125" s="0" t="n">
        <f aca="false">04_回帰ANOVA!$K$19*04_回帰ANOVA!$K$14*SQRT(1+R2125)</f>
        <v>0.995218783457917</v>
      </c>
      <c r="T2125" s="0" t="n">
        <f aca="false">Q2125-S2125</f>
        <v>46.3362513869966</v>
      </c>
      <c r="U2125" s="0" t="n">
        <f aca="false">Q2125+S2125</f>
        <v>48.3266889539125</v>
      </c>
      <c r="V2125" s="54" t="b">
        <f aca="false">AND(D2125&gt;=01_因子設定!$L$5-0.000000001,D2125&lt;=01_因子設定!$M$5+0.000000001,E2125&gt;=01_因子設定!$L$6-0.000000001,E2125&lt;=01_因子設定!$M$6+0.000000001,F2125&gt;=01_因子設定!$L$7-0.000000001,F2125&lt;=01_因子設定!$M$7+0.000000001,IF(01_因子設定!$B$20="Box-Behnken",D2125^2+E2125^2+F2125^2&lt;=2+0.000000001,TRUE()))</f>
        <v>1</v>
      </c>
      <c r="W2125" s="55" t="n">
        <f aca="false">IF(V2125,IF(01_因子設定!$B$13="最大化",T2125-01_因子設定!$B$14,IF(01_因子設定!$B$13="最小化",01_因子設定!$B$15-U2125,MIN(T2125-01_因子設定!$B$14,01_因子設定!$B$15-U2125))),-1E+030)</f>
        <v>-2.16374861300336</v>
      </c>
      <c r="X2125" s="55" t="n">
        <f aca="false">IF(V2125,IF(01_因子設定!$B$13="最大化",Q2125,IF(01_因子設定!$B$13="最小化",-Q2125,-ABS(Q2125-01_因子設定!$B$16))),-1E+030)</f>
        <v>47.3314701704546</v>
      </c>
      <c r="Y2125" s="55" t="n">
        <f aca="false">W2125+ROW()*0.000000001</f>
        <v>-2.16374648800336</v>
      </c>
      <c r="Z2125" s="55" t="n">
        <f aca="false">X2125+ROW()*0.000000001</f>
        <v>47.3314722954546</v>
      </c>
    </row>
    <row r="2126" customFormat="false" ht="15" hidden="false" customHeight="false" outlineLevel="0" collapsed="false">
      <c r="A2126" s="0" t="n">
        <v>7</v>
      </c>
      <c r="B2126" s="0" t="n">
        <v>5</v>
      </c>
      <c r="C2126" s="0" t="n">
        <v>13</v>
      </c>
      <c r="D2126" s="0" t="n">
        <f aca="false">-1+A2126*0.125</f>
        <v>-0.125</v>
      </c>
      <c r="E2126" s="0" t="n">
        <f aca="false">-1+B2126*0.125</f>
        <v>-0.375</v>
      </c>
      <c r="F2126" s="0" t="n">
        <f aca="false">-1+C2126*0.125</f>
        <v>0.625</v>
      </c>
      <c r="G2126" s="0" t="n">
        <f aca="false">1</f>
        <v>1</v>
      </c>
      <c r="H2126" s="0" t="n">
        <f aca="false">D2126</f>
        <v>-0.125</v>
      </c>
      <c r="I2126" s="0" t="n">
        <f aca="false">E2126</f>
        <v>-0.375</v>
      </c>
      <c r="J2126" s="0" t="n">
        <f aca="false">F2126</f>
        <v>0.625</v>
      </c>
      <c r="K2126" s="0" t="n">
        <f aca="false">D2126*E2126</f>
        <v>0.046875</v>
      </c>
      <c r="L2126" s="0" t="n">
        <f aca="false">D2126*F2126</f>
        <v>-0.078125</v>
      </c>
      <c r="M2126" s="0" t="n">
        <f aca="false">E2126*F2126</f>
        <v>-0.234375</v>
      </c>
      <c r="N2126" s="0" t="n">
        <f aca="false">D2126*D2126</f>
        <v>0.015625</v>
      </c>
      <c r="O2126" s="0" t="n">
        <f aca="false">E2126*E2126</f>
        <v>0.140625</v>
      </c>
      <c r="P2126" s="0" t="n">
        <f aca="false">F2126*F2126</f>
        <v>0.390625</v>
      </c>
      <c r="Q2126" s="0" t="n">
        <f aca="false">SUMPRODUCT(G2126:P2126,_XtX!$B$71:$K$71)</f>
        <v>47.3196661931818</v>
      </c>
      <c r="R2126" s="0" t="n">
        <f aca="false">SUMPRODUCT(MMULT(G2126:P2126,_XtX!$B$58:$K$67),G2126:P2126)</f>
        <v>0.176578591086648</v>
      </c>
      <c r="S2126" s="0" t="n">
        <f aca="false">04_回帰ANOVA!$K$19*04_回帰ANOVA!$K$14*SQRT(1+R2126)</f>
        <v>1.00850279676269</v>
      </c>
      <c r="T2126" s="0" t="n">
        <f aca="false">Q2126-S2126</f>
        <v>46.3111633964191</v>
      </c>
      <c r="U2126" s="0" t="n">
        <f aca="false">Q2126+S2126</f>
        <v>48.3281689899445</v>
      </c>
      <c r="V2126" s="54" t="b">
        <f aca="false">AND(D2126&gt;=01_因子設定!$L$5-0.000000001,D2126&lt;=01_因子設定!$M$5+0.000000001,E2126&gt;=01_因子設定!$L$6-0.000000001,E2126&lt;=01_因子設定!$M$6+0.000000001,F2126&gt;=01_因子設定!$L$7-0.000000001,F2126&lt;=01_因子設定!$M$7+0.000000001,IF(01_因子設定!$B$20="Box-Behnken",D2126^2+E2126^2+F2126^2&lt;=2+0.000000001,TRUE()))</f>
        <v>1</v>
      </c>
      <c r="W2126" s="55" t="n">
        <f aca="false">IF(V2126,IF(01_因子設定!$B$13="最大化",T2126-01_因子設定!$B$14,IF(01_因子設定!$B$13="最小化",01_因子設定!$B$15-U2126,MIN(T2126-01_因子設定!$B$14,01_因子設定!$B$15-U2126))),-1E+030)</f>
        <v>-2.18883660358086</v>
      </c>
      <c r="X2126" s="55" t="n">
        <f aca="false">IF(V2126,IF(01_因子設定!$B$13="最大化",Q2126,IF(01_因子設定!$B$13="最小化",-Q2126,-ABS(Q2126-01_因子設定!$B$16))),-1E+030)</f>
        <v>47.3196661931818</v>
      </c>
      <c r="Y2126" s="55" t="n">
        <f aca="false">W2126+ROW()*0.000000001</f>
        <v>-2.18883447758086</v>
      </c>
      <c r="Z2126" s="55" t="n">
        <f aca="false">X2126+ROW()*0.000000001</f>
        <v>47.3196683191818</v>
      </c>
    </row>
    <row r="2127" customFormat="false" ht="15" hidden="false" customHeight="false" outlineLevel="0" collapsed="false">
      <c r="A2127" s="0" t="n">
        <v>7</v>
      </c>
      <c r="B2127" s="0" t="n">
        <v>5</v>
      </c>
      <c r="C2127" s="0" t="n">
        <v>14</v>
      </c>
      <c r="D2127" s="0" t="n">
        <f aca="false">-1+A2127*0.125</f>
        <v>-0.125</v>
      </c>
      <c r="E2127" s="0" t="n">
        <f aca="false">-1+B2127*0.125</f>
        <v>-0.375</v>
      </c>
      <c r="F2127" s="0" t="n">
        <f aca="false">-1+C2127*0.125</f>
        <v>0.75</v>
      </c>
      <c r="G2127" s="0" t="n">
        <f aca="false">1</f>
        <v>1</v>
      </c>
      <c r="H2127" s="0" t="n">
        <f aca="false">D2127</f>
        <v>-0.125</v>
      </c>
      <c r="I2127" s="0" t="n">
        <f aca="false">E2127</f>
        <v>-0.375</v>
      </c>
      <c r="J2127" s="0" t="n">
        <f aca="false">F2127</f>
        <v>0.75</v>
      </c>
      <c r="K2127" s="0" t="n">
        <f aca="false">D2127*E2127</f>
        <v>0.046875</v>
      </c>
      <c r="L2127" s="0" t="n">
        <f aca="false">D2127*F2127</f>
        <v>-0.09375</v>
      </c>
      <c r="M2127" s="0" t="n">
        <f aca="false">E2127*F2127</f>
        <v>-0.28125</v>
      </c>
      <c r="N2127" s="0" t="n">
        <f aca="false">D2127*D2127</f>
        <v>0.015625</v>
      </c>
      <c r="O2127" s="0" t="n">
        <f aca="false">E2127*E2127</f>
        <v>0.140625</v>
      </c>
      <c r="P2127" s="0" t="n">
        <f aca="false">F2127*F2127</f>
        <v>0.5625</v>
      </c>
      <c r="Q2127" s="0" t="n">
        <f aca="false">SUMPRODUCT(G2127:P2127,_XtX!$B$71:$K$71)</f>
        <v>47.2710724431818</v>
      </c>
      <c r="R2127" s="0" t="n">
        <f aca="false">SUMPRODUCT(MMULT(G2127:P2127,_XtX!$B$58:$K$67),G2127:P2127)</f>
        <v>0.233744118430398</v>
      </c>
      <c r="S2127" s="0" t="n">
        <f aca="false">04_回帰ANOVA!$K$19*04_回帰ANOVA!$K$14*SQRT(1+R2127)</f>
        <v>1.0327119053564</v>
      </c>
      <c r="T2127" s="0" t="n">
        <f aca="false">Q2127-S2127</f>
        <v>46.2383605378254</v>
      </c>
      <c r="U2127" s="0" t="n">
        <f aca="false">Q2127+S2127</f>
        <v>48.3037843485382</v>
      </c>
      <c r="V2127" s="54" t="b">
        <f aca="false">AND(D2127&gt;=01_因子設定!$L$5-0.000000001,D2127&lt;=01_因子設定!$M$5+0.000000001,E2127&gt;=01_因子設定!$L$6-0.000000001,E2127&lt;=01_因子設定!$M$6+0.000000001,F2127&gt;=01_因子設定!$L$7-0.000000001,F2127&lt;=01_因子設定!$M$7+0.000000001,IF(01_因子設定!$B$20="Box-Behnken",D2127^2+E2127^2+F2127^2&lt;=2+0.000000001,TRUE()))</f>
        <v>1</v>
      </c>
      <c r="W2127" s="55" t="n">
        <f aca="false">IF(V2127,IF(01_因子設定!$B$13="最大化",T2127-01_因子設定!$B$14,IF(01_因子設定!$B$13="最小化",01_因子設定!$B$15-U2127,MIN(T2127-01_因子設定!$B$14,01_因子設定!$B$15-U2127))),-1E+030)</f>
        <v>-2.26163946217456</v>
      </c>
      <c r="X2127" s="55" t="n">
        <f aca="false">IF(V2127,IF(01_因子設定!$B$13="最大化",Q2127,IF(01_因子設定!$B$13="最小化",-Q2127,-ABS(Q2127-01_因子設定!$B$16))),-1E+030)</f>
        <v>47.2710724431818</v>
      </c>
      <c r="Y2127" s="55" t="n">
        <f aca="false">W2127+ROW()*0.000000001</f>
        <v>-2.26163733517456</v>
      </c>
      <c r="Z2127" s="55" t="n">
        <f aca="false">X2127+ROW()*0.000000001</f>
        <v>47.2710745701818</v>
      </c>
    </row>
    <row r="2128" customFormat="false" ht="15" hidden="false" customHeight="false" outlineLevel="0" collapsed="false">
      <c r="A2128" s="0" t="n">
        <v>7</v>
      </c>
      <c r="B2128" s="0" t="n">
        <v>5</v>
      </c>
      <c r="C2128" s="0" t="n">
        <v>15</v>
      </c>
      <c r="D2128" s="0" t="n">
        <f aca="false">-1+A2128*0.125</f>
        <v>-0.125</v>
      </c>
      <c r="E2128" s="0" t="n">
        <f aca="false">-1+B2128*0.125</f>
        <v>-0.375</v>
      </c>
      <c r="F2128" s="0" t="n">
        <f aca="false">-1+C2128*0.125</f>
        <v>0.875</v>
      </c>
      <c r="G2128" s="0" t="n">
        <f aca="false">1</f>
        <v>1</v>
      </c>
      <c r="H2128" s="0" t="n">
        <f aca="false">D2128</f>
        <v>-0.125</v>
      </c>
      <c r="I2128" s="0" t="n">
        <f aca="false">E2128</f>
        <v>-0.375</v>
      </c>
      <c r="J2128" s="0" t="n">
        <f aca="false">F2128</f>
        <v>0.875</v>
      </c>
      <c r="K2128" s="0" t="n">
        <f aca="false">D2128*E2128</f>
        <v>0.046875</v>
      </c>
      <c r="L2128" s="0" t="n">
        <f aca="false">D2128*F2128</f>
        <v>-0.109375</v>
      </c>
      <c r="M2128" s="0" t="n">
        <f aca="false">E2128*F2128</f>
        <v>-0.328125</v>
      </c>
      <c r="N2128" s="0" t="n">
        <f aca="false">D2128*D2128</f>
        <v>0.015625</v>
      </c>
      <c r="O2128" s="0" t="n">
        <f aca="false">E2128*E2128</f>
        <v>0.140625</v>
      </c>
      <c r="P2128" s="0" t="n">
        <f aca="false">F2128*F2128</f>
        <v>0.765625</v>
      </c>
      <c r="Q2128" s="0" t="n">
        <f aca="false">SUMPRODUCT(G2128:P2128,_XtX!$B$71:$K$71)</f>
        <v>47.1856889204546</v>
      </c>
      <c r="R2128" s="0" t="n">
        <f aca="false">SUMPRODUCT(MMULT(G2128:P2128,_XtX!$B$58:$K$67),G2128:P2128)</f>
        <v>0.32900224165483</v>
      </c>
      <c r="S2128" s="0" t="n">
        <f aca="false">04_回帰ANOVA!$K$19*04_回帰ANOVA!$K$14*SQRT(1+R2128)</f>
        <v>1.07183884583628</v>
      </c>
      <c r="T2128" s="0" t="n">
        <f aca="false">Q2128-S2128</f>
        <v>46.1138500746183</v>
      </c>
      <c r="U2128" s="0" t="n">
        <f aca="false">Q2128+S2128</f>
        <v>48.2575277662909</v>
      </c>
      <c r="V2128" s="54" t="b">
        <f aca="false">AND(D2128&gt;=01_因子設定!$L$5-0.000000001,D2128&lt;=01_因子設定!$M$5+0.000000001,E2128&gt;=01_因子設定!$L$6-0.000000001,E2128&lt;=01_因子設定!$M$6+0.000000001,F2128&gt;=01_因子設定!$L$7-0.000000001,F2128&lt;=01_因子設定!$M$7+0.000000001,IF(01_因子設定!$B$20="Box-Behnken",D2128^2+E2128^2+F2128^2&lt;=2+0.000000001,TRUE()))</f>
        <v>1</v>
      </c>
      <c r="W2128" s="55" t="n">
        <f aca="false">IF(V2128,IF(01_因子設定!$B$13="最大化",T2128-01_因子設定!$B$14,IF(01_因子設定!$B$13="最小化",01_因子設定!$B$15-U2128,MIN(T2128-01_因子設定!$B$14,01_因子設定!$B$15-U2128))),-1E+030)</f>
        <v>-2.38614992538172</v>
      </c>
      <c r="X2128" s="55" t="n">
        <f aca="false">IF(V2128,IF(01_因子設定!$B$13="最大化",Q2128,IF(01_因子設定!$B$13="最小化",-Q2128,-ABS(Q2128-01_因子設定!$B$16))),-1E+030)</f>
        <v>47.1856889204546</v>
      </c>
      <c r="Y2128" s="55" t="n">
        <f aca="false">W2128+ROW()*0.000000001</f>
        <v>-2.38614779738172</v>
      </c>
      <c r="Z2128" s="55" t="n">
        <f aca="false">X2128+ROW()*0.000000001</f>
        <v>47.1856910484546</v>
      </c>
    </row>
    <row r="2129" customFormat="false" ht="15" hidden="false" customHeight="false" outlineLevel="0" collapsed="false">
      <c r="A2129" s="0" t="n">
        <v>7</v>
      </c>
      <c r="B2129" s="0" t="n">
        <v>5</v>
      </c>
      <c r="C2129" s="0" t="n">
        <v>16</v>
      </c>
      <c r="D2129" s="0" t="n">
        <f aca="false">-1+A2129*0.125</f>
        <v>-0.125</v>
      </c>
      <c r="E2129" s="0" t="n">
        <f aca="false">-1+B2129*0.125</f>
        <v>-0.375</v>
      </c>
      <c r="F2129" s="0" t="n">
        <f aca="false">-1+C2129*0.125</f>
        <v>1</v>
      </c>
      <c r="G2129" s="0" t="n">
        <f aca="false">1</f>
        <v>1</v>
      </c>
      <c r="H2129" s="0" t="n">
        <f aca="false">D2129</f>
        <v>-0.125</v>
      </c>
      <c r="I2129" s="0" t="n">
        <f aca="false">E2129</f>
        <v>-0.375</v>
      </c>
      <c r="J2129" s="0" t="n">
        <f aca="false">F2129</f>
        <v>1</v>
      </c>
      <c r="K2129" s="0" t="n">
        <f aca="false">D2129*E2129</f>
        <v>0.046875</v>
      </c>
      <c r="L2129" s="0" t="n">
        <f aca="false">D2129*F2129</f>
        <v>-0.125</v>
      </c>
      <c r="M2129" s="0" t="n">
        <f aca="false">E2129*F2129</f>
        <v>-0.375</v>
      </c>
      <c r="N2129" s="0" t="n">
        <f aca="false">D2129*D2129</f>
        <v>0.015625</v>
      </c>
      <c r="O2129" s="0" t="n">
        <f aca="false">E2129*E2129</f>
        <v>0.140625</v>
      </c>
      <c r="P2129" s="0" t="n">
        <f aca="false">F2129*F2129</f>
        <v>1</v>
      </c>
      <c r="Q2129" s="0" t="n">
        <f aca="false">SUMPRODUCT(G2129:P2129,_XtX!$B$71:$K$71)</f>
        <v>47.063515625</v>
      </c>
      <c r="R2129" s="0" t="n">
        <f aca="false">SUMPRODUCT(MMULT(G2129:P2129,_XtX!$B$58:$K$67),G2129:P2129)</f>
        <v>0.476202392578125</v>
      </c>
      <c r="S2129" s="0" t="n">
        <f aca="false">04_回帰ANOVA!$K$19*04_回帰ANOVA!$K$14*SQRT(1+R2129)</f>
        <v>1.12963876802721</v>
      </c>
      <c r="T2129" s="0" t="n">
        <f aca="false">Q2129-S2129</f>
        <v>45.9338768569728</v>
      </c>
      <c r="U2129" s="0" t="n">
        <f aca="false">Q2129+S2129</f>
        <v>48.1931543930272</v>
      </c>
      <c r="V2129" s="54" t="b">
        <f aca="false">AND(D2129&gt;=01_因子設定!$L$5-0.000000001,D2129&lt;=01_因子設定!$M$5+0.000000001,E2129&gt;=01_因子設定!$L$6-0.000000001,E2129&lt;=01_因子設定!$M$6+0.000000001,F2129&gt;=01_因子設定!$L$7-0.000000001,F2129&lt;=01_因子設定!$M$7+0.000000001,IF(01_因子設定!$B$20="Box-Behnken",D2129^2+E2129^2+F2129^2&lt;=2+0.000000001,TRUE()))</f>
        <v>1</v>
      </c>
      <c r="W2129" s="55" t="n">
        <f aca="false">IF(V2129,IF(01_因子設定!$B$13="最大化",T2129-01_因子設定!$B$14,IF(01_因子設定!$B$13="最小化",01_因子設定!$B$15-U2129,MIN(T2129-01_因子設定!$B$14,01_因子設定!$B$15-U2129))),-1E+030)</f>
        <v>-2.56612314302718</v>
      </c>
      <c r="X2129" s="55" t="n">
        <f aca="false">IF(V2129,IF(01_因子設定!$B$13="最大化",Q2129,IF(01_因子設定!$B$13="最小化",-Q2129,-ABS(Q2129-01_因子設定!$B$16))),-1E+030)</f>
        <v>47.063515625</v>
      </c>
      <c r="Y2129" s="55" t="n">
        <f aca="false">W2129+ROW()*0.000000001</f>
        <v>-2.56612101402718</v>
      </c>
      <c r="Z2129" s="55" t="n">
        <f aca="false">X2129+ROW()*0.000000001</f>
        <v>47.063517754</v>
      </c>
    </row>
    <row r="2130" customFormat="false" ht="15" hidden="false" customHeight="false" outlineLevel="0" collapsed="false">
      <c r="A2130" s="0" t="n">
        <v>7</v>
      </c>
      <c r="B2130" s="0" t="n">
        <v>6</v>
      </c>
      <c r="C2130" s="0" t="n">
        <v>0</v>
      </c>
      <c r="D2130" s="0" t="n">
        <f aca="false">-1+A2130*0.125</f>
        <v>-0.125</v>
      </c>
      <c r="E2130" s="0" t="n">
        <f aca="false">-1+B2130*0.125</f>
        <v>-0.25</v>
      </c>
      <c r="F2130" s="0" t="n">
        <f aca="false">-1+C2130*0.125</f>
        <v>-1</v>
      </c>
      <c r="G2130" s="0" t="n">
        <f aca="false">1</f>
        <v>1</v>
      </c>
      <c r="H2130" s="0" t="n">
        <f aca="false">D2130</f>
        <v>-0.125</v>
      </c>
      <c r="I2130" s="0" t="n">
        <f aca="false">E2130</f>
        <v>-0.25</v>
      </c>
      <c r="J2130" s="0" t="n">
        <f aca="false">F2130</f>
        <v>-1</v>
      </c>
      <c r="K2130" s="0" t="n">
        <f aca="false">D2130*E2130</f>
        <v>0.03125</v>
      </c>
      <c r="L2130" s="0" t="n">
        <f aca="false">D2130*F2130</f>
        <v>0.125</v>
      </c>
      <c r="M2130" s="0" t="n">
        <f aca="false">E2130*F2130</f>
        <v>0.25</v>
      </c>
      <c r="N2130" s="0" t="n">
        <f aca="false">D2130*D2130</f>
        <v>0.015625</v>
      </c>
      <c r="O2130" s="0" t="n">
        <f aca="false">E2130*E2130</f>
        <v>0.0625</v>
      </c>
      <c r="P2130" s="0" t="n">
        <f aca="false">F2130*F2130</f>
        <v>1</v>
      </c>
      <c r="Q2130" s="0" t="n">
        <f aca="false">SUMPRODUCT(G2130:P2130,_XtX!$B$71:$K$71)</f>
        <v>44.9452556818182</v>
      </c>
      <c r="R2130" s="0" t="n">
        <f aca="false">SUMPRODUCT(MMULT(G2130:P2130,_XtX!$B$58:$K$67),G2130:P2130)</f>
        <v>0.481443093039773</v>
      </c>
      <c r="S2130" s="0" t="n">
        <f aca="false">04_回帰ANOVA!$K$19*04_回帰ANOVA!$K$14*SQRT(1+R2130)</f>
        <v>1.13164216995877</v>
      </c>
      <c r="T2130" s="0" t="n">
        <f aca="false">Q2130-S2130</f>
        <v>43.8136135118594</v>
      </c>
      <c r="U2130" s="0" t="n">
        <f aca="false">Q2130+S2130</f>
        <v>46.076897851777</v>
      </c>
      <c r="V2130" s="54" t="b">
        <f aca="false">AND(D2130&gt;=01_因子設定!$L$5-0.000000001,D2130&lt;=01_因子設定!$M$5+0.000000001,E2130&gt;=01_因子設定!$L$6-0.000000001,E2130&lt;=01_因子設定!$M$6+0.000000001,F2130&gt;=01_因子設定!$L$7-0.000000001,F2130&lt;=01_因子設定!$M$7+0.000000001,IF(01_因子設定!$B$20="Box-Behnken",D2130^2+E2130^2+F2130^2&lt;=2+0.000000001,TRUE()))</f>
        <v>1</v>
      </c>
      <c r="W2130" s="55" t="n">
        <f aca="false">IF(V2130,IF(01_因子設定!$B$13="最大化",T2130-01_因子設定!$B$14,IF(01_因子設定!$B$13="最小化",01_因子設定!$B$15-U2130,MIN(T2130-01_因子設定!$B$14,01_因子設定!$B$15-U2130))),-1E+030)</f>
        <v>-4.68638648814056</v>
      </c>
      <c r="X2130" s="55" t="n">
        <f aca="false">IF(V2130,IF(01_因子設定!$B$13="最大化",Q2130,IF(01_因子設定!$B$13="最小化",-Q2130,-ABS(Q2130-01_因子設定!$B$16))),-1E+030)</f>
        <v>44.9452556818182</v>
      </c>
      <c r="Y2130" s="55" t="n">
        <f aca="false">W2130+ROW()*0.000000001</f>
        <v>-4.68638435814056</v>
      </c>
      <c r="Z2130" s="55" t="n">
        <f aca="false">X2130+ROW()*0.000000001</f>
        <v>44.9452578118182</v>
      </c>
    </row>
    <row r="2131" customFormat="false" ht="15" hidden="false" customHeight="false" outlineLevel="0" collapsed="false">
      <c r="A2131" s="0" t="n">
        <v>7</v>
      </c>
      <c r="B2131" s="0" t="n">
        <v>6</v>
      </c>
      <c r="C2131" s="0" t="n">
        <v>1</v>
      </c>
      <c r="D2131" s="0" t="n">
        <f aca="false">-1+A2131*0.125</f>
        <v>-0.125</v>
      </c>
      <c r="E2131" s="0" t="n">
        <f aca="false">-1+B2131*0.125</f>
        <v>-0.25</v>
      </c>
      <c r="F2131" s="0" t="n">
        <f aca="false">-1+C2131*0.125</f>
        <v>-0.875</v>
      </c>
      <c r="G2131" s="0" t="n">
        <f aca="false">1</f>
        <v>1</v>
      </c>
      <c r="H2131" s="0" t="n">
        <f aca="false">D2131</f>
        <v>-0.125</v>
      </c>
      <c r="I2131" s="0" t="n">
        <f aca="false">E2131</f>
        <v>-0.25</v>
      </c>
      <c r="J2131" s="0" t="n">
        <f aca="false">F2131</f>
        <v>-0.875</v>
      </c>
      <c r="K2131" s="0" t="n">
        <f aca="false">D2131*E2131</f>
        <v>0.03125</v>
      </c>
      <c r="L2131" s="0" t="n">
        <f aca="false">D2131*F2131</f>
        <v>0.109375</v>
      </c>
      <c r="M2131" s="0" t="n">
        <f aca="false">E2131*F2131</f>
        <v>0.21875</v>
      </c>
      <c r="N2131" s="0" t="n">
        <f aca="false">D2131*D2131</f>
        <v>0.015625</v>
      </c>
      <c r="O2131" s="0" t="n">
        <f aca="false">E2131*E2131</f>
        <v>0.0625</v>
      </c>
      <c r="P2131" s="0" t="n">
        <f aca="false">F2131*F2131</f>
        <v>0.765625</v>
      </c>
      <c r="Q2131" s="0" t="n">
        <f aca="false">SUMPRODUCT(G2131:P2131,_XtX!$B$71:$K$71)</f>
        <v>45.3819602272728</v>
      </c>
      <c r="R2131" s="0" t="n">
        <f aca="false">SUMPRODUCT(MMULT(G2131:P2131,_XtX!$B$58:$K$67),G2131:P2131)</f>
        <v>0.331537974964489</v>
      </c>
      <c r="S2131" s="0" t="n">
        <f aca="false">04_回帰ANOVA!$K$19*04_回帰ANOVA!$K$14*SQRT(1+R2131)</f>
        <v>1.07286089161565</v>
      </c>
      <c r="T2131" s="0" t="n">
        <f aca="false">Q2131-S2131</f>
        <v>44.3090993356571</v>
      </c>
      <c r="U2131" s="0" t="n">
        <f aca="false">Q2131+S2131</f>
        <v>46.4548211188884</v>
      </c>
      <c r="V2131" s="54" t="b">
        <f aca="false">AND(D2131&gt;=01_因子設定!$L$5-0.000000001,D2131&lt;=01_因子設定!$M$5+0.000000001,E2131&gt;=01_因子設定!$L$6-0.000000001,E2131&lt;=01_因子設定!$M$6+0.000000001,F2131&gt;=01_因子設定!$L$7-0.000000001,F2131&lt;=01_因子設定!$M$7+0.000000001,IF(01_因子設定!$B$20="Box-Behnken",D2131^2+E2131^2+F2131^2&lt;=2+0.000000001,TRUE()))</f>
        <v>1</v>
      </c>
      <c r="W2131" s="55" t="n">
        <f aca="false">IF(V2131,IF(01_因子設定!$B$13="最大化",T2131-01_因子設定!$B$14,IF(01_因子設定!$B$13="最小化",01_因子設定!$B$15-U2131,MIN(T2131-01_因子設定!$B$14,01_因子設定!$B$15-U2131))),-1E+030)</f>
        <v>-4.19090066434291</v>
      </c>
      <c r="X2131" s="55" t="n">
        <f aca="false">IF(V2131,IF(01_因子設定!$B$13="最大化",Q2131,IF(01_因子設定!$B$13="最小化",-Q2131,-ABS(Q2131-01_因子設定!$B$16))),-1E+030)</f>
        <v>45.3819602272728</v>
      </c>
      <c r="Y2131" s="55" t="n">
        <f aca="false">W2131+ROW()*0.000000001</f>
        <v>-4.19089853334291</v>
      </c>
      <c r="Z2131" s="55" t="n">
        <f aca="false">X2131+ROW()*0.000000001</f>
        <v>45.3819623582728</v>
      </c>
    </row>
    <row r="2132" customFormat="false" ht="15" hidden="false" customHeight="false" outlineLevel="0" collapsed="false">
      <c r="A2132" s="0" t="n">
        <v>7</v>
      </c>
      <c r="B2132" s="0" t="n">
        <v>6</v>
      </c>
      <c r="C2132" s="0" t="n">
        <v>2</v>
      </c>
      <c r="D2132" s="0" t="n">
        <f aca="false">-1+A2132*0.125</f>
        <v>-0.125</v>
      </c>
      <c r="E2132" s="0" t="n">
        <f aca="false">-1+B2132*0.125</f>
        <v>-0.25</v>
      </c>
      <c r="F2132" s="0" t="n">
        <f aca="false">-1+C2132*0.125</f>
        <v>-0.75</v>
      </c>
      <c r="G2132" s="0" t="n">
        <f aca="false">1</f>
        <v>1</v>
      </c>
      <c r="H2132" s="0" t="n">
        <f aca="false">D2132</f>
        <v>-0.125</v>
      </c>
      <c r="I2132" s="0" t="n">
        <f aca="false">E2132</f>
        <v>-0.25</v>
      </c>
      <c r="J2132" s="0" t="n">
        <f aca="false">F2132</f>
        <v>-0.75</v>
      </c>
      <c r="K2132" s="0" t="n">
        <f aca="false">D2132*E2132</f>
        <v>0.03125</v>
      </c>
      <c r="L2132" s="0" t="n">
        <f aca="false">D2132*F2132</f>
        <v>0.09375</v>
      </c>
      <c r="M2132" s="0" t="n">
        <f aca="false">E2132*F2132</f>
        <v>0.1875</v>
      </c>
      <c r="N2132" s="0" t="n">
        <f aca="false">D2132*D2132</f>
        <v>0.015625</v>
      </c>
      <c r="O2132" s="0" t="n">
        <f aca="false">E2132*E2132</f>
        <v>0.0625</v>
      </c>
      <c r="P2132" s="0" t="n">
        <f aca="false">F2132*F2132</f>
        <v>0.5625</v>
      </c>
      <c r="Q2132" s="0" t="n">
        <f aca="false">SUMPRODUCT(G2132:P2132,_XtX!$B$71:$K$71)</f>
        <v>45.781875</v>
      </c>
      <c r="R2132" s="0" t="n">
        <f aca="false">SUMPRODUCT(MMULT(G2132:P2132,_XtX!$B$58:$K$67),G2132:P2132)</f>
        <v>0.233935546875</v>
      </c>
      <c r="S2132" s="0" t="n">
        <f aca="false">04_回帰ANOVA!$K$19*04_回帰ANOVA!$K$14*SQRT(1+R2132)</f>
        <v>1.03279202033444</v>
      </c>
      <c r="T2132" s="0" t="n">
        <f aca="false">Q2132-S2132</f>
        <v>44.7490829796656</v>
      </c>
      <c r="U2132" s="0" t="n">
        <f aca="false">Q2132+S2132</f>
        <v>46.8146670203345</v>
      </c>
      <c r="V2132" s="54" t="b">
        <f aca="false">AND(D2132&gt;=01_因子設定!$L$5-0.000000001,D2132&lt;=01_因子設定!$M$5+0.000000001,E2132&gt;=01_因子設定!$L$6-0.000000001,E2132&lt;=01_因子設定!$M$6+0.000000001,F2132&gt;=01_因子設定!$L$7-0.000000001,F2132&lt;=01_因子設定!$M$7+0.000000001,IF(01_因子設定!$B$20="Box-Behnken",D2132^2+E2132^2+F2132^2&lt;=2+0.000000001,TRUE()))</f>
        <v>1</v>
      </c>
      <c r="W2132" s="55" t="n">
        <f aca="false">IF(V2132,IF(01_因子設定!$B$13="最大化",T2132-01_因子設定!$B$14,IF(01_因子設定!$B$13="最小化",01_因子設定!$B$15-U2132,MIN(T2132-01_因子設定!$B$14,01_因子設定!$B$15-U2132))),-1E+030)</f>
        <v>-3.75091702033442</v>
      </c>
      <c r="X2132" s="55" t="n">
        <f aca="false">IF(V2132,IF(01_因子設定!$B$13="最大化",Q2132,IF(01_因子設定!$B$13="最小化",-Q2132,-ABS(Q2132-01_因子設定!$B$16))),-1E+030)</f>
        <v>45.781875</v>
      </c>
      <c r="Y2132" s="55" t="n">
        <f aca="false">W2132+ROW()*0.000000001</f>
        <v>-3.75091488833442</v>
      </c>
      <c r="Z2132" s="55" t="n">
        <f aca="false">X2132+ROW()*0.000000001</f>
        <v>45.781877132</v>
      </c>
    </row>
    <row r="2133" customFormat="false" ht="15" hidden="false" customHeight="false" outlineLevel="0" collapsed="false">
      <c r="A2133" s="0" t="n">
        <v>7</v>
      </c>
      <c r="B2133" s="0" t="n">
        <v>6</v>
      </c>
      <c r="C2133" s="0" t="n">
        <v>3</v>
      </c>
      <c r="D2133" s="0" t="n">
        <f aca="false">-1+A2133*0.125</f>
        <v>-0.125</v>
      </c>
      <c r="E2133" s="0" t="n">
        <f aca="false">-1+B2133*0.125</f>
        <v>-0.25</v>
      </c>
      <c r="F2133" s="0" t="n">
        <f aca="false">-1+C2133*0.125</f>
        <v>-0.625</v>
      </c>
      <c r="G2133" s="0" t="n">
        <f aca="false">1</f>
        <v>1</v>
      </c>
      <c r="H2133" s="0" t="n">
        <f aca="false">D2133</f>
        <v>-0.125</v>
      </c>
      <c r="I2133" s="0" t="n">
        <f aca="false">E2133</f>
        <v>-0.25</v>
      </c>
      <c r="J2133" s="0" t="n">
        <f aca="false">F2133</f>
        <v>-0.625</v>
      </c>
      <c r="K2133" s="0" t="n">
        <f aca="false">D2133*E2133</f>
        <v>0.03125</v>
      </c>
      <c r="L2133" s="0" t="n">
        <f aca="false">D2133*F2133</f>
        <v>0.078125</v>
      </c>
      <c r="M2133" s="0" t="n">
        <f aca="false">E2133*F2133</f>
        <v>0.15625</v>
      </c>
      <c r="N2133" s="0" t="n">
        <f aca="false">D2133*D2133</f>
        <v>0.015625</v>
      </c>
      <c r="O2133" s="0" t="n">
        <f aca="false">E2133*E2133</f>
        <v>0.0625</v>
      </c>
      <c r="P2133" s="0" t="n">
        <f aca="false">F2133*F2133</f>
        <v>0.390625</v>
      </c>
      <c r="Q2133" s="0" t="n">
        <f aca="false">SUMPRODUCT(G2133:P2133,_XtX!$B$71:$K$71)</f>
        <v>46.145</v>
      </c>
      <c r="R2133" s="0" t="n">
        <f aca="false">SUMPRODUCT(MMULT(G2133:P2133,_XtX!$B$58:$K$67),G2133:P2133)</f>
        <v>0.174786376953125</v>
      </c>
      <c r="S2133" s="0" t="n">
        <f aca="false">04_回帰ANOVA!$K$19*04_回帰ANOVA!$K$14*SQRT(1+R2133)</f>
        <v>1.00773440704286</v>
      </c>
      <c r="T2133" s="0" t="n">
        <f aca="false">Q2133-S2133</f>
        <v>45.1372655929572</v>
      </c>
      <c r="U2133" s="0" t="n">
        <f aca="false">Q2133+S2133</f>
        <v>47.1527344070429</v>
      </c>
      <c r="V2133" s="54" t="b">
        <f aca="false">AND(D2133&gt;=01_因子設定!$L$5-0.000000001,D2133&lt;=01_因子設定!$M$5+0.000000001,E2133&gt;=01_因子設定!$L$6-0.000000001,E2133&lt;=01_因子設定!$M$6+0.000000001,F2133&gt;=01_因子設定!$L$7-0.000000001,F2133&lt;=01_因子設定!$M$7+0.000000001,IF(01_因子設定!$B$20="Box-Behnken",D2133^2+E2133^2+F2133^2&lt;=2+0.000000001,TRUE()))</f>
        <v>1</v>
      </c>
      <c r="W2133" s="55" t="n">
        <f aca="false">IF(V2133,IF(01_因子設定!$B$13="最大化",T2133-01_因子設定!$B$14,IF(01_因子設定!$B$13="最小化",01_因子設定!$B$15-U2133,MIN(T2133-01_因子設定!$B$14,01_因子設定!$B$15-U2133))),-1E+030)</f>
        <v>-3.36273440704284</v>
      </c>
      <c r="X2133" s="55" t="n">
        <f aca="false">IF(V2133,IF(01_因子設定!$B$13="最大化",Q2133,IF(01_因子設定!$B$13="最小化",-Q2133,-ABS(Q2133-01_因子設定!$B$16))),-1E+030)</f>
        <v>46.145</v>
      </c>
      <c r="Y2133" s="55" t="n">
        <f aca="false">W2133+ROW()*0.000000001</f>
        <v>-3.36273227404284</v>
      </c>
      <c r="Z2133" s="55" t="n">
        <f aca="false">X2133+ROW()*0.000000001</f>
        <v>46.145002133</v>
      </c>
    </row>
    <row r="2134" customFormat="false" ht="15" hidden="false" customHeight="false" outlineLevel="0" collapsed="false">
      <c r="A2134" s="0" t="n">
        <v>7</v>
      </c>
      <c r="B2134" s="0" t="n">
        <v>6</v>
      </c>
      <c r="C2134" s="0" t="n">
        <v>4</v>
      </c>
      <c r="D2134" s="0" t="n">
        <f aca="false">-1+A2134*0.125</f>
        <v>-0.125</v>
      </c>
      <c r="E2134" s="0" t="n">
        <f aca="false">-1+B2134*0.125</f>
        <v>-0.25</v>
      </c>
      <c r="F2134" s="0" t="n">
        <f aca="false">-1+C2134*0.125</f>
        <v>-0.5</v>
      </c>
      <c r="G2134" s="0" t="n">
        <f aca="false">1</f>
        <v>1</v>
      </c>
      <c r="H2134" s="0" t="n">
        <f aca="false">D2134</f>
        <v>-0.125</v>
      </c>
      <c r="I2134" s="0" t="n">
        <f aca="false">E2134</f>
        <v>-0.25</v>
      </c>
      <c r="J2134" s="0" t="n">
        <f aca="false">F2134</f>
        <v>-0.5</v>
      </c>
      <c r="K2134" s="0" t="n">
        <f aca="false">D2134*E2134</f>
        <v>0.03125</v>
      </c>
      <c r="L2134" s="0" t="n">
        <f aca="false">D2134*F2134</f>
        <v>0.0625</v>
      </c>
      <c r="M2134" s="0" t="n">
        <f aca="false">E2134*F2134</f>
        <v>0.125</v>
      </c>
      <c r="N2134" s="0" t="n">
        <f aca="false">D2134*D2134</f>
        <v>0.015625</v>
      </c>
      <c r="O2134" s="0" t="n">
        <f aca="false">E2134*E2134</f>
        <v>0.0625</v>
      </c>
      <c r="P2134" s="0" t="n">
        <f aca="false">F2134*F2134</f>
        <v>0.25</v>
      </c>
      <c r="Q2134" s="0" t="n">
        <f aca="false">SUMPRODUCT(G2134:P2134,_XtX!$B$71:$K$71)</f>
        <v>46.4713352272727</v>
      </c>
      <c r="R2134" s="0" t="n">
        <f aca="false">SUMPRODUCT(MMULT(G2134:P2134,_XtX!$B$58:$K$67),G2134:P2134)</f>
        <v>0.142371715198864</v>
      </c>
      <c r="S2134" s="0" t="n">
        <f aca="false">04_回帰ANOVA!$K$19*04_回帰ANOVA!$K$14*SQRT(1+R2134)</f>
        <v>0.99373447511735</v>
      </c>
      <c r="T2134" s="0" t="n">
        <f aca="false">Q2134-S2134</f>
        <v>45.4776007521554</v>
      </c>
      <c r="U2134" s="0" t="n">
        <f aca="false">Q2134+S2134</f>
        <v>47.4650697023901</v>
      </c>
      <c r="V2134" s="54" t="b">
        <f aca="false">AND(D2134&gt;=01_因子設定!$L$5-0.000000001,D2134&lt;=01_因子設定!$M$5+0.000000001,E2134&gt;=01_因子設定!$L$6-0.000000001,E2134&lt;=01_因子設定!$M$6+0.000000001,F2134&gt;=01_因子設定!$L$7-0.000000001,F2134&lt;=01_因子設定!$M$7+0.000000001,IF(01_因子設定!$B$20="Box-Behnken",D2134^2+E2134^2+F2134^2&lt;=2+0.000000001,TRUE()))</f>
        <v>1</v>
      </c>
      <c r="W2134" s="55" t="n">
        <f aca="false">IF(V2134,IF(01_因子設定!$B$13="最大化",T2134-01_因子設定!$B$14,IF(01_因子設定!$B$13="最小化",01_因子設定!$B$15-U2134,MIN(T2134-01_因子設定!$B$14,01_因子設定!$B$15-U2134))),-1E+030)</f>
        <v>-3.02239924784461</v>
      </c>
      <c r="X2134" s="55" t="n">
        <f aca="false">IF(V2134,IF(01_因子設定!$B$13="最大化",Q2134,IF(01_因子設定!$B$13="最小化",-Q2134,-ABS(Q2134-01_因子設定!$B$16))),-1E+030)</f>
        <v>46.4713352272727</v>
      </c>
      <c r="Y2134" s="55" t="n">
        <f aca="false">W2134+ROW()*0.000000001</f>
        <v>-3.02239711384461</v>
      </c>
      <c r="Z2134" s="55" t="n">
        <f aca="false">X2134+ROW()*0.000000001</f>
        <v>46.4713373612727</v>
      </c>
    </row>
    <row r="2135" customFormat="false" ht="15" hidden="false" customHeight="false" outlineLevel="0" collapsed="false">
      <c r="A2135" s="0" t="n">
        <v>7</v>
      </c>
      <c r="B2135" s="0" t="n">
        <v>6</v>
      </c>
      <c r="C2135" s="0" t="n">
        <v>5</v>
      </c>
      <c r="D2135" s="0" t="n">
        <f aca="false">-1+A2135*0.125</f>
        <v>-0.125</v>
      </c>
      <c r="E2135" s="0" t="n">
        <f aca="false">-1+B2135*0.125</f>
        <v>-0.25</v>
      </c>
      <c r="F2135" s="0" t="n">
        <f aca="false">-1+C2135*0.125</f>
        <v>-0.375</v>
      </c>
      <c r="G2135" s="0" t="n">
        <f aca="false">1</f>
        <v>1</v>
      </c>
      <c r="H2135" s="0" t="n">
        <f aca="false">D2135</f>
        <v>-0.125</v>
      </c>
      <c r="I2135" s="0" t="n">
        <f aca="false">E2135</f>
        <v>-0.25</v>
      </c>
      <c r="J2135" s="0" t="n">
        <f aca="false">F2135</f>
        <v>-0.375</v>
      </c>
      <c r="K2135" s="0" t="n">
        <f aca="false">D2135*E2135</f>
        <v>0.03125</v>
      </c>
      <c r="L2135" s="0" t="n">
        <f aca="false">D2135*F2135</f>
        <v>0.046875</v>
      </c>
      <c r="M2135" s="0" t="n">
        <f aca="false">E2135*F2135</f>
        <v>0.09375</v>
      </c>
      <c r="N2135" s="0" t="n">
        <f aca="false">D2135*D2135</f>
        <v>0.015625</v>
      </c>
      <c r="O2135" s="0" t="n">
        <f aca="false">E2135*E2135</f>
        <v>0.0625</v>
      </c>
      <c r="P2135" s="0" t="n">
        <f aca="false">F2135*F2135</f>
        <v>0.140625</v>
      </c>
      <c r="Q2135" s="0" t="n">
        <f aca="false">SUMPRODUCT(G2135:P2135,_XtX!$B$71:$K$71)</f>
        <v>46.7608806818182</v>
      </c>
      <c r="R2135" s="0" t="n">
        <f aca="false">SUMPRODUCT(MMULT(G2135:P2135,_XtX!$B$58:$K$67),G2135:P2135)</f>
        <v>0.127103493430398</v>
      </c>
      <c r="S2135" s="0" t="n">
        <f aca="false">04_回帰ANOVA!$K$19*04_回帰ANOVA!$K$14*SQRT(1+R2135)</f>
        <v>0.987071321387587</v>
      </c>
      <c r="T2135" s="0" t="n">
        <f aca="false">Q2135-S2135</f>
        <v>45.7738093604306</v>
      </c>
      <c r="U2135" s="0" t="n">
        <f aca="false">Q2135+S2135</f>
        <v>47.7479520032058</v>
      </c>
      <c r="V2135" s="54" t="b">
        <f aca="false">AND(D2135&gt;=01_因子設定!$L$5-0.000000001,D2135&lt;=01_因子設定!$M$5+0.000000001,E2135&gt;=01_因子設定!$L$6-0.000000001,E2135&lt;=01_因子設定!$M$6+0.000000001,F2135&gt;=01_因子設定!$L$7-0.000000001,F2135&lt;=01_因子設定!$M$7+0.000000001,IF(01_因子設定!$B$20="Box-Behnken",D2135^2+E2135^2+F2135^2&lt;=2+0.000000001,TRUE()))</f>
        <v>1</v>
      </c>
      <c r="W2135" s="55" t="n">
        <f aca="false">IF(V2135,IF(01_因子設定!$B$13="最大化",T2135-01_因子設定!$B$14,IF(01_因子設定!$B$13="最小化",01_因子設定!$B$15-U2135,MIN(T2135-01_因子設定!$B$14,01_因子設定!$B$15-U2135))),-1E+030)</f>
        <v>-2.7261906395694</v>
      </c>
      <c r="X2135" s="55" t="n">
        <f aca="false">IF(V2135,IF(01_因子設定!$B$13="最大化",Q2135,IF(01_因子設定!$B$13="最小化",-Q2135,-ABS(Q2135-01_因子設定!$B$16))),-1E+030)</f>
        <v>46.7608806818182</v>
      </c>
      <c r="Y2135" s="55" t="n">
        <f aca="false">W2135+ROW()*0.000000001</f>
        <v>-2.7261885045694</v>
      </c>
      <c r="Z2135" s="55" t="n">
        <f aca="false">X2135+ROW()*0.000000001</f>
        <v>46.7608828168182</v>
      </c>
    </row>
    <row r="2136" customFormat="false" ht="15" hidden="false" customHeight="false" outlineLevel="0" collapsed="false">
      <c r="A2136" s="0" t="n">
        <v>7</v>
      </c>
      <c r="B2136" s="0" t="n">
        <v>6</v>
      </c>
      <c r="C2136" s="0" t="n">
        <v>6</v>
      </c>
      <c r="D2136" s="0" t="n">
        <f aca="false">-1+A2136*0.125</f>
        <v>-0.125</v>
      </c>
      <c r="E2136" s="0" t="n">
        <f aca="false">-1+B2136*0.125</f>
        <v>-0.25</v>
      </c>
      <c r="F2136" s="0" t="n">
        <f aca="false">-1+C2136*0.125</f>
        <v>-0.25</v>
      </c>
      <c r="G2136" s="0" t="n">
        <f aca="false">1</f>
        <v>1</v>
      </c>
      <c r="H2136" s="0" t="n">
        <f aca="false">D2136</f>
        <v>-0.125</v>
      </c>
      <c r="I2136" s="0" t="n">
        <f aca="false">E2136</f>
        <v>-0.25</v>
      </c>
      <c r="J2136" s="0" t="n">
        <f aca="false">F2136</f>
        <v>-0.25</v>
      </c>
      <c r="K2136" s="0" t="n">
        <f aca="false">D2136*E2136</f>
        <v>0.03125</v>
      </c>
      <c r="L2136" s="0" t="n">
        <f aca="false">D2136*F2136</f>
        <v>0.03125</v>
      </c>
      <c r="M2136" s="0" t="n">
        <f aca="false">E2136*F2136</f>
        <v>0.0625</v>
      </c>
      <c r="N2136" s="0" t="n">
        <f aca="false">D2136*D2136</f>
        <v>0.015625</v>
      </c>
      <c r="O2136" s="0" t="n">
        <f aca="false">E2136*E2136</f>
        <v>0.0625</v>
      </c>
      <c r="P2136" s="0" t="n">
        <f aca="false">F2136*F2136</f>
        <v>0.0625</v>
      </c>
      <c r="Q2136" s="0" t="n">
        <f aca="false">SUMPRODUCT(G2136:P2136,_XtX!$B$71:$K$71)</f>
        <v>47.0136363636364</v>
      </c>
      <c r="R2136" s="0" t="n">
        <f aca="false">SUMPRODUCT(MMULT(G2136:P2136,_XtX!$B$58:$K$67),G2136:P2136)</f>
        <v>0.121524325284091</v>
      </c>
      <c r="S2136" s="0" t="n">
        <f aca="false">04_回帰ANOVA!$K$19*04_回帰ANOVA!$K$14*SQRT(1+R2136)</f>
        <v>0.984625286577447</v>
      </c>
      <c r="T2136" s="0" t="n">
        <f aca="false">Q2136-S2136</f>
        <v>46.0290110770589</v>
      </c>
      <c r="U2136" s="0" t="n">
        <f aca="false">Q2136+S2136</f>
        <v>47.9982616502138</v>
      </c>
      <c r="V2136" s="54" t="b">
        <f aca="false">AND(D2136&gt;=01_因子設定!$L$5-0.000000001,D2136&lt;=01_因子設定!$M$5+0.000000001,E2136&gt;=01_因子設定!$L$6-0.000000001,E2136&lt;=01_因子設定!$M$6+0.000000001,F2136&gt;=01_因子設定!$L$7-0.000000001,F2136&lt;=01_因子設定!$M$7+0.000000001,IF(01_因子設定!$B$20="Box-Behnken",D2136^2+E2136^2+F2136^2&lt;=2+0.000000001,TRUE()))</f>
        <v>1</v>
      </c>
      <c r="W2136" s="55" t="n">
        <f aca="false">IF(V2136,IF(01_因子設定!$B$13="最大化",T2136-01_因子設定!$B$14,IF(01_因子設定!$B$13="最小化",01_因子設定!$B$15-U2136,MIN(T2136-01_因子設定!$B$14,01_因子設定!$B$15-U2136))),-1E+030)</f>
        <v>-2.47098892294108</v>
      </c>
      <c r="X2136" s="55" t="n">
        <f aca="false">IF(V2136,IF(01_因子設定!$B$13="最大化",Q2136,IF(01_因子設定!$B$13="最小化",-Q2136,-ABS(Q2136-01_因子設定!$B$16))),-1E+030)</f>
        <v>47.0136363636364</v>
      </c>
      <c r="Y2136" s="55" t="n">
        <f aca="false">W2136+ROW()*0.000000001</f>
        <v>-2.47098678694108</v>
      </c>
      <c r="Z2136" s="55" t="n">
        <f aca="false">X2136+ROW()*0.000000001</f>
        <v>47.0136384996364</v>
      </c>
    </row>
    <row r="2137" customFormat="false" ht="15" hidden="false" customHeight="false" outlineLevel="0" collapsed="false">
      <c r="A2137" s="0" t="n">
        <v>7</v>
      </c>
      <c r="B2137" s="0" t="n">
        <v>6</v>
      </c>
      <c r="C2137" s="0" t="n">
        <v>7</v>
      </c>
      <c r="D2137" s="0" t="n">
        <f aca="false">-1+A2137*0.125</f>
        <v>-0.125</v>
      </c>
      <c r="E2137" s="0" t="n">
        <f aca="false">-1+B2137*0.125</f>
        <v>-0.25</v>
      </c>
      <c r="F2137" s="0" t="n">
        <f aca="false">-1+C2137*0.125</f>
        <v>-0.125</v>
      </c>
      <c r="G2137" s="0" t="n">
        <f aca="false">1</f>
        <v>1</v>
      </c>
      <c r="H2137" s="0" t="n">
        <f aca="false">D2137</f>
        <v>-0.125</v>
      </c>
      <c r="I2137" s="0" t="n">
        <f aca="false">E2137</f>
        <v>-0.25</v>
      </c>
      <c r="J2137" s="0" t="n">
        <f aca="false">F2137</f>
        <v>-0.125</v>
      </c>
      <c r="K2137" s="0" t="n">
        <f aca="false">D2137*E2137</f>
        <v>0.03125</v>
      </c>
      <c r="L2137" s="0" t="n">
        <f aca="false">D2137*F2137</f>
        <v>0.015625</v>
      </c>
      <c r="M2137" s="0" t="n">
        <f aca="false">E2137*F2137</f>
        <v>0.03125</v>
      </c>
      <c r="N2137" s="0" t="n">
        <f aca="false">D2137*D2137</f>
        <v>0.015625</v>
      </c>
      <c r="O2137" s="0" t="n">
        <f aca="false">E2137*E2137</f>
        <v>0.0625</v>
      </c>
      <c r="P2137" s="0" t="n">
        <f aca="false">F2137*F2137</f>
        <v>0.015625</v>
      </c>
      <c r="Q2137" s="0" t="n">
        <f aca="false">SUMPRODUCT(G2137:P2137,_XtX!$B$71:$K$71)</f>
        <v>47.2296022727273</v>
      </c>
      <c r="R2137" s="0" t="n">
        <f aca="false">SUMPRODUCT(MMULT(G2137:P2137,_XtX!$B$58:$K$67),G2137:P2137)</f>
        <v>0.120307506214489</v>
      </c>
      <c r="S2137" s="0" t="n">
        <f aca="false">04_回帰ANOVA!$K$19*04_回帰ANOVA!$K$14*SQRT(1+R2137)</f>
        <v>0.984090997684742</v>
      </c>
      <c r="T2137" s="0" t="n">
        <f aca="false">Q2137-S2137</f>
        <v>46.2455112750425</v>
      </c>
      <c r="U2137" s="0" t="n">
        <f aca="false">Q2137+S2137</f>
        <v>48.213693270412</v>
      </c>
      <c r="V2137" s="54" t="b">
        <f aca="false">AND(D2137&gt;=01_因子設定!$L$5-0.000000001,D2137&lt;=01_因子設定!$M$5+0.000000001,E2137&gt;=01_因子設定!$L$6-0.000000001,E2137&lt;=01_因子設定!$M$6+0.000000001,F2137&gt;=01_因子設定!$L$7-0.000000001,F2137&lt;=01_因子設定!$M$7+0.000000001,IF(01_因子設定!$B$20="Box-Behnken",D2137^2+E2137^2+F2137^2&lt;=2+0.000000001,TRUE()))</f>
        <v>1</v>
      </c>
      <c r="W2137" s="55" t="n">
        <f aca="false">IF(V2137,IF(01_因子設定!$B$13="最大化",T2137-01_因子設定!$B$14,IF(01_因子設定!$B$13="最小化",01_因子設定!$B$15-U2137,MIN(T2137-01_因子設定!$B$14,01_因子設定!$B$15-U2137))),-1E+030)</f>
        <v>-2.25448872495745</v>
      </c>
      <c r="X2137" s="55" t="n">
        <f aca="false">IF(V2137,IF(01_因子設定!$B$13="最大化",Q2137,IF(01_因子設定!$B$13="最小化",-Q2137,-ABS(Q2137-01_因子設定!$B$16))),-1E+030)</f>
        <v>47.2296022727273</v>
      </c>
      <c r="Y2137" s="55" t="n">
        <f aca="false">W2137+ROW()*0.000000001</f>
        <v>-2.25448658795745</v>
      </c>
      <c r="Z2137" s="55" t="n">
        <f aca="false">X2137+ROW()*0.000000001</f>
        <v>47.2296044097273</v>
      </c>
    </row>
    <row r="2138" customFormat="false" ht="15" hidden="false" customHeight="false" outlineLevel="0" collapsed="false">
      <c r="A2138" s="0" t="n">
        <v>7</v>
      </c>
      <c r="B2138" s="0" t="n">
        <v>6</v>
      </c>
      <c r="C2138" s="0" t="n">
        <v>8</v>
      </c>
      <c r="D2138" s="0" t="n">
        <f aca="false">-1+A2138*0.125</f>
        <v>-0.125</v>
      </c>
      <c r="E2138" s="0" t="n">
        <f aca="false">-1+B2138*0.125</f>
        <v>-0.25</v>
      </c>
      <c r="F2138" s="0" t="n">
        <f aca="false">-1+C2138*0.125</f>
        <v>0</v>
      </c>
      <c r="G2138" s="0" t="n">
        <f aca="false">1</f>
        <v>1</v>
      </c>
      <c r="H2138" s="0" t="n">
        <f aca="false">D2138</f>
        <v>-0.125</v>
      </c>
      <c r="I2138" s="0" t="n">
        <f aca="false">E2138</f>
        <v>-0.25</v>
      </c>
      <c r="J2138" s="0" t="n">
        <f aca="false">F2138</f>
        <v>0</v>
      </c>
      <c r="K2138" s="0" t="n">
        <f aca="false">D2138*E2138</f>
        <v>0.03125</v>
      </c>
      <c r="L2138" s="0" t="n">
        <f aca="false">D2138*F2138</f>
        <v>-0</v>
      </c>
      <c r="M2138" s="0" t="n">
        <f aca="false">E2138*F2138</f>
        <v>-0</v>
      </c>
      <c r="N2138" s="0" t="n">
        <f aca="false">D2138*D2138</f>
        <v>0.015625</v>
      </c>
      <c r="O2138" s="0" t="n">
        <f aca="false">E2138*E2138</f>
        <v>0.0625</v>
      </c>
      <c r="P2138" s="0" t="n">
        <f aca="false">F2138*F2138</f>
        <v>0</v>
      </c>
      <c r="Q2138" s="0" t="n">
        <f aca="false">SUMPRODUCT(G2138:P2138,_XtX!$B$71:$K$71)</f>
        <v>47.4087784090909</v>
      </c>
      <c r="R2138" s="0" t="n">
        <f aca="false">SUMPRODUCT(MMULT(G2138:P2138,_XtX!$B$58:$K$67),G2138:P2138)</f>
        <v>0.120257013494318</v>
      </c>
      <c r="S2138" s="0" t="n">
        <f aca="false">04_回帰ANOVA!$K$19*04_回帰ANOVA!$K$14*SQRT(1+R2138)</f>
        <v>0.984068820741811</v>
      </c>
      <c r="T2138" s="0" t="n">
        <f aca="false">Q2138-S2138</f>
        <v>46.4247095883491</v>
      </c>
      <c r="U2138" s="0" t="n">
        <f aca="false">Q2138+S2138</f>
        <v>48.3928472298327</v>
      </c>
      <c r="V2138" s="54" t="b">
        <f aca="false">AND(D2138&gt;=01_因子設定!$L$5-0.000000001,D2138&lt;=01_因子設定!$M$5+0.000000001,E2138&gt;=01_因子設定!$L$6-0.000000001,E2138&lt;=01_因子設定!$M$6+0.000000001,F2138&gt;=01_因子設定!$L$7-0.000000001,F2138&lt;=01_因子設定!$M$7+0.000000001,IF(01_因子設定!$B$20="Box-Behnken",D2138^2+E2138^2+F2138^2&lt;=2+0.000000001,TRUE()))</f>
        <v>1</v>
      </c>
      <c r="W2138" s="55" t="n">
        <f aca="false">IF(V2138,IF(01_因子設定!$B$13="最大化",T2138-01_因子設定!$B$14,IF(01_因子設定!$B$13="最小化",01_因子設定!$B$15-U2138,MIN(T2138-01_因子設定!$B$14,01_因子設定!$B$15-U2138))),-1E+030)</f>
        <v>-2.07529041165089</v>
      </c>
      <c r="X2138" s="55" t="n">
        <f aca="false">IF(V2138,IF(01_因子設定!$B$13="最大化",Q2138,IF(01_因子設定!$B$13="最小化",-Q2138,-ABS(Q2138-01_因子設定!$B$16))),-1E+030)</f>
        <v>47.4087784090909</v>
      </c>
      <c r="Y2138" s="55" t="n">
        <f aca="false">W2138+ROW()*0.000000001</f>
        <v>-2.07528827365089</v>
      </c>
      <c r="Z2138" s="55" t="n">
        <f aca="false">X2138+ROW()*0.000000001</f>
        <v>47.4087805470909</v>
      </c>
    </row>
    <row r="2139" customFormat="false" ht="15" hidden="false" customHeight="false" outlineLevel="0" collapsed="false">
      <c r="A2139" s="0" t="n">
        <v>7</v>
      </c>
      <c r="B2139" s="0" t="n">
        <v>6</v>
      </c>
      <c r="C2139" s="0" t="n">
        <v>9</v>
      </c>
      <c r="D2139" s="0" t="n">
        <f aca="false">-1+A2139*0.125</f>
        <v>-0.125</v>
      </c>
      <c r="E2139" s="0" t="n">
        <f aca="false">-1+B2139*0.125</f>
        <v>-0.25</v>
      </c>
      <c r="F2139" s="0" t="n">
        <f aca="false">-1+C2139*0.125</f>
        <v>0.125</v>
      </c>
      <c r="G2139" s="0" t="n">
        <f aca="false">1</f>
        <v>1</v>
      </c>
      <c r="H2139" s="0" t="n">
        <f aca="false">D2139</f>
        <v>-0.125</v>
      </c>
      <c r="I2139" s="0" t="n">
        <f aca="false">E2139</f>
        <v>-0.25</v>
      </c>
      <c r="J2139" s="0" t="n">
        <f aca="false">F2139</f>
        <v>0.125</v>
      </c>
      <c r="K2139" s="0" t="n">
        <f aca="false">D2139*E2139</f>
        <v>0.03125</v>
      </c>
      <c r="L2139" s="0" t="n">
        <f aca="false">D2139*F2139</f>
        <v>-0.015625</v>
      </c>
      <c r="M2139" s="0" t="n">
        <f aca="false">E2139*F2139</f>
        <v>-0.03125</v>
      </c>
      <c r="N2139" s="0" t="n">
        <f aca="false">D2139*D2139</f>
        <v>0.015625</v>
      </c>
      <c r="O2139" s="0" t="n">
        <f aca="false">E2139*E2139</f>
        <v>0.0625</v>
      </c>
      <c r="P2139" s="0" t="n">
        <f aca="false">F2139*F2139</f>
        <v>0.015625</v>
      </c>
      <c r="Q2139" s="0" t="n">
        <f aca="false">SUMPRODUCT(G2139:P2139,_XtX!$B$71:$K$71)</f>
        <v>47.5511647727273</v>
      </c>
      <c r="R2139" s="0" t="n">
        <f aca="false">SUMPRODUCT(MMULT(G2139:P2139,_XtX!$B$58:$K$67),G2139:P2139)</f>
        <v>0.120307506214489</v>
      </c>
      <c r="S2139" s="0" t="n">
        <f aca="false">04_回帰ANOVA!$K$19*04_回帰ANOVA!$K$14*SQRT(1+R2139)</f>
        <v>0.984090997684742</v>
      </c>
      <c r="T2139" s="0" t="n">
        <f aca="false">Q2139-S2139</f>
        <v>46.5670737750425</v>
      </c>
      <c r="U2139" s="0" t="n">
        <f aca="false">Q2139+S2139</f>
        <v>48.535255770412</v>
      </c>
      <c r="V2139" s="54" t="b">
        <f aca="false">AND(D2139&gt;=01_因子設定!$L$5-0.000000001,D2139&lt;=01_因子設定!$M$5+0.000000001,E2139&gt;=01_因子設定!$L$6-0.000000001,E2139&lt;=01_因子設定!$M$6+0.000000001,F2139&gt;=01_因子設定!$L$7-0.000000001,F2139&lt;=01_因子設定!$M$7+0.000000001,IF(01_因子設定!$B$20="Box-Behnken",D2139^2+E2139^2+F2139^2&lt;=2+0.000000001,TRUE()))</f>
        <v>1</v>
      </c>
      <c r="W2139" s="55" t="n">
        <f aca="false">IF(V2139,IF(01_因子設定!$B$13="最大化",T2139-01_因子設定!$B$14,IF(01_因子設定!$B$13="最小化",01_因子設定!$B$15-U2139,MIN(T2139-01_因子設定!$B$14,01_因子設定!$B$15-U2139))),-1E+030)</f>
        <v>-1.93292622495746</v>
      </c>
      <c r="X2139" s="55" t="n">
        <f aca="false">IF(V2139,IF(01_因子設定!$B$13="最大化",Q2139,IF(01_因子設定!$B$13="最小化",-Q2139,-ABS(Q2139-01_因子設定!$B$16))),-1E+030)</f>
        <v>47.5511647727273</v>
      </c>
      <c r="Y2139" s="55" t="n">
        <f aca="false">W2139+ROW()*0.000000001</f>
        <v>-1.93292408595746</v>
      </c>
      <c r="Z2139" s="55" t="n">
        <f aca="false">X2139+ROW()*0.000000001</f>
        <v>47.5511669117273</v>
      </c>
    </row>
    <row r="2140" customFormat="false" ht="15" hidden="false" customHeight="false" outlineLevel="0" collapsed="false">
      <c r="A2140" s="0" t="n">
        <v>7</v>
      </c>
      <c r="B2140" s="0" t="n">
        <v>6</v>
      </c>
      <c r="C2140" s="0" t="n">
        <v>10</v>
      </c>
      <c r="D2140" s="0" t="n">
        <f aca="false">-1+A2140*0.125</f>
        <v>-0.125</v>
      </c>
      <c r="E2140" s="0" t="n">
        <f aca="false">-1+B2140*0.125</f>
        <v>-0.25</v>
      </c>
      <c r="F2140" s="0" t="n">
        <f aca="false">-1+C2140*0.125</f>
        <v>0.25</v>
      </c>
      <c r="G2140" s="0" t="n">
        <f aca="false">1</f>
        <v>1</v>
      </c>
      <c r="H2140" s="0" t="n">
        <f aca="false">D2140</f>
        <v>-0.125</v>
      </c>
      <c r="I2140" s="0" t="n">
        <f aca="false">E2140</f>
        <v>-0.25</v>
      </c>
      <c r="J2140" s="0" t="n">
        <f aca="false">F2140</f>
        <v>0.25</v>
      </c>
      <c r="K2140" s="0" t="n">
        <f aca="false">D2140*E2140</f>
        <v>0.03125</v>
      </c>
      <c r="L2140" s="0" t="n">
        <f aca="false">D2140*F2140</f>
        <v>-0.03125</v>
      </c>
      <c r="M2140" s="0" t="n">
        <f aca="false">E2140*F2140</f>
        <v>-0.0625</v>
      </c>
      <c r="N2140" s="0" t="n">
        <f aca="false">D2140*D2140</f>
        <v>0.015625</v>
      </c>
      <c r="O2140" s="0" t="n">
        <f aca="false">E2140*E2140</f>
        <v>0.0625</v>
      </c>
      <c r="P2140" s="0" t="n">
        <f aca="false">F2140*F2140</f>
        <v>0.0625</v>
      </c>
      <c r="Q2140" s="0" t="n">
        <f aca="false">SUMPRODUCT(G2140:P2140,_XtX!$B$71:$K$71)</f>
        <v>47.6567613636364</v>
      </c>
      <c r="R2140" s="0" t="n">
        <f aca="false">SUMPRODUCT(MMULT(G2140:P2140,_XtX!$B$58:$K$67),G2140:P2140)</f>
        <v>0.121524325284091</v>
      </c>
      <c r="S2140" s="0" t="n">
        <f aca="false">04_回帰ANOVA!$K$19*04_回帰ANOVA!$K$14*SQRT(1+R2140)</f>
        <v>0.984625286577447</v>
      </c>
      <c r="T2140" s="0" t="n">
        <f aca="false">Q2140-S2140</f>
        <v>46.6721360770589</v>
      </c>
      <c r="U2140" s="0" t="n">
        <f aca="false">Q2140+S2140</f>
        <v>48.6413866502138</v>
      </c>
      <c r="V2140" s="54" t="b">
        <f aca="false">AND(D2140&gt;=01_因子設定!$L$5-0.000000001,D2140&lt;=01_因子設定!$M$5+0.000000001,E2140&gt;=01_因子設定!$L$6-0.000000001,E2140&lt;=01_因子設定!$M$6+0.000000001,F2140&gt;=01_因子設定!$L$7-0.000000001,F2140&lt;=01_因子設定!$M$7+0.000000001,IF(01_因子設定!$B$20="Box-Behnken",D2140^2+E2140^2+F2140^2&lt;=2+0.000000001,TRUE()))</f>
        <v>1</v>
      </c>
      <c r="W2140" s="55" t="n">
        <f aca="false">IF(V2140,IF(01_因子設定!$B$13="最大化",T2140-01_因子設定!$B$14,IF(01_因子設定!$B$13="最小化",01_因子設定!$B$15-U2140,MIN(T2140-01_因子設定!$B$14,01_因子設定!$B$15-U2140))),-1E+030)</f>
        <v>-1.82786392294108</v>
      </c>
      <c r="X2140" s="55" t="n">
        <f aca="false">IF(V2140,IF(01_因子設定!$B$13="最大化",Q2140,IF(01_因子設定!$B$13="最小化",-Q2140,-ABS(Q2140-01_因子設定!$B$16))),-1E+030)</f>
        <v>47.6567613636364</v>
      </c>
      <c r="Y2140" s="55" t="n">
        <f aca="false">W2140+ROW()*0.000000001</f>
        <v>-1.82786178294108</v>
      </c>
      <c r="Z2140" s="55" t="n">
        <f aca="false">X2140+ROW()*0.000000001</f>
        <v>47.6567635036364</v>
      </c>
    </row>
    <row r="2141" customFormat="false" ht="15" hidden="false" customHeight="false" outlineLevel="0" collapsed="false">
      <c r="A2141" s="0" t="n">
        <v>7</v>
      </c>
      <c r="B2141" s="0" t="n">
        <v>6</v>
      </c>
      <c r="C2141" s="0" t="n">
        <v>11</v>
      </c>
      <c r="D2141" s="0" t="n">
        <f aca="false">-1+A2141*0.125</f>
        <v>-0.125</v>
      </c>
      <c r="E2141" s="0" t="n">
        <f aca="false">-1+B2141*0.125</f>
        <v>-0.25</v>
      </c>
      <c r="F2141" s="0" t="n">
        <f aca="false">-1+C2141*0.125</f>
        <v>0.375</v>
      </c>
      <c r="G2141" s="0" t="n">
        <f aca="false">1</f>
        <v>1</v>
      </c>
      <c r="H2141" s="0" t="n">
        <f aca="false">D2141</f>
        <v>-0.125</v>
      </c>
      <c r="I2141" s="0" t="n">
        <f aca="false">E2141</f>
        <v>-0.25</v>
      </c>
      <c r="J2141" s="0" t="n">
        <f aca="false">F2141</f>
        <v>0.375</v>
      </c>
      <c r="K2141" s="0" t="n">
        <f aca="false">D2141*E2141</f>
        <v>0.03125</v>
      </c>
      <c r="L2141" s="0" t="n">
        <f aca="false">D2141*F2141</f>
        <v>-0.046875</v>
      </c>
      <c r="M2141" s="0" t="n">
        <f aca="false">E2141*F2141</f>
        <v>-0.09375</v>
      </c>
      <c r="N2141" s="0" t="n">
        <f aca="false">D2141*D2141</f>
        <v>0.015625</v>
      </c>
      <c r="O2141" s="0" t="n">
        <f aca="false">E2141*E2141</f>
        <v>0.0625</v>
      </c>
      <c r="P2141" s="0" t="n">
        <f aca="false">F2141*F2141</f>
        <v>0.140625</v>
      </c>
      <c r="Q2141" s="0" t="n">
        <f aca="false">SUMPRODUCT(G2141:P2141,_XtX!$B$71:$K$71)</f>
        <v>47.7255681818182</v>
      </c>
      <c r="R2141" s="0" t="n">
        <f aca="false">SUMPRODUCT(MMULT(G2141:P2141,_XtX!$B$58:$K$67),G2141:P2141)</f>
        <v>0.127103493430398</v>
      </c>
      <c r="S2141" s="0" t="n">
        <f aca="false">04_回帰ANOVA!$K$19*04_回帰ANOVA!$K$14*SQRT(1+R2141)</f>
        <v>0.987071321387587</v>
      </c>
      <c r="T2141" s="0" t="n">
        <f aca="false">Q2141-S2141</f>
        <v>46.7384968604306</v>
      </c>
      <c r="U2141" s="0" t="n">
        <f aca="false">Q2141+S2141</f>
        <v>48.7126395032058</v>
      </c>
      <c r="V2141" s="54" t="b">
        <f aca="false">AND(D2141&gt;=01_因子設定!$L$5-0.000000001,D2141&lt;=01_因子設定!$M$5+0.000000001,E2141&gt;=01_因子設定!$L$6-0.000000001,E2141&lt;=01_因子設定!$M$6+0.000000001,F2141&gt;=01_因子設定!$L$7-0.000000001,F2141&lt;=01_因子設定!$M$7+0.000000001,IF(01_因子設定!$B$20="Box-Behnken",D2141^2+E2141^2+F2141^2&lt;=2+0.000000001,TRUE()))</f>
        <v>1</v>
      </c>
      <c r="W2141" s="55" t="n">
        <f aca="false">IF(V2141,IF(01_因子設定!$B$13="最大化",T2141-01_因子設定!$B$14,IF(01_因子設定!$B$13="最小化",01_因子設定!$B$15-U2141,MIN(T2141-01_因子設定!$B$14,01_因子設定!$B$15-U2141))),-1E+030)</f>
        <v>-1.7615031395694</v>
      </c>
      <c r="X2141" s="55" t="n">
        <f aca="false">IF(V2141,IF(01_因子設定!$B$13="最大化",Q2141,IF(01_因子設定!$B$13="最小化",-Q2141,-ABS(Q2141-01_因子設定!$B$16))),-1E+030)</f>
        <v>47.7255681818182</v>
      </c>
      <c r="Y2141" s="55" t="n">
        <f aca="false">W2141+ROW()*0.000000001</f>
        <v>-1.7615009985694</v>
      </c>
      <c r="Z2141" s="55" t="n">
        <f aca="false">X2141+ROW()*0.000000001</f>
        <v>47.7255703228182</v>
      </c>
    </row>
    <row r="2142" customFormat="false" ht="15" hidden="false" customHeight="false" outlineLevel="0" collapsed="false">
      <c r="A2142" s="0" t="n">
        <v>7</v>
      </c>
      <c r="B2142" s="0" t="n">
        <v>6</v>
      </c>
      <c r="C2142" s="0" t="n">
        <v>12</v>
      </c>
      <c r="D2142" s="0" t="n">
        <f aca="false">-1+A2142*0.125</f>
        <v>-0.125</v>
      </c>
      <c r="E2142" s="0" t="n">
        <f aca="false">-1+B2142*0.125</f>
        <v>-0.25</v>
      </c>
      <c r="F2142" s="0" t="n">
        <f aca="false">-1+C2142*0.125</f>
        <v>0.5</v>
      </c>
      <c r="G2142" s="0" t="n">
        <f aca="false">1</f>
        <v>1</v>
      </c>
      <c r="H2142" s="0" t="n">
        <f aca="false">D2142</f>
        <v>-0.125</v>
      </c>
      <c r="I2142" s="0" t="n">
        <f aca="false">E2142</f>
        <v>-0.25</v>
      </c>
      <c r="J2142" s="0" t="n">
        <f aca="false">F2142</f>
        <v>0.5</v>
      </c>
      <c r="K2142" s="0" t="n">
        <f aca="false">D2142*E2142</f>
        <v>0.03125</v>
      </c>
      <c r="L2142" s="0" t="n">
        <f aca="false">D2142*F2142</f>
        <v>-0.0625</v>
      </c>
      <c r="M2142" s="0" t="n">
        <f aca="false">E2142*F2142</f>
        <v>-0.125</v>
      </c>
      <c r="N2142" s="0" t="n">
        <f aca="false">D2142*D2142</f>
        <v>0.015625</v>
      </c>
      <c r="O2142" s="0" t="n">
        <f aca="false">E2142*E2142</f>
        <v>0.0625</v>
      </c>
      <c r="P2142" s="0" t="n">
        <f aca="false">F2142*F2142</f>
        <v>0.25</v>
      </c>
      <c r="Q2142" s="0" t="n">
        <f aca="false">SUMPRODUCT(G2142:P2142,_XtX!$B$71:$K$71)</f>
        <v>47.7575852272727</v>
      </c>
      <c r="R2142" s="0" t="n">
        <f aca="false">SUMPRODUCT(MMULT(G2142:P2142,_XtX!$B$58:$K$67),G2142:P2142)</f>
        <v>0.142371715198864</v>
      </c>
      <c r="S2142" s="0" t="n">
        <f aca="false">04_回帰ANOVA!$K$19*04_回帰ANOVA!$K$14*SQRT(1+R2142)</f>
        <v>0.99373447511735</v>
      </c>
      <c r="T2142" s="0" t="n">
        <f aca="false">Q2142-S2142</f>
        <v>46.7638507521554</v>
      </c>
      <c r="U2142" s="0" t="n">
        <f aca="false">Q2142+S2142</f>
        <v>48.7513197023901</v>
      </c>
      <c r="V2142" s="54" t="b">
        <f aca="false">AND(D2142&gt;=01_因子設定!$L$5-0.000000001,D2142&lt;=01_因子設定!$M$5+0.000000001,E2142&gt;=01_因子設定!$L$6-0.000000001,E2142&lt;=01_因子設定!$M$6+0.000000001,F2142&gt;=01_因子設定!$L$7-0.000000001,F2142&lt;=01_因子設定!$M$7+0.000000001,IF(01_因子設定!$B$20="Box-Behnken",D2142^2+E2142^2+F2142^2&lt;=2+0.000000001,TRUE()))</f>
        <v>1</v>
      </c>
      <c r="W2142" s="55" t="n">
        <f aca="false">IF(V2142,IF(01_因子設定!$B$13="最大化",T2142-01_因子設定!$B$14,IF(01_因子設定!$B$13="最小化",01_因子設定!$B$15-U2142,MIN(T2142-01_因子設定!$B$14,01_因子設定!$B$15-U2142))),-1E+030)</f>
        <v>-1.73614924784461</v>
      </c>
      <c r="X2142" s="55" t="n">
        <f aca="false">IF(V2142,IF(01_因子設定!$B$13="最大化",Q2142,IF(01_因子設定!$B$13="最小化",-Q2142,-ABS(Q2142-01_因子設定!$B$16))),-1E+030)</f>
        <v>47.7575852272727</v>
      </c>
      <c r="Y2142" s="55" t="n">
        <f aca="false">W2142+ROW()*0.000000001</f>
        <v>-1.73614710584461</v>
      </c>
      <c r="Z2142" s="55" t="n">
        <f aca="false">X2142+ROW()*0.000000001</f>
        <v>47.7575873692727</v>
      </c>
    </row>
    <row r="2143" customFormat="false" ht="15" hidden="false" customHeight="false" outlineLevel="0" collapsed="false">
      <c r="A2143" s="0" t="n">
        <v>7</v>
      </c>
      <c r="B2143" s="0" t="n">
        <v>6</v>
      </c>
      <c r="C2143" s="0" t="n">
        <v>13</v>
      </c>
      <c r="D2143" s="0" t="n">
        <f aca="false">-1+A2143*0.125</f>
        <v>-0.125</v>
      </c>
      <c r="E2143" s="0" t="n">
        <f aca="false">-1+B2143*0.125</f>
        <v>-0.25</v>
      </c>
      <c r="F2143" s="0" t="n">
        <f aca="false">-1+C2143*0.125</f>
        <v>0.625</v>
      </c>
      <c r="G2143" s="0" t="n">
        <f aca="false">1</f>
        <v>1</v>
      </c>
      <c r="H2143" s="0" t="n">
        <f aca="false">D2143</f>
        <v>-0.125</v>
      </c>
      <c r="I2143" s="0" t="n">
        <f aca="false">E2143</f>
        <v>-0.25</v>
      </c>
      <c r="J2143" s="0" t="n">
        <f aca="false">F2143</f>
        <v>0.625</v>
      </c>
      <c r="K2143" s="0" t="n">
        <f aca="false">D2143*E2143</f>
        <v>0.03125</v>
      </c>
      <c r="L2143" s="0" t="n">
        <f aca="false">D2143*F2143</f>
        <v>-0.078125</v>
      </c>
      <c r="M2143" s="0" t="n">
        <f aca="false">E2143*F2143</f>
        <v>-0.15625</v>
      </c>
      <c r="N2143" s="0" t="n">
        <f aca="false">D2143*D2143</f>
        <v>0.015625</v>
      </c>
      <c r="O2143" s="0" t="n">
        <f aca="false">E2143*E2143</f>
        <v>0.0625</v>
      </c>
      <c r="P2143" s="0" t="n">
        <f aca="false">F2143*F2143</f>
        <v>0.390625</v>
      </c>
      <c r="Q2143" s="0" t="n">
        <f aca="false">SUMPRODUCT(G2143:P2143,_XtX!$B$71:$K$71)</f>
        <v>47.7528125</v>
      </c>
      <c r="R2143" s="0" t="n">
        <f aca="false">SUMPRODUCT(MMULT(G2143:P2143,_XtX!$B$58:$K$67),G2143:P2143)</f>
        <v>0.174786376953125</v>
      </c>
      <c r="S2143" s="0" t="n">
        <f aca="false">04_回帰ANOVA!$K$19*04_回帰ANOVA!$K$14*SQRT(1+R2143)</f>
        <v>1.00773440704286</v>
      </c>
      <c r="T2143" s="0" t="n">
        <f aca="false">Q2143-S2143</f>
        <v>46.7450780929572</v>
      </c>
      <c r="U2143" s="0" t="n">
        <f aca="false">Q2143+S2143</f>
        <v>48.7605469070429</v>
      </c>
      <c r="V2143" s="54" t="b">
        <f aca="false">AND(D2143&gt;=01_因子設定!$L$5-0.000000001,D2143&lt;=01_因子設定!$M$5+0.000000001,E2143&gt;=01_因子設定!$L$6-0.000000001,E2143&lt;=01_因子設定!$M$6+0.000000001,F2143&gt;=01_因子設定!$L$7-0.000000001,F2143&lt;=01_因子設定!$M$7+0.000000001,IF(01_因子設定!$B$20="Box-Behnken",D2143^2+E2143^2+F2143^2&lt;=2+0.000000001,TRUE()))</f>
        <v>1</v>
      </c>
      <c r="W2143" s="55" t="n">
        <f aca="false">IF(V2143,IF(01_因子設定!$B$13="最大化",T2143-01_因子設定!$B$14,IF(01_因子設定!$B$13="最小化",01_因子設定!$B$15-U2143,MIN(T2143-01_因子設定!$B$14,01_因子設定!$B$15-U2143))),-1E+030)</f>
        <v>-1.75492190704284</v>
      </c>
      <c r="X2143" s="55" t="n">
        <f aca="false">IF(V2143,IF(01_因子設定!$B$13="最大化",Q2143,IF(01_因子設定!$B$13="最小化",-Q2143,-ABS(Q2143-01_因子設定!$B$16))),-1E+030)</f>
        <v>47.7528125</v>
      </c>
      <c r="Y2143" s="55" t="n">
        <f aca="false">W2143+ROW()*0.000000001</f>
        <v>-1.75491976404284</v>
      </c>
      <c r="Z2143" s="55" t="n">
        <f aca="false">X2143+ROW()*0.000000001</f>
        <v>47.752814643</v>
      </c>
    </row>
    <row r="2144" customFormat="false" ht="15" hidden="false" customHeight="false" outlineLevel="0" collapsed="false">
      <c r="A2144" s="0" t="n">
        <v>7</v>
      </c>
      <c r="B2144" s="0" t="n">
        <v>6</v>
      </c>
      <c r="C2144" s="0" t="n">
        <v>14</v>
      </c>
      <c r="D2144" s="0" t="n">
        <f aca="false">-1+A2144*0.125</f>
        <v>-0.125</v>
      </c>
      <c r="E2144" s="0" t="n">
        <f aca="false">-1+B2144*0.125</f>
        <v>-0.25</v>
      </c>
      <c r="F2144" s="0" t="n">
        <f aca="false">-1+C2144*0.125</f>
        <v>0.75</v>
      </c>
      <c r="G2144" s="0" t="n">
        <f aca="false">1</f>
        <v>1</v>
      </c>
      <c r="H2144" s="0" t="n">
        <f aca="false">D2144</f>
        <v>-0.125</v>
      </c>
      <c r="I2144" s="0" t="n">
        <f aca="false">E2144</f>
        <v>-0.25</v>
      </c>
      <c r="J2144" s="0" t="n">
        <f aca="false">F2144</f>
        <v>0.75</v>
      </c>
      <c r="K2144" s="0" t="n">
        <f aca="false">D2144*E2144</f>
        <v>0.03125</v>
      </c>
      <c r="L2144" s="0" t="n">
        <f aca="false">D2144*F2144</f>
        <v>-0.09375</v>
      </c>
      <c r="M2144" s="0" t="n">
        <f aca="false">E2144*F2144</f>
        <v>-0.1875</v>
      </c>
      <c r="N2144" s="0" t="n">
        <f aca="false">D2144*D2144</f>
        <v>0.015625</v>
      </c>
      <c r="O2144" s="0" t="n">
        <f aca="false">E2144*E2144</f>
        <v>0.0625</v>
      </c>
      <c r="P2144" s="0" t="n">
        <f aca="false">F2144*F2144</f>
        <v>0.5625</v>
      </c>
      <c r="Q2144" s="0" t="n">
        <f aca="false">SUMPRODUCT(G2144:P2144,_XtX!$B$71:$K$71)</f>
        <v>47.71125</v>
      </c>
      <c r="R2144" s="0" t="n">
        <f aca="false">SUMPRODUCT(MMULT(G2144:P2144,_XtX!$B$58:$K$67),G2144:P2144)</f>
        <v>0.233935546875</v>
      </c>
      <c r="S2144" s="0" t="n">
        <f aca="false">04_回帰ANOVA!$K$19*04_回帰ANOVA!$K$14*SQRT(1+R2144)</f>
        <v>1.03279202033444</v>
      </c>
      <c r="T2144" s="0" t="n">
        <f aca="false">Q2144-S2144</f>
        <v>46.6784579796656</v>
      </c>
      <c r="U2144" s="0" t="n">
        <f aca="false">Q2144+S2144</f>
        <v>48.7440420203345</v>
      </c>
      <c r="V2144" s="54" t="b">
        <f aca="false">AND(D2144&gt;=01_因子設定!$L$5-0.000000001,D2144&lt;=01_因子設定!$M$5+0.000000001,E2144&gt;=01_因子設定!$L$6-0.000000001,E2144&lt;=01_因子設定!$M$6+0.000000001,F2144&gt;=01_因子設定!$L$7-0.000000001,F2144&lt;=01_因子設定!$M$7+0.000000001,IF(01_因子設定!$B$20="Box-Behnken",D2144^2+E2144^2+F2144^2&lt;=2+0.000000001,TRUE()))</f>
        <v>1</v>
      </c>
      <c r="W2144" s="55" t="n">
        <f aca="false">IF(V2144,IF(01_因子設定!$B$13="最大化",T2144-01_因子設定!$B$14,IF(01_因子設定!$B$13="最小化",01_因子設定!$B$15-U2144,MIN(T2144-01_因子設定!$B$14,01_因子設定!$B$15-U2144))),-1E+030)</f>
        <v>-1.82154202033442</v>
      </c>
      <c r="X2144" s="55" t="n">
        <f aca="false">IF(V2144,IF(01_因子設定!$B$13="最大化",Q2144,IF(01_因子設定!$B$13="最小化",-Q2144,-ABS(Q2144-01_因子設定!$B$16))),-1E+030)</f>
        <v>47.71125</v>
      </c>
      <c r="Y2144" s="55" t="n">
        <f aca="false">W2144+ROW()*0.000000001</f>
        <v>-1.82153987633442</v>
      </c>
      <c r="Z2144" s="55" t="n">
        <f aca="false">X2144+ROW()*0.000000001</f>
        <v>47.711252144</v>
      </c>
    </row>
    <row r="2145" customFormat="false" ht="15" hidden="false" customHeight="false" outlineLevel="0" collapsed="false">
      <c r="A2145" s="0" t="n">
        <v>7</v>
      </c>
      <c r="B2145" s="0" t="n">
        <v>6</v>
      </c>
      <c r="C2145" s="0" t="n">
        <v>15</v>
      </c>
      <c r="D2145" s="0" t="n">
        <f aca="false">-1+A2145*0.125</f>
        <v>-0.125</v>
      </c>
      <c r="E2145" s="0" t="n">
        <f aca="false">-1+B2145*0.125</f>
        <v>-0.25</v>
      </c>
      <c r="F2145" s="0" t="n">
        <f aca="false">-1+C2145*0.125</f>
        <v>0.875</v>
      </c>
      <c r="G2145" s="0" t="n">
        <f aca="false">1</f>
        <v>1</v>
      </c>
      <c r="H2145" s="0" t="n">
        <f aca="false">D2145</f>
        <v>-0.125</v>
      </c>
      <c r="I2145" s="0" t="n">
        <f aca="false">E2145</f>
        <v>-0.25</v>
      </c>
      <c r="J2145" s="0" t="n">
        <f aca="false">F2145</f>
        <v>0.875</v>
      </c>
      <c r="K2145" s="0" t="n">
        <f aca="false">D2145*E2145</f>
        <v>0.03125</v>
      </c>
      <c r="L2145" s="0" t="n">
        <f aca="false">D2145*F2145</f>
        <v>-0.109375</v>
      </c>
      <c r="M2145" s="0" t="n">
        <f aca="false">E2145*F2145</f>
        <v>-0.21875</v>
      </c>
      <c r="N2145" s="0" t="n">
        <f aca="false">D2145*D2145</f>
        <v>0.015625</v>
      </c>
      <c r="O2145" s="0" t="n">
        <f aca="false">E2145*E2145</f>
        <v>0.0625</v>
      </c>
      <c r="P2145" s="0" t="n">
        <f aca="false">F2145*F2145</f>
        <v>0.765625</v>
      </c>
      <c r="Q2145" s="0" t="n">
        <f aca="false">SUMPRODUCT(G2145:P2145,_XtX!$B$71:$K$71)</f>
        <v>47.6328977272728</v>
      </c>
      <c r="R2145" s="0" t="n">
        <f aca="false">SUMPRODUCT(MMULT(G2145:P2145,_XtX!$B$58:$K$67),G2145:P2145)</f>
        <v>0.331537974964489</v>
      </c>
      <c r="S2145" s="0" t="n">
        <f aca="false">04_回帰ANOVA!$K$19*04_回帰ANOVA!$K$14*SQRT(1+R2145)</f>
        <v>1.07286089161565</v>
      </c>
      <c r="T2145" s="0" t="n">
        <f aca="false">Q2145-S2145</f>
        <v>46.5600368356571</v>
      </c>
      <c r="U2145" s="0" t="n">
        <f aca="false">Q2145+S2145</f>
        <v>48.7057586188884</v>
      </c>
      <c r="V2145" s="54" t="b">
        <f aca="false">AND(D2145&gt;=01_因子設定!$L$5-0.000000001,D2145&lt;=01_因子設定!$M$5+0.000000001,E2145&gt;=01_因子設定!$L$6-0.000000001,E2145&lt;=01_因子設定!$M$6+0.000000001,F2145&gt;=01_因子設定!$L$7-0.000000001,F2145&lt;=01_因子設定!$M$7+0.000000001,IF(01_因子設定!$B$20="Box-Behnken",D2145^2+E2145^2+F2145^2&lt;=2+0.000000001,TRUE()))</f>
        <v>1</v>
      </c>
      <c r="W2145" s="55" t="n">
        <f aca="false">IF(V2145,IF(01_因子設定!$B$13="最大化",T2145-01_因子設定!$B$14,IF(01_因子設定!$B$13="最小化",01_因子設定!$B$15-U2145,MIN(T2145-01_因子設定!$B$14,01_因子設定!$B$15-U2145))),-1E+030)</f>
        <v>-1.93996316434291</v>
      </c>
      <c r="X2145" s="55" t="n">
        <f aca="false">IF(V2145,IF(01_因子設定!$B$13="最大化",Q2145,IF(01_因子設定!$B$13="最小化",-Q2145,-ABS(Q2145-01_因子設定!$B$16))),-1E+030)</f>
        <v>47.6328977272728</v>
      </c>
      <c r="Y2145" s="55" t="n">
        <f aca="false">W2145+ROW()*0.000000001</f>
        <v>-1.93996101934291</v>
      </c>
      <c r="Z2145" s="55" t="n">
        <f aca="false">X2145+ROW()*0.000000001</f>
        <v>47.6328998722728</v>
      </c>
    </row>
    <row r="2146" customFormat="false" ht="15" hidden="false" customHeight="false" outlineLevel="0" collapsed="false">
      <c r="A2146" s="0" t="n">
        <v>7</v>
      </c>
      <c r="B2146" s="0" t="n">
        <v>6</v>
      </c>
      <c r="C2146" s="0" t="n">
        <v>16</v>
      </c>
      <c r="D2146" s="0" t="n">
        <f aca="false">-1+A2146*0.125</f>
        <v>-0.125</v>
      </c>
      <c r="E2146" s="0" t="n">
        <f aca="false">-1+B2146*0.125</f>
        <v>-0.25</v>
      </c>
      <c r="F2146" s="0" t="n">
        <f aca="false">-1+C2146*0.125</f>
        <v>1</v>
      </c>
      <c r="G2146" s="0" t="n">
        <f aca="false">1</f>
        <v>1</v>
      </c>
      <c r="H2146" s="0" t="n">
        <f aca="false">D2146</f>
        <v>-0.125</v>
      </c>
      <c r="I2146" s="0" t="n">
        <f aca="false">E2146</f>
        <v>-0.25</v>
      </c>
      <c r="J2146" s="0" t="n">
        <f aca="false">F2146</f>
        <v>1</v>
      </c>
      <c r="K2146" s="0" t="n">
        <f aca="false">D2146*E2146</f>
        <v>0.03125</v>
      </c>
      <c r="L2146" s="0" t="n">
        <f aca="false">D2146*F2146</f>
        <v>-0.125</v>
      </c>
      <c r="M2146" s="0" t="n">
        <f aca="false">E2146*F2146</f>
        <v>-0.25</v>
      </c>
      <c r="N2146" s="0" t="n">
        <f aca="false">D2146*D2146</f>
        <v>0.015625</v>
      </c>
      <c r="O2146" s="0" t="n">
        <f aca="false">E2146*E2146</f>
        <v>0.0625</v>
      </c>
      <c r="P2146" s="0" t="n">
        <f aca="false">F2146*F2146</f>
        <v>1</v>
      </c>
      <c r="Q2146" s="0" t="n">
        <f aca="false">SUMPRODUCT(G2146:P2146,_XtX!$B$71:$K$71)</f>
        <v>47.5177556818182</v>
      </c>
      <c r="R2146" s="0" t="n">
        <f aca="false">SUMPRODUCT(MMULT(G2146:P2146,_XtX!$B$58:$K$67),G2146:P2146)</f>
        <v>0.481443093039773</v>
      </c>
      <c r="S2146" s="0" t="n">
        <f aca="false">04_回帰ANOVA!$K$19*04_回帰ANOVA!$K$14*SQRT(1+R2146)</f>
        <v>1.13164216995877</v>
      </c>
      <c r="T2146" s="0" t="n">
        <f aca="false">Q2146-S2146</f>
        <v>46.3861135118594</v>
      </c>
      <c r="U2146" s="0" t="n">
        <f aca="false">Q2146+S2146</f>
        <v>48.649397851777</v>
      </c>
      <c r="V2146" s="54" t="b">
        <f aca="false">AND(D2146&gt;=01_因子設定!$L$5-0.000000001,D2146&lt;=01_因子設定!$M$5+0.000000001,E2146&gt;=01_因子設定!$L$6-0.000000001,E2146&lt;=01_因子設定!$M$6+0.000000001,F2146&gt;=01_因子設定!$L$7-0.000000001,F2146&lt;=01_因子設定!$M$7+0.000000001,IF(01_因子設定!$B$20="Box-Behnken",D2146^2+E2146^2+F2146^2&lt;=2+0.000000001,TRUE()))</f>
        <v>1</v>
      </c>
      <c r="W2146" s="55" t="n">
        <f aca="false">IF(V2146,IF(01_因子設定!$B$13="最大化",T2146-01_因子設定!$B$14,IF(01_因子設定!$B$13="最小化",01_因子設定!$B$15-U2146,MIN(T2146-01_因子設定!$B$14,01_因子設定!$B$15-U2146))),-1E+030)</f>
        <v>-2.11388648814056</v>
      </c>
      <c r="X2146" s="55" t="n">
        <f aca="false">IF(V2146,IF(01_因子設定!$B$13="最大化",Q2146,IF(01_因子設定!$B$13="最小化",-Q2146,-ABS(Q2146-01_因子設定!$B$16))),-1E+030)</f>
        <v>47.5177556818182</v>
      </c>
      <c r="Y2146" s="55" t="n">
        <f aca="false">W2146+ROW()*0.000000001</f>
        <v>-2.11388434214056</v>
      </c>
      <c r="Z2146" s="55" t="n">
        <f aca="false">X2146+ROW()*0.000000001</f>
        <v>47.5177578278182</v>
      </c>
    </row>
    <row r="2147" customFormat="false" ht="15" hidden="false" customHeight="false" outlineLevel="0" collapsed="false">
      <c r="A2147" s="0" t="n">
        <v>7</v>
      </c>
      <c r="B2147" s="0" t="n">
        <v>7</v>
      </c>
      <c r="C2147" s="0" t="n">
        <v>0</v>
      </c>
      <c r="D2147" s="0" t="n">
        <f aca="false">-1+A2147*0.125</f>
        <v>-0.125</v>
      </c>
      <c r="E2147" s="0" t="n">
        <f aca="false">-1+B2147*0.125</f>
        <v>-0.125</v>
      </c>
      <c r="F2147" s="0" t="n">
        <f aca="false">-1+C2147*0.125</f>
        <v>-1</v>
      </c>
      <c r="G2147" s="0" t="n">
        <f aca="false">1</f>
        <v>1</v>
      </c>
      <c r="H2147" s="0" t="n">
        <f aca="false">D2147</f>
        <v>-0.125</v>
      </c>
      <c r="I2147" s="0" t="n">
        <f aca="false">E2147</f>
        <v>-0.125</v>
      </c>
      <c r="J2147" s="0" t="n">
        <f aca="false">F2147</f>
        <v>-1</v>
      </c>
      <c r="K2147" s="0" t="n">
        <f aca="false">D2147*E2147</f>
        <v>0.015625</v>
      </c>
      <c r="L2147" s="0" t="n">
        <f aca="false">D2147*F2147</f>
        <v>0.125</v>
      </c>
      <c r="M2147" s="0" t="n">
        <f aca="false">E2147*F2147</f>
        <v>0.125</v>
      </c>
      <c r="N2147" s="0" t="n">
        <f aca="false">D2147*D2147</f>
        <v>0.015625</v>
      </c>
      <c r="O2147" s="0" t="n">
        <f aca="false">E2147*E2147</f>
        <v>0.015625</v>
      </c>
      <c r="P2147" s="0" t="n">
        <f aca="false">F2147*F2147</f>
        <v>1</v>
      </c>
      <c r="Q2147" s="0" t="n">
        <f aca="false">SUMPRODUCT(G2147:P2147,_XtX!$B$71:$K$71)</f>
        <v>45.2236434659091</v>
      </c>
      <c r="R2147" s="0" t="n">
        <f aca="false">SUMPRODUCT(MMULT(G2147:P2147,_XtX!$B$58:$K$67),G2147:P2147)</f>
        <v>0.486718195134943</v>
      </c>
      <c r="S2147" s="0" t="n">
        <f aca="false">04_回帰ANOVA!$K$19*04_回帰ANOVA!$K$14*SQRT(1+R2147)</f>
        <v>1.13365514750636</v>
      </c>
      <c r="T2147" s="0" t="n">
        <f aca="false">Q2147-S2147</f>
        <v>44.0899883184028</v>
      </c>
      <c r="U2147" s="0" t="n">
        <f aca="false">Q2147+S2147</f>
        <v>46.3572986134155</v>
      </c>
      <c r="V2147" s="54" t="b">
        <f aca="false">AND(D2147&gt;=01_因子設定!$L$5-0.000000001,D2147&lt;=01_因子設定!$M$5+0.000000001,E2147&gt;=01_因子設定!$L$6-0.000000001,E2147&lt;=01_因子設定!$M$6+0.000000001,F2147&gt;=01_因子設定!$L$7-0.000000001,F2147&lt;=01_因子設定!$M$7+0.000000001,IF(01_因子設定!$B$20="Box-Behnken",D2147^2+E2147^2+F2147^2&lt;=2+0.000000001,TRUE()))</f>
        <v>1</v>
      </c>
      <c r="W2147" s="55" t="n">
        <f aca="false">IF(V2147,IF(01_因子設定!$B$13="最大化",T2147-01_因子設定!$B$14,IF(01_因子設定!$B$13="最小化",01_因子設定!$B$15-U2147,MIN(T2147-01_因子設定!$B$14,01_因子設定!$B$15-U2147))),-1E+030)</f>
        <v>-4.41001168159724</v>
      </c>
      <c r="X2147" s="55" t="n">
        <f aca="false">IF(V2147,IF(01_因子設定!$B$13="最大化",Q2147,IF(01_因子設定!$B$13="最小化",-Q2147,-ABS(Q2147-01_因子設定!$B$16))),-1E+030)</f>
        <v>45.2236434659091</v>
      </c>
      <c r="Y2147" s="55" t="n">
        <f aca="false">W2147+ROW()*0.000000001</f>
        <v>-4.41000953459724</v>
      </c>
      <c r="Z2147" s="55" t="n">
        <f aca="false">X2147+ROW()*0.000000001</f>
        <v>45.2236456129091</v>
      </c>
    </row>
    <row r="2148" customFormat="false" ht="15" hidden="false" customHeight="false" outlineLevel="0" collapsed="false">
      <c r="A2148" s="0" t="n">
        <v>7</v>
      </c>
      <c r="B2148" s="0" t="n">
        <v>7</v>
      </c>
      <c r="C2148" s="0" t="n">
        <v>1</v>
      </c>
      <c r="D2148" s="0" t="n">
        <f aca="false">-1+A2148*0.125</f>
        <v>-0.125</v>
      </c>
      <c r="E2148" s="0" t="n">
        <f aca="false">-1+B2148*0.125</f>
        <v>-0.125</v>
      </c>
      <c r="F2148" s="0" t="n">
        <f aca="false">-1+C2148*0.125</f>
        <v>-0.875</v>
      </c>
      <c r="G2148" s="0" t="n">
        <f aca="false">1</f>
        <v>1</v>
      </c>
      <c r="H2148" s="0" t="n">
        <f aca="false">D2148</f>
        <v>-0.125</v>
      </c>
      <c r="I2148" s="0" t="n">
        <f aca="false">E2148</f>
        <v>-0.125</v>
      </c>
      <c r="J2148" s="0" t="n">
        <f aca="false">F2148</f>
        <v>-0.875</v>
      </c>
      <c r="K2148" s="0" t="n">
        <f aca="false">D2148*E2148</f>
        <v>0.015625</v>
      </c>
      <c r="L2148" s="0" t="n">
        <f aca="false">D2148*F2148</f>
        <v>0.109375</v>
      </c>
      <c r="M2148" s="0" t="n">
        <f aca="false">E2148*F2148</f>
        <v>0.109375</v>
      </c>
      <c r="N2148" s="0" t="n">
        <f aca="false">D2148*D2148</f>
        <v>0.015625</v>
      </c>
      <c r="O2148" s="0" t="n">
        <f aca="false">E2148*E2148</f>
        <v>0.015625</v>
      </c>
      <c r="P2148" s="0" t="n">
        <f aca="false">F2148*F2148</f>
        <v>0.765625</v>
      </c>
      <c r="Q2148" s="0" t="n">
        <f aca="false">SUMPRODUCT(G2148:P2148,_XtX!$B$71:$K$71)</f>
        <v>45.6673792613637</v>
      </c>
      <c r="R2148" s="0" t="n">
        <f aca="false">SUMPRODUCT(MMULT(G2148:P2148,_XtX!$B$58:$K$67),G2148:P2148)</f>
        <v>0.335190096768466</v>
      </c>
      <c r="S2148" s="0" t="n">
        <f aca="false">04_回帰ANOVA!$K$19*04_回帰ANOVA!$K$14*SQRT(1+R2148)</f>
        <v>1.07433119726947</v>
      </c>
      <c r="T2148" s="0" t="n">
        <f aca="false">Q2148-S2148</f>
        <v>44.5930480640942</v>
      </c>
      <c r="U2148" s="0" t="n">
        <f aca="false">Q2148+S2148</f>
        <v>46.7417104586331</v>
      </c>
      <c r="V2148" s="54" t="b">
        <f aca="false">AND(D2148&gt;=01_因子設定!$L$5-0.000000001,D2148&lt;=01_因子設定!$M$5+0.000000001,E2148&gt;=01_因子設定!$L$6-0.000000001,E2148&lt;=01_因子設定!$M$6+0.000000001,F2148&gt;=01_因子設定!$L$7-0.000000001,F2148&lt;=01_因子設定!$M$7+0.000000001,IF(01_因子設定!$B$20="Box-Behnken",D2148^2+E2148^2+F2148^2&lt;=2+0.000000001,TRUE()))</f>
        <v>1</v>
      </c>
      <c r="W2148" s="55" t="n">
        <f aca="false">IF(V2148,IF(01_因子設定!$B$13="最大化",T2148-01_因子設定!$B$14,IF(01_因子設定!$B$13="最小化",01_因子設定!$B$15-U2148,MIN(T2148-01_因子設定!$B$14,01_因子設定!$B$15-U2148))),-1E+030)</f>
        <v>-3.90695193590581</v>
      </c>
      <c r="X2148" s="55" t="n">
        <f aca="false">IF(V2148,IF(01_因子設定!$B$13="最大化",Q2148,IF(01_因子設定!$B$13="最小化",-Q2148,-ABS(Q2148-01_因子設定!$B$16))),-1E+030)</f>
        <v>45.6673792613637</v>
      </c>
      <c r="Y2148" s="55" t="n">
        <f aca="false">W2148+ROW()*0.000000001</f>
        <v>-3.90694978790581</v>
      </c>
      <c r="Z2148" s="55" t="n">
        <f aca="false">X2148+ROW()*0.000000001</f>
        <v>45.6673814093637</v>
      </c>
    </row>
    <row r="2149" customFormat="false" ht="15" hidden="false" customHeight="false" outlineLevel="0" collapsed="false">
      <c r="A2149" s="0" t="n">
        <v>7</v>
      </c>
      <c r="B2149" s="0" t="n">
        <v>7</v>
      </c>
      <c r="C2149" s="0" t="n">
        <v>2</v>
      </c>
      <c r="D2149" s="0" t="n">
        <f aca="false">-1+A2149*0.125</f>
        <v>-0.125</v>
      </c>
      <c r="E2149" s="0" t="n">
        <f aca="false">-1+B2149*0.125</f>
        <v>-0.125</v>
      </c>
      <c r="F2149" s="0" t="n">
        <f aca="false">-1+C2149*0.125</f>
        <v>-0.75</v>
      </c>
      <c r="G2149" s="0" t="n">
        <f aca="false">1</f>
        <v>1</v>
      </c>
      <c r="H2149" s="0" t="n">
        <f aca="false">D2149</f>
        <v>-0.125</v>
      </c>
      <c r="I2149" s="0" t="n">
        <f aca="false">E2149</f>
        <v>-0.125</v>
      </c>
      <c r="J2149" s="0" t="n">
        <f aca="false">F2149</f>
        <v>-0.75</v>
      </c>
      <c r="K2149" s="0" t="n">
        <f aca="false">D2149*E2149</f>
        <v>0.015625</v>
      </c>
      <c r="L2149" s="0" t="n">
        <f aca="false">D2149*F2149</f>
        <v>0.09375</v>
      </c>
      <c r="M2149" s="0" t="n">
        <f aca="false">E2149*F2149</f>
        <v>0.09375</v>
      </c>
      <c r="N2149" s="0" t="n">
        <f aca="false">D2149*D2149</f>
        <v>0.015625</v>
      </c>
      <c r="O2149" s="0" t="n">
        <f aca="false">E2149*E2149</f>
        <v>0.015625</v>
      </c>
      <c r="P2149" s="0" t="n">
        <f aca="false">F2149*F2149</f>
        <v>0.5625</v>
      </c>
      <c r="Q2149" s="0" t="n">
        <f aca="false">SUMPRODUCT(G2149:P2149,_XtX!$B$71:$K$71)</f>
        <v>46.0743252840909</v>
      </c>
      <c r="R2149" s="0" t="n">
        <f aca="false">SUMPRODUCT(MMULT(G2149:P2149,_XtX!$B$58:$K$67),G2149:P2149)</f>
        <v>0.236181085759943</v>
      </c>
      <c r="S2149" s="0" t="n">
        <f aca="false">04_回帰ANOVA!$K$19*04_回帰ANOVA!$K$14*SQRT(1+R2149)</f>
        <v>1.03373134025567</v>
      </c>
      <c r="T2149" s="0" t="n">
        <f aca="false">Q2149-S2149</f>
        <v>45.0405939438353</v>
      </c>
      <c r="U2149" s="0" t="n">
        <f aca="false">Q2149+S2149</f>
        <v>47.1080566243466</v>
      </c>
      <c r="V2149" s="54" t="b">
        <f aca="false">AND(D2149&gt;=01_因子設定!$L$5-0.000000001,D2149&lt;=01_因子設定!$M$5+0.000000001,E2149&gt;=01_因子設定!$L$6-0.000000001,E2149&lt;=01_因子設定!$M$6+0.000000001,F2149&gt;=01_因子設定!$L$7-0.000000001,F2149&lt;=01_因子設定!$M$7+0.000000001,IF(01_因子設定!$B$20="Box-Behnken",D2149^2+E2149^2+F2149^2&lt;=2+0.000000001,TRUE()))</f>
        <v>1</v>
      </c>
      <c r="W2149" s="55" t="n">
        <f aca="false">IF(V2149,IF(01_因子設定!$B$13="最大化",T2149-01_因子設定!$B$14,IF(01_因子設定!$B$13="最小化",01_因子設定!$B$15-U2149,MIN(T2149-01_因子設定!$B$14,01_因子設定!$B$15-U2149))),-1E+030)</f>
        <v>-3.45940605616475</v>
      </c>
      <c r="X2149" s="55" t="n">
        <f aca="false">IF(V2149,IF(01_因子設定!$B$13="最大化",Q2149,IF(01_因子設定!$B$13="最小化",-Q2149,-ABS(Q2149-01_因子設定!$B$16))),-1E+030)</f>
        <v>46.0743252840909</v>
      </c>
      <c r="Y2149" s="55" t="n">
        <f aca="false">W2149+ROW()*0.000000001</f>
        <v>-3.45940390716475</v>
      </c>
      <c r="Z2149" s="55" t="n">
        <f aca="false">X2149+ROW()*0.000000001</f>
        <v>46.0743274330909</v>
      </c>
    </row>
    <row r="2150" customFormat="false" ht="15" hidden="false" customHeight="false" outlineLevel="0" collapsed="false">
      <c r="A2150" s="0" t="n">
        <v>7</v>
      </c>
      <c r="B2150" s="0" t="n">
        <v>7</v>
      </c>
      <c r="C2150" s="0" t="n">
        <v>3</v>
      </c>
      <c r="D2150" s="0" t="n">
        <f aca="false">-1+A2150*0.125</f>
        <v>-0.125</v>
      </c>
      <c r="E2150" s="0" t="n">
        <f aca="false">-1+B2150*0.125</f>
        <v>-0.125</v>
      </c>
      <c r="F2150" s="0" t="n">
        <f aca="false">-1+C2150*0.125</f>
        <v>-0.625</v>
      </c>
      <c r="G2150" s="0" t="n">
        <f aca="false">1</f>
        <v>1</v>
      </c>
      <c r="H2150" s="0" t="n">
        <f aca="false">D2150</f>
        <v>-0.125</v>
      </c>
      <c r="I2150" s="0" t="n">
        <f aca="false">E2150</f>
        <v>-0.125</v>
      </c>
      <c r="J2150" s="0" t="n">
        <f aca="false">F2150</f>
        <v>-0.625</v>
      </c>
      <c r="K2150" s="0" t="n">
        <f aca="false">D2150*E2150</f>
        <v>0.015625</v>
      </c>
      <c r="L2150" s="0" t="n">
        <f aca="false">D2150*F2150</f>
        <v>0.078125</v>
      </c>
      <c r="M2150" s="0" t="n">
        <f aca="false">E2150*F2150</f>
        <v>0.078125</v>
      </c>
      <c r="N2150" s="0" t="n">
        <f aca="false">D2150*D2150</f>
        <v>0.015625</v>
      </c>
      <c r="O2150" s="0" t="n">
        <f aca="false">E2150*E2150</f>
        <v>0.015625</v>
      </c>
      <c r="P2150" s="0" t="n">
        <f aca="false">F2150*F2150</f>
        <v>0.390625</v>
      </c>
      <c r="Q2150" s="0" t="n">
        <f aca="false">SUMPRODUCT(G2150:P2150,_XtX!$B$71:$K$71)</f>
        <v>46.4444815340909</v>
      </c>
      <c r="R2150" s="0" t="n">
        <f aca="false">SUMPRODUCT(MMULT(G2150:P2150,_XtX!$B$58:$K$67),G2150:P2150)</f>
        <v>0.175841730291193</v>
      </c>
      <c r="S2150" s="0" t="n">
        <f aca="false">04_回帰ANOVA!$K$19*04_回帰ANOVA!$K$14*SQRT(1+R2150)</f>
        <v>1.00818694767054</v>
      </c>
      <c r="T2150" s="0" t="n">
        <f aca="false">Q2150-S2150</f>
        <v>45.4362945864204</v>
      </c>
      <c r="U2150" s="0" t="n">
        <f aca="false">Q2150+S2150</f>
        <v>47.4526684817615</v>
      </c>
      <c r="V2150" s="54" t="b">
        <f aca="false">AND(D2150&gt;=01_因子設定!$L$5-0.000000001,D2150&lt;=01_因子設定!$M$5+0.000000001,E2150&gt;=01_因子設定!$L$6-0.000000001,E2150&lt;=01_因子設定!$M$6+0.000000001,F2150&gt;=01_因子設定!$L$7-0.000000001,F2150&lt;=01_因子設定!$M$7+0.000000001,IF(01_因子設定!$B$20="Box-Behnken",D2150^2+E2150^2+F2150^2&lt;=2+0.000000001,TRUE()))</f>
        <v>1</v>
      </c>
      <c r="W2150" s="55" t="n">
        <f aca="false">IF(V2150,IF(01_因子設定!$B$13="最大化",T2150-01_因子設定!$B$14,IF(01_因子設定!$B$13="最小化",01_因子設定!$B$15-U2150,MIN(T2150-01_因子設定!$B$14,01_因子設定!$B$15-U2150))),-1E+030)</f>
        <v>-3.06370541357961</v>
      </c>
      <c r="X2150" s="55" t="n">
        <f aca="false">IF(V2150,IF(01_因子設定!$B$13="最大化",Q2150,IF(01_因子設定!$B$13="最小化",-Q2150,-ABS(Q2150-01_因子設定!$B$16))),-1E+030)</f>
        <v>46.4444815340909</v>
      </c>
      <c r="Y2150" s="55" t="n">
        <f aca="false">W2150+ROW()*0.000000001</f>
        <v>-3.06370326357961</v>
      </c>
      <c r="Z2150" s="55" t="n">
        <f aca="false">X2150+ROW()*0.000000001</f>
        <v>46.4444836840909</v>
      </c>
    </row>
    <row r="2151" customFormat="false" ht="15" hidden="false" customHeight="false" outlineLevel="0" collapsed="false">
      <c r="A2151" s="0" t="n">
        <v>7</v>
      </c>
      <c r="B2151" s="0" t="n">
        <v>7</v>
      </c>
      <c r="C2151" s="0" t="n">
        <v>4</v>
      </c>
      <c r="D2151" s="0" t="n">
        <f aca="false">-1+A2151*0.125</f>
        <v>-0.125</v>
      </c>
      <c r="E2151" s="0" t="n">
        <f aca="false">-1+B2151*0.125</f>
        <v>-0.125</v>
      </c>
      <c r="F2151" s="0" t="n">
        <f aca="false">-1+C2151*0.125</f>
        <v>-0.5</v>
      </c>
      <c r="G2151" s="0" t="n">
        <f aca="false">1</f>
        <v>1</v>
      </c>
      <c r="H2151" s="0" t="n">
        <f aca="false">D2151</f>
        <v>-0.125</v>
      </c>
      <c r="I2151" s="0" t="n">
        <f aca="false">E2151</f>
        <v>-0.125</v>
      </c>
      <c r="J2151" s="0" t="n">
        <f aca="false">F2151</f>
        <v>-0.5</v>
      </c>
      <c r="K2151" s="0" t="n">
        <f aca="false">D2151*E2151</f>
        <v>0.015625</v>
      </c>
      <c r="L2151" s="0" t="n">
        <f aca="false">D2151*F2151</f>
        <v>0.0625</v>
      </c>
      <c r="M2151" s="0" t="n">
        <f aca="false">E2151*F2151</f>
        <v>0.0625</v>
      </c>
      <c r="N2151" s="0" t="n">
        <f aca="false">D2151*D2151</f>
        <v>0.015625</v>
      </c>
      <c r="O2151" s="0" t="n">
        <f aca="false">E2151*E2151</f>
        <v>0.015625</v>
      </c>
      <c r="P2151" s="0" t="n">
        <f aca="false">F2151*F2151</f>
        <v>0.25</v>
      </c>
      <c r="Q2151" s="0" t="n">
        <f aca="false">SUMPRODUCT(G2151:P2151,_XtX!$B$71:$K$71)</f>
        <v>46.7778480113637</v>
      </c>
      <c r="R2151" s="0" t="n">
        <f aca="false">SUMPRODUCT(MMULT(G2151:P2151,_XtX!$B$58:$K$67),G2151:P2151)</f>
        <v>0.142453280362216</v>
      </c>
      <c r="S2151" s="0" t="n">
        <f aca="false">04_回帰ANOVA!$K$19*04_回帰ANOVA!$K$14*SQRT(1+R2151)</f>
        <v>0.99376995072785</v>
      </c>
      <c r="T2151" s="0" t="n">
        <f aca="false">Q2151-S2151</f>
        <v>45.7840780606358</v>
      </c>
      <c r="U2151" s="0" t="n">
        <f aca="false">Q2151+S2151</f>
        <v>47.7716179620915</v>
      </c>
      <c r="V2151" s="54" t="b">
        <f aca="false">AND(D2151&gt;=01_因子設定!$L$5-0.000000001,D2151&lt;=01_因子設定!$M$5+0.000000001,E2151&gt;=01_因子設定!$L$6-0.000000001,E2151&lt;=01_因子設定!$M$6+0.000000001,F2151&gt;=01_因子設定!$L$7-0.000000001,F2151&lt;=01_因子設定!$M$7+0.000000001,IF(01_因子設定!$B$20="Box-Behnken",D2151^2+E2151^2+F2151^2&lt;=2+0.000000001,TRUE()))</f>
        <v>1</v>
      </c>
      <c r="W2151" s="55" t="n">
        <f aca="false">IF(V2151,IF(01_因子設定!$B$13="最大化",T2151-01_因子設定!$B$14,IF(01_因子設定!$B$13="最小化",01_因子設定!$B$15-U2151,MIN(T2151-01_因子設定!$B$14,01_因子設定!$B$15-U2151))),-1E+030)</f>
        <v>-2.7159219393642</v>
      </c>
      <c r="X2151" s="55" t="n">
        <f aca="false">IF(V2151,IF(01_因子設定!$B$13="最大化",Q2151,IF(01_因子設定!$B$13="最小化",-Q2151,-ABS(Q2151-01_因子設定!$B$16))),-1E+030)</f>
        <v>46.7778480113637</v>
      </c>
      <c r="Y2151" s="55" t="n">
        <f aca="false">W2151+ROW()*0.000000001</f>
        <v>-2.7159197883642</v>
      </c>
      <c r="Z2151" s="55" t="n">
        <f aca="false">X2151+ROW()*0.000000001</f>
        <v>46.7778501623637</v>
      </c>
    </row>
    <row r="2152" customFormat="false" ht="15" hidden="false" customHeight="false" outlineLevel="0" collapsed="false">
      <c r="A2152" s="0" t="n">
        <v>7</v>
      </c>
      <c r="B2152" s="0" t="n">
        <v>7</v>
      </c>
      <c r="C2152" s="0" t="n">
        <v>5</v>
      </c>
      <c r="D2152" s="0" t="n">
        <f aca="false">-1+A2152*0.125</f>
        <v>-0.125</v>
      </c>
      <c r="E2152" s="0" t="n">
        <f aca="false">-1+B2152*0.125</f>
        <v>-0.125</v>
      </c>
      <c r="F2152" s="0" t="n">
        <f aca="false">-1+C2152*0.125</f>
        <v>-0.375</v>
      </c>
      <c r="G2152" s="0" t="n">
        <f aca="false">1</f>
        <v>1</v>
      </c>
      <c r="H2152" s="0" t="n">
        <f aca="false">D2152</f>
        <v>-0.125</v>
      </c>
      <c r="I2152" s="0" t="n">
        <f aca="false">E2152</f>
        <v>-0.125</v>
      </c>
      <c r="J2152" s="0" t="n">
        <f aca="false">F2152</f>
        <v>-0.375</v>
      </c>
      <c r="K2152" s="0" t="n">
        <f aca="false">D2152*E2152</f>
        <v>0.015625</v>
      </c>
      <c r="L2152" s="0" t="n">
        <f aca="false">D2152*F2152</f>
        <v>0.046875</v>
      </c>
      <c r="M2152" s="0" t="n">
        <f aca="false">E2152*F2152</f>
        <v>0.046875</v>
      </c>
      <c r="N2152" s="0" t="n">
        <f aca="false">D2152*D2152</f>
        <v>0.015625</v>
      </c>
      <c r="O2152" s="0" t="n">
        <f aca="false">E2152*E2152</f>
        <v>0.015625</v>
      </c>
      <c r="P2152" s="0" t="n">
        <f aca="false">F2152*F2152</f>
        <v>0.140625</v>
      </c>
      <c r="Q2152" s="0" t="n">
        <f aca="false">SUMPRODUCT(G2152:P2152,_XtX!$B$71:$K$71)</f>
        <v>47.0744247159091</v>
      </c>
      <c r="R2152" s="0" t="n">
        <f aca="false">SUMPRODUCT(MMULT(G2152:P2152,_XtX!$B$58:$K$67),G2152:P2152)</f>
        <v>0.126427667791193</v>
      </c>
      <c r="S2152" s="0" t="n">
        <f aca="false">04_回帰ANOVA!$K$19*04_回帰ANOVA!$K$14*SQRT(1+R2152)</f>
        <v>0.986775346732538</v>
      </c>
      <c r="T2152" s="0" t="n">
        <f aca="false">Q2152-S2152</f>
        <v>46.0876493691766</v>
      </c>
      <c r="U2152" s="0" t="n">
        <f aca="false">Q2152+S2152</f>
        <v>48.0612000626416</v>
      </c>
      <c r="V2152" s="54" t="b">
        <f aca="false">AND(D2152&gt;=01_因子設定!$L$5-0.000000001,D2152&lt;=01_因子設定!$M$5+0.000000001,E2152&gt;=01_因子設定!$L$6-0.000000001,E2152&lt;=01_因子設定!$M$6+0.000000001,F2152&gt;=01_因子設定!$L$7-0.000000001,F2152&lt;=01_因子設定!$M$7+0.000000001,IF(01_因子設定!$B$20="Box-Behnken",D2152^2+E2152^2+F2152^2&lt;=2+0.000000001,TRUE()))</f>
        <v>1</v>
      </c>
      <c r="W2152" s="55" t="n">
        <f aca="false">IF(V2152,IF(01_因子設定!$B$13="最大化",T2152-01_因子設定!$B$14,IF(01_因子設定!$B$13="最小化",01_因子設定!$B$15-U2152,MIN(T2152-01_因子設定!$B$14,01_因子設定!$B$15-U2152))),-1E+030)</f>
        <v>-2.41235063082343</v>
      </c>
      <c r="X2152" s="55" t="n">
        <f aca="false">IF(V2152,IF(01_因子設定!$B$13="最大化",Q2152,IF(01_因子設定!$B$13="最小化",-Q2152,-ABS(Q2152-01_因子設定!$B$16))),-1E+030)</f>
        <v>47.0744247159091</v>
      </c>
      <c r="Y2152" s="55" t="n">
        <f aca="false">W2152+ROW()*0.000000001</f>
        <v>-2.41234847882343</v>
      </c>
      <c r="Z2152" s="55" t="n">
        <f aca="false">X2152+ROW()*0.000000001</f>
        <v>47.0744268679091</v>
      </c>
    </row>
    <row r="2153" customFormat="false" ht="15" hidden="false" customHeight="false" outlineLevel="0" collapsed="false">
      <c r="A2153" s="0" t="n">
        <v>7</v>
      </c>
      <c r="B2153" s="0" t="n">
        <v>7</v>
      </c>
      <c r="C2153" s="0" t="n">
        <v>6</v>
      </c>
      <c r="D2153" s="0" t="n">
        <f aca="false">-1+A2153*0.125</f>
        <v>-0.125</v>
      </c>
      <c r="E2153" s="0" t="n">
        <f aca="false">-1+B2153*0.125</f>
        <v>-0.125</v>
      </c>
      <c r="F2153" s="0" t="n">
        <f aca="false">-1+C2153*0.125</f>
        <v>-0.25</v>
      </c>
      <c r="G2153" s="0" t="n">
        <f aca="false">1</f>
        <v>1</v>
      </c>
      <c r="H2153" s="0" t="n">
        <f aca="false">D2153</f>
        <v>-0.125</v>
      </c>
      <c r="I2153" s="0" t="n">
        <f aca="false">E2153</f>
        <v>-0.125</v>
      </c>
      <c r="J2153" s="0" t="n">
        <f aca="false">F2153</f>
        <v>-0.25</v>
      </c>
      <c r="K2153" s="0" t="n">
        <f aca="false">D2153*E2153</f>
        <v>0.015625</v>
      </c>
      <c r="L2153" s="0" t="n">
        <f aca="false">D2153*F2153</f>
        <v>0.03125</v>
      </c>
      <c r="M2153" s="0" t="n">
        <f aca="false">E2153*F2153</f>
        <v>0.03125</v>
      </c>
      <c r="N2153" s="0" t="n">
        <f aca="false">D2153*D2153</f>
        <v>0.015625</v>
      </c>
      <c r="O2153" s="0" t="n">
        <f aca="false">E2153*E2153</f>
        <v>0.015625</v>
      </c>
      <c r="P2153" s="0" t="n">
        <f aca="false">F2153*F2153</f>
        <v>0.0625</v>
      </c>
      <c r="Q2153" s="0" t="n">
        <f aca="false">SUMPRODUCT(G2153:P2153,_XtX!$B$71:$K$71)</f>
        <v>47.3342116477273</v>
      </c>
      <c r="R2153" s="0" t="n">
        <f aca="false">SUMPRODUCT(MMULT(G2153:P2153,_XtX!$B$58:$K$67),G2153:P2153)</f>
        <v>0.120307506214489</v>
      </c>
      <c r="S2153" s="0" t="n">
        <f aca="false">04_回帰ANOVA!$K$19*04_回帰ANOVA!$K$14*SQRT(1+R2153)</f>
        <v>0.984090997684742</v>
      </c>
      <c r="T2153" s="0" t="n">
        <f aca="false">Q2153-S2153</f>
        <v>46.3501206500425</v>
      </c>
      <c r="U2153" s="0" t="n">
        <f aca="false">Q2153+S2153</f>
        <v>48.318302645412</v>
      </c>
      <c r="V2153" s="54" t="b">
        <f aca="false">AND(D2153&gt;=01_因子設定!$L$5-0.000000001,D2153&lt;=01_因子設定!$M$5+0.000000001,E2153&gt;=01_因子設定!$L$6-0.000000001,E2153&lt;=01_因子設定!$M$6+0.000000001,F2153&gt;=01_因子設定!$L$7-0.000000001,F2153&lt;=01_因子設定!$M$7+0.000000001,IF(01_因子設定!$B$20="Box-Behnken",D2153^2+E2153^2+F2153^2&lt;=2+0.000000001,TRUE()))</f>
        <v>1</v>
      </c>
      <c r="W2153" s="55" t="n">
        <f aca="false">IF(V2153,IF(01_因子設定!$B$13="最大化",T2153-01_因子設定!$B$14,IF(01_因子設定!$B$13="最小化",01_因子設定!$B$15-U2153,MIN(T2153-01_因子設定!$B$14,01_因子設定!$B$15-U2153))),-1E+030)</f>
        <v>-2.14987934995746</v>
      </c>
      <c r="X2153" s="55" t="n">
        <f aca="false">IF(V2153,IF(01_因子設定!$B$13="最大化",Q2153,IF(01_因子設定!$B$13="最小化",-Q2153,-ABS(Q2153-01_因子設定!$B$16))),-1E+030)</f>
        <v>47.3342116477273</v>
      </c>
      <c r="Y2153" s="55" t="n">
        <f aca="false">W2153+ROW()*0.000000001</f>
        <v>-2.14987719695746</v>
      </c>
      <c r="Z2153" s="55" t="n">
        <f aca="false">X2153+ROW()*0.000000001</f>
        <v>47.3342138007273</v>
      </c>
    </row>
    <row r="2154" customFormat="false" ht="15" hidden="false" customHeight="false" outlineLevel="0" collapsed="false">
      <c r="A2154" s="0" t="n">
        <v>7</v>
      </c>
      <c r="B2154" s="0" t="n">
        <v>7</v>
      </c>
      <c r="C2154" s="0" t="n">
        <v>7</v>
      </c>
      <c r="D2154" s="0" t="n">
        <f aca="false">-1+A2154*0.125</f>
        <v>-0.125</v>
      </c>
      <c r="E2154" s="0" t="n">
        <f aca="false">-1+B2154*0.125</f>
        <v>-0.125</v>
      </c>
      <c r="F2154" s="0" t="n">
        <f aca="false">-1+C2154*0.125</f>
        <v>-0.125</v>
      </c>
      <c r="G2154" s="0" t="n">
        <f aca="false">1</f>
        <v>1</v>
      </c>
      <c r="H2154" s="0" t="n">
        <f aca="false">D2154</f>
        <v>-0.125</v>
      </c>
      <c r="I2154" s="0" t="n">
        <f aca="false">E2154</f>
        <v>-0.125</v>
      </c>
      <c r="J2154" s="0" t="n">
        <f aca="false">F2154</f>
        <v>-0.125</v>
      </c>
      <c r="K2154" s="0" t="n">
        <f aca="false">D2154*E2154</f>
        <v>0.015625</v>
      </c>
      <c r="L2154" s="0" t="n">
        <f aca="false">D2154*F2154</f>
        <v>0.015625</v>
      </c>
      <c r="M2154" s="0" t="n">
        <f aca="false">E2154*F2154</f>
        <v>0.015625</v>
      </c>
      <c r="N2154" s="0" t="n">
        <f aca="false">D2154*D2154</f>
        <v>0.015625</v>
      </c>
      <c r="O2154" s="0" t="n">
        <f aca="false">E2154*E2154</f>
        <v>0.015625</v>
      </c>
      <c r="P2154" s="0" t="n">
        <f aca="false">F2154*F2154</f>
        <v>0.015625</v>
      </c>
      <c r="Q2154" s="0" t="n">
        <f aca="false">SUMPRODUCT(G2154:P2154,_XtX!$B$71:$K$71)</f>
        <v>47.5572088068182</v>
      </c>
      <c r="R2154" s="0" t="n">
        <f aca="false">SUMPRODUCT(MMULT(G2154:P2154,_XtX!$B$58:$K$67),G2154:P2154)</f>
        <v>0.118766091086648</v>
      </c>
      <c r="S2154" s="0" t="n">
        <f aca="false">04_回帰ANOVA!$K$19*04_回帰ANOVA!$K$14*SQRT(1+R2154)</f>
        <v>0.983413766268537</v>
      </c>
      <c r="T2154" s="0" t="n">
        <f aca="false">Q2154-S2154</f>
        <v>46.5737950405497</v>
      </c>
      <c r="U2154" s="0" t="n">
        <f aca="false">Q2154+S2154</f>
        <v>48.5406225730867</v>
      </c>
      <c r="V2154" s="54" t="b">
        <f aca="false">AND(D2154&gt;=01_因子設定!$L$5-0.000000001,D2154&lt;=01_因子設定!$M$5+0.000000001,E2154&gt;=01_因子設定!$L$6-0.000000001,E2154&lt;=01_因子設定!$M$6+0.000000001,F2154&gt;=01_因子設定!$L$7-0.000000001,F2154&lt;=01_因子設定!$M$7+0.000000001,IF(01_因子設定!$B$20="Box-Behnken",D2154^2+E2154^2+F2154^2&lt;=2+0.000000001,TRUE()))</f>
        <v>1</v>
      </c>
      <c r="W2154" s="55" t="n">
        <f aca="false">IF(V2154,IF(01_因子設定!$B$13="最大化",T2154-01_因子設定!$B$14,IF(01_因子設定!$B$13="最小化",01_因子設定!$B$15-U2154,MIN(T2154-01_因子設定!$B$14,01_因子設定!$B$15-U2154))),-1E+030)</f>
        <v>-1.92620495945035</v>
      </c>
      <c r="X2154" s="55" t="n">
        <f aca="false">IF(V2154,IF(01_因子設定!$B$13="最大化",Q2154,IF(01_因子設定!$B$13="最小化",-Q2154,-ABS(Q2154-01_因子設定!$B$16))),-1E+030)</f>
        <v>47.5572088068182</v>
      </c>
      <c r="Y2154" s="55" t="n">
        <f aca="false">W2154+ROW()*0.000000001</f>
        <v>-1.92620280545035</v>
      </c>
      <c r="Z2154" s="55" t="n">
        <f aca="false">X2154+ROW()*0.000000001</f>
        <v>47.5572109608182</v>
      </c>
    </row>
    <row r="2155" customFormat="false" ht="15" hidden="false" customHeight="false" outlineLevel="0" collapsed="false">
      <c r="A2155" s="0" t="n">
        <v>7</v>
      </c>
      <c r="B2155" s="0" t="n">
        <v>7</v>
      </c>
      <c r="C2155" s="0" t="n">
        <v>8</v>
      </c>
      <c r="D2155" s="0" t="n">
        <f aca="false">-1+A2155*0.125</f>
        <v>-0.125</v>
      </c>
      <c r="E2155" s="0" t="n">
        <f aca="false">-1+B2155*0.125</f>
        <v>-0.125</v>
      </c>
      <c r="F2155" s="0" t="n">
        <f aca="false">-1+C2155*0.125</f>
        <v>0</v>
      </c>
      <c r="G2155" s="0" t="n">
        <f aca="false">1</f>
        <v>1</v>
      </c>
      <c r="H2155" s="0" t="n">
        <f aca="false">D2155</f>
        <v>-0.125</v>
      </c>
      <c r="I2155" s="0" t="n">
        <f aca="false">E2155</f>
        <v>-0.125</v>
      </c>
      <c r="J2155" s="0" t="n">
        <f aca="false">F2155</f>
        <v>0</v>
      </c>
      <c r="K2155" s="0" t="n">
        <f aca="false">D2155*E2155</f>
        <v>0.015625</v>
      </c>
      <c r="L2155" s="0" t="n">
        <f aca="false">D2155*F2155</f>
        <v>-0</v>
      </c>
      <c r="M2155" s="0" t="n">
        <f aca="false">E2155*F2155</f>
        <v>-0</v>
      </c>
      <c r="N2155" s="0" t="n">
        <f aca="false">D2155*D2155</f>
        <v>0.015625</v>
      </c>
      <c r="O2155" s="0" t="n">
        <f aca="false">E2155*E2155</f>
        <v>0.015625</v>
      </c>
      <c r="P2155" s="0" t="n">
        <f aca="false">F2155*F2155</f>
        <v>0</v>
      </c>
      <c r="Q2155" s="0" t="n">
        <f aca="false">SUMPRODUCT(G2155:P2155,_XtX!$B$71:$K$71)</f>
        <v>47.7434161931818</v>
      </c>
      <c r="R2155" s="0" t="n">
        <f aca="false">SUMPRODUCT(MMULT(G2155:P2155,_XtX!$B$58:$K$67),G2155:P2155)</f>
        <v>0.118607399680398</v>
      </c>
      <c r="S2155" s="0" t="n">
        <f aca="false">04_回帰ANOVA!$K$19*04_回帰ANOVA!$K$14*SQRT(1+R2155)</f>
        <v>0.983344017619025</v>
      </c>
      <c r="T2155" s="0" t="n">
        <f aca="false">Q2155-S2155</f>
        <v>46.7600721755628</v>
      </c>
      <c r="U2155" s="0" t="n">
        <f aca="false">Q2155+S2155</f>
        <v>48.7267602108009</v>
      </c>
      <c r="V2155" s="54" t="b">
        <f aca="false">AND(D2155&gt;=01_因子設定!$L$5-0.000000001,D2155&lt;=01_因子設定!$M$5+0.000000001,E2155&gt;=01_因子設定!$L$6-0.000000001,E2155&lt;=01_因子設定!$M$6+0.000000001,F2155&gt;=01_因子設定!$L$7-0.000000001,F2155&lt;=01_因子設定!$M$7+0.000000001,IF(01_因子設定!$B$20="Box-Behnken",D2155^2+E2155^2+F2155^2&lt;=2+0.000000001,TRUE()))</f>
        <v>1</v>
      </c>
      <c r="W2155" s="55" t="n">
        <f aca="false">IF(V2155,IF(01_因子設定!$B$13="最大化",T2155-01_因子設定!$B$14,IF(01_因子設定!$B$13="最小化",01_因子設定!$B$15-U2155,MIN(T2155-01_因子設定!$B$14,01_因子設定!$B$15-U2155))),-1E+030)</f>
        <v>-1.7399278244372</v>
      </c>
      <c r="X2155" s="55" t="n">
        <f aca="false">IF(V2155,IF(01_因子設定!$B$13="最大化",Q2155,IF(01_因子設定!$B$13="最小化",-Q2155,-ABS(Q2155-01_因子設定!$B$16))),-1E+030)</f>
        <v>47.7434161931818</v>
      </c>
      <c r="Y2155" s="55" t="n">
        <f aca="false">W2155+ROW()*0.000000001</f>
        <v>-1.7399256694372</v>
      </c>
      <c r="Z2155" s="55" t="n">
        <f aca="false">X2155+ROW()*0.000000001</f>
        <v>47.7434183481818</v>
      </c>
    </row>
    <row r="2156" customFormat="false" ht="15" hidden="false" customHeight="false" outlineLevel="0" collapsed="false">
      <c r="A2156" s="0" t="n">
        <v>7</v>
      </c>
      <c r="B2156" s="0" t="n">
        <v>7</v>
      </c>
      <c r="C2156" s="0" t="n">
        <v>9</v>
      </c>
      <c r="D2156" s="0" t="n">
        <f aca="false">-1+A2156*0.125</f>
        <v>-0.125</v>
      </c>
      <c r="E2156" s="0" t="n">
        <f aca="false">-1+B2156*0.125</f>
        <v>-0.125</v>
      </c>
      <c r="F2156" s="0" t="n">
        <f aca="false">-1+C2156*0.125</f>
        <v>0.125</v>
      </c>
      <c r="G2156" s="0" t="n">
        <f aca="false">1</f>
        <v>1</v>
      </c>
      <c r="H2156" s="0" t="n">
        <f aca="false">D2156</f>
        <v>-0.125</v>
      </c>
      <c r="I2156" s="0" t="n">
        <f aca="false">E2156</f>
        <v>-0.125</v>
      </c>
      <c r="J2156" s="0" t="n">
        <f aca="false">F2156</f>
        <v>0.125</v>
      </c>
      <c r="K2156" s="0" t="n">
        <f aca="false">D2156*E2156</f>
        <v>0.015625</v>
      </c>
      <c r="L2156" s="0" t="n">
        <f aca="false">D2156*F2156</f>
        <v>-0.015625</v>
      </c>
      <c r="M2156" s="0" t="n">
        <f aca="false">E2156*F2156</f>
        <v>-0.015625</v>
      </c>
      <c r="N2156" s="0" t="n">
        <f aca="false">D2156*D2156</f>
        <v>0.015625</v>
      </c>
      <c r="O2156" s="0" t="n">
        <f aca="false">E2156*E2156</f>
        <v>0.015625</v>
      </c>
      <c r="P2156" s="0" t="n">
        <f aca="false">F2156*F2156</f>
        <v>0.015625</v>
      </c>
      <c r="Q2156" s="0" t="n">
        <f aca="false">SUMPRODUCT(G2156:P2156,_XtX!$B$71:$K$71)</f>
        <v>47.8928338068182</v>
      </c>
      <c r="R2156" s="0" t="n">
        <f aca="false">SUMPRODUCT(MMULT(G2156:P2156,_XtX!$B$58:$K$67),G2156:P2156)</f>
        <v>0.118766091086648</v>
      </c>
      <c r="S2156" s="0" t="n">
        <f aca="false">04_回帰ANOVA!$K$19*04_回帰ANOVA!$K$14*SQRT(1+R2156)</f>
        <v>0.983413766268537</v>
      </c>
      <c r="T2156" s="0" t="n">
        <f aca="false">Q2156-S2156</f>
        <v>46.9094200405497</v>
      </c>
      <c r="U2156" s="0" t="n">
        <f aca="false">Q2156+S2156</f>
        <v>48.8762475730867</v>
      </c>
      <c r="V2156" s="54" t="b">
        <f aca="false">AND(D2156&gt;=01_因子設定!$L$5-0.000000001,D2156&lt;=01_因子設定!$M$5+0.000000001,E2156&gt;=01_因子設定!$L$6-0.000000001,E2156&lt;=01_因子設定!$M$6+0.000000001,F2156&gt;=01_因子設定!$L$7-0.000000001,F2156&lt;=01_因子設定!$M$7+0.000000001,IF(01_因子設定!$B$20="Box-Behnken",D2156^2+E2156^2+F2156^2&lt;=2+0.000000001,TRUE()))</f>
        <v>1</v>
      </c>
      <c r="W2156" s="55" t="n">
        <f aca="false">IF(V2156,IF(01_因子設定!$B$13="最大化",T2156-01_因子設定!$B$14,IF(01_因子設定!$B$13="最小化",01_因子設定!$B$15-U2156,MIN(T2156-01_因子設定!$B$14,01_因子設定!$B$15-U2156))),-1E+030)</f>
        <v>-1.59057995945035</v>
      </c>
      <c r="X2156" s="55" t="n">
        <f aca="false">IF(V2156,IF(01_因子設定!$B$13="最大化",Q2156,IF(01_因子設定!$B$13="最小化",-Q2156,-ABS(Q2156-01_因子設定!$B$16))),-1E+030)</f>
        <v>47.8928338068182</v>
      </c>
      <c r="Y2156" s="55" t="n">
        <f aca="false">W2156+ROW()*0.000000001</f>
        <v>-1.59057780345034</v>
      </c>
      <c r="Z2156" s="55" t="n">
        <f aca="false">X2156+ROW()*0.000000001</f>
        <v>47.8928359628182</v>
      </c>
    </row>
    <row r="2157" customFormat="false" ht="15" hidden="false" customHeight="false" outlineLevel="0" collapsed="false">
      <c r="A2157" s="0" t="n">
        <v>7</v>
      </c>
      <c r="B2157" s="0" t="n">
        <v>7</v>
      </c>
      <c r="C2157" s="0" t="n">
        <v>10</v>
      </c>
      <c r="D2157" s="0" t="n">
        <f aca="false">-1+A2157*0.125</f>
        <v>-0.125</v>
      </c>
      <c r="E2157" s="0" t="n">
        <f aca="false">-1+B2157*0.125</f>
        <v>-0.125</v>
      </c>
      <c r="F2157" s="0" t="n">
        <f aca="false">-1+C2157*0.125</f>
        <v>0.25</v>
      </c>
      <c r="G2157" s="0" t="n">
        <f aca="false">1</f>
        <v>1</v>
      </c>
      <c r="H2157" s="0" t="n">
        <f aca="false">D2157</f>
        <v>-0.125</v>
      </c>
      <c r="I2157" s="0" t="n">
        <f aca="false">E2157</f>
        <v>-0.125</v>
      </c>
      <c r="J2157" s="0" t="n">
        <f aca="false">F2157</f>
        <v>0.25</v>
      </c>
      <c r="K2157" s="0" t="n">
        <f aca="false">D2157*E2157</f>
        <v>0.015625</v>
      </c>
      <c r="L2157" s="0" t="n">
        <f aca="false">D2157*F2157</f>
        <v>-0.03125</v>
      </c>
      <c r="M2157" s="0" t="n">
        <f aca="false">E2157*F2157</f>
        <v>-0.03125</v>
      </c>
      <c r="N2157" s="0" t="n">
        <f aca="false">D2157*D2157</f>
        <v>0.015625</v>
      </c>
      <c r="O2157" s="0" t="n">
        <f aca="false">E2157*E2157</f>
        <v>0.015625</v>
      </c>
      <c r="P2157" s="0" t="n">
        <f aca="false">F2157*F2157</f>
        <v>0.0625</v>
      </c>
      <c r="Q2157" s="0" t="n">
        <f aca="false">SUMPRODUCT(G2157:P2157,_XtX!$B$71:$K$71)</f>
        <v>48.0054616477273</v>
      </c>
      <c r="R2157" s="0" t="n">
        <f aca="false">SUMPRODUCT(MMULT(G2157:P2157,_XtX!$B$58:$K$67),G2157:P2157)</f>
        <v>0.120307506214489</v>
      </c>
      <c r="S2157" s="0" t="n">
        <f aca="false">04_回帰ANOVA!$K$19*04_回帰ANOVA!$K$14*SQRT(1+R2157)</f>
        <v>0.984090997684742</v>
      </c>
      <c r="T2157" s="0" t="n">
        <f aca="false">Q2157-S2157</f>
        <v>47.0213706500425</v>
      </c>
      <c r="U2157" s="0" t="n">
        <f aca="false">Q2157+S2157</f>
        <v>48.989552645412</v>
      </c>
      <c r="V2157" s="54" t="b">
        <f aca="false">AND(D2157&gt;=01_因子設定!$L$5-0.000000001,D2157&lt;=01_因子設定!$M$5+0.000000001,E2157&gt;=01_因子設定!$L$6-0.000000001,E2157&lt;=01_因子設定!$M$6+0.000000001,F2157&gt;=01_因子設定!$L$7-0.000000001,F2157&lt;=01_因子設定!$M$7+0.000000001,IF(01_因子設定!$B$20="Box-Behnken",D2157^2+E2157^2+F2157^2&lt;=2+0.000000001,TRUE()))</f>
        <v>1</v>
      </c>
      <c r="W2157" s="55" t="n">
        <f aca="false">IF(V2157,IF(01_因子設定!$B$13="最大化",T2157-01_因子設定!$B$14,IF(01_因子設定!$B$13="最小化",01_因子設定!$B$15-U2157,MIN(T2157-01_因子設定!$B$14,01_因子設定!$B$15-U2157))),-1E+030)</f>
        <v>-1.47862934995746</v>
      </c>
      <c r="X2157" s="55" t="n">
        <f aca="false">IF(V2157,IF(01_因子設定!$B$13="最大化",Q2157,IF(01_因子設定!$B$13="最小化",-Q2157,-ABS(Q2157-01_因子設定!$B$16))),-1E+030)</f>
        <v>48.0054616477273</v>
      </c>
      <c r="Y2157" s="55" t="n">
        <f aca="false">W2157+ROW()*0.000000001</f>
        <v>-1.47862719295746</v>
      </c>
      <c r="Z2157" s="55" t="n">
        <f aca="false">X2157+ROW()*0.000000001</f>
        <v>48.0054638047273</v>
      </c>
    </row>
    <row r="2158" customFormat="false" ht="15" hidden="false" customHeight="false" outlineLevel="0" collapsed="false">
      <c r="A2158" s="0" t="n">
        <v>7</v>
      </c>
      <c r="B2158" s="0" t="n">
        <v>7</v>
      </c>
      <c r="C2158" s="0" t="n">
        <v>11</v>
      </c>
      <c r="D2158" s="0" t="n">
        <f aca="false">-1+A2158*0.125</f>
        <v>-0.125</v>
      </c>
      <c r="E2158" s="0" t="n">
        <f aca="false">-1+B2158*0.125</f>
        <v>-0.125</v>
      </c>
      <c r="F2158" s="0" t="n">
        <f aca="false">-1+C2158*0.125</f>
        <v>0.375</v>
      </c>
      <c r="G2158" s="0" t="n">
        <f aca="false">1</f>
        <v>1</v>
      </c>
      <c r="H2158" s="0" t="n">
        <f aca="false">D2158</f>
        <v>-0.125</v>
      </c>
      <c r="I2158" s="0" t="n">
        <f aca="false">E2158</f>
        <v>-0.125</v>
      </c>
      <c r="J2158" s="0" t="n">
        <f aca="false">F2158</f>
        <v>0.375</v>
      </c>
      <c r="K2158" s="0" t="n">
        <f aca="false">D2158*E2158</f>
        <v>0.015625</v>
      </c>
      <c r="L2158" s="0" t="n">
        <f aca="false">D2158*F2158</f>
        <v>-0.046875</v>
      </c>
      <c r="M2158" s="0" t="n">
        <f aca="false">E2158*F2158</f>
        <v>-0.046875</v>
      </c>
      <c r="N2158" s="0" t="n">
        <f aca="false">D2158*D2158</f>
        <v>0.015625</v>
      </c>
      <c r="O2158" s="0" t="n">
        <f aca="false">E2158*E2158</f>
        <v>0.015625</v>
      </c>
      <c r="P2158" s="0" t="n">
        <f aca="false">F2158*F2158</f>
        <v>0.140625</v>
      </c>
      <c r="Q2158" s="0" t="n">
        <f aca="false">SUMPRODUCT(G2158:P2158,_XtX!$B$71:$K$71)</f>
        <v>48.0812997159091</v>
      </c>
      <c r="R2158" s="0" t="n">
        <f aca="false">SUMPRODUCT(MMULT(G2158:P2158,_XtX!$B$58:$K$67),G2158:P2158)</f>
        <v>0.126427667791193</v>
      </c>
      <c r="S2158" s="0" t="n">
        <f aca="false">04_回帰ANOVA!$K$19*04_回帰ANOVA!$K$14*SQRT(1+R2158)</f>
        <v>0.986775346732538</v>
      </c>
      <c r="T2158" s="0" t="n">
        <f aca="false">Q2158-S2158</f>
        <v>47.0945243691766</v>
      </c>
      <c r="U2158" s="0" t="n">
        <f aca="false">Q2158+S2158</f>
        <v>49.0680750626416</v>
      </c>
      <c r="V2158" s="54" t="b">
        <f aca="false">AND(D2158&gt;=01_因子設定!$L$5-0.000000001,D2158&lt;=01_因子設定!$M$5+0.000000001,E2158&gt;=01_因子設定!$L$6-0.000000001,E2158&lt;=01_因子設定!$M$6+0.000000001,F2158&gt;=01_因子設定!$L$7-0.000000001,F2158&lt;=01_因子設定!$M$7+0.000000001,IF(01_因子設定!$B$20="Box-Behnken",D2158^2+E2158^2+F2158^2&lt;=2+0.000000001,TRUE()))</f>
        <v>1</v>
      </c>
      <c r="W2158" s="55" t="n">
        <f aca="false">IF(V2158,IF(01_因子設定!$B$13="最大化",T2158-01_因子設定!$B$14,IF(01_因子設定!$B$13="最小化",01_因子設定!$B$15-U2158,MIN(T2158-01_因子設定!$B$14,01_因子設定!$B$15-U2158))),-1E+030)</f>
        <v>-1.40547563082343</v>
      </c>
      <c r="X2158" s="55" t="n">
        <f aca="false">IF(V2158,IF(01_因子設定!$B$13="最大化",Q2158,IF(01_因子設定!$B$13="最小化",-Q2158,-ABS(Q2158-01_因子設定!$B$16))),-1E+030)</f>
        <v>48.0812997159091</v>
      </c>
      <c r="Y2158" s="55" t="n">
        <f aca="false">W2158+ROW()*0.000000001</f>
        <v>-1.40547347282343</v>
      </c>
      <c r="Z2158" s="55" t="n">
        <f aca="false">X2158+ROW()*0.000000001</f>
        <v>48.0813018739091</v>
      </c>
    </row>
    <row r="2159" customFormat="false" ht="15" hidden="false" customHeight="false" outlineLevel="0" collapsed="false">
      <c r="A2159" s="0" t="n">
        <v>7</v>
      </c>
      <c r="B2159" s="0" t="n">
        <v>7</v>
      </c>
      <c r="C2159" s="0" t="n">
        <v>12</v>
      </c>
      <c r="D2159" s="0" t="n">
        <f aca="false">-1+A2159*0.125</f>
        <v>-0.125</v>
      </c>
      <c r="E2159" s="0" t="n">
        <f aca="false">-1+B2159*0.125</f>
        <v>-0.125</v>
      </c>
      <c r="F2159" s="0" t="n">
        <f aca="false">-1+C2159*0.125</f>
        <v>0.5</v>
      </c>
      <c r="G2159" s="0" t="n">
        <f aca="false">1</f>
        <v>1</v>
      </c>
      <c r="H2159" s="0" t="n">
        <f aca="false">D2159</f>
        <v>-0.125</v>
      </c>
      <c r="I2159" s="0" t="n">
        <f aca="false">E2159</f>
        <v>-0.125</v>
      </c>
      <c r="J2159" s="0" t="n">
        <f aca="false">F2159</f>
        <v>0.5</v>
      </c>
      <c r="K2159" s="0" t="n">
        <f aca="false">D2159*E2159</f>
        <v>0.015625</v>
      </c>
      <c r="L2159" s="0" t="n">
        <f aca="false">D2159*F2159</f>
        <v>-0.0625</v>
      </c>
      <c r="M2159" s="0" t="n">
        <f aca="false">E2159*F2159</f>
        <v>-0.0625</v>
      </c>
      <c r="N2159" s="0" t="n">
        <f aca="false">D2159*D2159</f>
        <v>0.015625</v>
      </c>
      <c r="O2159" s="0" t="n">
        <f aca="false">E2159*E2159</f>
        <v>0.015625</v>
      </c>
      <c r="P2159" s="0" t="n">
        <f aca="false">F2159*F2159</f>
        <v>0.25</v>
      </c>
      <c r="Q2159" s="0" t="n">
        <f aca="false">SUMPRODUCT(G2159:P2159,_XtX!$B$71:$K$71)</f>
        <v>48.1203480113637</v>
      </c>
      <c r="R2159" s="0" t="n">
        <f aca="false">SUMPRODUCT(MMULT(G2159:P2159,_XtX!$B$58:$K$67),G2159:P2159)</f>
        <v>0.142453280362216</v>
      </c>
      <c r="S2159" s="0" t="n">
        <f aca="false">04_回帰ANOVA!$K$19*04_回帰ANOVA!$K$14*SQRT(1+R2159)</f>
        <v>0.99376995072785</v>
      </c>
      <c r="T2159" s="0" t="n">
        <f aca="false">Q2159-S2159</f>
        <v>47.1265780606358</v>
      </c>
      <c r="U2159" s="0" t="n">
        <f aca="false">Q2159+S2159</f>
        <v>49.1141179620915</v>
      </c>
      <c r="V2159" s="54" t="b">
        <f aca="false">AND(D2159&gt;=01_因子設定!$L$5-0.000000001,D2159&lt;=01_因子設定!$M$5+0.000000001,E2159&gt;=01_因子設定!$L$6-0.000000001,E2159&lt;=01_因子設定!$M$6+0.000000001,F2159&gt;=01_因子設定!$L$7-0.000000001,F2159&lt;=01_因子設定!$M$7+0.000000001,IF(01_因子設定!$B$20="Box-Behnken",D2159^2+E2159^2+F2159^2&lt;=2+0.000000001,TRUE()))</f>
        <v>1</v>
      </c>
      <c r="W2159" s="55" t="n">
        <f aca="false">IF(V2159,IF(01_因子設定!$B$13="最大化",T2159-01_因子設定!$B$14,IF(01_因子設定!$B$13="最小化",01_因子設定!$B$15-U2159,MIN(T2159-01_因子設定!$B$14,01_因子設定!$B$15-U2159))),-1E+030)</f>
        <v>-1.3734219393642</v>
      </c>
      <c r="X2159" s="55" t="n">
        <f aca="false">IF(V2159,IF(01_因子設定!$B$13="最大化",Q2159,IF(01_因子設定!$B$13="最小化",-Q2159,-ABS(Q2159-01_因子設定!$B$16))),-1E+030)</f>
        <v>48.1203480113637</v>
      </c>
      <c r="Y2159" s="55" t="n">
        <f aca="false">W2159+ROW()*0.000000001</f>
        <v>-1.3734197803642</v>
      </c>
      <c r="Z2159" s="55" t="n">
        <f aca="false">X2159+ROW()*0.000000001</f>
        <v>48.1203501703637</v>
      </c>
    </row>
    <row r="2160" customFormat="false" ht="15" hidden="false" customHeight="false" outlineLevel="0" collapsed="false">
      <c r="A2160" s="0" t="n">
        <v>7</v>
      </c>
      <c r="B2160" s="0" t="n">
        <v>7</v>
      </c>
      <c r="C2160" s="0" t="n">
        <v>13</v>
      </c>
      <c r="D2160" s="0" t="n">
        <f aca="false">-1+A2160*0.125</f>
        <v>-0.125</v>
      </c>
      <c r="E2160" s="0" t="n">
        <f aca="false">-1+B2160*0.125</f>
        <v>-0.125</v>
      </c>
      <c r="F2160" s="0" t="n">
        <f aca="false">-1+C2160*0.125</f>
        <v>0.625</v>
      </c>
      <c r="G2160" s="0" t="n">
        <f aca="false">1</f>
        <v>1</v>
      </c>
      <c r="H2160" s="0" t="n">
        <f aca="false">D2160</f>
        <v>-0.125</v>
      </c>
      <c r="I2160" s="0" t="n">
        <f aca="false">E2160</f>
        <v>-0.125</v>
      </c>
      <c r="J2160" s="0" t="n">
        <f aca="false">F2160</f>
        <v>0.625</v>
      </c>
      <c r="K2160" s="0" t="n">
        <f aca="false">D2160*E2160</f>
        <v>0.015625</v>
      </c>
      <c r="L2160" s="0" t="n">
        <f aca="false">D2160*F2160</f>
        <v>-0.078125</v>
      </c>
      <c r="M2160" s="0" t="n">
        <f aca="false">E2160*F2160</f>
        <v>-0.078125</v>
      </c>
      <c r="N2160" s="0" t="n">
        <f aca="false">D2160*D2160</f>
        <v>0.015625</v>
      </c>
      <c r="O2160" s="0" t="n">
        <f aca="false">E2160*E2160</f>
        <v>0.015625</v>
      </c>
      <c r="P2160" s="0" t="n">
        <f aca="false">F2160*F2160</f>
        <v>0.390625</v>
      </c>
      <c r="Q2160" s="0" t="n">
        <f aca="false">SUMPRODUCT(G2160:P2160,_XtX!$B$71:$K$71)</f>
        <v>48.1226065340909</v>
      </c>
      <c r="R2160" s="0" t="n">
        <f aca="false">SUMPRODUCT(MMULT(G2160:P2160,_XtX!$B$58:$K$67),G2160:P2160)</f>
        <v>0.175841730291193</v>
      </c>
      <c r="S2160" s="0" t="n">
        <f aca="false">04_回帰ANOVA!$K$19*04_回帰ANOVA!$K$14*SQRT(1+R2160)</f>
        <v>1.00818694767054</v>
      </c>
      <c r="T2160" s="0" t="n">
        <f aca="false">Q2160-S2160</f>
        <v>47.1144195864204</v>
      </c>
      <c r="U2160" s="0" t="n">
        <f aca="false">Q2160+S2160</f>
        <v>49.1307934817615</v>
      </c>
      <c r="V2160" s="54" t="b">
        <f aca="false">AND(D2160&gt;=01_因子設定!$L$5-0.000000001,D2160&lt;=01_因子設定!$M$5+0.000000001,E2160&gt;=01_因子設定!$L$6-0.000000001,E2160&lt;=01_因子設定!$M$6+0.000000001,F2160&gt;=01_因子設定!$L$7-0.000000001,F2160&lt;=01_因子設定!$M$7+0.000000001,IF(01_因子設定!$B$20="Box-Behnken",D2160^2+E2160^2+F2160^2&lt;=2+0.000000001,TRUE()))</f>
        <v>1</v>
      </c>
      <c r="W2160" s="55" t="n">
        <f aca="false">IF(V2160,IF(01_因子設定!$B$13="最大化",T2160-01_因子設定!$B$14,IF(01_因子設定!$B$13="最小化",01_因子設定!$B$15-U2160,MIN(T2160-01_因子設定!$B$14,01_因子設定!$B$15-U2160))),-1E+030)</f>
        <v>-1.38558041357961</v>
      </c>
      <c r="X2160" s="55" t="n">
        <f aca="false">IF(V2160,IF(01_因子設定!$B$13="最大化",Q2160,IF(01_因子設定!$B$13="最小化",-Q2160,-ABS(Q2160-01_因子設定!$B$16))),-1E+030)</f>
        <v>48.1226065340909</v>
      </c>
      <c r="Y2160" s="55" t="n">
        <f aca="false">W2160+ROW()*0.000000001</f>
        <v>-1.38557825357961</v>
      </c>
      <c r="Z2160" s="55" t="n">
        <f aca="false">X2160+ROW()*0.000000001</f>
        <v>48.1226086940909</v>
      </c>
    </row>
    <row r="2161" customFormat="false" ht="15" hidden="false" customHeight="false" outlineLevel="0" collapsed="false">
      <c r="A2161" s="0" t="n">
        <v>7</v>
      </c>
      <c r="B2161" s="0" t="n">
        <v>7</v>
      </c>
      <c r="C2161" s="0" t="n">
        <v>14</v>
      </c>
      <c r="D2161" s="0" t="n">
        <f aca="false">-1+A2161*0.125</f>
        <v>-0.125</v>
      </c>
      <c r="E2161" s="0" t="n">
        <f aca="false">-1+B2161*0.125</f>
        <v>-0.125</v>
      </c>
      <c r="F2161" s="0" t="n">
        <f aca="false">-1+C2161*0.125</f>
        <v>0.75</v>
      </c>
      <c r="G2161" s="0" t="n">
        <f aca="false">1</f>
        <v>1</v>
      </c>
      <c r="H2161" s="0" t="n">
        <f aca="false">D2161</f>
        <v>-0.125</v>
      </c>
      <c r="I2161" s="0" t="n">
        <f aca="false">E2161</f>
        <v>-0.125</v>
      </c>
      <c r="J2161" s="0" t="n">
        <f aca="false">F2161</f>
        <v>0.75</v>
      </c>
      <c r="K2161" s="0" t="n">
        <f aca="false">D2161*E2161</f>
        <v>0.015625</v>
      </c>
      <c r="L2161" s="0" t="n">
        <f aca="false">D2161*F2161</f>
        <v>-0.09375</v>
      </c>
      <c r="M2161" s="0" t="n">
        <f aca="false">E2161*F2161</f>
        <v>-0.09375</v>
      </c>
      <c r="N2161" s="0" t="n">
        <f aca="false">D2161*D2161</f>
        <v>0.015625</v>
      </c>
      <c r="O2161" s="0" t="n">
        <f aca="false">E2161*E2161</f>
        <v>0.015625</v>
      </c>
      <c r="P2161" s="0" t="n">
        <f aca="false">F2161*F2161</f>
        <v>0.5625</v>
      </c>
      <c r="Q2161" s="0" t="n">
        <f aca="false">SUMPRODUCT(G2161:P2161,_XtX!$B$71:$K$71)</f>
        <v>48.0880752840909</v>
      </c>
      <c r="R2161" s="0" t="n">
        <f aca="false">SUMPRODUCT(MMULT(G2161:P2161,_XtX!$B$58:$K$67),G2161:P2161)</f>
        <v>0.236181085759943</v>
      </c>
      <c r="S2161" s="0" t="n">
        <f aca="false">04_回帰ANOVA!$K$19*04_回帰ANOVA!$K$14*SQRT(1+R2161)</f>
        <v>1.03373134025567</v>
      </c>
      <c r="T2161" s="0" t="n">
        <f aca="false">Q2161-S2161</f>
        <v>47.0543439438353</v>
      </c>
      <c r="U2161" s="0" t="n">
        <f aca="false">Q2161+S2161</f>
        <v>49.1218066243466</v>
      </c>
      <c r="V2161" s="54" t="b">
        <f aca="false">AND(D2161&gt;=01_因子設定!$L$5-0.000000001,D2161&lt;=01_因子設定!$M$5+0.000000001,E2161&gt;=01_因子設定!$L$6-0.000000001,E2161&lt;=01_因子設定!$M$6+0.000000001,F2161&gt;=01_因子設定!$L$7-0.000000001,F2161&lt;=01_因子設定!$M$7+0.000000001,IF(01_因子設定!$B$20="Box-Behnken",D2161^2+E2161^2+F2161^2&lt;=2+0.000000001,TRUE()))</f>
        <v>1</v>
      </c>
      <c r="W2161" s="55" t="n">
        <f aca="false">IF(V2161,IF(01_因子設定!$B$13="最大化",T2161-01_因子設定!$B$14,IF(01_因子設定!$B$13="最小化",01_因子設定!$B$15-U2161,MIN(T2161-01_因子設定!$B$14,01_因子設定!$B$15-U2161))),-1E+030)</f>
        <v>-1.44565605616475</v>
      </c>
      <c r="X2161" s="55" t="n">
        <f aca="false">IF(V2161,IF(01_因子設定!$B$13="最大化",Q2161,IF(01_因子設定!$B$13="最小化",-Q2161,-ABS(Q2161-01_因子設定!$B$16))),-1E+030)</f>
        <v>48.0880752840909</v>
      </c>
      <c r="Y2161" s="55" t="n">
        <f aca="false">W2161+ROW()*0.000000001</f>
        <v>-1.44565389516475</v>
      </c>
      <c r="Z2161" s="55" t="n">
        <f aca="false">X2161+ROW()*0.000000001</f>
        <v>48.0880774450909</v>
      </c>
    </row>
    <row r="2162" customFormat="false" ht="15" hidden="false" customHeight="false" outlineLevel="0" collapsed="false">
      <c r="A2162" s="0" t="n">
        <v>7</v>
      </c>
      <c r="B2162" s="0" t="n">
        <v>7</v>
      </c>
      <c r="C2162" s="0" t="n">
        <v>15</v>
      </c>
      <c r="D2162" s="0" t="n">
        <f aca="false">-1+A2162*0.125</f>
        <v>-0.125</v>
      </c>
      <c r="E2162" s="0" t="n">
        <f aca="false">-1+B2162*0.125</f>
        <v>-0.125</v>
      </c>
      <c r="F2162" s="0" t="n">
        <f aca="false">-1+C2162*0.125</f>
        <v>0.875</v>
      </c>
      <c r="G2162" s="0" t="n">
        <f aca="false">1</f>
        <v>1</v>
      </c>
      <c r="H2162" s="0" t="n">
        <f aca="false">D2162</f>
        <v>-0.125</v>
      </c>
      <c r="I2162" s="0" t="n">
        <f aca="false">E2162</f>
        <v>-0.125</v>
      </c>
      <c r="J2162" s="0" t="n">
        <f aca="false">F2162</f>
        <v>0.875</v>
      </c>
      <c r="K2162" s="0" t="n">
        <f aca="false">D2162*E2162</f>
        <v>0.015625</v>
      </c>
      <c r="L2162" s="0" t="n">
        <f aca="false">D2162*F2162</f>
        <v>-0.109375</v>
      </c>
      <c r="M2162" s="0" t="n">
        <f aca="false">E2162*F2162</f>
        <v>-0.109375</v>
      </c>
      <c r="N2162" s="0" t="n">
        <f aca="false">D2162*D2162</f>
        <v>0.015625</v>
      </c>
      <c r="O2162" s="0" t="n">
        <f aca="false">E2162*E2162</f>
        <v>0.015625</v>
      </c>
      <c r="P2162" s="0" t="n">
        <f aca="false">F2162*F2162</f>
        <v>0.765625</v>
      </c>
      <c r="Q2162" s="0" t="n">
        <f aca="false">SUMPRODUCT(G2162:P2162,_XtX!$B$71:$K$71)</f>
        <v>48.0167542613637</v>
      </c>
      <c r="R2162" s="0" t="n">
        <f aca="false">SUMPRODUCT(MMULT(G2162:P2162,_XtX!$B$58:$K$67),G2162:P2162)</f>
        <v>0.335190096768466</v>
      </c>
      <c r="S2162" s="0" t="n">
        <f aca="false">04_回帰ANOVA!$K$19*04_回帰ANOVA!$K$14*SQRT(1+R2162)</f>
        <v>1.07433119726947</v>
      </c>
      <c r="T2162" s="0" t="n">
        <f aca="false">Q2162-S2162</f>
        <v>46.9424230640942</v>
      </c>
      <c r="U2162" s="0" t="n">
        <f aca="false">Q2162+S2162</f>
        <v>49.0910854586331</v>
      </c>
      <c r="V2162" s="54" t="b">
        <f aca="false">AND(D2162&gt;=01_因子設定!$L$5-0.000000001,D2162&lt;=01_因子設定!$M$5+0.000000001,E2162&gt;=01_因子設定!$L$6-0.000000001,E2162&lt;=01_因子設定!$M$6+0.000000001,F2162&gt;=01_因子設定!$L$7-0.000000001,F2162&lt;=01_因子設定!$M$7+0.000000001,IF(01_因子設定!$B$20="Box-Behnken",D2162^2+E2162^2+F2162^2&lt;=2+0.000000001,TRUE()))</f>
        <v>1</v>
      </c>
      <c r="W2162" s="55" t="n">
        <f aca="false">IF(V2162,IF(01_因子設定!$B$13="最大化",T2162-01_因子設定!$B$14,IF(01_因子設定!$B$13="最小化",01_因子設定!$B$15-U2162,MIN(T2162-01_因子設定!$B$14,01_因子設定!$B$15-U2162))),-1E+030)</f>
        <v>-1.55757693590581</v>
      </c>
      <c r="X2162" s="55" t="n">
        <f aca="false">IF(V2162,IF(01_因子設定!$B$13="最大化",Q2162,IF(01_因子設定!$B$13="最小化",-Q2162,-ABS(Q2162-01_因子設定!$B$16))),-1E+030)</f>
        <v>48.0167542613637</v>
      </c>
      <c r="Y2162" s="55" t="n">
        <f aca="false">W2162+ROW()*0.000000001</f>
        <v>-1.55757477390581</v>
      </c>
      <c r="Z2162" s="55" t="n">
        <f aca="false">X2162+ROW()*0.000000001</f>
        <v>48.0167564233637</v>
      </c>
    </row>
    <row r="2163" customFormat="false" ht="15" hidden="false" customHeight="false" outlineLevel="0" collapsed="false">
      <c r="A2163" s="0" t="n">
        <v>7</v>
      </c>
      <c r="B2163" s="0" t="n">
        <v>7</v>
      </c>
      <c r="C2163" s="0" t="n">
        <v>16</v>
      </c>
      <c r="D2163" s="0" t="n">
        <f aca="false">-1+A2163*0.125</f>
        <v>-0.125</v>
      </c>
      <c r="E2163" s="0" t="n">
        <f aca="false">-1+B2163*0.125</f>
        <v>-0.125</v>
      </c>
      <c r="F2163" s="0" t="n">
        <f aca="false">-1+C2163*0.125</f>
        <v>1</v>
      </c>
      <c r="G2163" s="0" t="n">
        <f aca="false">1</f>
        <v>1</v>
      </c>
      <c r="H2163" s="0" t="n">
        <f aca="false">D2163</f>
        <v>-0.125</v>
      </c>
      <c r="I2163" s="0" t="n">
        <f aca="false">E2163</f>
        <v>-0.125</v>
      </c>
      <c r="J2163" s="0" t="n">
        <f aca="false">F2163</f>
        <v>1</v>
      </c>
      <c r="K2163" s="0" t="n">
        <f aca="false">D2163*E2163</f>
        <v>0.015625</v>
      </c>
      <c r="L2163" s="0" t="n">
        <f aca="false">D2163*F2163</f>
        <v>-0.125</v>
      </c>
      <c r="M2163" s="0" t="n">
        <f aca="false">E2163*F2163</f>
        <v>-0.125</v>
      </c>
      <c r="N2163" s="0" t="n">
        <f aca="false">D2163*D2163</f>
        <v>0.015625</v>
      </c>
      <c r="O2163" s="0" t="n">
        <f aca="false">E2163*E2163</f>
        <v>0.015625</v>
      </c>
      <c r="P2163" s="0" t="n">
        <f aca="false">F2163*F2163</f>
        <v>1</v>
      </c>
      <c r="Q2163" s="0" t="n">
        <f aca="false">SUMPRODUCT(G2163:P2163,_XtX!$B$71:$K$71)</f>
        <v>47.9086434659091</v>
      </c>
      <c r="R2163" s="0" t="n">
        <f aca="false">SUMPRODUCT(MMULT(G2163:P2163,_XtX!$B$58:$K$67),G2163:P2163)</f>
        <v>0.486718195134943</v>
      </c>
      <c r="S2163" s="0" t="n">
        <f aca="false">04_回帰ANOVA!$K$19*04_回帰ANOVA!$K$14*SQRT(1+R2163)</f>
        <v>1.13365514750636</v>
      </c>
      <c r="T2163" s="0" t="n">
        <f aca="false">Q2163-S2163</f>
        <v>46.7749883184028</v>
      </c>
      <c r="U2163" s="0" t="n">
        <f aca="false">Q2163+S2163</f>
        <v>49.0422986134155</v>
      </c>
      <c r="V2163" s="54" t="b">
        <f aca="false">AND(D2163&gt;=01_因子設定!$L$5-0.000000001,D2163&lt;=01_因子設定!$M$5+0.000000001,E2163&gt;=01_因子設定!$L$6-0.000000001,E2163&lt;=01_因子設定!$M$6+0.000000001,F2163&gt;=01_因子設定!$L$7-0.000000001,F2163&lt;=01_因子設定!$M$7+0.000000001,IF(01_因子設定!$B$20="Box-Behnken",D2163^2+E2163^2+F2163^2&lt;=2+0.000000001,TRUE()))</f>
        <v>1</v>
      </c>
      <c r="W2163" s="55" t="n">
        <f aca="false">IF(V2163,IF(01_因子設定!$B$13="最大化",T2163-01_因子設定!$B$14,IF(01_因子設定!$B$13="最小化",01_因子設定!$B$15-U2163,MIN(T2163-01_因子設定!$B$14,01_因子設定!$B$15-U2163))),-1E+030)</f>
        <v>-1.72501168159724</v>
      </c>
      <c r="X2163" s="55" t="n">
        <f aca="false">IF(V2163,IF(01_因子設定!$B$13="最大化",Q2163,IF(01_因子設定!$B$13="最小化",-Q2163,-ABS(Q2163-01_因子設定!$B$16))),-1E+030)</f>
        <v>47.9086434659091</v>
      </c>
      <c r="Y2163" s="55" t="n">
        <f aca="false">W2163+ROW()*0.000000001</f>
        <v>-1.72500951859724</v>
      </c>
      <c r="Z2163" s="55" t="n">
        <f aca="false">X2163+ROW()*0.000000001</f>
        <v>47.9086456289091</v>
      </c>
    </row>
    <row r="2164" customFormat="false" ht="15" hidden="false" customHeight="false" outlineLevel="0" collapsed="false">
      <c r="A2164" s="0" t="n">
        <v>7</v>
      </c>
      <c r="B2164" s="0" t="n">
        <v>8</v>
      </c>
      <c r="C2164" s="0" t="n">
        <v>0</v>
      </c>
      <c r="D2164" s="0" t="n">
        <f aca="false">-1+A2164*0.125</f>
        <v>-0.125</v>
      </c>
      <c r="E2164" s="0" t="n">
        <f aca="false">-1+B2164*0.125</f>
        <v>0</v>
      </c>
      <c r="F2164" s="0" t="n">
        <f aca="false">-1+C2164*0.125</f>
        <v>-1</v>
      </c>
      <c r="G2164" s="0" t="n">
        <f aca="false">1</f>
        <v>1</v>
      </c>
      <c r="H2164" s="0" t="n">
        <f aca="false">D2164</f>
        <v>-0.125</v>
      </c>
      <c r="I2164" s="0" t="n">
        <f aca="false">E2164</f>
        <v>0</v>
      </c>
      <c r="J2164" s="0" t="n">
        <f aca="false">F2164</f>
        <v>-1</v>
      </c>
      <c r="K2164" s="0" t="n">
        <f aca="false">D2164*E2164</f>
        <v>-0</v>
      </c>
      <c r="L2164" s="0" t="n">
        <f aca="false">D2164*F2164</f>
        <v>0.125</v>
      </c>
      <c r="M2164" s="0" t="n">
        <f aca="false">E2164*F2164</f>
        <v>-0</v>
      </c>
      <c r="N2164" s="0" t="n">
        <f aca="false">D2164*D2164</f>
        <v>0.015625</v>
      </c>
      <c r="O2164" s="0" t="n">
        <f aca="false">E2164*E2164</f>
        <v>0</v>
      </c>
      <c r="P2164" s="0" t="n">
        <f aca="false">F2164*F2164</f>
        <v>1</v>
      </c>
      <c r="Q2164" s="0" t="n">
        <f aca="false">SUMPRODUCT(G2164:P2164,_XtX!$B$71:$K$71)</f>
        <v>45.4386789772728</v>
      </c>
      <c r="R2164" s="0" t="n">
        <f aca="false">SUMPRODUCT(MMULT(G2164:P2164,_XtX!$B$58:$K$67),G2164:P2164)</f>
        <v>0.488831676136364</v>
      </c>
      <c r="S2164" s="0" t="n">
        <f aca="false">04_回帰ANOVA!$K$19*04_回帰ANOVA!$K$14*SQRT(1+R2164)</f>
        <v>1.13446064908709</v>
      </c>
      <c r="T2164" s="0" t="n">
        <f aca="false">Q2164-S2164</f>
        <v>44.3042183281857</v>
      </c>
      <c r="U2164" s="0" t="n">
        <f aca="false">Q2164+S2164</f>
        <v>46.5731396263599</v>
      </c>
      <c r="V2164" s="54" t="b">
        <f aca="false">AND(D2164&gt;=01_因子設定!$L$5-0.000000001,D2164&lt;=01_因子設定!$M$5+0.000000001,E2164&gt;=01_因子設定!$L$6-0.000000001,E2164&lt;=01_因子設定!$M$6+0.000000001,F2164&gt;=01_因子設定!$L$7-0.000000001,F2164&lt;=01_因子設定!$M$7+0.000000001,IF(01_因子設定!$B$20="Box-Behnken",D2164^2+E2164^2+F2164^2&lt;=2+0.000000001,TRUE()))</f>
        <v>1</v>
      </c>
      <c r="W2164" s="55" t="n">
        <f aca="false">IF(V2164,IF(01_因子設定!$B$13="最大化",T2164-01_因子設定!$B$14,IF(01_因子設定!$B$13="最小化",01_因子設定!$B$15-U2164,MIN(T2164-01_因子設定!$B$14,01_因子設定!$B$15-U2164))),-1E+030)</f>
        <v>-4.19578167181433</v>
      </c>
      <c r="X2164" s="55" t="n">
        <f aca="false">IF(V2164,IF(01_因子設定!$B$13="最大化",Q2164,IF(01_因子設定!$B$13="最小化",-Q2164,-ABS(Q2164-01_因子設定!$B$16))),-1E+030)</f>
        <v>45.4386789772728</v>
      </c>
      <c r="Y2164" s="55" t="n">
        <f aca="false">W2164+ROW()*0.000000001</f>
        <v>-4.19577950781433</v>
      </c>
      <c r="Z2164" s="55" t="n">
        <f aca="false">X2164+ROW()*0.000000001</f>
        <v>45.4386811412728</v>
      </c>
    </row>
    <row r="2165" customFormat="false" ht="15" hidden="false" customHeight="false" outlineLevel="0" collapsed="false">
      <c r="A2165" s="0" t="n">
        <v>7</v>
      </c>
      <c r="B2165" s="0" t="n">
        <v>8</v>
      </c>
      <c r="C2165" s="0" t="n">
        <v>1</v>
      </c>
      <c r="D2165" s="0" t="n">
        <f aca="false">-1+A2165*0.125</f>
        <v>-0.125</v>
      </c>
      <c r="E2165" s="0" t="n">
        <f aca="false">-1+B2165*0.125</f>
        <v>0</v>
      </c>
      <c r="F2165" s="0" t="n">
        <f aca="false">-1+C2165*0.125</f>
        <v>-0.875</v>
      </c>
      <c r="G2165" s="0" t="n">
        <f aca="false">1</f>
        <v>1</v>
      </c>
      <c r="H2165" s="0" t="n">
        <f aca="false">D2165</f>
        <v>-0.125</v>
      </c>
      <c r="I2165" s="0" t="n">
        <f aca="false">E2165</f>
        <v>0</v>
      </c>
      <c r="J2165" s="0" t="n">
        <f aca="false">F2165</f>
        <v>-0.875</v>
      </c>
      <c r="K2165" s="0" t="n">
        <f aca="false">D2165*E2165</f>
        <v>-0</v>
      </c>
      <c r="L2165" s="0" t="n">
        <f aca="false">D2165*F2165</f>
        <v>0.109375</v>
      </c>
      <c r="M2165" s="0" t="n">
        <f aca="false">E2165*F2165</f>
        <v>-0</v>
      </c>
      <c r="N2165" s="0" t="n">
        <f aca="false">D2165*D2165</f>
        <v>0.015625</v>
      </c>
      <c r="O2165" s="0" t="n">
        <f aca="false">E2165*E2165</f>
        <v>0</v>
      </c>
      <c r="P2165" s="0" t="n">
        <f aca="false">F2165*F2165</f>
        <v>0.765625</v>
      </c>
      <c r="Q2165" s="0" t="n">
        <f aca="false">SUMPRODUCT(G2165:P2165,_XtX!$B$71:$K$71)</f>
        <v>45.8894460227273</v>
      </c>
      <c r="R2165" s="0" t="n">
        <f aca="false">SUMPRODUCT(MMULT(G2165:P2165,_XtX!$B$58:$K$67),G2165:P2165)</f>
        <v>0.336762584339489</v>
      </c>
      <c r="S2165" s="0" t="n">
        <f aca="false">04_回帰ANOVA!$K$19*04_回帰ANOVA!$K$14*SQRT(1+R2165)</f>
        <v>1.07496364479411</v>
      </c>
      <c r="T2165" s="0" t="n">
        <f aca="false">Q2165-S2165</f>
        <v>44.8144823779332</v>
      </c>
      <c r="U2165" s="0" t="n">
        <f aca="false">Q2165+S2165</f>
        <v>46.9644096675214</v>
      </c>
      <c r="V2165" s="54" t="b">
        <f aca="false">AND(D2165&gt;=01_因子設定!$L$5-0.000000001,D2165&lt;=01_因子設定!$M$5+0.000000001,E2165&gt;=01_因子設定!$L$6-0.000000001,E2165&lt;=01_因子設定!$M$6+0.000000001,F2165&gt;=01_因子設定!$L$7-0.000000001,F2165&lt;=01_因子設定!$M$7+0.000000001,IF(01_因子設定!$B$20="Box-Behnken",D2165^2+E2165^2+F2165^2&lt;=2+0.000000001,TRUE()))</f>
        <v>1</v>
      </c>
      <c r="W2165" s="55" t="n">
        <f aca="false">IF(V2165,IF(01_因子設定!$B$13="最大化",T2165-01_因子設定!$B$14,IF(01_因子設定!$B$13="最小化",01_因子設定!$B$15-U2165,MIN(T2165-01_因子設定!$B$14,01_因子設定!$B$15-U2165))),-1E+030)</f>
        <v>-3.68551762206681</v>
      </c>
      <c r="X2165" s="55" t="n">
        <f aca="false">IF(V2165,IF(01_因子設定!$B$13="最大化",Q2165,IF(01_因子設定!$B$13="最小化",-Q2165,-ABS(Q2165-01_因子設定!$B$16))),-1E+030)</f>
        <v>45.8894460227273</v>
      </c>
      <c r="Y2165" s="55" t="n">
        <f aca="false">W2165+ROW()*0.000000001</f>
        <v>-3.68551545706681</v>
      </c>
      <c r="Z2165" s="55" t="n">
        <f aca="false">X2165+ROW()*0.000000001</f>
        <v>45.8894481877273</v>
      </c>
    </row>
    <row r="2166" customFormat="false" ht="15" hidden="false" customHeight="false" outlineLevel="0" collapsed="false">
      <c r="A2166" s="0" t="n">
        <v>7</v>
      </c>
      <c r="B2166" s="0" t="n">
        <v>8</v>
      </c>
      <c r="C2166" s="0" t="n">
        <v>2</v>
      </c>
      <c r="D2166" s="0" t="n">
        <f aca="false">-1+A2166*0.125</f>
        <v>-0.125</v>
      </c>
      <c r="E2166" s="0" t="n">
        <f aca="false">-1+B2166*0.125</f>
        <v>0</v>
      </c>
      <c r="F2166" s="0" t="n">
        <f aca="false">-1+C2166*0.125</f>
        <v>-0.75</v>
      </c>
      <c r="G2166" s="0" t="n">
        <f aca="false">1</f>
        <v>1</v>
      </c>
      <c r="H2166" s="0" t="n">
        <f aca="false">D2166</f>
        <v>-0.125</v>
      </c>
      <c r="I2166" s="0" t="n">
        <f aca="false">E2166</f>
        <v>0</v>
      </c>
      <c r="J2166" s="0" t="n">
        <f aca="false">F2166</f>
        <v>-0.75</v>
      </c>
      <c r="K2166" s="0" t="n">
        <f aca="false">D2166*E2166</f>
        <v>-0</v>
      </c>
      <c r="L2166" s="0" t="n">
        <f aca="false">D2166*F2166</f>
        <v>0.09375</v>
      </c>
      <c r="M2166" s="0" t="n">
        <f aca="false">E2166*F2166</f>
        <v>-0</v>
      </c>
      <c r="N2166" s="0" t="n">
        <f aca="false">D2166*D2166</f>
        <v>0.015625</v>
      </c>
      <c r="O2166" s="0" t="n">
        <f aca="false">E2166*E2166</f>
        <v>0</v>
      </c>
      <c r="P2166" s="0" t="n">
        <f aca="false">F2166*F2166</f>
        <v>0.5625</v>
      </c>
      <c r="Q2166" s="0" t="n">
        <f aca="false">SUMPRODUCT(G2166:P2166,_XtX!$B$71:$K$71)</f>
        <v>46.3034232954546</v>
      </c>
      <c r="R2166" s="0" t="n">
        <f aca="false">SUMPRODUCT(MMULT(G2166:P2166,_XtX!$B$58:$K$67),G2166:P2166)</f>
        <v>0.237284712357955</v>
      </c>
      <c r="S2166" s="0" t="n">
        <f aca="false">04_回帰ANOVA!$K$19*04_回帰ANOVA!$K$14*SQRT(1+R2166)</f>
        <v>1.03419267998124</v>
      </c>
      <c r="T2166" s="0" t="n">
        <f aca="false">Q2166-S2166</f>
        <v>45.2692306154733</v>
      </c>
      <c r="U2166" s="0" t="n">
        <f aca="false">Q2166+S2166</f>
        <v>47.3376159754358</v>
      </c>
      <c r="V2166" s="54" t="b">
        <f aca="false">AND(D2166&gt;=01_因子設定!$L$5-0.000000001,D2166&lt;=01_因子設定!$M$5+0.000000001,E2166&gt;=01_因子設定!$L$6-0.000000001,E2166&lt;=01_因子設定!$M$6+0.000000001,F2166&gt;=01_因子設定!$L$7-0.000000001,F2166&lt;=01_因子設定!$M$7+0.000000001,IF(01_因子設定!$B$20="Box-Behnken",D2166^2+E2166^2+F2166^2&lt;=2+0.000000001,TRUE()))</f>
        <v>1</v>
      </c>
      <c r="W2166" s="55" t="n">
        <f aca="false">IF(V2166,IF(01_因子設定!$B$13="最大化",T2166-01_因子設定!$B$14,IF(01_因子設定!$B$13="最小化",01_因子設定!$B$15-U2166,MIN(T2166-01_因子設定!$B$14,01_因子設定!$B$15-U2166))),-1E+030)</f>
        <v>-3.23076938452667</v>
      </c>
      <c r="X2166" s="55" t="n">
        <f aca="false">IF(V2166,IF(01_因子設定!$B$13="最大化",Q2166,IF(01_因子設定!$B$13="最小化",-Q2166,-ABS(Q2166-01_因子設定!$B$16))),-1E+030)</f>
        <v>46.3034232954546</v>
      </c>
      <c r="Y2166" s="55" t="n">
        <f aca="false">W2166+ROW()*0.000000001</f>
        <v>-3.23076721852667</v>
      </c>
      <c r="Z2166" s="55" t="n">
        <f aca="false">X2166+ROW()*0.000000001</f>
        <v>46.3034254614546</v>
      </c>
    </row>
    <row r="2167" customFormat="false" ht="15" hidden="false" customHeight="false" outlineLevel="0" collapsed="false">
      <c r="A2167" s="0" t="n">
        <v>7</v>
      </c>
      <c r="B2167" s="0" t="n">
        <v>8</v>
      </c>
      <c r="C2167" s="0" t="n">
        <v>3</v>
      </c>
      <c r="D2167" s="0" t="n">
        <f aca="false">-1+A2167*0.125</f>
        <v>-0.125</v>
      </c>
      <c r="E2167" s="0" t="n">
        <f aca="false">-1+B2167*0.125</f>
        <v>0</v>
      </c>
      <c r="F2167" s="0" t="n">
        <f aca="false">-1+C2167*0.125</f>
        <v>-0.625</v>
      </c>
      <c r="G2167" s="0" t="n">
        <f aca="false">1</f>
        <v>1</v>
      </c>
      <c r="H2167" s="0" t="n">
        <f aca="false">D2167</f>
        <v>-0.125</v>
      </c>
      <c r="I2167" s="0" t="n">
        <f aca="false">E2167</f>
        <v>0</v>
      </c>
      <c r="J2167" s="0" t="n">
        <f aca="false">F2167</f>
        <v>-0.625</v>
      </c>
      <c r="K2167" s="0" t="n">
        <f aca="false">D2167*E2167</f>
        <v>-0</v>
      </c>
      <c r="L2167" s="0" t="n">
        <f aca="false">D2167*F2167</f>
        <v>0.078125</v>
      </c>
      <c r="M2167" s="0" t="n">
        <f aca="false">E2167*F2167</f>
        <v>-0</v>
      </c>
      <c r="N2167" s="0" t="n">
        <f aca="false">D2167*D2167</f>
        <v>0.015625</v>
      </c>
      <c r="O2167" s="0" t="n">
        <f aca="false">E2167*E2167</f>
        <v>0</v>
      </c>
      <c r="P2167" s="0" t="n">
        <f aca="false">F2167*F2167</f>
        <v>0.390625</v>
      </c>
      <c r="Q2167" s="0" t="n">
        <f aca="false">SUMPRODUCT(G2167:P2167,_XtX!$B$71:$K$71)</f>
        <v>46.6806107954546</v>
      </c>
      <c r="R2167" s="0" t="n">
        <f aca="false">SUMPRODUCT(MMULT(G2167:P2167,_XtX!$B$58:$K$67),G2167:P2167)</f>
        <v>0.17654862837358</v>
      </c>
      <c r="S2167" s="0" t="n">
        <f aca="false">04_回帰ANOVA!$K$19*04_回帰ANOVA!$K$14*SQRT(1+R2167)</f>
        <v>1.00848995543082</v>
      </c>
      <c r="T2167" s="0" t="n">
        <f aca="false">Q2167-S2167</f>
        <v>45.6721208400237</v>
      </c>
      <c r="U2167" s="0" t="n">
        <f aca="false">Q2167+S2167</f>
        <v>47.6891007508854</v>
      </c>
      <c r="V2167" s="54" t="b">
        <f aca="false">AND(D2167&gt;=01_因子設定!$L$5-0.000000001,D2167&lt;=01_因子設定!$M$5+0.000000001,E2167&gt;=01_因子設定!$L$6-0.000000001,E2167&lt;=01_因子設定!$M$6+0.000000001,F2167&gt;=01_因子設定!$L$7-0.000000001,F2167&lt;=01_因子設定!$M$7+0.000000001,IF(01_因子設定!$B$20="Box-Behnken",D2167^2+E2167^2+F2167^2&lt;=2+0.000000001,TRUE()))</f>
        <v>1</v>
      </c>
      <c r="W2167" s="55" t="n">
        <f aca="false">IF(V2167,IF(01_因子設定!$B$13="最大化",T2167-01_因子設定!$B$14,IF(01_因子設定!$B$13="最小化",01_因子設定!$B$15-U2167,MIN(T2167-01_因子設定!$B$14,01_因子設定!$B$15-U2167))),-1E+030)</f>
        <v>-2.82787915997626</v>
      </c>
      <c r="X2167" s="55" t="n">
        <f aca="false">IF(V2167,IF(01_因子設定!$B$13="最大化",Q2167,IF(01_因子設定!$B$13="最小化",-Q2167,-ABS(Q2167-01_因子設定!$B$16))),-1E+030)</f>
        <v>46.6806107954546</v>
      </c>
      <c r="Y2167" s="55" t="n">
        <f aca="false">W2167+ROW()*0.000000001</f>
        <v>-2.82787699297626</v>
      </c>
      <c r="Z2167" s="55" t="n">
        <f aca="false">X2167+ROW()*0.000000001</f>
        <v>46.6806129624546</v>
      </c>
    </row>
    <row r="2168" customFormat="false" ht="15" hidden="false" customHeight="false" outlineLevel="0" collapsed="false">
      <c r="A2168" s="0" t="n">
        <v>7</v>
      </c>
      <c r="B2168" s="0" t="n">
        <v>8</v>
      </c>
      <c r="C2168" s="0" t="n">
        <v>4</v>
      </c>
      <c r="D2168" s="0" t="n">
        <f aca="false">-1+A2168*0.125</f>
        <v>-0.125</v>
      </c>
      <c r="E2168" s="0" t="n">
        <f aca="false">-1+B2168*0.125</f>
        <v>0</v>
      </c>
      <c r="F2168" s="0" t="n">
        <f aca="false">-1+C2168*0.125</f>
        <v>-0.5</v>
      </c>
      <c r="G2168" s="0" t="n">
        <f aca="false">1</f>
        <v>1</v>
      </c>
      <c r="H2168" s="0" t="n">
        <f aca="false">D2168</f>
        <v>-0.125</v>
      </c>
      <c r="I2168" s="0" t="n">
        <f aca="false">E2168</f>
        <v>0</v>
      </c>
      <c r="J2168" s="0" t="n">
        <f aca="false">F2168</f>
        <v>-0.5</v>
      </c>
      <c r="K2168" s="0" t="n">
        <f aca="false">D2168*E2168</f>
        <v>-0</v>
      </c>
      <c r="L2168" s="0" t="n">
        <f aca="false">D2168*F2168</f>
        <v>0.0625</v>
      </c>
      <c r="M2168" s="0" t="n">
        <f aca="false">E2168*F2168</f>
        <v>-0</v>
      </c>
      <c r="N2168" s="0" t="n">
        <f aca="false">D2168*D2168</f>
        <v>0.015625</v>
      </c>
      <c r="O2168" s="0" t="n">
        <f aca="false">E2168*E2168</f>
        <v>0</v>
      </c>
      <c r="P2168" s="0" t="n">
        <f aca="false">F2168*F2168</f>
        <v>0.25</v>
      </c>
      <c r="Q2168" s="0" t="n">
        <f aca="false">SUMPRODUCT(G2168:P2168,_XtX!$B$71:$K$71)</f>
        <v>47.0210085227273</v>
      </c>
      <c r="R2168" s="0" t="n">
        <f aca="false">SUMPRODUCT(MMULT(G2168:P2168,_XtX!$B$58:$K$67),G2168:P2168)</f>
        <v>0.142835582386364</v>
      </c>
      <c r="S2168" s="0" t="n">
        <f aca="false">04_回帰ANOVA!$K$19*04_回帰ANOVA!$K$14*SQRT(1+R2168)</f>
        <v>0.993936210693193</v>
      </c>
      <c r="T2168" s="0" t="n">
        <f aca="false">Q2168-S2168</f>
        <v>46.0270723120341</v>
      </c>
      <c r="U2168" s="0" t="n">
        <f aca="false">Q2168+S2168</f>
        <v>48.0149447334205</v>
      </c>
      <c r="V2168" s="54" t="b">
        <f aca="false">AND(D2168&gt;=01_因子設定!$L$5-0.000000001,D2168&lt;=01_因子設定!$M$5+0.000000001,E2168&gt;=01_因子設定!$L$6-0.000000001,E2168&lt;=01_因子設定!$M$6+0.000000001,F2168&gt;=01_因子設定!$L$7-0.000000001,F2168&lt;=01_因子設定!$M$7+0.000000001,IF(01_因子設定!$B$20="Box-Behnken",D2168^2+E2168^2+F2168^2&lt;=2+0.000000001,TRUE()))</f>
        <v>1</v>
      </c>
      <c r="W2168" s="55" t="n">
        <f aca="false">IF(V2168,IF(01_因子設定!$B$13="最大化",T2168-01_因子設定!$B$14,IF(01_因子設定!$B$13="最小化",01_因子設定!$B$15-U2168,MIN(T2168-01_因子設定!$B$14,01_因子設定!$B$15-U2168))),-1E+030)</f>
        <v>-2.47292768796591</v>
      </c>
      <c r="X2168" s="55" t="n">
        <f aca="false">IF(V2168,IF(01_因子設定!$B$13="最大化",Q2168,IF(01_因子設定!$B$13="最小化",-Q2168,-ABS(Q2168-01_因子設定!$B$16))),-1E+030)</f>
        <v>47.0210085227273</v>
      </c>
      <c r="Y2168" s="55" t="n">
        <f aca="false">W2168+ROW()*0.000000001</f>
        <v>-2.47292551996591</v>
      </c>
      <c r="Z2168" s="55" t="n">
        <f aca="false">X2168+ROW()*0.000000001</f>
        <v>47.0210106907273</v>
      </c>
    </row>
    <row r="2169" customFormat="false" ht="15" hidden="false" customHeight="false" outlineLevel="0" collapsed="false">
      <c r="A2169" s="0" t="n">
        <v>7</v>
      </c>
      <c r="B2169" s="0" t="n">
        <v>8</v>
      </c>
      <c r="C2169" s="0" t="n">
        <v>5</v>
      </c>
      <c r="D2169" s="0" t="n">
        <f aca="false">-1+A2169*0.125</f>
        <v>-0.125</v>
      </c>
      <c r="E2169" s="0" t="n">
        <f aca="false">-1+B2169*0.125</f>
        <v>0</v>
      </c>
      <c r="F2169" s="0" t="n">
        <f aca="false">-1+C2169*0.125</f>
        <v>-0.375</v>
      </c>
      <c r="G2169" s="0" t="n">
        <f aca="false">1</f>
        <v>1</v>
      </c>
      <c r="H2169" s="0" t="n">
        <f aca="false">D2169</f>
        <v>-0.125</v>
      </c>
      <c r="I2169" s="0" t="n">
        <f aca="false">E2169</f>
        <v>0</v>
      </c>
      <c r="J2169" s="0" t="n">
        <f aca="false">F2169</f>
        <v>-0.375</v>
      </c>
      <c r="K2169" s="0" t="n">
        <f aca="false">D2169*E2169</f>
        <v>-0</v>
      </c>
      <c r="L2169" s="0" t="n">
        <f aca="false">D2169*F2169</f>
        <v>0.046875</v>
      </c>
      <c r="M2169" s="0" t="n">
        <f aca="false">E2169*F2169</f>
        <v>-0</v>
      </c>
      <c r="N2169" s="0" t="n">
        <f aca="false">D2169*D2169</f>
        <v>0.015625</v>
      </c>
      <c r="O2169" s="0" t="n">
        <f aca="false">E2169*E2169</f>
        <v>0</v>
      </c>
      <c r="P2169" s="0" t="n">
        <f aca="false">F2169*F2169</f>
        <v>0.140625</v>
      </c>
      <c r="Q2169" s="0" t="n">
        <f aca="false">SUMPRODUCT(G2169:P2169,_XtX!$B$71:$K$71)</f>
        <v>47.3246164772727</v>
      </c>
      <c r="R2169" s="0" t="n">
        <f aca="false">SUMPRODUCT(MMULT(G2169:P2169,_XtX!$B$58:$K$67),G2169:P2169)</f>
        <v>0.126557506214489</v>
      </c>
      <c r="S2169" s="0" t="n">
        <f aca="false">04_回帰ANOVA!$K$19*04_回帰ANOVA!$K$14*SQRT(1+R2169)</f>
        <v>0.986832215747321</v>
      </c>
      <c r="T2169" s="0" t="n">
        <f aca="false">Q2169-S2169</f>
        <v>46.3377842615254</v>
      </c>
      <c r="U2169" s="0" t="n">
        <f aca="false">Q2169+S2169</f>
        <v>48.3114486930201</v>
      </c>
      <c r="V2169" s="54" t="b">
        <f aca="false">AND(D2169&gt;=01_因子設定!$L$5-0.000000001,D2169&lt;=01_因子設定!$M$5+0.000000001,E2169&gt;=01_因子設定!$L$6-0.000000001,E2169&lt;=01_因子設定!$M$6+0.000000001,F2169&gt;=01_因子設定!$L$7-0.000000001,F2169&lt;=01_因子設定!$M$7+0.000000001,IF(01_因子設定!$B$20="Box-Behnken",D2169^2+E2169^2+F2169^2&lt;=2+0.000000001,TRUE()))</f>
        <v>1</v>
      </c>
      <c r="W2169" s="55" t="n">
        <f aca="false">IF(V2169,IF(01_因子設定!$B$13="最大化",T2169-01_因子設定!$B$14,IF(01_因子設定!$B$13="最小化",01_因子設定!$B$15-U2169,MIN(T2169-01_因子設定!$B$14,01_因子設定!$B$15-U2169))),-1E+030)</f>
        <v>-2.16221573847458</v>
      </c>
      <c r="X2169" s="55" t="n">
        <f aca="false">IF(V2169,IF(01_因子設定!$B$13="最大化",Q2169,IF(01_因子設定!$B$13="最小化",-Q2169,-ABS(Q2169-01_因子設定!$B$16))),-1E+030)</f>
        <v>47.3246164772727</v>
      </c>
      <c r="Y2169" s="55" t="n">
        <f aca="false">W2169+ROW()*0.000000001</f>
        <v>-2.16221356947458</v>
      </c>
      <c r="Z2169" s="55" t="n">
        <f aca="false">X2169+ROW()*0.000000001</f>
        <v>47.3246186462727</v>
      </c>
    </row>
    <row r="2170" customFormat="false" ht="15" hidden="false" customHeight="false" outlineLevel="0" collapsed="false">
      <c r="A2170" s="0" t="n">
        <v>7</v>
      </c>
      <c r="B2170" s="0" t="n">
        <v>8</v>
      </c>
      <c r="C2170" s="0" t="n">
        <v>6</v>
      </c>
      <c r="D2170" s="0" t="n">
        <f aca="false">-1+A2170*0.125</f>
        <v>-0.125</v>
      </c>
      <c r="E2170" s="0" t="n">
        <f aca="false">-1+B2170*0.125</f>
        <v>0</v>
      </c>
      <c r="F2170" s="0" t="n">
        <f aca="false">-1+C2170*0.125</f>
        <v>-0.25</v>
      </c>
      <c r="G2170" s="0" t="n">
        <f aca="false">1</f>
        <v>1</v>
      </c>
      <c r="H2170" s="0" t="n">
        <f aca="false">D2170</f>
        <v>-0.125</v>
      </c>
      <c r="I2170" s="0" t="n">
        <f aca="false">E2170</f>
        <v>0</v>
      </c>
      <c r="J2170" s="0" t="n">
        <f aca="false">F2170</f>
        <v>-0.25</v>
      </c>
      <c r="K2170" s="0" t="n">
        <f aca="false">D2170*E2170</f>
        <v>-0</v>
      </c>
      <c r="L2170" s="0" t="n">
        <f aca="false">D2170*F2170</f>
        <v>0.03125</v>
      </c>
      <c r="M2170" s="0" t="n">
        <f aca="false">E2170*F2170</f>
        <v>-0</v>
      </c>
      <c r="N2170" s="0" t="n">
        <f aca="false">D2170*D2170</f>
        <v>0.015625</v>
      </c>
      <c r="O2170" s="0" t="n">
        <f aca="false">E2170*E2170</f>
        <v>0</v>
      </c>
      <c r="P2170" s="0" t="n">
        <f aca="false">F2170*F2170</f>
        <v>0.0625</v>
      </c>
      <c r="Q2170" s="0" t="n">
        <f aca="false">SUMPRODUCT(G2170:P2170,_XtX!$B$71:$K$71)</f>
        <v>47.5914346590909</v>
      </c>
      <c r="R2170" s="0" t="n">
        <f aca="false">SUMPRODUCT(MMULT(G2170:P2170,_XtX!$B$58:$K$67),G2170:P2170)</f>
        <v>0.120257013494318</v>
      </c>
      <c r="S2170" s="0" t="n">
        <f aca="false">04_回帰ANOVA!$K$19*04_回帰ANOVA!$K$14*SQRT(1+R2170)</f>
        <v>0.984068820741811</v>
      </c>
      <c r="T2170" s="0" t="n">
        <f aca="false">Q2170-S2170</f>
        <v>46.6073658383491</v>
      </c>
      <c r="U2170" s="0" t="n">
        <f aca="false">Q2170+S2170</f>
        <v>48.5755034798327</v>
      </c>
      <c r="V2170" s="54" t="b">
        <f aca="false">AND(D2170&gt;=01_因子設定!$L$5-0.000000001,D2170&lt;=01_因子設定!$M$5+0.000000001,E2170&gt;=01_因子設定!$L$6-0.000000001,E2170&lt;=01_因子設定!$M$6+0.000000001,F2170&gt;=01_因子設定!$L$7-0.000000001,F2170&lt;=01_因子設定!$M$7+0.000000001,IF(01_因子設定!$B$20="Box-Behnken",D2170^2+E2170^2+F2170^2&lt;=2+0.000000001,TRUE()))</f>
        <v>1</v>
      </c>
      <c r="W2170" s="55" t="n">
        <f aca="false">IF(V2170,IF(01_因子設定!$B$13="最大化",T2170-01_因子設定!$B$14,IF(01_因子設定!$B$13="最小化",01_因子設定!$B$15-U2170,MIN(T2170-01_因子設定!$B$14,01_因子設定!$B$15-U2170))),-1E+030)</f>
        <v>-1.89263416165089</v>
      </c>
      <c r="X2170" s="55" t="n">
        <f aca="false">IF(V2170,IF(01_因子設定!$B$13="最大化",Q2170,IF(01_因子設定!$B$13="最小化",-Q2170,-ABS(Q2170-01_因子設定!$B$16))),-1E+030)</f>
        <v>47.5914346590909</v>
      </c>
      <c r="Y2170" s="55" t="n">
        <f aca="false">W2170+ROW()*0.000000001</f>
        <v>-1.89263199165089</v>
      </c>
      <c r="Z2170" s="55" t="n">
        <f aca="false">X2170+ROW()*0.000000001</f>
        <v>47.5914368290909</v>
      </c>
    </row>
    <row r="2171" customFormat="false" ht="15" hidden="false" customHeight="false" outlineLevel="0" collapsed="false">
      <c r="A2171" s="0" t="n">
        <v>7</v>
      </c>
      <c r="B2171" s="0" t="n">
        <v>8</v>
      </c>
      <c r="C2171" s="0" t="n">
        <v>7</v>
      </c>
      <c r="D2171" s="0" t="n">
        <f aca="false">-1+A2171*0.125</f>
        <v>-0.125</v>
      </c>
      <c r="E2171" s="0" t="n">
        <f aca="false">-1+B2171*0.125</f>
        <v>0</v>
      </c>
      <c r="F2171" s="0" t="n">
        <f aca="false">-1+C2171*0.125</f>
        <v>-0.125</v>
      </c>
      <c r="G2171" s="0" t="n">
        <f aca="false">1</f>
        <v>1</v>
      </c>
      <c r="H2171" s="0" t="n">
        <f aca="false">D2171</f>
        <v>-0.125</v>
      </c>
      <c r="I2171" s="0" t="n">
        <f aca="false">E2171</f>
        <v>0</v>
      </c>
      <c r="J2171" s="0" t="n">
        <f aca="false">F2171</f>
        <v>-0.125</v>
      </c>
      <c r="K2171" s="0" t="n">
        <f aca="false">D2171*E2171</f>
        <v>-0</v>
      </c>
      <c r="L2171" s="0" t="n">
        <f aca="false">D2171*F2171</f>
        <v>0.015625</v>
      </c>
      <c r="M2171" s="0" t="n">
        <f aca="false">E2171*F2171</f>
        <v>-0</v>
      </c>
      <c r="N2171" s="0" t="n">
        <f aca="false">D2171*D2171</f>
        <v>0.015625</v>
      </c>
      <c r="O2171" s="0" t="n">
        <f aca="false">E2171*E2171</f>
        <v>0</v>
      </c>
      <c r="P2171" s="0" t="n">
        <f aca="false">F2171*F2171</f>
        <v>0.015625</v>
      </c>
      <c r="Q2171" s="0" t="n">
        <f aca="false">SUMPRODUCT(G2171:P2171,_XtX!$B$71:$K$71)</f>
        <v>47.8214630681818</v>
      </c>
      <c r="R2171" s="0" t="n">
        <f aca="false">SUMPRODUCT(MMULT(G2171:P2171,_XtX!$B$58:$K$67),G2171:P2171)</f>
        <v>0.118607399680398</v>
      </c>
      <c r="S2171" s="0" t="n">
        <f aca="false">04_回帰ANOVA!$K$19*04_回帰ANOVA!$K$14*SQRT(1+R2171)</f>
        <v>0.983344017619025</v>
      </c>
      <c r="T2171" s="0" t="n">
        <f aca="false">Q2171-S2171</f>
        <v>46.8381190505628</v>
      </c>
      <c r="U2171" s="0" t="n">
        <f aca="false">Q2171+S2171</f>
        <v>48.8048070858009</v>
      </c>
      <c r="V2171" s="54" t="b">
        <f aca="false">AND(D2171&gt;=01_因子設定!$L$5-0.000000001,D2171&lt;=01_因子設定!$M$5+0.000000001,E2171&gt;=01_因子設定!$L$6-0.000000001,E2171&lt;=01_因子設定!$M$6+0.000000001,F2171&gt;=01_因子設定!$L$7-0.000000001,F2171&lt;=01_因子設定!$M$7+0.000000001,IF(01_因子設定!$B$20="Box-Behnken",D2171^2+E2171^2+F2171^2&lt;=2+0.000000001,TRUE()))</f>
        <v>1</v>
      </c>
      <c r="W2171" s="55" t="n">
        <f aca="false">IF(V2171,IF(01_因子設定!$B$13="最大化",T2171-01_因子設定!$B$14,IF(01_因子設定!$B$13="最小化",01_因子設定!$B$15-U2171,MIN(T2171-01_因子設定!$B$14,01_因子設定!$B$15-U2171))),-1E+030)</f>
        <v>-1.6618809494372</v>
      </c>
      <c r="X2171" s="55" t="n">
        <f aca="false">IF(V2171,IF(01_因子設定!$B$13="最大化",Q2171,IF(01_因子設定!$B$13="最小化",-Q2171,-ABS(Q2171-01_因子設定!$B$16))),-1E+030)</f>
        <v>47.8214630681818</v>
      </c>
      <c r="Y2171" s="55" t="n">
        <f aca="false">W2171+ROW()*0.000000001</f>
        <v>-1.6618787784372</v>
      </c>
      <c r="Z2171" s="55" t="n">
        <f aca="false">X2171+ROW()*0.000000001</f>
        <v>47.8214652391818</v>
      </c>
    </row>
    <row r="2172" customFormat="false" ht="15" hidden="false" customHeight="false" outlineLevel="0" collapsed="false">
      <c r="A2172" s="0" t="n">
        <v>7</v>
      </c>
      <c r="B2172" s="0" t="n">
        <v>8</v>
      </c>
      <c r="C2172" s="0" t="n">
        <v>8</v>
      </c>
      <c r="D2172" s="0" t="n">
        <f aca="false">-1+A2172*0.125</f>
        <v>-0.125</v>
      </c>
      <c r="E2172" s="0" t="n">
        <f aca="false">-1+B2172*0.125</f>
        <v>0</v>
      </c>
      <c r="F2172" s="0" t="n">
        <f aca="false">-1+C2172*0.125</f>
        <v>0</v>
      </c>
      <c r="G2172" s="0" t="n">
        <f aca="false">1</f>
        <v>1</v>
      </c>
      <c r="H2172" s="0" t="n">
        <f aca="false">D2172</f>
        <v>-0.125</v>
      </c>
      <c r="I2172" s="0" t="n">
        <f aca="false">E2172</f>
        <v>0</v>
      </c>
      <c r="J2172" s="0" t="n">
        <f aca="false">F2172</f>
        <v>0</v>
      </c>
      <c r="K2172" s="0" t="n">
        <f aca="false">D2172*E2172</f>
        <v>-0</v>
      </c>
      <c r="L2172" s="0" t="n">
        <f aca="false">D2172*F2172</f>
        <v>-0</v>
      </c>
      <c r="M2172" s="0" t="n">
        <f aca="false">E2172*F2172</f>
        <v>0</v>
      </c>
      <c r="N2172" s="0" t="n">
        <f aca="false">D2172*D2172</f>
        <v>0.015625</v>
      </c>
      <c r="O2172" s="0" t="n">
        <f aca="false">E2172*E2172</f>
        <v>0</v>
      </c>
      <c r="P2172" s="0" t="n">
        <f aca="false">F2172*F2172</f>
        <v>0</v>
      </c>
      <c r="Q2172" s="0" t="n">
        <f aca="false">SUMPRODUCT(G2172:P2172,_XtX!$B$71:$K$71)</f>
        <v>48.0147017045455</v>
      </c>
      <c r="R2172" s="0" t="n">
        <f aca="false">SUMPRODUCT(MMULT(G2172:P2172,_XtX!$B$58:$K$67),G2172:P2172)</f>
        <v>0.118412642045455</v>
      </c>
      <c r="S2172" s="0" t="n">
        <f aca="false">04_回帰ANOVA!$K$19*04_回帰ANOVA!$K$14*SQRT(1+R2172)</f>
        <v>0.983258410241508</v>
      </c>
      <c r="T2172" s="0" t="n">
        <f aca="false">Q2172-S2172</f>
        <v>47.031443294304</v>
      </c>
      <c r="U2172" s="0" t="n">
        <f aca="false">Q2172+S2172</f>
        <v>48.997960114787</v>
      </c>
      <c r="V2172" s="54" t="b">
        <f aca="false">AND(D2172&gt;=01_因子設定!$L$5-0.000000001,D2172&lt;=01_因子設定!$M$5+0.000000001,E2172&gt;=01_因子設定!$L$6-0.000000001,E2172&lt;=01_因子設定!$M$6+0.000000001,F2172&gt;=01_因子設定!$L$7-0.000000001,F2172&lt;=01_因子設定!$M$7+0.000000001,IF(01_因子設定!$B$20="Box-Behnken",D2172^2+E2172^2+F2172^2&lt;=2+0.000000001,TRUE()))</f>
        <v>1</v>
      </c>
      <c r="W2172" s="55" t="n">
        <f aca="false">IF(V2172,IF(01_因子設定!$B$13="最大化",T2172-01_因子設定!$B$14,IF(01_因子設定!$B$13="最小化",01_因子設定!$B$15-U2172,MIN(T2172-01_因子設定!$B$14,01_因子設定!$B$15-U2172))),-1E+030)</f>
        <v>-1.46855670569605</v>
      </c>
      <c r="X2172" s="55" t="n">
        <f aca="false">IF(V2172,IF(01_因子設定!$B$13="最大化",Q2172,IF(01_因子設定!$B$13="最小化",-Q2172,-ABS(Q2172-01_因子設定!$B$16))),-1E+030)</f>
        <v>48.0147017045455</v>
      </c>
      <c r="Y2172" s="55" t="n">
        <f aca="false">W2172+ROW()*0.000000001</f>
        <v>-1.46855453369605</v>
      </c>
      <c r="Z2172" s="55" t="n">
        <f aca="false">X2172+ROW()*0.000000001</f>
        <v>48.0147038765455</v>
      </c>
    </row>
    <row r="2173" customFormat="false" ht="15" hidden="false" customHeight="false" outlineLevel="0" collapsed="false">
      <c r="A2173" s="0" t="n">
        <v>7</v>
      </c>
      <c r="B2173" s="0" t="n">
        <v>8</v>
      </c>
      <c r="C2173" s="0" t="n">
        <v>9</v>
      </c>
      <c r="D2173" s="0" t="n">
        <f aca="false">-1+A2173*0.125</f>
        <v>-0.125</v>
      </c>
      <c r="E2173" s="0" t="n">
        <f aca="false">-1+B2173*0.125</f>
        <v>0</v>
      </c>
      <c r="F2173" s="0" t="n">
        <f aca="false">-1+C2173*0.125</f>
        <v>0.125</v>
      </c>
      <c r="G2173" s="0" t="n">
        <f aca="false">1</f>
        <v>1</v>
      </c>
      <c r="H2173" s="0" t="n">
        <f aca="false">D2173</f>
        <v>-0.125</v>
      </c>
      <c r="I2173" s="0" t="n">
        <f aca="false">E2173</f>
        <v>0</v>
      </c>
      <c r="J2173" s="0" t="n">
        <f aca="false">F2173</f>
        <v>0.125</v>
      </c>
      <c r="K2173" s="0" t="n">
        <f aca="false">D2173*E2173</f>
        <v>-0</v>
      </c>
      <c r="L2173" s="0" t="n">
        <f aca="false">D2173*F2173</f>
        <v>-0.015625</v>
      </c>
      <c r="M2173" s="0" t="n">
        <f aca="false">E2173*F2173</f>
        <v>0</v>
      </c>
      <c r="N2173" s="0" t="n">
        <f aca="false">D2173*D2173</f>
        <v>0.015625</v>
      </c>
      <c r="O2173" s="0" t="n">
        <f aca="false">E2173*E2173</f>
        <v>0</v>
      </c>
      <c r="P2173" s="0" t="n">
        <f aca="false">F2173*F2173</f>
        <v>0.015625</v>
      </c>
      <c r="Q2173" s="0" t="n">
        <f aca="false">SUMPRODUCT(G2173:P2173,_XtX!$B$71:$K$71)</f>
        <v>48.1711505681818</v>
      </c>
      <c r="R2173" s="0" t="n">
        <f aca="false">SUMPRODUCT(MMULT(G2173:P2173,_XtX!$B$58:$K$67),G2173:P2173)</f>
        <v>0.118607399680398</v>
      </c>
      <c r="S2173" s="0" t="n">
        <f aca="false">04_回帰ANOVA!$K$19*04_回帰ANOVA!$K$14*SQRT(1+R2173)</f>
        <v>0.983344017619025</v>
      </c>
      <c r="T2173" s="0" t="n">
        <f aca="false">Q2173-S2173</f>
        <v>47.1878065505628</v>
      </c>
      <c r="U2173" s="0" t="n">
        <f aca="false">Q2173+S2173</f>
        <v>49.1544945858009</v>
      </c>
      <c r="V2173" s="54" t="b">
        <f aca="false">AND(D2173&gt;=01_因子設定!$L$5-0.000000001,D2173&lt;=01_因子設定!$M$5+0.000000001,E2173&gt;=01_因子設定!$L$6-0.000000001,E2173&lt;=01_因子設定!$M$6+0.000000001,F2173&gt;=01_因子設定!$L$7-0.000000001,F2173&lt;=01_因子設定!$M$7+0.000000001,IF(01_因子設定!$B$20="Box-Behnken",D2173^2+E2173^2+F2173^2&lt;=2+0.000000001,TRUE()))</f>
        <v>1</v>
      </c>
      <c r="W2173" s="55" t="n">
        <f aca="false">IF(V2173,IF(01_因子設定!$B$13="最大化",T2173-01_因子設定!$B$14,IF(01_因子設定!$B$13="最小化",01_因子設定!$B$15-U2173,MIN(T2173-01_因子設定!$B$14,01_因子設定!$B$15-U2173))),-1E+030)</f>
        <v>-1.3121934494372</v>
      </c>
      <c r="X2173" s="55" t="n">
        <f aca="false">IF(V2173,IF(01_因子設定!$B$13="最大化",Q2173,IF(01_因子設定!$B$13="最小化",-Q2173,-ABS(Q2173-01_因子設定!$B$16))),-1E+030)</f>
        <v>48.1711505681818</v>
      </c>
      <c r="Y2173" s="55" t="n">
        <f aca="false">W2173+ROW()*0.000000001</f>
        <v>-1.3121912764372</v>
      </c>
      <c r="Z2173" s="55" t="n">
        <f aca="false">X2173+ROW()*0.000000001</f>
        <v>48.1711527411818</v>
      </c>
    </row>
    <row r="2174" customFormat="false" ht="15" hidden="false" customHeight="false" outlineLevel="0" collapsed="false">
      <c r="A2174" s="0" t="n">
        <v>7</v>
      </c>
      <c r="B2174" s="0" t="n">
        <v>8</v>
      </c>
      <c r="C2174" s="0" t="n">
        <v>10</v>
      </c>
      <c r="D2174" s="0" t="n">
        <f aca="false">-1+A2174*0.125</f>
        <v>-0.125</v>
      </c>
      <c r="E2174" s="0" t="n">
        <f aca="false">-1+B2174*0.125</f>
        <v>0</v>
      </c>
      <c r="F2174" s="0" t="n">
        <f aca="false">-1+C2174*0.125</f>
        <v>0.25</v>
      </c>
      <c r="G2174" s="0" t="n">
        <f aca="false">1</f>
        <v>1</v>
      </c>
      <c r="H2174" s="0" t="n">
        <f aca="false">D2174</f>
        <v>-0.125</v>
      </c>
      <c r="I2174" s="0" t="n">
        <f aca="false">E2174</f>
        <v>0</v>
      </c>
      <c r="J2174" s="0" t="n">
        <f aca="false">F2174</f>
        <v>0.25</v>
      </c>
      <c r="K2174" s="0" t="n">
        <f aca="false">D2174*E2174</f>
        <v>-0</v>
      </c>
      <c r="L2174" s="0" t="n">
        <f aca="false">D2174*F2174</f>
        <v>-0.03125</v>
      </c>
      <c r="M2174" s="0" t="n">
        <f aca="false">E2174*F2174</f>
        <v>0</v>
      </c>
      <c r="N2174" s="0" t="n">
        <f aca="false">D2174*D2174</f>
        <v>0.015625</v>
      </c>
      <c r="O2174" s="0" t="n">
        <f aca="false">E2174*E2174</f>
        <v>0</v>
      </c>
      <c r="P2174" s="0" t="n">
        <f aca="false">F2174*F2174</f>
        <v>0.0625</v>
      </c>
      <c r="Q2174" s="0" t="n">
        <f aca="false">SUMPRODUCT(G2174:P2174,_XtX!$B$71:$K$71)</f>
        <v>48.2908096590909</v>
      </c>
      <c r="R2174" s="0" t="n">
        <f aca="false">SUMPRODUCT(MMULT(G2174:P2174,_XtX!$B$58:$K$67),G2174:P2174)</f>
        <v>0.120257013494318</v>
      </c>
      <c r="S2174" s="0" t="n">
        <f aca="false">04_回帰ANOVA!$K$19*04_回帰ANOVA!$K$14*SQRT(1+R2174)</f>
        <v>0.984068820741811</v>
      </c>
      <c r="T2174" s="0" t="n">
        <f aca="false">Q2174-S2174</f>
        <v>47.3067408383491</v>
      </c>
      <c r="U2174" s="0" t="n">
        <f aca="false">Q2174+S2174</f>
        <v>49.2748784798327</v>
      </c>
      <c r="V2174" s="54" t="b">
        <f aca="false">AND(D2174&gt;=01_因子設定!$L$5-0.000000001,D2174&lt;=01_因子設定!$M$5+0.000000001,E2174&gt;=01_因子設定!$L$6-0.000000001,E2174&lt;=01_因子設定!$M$6+0.000000001,F2174&gt;=01_因子設定!$L$7-0.000000001,F2174&lt;=01_因子設定!$M$7+0.000000001,IF(01_因子設定!$B$20="Box-Behnken",D2174^2+E2174^2+F2174^2&lt;=2+0.000000001,TRUE()))</f>
        <v>1</v>
      </c>
      <c r="W2174" s="55" t="n">
        <f aca="false">IF(V2174,IF(01_因子設定!$B$13="最大化",T2174-01_因子設定!$B$14,IF(01_因子設定!$B$13="最小化",01_因子設定!$B$15-U2174,MIN(T2174-01_因子設定!$B$14,01_因子設定!$B$15-U2174))),-1E+030)</f>
        <v>-1.19325916165089</v>
      </c>
      <c r="X2174" s="55" t="n">
        <f aca="false">IF(V2174,IF(01_因子設定!$B$13="最大化",Q2174,IF(01_因子設定!$B$13="最小化",-Q2174,-ABS(Q2174-01_因子設定!$B$16))),-1E+030)</f>
        <v>48.2908096590909</v>
      </c>
      <c r="Y2174" s="55" t="n">
        <f aca="false">W2174+ROW()*0.000000001</f>
        <v>-1.19325698765089</v>
      </c>
      <c r="Z2174" s="55" t="n">
        <f aca="false">X2174+ROW()*0.000000001</f>
        <v>48.2908118330909</v>
      </c>
    </row>
    <row r="2175" customFormat="false" ht="15" hidden="false" customHeight="false" outlineLevel="0" collapsed="false">
      <c r="A2175" s="0" t="n">
        <v>7</v>
      </c>
      <c r="B2175" s="0" t="n">
        <v>8</v>
      </c>
      <c r="C2175" s="0" t="n">
        <v>11</v>
      </c>
      <c r="D2175" s="0" t="n">
        <f aca="false">-1+A2175*0.125</f>
        <v>-0.125</v>
      </c>
      <c r="E2175" s="0" t="n">
        <f aca="false">-1+B2175*0.125</f>
        <v>0</v>
      </c>
      <c r="F2175" s="0" t="n">
        <f aca="false">-1+C2175*0.125</f>
        <v>0.375</v>
      </c>
      <c r="G2175" s="0" t="n">
        <f aca="false">1</f>
        <v>1</v>
      </c>
      <c r="H2175" s="0" t="n">
        <f aca="false">D2175</f>
        <v>-0.125</v>
      </c>
      <c r="I2175" s="0" t="n">
        <f aca="false">E2175</f>
        <v>0</v>
      </c>
      <c r="J2175" s="0" t="n">
        <f aca="false">F2175</f>
        <v>0.375</v>
      </c>
      <c r="K2175" s="0" t="n">
        <f aca="false">D2175*E2175</f>
        <v>-0</v>
      </c>
      <c r="L2175" s="0" t="n">
        <f aca="false">D2175*F2175</f>
        <v>-0.046875</v>
      </c>
      <c r="M2175" s="0" t="n">
        <f aca="false">E2175*F2175</f>
        <v>0</v>
      </c>
      <c r="N2175" s="0" t="n">
        <f aca="false">D2175*D2175</f>
        <v>0.015625</v>
      </c>
      <c r="O2175" s="0" t="n">
        <f aca="false">E2175*E2175</f>
        <v>0</v>
      </c>
      <c r="P2175" s="0" t="n">
        <f aca="false">F2175*F2175</f>
        <v>0.140625</v>
      </c>
      <c r="Q2175" s="0" t="n">
        <f aca="false">SUMPRODUCT(G2175:P2175,_XtX!$B$71:$K$71)</f>
        <v>48.3736789772727</v>
      </c>
      <c r="R2175" s="0" t="n">
        <f aca="false">SUMPRODUCT(MMULT(G2175:P2175,_XtX!$B$58:$K$67),G2175:P2175)</f>
        <v>0.126557506214489</v>
      </c>
      <c r="S2175" s="0" t="n">
        <f aca="false">04_回帰ANOVA!$K$19*04_回帰ANOVA!$K$14*SQRT(1+R2175)</f>
        <v>0.986832215747321</v>
      </c>
      <c r="T2175" s="0" t="n">
        <f aca="false">Q2175-S2175</f>
        <v>47.3868467615254</v>
      </c>
      <c r="U2175" s="0" t="n">
        <f aca="false">Q2175+S2175</f>
        <v>49.3605111930201</v>
      </c>
      <c r="V2175" s="54" t="b">
        <f aca="false">AND(D2175&gt;=01_因子設定!$L$5-0.000000001,D2175&lt;=01_因子設定!$M$5+0.000000001,E2175&gt;=01_因子設定!$L$6-0.000000001,E2175&lt;=01_因子設定!$M$6+0.000000001,F2175&gt;=01_因子設定!$L$7-0.000000001,F2175&lt;=01_因子設定!$M$7+0.000000001,IF(01_因子設定!$B$20="Box-Behnken",D2175^2+E2175^2+F2175^2&lt;=2+0.000000001,TRUE()))</f>
        <v>1</v>
      </c>
      <c r="W2175" s="55" t="n">
        <f aca="false">IF(V2175,IF(01_因子設定!$B$13="最大化",T2175-01_因子設定!$B$14,IF(01_因子設定!$B$13="最小化",01_因子設定!$B$15-U2175,MIN(T2175-01_因子設定!$B$14,01_因子設定!$B$15-U2175))),-1E+030)</f>
        <v>-1.11315323847458</v>
      </c>
      <c r="X2175" s="55" t="n">
        <f aca="false">IF(V2175,IF(01_因子設定!$B$13="最大化",Q2175,IF(01_因子設定!$B$13="最小化",-Q2175,-ABS(Q2175-01_因子設定!$B$16))),-1E+030)</f>
        <v>48.3736789772727</v>
      </c>
      <c r="Y2175" s="55" t="n">
        <f aca="false">W2175+ROW()*0.000000001</f>
        <v>-1.11315106347458</v>
      </c>
      <c r="Z2175" s="55" t="n">
        <f aca="false">X2175+ROW()*0.000000001</f>
        <v>48.3736811522727</v>
      </c>
    </row>
    <row r="2176" customFormat="false" ht="15" hidden="false" customHeight="false" outlineLevel="0" collapsed="false">
      <c r="A2176" s="0" t="n">
        <v>7</v>
      </c>
      <c r="B2176" s="0" t="n">
        <v>8</v>
      </c>
      <c r="C2176" s="0" t="n">
        <v>12</v>
      </c>
      <c r="D2176" s="0" t="n">
        <f aca="false">-1+A2176*0.125</f>
        <v>-0.125</v>
      </c>
      <c r="E2176" s="0" t="n">
        <f aca="false">-1+B2176*0.125</f>
        <v>0</v>
      </c>
      <c r="F2176" s="0" t="n">
        <f aca="false">-1+C2176*0.125</f>
        <v>0.5</v>
      </c>
      <c r="G2176" s="0" t="n">
        <f aca="false">1</f>
        <v>1</v>
      </c>
      <c r="H2176" s="0" t="n">
        <f aca="false">D2176</f>
        <v>-0.125</v>
      </c>
      <c r="I2176" s="0" t="n">
        <f aca="false">E2176</f>
        <v>0</v>
      </c>
      <c r="J2176" s="0" t="n">
        <f aca="false">F2176</f>
        <v>0.5</v>
      </c>
      <c r="K2176" s="0" t="n">
        <f aca="false">D2176*E2176</f>
        <v>-0</v>
      </c>
      <c r="L2176" s="0" t="n">
        <f aca="false">D2176*F2176</f>
        <v>-0.0625</v>
      </c>
      <c r="M2176" s="0" t="n">
        <f aca="false">E2176*F2176</f>
        <v>0</v>
      </c>
      <c r="N2176" s="0" t="n">
        <f aca="false">D2176*D2176</f>
        <v>0.015625</v>
      </c>
      <c r="O2176" s="0" t="n">
        <f aca="false">E2176*E2176</f>
        <v>0</v>
      </c>
      <c r="P2176" s="0" t="n">
        <f aca="false">F2176*F2176</f>
        <v>0.25</v>
      </c>
      <c r="Q2176" s="0" t="n">
        <f aca="false">SUMPRODUCT(G2176:P2176,_XtX!$B$71:$K$71)</f>
        <v>48.4197585227273</v>
      </c>
      <c r="R2176" s="0" t="n">
        <f aca="false">SUMPRODUCT(MMULT(G2176:P2176,_XtX!$B$58:$K$67),G2176:P2176)</f>
        <v>0.142835582386364</v>
      </c>
      <c r="S2176" s="0" t="n">
        <f aca="false">04_回帰ANOVA!$K$19*04_回帰ANOVA!$K$14*SQRT(1+R2176)</f>
        <v>0.993936210693193</v>
      </c>
      <c r="T2176" s="0" t="n">
        <f aca="false">Q2176-S2176</f>
        <v>47.4258223120341</v>
      </c>
      <c r="U2176" s="0" t="n">
        <f aca="false">Q2176+S2176</f>
        <v>49.4136947334205</v>
      </c>
      <c r="V2176" s="54" t="b">
        <f aca="false">AND(D2176&gt;=01_因子設定!$L$5-0.000000001,D2176&lt;=01_因子設定!$M$5+0.000000001,E2176&gt;=01_因子設定!$L$6-0.000000001,E2176&lt;=01_因子設定!$M$6+0.000000001,F2176&gt;=01_因子設定!$L$7-0.000000001,F2176&lt;=01_因子設定!$M$7+0.000000001,IF(01_因子設定!$B$20="Box-Behnken",D2176^2+E2176^2+F2176^2&lt;=2+0.000000001,TRUE()))</f>
        <v>1</v>
      </c>
      <c r="W2176" s="55" t="n">
        <f aca="false">IF(V2176,IF(01_因子設定!$B$13="最大化",T2176-01_因子設定!$B$14,IF(01_因子設定!$B$13="最小化",01_因子設定!$B$15-U2176,MIN(T2176-01_因子設定!$B$14,01_因子設定!$B$15-U2176))),-1E+030)</f>
        <v>-1.07417768796591</v>
      </c>
      <c r="X2176" s="55" t="n">
        <f aca="false">IF(V2176,IF(01_因子設定!$B$13="最大化",Q2176,IF(01_因子設定!$B$13="最小化",-Q2176,-ABS(Q2176-01_因子設定!$B$16))),-1E+030)</f>
        <v>48.4197585227273</v>
      </c>
      <c r="Y2176" s="55" t="n">
        <f aca="false">W2176+ROW()*0.000000001</f>
        <v>-1.07417551196591</v>
      </c>
      <c r="Z2176" s="55" t="n">
        <f aca="false">X2176+ROW()*0.000000001</f>
        <v>48.4197606987273</v>
      </c>
    </row>
    <row r="2177" customFormat="false" ht="15" hidden="false" customHeight="false" outlineLevel="0" collapsed="false">
      <c r="A2177" s="0" t="n">
        <v>7</v>
      </c>
      <c r="B2177" s="0" t="n">
        <v>8</v>
      </c>
      <c r="C2177" s="0" t="n">
        <v>13</v>
      </c>
      <c r="D2177" s="0" t="n">
        <f aca="false">-1+A2177*0.125</f>
        <v>-0.125</v>
      </c>
      <c r="E2177" s="0" t="n">
        <f aca="false">-1+B2177*0.125</f>
        <v>0</v>
      </c>
      <c r="F2177" s="0" t="n">
        <f aca="false">-1+C2177*0.125</f>
        <v>0.625</v>
      </c>
      <c r="G2177" s="0" t="n">
        <f aca="false">1</f>
        <v>1</v>
      </c>
      <c r="H2177" s="0" t="n">
        <f aca="false">D2177</f>
        <v>-0.125</v>
      </c>
      <c r="I2177" s="0" t="n">
        <f aca="false">E2177</f>
        <v>0</v>
      </c>
      <c r="J2177" s="0" t="n">
        <f aca="false">F2177</f>
        <v>0.625</v>
      </c>
      <c r="K2177" s="0" t="n">
        <f aca="false">D2177*E2177</f>
        <v>-0</v>
      </c>
      <c r="L2177" s="0" t="n">
        <f aca="false">D2177*F2177</f>
        <v>-0.078125</v>
      </c>
      <c r="M2177" s="0" t="n">
        <f aca="false">E2177*F2177</f>
        <v>0</v>
      </c>
      <c r="N2177" s="0" t="n">
        <f aca="false">D2177*D2177</f>
        <v>0.015625</v>
      </c>
      <c r="O2177" s="0" t="n">
        <f aca="false">E2177*E2177</f>
        <v>0</v>
      </c>
      <c r="P2177" s="0" t="n">
        <f aca="false">F2177*F2177</f>
        <v>0.390625</v>
      </c>
      <c r="Q2177" s="0" t="n">
        <f aca="false">SUMPRODUCT(G2177:P2177,_XtX!$B$71:$K$71)</f>
        <v>48.4290482954546</v>
      </c>
      <c r="R2177" s="0" t="n">
        <f aca="false">SUMPRODUCT(MMULT(G2177:P2177,_XtX!$B$58:$K$67),G2177:P2177)</f>
        <v>0.17654862837358</v>
      </c>
      <c r="S2177" s="0" t="n">
        <f aca="false">04_回帰ANOVA!$K$19*04_回帰ANOVA!$K$14*SQRT(1+R2177)</f>
        <v>1.00848995543082</v>
      </c>
      <c r="T2177" s="0" t="n">
        <f aca="false">Q2177-S2177</f>
        <v>47.4205583400237</v>
      </c>
      <c r="U2177" s="0" t="n">
        <f aca="false">Q2177+S2177</f>
        <v>49.4375382508854</v>
      </c>
      <c r="V2177" s="54" t="b">
        <f aca="false">AND(D2177&gt;=01_因子設定!$L$5-0.000000001,D2177&lt;=01_因子設定!$M$5+0.000000001,E2177&gt;=01_因子設定!$L$6-0.000000001,E2177&lt;=01_因子設定!$M$6+0.000000001,F2177&gt;=01_因子設定!$L$7-0.000000001,F2177&lt;=01_因子設定!$M$7+0.000000001,IF(01_因子設定!$B$20="Box-Behnken",D2177^2+E2177^2+F2177^2&lt;=2+0.000000001,TRUE()))</f>
        <v>1</v>
      </c>
      <c r="W2177" s="55" t="n">
        <f aca="false">IF(V2177,IF(01_因子設定!$B$13="最大化",T2177-01_因子設定!$B$14,IF(01_因子設定!$B$13="最小化",01_因子設定!$B$15-U2177,MIN(T2177-01_因子設定!$B$14,01_因子設定!$B$15-U2177))),-1E+030)</f>
        <v>-1.07944165997626</v>
      </c>
      <c r="X2177" s="55" t="n">
        <f aca="false">IF(V2177,IF(01_因子設定!$B$13="最大化",Q2177,IF(01_因子設定!$B$13="最小化",-Q2177,-ABS(Q2177-01_因子設定!$B$16))),-1E+030)</f>
        <v>48.4290482954546</v>
      </c>
      <c r="Y2177" s="55" t="n">
        <f aca="false">W2177+ROW()*0.000000001</f>
        <v>-1.07943948297626</v>
      </c>
      <c r="Z2177" s="55" t="n">
        <f aca="false">X2177+ROW()*0.000000001</f>
        <v>48.4290504724546</v>
      </c>
    </row>
    <row r="2178" customFormat="false" ht="15" hidden="false" customHeight="false" outlineLevel="0" collapsed="false">
      <c r="A2178" s="0" t="n">
        <v>7</v>
      </c>
      <c r="B2178" s="0" t="n">
        <v>8</v>
      </c>
      <c r="C2178" s="0" t="n">
        <v>14</v>
      </c>
      <c r="D2178" s="0" t="n">
        <f aca="false">-1+A2178*0.125</f>
        <v>-0.125</v>
      </c>
      <c r="E2178" s="0" t="n">
        <f aca="false">-1+B2178*0.125</f>
        <v>0</v>
      </c>
      <c r="F2178" s="0" t="n">
        <f aca="false">-1+C2178*0.125</f>
        <v>0.75</v>
      </c>
      <c r="G2178" s="0" t="n">
        <f aca="false">1</f>
        <v>1</v>
      </c>
      <c r="H2178" s="0" t="n">
        <f aca="false">D2178</f>
        <v>-0.125</v>
      </c>
      <c r="I2178" s="0" t="n">
        <f aca="false">E2178</f>
        <v>0</v>
      </c>
      <c r="J2178" s="0" t="n">
        <f aca="false">F2178</f>
        <v>0.75</v>
      </c>
      <c r="K2178" s="0" t="n">
        <f aca="false">D2178*E2178</f>
        <v>-0</v>
      </c>
      <c r="L2178" s="0" t="n">
        <f aca="false">D2178*F2178</f>
        <v>-0.09375</v>
      </c>
      <c r="M2178" s="0" t="n">
        <f aca="false">E2178*F2178</f>
        <v>0</v>
      </c>
      <c r="N2178" s="0" t="n">
        <f aca="false">D2178*D2178</f>
        <v>0.015625</v>
      </c>
      <c r="O2178" s="0" t="n">
        <f aca="false">E2178*E2178</f>
        <v>0</v>
      </c>
      <c r="P2178" s="0" t="n">
        <f aca="false">F2178*F2178</f>
        <v>0.5625</v>
      </c>
      <c r="Q2178" s="0" t="n">
        <f aca="false">SUMPRODUCT(G2178:P2178,_XtX!$B$71:$K$71)</f>
        <v>48.4015482954546</v>
      </c>
      <c r="R2178" s="0" t="n">
        <f aca="false">SUMPRODUCT(MMULT(G2178:P2178,_XtX!$B$58:$K$67),G2178:P2178)</f>
        <v>0.237284712357955</v>
      </c>
      <c r="S2178" s="0" t="n">
        <f aca="false">04_回帰ANOVA!$K$19*04_回帰ANOVA!$K$14*SQRT(1+R2178)</f>
        <v>1.03419267998124</v>
      </c>
      <c r="T2178" s="0" t="n">
        <f aca="false">Q2178-S2178</f>
        <v>47.3673556154733</v>
      </c>
      <c r="U2178" s="0" t="n">
        <f aca="false">Q2178+S2178</f>
        <v>49.4357409754358</v>
      </c>
      <c r="V2178" s="54" t="b">
        <f aca="false">AND(D2178&gt;=01_因子設定!$L$5-0.000000001,D2178&lt;=01_因子設定!$M$5+0.000000001,E2178&gt;=01_因子設定!$L$6-0.000000001,E2178&lt;=01_因子設定!$M$6+0.000000001,F2178&gt;=01_因子設定!$L$7-0.000000001,F2178&lt;=01_因子設定!$M$7+0.000000001,IF(01_因子設定!$B$20="Box-Behnken",D2178^2+E2178^2+F2178^2&lt;=2+0.000000001,TRUE()))</f>
        <v>1</v>
      </c>
      <c r="W2178" s="55" t="n">
        <f aca="false">IF(V2178,IF(01_因子設定!$B$13="最大化",T2178-01_因子設定!$B$14,IF(01_因子設定!$B$13="最小化",01_因子設定!$B$15-U2178,MIN(T2178-01_因子設定!$B$14,01_因子設定!$B$15-U2178))),-1E+030)</f>
        <v>-1.13264438452667</v>
      </c>
      <c r="X2178" s="55" t="n">
        <f aca="false">IF(V2178,IF(01_因子設定!$B$13="最大化",Q2178,IF(01_因子設定!$B$13="最小化",-Q2178,-ABS(Q2178-01_因子設定!$B$16))),-1E+030)</f>
        <v>48.4015482954546</v>
      </c>
      <c r="Y2178" s="55" t="n">
        <f aca="false">W2178+ROW()*0.000000001</f>
        <v>-1.13264220652667</v>
      </c>
      <c r="Z2178" s="55" t="n">
        <f aca="false">X2178+ROW()*0.000000001</f>
        <v>48.4015504734546</v>
      </c>
    </row>
    <row r="2179" customFormat="false" ht="15" hidden="false" customHeight="false" outlineLevel="0" collapsed="false">
      <c r="A2179" s="0" t="n">
        <v>7</v>
      </c>
      <c r="B2179" s="0" t="n">
        <v>8</v>
      </c>
      <c r="C2179" s="0" t="n">
        <v>15</v>
      </c>
      <c r="D2179" s="0" t="n">
        <f aca="false">-1+A2179*0.125</f>
        <v>-0.125</v>
      </c>
      <c r="E2179" s="0" t="n">
        <f aca="false">-1+B2179*0.125</f>
        <v>0</v>
      </c>
      <c r="F2179" s="0" t="n">
        <f aca="false">-1+C2179*0.125</f>
        <v>0.875</v>
      </c>
      <c r="G2179" s="0" t="n">
        <f aca="false">1</f>
        <v>1</v>
      </c>
      <c r="H2179" s="0" t="n">
        <f aca="false">D2179</f>
        <v>-0.125</v>
      </c>
      <c r="I2179" s="0" t="n">
        <f aca="false">E2179</f>
        <v>0</v>
      </c>
      <c r="J2179" s="0" t="n">
        <f aca="false">F2179</f>
        <v>0.875</v>
      </c>
      <c r="K2179" s="0" t="n">
        <f aca="false">D2179*E2179</f>
        <v>-0</v>
      </c>
      <c r="L2179" s="0" t="n">
        <f aca="false">D2179*F2179</f>
        <v>-0.109375</v>
      </c>
      <c r="M2179" s="0" t="n">
        <f aca="false">E2179*F2179</f>
        <v>0</v>
      </c>
      <c r="N2179" s="0" t="n">
        <f aca="false">D2179*D2179</f>
        <v>0.015625</v>
      </c>
      <c r="O2179" s="0" t="n">
        <f aca="false">E2179*E2179</f>
        <v>0</v>
      </c>
      <c r="P2179" s="0" t="n">
        <f aca="false">F2179*F2179</f>
        <v>0.765625</v>
      </c>
      <c r="Q2179" s="0" t="n">
        <f aca="false">SUMPRODUCT(G2179:P2179,_XtX!$B$71:$K$71)</f>
        <v>48.3372585227273</v>
      </c>
      <c r="R2179" s="0" t="n">
        <f aca="false">SUMPRODUCT(MMULT(G2179:P2179,_XtX!$B$58:$K$67),G2179:P2179)</f>
        <v>0.336762584339489</v>
      </c>
      <c r="S2179" s="0" t="n">
        <f aca="false">04_回帰ANOVA!$K$19*04_回帰ANOVA!$K$14*SQRT(1+R2179)</f>
        <v>1.07496364479411</v>
      </c>
      <c r="T2179" s="0" t="n">
        <f aca="false">Q2179-S2179</f>
        <v>47.2622948779332</v>
      </c>
      <c r="U2179" s="0" t="n">
        <f aca="false">Q2179+S2179</f>
        <v>49.4122221675214</v>
      </c>
      <c r="V2179" s="54" t="b">
        <f aca="false">AND(D2179&gt;=01_因子設定!$L$5-0.000000001,D2179&lt;=01_因子設定!$M$5+0.000000001,E2179&gt;=01_因子設定!$L$6-0.000000001,E2179&lt;=01_因子設定!$M$6+0.000000001,F2179&gt;=01_因子設定!$L$7-0.000000001,F2179&lt;=01_因子設定!$M$7+0.000000001,IF(01_因子設定!$B$20="Box-Behnken",D2179^2+E2179^2+F2179^2&lt;=2+0.000000001,TRUE()))</f>
        <v>1</v>
      </c>
      <c r="W2179" s="55" t="n">
        <f aca="false">IF(V2179,IF(01_因子設定!$B$13="最大化",T2179-01_因子設定!$B$14,IF(01_因子設定!$B$13="最小化",01_因子設定!$B$15-U2179,MIN(T2179-01_因子設定!$B$14,01_因子設定!$B$15-U2179))),-1E+030)</f>
        <v>-1.23770512206681</v>
      </c>
      <c r="X2179" s="55" t="n">
        <f aca="false">IF(V2179,IF(01_因子設定!$B$13="最大化",Q2179,IF(01_因子設定!$B$13="最小化",-Q2179,-ABS(Q2179-01_因子設定!$B$16))),-1E+030)</f>
        <v>48.3372585227273</v>
      </c>
      <c r="Y2179" s="55" t="n">
        <f aca="false">W2179+ROW()*0.000000001</f>
        <v>-1.23770294306681</v>
      </c>
      <c r="Z2179" s="55" t="n">
        <f aca="false">X2179+ROW()*0.000000001</f>
        <v>48.3372607017273</v>
      </c>
    </row>
    <row r="2180" customFormat="false" ht="15" hidden="false" customHeight="false" outlineLevel="0" collapsed="false">
      <c r="A2180" s="0" t="n">
        <v>7</v>
      </c>
      <c r="B2180" s="0" t="n">
        <v>8</v>
      </c>
      <c r="C2180" s="0" t="n">
        <v>16</v>
      </c>
      <c r="D2180" s="0" t="n">
        <f aca="false">-1+A2180*0.125</f>
        <v>-0.125</v>
      </c>
      <c r="E2180" s="0" t="n">
        <f aca="false">-1+B2180*0.125</f>
        <v>0</v>
      </c>
      <c r="F2180" s="0" t="n">
        <f aca="false">-1+C2180*0.125</f>
        <v>1</v>
      </c>
      <c r="G2180" s="0" t="n">
        <f aca="false">1</f>
        <v>1</v>
      </c>
      <c r="H2180" s="0" t="n">
        <f aca="false">D2180</f>
        <v>-0.125</v>
      </c>
      <c r="I2180" s="0" t="n">
        <f aca="false">E2180</f>
        <v>0</v>
      </c>
      <c r="J2180" s="0" t="n">
        <f aca="false">F2180</f>
        <v>1</v>
      </c>
      <c r="K2180" s="0" t="n">
        <f aca="false">D2180*E2180</f>
        <v>-0</v>
      </c>
      <c r="L2180" s="0" t="n">
        <f aca="false">D2180*F2180</f>
        <v>-0.125</v>
      </c>
      <c r="M2180" s="0" t="n">
        <f aca="false">E2180*F2180</f>
        <v>0</v>
      </c>
      <c r="N2180" s="0" t="n">
        <f aca="false">D2180*D2180</f>
        <v>0.015625</v>
      </c>
      <c r="O2180" s="0" t="n">
        <f aca="false">E2180*E2180</f>
        <v>0</v>
      </c>
      <c r="P2180" s="0" t="n">
        <f aca="false">F2180*F2180</f>
        <v>1</v>
      </c>
      <c r="Q2180" s="0" t="n">
        <f aca="false">SUMPRODUCT(G2180:P2180,_XtX!$B$71:$K$71)</f>
        <v>48.2361789772728</v>
      </c>
      <c r="R2180" s="0" t="n">
        <f aca="false">SUMPRODUCT(MMULT(G2180:P2180,_XtX!$B$58:$K$67),G2180:P2180)</f>
        <v>0.488831676136364</v>
      </c>
      <c r="S2180" s="0" t="n">
        <f aca="false">04_回帰ANOVA!$K$19*04_回帰ANOVA!$K$14*SQRT(1+R2180)</f>
        <v>1.13446064908709</v>
      </c>
      <c r="T2180" s="0" t="n">
        <f aca="false">Q2180-S2180</f>
        <v>47.1017183281857</v>
      </c>
      <c r="U2180" s="0" t="n">
        <f aca="false">Q2180+S2180</f>
        <v>49.3706396263598</v>
      </c>
      <c r="V2180" s="54" t="b">
        <f aca="false">AND(D2180&gt;=01_因子設定!$L$5-0.000000001,D2180&lt;=01_因子設定!$M$5+0.000000001,E2180&gt;=01_因子設定!$L$6-0.000000001,E2180&lt;=01_因子設定!$M$6+0.000000001,F2180&gt;=01_因子設定!$L$7-0.000000001,F2180&lt;=01_因子設定!$M$7+0.000000001,IF(01_因子設定!$B$20="Box-Behnken",D2180^2+E2180^2+F2180^2&lt;=2+0.000000001,TRUE()))</f>
        <v>1</v>
      </c>
      <c r="W2180" s="55" t="n">
        <f aca="false">IF(V2180,IF(01_因子設定!$B$13="最大化",T2180-01_因子設定!$B$14,IF(01_因子設定!$B$13="最小化",01_因子設定!$B$15-U2180,MIN(T2180-01_因子設定!$B$14,01_因子設定!$B$15-U2180))),-1E+030)</f>
        <v>-1.39828167181433</v>
      </c>
      <c r="X2180" s="55" t="n">
        <f aca="false">IF(V2180,IF(01_因子設定!$B$13="最大化",Q2180,IF(01_因子設定!$B$13="最小化",-Q2180,-ABS(Q2180-01_因子設定!$B$16))),-1E+030)</f>
        <v>48.2361789772728</v>
      </c>
      <c r="Y2180" s="55" t="n">
        <f aca="false">W2180+ROW()*0.000000001</f>
        <v>-1.39827949181433</v>
      </c>
      <c r="Z2180" s="55" t="n">
        <f aca="false">X2180+ROW()*0.000000001</f>
        <v>48.2361811572728</v>
      </c>
    </row>
    <row r="2181" customFormat="false" ht="15" hidden="false" customHeight="false" outlineLevel="0" collapsed="false">
      <c r="A2181" s="0" t="n">
        <v>7</v>
      </c>
      <c r="B2181" s="0" t="n">
        <v>9</v>
      </c>
      <c r="C2181" s="0" t="n">
        <v>0</v>
      </c>
      <c r="D2181" s="0" t="n">
        <f aca="false">-1+A2181*0.125</f>
        <v>-0.125</v>
      </c>
      <c r="E2181" s="0" t="n">
        <f aca="false">-1+B2181*0.125</f>
        <v>0.125</v>
      </c>
      <c r="F2181" s="0" t="n">
        <f aca="false">-1+C2181*0.125</f>
        <v>-1</v>
      </c>
      <c r="G2181" s="0" t="n">
        <f aca="false">1</f>
        <v>1</v>
      </c>
      <c r="H2181" s="0" t="n">
        <f aca="false">D2181</f>
        <v>-0.125</v>
      </c>
      <c r="I2181" s="0" t="n">
        <f aca="false">E2181</f>
        <v>0.125</v>
      </c>
      <c r="J2181" s="0" t="n">
        <f aca="false">F2181</f>
        <v>-1</v>
      </c>
      <c r="K2181" s="0" t="n">
        <f aca="false">D2181*E2181</f>
        <v>-0.015625</v>
      </c>
      <c r="L2181" s="0" t="n">
        <f aca="false">D2181*F2181</f>
        <v>0.125</v>
      </c>
      <c r="M2181" s="0" t="n">
        <f aca="false">E2181*F2181</f>
        <v>-0.125</v>
      </c>
      <c r="N2181" s="0" t="n">
        <f aca="false">D2181*D2181</f>
        <v>0.015625</v>
      </c>
      <c r="O2181" s="0" t="n">
        <f aca="false">E2181*E2181</f>
        <v>0.015625</v>
      </c>
      <c r="P2181" s="0" t="n">
        <f aca="false">F2181*F2181</f>
        <v>1</v>
      </c>
      <c r="Q2181" s="0" t="n">
        <f aca="false">SUMPRODUCT(G2181:P2181,_XtX!$B$71:$K$71)</f>
        <v>45.5903622159091</v>
      </c>
      <c r="R2181" s="0" t="n">
        <f aca="false">SUMPRODUCT(MMULT(G2181:P2181,_XtX!$B$58:$K$67),G2181:P2181)</f>
        <v>0.486718195134943</v>
      </c>
      <c r="S2181" s="0" t="n">
        <f aca="false">04_回帰ANOVA!$K$19*04_回帰ANOVA!$K$14*SQRT(1+R2181)</f>
        <v>1.13365514750636</v>
      </c>
      <c r="T2181" s="0" t="n">
        <f aca="false">Q2181-S2181</f>
        <v>44.4567070684028</v>
      </c>
      <c r="U2181" s="0" t="n">
        <f aca="false">Q2181+S2181</f>
        <v>46.7240173634155</v>
      </c>
      <c r="V2181" s="54" t="b">
        <f aca="false">AND(D2181&gt;=01_因子設定!$L$5-0.000000001,D2181&lt;=01_因子設定!$M$5+0.000000001,E2181&gt;=01_因子設定!$L$6-0.000000001,E2181&lt;=01_因子設定!$M$6+0.000000001,F2181&gt;=01_因子設定!$L$7-0.000000001,F2181&lt;=01_因子設定!$M$7+0.000000001,IF(01_因子設定!$B$20="Box-Behnken",D2181^2+E2181^2+F2181^2&lt;=2+0.000000001,TRUE()))</f>
        <v>1</v>
      </c>
      <c r="W2181" s="55" t="n">
        <f aca="false">IF(V2181,IF(01_因子設定!$B$13="最大化",T2181-01_因子設定!$B$14,IF(01_因子設定!$B$13="最小化",01_因子設定!$B$15-U2181,MIN(T2181-01_因子設定!$B$14,01_因子設定!$B$15-U2181))),-1E+030)</f>
        <v>-4.04329293159724</v>
      </c>
      <c r="X2181" s="55" t="n">
        <f aca="false">IF(V2181,IF(01_因子設定!$B$13="最大化",Q2181,IF(01_因子設定!$B$13="最小化",-Q2181,-ABS(Q2181-01_因子設定!$B$16))),-1E+030)</f>
        <v>45.5903622159091</v>
      </c>
      <c r="Y2181" s="55" t="n">
        <f aca="false">W2181+ROW()*0.000000001</f>
        <v>-4.04329075059724</v>
      </c>
      <c r="Z2181" s="55" t="n">
        <f aca="false">X2181+ROW()*0.000000001</f>
        <v>45.5903643969091</v>
      </c>
    </row>
    <row r="2182" customFormat="false" ht="15" hidden="false" customHeight="false" outlineLevel="0" collapsed="false">
      <c r="A2182" s="0" t="n">
        <v>7</v>
      </c>
      <c r="B2182" s="0" t="n">
        <v>9</v>
      </c>
      <c r="C2182" s="0" t="n">
        <v>1</v>
      </c>
      <c r="D2182" s="0" t="n">
        <f aca="false">-1+A2182*0.125</f>
        <v>-0.125</v>
      </c>
      <c r="E2182" s="0" t="n">
        <f aca="false">-1+B2182*0.125</f>
        <v>0.125</v>
      </c>
      <c r="F2182" s="0" t="n">
        <f aca="false">-1+C2182*0.125</f>
        <v>-0.875</v>
      </c>
      <c r="G2182" s="0" t="n">
        <f aca="false">1</f>
        <v>1</v>
      </c>
      <c r="H2182" s="0" t="n">
        <f aca="false">D2182</f>
        <v>-0.125</v>
      </c>
      <c r="I2182" s="0" t="n">
        <f aca="false">E2182</f>
        <v>0.125</v>
      </c>
      <c r="J2182" s="0" t="n">
        <f aca="false">F2182</f>
        <v>-0.875</v>
      </c>
      <c r="K2182" s="0" t="n">
        <f aca="false">D2182*E2182</f>
        <v>-0.015625</v>
      </c>
      <c r="L2182" s="0" t="n">
        <f aca="false">D2182*F2182</f>
        <v>0.109375</v>
      </c>
      <c r="M2182" s="0" t="n">
        <f aca="false">E2182*F2182</f>
        <v>-0.109375</v>
      </c>
      <c r="N2182" s="0" t="n">
        <f aca="false">D2182*D2182</f>
        <v>0.015625</v>
      </c>
      <c r="O2182" s="0" t="n">
        <f aca="false">E2182*E2182</f>
        <v>0.015625</v>
      </c>
      <c r="P2182" s="0" t="n">
        <f aca="false">F2182*F2182</f>
        <v>0.765625</v>
      </c>
      <c r="Q2182" s="0" t="n">
        <f aca="false">SUMPRODUCT(G2182:P2182,_XtX!$B$71:$K$71)</f>
        <v>46.0481605113637</v>
      </c>
      <c r="R2182" s="0" t="n">
        <f aca="false">SUMPRODUCT(MMULT(G2182:P2182,_XtX!$B$58:$K$67),G2182:P2182)</f>
        <v>0.335190096768466</v>
      </c>
      <c r="S2182" s="0" t="n">
        <f aca="false">04_回帰ANOVA!$K$19*04_回帰ANOVA!$K$14*SQRT(1+R2182)</f>
        <v>1.07433119726947</v>
      </c>
      <c r="T2182" s="0" t="n">
        <f aca="false">Q2182-S2182</f>
        <v>44.9738293140942</v>
      </c>
      <c r="U2182" s="0" t="n">
        <f aca="false">Q2182+S2182</f>
        <v>47.1224917086331</v>
      </c>
      <c r="V2182" s="54" t="b">
        <f aca="false">AND(D2182&gt;=01_因子設定!$L$5-0.000000001,D2182&lt;=01_因子設定!$M$5+0.000000001,E2182&gt;=01_因子設定!$L$6-0.000000001,E2182&lt;=01_因子設定!$M$6+0.000000001,F2182&gt;=01_因子設定!$L$7-0.000000001,F2182&lt;=01_因子設定!$M$7+0.000000001,IF(01_因子設定!$B$20="Box-Behnken",D2182^2+E2182^2+F2182^2&lt;=2+0.000000001,TRUE()))</f>
        <v>1</v>
      </c>
      <c r="W2182" s="55" t="n">
        <f aca="false">IF(V2182,IF(01_因子設定!$B$13="最大化",T2182-01_因子設定!$B$14,IF(01_因子設定!$B$13="最小化",01_因子設定!$B$15-U2182,MIN(T2182-01_因子設定!$B$14,01_因子設定!$B$15-U2182))),-1E+030)</f>
        <v>-3.5261706859058</v>
      </c>
      <c r="X2182" s="55" t="n">
        <f aca="false">IF(V2182,IF(01_因子設定!$B$13="最大化",Q2182,IF(01_因子設定!$B$13="最小化",-Q2182,-ABS(Q2182-01_因子設定!$B$16))),-1E+030)</f>
        <v>46.0481605113637</v>
      </c>
      <c r="Y2182" s="55" t="n">
        <f aca="false">W2182+ROW()*0.000000001</f>
        <v>-3.5261685039058</v>
      </c>
      <c r="Z2182" s="55" t="n">
        <f aca="false">X2182+ROW()*0.000000001</f>
        <v>46.0481626933637</v>
      </c>
    </row>
    <row r="2183" customFormat="false" ht="15" hidden="false" customHeight="false" outlineLevel="0" collapsed="false">
      <c r="A2183" s="0" t="n">
        <v>7</v>
      </c>
      <c r="B2183" s="0" t="n">
        <v>9</v>
      </c>
      <c r="C2183" s="0" t="n">
        <v>2</v>
      </c>
      <c r="D2183" s="0" t="n">
        <f aca="false">-1+A2183*0.125</f>
        <v>-0.125</v>
      </c>
      <c r="E2183" s="0" t="n">
        <f aca="false">-1+B2183*0.125</f>
        <v>0.125</v>
      </c>
      <c r="F2183" s="0" t="n">
        <f aca="false">-1+C2183*0.125</f>
        <v>-0.75</v>
      </c>
      <c r="G2183" s="0" t="n">
        <f aca="false">1</f>
        <v>1</v>
      </c>
      <c r="H2183" s="0" t="n">
        <f aca="false">D2183</f>
        <v>-0.125</v>
      </c>
      <c r="I2183" s="0" t="n">
        <f aca="false">E2183</f>
        <v>0.125</v>
      </c>
      <c r="J2183" s="0" t="n">
        <f aca="false">F2183</f>
        <v>-0.75</v>
      </c>
      <c r="K2183" s="0" t="n">
        <f aca="false">D2183*E2183</f>
        <v>-0.015625</v>
      </c>
      <c r="L2183" s="0" t="n">
        <f aca="false">D2183*F2183</f>
        <v>0.09375</v>
      </c>
      <c r="M2183" s="0" t="n">
        <f aca="false">E2183*F2183</f>
        <v>-0.09375</v>
      </c>
      <c r="N2183" s="0" t="n">
        <f aca="false">D2183*D2183</f>
        <v>0.015625</v>
      </c>
      <c r="O2183" s="0" t="n">
        <f aca="false">E2183*E2183</f>
        <v>0.015625</v>
      </c>
      <c r="P2183" s="0" t="n">
        <f aca="false">F2183*F2183</f>
        <v>0.5625</v>
      </c>
      <c r="Q2183" s="0" t="n">
        <f aca="false">SUMPRODUCT(G2183:P2183,_XtX!$B$71:$K$71)</f>
        <v>46.4691690340909</v>
      </c>
      <c r="R2183" s="0" t="n">
        <f aca="false">SUMPRODUCT(MMULT(G2183:P2183,_XtX!$B$58:$K$67),G2183:P2183)</f>
        <v>0.236181085759943</v>
      </c>
      <c r="S2183" s="0" t="n">
        <f aca="false">04_回帰ANOVA!$K$19*04_回帰ANOVA!$K$14*SQRT(1+R2183)</f>
        <v>1.03373134025567</v>
      </c>
      <c r="T2183" s="0" t="n">
        <f aca="false">Q2183-S2183</f>
        <v>45.4354376938353</v>
      </c>
      <c r="U2183" s="0" t="n">
        <f aca="false">Q2183+S2183</f>
        <v>47.5029003743466</v>
      </c>
      <c r="V2183" s="54" t="b">
        <f aca="false">AND(D2183&gt;=01_因子設定!$L$5-0.000000001,D2183&lt;=01_因子設定!$M$5+0.000000001,E2183&gt;=01_因子設定!$L$6-0.000000001,E2183&lt;=01_因子設定!$M$6+0.000000001,F2183&gt;=01_因子設定!$L$7-0.000000001,F2183&lt;=01_因子設定!$M$7+0.000000001,IF(01_因子設定!$B$20="Box-Behnken",D2183^2+E2183^2+F2183^2&lt;=2+0.000000001,TRUE()))</f>
        <v>1</v>
      </c>
      <c r="W2183" s="55" t="n">
        <f aca="false">IF(V2183,IF(01_因子設定!$B$13="最大化",T2183-01_因子設定!$B$14,IF(01_因子設定!$B$13="最小化",01_因子設定!$B$15-U2183,MIN(T2183-01_因子設定!$B$14,01_因子設定!$B$15-U2183))),-1E+030)</f>
        <v>-3.06456230616475</v>
      </c>
      <c r="X2183" s="55" t="n">
        <f aca="false">IF(V2183,IF(01_因子設定!$B$13="最大化",Q2183,IF(01_因子設定!$B$13="最小化",-Q2183,-ABS(Q2183-01_因子設定!$B$16))),-1E+030)</f>
        <v>46.4691690340909</v>
      </c>
      <c r="Y2183" s="55" t="n">
        <f aca="false">W2183+ROW()*0.000000001</f>
        <v>-3.06456012316475</v>
      </c>
      <c r="Z2183" s="55" t="n">
        <f aca="false">X2183+ROW()*0.000000001</f>
        <v>46.4691712170909</v>
      </c>
    </row>
    <row r="2184" customFormat="false" ht="15" hidden="false" customHeight="false" outlineLevel="0" collapsed="false">
      <c r="A2184" s="0" t="n">
        <v>7</v>
      </c>
      <c r="B2184" s="0" t="n">
        <v>9</v>
      </c>
      <c r="C2184" s="0" t="n">
        <v>3</v>
      </c>
      <c r="D2184" s="0" t="n">
        <f aca="false">-1+A2184*0.125</f>
        <v>-0.125</v>
      </c>
      <c r="E2184" s="0" t="n">
        <f aca="false">-1+B2184*0.125</f>
        <v>0.125</v>
      </c>
      <c r="F2184" s="0" t="n">
        <f aca="false">-1+C2184*0.125</f>
        <v>-0.625</v>
      </c>
      <c r="G2184" s="0" t="n">
        <f aca="false">1</f>
        <v>1</v>
      </c>
      <c r="H2184" s="0" t="n">
        <f aca="false">D2184</f>
        <v>-0.125</v>
      </c>
      <c r="I2184" s="0" t="n">
        <f aca="false">E2184</f>
        <v>0.125</v>
      </c>
      <c r="J2184" s="0" t="n">
        <f aca="false">F2184</f>
        <v>-0.625</v>
      </c>
      <c r="K2184" s="0" t="n">
        <f aca="false">D2184*E2184</f>
        <v>-0.015625</v>
      </c>
      <c r="L2184" s="0" t="n">
        <f aca="false">D2184*F2184</f>
        <v>0.078125</v>
      </c>
      <c r="M2184" s="0" t="n">
        <f aca="false">E2184*F2184</f>
        <v>-0.078125</v>
      </c>
      <c r="N2184" s="0" t="n">
        <f aca="false">D2184*D2184</f>
        <v>0.015625</v>
      </c>
      <c r="O2184" s="0" t="n">
        <f aca="false">E2184*E2184</f>
        <v>0.015625</v>
      </c>
      <c r="P2184" s="0" t="n">
        <f aca="false">F2184*F2184</f>
        <v>0.390625</v>
      </c>
      <c r="Q2184" s="0" t="n">
        <f aca="false">SUMPRODUCT(G2184:P2184,_XtX!$B$71:$K$71)</f>
        <v>46.8533877840909</v>
      </c>
      <c r="R2184" s="0" t="n">
        <f aca="false">SUMPRODUCT(MMULT(G2184:P2184,_XtX!$B$58:$K$67),G2184:P2184)</f>
        <v>0.175841730291193</v>
      </c>
      <c r="S2184" s="0" t="n">
        <f aca="false">04_回帰ANOVA!$K$19*04_回帰ANOVA!$K$14*SQRT(1+R2184)</f>
        <v>1.00818694767054</v>
      </c>
      <c r="T2184" s="0" t="n">
        <f aca="false">Q2184-S2184</f>
        <v>45.8452008364204</v>
      </c>
      <c r="U2184" s="0" t="n">
        <f aca="false">Q2184+S2184</f>
        <v>47.8615747317615</v>
      </c>
      <c r="V2184" s="54" t="b">
        <f aca="false">AND(D2184&gt;=01_因子設定!$L$5-0.000000001,D2184&lt;=01_因子設定!$M$5+0.000000001,E2184&gt;=01_因子設定!$L$6-0.000000001,E2184&lt;=01_因子設定!$M$6+0.000000001,F2184&gt;=01_因子設定!$L$7-0.000000001,F2184&lt;=01_因子設定!$M$7+0.000000001,IF(01_因子設定!$B$20="Box-Behnken",D2184^2+E2184^2+F2184^2&lt;=2+0.000000001,TRUE()))</f>
        <v>1</v>
      </c>
      <c r="W2184" s="55" t="n">
        <f aca="false">IF(V2184,IF(01_因子設定!$B$13="最大化",T2184-01_因子設定!$B$14,IF(01_因子設定!$B$13="最小化",01_因子設定!$B$15-U2184,MIN(T2184-01_因子設定!$B$14,01_因子設定!$B$15-U2184))),-1E+030)</f>
        <v>-2.65479916357961</v>
      </c>
      <c r="X2184" s="55" t="n">
        <f aca="false">IF(V2184,IF(01_因子設定!$B$13="最大化",Q2184,IF(01_因子設定!$B$13="最小化",-Q2184,-ABS(Q2184-01_因子設定!$B$16))),-1E+030)</f>
        <v>46.8533877840909</v>
      </c>
      <c r="Y2184" s="55" t="n">
        <f aca="false">W2184+ROW()*0.000000001</f>
        <v>-2.65479697957961</v>
      </c>
      <c r="Z2184" s="55" t="n">
        <f aca="false">X2184+ROW()*0.000000001</f>
        <v>46.8533899680909</v>
      </c>
    </row>
    <row r="2185" customFormat="false" ht="15" hidden="false" customHeight="false" outlineLevel="0" collapsed="false">
      <c r="A2185" s="0" t="n">
        <v>7</v>
      </c>
      <c r="B2185" s="0" t="n">
        <v>9</v>
      </c>
      <c r="C2185" s="0" t="n">
        <v>4</v>
      </c>
      <c r="D2185" s="0" t="n">
        <f aca="false">-1+A2185*0.125</f>
        <v>-0.125</v>
      </c>
      <c r="E2185" s="0" t="n">
        <f aca="false">-1+B2185*0.125</f>
        <v>0.125</v>
      </c>
      <c r="F2185" s="0" t="n">
        <f aca="false">-1+C2185*0.125</f>
        <v>-0.5</v>
      </c>
      <c r="G2185" s="0" t="n">
        <f aca="false">1</f>
        <v>1</v>
      </c>
      <c r="H2185" s="0" t="n">
        <f aca="false">D2185</f>
        <v>-0.125</v>
      </c>
      <c r="I2185" s="0" t="n">
        <f aca="false">E2185</f>
        <v>0.125</v>
      </c>
      <c r="J2185" s="0" t="n">
        <f aca="false">F2185</f>
        <v>-0.5</v>
      </c>
      <c r="K2185" s="0" t="n">
        <f aca="false">D2185*E2185</f>
        <v>-0.015625</v>
      </c>
      <c r="L2185" s="0" t="n">
        <f aca="false">D2185*F2185</f>
        <v>0.0625</v>
      </c>
      <c r="M2185" s="0" t="n">
        <f aca="false">E2185*F2185</f>
        <v>-0.0625</v>
      </c>
      <c r="N2185" s="0" t="n">
        <f aca="false">D2185*D2185</f>
        <v>0.015625</v>
      </c>
      <c r="O2185" s="0" t="n">
        <f aca="false">E2185*E2185</f>
        <v>0.015625</v>
      </c>
      <c r="P2185" s="0" t="n">
        <f aca="false">F2185*F2185</f>
        <v>0.25</v>
      </c>
      <c r="Q2185" s="0" t="n">
        <f aca="false">SUMPRODUCT(G2185:P2185,_XtX!$B$71:$K$71)</f>
        <v>47.2008167613637</v>
      </c>
      <c r="R2185" s="0" t="n">
        <f aca="false">SUMPRODUCT(MMULT(G2185:P2185,_XtX!$B$58:$K$67),G2185:P2185)</f>
        <v>0.142453280362216</v>
      </c>
      <c r="S2185" s="0" t="n">
        <f aca="false">04_回帰ANOVA!$K$19*04_回帰ANOVA!$K$14*SQRT(1+R2185)</f>
        <v>0.99376995072785</v>
      </c>
      <c r="T2185" s="0" t="n">
        <f aca="false">Q2185-S2185</f>
        <v>46.2070468106358</v>
      </c>
      <c r="U2185" s="0" t="n">
        <f aca="false">Q2185+S2185</f>
        <v>48.1945867120915</v>
      </c>
      <c r="V2185" s="54" t="b">
        <f aca="false">AND(D2185&gt;=01_因子設定!$L$5-0.000000001,D2185&lt;=01_因子設定!$M$5+0.000000001,E2185&gt;=01_因子設定!$L$6-0.000000001,E2185&lt;=01_因子設定!$M$6+0.000000001,F2185&gt;=01_因子設定!$L$7-0.000000001,F2185&lt;=01_因子設定!$M$7+0.000000001,IF(01_因子設定!$B$20="Box-Behnken",D2185^2+E2185^2+F2185^2&lt;=2+0.000000001,TRUE()))</f>
        <v>1</v>
      </c>
      <c r="W2185" s="55" t="n">
        <f aca="false">IF(V2185,IF(01_因子設定!$B$13="最大化",T2185-01_因子設定!$B$14,IF(01_因子設定!$B$13="最小化",01_因子設定!$B$15-U2185,MIN(T2185-01_因子設定!$B$14,01_因子設定!$B$15-U2185))),-1E+030)</f>
        <v>-2.29295318936421</v>
      </c>
      <c r="X2185" s="55" t="n">
        <f aca="false">IF(V2185,IF(01_因子設定!$B$13="最大化",Q2185,IF(01_因子設定!$B$13="最小化",-Q2185,-ABS(Q2185-01_因子設定!$B$16))),-1E+030)</f>
        <v>47.2008167613637</v>
      </c>
      <c r="Y2185" s="55" t="n">
        <f aca="false">W2185+ROW()*0.000000001</f>
        <v>-2.29295100436421</v>
      </c>
      <c r="Z2185" s="55" t="n">
        <f aca="false">X2185+ROW()*0.000000001</f>
        <v>47.2008189463637</v>
      </c>
    </row>
    <row r="2186" customFormat="false" ht="15" hidden="false" customHeight="false" outlineLevel="0" collapsed="false">
      <c r="A2186" s="0" t="n">
        <v>7</v>
      </c>
      <c r="B2186" s="0" t="n">
        <v>9</v>
      </c>
      <c r="C2186" s="0" t="n">
        <v>5</v>
      </c>
      <c r="D2186" s="0" t="n">
        <f aca="false">-1+A2186*0.125</f>
        <v>-0.125</v>
      </c>
      <c r="E2186" s="0" t="n">
        <f aca="false">-1+B2186*0.125</f>
        <v>0.125</v>
      </c>
      <c r="F2186" s="0" t="n">
        <f aca="false">-1+C2186*0.125</f>
        <v>-0.375</v>
      </c>
      <c r="G2186" s="0" t="n">
        <f aca="false">1</f>
        <v>1</v>
      </c>
      <c r="H2186" s="0" t="n">
        <f aca="false">D2186</f>
        <v>-0.125</v>
      </c>
      <c r="I2186" s="0" t="n">
        <f aca="false">E2186</f>
        <v>0.125</v>
      </c>
      <c r="J2186" s="0" t="n">
        <f aca="false">F2186</f>
        <v>-0.375</v>
      </c>
      <c r="K2186" s="0" t="n">
        <f aca="false">D2186*E2186</f>
        <v>-0.015625</v>
      </c>
      <c r="L2186" s="0" t="n">
        <f aca="false">D2186*F2186</f>
        <v>0.046875</v>
      </c>
      <c r="M2186" s="0" t="n">
        <f aca="false">E2186*F2186</f>
        <v>-0.046875</v>
      </c>
      <c r="N2186" s="0" t="n">
        <f aca="false">D2186*D2186</f>
        <v>0.015625</v>
      </c>
      <c r="O2186" s="0" t="n">
        <f aca="false">E2186*E2186</f>
        <v>0.015625</v>
      </c>
      <c r="P2186" s="0" t="n">
        <f aca="false">F2186*F2186</f>
        <v>0.140625</v>
      </c>
      <c r="Q2186" s="0" t="n">
        <f aca="false">SUMPRODUCT(G2186:P2186,_XtX!$B$71:$K$71)</f>
        <v>47.5114559659091</v>
      </c>
      <c r="R2186" s="0" t="n">
        <f aca="false">SUMPRODUCT(MMULT(G2186:P2186,_XtX!$B$58:$K$67),G2186:P2186)</f>
        <v>0.126427667791193</v>
      </c>
      <c r="S2186" s="0" t="n">
        <f aca="false">04_回帰ANOVA!$K$19*04_回帰ANOVA!$K$14*SQRT(1+R2186)</f>
        <v>0.986775346732538</v>
      </c>
      <c r="T2186" s="0" t="n">
        <f aca="false">Q2186-S2186</f>
        <v>46.5246806191766</v>
      </c>
      <c r="U2186" s="0" t="n">
        <f aca="false">Q2186+S2186</f>
        <v>48.4982313126416</v>
      </c>
      <c r="V2186" s="54" t="b">
        <f aca="false">AND(D2186&gt;=01_因子設定!$L$5-0.000000001,D2186&lt;=01_因子設定!$M$5+0.000000001,E2186&gt;=01_因子設定!$L$6-0.000000001,E2186&lt;=01_因子設定!$M$6+0.000000001,F2186&gt;=01_因子設定!$L$7-0.000000001,F2186&lt;=01_因子設定!$M$7+0.000000001,IF(01_因子設定!$B$20="Box-Behnken",D2186^2+E2186^2+F2186^2&lt;=2+0.000000001,TRUE()))</f>
        <v>1</v>
      </c>
      <c r="W2186" s="55" t="n">
        <f aca="false">IF(V2186,IF(01_因子設定!$B$13="最大化",T2186-01_因子設定!$B$14,IF(01_因子設定!$B$13="最小化",01_因子設定!$B$15-U2186,MIN(T2186-01_因子設定!$B$14,01_因子設定!$B$15-U2186))),-1E+030)</f>
        <v>-1.97531938082344</v>
      </c>
      <c r="X2186" s="55" t="n">
        <f aca="false">IF(V2186,IF(01_因子設定!$B$13="最大化",Q2186,IF(01_因子設定!$B$13="最小化",-Q2186,-ABS(Q2186-01_因子設定!$B$16))),-1E+030)</f>
        <v>47.5114559659091</v>
      </c>
      <c r="Y2186" s="55" t="n">
        <f aca="false">W2186+ROW()*0.000000001</f>
        <v>-1.97531719482344</v>
      </c>
      <c r="Z2186" s="55" t="n">
        <f aca="false">X2186+ROW()*0.000000001</f>
        <v>47.5114581519091</v>
      </c>
    </row>
    <row r="2187" customFormat="false" ht="15" hidden="false" customHeight="false" outlineLevel="0" collapsed="false">
      <c r="A2187" s="0" t="n">
        <v>7</v>
      </c>
      <c r="B2187" s="0" t="n">
        <v>9</v>
      </c>
      <c r="C2187" s="0" t="n">
        <v>6</v>
      </c>
      <c r="D2187" s="0" t="n">
        <f aca="false">-1+A2187*0.125</f>
        <v>-0.125</v>
      </c>
      <c r="E2187" s="0" t="n">
        <f aca="false">-1+B2187*0.125</f>
        <v>0.125</v>
      </c>
      <c r="F2187" s="0" t="n">
        <f aca="false">-1+C2187*0.125</f>
        <v>-0.25</v>
      </c>
      <c r="G2187" s="0" t="n">
        <f aca="false">1</f>
        <v>1</v>
      </c>
      <c r="H2187" s="0" t="n">
        <f aca="false">D2187</f>
        <v>-0.125</v>
      </c>
      <c r="I2187" s="0" t="n">
        <f aca="false">E2187</f>
        <v>0.125</v>
      </c>
      <c r="J2187" s="0" t="n">
        <f aca="false">F2187</f>
        <v>-0.25</v>
      </c>
      <c r="K2187" s="0" t="n">
        <f aca="false">D2187*E2187</f>
        <v>-0.015625</v>
      </c>
      <c r="L2187" s="0" t="n">
        <f aca="false">D2187*F2187</f>
        <v>0.03125</v>
      </c>
      <c r="M2187" s="0" t="n">
        <f aca="false">E2187*F2187</f>
        <v>-0.03125</v>
      </c>
      <c r="N2187" s="0" t="n">
        <f aca="false">D2187*D2187</f>
        <v>0.015625</v>
      </c>
      <c r="O2187" s="0" t="n">
        <f aca="false">E2187*E2187</f>
        <v>0.015625</v>
      </c>
      <c r="P2187" s="0" t="n">
        <f aca="false">F2187*F2187</f>
        <v>0.0625</v>
      </c>
      <c r="Q2187" s="0" t="n">
        <f aca="false">SUMPRODUCT(G2187:P2187,_XtX!$B$71:$K$71)</f>
        <v>47.7853053977273</v>
      </c>
      <c r="R2187" s="0" t="n">
        <f aca="false">SUMPRODUCT(MMULT(G2187:P2187,_XtX!$B$58:$K$67),G2187:P2187)</f>
        <v>0.120307506214489</v>
      </c>
      <c r="S2187" s="0" t="n">
        <f aca="false">04_回帰ANOVA!$K$19*04_回帰ANOVA!$K$14*SQRT(1+R2187)</f>
        <v>0.984090997684742</v>
      </c>
      <c r="T2187" s="0" t="n">
        <f aca="false">Q2187-S2187</f>
        <v>46.8012144000426</v>
      </c>
      <c r="U2187" s="0" t="n">
        <f aca="false">Q2187+S2187</f>
        <v>48.769396395412</v>
      </c>
      <c r="V2187" s="54" t="b">
        <f aca="false">AND(D2187&gt;=01_因子設定!$L$5-0.000000001,D2187&lt;=01_因子設定!$M$5+0.000000001,E2187&gt;=01_因子設定!$L$6-0.000000001,E2187&lt;=01_因子設定!$M$6+0.000000001,F2187&gt;=01_因子設定!$L$7-0.000000001,F2187&lt;=01_因子設定!$M$7+0.000000001,IF(01_因子設定!$B$20="Box-Behnken",D2187^2+E2187^2+F2187^2&lt;=2+0.000000001,TRUE()))</f>
        <v>1</v>
      </c>
      <c r="W2187" s="55" t="n">
        <f aca="false">IF(V2187,IF(01_因子設定!$B$13="最大化",T2187-01_因子設定!$B$14,IF(01_因子設定!$B$13="最小化",01_因子設定!$B$15-U2187,MIN(T2187-01_因子設定!$B$14,01_因子設定!$B$15-U2187))),-1E+030)</f>
        <v>-1.69878559995745</v>
      </c>
      <c r="X2187" s="55" t="n">
        <f aca="false">IF(V2187,IF(01_因子設定!$B$13="最大化",Q2187,IF(01_因子設定!$B$13="最小化",-Q2187,-ABS(Q2187-01_因子設定!$B$16))),-1E+030)</f>
        <v>47.7853053977273</v>
      </c>
      <c r="Y2187" s="55" t="n">
        <f aca="false">W2187+ROW()*0.000000001</f>
        <v>-1.69878341295745</v>
      </c>
      <c r="Z2187" s="55" t="n">
        <f aca="false">X2187+ROW()*0.000000001</f>
        <v>47.7853075847273</v>
      </c>
    </row>
    <row r="2188" customFormat="false" ht="15" hidden="false" customHeight="false" outlineLevel="0" collapsed="false">
      <c r="A2188" s="0" t="n">
        <v>7</v>
      </c>
      <c r="B2188" s="0" t="n">
        <v>9</v>
      </c>
      <c r="C2188" s="0" t="n">
        <v>7</v>
      </c>
      <c r="D2188" s="0" t="n">
        <f aca="false">-1+A2188*0.125</f>
        <v>-0.125</v>
      </c>
      <c r="E2188" s="0" t="n">
        <f aca="false">-1+B2188*0.125</f>
        <v>0.125</v>
      </c>
      <c r="F2188" s="0" t="n">
        <f aca="false">-1+C2188*0.125</f>
        <v>-0.125</v>
      </c>
      <c r="G2188" s="0" t="n">
        <f aca="false">1</f>
        <v>1</v>
      </c>
      <c r="H2188" s="0" t="n">
        <f aca="false">D2188</f>
        <v>-0.125</v>
      </c>
      <c r="I2188" s="0" t="n">
        <f aca="false">E2188</f>
        <v>0.125</v>
      </c>
      <c r="J2188" s="0" t="n">
        <f aca="false">F2188</f>
        <v>-0.125</v>
      </c>
      <c r="K2188" s="0" t="n">
        <f aca="false">D2188*E2188</f>
        <v>-0.015625</v>
      </c>
      <c r="L2188" s="0" t="n">
        <f aca="false">D2188*F2188</f>
        <v>0.015625</v>
      </c>
      <c r="M2188" s="0" t="n">
        <f aca="false">E2188*F2188</f>
        <v>-0.015625</v>
      </c>
      <c r="N2188" s="0" t="n">
        <f aca="false">D2188*D2188</f>
        <v>0.015625</v>
      </c>
      <c r="O2188" s="0" t="n">
        <f aca="false">E2188*E2188</f>
        <v>0.015625</v>
      </c>
      <c r="P2188" s="0" t="n">
        <f aca="false">F2188*F2188</f>
        <v>0.015625</v>
      </c>
      <c r="Q2188" s="0" t="n">
        <f aca="false">SUMPRODUCT(G2188:P2188,_XtX!$B$71:$K$71)</f>
        <v>48.0223650568182</v>
      </c>
      <c r="R2188" s="0" t="n">
        <f aca="false">SUMPRODUCT(MMULT(G2188:P2188,_XtX!$B$58:$K$67),G2188:P2188)</f>
        <v>0.118766091086648</v>
      </c>
      <c r="S2188" s="0" t="n">
        <f aca="false">04_回帰ANOVA!$K$19*04_回帰ANOVA!$K$14*SQRT(1+R2188)</f>
        <v>0.983413766268537</v>
      </c>
      <c r="T2188" s="0" t="n">
        <f aca="false">Q2188-S2188</f>
        <v>47.0389512905497</v>
      </c>
      <c r="U2188" s="0" t="n">
        <f aca="false">Q2188+S2188</f>
        <v>49.0057788230867</v>
      </c>
      <c r="V2188" s="54" t="b">
        <f aca="false">AND(D2188&gt;=01_因子設定!$L$5-0.000000001,D2188&lt;=01_因子設定!$M$5+0.000000001,E2188&gt;=01_因子設定!$L$6-0.000000001,E2188&lt;=01_因子設定!$M$6+0.000000001,F2188&gt;=01_因子設定!$L$7-0.000000001,F2188&lt;=01_因子設定!$M$7+0.000000001,IF(01_因子設定!$B$20="Box-Behnken",D2188^2+E2188^2+F2188^2&lt;=2+0.000000001,TRUE()))</f>
        <v>1</v>
      </c>
      <c r="W2188" s="55" t="n">
        <f aca="false">IF(V2188,IF(01_因子設定!$B$13="最大化",T2188-01_因子設定!$B$14,IF(01_因子設定!$B$13="最小化",01_因子設定!$B$15-U2188,MIN(T2188-01_因子設定!$B$14,01_因子設定!$B$15-U2188))),-1E+030)</f>
        <v>-1.46104870945035</v>
      </c>
      <c r="X2188" s="55" t="n">
        <f aca="false">IF(V2188,IF(01_因子設定!$B$13="最大化",Q2188,IF(01_因子設定!$B$13="最小化",-Q2188,-ABS(Q2188-01_因子設定!$B$16))),-1E+030)</f>
        <v>48.0223650568182</v>
      </c>
      <c r="Y2188" s="55" t="n">
        <f aca="false">W2188+ROW()*0.000000001</f>
        <v>-1.46104652145035</v>
      </c>
      <c r="Z2188" s="55" t="n">
        <f aca="false">X2188+ROW()*0.000000001</f>
        <v>48.0223672448182</v>
      </c>
    </row>
    <row r="2189" customFormat="false" ht="15" hidden="false" customHeight="false" outlineLevel="0" collapsed="false">
      <c r="A2189" s="0" t="n">
        <v>7</v>
      </c>
      <c r="B2189" s="0" t="n">
        <v>9</v>
      </c>
      <c r="C2189" s="0" t="n">
        <v>8</v>
      </c>
      <c r="D2189" s="0" t="n">
        <f aca="false">-1+A2189*0.125</f>
        <v>-0.125</v>
      </c>
      <c r="E2189" s="0" t="n">
        <f aca="false">-1+B2189*0.125</f>
        <v>0.125</v>
      </c>
      <c r="F2189" s="0" t="n">
        <f aca="false">-1+C2189*0.125</f>
        <v>0</v>
      </c>
      <c r="G2189" s="0" t="n">
        <f aca="false">1</f>
        <v>1</v>
      </c>
      <c r="H2189" s="0" t="n">
        <f aca="false">D2189</f>
        <v>-0.125</v>
      </c>
      <c r="I2189" s="0" t="n">
        <f aca="false">E2189</f>
        <v>0.125</v>
      </c>
      <c r="J2189" s="0" t="n">
        <f aca="false">F2189</f>
        <v>0</v>
      </c>
      <c r="K2189" s="0" t="n">
        <f aca="false">D2189*E2189</f>
        <v>-0.015625</v>
      </c>
      <c r="L2189" s="0" t="n">
        <f aca="false">D2189*F2189</f>
        <v>-0</v>
      </c>
      <c r="M2189" s="0" t="n">
        <f aca="false">E2189*F2189</f>
        <v>0</v>
      </c>
      <c r="N2189" s="0" t="n">
        <f aca="false">D2189*D2189</f>
        <v>0.015625</v>
      </c>
      <c r="O2189" s="0" t="n">
        <f aca="false">E2189*E2189</f>
        <v>0.015625</v>
      </c>
      <c r="P2189" s="0" t="n">
        <f aca="false">F2189*F2189</f>
        <v>0</v>
      </c>
      <c r="Q2189" s="0" t="n">
        <f aca="false">SUMPRODUCT(G2189:P2189,_XtX!$B$71:$K$71)</f>
        <v>48.2226349431818</v>
      </c>
      <c r="R2189" s="0" t="n">
        <f aca="false">SUMPRODUCT(MMULT(G2189:P2189,_XtX!$B$58:$K$67),G2189:P2189)</f>
        <v>0.118607399680398</v>
      </c>
      <c r="S2189" s="0" t="n">
        <f aca="false">04_回帰ANOVA!$K$19*04_回帰ANOVA!$K$14*SQRT(1+R2189)</f>
        <v>0.983344017619025</v>
      </c>
      <c r="T2189" s="0" t="n">
        <f aca="false">Q2189-S2189</f>
        <v>47.2392909255628</v>
      </c>
      <c r="U2189" s="0" t="n">
        <f aca="false">Q2189+S2189</f>
        <v>49.2059789608009</v>
      </c>
      <c r="V2189" s="54" t="b">
        <f aca="false">AND(D2189&gt;=01_因子設定!$L$5-0.000000001,D2189&lt;=01_因子設定!$M$5+0.000000001,E2189&gt;=01_因子設定!$L$6-0.000000001,E2189&lt;=01_因子設定!$M$6+0.000000001,F2189&gt;=01_因子設定!$L$7-0.000000001,F2189&lt;=01_因子設定!$M$7+0.000000001,IF(01_因子設定!$B$20="Box-Behnken",D2189^2+E2189^2+F2189^2&lt;=2+0.000000001,TRUE()))</f>
        <v>1</v>
      </c>
      <c r="W2189" s="55" t="n">
        <f aca="false">IF(V2189,IF(01_因子設定!$B$13="最大化",T2189-01_因子設定!$B$14,IF(01_因子設定!$B$13="最小化",01_因子設定!$B$15-U2189,MIN(T2189-01_因子設定!$B$14,01_因子設定!$B$15-U2189))),-1E+030)</f>
        <v>-1.2607090744372</v>
      </c>
      <c r="X2189" s="55" t="n">
        <f aca="false">IF(V2189,IF(01_因子設定!$B$13="最大化",Q2189,IF(01_因子設定!$B$13="最小化",-Q2189,-ABS(Q2189-01_因子設定!$B$16))),-1E+030)</f>
        <v>48.2226349431818</v>
      </c>
      <c r="Y2189" s="55" t="n">
        <f aca="false">W2189+ROW()*0.000000001</f>
        <v>-1.2607068854372</v>
      </c>
      <c r="Z2189" s="55" t="n">
        <f aca="false">X2189+ROW()*0.000000001</f>
        <v>48.2226371321818</v>
      </c>
    </row>
    <row r="2190" customFormat="false" ht="15" hidden="false" customHeight="false" outlineLevel="0" collapsed="false">
      <c r="A2190" s="0" t="n">
        <v>7</v>
      </c>
      <c r="B2190" s="0" t="n">
        <v>9</v>
      </c>
      <c r="C2190" s="0" t="n">
        <v>9</v>
      </c>
      <c r="D2190" s="0" t="n">
        <f aca="false">-1+A2190*0.125</f>
        <v>-0.125</v>
      </c>
      <c r="E2190" s="0" t="n">
        <f aca="false">-1+B2190*0.125</f>
        <v>0.125</v>
      </c>
      <c r="F2190" s="0" t="n">
        <f aca="false">-1+C2190*0.125</f>
        <v>0.125</v>
      </c>
      <c r="G2190" s="0" t="n">
        <f aca="false">1</f>
        <v>1</v>
      </c>
      <c r="H2190" s="0" t="n">
        <f aca="false">D2190</f>
        <v>-0.125</v>
      </c>
      <c r="I2190" s="0" t="n">
        <f aca="false">E2190</f>
        <v>0.125</v>
      </c>
      <c r="J2190" s="0" t="n">
        <f aca="false">F2190</f>
        <v>0.125</v>
      </c>
      <c r="K2190" s="0" t="n">
        <f aca="false">D2190*E2190</f>
        <v>-0.015625</v>
      </c>
      <c r="L2190" s="0" t="n">
        <f aca="false">D2190*F2190</f>
        <v>-0.015625</v>
      </c>
      <c r="M2190" s="0" t="n">
        <f aca="false">E2190*F2190</f>
        <v>0.015625</v>
      </c>
      <c r="N2190" s="0" t="n">
        <f aca="false">D2190*D2190</f>
        <v>0.015625</v>
      </c>
      <c r="O2190" s="0" t="n">
        <f aca="false">E2190*E2190</f>
        <v>0.015625</v>
      </c>
      <c r="P2190" s="0" t="n">
        <f aca="false">F2190*F2190</f>
        <v>0.015625</v>
      </c>
      <c r="Q2190" s="0" t="n">
        <f aca="false">SUMPRODUCT(G2190:P2190,_XtX!$B$71:$K$71)</f>
        <v>48.3861150568182</v>
      </c>
      <c r="R2190" s="0" t="n">
        <f aca="false">SUMPRODUCT(MMULT(G2190:P2190,_XtX!$B$58:$K$67),G2190:P2190)</f>
        <v>0.118766091086648</v>
      </c>
      <c r="S2190" s="0" t="n">
        <f aca="false">04_回帰ANOVA!$K$19*04_回帰ANOVA!$K$14*SQRT(1+R2190)</f>
        <v>0.983413766268537</v>
      </c>
      <c r="T2190" s="0" t="n">
        <f aca="false">Q2190-S2190</f>
        <v>47.4027012905497</v>
      </c>
      <c r="U2190" s="0" t="n">
        <f aca="false">Q2190+S2190</f>
        <v>49.3695288230867</v>
      </c>
      <c r="V2190" s="54" t="b">
        <f aca="false">AND(D2190&gt;=01_因子設定!$L$5-0.000000001,D2190&lt;=01_因子設定!$M$5+0.000000001,E2190&gt;=01_因子設定!$L$6-0.000000001,E2190&lt;=01_因子設定!$M$6+0.000000001,F2190&gt;=01_因子設定!$L$7-0.000000001,F2190&lt;=01_因子設定!$M$7+0.000000001,IF(01_因子設定!$B$20="Box-Behnken",D2190^2+E2190^2+F2190^2&lt;=2+0.000000001,TRUE()))</f>
        <v>1</v>
      </c>
      <c r="W2190" s="55" t="n">
        <f aca="false">IF(V2190,IF(01_因子設定!$B$13="最大化",T2190-01_因子設定!$B$14,IF(01_因子設定!$B$13="最小化",01_因子設定!$B$15-U2190,MIN(T2190-01_因子設定!$B$14,01_因子設定!$B$15-U2190))),-1E+030)</f>
        <v>-1.09729870945034</v>
      </c>
      <c r="X2190" s="55" t="n">
        <f aca="false">IF(V2190,IF(01_因子設定!$B$13="最大化",Q2190,IF(01_因子設定!$B$13="最小化",-Q2190,-ABS(Q2190-01_因子設定!$B$16))),-1E+030)</f>
        <v>48.3861150568182</v>
      </c>
      <c r="Y2190" s="55" t="n">
        <f aca="false">W2190+ROW()*0.000000001</f>
        <v>-1.09729651945034</v>
      </c>
      <c r="Z2190" s="55" t="n">
        <f aca="false">X2190+ROW()*0.000000001</f>
        <v>48.3861172468182</v>
      </c>
    </row>
    <row r="2191" customFormat="false" ht="15" hidden="false" customHeight="false" outlineLevel="0" collapsed="false">
      <c r="A2191" s="0" t="n">
        <v>7</v>
      </c>
      <c r="B2191" s="0" t="n">
        <v>9</v>
      </c>
      <c r="C2191" s="0" t="n">
        <v>10</v>
      </c>
      <c r="D2191" s="0" t="n">
        <f aca="false">-1+A2191*0.125</f>
        <v>-0.125</v>
      </c>
      <c r="E2191" s="0" t="n">
        <f aca="false">-1+B2191*0.125</f>
        <v>0.125</v>
      </c>
      <c r="F2191" s="0" t="n">
        <f aca="false">-1+C2191*0.125</f>
        <v>0.25</v>
      </c>
      <c r="G2191" s="0" t="n">
        <f aca="false">1</f>
        <v>1</v>
      </c>
      <c r="H2191" s="0" t="n">
        <f aca="false">D2191</f>
        <v>-0.125</v>
      </c>
      <c r="I2191" s="0" t="n">
        <f aca="false">E2191</f>
        <v>0.125</v>
      </c>
      <c r="J2191" s="0" t="n">
        <f aca="false">F2191</f>
        <v>0.25</v>
      </c>
      <c r="K2191" s="0" t="n">
        <f aca="false">D2191*E2191</f>
        <v>-0.015625</v>
      </c>
      <c r="L2191" s="0" t="n">
        <f aca="false">D2191*F2191</f>
        <v>-0.03125</v>
      </c>
      <c r="M2191" s="0" t="n">
        <f aca="false">E2191*F2191</f>
        <v>0.03125</v>
      </c>
      <c r="N2191" s="0" t="n">
        <f aca="false">D2191*D2191</f>
        <v>0.015625</v>
      </c>
      <c r="O2191" s="0" t="n">
        <f aca="false">E2191*E2191</f>
        <v>0.015625</v>
      </c>
      <c r="P2191" s="0" t="n">
        <f aca="false">F2191*F2191</f>
        <v>0.0625</v>
      </c>
      <c r="Q2191" s="0" t="n">
        <f aca="false">SUMPRODUCT(G2191:P2191,_XtX!$B$71:$K$71)</f>
        <v>48.5128053977273</v>
      </c>
      <c r="R2191" s="0" t="n">
        <f aca="false">SUMPRODUCT(MMULT(G2191:P2191,_XtX!$B$58:$K$67),G2191:P2191)</f>
        <v>0.120307506214489</v>
      </c>
      <c r="S2191" s="0" t="n">
        <f aca="false">04_回帰ANOVA!$K$19*04_回帰ANOVA!$K$14*SQRT(1+R2191)</f>
        <v>0.984090997684742</v>
      </c>
      <c r="T2191" s="0" t="n">
        <f aca="false">Q2191-S2191</f>
        <v>47.5287144000425</v>
      </c>
      <c r="U2191" s="0" t="n">
        <f aca="false">Q2191+S2191</f>
        <v>49.496896395412</v>
      </c>
      <c r="V2191" s="54" t="b">
        <f aca="false">AND(D2191&gt;=01_因子設定!$L$5-0.000000001,D2191&lt;=01_因子設定!$M$5+0.000000001,E2191&gt;=01_因子設定!$L$6-0.000000001,E2191&lt;=01_因子設定!$M$6+0.000000001,F2191&gt;=01_因子設定!$L$7-0.000000001,F2191&lt;=01_因子設定!$M$7+0.000000001,IF(01_因子設定!$B$20="Box-Behnken",D2191^2+E2191^2+F2191^2&lt;=2+0.000000001,TRUE()))</f>
        <v>1</v>
      </c>
      <c r="W2191" s="55" t="n">
        <f aca="false">IF(V2191,IF(01_因子設定!$B$13="最大化",T2191-01_因子設定!$B$14,IF(01_因子設定!$B$13="最小化",01_因子設定!$B$15-U2191,MIN(T2191-01_因子設定!$B$14,01_因子設定!$B$15-U2191))),-1E+030)</f>
        <v>-0.971285599957454</v>
      </c>
      <c r="X2191" s="55" t="n">
        <f aca="false">IF(V2191,IF(01_因子設定!$B$13="最大化",Q2191,IF(01_因子設定!$B$13="最小化",-Q2191,-ABS(Q2191-01_因子設定!$B$16))),-1E+030)</f>
        <v>48.5128053977273</v>
      </c>
      <c r="Y2191" s="55" t="n">
        <f aca="false">W2191+ROW()*0.000000001</f>
        <v>-0.971283408957454</v>
      </c>
      <c r="Z2191" s="55" t="n">
        <f aca="false">X2191+ROW()*0.000000001</f>
        <v>48.5128075887273</v>
      </c>
    </row>
    <row r="2192" customFormat="false" ht="15" hidden="false" customHeight="false" outlineLevel="0" collapsed="false">
      <c r="A2192" s="0" t="n">
        <v>7</v>
      </c>
      <c r="B2192" s="0" t="n">
        <v>9</v>
      </c>
      <c r="C2192" s="0" t="n">
        <v>11</v>
      </c>
      <c r="D2192" s="0" t="n">
        <f aca="false">-1+A2192*0.125</f>
        <v>-0.125</v>
      </c>
      <c r="E2192" s="0" t="n">
        <f aca="false">-1+B2192*0.125</f>
        <v>0.125</v>
      </c>
      <c r="F2192" s="0" t="n">
        <f aca="false">-1+C2192*0.125</f>
        <v>0.375</v>
      </c>
      <c r="G2192" s="0" t="n">
        <f aca="false">1</f>
        <v>1</v>
      </c>
      <c r="H2192" s="0" t="n">
        <f aca="false">D2192</f>
        <v>-0.125</v>
      </c>
      <c r="I2192" s="0" t="n">
        <f aca="false">E2192</f>
        <v>0.125</v>
      </c>
      <c r="J2192" s="0" t="n">
        <f aca="false">F2192</f>
        <v>0.375</v>
      </c>
      <c r="K2192" s="0" t="n">
        <f aca="false">D2192*E2192</f>
        <v>-0.015625</v>
      </c>
      <c r="L2192" s="0" t="n">
        <f aca="false">D2192*F2192</f>
        <v>-0.046875</v>
      </c>
      <c r="M2192" s="0" t="n">
        <f aca="false">E2192*F2192</f>
        <v>0.046875</v>
      </c>
      <c r="N2192" s="0" t="n">
        <f aca="false">D2192*D2192</f>
        <v>0.015625</v>
      </c>
      <c r="O2192" s="0" t="n">
        <f aca="false">E2192*E2192</f>
        <v>0.015625</v>
      </c>
      <c r="P2192" s="0" t="n">
        <f aca="false">F2192*F2192</f>
        <v>0.140625</v>
      </c>
      <c r="Q2192" s="0" t="n">
        <f aca="false">SUMPRODUCT(G2192:P2192,_XtX!$B$71:$K$71)</f>
        <v>48.6027059659091</v>
      </c>
      <c r="R2192" s="0" t="n">
        <f aca="false">SUMPRODUCT(MMULT(G2192:P2192,_XtX!$B$58:$K$67),G2192:P2192)</f>
        <v>0.126427667791193</v>
      </c>
      <c r="S2192" s="0" t="n">
        <f aca="false">04_回帰ANOVA!$K$19*04_回帰ANOVA!$K$14*SQRT(1+R2192)</f>
        <v>0.986775346732538</v>
      </c>
      <c r="T2192" s="0" t="n">
        <f aca="false">Q2192-S2192</f>
        <v>47.6159306191766</v>
      </c>
      <c r="U2192" s="0" t="n">
        <f aca="false">Q2192+S2192</f>
        <v>49.5894813126416</v>
      </c>
      <c r="V2192" s="54" t="b">
        <f aca="false">AND(D2192&gt;=01_因子設定!$L$5-0.000000001,D2192&lt;=01_因子設定!$M$5+0.000000001,E2192&gt;=01_因子設定!$L$6-0.000000001,E2192&lt;=01_因子設定!$M$6+0.000000001,F2192&gt;=01_因子設定!$L$7-0.000000001,F2192&lt;=01_因子設定!$M$7+0.000000001,IF(01_因子設定!$B$20="Box-Behnken",D2192^2+E2192^2+F2192^2&lt;=2+0.000000001,TRUE()))</f>
        <v>1</v>
      </c>
      <c r="W2192" s="55" t="n">
        <f aca="false">IF(V2192,IF(01_因子設定!$B$13="最大化",T2192-01_因子設定!$B$14,IF(01_因子設定!$B$13="最小化",01_因子設定!$B$15-U2192,MIN(T2192-01_因子設定!$B$14,01_因子設定!$B$15-U2192))),-1E+030)</f>
        <v>-0.884069380823433</v>
      </c>
      <c r="X2192" s="55" t="n">
        <f aca="false">IF(V2192,IF(01_因子設定!$B$13="最大化",Q2192,IF(01_因子設定!$B$13="最小化",-Q2192,-ABS(Q2192-01_因子設定!$B$16))),-1E+030)</f>
        <v>48.6027059659091</v>
      </c>
      <c r="Y2192" s="55" t="n">
        <f aca="false">W2192+ROW()*0.000000001</f>
        <v>-0.884067188823434</v>
      </c>
      <c r="Z2192" s="55" t="n">
        <f aca="false">X2192+ROW()*0.000000001</f>
        <v>48.6027081579091</v>
      </c>
    </row>
    <row r="2193" customFormat="false" ht="15" hidden="false" customHeight="false" outlineLevel="0" collapsed="false">
      <c r="A2193" s="0" t="n">
        <v>7</v>
      </c>
      <c r="B2193" s="0" t="n">
        <v>9</v>
      </c>
      <c r="C2193" s="0" t="n">
        <v>12</v>
      </c>
      <c r="D2193" s="0" t="n">
        <f aca="false">-1+A2193*0.125</f>
        <v>-0.125</v>
      </c>
      <c r="E2193" s="0" t="n">
        <f aca="false">-1+B2193*0.125</f>
        <v>0.125</v>
      </c>
      <c r="F2193" s="0" t="n">
        <f aca="false">-1+C2193*0.125</f>
        <v>0.5</v>
      </c>
      <c r="G2193" s="0" t="n">
        <f aca="false">1</f>
        <v>1</v>
      </c>
      <c r="H2193" s="0" t="n">
        <f aca="false">D2193</f>
        <v>-0.125</v>
      </c>
      <c r="I2193" s="0" t="n">
        <f aca="false">E2193</f>
        <v>0.125</v>
      </c>
      <c r="J2193" s="0" t="n">
        <f aca="false">F2193</f>
        <v>0.5</v>
      </c>
      <c r="K2193" s="0" t="n">
        <f aca="false">D2193*E2193</f>
        <v>-0.015625</v>
      </c>
      <c r="L2193" s="0" t="n">
        <f aca="false">D2193*F2193</f>
        <v>-0.0625</v>
      </c>
      <c r="M2193" s="0" t="n">
        <f aca="false">E2193*F2193</f>
        <v>0.0625</v>
      </c>
      <c r="N2193" s="0" t="n">
        <f aca="false">D2193*D2193</f>
        <v>0.015625</v>
      </c>
      <c r="O2193" s="0" t="n">
        <f aca="false">E2193*E2193</f>
        <v>0.015625</v>
      </c>
      <c r="P2193" s="0" t="n">
        <f aca="false">F2193*F2193</f>
        <v>0.25</v>
      </c>
      <c r="Q2193" s="0" t="n">
        <f aca="false">SUMPRODUCT(G2193:P2193,_XtX!$B$71:$K$71)</f>
        <v>48.6558167613637</v>
      </c>
      <c r="R2193" s="0" t="n">
        <f aca="false">SUMPRODUCT(MMULT(G2193:P2193,_XtX!$B$58:$K$67),G2193:P2193)</f>
        <v>0.142453280362216</v>
      </c>
      <c r="S2193" s="0" t="n">
        <f aca="false">04_回帰ANOVA!$K$19*04_回帰ANOVA!$K$14*SQRT(1+R2193)</f>
        <v>0.99376995072785</v>
      </c>
      <c r="T2193" s="0" t="n">
        <f aca="false">Q2193-S2193</f>
        <v>47.6620468106358</v>
      </c>
      <c r="U2193" s="0" t="n">
        <f aca="false">Q2193+S2193</f>
        <v>49.6495867120915</v>
      </c>
      <c r="V2193" s="54" t="b">
        <f aca="false">AND(D2193&gt;=01_因子設定!$L$5-0.000000001,D2193&lt;=01_因子設定!$M$5+0.000000001,E2193&gt;=01_因子設定!$L$6-0.000000001,E2193&lt;=01_因子設定!$M$6+0.000000001,F2193&gt;=01_因子設定!$L$7-0.000000001,F2193&lt;=01_因子設定!$M$7+0.000000001,IF(01_因子設定!$B$20="Box-Behnken",D2193^2+E2193^2+F2193^2&lt;=2+0.000000001,TRUE()))</f>
        <v>1</v>
      </c>
      <c r="W2193" s="55" t="n">
        <f aca="false">IF(V2193,IF(01_因子設定!$B$13="最大化",T2193-01_因子設定!$B$14,IF(01_因子設定!$B$13="最小化",01_因子設定!$B$15-U2193,MIN(T2193-01_因子設定!$B$14,01_因子設定!$B$15-U2193))),-1E+030)</f>
        <v>-0.8379531893642</v>
      </c>
      <c r="X2193" s="55" t="n">
        <f aca="false">IF(V2193,IF(01_因子設定!$B$13="最大化",Q2193,IF(01_因子設定!$B$13="最小化",-Q2193,-ABS(Q2193-01_因子設定!$B$16))),-1E+030)</f>
        <v>48.6558167613637</v>
      </c>
      <c r="Y2193" s="55" t="n">
        <f aca="false">W2193+ROW()*0.000000001</f>
        <v>-0.8379509963642</v>
      </c>
      <c r="Z2193" s="55" t="n">
        <f aca="false">X2193+ROW()*0.000000001</f>
        <v>48.6558189543637</v>
      </c>
    </row>
    <row r="2194" customFormat="false" ht="15" hidden="false" customHeight="false" outlineLevel="0" collapsed="false">
      <c r="A2194" s="0" t="n">
        <v>7</v>
      </c>
      <c r="B2194" s="0" t="n">
        <v>9</v>
      </c>
      <c r="C2194" s="0" t="n">
        <v>13</v>
      </c>
      <c r="D2194" s="0" t="n">
        <f aca="false">-1+A2194*0.125</f>
        <v>-0.125</v>
      </c>
      <c r="E2194" s="0" t="n">
        <f aca="false">-1+B2194*0.125</f>
        <v>0.125</v>
      </c>
      <c r="F2194" s="0" t="n">
        <f aca="false">-1+C2194*0.125</f>
        <v>0.625</v>
      </c>
      <c r="G2194" s="0" t="n">
        <f aca="false">1</f>
        <v>1</v>
      </c>
      <c r="H2194" s="0" t="n">
        <f aca="false">D2194</f>
        <v>-0.125</v>
      </c>
      <c r="I2194" s="0" t="n">
        <f aca="false">E2194</f>
        <v>0.125</v>
      </c>
      <c r="J2194" s="0" t="n">
        <f aca="false">F2194</f>
        <v>0.625</v>
      </c>
      <c r="K2194" s="0" t="n">
        <f aca="false">D2194*E2194</f>
        <v>-0.015625</v>
      </c>
      <c r="L2194" s="0" t="n">
        <f aca="false">D2194*F2194</f>
        <v>-0.078125</v>
      </c>
      <c r="M2194" s="0" t="n">
        <f aca="false">E2194*F2194</f>
        <v>0.078125</v>
      </c>
      <c r="N2194" s="0" t="n">
        <f aca="false">D2194*D2194</f>
        <v>0.015625</v>
      </c>
      <c r="O2194" s="0" t="n">
        <f aca="false">E2194*E2194</f>
        <v>0.015625</v>
      </c>
      <c r="P2194" s="0" t="n">
        <f aca="false">F2194*F2194</f>
        <v>0.390625</v>
      </c>
      <c r="Q2194" s="0" t="n">
        <f aca="false">SUMPRODUCT(G2194:P2194,_XtX!$B$71:$K$71)</f>
        <v>48.6721377840909</v>
      </c>
      <c r="R2194" s="0" t="n">
        <f aca="false">SUMPRODUCT(MMULT(G2194:P2194,_XtX!$B$58:$K$67),G2194:P2194)</f>
        <v>0.175841730291193</v>
      </c>
      <c r="S2194" s="0" t="n">
        <f aca="false">04_回帰ANOVA!$K$19*04_回帰ANOVA!$K$14*SQRT(1+R2194)</f>
        <v>1.00818694767054</v>
      </c>
      <c r="T2194" s="0" t="n">
        <f aca="false">Q2194-S2194</f>
        <v>47.6639508364204</v>
      </c>
      <c r="U2194" s="0" t="n">
        <f aca="false">Q2194+S2194</f>
        <v>49.6803247317615</v>
      </c>
      <c r="V2194" s="54" t="b">
        <f aca="false">AND(D2194&gt;=01_因子設定!$L$5-0.000000001,D2194&lt;=01_因子設定!$M$5+0.000000001,E2194&gt;=01_因子設定!$L$6-0.000000001,E2194&lt;=01_因子設定!$M$6+0.000000001,F2194&gt;=01_因子設定!$L$7-0.000000001,F2194&lt;=01_因子設定!$M$7+0.000000001,IF(01_因子設定!$B$20="Box-Behnken",D2194^2+E2194^2+F2194^2&lt;=2+0.000000001,TRUE()))</f>
        <v>1</v>
      </c>
      <c r="W2194" s="55" t="n">
        <f aca="false">IF(V2194,IF(01_因子設定!$B$13="最大化",T2194-01_因子設定!$B$14,IF(01_因子設定!$B$13="最小化",01_因子設定!$B$15-U2194,MIN(T2194-01_因子設定!$B$14,01_因子設定!$B$15-U2194))),-1E+030)</f>
        <v>-0.83604916357961</v>
      </c>
      <c r="X2194" s="55" t="n">
        <f aca="false">IF(V2194,IF(01_因子設定!$B$13="最大化",Q2194,IF(01_因子設定!$B$13="最小化",-Q2194,-ABS(Q2194-01_因子設定!$B$16))),-1E+030)</f>
        <v>48.6721377840909</v>
      </c>
      <c r="Y2194" s="55" t="n">
        <f aca="false">W2194+ROW()*0.000000001</f>
        <v>-0.836046969579609</v>
      </c>
      <c r="Z2194" s="55" t="n">
        <f aca="false">X2194+ROW()*0.000000001</f>
        <v>48.6721399780909</v>
      </c>
    </row>
    <row r="2195" customFormat="false" ht="15" hidden="false" customHeight="false" outlineLevel="0" collapsed="false">
      <c r="A2195" s="0" t="n">
        <v>7</v>
      </c>
      <c r="B2195" s="0" t="n">
        <v>9</v>
      </c>
      <c r="C2195" s="0" t="n">
        <v>14</v>
      </c>
      <c r="D2195" s="0" t="n">
        <f aca="false">-1+A2195*0.125</f>
        <v>-0.125</v>
      </c>
      <c r="E2195" s="0" t="n">
        <f aca="false">-1+B2195*0.125</f>
        <v>0.125</v>
      </c>
      <c r="F2195" s="0" t="n">
        <f aca="false">-1+C2195*0.125</f>
        <v>0.75</v>
      </c>
      <c r="G2195" s="0" t="n">
        <f aca="false">1</f>
        <v>1</v>
      </c>
      <c r="H2195" s="0" t="n">
        <f aca="false">D2195</f>
        <v>-0.125</v>
      </c>
      <c r="I2195" s="0" t="n">
        <f aca="false">E2195</f>
        <v>0.125</v>
      </c>
      <c r="J2195" s="0" t="n">
        <f aca="false">F2195</f>
        <v>0.75</v>
      </c>
      <c r="K2195" s="0" t="n">
        <f aca="false">D2195*E2195</f>
        <v>-0.015625</v>
      </c>
      <c r="L2195" s="0" t="n">
        <f aca="false">D2195*F2195</f>
        <v>-0.09375</v>
      </c>
      <c r="M2195" s="0" t="n">
        <f aca="false">E2195*F2195</f>
        <v>0.09375</v>
      </c>
      <c r="N2195" s="0" t="n">
        <f aca="false">D2195*D2195</f>
        <v>0.015625</v>
      </c>
      <c r="O2195" s="0" t="n">
        <f aca="false">E2195*E2195</f>
        <v>0.015625</v>
      </c>
      <c r="P2195" s="0" t="n">
        <f aca="false">F2195*F2195</f>
        <v>0.5625</v>
      </c>
      <c r="Q2195" s="0" t="n">
        <f aca="false">SUMPRODUCT(G2195:P2195,_XtX!$B$71:$K$71)</f>
        <v>48.6516690340909</v>
      </c>
      <c r="R2195" s="0" t="n">
        <f aca="false">SUMPRODUCT(MMULT(G2195:P2195,_XtX!$B$58:$K$67),G2195:P2195)</f>
        <v>0.236181085759943</v>
      </c>
      <c r="S2195" s="0" t="n">
        <f aca="false">04_回帰ANOVA!$K$19*04_回帰ANOVA!$K$14*SQRT(1+R2195)</f>
        <v>1.03373134025567</v>
      </c>
      <c r="T2195" s="0" t="n">
        <f aca="false">Q2195-S2195</f>
        <v>47.6179376938353</v>
      </c>
      <c r="U2195" s="0" t="n">
        <f aca="false">Q2195+S2195</f>
        <v>49.6854003743466</v>
      </c>
      <c r="V2195" s="54" t="b">
        <f aca="false">AND(D2195&gt;=01_因子設定!$L$5-0.000000001,D2195&lt;=01_因子設定!$M$5+0.000000001,E2195&gt;=01_因子設定!$L$6-0.000000001,E2195&lt;=01_因子設定!$M$6+0.000000001,F2195&gt;=01_因子設定!$L$7-0.000000001,F2195&lt;=01_因子設定!$M$7+0.000000001,IF(01_因子設定!$B$20="Box-Behnken",D2195^2+E2195^2+F2195^2&lt;=2+0.000000001,TRUE()))</f>
        <v>1</v>
      </c>
      <c r="W2195" s="55" t="n">
        <f aca="false">IF(V2195,IF(01_因子設定!$B$13="最大化",T2195-01_因子設定!$B$14,IF(01_因子設定!$B$13="最小化",01_因子設定!$B$15-U2195,MIN(T2195-01_因子設定!$B$14,01_因子設定!$B$15-U2195))),-1E+030)</f>
        <v>-0.882062306164748</v>
      </c>
      <c r="X2195" s="55" t="n">
        <f aca="false">IF(V2195,IF(01_因子設定!$B$13="最大化",Q2195,IF(01_因子設定!$B$13="最小化",-Q2195,-ABS(Q2195-01_因子設定!$B$16))),-1E+030)</f>
        <v>48.6516690340909</v>
      </c>
      <c r="Y2195" s="55" t="n">
        <f aca="false">W2195+ROW()*0.000000001</f>
        <v>-0.882060111164748</v>
      </c>
      <c r="Z2195" s="55" t="n">
        <f aca="false">X2195+ROW()*0.000000001</f>
        <v>48.6516712290909</v>
      </c>
    </row>
    <row r="2196" customFormat="false" ht="15" hidden="false" customHeight="false" outlineLevel="0" collapsed="false">
      <c r="A2196" s="0" t="n">
        <v>7</v>
      </c>
      <c r="B2196" s="0" t="n">
        <v>9</v>
      </c>
      <c r="C2196" s="0" t="n">
        <v>15</v>
      </c>
      <c r="D2196" s="0" t="n">
        <f aca="false">-1+A2196*0.125</f>
        <v>-0.125</v>
      </c>
      <c r="E2196" s="0" t="n">
        <f aca="false">-1+B2196*0.125</f>
        <v>0.125</v>
      </c>
      <c r="F2196" s="0" t="n">
        <f aca="false">-1+C2196*0.125</f>
        <v>0.875</v>
      </c>
      <c r="G2196" s="0" t="n">
        <f aca="false">1</f>
        <v>1</v>
      </c>
      <c r="H2196" s="0" t="n">
        <f aca="false">D2196</f>
        <v>-0.125</v>
      </c>
      <c r="I2196" s="0" t="n">
        <f aca="false">E2196</f>
        <v>0.125</v>
      </c>
      <c r="J2196" s="0" t="n">
        <f aca="false">F2196</f>
        <v>0.875</v>
      </c>
      <c r="K2196" s="0" t="n">
        <f aca="false">D2196*E2196</f>
        <v>-0.015625</v>
      </c>
      <c r="L2196" s="0" t="n">
        <f aca="false">D2196*F2196</f>
        <v>-0.109375</v>
      </c>
      <c r="M2196" s="0" t="n">
        <f aca="false">E2196*F2196</f>
        <v>0.109375</v>
      </c>
      <c r="N2196" s="0" t="n">
        <f aca="false">D2196*D2196</f>
        <v>0.015625</v>
      </c>
      <c r="O2196" s="0" t="n">
        <f aca="false">E2196*E2196</f>
        <v>0.015625</v>
      </c>
      <c r="P2196" s="0" t="n">
        <f aca="false">F2196*F2196</f>
        <v>0.765625</v>
      </c>
      <c r="Q2196" s="0" t="n">
        <f aca="false">SUMPRODUCT(G2196:P2196,_XtX!$B$71:$K$71)</f>
        <v>48.5944105113637</v>
      </c>
      <c r="R2196" s="0" t="n">
        <f aca="false">SUMPRODUCT(MMULT(G2196:P2196,_XtX!$B$58:$K$67),G2196:P2196)</f>
        <v>0.335190096768466</v>
      </c>
      <c r="S2196" s="0" t="n">
        <f aca="false">04_回帰ANOVA!$K$19*04_回帰ANOVA!$K$14*SQRT(1+R2196)</f>
        <v>1.07433119726947</v>
      </c>
      <c r="T2196" s="0" t="n">
        <f aca="false">Q2196-S2196</f>
        <v>47.5200793140942</v>
      </c>
      <c r="U2196" s="0" t="n">
        <f aca="false">Q2196+S2196</f>
        <v>49.6687417086331</v>
      </c>
      <c r="V2196" s="54" t="b">
        <f aca="false">AND(D2196&gt;=01_因子設定!$L$5-0.000000001,D2196&lt;=01_因子設定!$M$5+0.000000001,E2196&gt;=01_因子設定!$L$6-0.000000001,E2196&lt;=01_因子設定!$M$6+0.000000001,F2196&gt;=01_因子設定!$L$7-0.000000001,F2196&lt;=01_因子設定!$M$7+0.000000001,IF(01_因子設定!$B$20="Box-Behnken",D2196^2+E2196^2+F2196^2&lt;=2+0.000000001,TRUE()))</f>
        <v>1</v>
      </c>
      <c r="W2196" s="55" t="n">
        <f aca="false">IF(V2196,IF(01_因子設定!$B$13="最大化",T2196-01_因子設定!$B$14,IF(01_因子設定!$B$13="最小化",01_因子設定!$B$15-U2196,MIN(T2196-01_因子設定!$B$14,01_因子設定!$B$15-U2196))),-1E+030)</f>
        <v>-0.979920685905803</v>
      </c>
      <c r="X2196" s="55" t="n">
        <f aca="false">IF(V2196,IF(01_因子設定!$B$13="最大化",Q2196,IF(01_因子設定!$B$13="最小化",-Q2196,-ABS(Q2196-01_因子設定!$B$16))),-1E+030)</f>
        <v>48.5944105113637</v>
      </c>
      <c r="Y2196" s="55" t="n">
        <f aca="false">W2196+ROW()*0.000000001</f>
        <v>-0.979918489905803</v>
      </c>
      <c r="Z2196" s="55" t="n">
        <f aca="false">X2196+ROW()*0.000000001</f>
        <v>48.5944127073637</v>
      </c>
    </row>
    <row r="2197" customFormat="false" ht="15" hidden="false" customHeight="false" outlineLevel="0" collapsed="false">
      <c r="A2197" s="0" t="n">
        <v>7</v>
      </c>
      <c r="B2197" s="0" t="n">
        <v>9</v>
      </c>
      <c r="C2197" s="0" t="n">
        <v>16</v>
      </c>
      <c r="D2197" s="0" t="n">
        <f aca="false">-1+A2197*0.125</f>
        <v>-0.125</v>
      </c>
      <c r="E2197" s="0" t="n">
        <f aca="false">-1+B2197*0.125</f>
        <v>0.125</v>
      </c>
      <c r="F2197" s="0" t="n">
        <f aca="false">-1+C2197*0.125</f>
        <v>1</v>
      </c>
      <c r="G2197" s="0" t="n">
        <f aca="false">1</f>
        <v>1</v>
      </c>
      <c r="H2197" s="0" t="n">
        <f aca="false">D2197</f>
        <v>-0.125</v>
      </c>
      <c r="I2197" s="0" t="n">
        <f aca="false">E2197</f>
        <v>0.125</v>
      </c>
      <c r="J2197" s="0" t="n">
        <f aca="false">F2197</f>
        <v>1</v>
      </c>
      <c r="K2197" s="0" t="n">
        <f aca="false">D2197*E2197</f>
        <v>-0.015625</v>
      </c>
      <c r="L2197" s="0" t="n">
        <f aca="false">D2197*F2197</f>
        <v>-0.125</v>
      </c>
      <c r="M2197" s="0" t="n">
        <f aca="false">E2197*F2197</f>
        <v>0.125</v>
      </c>
      <c r="N2197" s="0" t="n">
        <f aca="false">D2197*D2197</f>
        <v>0.015625</v>
      </c>
      <c r="O2197" s="0" t="n">
        <f aca="false">E2197*E2197</f>
        <v>0.015625</v>
      </c>
      <c r="P2197" s="0" t="n">
        <f aca="false">F2197*F2197</f>
        <v>1</v>
      </c>
      <c r="Q2197" s="0" t="n">
        <f aca="false">SUMPRODUCT(G2197:P2197,_XtX!$B$71:$K$71)</f>
        <v>48.5003622159091</v>
      </c>
      <c r="R2197" s="0" t="n">
        <f aca="false">SUMPRODUCT(MMULT(G2197:P2197,_XtX!$B$58:$K$67),G2197:P2197)</f>
        <v>0.486718195134943</v>
      </c>
      <c r="S2197" s="0" t="n">
        <f aca="false">04_回帰ANOVA!$K$19*04_回帰ANOVA!$K$14*SQRT(1+R2197)</f>
        <v>1.13365514750636</v>
      </c>
      <c r="T2197" s="0" t="n">
        <f aca="false">Q2197-S2197</f>
        <v>47.3667070684028</v>
      </c>
      <c r="U2197" s="0" t="n">
        <f aca="false">Q2197+S2197</f>
        <v>49.6340173634155</v>
      </c>
      <c r="V2197" s="54" t="b">
        <f aca="false">AND(D2197&gt;=01_因子設定!$L$5-0.000000001,D2197&lt;=01_因子設定!$M$5+0.000000001,E2197&gt;=01_因子設定!$L$6-0.000000001,E2197&lt;=01_因子設定!$M$6+0.000000001,F2197&gt;=01_因子設定!$L$7-0.000000001,F2197&lt;=01_因子設定!$M$7+0.000000001,IF(01_因子設定!$B$20="Box-Behnken",D2197^2+E2197^2+F2197^2&lt;=2+0.000000001,TRUE()))</f>
        <v>1</v>
      </c>
      <c r="W2197" s="55" t="n">
        <f aca="false">IF(V2197,IF(01_因子設定!$B$13="最大化",T2197-01_因子設定!$B$14,IF(01_因子設定!$B$13="最小化",01_因子設定!$B$15-U2197,MIN(T2197-01_因子設定!$B$14,01_因子設定!$B$15-U2197))),-1E+030)</f>
        <v>-1.13329293159724</v>
      </c>
      <c r="X2197" s="55" t="n">
        <f aca="false">IF(V2197,IF(01_因子設定!$B$13="最大化",Q2197,IF(01_因子設定!$B$13="最小化",-Q2197,-ABS(Q2197-01_因子設定!$B$16))),-1E+030)</f>
        <v>48.5003622159091</v>
      </c>
      <c r="Y2197" s="55" t="n">
        <f aca="false">W2197+ROW()*0.000000001</f>
        <v>-1.13329073459724</v>
      </c>
      <c r="Z2197" s="55" t="n">
        <f aca="false">X2197+ROW()*0.000000001</f>
        <v>48.5003644129091</v>
      </c>
    </row>
    <row r="2198" customFormat="false" ht="15" hidden="false" customHeight="false" outlineLevel="0" collapsed="false">
      <c r="A2198" s="0" t="n">
        <v>7</v>
      </c>
      <c r="B2198" s="0" t="n">
        <v>10</v>
      </c>
      <c r="C2198" s="0" t="n">
        <v>0</v>
      </c>
      <c r="D2198" s="0" t="n">
        <f aca="false">-1+A2198*0.125</f>
        <v>-0.125</v>
      </c>
      <c r="E2198" s="0" t="n">
        <f aca="false">-1+B2198*0.125</f>
        <v>0.25</v>
      </c>
      <c r="F2198" s="0" t="n">
        <f aca="false">-1+C2198*0.125</f>
        <v>-1</v>
      </c>
      <c r="G2198" s="0" t="n">
        <f aca="false">1</f>
        <v>1</v>
      </c>
      <c r="H2198" s="0" t="n">
        <f aca="false">D2198</f>
        <v>-0.125</v>
      </c>
      <c r="I2198" s="0" t="n">
        <f aca="false">E2198</f>
        <v>0.25</v>
      </c>
      <c r="J2198" s="0" t="n">
        <f aca="false">F2198</f>
        <v>-1</v>
      </c>
      <c r="K2198" s="0" t="n">
        <f aca="false">D2198*E2198</f>
        <v>-0.03125</v>
      </c>
      <c r="L2198" s="0" t="n">
        <f aca="false">D2198*F2198</f>
        <v>0.125</v>
      </c>
      <c r="M2198" s="0" t="n">
        <f aca="false">E2198*F2198</f>
        <v>-0.25</v>
      </c>
      <c r="N2198" s="0" t="n">
        <f aca="false">D2198*D2198</f>
        <v>0.015625</v>
      </c>
      <c r="O2198" s="0" t="n">
        <f aca="false">E2198*E2198</f>
        <v>0.0625</v>
      </c>
      <c r="P2198" s="0" t="n">
        <f aca="false">F2198*F2198</f>
        <v>1</v>
      </c>
      <c r="Q2198" s="0" t="n">
        <f aca="false">SUMPRODUCT(G2198:P2198,_XtX!$B$71:$K$71)</f>
        <v>45.6786931818182</v>
      </c>
      <c r="R2198" s="0" t="n">
        <f aca="false">SUMPRODUCT(MMULT(G2198:P2198,_XtX!$B$58:$K$67),G2198:P2198)</f>
        <v>0.481443093039773</v>
      </c>
      <c r="S2198" s="0" t="n">
        <f aca="false">04_回帰ANOVA!$K$19*04_回帰ANOVA!$K$14*SQRT(1+R2198)</f>
        <v>1.13164216995877</v>
      </c>
      <c r="T2198" s="0" t="n">
        <f aca="false">Q2198-S2198</f>
        <v>44.5470510118594</v>
      </c>
      <c r="U2198" s="0" t="n">
        <f aca="false">Q2198+S2198</f>
        <v>46.810335351777</v>
      </c>
      <c r="V2198" s="54" t="b">
        <f aca="false">AND(D2198&gt;=01_因子設定!$L$5-0.000000001,D2198&lt;=01_因子設定!$M$5+0.000000001,E2198&gt;=01_因子設定!$L$6-0.000000001,E2198&lt;=01_因子設定!$M$6+0.000000001,F2198&gt;=01_因子設定!$L$7-0.000000001,F2198&lt;=01_因子設定!$M$7+0.000000001,IF(01_因子設定!$B$20="Box-Behnken",D2198^2+E2198^2+F2198^2&lt;=2+0.000000001,TRUE()))</f>
        <v>1</v>
      </c>
      <c r="W2198" s="55" t="n">
        <f aca="false">IF(V2198,IF(01_因子設定!$B$13="最大化",T2198-01_因子設定!$B$14,IF(01_因子設定!$B$13="最小化",01_因子設定!$B$15-U2198,MIN(T2198-01_因子設定!$B$14,01_因子設定!$B$15-U2198))),-1E+030)</f>
        <v>-3.95294898814056</v>
      </c>
      <c r="X2198" s="55" t="n">
        <f aca="false">IF(V2198,IF(01_因子設定!$B$13="最大化",Q2198,IF(01_因子設定!$B$13="最小化",-Q2198,-ABS(Q2198-01_因子設定!$B$16))),-1E+030)</f>
        <v>45.6786931818182</v>
      </c>
      <c r="Y2198" s="55" t="n">
        <f aca="false">W2198+ROW()*0.000000001</f>
        <v>-3.95294679014056</v>
      </c>
      <c r="Z2198" s="55" t="n">
        <f aca="false">X2198+ROW()*0.000000001</f>
        <v>45.6786953798182</v>
      </c>
    </row>
    <row r="2199" customFormat="false" ht="15" hidden="false" customHeight="false" outlineLevel="0" collapsed="false">
      <c r="A2199" s="0" t="n">
        <v>7</v>
      </c>
      <c r="B2199" s="0" t="n">
        <v>10</v>
      </c>
      <c r="C2199" s="0" t="n">
        <v>1</v>
      </c>
      <c r="D2199" s="0" t="n">
        <f aca="false">-1+A2199*0.125</f>
        <v>-0.125</v>
      </c>
      <c r="E2199" s="0" t="n">
        <f aca="false">-1+B2199*0.125</f>
        <v>0.25</v>
      </c>
      <c r="F2199" s="0" t="n">
        <f aca="false">-1+C2199*0.125</f>
        <v>-0.875</v>
      </c>
      <c r="G2199" s="0" t="n">
        <f aca="false">1</f>
        <v>1</v>
      </c>
      <c r="H2199" s="0" t="n">
        <f aca="false">D2199</f>
        <v>-0.125</v>
      </c>
      <c r="I2199" s="0" t="n">
        <f aca="false">E2199</f>
        <v>0.25</v>
      </c>
      <c r="J2199" s="0" t="n">
        <f aca="false">F2199</f>
        <v>-0.875</v>
      </c>
      <c r="K2199" s="0" t="n">
        <f aca="false">D2199*E2199</f>
        <v>-0.03125</v>
      </c>
      <c r="L2199" s="0" t="n">
        <f aca="false">D2199*F2199</f>
        <v>0.109375</v>
      </c>
      <c r="M2199" s="0" t="n">
        <f aca="false">E2199*F2199</f>
        <v>-0.21875</v>
      </c>
      <c r="N2199" s="0" t="n">
        <f aca="false">D2199*D2199</f>
        <v>0.015625</v>
      </c>
      <c r="O2199" s="0" t="n">
        <f aca="false">E2199*E2199</f>
        <v>0.0625</v>
      </c>
      <c r="P2199" s="0" t="n">
        <f aca="false">F2199*F2199</f>
        <v>0.765625</v>
      </c>
      <c r="Q2199" s="0" t="n">
        <f aca="false">SUMPRODUCT(G2199:P2199,_XtX!$B$71:$K$71)</f>
        <v>46.1435227272728</v>
      </c>
      <c r="R2199" s="0" t="n">
        <f aca="false">SUMPRODUCT(MMULT(G2199:P2199,_XtX!$B$58:$K$67),G2199:P2199)</f>
        <v>0.331537974964489</v>
      </c>
      <c r="S2199" s="0" t="n">
        <f aca="false">04_回帰ANOVA!$K$19*04_回帰ANOVA!$K$14*SQRT(1+R2199)</f>
        <v>1.07286089161565</v>
      </c>
      <c r="T2199" s="0" t="n">
        <f aca="false">Q2199-S2199</f>
        <v>45.0706618356571</v>
      </c>
      <c r="U2199" s="0" t="n">
        <f aca="false">Q2199+S2199</f>
        <v>47.2163836188884</v>
      </c>
      <c r="V2199" s="54" t="b">
        <f aca="false">AND(D2199&gt;=01_因子設定!$L$5-0.000000001,D2199&lt;=01_因子設定!$M$5+0.000000001,E2199&gt;=01_因子設定!$L$6-0.000000001,E2199&lt;=01_因子設定!$M$6+0.000000001,F2199&gt;=01_因子設定!$L$7-0.000000001,F2199&lt;=01_因子設定!$M$7+0.000000001,IF(01_因子設定!$B$20="Box-Behnken",D2199^2+E2199^2+F2199^2&lt;=2+0.000000001,TRUE()))</f>
        <v>1</v>
      </c>
      <c r="W2199" s="55" t="n">
        <f aca="false">IF(V2199,IF(01_因子設定!$B$13="最大化",T2199-01_因子設定!$B$14,IF(01_因子設定!$B$13="最小化",01_因子設定!$B$15-U2199,MIN(T2199-01_因子設定!$B$14,01_因子設定!$B$15-U2199))),-1E+030)</f>
        <v>-3.4293381643429</v>
      </c>
      <c r="X2199" s="55" t="n">
        <f aca="false">IF(V2199,IF(01_因子設定!$B$13="最大化",Q2199,IF(01_因子設定!$B$13="最小化",-Q2199,-ABS(Q2199-01_因子設定!$B$16))),-1E+030)</f>
        <v>46.1435227272728</v>
      </c>
      <c r="Y2199" s="55" t="n">
        <f aca="false">W2199+ROW()*0.000000001</f>
        <v>-3.4293359653429</v>
      </c>
      <c r="Z2199" s="55" t="n">
        <f aca="false">X2199+ROW()*0.000000001</f>
        <v>46.1435249262728</v>
      </c>
    </row>
    <row r="2200" customFormat="false" ht="15" hidden="false" customHeight="false" outlineLevel="0" collapsed="false">
      <c r="A2200" s="0" t="n">
        <v>7</v>
      </c>
      <c r="B2200" s="0" t="n">
        <v>10</v>
      </c>
      <c r="C2200" s="0" t="n">
        <v>2</v>
      </c>
      <c r="D2200" s="0" t="n">
        <f aca="false">-1+A2200*0.125</f>
        <v>-0.125</v>
      </c>
      <c r="E2200" s="0" t="n">
        <f aca="false">-1+B2200*0.125</f>
        <v>0.25</v>
      </c>
      <c r="F2200" s="0" t="n">
        <f aca="false">-1+C2200*0.125</f>
        <v>-0.75</v>
      </c>
      <c r="G2200" s="0" t="n">
        <f aca="false">1</f>
        <v>1</v>
      </c>
      <c r="H2200" s="0" t="n">
        <f aca="false">D2200</f>
        <v>-0.125</v>
      </c>
      <c r="I2200" s="0" t="n">
        <f aca="false">E2200</f>
        <v>0.25</v>
      </c>
      <c r="J2200" s="0" t="n">
        <f aca="false">F2200</f>
        <v>-0.75</v>
      </c>
      <c r="K2200" s="0" t="n">
        <f aca="false">D2200*E2200</f>
        <v>-0.03125</v>
      </c>
      <c r="L2200" s="0" t="n">
        <f aca="false">D2200*F2200</f>
        <v>0.09375</v>
      </c>
      <c r="M2200" s="0" t="n">
        <f aca="false">E2200*F2200</f>
        <v>-0.1875</v>
      </c>
      <c r="N2200" s="0" t="n">
        <f aca="false">D2200*D2200</f>
        <v>0.015625</v>
      </c>
      <c r="O2200" s="0" t="n">
        <f aca="false">E2200*E2200</f>
        <v>0.0625</v>
      </c>
      <c r="P2200" s="0" t="n">
        <f aca="false">F2200*F2200</f>
        <v>0.5625</v>
      </c>
      <c r="Q2200" s="0" t="n">
        <f aca="false">SUMPRODUCT(G2200:P2200,_XtX!$B$71:$K$71)</f>
        <v>46.5715625</v>
      </c>
      <c r="R2200" s="0" t="n">
        <f aca="false">SUMPRODUCT(MMULT(G2200:P2200,_XtX!$B$58:$K$67),G2200:P2200)</f>
        <v>0.233935546875</v>
      </c>
      <c r="S2200" s="0" t="n">
        <f aca="false">04_回帰ANOVA!$K$19*04_回帰ANOVA!$K$14*SQRT(1+R2200)</f>
        <v>1.03279202033444</v>
      </c>
      <c r="T2200" s="0" t="n">
        <f aca="false">Q2200-S2200</f>
        <v>45.5387704796656</v>
      </c>
      <c r="U2200" s="0" t="n">
        <f aca="false">Q2200+S2200</f>
        <v>47.6043545203345</v>
      </c>
      <c r="V2200" s="54" t="b">
        <f aca="false">AND(D2200&gt;=01_因子設定!$L$5-0.000000001,D2200&lt;=01_因子設定!$M$5+0.000000001,E2200&gt;=01_因子設定!$L$6-0.000000001,E2200&lt;=01_因子設定!$M$6+0.000000001,F2200&gt;=01_因子設定!$L$7-0.000000001,F2200&lt;=01_因子設定!$M$7+0.000000001,IF(01_因子設定!$B$20="Box-Behnken",D2200^2+E2200^2+F2200^2&lt;=2+0.000000001,TRUE()))</f>
        <v>1</v>
      </c>
      <c r="W2200" s="55" t="n">
        <f aca="false">IF(V2200,IF(01_因子設定!$B$13="最大化",T2200-01_因子設定!$B$14,IF(01_因子設定!$B$13="最小化",01_因子設定!$B$15-U2200,MIN(T2200-01_因子設定!$B$14,01_因子設定!$B$15-U2200))),-1E+030)</f>
        <v>-2.96122952033442</v>
      </c>
      <c r="X2200" s="55" t="n">
        <f aca="false">IF(V2200,IF(01_因子設定!$B$13="最大化",Q2200,IF(01_因子設定!$B$13="最小化",-Q2200,-ABS(Q2200-01_因子設定!$B$16))),-1E+030)</f>
        <v>46.5715625</v>
      </c>
      <c r="Y2200" s="55" t="n">
        <f aca="false">W2200+ROW()*0.000000001</f>
        <v>-2.96122732033442</v>
      </c>
      <c r="Z2200" s="55" t="n">
        <f aca="false">X2200+ROW()*0.000000001</f>
        <v>46.5715647</v>
      </c>
    </row>
    <row r="2201" customFormat="false" ht="15" hidden="false" customHeight="false" outlineLevel="0" collapsed="false">
      <c r="A2201" s="0" t="n">
        <v>7</v>
      </c>
      <c r="B2201" s="0" t="n">
        <v>10</v>
      </c>
      <c r="C2201" s="0" t="n">
        <v>3</v>
      </c>
      <c r="D2201" s="0" t="n">
        <f aca="false">-1+A2201*0.125</f>
        <v>-0.125</v>
      </c>
      <c r="E2201" s="0" t="n">
        <f aca="false">-1+B2201*0.125</f>
        <v>0.25</v>
      </c>
      <c r="F2201" s="0" t="n">
        <f aca="false">-1+C2201*0.125</f>
        <v>-0.625</v>
      </c>
      <c r="G2201" s="0" t="n">
        <f aca="false">1</f>
        <v>1</v>
      </c>
      <c r="H2201" s="0" t="n">
        <f aca="false">D2201</f>
        <v>-0.125</v>
      </c>
      <c r="I2201" s="0" t="n">
        <f aca="false">E2201</f>
        <v>0.25</v>
      </c>
      <c r="J2201" s="0" t="n">
        <f aca="false">F2201</f>
        <v>-0.625</v>
      </c>
      <c r="K2201" s="0" t="n">
        <f aca="false">D2201*E2201</f>
        <v>-0.03125</v>
      </c>
      <c r="L2201" s="0" t="n">
        <f aca="false">D2201*F2201</f>
        <v>0.078125</v>
      </c>
      <c r="M2201" s="0" t="n">
        <f aca="false">E2201*F2201</f>
        <v>-0.15625</v>
      </c>
      <c r="N2201" s="0" t="n">
        <f aca="false">D2201*D2201</f>
        <v>0.015625</v>
      </c>
      <c r="O2201" s="0" t="n">
        <f aca="false">E2201*E2201</f>
        <v>0.0625</v>
      </c>
      <c r="P2201" s="0" t="n">
        <f aca="false">F2201*F2201</f>
        <v>0.390625</v>
      </c>
      <c r="Q2201" s="0" t="n">
        <f aca="false">SUMPRODUCT(G2201:P2201,_XtX!$B$71:$K$71)</f>
        <v>46.9628125</v>
      </c>
      <c r="R2201" s="0" t="n">
        <f aca="false">SUMPRODUCT(MMULT(G2201:P2201,_XtX!$B$58:$K$67),G2201:P2201)</f>
        <v>0.174786376953125</v>
      </c>
      <c r="S2201" s="0" t="n">
        <f aca="false">04_回帰ANOVA!$K$19*04_回帰ANOVA!$K$14*SQRT(1+R2201)</f>
        <v>1.00773440704286</v>
      </c>
      <c r="T2201" s="0" t="n">
        <f aca="false">Q2201-S2201</f>
        <v>45.9550780929572</v>
      </c>
      <c r="U2201" s="0" t="n">
        <f aca="false">Q2201+S2201</f>
        <v>47.9705469070429</v>
      </c>
      <c r="V2201" s="54" t="b">
        <f aca="false">AND(D2201&gt;=01_因子設定!$L$5-0.000000001,D2201&lt;=01_因子設定!$M$5+0.000000001,E2201&gt;=01_因子設定!$L$6-0.000000001,E2201&lt;=01_因子設定!$M$6+0.000000001,F2201&gt;=01_因子設定!$L$7-0.000000001,F2201&lt;=01_因子設定!$M$7+0.000000001,IF(01_因子設定!$B$20="Box-Behnken",D2201^2+E2201^2+F2201^2&lt;=2+0.000000001,TRUE()))</f>
        <v>1</v>
      </c>
      <c r="W2201" s="55" t="n">
        <f aca="false">IF(V2201,IF(01_因子設定!$B$13="最大化",T2201-01_因子設定!$B$14,IF(01_因子設定!$B$13="最小化",01_因子設定!$B$15-U2201,MIN(T2201-01_因子設定!$B$14,01_因子設定!$B$15-U2201))),-1E+030)</f>
        <v>-2.54492190704284</v>
      </c>
      <c r="X2201" s="55" t="n">
        <f aca="false">IF(V2201,IF(01_因子設定!$B$13="最大化",Q2201,IF(01_因子設定!$B$13="最小化",-Q2201,-ABS(Q2201-01_因子設定!$B$16))),-1E+030)</f>
        <v>46.9628125</v>
      </c>
      <c r="Y2201" s="55" t="n">
        <f aca="false">W2201+ROW()*0.000000001</f>
        <v>-2.54491970604284</v>
      </c>
      <c r="Z2201" s="55" t="n">
        <f aca="false">X2201+ROW()*0.000000001</f>
        <v>46.962814701</v>
      </c>
    </row>
    <row r="2202" customFormat="false" ht="15" hidden="false" customHeight="false" outlineLevel="0" collapsed="false">
      <c r="A2202" s="0" t="n">
        <v>7</v>
      </c>
      <c r="B2202" s="0" t="n">
        <v>10</v>
      </c>
      <c r="C2202" s="0" t="n">
        <v>4</v>
      </c>
      <c r="D2202" s="0" t="n">
        <f aca="false">-1+A2202*0.125</f>
        <v>-0.125</v>
      </c>
      <c r="E2202" s="0" t="n">
        <f aca="false">-1+B2202*0.125</f>
        <v>0.25</v>
      </c>
      <c r="F2202" s="0" t="n">
        <f aca="false">-1+C2202*0.125</f>
        <v>-0.5</v>
      </c>
      <c r="G2202" s="0" t="n">
        <f aca="false">1</f>
        <v>1</v>
      </c>
      <c r="H2202" s="0" t="n">
        <f aca="false">D2202</f>
        <v>-0.125</v>
      </c>
      <c r="I2202" s="0" t="n">
        <f aca="false">E2202</f>
        <v>0.25</v>
      </c>
      <c r="J2202" s="0" t="n">
        <f aca="false">F2202</f>
        <v>-0.5</v>
      </c>
      <c r="K2202" s="0" t="n">
        <f aca="false">D2202*E2202</f>
        <v>-0.03125</v>
      </c>
      <c r="L2202" s="0" t="n">
        <f aca="false">D2202*F2202</f>
        <v>0.0625</v>
      </c>
      <c r="M2202" s="0" t="n">
        <f aca="false">E2202*F2202</f>
        <v>-0.125</v>
      </c>
      <c r="N2202" s="0" t="n">
        <f aca="false">D2202*D2202</f>
        <v>0.015625</v>
      </c>
      <c r="O2202" s="0" t="n">
        <f aca="false">E2202*E2202</f>
        <v>0.0625</v>
      </c>
      <c r="P2202" s="0" t="n">
        <f aca="false">F2202*F2202</f>
        <v>0.25</v>
      </c>
      <c r="Q2202" s="0" t="n">
        <f aca="false">SUMPRODUCT(G2202:P2202,_XtX!$B$71:$K$71)</f>
        <v>47.3172727272727</v>
      </c>
      <c r="R2202" s="0" t="n">
        <f aca="false">SUMPRODUCT(MMULT(G2202:P2202,_XtX!$B$58:$K$67),G2202:P2202)</f>
        <v>0.142371715198864</v>
      </c>
      <c r="S2202" s="0" t="n">
        <f aca="false">04_回帰ANOVA!$K$19*04_回帰ANOVA!$K$14*SQRT(1+R2202)</f>
        <v>0.99373447511735</v>
      </c>
      <c r="T2202" s="0" t="n">
        <f aca="false">Q2202-S2202</f>
        <v>46.3235382521554</v>
      </c>
      <c r="U2202" s="0" t="n">
        <f aca="false">Q2202+S2202</f>
        <v>48.3110072023901</v>
      </c>
      <c r="V2202" s="54" t="b">
        <f aca="false">AND(D2202&gt;=01_因子設定!$L$5-0.000000001,D2202&lt;=01_因子設定!$M$5+0.000000001,E2202&gt;=01_因子設定!$L$6-0.000000001,E2202&lt;=01_因子設定!$M$6+0.000000001,F2202&gt;=01_因子設定!$L$7-0.000000001,F2202&lt;=01_因子設定!$M$7+0.000000001,IF(01_因子設定!$B$20="Box-Behnken",D2202^2+E2202^2+F2202^2&lt;=2+0.000000001,TRUE()))</f>
        <v>1</v>
      </c>
      <c r="W2202" s="55" t="n">
        <f aca="false">IF(V2202,IF(01_因子設定!$B$13="最大化",T2202-01_因子設定!$B$14,IF(01_因子設定!$B$13="最小化",01_因子設定!$B$15-U2202,MIN(T2202-01_因子設定!$B$14,01_因子設定!$B$15-U2202))),-1E+030)</f>
        <v>-2.17646174784461</v>
      </c>
      <c r="X2202" s="55" t="n">
        <f aca="false">IF(V2202,IF(01_因子設定!$B$13="最大化",Q2202,IF(01_因子設定!$B$13="最小化",-Q2202,-ABS(Q2202-01_因子設定!$B$16))),-1E+030)</f>
        <v>47.3172727272727</v>
      </c>
      <c r="Y2202" s="55" t="n">
        <f aca="false">W2202+ROW()*0.000000001</f>
        <v>-2.17645954584461</v>
      </c>
      <c r="Z2202" s="55" t="n">
        <f aca="false">X2202+ROW()*0.000000001</f>
        <v>47.3172749292727</v>
      </c>
    </row>
    <row r="2203" customFormat="false" ht="15" hidden="false" customHeight="false" outlineLevel="0" collapsed="false">
      <c r="A2203" s="0" t="n">
        <v>7</v>
      </c>
      <c r="B2203" s="0" t="n">
        <v>10</v>
      </c>
      <c r="C2203" s="0" t="n">
        <v>5</v>
      </c>
      <c r="D2203" s="0" t="n">
        <f aca="false">-1+A2203*0.125</f>
        <v>-0.125</v>
      </c>
      <c r="E2203" s="0" t="n">
        <f aca="false">-1+B2203*0.125</f>
        <v>0.25</v>
      </c>
      <c r="F2203" s="0" t="n">
        <f aca="false">-1+C2203*0.125</f>
        <v>-0.375</v>
      </c>
      <c r="G2203" s="0" t="n">
        <f aca="false">1</f>
        <v>1</v>
      </c>
      <c r="H2203" s="0" t="n">
        <f aca="false">D2203</f>
        <v>-0.125</v>
      </c>
      <c r="I2203" s="0" t="n">
        <f aca="false">E2203</f>
        <v>0.25</v>
      </c>
      <c r="J2203" s="0" t="n">
        <f aca="false">F2203</f>
        <v>-0.375</v>
      </c>
      <c r="K2203" s="0" t="n">
        <f aca="false">D2203*E2203</f>
        <v>-0.03125</v>
      </c>
      <c r="L2203" s="0" t="n">
        <f aca="false">D2203*F2203</f>
        <v>0.046875</v>
      </c>
      <c r="M2203" s="0" t="n">
        <f aca="false">E2203*F2203</f>
        <v>-0.09375</v>
      </c>
      <c r="N2203" s="0" t="n">
        <f aca="false">D2203*D2203</f>
        <v>0.015625</v>
      </c>
      <c r="O2203" s="0" t="n">
        <f aca="false">E2203*E2203</f>
        <v>0.0625</v>
      </c>
      <c r="P2203" s="0" t="n">
        <f aca="false">F2203*F2203</f>
        <v>0.140625</v>
      </c>
      <c r="Q2203" s="0" t="n">
        <f aca="false">SUMPRODUCT(G2203:P2203,_XtX!$B$71:$K$71)</f>
        <v>47.6349431818182</v>
      </c>
      <c r="R2203" s="0" t="n">
        <f aca="false">SUMPRODUCT(MMULT(G2203:P2203,_XtX!$B$58:$K$67),G2203:P2203)</f>
        <v>0.127103493430398</v>
      </c>
      <c r="S2203" s="0" t="n">
        <f aca="false">04_回帰ANOVA!$K$19*04_回帰ANOVA!$K$14*SQRT(1+R2203)</f>
        <v>0.987071321387587</v>
      </c>
      <c r="T2203" s="0" t="n">
        <f aca="false">Q2203-S2203</f>
        <v>46.6478718604306</v>
      </c>
      <c r="U2203" s="0" t="n">
        <f aca="false">Q2203+S2203</f>
        <v>48.6220145032058</v>
      </c>
      <c r="V2203" s="54" t="b">
        <f aca="false">AND(D2203&gt;=01_因子設定!$L$5-0.000000001,D2203&lt;=01_因子設定!$M$5+0.000000001,E2203&gt;=01_因子設定!$L$6-0.000000001,E2203&lt;=01_因子設定!$M$6+0.000000001,F2203&gt;=01_因子設定!$L$7-0.000000001,F2203&lt;=01_因子設定!$M$7+0.000000001,IF(01_因子設定!$B$20="Box-Behnken",D2203^2+E2203^2+F2203^2&lt;=2+0.000000001,TRUE()))</f>
        <v>1</v>
      </c>
      <c r="W2203" s="55" t="n">
        <f aca="false">IF(V2203,IF(01_因子設定!$B$13="最大化",T2203-01_因子設定!$B$14,IF(01_因子設定!$B$13="最小化",01_因子設定!$B$15-U2203,MIN(T2203-01_因子設定!$B$14,01_因子設定!$B$15-U2203))),-1E+030)</f>
        <v>-1.85212813956939</v>
      </c>
      <c r="X2203" s="55" t="n">
        <f aca="false">IF(V2203,IF(01_因子設定!$B$13="最大化",Q2203,IF(01_因子設定!$B$13="最小化",-Q2203,-ABS(Q2203-01_因子設定!$B$16))),-1E+030)</f>
        <v>47.6349431818182</v>
      </c>
      <c r="Y2203" s="55" t="n">
        <f aca="false">W2203+ROW()*0.000000001</f>
        <v>-1.85212593656939</v>
      </c>
      <c r="Z2203" s="55" t="n">
        <f aca="false">X2203+ROW()*0.000000001</f>
        <v>47.6349453848182</v>
      </c>
    </row>
    <row r="2204" customFormat="false" ht="15" hidden="false" customHeight="false" outlineLevel="0" collapsed="false">
      <c r="A2204" s="0" t="n">
        <v>7</v>
      </c>
      <c r="B2204" s="0" t="n">
        <v>10</v>
      </c>
      <c r="C2204" s="0" t="n">
        <v>6</v>
      </c>
      <c r="D2204" s="0" t="n">
        <f aca="false">-1+A2204*0.125</f>
        <v>-0.125</v>
      </c>
      <c r="E2204" s="0" t="n">
        <f aca="false">-1+B2204*0.125</f>
        <v>0.25</v>
      </c>
      <c r="F2204" s="0" t="n">
        <f aca="false">-1+C2204*0.125</f>
        <v>-0.25</v>
      </c>
      <c r="G2204" s="0" t="n">
        <f aca="false">1</f>
        <v>1</v>
      </c>
      <c r="H2204" s="0" t="n">
        <f aca="false">D2204</f>
        <v>-0.125</v>
      </c>
      <c r="I2204" s="0" t="n">
        <f aca="false">E2204</f>
        <v>0.25</v>
      </c>
      <c r="J2204" s="0" t="n">
        <f aca="false">F2204</f>
        <v>-0.25</v>
      </c>
      <c r="K2204" s="0" t="n">
        <f aca="false">D2204*E2204</f>
        <v>-0.03125</v>
      </c>
      <c r="L2204" s="0" t="n">
        <f aca="false">D2204*F2204</f>
        <v>0.03125</v>
      </c>
      <c r="M2204" s="0" t="n">
        <f aca="false">E2204*F2204</f>
        <v>-0.0625</v>
      </c>
      <c r="N2204" s="0" t="n">
        <f aca="false">D2204*D2204</f>
        <v>0.015625</v>
      </c>
      <c r="O2204" s="0" t="n">
        <f aca="false">E2204*E2204</f>
        <v>0.0625</v>
      </c>
      <c r="P2204" s="0" t="n">
        <f aca="false">F2204*F2204</f>
        <v>0.0625</v>
      </c>
      <c r="Q2204" s="0" t="n">
        <f aca="false">SUMPRODUCT(G2204:P2204,_XtX!$B$71:$K$71)</f>
        <v>47.9158238636364</v>
      </c>
      <c r="R2204" s="0" t="n">
        <f aca="false">SUMPRODUCT(MMULT(G2204:P2204,_XtX!$B$58:$K$67),G2204:P2204)</f>
        <v>0.121524325284091</v>
      </c>
      <c r="S2204" s="0" t="n">
        <f aca="false">04_回帰ANOVA!$K$19*04_回帰ANOVA!$K$14*SQRT(1+R2204)</f>
        <v>0.984625286577447</v>
      </c>
      <c r="T2204" s="0" t="n">
        <f aca="false">Q2204-S2204</f>
        <v>46.9311985770589</v>
      </c>
      <c r="U2204" s="0" t="n">
        <f aca="false">Q2204+S2204</f>
        <v>48.9004491502138</v>
      </c>
      <c r="V2204" s="54" t="b">
        <f aca="false">AND(D2204&gt;=01_因子設定!$L$5-0.000000001,D2204&lt;=01_因子設定!$M$5+0.000000001,E2204&gt;=01_因子設定!$L$6-0.000000001,E2204&lt;=01_因子設定!$M$6+0.000000001,F2204&gt;=01_因子設定!$L$7-0.000000001,F2204&lt;=01_因子設定!$M$7+0.000000001,IF(01_因子設定!$B$20="Box-Behnken",D2204^2+E2204^2+F2204^2&lt;=2+0.000000001,TRUE()))</f>
        <v>1</v>
      </c>
      <c r="W2204" s="55" t="n">
        <f aca="false">IF(V2204,IF(01_因子設定!$B$13="最大化",T2204-01_因子設定!$B$14,IF(01_因子設定!$B$13="最小化",01_因子設定!$B$15-U2204,MIN(T2204-01_因子設定!$B$14,01_因子設定!$B$15-U2204))),-1E+030)</f>
        <v>-1.56880142294107</v>
      </c>
      <c r="X2204" s="55" t="n">
        <f aca="false">IF(V2204,IF(01_因子設定!$B$13="最大化",Q2204,IF(01_因子設定!$B$13="最小化",-Q2204,-ABS(Q2204-01_因子設定!$B$16))),-1E+030)</f>
        <v>47.9158238636364</v>
      </c>
      <c r="Y2204" s="55" t="n">
        <f aca="false">W2204+ROW()*0.000000001</f>
        <v>-1.56879921894107</v>
      </c>
      <c r="Z2204" s="55" t="n">
        <f aca="false">X2204+ROW()*0.000000001</f>
        <v>47.9158260676364</v>
      </c>
    </row>
    <row r="2205" customFormat="false" ht="15" hidden="false" customHeight="false" outlineLevel="0" collapsed="false">
      <c r="A2205" s="0" t="n">
        <v>7</v>
      </c>
      <c r="B2205" s="0" t="n">
        <v>10</v>
      </c>
      <c r="C2205" s="0" t="n">
        <v>7</v>
      </c>
      <c r="D2205" s="0" t="n">
        <f aca="false">-1+A2205*0.125</f>
        <v>-0.125</v>
      </c>
      <c r="E2205" s="0" t="n">
        <f aca="false">-1+B2205*0.125</f>
        <v>0.25</v>
      </c>
      <c r="F2205" s="0" t="n">
        <f aca="false">-1+C2205*0.125</f>
        <v>-0.125</v>
      </c>
      <c r="G2205" s="0" t="n">
        <f aca="false">1</f>
        <v>1</v>
      </c>
      <c r="H2205" s="0" t="n">
        <f aca="false">D2205</f>
        <v>-0.125</v>
      </c>
      <c r="I2205" s="0" t="n">
        <f aca="false">E2205</f>
        <v>0.25</v>
      </c>
      <c r="J2205" s="0" t="n">
        <f aca="false">F2205</f>
        <v>-0.125</v>
      </c>
      <c r="K2205" s="0" t="n">
        <f aca="false">D2205*E2205</f>
        <v>-0.03125</v>
      </c>
      <c r="L2205" s="0" t="n">
        <f aca="false">D2205*F2205</f>
        <v>0.015625</v>
      </c>
      <c r="M2205" s="0" t="n">
        <f aca="false">E2205*F2205</f>
        <v>-0.03125</v>
      </c>
      <c r="N2205" s="0" t="n">
        <f aca="false">D2205*D2205</f>
        <v>0.015625</v>
      </c>
      <c r="O2205" s="0" t="n">
        <f aca="false">E2205*E2205</f>
        <v>0.0625</v>
      </c>
      <c r="P2205" s="0" t="n">
        <f aca="false">F2205*F2205</f>
        <v>0.015625</v>
      </c>
      <c r="Q2205" s="0" t="n">
        <f aca="false">SUMPRODUCT(G2205:P2205,_XtX!$B$71:$K$71)</f>
        <v>48.1599147727273</v>
      </c>
      <c r="R2205" s="0" t="n">
        <f aca="false">SUMPRODUCT(MMULT(G2205:P2205,_XtX!$B$58:$K$67),G2205:P2205)</f>
        <v>0.120307506214489</v>
      </c>
      <c r="S2205" s="0" t="n">
        <f aca="false">04_回帰ANOVA!$K$19*04_回帰ANOVA!$K$14*SQRT(1+R2205)</f>
        <v>0.984090997684742</v>
      </c>
      <c r="T2205" s="0" t="n">
        <f aca="false">Q2205-S2205</f>
        <v>47.1758237750425</v>
      </c>
      <c r="U2205" s="0" t="n">
        <f aca="false">Q2205+S2205</f>
        <v>49.144005770412</v>
      </c>
      <c r="V2205" s="54" t="b">
        <f aca="false">AND(D2205&gt;=01_因子設定!$L$5-0.000000001,D2205&lt;=01_因子設定!$M$5+0.000000001,E2205&gt;=01_因子設定!$L$6-0.000000001,E2205&lt;=01_因子設定!$M$6+0.000000001,F2205&gt;=01_因子設定!$L$7-0.000000001,F2205&lt;=01_因子設定!$M$7+0.000000001,IF(01_因子設定!$B$20="Box-Behnken",D2205^2+E2205^2+F2205^2&lt;=2+0.000000001,TRUE()))</f>
        <v>1</v>
      </c>
      <c r="W2205" s="55" t="n">
        <f aca="false">IF(V2205,IF(01_因子設定!$B$13="最大化",T2205-01_因子設定!$B$14,IF(01_因子設定!$B$13="最小化",01_因子設定!$B$15-U2205,MIN(T2205-01_因子設定!$B$14,01_因子設定!$B$15-U2205))),-1E+030)</f>
        <v>-1.32417622495746</v>
      </c>
      <c r="X2205" s="55" t="n">
        <f aca="false">IF(V2205,IF(01_因子設定!$B$13="最大化",Q2205,IF(01_因子設定!$B$13="最小化",-Q2205,-ABS(Q2205-01_因子設定!$B$16))),-1E+030)</f>
        <v>48.1599147727273</v>
      </c>
      <c r="Y2205" s="55" t="n">
        <f aca="false">W2205+ROW()*0.000000001</f>
        <v>-1.32417401995746</v>
      </c>
      <c r="Z2205" s="55" t="n">
        <f aca="false">X2205+ROW()*0.000000001</f>
        <v>48.1599169777273</v>
      </c>
    </row>
    <row r="2206" customFormat="false" ht="15" hidden="false" customHeight="false" outlineLevel="0" collapsed="false">
      <c r="A2206" s="0" t="n">
        <v>7</v>
      </c>
      <c r="B2206" s="0" t="n">
        <v>10</v>
      </c>
      <c r="C2206" s="0" t="n">
        <v>8</v>
      </c>
      <c r="D2206" s="0" t="n">
        <f aca="false">-1+A2206*0.125</f>
        <v>-0.125</v>
      </c>
      <c r="E2206" s="0" t="n">
        <f aca="false">-1+B2206*0.125</f>
        <v>0.25</v>
      </c>
      <c r="F2206" s="0" t="n">
        <f aca="false">-1+C2206*0.125</f>
        <v>0</v>
      </c>
      <c r="G2206" s="0" t="n">
        <f aca="false">1</f>
        <v>1</v>
      </c>
      <c r="H2206" s="0" t="n">
        <f aca="false">D2206</f>
        <v>-0.125</v>
      </c>
      <c r="I2206" s="0" t="n">
        <f aca="false">E2206</f>
        <v>0.25</v>
      </c>
      <c r="J2206" s="0" t="n">
        <f aca="false">F2206</f>
        <v>0</v>
      </c>
      <c r="K2206" s="0" t="n">
        <f aca="false">D2206*E2206</f>
        <v>-0.03125</v>
      </c>
      <c r="L2206" s="0" t="n">
        <f aca="false">D2206*F2206</f>
        <v>-0</v>
      </c>
      <c r="M2206" s="0" t="n">
        <f aca="false">E2206*F2206</f>
        <v>0</v>
      </c>
      <c r="N2206" s="0" t="n">
        <f aca="false">D2206*D2206</f>
        <v>0.015625</v>
      </c>
      <c r="O2206" s="0" t="n">
        <f aca="false">E2206*E2206</f>
        <v>0.0625</v>
      </c>
      <c r="P2206" s="0" t="n">
        <f aca="false">F2206*F2206</f>
        <v>0</v>
      </c>
      <c r="Q2206" s="0" t="n">
        <f aca="false">SUMPRODUCT(G2206:P2206,_XtX!$B$71:$K$71)</f>
        <v>48.3672159090909</v>
      </c>
      <c r="R2206" s="0" t="n">
        <f aca="false">SUMPRODUCT(MMULT(G2206:P2206,_XtX!$B$58:$K$67),G2206:P2206)</f>
        <v>0.120257013494318</v>
      </c>
      <c r="S2206" s="0" t="n">
        <f aca="false">04_回帰ANOVA!$K$19*04_回帰ANOVA!$K$14*SQRT(1+R2206)</f>
        <v>0.984068820741811</v>
      </c>
      <c r="T2206" s="0" t="n">
        <f aca="false">Q2206-S2206</f>
        <v>47.3831470883491</v>
      </c>
      <c r="U2206" s="0" t="n">
        <f aca="false">Q2206+S2206</f>
        <v>49.3512847298327</v>
      </c>
      <c r="V2206" s="54" t="b">
        <f aca="false">AND(D2206&gt;=01_因子設定!$L$5-0.000000001,D2206&lt;=01_因子設定!$M$5+0.000000001,E2206&gt;=01_因子設定!$L$6-0.000000001,E2206&lt;=01_因子設定!$M$6+0.000000001,F2206&gt;=01_因子設定!$L$7-0.000000001,F2206&lt;=01_因子設定!$M$7+0.000000001,IF(01_因子設定!$B$20="Box-Behnken",D2206^2+E2206^2+F2206^2&lt;=2+0.000000001,TRUE()))</f>
        <v>1</v>
      </c>
      <c r="W2206" s="55" t="n">
        <f aca="false">IF(V2206,IF(01_因子設定!$B$13="最大化",T2206-01_因子設定!$B$14,IF(01_因子設定!$B$13="最小化",01_因子設定!$B$15-U2206,MIN(T2206-01_因子設定!$B$14,01_因子設定!$B$15-U2206))),-1E+030)</f>
        <v>-1.1168529116509</v>
      </c>
      <c r="X2206" s="55" t="n">
        <f aca="false">IF(V2206,IF(01_因子設定!$B$13="最大化",Q2206,IF(01_因子設定!$B$13="最小化",-Q2206,-ABS(Q2206-01_因子設定!$B$16))),-1E+030)</f>
        <v>48.3672159090909</v>
      </c>
      <c r="Y2206" s="55" t="n">
        <f aca="false">W2206+ROW()*0.000000001</f>
        <v>-1.1168507056509</v>
      </c>
      <c r="Z2206" s="55" t="n">
        <f aca="false">X2206+ROW()*0.000000001</f>
        <v>48.3672181150909</v>
      </c>
    </row>
    <row r="2207" customFormat="false" ht="15" hidden="false" customHeight="false" outlineLevel="0" collapsed="false">
      <c r="A2207" s="0" t="n">
        <v>7</v>
      </c>
      <c r="B2207" s="0" t="n">
        <v>10</v>
      </c>
      <c r="C2207" s="0" t="n">
        <v>9</v>
      </c>
      <c r="D2207" s="0" t="n">
        <f aca="false">-1+A2207*0.125</f>
        <v>-0.125</v>
      </c>
      <c r="E2207" s="0" t="n">
        <f aca="false">-1+B2207*0.125</f>
        <v>0.25</v>
      </c>
      <c r="F2207" s="0" t="n">
        <f aca="false">-1+C2207*0.125</f>
        <v>0.125</v>
      </c>
      <c r="G2207" s="0" t="n">
        <f aca="false">1</f>
        <v>1</v>
      </c>
      <c r="H2207" s="0" t="n">
        <f aca="false">D2207</f>
        <v>-0.125</v>
      </c>
      <c r="I2207" s="0" t="n">
        <f aca="false">E2207</f>
        <v>0.25</v>
      </c>
      <c r="J2207" s="0" t="n">
        <f aca="false">F2207</f>
        <v>0.125</v>
      </c>
      <c r="K2207" s="0" t="n">
        <f aca="false">D2207*E2207</f>
        <v>-0.03125</v>
      </c>
      <c r="L2207" s="0" t="n">
        <f aca="false">D2207*F2207</f>
        <v>-0.015625</v>
      </c>
      <c r="M2207" s="0" t="n">
        <f aca="false">E2207*F2207</f>
        <v>0.03125</v>
      </c>
      <c r="N2207" s="0" t="n">
        <f aca="false">D2207*D2207</f>
        <v>0.015625</v>
      </c>
      <c r="O2207" s="0" t="n">
        <f aca="false">E2207*E2207</f>
        <v>0.0625</v>
      </c>
      <c r="P2207" s="0" t="n">
        <f aca="false">F2207*F2207</f>
        <v>0.015625</v>
      </c>
      <c r="Q2207" s="0" t="n">
        <f aca="false">SUMPRODUCT(G2207:P2207,_XtX!$B$71:$K$71)</f>
        <v>48.5377272727273</v>
      </c>
      <c r="R2207" s="0" t="n">
        <f aca="false">SUMPRODUCT(MMULT(G2207:P2207,_XtX!$B$58:$K$67),G2207:P2207)</f>
        <v>0.120307506214489</v>
      </c>
      <c r="S2207" s="0" t="n">
        <f aca="false">04_回帰ANOVA!$K$19*04_回帰ANOVA!$K$14*SQRT(1+R2207)</f>
        <v>0.984090997684742</v>
      </c>
      <c r="T2207" s="0" t="n">
        <f aca="false">Q2207-S2207</f>
        <v>47.5536362750425</v>
      </c>
      <c r="U2207" s="0" t="n">
        <f aca="false">Q2207+S2207</f>
        <v>49.521818270412</v>
      </c>
      <c r="V2207" s="54" t="b">
        <f aca="false">AND(D2207&gt;=01_因子設定!$L$5-0.000000001,D2207&lt;=01_因子設定!$M$5+0.000000001,E2207&gt;=01_因子設定!$L$6-0.000000001,E2207&lt;=01_因子設定!$M$6+0.000000001,F2207&gt;=01_因子設定!$L$7-0.000000001,F2207&lt;=01_因子設定!$M$7+0.000000001,IF(01_因子設定!$B$20="Box-Behnken",D2207^2+E2207^2+F2207^2&lt;=2+0.000000001,TRUE()))</f>
        <v>1</v>
      </c>
      <c r="W2207" s="55" t="n">
        <f aca="false">IF(V2207,IF(01_因子設定!$B$13="最大化",T2207-01_因子設定!$B$14,IF(01_因子設定!$B$13="最小化",01_因子設定!$B$15-U2207,MIN(T2207-01_因子設定!$B$14,01_因子設定!$B$15-U2207))),-1E+030)</f>
        <v>-0.946363724957458</v>
      </c>
      <c r="X2207" s="55" t="n">
        <f aca="false">IF(V2207,IF(01_因子設定!$B$13="最大化",Q2207,IF(01_因子設定!$B$13="最小化",-Q2207,-ABS(Q2207-01_因子設定!$B$16))),-1E+030)</f>
        <v>48.5377272727273</v>
      </c>
      <c r="Y2207" s="55" t="n">
        <f aca="false">W2207+ROW()*0.000000001</f>
        <v>-0.946361517957458</v>
      </c>
      <c r="Z2207" s="55" t="n">
        <f aca="false">X2207+ROW()*0.000000001</f>
        <v>48.5377294797273</v>
      </c>
    </row>
    <row r="2208" customFormat="false" ht="15" hidden="false" customHeight="false" outlineLevel="0" collapsed="false">
      <c r="A2208" s="0" t="n">
        <v>7</v>
      </c>
      <c r="B2208" s="0" t="n">
        <v>10</v>
      </c>
      <c r="C2208" s="0" t="n">
        <v>10</v>
      </c>
      <c r="D2208" s="0" t="n">
        <f aca="false">-1+A2208*0.125</f>
        <v>-0.125</v>
      </c>
      <c r="E2208" s="0" t="n">
        <f aca="false">-1+B2208*0.125</f>
        <v>0.25</v>
      </c>
      <c r="F2208" s="0" t="n">
        <f aca="false">-1+C2208*0.125</f>
        <v>0.25</v>
      </c>
      <c r="G2208" s="0" t="n">
        <f aca="false">1</f>
        <v>1</v>
      </c>
      <c r="H2208" s="0" t="n">
        <f aca="false">D2208</f>
        <v>-0.125</v>
      </c>
      <c r="I2208" s="0" t="n">
        <f aca="false">E2208</f>
        <v>0.25</v>
      </c>
      <c r="J2208" s="0" t="n">
        <f aca="false">F2208</f>
        <v>0.25</v>
      </c>
      <c r="K2208" s="0" t="n">
        <f aca="false">D2208*E2208</f>
        <v>-0.03125</v>
      </c>
      <c r="L2208" s="0" t="n">
        <f aca="false">D2208*F2208</f>
        <v>-0.03125</v>
      </c>
      <c r="M2208" s="0" t="n">
        <f aca="false">E2208*F2208</f>
        <v>0.0625</v>
      </c>
      <c r="N2208" s="0" t="n">
        <f aca="false">D2208*D2208</f>
        <v>0.015625</v>
      </c>
      <c r="O2208" s="0" t="n">
        <f aca="false">E2208*E2208</f>
        <v>0.0625</v>
      </c>
      <c r="P2208" s="0" t="n">
        <f aca="false">F2208*F2208</f>
        <v>0.0625</v>
      </c>
      <c r="Q2208" s="0" t="n">
        <f aca="false">SUMPRODUCT(G2208:P2208,_XtX!$B$71:$K$71)</f>
        <v>48.6714488636364</v>
      </c>
      <c r="R2208" s="0" t="n">
        <f aca="false">SUMPRODUCT(MMULT(G2208:P2208,_XtX!$B$58:$K$67),G2208:P2208)</f>
        <v>0.121524325284091</v>
      </c>
      <c r="S2208" s="0" t="n">
        <f aca="false">04_回帰ANOVA!$K$19*04_回帰ANOVA!$K$14*SQRT(1+R2208)</f>
        <v>0.984625286577447</v>
      </c>
      <c r="T2208" s="0" t="n">
        <f aca="false">Q2208-S2208</f>
        <v>47.6868235770589</v>
      </c>
      <c r="U2208" s="0" t="n">
        <f aca="false">Q2208+S2208</f>
        <v>49.6560741502138</v>
      </c>
      <c r="V2208" s="54" t="b">
        <f aca="false">AND(D2208&gt;=01_因子設定!$L$5-0.000000001,D2208&lt;=01_因子設定!$M$5+0.000000001,E2208&gt;=01_因子設定!$L$6-0.000000001,E2208&lt;=01_因子設定!$M$6+0.000000001,F2208&gt;=01_因子設定!$L$7-0.000000001,F2208&lt;=01_因子設定!$M$7+0.000000001,IF(01_因子設定!$B$20="Box-Behnken",D2208^2+E2208^2+F2208^2&lt;=2+0.000000001,TRUE()))</f>
        <v>1</v>
      </c>
      <c r="W2208" s="55" t="n">
        <f aca="false">IF(V2208,IF(01_因子設定!$B$13="最大化",T2208-01_因子設定!$B$14,IF(01_因子設定!$B$13="最小化",01_因子設定!$B$15-U2208,MIN(T2208-01_因子設定!$B$14,01_因子設定!$B$15-U2208))),-1E+030)</f>
        <v>-0.813176422941076</v>
      </c>
      <c r="X2208" s="55" t="n">
        <f aca="false">IF(V2208,IF(01_因子設定!$B$13="最大化",Q2208,IF(01_因子設定!$B$13="最小化",-Q2208,-ABS(Q2208-01_因子設定!$B$16))),-1E+030)</f>
        <v>48.6714488636364</v>
      </c>
      <c r="Y2208" s="55" t="n">
        <f aca="false">W2208+ROW()*0.000000001</f>
        <v>-0.813174214941076</v>
      </c>
      <c r="Z2208" s="55" t="n">
        <f aca="false">X2208+ROW()*0.000000001</f>
        <v>48.6714510716364</v>
      </c>
    </row>
    <row r="2209" customFormat="false" ht="15" hidden="false" customHeight="false" outlineLevel="0" collapsed="false">
      <c r="A2209" s="0" t="n">
        <v>7</v>
      </c>
      <c r="B2209" s="0" t="n">
        <v>10</v>
      </c>
      <c r="C2209" s="0" t="n">
        <v>11</v>
      </c>
      <c r="D2209" s="0" t="n">
        <f aca="false">-1+A2209*0.125</f>
        <v>-0.125</v>
      </c>
      <c r="E2209" s="0" t="n">
        <f aca="false">-1+B2209*0.125</f>
        <v>0.25</v>
      </c>
      <c r="F2209" s="0" t="n">
        <f aca="false">-1+C2209*0.125</f>
        <v>0.375</v>
      </c>
      <c r="G2209" s="0" t="n">
        <f aca="false">1</f>
        <v>1</v>
      </c>
      <c r="H2209" s="0" t="n">
        <f aca="false">D2209</f>
        <v>-0.125</v>
      </c>
      <c r="I2209" s="0" t="n">
        <f aca="false">E2209</f>
        <v>0.25</v>
      </c>
      <c r="J2209" s="0" t="n">
        <f aca="false">F2209</f>
        <v>0.375</v>
      </c>
      <c r="K2209" s="0" t="n">
        <f aca="false">D2209*E2209</f>
        <v>-0.03125</v>
      </c>
      <c r="L2209" s="0" t="n">
        <f aca="false">D2209*F2209</f>
        <v>-0.046875</v>
      </c>
      <c r="M2209" s="0" t="n">
        <f aca="false">E2209*F2209</f>
        <v>0.09375</v>
      </c>
      <c r="N2209" s="0" t="n">
        <f aca="false">D2209*D2209</f>
        <v>0.015625</v>
      </c>
      <c r="O2209" s="0" t="n">
        <f aca="false">E2209*E2209</f>
        <v>0.0625</v>
      </c>
      <c r="P2209" s="0" t="n">
        <f aca="false">F2209*F2209</f>
        <v>0.140625</v>
      </c>
      <c r="Q2209" s="0" t="n">
        <f aca="false">SUMPRODUCT(G2209:P2209,_XtX!$B$71:$K$71)</f>
        <v>48.7683806818182</v>
      </c>
      <c r="R2209" s="0" t="n">
        <f aca="false">SUMPRODUCT(MMULT(G2209:P2209,_XtX!$B$58:$K$67),G2209:P2209)</f>
        <v>0.127103493430398</v>
      </c>
      <c r="S2209" s="0" t="n">
        <f aca="false">04_回帰ANOVA!$K$19*04_回帰ANOVA!$K$14*SQRT(1+R2209)</f>
        <v>0.987071321387587</v>
      </c>
      <c r="T2209" s="0" t="n">
        <f aca="false">Q2209-S2209</f>
        <v>47.7813093604306</v>
      </c>
      <c r="U2209" s="0" t="n">
        <f aca="false">Q2209+S2209</f>
        <v>49.7554520032058</v>
      </c>
      <c r="V2209" s="54" t="b">
        <f aca="false">AND(D2209&gt;=01_因子設定!$L$5-0.000000001,D2209&lt;=01_因子設定!$M$5+0.000000001,E2209&gt;=01_因子設定!$L$6-0.000000001,E2209&lt;=01_因子設定!$M$6+0.000000001,F2209&gt;=01_因子設定!$L$7-0.000000001,F2209&lt;=01_因子設定!$M$7+0.000000001,IF(01_因子設定!$B$20="Box-Behnken",D2209^2+E2209^2+F2209^2&lt;=2+0.000000001,TRUE()))</f>
        <v>1</v>
      </c>
      <c r="W2209" s="55" t="n">
        <f aca="false">IF(V2209,IF(01_因子設定!$B$13="最大化",T2209-01_因子設定!$B$14,IF(01_因子設定!$B$13="最小化",01_因子設定!$B$15-U2209,MIN(T2209-01_因子設定!$B$14,01_因子設定!$B$15-U2209))),-1E+030)</f>
        <v>-0.718690639569395</v>
      </c>
      <c r="X2209" s="55" t="n">
        <f aca="false">IF(V2209,IF(01_因子設定!$B$13="最大化",Q2209,IF(01_因子設定!$B$13="最小化",-Q2209,-ABS(Q2209-01_因子設定!$B$16))),-1E+030)</f>
        <v>48.7683806818182</v>
      </c>
      <c r="Y2209" s="55" t="n">
        <f aca="false">W2209+ROW()*0.000000001</f>
        <v>-0.718688430569395</v>
      </c>
      <c r="Z2209" s="55" t="n">
        <f aca="false">X2209+ROW()*0.000000001</f>
        <v>48.7683828908182</v>
      </c>
    </row>
    <row r="2210" customFormat="false" ht="15" hidden="false" customHeight="false" outlineLevel="0" collapsed="false">
      <c r="A2210" s="0" t="n">
        <v>7</v>
      </c>
      <c r="B2210" s="0" t="n">
        <v>10</v>
      </c>
      <c r="C2210" s="0" t="n">
        <v>12</v>
      </c>
      <c r="D2210" s="0" t="n">
        <f aca="false">-1+A2210*0.125</f>
        <v>-0.125</v>
      </c>
      <c r="E2210" s="0" t="n">
        <f aca="false">-1+B2210*0.125</f>
        <v>0.25</v>
      </c>
      <c r="F2210" s="0" t="n">
        <f aca="false">-1+C2210*0.125</f>
        <v>0.5</v>
      </c>
      <c r="G2210" s="0" t="n">
        <f aca="false">1</f>
        <v>1</v>
      </c>
      <c r="H2210" s="0" t="n">
        <f aca="false">D2210</f>
        <v>-0.125</v>
      </c>
      <c r="I2210" s="0" t="n">
        <f aca="false">E2210</f>
        <v>0.25</v>
      </c>
      <c r="J2210" s="0" t="n">
        <f aca="false">F2210</f>
        <v>0.5</v>
      </c>
      <c r="K2210" s="0" t="n">
        <f aca="false">D2210*E2210</f>
        <v>-0.03125</v>
      </c>
      <c r="L2210" s="0" t="n">
        <f aca="false">D2210*F2210</f>
        <v>-0.0625</v>
      </c>
      <c r="M2210" s="0" t="n">
        <f aca="false">E2210*F2210</f>
        <v>0.125</v>
      </c>
      <c r="N2210" s="0" t="n">
        <f aca="false">D2210*D2210</f>
        <v>0.015625</v>
      </c>
      <c r="O2210" s="0" t="n">
        <f aca="false">E2210*E2210</f>
        <v>0.0625</v>
      </c>
      <c r="P2210" s="0" t="n">
        <f aca="false">F2210*F2210</f>
        <v>0.25</v>
      </c>
      <c r="Q2210" s="0" t="n">
        <f aca="false">SUMPRODUCT(G2210:P2210,_XtX!$B$71:$K$71)</f>
        <v>48.8285227272727</v>
      </c>
      <c r="R2210" s="0" t="n">
        <f aca="false">SUMPRODUCT(MMULT(G2210:P2210,_XtX!$B$58:$K$67),G2210:P2210)</f>
        <v>0.142371715198864</v>
      </c>
      <c r="S2210" s="0" t="n">
        <f aca="false">04_回帰ANOVA!$K$19*04_回帰ANOVA!$K$14*SQRT(1+R2210)</f>
        <v>0.99373447511735</v>
      </c>
      <c r="T2210" s="0" t="n">
        <f aca="false">Q2210-S2210</f>
        <v>47.8347882521554</v>
      </c>
      <c r="U2210" s="0" t="n">
        <f aca="false">Q2210+S2210</f>
        <v>49.8222572023901</v>
      </c>
      <c r="V2210" s="54" t="b">
        <f aca="false">AND(D2210&gt;=01_因子設定!$L$5-0.000000001,D2210&lt;=01_因子設定!$M$5+0.000000001,E2210&gt;=01_因子設定!$L$6-0.000000001,E2210&lt;=01_因子設定!$M$6+0.000000001,F2210&gt;=01_因子設定!$L$7-0.000000001,F2210&lt;=01_因子設定!$M$7+0.000000001,IF(01_因子設定!$B$20="Box-Behnken",D2210^2+E2210^2+F2210^2&lt;=2+0.000000001,TRUE()))</f>
        <v>1</v>
      </c>
      <c r="W2210" s="55" t="n">
        <f aca="false">IF(V2210,IF(01_因子設定!$B$13="最大化",T2210-01_因子設定!$B$14,IF(01_因子設定!$B$13="最小化",01_因子設定!$B$15-U2210,MIN(T2210-01_因子設定!$B$14,01_因子設定!$B$15-U2210))),-1E+030)</f>
        <v>-0.665211747844609</v>
      </c>
      <c r="X2210" s="55" t="n">
        <f aca="false">IF(V2210,IF(01_因子設定!$B$13="最大化",Q2210,IF(01_因子設定!$B$13="最小化",-Q2210,-ABS(Q2210-01_因子設定!$B$16))),-1E+030)</f>
        <v>48.8285227272727</v>
      </c>
      <c r="Y2210" s="55" t="n">
        <f aca="false">W2210+ROW()*0.000000001</f>
        <v>-0.665209537844609</v>
      </c>
      <c r="Z2210" s="55" t="n">
        <f aca="false">X2210+ROW()*0.000000001</f>
        <v>48.8285249372727</v>
      </c>
    </row>
    <row r="2211" customFormat="false" ht="15" hidden="false" customHeight="false" outlineLevel="0" collapsed="false">
      <c r="A2211" s="0" t="n">
        <v>7</v>
      </c>
      <c r="B2211" s="0" t="n">
        <v>10</v>
      </c>
      <c r="C2211" s="0" t="n">
        <v>13</v>
      </c>
      <c r="D2211" s="0" t="n">
        <f aca="false">-1+A2211*0.125</f>
        <v>-0.125</v>
      </c>
      <c r="E2211" s="0" t="n">
        <f aca="false">-1+B2211*0.125</f>
        <v>0.25</v>
      </c>
      <c r="F2211" s="0" t="n">
        <f aca="false">-1+C2211*0.125</f>
        <v>0.625</v>
      </c>
      <c r="G2211" s="0" t="n">
        <f aca="false">1</f>
        <v>1</v>
      </c>
      <c r="H2211" s="0" t="n">
        <f aca="false">D2211</f>
        <v>-0.125</v>
      </c>
      <c r="I2211" s="0" t="n">
        <f aca="false">E2211</f>
        <v>0.25</v>
      </c>
      <c r="J2211" s="0" t="n">
        <f aca="false">F2211</f>
        <v>0.625</v>
      </c>
      <c r="K2211" s="0" t="n">
        <f aca="false">D2211*E2211</f>
        <v>-0.03125</v>
      </c>
      <c r="L2211" s="0" t="n">
        <f aca="false">D2211*F2211</f>
        <v>-0.078125</v>
      </c>
      <c r="M2211" s="0" t="n">
        <f aca="false">E2211*F2211</f>
        <v>0.15625</v>
      </c>
      <c r="N2211" s="0" t="n">
        <f aca="false">D2211*D2211</f>
        <v>0.015625</v>
      </c>
      <c r="O2211" s="0" t="n">
        <f aca="false">E2211*E2211</f>
        <v>0.0625</v>
      </c>
      <c r="P2211" s="0" t="n">
        <f aca="false">F2211*F2211</f>
        <v>0.390625</v>
      </c>
      <c r="Q2211" s="0" t="n">
        <f aca="false">SUMPRODUCT(G2211:P2211,_XtX!$B$71:$K$71)</f>
        <v>48.851875</v>
      </c>
      <c r="R2211" s="0" t="n">
        <f aca="false">SUMPRODUCT(MMULT(G2211:P2211,_XtX!$B$58:$K$67),G2211:P2211)</f>
        <v>0.174786376953125</v>
      </c>
      <c r="S2211" s="0" t="n">
        <f aca="false">04_回帰ANOVA!$K$19*04_回帰ANOVA!$K$14*SQRT(1+R2211)</f>
        <v>1.00773440704286</v>
      </c>
      <c r="T2211" s="0" t="n">
        <f aca="false">Q2211-S2211</f>
        <v>47.8441405929572</v>
      </c>
      <c r="U2211" s="0" t="n">
        <f aca="false">Q2211+S2211</f>
        <v>49.8596094070429</v>
      </c>
      <c r="V2211" s="54" t="b">
        <f aca="false">AND(D2211&gt;=01_因子設定!$L$5-0.000000001,D2211&lt;=01_因子設定!$M$5+0.000000001,E2211&gt;=01_因子設定!$L$6-0.000000001,E2211&lt;=01_因子設定!$M$6+0.000000001,F2211&gt;=01_因子設定!$L$7-0.000000001,F2211&lt;=01_因子設定!$M$7+0.000000001,IF(01_因子設定!$B$20="Box-Behnken",D2211^2+E2211^2+F2211^2&lt;=2+0.000000001,TRUE()))</f>
        <v>1</v>
      </c>
      <c r="W2211" s="55" t="n">
        <f aca="false">IF(V2211,IF(01_因子設定!$B$13="最大化",T2211-01_因子設定!$B$14,IF(01_因子設定!$B$13="最小化",01_因子設定!$B$15-U2211,MIN(T2211-01_因子設定!$B$14,01_因子設定!$B$15-U2211))),-1E+030)</f>
        <v>-0.655859407042847</v>
      </c>
      <c r="X2211" s="55" t="n">
        <f aca="false">IF(V2211,IF(01_因子設定!$B$13="最大化",Q2211,IF(01_因子設定!$B$13="最小化",-Q2211,-ABS(Q2211-01_因子設定!$B$16))),-1E+030)</f>
        <v>48.851875</v>
      </c>
      <c r="Y2211" s="55" t="n">
        <f aca="false">W2211+ROW()*0.000000001</f>
        <v>-0.655857196042847</v>
      </c>
      <c r="Z2211" s="55" t="n">
        <f aca="false">X2211+ROW()*0.000000001</f>
        <v>48.851877211</v>
      </c>
    </row>
    <row r="2212" customFormat="false" ht="15" hidden="false" customHeight="false" outlineLevel="0" collapsed="false">
      <c r="A2212" s="0" t="n">
        <v>7</v>
      </c>
      <c r="B2212" s="0" t="n">
        <v>10</v>
      </c>
      <c r="C2212" s="0" t="n">
        <v>14</v>
      </c>
      <c r="D2212" s="0" t="n">
        <f aca="false">-1+A2212*0.125</f>
        <v>-0.125</v>
      </c>
      <c r="E2212" s="0" t="n">
        <f aca="false">-1+B2212*0.125</f>
        <v>0.25</v>
      </c>
      <c r="F2212" s="0" t="n">
        <f aca="false">-1+C2212*0.125</f>
        <v>0.75</v>
      </c>
      <c r="G2212" s="0" t="n">
        <f aca="false">1</f>
        <v>1</v>
      </c>
      <c r="H2212" s="0" t="n">
        <f aca="false">D2212</f>
        <v>-0.125</v>
      </c>
      <c r="I2212" s="0" t="n">
        <f aca="false">E2212</f>
        <v>0.25</v>
      </c>
      <c r="J2212" s="0" t="n">
        <f aca="false">F2212</f>
        <v>0.75</v>
      </c>
      <c r="K2212" s="0" t="n">
        <f aca="false">D2212*E2212</f>
        <v>-0.03125</v>
      </c>
      <c r="L2212" s="0" t="n">
        <f aca="false">D2212*F2212</f>
        <v>-0.09375</v>
      </c>
      <c r="M2212" s="0" t="n">
        <f aca="false">E2212*F2212</f>
        <v>0.1875</v>
      </c>
      <c r="N2212" s="0" t="n">
        <f aca="false">D2212*D2212</f>
        <v>0.015625</v>
      </c>
      <c r="O2212" s="0" t="n">
        <f aca="false">E2212*E2212</f>
        <v>0.0625</v>
      </c>
      <c r="P2212" s="0" t="n">
        <f aca="false">F2212*F2212</f>
        <v>0.5625</v>
      </c>
      <c r="Q2212" s="0" t="n">
        <f aca="false">SUMPRODUCT(G2212:P2212,_XtX!$B$71:$K$71)</f>
        <v>48.8384375</v>
      </c>
      <c r="R2212" s="0" t="n">
        <f aca="false">SUMPRODUCT(MMULT(G2212:P2212,_XtX!$B$58:$K$67),G2212:P2212)</f>
        <v>0.233935546875</v>
      </c>
      <c r="S2212" s="0" t="n">
        <f aca="false">04_回帰ANOVA!$K$19*04_回帰ANOVA!$K$14*SQRT(1+R2212)</f>
        <v>1.03279202033444</v>
      </c>
      <c r="T2212" s="0" t="n">
        <f aca="false">Q2212-S2212</f>
        <v>47.8056454796656</v>
      </c>
      <c r="U2212" s="0" t="n">
        <f aca="false">Q2212+S2212</f>
        <v>49.8712295203345</v>
      </c>
      <c r="V2212" s="54" t="b">
        <f aca="false">AND(D2212&gt;=01_因子設定!$L$5-0.000000001,D2212&lt;=01_因子設定!$M$5+0.000000001,E2212&gt;=01_因子設定!$L$6-0.000000001,E2212&lt;=01_因子設定!$M$6+0.000000001,F2212&gt;=01_因子設定!$L$7-0.000000001,F2212&lt;=01_因子設定!$M$7+0.000000001,IF(01_因子設定!$B$20="Box-Behnken",D2212^2+E2212^2+F2212^2&lt;=2+0.000000001,TRUE()))</f>
        <v>1</v>
      </c>
      <c r="W2212" s="55" t="n">
        <f aca="false">IF(V2212,IF(01_因子設定!$B$13="最大化",T2212-01_因子設定!$B$14,IF(01_因子設定!$B$13="最小化",01_因子設定!$B$15-U2212,MIN(T2212-01_因子設定!$B$14,01_因子設定!$B$15-U2212))),-1E+030)</f>
        <v>-0.694354520334422</v>
      </c>
      <c r="X2212" s="55" t="n">
        <f aca="false">IF(V2212,IF(01_因子設定!$B$13="最大化",Q2212,IF(01_因子設定!$B$13="最小化",-Q2212,-ABS(Q2212-01_因子設定!$B$16))),-1E+030)</f>
        <v>48.8384375</v>
      </c>
      <c r="Y2212" s="55" t="n">
        <f aca="false">W2212+ROW()*0.000000001</f>
        <v>-0.694352308334422</v>
      </c>
      <c r="Z2212" s="55" t="n">
        <f aca="false">X2212+ROW()*0.000000001</f>
        <v>48.838439712</v>
      </c>
    </row>
    <row r="2213" customFormat="false" ht="15" hidden="false" customHeight="false" outlineLevel="0" collapsed="false">
      <c r="A2213" s="0" t="n">
        <v>7</v>
      </c>
      <c r="B2213" s="0" t="n">
        <v>10</v>
      </c>
      <c r="C2213" s="0" t="n">
        <v>15</v>
      </c>
      <c r="D2213" s="0" t="n">
        <f aca="false">-1+A2213*0.125</f>
        <v>-0.125</v>
      </c>
      <c r="E2213" s="0" t="n">
        <f aca="false">-1+B2213*0.125</f>
        <v>0.25</v>
      </c>
      <c r="F2213" s="0" t="n">
        <f aca="false">-1+C2213*0.125</f>
        <v>0.875</v>
      </c>
      <c r="G2213" s="0" t="n">
        <f aca="false">1</f>
        <v>1</v>
      </c>
      <c r="H2213" s="0" t="n">
        <f aca="false">D2213</f>
        <v>-0.125</v>
      </c>
      <c r="I2213" s="0" t="n">
        <f aca="false">E2213</f>
        <v>0.25</v>
      </c>
      <c r="J2213" s="0" t="n">
        <f aca="false">F2213</f>
        <v>0.875</v>
      </c>
      <c r="K2213" s="0" t="n">
        <f aca="false">D2213*E2213</f>
        <v>-0.03125</v>
      </c>
      <c r="L2213" s="0" t="n">
        <f aca="false">D2213*F2213</f>
        <v>-0.109375</v>
      </c>
      <c r="M2213" s="0" t="n">
        <f aca="false">E2213*F2213</f>
        <v>0.21875</v>
      </c>
      <c r="N2213" s="0" t="n">
        <f aca="false">D2213*D2213</f>
        <v>0.015625</v>
      </c>
      <c r="O2213" s="0" t="n">
        <f aca="false">E2213*E2213</f>
        <v>0.0625</v>
      </c>
      <c r="P2213" s="0" t="n">
        <f aca="false">F2213*F2213</f>
        <v>0.765625</v>
      </c>
      <c r="Q2213" s="0" t="n">
        <f aca="false">SUMPRODUCT(G2213:P2213,_XtX!$B$71:$K$71)</f>
        <v>48.7882102272728</v>
      </c>
      <c r="R2213" s="0" t="n">
        <f aca="false">SUMPRODUCT(MMULT(G2213:P2213,_XtX!$B$58:$K$67),G2213:P2213)</f>
        <v>0.331537974964489</v>
      </c>
      <c r="S2213" s="0" t="n">
        <f aca="false">04_回帰ANOVA!$K$19*04_回帰ANOVA!$K$14*SQRT(1+R2213)</f>
        <v>1.07286089161565</v>
      </c>
      <c r="T2213" s="0" t="n">
        <f aca="false">Q2213-S2213</f>
        <v>47.7153493356571</v>
      </c>
      <c r="U2213" s="0" t="n">
        <f aca="false">Q2213+S2213</f>
        <v>49.8610711188884</v>
      </c>
      <c r="V2213" s="54" t="b">
        <f aca="false">AND(D2213&gt;=01_因子設定!$L$5-0.000000001,D2213&lt;=01_因子設定!$M$5+0.000000001,E2213&gt;=01_因子設定!$L$6-0.000000001,E2213&lt;=01_因子設定!$M$6+0.000000001,F2213&gt;=01_因子設定!$L$7-0.000000001,F2213&lt;=01_因子設定!$M$7+0.000000001,IF(01_因子設定!$B$20="Box-Behnken",D2213^2+E2213^2+F2213^2&lt;=2+0.000000001,TRUE()))</f>
        <v>1</v>
      </c>
      <c r="W2213" s="55" t="n">
        <f aca="false">IF(V2213,IF(01_因子設定!$B$13="最大化",T2213-01_因子設定!$B$14,IF(01_因子設定!$B$13="最小化",01_因子設定!$B$15-U2213,MIN(T2213-01_因子設定!$B$14,01_因子設定!$B$15-U2213))),-1E+030)</f>
        <v>-0.784650664342905</v>
      </c>
      <c r="X2213" s="55" t="n">
        <f aca="false">IF(V2213,IF(01_因子設定!$B$13="最大化",Q2213,IF(01_因子設定!$B$13="最小化",-Q2213,-ABS(Q2213-01_因子設定!$B$16))),-1E+030)</f>
        <v>48.7882102272728</v>
      </c>
      <c r="Y2213" s="55" t="n">
        <f aca="false">W2213+ROW()*0.000000001</f>
        <v>-0.784648451342905</v>
      </c>
      <c r="Z2213" s="55" t="n">
        <f aca="false">X2213+ROW()*0.000000001</f>
        <v>48.7882124402728</v>
      </c>
    </row>
    <row r="2214" customFormat="false" ht="15" hidden="false" customHeight="false" outlineLevel="0" collapsed="false">
      <c r="A2214" s="0" t="n">
        <v>7</v>
      </c>
      <c r="B2214" s="0" t="n">
        <v>10</v>
      </c>
      <c r="C2214" s="0" t="n">
        <v>16</v>
      </c>
      <c r="D2214" s="0" t="n">
        <f aca="false">-1+A2214*0.125</f>
        <v>-0.125</v>
      </c>
      <c r="E2214" s="0" t="n">
        <f aca="false">-1+B2214*0.125</f>
        <v>0.25</v>
      </c>
      <c r="F2214" s="0" t="n">
        <f aca="false">-1+C2214*0.125</f>
        <v>1</v>
      </c>
      <c r="G2214" s="0" t="n">
        <f aca="false">1</f>
        <v>1</v>
      </c>
      <c r="H2214" s="0" t="n">
        <f aca="false">D2214</f>
        <v>-0.125</v>
      </c>
      <c r="I2214" s="0" t="n">
        <f aca="false">E2214</f>
        <v>0.25</v>
      </c>
      <c r="J2214" s="0" t="n">
        <f aca="false">F2214</f>
        <v>1</v>
      </c>
      <c r="K2214" s="0" t="n">
        <f aca="false">D2214*E2214</f>
        <v>-0.03125</v>
      </c>
      <c r="L2214" s="0" t="n">
        <f aca="false">D2214*F2214</f>
        <v>-0.125</v>
      </c>
      <c r="M2214" s="0" t="n">
        <f aca="false">E2214*F2214</f>
        <v>0.25</v>
      </c>
      <c r="N2214" s="0" t="n">
        <f aca="false">D2214*D2214</f>
        <v>0.015625</v>
      </c>
      <c r="O2214" s="0" t="n">
        <f aca="false">E2214*E2214</f>
        <v>0.0625</v>
      </c>
      <c r="P2214" s="0" t="n">
        <f aca="false">F2214*F2214</f>
        <v>1</v>
      </c>
      <c r="Q2214" s="0" t="n">
        <f aca="false">SUMPRODUCT(G2214:P2214,_XtX!$B$71:$K$71)</f>
        <v>48.7011931818182</v>
      </c>
      <c r="R2214" s="0" t="n">
        <f aca="false">SUMPRODUCT(MMULT(G2214:P2214,_XtX!$B$58:$K$67),G2214:P2214)</f>
        <v>0.481443093039773</v>
      </c>
      <c r="S2214" s="0" t="n">
        <f aca="false">04_回帰ANOVA!$K$19*04_回帰ANOVA!$K$14*SQRT(1+R2214)</f>
        <v>1.13164216995877</v>
      </c>
      <c r="T2214" s="0" t="n">
        <f aca="false">Q2214-S2214</f>
        <v>47.5695510118594</v>
      </c>
      <c r="U2214" s="0" t="n">
        <f aca="false">Q2214+S2214</f>
        <v>49.832835351777</v>
      </c>
      <c r="V2214" s="54" t="b">
        <f aca="false">AND(D2214&gt;=01_因子設定!$L$5-0.000000001,D2214&lt;=01_因子設定!$M$5+0.000000001,E2214&gt;=01_因子設定!$L$6-0.000000001,E2214&lt;=01_因子設定!$M$6+0.000000001,F2214&gt;=01_因子設定!$L$7-0.000000001,F2214&lt;=01_因子設定!$M$7+0.000000001,IF(01_因子設定!$B$20="Box-Behnken",D2214^2+E2214^2+F2214^2&lt;=2+0.000000001,TRUE()))</f>
        <v>1</v>
      </c>
      <c r="W2214" s="55" t="n">
        <f aca="false">IF(V2214,IF(01_因子設定!$B$13="最大化",T2214-01_因子設定!$B$14,IF(01_因子設定!$B$13="最小化",01_因子設定!$B$15-U2214,MIN(T2214-01_因子設定!$B$14,01_因子設定!$B$15-U2214))),-1E+030)</f>
        <v>-0.930448988140554</v>
      </c>
      <c r="X2214" s="55" t="n">
        <f aca="false">IF(V2214,IF(01_因子設定!$B$13="最大化",Q2214,IF(01_因子設定!$B$13="最小化",-Q2214,-ABS(Q2214-01_因子設定!$B$16))),-1E+030)</f>
        <v>48.7011931818182</v>
      </c>
      <c r="Y2214" s="55" t="n">
        <f aca="false">W2214+ROW()*0.000000001</f>
        <v>-0.930446774140554</v>
      </c>
      <c r="Z2214" s="55" t="n">
        <f aca="false">X2214+ROW()*0.000000001</f>
        <v>48.7011953958182</v>
      </c>
    </row>
    <row r="2215" customFormat="false" ht="15" hidden="false" customHeight="false" outlineLevel="0" collapsed="false">
      <c r="A2215" s="0" t="n">
        <v>7</v>
      </c>
      <c r="B2215" s="0" t="n">
        <v>11</v>
      </c>
      <c r="C2215" s="0" t="n">
        <v>0</v>
      </c>
      <c r="D2215" s="0" t="n">
        <f aca="false">-1+A2215*0.125</f>
        <v>-0.125</v>
      </c>
      <c r="E2215" s="0" t="n">
        <f aca="false">-1+B2215*0.125</f>
        <v>0.375</v>
      </c>
      <c r="F2215" s="0" t="n">
        <f aca="false">-1+C2215*0.125</f>
        <v>-1</v>
      </c>
      <c r="G2215" s="0" t="n">
        <f aca="false">1</f>
        <v>1</v>
      </c>
      <c r="H2215" s="0" t="n">
        <f aca="false">D2215</f>
        <v>-0.125</v>
      </c>
      <c r="I2215" s="0" t="n">
        <f aca="false">E2215</f>
        <v>0.375</v>
      </c>
      <c r="J2215" s="0" t="n">
        <f aca="false">F2215</f>
        <v>-1</v>
      </c>
      <c r="K2215" s="0" t="n">
        <f aca="false">D2215*E2215</f>
        <v>-0.046875</v>
      </c>
      <c r="L2215" s="0" t="n">
        <f aca="false">D2215*F2215</f>
        <v>0.125</v>
      </c>
      <c r="M2215" s="0" t="n">
        <f aca="false">E2215*F2215</f>
        <v>-0.375</v>
      </c>
      <c r="N2215" s="0" t="n">
        <f aca="false">D2215*D2215</f>
        <v>0.015625</v>
      </c>
      <c r="O2215" s="0" t="n">
        <f aca="false">E2215*E2215</f>
        <v>0.140625</v>
      </c>
      <c r="P2215" s="0" t="n">
        <f aca="false">F2215*F2215</f>
        <v>1</v>
      </c>
      <c r="Q2215" s="0" t="n">
        <f aca="false">SUMPRODUCT(G2215:P2215,_XtX!$B$71:$K$71)</f>
        <v>45.703671875</v>
      </c>
      <c r="R2215" s="0" t="n">
        <f aca="false">SUMPRODUCT(MMULT(G2215:P2215,_XtX!$B$58:$K$67),G2215:P2215)</f>
        <v>0.476202392578125</v>
      </c>
      <c r="S2215" s="0" t="n">
        <f aca="false">04_回帰ANOVA!$K$19*04_回帰ANOVA!$K$14*SQRT(1+R2215)</f>
        <v>1.12963876802721</v>
      </c>
      <c r="T2215" s="0" t="n">
        <f aca="false">Q2215-S2215</f>
        <v>44.5740331069728</v>
      </c>
      <c r="U2215" s="0" t="n">
        <f aca="false">Q2215+S2215</f>
        <v>46.8333106430272</v>
      </c>
      <c r="V2215" s="54" t="b">
        <f aca="false">AND(D2215&gt;=01_因子設定!$L$5-0.000000001,D2215&lt;=01_因子設定!$M$5+0.000000001,E2215&gt;=01_因子設定!$L$6-0.000000001,E2215&lt;=01_因子設定!$M$6+0.000000001,F2215&gt;=01_因子設定!$L$7-0.000000001,F2215&lt;=01_因子設定!$M$7+0.000000001,IF(01_因子設定!$B$20="Box-Behnken",D2215^2+E2215^2+F2215^2&lt;=2+0.000000001,TRUE()))</f>
        <v>1</v>
      </c>
      <c r="W2215" s="55" t="n">
        <f aca="false">IF(V2215,IF(01_因子設定!$B$13="最大化",T2215-01_因子設定!$B$14,IF(01_因子設定!$B$13="最小化",01_因子設定!$B$15-U2215,MIN(T2215-01_因子設定!$B$14,01_因子設定!$B$15-U2215))),-1E+030)</f>
        <v>-3.92596689302718</v>
      </c>
      <c r="X2215" s="55" t="n">
        <f aca="false">IF(V2215,IF(01_因子設定!$B$13="最大化",Q2215,IF(01_因子設定!$B$13="最小化",-Q2215,-ABS(Q2215-01_因子設定!$B$16))),-1E+030)</f>
        <v>45.703671875</v>
      </c>
      <c r="Y2215" s="55" t="n">
        <f aca="false">W2215+ROW()*0.000000001</f>
        <v>-3.92596467802718</v>
      </c>
      <c r="Z2215" s="55" t="n">
        <f aca="false">X2215+ROW()*0.000000001</f>
        <v>45.70367409</v>
      </c>
    </row>
    <row r="2216" customFormat="false" ht="15" hidden="false" customHeight="false" outlineLevel="0" collapsed="false">
      <c r="A2216" s="0" t="n">
        <v>7</v>
      </c>
      <c r="B2216" s="0" t="n">
        <v>11</v>
      </c>
      <c r="C2216" s="0" t="n">
        <v>1</v>
      </c>
      <c r="D2216" s="0" t="n">
        <f aca="false">-1+A2216*0.125</f>
        <v>-0.125</v>
      </c>
      <c r="E2216" s="0" t="n">
        <f aca="false">-1+B2216*0.125</f>
        <v>0.375</v>
      </c>
      <c r="F2216" s="0" t="n">
        <f aca="false">-1+C2216*0.125</f>
        <v>-0.875</v>
      </c>
      <c r="G2216" s="0" t="n">
        <f aca="false">1</f>
        <v>1</v>
      </c>
      <c r="H2216" s="0" t="n">
        <f aca="false">D2216</f>
        <v>-0.125</v>
      </c>
      <c r="I2216" s="0" t="n">
        <f aca="false">E2216</f>
        <v>0.375</v>
      </c>
      <c r="J2216" s="0" t="n">
        <f aca="false">F2216</f>
        <v>-0.875</v>
      </c>
      <c r="K2216" s="0" t="n">
        <f aca="false">D2216*E2216</f>
        <v>-0.046875</v>
      </c>
      <c r="L2216" s="0" t="n">
        <f aca="false">D2216*F2216</f>
        <v>0.109375</v>
      </c>
      <c r="M2216" s="0" t="n">
        <f aca="false">E2216*F2216</f>
        <v>-0.328125</v>
      </c>
      <c r="N2216" s="0" t="n">
        <f aca="false">D2216*D2216</f>
        <v>0.015625</v>
      </c>
      <c r="O2216" s="0" t="n">
        <f aca="false">E2216*E2216</f>
        <v>0.140625</v>
      </c>
      <c r="P2216" s="0" t="n">
        <f aca="false">F2216*F2216</f>
        <v>0.765625</v>
      </c>
      <c r="Q2216" s="0" t="n">
        <f aca="false">SUMPRODUCT(G2216:P2216,_XtX!$B$71:$K$71)</f>
        <v>46.1755326704546</v>
      </c>
      <c r="R2216" s="0" t="n">
        <f aca="false">SUMPRODUCT(MMULT(G2216:P2216,_XtX!$B$58:$K$67),G2216:P2216)</f>
        <v>0.32900224165483</v>
      </c>
      <c r="S2216" s="0" t="n">
        <f aca="false">04_回帰ANOVA!$K$19*04_回帰ANOVA!$K$14*SQRT(1+R2216)</f>
        <v>1.07183884583628</v>
      </c>
      <c r="T2216" s="0" t="n">
        <f aca="false">Q2216-S2216</f>
        <v>45.1036938246183</v>
      </c>
      <c r="U2216" s="0" t="n">
        <f aca="false">Q2216+S2216</f>
        <v>47.2473715162909</v>
      </c>
      <c r="V2216" s="54" t="b">
        <f aca="false">AND(D2216&gt;=01_因子設定!$L$5-0.000000001,D2216&lt;=01_因子設定!$M$5+0.000000001,E2216&gt;=01_因子設定!$L$6-0.000000001,E2216&lt;=01_因子設定!$M$6+0.000000001,F2216&gt;=01_因子設定!$L$7-0.000000001,F2216&lt;=01_因子設定!$M$7+0.000000001,IF(01_因子設定!$B$20="Box-Behnken",D2216^2+E2216^2+F2216^2&lt;=2+0.000000001,TRUE()))</f>
        <v>1</v>
      </c>
      <c r="W2216" s="55" t="n">
        <f aca="false">IF(V2216,IF(01_因子設定!$B$13="最大化",T2216-01_因子設定!$B$14,IF(01_因子設定!$B$13="最小化",01_因子設定!$B$15-U2216,MIN(T2216-01_因子設定!$B$14,01_因子設定!$B$15-U2216))),-1E+030)</f>
        <v>-3.39630617538171</v>
      </c>
      <c r="X2216" s="55" t="n">
        <f aca="false">IF(V2216,IF(01_因子設定!$B$13="最大化",Q2216,IF(01_因子設定!$B$13="最小化",-Q2216,-ABS(Q2216-01_因子設定!$B$16))),-1E+030)</f>
        <v>46.1755326704546</v>
      </c>
      <c r="Y2216" s="55" t="n">
        <f aca="false">W2216+ROW()*0.000000001</f>
        <v>-3.39630395938171</v>
      </c>
      <c r="Z2216" s="55" t="n">
        <f aca="false">X2216+ROW()*0.000000001</f>
        <v>46.1755348864546</v>
      </c>
    </row>
    <row r="2217" customFormat="false" ht="15" hidden="false" customHeight="false" outlineLevel="0" collapsed="false">
      <c r="A2217" s="0" t="n">
        <v>7</v>
      </c>
      <c r="B2217" s="0" t="n">
        <v>11</v>
      </c>
      <c r="C2217" s="0" t="n">
        <v>2</v>
      </c>
      <c r="D2217" s="0" t="n">
        <f aca="false">-1+A2217*0.125</f>
        <v>-0.125</v>
      </c>
      <c r="E2217" s="0" t="n">
        <f aca="false">-1+B2217*0.125</f>
        <v>0.375</v>
      </c>
      <c r="F2217" s="0" t="n">
        <f aca="false">-1+C2217*0.125</f>
        <v>-0.75</v>
      </c>
      <c r="G2217" s="0" t="n">
        <f aca="false">1</f>
        <v>1</v>
      </c>
      <c r="H2217" s="0" t="n">
        <f aca="false">D2217</f>
        <v>-0.125</v>
      </c>
      <c r="I2217" s="0" t="n">
        <f aca="false">E2217</f>
        <v>0.375</v>
      </c>
      <c r="J2217" s="0" t="n">
        <f aca="false">F2217</f>
        <v>-0.75</v>
      </c>
      <c r="K2217" s="0" t="n">
        <f aca="false">D2217*E2217</f>
        <v>-0.046875</v>
      </c>
      <c r="L2217" s="0" t="n">
        <f aca="false">D2217*F2217</f>
        <v>0.09375</v>
      </c>
      <c r="M2217" s="0" t="n">
        <f aca="false">E2217*F2217</f>
        <v>-0.28125</v>
      </c>
      <c r="N2217" s="0" t="n">
        <f aca="false">D2217*D2217</f>
        <v>0.015625</v>
      </c>
      <c r="O2217" s="0" t="n">
        <f aca="false">E2217*E2217</f>
        <v>0.140625</v>
      </c>
      <c r="P2217" s="0" t="n">
        <f aca="false">F2217*F2217</f>
        <v>0.5625</v>
      </c>
      <c r="Q2217" s="0" t="n">
        <f aca="false">SUMPRODUCT(G2217:P2217,_XtX!$B$71:$K$71)</f>
        <v>46.6106036931818</v>
      </c>
      <c r="R2217" s="0" t="n">
        <f aca="false">SUMPRODUCT(MMULT(G2217:P2217,_XtX!$B$58:$K$67),G2217:P2217)</f>
        <v>0.233744118430398</v>
      </c>
      <c r="S2217" s="0" t="n">
        <f aca="false">04_回帰ANOVA!$K$19*04_回帰ANOVA!$K$14*SQRT(1+R2217)</f>
        <v>1.0327119053564</v>
      </c>
      <c r="T2217" s="0" t="n">
        <f aca="false">Q2217-S2217</f>
        <v>45.5778917878254</v>
      </c>
      <c r="U2217" s="0" t="n">
        <f aca="false">Q2217+S2217</f>
        <v>47.6433155985382</v>
      </c>
      <c r="V2217" s="54" t="b">
        <f aca="false">AND(D2217&gt;=01_因子設定!$L$5-0.000000001,D2217&lt;=01_因子設定!$M$5+0.000000001,E2217&gt;=01_因子設定!$L$6-0.000000001,E2217&lt;=01_因子設定!$M$6+0.000000001,F2217&gt;=01_因子設定!$L$7-0.000000001,F2217&lt;=01_因子設定!$M$7+0.000000001,IF(01_因子設定!$B$20="Box-Behnken",D2217^2+E2217^2+F2217^2&lt;=2+0.000000001,TRUE()))</f>
        <v>1</v>
      </c>
      <c r="W2217" s="55" t="n">
        <f aca="false">IF(V2217,IF(01_因子設定!$B$13="最大化",T2217-01_因子設定!$B$14,IF(01_因子設定!$B$13="最小化",01_因子設定!$B$15-U2217,MIN(T2217-01_因子設定!$B$14,01_因子設定!$B$15-U2217))),-1E+030)</f>
        <v>-2.92210821217456</v>
      </c>
      <c r="X2217" s="55" t="n">
        <f aca="false">IF(V2217,IF(01_因子設定!$B$13="最大化",Q2217,IF(01_因子設定!$B$13="最小化",-Q2217,-ABS(Q2217-01_因子設定!$B$16))),-1E+030)</f>
        <v>46.6106036931818</v>
      </c>
      <c r="Y2217" s="55" t="n">
        <f aca="false">W2217+ROW()*0.000000001</f>
        <v>-2.92210599517456</v>
      </c>
      <c r="Z2217" s="55" t="n">
        <f aca="false">X2217+ROW()*0.000000001</f>
        <v>46.6106059101818</v>
      </c>
    </row>
    <row r="2218" customFormat="false" ht="15" hidden="false" customHeight="false" outlineLevel="0" collapsed="false">
      <c r="A2218" s="0" t="n">
        <v>7</v>
      </c>
      <c r="B2218" s="0" t="n">
        <v>11</v>
      </c>
      <c r="C2218" s="0" t="n">
        <v>3</v>
      </c>
      <c r="D2218" s="0" t="n">
        <f aca="false">-1+A2218*0.125</f>
        <v>-0.125</v>
      </c>
      <c r="E2218" s="0" t="n">
        <f aca="false">-1+B2218*0.125</f>
        <v>0.375</v>
      </c>
      <c r="F2218" s="0" t="n">
        <f aca="false">-1+C2218*0.125</f>
        <v>-0.625</v>
      </c>
      <c r="G2218" s="0" t="n">
        <f aca="false">1</f>
        <v>1</v>
      </c>
      <c r="H2218" s="0" t="n">
        <f aca="false">D2218</f>
        <v>-0.125</v>
      </c>
      <c r="I2218" s="0" t="n">
        <f aca="false">E2218</f>
        <v>0.375</v>
      </c>
      <c r="J2218" s="0" t="n">
        <f aca="false">F2218</f>
        <v>-0.625</v>
      </c>
      <c r="K2218" s="0" t="n">
        <f aca="false">D2218*E2218</f>
        <v>-0.046875</v>
      </c>
      <c r="L2218" s="0" t="n">
        <f aca="false">D2218*F2218</f>
        <v>0.078125</v>
      </c>
      <c r="M2218" s="0" t="n">
        <f aca="false">E2218*F2218</f>
        <v>-0.234375</v>
      </c>
      <c r="N2218" s="0" t="n">
        <f aca="false">D2218*D2218</f>
        <v>0.015625</v>
      </c>
      <c r="O2218" s="0" t="n">
        <f aca="false">E2218*E2218</f>
        <v>0.140625</v>
      </c>
      <c r="P2218" s="0" t="n">
        <f aca="false">F2218*F2218</f>
        <v>0.390625</v>
      </c>
      <c r="Q2218" s="0" t="n">
        <f aca="false">SUMPRODUCT(G2218:P2218,_XtX!$B$71:$K$71)</f>
        <v>47.0088849431818</v>
      </c>
      <c r="R2218" s="0" t="n">
        <f aca="false">SUMPRODUCT(MMULT(G2218:P2218,_XtX!$B$58:$K$67),G2218:P2218)</f>
        <v>0.176578591086648</v>
      </c>
      <c r="S2218" s="0" t="n">
        <f aca="false">04_回帰ANOVA!$K$19*04_回帰ANOVA!$K$14*SQRT(1+R2218)</f>
        <v>1.00850279676269</v>
      </c>
      <c r="T2218" s="0" t="n">
        <f aca="false">Q2218-S2218</f>
        <v>46.0003821464191</v>
      </c>
      <c r="U2218" s="0" t="n">
        <f aca="false">Q2218+S2218</f>
        <v>48.0173877399445</v>
      </c>
      <c r="V2218" s="54" t="b">
        <f aca="false">AND(D2218&gt;=01_因子設定!$L$5-0.000000001,D2218&lt;=01_因子設定!$M$5+0.000000001,E2218&gt;=01_因子設定!$L$6-0.000000001,E2218&lt;=01_因子設定!$M$6+0.000000001,F2218&gt;=01_因子設定!$L$7-0.000000001,F2218&lt;=01_因子設定!$M$7+0.000000001,IF(01_因子設定!$B$20="Box-Behnken",D2218^2+E2218^2+F2218^2&lt;=2+0.000000001,TRUE()))</f>
        <v>1</v>
      </c>
      <c r="W2218" s="55" t="n">
        <f aca="false">IF(V2218,IF(01_因子設定!$B$13="最大化",T2218-01_因子設定!$B$14,IF(01_因子設定!$B$13="最小化",01_因子設定!$B$15-U2218,MIN(T2218-01_因子設定!$B$14,01_因子設定!$B$15-U2218))),-1E+030)</f>
        <v>-2.49961785358086</v>
      </c>
      <c r="X2218" s="55" t="n">
        <f aca="false">IF(V2218,IF(01_因子設定!$B$13="最大化",Q2218,IF(01_因子設定!$B$13="最小化",-Q2218,-ABS(Q2218-01_因子設定!$B$16))),-1E+030)</f>
        <v>47.0088849431818</v>
      </c>
      <c r="Y2218" s="55" t="n">
        <f aca="false">W2218+ROW()*0.000000001</f>
        <v>-2.49961563558086</v>
      </c>
      <c r="Z2218" s="55" t="n">
        <f aca="false">X2218+ROW()*0.000000001</f>
        <v>47.0088871611818</v>
      </c>
    </row>
    <row r="2219" customFormat="false" ht="15" hidden="false" customHeight="false" outlineLevel="0" collapsed="false">
      <c r="A2219" s="0" t="n">
        <v>7</v>
      </c>
      <c r="B2219" s="0" t="n">
        <v>11</v>
      </c>
      <c r="C2219" s="0" t="n">
        <v>4</v>
      </c>
      <c r="D2219" s="0" t="n">
        <f aca="false">-1+A2219*0.125</f>
        <v>-0.125</v>
      </c>
      <c r="E2219" s="0" t="n">
        <f aca="false">-1+B2219*0.125</f>
        <v>0.375</v>
      </c>
      <c r="F2219" s="0" t="n">
        <f aca="false">-1+C2219*0.125</f>
        <v>-0.5</v>
      </c>
      <c r="G2219" s="0" t="n">
        <f aca="false">1</f>
        <v>1</v>
      </c>
      <c r="H2219" s="0" t="n">
        <f aca="false">D2219</f>
        <v>-0.125</v>
      </c>
      <c r="I2219" s="0" t="n">
        <f aca="false">E2219</f>
        <v>0.375</v>
      </c>
      <c r="J2219" s="0" t="n">
        <f aca="false">F2219</f>
        <v>-0.5</v>
      </c>
      <c r="K2219" s="0" t="n">
        <f aca="false">D2219*E2219</f>
        <v>-0.046875</v>
      </c>
      <c r="L2219" s="0" t="n">
        <f aca="false">D2219*F2219</f>
        <v>0.0625</v>
      </c>
      <c r="M2219" s="0" t="n">
        <f aca="false">E2219*F2219</f>
        <v>-0.1875</v>
      </c>
      <c r="N2219" s="0" t="n">
        <f aca="false">D2219*D2219</f>
        <v>0.015625</v>
      </c>
      <c r="O2219" s="0" t="n">
        <f aca="false">E2219*E2219</f>
        <v>0.140625</v>
      </c>
      <c r="P2219" s="0" t="n">
        <f aca="false">F2219*F2219</f>
        <v>0.25</v>
      </c>
      <c r="Q2219" s="0" t="n">
        <f aca="false">SUMPRODUCT(G2219:P2219,_XtX!$B$71:$K$71)</f>
        <v>47.3703764204546</v>
      </c>
      <c r="R2219" s="0" t="n">
        <f aca="false">SUMPRODUCT(MMULT(G2219:P2219,_XtX!$B$58:$K$67),G2219:P2219)</f>
        <v>0.14578690962358</v>
      </c>
      <c r="S2219" s="0" t="n">
        <f aca="false">04_回帰ANOVA!$K$19*04_回帰ANOVA!$K$14*SQRT(1+R2219)</f>
        <v>0.995218783457917</v>
      </c>
      <c r="T2219" s="0" t="n">
        <f aca="false">Q2219-S2219</f>
        <v>46.3751576369967</v>
      </c>
      <c r="U2219" s="0" t="n">
        <f aca="false">Q2219+S2219</f>
        <v>48.3655952039125</v>
      </c>
      <c r="V2219" s="54" t="b">
        <f aca="false">AND(D2219&gt;=01_因子設定!$L$5-0.000000001,D2219&lt;=01_因子設定!$M$5+0.000000001,E2219&gt;=01_因子設定!$L$6-0.000000001,E2219&lt;=01_因子設定!$M$6+0.000000001,F2219&gt;=01_因子設定!$L$7-0.000000001,F2219&lt;=01_因子設定!$M$7+0.000000001,IF(01_因子設定!$B$20="Box-Behnken",D2219^2+E2219^2+F2219^2&lt;=2+0.000000001,TRUE()))</f>
        <v>1</v>
      </c>
      <c r="W2219" s="55" t="n">
        <f aca="false">IF(V2219,IF(01_因子設定!$B$13="最大化",T2219-01_因子設定!$B$14,IF(01_因子設定!$B$13="最小化",01_因子設定!$B$15-U2219,MIN(T2219-01_因子設定!$B$14,01_因子設定!$B$15-U2219))),-1E+030)</f>
        <v>-2.12484236300335</v>
      </c>
      <c r="X2219" s="55" t="n">
        <f aca="false">IF(V2219,IF(01_因子設定!$B$13="最大化",Q2219,IF(01_因子設定!$B$13="最小化",-Q2219,-ABS(Q2219-01_因子設定!$B$16))),-1E+030)</f>
        <v>47.3703764204546</v>
      </c>
      <c r="Y2219" s="55" t="n">
        <f aca="false">W2219+ROW()*0.000000001</f>
        <v>-2.12484014400335</v>
      </c>
      <c r="Z2219" s="55" t="n">
        <f aca="false">X2219+ROW()*0.000000001</f>
        <v>47.3703786394546</v>
      </c>
    </row>
    <row r="2220" customFormat="false" ht="15" hidden="false" customHeight="false" outlineLevel="0" collapsed="false">
      <c r="A2220" s="0" t="n">
        <v>7</v>
      </c>
      <c r="B2220" s="0" t="n">
        <v>11</v>
      </c>
      <c r="C2220" s="0" t="n">
        <v>5</v>
      </c>
      <c r="D2220" s="0" t="n">
        <f aca="false">-1+A2220*0.125</f>
        <v>-0.125</v>
      </c>
      <c r="E2220" s="0" t="n">
        <f aca="false">-1+B2220*0.125</f>
        <v>0.375</v>
      </c>
      <c r="F2220" s="0" t="n">
        <f aca="false">-1+C2220*0.125</f>
        <v>-0.375</v>
      </c>
      <c r="G2220" s="0" t="n">
        <f aca="false">1</f>
        <v>1</v>
      </c>
      <c r="H2220" s="0" t="n">
        <f aca="false">D2220</f>
        <v>-0.125</v>
      </c>
      <c r="I2220" s="0" t="n">
        <f aca="false">E2220</f>
        <v>0.375</v>
      </c>
      <c r="J2220" s="0" t="n">
        <f aca="false">F2220</f>
        <v>-0.375</v>
      </c>
      <c r="K2220" s="0" t="n">
        <f aca="false">D2220*E2220</f>
        <v>-0.046875</v>
      </c>
      <c r="L2220" s="0" t="n">
        <f aca="false">D2220*F2220</f>
        <v>0.046875</v>
      </c>
      <c r="M2220" s="0" t="n">
        <f aca="false">E2220*F2220</f>
        <v>-0.140625</v>
      </c>
      <c r="N2220" s="0" t="n">
        <f aca="false">D2220*D2220</f>
        <v>0.015625</v>
      </c>
      <c r="O2220" s="0" t="n">
        <f aca="false">E2220*E2220</f>
        <v>0.140625</v>
      </c>
      <c r="P2220" s="0" t="n">
        <f aca="false">F2220*F2220</f>
        <v>0.140625</v>
      </c>
      <c r="Q2220" s="0" t="n">
        <f aca="false">SUMPRODUCT(G2220:P2220,_XtX!$B$71:$K$71)</f>
        <v>47.695078125</v>
      </c>
      <c r="R2220" s="0" t="n">
        <f aca="false">SUMPRODUCT(MMULT(G2220:P2220,_XtX!$B$58:$K$67),G2220:P2220)</f>
        <v>0.131781005859375</v>
      </c>
      <c r="S2220" s="0" t="n">
        <f aca="false">04_回帰ANOVA!$K$19*04_回帰ANOVA!$K$14*SQRT(1+R2220)</f>
        <v>0.989117388188007</v>
      </c>
      <c r="T2220" s="0" t="n">
        <f aca="false">Q2220-S2220</f>
        <v>46.705960736812</v>
      </c>
      <c r="U2220" s="0" t="n">
        <f aca="false">Q2220+S2220</f>
        <v>48.684195513188</v>
      </c>
      <c r="V2220" s="54" t="b">
        <f aca="false">AND(D2220&gt;=01_因子設定!$L$5-0.000000001,D2220&lt;=01_因子設定!$M$5+0.000000001,E2220&gt;=01_因子設定!$L$6-0.000000001,E2220&lt;=01_因子設定!$M$6+0.000000001,F2220&gt;=01_因子設定!$L$7-0.000000001,F2220&lt;=01_因子設定!$M$7+0.000000001,IF(01_因子設定!$B$20="Box-Behnken",D2220^2+E2220^2+F2220^2&lt;=2+0.000000001,TRUE()))</f>
        <v>1</v>
      </c>
      <c r="W2220" s="55" t="n">
        <f aca="false">IF(V2220,IF(01_因子設定!$B$13="最大化",T2220-01_因子設定!$B$14,IF(01_因子設定!$B$13="最小化",01_因子設定!$B$15-U2220,MIN(T2220-01_因子設定!$B$14,01_因子設定!$B$15-U2220))),-1E+030)</f>
        <v>-1.794039263188</v>
      </c>
      <c r="X2220" s="55" t="n">
        <f aca="false">IF(V2220,IF(01_因子設定!$B$13="最大化",Q2220,IF(01_因子設定!$B$13="最小化",-Q2220,-ABS(Q2220-01_因子設定!$B$16))),-1E+030)</f>
        <v>47.695078125</v>
      </c>
      <c r="Y2220" s="55" t="n">
        <f aca="false">W2220+ROW()*0.000000001</f>
        <v>-1.794037043188</v>
      </c>
      <c r="Z2220" s="55" t="n">
        <f aca="false">X2220+ROW()*0.000000001</f>
        <v>47.695080345</v>
      </c>
    </row>
    <row r="2221" customFormat="false" ht="15" hidden="false" customHeight="false" outlineLevel="0" collapsed="false">
      <c r="A2221" s="0" t="n">
        <v>7</v>
      </c>
      <c r="B2221" s="0" t="n">
        <v>11</v>
      </c>
      <c r="C2221" s="0" t="n">
        <v>6</v>
      </c>
      <c r="D2221" s="0" t="n">
        <f aca="false">-1+A2221*0.125</f>
        <v>-0.125</v>
      </c>
      <c r="E2221" s="0" t="n">
        <f aca="false">-1+B2221*0.125</f>
        <v>0.375</v>
      </c>
      <c r="F2221" s="0" t="n">
        <f aca="false">-1+C2221*0.125</f>
        <v>-0.25</v>
      </c>
      <c r="G2221" s="0" t="n">
        <f aca="false">1</f>
        <v>1</v>
      </c>
      <c r="H2221" s="0" t="n">
        <f aca="false">D2221</f>
        <v>-0.125</v>
      </c>
      <c r="I2221" s="0" t="n">
        <f aca="false">E2221</f>
        <v>0.375</v>
      </c>
      <c r="J2221" s="0" t="n">
        <f aca="false">F2221</f>
        <v>-0.25</v>
      </c>
      <c r="K2221" s="0" t="n">
        <f aca="false">D2221*E2221</f>
        <v>-0.046875</v>
      </c>
      <c r="L2221" s="0" t="n">
        <f aca="false">D2221*F2221</f>
        <v>0.03125</v>
      </c>
      <c r="M2221" s="0" t="n">
        <f aca="false">E2221*F2221</f>
        <v>-0.09375</v>
      </c>
      <c r="N2221" s="0" t="n">
        <f aca="false">D2221*D2221</f>
        <v>0.015625</v>
      </c>
      <c r="O2221" s="0" t="n">
        <f aca="false">E2221*E2221</f>
        <v>0.140625</v>
      </c>
      <c r="P2221" s="0" t="n">
        <f aca="false">F2221*F2221</f>
        <v>0.0625</v>
      </c>
      <c r="Q2221" s="0" t="n">
        <f aca="false">SUMPRODUCT(G2221:P2221,_XtX!$B$71:$K$71)</f>
        <v>47.9829900568182</v>
      </c>
      <c r="R2221" s="0" t="n">
        <f aca="false">SUMPRODUCT(MMULT(G2221:P2221,_XtX!$B$58:$K$67),G2221:P2221)</f>
        <v>0.127103493430398</v>
      </c>
      <c r="S2221" s="0" t="n">
        <f aca="false">04_回帰ANOVA!$K$19*04_回帰ANOVA!$K$14*SQRT(1+R2221)</f>
        <v>0.987071321387587</v>
      </c>
      <c r="T2221" s="0" t="n">
        <f aca="false">Q2221-S2221</f>
        <v>46.9959187354306</v>
      </c>
      <c r="U2221" s="0" t="n">
        <f aca="false">Q2221+S2221</f>
        <v>48.9700613782058</v>
      </c>
      <c r="V2221" s="54" t="b">
        <f aca="false">AND(D2221&gt;=01_因子設定!$L$5-0.000000001,D2221&lt;=01_因子設定!$M$5+0.000000001,E2221&gt;=01_因子設定!$L$6-0.000000001,E2221&lt;=01_因子設定!$M$6+0.000000001,F2221&gt;=01_因子設定!$L$7-0.000000001,F2221&lt;=01_因子設定!$M$7+0.000000001,IF(01_因子設定!$B$20="Box-Behnken",D2221^2+E2221^2+F2221^2&lt;=2+0.000000001,TRUE()))</f>
        <v>1</v>
      </c>
      <c r="W2221" s="55" t="n">
        <f aca="false">IF(V2221,IF(01_因子設定!$B$13="最大化",T2221-01_因子設定!$B$14,IF(01_因子設定!$B$13="最小化",01_因子設定!$B$15-U2221,MIN(T2221-01_因子設定!$B$14,01_因子設定!$B$15-U2221))),-1E+030)</f>
        <v>-1.5040812645694</v>
      </c>
      <c r="X2221" s="55" t="n">
        <f aca="false">IF(V2221,IF(01_因子設定!$B$13="最大化",Q2221,IF(01_因子設定!$B$13="最小化",-Q2221,-ABS(Q2221-01_因子設定!$B$16))),-1E+030)</f>
        <v>47.9829900568182</v>
      </c>
      <c r="Y2221" s="55" t="n">
        <f aca="false">W2221+ROW()*0.000000001</f>
        <v>-1.5040790435694</v>
      </c>
      <c r="Z2221" s="55" t="n">
        <f aca="false">X2221+ROW()*0.000000001</f>
        <v>47.9829922778182</v>
      </c>
    </row>
    <row r="2222" customFormat="false" ht="15" hidden="false" customHeight="false" outlineLevel="0" collapsed="false">
      <c r="A2222" s="0" t="n">
        <v>7</v>
      </c>
      <c r="B2222" s="0" t="n">
        <v>11</v>
      </c>
      <c r="C2222" s="0" t="n">
        <v>7</v>
      </c>
      <c r="D2222" s="0" t="n">
        <f aca="false">-1+A2222*0.125</f>
        <v>-0.125</v>
      </c>
      <c r="E2222" s="0" t="n">
        <f aca="false">-1+B2222*0.125</f>
        <v>0.375</v>
      </c>
      <c r="F2222" s="0" t="n">
        <f aca="false">-1+C2222*0.125</f>
        <v>-0.125</v>
      </c>
      <c r="G2222" s="0" t="n">
        <f aca="false">1</f>
        <v>1</v>
      </c>
      <c r="H2222" s="0" t="n">
        <f aca="false">D2222</f>
        <v>-0.125</v>
      </c>
      <c r="I2222" s="0" t="n">
        <f aca="false">E2222</f>
        <v>0.375</v>
      </c>
      <c r="J2222" s="0" t="n">
        <f aca="false">F2222</f>
        <v>-0.125</v>
      </c>
      <c r="K2222" s="0" t="n">
        <f aca="false">D2222*E2222</f>
        <v>-0.046875</v>
      </c>
      <c r="L2222" s="0" t="n">
        <f aca="false">D2222*F2222</f>
        <v>0.015625</v>
      </c>
      <c r="M2222" s="0" t="n">
        <f aca="false">E2222*F2222</f>
        <v>-0.046875</v>
      </c>
      <c r="N2222" s="0" t="n">
        <f aca="false">D2222*D2222</f>
        <v>0.015625</v>
      </c>
      <c r="O2222" s="0" t="n">
        <f aca="false">E2222*E2222</f>
        <v>0.140625</v>
      </c>
      <c r="P2222" s="0" t="n">
        <f aca="false">F2222*F2222</f>
        <v>0.015625</v>
      </c>
      <c r="Q2222" s="0" t="n">
        <f aca="false">SUMPRODUCT(G2222:P2222,_XtX!$B$71:$K$71)</f>
        <v>48.2341122159091</v>
      </c>
      <c r="R2222" s="0" t="n">
        <f aca="false">SUMPRODUCT(MMULT(G2222:P2222,_XtX!$B$58:$K$67),G2222:P2222)</f>
        <v>0.126427667791193</v>
      </c>
      <c r="S2222" s="0" t="n">
        <f aca="false">04_回帰ANOVA!$K$19*04_回帰ANOVA!$K$14*SQRT(1+R2222)</f>
        <v>0.986775346732538</v>
      </c>
      <c r="T2222" s="0" t="n">
        <f aca="false">Q2222-S2222</f>
        <v>47.2473368691766</v>
      </c>
      <c r="U2222" s="0" t="n">
        <f aca="false">Q2222+S2222</f>
        <v>49.2208875626416</v>
      </c>
      <c r="V2222" s="54" t="b">
        <f aca="false">AND(D2222&gt;=01_因子設定!$L$5-0.000000001,D2222&lt;=01_因子設定!$M$5+0.000000001,E2222&gt;=01_因子設定!$L$6-0.000000001,E2222&lt;=01_因子設定!$M$6+0.000000001,F2222&gt;=01_因子設定!$L$7-0.000000001,F2222&lt;=01_因子設定!$M$7+0.000000001,IF(01_因子設定!$B$20="Box-Behnken",D2222^2+E2222^2+F2222^2&lt;=2+0.000000001,TRUE()))</f>
        <v>1</v>
      </c>
      <c r="W2222" s="55" t="n">
        <f aca="false">IF(V2222,IF(01_因子設定!$B$13="最大化",T2222-01_因子設定!$B$14,IF(01_因子設定!$B$13="最小化",01_因子設定!$B$15-U2222,MIN(T2222-01_因子設定!$B$14,01_因子設定!$B$15-U2222))),-1E+030)</f>
        <v>-1.25266313082344</v>
      </c>
      <c r="X2222" s="55" t="n">
        <f aca="false">IF(V2222,IF(01_因子設定!$B$13="最大化",Q2222,IF(01_因子設定!$B$13="最小化",-Q2222,-ABS(Q2222-01_因子設定!$B$16))),-1E+030)</f>
        <v>48.2341122159091</v>
      </c>
      <c r="Y2222" s="55" t="n">
        <f aca="false">W2222+ROW()*0.000000001</f>
        <v>-1.25266090882344</v>
      </c>
      <c r="Z2222" s="55" t="n">
        <f aca="false">X2222+ROW()*0.000000001</f>
        <v>48.2341144379091</v>
      </c>
    </row>
    <row r="2223" customFormat="false" ht="15" hidden="false" customHeight="false" outlineLevel="0" collapsed="false">
      <c r="A2223" s="0" t="n">
        <v>7</v>
      </c>
      <c r="B2223" s="0" t="n">
        <v>11</v>
      </c>
      <c r="C2223" s="0" t="n">
        <v>8</v>
      </c>
      <c r="D2223" s="0" t="n">
        <f aca="false">-1+A2223*0.125</f>
        <v>-0.125</v>
      </c>
      <c r="E2223" s="0" t="n">
        <f aca="false">-1+B2223*0.125</f>
        <v>0.375</v>
      </c>
      <c r="F2223" s="0" t="n">
        <f aca="false">-1+C2223*0.125</f>
        <v>0</v>
      </c>
      <c r="G2223" s="0" t="n">
        <f aca="false">1</f>
        <v>1</v>
      </c>
      <c r="H2223" s="0" t="n">
        <f aca="false">D2223</f>
        <v>-0.125</v>
      </c>
      <c r="I2223" s="0" t="n">
        <f aca="false">E2223</f>
        <v>0.375</v>
      </c>
      <c r="J2223" s="0" t="n">
        <f aca="false">F2223</f>
        <v>0</v>
      </c>
      <c r="K2223" s="0" t="n">
        <f aca="false">D2223*E2223</f>
        <v>-0.046875</v>
      </c>
      <c r="L2223" s="0" t="n">
        <f aca="false">D2223*F2223</f>
        <v>-0</v>
      </c>
      <c r="M2223" s="0" t="n">
        <f aca="false">E2223*F2223</f>
        <v>0</v>
      </c>
      <c r="N2223" s="0" t="n">
        <f aca="false">D2223*D2223</f>
        <v>0.015625</v>
      </c>
      <c r="O2223" s="0" t="n">
        <f aca="false">E2223*E2223</f>
        <v>0.140625</v>
      </c>
      <c r="P2223" s="0" t="n">
        <f aca="false">F2223*F2223</f>
        <v>0</v>
      </c>
      <c r="Q2223" s="0" t="n">
        <f aca="false">SUMPRODUCT(G2223:P2223,_XtX!$B$71:$K$71)</f>
        <v>48.4484446022727</v>
      </c>
      <c r="R2223" s="0" t="n">
        <f aca="false">SUMPRODUCT(MMULT(G2223:P2223,_XtX!$B$58:$K$67),G2223:P2223)</f>
        <v>0.126557506214489</v>
      </c>
      <c r="S2223" s="0" t="n">
        <f aca="false">04_回帰ANOVA!$K$19*04_回帰ANOVA!$K$14*SQRT(1+R2223)</f>
        <v>0.986832215747321</v>
      </c>
      <c r="T2223" s="0" t="n">
        <f aca="false">Q2223-S2223</f>
        <v>47.4616123865254</v>
      </c>
      <c r="U2223" s="0" t="n">
        <f aca="false">Q2223+S2223</f>
        <v>49.4352768180201</v>
      </c>
      <c r="V2223" s="54" t="b">
        <f aca="false">AND(D2223&gt;=01_因子設定!$L$5-0.000000001,D2223&lt;=01_因子設定!$M$5+0.000000001,E2223&gt;=01_因子設定!$L$6-0.000000001,E2223&lt;=01_因子設定!$M$6+0.000000001,F2223&gt;=01_因子設定!$L$7-0.000000001,F2223&lt;=01_因子設定!$M$7+0.000000001,IF(01_因子設定!$B$20="Box-Behnken",D2223^2+E2223^2+F2223^2&lt;=2+0.000000001,TRUE()))</f>
        <v>1</v>
      </c>
      <c r="W2223" s="55" t="n">
        <f aca="false">IF(V2223,IF(01_因子設定!$B$13="最大化",T2223-01_因子設定!$B$14,IF(01_因子設定!$B$13="最小化",01_因子設定!$B$15-U2223,MIN(T2223-01_因子設定!$B$14,01_因子設定!$B$15-U2223))),-1E+030)</f>
        <v>-1.03838761347458</v>
      </c>
      <c r="X2223" s="55" t="n">
        <f aca="false">IF(V2223,IF(01_因子設定!$B$13="最大化",Q2223,IF(01_因子設定!$B$13="最小化",-Q2223,-ABS(Q2223-01_因子設定!$B$16))),-1E+030)</f>
        <v>48.4484446022727</v>
      </c>
      <c r="Y2223" s="55" t="n">
        <f aca="false">W2223+ROW()*0.000000001</f>
        <v>-1.03838539047458</v>
      </c>
      <c r="Z2223" s="55" t="n">
        <f aca="false">X2223+ROW()*0.000000001</f>
        <v>48.4484468252727</v>
      </c>
    </row>
    <row r="2224" customFormat="false" ht="15" hidden="false" customHeight="false" outlineLevel="0" collapsed="false">
      <c r="A2224" s="0" t="n">
        <v>7</v>
      </c>
      <c r="B2224" s="0" t="n">
        <v>11</v>
      </c>
      <c r="C2224" s="0" t="n">
        <v>9</v>
      </c>
      <c r="D2224" s="0" t="n">
        <f aca="false">-1+A2224*0.125</f>
        <v>-0.125</v>
      </c>
      <c r="E2224" s="0" t="n">
        <f aca="false">-1+B2224*0.125</f>
        <v>0.375</v>
      </c>
      <c r="F2224" s="0" t="n">
        <f aca="false">-1+C2224*0.125</f>
        <v>0.125</v>
      </c>
      <c r="G2224" s="0" t="n">
        <f aca="false">1</f>
        <v>1</v>
      </c>
      <c r="H2224" s="0" t="n">
        <f aca="false">D2224</f>
        <v>-0.125</v>
      </c>
      <c r="I2224" s="0" t="n">
        <f aca="false">E2224</f>
        <v>0.375</v>
      </c>
      <c r="J2224" s="0" t="n">
        <f aca="false">F2224</f>
        <v>0.125</v>
      </c>
      <c r="K2224" s="0" t="n">
        <f aca="false">D2224*E2224</f>
        <v>-0.046875</v>
      </c>
      <c r="L2224" s="0" t="n">
        <f aca="false">D2224*F2224</f>
        <v>-0.015625</v>
      </c>
      <c r="M2224" s="0" t="n">
        <f aca="false">E2224*F2224</f>
        <v>0.046875</v>
      </c>
      <c r="N2224" s="0" t="n">
        <f aca="false">D2224*D2224</f>
        <v>0.015625</v>
      </c>
      <c r="O2224" s="0" t="n">
        <f aca="false">E2224*E2224</f>
        <v>0.140625</v>
      </c>
      <c r="P2224" s="0" t="n">
        <f aca="false">F2224*F2224</f>
        <v>0.015625</v>
      </c>
      <c r="Q2224" s="0" t="n">
        <f aca="false">SUMPRODUCT(G2224:P2224,_XtX!$B$71:$K$71)</f>
        <v>48.6259872159091</v>
      </c>
      <c r="R2224" s="0" t="n">
        <f aca="false">SUMPRODUCT(MMULT(G2224:P2224,_XtX!$B$58:$K$67),G2224:P2224)</f>
        <v>0.126427667791193</v>
      </c>
      <c r="S2224" s="0" t="n">
        <f aca="false">04_回帰ANOVA!$K$19*04_回帰ANOVA!$K$14*SQRT(1+R2224)</f>
        <v>0.986775346732538</v>
      </c>
      <c r="T2224" s="0" t="n">
        <f aca="false">Q2224-S2224</f>
        <v>47.6392118691766</v>
      </c>
      <c r="U2224" s="0" t="n">
        <f aca="false">Q2224+S2224</f>
        <v>49.6127625626416</v>
      </c>
      <c r="V2224" s="54" t="b">
        <f aca="false">AND(D2224&gt;=01_因子設定!$L$5-0.000000001,D2224&lt;=01_因子設定!$M$5+0.000000001,E2224&gt;=01_因子設定!$L$6-0.000000001,E2224&lt;=01_因子設定!$M$6+0.000000001,F2224&gt;=01_因子設定!$L$7-0.000000001,F2224&lt;=01_因子設定!$M$7+0.000000001,IF(01_因子設定!$B$20="Box-Behnken",D2224^2+E2224^2+F2224^2&lt;=2+0.000000001,TRUE()))</f>
        <v>1</v>
      </c>
      <c r="W2224" s="55" t="n">
        <f aca="false">IF(V2224,IF(01_因子設定!$B$13="最大化",T2224-01_因子設定!$B$14,IF(01_因子設定!$B$13="最小化",01_因子設定!$B$15-U2224,MIN(T2224-01_因子設定!$B$14,01_因子設定!$B$15-U2224))),-1E+030)</f>
        <v>-0.860788130823437</v>
      </c>
      <c r="X2224" s="55" t="n">
        <f aca="false">IF(V2224,IF(01_因子設定!$B$13="最大化",Q2224,IF(01_因子設定!$B$13="最小化",-Q2224,-ABS(Q2224-01_因子設定!$B$16))),-1E+030)</f>
        <v>48.6259872159091</v>
      </c>
      <c r="Y2224" s="55" t="n">
        <f aca="false">W2224+ROW()*0.000000001</f>
        <v>-0.860785906823437</v>
      </c>
      <c r="Z2224" s="55" t="n">
        <f aca="false">X2224+ROW()*0.000000001</f>
        <v>48.6259894399091</v>
      </c>
    </row>
    <row r="2225" customFormat="false" ht="15" hidden="false" customHeight="false" outlineLevel="0" collapsed="false">
      <c r="A2225" s="0" t="n">
        <v>7</v>
      </c>
      <c r="B2225" s="0" t="n">
        <v>11</v>
      </c>
      <c r="C2225" s="0" t="n">
        <v>10</v>
      </c>
      <c r="D2225" s="0" t="n">
        <f aca="false">-1+A2225*0.125</f>
        <v>-0.125</v>
      </c>
      <c r="E2225" s="0" t="n">
        <f aca="false">-1+B2225*0.125</f>
        <v>0.375</v>
      </c>
      <c r="F2225" s="0" t="n">
        <f aca="false">-1+C2225*0.125</f>
        <v>0.25</v>
      </c>
      <c r="G2225" s="0" t="n">
        <f aca="false">1</f>
        <v>1</v>
      </c>
      <c r="H2225" s="0" t="n">
        <f aca="false">D2225</f>
        <v>-0.125</v>
      </c>
      <c r="I2225" s="0" t="n">
        <f aca="false">E2225</f>
        <v>0.375</v>
      </c>
      <c r="J2225" s="0" t="n">
        <f aca="false">F2225</f>
        <v>0.25</v>
      </c>
      <c r="K2225" s="0" t="n">
        <f aca="false">D2225*E2225</f>
        <v>-0.046875</v>
      </c>
      <c r="L2225" s="0" t="n">
        <f aca="false">D2225*F2225</f>
        <v>-0.03125</v>
      </c>
      <c r="M2225" s="0" t="n">
        <f aca="false">E2225*F2225</f>
        <v>0.09375</v>
      </c>
      <c r="N2225" s="0" t="n">
        <f aca="false">D2225*D2225</f>
        <v>0.015625</v>
      </c>
      <c r="O2225" s="0" t="n">
        <f aca="false">E2225*E2225</f>
        <v>0.140625</v>
      </c>
      <c r="P2225" s="0" t="n">
        <f aca="false">F2225*F2225</f>
        <v>0.0625</v>
      </c>
      <c r="Q2225" s="0" t="n">
        <f aca="false">SUMPRODUCT(G2225:P2225,_XtX!$B$71:$K$71)</f>
        <v>48.7667400568182</v>
      </c>
      <c r="R2225" s="0" t="n">
        <f aca="false">SUMPRODUCT(MMULT(G2225:P2225,_XtX!$B$58:$K$67),G2225:P2225)</f>
        <v>0.127103493430398</v>
      </c>
      <c r="S2225" s="0" t="n">
        <f aca="false">04_回帰ANOVA!$K$19*04_回帰ANOVA!$K$14*SQRT(1+R2225)</f>
        <v>0.987071321387587</v>
      </c>
      <c r="T2225" s="0" t="n">
        <f aca="false">Q2225-S2225</f>
        <v>47.7796687354306</v>
      </c>
      <c r="U2225" s="0" t="n">
        <f aca="false">Q2225+S2225</f>
        <v>49.7538113782058</v>
      </c>
      <c r="V2225" s="54" t="b">
        <f aca="false">AND(D2225&gt;=01_因子設定!$L$5-0.000000001,D2225&lt;=01_因子設定!$M$5+0.000000001,E2225&gt;=01_因子設定!$L$6-0.000000001,E2225&lt;=01_因子設定!$M$6+0.000000001,F2225&gt;=01_因子設定!$L$7-0.000000001,F2225&lt;=01_因子設定!$M$7+0.000000001,IF(01_因子設定!$B$20="Box-Behnken",D2225^2+E2225^2+F2225^2&lt;=2+0.000000001,TRUE()))</f>
        <v>1</v>
      </c>
      <c r="W2225" s="55" t="n">
        <f aca="false">IF(V2225,IF(01_因子設定!$B$13="最大化",T2225-01_因子設定!$B$14,IF(01_因子設定!$B$13="最小化",01_因子設定!$B$15-U2225,MIN(T2225-01_因子設定!$B$14,01_因子設定!$B$15-U2225))),-1E+030)</f>
        <v>-0.720331264569396</v>
      </c>
      <c r="X2225" s="55" t="n">
        <f aca="false">IF(V2225,IF(01_因子設定!$B$13="最大化",Q2225,IF(01_因子設定!$B$13="最小化",-Q2225,-ABS(Q2225-01_因子設定!$B$16))),-1E+030)</f>
        <v>48.7667400568182</v>
      </c>
      <c r="Y2225" s="55" t="n">
        <f aca="false">W2225+ROW()*0.000000001</f>
        <v>-0.720329039569396</v>
      </c>
      <c r="Z2225" s="55" t="n">
        <f aca="false">X2225+ROW()*0.000000001</f>
        <v>48.7667422818182</v>
      </c>
    </row>
    <row r="2226" customFormat="false" ht="15" hidden="false" customHeight="false" outlineLevel="0" collapsed="false">
      <c r="A2226" s="0" t="n">
        <v>7</v>
      </c>
      <c r="B2226" s="0" t="n">
        <v>11</v>
      </c>
      <c r="C2226" s="0" t="n">
        <v>11</v>
      </c>
      <c r="D2226" s="0" t="n">
        <f aca="false">-1+A2226*0.125</f>
        <v>-0.125</v>
      </c>
      <c r="E2226" s="0" t="n">
        <f aca="false">-1+B2226*0.125</f>
        <v>0.375</v>
      </c>
      <c r="F2226" s="0" t="n">
        <f aca="false">-1+C2226*0.125</f>
        <v>0.375</v>
      </c>
      <c r="G2226" s="0" t="n">
        <f aca="false">1</f>
        <v>1</v>
      </c>
      <c r="H2226" s="0" t="n">
        <f aca="false">D2226</f>
        <v>-0.125</v>
      </c>
      <c r="I2226" s="0" t="n">
        <f aca="false">E2226</f>
        <v>0.375</v>
      </c>
      <c r="J2226" s="0" t="n">
        <f aca="false">F2226</f>
        <v>0.375</v>
      </c>
      <c r="K2226" s="0" t="n">
        <f aca="false">D2226*E2226</f>
        <v>-0.046875</v>
      </c>
      <c r="L2226" s="0" t="n">
        <f aca="false">D2226*F2226</f>
        <v>-0.046875</v>
      </c>
      <c r="M2226" s="0" t="n">
        <f aca="false">E2226*F2226</f>
        <v>0.140625</v>
      </c>
      <c r="N2226" s="0" t="n">
        <f aca="false">D2226*D2226</f>
        <v>0.015625</v>
      </c>
      <c r="O2226" s="0" t="n">
        <f aca="false">E2226*E2226</f>
        <v>0.140625</v>
      </c>
      <c r="P2226" s="0" t="n">
        <f aca="false">F2226*F2226</f>
        <v>0.140625</v>
      </c>
      <c r="Q2226" s="0" t="n">
        <f aca="false">SUMPRODUCT(G2226:P2226,_XtX!$B$71:$K$71)</f>
        <v>48.870703125</v>
      </c>
      <c r="R2226" s="0" t="n">
        <f aca="false">SUMPRODUCT(MMULT(G2226:P2226,_XtX!$B$58:$K$67),G2226:P2226)</f>
        <v>0.131781005859375</v>
      </c>
      <c r="S2226" s="0" t="n">
        <f aca="false">04_回帰ANOVA!$K$19*04_回帰ANOVA!$K$14*SQRT(1+R2226)</f>
        <v>0.989117388188007</v>
      </c>
      <c r="T2226" s="0" t="n">
        <f aca="false">Q2226-S2226</f>
        <v>47.881585736812</v>
      </c>
      <c r="U2226" s="0" t="n">
        <f aca="false">Q2226+S2226</f>
        <v>49.859820513188</v>
      </c>
      <c r="V2226" s="54" t="b">
        <f aca="false">AND(D2226&gt;=01_因子設定!$L$5-0.000000001,D2226&lt;=01_因子設定!$M$5+0.000000001,E2226&gt;=01_因子設定!$L$6-0.000000001,E2226&lt;=01_因子設定!$M$6+0.000000001,F2226&gt;=01_因子設定!$L$7-0.000000001,F2226&lt;=01_因子設定!$M$7+0.000000001,IF(01_因子設定!$B$20="Box-Behnken",D2226^2+E2226^2+F2226^2&lt;=2+0.000000001,TRUE()))</f>
        <v>1</v>
      </c>
      <c r="W2226" s="55" t="n">
        <f aca="false">IF(V2226,IF(01_因子設定!$B$13="最大化",T2226-01_因子設定!$B$14,IF(01_因子設定!$B$13="最小化",01_因子設定!$B$15-U2226,MIN(T2226-01_因子設定!$B$14,01_因子設定!$B$15-U2226))),-1E+030)</f>
        <v>-0.618414263187994</v>
      </c>
      <c r="X2226" s="55" t="n">
        <f aca="false">IF(V2226,IF(01_因子設定!$B$13="最大化",Q2226,IF(01_因子設定!$B$13="最小化",-Q2226,-ABS(Q2226-01_因子設定!$B$16))),-1E+030)</f>
        <v>48.870703125</v>
      </c>
      <c r="Y2226" s="55" t="n">
        <f aca="false">W2226+ROW()*0.000000001</f>
        <v>-0.618412037187994</v>
      </c>
      <c r="Z2226" s="55" t="n">
        <f aca="false">X2226+ROW()*0.000000001</f>
        <v>48.870705351</v>
      </c>
    </row>
    <row r="2227" customFormat="false" ht="15" hidden="false" customHeight="false" outlineLevel="0" collapsed="false">
      <c r="A2227" s="0" t="n">
        <v>7</v>
      </c>
      <c r="B2227" s="0" t="n">
        <v>11</v>
      </c>
      <c r="C2227" s="0" t="n">
        <v>12</v>
      </c>
      <c r="D2227" s="0" t="n">
        <f aca="false">-1+A2227*0.125</f>
        <v>-0.125</v>
      </c>
      <c r="E2227" s="0" t="n">
        <f aca="false">-1+B2227*0.125</f>
        <v>0.375</v>
      </c>
      <c r="F2227" s="0" t="n">
        <f aca="false">-1+C2227*0.125</f>
        <v>0.5</v>
      </c>
      <c r="G2227" s="0" t="n">
        <f aca="false">1</f>
        <v>1</v>
      </c>
      <c r="H2227" s="0" t="n">
        <f aca="false">D2227</f>
        <v>-0.125</v>
      </c>
      <c r="I2227" s="0" t="n">
        <f aca="false">E2227</f>
        <v>0.375</v>
      </c>
      <c r="J2227" s="0" t="n">
        <f aca="false">F2227</f>
        <v>0.5</v>
      </c>
      <c r="K2227" s="0" t="n">
        <f aca="false">D2227*E2227</f>
        <v>-0.046875</v>
      </c>
      <c r="L2227" s="0" t="n">
        <f aca="false">D2227*F2227</f>
        <v>-0.0625</v>
      </c>
      <c r="M2227" s="0" t="n">
        <f aca="false">E2227*F2227</f>
        <v>0.1875</v>
      </c>
      <c r="N2227" s="0" t="n">
        <f aca="false">D2227*D2227</f>
        <v>0.015625</v>
      </c>
      <c r="O2227" s="0" t="n">
        <f aca="false">E2227*E2227</f>
        <v>0.140625</v>
      </c>
      <c r="P2227" s="0" t="n">
        <f aca="false">F2227*F2227</f>
        <v>0.25</v>
      </c>
      <c r="Q2227" s="0" t="n">
        <f aca="false">SUMPRODUCT(G2227:P2227,_XtX!$B$71:$K$71)</f>
        <v>48.9378764204546</v>
      </c>
      <c r="R2227" s="0" t="n">
        <f aca="false">SUMPRODUCT(MMULT(G2227:P2227,_XtX!$B$58:$K$67),G2227:P2227)</f>
        <v>0.14578690962358</v>
      </c>
      <c r="S2227" s="0" t="n">
        <f aca="false">04_回帰ANOVA!$K$19*04_回帰ANOVA!$K$14*SQRT(1+R2227)</f>
        <v>0.995218783457917</v>
      </c>
      <c r="T2227" s="0" t="n">
        <f aca="false">Q2227-S2227</f>
        <v>47.9426576369966</v>
      </c>
      <c r="U2227" s="0" t="n">
        <f aca="false">Q2227+S2227</f>
        <v>49.9330952039125</v>
      </c>
      <c r="V2227" s="54" t="b">
        <f aca="false">AND(D2227&gt;=01_因子設定!$L$5-0.000000001,D2227&lt;=01_因子設定!$M$5+0.000000001,E2227&gt;=01_因子設定!$L$6-0.000000001,E2227&lt;=01_因子設定!$M$6+0.000000001,F2227&gt;=01_因子設定!$L$7-0.000000001,F2227&lt;=01_因子設定!$M$7+0.000000001,IF(01_因子設定!$B$20="Box-Behnken",D2227^2+E2227^2+F2227^2&lt;=2+0.000000001,TRUE()))</f>
        <v>1</v>
      </c>
      <c r="W2227" s="55" t="n">
        <f aca="false">IF(V2227,IF(01_因子設定!$B$13="最大化",T2227-01_因子設定!$B$14,IF(01_因子設定!$B$13="最小化",01_因子設定!$B$15-U2227,MIN(T2227-01_因子設定!$B$14,01_因子設定!$B$15-U2227))),-1E+030)</f>
        <v>-0.557342363003357</v>
      </c>
      <c r="X2227" s="55" t="n">
        <f aca="false">IF(V2227,IF(01_因子設定!$B$13="最大化",Q2227,IF(01_因子設定!$B$13="最小化",-Q2227,-ABS(Q2227-01_因子設定!$B$16))),-1E+030)</f>
        <v>48.9378764204546</v>
      </c>
      <c r="Y2227" s="55" t="n">
        <f aca="false">W2227+ROW()*0.000000001</f>
        <v>-0.557340136003357</v>
      </c>
      <c r="Z2227" s="55" t="n">
        <f aca="false">X2227+ROW()*0.000000001</f>
        <v>48.9378786474546</v>
      </c>
    </row>
    <row r="2228" customFormat="false" ht="15" hidden="false" customHeight="false" outlineLevel="0" collapsed="false">
      <c r="A2228" s="0" t="n">
        <v>7</v>
      </c>
      <c r="B2228" s="0" t="n">
        <v>11</v>
      </c>
      <c r="C2228" s="0" t="n">
        <v>13</v>
      </c>
      <c r="D2228" s="0" t="n">
        <f aca="false">-1+A2228*0.125</f>
        <v>-0.125</v>
      </c>
      <c r="E2228" s="0" t="n">
        <f aca="false">-1+B2228*0.125</f>
        <v>0.375</v>
      </c>
      <c r="F2228" s="0" t="n">
        <f aca="false">-1+C2228*0.125</f>
        <v>0.625</v>
      </c>
      <c r="G2228" s="0" t="n">
        <f aca="false">1</f>
        <v>1</v>
      </c>
      <c r="H2228" s="0" t="n">
        <f aca="false">D2228</f>
        <v>-0.125</v>
      </c>
      <c r="I2228" s="0" t="n">
        <f aca="false">E2228</f>
        <v>0.375</v>
      </c>
      <c r="J2228" s="0" t="n">
        <f aca="false">F2228</f>
        <v>0.625</v>
      </c>
      <c r="K2228" s="0" t="n">
        <f aca="false">D2228*E2228</f>
        <v>-0.046875</v>
      </c>
      <c r="L2228" s="0" t="n">
        <f aca="false">D2228*F2228</f>
        <v>-0.078125</v>
      </c>
      <c r="M2228" s="0" t="n">
        <f aca="false">E2228*F2228</f>
        <v>0.234375</v>
      </c>
      <c r="N2228" s="0" t="n">
        <f aca="false">D2228*D2228</f>
        <v>0.015625</v>
      </c>
      <c r="O2228" s="0" t="n">
        <f aca="false">E2228*E2228</f>
        <v>0.140625</v>
      </c>
      <c r="P2228" s="0" t="n">
        <f aca="false">F2228*F2228</f>
        <v>0.390625</v>
      </c>
      <c r="Q2228" s="0" t="n">
        <f aca="false">SUMPRODUCT(G2228:P2228,_XtX!$B$71:$K$71)</f>
        <v>48.9682599431818</v>
      </c>
      <c r="R2228" s="0" t="n">
        <f aca="false">SUMPRODUCT(MMULT(G2228:P2228,_XtX!$B$58:$K$67),G2228:P2228)</f>
        <v>0.176578591086648</v>
      </c>
      <c r="S2228" s="0" t="n">
        <f aca="false">04_回帰ANOVA!$K$19*04_回帰ANOVA!$K$14*SQRT(1+R2228)</f>
        <v>1.00850279676269</v>
      </c>
      <c r="T2228" s="0" t="n">
        <f aca="false">Q2228-S2228</f>
        <v>47.9597571464191</v>
      </c>
      <c r="U2228" s="0" t="n">
        <f aca="false">Q2228+S2228</f>
        <v>49.9767627399445</v>
      </c>
      <c r="V2228" s="54" t="b">
        <f aca="false">AND(D2228&gt;=01_因子設定!$L$5-0.000000001,D2228&lt;=01_因子設定!$M$5+0.000000001,E2228&gt;=01_因子設定!$L$6-0.000000001,E2228&lt;=01_因子設定!$M$6+0.000000001,F2228&gt;=01_因子設定!$L$7-0.000000001,F2228&lt;=01_因子設定!$M$7+0.000000001,IF(01_因子設定!$B$20="Box-Behnken",D2228^2+E2228^2+F2228^2&lt;=2+0.000000001,TRUE()))</f>
        <v>1</v>
      </c>
      <c r="W2228" s="55" t="n">
        <f aca="false">IF(V2228,IF(01_因子設定!$B$13="最大化",T2228-01_因子設定!$B$14,IF(01_因子設定!$B$13="最小化",01_因子設定!$B$15-U2228,MIN(T2228-01_因子設定!$B$14,01_因子設定!$B$15-U2228))),-1E+030)</f>
        <v>-0.540242853580857</v>
      </c>
      <c r="X2228" s="55" t="n">
        <f aca="false">IF(V2228,IF(01_因子設定!$B$13="最大化",Q2228,IF(01_因子設定!$B$13="最小化",-Q2228,-ABS(Q2228-01_因子設定!$B$16))),-1E+030)</f>
        <v>48.9682599431818</v>
      </c>
      <c r="Y2228" s="55" t="n">
        <f aca="false">W2228+ROW()*0.000000001</f>
        <v>-0.540240625580857</v>
      </c>
      <c r="Z2228" s="55" t="n">
        <f aca="false">X2228+ROW()*0.000000001</f>
        <v>48.9682621711818</v>
      </c>
    </row>
    <row r="2229" customFormat="false" ht="15" hidden="false" customHeight="false" outlineLevel="0" collapsed="false">
      <c r="A2229" s="0" t="n">
        <v>7</v>
      </c>
      <c r="B2229" s="0" t="n">
        <v>11</v>
      </c>
      <c r="C2229" s="0" t="n">
        <v>14</v>
      </c>
      <c r="D2229" s="0" t="n">
        <f aca="false">-1+A2229*0.125</f>
        <v>-0.125</v>
      </c>
      <c r="E2229" s="0" t="n">
        <f aca="false">-1+B2229*0.125</f>
        <v>0.375</v>
      </c>
      <c r="F2229" s="0" t="n">
        <f aca="false">-1+C2229*0.125</f>
        <v>0.75</v>
      </c>
      <c r="G2229" s="0" t="n">
        <f aca="false">1</f>
        <v>1</v>
      </c>
      <c r="H2229" s="0" t="n">
        <f aca="false">D2229</f>
        <v>-0.125</v>
      </c>
      <c r="I2229" s="0" t="n">
        <f aca="false">E2229</f>
        <v>0.375</v>
      </c>
      <c r="J2229" s="0" t="n">
        <f aca="false">F2229</f>
        <v>0.75</v>
      </c>
      <c r="K2229" s="0" t="n">
        <f aca="false">D2229*E2229</f>
        <v>-0.046875</v>
      </c>
      <c r="L2229" s="0" t="n">
        <f aca="false">D2229*F2229</f>
        <v>-0.09375</v>
      </c>
      <c r="M2229" s="0" t="n">
        <f aca="false">E2229*F2229</f>
        <v>0.28125</v>
      </c>
      <c r="N2229" s="0" t="n">
        <f aca="false">D2229*D2229</f>
        <v>0.015625</v>
      </c>
      <c r="O2229" s="0" t="n">
        <f aca="false">E2229*E2229</f>
        <v>0.140625</v>
      </c>
      <c r="P2229" s="0" t="n">
        <f aca="false">F2229*F2229</f>
        <v>0.5625</v>
      </c>
      <c r="Q2229" s="0" t="n">
        <f aca="false">SUMPRODUCT(G2229:P2229,_XtX!$B$71:$K$71)</f>
        <v>48.9618536931818</v>
      </c>
      <c r="R2229" s="0" t="n">
        <f aca="false">SUMPRODUCT(MMULT(G2229:P2229,_XtX!$B$58:$K$67),G2229:P2229)</f>
        <v>0.233744118430398</v>
      </c>
      <c r="S2229" s="0" t="n">
        <f aca="false">04_回帰ANOVA!$K$19*04_回帰ANOVA!$K$14*SQRT(1+R2229)</f>
        <v>1.0327119053564</v>
      </c>
      <c r="T2229" s="0" t="n">
        <f aca="false">Q2229-S2229</f>
        <v>47.9291417878254</v>
      </c>
      <c r="U2229" s="0" t="n">
        <f aca="false">Q2229+S2229</f>
        <v>49.9945655985382</v>
      </c>
      <c r="V2229" s="54" t="b">
        <f aca="false">AND(D2229&gt;=01_因子設定!$L$5-0.000000001,D2229&lt;=01_因子設定!$M$5+0.000000001,E2229&gt;=01_因子設定!$L$6-0.000000001,E2229&lt;=01_因子設定!$M$6+0.000000001,F2229&gt;=01_因子設定!$L$7-0.000000001,F2229&lt;=01_因子設定!$M$7+0.000000001,IF(01_因子設定!$B$20="Box-Behnken",D2229^2+E2229^2+F2229^2&lt;=2+0.000000001,TRUE()))</f>
        <v>1</v>
      </c>
      <c r="W2229" s="55" t="n">
        <f aca="false">IF(V2229,IF(01_因子設定!$B$13="最大化",T2229-01_因子設定!$B$14,IF(01_因子設定!$B$13="最小化",01_因子設定!$B$15-U2229,MIN(T2229-01_因子設定!$B$14,01_因子設定!$B$15-U2229))),-1E+030)</f>
        <v>-0.570858212174564</v>
      </c>
      <c r="X2229" s="55" t="n">
        <f aca="false">IF(V2229,IF(01_因子設定!$B$13="最大化",Q2229,IF(01_因子設定!$B$13="最小化",-Q2229,-ABS(Q2229-01_因子設定!$B$16))),-1E+030)</f>
        <v>48.9618536931818</v>
      </c>
      <c r="Y2229" s="55" t="n">
        <f aca="false">W2229+ROW()*0.000000001</f>
        <v>-0.570855983174564</v>
      </c>
      <c r="Z2229" s="55" t="n">
        <f aca="false">X2229+ROW()*0.000000001</f>
        <v>48.9618559221818</v>
      </c>
    </row>
    <row r="2230" customFormat="false" ht="15" hidden="false" customHeight="false" outlineLevel="0" collapsed="false">
      <c r="A2230" s="0" t="n">
        <v>7</v>
      </c>
      <c r="B2230" s="0" t="n">
        <v>11</v>
      </c>
      <c r="C2230" s="0" t="n">
        <v>15</v>
      </c>
      <c r="D2230" s="0" t="n">
        <f aca="false">-1+A2230*0.125</f>
        <v>-0.125</v>
      </c>
      <c r="E2230" s="0" t="n">
        <f aca="false">-1+B2230*0.125</f>
        <v>0.375</v>
      </c>
      <c r="F2230" s="0" t="n">
        <f aca="false">-1+C2230*0.125</f>
        <v>0.875</v>
      </c>
      <c r="G2230" s="0" t="n">
        <f aca="false">1</f>
        <v>1</v>
      </c>
      <c r="H2230" s="0" t="n">
        <f aca="false">D2230</f>
        <v>-0.125</v>
      </c>
      <c r="I2230" s="0" t="n">
        <f aca="false">E2230</f>
        <v>0.375</v>
      </c>
      <c r="J2230" s="0" t="n">
        <f aca="false">F2230</f>
        <v>0.875</v>
      </c>
      <c r="K2230" s="0" t="n">
        <f aca="false">D2230*E2230</f>
        <v>-0.046875</v>
      </c>
      <c r="L2230" s="0" t="n">
        <f aca="false">D2230*F2230</f>
        <v>-0.109375</v>
      </c>
      <c r="M2230" s="0" t="n">
        <f aca="false">E2230*F2230</f>
        <v>0.328125</v>
      </c>
      <c r="N2230" s="0" t="n">
        <f aca="false">D2230*D2230</f>
        <v>0.015625</v>
      </c>
      <c r="O2230" s="0" t="n">
        <f aca="false">E2230*E2230</f>
        <v>0.140625</v>
      </c>
      <c r="P2230" s="0" t="n">
        <f aca="false">F2230*F2230</f>
        <v>0.765625</v>
      </c>
      <c r="Q2230" s="0" t="n">
        <f aca="false">SUMPRODUCT(G2230:P2230,_XtX!$B$71:$K$71)</f>
        <v>48.9186576704546</v>
      </c>
      <c r="R2230" s="0" t="n">
        <f aca="false">SUMPRODUCT(MMULT(G2230:P2230,_XtX!$B$58:$K$67),G2230:P2230)</f>
        <v>0.32900224165483</v>
      </c>
      <c r="S2230" s="0" t="n">
        <f aca="false">04_回帰ANOVA!$K$19*04_回帰ANOVA!$K$14*SQRT(1+R2230)</f>
        <v>1.07183884583628</v>
      </c>
      <c r="T2230" s="0" t="n">
        <f aca="false">Q2230-S2230</f>
        <v>47.8468188246183</v>
      </c>
      <c r="U2230" s="0" t="n">
        <f aca="false">Q2230+S2230</f>
        <v>49.9904965162909</v>
      </c>
      <c r="V2230" s="54" t="b">
        <f aca="false">AND(D2230&gt;=01_因子設定!$L$5-0.000000001,D2230&lt;=01_因子設定!$M$5+0.000000001,E2230&gt;=01_因子設定!$L$6-0.000000001,E2230&lt;=01_因子設定!$M$6+0.000000001,F2230&gt;=01_因子設定!$L$7-0.000000001,F2230&lt;=01_因子設定!$M$7+0.000000001,IF(01_因子設定!$B$20="Box-Behnken",D2230^2+E2230^2+F2230^2&lt;=2+0.000000001,TRUE()))</f>
        <v>1</v>
      </c>
      <c r="W2230" s="55" t="n">
        <f aca="false">IF(V2230,IF(01_因子設定!$B$13="最大化",T2230-01_因子設定!$B$14,IF(01_因子設定!$B$13="最小化",01_因子設定!$B$15-U2230,MIN(T2230-01_因子設定!$B$14,01_因子設定!$B$15-U2230))),-1E+030)</f>
        <v>-0.653181175381704</v>
      </c>
      <c r="X2230" s="55" t="n">
        <f aca="false">IF(V2230,IF(01_因子設定!$B$13="最大化",Q2230,IF(01_因子設定!$B$13="最小化",-Q2230,-ABS(Q2230-01_因子設定!$B$16))),-1E+030)</f>
        <v>48.9186576704546</v>
      </c>
      <c r="Y2230" s="55" t="n">
        <f aca="false">W2230+ROW()*0.000000001</f>
        <v>-0.653178945381704</v>
      </c>
      <c r="Z2230" s="55" t="n">
        <f aca="false">X2230+ROW()*0.000000001</f>
        <v>48.9186599004546</v>
      </c>
    </row>
    <row r="2231" customFormat="false" ht="15" hidden="false" customHeight="false" outlineLevel="0" collapsed="false">
      <c r="A2231" s="0" t="n">
        <v>7</v>
      </c>
      <c r="B2231" s="0" t="n">
        <v>11</v>
      </c>
      <c r="C2231" s="0" t="n">
        <v>16</v>
      </c>
      <c r="D2231" s="0" t="n">
        <f aca="false">-1+A2231*0.125</f>
        <v>-0.125</v>
      </c>
      <c r="E2231" s="0" t="n">
        <f aca="false">-1+B2231*0.125</f>
        <v>0.375</v>
      </c>
      <c r="F2231" s="0" t="n">
        <f aca="false">-1+C2231*0.125</f>
        <v>1</v>
      </c>
      <c r="G2231" s="0" t="n">
        <f aca="false">1</f>
        <v>1</v>
      </c>
      <c r="H2231" s="0" t="n">
        <f aca="false">D2231</f>
        <v>-0.125</v>
      </c>
      <c r="I2231" s="0" t="n">
        <f aca="false">E2231</f>
        <v>0.375</v>
      </c>
      <c r="J2231" s="0" t="n">
        <f aca="false">F2231</f>
        <v>1</v>
      </c>
      <c r="K2231" s="0" t="n">
        <f aca="false">D2231*E2231</f>
        <v>-0.046875</v>
      </c>
      <c r="L2231" s="0" t="n">
        <f aca="false">D2231*F2231</f>
        <v>-0.125</v>
      </c>
      <c r="M2231" s="0" t="n">
        <f aca="false">E2231*F2231</f>
        <v>0.375</v>
      </c>
      <c r="N2231" s="0" t="n">
        <f aca="false">D2231*D2231</f>
        <v>0.015625</v>
      </c>
      <c r="O2231" s="0" t="n">
        <f aca="false">E2231*E2231</f>
        <v>0.140625</v>
      </c>
      <c r="P2231" s="0" t="n">
        <f aca="false">F2231*F2231</f>
        <v>1</v>
      </c>
      <c r="Q2231" s="0" t="n">
        <f aca="false">SUMPRODUCT(G2231:P2231,_XtX!$B$71:$K$71)</f>
        <v>48.838671875</v>
      </c>
      <c r="R2231" s="0" t="n">
        <f aca="false">SUMPRODUCT(MMULT(G2231:P2231,_XtX!$B$58:$K$67),G2231:P2231)</f>
        <v>0.476202392578125</v>
      </c>
      <c r="S2231" s="0" t="n">
        <f aca="false">04_回帰ANOVA!$K$19*04_回帰ANOVA!$K$14*SQRT(1+R2231)</f>
        <v>1.12963876802721</v>
      </c>
      <c r="T2231" s="0" t="n">
        <f aca="false">Q2231-S2231</f>
        <v>47.7090331069728</v>
      </c>
      <c r="U2231" s="0" t="n">
        <f aca="false">Q2231+S2231</f>
        <v>49.9683106430272</v>
      </c>
      <c r="V2231" s="54" t="b">
        <f aca="false">AND(D2231&gt;=01_因子設定!$L$5-0.000000001,D2231&lt;=01_因子設定!$M$5+0.000000001,E2231&gt;=01_因子設定!$L$6-0.000000001,E2231&lt;=01_因子設定!$M$6+0.000000001,F2231&gt;=01_因子設定!$L$7-0.000000001,F2231&lt;=01_因子設定!$M$7+0.000000001,IF(01_因子設定!$B$20="Box-Behnken",D2231^2+E2231^2+F2231^2&lt;=2+0.000000001,TRUE()))</f>
        <v>1</v>
      </c>
      <c r="W2231" s="55" t="n">
        <f aca="false">IF(V2231,IF(01_因子設定!$B$13="最大化",T2231-01_因子設定!$B$14,IF(01_因子設定!$B$13="最小化",01_因子設定!$B$15-U2231,MIN(T2231-01_因子設定!$B$14,01_因子設定!$B$15-U2231))),-1E+030)</f>
        <v>-0.790966893027175</v>
      </c>
      <c r="X2231" s="55" t="n">
        <f aca="false">IF(V2231,IF(01_因子設定!$B$13="最大化",Q2231,IF(01_因子設定!$B$13="最小化",-Q2231,-ABS(Q2231-01_因子設定!$B$16))),-1E+030)</f>
        <v>48.838671875</v>
      </c>
      <c r="Y2231" s="55" t="n">
        <f aca="false">W2231+ROW()*0.000000001</f>
        <v>-0.790964662027175</v>
      </c>
      <c r="Z2231" s="55" t="n">
        <f aca="false">X2231+ROW()*0.000000001</f>
        <v>48.838674106</v>
      </c>
    </row>
    <row r="2232" customFormat="false" ht="15" hidden="false" customHeight="false" outlineLevel="0" collapsed="false">
      <c r="A2232" s="0" t="n">
        <v>7</v>
      </c>
      <c r="B2232" s="0" t="n">
        <v>12</v>
      </c>
      <c r="C2232" s="0" t="n">
        <v>0</v>
      </c>
      <c r="D2232" s="0" t="n">
        <f aca="false">-1+A2232*0.125</f>
        <v>-0.125</v>
      </c>
      <c r="E2232" s="0" t="n">
        <f aca="false">-1+B2232*0.125</f>
        <v>0.5</v>
      </c>
      <c r="F2232" s="0" t="n">
        <f aca="false">-1+C2232*0.125</f>
        <v>-1</v>
      </c>
      <c r="G2232" s="0" t="n">
        <f aca="false">1</f>
        <v>1</v>
      </c>
      <c r="H2232" s="0" t="n">
        <f aca="false">D2232</f>
        <v>-0.125</v>
      </c>
      <c r="I2232" s="0" t="n">
        <f aca="false">E2232</f>
        <v>0.5</v>
      </c>
      <c r="J2232" s="0" t="n">
        <f aca="false">F2232</f>
        <v>-1</v>
      </c>
      <c r="K2232" s="0" t="n">
        <f aca="false">D2232*E2232</f>
        <v>-0.0625</v>
      </c>
      <c r="L2232" s="0" t="n">
        <f aca="false">D2232*F2232</f>
        <v>0.125</v>
      </c>
      <c r="M2232" s="0" t="n">
        <f aca="false">E2232*F2232</f>
        <v>-0.5</v>
      </c>
      <c r="N2232" s="0" t="n">
        <f aca="false">D2232*D2232</f>
        <v>0.015625</v>
      </c>
      <c r="O2232" s="0" t="n">
        <f aca="false">E2232*E2232</f>
        <v>0.25</v>
      </c>
      <c r="P2232" s="0" t="n">
        <f aca="false">F2232*F2232</f>
        <v>1</v>
      </c>
      <c r="Q2232" s="0" t="n">
        <f aca="false">SUMPRODUCT(G2232:P2232,_XtX!$B$71:$K$71)</f>
        <v>45.6652982954546</v>
      </c>
      <c r="R2232" s="0" t="n">
        <f aca="false">SUMPRODUCT(MMULT(G2232:P2232,_XtX!$B$58:$K$67),G2232:P2232)</f>
        <v>0.476322798295455</v>
      </c>
      <c r="S2232" s="0" t="n">
        <f aca="false">04_回帰ANOVA!$K$19*04_回帰ANOVA!$K$14*SQRT(1+R2232)</f>
        <v>1.12968483630128</v>
      </c>
      <c r="T2232" s="0" t="n">
        <f aca="false">Q2232-S2232</f>
        <v>44.5356134591533</v>
      </c>
      <c r="U2232" s="0" t="n">
        <f aca="false">Q2232+S2232</f>
        <v>46.7949831317559</v>
      </c>
      <c r="V2232" s="54" t="b">
        <f aca="false">AND(D2232&gt;=01_因子設定!$L$5-0.000000001,D2232&lt;=01_因子設定!$M$5+0.000000001,E2232&gt;=01_因子設定!$L$6-0.000000001,E2232&lt;=01_因子設定!$M$6+0.000000001,F2232&gt;=01_因子設定!$L$7-0.000000001,F2232&lt;=01_因子設定!$M$7+0.000000001,IF(01_因子設定!$B$20="Box-Behnken",D2232^2+E2232^2+F2232^2&lt;=2+0.000000001,TRUE()))</f>
        <v>1</v>
      </c>
      <c r="W2232" s="55" t="n">
        <f aca="false">IF(V2232,IF(01_因子設定!$B$13="最大化",T2232-01_因子設定!$B$14,IF(01_因子設定!$B$13="最小化",01_因子設定!$B$15-U2232,MIN(T2232-01_因子設定!$B$14,01_因子設定!$B$15-U2232))),-1E+030)</f>
        <v>-3.9643865408467</v>
      </c>
      <c r="X2232" s="55" t="n">
        <f aca="false">IF(V2232,IF(01_因子設定!$B$13="最大化",Q2232,IF(01_因子設定!$B$13="最小化",-Q2232,-ABS(Q2232-01_因子設定!$B$16))),-1E+030)</f>
        <v>45.6652982954546</v>
      </c>
      <c r="Y2232" s="55" t="n">
        <f aca="false">W2232+ROW()*0.000000001</f>
        <v>-3.9643843088467</v>
      </c>
      <c r="Z2232" s="55" t="n">
        <f aca="false">X2232+ROW()*0.000000001</f>
        <v>45.6653005274546</v>
      </c>
    </row>
    <row r="2233" customFormat="false" ht="15" hidden="false" customHeight="false" outlineLevel="0" collapsed="false">
      <c r="A2233" s="0" t="n">
        <v>7</v>
      </c>
      <c r="B2233" s="0" t="n">
        <v>12</v>
      </c>
      <c r="C2233" s="0" t="n">
        <v>1</v>
      </c>
      <c r="D2233" s="0" t="n">
        <f aca="false">-1+A2233*0.125</f>
        <v>-0.125</v>
      </c>
      <c r="E2233" s="0" t="n">
        <f aca="false">-1+B2233*0.125</f>
        <v>0.5</v>
      </c>
      <c r="F2233" s="0" t="n">
        <f aca="false">-1+C2233*0.125</f>
        <v>-0.875</v>
      </c>
      <c r="G2233" s="0" t="n">
        <f aca="false">1</f>
        <v>1</v>
      </c>
      <c r="H2233" s="0" t="n">
        <f aca="false">D2233</f>
        <v>-0.125</v>
      </c>
      <c r="I2233" s="0" t="n">
        <f aca="false">E2233</f>
        <v>0.5</v>
      </c>
      <c r="J2233" s="0" t="n">
        <f aca="false">F2233</f>
        <v>-0.875</v>
      </c>
      <c r="K2233" s="0" t="n">
        <f aca="false">D2233*E2233</f>
        <v>-0.0625</v>
      </c>
      <c r="L2233" s="0" t="n">
        <f aca="false">D2233*F2233</f>
        <v>0.109375</v>
      </c>
      <c r="M2233" s="0" t="n">
        <f aca="false">E2233*F2233</f>
        <v>-0.4375</v>
      </c>
      <c r="N2233" s="0" t="n">
        <f aca="false">D2233*D2233</f>
        <v>0.015625</v>
      </c>
      <c r="O2233" s="0" t="n">
        <f aca="false">E2233*E2233</f>
        <v>0.25</v>
      </c>
      <c r="P2233" s="0" t="n">
        <f aca="false">F2233*F2233</f>
        <v>0.765625</v>
      </c>
      <c r="Q2233" s="0" t="n">
        <f aca="false">SUMPRODUCT(G2233:P2233,_XtX!$B$71:$K$71)</f>
        <v>46.1441903409091</v>
      </c>
      <c r="R2233" s="0" t="n">
        <f aca="false">SUMPRODUCT(MMULT(G2233:P2233,_XtX!$B$58:$K$67),G2233:P2233)</f>
        <v>0.332909601384943</v>
      </c>
      <c r="S2233" s="0" t="n">
        <f aca="false">04_回帰ANOVA!$K$19*04_回帰ANOVA!$K$14*SQRT(1+R2233)</f>
        <v>1.07341333007404</v>
      </c>
      <c r="T2233" s="0" t="n">
        <f aca="false">Q2233-S2233</f>
        <v>45.0707770108351</v>
      </c>
      <c r="U2233" s="0" t="n">
        <f aca="false">Q2233+S2233</f>
        <v>47.2176036709832</v>
      </c>
      <c r="V2233" s="54" t="b">
        <f aca="false">AND(D2233&gt;=01_因子設定!$L$5-0.000000001,D2233&lt;=01_因子設定!$M$5+0.000000001,E2233&gt;=01_因子設定!$L$6-0.000000001,E2233&lt;=01_因子設定!$M$6+0.000000001,F2233&gt;=01_因子設定!$L$7-0.000000001,F2233&lt;=01_因子設定!$M$7+0.000000001,IF(01_因子設定!$B$20="Box-Behnken",D2233^2+E2233^2+F2233^2&lt;=2+0.000000001,TRUE()))</f>
        <v>1</v>
      </c>
      <c r="W2233" s="55" t="n">
        <f aca="false">IF(V2233,IF(01_因子設定!$B$13="最大化",T2233-01_因子設定!$B$14,IF(01_因子設定!$B$13="最小化",01_因子設定!$B$15-U2233,MIN(T2233-01_因子設定!$B$14,01_因子設定!$B$15-U2233))),-1E+030)</f>
        <v>-3.42922298916493</v>
      </c>
      <c r="X2233" s="55" t="n">
        <f aca="false">IF(V2233,IF(01_因子設定!$B$13="最大化",Q2233,IF(01_因子設定!$B$13="最小化",-Q2233,-ABS(Q2233-01_因子設定!$B$16))),-1E+030)</f>
        <v>46.1441903409091</v>
      </c>
      <c r="Y2233" s="55" t="n">
        <f aca="false">W2233+ROW()*0.000000001</f>
        <v>-3.42922075616493</v>
      </c>
      <c r="Z2233" s="55" t="n">
        <f aca="false">X2233+ROW()*0.000000001</f>
        <v>46.1441925739091</v>
      </c>
    </row>
    <row r="2234" customFormat="false" ht="15" hidden="false" customHeight="false" outlineLevel="0" collapsed="false">
      <c r="A2234" s="0" t="n">
        <v>7</v>
      </c>
      <c r="B2234" s="0" t="n">
        <v>12</v>
      </c>
      <c r="C2234" s="0" t="n">
        <v>2</v>
      </c>
      <c r="D2234" s="0" t="n">
        <f aca="false">-1+A2234*0.125</f>
        <v>-0.125</v>
      </c>
      <c r="E2234" s="0" t="n">
        <f aca="false">-1+B2234*0.125</f>
        <v>0.5</v>
      </c>
      <c r="F2234" s="0" t="n">
        <f aca="false">-1+C2234*0.125</f>
        <v>-0.75</v>
      </c>
      <c r="G2234" s="0" t="n">
        <f aca="false">1</f>
        <v>1</v>
      </c>
      <c r="H2234" s="0" t="n">
        <f aca="false">D2234</f>
        <v>-0.125</v>
      </c>
      <c r="I2234" s="0" t="n">
        <f aca="false">E2234</f>
        <v>0.5</v>
      </c>
      <c r="J2234" s="0" t="n">
        <f aca="false">F2234</f>
        <v>-0.75</v>
      </c>
      <c r="K2234" s="0" t="n">
        <f aca="false">D2234*E2234</f>
        <v>-0.0625</v>
      </c>
      <c r="L2234" s="0" t="n">
        <f aca="false">D2234*F2234</f>
        <v>0.09375</v>
      </c>
      <c r="M2234" s="0" t="n">
        <f aca="false">E2234*F2234</f>
        <v>-0.375</v>
      </c>
      <c r="N2234" s="0" t="n">
        <f aca="false">D2234*D2234</f>
        <v>0.015625</v>
      </c>
      <c r="O2234" s="0" t="n">
        <f aca="false">E2234*E2234</f>
        <v>0.25</v>
      </c>
      <c r="P2234" s="0" t="n">
        <f aca="false">F2234*F2234</f>
        <v>0.5625</v>
      </c>
      <c r="Q2234" s="0" t="n">
        <f aca="false">SUMPRODUCT(G2234:P2234,_XtX!$B$71:$K$71)</f>
        <v>46.5862926136364</v>
      </c>
      <c r="R2234" s="0" t="n">
        <f aca="false">SUMPRODUCT(MMULT(G2234:P2234,_XtX!$B$58:$K$67),G2234:P2234)</f>
        <v>0.240933504971591</v>
      </c>
      <c r="S2234" s="0" t="n">
        <f aca="false">04_回帰ANOVA!$K$19*04_回帰ANOVA!$K$14*SQRT(1+R2234)</f>
        <v>1.03571649118863</v>
      </c>
      <c r="T2234" s="0" t="n">
        <f aca="false">Q2234-S2234</f>
        <v>45.5505761224478</v>
      </c>
      <c r="U2234" s="0" t="n">
        <f aca="false">Q2234+S2234</f>
        <v>47.622009104825</v>
      </c>
      <c r="V2234" s="54" t="b">
        <f aca="false">AND(D2234&gt;=01_因子設定!$L$5-0.000000001,D2234&lt;=01_因子設定!$M$5+0.000000001,E2234&gt;=01_因子設定!$L$6-0.000000001,E2234&lt;=01_因子設定!$M$6+0.000000001,F2234&gt;=01_因子設定!$L$7-0.000000001,F2234&lt;=01_因子設定!$M$7+0.000000001,IF(01_因子設定!$B$20="Box-Behnken",D2234^2+E2234^2+F2234^2&lt;=2+0.000000001,TRUE()))</f>
        <v>1</v>
      </c>
      <c r="W2234" s="55" t="n">
        <f aca="false">IF(V2234,IF(01_因子設定!$B$13="最大化",T2234-01_因子設定!$B$14,IF(01_因子設定!$B$13="最小化",01_因子設定!$B$15-U2234,MIN(T2234-01_因子設定!$B$14,01_因子設定!$B$15-U2234))),-1E+030)</f>
        <v>-2.94942387755224</v>
      </c>
      <c r="X2234" s="55" t="n">
        <f aca="false">IF(V2234,IF(01_因子設定!$B$13="最大化",Q2234,IF(01_因子設定!$B$13="最小化",-Q2234,-ABS(Q2234-01_因子設定!$B$16))),-1E+030)</f>
        <v>46.5862926136364</v>
      </c>
      <c r="Y2234" s="55" t="n">
        <f aca="false">W2234+ROW()*0.000000001</f>
        <v>-2.94942164355224</v>
      </c>
      <c r="Z2234" s="55" t="n">
        <f aca="false">X2234+ROW()*0.000000001</f>
        <v>46.5862948476364</v>
      </c>
    </row>
    <row r="2235" customFormat="false" ht="15" hidden="false" customHeight="false" outlineLevel="0" collapsed="false">
      <c r="A2235" s="0" t="n">
        <v>7</v>
      </c>
      <c r="B2235" s="0" t="n">
        <v>12</v>
      </c>
      <c r="C2235" s="0" t="n">
        <v>3</v>
      </c>
      <c r="D2235" s="0" t="n">
        <f aca="false">-1+A2235*0.125</f>
        <v>-0.125</v>
      </c>
      <c r="E2235" s="0" t="n">
        <f aca="false">-1+B2235*0.125</f>
        <v>0.5</v>
      </c>
      <c r="F2235" s="0" t="n">
        <f aca="false">-1+C2235*0.125</f>
        <v>-0.625</v>
      </c>
      <c r="G2235" s="0" t="n">
        <f aca="false">1</f>
        <v>1</v>
      </c>
      <c r="H2235" s="0" t="n">
        <f aca="false">D2235</f>
        <v>-0.125</v>
      </c>
      <c r="I2235" s="0" t="n">
        <f aca="false">E2235</f>
        <v>0.5</v>
      </c>
      <c r="J2235" s="0" t="n">
        <f aca="false">F2235</f>
        <v>-0.625</v>
      </c>
      <c r="K2235" s="0" t="n">
        <f aca="false">D2235*E2235</f>
        <v>-0.0625</v>
      </c>
      <c r="L2235" s="0" t="n">
        <f aca="false">D2235*F2235</f>
        <v>0.078125</v>
      </c>
      <c r="M2235" s="0" t="n">
        <f aca="false">E2235*F2235</f>
        <v>-0.3125</v>
      </c>
      <c r="N2235" s="0" t="n">
        <f aca="false">D2235*D2235</f>
        <v>0.015625</v>
      </c>
      <c r="O2235" s="0" t="n">
        <f aca="false">E2235*E2235</f>
        <v>0.25</v>
      </c>
      <c r="P2235" s="0" t="n">
        <f aca="false">F2235*F2235</f>
        <v>0.390625</v>
      </c>
      <c r="Q2235" s="0" t="n">
        <f aca="false">SUMPRODUCT(G2235:P2235,_XtX!$B$71:$K$71)</f>
        <v>46.9916051136364</v>
      </c>
      <c r="R2235" s="0" t="n">
        <f aca="false">SUMPRODUCT(MMULT(G2235:P2235,_XtX!$B$58:$K$67),G2235:P2235)</f>
        <v>0.186545077237216</v>
      </c>
      <c r="S2235" s="0" t="n">
        <f aca="false">04_回帰ANOVA!$K$19*04_回帰ANOVA!$K$14*SQRT(1+R2235)</f>
        <v>1.01276516970713</v>
      </c>
      <c r="T2235" s="0" t="n">
        <f aca="false">Q2235-S2235</f>
        <v>45.9788399439293</v>
      </c>
      <c r="U2235" s="0" t="n">
        <f aca="false">Q2235+S2235</f>
        <v>48.0043702833435</v>
      </c>
      <c r="V2235" s="54" t="b">
        <f aca="false">AND(D2235&gt;=01_因子設定!$L$5-0.000000001,D2235&lt;=01_因子設定!$M$5+0.000000001,E2235&gt;=01_因子設定!$L$6-0.000000001,E2235&lt;=01_因子設定!$M$6+0.000000001,F2235&gt;=01_因子設定!$L$7-0.000000001,F2235&lt;=01_因子設定!$M$7+0.000000001,IF(01_因子設定!$B$20="Box-Behnken",D2235^2+E2235^2+F2235^2&lt;=2+0.000000001,TRUE()))</f>
        <v>1</v>
      </c>
      <c r="W2235" s="55" t="n">
        <f aca="false">IF(V2235,IF(01_因子設定!$B$13="最大化",T2235-01_因子設定!$B$14,IF(01_因子設定!$B$13="最小化",01_因子設定!$B$15-U2235,MIN(T2235-01_因子設定!$B$14,01_因子設定!$B$15-U2235))),-1E+030)</f>
        <v>-2.52116005607075</v>
      </c>
      <c r="X2235" s="55" t="n">
        <f aca="false">IF(V2235,IF(01_因子設定!$B$13="最大化",Q2235,IF(01_因子設定!$B$13="最小化",-Q2235,-ABS(Q2235-01_因子設定!$B$16))),-1E+030)</f>
        <v>46.9916051136364</v>
      </c>
      <c r="Y2235" s="55" t="n">
        <f aca="false">W2235+ROW()*0.000000001</f>
        <v>-2.52115782107075</v>
      </c>
      <c r="Z2235" s="55" t="n">
        <f aca="false">X2235+ROW()*0.000000001</f>
        <v>46.9916073486364</v>
      </c>
    </row>
    <row r="2236" customFormat="false" ht="15" hidden="false" customHeight="false" outlineLevel="0" collapsed="false">
      <c r="A2236" s="0" t="n">
        <v>7</v>
      </c>
      <c r="B2236" s="0" t="n">
        <v>12</v>
      </c>
      <c r="C2236" s="0" t="n">
        <v>4</v>
      </c>
      <c r="D2236" s="0" t="n">
        <f aca="false">-1+A2236*0.125</f>
        <v>-0.125</v>
      </c>
      <c r="E2236" s="0" t="n">
        <f aca="false">-1+B2236*0.125</f>
        <v>0.5</v>
      </c>
      <c r="F2236" s="0" t="n">
        <f aca="false">-1+C2236*0.125</f>
        <v>-0.5</v>
      </c>
      <c r="G2236" s="0" t="n">
        <f aca="false">1</f>
        <v>1</v>
      </c>
      <c r="H2236" s="0" t="n">
        <f aca="false">D2236</f>
        <v>-0.125</v>
      </c>
      <c r="I2236" s="0" t="n">
        <f aca="false">E2236</f>
        <v>0.5</v>
      </c>
      <c r="J2236" s="0" t="n">
        <f aca="false">F2236</f>
        <v>-0.5</v>
      </c>
      <c r="K2236" s="0" t="n">
        <f aca="false">D2236*E2236</f>
        <v>-0.0625</v>
      </c>
      <c r="L2236" s="0" t="n">
        <f aca="false">D2236*F2236</f>
        <v>0.0625</v>
      </c>
      <c r="M2236" s="0" t="n">
        <f aca="false">E2236*F2236</f>
        <v>-0.25</v>
      </c>
      <c r="N2236" s="0" t="n">
        <f aca="false">D2236*D2236</f>
        <v>0.015625</v>
      </c>
      <c r="O2236" s="0" t="n">
        <f aca="false">E2236*E2236</f>
        <v>0.25</v>
      </c>
      <c r="P2236" s="0" t="n">
        <f aca="false">F2236*F2236</f>
        <v>0.25</v>
      </c>
      <c r="Q2236" s="0" t="n">
        <f aca="false">SUMPRODUCT(G2236:P2236,_XtX!$B$71:$K$71)</f>
        <v>47.3601278409091</v>
      </c>
      <c r="R2236" s="0" t="n">
        <f aca="false">SUMPRODUCT(MMULT(G2236:P2236,_XtX!$B$58:$K$67),G2236:P2236)</f>
        <v>0.158025568181818</v>
      </c>
      <c r="S2236" s="0" t="n">
        <f aca="false">04_回帰ANOVA!$K$19*04_回帰ANOVA!$K$14*SQRT(1+R2236)</f>
        <v>1.00051985207691</v>
      </c>
      <c r="T2236" s="0" t="n">
        <f aca="false">Q2236-S2236</f>
        <v>46.3596079888322</v>
      </c>
      <c r="U2236" s="0" t="n">
        <f aca="false">Q2236+S2236</f>
        <v>48.360647692986</v>
      </c>
      <c r="V2236" s="54" t="b">
        <f aca="false">AND(D2236&gt;=01_因子設定!$L$5-0.000000001,D2236&lt;=01_因子設定!$M$5+0.000000001,E2236&gt;=01_因子設定!$L$6-0.000000001,E2236&lt;=01_因子設定!$M$6+0.000000001,F2236&gt;=01_因子設定!$L$7-0.000000001,F2236&lt;=01_因子設定!$M$7+0.000000001,IF(01_因子設定!$B$20="Box-Behnken",D2236^2+E2236^2+F2236^2&lt;=2+0.000000001,TRUE()))</f>
        <v>1</v>
      </c>
      <c r="W2236" s="55" t="n">
        <f aca="false">IF(V2236,IF(01_因子設定!$B$13="最大化",T2236-01_因子設定!$B$14,IF(01_因子設定!$B$13="最小化",01_因子設定!$B$15-U2236,MIN(T2236-01_因子設定!$B$14,01_因子設定!$B$15-U2236))),-1E+030)</f>
        <v>-2.1403920111678</v>
      </c>
      <c r="X2236" s="55" t="n">
        <f aca="false">IF(V2236,IF(01_因子設定!$B$13="最大化",Q2236,IF(01_因子設定!$B$13="最小化",-Q2236,-ABS(Q2236-01_因子設定!$B$16))),-1E+030)</f>
        <v>47.3601278409091</v>
      </c>
      <c r="Y2236" s="55" t="n">
        <f aca="false">W2236+ROW()*0.000000001</f>
        <v>-2.1403897751678</v>
      </c>
      <c r="Z2236" s="55" t="n">
        <f aca="false">X2236+ROW()*0.000000001</f>
        <v>47.3601300769091</v>
      </c>
    </row>
    <row r="2237" customFormat="false" ht="15" hidden="false" customHeight="false" outlineLevel="0" collapsed="false">
      <c r="A2237" s="0" t="n">
        <v>7</v>
      </c>
      <c r="B2237" s="0" t="n">
        <v>12</v>
      </c>
      <c r="C2237" s="0" t="n">
        <v>5</v>
      </c>
      <c r="D2237" s="0" t="n">
        <f aca="false">-1+A2237*0.125</f>
        <v>-0.125</v>
      </c>
      <c r="E2237" s="0" t="n">
        <f aca="false">-1+B2237*0.125</f>
        <v>0.5</v>
      </c>
      <c r="F2237" s="0" t="n">
        <f aca="false">-1+C2237*0.125</f>
        <v>-0.375</v>
      </c>
      <c r="G2237" s="0" t="n">
        <f aca="false">1</f>
        <v>1</v>
      </c>
      <c r="H2237" s="0" t="n">
        <f aca="false">D2237</f>
        <v>-0.125</v>
      </c>
      <c r="I2237" s="0" t="n">
        <f aca="false">E2237</f>
        <v>0.5</v>
      </c>
      <c r="J2237" s="0" t="n">
        <f aca="false">F2237</f>
        <v>-0.375</v>
      </c>
      <c r="K2237" s="0" t="n">
        <f aca="false">D2237*E2237</f>
        <v>-0.0625</v>
      </c>
      <c r="L2237" s="0" t="n">
        <f aca="false">D2237*F2237</f>
        <v>0.046875</v>
      </c>
      <c r="M2237" s="0" t="n">
        <f aca="false">E2237*F2237</f>
        <v>-0.1875</v>
      </c>
      <c r="N2237" s="0" t="n">
        <f aca="false">D2237*D2237</f>
        <v>0.015625</v>
      </c>
      <c r="O2237" s="0" t="n">
        <f aca="false">E2237*E2237</f>
        <v>0.25</v>
      </c>
      <c r="P2237" s="0" t="n">
        <f aca="false">F2237*F2237</f>
        <v>0.140625</v>
      </c>
      <c r="Q2237" s="0" t="n">
        <f aca="false">SUMPRODUCT(G2237:P2237,_XtX!$B$71:$K$71)</f>
        <v>47.6918607954546</v>
      </c>
      <c r="R2237" s="0" t="n">
        <f aca="false">SUMPRODUCT(MMULT(G2237:P2237,_XtX!$B$58:$K$67),G2237:P2237)</f>
        <v>0.14578690962358</v>
      </c>
      <c r="S2237" s="0" t="n">
        <f aca="false">04_回帰ANOVA!$K$19*04_回帰ANOVA!$K$14*SQRT(1+R2237)</f>
        <v>0.995218783457917</v>
      </c>
      <c r="T2237" s="0" t="n">
        <f aca="false">Q2237-S2237</f>
        <v>46.6966420119966</v>
      </c>
      <c r="U2237" s="0" t="n">
        <f aca="false">Q2237+S2237</f>
        <v>48.6870795789125</v>
      </c>
      <c r="V2237" s="54" t="b">
        <f aca="false">AND(D2237&gt;=01_因子設定!$L$5-0.000000001,D2237&lt;=01_因子設定!$M$5+0.000000001,E2237&gt;=01_因子設定!$L$6-0.000000001,E2237&lt;=01_因子設定!$M$6+0.000000001,F2237&gt;=01_因子設定!$L$7-0.000000001,F2237&lt;=01_因子設定!$M$7+0.000000001,IF(01_因子設定!$B$20="Box-Behnken",D2237^2+E2237^2+F2237^2&lt;=2+0.000000001,TRUE()))</f>
        <v>1</v>
      </c>
      <c r="W2237" s="55" t="n">
        <f aca="false">IF(V2237,IF(01_因子設定!$B$13="最大化",T2237-01_因子設定!$B$14,IF(01_因子設定!$B$13="最小化",01_因子設定!$B$15-U2237,MIN(T2237-01_因子設定!$B$14,01_因子設定!$B$15-U2237))),-1E+030)</f>
        <v>-1.80335798800336</v>
      </c>
      <c r="X2237" s="55" t="n">
        <f aca="false">IF(V2237,IF(01_因子設定!$B$13="最大化",Q2237,IF(01_因子設定!$B$13="最小化",-Q2237,-ABS(Q2237-01_因子設定!$B$16))),-1E+030)</f>
        <v>47.6918607954546</v>
      </c>
      <c r="Y2237" s="55" t="n">
        <f aca="false">W2237+ROW()*0.000000001</f>
        <v>-1.80335575100336</v>
      </c>
      <c r="Z2237" s="55" t="n">
        <f aca="false">X2237+ROW()*0.000000001</f>
        <v>47.6918630324546</v>
      </c>
    </row>
    <row r="2238" customFormat="false" ht="15" hidden="false" customHeight="false" outlineLevel="0" collapsed="false">
      <c r="A2238" s="0" t="n">
        <v>7</v>
      </c>
      <c r="B2238" s="0" t="n">
        <v>12</v>
      </c>
      <c r="C2238" s="0" t="n">
        <v>6</v>
      </c>
      <c r="D2238" s="0" t="n">
        <f aca="false">-1+A2238*0.125</f>
        <v>-0.125</v>
      </c>
      <c r="E2238" s="0" t="n">
        <f aca="false">-1+B2238*0.125</f>
        <v>0.5</v>
      </c>
      <c r="F2238" s="0" t="n">
        <f aca="false">-1+C2238*0.125</f>
        <v>-0.25</v>
      </c>
      <c r="G2238" s="0" t="n">
        <f aca="false">1</f>
        <v>1</v>
      </c>
      <c r="H2238" s="0" t="n">
        <f aca="false">D2238</f>
        <v>-0.125</v>
      </c>
      <c r="I2238" s="0" t="n">
        <f aca="false">E2238</f>
        <v>0.5</v>
      </c>
      <c r="J2238" s="0" t="n">
        <f aca="false">F2238</f>
        <v>-0.25</v>
      </c>
      <c r="K2238" s="0" t="n">
        <f aca="false">D2238*E2238</f>
        <v>-0.0625</v>
      </c>
      <c r="L2238" s="0" t="n">
        <f aca="false">D2238*F2238</f>
        <v>0.03125</v>
      </c>
      <c r="M2238" s="0" t="n">
        <f aca="false">E2238*F2238</f>
        <v>-0.125</v>
      </c>
      <c r="N2238" s="0" t="n">
        <f aca="false">D2238*D2238</f>
        <v>0.015625</v>
      </c>
      <c r="O2238" s="0" t="n">
        <f aca="false">E2238*E2238</f>
        <v>0.25</v>
      </c>
      <c r="P2238" s="0" t="n">
        <f aca="false">F2238*F2238</f>
        <v>0.0625</v>
      </c>
      <c r="Q2238" s="0" t="n">
        <f aca="false">SUMPRODUCT(G2238:P2238,_XtX!$B$71:$K$71)</f>
        <v>47.9868039772727</v>
      </c>
      <c r="R2238" s="0" t="n">
        <f aca="false">SUMPRODUCT(MMULT(G2238:P2238,_XtX!$B$58:$K$67),G2238:P2238)</f>
        <v>0.142371715198864</v>
      </c>
      <c r="S2238" s="0" t="n">
        <f aca="false">04_回帰ANOVA!$K$19*04_回帰ANOVA!$K$14*SQRT(1+R2238)</f>
        <v>0.99373447511735</v>
      </c>
      <c r="T2238" s="0" t="n">
        <f aca="false">Q2238-S2238</f>
        <v>46.9930695021554</v>
      </c>
      <c r="U2238" s="0" t="n">
        <f aca="false">Q2238+S2238</f>
        <v>48.9805384523901</v>
      </c>
      <c r="V2238" s="54" t="b">
        <f aca="false">AND(D2238&gt;=01_因子設定!$L$5-0.000000001,D2238&lt;=01_因子設定!$M$5+0.000000001,E2238&gt;=01_因子設定!$L$6-0.000000001,E2238&lt;=01_因子設定!$M$6+0.000000001,F2238&gt;=01_因子設定!$L$7-0.000000001,F2238&lt;=01_因子設定!$M$7+0.000000001,IF(01_因子設定!$B$20="Box-Behnken",D2238^2+E2238^2+F2238^2&lt;=2+0.000000001,TRUE()))</f>
        <v>1</v>
      </c>
      <c r="W2238" s="55" t="n">
        <f aca="false">IF(V2238,IF(01_因子設定!$B$13="最大化",T2238-01_因子設定!$B$14,IF(01_因子設定!$B$13="最小化",01_因子設定!$B$15-U2238,MIN(T2238-01_因子設定!$B$14,01_因子設定!$B$15-U2238))),-1E+030)</f>
        <v>-1.50693049784461</v>
      </c>
      <c r="X2238" s="55" t="n">
        <f aca="false">IF(V2238,IF(01_因子設定!$B$13="最大化",Q2238,IF(01_因子設定!$B$13="最小化",-Q2238,-ABS(Q2238-01_因子設定!$B$16))),-1E+030)</f>
        <v>47.9868039772727</v>
      </c>
      <c r="Y2238" s="55" t="n">
        <f aca="false">W2238+ROW()*0.000000001</f>
        <v>-1.50692825984461</v>
      </c>
      <c r="Z2238" s="55" t="n">
        <f aca="false">X2238+ROW()*0.000000001</f>
        <v>47.9868062152727</v>
      </c>
    </row>
    <row r="2239" customFormat="false" ht="15" hidden="false" customHeight="false" outlineLevel="0" collapsed="false">
      <c r="A2239" s="0" t="n">
        <v>7</v>
      </c>
      <c r="B2239" s="0" t="n">
        <v>12</v>
      </c>
      <c r="C2239" s="0" t="n">
        <v>7</v>
      </c>
      <c r="D2239" s="0" t="n">
        <f aca="false">-1+A2239*0.125</f>
        <v>-0.125</v>
      </c>
      <c r="E2239" s="0" t="n">
        <f aca="false">-1+B2239*0.125</f>
        <v>0.5</v>
      </c>
      <c r="F2239" s="0" t="n">
        <f aca="false">-1+C2239*0.125</f>
        <v>-0.125</v>
      </c>
      <c r="G2239" s="0" t="n">
        <f aca="false">1</f>
        <v>1</v>
      </c>
      <c r="H2239" s="0" t="n">
        <f aca="false">D2239</f>
        <v>-0.125</v>
      </c>
      <c r="I2239" s="0" t="n">
        <f aca="false">E2239</f>
        <v>0.5</v>
      </c>
      <c r="J2239" s="0" t="n">
        <f aca="false">F2239</f>
        <v>-0.125</v>
      </c>
      <c r="K2239" s="0" t="n">
        <f aca="false">D2239*E2239</f>
        <v>-0.0625</v>
      </c>
      <c r="L2239" s="0" t="n">
        <f aca="false">D2239*F2239</f>
        <v>0.015625</v>
      </c>
      <c r="M2239" s="0" t="n">
        <f aca="false">E2239*F2239</f>
        <v>-0.0625</v>
      </c>
      <c r="N2239" s="0" t="n">
        <f aca="false">D2239*D2239</f>
        <v>0.015625</v>
      </c>
      <c r="O2239" s="0" t="n">
        <f aca="false">E2239*E2239</f>
        <v>0.25</v>
      </c>
      <c r="P2239" s="0" t="n">
        <f aca="false">F2239*F2239</f>
        <v>0.015625</v>
      </c>
      <c r="Q2239" s="0" t="n">
        <f aca="false">SUMPRODUCT(G2239:P2239,_XtX!$B$71:$K$71)</f>
        <v>48.2449573863636</v>
      </c>
      <c r="R2239" s="0" t="n">
        <f aca="false">SUMPRODUCT(MMULT(G2239:P2239,_XtX!$B$58:$K$67),G2239:P2239)</f>
        <v>0.142453280362216</v>
      </c>
      <c r="S2239" s="0" t="n">
        <f aca="false">04_回帰ANOVA!$K$19*04_回帰ANOVA!$K$14*SQRT(1+R2239)</f>
        <v>0.99376995072785</v>
      </c>
      <c r="T2239" s="0" t="n">
        <f aca="false">Q2239-S2239</f>
        <v>47.2511874356358</v>
      </c>
      <c r="U2239" s="0" t="n">
        <f aca="false">Q2239+S2239</f>
        <v>49.2387273370915</v>
      </c>
      <c r="V2239" s="54" t="b">
        <f aca="false">AND(D2239&gt;=01_因子設定!$L$5-0.000000001,D2239&lt;=01_因子設定!$M$5+0.000000001,E2239&gt;=01_因子設定!$L$6-0.000000001,E2239&lt;=01_因子設定!$M$6+0.000000001,F2239&gt;=01_因子設定!$L$7-0.000000001,F2239&lt;=01_因子設定!$M$7+0.000000001,IF(01_因子設定!$B$20="Box-Behnken",D2239^2+E2239^2+F2239^2&lt;=2+0.000000001,TRUE()))</f>
        <v>1</v>
      </c>
      <c r="W2239" s="55" t="n">
        <f aca="false">IF(V2239,IF(01_因子設定!$B$13="最大化",T2239-01_因子設定!$B$14,IF(01_因子設定!$B$13="最小化",01_因子設定!$B$15-U2239,MIN(T2239-01_因子設定!$B$14,01_因子設定!$B$15-U2239))),-1E+030)</f>
        <v>-1.24881256436421</v>
      </c>
      <c r="X2239" s="55" t="n">
        <f aca="false">IF(V2239,IF(01_因子設定!$B$13="最大化",Q2239,IF(01_因子設定!$B$13="最小化",-Q2239,-ABS(Q2239-01_因子設定!$B$16))),-1E+030)</f>
        <v>48.2449573863636</v>
      </c>
      <c r="Y2239" s="55" t="n">
        <f aca="false">W2239+ROW()*0.000000001</f>
        <v>-1.24881032536421</v>
      </c>
      <c r="Z2239" s="55" t="n">
        <f aca="false">X2239+ROW()*0.000000001</f>
        <v>48.2449596253636</v>
      </c>
    </row>
    <row r="2240" customFormat="false" ht="15" hidden="false" customHeight="false" outlineLevel="0" collapsed="false">
      <c r="A2240" s="0" t="n">
        <v>7</v>
      </c>
      <c r="B2240" s="0" t="n">
        <v>12</v>
      </c>
      <c r="C2240" s="0" t="n">
        <v>8</v>
      </c>
      <c r="D2240" s="0" t="n">
        <f aca="false">-1+A2240*0.125</f>
        <v>-0.125</v>
      </c>
      <c r="E2240" s="0" t="n">
        <f aca="false">-1+B2240*0.125</f>
        <v>0.5</v>
      </c>
      <c r="F2240" s="0" t="n">
        <f aca="false">-1+C2240*0.125</f>
        <v>0</v>
      </c>
      <c r="G2240" s="0" t="n">
        <f aca="false">1</f>
        <v>1</v>
      </c>
      <c r="H2240" s="0" t="n">
        <f aca="false">D2240</f>
        <v>-0.125</v>
      </c>
      <c r="I2240" s="0" t="n">
        <f aca="false">E2240</f>
        <v>0.5</v>
      </c>
      <c r="J2240" s="0" t="n">
        <f aca="false">F2240</f>
        <v>0</v>
      </c>
      <c r="K2240" s="0" t="n">
        <f aca="false">D2240*E2240</f>
        <v>-0.0625</v>
      </c>
      <c r="L2240" s="0" t="n">
        <f aca="false">D2240*F2240</f>
        <v>-0</v>
      </c>
      <c r="M2240" s="0" t="n">
        <f aca="false">E2240*F2240</f>
        <v>0</v>
      </c>
      <c r="N2240" s="0" t="n">
        <f aca="false">D2240*D2240</f>
        <v>0.015625</v>
      </c>
      <c r="O2240" s="0" t="n">
        <f aca="false">E2240*E2240</f>
        <v>0.25</v>
      </c>
      <c r="P2240" s="0" t="n">
        <f aca="false">F2240*F2240</f>
        <v>0</v>
      </c>
      <c r="Q2240" s="0" t="n">
        <f aca="false">SUMPRODUCT(G2240:P2240,_XtX!$B$71:$K$71)</f>
        <v>48.4663210227273</v>
      </c>
      <c r="R2240" s="0" t="n">
        <f aca="false">SUMPRODUCT(MMULT(G2240:P2240,_XtX!$B$58:$K$67),G2240:P2240)</f>
        <v>0.142835582386364</v>
      </c>
      <c r="S2240" s="0" t="n">
        <f aca="false">04_回帰ANOVA!$K$19*04_回帰ANOVA!$K$14*SQRT(1+R2240)</f>
        <v>0.993936210693193</v>
      </c>
      <c r="T2240" s="0" t="n">
        <f aca="false">Q2240-S2240</f>
        <v>47.4723848120341</v>
      </c>
      <c r="U2240" s="0" t="n">
        <f aca="false">Q2240+S2240</f>
        <v>49.4602572334205</v>
      </c>
      <c r="V2240" s="54" t="b">
        <f aca="false">AND(D2240&gt;=01_因子設定!$L$5-0.000000001,D2240&lt;=01_因子設定!$M$5+0.000000001,E2240&gt;=01_因子設定!$L$6-0.000000001,E2240&lt;=01_因子設定!$M$6+0.000000001,F2240&gt;=01_因子設定!$L$7-0.000000001,F2240&lt;=01_因子設定!$M$7+0.000000001,IF(01_因子設定!$B$20="Box-Behnken",D2240^2+E2240^2+F2240^2&lt;=2+0.000000001,TRUE()))</f>
        <v>1</v>
      </c>
      <c r="W2240" s="55" t="n">
        <f aca="false">IF(V2240,IF(01_因子設定!$B$13="最大化",T2240-01_因子設定!$B$14,IF(01_因子設定!$B$13="最小化",01_因子設定!$B$15-U2240,MIN(T2240-01_因子設定!$B$14,01_因子設定!$B$15-U2240))),-1E+030)</f>
        <v>-1.02761518796591</v>
      </c>
      <c r="X2240" s="55" t="n">
        <f aca="false">IF(V2240,IF(01_因子設定!$B$13="最大化",Q2240,IF(01_因子設定!$B$13="最小化",-Q2240,-ABS(Q2240-01_因子設定!$B$16))),-1E+030)</f>
        <v>48.4663210227273</v>
      </c>
      <c r="Y2240" s="55" t="n">
        <f aca="false">W2240+ROW()*0.000000001</f>
        <v>-1.02761294796591</v>
      </c>
      <c r="Z2240" s="55" t="n">
        <f aca="false">X2240+ROW()*0.000000001</f>
        <v>48.4663232627273</v>
      </c>
    </row>
    <row r="2241" customFormat="false" ht="15" hidden="false" customHeight="false" outlineLevel="0" collapsed="false">
      <c r="A2241" s="0" t="n">
        <v>7</v>
      </c>
      <c r="B2241" s="0" t="n">
        <v>12</v>
      </c>
      <c r="C2241" s="0" t="n">
        <v>9</v>
      </c>
      <c r="D2241" s="0" t="n">
        <f aca="false">-1+A2241*0.125</f>
        <v>-0.125</v>
      </c>
      <c r="E2241" s="0" t="n">
        <f aca="false">-1+B2241*0.125</f>
        <v>0.5</v>
      </c>
      <c r="F2241" s="0" t="n">
        <f aca="false">-1+C2241*0.125</f>
        <v>0.125</v>
      </c>
      <c r="G2241" s="0" t="n">
        <f aca="false">1</f>
        <v>1</v>
      </c>
      <c r="H2241" s="0" t="n">
        <f aca="false">D2241</f>
        <v>-0.125</v>
      </c>
      <c r="I2241" s="0" t="n">
        <f aca="false">E2241</f>
        <v>0.5</v>
      </c>
      <c r="J2241" s="0" t="n">
        <f aca="false">F2241</f>
        <v>0.125</v>
      </c>
      <c r="K2241" s="0" t="n">
        <f aca="false">D2241*E2241</f>
        <v>-0.0625</v>
      </c>
      <c r="L2241" s="0" t="n">
        <f aca="false">D2241*F2241</f>
        <v>-0.015625</v>
      </c>
      <c r="M2241" s="0" t="n">
        <f aca="false">E2241*F2241</f>
        <v>0.0625</v>
      </c>
      <c r="N2241" s="0" t="n">
        <f aca="false">D2241*D2241</f>
        <v>0.015625</v>
      </c>
      <c r="O2241" s="0" t="n">
        <f aca="false">E2241*E2241</f>
        <v>0.25</v>
      </c>
      <c r="P2241" s="0" t="n">
        <f aca="false">F2241*F2241</f>
        <v>0.015625</v>
      </c>
      <c r="Q2241" s="0" t="n">
        <f aca="false">SUMPRODUCT(G2241:P2241,_XtX!$B$71:$K$71)</f>
        <v>48.6508948863636</v>
      </c>
      <c r="R2241" s="0" t="n">
        <f aca="false">SUMPRODUCT(MMULT(G2241:P2241,_XtX!$B$58:$K$67),G2241:P2241)</f>
        <v>0.142453280362216</v>
      </c>
      <c r="S2241" s="0" t="n">
        <f aca="false">04_回帰ANOVA!$K$19*04_回帰ANOVA!$K$14*SQRT(1+R2241)</f>
        <v>0.99376995072785</v>
      </c>
      <c r="T2241" s="0" t="n">
        <f aca="false">Q2241-S2241</f>
        <v>47.6571249356358</v>
      </c>
      <c r="U2241" s="0" t="n">
        <f aca="false">Q2241+S2241</f>
        <v>49.6446648370915</v>
      </c>
      <c r="V2241" s="54" t="b">
        <f aca="false">AND(D2241&gt;=01_因子設定!$L$5-0.000000001,D2241&lt;=01_因子設定!$M$5+0.000000001,E2241&gt;=01_因子設定!$L$6-0.000000001,E2241&lt;=01_因子設定!$M$6+0.000000001,F2241&gt;=01_因子設定!$L$7-0.000000001,F2241&lt;=01_因子設定!$M$7+0.000000001,IF(01_因子設定!$B$20="Box-Behnken",D2241^2+E2241^2+F2241^2&lt;=2+0.000000001,TRUE()))</f>
        <v>1</v>
      </c>
      <c r="W2241" s="55" t="n">
        <f aca="false">IF(V2241,IF(01_因子設定!$B$13="最大化",T2241-01_因子設定!$B$14,IF(01_因子設定!$B$13="最小化",01_因子設定!$B$15-U2241,MIN(T2241-01_因子設定!$B$14,01_因子設定!$B$15-U2241))),-1E+030)</f>
        <v>-0.842875064364208</v>
      </c>
      <c r="X2241" s="55" t="n">
        <f aca="false">IF(V2241,IF(01_因子設定!$B$13="最大化",Q2241,IF(01_因子設定!$B$13="最小化",-Q2241,-ABS(Q2241-01_因子設定!$B$16))),-1E+030)</f>
        <v>48.6508948863636</v>
      </c>
      <c r="Y2241" s="55" t="n">
        <f aca="false">W2241+ROW()*0.000000001</f>
        <v>-0.842872823364208</v>
      </c>
      <c r="Z2241" s="55" t="n">
        <f aca="false">X2241+ROW()*0.000000001</f>
        <v>48.6508971273636</v>
      </c>
    </row>
    <row r="2242" customFormat="false" ht="15" hidden="false" customHeight="false" outlineLevel="0" collapsed="false">
      <c r="A2242" s="0" t="n">
        <v>7</v>
      </c>
      <c r="B2242" s="0" t="n">
        <v>12</v>
      </c>
      <c r="C2242" s="0" t="n">
        <v>10</v>
      </c>
      <c r="D2242" s="0" t="n">
        <f aca="false">-1+A2242*0.125</f>
        <v>-0.125</v>
      </c>
      <c r="E2242" s="0" t="n">
        <f aca="false">-1+B2242*0.125</f>
        <v>0.5</v>
      </c>
      <c r="F2242" s="0" t="n">
        <f aca="false">-1+C2242*0.125</f>
        <v>0.25</v>
      </c>
      <c r="G2242" s="0" t="n">
        <f aca="false">1</f>
        <v>1</v>
      </c>
      <c r="H2242" s="0" t="n">
        <f aca="false">D2242</f>
        <v>-0.125</v>
      </c>
      <c r="I2242" s="0" t="n">
        <f aca="false">E2242</f>
        <v>0.5</v>
      </c>
      <c r="J2242" s="0" t="n">
        <f aca="false">F2242</f>
        <v>0.25</v>
      </c>
      <c r="K2242" s="0" t="n">
        <f aca="false">D2242*E2242</f>
        <v>-0.0625</v>
      </c>
      <c r="L2242" s="0" t="n">
        <f aca="false">D2242*F2242</f>
        <v>-0.03125</v>
      </c>
      <c r="M2242" s="0" t="n">
        <f aca="false">E2242*F2242</f>
        <v>0.125</v>
      </c>
      <c r="N2242" s="0" t="n">
        <f aca="false">D2242*D2242</f>
        <v>0.015625</v>
      </c>
      <c r="O2242" s="0" t="n">
        <f aca="false">E2242*E2242</f>
        <v>0.25</v>
      </c>
      <c r="P2242" s="0" t="n">
        <f aca="false">F2242*F2242</f>
        <v>0.0625</v>
      </c>
      <c r="Q2242" s="0" t="n">
        <f aca="false">SUMPRODUCT(G2242:P2242,_XtX!$B$71:$K$71)</f>
        <v>48.7986789772727</v>
      </c>
      <c r="R2242" s="0" t="n">
        <f aca="false">SUMPRODUCT(MMULT(G2242:P2242,_XtX!$B$58:$K$67),G2242:P2242)</f>
        <v>0.142371715198864</v>
      </c>
      <c r="S2242" s="0" t="n">
        <f aca="false">04_回帰ANOVA!$K$19*04_回帰ANOVA!$K$14*SQRT(1+R2242)</f>
        <v>0.99373447511735</v>
      </c>
      <c r="T2242" s="0" t="n">
        <f aca="false">Q2242-S2242</f>
        <v>47.8049445021554</v>
      </c>
      <c r="U2242" s="0" t="n">
        <f aca="false">Q2242+S2242</f>
        <v>49.7924134523901</v>
      </c>
      <c r="V2242" s="54" t="b">
        <f aca="false">AND(D2242&gt;=01_因子設定!$L$5-0.000000001,D2242&lt;=01_因子設定!$M$5+0.000000001,E2242&gt;=01_因子設定!$L$6-0.000000001,E2242&lt;=01_因子設定!$M$6+0.000000001,F2242&gt;=01_因子設定!$L$7-0.000000001,F2242&lt;=01_因子設定!$M$7+0.000000001,IF(01_因子設定!$B$20="Box-Behnken",D2242^2+E2242^2+F2242^2&lt;=2+0.000000001,TRUE()))</f>
        <v>1</v>
      </c>
      <c r="W2242" s="55" t="n">
        <f aca="false">IF(V2242,IF(01_因子設定!$B$13="最大化",T2242-01_因子設定!$B$14,IF(01_因子設定!$B$13="最小化",01_因子設定!$B$15-U2242,MIN(T2242-01_因子設定!$B$14,01_因子設定!$B$15-U2242))),-1E+030)</f>
        <v>-0.695055497844614</v>
      </c>
      <c r="X2242" s="55" t="n">
        <f aca="false">IF(V2242,IF(01_因子設定!$B$13="最大化",Q2242,IF(01_因子設定!$B$13="最小化",-Q2242,-ABS(Q2242-01_因子設定!$B$16))),-1E+030)</f>
        <v>48.7986789772727</v>
      </c>
      <c r="Y2242" s="55" t="n">
        <f aca="false">W2242+ROW()*0.000000001</f>
        <v>-0.695053255844614</v>
      </c>
      <c r="Z2242" s="55" t="n">
        <f aca="false">X2242+ROW()*0.000000001</f>
        <v>48.7986812192727</v>
      </c>
    </row>
    <row r="2243" customFormat="false" ht="15" hidden="false" customHeight="false" outlineLevel="0" collapsed="false">
      <c r="A2243" s="0" t="n">
        <v>7</v>
      </c>
      <c r="B2243" s="0" t="n">
        <v>12</v>
      </c>
      <c r="C2243" s="0" t="n">
        <v>11</v>
      </c>
      <c r="D2243" s="0" t="n">
        <f aca="false">-1+A2243*0.125</f>
        <v>-0.125</v>
      </c>
      <c r="E2243" s="0" t="n">
        <f aca="false">-1+B2243*0.125</f>
        <v>0.5</v>
      </c>
      <c r="F2243" s="0" t="n">
        <f aca="false">-1+C2243*0.125</f>
        <v>0.375</v>
      </c>
      <c r="G2243" s="0" t="n">
        <f aca="false">1</f>
        <v>1</v>
      </c>
      <c r="H2243" s="0" t="n">
        <f aca="false">D2243</f>
        <v>-0.125</v>
      </c>
      <c r="I2243" s="0" t="n">
        <f aca="false">E2243</f>
        <v>0.5</v>
      </c>
      <c r="J2243" s="0" t="n">
        <f aca="false">F2243</f>
        <v>0.375</v>
      </c>
      <c r="K2243" s="0" t="n">
        <f aca="false">D2243*E2243</f>
        <v>-0.0625</v>
      </c>
      <c r="L2243" s="0" t="n">
        <f aca="false">D2243*F2243</f>
        <v>-0.046875</v>
      </c>
      <c r="M2243" s="0" t="n">
        <f aca="false">E2243*F2243</f>
        <v>0.1875</v>
      </c>
      <c r="N2243" s="0" t="n">
        <f aca="false">D2243*D2243</f>
        <v>0.015625</v>
      </c>
      <c r="O2243" s="0" t="n">
        <f aca="false">E2243*E2243</f>
        <v>0.25</v>
      </c>
      <c r="P2243" s="0" t="n">
        <f aca="false">F2243*F2243</f>
        <v>0.140625</v>
      </c>
      <c r="Q2243" s="0" t="n">
        <f aca="false">SUMPRODUCT(G2243:P2243,_XtX!$B$71:$K$71)</f>
        <v>48.9096732954546</v>
      </c>
      <c r="R2243" s="0" t="n">
        <f aca="false">SUMPRODUCT(MMULT(G2243:P2243,_XtX!$B$58:$K$67),G2243:P2243)</f>
        <v>0.14578690962358</v>
      </c>
      <c r="S2243" s="0" t="n">
        <f aca="false">04_回帰ANOVA!$K$19*04_回帰ANOVA!$K$14*SQRT(1+R2243)</f>
        <v>0.995218783457917</v>
      </c>
      <c r="T2243" s="0" t="n">
        <f aca="false">Q2243-S2243</f>
        <v>47.9144545119966</v>
      </c>
      <c r="U2243" s="0" t="n">
        <f aca="false">Q2243+S2243</f>
        <v>49.9048920789125</v>
      </c>
      <c r="V2243" s="54" t="b">
        <f aca="false">AND(D2243&gt;=01_因子設定!$L$5-0.000000001,D2243&lt;=01_因子設定!$M$5+0.000000001,E2243&gt;=01_因子設定!$L$6-0.000000001,E2243&lt;=01_因子設定!$M$6+0.000000001,F2243&gt;=01_因子設定!$L$7-0.000000001,F2243&lt;=01_因子設定!$M$7+0.000000001,IF(01_因子設定!$B$20="Box-Behnken",D2243^2+E2243^2+F2243^2&lt;=2+0.000000001,TRUE()))</f>
        <v>1</v>
      </c>
      <c r="W2243" s="55" t="n">
        <f aca="false">IF(V2243,IF(01_因子設定!$B$13="最大化",T2243-01_因子設定!$B$14,IF(01_因子設定!$B$13="最小化",01_因子設定!$B$15-U2243,MIN(T2243-01_因子設定!$B$14,01_因子設定!$B$15-U2243))),-1E+030)</f>
        <v>-0.585545488003355</v>
      </c>
      <c r="X2243" s="55" t="n">
        <f aca="false">IF(V2243,IF(01_因子設定!$B$13="最大化",Q2243,IF(01_因子設定!$B$13="最小化",-Q2243,-ABS(Q2243-01_因子設定!$B$16))),-1E+030)</f>
        <v>48.9096732954546</v>
      </c>
      <c r="Y2243" s="55" t="n">
        <f aca="false">W2243+ROW()*0.000000001</f>
        <v>-0.585543245003355</v>
      </c>
      <c r="Z2243" s="55" t="n">
        <f aca="false">X2243+ROW()*0.000000001</f>
        <v>48.9096755384546</v>
      </c>
    </row>
    <row r="2244" customFormat="false" ht="15" hidden="false" customHeight="false" outlineLevel="0" collapsed="false">
      <c r="A2244" s="0" t="n">
        <v>7</v>
      </c>
      <c r="B2244" s="0" t="n">
        <v>12</v>
      </c>
      <c r="C2244" s="0" t="n">
        <v>12</v>
      </c>
      <c r="D2244" s="0" t="n">
        <f aca="false">-1+A2244*0.125</f>
        <v>-0.125</v>
      </c>
      <c r="E2244" s="0" t="n">
        <f aca="false">-1+B2244*0.125</f>
        <v>0.5</v>
      </c>
      <c r="F2244" s="0" t="n">
        <f aca="false">-1+C2244*0.125</f>
        <v>0.5</v>
      </c>
      <c r="G2244" s="0" t="n">
        <f aca="false">1</f>
        <v>1</v>
      </c>
      <c r="H2244" s="0" t="n">
        <f aca="false">D2244</f>
        <v>-0.125</v>
      </c>
      <c r="I2244" s="0" t="n">
        <f aca="false">E2244</f>
        <v>0.5</v>
      </c>
      <c r="J2244" s="0" t="n">
        <f aca="false">F2244</f>
        <v>0.5</v>
      </c>
      <c r="K2244" s="0" t="n">
        <f aca="false">D2244*E2244</f>
        <v>-0.0625</v>
      </c>
      <c r="L2244" s="0" t="n">
        <f aca="false">D2244*F2244</f>
        <v>-0.0625</v>
      </c>
      <c r="M2244" s="0" t="n">
        <f aca="false">E2244*F2244</f>
        <v>0.25</v>
      </c>
      <c r="N2244" s="0" t="n">
        <f aca="false">D2244*D2244</f>
        <v>0.015625</v>
      </c>
      <c r="O2244" s="0" t="n">
        <f aca="false">E2244*E2244</f>
        <v>0.25</v>
      </c>
      <c r="P2244" s="0" t="n">
        <f aca="false">F2244*F2244</f>
        <v>0.25</v>
      </c>
      <c r="Q2244" s="0" t="n">
        <f aca="false">SUMPRODUCT(G2244:P2244,_XtX!$B$71:$K$71)</f>
        <v>48.9838778409091</v>
      </c>
      <c r="R2244" s="0" t="n">
        <f aca="false">SUMPRODUCT(MMULT(G2244:P2244,_XtX!$B$58:$K$67),G2244:P2244)</f>
        <v>0.158025568181818</v>
      </c>
      <c r="S2244" s="0" t="n">
        <f aca="false">04_回帰ANOVA!$K$19*04_回帰ANOVA!$K$14*SQRT(1+R2244)</f>
        <v>1.00051985207691</v>
      </c>
      <c r="T2244" s="0" t="n">
        <f aca="false">Q2244-S2244</f>
        <v>47.9833579888322</v>
      </c>
      <c r="U2244" s="0" t="n">
        <f aca="false">Q2244+S2244</f>
        <v>49.984397692986</v>
      </c>
      <c r="V2244" s="54" t="b">
        <f aca="false">AND(D2244&gt;=01_因子設定!$L$5-0.000000001,D2244&lt;=01_因子設定!$M$5+0.000000001,E2244&gt;=01_因子設定!$L$6-0.000000001,E2244&lt;=01_因子設定!$M$6+0.000000001,F2244&gt;=01_因子設定!$L$7-0.000000001,F2244&lt;=01_因子設定!$M$7+0.000000001,IF(01_因子設定!$B$20="Box-Behnken",D2244^2+E2244^2+F2244^2&lt;=2+0.000000001,TRUE()))</f>
        <v>1</v>
      </c>
      <c r="W2244" s="55" t="n">
        <f aca="false">IF(V2244,IF(01_因子設定!$B$13="最大化",T2244-01_因子設定!$B$14,IF(01_因子設定!$B$13="最小化",01_因子設定!$B$15-U2244,MIN(T2244-01_因子設定!$B$14,01_因子設定!$B$15-U2244))),-1E+030)</f>
        <v>-0.516642011167804</v>
      </c>
      <c r="X2244" s="55" t="n">
        <f aca="false">IF(V2244,IF(01_因子設定!$B$13="最大化",Q2244,IF(01_因子設定!$B$13="最小化",-Q2244,-ABS(Q2244-01_因子設定!$B$16))),-1E+030)</f>
        <v>48.9838778409091</v>
      </c>
      <c r="Y2244" s="55" t="n">
        <f aca="false">W2244+ROW()*0.000000001</f>
        <v>-0.516639767167804</v>
      </c>
      <c r="Z2244" s="55" t="n">
        <f aca="false">X2244+ROW()*0.000000001</f>
        <v>48.9838800849091</v>
      </c>
    </row>
    <row r="2245" customFormat="false" ht="15" hidden="false" customHeight="false" outlineLevel="0" collapsed="false">
      <c r="A2245" s="0" t="n">
        <v>7</v>
      </c>
      <c r="B2245" s="0" t="n">
        <v>12</v>
      </c>
      <c r="C2245" s="0" t="n">
        <v>13</v>
      </c>
      <c r="D2245" s="0" t="n">
        <f aca="false">-1+A2245*0.125</f>
        <v>-0.125</v>
      </c>
      <c r="E2245" s="0" t="n">
        <f aca="false">-1+B2245*0.125</f>
        <v>0.5</v>
      </c>
      <c r="F2245" s="0" t="n">
        <f aca="false">-1+C2245*0.125</f>
        <v>0.625</v>
      </c>
      <c r="G2245" s="0" t="n">
        <f aca="false">1</f>
        <v>1</v>
      </c>
      <c r="H2245" s="0" t="n">
        <f aca="false">D2245</f>
        <v>-0.125</v>
      </c>
      <c r="I2245" s="0" t="n">
        <f aca="false">E2245</f>
        <v>0.5</v>
      </c>
      <c r="J2245" s="0" t="n">
        <f aca="false">F2245</f>
        <v>0.625</v>
      </c>
      <c r="K2245" s="0" t="n">
        <f aca="false">D2245*E2245</f>
        <v>-0.0625</v>
      </c>
      <c r="L2245" s="0" t="n">
        <f aca="false">D2245*F2245</f>
        <v>-0.078125</v>
      </c>
      <c r="M2245" s="0" t="n">
        <f aca="false">E2245*F2245</f>
        <v>0.3125</v>
      </c>
      <c r="N2245" s="0" t="n">
        <f aca="false">D2245*D2245</f>
        <v>0.015625</v>
      </c>
      <c r="O2245" s="0" t="n">
        <f aca="false">E2245*E2245</f>
        <v>0.25</v>
      </c>
      <c r="P2245" s="0" t="n">
        <f aca="false">F2245*F2245</f>
        <v>0.390625</v>
      </c>
      <c r="Q2245" s="0" t="n">
        <f aca="false">SUMPRODUCT(G2245:P2245,_XtX!$B$71:$K$71)</f>
        <v>49.0212926136364</v>
      </c>
      <c r="R2245" s="0" t="n">
        <f aca="false">SUMPRODUCT(MMULT(G2245:P2245,_XtX!$B$58:$K$67),G2245:P2245)</f>
        <v>0.186545077237216</v>
      </c>
      <c r="S2245" s="0" t="n">
        <f aca="false">04_回帰ANOVA!$K$19*04_回帰ANOVA!$K$14*SQRT(1+R2245)</f>
        <v>1.01276516970713</v>
      </c>
      <c r="T2245" s="0" t="n">
        <f aca="false">Q2245-S2245</f>
        <v>48.0085274439293</v>
      </c>
      <c r="U2245" s="0" t="n">
        <f aca="false">Q2245+S2245</f>
        <v>50.0340577833435</v>
      </c>
      <c r="V2245" s="54" t="b">
        <f aca="false">AND(D2245&gt;=01_因子設定!$L$5-0.000000001,D2245&lt;=01_因子設定!$M$5+0.000000001,E2245&gt;=01_因子設定!$L$6-0.000000001,E2245&lt;=01_因子設定!$M$6+0.000000001,F2245&gt;=01_因子設定!$L$7-0.000000001,F2245&lt;=01_因子設定!$M$7+0.000000001,IF(01_因子設定!$B$20="Box-Behnken",D2245^2+E2245^2+F2245^2&lt;=2+0.000000001,TRUE()))</f>
        <v>1</v>
      </c>
      <c r="W2245" s="55" t="n">
        <f aca="false">IF(V2245,IF(01_因子設定!$B$13="最大化",T2245-01_因子設定!$B$14,IF(01_因子設定!$B$13="最小化",01_因子設定!$B$15-U2245,MIN(T2245-01_因子設定!$B$14,01_因子設定!$B$15-U2245))),-1E+030)</f>
        <v>-0.491472556070747</v>
      </c>
      <c r="X2245" s="55" t="n">
        <f aca="false">IF(V2245,IF(01_因子設定!$B$13="最大化",Q2245,IF(01_因子設定!$B$13="最小化",-Q2245,-ABS(Q2245-01_因子設定!$B$16))),-1E+030)</f>
        <v>49.0212926136364</v>
      </c>
      <c r="Y2245" s="55" t="n">
        <f aca="false">W2245+ROW()*0.000000001</f>
        <v>-0.491470311070747</v>
      </c>
      <c r="Z2245" s="55" t="n">
        <f aca="false">X2245+ROW()*0.000000001</f>
        <v>49.0212948586364</v>
      </c>
    </row>
    <row r="2246" customFormat="false" ht="15" hidden="false" customHeight="false" outlineLevel="0" collapsed="false">
      <c r="A2246" s="0" t="n">
        <v>7</v>
      </c>
      <c r="B2246" s="0" t="n">
        <v>12</v>
      </c>
      <c r="C2246" s="0" t="n">
        <v>14</v>
      </c>
      <c r="D2246" s="0" t="n">
        <f aca="false">-1+A2246*0.125</f>
        <v>-0.125</v>
      </c>
      <c r="E2246" s="0" t="n">
        <f aca="false">-1+B2246*0.125</f>
        <v>0.5</v>
      </c>
      <c r="F2246" s="0" t="n">
        <f aca="false">-1+C2246*0.125</f>
        <v>0.75</v>
      </c>
      <c r="G2246" s="0" t="n">
        <f aca="false">1</f>
        <v>1</v>
      </c>
      <c r="H2246" s="0" t="n">
        <f aca="false">D2246</f>
        <v>-0.125</v>
      </c>
      <c r="I2246" s="0" t="n">
        <f aca="false">E2246</f>
        <v>0.5</v>
      </c>
      <c r="J2246" s="0" t="n">
        <f aca="false">F2246</f>
        <v>0.75</v>
      </c>
      <c r="K2246" s="0" t="n">
        <f aca="false">D2246*E2246</f>
        <v>-0.0625</v>
      </c>
      <c r="L2246" s="0" t="n">
        <f aca="false">D2246*F2246</f>
        <v>-0.09375</v>
      </c>
      <c r="M2246" s="0" t="n">
        <f aca="false">E2246*F2246</f>
        <v>0.375</v>
      </c>
      <c r="N2246" s="0" t="n">
        <f aca="false">D2246*D2246</f>
        <v>0.015625</v>
      </c>
      <c r="O2246" s="0" t="n">
        <f aca="false">E2246*E2246</f>
        <v>0.25</v>
      </c>
      <c r="P2246" s="0" t="n">
        <f aca="false">F2246*F2246</f>
        <v>0.5625</v>
      </c>
      <c r="Q2246" s="0" t="n">
        <f aca="false">SUMPRODUCT(G2246:P2246,_XtX!$B$71:$K$71)</f>
        <v>49.0219176136364</v>
      </c>
      <c r="R2246" s="0" t="n">
        <f aca="false">SUMPRODUCT(MMULT(G2246:P2246,_XtX!$B$58:$K$67),G2246:P2246)</f>
        <v>0.240933504971591</v>
      </c>
      <c r="S2246" s="0" t="n">
        <f aca="false">04_回帰ANOVA!$K$19*04_回帰ANOVA!$K$14*SQRT(1+R2246)</f>
        <v>1.03571649118863</v>
      </c>
      <c r="T2246" s="0" t="n">
        <f aca="false">Q2246-S2246</f>
        <v>47.9862011224478</v>
      </c>
      <c r="U2246" s="0" t="n">
        <f aca="false">Q2246+S2246</f>
        <v>50.057634104825</v>
      </c>
      <c r="V2246" s="54" t="b">
        <f aca="false">AND(D2246&gt;=01_因子設定!$L$5-0.000000001,D2246&lt;=01_因子設定!$M$5+0.000000001,E2246&gt;=01_因子設定!$L$6-0.000000001,E2246&lt;=01_因子設定!$M$6+0.000000001,F2246&gt;=01_因子設定!$L$7-0.000000001,F2246&lt;=01_因子設定!$M$7+0.000000001,IF(01_因子設定!$B$20="Box-Behnken",D2246^2+E2246^2+F2246^2&lt;=2+0.000000001,TRUE()))</f>
        <v>1</v>
      </c>
      <c r="W2246" s="55" t="n">
        <f aca="false">IF(V2246,IF(01_因子設定!$B$13="最大化",T2246-01_因子設定!$B$14,IF(01_因子設定!$B$13="最小化",01_因子設定!$B$15-U2246,MIN(T2246-01_因子設定!$B$14,01_因子設定!$B$15-U2246))),-1E+030)</f>
        <v>-0.51379887755224</v>
      </c>
      <c r="X2246" s="55" t="n">
        <f aca="false">IF(V2246,IF(01_因子設定!$B$13="最大化",Q2246,IF(01_因子設定!$B$13="最小化",-Q2246,-ABS(Q2246-01_因子設定!$B$16))),-1E+030)</f>
        <v>49.0219176136364</v>
      </c>
      <c r="Y2246" s="55" t="n">
        <f aca="false">W2246+ROW()*0.000000001</f>
        <v>-0.51379663155224</v>
      </c>
      <c r="Z2246" s="55" t="n">
        <f aca="false">X2246+ROW()*0.000000001</f>
        <v>49.0219198596364</v>
      </c>
    </row>
    <row r="2247" customFormat="false" ht="15" hidden="false" customHeight="false" outlineLevel="0" collapsed="false">
      <c r="A2247" s="0" t="n">
        <v>7</v>
      </c>
      <c r="B2247" s="0" t="n">
        <v>12</v>
      </c>
      <c r="C2247" s="0" t="n">
        <v>15</v>
      </c>
      <c r="D2247" s="0" t="n">
        <f aca="false">-1+A2247*0.125</f>
        <v>-0.125</v>
      </c>
      <c r="E2247" s="0" t="n">
        <f aca="false">-1+B2247*0.125</f>
        <v>0.5</v>
      </c>
      <c r="F2247" s="0" t="n">
        <f aca="false">-1+C2247*0.125</f>
        <v>0.875</v>
      </c>
      <c r="G2247" s="0" t="n">
        <f aca="false">1</f>
        <v>1</v>
      </c>
      <c r="H2247" s="0" t="n">
        <f aca="false">D2247</f>
        <v>-0.125</v>
      </c>
      <c r="I2247" s="0" t="n">
        <f aca="false">E2247</f>
        <v>0.5</v>
      </c>
      <c r="J2247" s="0" t="n">
        <f aca="false">F2247</f>
        <v>0.875</v>
      </c>
      <c r="K2247" s="0" t="n">
        <f aca="false">D2247*E2247</f>
        <v>-0.0625</v>
      </c>
      <c r="L2247" s="0" t="n">
        <f aca="false">D2247*F2247</f>
        <v>-0.109375</v>
      </c>
      <c r="M2247" s="0" t="n">
        <f aca="false">E2247*F2247</f>
        <v>0.4375</v>
      </c>
      <c r="N2247" s="0" t="n">
        <f aca="false">D2247*D2247</f>
        <v>0.015625</v>
      </c>
      <c r="O2247" s="0" t="n">
        <f aca="false">E2247*E2247</f>
        <v>0.25</v>
      </c>
      <c r="P2247" s="0" t="n">
        <f aca="false">F2247*F2247</f>
        <v>0.765625</v>
      </c>
      <c r="Q2247" s="0" t="n">
        <f aca="false">SUMPRODUCT(G2247:P2247,_XtX!$B$71:$K$71)</f>
        <v>48.9857528409091</v>
      </c>
      <c r="R2247" s="0" t="n">
        <f aca="false">SUMPRODUCT(MMULT(G2247:P2247,_XtX!$B$58:$K$67),G2247:P2247)</f>
        <v>0.332909601384943</v>
      </c>
      <c r="S2247" s="0" t="n">
        <f aca="false">04_回帰ANOVA!$K$19*04_回帰ANOVA!$K$14*SQRT(1+R2247)</f>
        <v>1.07341333007404</v>
      </c>
      <c r="T2247" s="0" t="n">
        <f aca="false">Q2247-S2247</f>
        <v>47.9123395108351</v>
      </c>
      <c r="U2247" s="0" t="n">
        <f aca="false">Q2247+S2247</f>
        <v>50.0591661709832</v>
      </c>
      <c r="V2247" s="54" t="b">
        <f aca="false">AND(D2247&gt;=01_因子設定!$L$5-0.000000001,D2247&lt;=01_因子設定!$M$5+0.000000001,E2247&gt;=01_因子設定!$L$6-0.000000001,E2247&lt;=01_因子設定!$M$6+0.000000001,F2247&gt;=01_因子設定!$L$7-0.000000001,F2247&lt;=01_因子設定!$M$7+0.000000001,IF(01_因子設定!$B$20="Box-Behnken",D2247^2+E2247^2+F2247^2&lt;=2+0.000000001,TRUE()))</f>
        <v>1</v>
      </c>
      <c r="W2247" s="55" t="n">
        <f aca="false">IF(V2247,IF(01_因子設定!$B$13="最大化",T2247-01_因子設定!$B$14,IF(01_因子設定!$B$13="最小化",01_因子設定!$B$15-U2247,MIN(T2247-01_因子設定!$B$14,01_因子設定!$B$15-U2247))),-1E+030)</f>
        <v>-0.587660489164925</v>
      </c>
      <c r="X2247" s="55" t="n">
        <f aca="false">IF(V2247,IF(01_因子設定!$B$13="最大化",Q2247,IF(01_因子設定!$B$13="最小化",-Q2247,-ABS(Q2247-01_因子設定!$B$16))),-1E+030)</f>
        <v>48.9857528409091</v>
      </c>
      <c r="Y2247" s="55" t="n">
        <f aca="false">W2247+ROW()*0.000000001</f>
        <v>-0.587658242164925</v>
      </c>
      <c r="Z2247" s="55" t="n">
        <f aca="false">X2247+ROW()*0.000000001</f>
        <v>48.9857550879091</v>
      </c>
    </row>
    <row r="2248" customFormat="false" ht="15" hidden="false" customHeight="false" outlineLevel="0" collapsed="false">
      <c r="A2248" s="0" t="n">
        <v>7</v>
      </c>
      <c r="B2248" s="0" t="n">
        <v>12</v>
      </c>
      <c r="C2248" s="0" t="n">
        <v>16</v>
      </c>
      <c r="D2248" s="0" t="n">
        <f aca="false">-1+A2248*0.125</f>
        <v>-0.125</v>
      </c>
      <c r="E2248" s="0" t="n">
        <f aca="false">-1+B2248*0.125</f>
        <v>0.5</v>
      </c>
      <c r="F2248" s="0" t="n">
        <f aca="false">-1+C2248*0.125</f>
        <v>1</v>
      </c>
      <c r="G2248" s="0" t="n">
        <f aca="false">1</f>
        <v>1</v>
      </c>
      <c r="H2248" s="0" t="n">
        <f aca="false">D2248</f>
        <v>-0.125</v>
      </c>
      <c r="I2248" s="0" t="n">
        <f aca="false">E2248</f>
        <v>0.5</v>
      </c>
      <c r="J2248" s="0" t="n">
        <f aca="false">F2248</f>
        <v>1</v>
      </c>
      <c r="K2248" s="0" t="n">
        <f aca="false">D2248*E2248</f>
        <v>-0.0625</v>
      </c>
      <c r="L2248" s="0" t="n">
        <f aca="false">D2248*F2248</f>
        <v>-0.125</v>
      </c>
      <c r="M2248" s="0" t="n">
        <f aca="false">E2248*F2248</f>
        <v>0.5</v>
      </c>
      <c r="N2248" s="0" t="n">
        <f aca="false">D2248*D2248</f>
        <v>0.015625</v>
      </c>
      <c r="O2248" s="0" t="n">
        <f aca="false">E2248*E2248</f>
        <v>0.25</v>
      </c>
      <c r="P2248" s="0" t="n">
        <f aca="false">F2248*F2248</f>
        <v>1</v>
      </c>
      <c r="Q2248" s="0" t="n">
        <f aca="false">SUMPRODUCT(G2248:P2248,_XtX!$B$71:$K$71)</f>
        <v>48.9127982954546</v>
      </c>
      <c r="R2248" s="0" t="n">
        <f aca="false">SUMPRODUCT(MMULT(G2248:P2248,_XtX!$B$58:$K$67),G2248:P2248)</f>
        <v>0.476322798295455</v>
      </c>
      <c r="S2248" s="0" t="n">
        <f aca="false">04_回帰ANOVA!$K$19*04_回帰ANOVA!$K$14*SQRT(1+R2248)</f>
        <v>1.12968483630128</v>
      </c>
      <c r="T2248" s="0" t="n">
        <f aca="false">Q2248-S2248</f>
        <v>47.7831134591533</v>
      </c>
      <c r="U2248" s="0" t="n">
        <f aca="false">Q2248+S2248</f>
        <v>50.0424831317559</v>
      </c>
      <c r="V2248" s="54" t="b">
        <f aca="false">AND(D2248&gt;=01_因子設定!$L$5-0.000000001,D2248&lt;=01_因子設定!$M$5+0.000000001,E2248&gt;=01_因子設定!$L$6-0.000000001,E2248&lt;=01_因子設定!$M$6+0.000000001,F2248&gt;=01_因子設定!$L$7-0.000000001,F2248&lt;=01_因子設定!$M$7+0.000000001,IF(01_因子設定!$B$20="Box-Behnken",D2248^2+E2248^2+F2248^2&lt;=2+0.000000001,TRUE()))</f>
        <v>1</v>
      </c>
      <c r="W2248" s="55" t="n">
        <f aca="false">IF(V2248,IF(01_因子設定!$B$13="最大化",T2248-01_因子設定!$B$14,IF(01_因子設定!$B$13="最小化",01_因子設定!$B$15-U2248,MIN(T2248-01_因子設定!$B$14,01_因子設定!$B$15-U2248))),-1E+030)</f>
        <v>-0.716886540846708</v>
      </c>
      <c r="X2248" s="55" t="n">
        <f aca="false">IF(V2248,IF(01_因子設定!$B$13="最大化",Q2248,IF(01_因子設定!$B$13="最小化",-Q2248,-ABS(Q2248-01_因子設定!$B$16))),-1E+030)</f>
        <v>48.9127982954546</v>
      </c>
      <c r="Y2248" s="55" t="n">
        <f aca="false">W2248+ROW()*0.000000001</f>
        <v>-0.716884292846708</v>
      </c>
      <c r="Z2248" s="55" t="n">
        <f aca="false">X2248+ROW()*0.000000001</f>
        <v>48.9128005434546</v>
      </c>
    </row>
    <row r="2249" customFormat="false" ht="15" hidden="false" customHeight="false" outlineLevel="0" collapsed="false">
      <c r="A2249" s="0" t="n">
        <v>7</v>
      </c>
      <c r="B2249" s="0" t="n">
        <v>13</v>
      </c>
      <c r="C2249" s="0" t="n">
        <v>0</v>
      </c>
      <c r="D2249" s="0" t="n">
        <f aca="false">-1+A2249*0.125</f>
        <v>-0.125</v>
      </c>
      <c r="E2249" s="0" t="n">
        <f aca="false">-1+B2249*0.125</f>
        <v>0.625</v>
      </c>
      <c r="F2249" s="0" t="n">
        <f aca="false">-1+C2249*0.125</f>
        <v>-1</v>
      </c>
      <c r="G2249" s="0" t="n">
        <f aca="false">1</f>
        <v>1</v>
      </c>
      <c r="H2249" s="0" t="n">
        <f aca="false">D2249</f>
        <v>-0.125</v>
      </c>
      <c r="I2249" s="0" t="n">
        <f aca="false">E2249</f>
        <v>0.625</v>
      </c>
      <c r="J2249" s="0" t="n">
        <f aca="false">F2249</f>
        <v>-1</v>
      </c>
      <c r="K2249" s="0" t="n">
        <f aca="false">D2249*E2249</f>
        <v>-0.078125</v>
      </c>
      <c r="L2249" s="0" t="n">
        <f aca="false">D2249*F2249</f>
        <v>0.125</v>
      </c>
      <c r="M2249" s="0" t="n">
        <f aca="false">E2249*F2249</f>
        <v>-0.625</v>
      </c>
      <c r="N2249" s="0" t="n">
        <f aca="false">D2249*D2249</f>
        <v>0.015625</v>
      </c>
      <c r="O2249" s="0" t="n">
        <f aca="false">E2249*E2249</f>
        <v>0.390625</v>
      </c>
      <c r="P2249" s="0" t="n">
        <f aca="false">F2249*F2249</f>
        <v>1</v>
      </c>
      <c r="Q2249" s="0" t="n">
        <f aca="false">SUMPRODUCT(G2249:P2249,_XtX!$B$71:$K$71)</f>
        <v>45.5635724431819</v>
      </c>
      <c r="R2249" s="0" t="n">
        <f aca="false">SUMPRODUCT(MMULT(G2249:P2249,_XtX!$B$58:$K$67),G2249:P2249)</f>
        <v>0.489261696555398</v>
      </c>
      <c r="S2249" s="0" t="n">
        <f aca="false">04_回帰ANOVA!$K$19*04_回帰ANOVA!$K$14*SQRT(1+R2249)</f>
        <v>1.13462447083763</v>
      </c>
      <c r="T2249" s="0" t="n">
        <f aca="false">Q2249-S2249</f>
        <v>44.4289479723442</v>
      </c>
      <c r="U2249" s="0" t="n">
        <f aca="false">Q2249+S2249</f>
        <v>46.6981969140195</v>
      </c>
      <c r="V2249" s="54" t="b">
        <f aca="false">AND(D2249&gt;=01_因子設定!$L$5-0.000000001,D2249&lt;=01_因子設定!$M$5+0.000000001,E2249&gt;=01_因子設定!$L$6-0.000000001,E2249&lt;=01_因子設定!$M$6+0.000000001,F2249&gt;=01_因子設定!$L$7-0.000000001,F2249&lt;=01_因子設定!$M$7+0.000000001,IF(01_因子設定!$B$20="Box-Behnken",D2249^2+E2249^2+F2249^2&lt;=2+0.000000001,TRUE()))</f>
        <v>1</v>
      </c>
      <c r="W2249" s="55" t="n">
        <f aca="false">IF(V2249,IF(01_因子設定!$B$13="最大化",T2249-01_因子設定!$B$14,IF(01_因子設定!$B$13="最小化",01_因子設定!$B$15-U2249,MIN(T2249-01_因子設定!$B$14,01_因子設定!$B$15-U2249))),-1E+030)</f>
        <v>-4.07105202765579</v>
      </c>
      <c r="X2249" s="55" t="n">
        <f aca="false">IF(V2249,IF(01_因子設定!$B$13="最大化",Q2249,IF(01_因子設定!$B$13="最小化",-Q2249,-ABS(Q2249-01_因子設定!$B$16))),-1E+030)</f>
        <v>45.5635724431819</v>
      </c>
      <c r="Y2249" s="55" t="n">
        <f aca="false">W2249+ROW()*0.000000001</f>
        <v>-4.07104977865579</v>
      </c>
      <c r="Z2249" s="55" t="n">
        <f aca="false">X2249+ROW()*0.000000001</f>
        <v>45.5635746921818</v>
      </c>
    </row>
    <row r="2250" customFormat="false" ht="15" hidden="false" customHeight="false" outlineLevel="0" collapsed="false">
      <c r="A2250" s="0" t="n">
        <v>7</v>
      </c>
      <c r="B2250" s="0" t="n">
        <v>13</v>
      </c>
      <c r="C2250" s="0" t="n">
        <v>1</v>
      </c>
      <c r="D2250" s="0" t="n">
        <f aca="false">-1+A2250*0.125</f>
        <v>-0.125</v>
      </c>
      <c r="E2250" s="0" t="n">
        <f aca="false">-1+B2250*0.125</f>
        <v>0.625</v>
      </c>
      <c r="F2250" s="0" t="n">
        <f aca="false">-1+C2250*0.125</f>
        <v>-0.875</v>
      </c>
      <c r="G2250" s="0" t="n">
        <f aca="false">1</f>
        <v>1</v>
      </c>
      <c r="H2250" s="0" t="n">
        <f aca="false">D2250</f>
        <v>-0.125</v>
      </c>
      <c r="I2250" s="0" t="n">
        <f aca="false">E2250</f>
        <v>0.625</v>
      </c>
      <c r="J2250" s="0" t="n">
        <f aca="false">F2250</f>
        <v>-0.875</v>
      </c>
      <c r="K2250" s="0" t="n">
        <f aca="false">D2250*E2250</f>
        <v>-0.078125</v>
      </c>
      <c r="L2250" s="0" t="n">
        <f aca="false">D2250*F2250</f>
        <v>0.109375</v>
      </c>
      <c r="M2250" s="0" t="n">
        <f aca="false">E2250*F2250</f>
        <v>-0.546875</v>
      </c>
      <c r="N2250" s="0" t="n">
        <f aca="false">D2250*D2250</f>
        <v>0.015625</v>
      </c>
      <c r="O2250" s="0" t="n">
        <f aca="false">E2250*E2250</f>
        <v>0.390625</v>
      </c>
      <c r="P2250" s="0" t="n">
        <f aca="false">F2250*F2250</f>
        <v>0.765625</v>
      </c>
      <c r="Q2250" s="0" t="n">
        <f aca="false">SUMPRODUCT(G2250:P2250,_XtX!$B$71:$K$71)</f>
        <v>46.0494957386364</v>
      </c>
      <c r="R2250" s="0" t="n">
        <f aca="false">SUMPRODUCT(MMULT(G2250:P2250,_XtX!$B$58:$K$67),G2250:P2250)</f>
        <v>0.350717440518466</v>
      </c>
      <c r="S2250" s="0" t="n">
        <f aca="false">04_回帰ANOVA!$K$19*04_回帰ANOVA!$K$14*SQRT(1+R2250)</f>
        <v>1.08056000737898</v>
      </c>
      <c r="T2250" s="0" t="n">
        <f aca="false">Q2250-S2250</f>
        <v>44.9689357312574</v>
      </c>
      <c r="U2250" s="0" t="n">
        <f aca="false">Q2250+S2250</f>
        <v>47.1300557460154</v>
      </c>
      <c r="V2250" s="54" t="b">
        <f aca="false">AND(D2250&gt;=01_因子設定!$L$5-0.000000001,D2250&lt;=01_因子設定!$M$5+0.000000001,E2250&gt;=01_因子設定!$L$6-0.000000001,E2250&lt;=01_因子設定!$M$6+0.000000001,F2250&gt;=01_因子設定!$L$7-0.000000001,F2250&lt;=01_因子設定!$M$7+0.000000001,IF(01_因子設定!$B$20="Box-Behnken",D2250^2+E2250^2+F2250^2&lt;=2+0.000000001,TRUE()))</f>
        <v>1</v>
      </c>
      <c r="W2250" s="55" t="n">
        <f aca="false">IF(V2250,IF(01_因子設定!$B$13="最大化",T2250-01_因子設定!$B$14,IF(01_因子設定!$B$13="最小化",01_因子設定!$B$15-U2250,MIN(T2250-01_因子設定!$B$14,01_因子設定!$B$15-U2250))),-1E+030)</f>
        <v>-3.53106426874259</v>
      </c>
      <c r="X2250" s="55" t="n">
        <f aca="false">IF(V2250,IF(01_因子設定!$B$13="最大化",Q2250,IF(01_因子設定!$B$13="最小化",-Q2250,-ABS(Q2250-01_因子設定!$B$16))),-1E+030)</f>
        <v>46.0494957386364</v>
      </c>
      <c r="Y2250" s="55" t="n">
        <f aca="false">W2250+ROW()*0.000000001</f>
        <v>-3.53106201874259</v>
      </c>
      <c r="Z2250" s="55" t="n">
        <f aca="false">X2250+ROW()*0.000000001</f>
        <v>46.0494979886364</v>
      </c>
    </row>
    <row r="2251" customFormat="false" ht="15" hidden="false" customHeight="false" outlineLevel="0" collapsed="false">
      <c r="A2251" s="0" t="n">
        <v>7</v>
      </c>
      <c r="B2251" s="0" t="n">
        <v>13</v>
      </c>
      <c r="C2251" s="0" t="n">
        <v>2</v>
      </c>
      <c r="D2251" s="0" t="n">
        <f aca="false">-1+A2251*0.125</f>
        <v>-0.125</v>
      </c>
      <c r="E2251" s="0" t="n">
        <f aca="false">-1+B2251*0.125</f>
        <v>0.625</v>
      </c>
      <c r="F2251" s="0" t="n">
        <f aca="false">-1+C2251*0.125</f>
        <v>-0.75</v>
      </c>
      <c r="G2251" s="0" t="n">
        <f aca="false">1</f>
        <v>1</v>
      </c>
      <c r="H2251" s="0" t="n">
        <f aca="false">D2251</f>
        <v>-0.125</v>
      </c>
      <c r="I2251" s="0" t="n">
        <f aca="false">E2251</f>
        <v>0.625</v>
      </c>
      <c r="J2251" s="0" t="n">
        <f aca="false">F2251</f>
        <v>-0.75</v>
      </c>
      <c r="K2251" s="0" t="n">
        <f aca="false">D2251*E2251</f>
        <v>-0.078125</v>
      </c>
      <c r="L2251" s="0" t="n">
        <f aca="false">D2251*F2251</f>
        <v>0.09375</v>
      </c>
      <c r="M2251" s="0" t="n">
        <f aca="false">E2251*F2251</f>
        <v>-0.46875</v>
      </c>
      <c r="N2251" s="0" t="n">
        <f aca="false">D2251*D2251</f>
        <v>0.015625</v>
      </c>
      <c r="O2251" s="0" t="n">
        <f aca="false">E2251*E2251</f>
        <v>0.390625</v>
      </c>
      <c r="P2251" s="0" t="n">
        <f aca="false">F2251*F2251</f>
        <v>0.5625</v>
      </c>
      <c r="Q2251" s="0" t="n">
        <f aca="false">SUMPRODUCT(G2251:P2251,_XtX!$B$71:$K$71)</f>
        <v>46.4986292613637</v>
      </c>
      <c r="R2251" s="0" t="n">
        <f aca="false">SUMPRODUCT(MMULT(G2251:P2251,_XtX!$B$58:$K$67),G2251:P2251)</f>
        <v>0.262961092862216</v>
      </c>
      <c r="S2251" s="0" t="n">
        <f aca="false">04_回帰ANOVA!$K$19*04_回帰ANOVA!$K$14*SQRT(1+R2251)</f>
        <v>1.04486846483649</v>
      </c>
      <c r="T2251" s="0" t="n">
        <f aca="false">Q2251-S2251</f>
        <v>45.4537607965272</v>
      </c>
      <c r="U2251" s="0" t="n">
        <f aca="false">Q2251+S2251</f>
        <v>47.5434977262001</v>
      </c>
      <c r="V2251" s="54" t="b">
        <f aca="false">AND(D2251&gt;=01_因子設定!$L$5-0.000000001,D2251&lt;=01_因子設定!$M$5+0.000000001,E2251&gt;=01_因子設定!$L$6-0.000000001,E2251&lt;=01_因子設定!$M$6+0.000000001,F2251&gt;=01_因子設定!$L$7-0.000000001,F2251&lt;=01_因子設定!$M$7+0.000000001,IF(01_因子設定!$B$20="Box-Behnken",D2251^2+E2251^2+F2251^2&lt;=2+0.000000001,TRUE()))</f>
        <v>1</v>
      </c>
      <c r="W2251" s="55" t="n">
        <f aca="false">IF(V2251,IF(01_因子設定!$B$13="最大化",T2251-01_因子設定!$B$14,IF(01_因子設定!$B$13="最小化",01_因子設定!$B$15-U2251,MIN(T2251-01_因子設定!$B$14,01_因子設定!$B$15-U2251))),-1E+030)</f>
        <v>-3.04623920347283</v>
      </c>
      <c r="X2251" s="55" t="n">
        <f aca="false">IF(V2251,IF(01_因子設定!$B$13="最大化",Q2251,IF(01_因子設定!$B$13="最小化",-Q2251,-ABS(Q2251-01_因子設定!$B$16))),-1E+030)</f>
        <v>46.4986292613637</v>
      </c>
      <c r="Y2251" s="55" t="n">
        <f aca="false">W2251+ROW()*0.000000001</f>
        <v>-3.04623695247283</v>
      </c>
      <c r="Z2251" s="55" t="n">
        <f aca="false">X2251+ROW()*0.000000001</f>
        <v>46.4986315123637</v>
      </c>
    </row>
    <row r="2252" customFormat="false" ht="15" hidden="false" customHeight="false" outlineLevel="0" collapsed="false">
      <c r="A2252" s="0" t="n">
        <v>7</v>
      </c>
      <c r="B2252" s="0" t="n">
        <v>13</v>
      </c>
      <c r="C2252" s="0" t="n">
        <v>3</v>
      </c>
      <c r="D2252" s="0" t="n">
        <f aca="false">-1+A2252*0.125</f>
        <v>-0.125</v>
      </c>
      <c r="E2252" s="0" t="n">
        <f aca="false">-1+B2252*0.125</f>
        <v>0.625</v>
      </c>
      <c r="F2252" s="0" t="n">
        <f aca="false">-1+C2252*0.125</f>
        <v>-0.625</v>
      </c>
      <c r="G2252" s="0" t="n">
        <f aca="false">1</f>
        <v>1</v>
      </c>
      <c r="H2252" s="0" t="n">
        <f aca="false">D2252</f>
        <v>-0.125</v>
      </c>
      <c r="I2252" s="0" t="n">
        <f aca="false">E2252</f>
        <v>0.625</v>
      </c>
      <c r="J2252" s="0" t="n">
        <f aca="false">F2252</f>
        <v>-0.625</v>
      </c>
      <c r="K2252" s="0" t="n">
        <f aca="false">D2252*E2252</f>
        <v>-0.078125</v>
      </c>
      <c r="L2252" s="0" t="n">
        <f aca="false">D2252*F2252</f>
        <v>0.078125</v>
      </c>
      <c r="M2252" s="0" t="n">
        <f aca="false">E2252*F2252</f>
        <v>-0.390625</v>
      </c>
      <c r="N2252" s="0" t="n">
        <f aca="false">D2252*D2252</f>
        <v>0.015625</v>
      </c>
      <c r="O2252" s="0" t="n">
        <f aca="false">E2252*E2252</f>
        <v>0.390625</v>
      </c>
      <c r="P2252" s="0" t="n">
        <f aca="false">F2252*F2252</f>
        <v>0.390625</v>
      </c>
      <c r="Q2252" s="0" t="n">
        <f aca="false">SUMPRODUCT(G2252:P2252,_XtX!$B$71:$K$71)</f>
        <v>46.9109730113637</v>
      </c>
      <c r="R2252" s="0" t="n">
        <f aca="false">SUMPRODUCT(MMULT(G2252:P2252,_XtX!$B$58:$K$67),G2252:P2252)</f>
        <v>0.212143221768466</v>
      </c>
      <c r="S2252" s="0" t="n">
        <f aca="false">04_回帰ANOVA!$K$19*04_回帰ANOVA!$K$14*SQRT(1+R2252)</f>
        <v>1.02363141237304</v>
      </c>
      <c r="T2252" s="0" t="n">
        <f aca="false">Q2252-S2252</f>
        <v>45.8873415989906</v>
      </c>
      <c r="U2252" s="0" t="n">
        <f aca="false">Q2252+S2252</f>
        <v>47.9346044237367</v>
      </c>
      <c r="V2252" s="54" t="b">
        <f aca="false">AND(D2252&gt;=01_因子設定!$L$5-0.000000001,D2252&lt;=01_因子設定!$M$5+0.000000001,E2252&gt;=01_因子設定!$L$6-0.000000001,E2252&lt;=01_因子設定!$M$6+0.000000001,F2252&gt;=01_因子設定!$L$7-0.000000001,F2252&lt;=01_因子設定!$M$7+0.000000001,IF(01_因子設定!$B$20="Box-Behnken",D2252^2+E2252^2+F2252^2&lt;=2+0.000000001,TRUE()))</f>
        <v>1</v>
      </c>
      <c r="W2252" s="55" t="n">
        <f aca="false">IF(V2252,IF(01_因子設定!$B$13="最大化",T2252-01_因子設定!$B$14,IF(01_因子設定!$B$13="最小化",01_因子設定!$B$15-U2252,MIN(T2252-01_因子設定!$B$14,01_因子設定!$B$15-U2252))),-1E+030)</f>
        <v>-2.61265840100939</v>
      </c>
      <c r="X2252" s="55" t="n">
        <f aca="false">IF(V2252,IF(01_因子設定!$B$13="最大化",Q2252,IF(01_因子設定!$B$13="最小化",-Q2252,-ABS(Q2252-01_因子設定!$B$16))),-1E+030)</f>
        <v>46.9109730113637</v>
      </c>
      <c r="Y2252" s="55" t="n">
        <f aca="false">W2252+ROW()*0.000000001</f>
        <v>-2.61265614900939</v>
      </c>
      <c r="Z2252" s="55" t="n">
        <f aca="false">X2252+ROW()*0.000000001</f>
        <v>46.9109752633637</v>
      </c>
    </row>
    <row r="2253" customFormat="false" ht="15" hidden="false" customHeight="false" outlineLevel="0" collapsed="false">
      <c r="A2253" s="0" t="n">
        <v>7</v>
      </c>
      <c r="B2253" s="0" t="n">
        <v>13</v>
      </c>
      <c r="C2253" s="0" t="n">
        <v>4</v>
      </c>
      <c r="D2253" s="0" t="n">
        <f aca="false">-1+A2253*0.125</f>
        <v>-0.125</v>
      </c>
      <c r="E2253" s="0" t="n">
        <f aca="false">-1+B2253*0.125</f>
        <v>0.625</v>
      </c>
      <c r="F2253" s="0" t="n">
        <f aca="false">-1+C2253*0.125</f>
        <v>-0.5</v>
      </c>
      <c r="G2253" s="0" t="n">
        <f aca="false">1</f>
        <v>1</v>
      </c>
      <c r="H2253" s="0" t="n">
        <f aca="false">D2253</f>
        <v>-0.125</v>
      </c>
      <c r="I2253" s="0" t="n">
        <f aca="false">E2253</f>
        <v>0.625</v>
      </c>
      <c r="J2253" s="0" t="n">
        <f aca="false">F2253</f>
        <v>-0.5</v>
      </c>
      <c r="K2253" s="0" t="n">
        <f aca="false">D2253*E2253</f>
        <v>-0.078125</v>
      </c>
      <c r="L2253" s="0" t="n">
        <f aca="false">D2253*F2253</f>
        <v>0.0625</v>
      </c>
      <c r="M2253" s="0" t="n">
        <f aca="false">E2253*F2253</f>
        <v>-0.3125</v>
      </c>
      <c r="N2253" s="0" t="n">
        <f aca="false">D2253*D2253</f>
        <v>0.015625</v>
      </c>
      <c r="O2253" s="0" t="n">
        <f aca="false">E2253*E2253</f>
        <v>0.390625</v>
      </c>
      <c r="P2253" s="0" t="n">
        <f aca="false">F2253*F2253</f>
        <v>0.25</v>
      </c>
      <c r="Q2253" s="0" t="n">
        <f aca="false">SUMPRODUCT(G2253:P2253,_XtX!$B$71:$K$71)</f>
        <v>47.2865269886364</v>
      </c>
      <c r="R2253" s="0" t="n">
        <f aca="false">SUMPRODUCT(MMULT(G2253:P2253,_XtX!$B$58:$K$67),G2253:P2253)</f>
        <v>0.186545077237216</v>
      </c>
      <c r="S2253" s="0" t="n">
        <f aca="false">04_回帰ANOVA!$K$19*04_回帰ANOVA!$K$14*SQRT(1+R2253)</f>
        <v>1.01276516970713</v>
      </c>
      <c r="T2253" s="0" t="n">
        <f aca="false">Q2253-S2253</f>
        <v>46.2737618189292</v>
      </c>
      <c r="U2253" s="0" t="n">
        <f aca="false">Q2253+S2253</f>
        <v>48.2992921583435</v>
      </c>
      <c r="V2253" s="54" t="b">
        <f aca="false">AND(D2253&gt;=01_因子設定!$L$5-0.000000001,D2253&lt;=01_因子設定!$M$5+0.000000001,E2253&gt;=01_因子設定!$L$6-0.000000001,E2253&lt;=01_因子設定!$M$6+0.000000001,F2253&gt;=01_因子設定!$L$7-0.000000001,F2253&lt;=01_因子設定!$M$7+0.000000001,IF(01_因子設定!$B$20="Box-Behnken",D2253^2+E2253^2+F2253^2&lt;=2+0.000000001,TRUE()))</f>
        <v>1</v>
      </c>
      <c r="W2253" s="55" t="n">
        <f aca="false">IF(V2253,IF(01_因子設定!$B$13="最大化",T2253-01_因子設定!$B$14,IF(01_因子設定!$B$13="最小化",01_因子設定!$B$15-U2253,MIN(T2253-01_因子設定!$B$14,01_因子設定!$B$15-U2253))),-1E+030)</f>
        <v>-2.22623818107076</v>
      </c>
      <c r="X2253" s="55" t="n">
        <f aca="false">IF(V2253,IF(01_因子設定!$B$13="最大化",Q2253,IF(01_因子設定!$B$13="最小化",-Q2253,-ABS(Q2253-01_因子設定!$B$16))),-1E+030)</f>
        <v>47.2865269886364</v>
      </c>
      <c r="Y2253" s="55" t="n">
        <f aca="false">W2253+ROW()*0.000000001</f>
        <v>-2.22623592807076</v>
      </c>
      <c r="Z2253" s="55" t="n">
        <f aca="false">X2253+ROW()*0.000000001</f>
        <v>47.2865292416364</v>
      </c>
    </row>
    <row r="2254" customFormat="false" ht="15" hidden="false" customHeight="false" outlineLevel="0" collapsed="false">
      <c r="A2254" s="0" t="n">
        <v>7</v>
      </c>
      <c r="B2254" s="0" t="n">
        <v>13</v>
      </c>
      <c r="C2254" s="0" t="n">
        <v>5</v>
      </c>
      <c r="D2254" s="0" t="n">
        <f aca="false">-1+A2254*0.125</f>
        <v>-0.125</v>
      </c>
      <c r="E2254" s="0" t="n">
        <f aca="false">-1+B2254*0.125</f>
        <v>0.625</v>
      </c>
      <c r="F2254" s="0" t="n">
        <f aca="false">-1+C2254*0.125</f>
        <v>-0.375</v>
      </c>
      <c r="G2254" s="0" t="n">
        <f aca="false">1</f>
        <v>1</v>
      </c>
      <c r="H2254" s="0" t="n">
        <f aca="false">D2254</f>
        <v>-0.125</v>
      </c>
      <c r="I2254" s="0" t="n">
        <f aca="false">E2254</f>
        <v>0.625</v>
      </c>
      <c r="J2254" s="0" t="n">
        <f aca="false">F2254</f>
        <v>-0.375</v>
      </c>
      <c r="K2254" s="0" t="n">
        <f aca="false">D2254*E2254</f>
        <v>-0.078125</v>
      </c>
      <c r="L2254" s="0" t="n">
        <f aca="false">D2254*F2254</f>
        <v>0.046875</v>
      </c>
      <c r="M2254" s="0" t="n">
        <f aca="false">E2254*F2254</f>
        <v>-0.234375</v>
      </c>
      <c r="N2254" s="0" t="n">
        <f aca="false">D2254*D2254</f>
        <v>0.015625</v>
      </c>
      <c r="O2254" s="0" t="n">
        <f aca="false">E2254*E2254</f>
        <v>0.390625</v>
      </c>
      <c r="P2254" s="0" t="n">
        <f aca="false">F2254*F2254</f>
        <v>0.140625</v>
      </c>
      <c r="Q2254" s="0" t="n">
        <f aca="false">SUMPRODUCT(G2254:P2254,_XtX!$B$71:$K$71)</f>
        <v>47.6252911931818</v>
      </c>
      <c r="R2254" s="0" t="n">
        <f aca="false">SUMPRODUCT(MMULT(G2254:P2254,_XtX!$B$58:$K$67),G2254:P2254)</f>
        <v>0.176578591086648</v>
      </c>
      <c r="S2254" s="0" t="n">
        <f aca="false">04_回帰ANOVA!$K$19*04_回帰ANOVA!$K$14*SQRT(1+R2254)</f>
        <v>1.00850279676269</v>
      </c>
      <c r="T2254" s="0" t="n">
        <f aca="false">Q2254-S2254</f>
        <v>46.6167883964191</v>
      </c>
      <c r="U2254" s="0" t="n">
        <f aca="false">Q2254+S2254</f>
        <v>48.6337939899445</v>
      </c>
      <c r="V2254" s="54" t="b">
        <f aca="false">AND(D2254&gt;=01_因子設定!$L$5-0.000000001,D2254&lt;=01_因子設定!$M$5+0.000000001,E2254&gt;=01_因子設定!$L$6-0.000000001,E2254&lt;=01_因子設定!$M$6+0.000000001,F2254&gt;=01_因子設定!$L$7-0.000000001,F2254&lt;=01_因子設定!$M$7+0.000000001,IF(01_因子設定!$B$20="Box-Behnken",D2254^2+E2254^2+F2254^2&lt;=2+0.000000001,TRUE()))</f>
        <v>1</v>
      </c>
      <c r="W2254" s="55" t="n">
        <f aca="false">IF(V2254,IF(01_因子設定!$B$13="最大化",T2254-01_因子設定!$B$14,IF(01_因子設定!$B$13="最小化",01_因子設定!$B$15-U2254,MIN(T2254-01_因子設定!$B$14,01_因子設定!$B$15-U2254))),-1E+030)</f>
        <v>-1.88321160358086</v>
      </c>
      <c r="X2254" s="55" t="n">
        <f aca="false">IF(V2254,IF(01_因子設定!$B$13="最大化",Q2254,IF(01_因子設定!$B$13="最小化",-Q2254,-ABS(Q2254-01_因子設定!$B$16))),-1E+030)</f>
        <v>47.6252911931818</v>
      </c>
      <c r="Y2254" s="55" t="n">
        <f aca="false">W2254+ROW()*0.000000001</f>
        <v>-1.88320934958086</v>
      </c>
      <c r="Z2254" s="55" t="n">
        <f aca="false">X2254+ROW()*0.000000001</f>
        <v>47.6252934471818</v>
      </c>
    </row>
    <row r="2255" customFormat="false" ht="15" hidden="false" customHeight="false" outlineLevel="0" collapsed="false">
      <c r="A2255" s="0" t="n">
        <v>7</v>
      </c>
      <c r="B2255" s="0" t="n">
        <v>13</v>
      </c>
      <c r="C2255" s="0" t="n">
        <v>6</v>
      </c>
      <c r="D2255" s="0" t="n">
        <f aca="false">-1+A2255*0.125</f>
        <v>-0.125</v>
      </c>
      <c r="E2255" s="0" t="n">
        <f aca="false">-1+B2255*0.125</f>
        <v>0.625</v>
      </c>
      <c r="F2255" s="0" t="n">
        <f aca="false">-1+C2255*0.125</f>
        <v>-0.25</v>
      </c>
      <c r="G2255" s="0" t="n">
        <f aca="false">1</f>
        <v>1</v>
      </c>
      <c r="H2255" s="0" t="n">
        <f aca="false">D2255</f>
        <v>-0.125</v>
      </c>
      <c r="I2255" s="0" t="n">
        <f aca="false">E2255</f>
        <v>0.625</v>
      </c>
      <c r="J2255" s="0" t="n">
        <f aca="false">F2255</f>
        <v>-0.25</v>
      </c>
      <c r="K2255" s="0" t="n">
        <f aca="false">D2255*E2255</f>
        <v>-0.078125</v>
      </c>
      <c r="L2255" s="0" t="n">
        <f aca="false">D2255*F2255</f>
        <v>0.03125</v>
      </c>
      <c r="M2255" s="0" t="n">
        <f aca="false">E2255*F2255</f>
        <v>-0.15625</v>
      </c>
      <c r="N2255" s="0" t="n">
        <f aca="false">D2255*D2255</f>
        <v>0.015625</v>
      </c>
      <c r="O2255" s="0" t="n">
        <f aca="false">E2255*E2255</f>
        <v>0.390625</v>
      </c>
      <c r="P2255" s="0" t="n">
        <f aca="false">F2255*F2255</f>
        <v>0.0625</v>
      </c>
      <c r="Q2255" s="0" t="n">
        <f aca="false">SUMPRODUCT(G2255:P2255,_XtX!$B$71:$K$71)</f>
        <v>47.927265625</v>
      </c>
      <c r="R2255" s="0" t="n">
        <f aca="false">SUMPRODUCT(MMULT(G2255:P2255,_XtX!$B$58:$K$67),G2255:P2255)</f>
        <v>0.174786376953125</v>
      </c>
      <c r="S2255" s="0" t="n">
        <f aca="false">04_回帰ANOVA!$K$19*04_回帰ANOVA!$K$14*SQRT(1+R2255)</f>
        <v>1.00773440704286</v>
      </c>
      <c r="T2255" s="0" t="n">
        <f aca="false">Q2255-S2255</f>
        <v>46.9195312179572</v>
      </c>
      <c r="U2255" s="0" t="n">
        <f aca="false">Q2255+S2255</f>
        <v>48.9350000320429</v>
      </c>
      <c r="V2255" s="54" t="b">
        <f aca="false">AND(D2255&gt;=01_因子設定!$L$5-0.000000001,D2255&lt;=01_因子設定!$M$5+0.000000001,E2255&gt;=01_因子設定!$L$6-0.000000001,E2255&lt;=01_因子設定!$M$6+0.000000001,F2255&gt;=01_因子設定!$L$7-0.000000001,F2255&lt;=01_因子設定!$M$7+0.000000001,IF(01_因子設定!$B$20="Box-Behnken",D2255^2+E2255^2+F2255^2&lt;=2+0.000000001,TRUE()))</f>
        <v>1</v>
      </c>
      <c r="W2255" s="55" t="n">
        <f aca="false">IF(V2255,IF(01_因子設定!$B$13="最大化",T2255-01_因子設定!$B$14,IF(01_因子設定!$B$13="最小化",01_因子設定!$B$15-U2255,MIN(T2255-01_因子設定!$B$14,01_因子設定!$B$15-U2255))),-1E+030)</f>
        <v>-1.58046878204285</v>
      </c>
      <c r="X2255" s="55" t="n">
        <f aca="false">IF(V2255,IF(01_因子設定!$B$13="最大化",Q2255,IF(01_因子設定!$B$13="最小化",-Q2255,-ABS(Q2255-01_因子設定!$B$16))),-1E+030)</f>
        <v>47.927265625</v>
      </c>
      <c r="Y2255" s="55" t="n">
        <f aca="false">W2255+ROW()*0.000000001</f>
        <v>-1.58046652704285</v>
      </c>
      <c r="Z2255" s="55" t="n">
        <f aca="false">X2255+ROW()*0.000000001</f>
        <v>47.92726788</v>
      </c>
    </row>
    <row r="2256" customFormat="false" ht="15" hidden="false" customHeight="false" outlineLevel="0" collapsed="false">
      <c r="A2256" s="0" t="n">
        <v>7</v>
      </c>
      <c r="B2256" s="0" t="n">
        <v>13</v>
      </c>
      <c r="C2256" s="0" t="n">
        <v>7</v>
      </c>
      <c r="D2256" s="0" t="n">
        <f aca="false">-1+A2256*0.125</f>
        <v>-0.125</v>
      </c>
      <c r="E2256" s="0" t="n">
        <f aca="false">-1+B2256*0.125</f>
        <v>0.625</v>
      </c>
      <c r="F2256" s="0" t="n">
        <f aca="false">-1+C2256*0.125</f>
        <v>-0.125</v>
      </c>
      <c r="G2256" s="0" t="n">
        <f aca="false">1</f>
        <v>1</v>
      </c>
      <c r="H2256" s="0" t="n">
        <f aca="false">D2256</f>
        <v>-0.125</v>
      </c>
      <c r="I2256" s="0" t="n">
        <f aca="false">E2256</f>
        <v>0.625</v>
      </c>
      <c r="J2256" s="0" t="n">
        <f aca="false">F2256</f>
        <v>-0.125</v>
      </c>
      <c r="K2256" s="0" t="n">
        <f aca="false">D2256*E2256</f>
        <v>-0.078125</v>
      </c>
      <c r="L2256" s="0" t="n">
        <f aca="false">D2256*F2256</f>
        <v>0.015625</v>
      </c>
      <c r="M2256" s="0" t="n">
        <f aca="false">E2256*F2256</f>
        <v>-0.078125</v>
      </c>
      <c r="N2256" s="0" t="n">
        <f aca="false">D2256*D2256</f>
        <v>0.015625</v>
      </c>
      <c r="O2256" s="0" t="n">
        <f aca="false">E2256*E2256</f>
        <v>0.390625</v>
      </c>
      <c r="P2256" s="0" t="n">
        <f aca="false">F2256*F2256</f>
        <v>0.015625</v>
      </c>
      <c r="Q2256" s="0" t="n">
        <f aca="false">SUMPRODUCT(G2256:P2256,_XtX!$B$71:$K$71)</f>
        <v>48.1924502840909</v>
      </c>
      <c r="R2256" s="0" t="n">
        <f aca="false">SUMPRODUCT(MMULT(G2256:P2256,_XtX!$B$58:$K$67),G2256:P2256)</f>
        <v>0.175841730291193</v>
      </c>
      <c r="S2256" s="0" t="n">
        <f aca="false">04_回帰ANOVA!$K$19*04_回帰ANOVA!$K$14*SQRT(1+R2256)</f>
        <v>1.00818694767054</v>
      </c>
      <c r="T2256" s="0" t="n">
        <f aca="false">Q2256-S2256</f>
        <v>47.1842633364204</v>
      </c>
      <c r="U2256" s="0" t="n">
        <f aca="false">Q2256+S2256</f>
        <v>49.2006372317615</v>
      </c>
      <c r="V2256" s="54" t="b">
        <f aca="false">AND(D2256&gt;=01_因子設定!$L$5-0.000000001,D2256&lt;=01_因子設定!$M$5+0.000000001,E2256&gt;=01_因子設定!$L$6-0.000000001,E2256&lt;=01_因子設定!$M$6+0.000000001,F2256&gt;=01_因子設定!$L$7-0.000000001,F2256&lt;=01_因子設定!$M$7+0.000000001,IF(01_因子設定!$B$20="Box-Behnken",D2256^2+E2256^2+F2256^2&lt;=2+0.000000001,TRUE()))</f>
        <v>1</v>
      </c>
      <c r="W2256" s="55" t="n">
        <f aca="false">IF(V2256,IF(01_因子設定!$B$13="最大化",T2256-01_因子設定!$B$14,IF(01_因子設定!$B$13="最小化",01_因子設定!$B$15-U2256,MIN(T2256-01_因子設定!$B$14,01_因子設定!$B$15-U2256))),-1E+030)</f>
        <v>-1.31573666357962</v>
      </c>
      <c r="X2256" s="55" t="n">
        <f aca="false">IF(V2256,IF(01_因子設定!$B$13="最大化",Q2256,IF(01_因子設定!$B$13="最小化",-Q2256,-ABS(Q2256-01_因子設定!$B$16))),-1E+030)</f>
        <v>48.1924502840909</v>
      </c>
      <c r="Y2256" s="55" t="n">
        <f aca="false">W2256+ROW()*0.000000001</f>
        <v>-1.31573440757962</v>
      </c>
      <c r="Z2256" s="55" t="n">
        <f aca="false">X2256+ROW()*0.000000001</f>
        <v>48.1924525400909</v>
      </c>
    </row>
    <row r="2257" customFormat="false" ht="15" hidden="false" customHeight="false" outlineLevel="0" collapsed="false">
      <c r="A2257" s="0" t="n">
        <v>7</v>
      </c>
      <c r="B2257" s="0" t="n">
        <v>13</v>
      </c>
      <c r="C2257" s="0" t="n">
        <v>8</v>
      </c>
      <c r="D2257" s="0" t="n">
        <f aca="false">-1+A2257*0.125</f>
        <v>-0.125</v>
      </c>
      <c r="E2257" s="0" t="n">
        <f aca="false">-1+B2257*0.125</f>
        <v>0.625</v>
      </c>
      <c r="F2257" s="0" t="n">
        <f aca="false">-1+C2257*0.125</f>
        <v>0</v>
      </c>
      <c r="G2257" s="0" t="n">
        <f aca="false">1</f>
        <v>1</v>
      </c>
      <c r="H2257" s="0" t="n">
        <f aca="false">D2257</f>
        <v>-0.125</v>
      </c>
      <c r="I2257" s="0" t="n">
        <f aca="false">E2257</f>
        <v>0.625</v>
      </c>
      <c r="J2257" s="0" t="n">
        <f aca="false">F2257</f>
        <v>0</v>
      </c>
      <c r="K2257" s="0" t="n">
        <f aca="false">D2257*E2257</f>
        <v>-0.078125</v>
      </c>
      <c r="L2257" s="0" t="n">
        <f aca="false">D2257*F2257</f>
        <v>-0</v>
      </c>
      <c r="M2257" s="0" t="n">
        <f aca="false">E2257*F2257</f>
        <v>0</v>
      </c>
      <c r="N2257" s="0" t="n">
        <f aca="false">D2257*D2257</f>
        <v>0.015625</v>
      </c>
      <c r="O2257" s="0" t="n">
        <f aca="false">E2257*E2257</f>
        <v>0.390625</v>
      </c>
      <c r="P2257" s="0" t="n">
        <f aca="false">F2257*F2257</f>
        <v>0</v>
      </c>
      <c r="Q2257" s="0" t="n">
        <f aca="false">SUMPRODUCT(G2257:P2257,_XtX!$B$71:$K$71)</f>
        <v>48.4208451704546</v>
      </c>
      <c r="R2257" s="0" t="n">
        <f aca="false">SUMPRODUCT(MMULT(G2257:P2257,_XtX!$B$58:$K$67),G2257:P2257)</f>
        <v>0.17654862837358</v>
      </c>
      <c r="S2257" s="0" t="n">
        <f aca="false">04_回帰ANOVA!$K$19*04_回帰ANOVA!$K$14*SQRT(1+R2257)</f>
        <v>1.00848995543082</v>
      </c>
      <c r="T2257" s="0" t="n">
        <f aca="false">Q2257-S2257</f>
        <v>47.4123552150237</v>
      </c>
      <c r="U2257" s="0" t="n">
        <f aca="false">Q2257+S2257</f>
        <v>49.4293351258854</v>
      </c>
      <c r="V2257" s="54" t="b">
        <f aca="false">AND(D2257&gt;=01_因子設定!$L$5-0.000000001,D2257&lt;=01_因子設定!$M$5+0.000000001,E2257&gt;=01_因子設定!$L$6-0.000000001,E2257&lt;=01_因子設定!$M$6+0.000000001,F2257&gt;=01_因子設定!$L$7-0.000000001,F2257&lt;=01_因子設定!$M$7+0.000000001,IF(01_因子設定!$B$20="Box-Behnken",D2257^2+E2257^2+F2257^2&lt;=2+0.000000001,TRUE()))</f>
        <v>1</v>
      </c>
      <c r="W2257" s="55" t="n">
        <f aca="false">IF(V2257,IF(01_因子設定!$B$13="最大化",T2257-01_因子設定!$B$14,IF(01_因子設定!$B$13="最小化",01_因子設定!$B$15-U2257,MIN(T2257-01_因子設定!$B$14,01_因子設定!$B$15-U2257))),-1E+030)</f>
        <v>-1.08764478497627</v>
      </c>
      <c r="X2257" s="55" t="n">
        <f aca="false">IF(V2257,IF(01_因子設定!$B$13="最大化",Q2257,IF(01_因子設定!$B$13="最小化",-Q2257,-ABS(Q2257-01_因子設定!$B$16))),-1E+030)</f>
        <v>48.4208451704546</v>
      </c>
      <c r="Y2257" s="55" t="n">
        <f aca="false">W2257+ROW()*0.000000001</f>
        <v>-1.08764252797627</v>
      </c>
      <c r="Z2257" s="55" t="n">
        <f aca="false">X2257+ROW()*0.000000001</f>
        <v>48.4208474274546</v>
      </c>
    </row>
    <row r="2258" customFormat="false" ht="15" hidden="false" customHeight="false" outlineLevel="0" collapsed="false">
      <c r="A2258" s="0" t="n">
        <v>7</v>
      </c>
      <c r="B2258" s="0" t="n">
        <v>13</v>
      </c>
      <c r="C2258" s="0" t="n">
        <v>9</v>
      </c>
      <c r="D2258" s="0" t="n">
        <f aca="false">-1+A2258*0.125</f>
        <v>-0.125</v>
      </c>
      <c r="E2258" s="0" t="n">
        <f aca="false">-1+B2258*0.125</f>
        <v>0.625</v>
      </c>
      <c r="F2258" s="0" t="n">
        <f aca="false">-1+C2258*0.125</f>
        <v>0.125</v>
      </c>
      <c r="G2258" s="0" t="n">
        <f aca="false">1</f>
        <v>1</v>
      </c>
      <c r="H2258" s="0" t="n">
        <f aca="false">D2258</f>
        <v>-0.125</v>
      </c>
      <c r="I2258" s="0" t="n">
        <f aca="false">E2258</f>
        <v>0.625</v>
      </c>
      <c r="J2258" s="0" t="n">
        <f aca="false">F2258</f>
        <v>0.125</v>
      </c>
      <c r="K2258" s="0" t="n">
        <f aca="false">D2258*E2258</f>
        <v>-0.078125</v>
      </c>
      <c r="L2258" s="0" t="n">
        <f aca="false">D2258*F2258</f>
        <v>-0.015625</v>
      </c>
      <c r="M2258" s="0" t="n">
        <f aca="false">E2258*F2258</f>
        <v>0.078125</v>
      </c>
      <c r="N2258" s="0" t="n">
        <f aca="false">D2258*D2258</f>
        <v>0.015625</v>
      </c>
      <c r="O2258" s="0" t="n">
        <f aca="false">E2258*E2258</f>
        <v>0.390625</v>
      </c>
      <c r="P2258" s="0" t="n">
        <f aca="false">F2258*F2258</f>
        <v>0.015625</v>
      </c>
      <c r="Q2258" s="0" t="n">
        <f aca="false">SUMPRODUCT(G2258:P2258,_XtX!$B$71:$K$71)</f>
        <v>48.6124502840909</v>
      </c>
      <c r="R2258" s="0" t="n">
        <f aca="false">SUMPRODUCT(MMULT(G2258:P2258,_XtX!$B$58:$K$67),G2258:P2258)</f>
        <v>0.175841730291193</v>
      </c>
      <c r="S2258" s="0" t="n">
        <f aca="false">04_回帰ANOVA!$K$19*04_回帰ANOVA!$K$14*SQRT(1+R2258)</f>
        <v>1.00818694767054</v>
      </c>
      <c r="T2258" s="0" t="n">
        <f aca="false">Q2258-S2258</f>
        <v>47.6042633364204</v>
      </c>
      <c r="U2258" s="0" t="n">
        <f aca="false">Q2258+S2258</f>
        <v>49.6206372317615</v>
      </c>
      <c r="V2258" s="54" t="b">
        <f aca="false">AND(D2258&gt;=01_因子設定!$L$5-0.000000001,D2258&lt;=01_因子設定!$M$5+0.000000001,E2258&gt;=01_因子設定!$L$6-0.000000001,E2258&lt;=01_因子設定!$M$6+0.000000001,F2258&gt;=01_因子設定!$L$7-0.000000001,F2258&lt;=01_因子設定!$M$7+0.000000001,IF(01_因子設定!$B$20="Box-Behnken",D2258^2+E2258^2+F2258^2&lt;=2+0.000000001,TRUE()))</f>
        <v>1</v>
      </c>
      <c r="W2258" s="55" t="n">
        <f aca="false">IF(V2258,IF(01_因子設定!$B$13="最大化",T2258-01_因子設定!$B$14,IF(01_因子設定!$B$13="最小化",01_因子設定!$B$15-U2258,MIN(T2258-01_因子設定!$B$14,01_因子設定!$B$15-U2258))),-1E+030)</f>
        <v>-0.895736663579619</v>
      </c>
      <c r="X2258" s="55" t="n">
        <f aca="false">IF(V2258,IF(01_因子設定!$B$13="最大化",Q2258,IF(01_因子設定!$B$13="最小化",-Q2258,-ABS(Q2258-01_因子設定!$B$16))),-1E+030)</f>
        <v>48.6124502840909</v>
      </c>
      <c r="Y2258" s="55" t="n">
        <f aca="false">W2258+ROW()*0.000000001</f>
        <v>-0.895734405579619</v>
      </c>
      <c r="Z2258" s="55" t="n">
        <f aca="false">X2258+ROW()*0.000000001</f>
        <v>48.6124525420909</v>
      </c>
    </row>
    <row r="2259" customFormat="false" ht="15" hidden="false" customHeight="false" outlineLevel="0" collapsed="false">
      <c r="A2259" s="0" t="n">
        <v>7</v>
      </c>
      <c r="B2259" s="0" t="n">
        <v>13</v>
      </c>
      <c r="C2259" s="0" t="n">
        <v>10</v>
      </c>
      <c r="D2259" s="0" t="n">
        <f aca="false">-1+A2259*0.125</f>
        <v>-0.125</v>
      </c>
      <c r="E2259" s="0" t="n">
        <f aca="false">-1+B2259*0.125</f>
        <v>0.625</v>
      </c>
      <c r="F2259" s="0" t="n">
        <f aca="false">-1+C2259*0.125</f>
        <v>0.25</v>
      </c>
      <c r="G2259" s="0" t="n">
        <f aca="false">1</f>
        <v>1</v>
      </c>
      <c r="H2259" s="0" t="n">
        <f aca="false">D2259</f>
        <v>-0.125</v>
      </c>
      <c r="I2259" s="0" t="n">
        <f aca="false">E2259</f>
        <v>0.625</v>
      </c>
      <c r="J2259" s="0" t="n">
        <f aca="false">F2259</f>
        <v>0.25</v>
      </c>
      <c r="K2259" s="0" t="n">
        <f aca="false">D2259*E2259</f>
        <v>-0.078125</v>
      </c>
      <c r="L2259" s="0" t="n">
        <f aca="false">D2259*F2259</f>
        <v>-0.03125</v>
      </c>
      <c r="M2259" s="0" t="n">
        <f aca="false">E2259*F2259</f>
        <v>0.15625</v>
      </c>
      <c r="N2259" s="0" t="n">
        <f aca="false">D2259*D2259</f>
        <v>0.015625</v>
      </c>
      <c r="O2259" s="0" t="n">
        <f aca="false">E2259*E2259</f>
        <v>0.390625</v>
      </c>
      <c r="P2259" s="0" t="n">
        <f aca="false">F2259*F2259</f>
        <v>0.0625</v>
      </c>
      <c r="Q2259" s="0" t="n">
        <f aca="false">SUMPRODUCT(G2259:P2259,_XtX!$B$71:$K$71)</f>
        <v>48.767265625</v>
      </c>
      <c r="R2259" s="0" t="n">
        <f aca="false">SUMPRODUCT(MMULT(G2259:P2259,_XtX!$B$58:$K$67),G2259:P2259)</f>
        <v>0.174786376953125</v>
      </c>
      <c r="S2259" s="0" t="n">
        <f aca="false">04_回帰ANOVA!$K$19*04_回帰ANOVA!$K$14*SQRT(1+R2259)</f>
        <v>1.00773440704286</v>
      </c>
      <c r="T2259" s="0" t="n">
        <f aca="false">Q2259-S2259</f>
        <v>47.7595312179572</v>
      </c>
      <c r="U2259" s="0" t="n">
        <f aca="false">Q2259+S2259</f>
        <v>49.7750000320429</v>
      </c>
      <c r="V2259" s="54" t="b">
        <f aca="false">AND(D2259&gt;=01_因子設定!$L$5-0.000000001,D2259&lt;=01_因子設定!$M$5+0.000000001,E2259&gt;=01_因子設定!$L$6-0.000000001,E2259&lt;=01_因子設定!$M$6+0.000000001,F2259&gt;=01_因子設定!$L$7-0.000000001,F2259&lt;=01_因子設定!$M$7+0.000000001,IF(01_因子設定!$B$20="Box-Behnken",D2259^2+E2259^2+F2259^2&lt;=2+0.000000001,TRUE()))</f>
        <v>1</v>
      </c>
      <c r="W2259" s="55" t="n">
        <f aca="false">IF(V2259,IF(01_因子設定!$B$13="最大化",T2259-01_因子設定!$B$14,IF(01_因子設定!$B$13="最小化",01_因子設定!$B$15-U2259,MIN(T2259-01_因子設定!$B$14,01_因子設定!$B$15-U2259))),-1E+030)</f>
        <v>-0.740468782042846</v>
      </c>
      <c r="X2259" s="55" t="n">
        <f aca="false">IF(V2259,IF(01_因子設定!$B$13="最大化",Q2259,IF(01_因子設定!$B$13="最小化",-Q2259,-ABS(Q2259-01_因子設定!$B$16))),-1E+030)</f>
        <v>48.767265625</v>
      </c>
      <c r="Y2259" s="55" t="n">
        <f aca="false">W2259+ROW()*0.000000001</f>
        <v>-0.740466523042846</v>
      </c>
      <c r="Z2259" s="55" t="n">
        <f aca="false">X2259+ROW()*0.000000001</f>
        <v>48.767267884</v>
      </c>
    </row>
    <row r="2260" customFormat="false" ht="15" hidden="false" customHeight="false" outlineLevel="0" collapsed="false">
      <c r="A2260" s="0" t="n">
        <v>7</v>
      </c>
      <c r="B2260" s="0" t="n">
        <v>13</v>
      </c>
      <c r="C2260" s="0" t="n">
        <v>11</v>
      </c>
      <c r="D2260" s="0" t="n">
        <f aca="false">-1+A2260*0.125</f>
        <v>-0.125</v>
      </c>
      <c r="E2260" s="0" t="n">
        <f aca="false">-1+B2260*0.125</f>
        <v>0.625</v>
      </c>
      <c r="F2260" s="0" t="n">
        <f aca="false">-1+C2260*0.125</f>
        <v>0.375</v>
      </c>
      <c r="G2260" s="0" t="n">
        <f aca="false">1</f>
        <v>1</v>
      </c>
      <c r="H2260" s="0" t="n">
        <f aca="false">D2260</f>
        <v>-0.125</v>
      </c>
      <c r="I2260" s="0" t="n">
        <f aca="false">E2260</f>
        <v>0.625</v>
      </c>
      <c r="J2260" s="0" t="n">
        <f aca="false">F2260</f>
        <v>0.375</v>
      </c>
      <c r="K2260" s="0" t="n">
        <f aca="false">D2260*E2260</f>
        <v>-0.078125</v>
      </c>
      <c r="L2260" s="0" t="n">
        <f aca="false">D2260*F2260</f>
        <v>-0.046875</v>
      </c>
      <c r="M2260" s="0" t="n">
        <f aca="false">E2260*F2260</f>
        <v>0.234375</v>
      </c>
      <c r="N2260" s="0" t="n">
        <f aca="false">D2260*D2260</f>
        <v>0.015625</v>
      </c>
      <c r="O2260" s="0" t="n">
        <f aca="false">E2260*E2260</f>
        <v>0.390625</v>
      </c>
      <c r="P2260" s="0" t="n">
        <f aca="false">F2260*F2260</f>
        <v>0.140625</v>
      </c>
      <c r="Q2260" s="0" t="n">
        <f aca="false">SUMPRODUCT(G2260:P2260,_XtX!$B$71:$K$71)</f>
        <v>48.8852911931818</v>
      </c>
      <c r="R2260" s="0" t="n">
        <f aca="false">SUMPRODUCT(MMULT(G2260:P2260,_XtX!$B$58:$K$67),G2260:P2260)</f>
        <v>0.176578591086648</v>
      </c>
      <c r="S2260" s="0" t="n">
        <f aca="false">04_回帰ANOVA!$K$19*04_回帰ANOVA!$K$14*SQRT(1+R2260)</f>
        <v>1.00850279676269</v>
      </c>
      <c r="T2260" s="0" t="n">
        <f aca="false">Q2260-S2260</f>
        <v>47.8767883964191</v>
      </c>
      <c r="U2260" s="0" t="n">
        <f aca="false">Q2260+S2260</f>
        <v>49.8937939899445</v>
      </c>
      <c r="V2260" s="54" t="b">
        <f aca="false">AND(D2260&gt;=01_因子設定!$L$5-0.000000001,D2260&lt;=01_因子設定!$M$5+0.000000001,E2260&gt;=01_因子設定!$L$6-0.000000001,E2260&lt;=01_因子設定!$M$6+0.000000001,F2260&gt;=01_因子設定!$L$7-0.000000001,F2260&lt;=01_因子設定!$M$7+0.000000001,IF(01_因子設定!$B$20="Box-Behnken",D2260^2+E2260^2+F2260^2&lt;=2+0.000000001,TRUE()))</f>
        <v>1</v>
      </c>
      <c r="W2260" s="55" t="n">
        <f aca="false">IF(V2260,IF(01_因子設定!$B$13="最大化",T2260-01_因子設定!$B$14,IF(01_因子設定!$B$13="最小化",01_因子設定!$B$15-U2260,MIN(T2260-01_因子設定!$B$14,01_因子設定!$B$15-U2260))),-1E+030)</f>
        <v>-0.623211603580863</v>
      </c>
      <c r="X2260" s="55" t="n">
        <f aca="false">IF(V2260,IF(01_因子設定!$B$13="最大化",Q2260,IF(01_因子設定!$B$13="最小化",-Q2260,-ABS(Q2260-01_因子設定!$B$16))),-1E+030)</f>
        <v>48.8852911931818</v>
      </c>
      <c r="Y2260" s="55" t="n">
        <f aca="false">W2260+ROW()*0.000000001</f>
        <v>-0.623209343580863</v>
      </c>
      <c r="Z2260" s="55" t="n">
        <f aca="false">X2260+ROW()*0.000000001</f>
        <v>48.8852934531818</v>
      </c>
    </row>
    <row r="2261" customFormat="false" ht="15" hidden="false" customHeight="false" outlineLevel="0" collapsed="false">
      <c r="A2261" s="0" t="n">
        <v>7</v>
      </c>
      <c r="B2261" s="0" t="n">
        <v>13</v>
      </c>
      <c r="C2261" s="0" t="n">
        <v>12</v>
      </c>
      <c r="D2261" s="0" t="n">
        <f aca="false">-1+A2261*0.125</f>
        <v>-0.125</v>
      </c>
      <c r="E2261" s="0" t="n">
        <f aca="false">-1+B2261*0.125</f>
        <v>0.625</v>
      </c>
      <c r="F2261" s="0" t="n">
        <f aca="false">-1+C2261*0.125</f>
        <v>0.5</v>
      </c>
      <c r="G2261" s="0" t="n">
        <f aca="false">1</f>
        <v>1</v>
      </c>
      <c r="H2261" s="0" t="n">
        <f aca="false">D2261</f>
        <v>-0.125</v>
      </c>
      <c r="I2261" s="0" t="n">
        <f aca="false">E2261</f>
        <v>0.625</v>
      </c>
      <c r="J2261" s="0" t="n">
        <f aca="false">F2261</f>
        <v>0.5</v>
      </c>
      <c r="K2261" s="0" t="n">
        <f aca="false">D2261*E2261</f>
        <v>-0.078125</v>
      </c>
      <c r="L2261" s="0" t="n">
        <f aca="false">D2261*F2261</f>
        <v>-0.0625</v>
      </c>
      <c r="M2261" s="0" t="n">
        <f aca="false">E2261*F2261</f>
        <v>0.3125</v>
      </c>
      <c r="N2261" s="0" t="n">
        <f aca="false">D2261*D2261</f>
        <v>0.015625</v>
      </c>
      <c r="O2261" s="0" t="n">
        <f aca="false">E2261*E2261</f>
        <v>0.390625</v>
      </c>
      <c r="P2261" s="0" t="n">
        <f aca="false">F2261*F2261</f>
        <v>0.25</v>
      </c>
      <c r="Q2261" s="0" t="n">
        <f aca="false">SUMPRODUCT(G2261:P2261,_XtX!$B$71:$K$71)</f>
        <v>48.9665269886364</v>
      </c>
      <c r="R2261" s="0" t="n">
        <f aca="false">SUMPRODUCT(MMULT(G2261:P2261,_XtX!$B$58:$K$67),G2261:P2261)</f>
        <v>0.186545077237216</v>
      </c>
      <c r="S2261" s="0" t="n">
        <f aca="false">04_回帰ANOVA!$K$19*04_回帰ANOVA!$K$14*SQRT(1+R2261)</f>
        <v>1.01276516970713</v>
      </c>
      <c r="T2261" s="0" t="n">
        <f aca="false">Q2261-S2261</f>
        <v>47.9537618189293</v>
      </c>
      <c r="U2261" s="0" t="n">
        <f aca="false">Q2261+S2261</f>
        <v>49.9792921583435</v>
      </c>
      <c r="V2261" s="54" t="b">
        <f aca="false">AND(D2261&gt;=01_因子設定!$L$5-0.000000001,D2261&lt;=01_因子設定!$M$5+0.000000001,E2261&gt;=01_因子設定!$L$6-0.000000001,E2261&lt;=01_因子設定!$M$6+0.000000001,F2261&gt;=01_因子設定!$L$7-0.000000001,F2261&lt;=01_因子設定!$M$7+0.000000001,IF(01_因子設定!$B$20="Box-Behnken",D2261^2+E2261^2+F2261^2&lt;=2+0.000000001,TRUE()))</f>
        <v>1</v>
      </c>
      <c r="W2261" s="55" t="n">
        <f aca="false">IF(V2261,IF(01_因子設定!$B$13="最大化",T2261-01_因子設定!$B$14,IF(01_因子設定!$B$13="最小化",01_因子設定!$B$15-U2261,MIN(T2261-01_因子設定!$B$14,01_因子設定!$B$15-U2261))),-1E+030)</f>
        <v>-0.546238181070748</v>
      </c>
      <c r="X2261" s="55" t="n">
        <f aca="false">IF(V2261,IF(01_因子設定!$B$13="最大化",Q2261,IF(01_因子設定!$B$13="最小化",-Q2261,-ABS(Q2261-01_因子設定!$B$16))),-1E+030)</f>
        <v>48.9665269886364</v>
      </c>
      <c r="Y2261" s="55" t="n">
        <f aca="false">W2261+ROW()*0.000000001</f>
        <v>-0.546235920070748</v>
      </c>
      <c r="Z2261" s="55" t="n">
        <f aca="false">X2261+ROW()*0.000000001</f>
        <v>48.9665292496364</v>
      </c>
    </row>
    <row r="2262" customFormat="false" ht="15" hidden="false" customHeight="false" outlineLevel="0" collapsed="false">
      <c r="A2262" s="0" t="n">
        <v>7</v>
      </c>
      <c r="B2262" s="0" t="n">
        <v>13</v>
      </c>
      <c r="C2262" s="0" t="n">
        <v>13</v>
      </c>
      <c r="D2262" s="0" t="n">
        <f aca="false">-1+A2262*0.125</f>
        <v>-0.125</v>
      </c>
      <c r="E2262" s="0" t="n">
        <f aca="false">-1+B2262*0.125</f>
        <v>0.625</v>
      </c>
      <c r="F2262" s="0" t="n">
        <f aca="false">-1+C2262*0.125</f>
        <v>0.625</v>
      </c>
      <c r="G2262" s="0" t="n">
        <f aca="false">1</f>
        <v>1</v>
      </c>
      <c r="H2262" s="0" t="n">
        <f aca="false">D2262</f>
        <v>-0.125</v>
      </c>
      <c r="I2262" s="0" t="n">
        <f aca="false">E2262</f>
        <v>0.625</v>
      </c>
      <c r="J2262" s="0" t="n">
        <f aca="false">F2262</f>
        <v>0.625</v>
      </c>
      <c r="K2262" s="0" t="n">
        <f aca="false">D2262*E2262</f>
        <v>-0.078125</v>
      </c>
      <c r="L2262" s="0" t="n">
        <f aca="false">D2262*F2262</f>
        <v>-0.078125</v>
      </c>
      <c r="M2262" s="0" t="n">
        <f aca="false">E2262*F2262</f>
        <v>0.390625</v>
      </c>
      <c r="N2262" s="0" t="n">
        <f aca="false">D2262*D2262</f>
        <v>0.015625</v>
      </c>
      <c r="O2262" s="0" t="n">
        <f aca="false">E2262*E2262</f>
        <v>0.390625</v>
      </c>
      <c r="P2262" s="0" t="n">
        <f aca="false">F2262*F2262</f>
        <v>0.390625</v>
      </c>
      <c r="Q2262" s="0" t="n">
        <f aca="false">SUMPRODUCT(G2262:P2262,_XtX!$B$71:$K$71)</f>
        <v>49.0109730113637</v>
      </c>
      <c r="R2262" s="0" t="n">
        <f aca="false">SUMPRODUCT(MMULT(G2262:P2262,_XtX!$B$58:$K$67),G2262:P2262)</f>
        <v>0.212143221768466</v>
      </c>
      <c r="S2262" s="0" t="n">
        <f aca="false">04_回帰ANOVA!$K$19*04_回帰ANOVA!$K$14*SQRT(1+R2262)</f>
        <v>1.02363141237304</v>
      </c>
      <c r="T2262" s="0" t="n">
        <f aca="false">Q2262-S2262</f>
        <v>47.9873415989906</v>
      </c>
      <c r="U2262" s="0" t="n">
        <f aca="false">Q2262+S2262</f>
        <v>50.0346044237367</v>
      </c>
      <c r="V2262" s="54" t="b">
        <f aca="false">AND(D2262&gt;=01_因子設定!$L$5-0.000000001,D2262&lt;=01_因子設定!$M$5+0.000000001,E2262&gt;=01_因子設定!$L$6-0.000000001,E2262&lt;=01_因子設定!$M$6+0.000000001,F2262&gt;=01_因子設定!$L$7-0.000000001,F2262&lt;=01_因子設定!$M$7+0.000000001,IF(01_因子設定!$B$20="Box-Behnken",D2262^2+E2262^2+F2262^2&lt;=2+0.000000001,TRUE()))</f>
        <v>1</v>
      </c>
      <c r="W2262" s="55" t="n">
        <f aca="false">IF(V2262,IF(01_因子設定!$B$13="最大化",T2262-01_因子設定!$B$14,IF(01_因子設定!$B$13="最小化",01_因子設定!$B$15-U2262,MIN(T2262-01_因子設定!$B$14,01_因子設定!$B$15-U2262))),-1E+030)</f>
        <v>-0.512658401009389</v>
      </c>
      <c r="X2262" s="55" t="n">
        <f aca="false">IF(V2262,IF(01_因子設定!$B$13="最大化",Q2262,IF(01_因子設定!$B$13="最小化",-Q2262,-ABS(Q2262-01_因子設定!$B$16))),-1E+030)</f>
        <v>49.0109730113637</v>
      </c>
      <c r="Y2262" s="55" t="n">
        <f aca="false">W2262+ROW()*0.000000001</f>
        <v>-0.512656139009389</v>
      </c>
      <c r="Z2262" s="55" t="n">
        <f aca="false">X2262+ROW()*0.000000001</f>
        <v>49.0109752733637</v>
      </c>
    </row>
    <row r="2263" customFormat="false" ht="15" hidden="false" customHeight="false" outlineLevel="0" collapsed="false">
      <c r="A2263" s="0" t="n">
        <v>7</v>
      </c>
      <c r="B2263" s="0" t="n">
        <v>13</v>
      </c>
      <c r="C2263" s="0" t="n">
        <v>14</v>
      </c>
      <c r="D2263" s="0" t="n">
        <f aca="false">-1+A2263*0.125</f>
        <v>-0.125</v>
      </c>
      <c r="E2263" s="0" t="n">
        <f aca="false">-1+B2263*0.125</f>
        <v>0.625</v>
      </c>
      <c r="F2263" s="0" t="n">
        <f aca="false">-1+C2263*0.125</f>
        <v>0.75</v>
      </c>
      <c r="G2263" s="0" t="n">
        <f aca="false">1</f>
        <v>1</v>
      </c>
      <c r="H2263" s="0" t="n">
        <f aca="false">D2263</f>
        <v>-0.125</v>
      </c>
      <c r="I2263" s="0" t="n">
        <f aca="false">E2263</f>
        <v>0.625</v>
      </c>
      <c r="J2263" s="0" t="n">
        <f aca="false">F2263</f>
        <v>0.75</v>
      </c>
      <c r="K2263" s="0" t="n">
        <f aca="false">D2263*E2263</f>
        <v>-0.078125</v>
      </c>
      <c r="L2263" s="0" t="n">
        <f aca="false">D2263*F2263</f>
        <v>-0.09375</v>
      </c>
      <c r="M2263" s="0" t="n">
        <f aca="false">E2263*F2263</f>
        <v>0.46875</v>
      </c>
      <c r="N2263" s="0" t="n">
        <f aca="false">D2263*D2263</f>
        <v>0.015625</v>
      </c>
      <c r="O2263" s="0" t="n">
        <f aca="false">E2263*E2263</f>
        <v>0.390625</v>
      </c>
      <c r="P2263" s="0" t="n">
        <f aca="false">F2263*F2263</f>
        <v>0.5625</v>
      </c>
      <c r="Q2263" s="0" t="n">
        <f aca="false">SUMPRODUCT(G2263:P2263,_XtX!$B$71:$K$71)</f>
        <v>49.0186292613637</v>
      </c>
      <c r="R2263" s="0" t="n">
        <f aca="false">SUMPRODUCT(MMULT(G2263:P2263,_XtX!$B$58:$K$67),G2263:P2263)</f>
        <v>0.262961092862216</v>
      </c>
      <c r="S2263" s="0" t="n">
        <f aca="false">04_回帰ANOVA!$K$19*04_回帰ANOVA!$K$14*SQRT(1+R2263)</f>
        <v>1.04486846483649</v>
      </c>
      <c r="T2263" s="0" t="n">
        <f aca="false">Q2263-S2263</f>
        <v>47.9737607965272</v>
      </c>
      <c r="U2263" s="0" t="n">
        <f aca="false">Q2263+S2263</f>
        <v>50.0634977262001</v>
      </c>
      <c r="V2263" s="54" t="b">
        <f aca="false">AND(D2263&gt;=01_因子設定!$L$5-0.000000001,D2263&lt;=01_因子設定!$M$5+0.000000001,E2263&gt;=01_因子設定!$L$6-0.000000001,E2263&lt;=01_因子設定!$M$6+0.000000001,F2263&gt;=01_因子設定!$L$7-0.000000001,F2263&lt;=01_因子設定!$M$7+0.000000001,IF(01_因子設定!$B$20="Box-Behnken",D2263^2+E2263^2+F2263^2&lt;=2+0.000000001,TRUE()))</f>
        <v>1</v>
      </c>
      <c r="W2263" s="55" t="n">
        <f aca="false">IF(V2263,IF(01_因子設定!$B$13="最大化",T2263-01_因子設定!$B$14,IF(01_因子設定!$B$13="最小化",01_因子設定!$B$15-U2263,MIN(T2263-01_因子設定!$B$14,01_因子設定!$B$15-U2263))),-1E+030)</f>
        <v>-0.526239203472827</v>
      </c>
      <c r="X2263" s="55" t="n">
        <f aca="false">IF(V2263,IF(01_因子設定!$B$13="最大化",Q2263,IF(01_因子設定!$B$13="最小化",-Q2263,-ABS(Q2263-01_因子設定!$B$16))),-1E+030)</f>
        <v>49.0186292613637</v>
      </c>
      <c r="Y2263" s="55" t="n">
        <f aca="false">W2263+ROW()*0.000000001</f>
        <v>-0.526236940472827</v>
      </c>
      <c r="Z2263" s="55" t="n">
        <f aca="false">X2263+ROW()*0.000000001</f>
        <v>49.0186315243637</v>
      </c>
    </row>
    <row r="2264" customFormat="false" ht="15" hidden="false" customHeight="false" outlineLevel="0" collapsed="false">
      <c r="A2264" s="0" t="n">
        <v>7</v>
      </c>
      <c r="B2264" s="0" t="n">
        <v>13</v>
      </c>
      <c r="C2264" s="0" t="n">
        <v>15</v>
      </c>
      <c r="D2264" s="0" t="n">
        <f aca="false">-1+A2264*0.125</f>
        <v>-0.125</v>
      </c>
      <c r="E2264" s="0" t="n">
        <f aca="false">-1+B2264*0.125</f>
        <v>0.625</v>
      </c>
      <c r="F2264" s="0" t="n">
        <f aca="false">-1+C2264*0.125</f>
        <v>0.875</v>
      </c>
      <c r="G2264" s="0" t="n">
        <f aca="false">1</f>
        <v>1</v>
      </c>
      <c r="H2264" s="0" t="n">
        <f aca="false">D2264</f>
        <v>-0.125</v>
      </c>
      <c r="I2264" s="0" t="n">
        <f aca="false">E2264</f>
        <v>0.625</v>
      </c>
      <c r="J2264" s="0" t="n">
        <f aca="false">F2264</f>
        <v>0.875</v>
      </c>
      <c r="K2264" s="0" t="n">
        <f aca="false">D2264*E2264</f>
        <v>-0.078125</v>
      </c>
      <c r="L2264" s="0" t="n">
        <f aca="false">D2264*F2264</f>
        <v>-0.109375</v>
      </c>
      <c r="M2264" s="0" t="n">
        <f aca="false">E2264*F2264</f>
        <v>0.546875</v>
      </c>
      <c r="N2264" s="0" t="n">
        <f aca="false">D2264*D2264</f>
        <v>0.015625</v>
      </c>
      <c r="O2264" s="0" t="n">
        <f aca="false">E2264*E2264</f>
        <v>0.390625</v>
      </c>
      <c r="P2264" s="0" t="n">
        <f aca="false">F2264*F2264</f>
        <v>0.765625</v>
      </c>
      <c r="Q2264" s="0" t="n">
        <f aca="false">SUMPRODUCT(G2264:P2264,_XtX!$B$71:$K$71)</f>
        <v>48.9894957386364</v>
      </c>
      <c r="R2264" s="0" t="n">
        <f aca="false">SUMPRODUCT(MMULT(G2264:P2264,_XtX!$B$58:$K$67),G2264:P2264)</f>
        <v>0.350717440518466</v>
      </c>
      <c r="S2264" s="0" t="n">
        <f aca="false">04_回帰ANOVA!$K$19*04_回帰ANOVA!$K$14*SQRT(1+R2264)</f>
        <v>1.08056000737898</v>
      </c>
      <c r="T2264" s="0" t="n">
        <f aca="false">Q2264-S2264</f>
        <v>47.9089357312574</v>
      </c>
      <c r="U2264" s="0" t="n">
        <f aca="false">Q2264+S2264</f>
        <v>50.0700557460154</v>
      </c>
      <c r="V2264" s="54" t="b">
        <f aca="false">AND(D2264&gt;=01_因子設定!$L$5-0.000000001,D2264&lt;=01_因子設定!$M$5+0.000000001,E2264&gt;=01_因子設定!$L$6-0.000000001,E2264&lt;=01_因子設定!$M$6+0.000000001,F2264&gt;=01_因子設定!$L$7-0.000000001,F2264&lt;=01_因子設定!$M$7+0.000000001,IF(01_因子設定!$B$20="Box-Behnken",D2264^2+E2264^2+F2264^2&lt;=2+0.000000001,TRUE()))</f>
        <v>1</v>
      </c>
      <c r="W2264" s="55" t="n">
        <f aca="false">IF(V2264,IF(01_因子設定!$B$13="最大化",T2264-01_因子設定!$B$14,IF(01_因子設定!$B$13="最小化",01_因子設定!$B$15-U2264,MIN(T2264-01_因子設定!$B$14,01_因子設定!$B$15-U2264))),-1E+030)</f>
        <v>-0.591064268742592</v>
      </c>
      <c r="X2264" s="55" t="n">
        <f aca="false">IF(V2264,IF(01_因子設定!$B$13="最大化",Q2264,IF(01_因子設定!$B$13="最小化",-Q2264,-ABS(Q2264-01_因子設定!$B$16))),-1E+030)</f>
        <v>48.9894957386364</v>
      </c>
      <c r="Y2264" s="55" t="n">
        <f aca="false">W2264+ROW()*0.000000001</f>
        <v>-0.591062004742592</v>
      </c>
      <c r="Z2264" s="55" t="n">
        <f aca="false">X2264+ROW()*0.000000001</f>
        <v>48.9894980026364</v>
      </c>
    </row>
    <row r="2265" customFormat="false" ht="15" hidden="false" customHeight="false" outlineLevel="0" collapsed="false">
      <c r="A2265" s="0" t="n">
        <v>7</v>
      </c>
      <c r="B2265" s="0" t="n">
        <v>13</v>
      </c>
      <c r="C2265" s="0" t="n">
        <v>16</v>
      </c>
      <c r="D2265" s="0" t="n">
        <f aca="false">-1+A2265*0.125</f>
        <v>-0.125</v>
      </c>
      <c r="E2265" s="0" t="n">
        <f aca="false">-1+B2265*0.125</f>
        <v>0.625</v>
      </c>
      <c r="F2265" s="0" t="n">
        <f aca="false">-1+C2265*0.125</f>
        <v>1</v>
      </c>
      <c r="G2265" s="0" t="n">
        <f aca="false">1</f>
        <v>1</v>
      </c>
      <c r="H2265" s="0" t="n">
        <f aca="false">D2265</f>
        <v>-0.125</v>
      </c>
      <c r="I2265" s="0" t="n">
        <f aca="false">E2265</f>
        <v>0.625</v>
      </c>
      <c r="J2265" s="0" t="n">
        <f aca="false">F2265</f>
        <v>1</v>
      </c>
      <c r="K2265" s="0" t="n">
        <f aca="false">D2265*E2265</f>
        <v>-0.078125</v>
      </c>
      <c r="L2265" s="0" t="n">
        <f aca="false">D2265*F2265</f>
        <v>-0.125</v>
      </c>
      <c r="M2265" s="0" t="n">
        <f aca="false">E2265*F2265</f>
        <v>0.625</v>
      </c>
      <c r="N2265" s="0" t="n">
        <f aca="false">D2265*D2265</f>
        <v>0.015625</v>
      </c>
      <c r="O2265" s="0" t="n">
        <f aca="false">E2265*E2265</f>
        <v>0.390625</v>
      </c>
      <c r="P2265" s="0" t="n">
        <f aca="false">F2265*F2265</f>
        <v>1</v>
      </c>
      <c r="Q2265" s="0" t="n">
        <f aca="false">SUMPRODUCT(G2265:P2265,_XtX!$B$71:$K$71)</f>
        <v>48.9235724431819</v>
      </c>
      <c r="R2265" s="0" t="n">
        <f aca="false">SUMPRODUCT(MMULT(G2265:P2265,_XtX!$B$58:$K$67),G2265:P2265)</f>
        <v>0.489261696555398</v>
      </c>
      <c r="S2265" s="0" t="n">
        <f aca="false">04_回帰ANOVA!$K$19*04_回帰ANOVA!$K$14*SQRT(1+R2265)</f>
        <v>1.13462447083763</v>
      </c>
      <c r="T2265" s="0" t="n">
        <f aca="false">Q2265-S2265</f>
        <v>47.7889479723442</v>
      </c>
      <c r="U2265" s="0" t="n">
        <f aca="false">Q2265+S2265</f>
        <v>50.0581969140195</v>
      </c>
      <c r="V2265" s="54" t="b">
        <f aca="false">AND(D2265&gt;=01_因子設定!$L$5-0.000000001,D2265&lt;=01_因子設定!$M$5+0.000000001,E2265&gt;=01_因子設定!$L$6-0.000000001,E2265&lt;=01_因子設定!$M$6+0.000000001,F2265&gt;=01_因子設定!$L$7-0.000000001,F2265&lt;=01_因子設定!$M$7+0.000000001,IF(01_因子設定!$B$20="Box-Behnken",D2265^2+E2265^2+F2265^2&lt;=2+0.000000001,TRUE()))</f>
        <v>1</v>
      </c>
      <c r="W2265" s="55" t="n">
        <f aca="false">IF(V2265,IF(01_因子設定!$B$13="最大化",T2265-01_因子設定!$B$14,IF(01_因子設定!$B$13="最小化",01_因子設定!$B$15-U2265,MIN(T2265-01_因子設定!$B$14,01_因子設定!$B$15-U2265))),-1E+030)</f>
        <v>-0.711052027655789</v>
      </c>
      <c r="X2265" s="55" t="n">
        <f aca="false">IF(V2265,IF(01_因子設定!$B$13="最大化",Q2265,IF(01_因子設定!$B$13="最小化",-Q2265,-ABS(Q2265-01_因子設定!$B$16))),-1E+030)</f>
        <v>48.9235724431819</v>
      </c>
      <c r="Y2265" s="55" t="n">
        <f aca="false">W2265+ROW()*0.000000001</f>
        <v>-0.711049762655789</v>
      </c>
      <c r="Z2265" s="55" t="n">
        <f aca="false">X2265+ROW()*0.000000001</f>
        <v>48.9235747081818</v>
      </c>
    </row>
    <row r="2266" customFormat="false" ht="15" hidden="false" customHeight="false" outlineLevel="0" collapsed="false">
      <c r="A2266" s="0" t="n">
        <v>7</v>
      </c>
      <c r="B2266" s="0" t="n">
        <v>14</v>
      </c>
      <c r="C2266" s="0" t="n">
        <v>0</v>
      </c>
      <c r="D2266" s="0" t="n">
        <f aca="false">-1+A2266*0.125</f>
        <v>-0.125</v>
      </c>
      <c r="E2266" s="0" t="n">
        <f aca="false">-1+B2266*0.125</f>
        <v>0.75</v>
      </c>
      <c r="F2266" s="0" t="n">
        <f aca="false">-1+C2266*0.125</f>
        <v>-1</v>
      </c>
      <c r="G2266" s="0" t="n">
        <f aca="false">1</f>
        <v>1</v>
      </c>
      <c r="H2266" s="0" t="n">
        <f aca="false">D2266</f>
        <v>-0.125</v>
      </c>
      <c r="I2266" s="0" t="n">
        <f aca="false">E2266</f>
        <v>0.75</v>
      </c>
      <c r="J2266" s="0" t="n">
        <f aca="false">F2266</f>
        <v>-1</v>
      </c>
      <c r="K2266" s="0" t="n">
        <f aca="false">D2266*E2266</f>
        <v>-0.09375</v>
      </c>
      <c r="L2266" s="0" t="n">
        <f aca="false">D2266*F2266</f>
        <v>0.125</v>
      </c>
      <c r="M2266" s="0" t="n">
        <f aca="false">E2266*F2266</f>
        <v>-0.75</v>
      </c>
      <c r="N2266" s="0" t="n">
        <f aca="false">D2266*D2266</f>
        <v>0.015625</v>
      </c>
      <c r="O2266" s="0" t="n">
        <f aca="false">E2266*E2266</f>
        <v>0.5625</v>
      </c>
      <c r="P2266" s="0" t="n">
        <f aca="false">F2266*F2266</f>
        <v>1</v>
      </c>
      <c r="Q2266" s="0" t="n">
        <f aca="false">SUMPRODUCT(G2266:P2266,_XtX!$B$71:$K$71)</f>
        <v>45.3984943181819</v>
      </c>
      <c r="R2266" s="0" t="n">
        <f aca="false">SUMPRODUCT(MMULT(G2266:P2266,_XtX!$B$58:$K$67),G2266:P2266)</f>
        <v>0.524607155539773</v>
      </c>
      <c r="S2266" s="0" t="n">
        <f aca="false">04_回帰ANOVA!$K$19*04_回帰ANOVA!$K$14*SQRT(1+R2266)</f>
        <v>1.14800984623412</v>
      </c>
      <c r="T2266" s="0" t="n">
        <f aca="false">Q2266-S2266</f>
        <v>44.2504844719477</v>
      </c>
      <c r="U2266" s="0" t="n">
        <f aca="false">Q2266+S2266</f>
        <v>46.546504164416</v>
      </c>
      <c r="V2266" s="54" t="b">
        <f aca="false">AND(D2266&gt;=01_因子設定!$L$5-0.000000001,D2266&lt;=01_因子設定!$M$5+0.000000001,E2266&gt;=01_因子設定!$L$6-0.000000001,E2266&lt;=01_因子設定!$M$6+0.000000001,F2266&gt;=01_因子設定!$L$7-0.000000001,F2266&lt;=01_因子設定!$M$7+0.000000001,IF(01_因子設定!$B$20="Box-Behnken",D2266^2+E2266^2+F2266^2&lt;=2+0.000000001,TRUE()))</f>
        <v>1</v>
      </c>
      <c r="W2266" s="55" t="n">
        <f aca="false">IF(V2266,IF(01_因子設定!$B$13="最大化",T2266-01_因子設定!$B$14,IF(01_因子設定!$B$13="最小化",01_因子設定!$B$15-U2266,MIN(T2266-01_因子設定!$B$14,01_因子設定!$B$15-U2266))),-1E+030)</f>
        <v>-4.24951552805227</v>
      </c>
      <c r="X2266" s="55" t="n">
        <f aca="false">IF(V2266,IF(01_因子設定!$B$13="最大化",Q2266,IF(01_因子設定!$B$13="最小化",-Q2266,-ABS(Q2266-01_因子設定!$B$16))),-1E+030)</f>
        <v>45.3984943181819</v>
      </c>
      <c r="Y2266" s="55" t="n">
        <f aca="false">W2266+ROW()*0.000000001</f>
        <v>-4.24951326205227</v>
      </c>
      <c r="Z2266" s="55" t="n">
        <f aca="false">X2266+ROW()*0.000000001</f>
        <v>45.3984965841819</v>
      </c>
    </row>
    <row r="2267" customFormat="false" ht="15" hidden="false" customHeight="false" outlineLevel="0" collapsed="false">
      <c r="A2267" s="0" t="n">
        <v>7</v>
      </c>
      <c r="B2267" s="0" t="n">
        <v>14</v>
      </c>
      <c r="C2267" s="0" t="n">
        <v>1</v>
      </c>
      <c r="D2267" s="0" t="n">
        <f aca="false">-1+A2267*0.125</f>
        <v>-0.125</v>
      </c>
      <c r="E2267" s="0" t="n">
        <f aca="false">-1+B2267*0.125</f>
        <v>0.75</v>
      </c>
      <c r="F2267" s="0" t="n">
        <f aca="false">-1+C2267*0.125</f>
        <v>-0.875</v>
      </c>
      <c r="G2267" s="0" t="n">
        <f aca="false">1</f>
        <v>1</v>
      </c>
      <c r="H2267" s="0" t="n">
        <f aca="false">D2267</f>
        <v>-0.125</v>
      </c>
      <c r="I2267" s="0" t="n">
        <f aca="false">E2267</f>
        <v>0.75</v>
      </c>
      <c r="J2267" s="0" t="n">
        <f aca="false">F2267</f>
        <v>-0.875</v>
      </c>
      <c r="K2267" s="0" t="n">
        <f aca="false">D2267*E2267</f>
        <v>-0.09375</v>
      </c>
      <c r="L2267" s="0" t="n">
        <f aca="false">D2267*F2267</f>
        <v>0.109375</v>
      </c>
      <c r="M2267" s="0" t="n">
        <f aca="false">E2267*F2267</f>
        <v>-0.65625</v>
      </c>
      <c r="N2267" s="0" t="n">
        <f aca="false">D2267*D2267</f>
        <v>0.015625</v>
      </c>
      <c r="O2267" s="0" t="n">
        <f aca="false">E2267*E2267</f>
        <v>0.5625</v>
      </c>
      <c r="P2267" s="0" t="n">
        <f aca="false">F2267*F2267</f>
        <v>0.765625</v>
      </c>
      <c r="Q2267" s="0" t="n">
        <f aca="false">SUMPRODUCT(G2267:P2267,_XtX!$B$71:$K$71)</f>
        <v>45.8914488636364</v>
      </c>
      <c r="R2267" s="0" t="n">
        <f aca="false">SUMPRODUCT(MMULT(G2267:P2267,_XtX!$B$58:$K$67),G2267:P2267)</f>
        <v>0.392013827237216</v>
      </c>
      <c r="S2267" s="0" t="n">
        <f aca="false">04_回帰ANOVA!$K$19*04_回帰ANOVA!$K$14*SQRT(1+R2267)</f>
        <v>1.09695398627251</v>
      </c>
      <c r="T2267" s="0" t="n">
        <f aca="false">Q2267-S2267</f>
        <v>44.7944948773639</v>
      </c>
      <c r="U2267" s="0" t="n">
        <f aca="false">Q2267+S2267</f>
        <v>46.9884028499089</v>
      </c>
      <c r="V2267" s="54" t="b">
        <f aca="false">AND(D2267&gt;=01_因子設定!$L$5-0.000000001,D2267&lt;=01_因子設定!$M$5+0.000000001,E2267&gt;=01_因子設定!$L$6-0.000000001,E2267&lt;=01_因子設定!$M$6+0.000000001,F2267&gt;=01_因子設定!$L$7-0.000000001,F2267&lt;=01_因子設定!$M$7+0.000000001,IF(01_因子設定!$B$20="Box-Behnken",D2267^2+E2267^2+F2267^2&lt;=2+0.000000001,TRUE()))</f>
        <v>1</v>
      </c>
      <c r="W2267" s="55" t="n">
        <f aca="false">IF(V2267,IF(01_因子設定!$B$13="最大化",T2267-01_因子設定!$B$14,IF(01_因子設定!$B$13="最小化",01_因子設定!$B$15-U2267,MIN(T2267-01_因子設定!$B$14,01_因子設定!$B$15-U2267))),-1E+030)</f>
        <v>-3.70550512263612</v>
      </c>
      <c r="X2267" s="55" t="n">
        <f aca="false">IF(V2267,IF(01_因子設定!$B$13="最大化",Q2267,IF(01_因子設定!$B$13="最小化",-Q2267,-ABS(Q2267-01_因子設定!$B$16))),-1E+030)</f>
        <v>45.8914488636364</v>
      </c>
      <c r="Y2267" s="55" t="n">
        <f aca="false">W2267+ROW()*0.000000001</f>
        <v>-3.70550285563612</v>
      </c>
      <c r="Z2267" s="55" t="n">
        <f aca="false">X2267+ROW()*0.000000001</f>
        <v>45.8914511306364</v>
      </c>
    </row>
    <row r="2268" customFormat="false" ht="15" hidden="false" customHeight="false" outlineLevel="0" collapsed="false">
      <c r="A2268" s="0" t="n">
        <v>7</v>
      </c>
      <c r="B2268" s="0" t="n">
        <v>14</v>
      </c>
      <c r="C2268" s="0" t="n">
        <v>2</v>
      </c>
      <c r="D2268" s="0" t="n">
        <f aca="false">-1+A2268*0.125</f>
        <v>-0.125</v>
      </c>
      <c r="E2268" s="0" t="n">
        <f aca="false">-1+B2268*0.125</f>
        <v>0.75</v>
      </c>
      <c r="F2268" s="0" t="n">
        <f aca="false">-1+C2268*0.125</f>
        <v>-0.75</v>
      </c>
      <c r="G2268" s="0" t="n">
        <f aca="false">1</f>
        <v>1</v>
      </c>
      <c r="H2268" s="0" t="n">
        <f aca="false">D2268</f>
        <v>-0.125</v>
      </c>
      <c r="I2268" s="0" t="n">
        <f aca="false">E2268</f>
        <v>0.75</v>
      </c>
      <c r="J2268" s="0" t="n">
        <f aca="false">F2268</f>
        <v>-0.75</v>
      </c>
      <c r="K2268" s="0" t="n">
        <f aca="false">D2268*E2268</f>
        <v>-0.09375</v>
      </c>
      <c r="L2268" s="0" t="n">
        <f aca="false">D2268*F2268</f>
        <v>0.09375</v>
      </c>
      <c r="M2268" s="0" t="n">
        <f aca="false">E2268*F2268</f>
        <v>-0.5625</v>
      </c>
      <c r="N2268" s="0" t="n">
        <f aca="false">D2268*D2268</f>
        <v>0.015625</v>
      </c>
      <c r="O2268" s="0" t="n">
        <f aca="false">E2268*E2268</f>
        <v>0.5625</v>
      </c>
      <c r="P2268" s="0" t="n">
        <f aca="false">F2268*F2268</f>
        <v>0.5625</v>
      </c>
      <c r="Q2268" s="0" t="n">
        <f aca="false">SUMPRODUCT(G2268:P2268,_XtX!$B$71:$K$71)</f>
        <v>46.3476136363637</v>
      </c>
      <c r="R2268" s="0" t="n">
        <f aca="false">SUMPRODUCT(MMULT(G2268:P2268,_XtX!$B$58:$K$67),G2268:P2268)</f>
        <v>0.309414950284091</v>
      </c>
      <c r="S2268" s="0" t="n">
        <f aca="false">04_回帰ANOVA!$K$19*04_回帰ANOVA!$K$14*SQRT(1+R2268)</f>
        <v>1.06391096196568</v>
      </c>
      <c r="T2268" s="0" t="n">
        <f aca="false">Q2268-S2268</f>
        <v>45.283702674398</v>
      </c>
      <c r="U2268" s="0" t="n">
        <f aca="false">Q2268+S2268</f>
        <v>47.4115245983293</v>
      </c>
      <c r="V2268" s="54" t="b">
        <f aca="false">AND(D2268&gt;=01_因子設定!$L$5-0.000000001,D2268&lt;=01_因子設定!$M$5+0.000000001,E2268&gt;=01_因子設定!$L$6-0.000000001,E2268&lt;=01_因子設定!$M$6+0.000000001,F2268&gt;=01_因子設定!$L$7-0.000000001,F2268&lt;=01_因子設定!$M$7+0.000000001,IF(01_因子設定!$B$20="Box-Behnken",D2268^2+E2268^2+F2268^2&lt;=2+0.000000001,TRUE()))</f>
        <v>1</v>
      </c>
      <c r="W2268" s="55" t="n">
        <f aca="false">IF(V2268,IF(01_因子設定!$B$13="最大化",T2268-01_因子設定!$B$14,IF(01_因子設定!$B$13="最小化",01_因子設定!$B$15-U2268,MIN(T2268-01_因子設定!$B$14,01_因子設定!$B$15-U2268))),-1E+030)</f>
        <v>-3.21629732560202</v>
      </c>
      <c r="X2268" s="55" t="n">
        <f aca="false">IF(V2268,IF(01_因子設定!$B$13="最大化",Q2268,IF(01_因子設定!$B$13="最小化",-Q2268,-ABS(Q2268-01_因子設定!$B$16))),-1E+030)</f>
        <v>46.3476136363637</v>
      </c>
      <c r="Y2268" s="55" t="n">
        <f aca="false">W2268+ROW()*0.000000001</f>
        <v>-3.21629505760202</v>
      </c>
      <c r="Z2268" s="55" t="n">
        <f aca="false">X2268+ROW()*0.000000001</f>
        <v>46.3476159043637</v>
      </c>
    </row>
    <row r="2269" customFormat="false" ht="15" hidden="false" customHeight="false" outlineLevel="0" collapsed="false">
      <c r="A2269" s="0" t="n">
        <v>7</v>
      </c>
      <c r="B2269" s="0" t="n">
        <v>14</v>
      </c>
      <c r="C2269" s="0" t="n">
        <v>3</v>
      </c>
      <c r="D2269" s="0" t="n">
        <f aca="false">-1+A2269*0.125</f>
        <v>-0.125</v>
      </c>
      <c r="E2269" s="0" t="n">
        <f aca="false">-1+B2269*0.125</f>
        <v>0.75</v>
      </c>
      <c r="F2269" s="0" t="n">
        <f aca="false">-1+C2269*0.125</f>
        <v>-0.625</v>
      </c>
      <c r="G2269" s="0" t="n">
        <f aca="false">1</f>
        <v>1</v>
      </c>
      <c r="H2269" s="0" t="n">
        <f aca="false">D2269</f>
        <v>-0.125</v>
      </c>
      <c r="I2269" s="0" t="n">
        <f aca="false">E2269</f>
        <v>0.75</v>
      </c>
      <c r="J2269" s="0" t="n">
        <f aca="false">F2269</f>
        <v>-0.625</v>
      </c>
      <c r="K2269" s="0" t="n">
        <f aca="false">D2269*E2269</f>
        <v>-0.09375</v>
      </c>
      <c r="L2269" s="0" t="n">
        <f aca="false">D2269*F2269</f>
        <v>0.078125</v>
      </c>
      <c r="M2269" s="0" t="n">
        <f aca="false">E2269*F2269</f>
        <v>-0.46875</v>
      </c>
      <c r="N2269" s="0" t="n">
        <f aca="false">D2269*D2269</f>
        <v>0.015625</v>
      </c>
      <c r="O2269" s="0" t="n">
        <f aca="false">E2269*E2269</f>
        <v>0.5625</v>
      </c>
      <c r="P2269" s="0" t="n">
        <f aca="false">F2269*F2269</f>
        <v>0.390625</v>
      </c>
      <c r="Q2269" s="0" t="n">
        <f aca="false">SUMPRODUCT(G2269:P2269,_XtX!$B$71:$K$71)</f>
        <v>46.7669886363637</v>
      </c>
      <c r="R2269" s="0" t="n">
        <f aca="false">SUMPRODUCT(MMULT(G2269:P2269,_XtX!$B$58:$K$67),G2269:P2269)</f>
        <v>0.262961092862216</v>
      </c>
      <c r="S2269" s="0" t="n">
        <f aca="false">04_回帰ANOVA!$K$19*04_回帰ANOVA!$K$14*SQRT(1+R2269)</f>
        <v>1.04486846483649</v>
      </c>
      <c r="T2269" s="0" t="n">
        <f aca="false">Q2269-S2269</f>
        <v>45.7221201715272</v>
      </c>
      <c r="U2269" s="0" t="n">
        <f aca="false">Q2269+S2269</f>
        <v>47.8118571012001</v>
      </c>
      <c r="V2269" s="54" t="b">
        <f aca="false">AND(D2269&gt;=01_因子設定!$L$5-0.000000001,D2269&lt;=01_因子設定!$M$5+0.000000001,E2269&gt;=01_因子設定!$L$6-0.000000001,E2269&lt;=01_因子設定!$M$6+0.000000001,F2269&gt;=01_因子設定!$L$7-0.000000001,F2269&lt;=01_因子設定!$M$7+0.000000001,IF(01_因子設定!$B$20="Box-Behnken",D2269^2+E2269^2+F2269^2&lt;=2+0.000000001,TRUE()))</f>
        <v>1</v>
      </c>
      <c r="W2269" s="55" t="n">
        <f aca="false">IF(V2269,IF(01_因子設定!$B$13="最大化",T2269-01_因子設定!$B$14,IF(01_因子設定!$B$13="最小化",01_因子設定!$B$15-U2269,MIN(T2269-01_因子設定!$B$14,01_因子設定!$B$15-U2269))),-1E+030)</f>
        <v>-2.77787982847283</v>
      </c>
      <c r="X2269" s="55" t="n">
        <f aca="false">IF(V2269,IF(01_因子設定!$B$13="最大化",Q2269,IF(01_因子設定!$B$13="最小化",-Q2269,-ABS(Q2269-01_因子設定!$B$16))),-1E+030)</f>
        <v>46.7669886363637</v>
      </c>
      <c r="Y2269" s="55" t="n">
        <f aca="false">W2269+ROW()*0.000000001</f>
        <v>-2.77787755947283</v>
      </c>
      <c r="Z2269" s="55" t="n">
        <f aca="false">X2269+ROW()*0.000000001</f>
        <v>46.7669909053637</v>
      </c>
    </row>
    <row r="2270" customFormat="false" ht="15" hidden="false" customHeight="false" outlineLevel="0" collapsed="false">
      <c r="A2270" s="0" t="n">
        <v>7</v>
      </c>
      <c r="B2270" s="0" t="n">
        <v>14</v>
      </c>
      <c r="C2270" s="0" t="n">
        <v>4</v>
      </c>
      <c r="D2270" s="0" t="n">
        <f aca="false">-1+A2270*0.125</f>
        <v>-0.125</v>
      </c>
      <c r="E2270" s="0" t="n">
        <f aca="false">-1+B2270*0.125</f>
        <v>0.75</v>
      </c>
      <c r="F2270" s="0" t="n">
        <f aca="false">-1+C2270*0.125</f>
        <v>-0.5</v>
      </c>
      <c r="G2270" s="0" t="n">
        <f aca="false">1</f>
        <v>1</v>
      </c>
      <c r="H2270" s="0" t="n">
        <f aca="false">D2270</f>
        <v>-0.125</v>
      </c>
      <c r="I2270" s="0" t="n">
        <f aca="false">E2270</f>
        <v>0.75</v>
      </c>
      <c r="J2270" s="0" t="n">
        <f aca="false">F2270</f>
        <v>-0.5</v>
      </c>
      <c r="K2270" s="0" t="n">
        <f aca="false">D2270*E2270</f>
        <v>-0.09375</v>
      </c>
      <c r="L2270" s="0" t="n">
        <f aca="false">D2270*F2270</f>
        <v>0.0625</v>
      </c>
      <c r="M2270" s="0" t="n">
        <f aca="false">E2270*F2270</f>
        <v>-0.375</v>
      </c>
      <c r="N2270" s="0" t="n">
        <f aca="false">D2270*D2270</f>
        <v>0.015625</v>
      </c>
      <c r="O2270" s="0" t="n">
        <f aca="false">E2270*E2270</f>
        <v>0.5625</v>
      </c>
      <c r="P2270" s="0" t="n">
        <f aca="false">F2270*F2270</f>
        <v>0.25</v>
      </c>
      <c r="Q2270" s="0" t="n">
        <f aca="false">SUMPRODUCT(G2270:P2270,_XtX!$B$71:$K$71)</f>
        <v>47.1495738636364</v>
      </c>
      <c r="R2270" s="0" t="n">
        <f aca="false">SUMPRODUCT(MMULT(G2270:P2270,_XtX!$B$58:$K$67),G2270:P2270)</f>
        <v>0.240933504971591</v>
      </c>
      <c r="S2270" s="0" t="n">
        <f aca="false">04_回帰ANOVA!$K$19*04_回帰ANOVA!$K$14*SQRT(1+R2270)</f>
        <v>1.03571649118863</v>
      </c>
      <c r="T2270" s="0" t="n">
        <f aca="false">Q2270-S2270</f>
        <v>46.1138573724478</v>
      </c>
      <c r="U2270" s="0" t="n">
        <f aca="false">Q2270+S2270</f>
        <v>48.185290354825</v>
      </c>
      <c r="V2270" s="54" t="b">
        <f aca="false">AND(D2270&gt;=01_因子設定!$L$5-0.000000001,D2270&lt;=01_因子設定!$M$5+0.000000001,E2270&gt;=01_因子設定!$L$6-0.000000001,E2270&lt;=01_因子設定!$M$6+0.000000001,F2270&gt;=01_因子設定!$L$7-0.000000001,F2270&lt;=01_因子設定!$M$7+0.000000001,IF(01_因子設定!$B$20="Box-Behnken",D2270^2+E2270^2+F2270^2&lt;=2+0.000000001,TRUE()))</f>
        <v>1</v>
      </c>
      <c r="W2270" s="55" t="n">
        <f aca="false">IF(V2270,IF(01_因子設定!$B$13="最大化",T2270-01_因子設定!$B$14,IF(01_因子設定!$B$13="最小化",01_因子設定!$B$15-U2270,MIN(T2270-01_因子設定!$B$14,01_因子設定!$B$15-U2270))),-1E+030)</f>
        <v>-2.38614262755225</v>
      </c>
      <c r="X2270" s="55" t="n">
        <f aca="false">IF(V2270,IF(01_因子設定!$B$13="最大化",Q2270,IF(01_因子設定!$B$13="最小化",-Q2270,-ABS(Q2270-01_因子設定!$B$16))),-1E+030)</f>
        <v>47.1495738636364</v>
      </c>
      <c r="Y2270" s="55" t="n">
        <f aca="false">W2270+ROW()*0.000000001</f>
        <v>-2.38614035755225</v>
      </c>
      <c r="Z2270" s="55" t="n">
        <f aca="false">X2270+ROW()*0.000000001</f>
        <v>47.1495761336364</v>
      </c>
    </row>
    <row r="2271" customFormat="false" ht="15" hidden="false" customHeight="false" outlineLevel="0" collapsed="false">
      <c r="A2271" s="0" t="n">
        <v>7</v>
      </c>
      <c r="B2271" s="0" t="n">
        <v>14</v>
      </c>
      <c r="C2271" s="0" t="n">
        <v>5</v>
      </c>
      <c r="D2271" s="0" t="n">
        <f aca="false">-1+A2271*0.125</f>
        <v>-0.125</v>
      </c>
      <c r="E2271" s="0" t="n">
        <f aca="false">-1+B2271*0.125</f>
        <v>0.75</v>
      </c>
      <c r="F2271" s="0" t="n">
        <f aca="false">-1+C2271*0.125</f>
        <v>-0.375</v>
      </c>
      <c r="G2271" s="0" t="n">
        <f aca="false">1</f>
        <v>1</v>
      </c>
      <c r="H2271" s="0" t="n">
        <f aca="false">D2271</f>
        <v>-0.125</v>
      </c>
      <c r="I2271" s="0" t="n">
        <f aca="false">E2271</f>
        <v>0.75</v>
      </c>
      <c r="J2271" s="0" t="n">
        <f aca="false">F2271</f>
        <v>-0.375</v>
      </c>
      <c r="K2271" s="0" t="n">
        <f aca="false">D2271*E2271</f>
        <v>-0.09375</v>
      </c>
      <c r="L2271" s="0" t="n">
        <f aca="false">D2271*F2271</f>
        <v>0.046875</v>
      </c>
      <c r="M2271" s="0" t="n">
        <f aca="false">E2271*F2271</f>
        <v>-0.28125</v>
      </c>
      <c r="N2271" s="0" t="n">
        <f aca="false">D2271*D2271</f>
        <v>0.015625</v>
      </c>
      <c r="O2271" s="0" t="n">
        <f aca="false">E2271*E2271</f>
        <v>0.5625</v>
      </c>
      <c r="P2271" s="0" t="n">
        <f aca="false">F2271*F2271</f>
        <v>0.140625</v>
      </c>
      <c r="Q2271" s="0" t="n">
        <f aca="false">SUMPRODUCT(G2271:P2271,_XtX!$B$71:$K$71)</f>
        <v>47.4953693181818</v>
      </c>
      <c r="R2271" s="0" t="n">
        <f aca="false">SUMPRODUCT(MMULT(G2271:P2271,_XtX!$B$58:$K$67),G2271:P2271)</f>
        <v>0.233744118430398</v>
      </c>
      <c r="S2271" s="0" t="n">
        <f aca="false">04_回帰ANOVA!$K$19*04_回帰ANOVA!$K$14*SQRT(1+R2271)</f>
        <v>1.0327119053564</v>
      </c>
      <c r="T2271" s="0" t="n">
        <f aca="false">Q2271-S2271</f>
        <v>46.4626574128254</v>
      </c>
      <c r="U2271" s="0" t="n">
        <f aca="false">Q2271+S2271</f>
        <v>48.5280812235382</v>
      </c>
      <c r="V2271" s="54" t="b">
        <f aca="false">AND(D2271&gt;=01_因子設定!$L$5-0.000000001,D2271&lt;=01_因子設定!$M$5+0.000000001,E2271&gt;=01_因子設定!$L$6-0.000000001,E2271&lt;=01_因子設定!$M$6+0.000000001,F2271&gt;=01_因子設定!$L$7-0.000000001,F2271&lt;=01_因子設定!$M$7+0.000000001,IF(01_因子設定!$B$20="Box-Behnken",D2271^2+E2271^2+F2271^2&lt;=2+0.000000001,TRUE()))</f>
        <v>1</v>
      </c>
      <c r="W2271" s="55" t="n">
        <f aca="false">IF(V2271,IF(01_因子設定!$B$13="最大化",T2271-01_因子設定!$B$14,IF(01_因子設定!$B$13="最小化",01_因子設定!$B$15-U2271,MIN(T2271-01_因子設定!$B$14,01_因子設定!$B$15-U2271))),-1E+030)</f>
        <v>-2.03734258717457</v>
      </c>
      <c r="X2271" s="55" t="n">
        <f aca="false">IF(V2271,IF(01_因子設定!$B$13="最大化",Q2271,IF(01_因子設定!$B$13="最小化",-Q2271,-ABS(Q2271-01_因子設定!$B$16))),-1E+030)</f>
        <v>47.4953693181818</v>
      </c>
      <c r="Y2271" s="55" t="n">
        <f aca="false">W2271+ROW()*0.000000001</f>
        <v>-2.03734031617457</v>
      </c>
      <c r="Z2271" s="55" t="n">
        <f aca="false">X2271+ROW()*0.000000001</f>
        <v>47.4953715891818</v>
      </c>
    </row>
    <row r="2272" customFormat="false" ht="15" hidden="false" customHeight="false" outlineLevel="0" collapsed="false">
      <c r="A2272" s="0" t="n">
        <v>7</v>
      </c>
      <c r="B2272" s="0" t="n">
        <v>14</v>
      </c>
      <c r="C2272" s="0" t="n">
        <v>6</v>
      </c>
      <c r="D2272" s="0" t="n">
        <f aca="false">-1+A2272*0.125</f>
        <v>-0.125</v>
      </c>
      <c r="E2272" s="0" t="n">
        <f aca="false">-1+B2272*0.125</f>
        <v>0.75</v>
      </c>
      <c r="F2272" s="0" t="n">
        <f aca="false">-1+C2272*0.125</f>
        <v>-0.25</v>
      </c>
      <c r="G2272" s="0" t="n">
        <f aca="false">1</f>
        <v>1</v>
      </c>
      <c r="H2272" s="0" t="n">
        <f aca="false">D2272</f>
        <v>-0.125</v>
      </c>
      <c r="I2272" s="0" t="n">
        <f aca="false">E2272</f>
        <v>0.75</v>
      </c>
      <c r="J2272" s="0" t="n">
        <f aca="false">F2272</f>
        <v>-0.25</v>
      </c>
      <c r="K2272" s="0" t="n">
        <f aca="false">D2272*E2272</f>
        <v>-0.09375</v>
      </c>
      <c r="L2272" s="0" t="n">
        <f aca="false">D2272*F2272</f>
        <v>0.03125</v>
      </c>
      <c r="M2272" s="0" t="n">
        <f aca="false">E2272*F2272</f>
        <v>-0.1875</v>
      </c>
      <c r="N2272" s="0" t="n">
        <f aca="false">D2272*D2272</f>
        <v>0.015625</v>
      </c>
      <c r="O2272" s="0" t="n">
        <f aca="false">E2272*E2272</f>
        <v>0.5625</v>
      </c>
      <c r="P2272" s="0" t="n">
        <f aca="false">F2272*F2272</f>
        <v>0.0625</v>
      </c>
      <c r="Q2272" s="0" t="n">
        <f aca="false">SUMPRODUCT(G2272:P2272,_XtX!$B$71:$K$71)</f>
        <v>47.804375</v>
      </c>
      <c r="R2272" s="0" t="n">
        <f aca="false">SUMPRODUCT(MMULT(G2272:P2272,_XtX!$B$58:$K$67),G2272:P2272)</f>
        <v>0.233935546875</v>
      </c>
      <c r="S2272" s="0" t="n">
        <f aca="false">04_回帰ANOVA!$K$19*04_回帰ANOVA!$K$14*SQRT(1+R2272)</f>
        <v>1.03279202033444</v>
      </c>
      <c r="T2272" s="0" t="n">
        <f aca="false">Q2272-S2272</f>
        <v>46.7715829796656</v>
      </c>
      <c r="U2272" s="0" t="n">
        <f aca="false">Q2272+S2272</f>
        <v>48.8371670203345</v>
      </c>
      <c r="V2272" s="54" t="b">
        <f aca="false">AND(D2272&gt;=01_因子設定!$L$5-0.000000001,D2272&lt;=01_因子設定!$M$5+0.000000001,E2272&gt;=01_因子設定!$L$6-0.000000001,E2272&lt;=01_因子設定!$M$6+0.000000001,F2272&gt;=01_因子設定!$L$7-0.000000001,F2272&lt;=01_因子設定!$M$7+0.000000001,IF(01_因子設定!$B$20="Box-Behnken",D2272^2+E2272^2+F2272^2&lt;=2+0.000000001,TRUE()))</f>
        <v>1</v>
      </c>
      <c r="W2272" s="55" t="n">
        <f aca="false">IF(V2272,IF(01_因子設定!$B$13="最大化",T2272-01_因子設定!$B$14,IF(01_因子設定!$B$13="最小化",01_因子設定!$B$15-U2272,MIN(T2272-01_因子設定!$B$14,01_因子設定!$B$15-U2272))),-1E+030)</f>
        <v>-1.72841702033443</v>
      </c>
      <c r="X2272" s="55" t="n">
        <f aca="false">IF(V2272,IF(01_因子設定!$B$13="最大化",Q2272,IF(01_因子設定!$B$13="最小化",-Q2272,-ABS(Q2272-01_因子設定!$B$16))),-1E+030)</f>
        <v>47.804375</v>
      </c>
      <c r="Y2272" s="55" t="n">
        <f aca="false">W2272+ROW()*0.000000001</f>
        <v>-1.72841474833443</v>
      </c>
      <c r="Z2272" s="55" t="n">
        <f aca="false">X2272+ROW()*0.000000001</f>
        <v>47.804377272</v>
      </c>
    </row>
    <row r="2273" customFormat="false" ht="15" hidden="false" customHeight="false" outlineLevel="0" collapsed="false">
      <c r="A2273" s="0" t="n">
        <v>7</v>
      </c>
      <c r="B2273" s="0" t="n">
        <v>14</v>
      </c>
      <c r="C2273" s="0" t="n">
        <v>7</v>
      </c>
      <c r="D2273" s="0" t="n">
        <f aca="false">-1+A2273*0.125</f>
        <v>-0.125</v>
      </c>
      <c r="E2273" s="0" t="n">
        <f aca="false">-1+B2273*0.125</f>
        <v>0.75</v>
      </c>
      <c r="F2273" s="0" t="n">
        <f aca="false">-1+C2273*0.125</f>
        <v>-0.125</v>
      </c>
      <c r="G2273" s="0" t="n">
        <f aca="false">1</f>
        <v>1</v>
      </c>
      <c r="H2273" s="0" t="n">
        <f aca="false">D2273</f>
        <v>-0.125</v>
      </c>
      <c r="I2273" s="0" t="n">
        <f aca="false">E2273</f>
        <v>0.75</v>
      </c>
      <c r="J2273" s="0" t="n">
        <f aca="false">F2273</f>
        <v>-0.125</v>
      </c>
      <c r="K2273" s="0" t="n">
        <f aca="false">D2273*E2273</f>
        <v>-0.09375</v>
      </c>
      <c r="L2273" s="0" t="n">
        <f aca="false">D2273*F2273</f>
        <v>0.015625</v>
      </c>
      <c r="M2273" s="0" t="n">
        <f aca="false">E2273*F2273</f>
        <v>-0.09375</v>
      </c>
      <c r="N2273" s="0" t="n">
        <f aca="false">D2273*D2273</f>
        <v>0.015625</v>
      </c>
      <c r="O2273" s="0" t="n">
        <f aca="false">E2273*E2273</f>
        <v>0.5625</v>
      </c>
      <c r="P2273" s="0" t="n">
        <f aca="false">F2273*F2273</f>
        <v>0.015625</v>
      </c>
      <c r="Q2273" s="0" t="n">
        <f aca="false">SUMPRODUCT(G2273:P2273,_XtX!$B$71:$K$71)</f>
        <v>48.0765909090909</v>
      </c>
      <c r="R2273" s="0" t="n">
        <f aca="false">SUMPRODUCT(MMULT(G2273:P2273,_XtX!$B$58:$K$67),G2273:P2273)</f>
        <v>0.236181085759943</v>
      </c>
      <c r="S2273" s="0" t="n">
        <f aca="false">04_回帰ANOVA!$K$19*04_回帰ANOVA!$K$14*SQRT(1+R2273)</f>
        <v>1.03373134025567</v>
      </c>
      <c r="T2273" s="0" t="n">
        <f aca="false">Q2273-S2273</f>
        <v>47.0428595688352</v>
      </c>
      <c r="U2273" s="0" t="n">
        <f aca="false">Q2273+S2273</f>
        <v>49.1103222493466</v>
      </c>
      <c r="V2273" s="54" t="b">
        <f aca="false">AND(D2273&gt;=01_因子設定!$L$5-0.000000001,D2273&lt;=01_因子設定!$M$5+0.000000001,E2273&gt;=01_因子設定!$L$6-0.000000001,E2273&lt;=01_因子設定!$M$6+0.000000001,F2273&gt;=01_因子設定!$L$7-0.000000001,F2273&lt;=01_因子設定!$M$7+0.000000001,IF(01_因子設定!$B$20="Box-Behnken",D2273^2+E2273^2+F2273^2&lt;=2+0.000000001,TRUE()))</f>
        <v>1</v>
      </c>
      <c r="W2273" s="55" t="n">
        <f aca="false">IF(V2273,IF(01_因子設定!$B$13="最大化",T2273-01_因子設定!$B$14,IF(01_因子設定!$B$13="最小化",01_因子設定!$B$15-U2273,MIN(T2273-01_因子設定!$B$14,01_因子設定!$B$15-U2273))),-1E+030)</f>
        <v>-1.45714043116476</v>
      </c>
      <c r="X2273" s="55" t="n">
        <f aca="false">IF(V2273,IF(01_因子設定!$B$13="最大化",Q2273,IF(01_因子設定!$B$13="最小化",-Q2273,-ABS(Q2273-01_因子設定!$B$16))),-1E+030)</f>
        <v>48.0765909090909</v>
      </c>
      <c r="Y2273" s="55" t="n">
        <f aca="false">W2273+ROW()*0.000000001</f>
        <v>-1.45713815816476</v>
      </c>
      <c r="Z2273" s="55" t="n">
        <f aca="false">X2273+ROW()*0.000000001</f>
        <v>48.0765931820909</v>
      </c>
    </row>
    <row r="2274" customFormat="false" ht="15" hidden="false" customHeight="false" outlineLevel="0" collapsed="false">
      <c r="A2274" s="0" t="n">
        <v>7</v>
      </c>
      <c r="B2274" s="0" t="n">
        <v>14</v>
      </c>
      <c r="C2274" s="0" t="n">
        <v>8</v>
      </c>
      <c r="D2274" s="0" t="n">
        <f aca="false">-1+A2274*0.125</f>
        <v>-0.125</v>
      </c>
      <c r="E2274" s="0" t="n">
        <f aca="false">-1+B2274*0.125</f>
        <v>0.75</v>
      </c>
      <c r="F2274" s="0" t="n">
        <f aca="false">-1+C2274*0.125</f>
        <v>0</v>
      </c>
      <c r="G2274" s="0" t="n">
        <f aca="false">1</f>
        <v>1</v>
      </c>
      <c r="H2274" s="0" t="n">
        <f aca="false">D2274</f>
        <v>-0.125</v>
      </c>
      <c r="I2274" s="0" t="n">
        <f aca="false">E2274</f>
        <v>0.75</v>
      </c>
      <c r="J2274" s="0" t="n">
        <f aca="false">F2274</f>
        <v>0</v>
      </c>
      <c r="K2274" s="0" t="n">
        <f aca="false">D2274*E2274</f>
        <v>-0.09375</v>
      </c>
      <c r="L2274" s="0" t="n">
        <f aca="false">D2274*F2274</f>
        <v>-0</v>
      </c>
      <c r="M2274" s="0" t="n">
        <f aca="false">E2274*F2274</f>
        <v>0</v>
      </c>
      <c r="N2274" s="0" t="n">
        <f aca="false">D2274*D2274</f>
        <v>0.015625</v>
      </c>
      <c r="O2274" s="0" t="n">
        <f aca="false">E2274*E2274</f>
        <v>0.5625</v>
      </c>
      <c r="P2274" s="0" t="n">
        <f aca="false">F2274*F2274</f>
        <v>0</v>
      </c>
      <c r="Q2274" s="0" t="n">
        <f aca="false">SUMPRODUCT(G2274:P2274,_XtX!$B$71:$K$71)</f>
        <v>48.3120170454546</v>
      </c>
      <c r="R2274" s="0" t="n">
        <f aca="false">SUMPRODUCT(MMULT(G2274:P2274,_XtX!$B$58:$K$67),G2274:P2274)</f>
        <v>0.237284712357955</v>
      </c>
      <c r="S2274" s="0" t="n">
        <f aca="false">04_回帰ANOVA!$K$19*04_回帰ANOVA!$K$14*SQRT(1+R2274)</f>
        <v>1.03419267998124</v>
      </c>
      <c r="T2274" s="0" t="n">
        <f aca="false">Q2274-S2274</f>
        <v>47.2778243654733</v>
      </c>
      <c r="U2274" s="0" t="n">
        <f aca="false">Q2274+S2274</f>
        <v>49.3462097254358</v>
      </c>
      <c r="V2274" s="54" t="b">
        <f aca="false">AND(D2274&gt;=01_因子設定!$L$5-0.000000001,D2274&lt;=01_因子設定!$M$5+0.000000001,E2274&gt;=01_因子設定!$L$6-0.000000001,E2274&lt;=01_因子設定!$M$6+0.000000001,F2274&gt;=01_因子設定!$L$7-0.000000001,F2274&lt;=01_因子設定!$M$7+0.000000001,IF(01_因子設定!$B$20="Box-Behnken",D2274^2+E2274^2+F2274^2&lt;=2+0.000000001,TRUE()))</f>
        <v>1</v>
      </c>
      <c r="W2274" s="55" t="n">
        <f aca="false">IF(V2274,IF(01_因子設定!$B$13="最大化",T2274-01_因子設定!$B$14,IF(01_因子設定!$B$13="最小化",01_因子設定!$B$15-U2274,MIN(T2274-01_因子設定!$B$14,01_因子設定!$B$15-U2274))),-1E+030)</f>
        <v>-1.22217563452669</v>
      </c>
      <c r="X2274" s="55" t="n">
        <f aca="false">IF(V2274,IF(01_因子設定!$B$13="最大化",Q2274,IF(01_因子設定!$B$13="最小化",-Q2274,-ABS(Q2274-01_因子設定!$B$16))),-1E+030)</f>
        <v>48.3120170454546</v>
      </c>
      <c r="Y2274" s="55" t="n">
        <f aca="false">W2274+ROW()*0.000000001</f>
        <v>-1.22217336052669</v>
      </c>
      <c r="Z2274" s="55" t="n">
        <f aca="false">X2274+ROW()*0.000000001</f>
        <v>48.3120193194546</v>
      </c>
    </row>
    <row r="2275" customFormat="false" ht="15" hidden="false" customHeight="false" outlineLevel="0" collapsed="false">
      <c r="A2275" s="0" t="n">
        <v>7</v>
      </c>
      <c r="B2275" s="0" t="n">
        <v>14</v>
      </c>
      <c r="C2275" s="0" t="n">
        <v>9</v>
      </c>
      <c r="D2275" s="0" t="n">
        <f aca="false">-1+A2275*0.125</f>
        <v>-0.125</v>
      </c>
      <c r="E2275" s="0" t="n">
        <f aca="false">-1+B2275*0.125</f>
        <v>0.75</v>
      </c>
      <c r="F2275" s="0" t="n">
        <f aca="false">-1+C2275*0.125</f>
        <v>0.125</v>
      </c>
      <c r="G2275" s="0" t="n">
        <f aca="false">1</f>
        <v>1</v>
      </c>
      <c r="H2275" s="0" t="n">
        <f aca="false">D2275</f>
        <v>-0.125</v>
      </c>
      <c r="I2275" s="0" t="n">
        <f aca="false">E2275</f>
        <v>0.75</v>
      </c>
      <c r="J2275" s="0" t="n">
        <f aca="false">F2275</f>
        <v>0.125</v>
      </c>
      <c r="K2275" s="0" t="n">
        <f aca="false">D2275*E2275</f>
        <v>-0.09375</v>
      </c>
      <c r="L2275" s="0" t="n">
        <f aca="false">D2275*F2275</f>
        <v>-0.015625</v>
      </c>
      <c r="M2275" s="0" t="n">
        <f aca="false">E2275*F2275</f>
        <v>0.09375</v>
      </c>
      <c r="N2275" s="0" t="n">
        <f aca="false">D2275*D2275</f>
        <v>0.015625</v>
      </c>
      <c r="O2275" s="0" t="n">
        <f aca="false">E2275*E2275</f>
        <v>0.5625</v>
      </c>
      <c r="P2275" s="0" t="n">
        <f aca="false">F2275*F2275</f>
        <v>0.015625</v>
      </c>
      <c r="Q2275" s="0" t="n">
        <f aca="false">SUMPRODUCT(G2275:P2275,_XtX!$B$71:$K$71)</f>
        <v>48.5106534090909</v>
      </c>
      <c r="R2275" s="0" t="n">
        <f aca="false">SUMPRODUCT(MMULT(G2275:P2275,_XtX!$B$58:$K$67),G2275:P2275)</f>
        <v>0.236181085759943</v>
      </c>
      <c r="S2275" s="0" t="n">
        <f aca="false">04_回帰ANOVA!$K$19*04_回帰ANOVA!$K$14*SQRT(1+R2275)</f>
        <v>1.03373134025567</v>
      </c>
      <c r="T2275" s="0" t="n">
        <f aca="false">Q2275-S2275</f>
        <v>47.4769220688352</v>
      </c>
      <c r="U2275" s="0" t="n">
        <f aca="false">Q2275+S2275</f>
        <v>49.5443847493466</v>
      </c>
      <c r="V2275" s="54" t="b">
        <f aca="false">AND(D2275&gt;=01_因子設定!$L$5-0.000000001,D2275&lt;=01_因子設定!$M$5+0.000000001,E2275&gt;=01_因子設定!$L$6-0.000000001,E2275&lt;=01_因子設定!$M$6+0.000000001,F2275&gt;=01_因子設定!$L$7-0.000000001,F2275&lt;=01_因子設定!$M$7+0.000000001,IF(01_因子設定!$B$20="Box-Behnken",D2275^2+E2275^2+F2275^2&lt;=2+0.000000001,TRUE()))</f>
        <v>1</v>
      </c>
      <c r="W2275" s="55" t="n">
        <f aca="false">IF(V2275,IF(01_因子設定!$B$13="最大化",T2275-01_因子設定!$B$14,IF(01_因子設定!$B$13="最小化",01_因子設定!$B$15-U2275,MIN(T2275-01_因子設定!$B$14,01_因子設定!$B$15-U2275))),-1E+030)</f>
        <v>-1.02307793116476</v>
      </c>
      <c r="X2275" s="55" t="n">
        <f aca="false">IF(V2275,IF(01_因子設定!$B$13="最大化",Q2275,IF(01_因子設定!$B$13="最小化",-Q2275,-ABS(Q2275-01_因子設定!$B$16))),-1E+030)</f>
        <v>48.5106534090909</v>
      </c>
      <c r="Y2275" s="55" t="n">
        <f aca="false">W2275+ROW()*0.000000001</f>
        <v>-1.02307565616476</v>
      </c>
      <c r="Z2275" s="55" t="n">
        <f aca="false">X2275+ROW()*0.000000001</f>
        <v>48.5106556840909</v>
      </c>
    </row>
    <row r="2276" customFormat="false" ht="15" hidden="false" customHeight="false" outlineLevel="0" collapsed="false">
      <c r="A2276" s="0" t="n">
        <v>7</v>
      </c>
      <c r="B2276" s="0" t="n">
        <v>14</v>
      </c>
      <c r="C2276" s="0" t="n">
        <v>10</v>
      </c>
      <c r="D2276" s="0" t="n">
        <f aca="false">-1+A2276*0.125</f>
        <v>-0.125</v>
      </c>
      <c r="E2276" s="0" t="n">
        <f aca="false">-1+B2276*0.125</f>
        <v>0.75</v>
      </c>
      <c r="F2276" s="0" t="n">
        <f aca="false">-1+C2276*0.125</f>
        <v>0.25</v>
      </c>
      <c r="G2276" s="0" t="n">
        <f aca="false">1</f>
        <v>1</v>
      </c>
      <c r="H2276" s="0" t="n">
        <f aca="false">D2276</f>
        <v>-0.125</v>
      </c>
      <c r="I2276" s="0" t="n">
        <f aca="false">E2276</f>
        <v>0.75</v>
      </c>
      <c r="J2276" s="0" t="n">
        <f aca="false">F2276</f>
        <v>0.25</v>
      </c>
      <c r="K2276" s="0" t="n">
        <f aca="false">D2276*E2276</f>
        <v>-0.09375</v>
      </c>
      <c r="L2276" s="0" t="n">
        <f aca="false">D2276*F2276</f>
        <v>-0.03125</v>
      </c>
      <c r="M2276" s="0" t="n">
        <f aca="false">E2276*F2276</f>
        <v>0.1875</v>
      </c>
      <c r="N2276" s="0" t="n">
        <f aca="false">D2276*D2276</f>
        <v>0.015625</v>
      </c>
      <c r="O2276" s="0" t="n">
        <f aca="false">E2276*E2276</f>
        <v>0.5625</v>
      </c>
      <c r="P2276" s="0" t="n">
        <f aca="false">F2276*F2276</f>
        <v>0.0625</v>
      </c>
      <c r="Q2276" s="0" t="n">
        <f aca="false">SUMPRODUCT(G2276:P2276,_XtX!$B$71:$K$71)</f>
        <v>48.6725</v>
      </c>
      <c r="R2276" s="0" t="n">
        <f aca="false">SUMPRODUCT(MMULT(G2276:P2276,_XtX!$B$58:$K$67),G2276:P2276)</f>
        <v>0.233935546875</v>
      </c>
      <c r="S2276" s="0" t="n">
        <f aca="false">04_回帰ANOVA!$K$19*04_回帰ANOVA!$K$14*SQRT(1+R2276)</f>
        <v>1.03279202033444</v>
      </c>
      <c r="T2276" s="0" t="n">
        <f aca="false">Q2276-S2276</f>
        <v>47.6397079796656</v>
      </c>
      <c r="U2276" s="0" t="n">
        <f aca="false">Q2276+S2276</f>
        <v>49.7052920203345</v>
      </c>
      <c r="V2276" s="54" t="b">
        <f aca="false">AND(D2276&gt;=01_因子設定!$L$5-0.000000001,D2276&lt;=01_因子設定!$M$5+0.000000001,E2276&gt;=01_因子設定!$L$6-0.000000001,E2276&lt;=01_因子設定!$M$6+0.000000001,F2276&gt;=01_因子設定!$L$7-0.000000001,F2276&lt;=01_因子設定!$M$7+0.000000001,IF(01_因子設定!$B$20="Box-Behnken",D2276^2+E2276^2+F2276^2&lt;=2+0.000000001,TRUE()))</f>
        <v>1</v>
      </c>
      <c r="W2276" s="55" t="n">
        <f aca="false">IF(V2276,IF(01_因子設定!$B$13="最大化",T2276-01_因子設定!$B$14,IF(01_因子設定!$B$13="最小化",01_因子設定!$B$15-U2276,MIN(T2276-01_因子設定!$B$14,01_因子設定!$B$15-U2276))),-1E+030)</f>
        <v>-0.860292020334427</v>
      </c>
      <c r="X2276" s="55" t="n">
        <f aca="false">IF(V2276,IF(01_因子設定!$B$13="最大化",Q2276,IF(01_因子設定!$B$13="最小化",-Q2276,-ABS(Q2276-01_因子設定!$B$16))),-1E+030)</f>
        <v>48.6725</v>
      </c>
      <c r="Y2276" s="55" t="n">
        <f aca="false">W2276+ROW()*0.000000001</f>
        <v>-0.860289744334427</v>
      </c>
      <c r="Z2276" s="55" t="n">
        <f aca="false">X2276+ROW()*0.000000001</f>
        <v>48.672502276</v>
      </c>
    </row>
    <row r="2277" customFormat="false" ht="15" hidden="false" customHeight="false" outlineLevel="0" collapsed="false">
      <c r="A2277" s="0" t="n">
        <v>7</v>
      </c>
      <c r="B2277" s="0" t="n">
        <v>14</v>
      </c>
      <c r="C2277" s="0" t="n">
        <v>11</v>
      </c>
      <c r="D2277" s="0" t="n">
        <f aca="false">-1+A2277*0.125</f>
        <v>-0.125</v>
      </c>
      <c r="E2277" s="0" t="n">
        <f aca="false">-1+B2277*0.125</f>
        <v>0.75</v>
      </c>
      <c r="F2277" s="0" t="n">
        <f aca="false">-1+C2277*0.125</f>
        <v>0.375</v>
      </c>
      <c r="G2277" s="0" t="n">
        <f aca="false">1</f>
        <v>1</v>
      </c>
      <c r="H2277" s="0" t="n">
        <f aca="false">D2277</f>
        <v>-0.125</v>
      </c>
      <c r="I2277" s="0" t="n">
        <f aca="false">E2277</f>
        <v>0.75</v>
      </c>
      <c r="J2277" s="0" t="n">
        <f aca="false">F2277</f>
        <v>0.375</v>
      </c>
      <c r="K2277" s="0" t="n">
        <f aca="false">D2277*E2277</f>
        <v>-0.09375</v>
      </c>
      <c r="L2277" s="0" t="n">
        <f aca="false">D2277*F2277</f>
        <v>-0.046875</v>
      </c>
      <c r="M2277" s="0" t="n">
        <f aca="false">E2277*F2277</f>
        <v>0.28125</v>
      </c>
      <c r="N2277" s="0" t="n">
        <f aca="false">D2277*D2277</f>
        <v>0.015625</v>
      </c>
      <c r="O2277" s="0" t="n">
        <f aca="false">E2277*E2277</f>
        <v>0.5625</v>
      </c>
      <c r="P2277" s="0" t="n">
        <f aca="false">F2277*F2277</f>
        <v>0.140625</v>
      </c>
      <c r="Q2277" s="0" t="n">
        <f aca="false">SUMPRODUCT(G2277:P2277,_XtX!$B$71:$K$71)</f>
        <v>48.7975568181818</v>
      </c>
      <c r="R2277" s="0" t="n">
        <f aca="false">SUMPRODUCT(MMULT(G2277:P2277,_XtX!$B$58:$K$67),G2277:P2277)</f>
        <v>0.233744118430398</v>
      </c>
      <c r="S2277" s="0" t="n">
        <f aca="false">04_回帰ANOVA!$K$19*04_回帰ANOVA!$K$14*SQRT(1+R2277)</f>
        <v>1.0327119053564</v>
      </c>
      <c r="T2277" s="0" t="n">
        <f aca="false">Q2277-S2277</f>
        <v>47.7648449128254</v>
      </c>
      <c r="U2277" s="0" t="n">
        <f aca="false">Q2277+S2277</f>
        <v>49.8302687235382</v>
      </c>
      <c r="V2277" s="54" t="b">
        <f aca="false">AND(D2277&gt;=01_因子設定!$L$5-0.000000001,D2277&lt;=01_因子設定!$M$5+0.000000001,E2277&gt;=01_因子設定!$L$6-0.000000001,E2277&lt;=01_因子設定!$M$6+0.000000001,F2277&gt;=01_因子設定!$L$7-0.000000001,F2277&lt;=01_因子設定!$M$7+0.000000001,IF(01_因子設定!$B$20="Box-Behnken",D2277^2+E2277^2+F2277^2&lt;=2+0.000000001,TRUE()))</f>
        <v>1</v>
      </c>
      <c r="W2277" s="55" t="n">
        <f aca="false">IF(V2277,IF(01_因子設定!$B$13="最大化",T2277-01_因子設定!$B$14,IF(01_因子設定!$B$13="最小化",01_因子設定!$B$15-U2277,MIN(T2277-01_因子設定!$B$14,01_因子設定!$B$15-U2277))),-1E+030)</f>
        <v>-0.735155087174569</v>
      </c>
      <c r="X2277" s="55" t="n">
        <f aca="false">IF(V2277,IF(01_因子設定!$B$13="最大化",Q2277,IF(01_因子設定!$B$13="最小化",-Q2277,-ABS(Q2277-01_因子設定!$B$16))),-1E+030)</f>
        <v>48.7975568181818</v>
      </c>
      <c r="Y2277" s="55" t="n">
        <f aca="false">W2277+ROW()*0.000000001</f>
        <v>-0.735152810174569</v>
      </c>
      <c r="Z2277" s="55" t="n">
        <f aca="false">X2277+ROW()*0.000000001</f>
        <v>48.7975590951818</v>
      </c>
    </row>
    <row r="2278" customFormat="false" ht="15" hidden="false" customHeight="false" outlineLevel="0" collapsed="false">
      <c r="A2278" s="0" t="n">
        <v>7</v>
      </c>
      <c r="B2278" s="0" t="n">
        <v>14</v>
      </c>
      <c r="C2278" s="0" t="n">
        <v>12</v>
      </c>
      <c r="D2278" s="0" t="n">
        <f aca="false">-1+A2278*0.125</f>
        <v>-0.125</v>
      </c>
      <c r="E2278" s="0" t="n">
        <f aca="false">-1+B2278*0.125</f>
        <v>0.75</v>
      </c>
      <c r="F2278" s="0" t="n">
        <f aca="false">-1+C2278*0.125</f>
        <v>0.5</v>
      </c>
      <c r="G2278" s="0" t="n">
        <f aca="false">1</f>
        <v>1</v>
      </c>
      <c r="H2278" s="0" t="n">
        <f aca="false">D2278</f>
        <v>-0.125</v>
      </c>
      <c r="I2278" s="0" t="n">
        <f aca="false">E2278</f>
        <v>0.75</v>
      </c>
      <c r="J2278" s="0" t="n">
        <f aca="false">F2278</f>
        <v>0.5</v>
      </c>
      <c r="K2278" s="0" t="n">
        <f aca="false">D2278*E2278</f>
        <v>-0.09375</v>
      </c>
      <c r="L2278" s="0" t="n">
        <f aca="false">D2278*F2278</f>
        <v>-0.0625</v>
      </c>
      <c r="M2278" s="0" t="n">
        <f aca="false">E2278*F2278</f>
        <v>0.375</v>
      </c>
      <c r="N2278" s="0" t="n">
        <f aca="false">D2278*D2278</f>
        <v>0.015625</v>
      </c>
      <c r="O2278" s="0" t="n">
        <f aca="false">E2278*E2278</f>
        <v>0.5625</v>
      </c>
      <c r="P2278" s="0" t="n">
        <f aca="false">F2278*F2278</f>
        <v>0.25</v>
      </c>
      <c r="Q2278" s="0" t="n">
        <f aca="false">SUMPRODUCT(G2278:P2278,_XtX!$B$71:$K$71)</f>
        <v>48.8858238636364</v>
      </c>
      <c r="R2278" s="0" t="n">
        <f aca="false">SUMPRODUCT(MMULT(G2278:P2278,_XtX!$B$58:$K$67),G2278:P2278)</f>
        <v>0.240933504971591</v>
      </c>
      <c r="S2278" s="0" t="n">
        <f aca="false">04_回帰ANOVA!$K$19*04_回帰ANOVA!$K$14*SQRT(1+R2278)</f>
        <v>1.03571649118863</v>
      </c>
      <c r="T2278" s="0" t="n">
        <f aca="false">Q2278-S2278</f>
        <v>47.8501073724478</v>
      </c>
      <c r="U2278" s="0" t="n">
        <f aca="false">Q2278+S2278</f>
        <v>49.921540354825</v>
      </c>
      <c r="V2278" s="54" t="b">
        <f aca="false">AND(D2278&gt;=01_因子設定!$L$5-0.000000001,D2278&lt;=01_因子設定!$M$5+0.000000001,E2278&gt;=01_因子設定!$L$6-0.000000001,E2278&lt;=01_因子設定!$M$6+0.000000001,F2278&gt;=01_因子設定!$L$7-0.000000001,F2278&lt;=01_因子設定!$M$7+0.000000001,IF(01_因子設定!$B$20="Box-Behnken",D2278^2+E2278^2+F2278^2&lt;=2+0.000000001,TRUE()))</f>
        <v>1</v>
      </c>
      <c r="W2278" s="55" t="n">
        <f aca="false">IF(V2278,IF(01_因子設定!$B$13="最大化",T2278-01_因子設定!$B$14,IF(01_因子設定!$B$13="最小化",01_因子設定!$B$15-U2278,MIN(T2278-01_因子設定!$B$14,01_因子設定!$B$15-U2278))),-1E+030)</f>
        <v>-0.649892627552248</v>
      </c>
      <c r="X2278" s="55" t="n">
        <f aca="false">IF(V2278,IF(01_因子設定!$B$13="最大化",Q2278,IF(01_因子設定!$B$13="最小化",-Q2278,-ABS(Q2278-01_因子設定!$B$16))),-1E+030)</f>
        <v>48.8858238636364</v>
      </c>
      <c r="Y2278" s="55" t="n">
        <f aca="false">W2278+ROW()*0.000000001</f>
        <v>-0.649890349552248</v>
      </c>
      <c r="Z2278" s="55" t="n">
        <f aca="false">X2278+ROW()*0.000000001</f>
        <v>48.8858261416364</v>
      </c>
    </row>
    <row r="2279" customFormat="false" ht="15" hidden="false" customHeight="false" outlineLevel="0" collapsed="false">
      <c r="A2279" s="0" t="n">
        <v>7</v>
      </c>
      <c r="B2279" s="0" t="n">
        <v>14</v>
      </c>
      <c r="C2279" s="0" t="n">
        <v>13</v>
      </c>
      <c r="D2279" s="0" t="n">
        <f aca="false">-1+A2279*0.125</f>
        <v>-0.125</v>
      </c>
      <c r="E2279" s="0" t="n">
        <f aca="false">-1+B2279*0.125</f>
        <v>0.75</v>
      </c>
      <c r="F2279" s="0" t="n">
        <f aca="false">-1+C2279*0.125</f>
        <v>0.625</v>
      </c>
      <c r="G2279" s="0" t="n">
        <f aca="false">1</f>
        <v>1</v>
      </c>
      <c r="H2279" s="0" t="n">
        <f aca="false">D2279</f>
        <v>-0.125</v>
      </c>
      <c r="I2279" s="0" t="n">
        <f aca="false">E2279</f>
        <v>0.75</v>
      </c>
      <c r="J2279" s="0" t="n">
        <f aca="false">F2279</f>
        <v>0.625</v>
      </c>
      <c r="K2279" s="0" t="n">
        <f aca="false">D2279*E2279</f>
        <v>-0.09375</v>
      </c>
      <c r="L2279" s="0" t="n">
        <f aca="false">D2279*F2279</f>
        <v>-0.078125</v>
      </c>
      <c r="M2279" s="0" t="n">
        <f aca="false">E2279*F2279</f>
        <v>0.46875</v>
      </c>
      <c r="N2279" s="0" t="n">
        <f aca="false">D2279*D2279</f>
        <v>0.015625</v>
      </c>
      <c r="O2279" s="0" t="n">
        <f aca="false">E2279*E2279</f>
        <v>0.5625</v>
      </c>
      <c r="P2279" s="0" t="n">
        <f aca="false">F2279*F2279</f>
        <v>0.390625</v>
      </c>
      <c r="Q2279" s="0" t="n">
        <f aca="false">SUMPRODUCT(G2279:P2279,_XtX!$B$71:$K$71)</f>
        <v>48.9373011363637</v>
      </c>
      <c r="R2279" s="0" t="n">
        <f aca="false">SUMPRODUCT(MMULT(G2279:P2279,_XtX!$B$58:$K$67),G2279:P2279)</f>
        <v>0.262961092862216</v>
      </c>
      <c r="S2279" s="0" t="n">
        <f aca="false">04_回帰ANOVA!$K$19*04_回帰ANOVA!$K$14*SQRT(1+R2279)</f>
        <v>1.04486846483649</v>
      </c>
      <c r="T2279" s="0" t="n">
        <f aca="false">Q2279-S2279</f>
        <v>47.8924326715272</v>
      </c>
      <c r="U2279" s="0" t="n">
        <f aca="false">Q2279+S2279</f>
        <v>49.9821696012001</v>
      </c>
      <c r="V2279" s="54" t="b">
        <f aca="false">AND(D2279&gt;=01_因子設定!$L$5-0.000000001,D2279&lt;=01_因子設定!$M$5+0.000000001,E2279&gt;=01_因子設定!$L$6-0.000000001,E2279&lt;=01_因子設定!$M$6+0.000000001,F2279&gt;=01_因子設定!$L$7-0.000000001,F2279&lt;=01_因子設定!$M$7+0.000000001,IF(01_因子設定!$B$20="Box-Behnken",D2279^2+E2279^2+F2279^2&lt;=2+0.000000001,TRUE()))</f>
        <v>1</v>
      </c>
      <c r="W2279" s="55" t="n">
        <f aca="false">IF(V2279,IF(01_因子設定!$B$13="最大化",T2279-01_因子設定!$B$14,IF(01_因子設定!$B$13="最小化",01_因子設定!$B$15-U2279,MIN(T2279-01_因子設定!$B$14,01_因子設定!$B$15-U2279))),-1E+030)</f>
        <v>-0.607567328472833</v>
      </c>
      <c r="X2279" s="55" t="n">
        <f aca="false">IF(V2279,IF(01_因子設定!$B$13="最大化",Q2279,IF(01_因子設定!$B$13="最小化",-Q2279,-ABS(Q2279-01_因子設定!$B$16))),-1E+030)</f>
        <v>48.9373011363637</v>
      </c>
      <c r="Y2279" s="55" t="n">
        <f aca="false">W2279+ROW()*0.000000001</f>
        <v>-0.607565049472832</v>
      </c>
      <c r="Z2279" s="55" t="n">
        <f aca="false">X2279+ROW()*0.000000001</f>
        <v>48.9373034153637</v>
      </c>
    </row>
    <row r="2280" customFormat="false" ht="15" hidden="false" customHeight="false" outlineLevel="0" collapsed="false">
      <c r="A2280" s="0" t="n">
        <v>7</v>
      </c>
      <c r="B2280" s="0" t="n">
        <v>14</v>
      </c>
      <c r="C2280" s="0" t="n">
        <v>14</v>
      </c>
      <c r="D2280" s="0" t="n">
        <f aca="false">-1+A2280*0.125</f>
        <v>-0.125</v>
      </c>
      <c r="E2280" s="0" t="n">
        <f aca="false">-1+B2280*0.125</f>
        <v>0.75</v>
      </c>
      <c r="F2280" s="0" t="n">
        <f aca="false">-1+C2280*0.125</f>
        <v>0.75</v>
      </c>
      <c r="G2280" s="0" t="n">
        <f aca="false">1</f>
        <v>1</v>
      </c>
      <c r="H2280" s="0" t="n">
        <f aca="false">D2280</f>
        <v>-0.125</v>
      </c>
      <c r="I2280" s="0" t="n">
        <f aca="false">E2280</f>
        <v>0.75</v>
      </c>
      <c r="J2280" s="0" t="n">
        <f aca="false">F2280</f>
        <v>0.75</v>
      </c>
      <c r="K2280" s="0" t="n">
        <f aca="false">D2280*E2280</f>
        <v>-0.09375</v>
      </c>
      <c r="L2280" s="0" t="n">
        <f aca="false">D2280*F2280</f>
        <v>-0.09375</v>
      </c>
      <c r="M2280" s="0" t="n">
        <f aca="false">E2280*F2280</f>
        <v>0.5625</v>
      </c>
      <c r="N2280" s="0" t="n">
        <f aca="false">D2280*D2280</f>
        <v>0.015625</v>
      </c>
      <c r="O2280" s="0" t="n">
        <f aca="false">E2280*E2280</f>
        <v>0.5625</v>
      </c>
      <c r="P2280" s="0" t="n">
        <f aca="false">F2280*F2280</f>
        <v>0.5625</v>
      </c>
      <c r="Q2280" s="0" t="n">
        <f aca="false">SUMPRODUCT(G2280:P2280,_XtX!$B$71:$K$71)</f>
        <v>48.9519886363637</v>
      </c>
      <c r="R2280" s="0" t="n">
        <f aca="false">SUMPRODUCT(MMULT(G2280:P2280,_XtX!$B$58:$K$67),G2280:P2280)</f>
        <v>0.309414950284091</v>
      </c>
      <c r="S2280" s="0" t="n">
        <f aca="false">04_回帰ANOVA!$K$19*04_回帰ANOVA!$K$14*SQRT(1+R2280)</f>
        <v>1.06391096196568</v>
      </c>
      <c r="T2280" s="0" t="n">
        <f aca="false">Q2280-S2280</f>
        <v>47.888077674398</v>
      </c>
      <c r="U2280" s="0" t="n">
        <f aca="false">Q2280+S2280</f>
        <v>50.0158995983293</v>
      </c>
      <c r="V2280" s="54" t="b">
        <f aca="false">AND(D2280&gt;=01_因子設定!$L$5-0.000000001,D2280&lt;=01_因子設定!$M$5+0.000000001,E2280&gt;=01_因子設定!$L$6-0.000000001,E2280&lt;=01_因子設定!$M$6+0.000000001,F2280&gt;=01_因子設定!$L$7-0.000000001,F2280&lt;=01_因子設定!$M$7+0.000000001,IF(01_因子設定!$B$20="Box-Behnken",D2280^2+E2280^2+F2280^2&lt;=2+0.000000001,TRUE()))</f>
        <v>1</v>
      </c>
      <c r="W2280" s="55" t="n">
        <f aca="false">IF(V2280,IF(01_因子設定!$B$13="最大化",T2280-01_因子設定!$B$14,IF(01_因子設定!$B$13="最小化",01_因子設定!$B$15-U2280,MIN(T2280-01_因子設定!$B$14,01_因子設定!$B$15-U2280))),-1E+030)</f>
        <v>-0.611922325602016</v>
      </c>
      <c r="X2280" s="55" t="n">
        <f aca="false">IF(V2280,IF(01_因子設定!$B$13="最大化",Q2280,IF(01_因子設定!$B$13="最小化",-Q2280,-ABS(Q2280-01_因子設定!$B$16))),-1E+030)</f>
        <v>48.9519886363637</v>
      </c>
      <c r="Y2280" s="55" t="n">
        <f aca="false">W2280+ROW()*0.000000001</f>
        <v>-0.611920045602016</v>
      </c>
      <c r="Z2280" s="55" t="n">
        <f aca="false">X2280+ROW()*0.000000001</f>
        <v>48.9519909163637</v>
      </c>
    </row>
    <row r="2281" customFormat="false" ht="15" hidden="false" customHeight="false" outlineLevel="0" collapsed="false">
      <c r="A2281" s="0" t="n">
        <v>7</v>
      </c>
      <c r="B2281" s="0" t="n">
        <v>14</v>
      </c>
      <c r="C2281" s="0" t="n">
        <v>15</v>
      </c>
      <c r="D2281" s="0" t="n">
        <f aca="false">-1+A2281*0.125</f>
        <v>-0.125</v>
      </c>
      <c r="E2281" s="0" t="n">
        <f aca="false">-1+B2281*0.125</f>
        <v>0.75</v>
      </c>
      <c r="F2281" s="0" t="n">
        <f aca="false">-1+C2281*0.125</f>
        <v>0.875</v>
      </c>
      <c r="G2281" s="0" t="n">
        <f aca="false">1</f>
        <v>1</v>
      </c>
      <c r="H2281" s="0" t="n">
        <f aca="false">D2281</f>
        <v>-0.125</v>
      </c>
      <c r="I2281" s="0" t="n">
        <f aca="false">E2281</f>
        <v>0.75</v>
      </c>
      <c r="J2281" s="0" t="n">
        <f aca="false">F2281</f>
        <v>0.875</v>
      </c>
      <c r="K2281" s="0" t="n">
        <f aca="false">D2281*E2281</f>
        <v>-0.09375</v>
      </c>
      <c r="L2281" s="0" t="n">
        <f aca="false">D2281*F2281</f>
        <v>-0.109375</v>
      </c>
      <c r="M2281" s="0" t="n">
        <f aca="false">E2281*F2281</f>
        <v>0.65625</v>
      </c>
      <c r="N2281" s="0" t="n">
        <f aca="false">D2281*D2281</f>
        <v>0.015625</v>
      </c>
      <c r="O2281" s="0" t="n">
        <f aca="false">E2281*E2281</f>
        <v>0.5625</v>
      </c>
      <c r="P2281" s="0" t="n">
        <f aca="false">F2281*F2281</f>
        <v>0.765625</v>
      </c>
      <c r="Q2281" s="0" t="n">
        <f aca="false">SUMPRODUCT(G2281:P2281,_XtX!$B$71:$K$71)</f>
        <v>48.9298863636364</v>
      </c>
      <c r="R2281" s="0" t="n">
        <f aca="false">SUMPRODUCT(MMULT(G2281:P2281,_XtX!$B$58:$K$67),G2281:P2281)</f>
        <v>0.392013827237216</v>
      </c>
      <c r="S2281" s="0" t="n">
        <f aca="false">04_回帰ANOVA!$K$19*04_回帰ANOVA!$K$14*SQRT(1+R2281)</f>
        <v>1.09695398627251</v>
      </c>
      <c r="T2281" s="0" t="n">
        <f aca="false">Q2281-S2281</f>
        <v>47.8329323773639</v>
      </c>
      <c r="U2281" s="0" t="n">
        <f aca="false">Q2281+S2281</f>
        <v>50.0268403499089</v>
      </c>
      <c r="V2281" s="54" t="b">
        <f aca="false">AND(D2281&gt;=01_因子設定!$L$5-0.000000001,D2281&lt;=01_因子設定!$M$5+0.000000001,E2281&gt;=01_因子設定!$L$6-0.000000001,E2281&lt;=01_因子設定!$M$6+0.000000001,F2281&gt;=01_因子設定!$L$7-0.000000001,F2281&lt;=01_因子設定!$M$7+0.000000001,IF(01_因子設定!$B$20="Box-Behnken",D2281^2+E2281^2+F2281^2&lt;=2+0.000000001,TRUE()))</f>
        <v>1</v>
      </c>
      <c r="W2281" s="55" t="n">
        <f aca="false">IF(V2281,IF(01_因子設定!$B$13="最大化",T2281-01_因子設定!$B$14,IF(01_因子設定!$B$13="最小化",01_因子設定!$B$15-U2281,MIN(T2281-01_因子設定!$B$14,01_因子設定!$B$15-U2281))),-1E+030)</f>
        <v>-0.667067622636118</v>
      </c>
      <c r="X2281" s="55" t="n">
        <f aca="false">IF(V2281,IF(01_因子設定!$B$13="最大化",Q2281,IF(01_因子設定!$B$13="最小化",-Q2281,-ABS(Q2281-01_因子設定!$B$16))),-1E+030)</f>
        <v>48.9298863636364</v>
      </c>
      <c r="Y2281" s="55" t="n">
        <f aca="false">W2281+ROW()*0.000000001</f>
        <v>-0.667065341636118</v>
      </c>
      <c r="Z2281" s="55" t="n">
        <f aca="false">X2281+ROW()*0.000000001</f>
        <v>48.9298886446364</v>
      </c>
    </row>
    <row r="2282" customFormat="false" ht="15" hidden="false" customHeight="false" outlineLevel="0" collapsed="false">
      <c r="A2282" s="0" t="n">
        <v>7</v>
      </c>
      <c r="B2282" s="0" t="n">
        <v>14</v>
      </c>
      <c r="C2282" s="0" t="n">
        <v>16</v>
      </c>
      <c r="D2282" s="0" t="n">
        <f aca="false">-1+A2282*0.125</f>
        <v>-0.125</v>
      </c>
      <c r="E2282" s="0" t="n">
        <f aca="false">-1+B2282*0.125</f>
        <v>0.75</v>
      </c>
      <c r="F2282" s="0" t="n">
        <f aca="false">-1+C2282*0.125</f>
        <v>1</v>
      </c>
      <c r="G2282" s="0" t="n">
        <f aca="false">1</f>
        <v>1</v>
      </c>
      <c r="H2282" s="0" t="n">
        <f aca="false">D2282</f>
        <v>-0.125</v>
      </c>
      <c r="I2282" s="0" t="n">
        <f aca="false">E2282</f>
        <v>0.75</v>
      </c>
      <c r="J2282" s="0" t="n">
        <f aca="false">F2282</f>
        <v>1</v>
      </c>
      <c r="K2282" s="0" t="n">
        <f aca="false">D2282*E2282</f>
        <v>-0.09375</v>
      </c>
      <c r="L2282" s="0" t="n">
        <f aca="false">D2282*F2282</f>
        <v>-0.125</v>
      </c>
      <c r="M2282" s="0" t="n">
        <f aca="false">E2282*F2282</f>
        <v>0.75</v>
      </c>
      <c r="N2282" s="0" t="n">
        <f aca="false">D2282*D2282</f>
        <v>0.015625</v>
      </c>
      <c r="O2282" s="0" t="n">
        <f aca="false">E2282*E2282</f>
        <v>0.5625</v>
      </c>
      <c r="P2282" s="0" t="n">
        <f aca="false">F2282*F2282</f>
        <v>1</v>
      </c>
      <c r="Q2282" s="0" t="n">
        <f aca="false">SUMPRODUCT(G2282:P2282,_XtX!$B$71:$K$71)</f>
        <v>48.8709943181819</v>
      </c>
      <c r="R2282" s="0" t="n">
        <f aca="false">SUMPRODUCT(MMULT(G2282:P2282,_XtX!$B$58:$K$67),G2282:P2282)</f>
        <v>0.524607155539773</v>
      </c>
      <c r="S2282" s="0" t="n">
        <f aca="false">04_回帰ANOVA!$K$19*04_回帰ANOVA!$K$14*SQRT(1+R2282)</f>
        <v>1.14800984623412</v>
      </c>
      <c r="T2282" s="0" t="n">
        <f aca="false">Q2282-S2282</f>
        <v>47.7229844719477</v>
      </c>
      <c r="U2282" s="0" t="n">
        <f aca="false">Q2282+S2282</f>
        <v>50.019004164416</v>
      </c>
      <c r="V2282" s="54" t="b">
        <f aca="false">AND(D2282&gt;=01_因子設定!$L$5-0.000000001,D2282&lt;=01_因子設定!$M$5+0.000000001,E2282&gt;=01_因子設定!$L$6-0.000000001,E2282&lt;=01_因子設定!$M$6+0.000000001,F2282&gt;=01_因子設定!$L$7-0.000000001,F2282&lt;=01_因子設定!$M$7+0.000000001,IF(01_因子設定!$B$20="Box-Behnken",D2282^2+E2282^2+F2282^2&lt;=2+0.000000001,TRUE()))</f>
        <v>1</v>
      </c>
      <c r="W2282" s="55" t="n">
        <f aca="false">IF(V2282,IF(01_因子設定!$B$13="最大化",T2282-01_因子設定!$B$14,IF(01_因子設定!$B$13="最小化",01_因子設定!$B$15-U2282,MIN(T2282-01_因子設定!$B$14,01_因子設定!$B$15-U2282))),-1E+030)</f>
        <v>-0.777015528052267</v>
      </c>
      <c r="X2282" s="55" t="n">
        <f aca="false">IF(V2282,IF(01_因子設定!$B$13="最大化",Q2282,IF(01_因子設定!$B$13="最小化",-Q2282,-ABS(Q2282-01_因子設定!$B$16))),-1E+030)</f>
        <v>48.8709943181819</v>
      </c>
      <c r="Y2282" s="55" t="n">
        <f aca="false">W2282+ROW()*0.000000001</f>
        <v>-0.777013246052267</v>
      </c>
      <c r="Z2282" s="55" t="n">
        <f aca="false">X2282+ROW()*0.000000001</f>
        <v>48.8709966001819</v>
      </c>
    </row>
    <row r="2283" customFormat="false" ht="15" hidden="false" customHeight="false" outlineLevel="0" collapsed="false">
      <c r="A2283" s="0" t="n">
        <v>7</v>
      </c>
      <c r="B2283" s="0" t="n">
        <v>15</v>
      </c>
      <c r="C2283" s="0" t="n">
        <v>0</v>
      </c>
      <c r="D2283" s="0" t="n">
        <f aca="false">-1+A2283*0.125</f>
        <v>-0.125</v>
      </c>
      <c r="E2283" s="0" t="n">
        <f aca="false">-1+B2283*0.125</f>
        <v>0.875</v>
      </c>
      <c r="F2283" s="0" t="n">
        <f aca="false">-1+C2283*0.125</f>
        <v>-1</v>
      </c>
      <c r="G2283" s="0" t="n">
        <f aca="false">1</f>
        <v>1</v>
      </c>
      <c r="H2283" s="0" t="n">
        <f aca="false">D2283</f>
        <v>-0.125</v>
      </c>
      <c r="I2283" s="0" t="n">
        <f aca="false">E2283</f>
        <v>0.875</v>
      </c>
      <c r="J2283" s="0" t="n">
        <f aca="false">F2283</f>
        <v>-1</v>
      </c>
      <c r="K2283" s="0" t="n">
        <f aca="false">D2283*E2283</f>
        <v>-0.109375</v>
      </c>
      <c r="L2283" s="0" t="n">
        <f aca="false">D2283*F2283</f>
        <v>0.125</v>
      </c>
      <c r="M2283" s="0" t="n">
        <f aca="false">E2283*F2283</f>
        <v>-0.875</v>
      </c>
      <c r="N2283" s="0" t="n">
        <f aca="false">D2283*D2283</f>
        <v>0.015625</v>
      </c>
      <c r="O2283" s="0" t="n">
        <f aca="false">E2283*E2283</f>
        <v>0.765625</v>
      </c>
      <c r="P2283" s="0" t="n">
        <f aca="false">F2283*F2283</f>
        <v>1</v>
      </c>
      <c r="Q2283" s="0" t="n">
        <f aca="false">SUMPRODUCT(G2283:P2283,_XtX!$B$71:$K$71)</f>
        <v>45.1700639204546</v>
      </c>
      <c r="R2283" s="0" t="n">
        <f aca="false">SUMPRODUCT(MMULT(G2283:P2283,_XtX!$B$58:$K$67),G2283:P2283)</f>
        <v>0.59407792524858</v>
      </c>
      <c r="S2283" s="0" t="n">
        <f aca="false">04_回帰ANOVA!$K$19*04_回帰ANOVA!$K$14*SQRT(1+R2283)</f>
        <v>1.17387380087722</v>
      </c>
      <c r="T2283" s="0" t="n">
        <f aca="false">Q2283-S2283</f>
        <v>43.9961901195774</v>
      </c>
      <c r="U2283" s="0" t="n">
        <f aca="false">Q2283+S2283</f>
        <v>46.3439377213318</v>
      </c>
      <c r="V2283" s="54" t="b">
        <f aca="false">AND(D2283&gt;=01_因子設定!$L$5-0.000000001,D2283&lt;=01_因子設定!$M$5+0.000000001,E2283&gt;=01_因子設定!$L$6-0.000000001,E2283&lt;=01_因子設定!$M$6+0.000000001,F2283&gt;=01_因子設定!$L$7-0.000000001,F2283&lt;=01_因子設定!$M$7+0.000000001,IF(01_因子設定!$B$20="Box-Behnken",D2283^2+E2283^2+F2283^2&lt;=2+0.000000001,TRUE()))</f>
        <v>1</v>
      </c>
      <c r="W2283" s="55" t="n">
        <f aca="false">IF(V2283,IF(01_因子設定!$B$13="最大化",T2283-01_因子設定!$B$14,IF(01_因子設定!$B$13="最小化",01_因子設定!$B$15-U2283,MIN(T2283-01_因子設定!$B$14,01_因子設定!$B$15-U2283))),-1E+030)</f>
        <v>-4.50380988042264</v>
      </c>
      <c r="X2283" s="55" t="n">
        <f aca="false">IF(V2283,IF(01_因子設定!$B$13="最大化",Q2283,IF(01_因子設定!$B$13="最小化",-Q2283,-ABS(Q2283-01_因子設定!$B$16))),-1E+030)</f>
        <v>45.1700639204546</v>
      </c>
      <c r="Y2283" s="55" t="n">
        <f aca="false">W2283+ROW()*0.000000001</f>
        <v>-4.50380759742264</v>
      </c>
      <c r="Z2283" s="55" t="n">
        <f aca="false">X2283+ROW()*0.000000001</f>
        <v>45.1700662034546</v>
      </c>
    </row>
    <row r="2284" customFormat="false" ht="15" hidden="false" customHeight="false" outlineLevel="0" collapsed="false">
      <c r="A2284" s="0" t="n">
        <v>7</v>
      </c>
      <c r="B2284" s="0" t="n">
        <v>15</v>
      </c>
      <c r="C2284" s="0" t="n">
        <v>1</v>
      </c>
      <c r="D2284" s="0" t="n">
        <f aca="false">-1+A2284*0.125</f>
        <v>-0.125</v>
      </c>
      <c r="E2284" s="0" t="n">
        <f aca="false">-1+B2284*0.125</f>
        <v>0.875</v>
      </c>
      <c r="F2284" s="0" t="n">
        <f aca="false">-1+C2284*0.125</f>
        <v>-0.875</v>
      </c>
      <c r="G2284" s="0" t="n">
        <f aca="false">1</f>
        <v>1</v>
      </c>
      <c r="H2284" s="0" t="n">
        <f aca="false">D2284</f>
        <v>-0.125</v>
      </c>
      <c r="I2284" s="0" t="n">
        <f aca="false">E2284</f>
        <v>0.875</v>
      </c>
      <c r="J2284" s="0" t="n">
        <f aca="false">F2284</f>
        <v>-0.875</v>
      </c>
      <c r="K2284" s="0" t="n">
        <f aca="false">D2284*E2284</f>
        <v>-0.109375</v>
      </c>
      <c r="L2284" s="0" t="n">
        <f aca="false">D2284*F2284</f>
        <v>0.109375</v>
      </c>
      <c r="M2284" s="0" t="n">
        <f aca="false">E2284*F2284</f>
        <v>-0.765625</v>
      </c>
      <c r="N2284" s="0" t="n">
        <f aca="false">D2284*D2284</f>
        <v>0.015625</v>
      </c>
      <c r="O2284" s="0" t="n">
        <f aca="false">E2284*E2284</f>
        <v>0.765625</v>
      </c>
      <c r="P2284" s="0" t="n">
        <f aca="false">F2284*F2284</f>
        <v>0.765625</v>
      </c>
      <c r="Q2284" s="0" t="n">
        <f aca="false">SUMPRODUCT(G2284:P2284,_XtX!$B$71:$K$71)</f>
        <v>45.6700497159091</v>
      </c>
      <c r="R2284" s="0" t="n">
        <f aca="false">SUMPRODUCT(MMULT(G2284:P2284,_XtX!$B$58:$K$67),G2284:P2284)</f>
        <v>0.468517511541193</v>
      </c>
      <c r="S2284" s="0" t="n">
        <f aca="false">04_回帰ANOVA!$K$19*04_回帰ANOVA!$K$14*SQRT(1+R2284)</f>
        <v>1.12669456902645</v>
      </c>
      <c r="T2284" s="0" t="n">
        <f aca="false">Q2284-S2284</f>
        <v>44.5433551468827</v>
      </c>
      <c r="U2284" s="0" t="n">
        <f aca="false">Q2284+S2284</f>
        <v>46.7967442849356</v>
      </c>
      <c r="V2284" s="54" t="b">
        <f aca="false">AND(D2284&gt;=01_因子設定!$L$5-0.000000001,D2284&lt;=01_因子設定!$M$5+0.000000001,E2284&gt;=01_因子設定!$L$6-0.000000001,E2284&lt;=01_因子設定!$M$6+0.000000001,F2284&gt;=01_因子設定!$L$7-0.000000001,F2284&lt;=01_因子設定!$M$7+0.000000001,IF(01_因子設定!$B$20="Box-Behnken",D2284^2+E2284^2+F2284^2&lt;=2+0.000000001,TRUE()))</f>
        <v>1</v>
      </c>
      <c r="W2284" s="55" t="n">
        <f aca="false">IF(V2284,IF(01_因子設定!$B$13="最大化",T2284-01_因子設定!$B$14,IF(01_因子設定!$B$13="最小化",01_因子設定!$B$15-U2284,MIN(T2284-01_因子設定!$B$14,01_因子設定!$B$15-U2284))),-1E+030)</f>
        <v>-3.95664485311733</v>
      </c>
      <c r="X2284" s="55" t="n">
        <f aca="false">IF(V2284,IF(01_因子設定!$B$13="最大化",Q2284,IF(01_因子設定!$B$13="最小化",-Q2284,-ABS(Q2284-01_因子設定!$B$16))),-1E+030)</f>
        <v>45.6700497159091</v>
      </c>
      <c r="Y2284" s="55" t="n">
        <f aca="false">W2284+ROW()*0.000000001</f>
        <v>-3.95664256911733</v>
      </c>
      <c r="Z2284" s="55" t="n">
        <f aca="false">X2284+ROW()*0.000000001</f>
        <v>45.6700519999091</v>
      </c>
    </row>
    <row r="2285" customFormat="false" ht="15" hidden="false" customHeight="false" outlineLevel="0" collapsed="false">
      <c r="A2285" s="0" t="n">
        <v>7</v>
      </c>
      <c r="B2285" s="0" t="n">
        <v>15</v>
      </c>
      <c r="C2285" s="0" t="n">
        <v>2</v>
      </c>
      <c r="D2285" s="0" t="n">
        <f aca="false">-1+A2285*0.125</f>
        <v>-0.125</v>
      </c>
      <c r="E2285" s="0" t="n">
        <f aca="false">-1+B2285*0.125</f>
        <v>0.875</v>
      </c>
      <c r="F2285" s="0" t="n">
        <f aca="false">-1+C2285*0.125</f>
        <v>-0.75</v>
      </c>
      <c r="G2285" s="0" t="n">
        <f aca="false">1</f>
        <v>1</v>
      </c>
      <c r="H2285" s="0" t="n">
        <f aca="false">D2285</f>
        <v>-0.125</v>
      </c>
      <c r="I2285" s="0" t="n">
        <f aca="false">E2285</f>
        <v>0.875</v>
      </c>
      <c r="J2285" s="0" t="n">
        <f aca="false">F2285</f>
        <v>-0.75</v>
      </c>
      <c r="K2285" s="0" t="n">
        <f aca="false">D2285*E2285</f>
        <v>-0.109375</v>
      </c>
      <c r="L2285" s="0" t="n">
        <f aca="false">D2285*F2285</f>
        <v>0.09375</v>
      </c>
      <c r="M2285" s="0" t="n">
        <f aca="false">E2285*F2285</f>
        <v>-0.65625</v>
      </c>
      <c r="N2285" s="0" t="n">
        <f aca="false">D2285*D2285</f>
        <v>0.015625</v>
      </c>
      <c r="O2285" s="0" t="n">
        <f aca="false">E2285*E2285</f>
        <v>0.765625</v>
      </c>
      <c r="P2285" s="0" t="n">
        <f aca="false">F2285*F2285</f>
        <v>0.5625</v>
      </c>
      <c r="Q2285" s="0" t="n">
        <f aca="false">SUMPRODUCT(G2285:P2285,_XtX!$B$71:$K$71)</f>
        <v>46.1332457386364</v>
      </c>
      <c r="R2285" s="0" t="n">
        <f aca="false">SUMPRODUCT(MMULT(G2285:P2285,_XtX!$B$58:$K$67),G2285:P2285)</f>
        <v>0.392013827237216</v>
      </c>
      <c r="S2285" s="0" t="n">
        <f aca="false">04_回帰ANOVA!$K$19*04_回帰ANOVA!$K$14*SQRT(1+R2285)</f>
        <v>1.09695398627251</v>
      </c>
      <c r="T2285" s="0" t="n">
        <f aca="false">Q2285-S2285</f>
        <v>45.0362917523639</v>
      </c>
      <c r="U2285" s="0" t="n">
        <f aca="false">Q2285+S2285</f>
        <v>47.2301997249089</v>
      </c>
      <c r="V2285" s="54" t="b">
        <f aca="false">AND(D2285&gt;=01_因子設定!$L$5-0.000000001,D2285&lt;=01_因子設定!$M$5+0.000000001,E2285&gt;=01_因子設定!$L$6-0.000000001,E2285&lt;=01_因子設定!$M$6+0.000000001,F2285&gt;=01_因子設定!$L$7-0.000000001,F2285&lt;=01_因子設定!$M$7+0.000000001,IF(01_因子設定!$B$20="Box-Behnken",D2285^2+E2285^2+F2285^2&lt;=2+0.000000001,TRUE()))</f>
        <v>1</v>
      </c>
      <c r="W2285" s="55" t="n">
        <f aca="false">IF(V2285,IF(01_因子設定!$B$13="最大化",T2285-01_因子設定!$B$14,IF(01_因子設定!$B$13="最小化",01_因子設定!$B$15-U2285,MIN(T2285-01_因子設定!$B$14,01_因子設定!$B$15-U2285))),-1E+030)</f>
        <v>-3.46370824763613</v>
      </c>
      <c r="X2285" s="55" t="n">
        <f aca="false">IF(V2285,IF(01_因子設定!$B$13="最大化",Q2285,IF(01_因子設定!$B$13="最小化",-Q2285,-ABS(Q2285-01_因子設定!$B$16))),-1E+030)</f>
        <v>46.1332457386364</v>
      </c>
      <c r="Y2285" s="55" t="n">
        <f aca="false">W2285+ROW()*0.000000001</f>
        <v>-3.46370596263613</v>
      </c>
      <c r="Z2285" s="55" t="n">
        <f aca="false">X2285+ROW()*0.000000001</f>
        <v>46.1332480236364</v>
      </c>
    </row>
    <row r="2286" customFormat="false" ht="15" hidden="false" customHeight="false" outlineLevel="0" collapsed="false">
      <c r="A2286" s="0" t="n">
        <v>7</v>
      </c>
      <c r="B2286" s="0" t="n">
        <v>15</v>
      </c>
      <c r="C2286" s="0" t="n">
        <v>3</v>
      </c>
      <c r="D2286" s="0" t="n">
        <f aca="false">-1+A2286*0.125</f>
        <v>-0.125</v>
      </c>
      <c r="E2286" s="0" t="n">
        <f aca="false">-1+B2286*0.125</f>
        <v>0.875</v>
      </c>
      <c r="F2286" s="0" t="n">
        <f aca="false">-1+C2286*0.125</f>
        <v>-0.625</v>
      </c>
      <c r="G2286" s="0" t="n">
        <f aca="false">1</f>
        <v>1</v>
      </c>
      <c r="H2286" s="0" t="n">
        <f aca="false">D2286</f>
        <v>-0.125</v>
      </c>
      <c r="I2286" s="0" t="n">
        <f aca="false">E2286</f>
        <v>0.875</v>
      </c>
      <c r="J2286" s="0" t="n">
        <f aca="false">F2286</f>
        <v>-0.625</v>
      </c>
      <c r="K2286" s="0" t="n">
        <f aca="false">D2286*E2286</f>
        <v>-0.109375</v>
      </c>
      <c r="L2286" s="0" t="n">
        <f aca="false">D2286*F2286</f>
        <v>0.078125</v>
      </c>
      <c r="M2286" s="0" t="n">
        <f aca="false">E2286*F2286</f>
        <v>-0.546875</v>
      </c>
      <c r="N2286" s="0" t="n">
        <f aca="false">D2286*D2286</f>
        <v>0.015625</v>
      </c>
      <c r="O2286" s="0" t="n">
        <f aca="false">E2286*E2286</f>
        <v>0.765625</v>
      </c>
      <c r="P2286" s="0" t="n">
        <f aca="false">F2286*F2286</f>
        <v>0.390625</v>
      </c>
      <c r="Q2286" s="0" t="n">
        <f aca="false">SUMPRODUCT(G2286:P2286,_XtX!$B$71:$K$71)</f>
        <v>46.5596519886364</v>
      </c>
      <c r="R2286" s="0" t="n">
        <f aca="false">SUMPRODUCT(MMULT(G2286:P2286,_XtX!$B$58:$K$67),G2286:P2286)</f>
        <v>0.350717440518466</v>
      </c>
      <c r="S2286" s="0" t="n">
        <f aca="false">04_回帰ANOVA!$K$19*04_回帰ANOVA!$K$14*SQRT(1+R2286)</f>
        <v>1.08056000737898</v>
      </c>
      <c r="T2286" s="0" t="n">
        <f aca="false">Q2286-S2286</f>
        <v>45.4790919812574</v>
      </c>
      <c r="U2286" s="0" t="n">
        <f aca="false">Q2286+S2286</f>
        <v>47.6402119960154</v>
      </c>
      <c r="V2286" s="54" t="b">
        <f aca="false">AND(D2286&gt;=01_因子設定!$L$5-0.000000001,D2286&lt;=01_因子設定!$M$5+0.000000001,E2286&gt;=01_因子設定!$L$6-0.000000001,E2286&lt;=01_因子設定!$M$6+0.000000001,F2286&gt;=01_因子設定!$L$7-0.000000001,F2286&lt;=01_因子設定!$M$7+0.000000001,IF(01_因子設定!$B$20="Box-Behnken",D2286^2+E2286^2+F2286^2&lt;=2+0.000000001,TRUE()))</f>
        <v>1</v>
      </c>
      <c r="W2286" s="55" t="n">
        <f aca="false">IF(V2286,IF(01_因子設定!$B$13="最大化",T2286-01_因子設定!$B$14,IF(01_因子設定!$B$13="最小化",01_因子設定!$B$15-U2286,MIN(T2286-01_因子設定!$B$14,01_因子設定!$B$15-U2286))),-1E+030)</f>
        <v>-3.0209080187426</v>
      </c>
      <c r="X2286" s="55" t="n">
        <f aca="false">IF(V2286,IF(01_因子設定!$B$13="最大化",Q2286,IF(01_因子設定!$B$13="最小化",-Q2286,-ABS(Q2286-01_因子設定!$B$16))),-1E+030)</f>
        <v>46.5596519886364</v>
      </c>
      <c r="Y2286" s="55" t="n">
        <f aca="false">W2286+ROW()*0.000000001</f>
        <v>-3.0209057327426</v>
      </c>
      <c r="Z2286" s="55" t="n">
        <f aca="false">X2286+ROW()*0.000000001</f>
        <v>46.5596542746364</v>
      </c>
    </row>
    <row r="2287" customFormat="false" ht="15" hidden="false" customHeight="false" outlineLevel="0" collapsed="false">
      <c r="A2287" s="0" t="n">
        <v>7</v>
      </c>
      <c r="B2287" s="0" t="n">
        <v>15</v>
      </c>
      <c r="C2287" s="0" t="n">
        <v>4</v>
      </c>
      <c r="D2287" s="0" t="n">
        <f aca="false">-1+A2287*0.125</f>
        <v>-0.125</v>
      </c>
      <c r="E2287" s="0" t="n">
        <f aca="false">-1+B2287*0.125</f>
        <v>0.875</v>
      </c>
      <c r="F2287" s="0" t="n">
        <f aca="false">-1+C2287*0.125</f>
        <v>-0.5</v>
      </c>
      <c r="G2287" s="0" t="n">
        <f aca="false">1</f>
        <v>1</v>
      </c>
      <c r="H2287" s="0" t="n">
        <f aca="false">D2287</f>
        <v>-0.125</v>
      </c>
      <c r="I2287" s="0" t="n">
        <f aca="false">E2287</f>
        <v>0.875</v>
      </c>
      <c r="J2287" s="0" t="n">
        <f aca="false">F2287</f>
        <v>-0.5</v>
      </c>
      <c r="K2287" s="0" t="n">
        <f aca="false">D2287*E2287</f>
        <v>-0.109375</v>
      </c>
      <c r="L2287" s="0" t="n">
        <f aca="false">D2287*F2287</f>
        <v>0.0625</v>
      </c>
      <c r="M2287" s="0" t="n">
        <f aca="false">E2287*F2287</f>
        <v>-0.4375</v>
      </c>
      <c r="N2287" s="0" t="n">
        <f aca="false">D2287*D2287</f>
        <v>0.015625</v>
      </c>
      <c r="O2287" s="0" t="n">
        <f aca="false">E2287*E2287</f>
        <v>0.765625</v>
      </c>
      <c r="P2287" s="0" t="n">
        <f aca="false">F2287*F2287</f>
        <v>0.25</v>
      </c>
      <c r="Q2287" s="0" t="n">
        <f aca="false">SUMPRODUCT(G2287:P2287,_XtX!$B$71:$K$71)</f>
        <v>46.9492684659091</v>
      </c>
      <c r="R2287" s="0" t="n">
        <f aca="false">SUMPRODUCT(MMULT(G2287:P2287,_XtX!$B$58:$K$67),G2287:P2287)</f>
        <v>0.332909601384943</v>
      </c>
      <c r="S2287" s="0" t="n">
        <f aca="false">04_回帰ANOVA!$K$19*04_回帰ANOVA!$K$14*SQRT(1+R2287)</f>
        <v>1.07341333007404</v>
      </c>
      <c r="T2287" s="0" t="n">
        <f aca="false">Q2287-S2287</f>
        <v>45.8758551358351</v>
      </c>
      <c r="U2287" s="0" t="n">
        <f aca="false">Q2287+S2287</f>
        <v>48.0226817959832</v>
      </c>
      <c r="V2287" s="54" t="b">
        <f aca="false">AND(D2287&gt;=01_因子設定!$L$5-0.000000001,D2287&lt;=01_因子設定!$M$5+0.000000001,E2287&gt;=01_因子設定!$L$6-0.000000001,E2287&lt;=01_因子設定!$M$6+0.000000001,F2287&gt;=01_因子設定!$L$7-0.000000001,F2287&lt;=01_因子設定!$M$7+0.000000001,IF(01_因子設定!$B$20="Box-Behnken",D2287^2+E2287^2+F2287^2&lt;=2+0.000000001,TRUE()))</f>
        <v>1</v>
      </c>
      <c r="W2287" s="55" t="n">
        <f aca="false">IF(V2287,IF(01_因子設定!$B$13="最大化",T2287-01_因子設定!$B$14,IF(01_因子設定!$B$13="最小化",01_因子設定!$B$15-U2287,MIN(T2287-01_因子設定!$B$14,01_因子設定!$B$15-U2287))),-1E+030)</f>
        <v>-2.62414486416493</v>
      </c>
      <c r="X2287" s="55" t="n">
        <f aca="false">IF(V2287,IF(01_因子設定!$B$13="最大化",Q2287,IF(01_因子設定!$B$13="最小化",-Q2287,-ABS(Q2287-01_因子設定!$B$16))),-1E+030)</f>
        <v>46.9492684659091</v>
      </c>
      <c r="Y2287" s="55" t="n">
        <f aca="false">W2287+ROW()*0.000000001</f>
        <v>-2.62414257716493</v>
      </c>
      <c r="Z2287" s="55" t="n">
        <f aca="false">X2287+ROW()*0.000000001</f>
        <v>46.9492707529091</v>
      </c>
    </row>
    <row r="2288" customFormat="false" ht="15" hidden="false" customHeight="false" outlineLevel="0" collapsed="false">
      <c r="A2288" s="0" t="n">
        <v>7</v>
      </c>
      <c r="B2288" s="0" t="n">
        <v>15</v>
      </c>
      <c r="C2288" s="0" t="n">
        <v>5</v>
      </c>
      <c r="D2288" s="0" t="n">
        <f aca="false">-1+A2288*0.125</f>
        <v>-0.125</v>
      </c>
      <c r="E2288" s="0" t="n">
        <f aca="false">-1+B2288*0.125</f>
        <v>0.875</v>
      </c>
      <c r="F2288" s="0" t="n">
        <f aca="false">-1+C2288*0.125</f>
        <v>-0.375</v>
      </c>
      <c r="G2288" s="0" t="n">
        <f aca="false">1</f>
        <v>1</v>
      </c>
      <c r="H2288" s="0" t="n">
        <f aca="false">D2288</f>
        <v>-0.125</v>
      </c>
      <c r="I2288" s="0" t="n">
        <f aca="false">E2288</f>
        <v>0.875</v>
      </c>
      <c r="J2288" s="0" t="n">
        <f aca="false">F2288</f>
        <v>-0.375</v>
      </c>
      <c r="K2288" s="0" t="n">
        <f aca="false">D2288*E2288</f>
        <v>-0.109375</v>
      </c>
      <c r="L2288" s="0" t="n">
        <f aca="false">D2288*F2288</f>
        <v>0.046875</v>
      </c>
      <c r="M2288" s="0" t="n">
        <f aca="false">E2288*F2288</f>
        <v>-0.328125</v>
      </c>
      <c r="N2288" s="0" t="n">
        <f aca="false">D2288*D2288</f>
        <v>0.015625</v>
      </c>
      <c r="O2288" s="0" t="n">
        <f aca="false">E2288*E2288</f>
        <v>0.765625</v>
      </c>
      <c r="P2288" s="0" t="n">
        <f aca="false">F2288*F2288</f>
        <v>0.140625</v>
      </c>
      <c r="Q2288" s="0" t="n">
        <f aca="false">SUMPRODUCT(G2288:P2288,_XtX!$B$71:$K$71)</f>
        <v>47.3020951704546</v>
      </c>
      <c r="R2288" s="0" t="n">
        <f aca="false">SUMPRODUCT(MMULT(G2288:P2288,_XtX!$B$58:$K$67),G2288:P2288)</f>
        <v>0.32900224165483</v>
      </c>
      <c r="S2288" s="0" t="n">
        <f aca="false">04_回帰ANOVA!$K$19*04_回帰ANOVA!$K$14*SQRT(1+R2288)</f>
        <v>1.07183884583628</v>
      </c>
      <c r="T2288" s="0" t="n">
        <f aca="false">Q2288-S2288</f>
        <v>46.2302563246183</v>
      </c>
      <c r="U2288" s="0" t="n">
        <f aca="false">Q2288+S2288</f>
        <v>48.3739340162908</v>
      </c>
      <c r="V2288" s="54" t="b">
        <f aca="false">AND(D2288&gt;=01_因子設定!$L$5-0.000000001,D2288&lt;=01_因子設定!$M$5+0.000000001,E2288&gt;=01_因子設定!$L$6-0.000000001,E2288&lt;=01_因子設定!$M$6+0.000000001,F2288&gt;=01_因子設定!$L$7-0.000000001,F2288&lt;=01_因子設定!$M$7+0.000000001,IF(01_因子設定!$B$20="Box-Behnken",D2288^2+E2288^2+F2288^2&lt;=2+0.000000001,TRUE()))</f>
        <v>1</v>
      </c>
      <c r="W2288" s="55" t="n">
        <f aca="false">IF(V2288,IF(01_因子設定!$B$13="最大化",T2288-01_因子設定!$B$14,IF(01_因子設定!$B$13="最小化",01_因子設定!$B$15-U2288,MIN(T2288-01_因子設定!$B$14,01_因子設定!$B$15-U2288))),-1E+030)</f>
        <v>-2.26974367538172</v>
      </c>
      <c r="X2288" s="55" t="n">
        <f aca="false">IF(V2288,IF(01_因子設定!$B$13="最大化",Q2288,IF(01_因子設定!$B$13="最小化",-Q2288,-ABS(Q2288-01_因子設定!$B$16))),-1E+030)</f>
        <v>47.3020951704546</v>
      </c>
      <c r="Y2288" s="55" t="n">
        <f aca="false">W2288+ROW()*0.000000001</f>
        <v>-2.26974138738172</v>
      </c>
      <c r="Z2288" s="55" t="n">
        <f aca="false">X2288+ROW()*0.000000001</f>
        <v>47.3020974584546</v>
      </c>
    </row>
    <row r="2289" customFormat="false" ht="15" hidden="false" customHeight="false" outlineLevel="0" collapsed="false">
      <c r="A2289" s="0" t="n">
        <v>7</v>
      </c>
      <c r="B2289" s="0" t="n">
        <v>15</v>
      </c>
      <c r="C2289" s="0" t="n">
        <v>6</v>
      </c>
      <c r="D2289" s="0" t="n">
        <f aca="false">-1+A2289*0.125</f>
        <v>-0.125</v>
      </c>
      <c r="E2289" s="0" t="n">
        <f aca="false">-1+B2289*0.125</f>
        <v>0.875</v>
      </c>
      <c r="F2289" s="0" t="n">
        <f aca="false">-1+C2289*0.125</f>
        <v>-0.25</v>
      </c>
      <c r="G2289" s="0" t="n">
        <f aca="false">1</f>
        <v>1</v>
      </c>
      <c r="H2289" s="0" t="n">
        <f aca="false">D2289</f>
        <v>-0.125</v>
      </c>
      <c r="I2289" s="0" t="n">
        <f aca="false">E2289</f>
        <v>0.875</v>
      </c>
      <c r="J2289" s="0" t="n">
        <f aca="false">F2289</f>
        <v>-0.25</v>
      </c>
      <c r="K2289" s="0" t="n">
        <f aca="false">D2289*E2289</f>
        <v>-0.109375</v>
      </c>
      <c r="L2289" s="0" t="n">
        <f aca="false">D2289*F2289</f>
        <v>0.03125</v>
      </c>
      <c r="M2289" s="0" t="n">
        <f aca="false">E2289*F2289</f>
        <v>-0.21875</v>
      </c>
      <c r="N2289" s="0" t="n">
        <f aca="false">D2289*D2289</f>
        <v>0.015625</v>
      </c>
      <c r="O2289" s="0" t="n">
        <f aca="false">E2289*E2289</f>
        <v>0.765625</v>
      </c>
      <c r="P2289" s="0" t="n">
        <f aca="false">F2289*F2289</f>
        <v>0.0625</v>
      </c>
      <c r="Q2289" s="0" t="n">
        <f aca="false">SUMPRODUCT(G2289:P2289,_XtX!$B$71:$K$71)</f>
        <v>47.6181321022727</v>
      </c>
      <c r="R2289" s="0" t="n">
        <f aca="false">SUMPRODUCT(MMULT(G2289:P2289,_XtX!$B$58:$K$67),G2289:P2289)</f>
        <v>0.331537974964489</v>
      </c>
      <c r="S2289" s="0" t="n">
        <f aca="false">04_回帰ANOVA!$K$19*04_回帰ANOVA!$K$14*SQRT(1+R2289)</f>
        <v>1.07286089161565</v>
      </c>
      <c r="T2289" s="0" t="n">
        <f aca="false">Q2289-S2289</f>
        <v>46.5452712106571</v>
      </c>
      <c r="U2289" s="0" t="n">
        <f aca="false">Q2289+S2289</f>
        <v>48.6909929938884</v>
      </c>
      <c r="V2289" s="54" t="b">
        <f aca="false">AND(D2289&gt;=01_因子設定!$L$5-0.000000001,D2289&lt;=01_因子設定!$M$5+0.000000001,E2289&gt;=01_因子設定!$L$6-0.000000001,E2289&lt;=01_因子設定!$M$6+0.000000001,F2289&gt;=01_因子設定!$L$7-0.000000001,F2289&lt;=01_因子設定!$M$7+0.000000001,IF(01_因子設定!$B$20="Box-Behnken",D2289^2+E2289^2+F2289^2&lt;=2+0.000000001,TRUE()))</f>
        <v>1</v>
      </c>
      <c r="W2289" s="55" t="n">
        <f aca="false">IF(V2289,IF(01_因子設定!$B$13="最大化",T2289-01_因子設定!$B$14,IF(01_因子設定!$B$13="最小化",01_因子設定!$B$15-U2289,MIN(T2289-01_因子設定!$B$14,01_因子設定!$B$15-U2289))),-1E+030)</f>
        <v>-1.95472878934292</v>
      </c>
      <c r="X2289" s="55" t="n">
        <f aca="false">IF(V2289,IF(01_因子設定!$B$13="最大化",Q2289,IF(01_因子設定!$B$13="最小化",-Q2289,-ABS(Q2289-01_因子設定!$B$16))),-1E+030)</f>
        <v>47.6181321022727</v>
      </c>
      <c r="Y2289" s="55" t="n">
        <f aca="false">W2289+ROW()*0.000000001</f>
        <v>-1.95472650034292</v>
      </c>
      <c r="Z2289" s="55" t="n">
        <f aca="false">X2289+ROW()*0.000000001</f>
        <v>47.6181343912727</v>
      </c>
    </row>
    <row r="2290" customFormat="false" ht="15" hidden="false" customHeight="false" outlineLevel="0" collapsed="false">
      <c r="A2290" s="0" t="n">
        <v>7</v>
      </c>
      <c r="B2290" s="0" t="n">
        <v>15</v>
      </c>
      <c r="C2290" s="0" t="n">
        <v>7</v>
      </c>
      <c r="D2290" s="0" t="n">
        <f aca="false">-1+A2290*0.125</f>
        <v>-0.125</v>
      </c>
      <c r="E2290" s="0" t="n">
        <f aca="false">-1+B2290*0.125</f>
        <v>0.875</v>
      </c>
      <c r="F2290" s="0" t="n">
        <f aca="false">-1+C2290*0.125</f>
        <v>-0.125</v>
      </c>
      <c r="G2290" s="0" t="n">
        <f aca="false">1</f>
        <v>1</v>
      </c>
      <c r="H2290" s="0" t="n">
        <f aca="false">D2290</f>
        <v>-0.125</v>
      </c>
      <c r="I2290" s="0" t="n">
        <f aca="false">E2290</f>
        <v>0.875</v>
      </c>
      <c r="J2290" s="0" t="n">
        <f aca="false">F2290</f>
        <v>-0.125</v>
      </c>
      <c r="K2290" s="0" t="n">
        <f aca="false">D2290*E2290</f>
        <v>-0.109375</v>
      </c>
      <c r="L2290" s="0" t="n">
        <f aca="false">D2290*F2290</f>
        <v>0.015625</v>
      </c>
      <c r="M2290" s="0" t="n">
        <f aca="false">E2290*F2290</f>
        <v>-0.109375</v>
      </c>
      <c r="N2290" s="0" t="n">
        <f aca="false">D2290*D2290</f>
        <v>0.015625</v>
      </c>
      <c r="O2290" s="0" t="n">
        <f aca="false">E2290*E2290</f>
        <v>0.765625</v>
      </c>
      <c r="P2290" s="0" t="n">
        <f aca="false">F2290*F2290</f>
        <v>0.015625</v>
      </c>
      <c r="Q2290" s="0" t="n">
        <f aca="false">SUMPRODUCT(G2290:P2290,_XtX!$B$71:$K$71)</f>
        <v>47.8973792613636</v>
      </c>
      <c r="R2290" s="0" t="n">
        <f aca="false">SUMPRODUCT(MMULT(G2290:P2290,_XtX!$B$58:$K$67),G2290:P2290)</f>
        <v>0.335190096768466</v>
      </c>
      <c r="S2290" s="0" t="n">
        <f aca="false">04_回帰ANOVA!$K$19*04_回帰ANOVA!$K$14*SQRT(1+R2290)</f>
        <v>1.07433119726947</v>
      </c>
      <c r="T2290" s="0" t="n">
        <f aca="false">Q2290-S2290</f>
        <v>46.8230480640942</v>
      </c>
      <c r="U2290" s="0" t="n">
        <f aca="false">Q2290+S2290</f>
        <v>48.9717104586331</v>
      </c>
      <c r="V2290" s="54" t="b">
        <f aca="false">AND(D2290&gt;=01_因子設定!$L$5-0.000000001,D2290&lt;=01_因子設定!$M$5+0.000000001,E2290&gt;=01_因子設定!$L$6-0.000000001,E2290&lt;=01_因子設定!$M$6+0.000000001,F2290&gt;=01_因子設定!$L$7-0.000000001,F2290&lt;=01_因子設定!$M$7+0.000000001,IF(01_因子設定!$B$20="Box-Behnken",D2290^2+E2290^2+F2290^2&lt;=2+0.000000001,TRUE()))</f>
        <v>1</v>
      </c>
      <c r="W2290" s="55" t="n">
        <f aca="false">IF(V2290,IF(01_因子設定!$B$13="最大化",T2290-01_因子設定!$B$14,IF(01_因子設定!$B$13="最小化",01_因子設定!$B$15-U2290,MIN(T2290-01_因子設定!$B$14,01_因子設定!$B$15-U2290))),-1E+030)</f>
        <v>-1.67695193590582</v>
      </c>
      <c r="X2290" s="55" t="n">
        <f aca="false">IF(V2290,IF(01_因子設定!$B$13="最大化",Q2290,IF(01_因子設定!$B$13="最小化",-Q2290,-ABS(Q2290-01_因子設定!$B$16))),-1E+030)</f>
        <v>47.8973792613636</v>
      </c>
      <c r="Y2290" s="55" t="n">
        <f aca="false">W2290+ROW()*0.000000001</f>
        <v>-1.67694964590582</v>
      </c>
      <c r="Z2290" s="55" t="n">
        <f aca="false">X2290+ROW()*0.000000001</f>
        <v>47.8973815513636</v>
      </c>
    </row>
    <row r="2291" customFormat="false" ht="15" hidden="false" customHeight="false" outlineLevel="0" collapsed="false">
      <c r="A2291" s="0" t="n">
        <v>7</v>
      </c>
      <c r="B2291" s="0" t="n">
        <v>15</v>
      </c>
      <c r="C2291" s="0" t="n">
        <v>8</v>
      </c>
      <c r="D2291" s="0" t="n">
        <f aca="false">-1+A2291*0.125</f>
        <v>-0.125</v>
      </c>
      <c r="E2291" s="0" t="n">
        <f aca="false">-1+B2291*0.125</f>
        <v>0.875</v>
      </c>
      <c r="F2291" s="0" t="n">
        <f aca="false">-1+C2291*0.125</f>
        <v>0</v>
      </c>
      <c r="G2291" s="0" t="n">
        <f aca="false">1</f>
        <v>1</v>
      </c>
      <c r="H2291" s="0" t="n">
        <f aca="false">D2291</f>
        <v>-0.125</v>
      </c>
      <c r="I2291" s="0" t="n">
        <f aca="false">E2291</f>
        <v>0.875</v>
      </c>
      <c r="J2291" s="0" t="n">
        <f aca="false">F2291</f>
        <v>0</v>
      </c>
      <c r="K2291" s="0" t="n">
        <f aca="false">D2291*E2291</f>
        <v>-0.109375</v>
      </c>
      <c r="L2291" s="0" t="n">
        <f aca="false">D2291*F2291</f>
        <v>-0</v>
      </c>
      <c r="M2291" s="0" t="n">
        <f aca="false">E2291*F2291</f>
        <v>0</v>
      </c>
      <c r="N2291" s="0" t="n">
        <f aca="false">D2291*D2291</f>
        <v>0.015625</v>
      </c>
      <c r="O2291" s="0" t="n">
        <f aca="false">E2291*E2291</f>
        <v>0.765625</v>
      </c>
      <c r="P2291" s="0" t="n">
        <f aca="false">F2291*F2291</f>
        <v>0</v>
      </c>
      <c r="Q2291" s="0" t="n">
        <f aca="false">SUMPRODUCT(G2291:P2291,_XtX!$B$71:$K$71)</f>
        <v>48.1398366477273</v>
      </c>
      <c r="R2291" s="0" t="n">
        <f aca="false">SUMPRODUCT(MMULT(G2291:P2291,_XtX!$B$58:$K$67),G2291:P2291)</f>
        <v>0.336762584339489</v>
      </c>
      <c r="S2291" s="0" t="n">
        <f aca="false">04_回帰ANOVA!$K$19*04_回帰ANOVA!$K$14*SQRT(1+R2291)</f>
        <v>1.07496364479411</v>
      </c>
      <c r="T2291" s="0" t="n">
        <f aca="false">Q2291-S2291</f>
        <v>47.0648730029332</v>
      </c>
      <c r="U2291" s="0" t="n">
        <f aca="false">Q2291+S2291</f>
        <v>49.2148002925214</v>
      </c>
      <c r="V2291" s="54" t="b">
        <f aca="false">AND(D2291&gt;=01_因子設定!$L$5-0.000000001,D2291&lt;=01_因子設定!$M$5+0.000000001,E2291&gt;=01_因子設定!$L$6-0.000000001,E2291&lt;=01_因子設定!$M$6+0.000000001,F2291&gt;=01_因子設定!$L$7-0.000000001,F2291&lt;=01_因子設定!$M$7+0.000000001,IF(01_因子設定!$B$20="Box-Behnken",D2291^2+E2291^2+F2291^2&lt;=2+0.000000001,TRUE()))</f>
        <v>1</v>
      </c>
      <c r="W2291" s="55" t="n">
        <f aca="false">IF(V2291,IF(01_因子設定!$B$13="最大化",T2291-01_因子設定!$B$14,IF(01_因子設定!$B$13="最小化",01_因子設定!$B$15-U2291,MIN(T2291-01_因子設定!$B$14,01_因子設定!$B$15-U2291))),-1E+030)</f>
        <v>-1.43512699706682</v>
      </c>
      <c r="X2291" s="55" t="n">
        <f aca="false">IF(V2291,IF(01_因子設定!$B$13="最大化",Q2291,IF(01_因子設定!$B$13="最小化",-Q2291,-ABS(Q2291-01_因子設定!$B$16))),-1E+030)</f>
        <v>48.1398366477273</v>
      </c>
      <c r="Y2291" s="55" t="n">
        <f aca="false">W2291+ROW()*0.000000001</f>
        <v>-1.43512470606682</v>
      </c>
      <c r="Z2291" s="55" t="n">
        <f aca="false">X2291+ROW()*0.000000001</f>
        <v>48.1398389387273</v>
      </c>
    </row>
    <row r="2292" customFormat="false" ht="15" hidden="false" customHeight="false" outlineLevel="0" collapsed="false">
      <c r="A2292" s="0" t="n">
        <v>7</v>
      </c>
      <c r="B2292" s="0" t="n">
        <v>15</v>
      </c>
      <c r="C2292" s="0" t="n">
        <v>9</v>
      </c>
      <c r="D2292" s="0" t="n">
        <f aca="false">-1+A2292*0.125</f>
        <v>-0.125</v>
      </c>
      <c r="E2292" s="0" t="n">
        <f aca="false">-1+B2292*0.125</f>
        <v>0.875</v>
      </c>
      <c r="F2292" s="0" t="n">
        <f aca="false">-1+C2292*0.125</f>
        <v>0.125</v>
      </c>
      <c r="G2292" s="0" t="n">
        <f aca="false">1</f>
        <v>1</v>
      </c>
      <c r="H2292" s="0" t="n">
        <f aca="false">D2292</f>
        <v>-0.125</v>
      </c>
      <c r="I2292" s="0" t="n">
        <f aca="false">E2292</f>
        <v>0.875</v>
      </c>
      <c r="J2292" s="0" t="n">
        <f aca="false">F2292</f>
        <v>0.125</v>
      </c>
      <c r="K2292" s="0" t="n">
        <f aca="false">D2292*E2292</f>
        <v>-0.109375</v>
      </c>
      <c r="L2292" s="0" t="n">
        <f aca="false">D2292*F2292</f>
        <v>-0.015625</v>
      </c>
      <c r="M2292" s="0" t="n">
        <f aca="false">E2292*F2292</f>
        <v>0.109375</v>
      </c>
      <c r="N2292" s="0" t="n">
        <f aca="false">D2292*D2292</f>
        <v>0.015625</v>
      </c>
      <c r="O2292" s="0" t="n">
        <f aca="false">E2292*E2292</f>
        <v>0.765625</v>
      </c>
      <c r="P2292" s="0" t="n">
        <f aca="false">F2292*F2292</f>
        <v>0.015625</v>
      </c>
      <c r="Q2292" s="0" t="n">
        <f aca="false">SUMPRODUCT(G2292:P2292,_XtX!$B$71:$K$71)</f>
        <v>48.3455042613637</v>
      </c>
      <c r="R2292" s="0" t="n">
        <f aca="false">SUMPRODUCT(MMULT(G2292:P2292,_XtX!$B$58:$K$67),G2292:P2292)</f>
        <v>0.335190096768466</v>
      </c>
      <c r="S2292" s="0" t="n">
        <f aca="false">04_回帰ANOVA!$K$19*04_回帰ANOVA!$K$14*SQRT(1+R2292)</f>
        <v>1.07433119726947</v>
      </c>
      <c r="T2292" s="0" t="n">
        <f aca="false">Q2292-S2292</f>
        <v>47.2711730640942</v>
      </c>
      <c r="U2292" s="0" t="n">
        <f aca="false">Q2292+S2292</f>
        <v>49.4198354586331</v>
      </c>
      <c r="V2292" s="54" t="b">
        <f aca="false">AND(D2292&gt;=01_因子設定!$L$5-0.000000001,D2292&lt;=01_因子設定!$M$5+0.000000001,E2292&gt;=01_因子設定!$L$6-0.000000001,E2292&lt;=01_因子設定!$M$6+0.000000001,F2292&gt;=01_因子設定!$L$7-0.000000001,F2292&lt;=01_因子設定!$M$7+0.000000001,IF(01_因子設定!$B$20="Box-Behnken",D2292^2+E2292^2+F2292^2&lt;=2+0.000000001,TRUE()))</f>
        <v>1</v>
      </c>
      <c r="W2292" s="55" t="n">
        <f aca="false">IF(V2292,IF(01_因子設定!$B$13="最大化",T2292-01_因子設定!$B$14,IF(01_因子設定!$B$13="最小化",01_因子設定!$B$15-U2292,MIN(T2292-01_因子設定!$B$14,01_因子設定!$B$15-U2292))),-1E+030)</f>
        <v>-1.22882693590581</v>
      </c>
      <c r="X2292" s="55" t="n">
        <f aca="false">IF(V2292,IF(01_因子設定!$B$13="最大化",Q2292,IF(01_因子設定!$B$13="最小化",-Q2292,-ABS(Q2292-01_因子設定!$B$16))),-1E+030)</f>
        <v>48.3455042613637</v>
      </c>
      <c r="Y2292" s="55" t="n">
        <f aca="false">W2292+ROW()*0.000000001</f>
        <v>-1.22882464390581</v>
      </c>
      <c r="Z2292" s="55" t="n">
        <f aca="false">X2292+ROW()*0.000000001</f>
        <v>48.3455065533637</v>
      </c>
    </row>
    <row r="2293" customFormat="false" ht="15" hidden="false" customHeight="false" outlineLevel="0" collapsed="false">
      <c r="A2293" s="0" t="n">
        <v>7</v>
      </c>
      <c r="B2293" s="0" t="n">
        <v>15</v>
      </c>
      <c r="C2293" s="0" t="n">
        <v>10</v>
      </c>
      <c r="D2293" s="0" t="n">
        <f aca="false">-1+A2293*0.125</f>
        <v>-0.125</v>
      </c>
      <c r="E2293" s="0" t="n">
        <f aca="false">-1+B2293*0.125</f>
        <v>0.875</v>
      </c>
      <c r="F2293" s="0" t="n">
        <f aca="false">-1+C2293*0.125</f>
        <v>0.25</v>
      </c>
      <c r="G2293" s="0" t="n">
        <f aca="false">1</f>
        <v>1</v>
      </c>
      <c r="H2293" s="0" t="n">
        <f aca="false">D2293</f>
        <v>-0.125</v>
      </c>
      <c r="I2293" s="0" t="n">
        <f aca="false">E2293</f>
        <v>0.875</v>
      </c>
      <c r="J2293" s="0" t="n">
        <f aca="false">F2293</f>
        <v>0.25</v>
      </c>
      <c r="K2293" s="0" t="n">
        <f aca="false">D2293*E2293</f>
        <v>-0.109375</v>
      </c>
      <c r="L2293" s="0" t="n">
        <f aca="false">D2293*F2293</f>
        <v>-0.03125</v>
      </c>
      <c r="M2293" s="0" t="n">
        <f aca="false">E2293*F2293</f>
        <v>0.21875</v>
      </c>
      <c r="N2293" s="0" t="n">
        <f aca="false">D2293*D2293</f>
        <v>0.015625</v>
      </c>
      <c r="O2293" s="0" t="n">
        <f aca="false">E2293*E2293</f>
        <v>0.765625</v>
      </c>
      <c r="P2293" s="0" t="n">
        <f aca="false">F2293*F2293</f>
        <v>0.0625</v>
      </c>
      <c r="Q2293" s="0" t="n">
        <f aca="false">SUMPRODUCT(G2293:P2293,_XtX!$B$71:$K$71)</f>
        <v>48.5143821022727</v>
      </c>
      <c r="R2293" s="0" t="n">
        <f aca="false">SUMPRODUCT(MMULT(G2293:P2293,_XtX!$B$58:$K$67),G2293:P2293)</f>
        <v>0.331537974964489</v>
      </c>
      <c r="S2293" s="0" t="n">
        <f aca="false">04_回帰ANOVA!$K$19*04_回帰ANOVA!$K$14*SQRT(1+R2293)</f>
        <v>1.07286089161565</v>
      </c>
      <c r="T2293" s="0" t="n">
        <f aca="false">Q2293-S2293</f>
        <v>47.4415212106571</v>
      </c>
      <c r="U2293" s="0" t="n">
        <f aca="false">Q2293+S2293</f>
        <v>49.5872429938884</v>
      </c>
      <c r="V2293" s="54" t="b">
        <f aca="false">AND(D2293&gt;=01_因子設定!$L$5-0.000000001,D2293&lt;=01_因子設定!$M$5+0.000000001,E2293&gt;=01_因子設定!$L$6-0.000000001,E2293&lt;=01_因子設定!$M$6+0.000000001,F2293&gt;=01_因子設定!$L$7-0.000000001,F2293&lt;=01_因子設定!$M$7+0.000000001,IF(01_因子設定!$B$20="Box-Behnken",D2293^2+E2293^2+F2293^2&lt;=2+0.000000001,TRUE()))</f>
        <v>1</v>
      </c>
      <c r="W2293" s="55" t="n">
        <f aca="false">IF(V2293,IF(01_因子設定!$B$13="最大化",T2293-01_因子設定!$B$14,IF(01_因子設定!$B$13="最小化",01_因子設定!$B$15-U2293,MIN(T2293-01_因子設定!$B$14,01_因子設定!$B$15-U2293))),-1E+030)</f>
        <v>-1.05847878934291</v>
      </c>
      <c r="X2293" s="55" t="n">
        <f aca="false">IF(V2293,IF(01_因子設定!$B$13="最大化",Q2293,IF(01_因子設定!$B$13="最小化",-Q2293,-ABS(Q2293-01_因子設定!$B$16))),-1E+030)</f>
        <v>48.5143821022727</v>
      </c>
      <c r="Y2293" s="55" t="n">
        <f aca="false">W2293+ROW()*0.000000001</f>
        <v>-1.05847649634291</v>
      </c>
      <c r="Z2293" s="55" t="n">
        <f aca="false">X2293+ROW()*0.000000001</f>
        <v>48.5143843952727</v>
      </c>
    </row>
    <row r="2294" customFormat="false" ht="15" hidden="false" customHeight="false" outlineLevel="0" collapsed="false">
      <c r="A2294" s="0" t="n">
        <v>7</v>
      </c>
      <c r="B2294" s="0" t="n">
        <v>15</v>
      </c>
      <c r="C2294" s="0" t="n">
        <v>11</v>
      </c>
      <c r="D2294" s="0" t="n">
        <f aca="false">-1+A2294*0.125</f>
        <v>-0.125</v>
      </c>
      <c r="E2294" s="0" t="n">
        <f aca="false">-1+B2294*0.125</f>
        <v>0.875</v>
      </c>
      <c r="F2294" s="0" t="n">
        <f aca="false">-1+C2294*0.125</f>
        <v>0.375</v>
      </c>
      <c r="G2294" s="0" t="n">
        <f aca="false">1</f>
        <v>1</v>
      </c>
      <c r="H2294" s="0" t="n">
        <f aca="false">D2294</f>
        <v>-0.125</v>
      </c>
      <c r="I2294" s="0" t="n">
        <f aca="false">E2294</f>
        <v>0.875</v>
      </c>
      <c r="J2294" s="0" t="n">
        <f aca="false">F2294</f>
        <v>0.375</v>
      </c>
      <c r="K2294" s="0" t="n">
        <f aca="false">D2294*E2294</f>
        <v>-0.109375</v>
      </c>
      <c r="L2294" s="0" t="n">
        <f aca="false">D2294*F2294</f>
        <v>-0.046875</v>
      </c>
      <c r="M2294" s="0" t="n">
        <f aca="false">E2294*F2294</f>
        <v>0.328125</v>
      </c>
      <c r="N2294" s="0" t="n">
        <f aca="false">D2294*D2294</f>
        <v>0.015625</v>
      </c>
      <c r="O2294" s="0" t="n">
        <f aca="false">E2294*E2294</f>
        <v>0.765625</v>
      </c>
      <c r="P2294" s="0" t="n">
        <f aca="false">F2294*F2294</f>
        <v>0.140625</v>
      </c>
      <c r="Q2294" s="0" t="n">
        <f aca="false">SUMPRODUCT(G2294:P2294,_XtX!$B$71:$K$71)</f>
        <v>48.6464701704546</v>
      </c>
      <c r="R2294" s="0" t="n">
        <f aca="false">SUMPRODUCT(MMULT(G2294:P2294,_XtX!$B$58:$K$67),G2294:P2294)</f>
        <v>0.32900224165483</v>
      </c>
      <c r="S2294" s="0" t="n">
        <f aca="false">04_回帰ANOVA!$K$19*04_回帰ANOVA!$K$14*SQRT(1+R2294)</f>
        <v>1.07183884583628</v>
      </c>
      <c r="T2294" s="0" t="n">
        <f aca="false">Q2294-S2294</f>
        <v>47.5746313246183</v>
      </c>
      <c r="U2294" s="0" t="n">
        <f aca="false">Q2294+S2294</f>
        <v>49.7183090162908</v>
      </c>
      <c r="V2294" s="54" t="b">
        <f aca="false">AND(D2294&gt;=01_因子設定!$L$5-0.000000001,D2294&lt;=01_因子設定!$M$5+0.000000001,E2294&gt;=01_因子設定!$L$6-0.000000001,E2294&lt;=01_因子設定!$M$6+0.000000001,F2294&gt;=01_因子設定!$L$7-0.000000001,F2294&lt;=01_因子設定!$M$7+0.000000001,IF(01_因子設定!$B$20="Box-Behnken",D2294^2+E2294^2+F2294^2&lt;=2+0.000000001,TRUE()))</f>
        <v>1</v>
      </c>
      <c r="W2294" s="55" t="n">
        <f aca="false">IF(V2294,IF(01_因子設定!$B$13="最大化",T2294-01_因子設定!$B$14,IF(01_因子設定!$B$13="最小化",01_因子設定!$B$15-U2294,MIN(T2294-01_因子設定!$B$14,01_因子設定!$B$15-U2294))),-1E+030)</f>
        <v>-0.925368675381719</v>
      </c>
      <c r="X2294" s="55" t="n">
        <f aca="false">IF(V2294,IF(01_因子設定!$B$13="最大化",Q2294,IF(01_因子設定!$B$13="最小化",-Q2294,-ABS(Q2294-01_因子設定!$B$16))),-1E+030)</f>
        <v>48.6464701704546</v>
      </c>
      <c r="Y2294" s="55" t="n">
        <f aca="false">W2294+ROW()*0.000000001</f>
        <v>-0.925366381381719</v>
      </c>
      <c r="Z2294" s="55" t="n">
        <f aca="false">X2294+ROW()*0.000000001</f>
        <v>48.6464724644546</v>
      </c>
    </row>
    <row r="2295" customFormat="false" ht="15" hidden="false" customHeight="false" outlineLevel="0" collapsed="false">
      <c r="A2295" s="0" t="n">
        <v>7</v>
      </c>
      <c r="B2295" s="0" t="n">
        <v>15</v>
      </c>
      <c r="C2295" s="0" t="n">
        <v>12</v>
      </c>
      <c r="D2295" s="0" t="n">
        <f aca="false">-1+A2295*0.125</f>
        <v>-0.125</v>
      </c>
      <c r="E2295" s="0" t="n">
        <f aca="false">-1+B2295*0.125</f>
        <v>0.875</v>
      </c>
      <c r="F2295" s="0" t="n">
        <f aca="false">-1+C2295*0.125</f>
        <v>0.5</v>
      </c>
      <c r="G2295" s="0" t="n">
        <f aca="false">1</f>
        <v>1</v>
      </c>
      <c r="H2295" s="0" t="n">
        <f aca="false">D2295</f>
        <v>-0.125</v>
      </c>
      <c r="I2295" s="0" t="n">
        <f aca="false">E2295</f>
        <v>0.875</v>
      </c>
      <c r="J2295" s="0" t="n">
        <f aca="false">F2295</f>
        <v>0.5</v>
      </c>
      <c r="K2295" s="0" t="n">
        <f aca="false">D2295*E2295</f>
        <v>-0.109375</v>
      </c>
      <c r="L2295" s="0" t="n">
        <f aca="false">D2295*F2295</f>
        <v>-0.0625</v>
      </c>
      <c r="M2295" s="0" t="n">
        <f aca="false">E2295*F2295</f>
        <v>0.4375</v>
      </c>
      <c r="N2295" s="0" t="n">
        <f aca="false">D2295*D2295</f>
        <v>0.015625</v>
      </c>
      <c r="O2295" s="0" t="n">
        <f aca="false">E2295*E2295</f>
        <v>0.765625</v>
      </c>
      <c r="P2295" s="0" t="n">
        <f aca="false">F2295*F2295</f>
        <v>0.25</v>
      </c>
      <c r="Q2295" s="0" t="n">
        <f aca="false">SUMPRODUCT(G2295:P2295,_XtX!$B$71:$K$71)</f>
        <v>48.7417684659091</v>
      </c>
      <c r="R2295" s="0" t="n">
        <f aca="false">SUMPRODUCT(MMULT(G2295:P2295,_XtX!$B$58:$K$67),G2295:P2295)</f>
        <v>0.332909601384943</v>
      </c>
      <c r="S2295" s="0" t="n">
        <f aca="false">04_回帰ANOVA!$K$19*04_回帰ANOVA!$K$14*SQRT(1+R2295)</f>
        <v>1.07341333007404</v>
      </c>
      <c r="T2295" s="0" t="n">
        <f aca="false">Q2295-S2295</f>
        <v>47.6683551358351</v>
      </c>
      <c r="U2295" s="0" t="n">
        <f aca="false">Q2295+S2295</f>
        <v>49.8151817959831</v>
      </c>
      <c r="V2295" s="54" t="b">
        <f aca="false">AND(D2295&gt;=01_因子設定!$L$5-0.000000001,D2295&lt;=01_因子設定!$M$5+0.000000001,E2295&gt;=01_因子設定!$L$6-0.000000001,E2295&lt;=01_因子設定!$M$6+0.000000001,F2295&gt;=01_因子設定!$L$7-0.000000001,F2295&lt;=01_因子設定!$M$7+0.000000001,IF(01_因子設定!$B$20="Box-Behnken",D2295^2+E2295^2+F2295^2&lt;=2+0.000000001,TRUE()))</f>
        <v>1</v>
      </c>
      <c r="W2295" s="55" t="n">
        <f aca="false">IF(V2295,IF(01_因子設定!$B$13="最大化",T2295-01_因子設定!$B$14,IF(01_因子設定!$B$13="最小化",01_因子設定!$B$15-U2295,MIN(T2295-01_因子設定!$B$14,01_因子設定!$B$15-U2295))),-1E+030)</f>
        <v>-0.831644864164936</v>
      </c>
      <c r="X2295" s="55" t="n">
        <f aca="false">IF(V2295,IF(01_因子設定!$B$13="最大化",Q2295,IF(01_因子設定!$B$13="最小化",-Q2295,-ABS(Q2295-01_因子設定!$B$16))),-1E+030)</f>
        <v>48.7417684659091</v>
      </c>
      <c r="Y2295" s="55" t="n">
        <f aca="false">W2295+ROW()*0.000000001</f>
        <v>-0.831642569164936</v>
      </c>
      <c r="Z2295" s="55" t="n">
        <f aca="false">X2295+ROW()*0.000000001</f>
        <v>48.7417707609091</v>
      </c>
    </row>
    <row r="2296" customFormat="false" ht="15" hidden="false" customHeight="false" outlineLevel="0" collapsed="false">
      <c r="A2296" s="0" t="n">
        <v>7</v>
      </c>
      <c r="B2296" s="0" t="n">
        <v>15</v>
      </c>
      <c r="C2296" s="0" t="n">
        <v>13</v>
      </c>
      <c r="D2296" s="0" t="n">
        <f aca="false">-1+A2296*0.125</f>
        <v>-0.125</v>
      </c>
      <c r="E2296" s="0" t="n">
        <f aca="false">-1+B2296*0.125</f>
        <v>0.875</v>
      </c>
      <c r="F2296" s="0" t="n">
        <f aca="false">-1+C2296*0.125</f>
        <v>0.625</v>
      </c>
      <c r="G2296" s="0" t="n">
        <f aca="false">1</f>
        <v>1</v>
      </c>
      <c r="H2296" s="0" t="n">
        <f aca="false">D2296</f>
        <v>-0.125</v>
      </c>
      <c r="I2296" s="0" t="n">
        <f aca="false">E2296</f>
        <v>0.875</v>
      </c>
      <c r="J2296" s="0" t="n">
        <f aca="false">F2296</f>
        <v>0.625</v>
      </c>
      <c r="K2296" s="0" t="n">
        <f aca="false">D2296*E2296</f>
        <v>-0.109375</v>
      </c>
      <c r="L2296" s="0" t="n">
        <f aca="false">D2296*F2296</f>
        <v>-0.078125</v>
      </c>
      <c r="M2296" s="0" t="n">
        <f aca="false">E2296*F2296</f>
        <v>0.546875</v>
      </c>
      <c r="N2296" s="0" t="n">
        <f aca="false">D2296*D2296</f>
        <v>0.015625</v>
      </c>
      <c r="O2296" s="0" t="n">
        <f aca="false">E2296*E2296</f>
        <v>0.765625</v>
      </c>
      <c r="P2296" s="0" t="n">
        <f aca="false">F2296*F2296</f>
        <v>0.390625</v>
      </c>
      <c r="Q2296" s="0" t="n">
        <f aca="false">SUMPRODUCT(G2296:P2296,_XtX!$B$71:$K$71)</f>
        <v>48.8002769886364</v>
      </c>
      <c r="R2296" s="0" t="n">
        <f aca="false">SUMPRODUCT(MMULT(G2296:P2296,_XtX!$B$58:$K$67),G2296:P2296)</f>
        <v>0.350717440518466</v>
      </c>
      <c r="S2296" s="0" t="n">
        <f aca="false">04_回帰ANOVA!$K$19*04_回帰ANOVA!$K$14*SQRT(1+R2296)</f>
        <v>1.08056000737898</v>
      </c>
      <c r="T2296" s="0" t="n">
        <f aca="false">Q2296-S2296</f>
        <v>47.7197169812574</v>
      </c>
      <c r="U2296" s="0" t="n">
        <f aca="false">Q2296+S2296</f>
        <v>49.8808369960154</v>
      </c>
      <c r="V2296" s="54" t="b">
        <f aca="false">AND(D2296&gt;=01_因子設定!$L$5-0.000000001,D2296&lt;=01_因子設定!$M$5+0.000000001,E2296&gt;=01_因子設定!$L$6-0.000000001,E2296&lt;=01_因子設定!$M$6+0.000000001,F2296&gt;=01_因子設定!$L$7-0.000000001,F2296&lt;=01_因子設定!$M$7+0.000000001,IF(01_因子設定!$B$20="Box-Behnken",D2296^2+E2296^2+F2296^2&lt;=2+0.000000001,TRUE()))</f>
        <v>1</v>
      </c>
      <c r="W2296" s="55" t="n">
        <f aca="false">IF(V2296,IF(01_因子設定!$B$13="最大化",T2296-01_因子設定!$B$14,IF(01_因子設定!$B$13="最小化",01_因子設定!$B$15-U2296,MIN(T2296-01_因子設定!$B$14,01_因子設定!$B$15-U2296))),-1E+030)</f>
        <v>-0.780283018742594</v>
      </c>
      <c r="X2296" s="55" t="n">
        <f aca="false">IF(V2296,IF(01_因子設定!$B$13="最大化",Q2296,IF(01_因子設定!$B$13="最小化",-Q2296,-ABS(Q2296-01_因子設定!$B$16))),-1E+030)</f>
        <v>48.8002769886364</v>
      </c>
      <c r="Y2296" s="55" t="n">
        <f aca="false">W2296+ROW()*0.000000001</f>
        <v>-0.780280722742594</v>
      </c>
      <c r="Z2296" s="55" t="n">
        <f aca="false">X2296+ROW()*0.000000001</f>
        <v>48.8002792846364</v>
      </c>
    </row>
    <row r="2297" customFormat="false" ht="15" hidden="false" customHeight="false" outlineLevel="0" collapsed="false">
      <c r="A2297" s="0" t="n">
        <v>7</v>
      </c>
      <c r="B2297" s="0" t="n">
        <v>15</v>
      </c>
      <c r="C2297" s="0" t="n">
        <v>14</v>
      </c>
      <c r="D2297" s="0" t="n">
        <f aca="false">-1+A2297*0.125</f>
        <v>-0.125</v>
      </c>
      <c r="E2297" s="0" t="n">
        <f aca="false">-1+B2297*0.125</f>
        <v>0.875</v>
      </c>
      <c r="F2297" s="0" t="n">
        <f aca="false">-1+C2297*0.125</f>
        <v>0.75</v>
      </c>
      <c r="G2297" s="0" t="n">
        <f aca="false">1</f>
        <v>1</v>
      </c>
      <c r="H2297" s="0" t="n">
        <f aca="false">D2297</f>
        <v>-0.125</v>
      </c>
      <c r="I2297" s="0" t="n">
        <f aca="false">E2297</f>
        <v>0.875</v>
      </c>
      <c r="J2297" s="0" t="n">
        <f aca="false">F2297</f>
        <v>0.75</v>
      </c>
      <c r="K2297" s="0" t="n">
        <f aca="false">D2297*E2297</f>
        <v>-0.109375</v>
      </c>
      <c r="L2297" s="0" t="n">
        <f aca="false">D2297*F2297</f>
        <v>-0.09375</v>
      </c>
      <c r="M2297" s="0" t="n">
        <f aca="false">E2297*F2297</f>
        <v>0.65625</v>
      </c>
      <c r="N2297" s="0" t="n">
        <f aca="false">D2297*D2297</f>
        <v>0.015625</v>
      </c>
      <c r="O2297" s="0" t="n">
        <f aca="false">E2297*E2297</f>
        <v>0.765625</v>
      </c>
      <c r="P2297" s="0" t="n">
        <f aca="false">F2297*F2297</f>
        <v>0.5625</v>
      </c>
      <c r="Q2297" s="0" t="n">
        <f aca="false">SUMPRODUCT(G2297:P2297,_XtX!$B$71:$K$71)</f>
        <v>48.8219957386364</v>
      </c>
      <c r="R2297" s="0" t="n">
        <f aca="false">SUMPRODUCT(MMULT(G2297:P2297,_XtX!$B$58:$K$67),G2297:P2297)</f>
        <v>0.392013827237216</v>
      </c>
      <c r="S2297" s="0" t="n">
        <f aca="false">04_回帰ANOVA!$K$19*04_回帰ANOVA!$K$14*SQRT(1+R2297)</f>
        <v>1.09695398627251</v>
      </c>
      <c r="T2297" s="0" t="n">
        <f aca="false">Q2297-S2297</f>
        <v>47.7250417523639</v>
      </c>
      <c r="U2297" s="0" t="n">
        <f aca="false">Q2297+S2297</f>
        <v>49.9189497249089</v>
      </c>
      <c r="V2297" s="54" t="b">
        <f aca="false">AND(D2297&gt;=01_因子設定!$L$5-0.000000001,D2297&lt;=01_因子設定!$M$5+0.000000001,E2297&gt;=01_因子設定!$L$6-0.000000001,E2297&lt;=01_因子設定!$M$6+0.000000001,F2297&gt;=01_因子設定!$L$7-0.000000001,F2297&lt;=01_因子設定!$M$7+0.000000001,IF(01_因子設定!$B$20="Box-Behnken",D2297^2+E2297^2+F2297^2&lt;=2+0.000000001,TRUE()))</f>
        <v>1</v>
      </c>
      <c r="W2297" s="55" t="n">
        <f aca="false">IF(V2297,IF(01_因子設定!$B$13="最大化",T2297-01_因子設定!$B$14,IF(01_因子設定!$B$13="最小化",01_因子設定!$B$15-U2297,MIN(T2297-01_因子設定!$B$14,01_因子設定!$B$15-U2297))),-1E+030)</f>
        <v>-0.774958247636121</v>
      </c>
      <c r="X2297" s="55" t="n">
        <f aca="false">IF(V2297,IF(01_因子設定!$B$13="最大化",Q2297,IF(01_因子設定!$B$13="最小化",-Q2297,-ABS(Q2297-01_因子設定!$B$16))),-1E+030)</f>
        <v>48.8219957386364</v>
      </c>
      <c r="Y2297" s="55" t="n">
        <f aca="false">W2297+ROW()*0.000000001</f>
        <v>-0.774955950636121</v>
      </c>
      <c r="Z2297" s="55" t="n">
        <f aca="false">X2297+ROW()*0.000000001</f>
        <v>48.8219980356364</v>
      </c>
    </row>
    <row r="2298" customFormat="false" ht="15" hidden="false" customHeight="false" outlineLevel="0" collapsed="false">
      <c r="A2298" s="0" t="n">
        <v>7</v>
      </c>
      <c r="B2298" s="0" t="n">
        <v>15</v>
      </c>
      <c r="C2298" s="0" t="n">
        <v>15</v>
      </c>
      <c r="D2298" s="0" t="n">
        <f aca="false">-1+A2298*0.125</f>
        <v>-0.125</v>
      </c>
      <c r="E2298" s="0" t="n">
        <f aca="false">-1+B2298*0.125</f>
        <v>0.875</v>
      </c>
      <c r="F2298" s="0" t="n">
        <f aca="false">-1+C2298*0.125</f>
        <v>0.875</v>
      </c>
      <c r="G2298" s="0" t="n">
        <f aca="false">1</f>
        <v>1</v>
      </c>
      <c r="H2298" s="0" t="n">
        <f aca="false">D2298</f>
        <v>-0.125</v>
      </c>
      <c r="I2298" s="0" t="n">
        <f aca="false">E2298</f>
        <v>0.875</v>
      </c>
      <c r="J2298" s="0" t="n">
        <f aca="false">F2298</f>
        <v>0.875</v>
      </c>
      <c r="K2298" s="0" t="n">
        <f aca="false">D2298*E2298</f>
        <v>-0.109375</v>
      </c>
      <c r="L2298" s="0" t="n">
        <f aca="false">D2298*F2298</f>
        <v>-0.109375</v>
      </c>
      <c r="M2298" s="0" t="n">
        <f aca="false">E2298*F2298</f>
        <v>0.765625</v>
      </c>
      <c r="N2298" s="0" t="n">
        <f aca="false">D2298*D2298</f>
        <v>0.015625</v>
      </c>
      <c r="O2298" s="0" t="n">
        <f aca="false">E2298*E2298</f>
        <v>0.765625</v>
      </c>
      <c r="P2298" s="0" t="n">
        <f aca="false">F2298*F2298</f>
        <v>0.765625</v>
      </c>
      <c r="Q2298" s="0" t="n">
        <f aca="false">SUMPRODUCT(G2298:P2298,_XtX!$B$71:$K$71)</f>
        <v>48.8069247159091</v>
      </c>
      <c r="R2298" s="0" t="n">
        <f aca="false">SUMPRODUCT(MMULT(G2298:P2298,_XtX!$B$58:$K$67),G2298:P2298)</f>
        <v>0.468517511541193</v>
      </c>
      <c r="S2298" s="0" t="n">
        <f aca="false">04_回帰ANOVA!$K$19*04_回帰ANOVA!$K$14*SQRT(1+R2298)</f>
        <v>1.12669456902645</v>
      </c>
      <c r="T2298" s="0" t="n">
        <f aca="false">Q2298-S2298</f>
        <v>47.6802301468827</v>
      </c>
      <c r="U2298" s="0" t="n">
        <f aca="false">Q2298+S2298</f>
        <v>49.9336192849356</v>
      </c>
      <c r="V2298" s="54" t="b">
        <f aca="false">AND(D2298&gt;=01_因子設定!$L$5-0.000000001,D2298&lt;=01_因子設定!$M$5+0.000000001,E2298&gt;=01_因子設定!$L$6-0.000000001,E2298&lt;=01_因子設定!$M$6+0.000000001,F2298&gt;=01_因子設定!$L$7-0.000000001,F2298&lt;=01_因子設定!$M$7+0.000000001,IF(01_因子設定!$B$20="Box-Behnken",D2298^2+E2298^2+F2298^2&lt;=2+0.000000001,TRUE()))</f>
        <v>1</v>
      </c>
      <c r="W2298" s="55" t="n">
        <f aca="false">IF(V2298,IF(01_因子設定!$B$13="最大化",T2298-01_因子設定!$B$14,IF(01_因子設定!$B$13="最小化",01_因子設定!$B$15-U2298,MIN(T2298-01_因子設定!$B$14,01_因子設定!$B$15-U2298))),-1E+030)</f>
        <v>-0.819769853117329</v>
      </c>
      <c r="X2298" s="55" t="n">
        <f aca="false">IF(V2298,IF(01_因子設定!$B$13="最大化",Q2298,IF(01_因子設定!$B$13="最小化",-Q2298,-ABS(Q2298-01_因子設定!$B$16))),-1E+030)</f>
        <v>48.8069247159091</v>
      </c>
      <c r="Y2298" s="55" t="n">
        <f aca="false">W2298+ROW()*0.000000001</f>
        <v>-0.819767555117329</v>
      </c>
      <c r="Z2298" s="55" t="n">
        <f aca="false">X2298+ROW()*0.000000001</f>
        <v>48.8069270139091</v>
      </c>
    </row>
    <row r="2299" customFormat="false" ht="15" hidden="false" customHeight="false" outlineLevel="0" collapsed="false">
      <c r="A2299" s="0" t="n">
        <v>7</v>
      </c>
      <c r="B2299" s="0" t="n">
        <v>15</v>
      </c>
      <c r="C2299" s="0" t="n">
        <v>16</v>
      </c>
      <c r="D2299" s="0" t="n">
        <f aca="false">-1+A2299*0.125</f>
        <v>-0.125</v>
      </c>
      <c r="E2299" s="0" t="n">
        <f aca="false">-1+B2299*0.125</f>
        <v>0.875</v>
      </c>
      <c r="F2299" s="0" t="n">
        <f aca="false">-1+C2299*0.125</f>
        <v>1</v>
      </c>
      <c r="G2299" s="0" t="n">
        <f aca="false">1</f>
        <v>1</v>
      </c>
      <c r="H2299" s="0" t="n">
        <f aca="false">D2299</f>
        <v>-0.125</v>
      </c>
      <c r="I2299" s="0" t="n">
        <f aca="false">E2299</f>
        <v>0.875</v>
      </c>
      <c r="J2299" s="0" t="n">
        <f aca="false">F2299</f>
        <v>1</v>
      </c>
      <c r="K2299" s="0" t="n">
        <f aca="false">D2299*E2299</f>
        <v>-0.109375</v>
      </c>
      <c r="L2299" s="0" t="n">
        <f aca="false">D2299*F2299</f>
        <v>-0.125</v>
      </c>
      <c r="M2299" s="0" t="n">
        <f aca="false">E2299*F2299</f>
        <v>0.875</v>
      </c>
      <c r="N2299" s="0" t="n">
        <f aca="false">D2299*D2299</f>
        <v>0.015625</v>
      </c>
      <c r="O2299" s="0" t="n">
        <f aca="false">E2299*E2299</f>
        <v>0.765625</v>
      </c>
      <c r="P2299" s="0" t="n">
        <f aca="false">F2299*F2299</f>
        <v>1</v>
      </c>
      <c r="Q2299" s="0" t="n">
        <f aca="false">SUMPRODUCT(G2299:P2299,_XtX!$B$71:$K$71)</f>
        <v>48.7550639204546</v>
      </c>
      <c r="R2299" s="0" t="n">
        <f aca="false">SUMPRODUCT(MMULT(G2299:P2299,_XtX!$B$58:$K$67),G2299:P2299)</f>
        <v>0.59407792524858</v>
      </c>
      <c r="S2299" s="0" t="n">
        <f aca="false">04_回帰ANOVA!$K$19*04_回帰ANOVA!$K$14*SQRT(1+R2299)</f>
        <v>1.17387380087722</v>
      </c>
      <c r="T2299" s="0" t="n">
        <f aca="false">Q2299-S2299</f>
        <v>47.5811901195774</v>
      </c>
      <c r="U2299" s="0" t="n">
        <f aca="false">Q2299+S2299</f>
        <v>49.9289377213318</v>
      </c>
      <c r="V2299" s="54" t="b">
        <f aca="false">AND(D2299&gt;=01_因子設定!$L$5-0.000000001,D2299&lt;=01_因子設定!$M$5+0.000000001,E2299&gt;=01_因子設定!$L$6-0.000000001,E2299&lt;=01_因子設定!$M$6+0.000000001,F2299&gt;=01_因子設定!$L$7-0.000000001,F2299&lt;=01_因子設定!$M$7+0.000000001,IF(01_因子設定!$B$20="Box-Behnken",D2299^2+E2299^2+F2299^2&lt;=2+0.000000001,TRUE()))</f>
        <v>1</v>
      </c>
      <c r="W2299" s="55" t="n">
        <f aca="false">IF(V2299,IF(01_因子設定!$B$13="最大化",T2299-01_因子設定!$B$14,IF(01_因子設定!$B$13="最小化",01_因子設定!$B$15-U2299,MIN(T2299-01_因子設定!$B$14,01_因子設定!$B$15-U2299))),-1E+030)</f>
        <v>-0.918809880422643</v>
      </c>
      <c r="X2299" s="55" t="n">
        <f aca="false">IF(V2299,IF(01_因子設定!$B$13="最大化",Q2299,IF(01_因子設定!$B$13="最小化",-Q2299,-ABS(Q2299-01_因子設定!$B$16))),-1E+030)</f>
        <v>48.7550639204546</v>
      </c>
      <c r="Y2299" s="55" t="n">
        <f aca="false">W2299+ROW()*0.000000001</f>
        <v>-0.918807581422643</v>
      </c>
      <c r="Z2299" s="55" t="n">
        <f aca="false">X2299+ROW()*0.000000001</f>
        <v>48.7550662194546</v>
      </c>
    </row>
    <row r="2300" customFormat="false" ht="15" hidden="false" customHeight="false" outlineLevel="0" collapsed="false">
      <c r="A2300" s="0" t="n">
        <v>7</v>
      </c>
      <c r="B2300" s="0" t="n">
        <v>16</v>
      </c>
      <c r="C2300" s="0" t="n">
        <v>0</v>
      </c>
      <c r="D2300" s="0" t="n">
        <f aca="false">-1+A2300*0.125</f>
        <v>-0.125</v>
      </c>
      <c r="E2300" s="0" t="n">
        <f aca="false">-1+B2300*0.125</f>
        <v>1</v>
      </c>
      <c r="F2300" s="0" t="n">
        <f aca="false">-1+C2300*0.125</f>
        <v>-1</v>
      </c>
      <c r="G2300" s="0" t="n">
        <f aca="false">1</f>
        <v>1</v>
      </c>
      <c r="H2300" s="0" t="n">
        <f aca="false">D2300</f>
        <v>-0.125</v>
      </c>
      <c r="I2300" s="0" t="n">
        <f aca="false">E2300</f>
        <v>1</v>
      </c>
      <c r="J2300" s="0" t="n">
        <f aca="false">F2300</f>
        <v>-1</v>
      </c>
      <c r="K2300" s="0" t="n">
        <f aca="false">D2300*E2300</f>
        <v>-0.125</v>
      </c>
      <c r="L2300" s="0" t="n">
        <f aca="false">D2300*F2300</f>
        <v>0.125</v>
      </c>
      <c r="M2300" s="0" t="n">
        <f aca="false">E2300*F2300</f>
        <v>-1</v>
      </c>
      <c r="N2300" s="0" t="n">
        <f aca="false">D2300*D2300</f>
        <v>0.015625</v>
      </c>
      <c r="O2300" s="0" t="n">
        <f aca="false">E2300*E2300</f>
        <v>1</v>
      </c>
      <c r="P2300" s="0" t="n">
        <f aca="false">F2300*F2300</f>
        <v>1</v>
      </c>
      <c r="Q2300" s="0" t="n">
        <f aca="false">SUMPRODUCT(G2300:P2300,_XtX!$B$71:$K$71)</f>
        <v>44.87828125</v>
      </c>
      <c r="R2300" s="0" t="n">
        <f aca="false">SUMPRODUCT(MMULT(G2300:P2300,_XtX!$B$58:$K$67),G2300:P2300)</f>
        <v>0.7115234375</v>
      </c>
      <c r="S2300" s="0" t="n">
        <f aca="false">04_回帰ANOVA!$K$19*04_回帰ANOVA!$K$14*SQRT(1+R2300)</f>
        <v>1.21634860506574</v>
      </c>
      <c r="T2300" s="0" t="n">
        <f aca="false">Q2300-S2300</f>
        <v>43.6619326449343</v>
      </c>
      <c r="U2300" s="0" t="n">
        <f aca="false">Q2300+S2300</f>
        <v>46.0946298550658</v>
      </c>
      <c r="V2300" s="54" t="b">
        <f aca="false">AND(D2300&gt;=01_因子設定!$L$5-0.000000001,D2300&lt;=01_因子設定!$M$5+0.000000001,E2300&gt;=01_因子設定!$L$6-0.000000001,E2300&lt;=01_因子設定!$M$6+0.000000001,F2300&gt;=01_因子設定!$L$7-0.000000001,F2300&lt;=01_因子設定!$M$7+0.000000001,IF(01_因子設定!$B$20="Box-Behnken",D2300^2+E2300^2+F2300^2&lt;=2+0.000000001,TRUE()))</f>
        <v>1</v>
      </c>
      <c r="W2300" s="55" t="n">
        <f aca="false">IF(V2300,IF(01_因子設定!$B$13="最大化",T2300-01_因子設定!$B$14,IF(01_因子設定!$B$13="最小化",01_因子設定!$B$15-U2300,MIN(T2300-01_因子設定!$B$14,01_因子設定!$B$15-U2300))),-1E+030)</f>
        <v>-4.8380673550657</v>
      </c>
      <c r="X2300" s="55" t="n">
        <f aca="false">IF(V2300,IF(01_因子設定!$B$13="最大化",Q2300,IF(01_因子設定!$B$13="最小化",-Q2300,-ABS(Q2300-01_因子設定!$B$16))),-1E+030)</f>
        <v>44.87828125</v>
      </c>
      <c r="Y2300" s="55" t="n">
        <f aca="false">W2300+ROW()*0.000000001</f>
        <v>-4.8380650550657</v>
      </c>
      <c r="Z2300" s="55" t="n">
        <f aca="false">X2300+ROW()*0.000000001</f>
        <v>44.87828355</v>
      </c>
    </row>
    <row r="2301" customFormat="false" ht="15" hidden="false" customHeight="false" outlineLevel="0" collapsed="false">
      <c r="A2301" s="0" t="n">
        <v>7</v>
      </c>
      <c r="B2301" s="0" t="n">
        <v>16</v>
      </c>
      <c r="C2301" s="0" t="n">
        <v>1</v>
      </c>
      <c r="D2301" s="0" t="n">
        <f aca="false">-1+A2301*0.125</f>
        <v>-0.125</v>
      </c>
      <c r="E2301" s="0" t="n">
        <f aca="false">-1+B2301*0.125</f>
        <v>1</v>
      </c>
      <c r="F2301" s="0" t="n">
        <f aca="false">-1+C2301*0.125</f>
        <v>-0.875</v>
      </c>
      <c r="G2301" s="0" t="n">
        <f aca="false">1</f>
        <v>1</v>
      </c>
      <c r="H2301" s="0" t="n">
        <f aca="false">D2301</f>
        <v>-0.125</v>
      </c>
      <c r="I2301" s="0" t="n">
        <f aca="false">E2301</f>
        <v>1</v>
      </c>
      <c r="J2301" s="0" t="n">
        <f aca="false">F2301</f>
        <v>-0.875</v>
      </c>
      <c r="K2301" s="0" t="n">
        <f aca="false">D2301*E2301</f>
        <v>-0.125</v>
      </c>
      <c r="L2301" s="0" t="n">
        <f aca="false">D2301*F2301</f>
        <v>0.109375</v>
      </c>
      <c r="M2301" s="0" t="n">
        <f aca="false">E2301*F2301</f>
        <v>-0.875</v>
      </c>
      <c r="N2301" s="0" t="n">
        <f aca="false">D2301*D2301</f>
        <v>0.015625</v>
      </c>
      <c r="O2301" s="0" t="n">
        <f aca="false">E2301*E2301</f>
        <v>1</v>
      </c>
      <c r="P2301" s="0" t="n">
        <f aca="false">F2301*F2301</f>
        <v>0.765625</v>
      </c>
      <c r="Q2301" s="0" t="n">
        <f aca="false">SUMPRODUCT(G2301:P2301,_XtX!$B$71:$K$71)</f>
        <v>45.3852982954546</v>
      </c>
      <c r="R2301" s="0" t="n">
        <f aca="false">SUMPRODUCT(MMULT(G2301:P2301,_XtX!$B$58:$K$67),G2301:P2301)</f>
        <v>0.59407792524858</v>
      </c>
      <c r="S2301" s="0" t="n">
        <f aca="false">04_回帰ANOVA!$K$19*04_回帰ANOVA!$K$14*SQRT(1+R2301)</f>
        <v>1.17387380087722</v>
      </c>
      <c r="T2301" s="0" t="n">
        <f aca="false">Q2301-S2301</f>
        <v>44.2114244945774</v>
      </c>
      <c r="U2301" s="0" t="n">
        <f aca="false">Q2301+S2301</f>
        <v>46.5591720963318</v>
      </c>
      <c r="V2301" s="54" t="b">
        <f aca="false">AND(D2301&gt;=01_因子設定!$L$5-0.000000001,D2301&lt;=01_因子設定!$M$5+0.000000001,E2301&gt;=01_因子設定!$L$6-0.000000001,E2301&lt;=01_因子設定!$M$6+0.000000001,F2301&gt;=01_因子設定!$L$7-0.000000001,F2301&lt;=01_因子設定!$M$7+0.000000001,IF(01_因子設定!$B$20="Box-Behnken",D2301^2+E2301^2+F2301^2&lt;=2+0.000000001,TRUE()))</f>
        <v>1</v>
      </c>
      <c r="W2301" s="55" t="n">
        <f aca="false">IF(V2301,IF(01_因子設定!$B$13="最大化",T2301-01_因子設定!$B$14,IF(01_因子設定!$B$13="最小化",01_因子設定!$B$15-U2301,MIN(T2301-01_因子設定!$B$14,01_因子設定!$B$15-U2301))),-1E+030)</f>
        <v>-4.28857550542264</v>
      </c>
      <c r="X2301" s="55" t="n">
        <f aca="false">IF(V2301,IF(01_因子設定!$B$13="最大化",Q2301,IF(01_因子設定!$B$13="最小化",-Q2301,-ABS(Q2301-01_因子設定!$B$16))),-1E+030)</f>
        <v>45.3852982954546</v>
      </c>
      <c r="Y2301" s="55" t="n">
        <f aca="false">W2301+ROW()*0.000000001</f>
        <v>-4.28857320442264</v>
      </c>
      <c r="Z2301" s="55" t="n">
        <f aca="false">X2301+ROW()*0.000000001</f>
        <v>45.3853005964546</v>
      </c>
    </row>
    <row r="2302" customFormat="false" ht="15" hidden="false" customHeight="false" outlineLevel="0" collapsed="false">
      <c r="A2302" s="0" t="n">
        <v>7</v>
      </c>
      <c r="B2302" s="0" t="n">
        <v>16</v>
      </c>
      <c r="C2302" s="0" t="n">
        <v>2</v>
      </c>
      <c r="D2302" s="0" t="n">
        <f aca="false">-1+A2302*0.125</f>
        <v>-0.125</v>
      </c>
      <c r="E2302" s="0" t="n">
        <f aca="false">-1+B2302*0.125</f>
        <v>1</v>
      </c>
      <c r="F2302" s="0" t="n">
        <f aca="false">-1+C2302*0.125</f>
        <v>-0.75</v>
      </c>
      <c r="G2302" s="0" t="n">
        <f aca="false">1</f>
        <v>1</v>
      </c>
      <c r="H2302" s="0" t="n">
        <f aca="false">D2302</f>
        <v>-0.125</v>
      </c>
      <c r="I2302" s="0" t="n">
        <f aca="false">E2302</f>
        <v>1</v>
      </c>
      <c r="J2302" s="0" t="n">
        <f aca="false">F2302</f>
        <v>-0.75</v>
      </c>
      <c r="K2302" s="0" t="n">
        <f aca="false">D2302*E2302</f>
        <v>-0.125</v>
      </c>
      <c r="L2302" s="0" t="n">
        <f aca="false">D2302*F2302</f>
        <v>0.09375</v>
      </c>
      <c r="M2302" s="0" t="n">
        <f aca="false">E2302*F2302</f>
        <v>-0.75</v>
      </c>
      <c r="N2302" s="0" t="n">
        <f aca="false">D2302*D2302</f>
        <v>0.015625</v>
      </c>
      <c r="O2302" s="0" t="n">
        <f aca="false">E2302*E2302</f>
        <v>1</v>
      </c>
      <c r="P2302" s="0" t="n">
        <f aca="false">F2302*F2302</f>
        <v>0.5625</v>
      </c>
      <c r="Q2302" s="0" t="n">
        <f aca="false">SUMPRODUCT(G2302:P2302,_XtX!$B$71:$K$71)</f>
        <v>45.8555255681818</v>
      </c>
      <c r="R2302" s="0" t="n">
        <f aca="false">SUMPRODUCT(MMULT(G2302:P2302,_XtX!$B$58:$K$67),G2302:P2302)</f>
        <v>0.524607155539773</v>
      </c>
      <c r="S2302" s="0" t="n">
        <f aca="false">04_回帰ANOVA!$K$19*04_回帰ANOVA!$K$14*SQRT(1+R2302)</f>
        <v>1.14800984623412</v>
      </c>
      <c r="T2302" s="0" t="n">
        <f aca="false">Q2302-S2302</f>
        <v>44.7075157219477</v>
      </c>
      <c r="U2302" s="0" t="n">
        <f aca="false">Q2302+S2302</f>
        <v>47.003535414416</v>
      </c>
      <c r="V2302" s="54" t="b">
        <f aca="false">AND(D2302&gt;=01_因子設定!$L$5-0.000000001,D2302&lt;=01_因子設定!$M$5+0.000000001,E2302&gt;=01_因子設定!$L$6-0.000000001,E2302&lt;=01_因子設定!$M$6+0.000000001,F2302&gt;=01_因子設定!$L$7-0.000000001,F2302&lt;=01_因子設定!$M$7+0.000000001,IF(01_因子設定!$B$20="Box-Behnken",D2302^2+E2302^2+F2302^2&lt;=2+0.000000001,TRUE()))</f>
        <v>1</v>
      </c>
      <c r="W2302" s="55" t="n">
        <f aca="false">IF(V2302,IF(01_因子設定!$B$13="最大化",T2302-01_因子設定!$B$14,IF(01_因子設定!$B$13="最小化",01_因子設定!$B$15-U2302,MIN(T2302-01_因子設定!$B$14,01_因子設定!$B$15-U2302))),-1E+030)</f>
        <v>-3.79248427805228</v>
      </c>
      <c r="X2302" s="55" t="n">
        <f aca="false">IF(V2302,IF(01_因子設定!$B$13="最大化",Q2302,IF(01_因子設定!$B$13="最小化",-Q2302,-ABS(Q2302-01_因子設定!$B$16))),-1E+030)</f>
        <v>45.8555255681818</v>
      </c>
      <c r="Y2302" s="55" t="n">
        <f aca="false">W2302+ROW()*0.000000001</f>
        <v>-3.79248197605228</v>
      </c>
      <c r="Z2302" s="55" t="n">
        <f aca="false">X2302+ROW()*0.000000001</f>
        <v>45.8555278701818</v>
      </c>
    </row>
    <row r="2303" customFormat="false" ht="15" hidden="false" customHeight="false" outlineLevel="0" collapsed="false">
      <c r="A2303" s="0" t="n">
        <v>7</v>
      </c>
      <c r="B2303" s="0" t="n">
        <v>16</v>
      </c>
      <c r="C2303" s="0" t="n">
        <v>3</v>
      </c>
      <c r="D2303" s="0" t="n">
        <f aca="false">-1+A2303*0.125</f>
        <v>-0.125</v>
      </c>
      <c r="E2303" s="0" t="n">
        <f aca="false">-1+B2303*0.125</f>
        <v>1</v>
      </c>
      <c r="F2303" s="0" t="n">
        <f aca="false">-1+C2303*0.125</f>
        <v>-0.625</v>
      </c>
      <c r="G2303" s="0" t="n">
        <f aca="false">1</f>
        <v>1</v>
      </c>
      <c r="H2303" s="0" t="n">
        <f aca="false">D2303</f>
        <v>-0.125</v>
      </c>
      <c r="I2303" s="0" t="n">
        <f aca="false">E2303</f>
        <v>1</v>
      </c>
      <c r="J2303" s="0" t="n">
        <f aca="false">F2303</f>
        <v>-0.625</v>
      </c>
      <c r="K2303" s="0" t="n">
        <f aca="false">D2303*E2303</f>
        <v>-0.125</v>
      </c>
      <c r="L2303" s="0" t="n">
        <f aca="false">D2303*F2303</f>
        <v>0.078125</v>
      </c>
      <c r="M2303" s="0" t="n">
        <f aca="false">E2303*F2303</f>
        <v>-0.625</v>
      </c>
      <c r="N2303" s="0" t="n">
        <f aca="false">D2303*D2303</f>
        <v>0.015625</v>
      </c>
      <c r="O2303" s="0" t="n">
        <f aca="false">E2303*E2303</f>
        <v>1</v>
      </c>
      <c r="P2303" s="0" t="n">
        <f aca="false">F2303*F2303</f>
        <v>0.390625</v>
      </c>
      <c r="Q2303" s="0" t="n">
        <f aca="false">SUMPRODUCT(G2303:P2303,_XtX!$B$71:$K$71)</f>
        <v>46.2889630681818</v>
      </c>
      <c r="R2303" s="0" t="n">
        <f aca="false">SUMPRODUCT(MMULT(G2303:P2303,_XtX!$B$58:$K$67),G2303:P2303)</f>
        <v>0.489261696555398</v>
      </c>
      <c r="S2303" s="0" t="n">
        <f aca="false">04_回帰ANOVA!$K$19*04_回帰ANOVA!$K$14*SQRT(1+R2303)</f>
        <v>1.13462447083763</v>
      </c>
      <c r="T2303" s="0" t="n">
        <f aca="false">Q2303-S2303</f>
        <v>45.1543385973442</v>
      </c>
      <c r="U2303" s="0" t="n">
        <f aca="false">Q2303+S2303</f>
        <v>47.4235875390195</v>
      </c>
      <c r="V2303" s="54" t="b">
        <f aca="false">AND(D2303&gt;=01_因子設定!$L$5-0.000000001,D2303&lt;=01_因子設定!$M$5+0.000000001,E2303&gt;=01_因子設定!$L$6-0.000000001,E2303&lt;=01_因子設定!$M$6+0.000000001,F2303&gt;=01_因子設定!$L$7-0.000000001,F2303&lt;=01_因子設定!$M$7+0.000000001,IF(01_因子設定!$B$20="Box-Behnken",D2303^2+E2303^2+F2303^2&lt;=2+0.000000001,TRUE()))</f>
        <v>1</v>
      </c>
      <c r="W2303" s="55" t="n">
        <f aca="false">IF(V2303,IF(01_因子設定!$B$13="最大化",T2303-01_因子設定!$B$14,IF(01_因子設定!$B$13="最小化",01_因子設定!$B$15-U2303,MIN(T2303-01_因子設定!$B$14,01_因子設定!$B$15-U2303))),-1E+030)</f>
        <v>-3.3456614026558</v>
      </c>
      <c r="X2303" s="55" t="n">
        <f aca="false">IF(V2303,IF(01_因子設定!$B$13="最大化",Q2303,IF(01_因子設定!$B$13="最小化",-Q2303,-ABS(Q2303-01_因子設定!$B$16))),-1E+030)</f>
        <v>46.2889630681818</v>
      </c>
      <c r="Y2303" s="55" t="n">
        <f aca="false">W2303+ROW()*0.000000001</f>
        <v>-3.3456590996558</v>
      </c>
      <c r="Z2303" s="55" t="n">
        <f aca="false">X2303+ROW()*0.000000001</f>
        <v>46.2889653711818</v>
      </c>
    </row>
    <row r="2304" customFormat="false" ht="15" hidden="false" customHeight="false" outlineLevel="0" collapsed="false">
      <c r="A2304" s="0" t="n">
        <v>7</v>
      </c>
      <c r="B2304" s="0" t="n">
        <v>16</v>
      </c>
      <c r="C2304" s="0" t="n">
        <v>4</v>
      </c>
      <c r="D2304" s="0" t="n">
        <f aca="false">-1+A2304*0.125</f>
        <v>-0.125</v>
      </c>
      <c r="E2304" s="0" t="n">
        <f aca="false">-1+B2304*0.125</f>
        <v>1</v>
      </c>
      <c r="F2304" s="0" t="n">
        <f aca="false">-1+C2304*0.125</f>
        <v>-0.5</v>
      </c>
      <c r="G2304" s="0" t="n">
        <f aca="false">1</f>
        <v>1</v>
      </c>
      <c r="H2304" s="0" t="n">
        <f aca="false">D2304</f>
        <v>-0.125</v>
      </c>
      <c r="I2304" s="0" t="n">
        <f aca="false">E2304</f>
        <v>1</v>
      </c>
      <c r="J2304" s="0" t="n">
        <f aca="false">F2304</f>
        <v>-0.5</v>
      </c>
      <c r="K2304" s="0" t="n">
        <f aca="false">D2304*E2304</f>
        <v>-0.125</v>
      </c>
      <c r="L2304" s="0" t="n">
        <f aca="false">D2304*F2304</f>
        <v>0.0625</v>
      </c>
      <c r="M2304" s="0" t="n">
        <f aca="false">E2304*F2304</f>
        <v>-0.5</v>
      </c>
      <c r="N2304" s="0" t="n">
        <f aca="false">D2304*D2304</f>
        <v>0.015625</v>
      </c>
      <c r="O2304" s="0" t="n">
        <f aca="false">E2304*E2304</f>
        <v>1</v>
      </c>
      <c r="P2304" s="0" t="n">
        <f aca="false">F2304*F2304</f>
        <v>0.25</v>
      </c>
      <c r="Q2304" s="0" t="n">
        <f aca="false">SUMPRODUCT(G2304:P2304,_XtX!$B$71:$K$71)</f>
        <v>46.6856107954546</v>
      </c>
      <c r="R2304" s="0" t="n">
        <f aca="false">SUMPRODUCT(MMULT(G2304:P2304,_XtX!$B$58:$K$67),G2304:P2304)</f>
        <v>0.476322798295455</v>
      </c>
      <c r="S2304" s="0" t="n">
        <f aca="false">04_回帰ANOVA!$K$19*04_回帰ANOVA!$K$14*SQRT(1+R2304)</f>
        <v>1.12968483630128</v>
      </c>
      <c r="T2304" s="0" t="n">
        <f aca="false">Q2304-S2304</f>
        <v>45.5559259591533</v>
      </c>
      <c r="U2304" s="0" t="n">
        <f aca="false">Q2304+S2304</f>
        <v>47.8152956317558</v>
      </c>
      <c r="V2304" s="54" t="b">
        <f aca="false">AND(D2304&gt;=01_因子設定!$L$5-0.000000001,D2304&lt;=01_因子設定!$M$5+0.000000001,E2304&gt;=01_因子設定!$L$6-0.000000001,E2304&lt;=01_因子設定!$M$6+0.000000001,F2304&gt;=01_因子設定!$L$7-0.000000001,F2304&lt;=01_因子設定!$M$7+0.000000001,IF(01_因子設定!$B$20="Box-Behnken",D2304^2+E2304^2+F2304^2&lt;=2+0.000000001,TRUE()))</f>
        <v>1</v>
      </c>
      <c r="W2304" s="55" t="n">
        <f aca="false">IF(V2304,IF(01_因子設定!$B$13="最大化",T2304-01_因子設定!$B$14,IF(01_因子設定!$B$13="最小化",01_因子設定!$B$15-U2304,MIN(T2304-01_因子設定!$B$14,01_因子設定!$B$15-U2304))),-1E+030)</f>
        <v>-2.94407404084672</v>
      </c>
      <c r="X2304" s="55" t="n">
        <f aca="false">IF(V2304,IF(01_因子設定!$B$13="最大化",Q2304,IF(01_因子設定!$B$13="最小化",-Q2304,-ABS(Q2304-01_因子設定!$B$16))),-1E+030)</f>
        <v>46.6856107954546</v>
      </c>
      <c r="Y2304" s="55" t="n">
        <f aca="false">W2304+ROW()*0.000000001</f>
        <v>-2.94407173684672</v>
      </c>
      <c r="Z2304" s="55" t="n">
        <f aca="false">X2304+ROW()*0.000000001</f>
        <v>46.6856130994546</v>
      </c>
    </row>
    <row r="2305" customFormat="false" ht="15" hidden="false" customHeight="false" outlineLevel="0" collapsed="false">
      <c r="A2305" s="0" t="n">
        <v>7</v>
      </c>
      <c r="B2305" s="0" t="n">
        <v>16</v>
      </c>
      <c r="C2305" s="0" t="n">
        <v>5</v>
      </c>
      <c r="D2305" s="0" t="n">
        <f aca="false">-1+A2305*0.125</f>
        <v>-0.125</v>
      </c>
      <c r="E2305" s="0" t="n">
        <f aca="false">-1+B2305*0.125</f>
        <v>1</v>
      </c>
      <c r="F2305" s="0" t="n">
        <f aca="false">-1+C2305*0.125</f>
        <v>-0.375</v>
      </c>
      <c r="G2305" s="0" t="n">
        <f aca="false">1</f>
        <v>1</v>
      </c>
      <c r="H2305" s="0" t="n">
        <f aca="false">D2305</f>
        <v>-0.125</v>
      </c>
      <c r="I2305" s="0" t="n">
        <f aca="false">E2305</f>
        <v>1</v>
      </c>
      <c r="J2305" s="0" t="n">
        <f aca="false">F2305</f>
        <v>-0.375</v>
      </c>
      <c r="K2305" s="0" t="n">
        <f aca="false">D2305*E2305</f>
        <v>-0.125</v>
      </c>
      <c r="L2305" s="0" t="n">
        <f aca="false">D2305*F2305</f>
        <v>0.046875</v>
      </c>
      <c r="M2305" s="0" t="n">
        <f aca="false">E2305*F2305</f>
        <v>-0.375</v>
      </c>
      <c r="N2305" s="0" t="n">
        <f aca="false">D2305*D2305</f>
        <v>0.015625</v>
      </c>
      <c r="O2305" s="0" t="n">
        <f aca="false">E2305*E2305</f>
        <v>1</v>
      </c>
      <c r="P2305" s="0" t="n">
        <f aca="false">F2305*F2305</f>
        <v>0.140625</v>
      </c>
      <c r="Q2305" s="0" t="n">
        <f aca="false">SUMPRODUCT(G2305:P2305,_XtX!$B$71:$K$71)</f>
        <v>47.04546875</v>
      </c>
      <c r="R2305" s="0" t="n">
        <f aca="false">SUMPRODUCT(MMULT(G2305:P2305,_XtX!$B$58:$K$67),G2305:P2305)</f>
        <v>0.476202392578125</v>
      </c>
      <c r="S2305" s="0" t="n">
        <f aca="false">04_回帰ANOVA!$K$19*04_回帰ANOVA!$K$14*SQRT(1+R2305)</f>
        <v>1.12963876802721</v>
      </c>
      <c r="T2305" s="0" t="n">
        <f aca="false">Q2305-S2305</f>
        <v>45.9158299819728</v>
      </c>
      <c r="U2305" s="0" t="n">
        <f aca="false">Q2305+S2305</f>
        <v>48.1751075180272</v>
      </c>
      <c r="V2305" s="54" t="b">
        <f aca="false">AND(D2305&gt;=01_因子設定!$L$5-0.000000001,D2305&lt;=01_因子設定!$M$5+0.000000001,E2305&gt;=01_因子設定!$L$6-0.000000001,E2305&lt;=01_因子設定!$M$6+0.000000001,F2305&gt;=01_因子設定!$L$7-0.000000001,F2305&lt;=01_因子設定!$M$7+0.000000001,IF(01_因子設定!$B$20="Box-Behnken",D2305^2+E2305^2+F2305^2&lt;=2+0.000000001,TRUE()))</f>
        <v>1</v>
      </c>
      <c r="W2305" s="55" t="n">
        <f aca="false">IF(V2305,IF(01_因子設定!$B$13="最大化",T2305-01_因子設定!$B$14,IF(01_因子設定!$B$13="最小化",01_因子設定!$B$15-U2305,MIN(T2305-01_因子設定!$B$14,01_因子設定!$B$15-U2305))),-1E+030)</f>
        <v>-2.58417001802719</v>
      </c>
      <c r="X2305" s="55" t="n">
        <f aca="false">IF(V2305,IF(01_因子設定!$B$13="最大化",Q2305,IF(01_因子設定!$B$13="最小化",-Q2305,-ABS(Q2305-01_因子設定!$B$16))),-1E+030)</f>
        <v>47.04546875</v>
      </c>
      <c r="Y2305" s="55" t="n">
        <f aca="false">W2305+ROW()*0.000000001</f>
        <v>-2.58416771302719</v>
      </c>
      <c r="Z2305" s="55" t="n">
        <f aca="false">X2305+ROW()*0.000000001</f>
        <v>47.045471055</v>
      </c>
    </row>
    <row r="2306" customFormat="false" ht="15" hidden="false" customHeight="false" outlineLevel="0" collapsed="false">
      <c r="A2306" s="0" t="n">
        <v>7</v>
      </c>
      <c r="B2306" s="0" t="n">
        <v>16</v>
      </c>
      <c r="C2306" s="0" t="n">
        <v>6</v>
      </c>
      <c r="D2306" s="0" t="n">
        <f aca="false">-1+A2306*0.125</f>
        <v>-0.125</v>
      </c>
      <c r="E2306" s="0" t="n">
        <f aca="false">-1+B2306*0.125</f>
        <v>1</v>
      </c>
      <c r="F2306" s="0" t="n">
        <f aca="false">-1+C2306*0.125</f>
        <v>-0.25</v>
      </c>
      <c r="G2306" s="0" t="n">
        <f aca="false">1</f>
        <v>1</v>
      </c>
      <c r="H2306" s="0" t="n">
        <f aca="false">D2306</f>
        <v>-0.125</v>
      </c>
      <c r="I2306" s="0" t="n">
        <f aca="false">E2306</f>
        <v>1</v>
      </c>
      <c r="J2306" s="0" t="n">
        <f aca="false">F2306</f>
        <v>-0.25</v>
      </c>
      <c r="K2306" s="0" t="n">
        <f aca="false">D2306*E2306</f>
        <v>-0.125</v>
      </c>
      <c r="L2306" s="0" t="n">
        <f aca="false">D2306*F2306</f>
        <v>0.03125</v>
      </c>
      <c r="M2306" s="0" t="n">
        <f aca="false">E2306*F2306</f>
        <v>-0.25</v>
      </c>
      <c r="N2306" s="0" t="n">
        <f aca="false">D2306*D2306</f>
        <v>0.015625</v>
      </c>
      <c r="O2306" s="0" t="n">
        <f aca="false">E2306*E2306</f>
        <v>1</v>
      </c>
      <c r="P2306" s="0" t="n">
        <f aca="false">F2306*F2306</f>
        <v>0.0625</v>
      </c>
      <c r="Q2306" s="0" t="n">
        <f aca="false">SUMPRODUCT(G2306:P2306,_XtX!$B$71:$K$71)</f>
        <v>47.3685369318182</v>
      </c>
      <c r="R2306" s="0" t="n">
        <f aca="false">SUMPRODUCT(MMULT(G2306:P2306,_XtX!$B$58:$K$67),G2306:P2306)</f>
        <v>0.481443093039773</v>
      </c>
      <c r="S2306" s="0" t="n">
        <f aca="false">04_回帰ANOVA!$K$19*04_回帰ANOVA!$K$14*SQRT(1+R2306)</f>
        <v>1.13164216995877</v>
      </c>
      <c r="T2306" s="0" t="n">
        <f aca="false">Q2306-S2306</f>
        <v>46.2368947618594</v>
      </c>
      <c r="U2306" s="0" t="n">
        <f aca="false">Q2306+S2306</f>
        <v>48.500179101777</v>
      </c>
      <c r="V2306" s="54" t="b">
        <f aca="false">AND(D2306&gt;=01_因子設定!$L$5-0.000000001,D2306&lt;=01_因子設定!$M$5+0.000000001,E2306&gt;=01_因子設定!$L$6-0.000000001,E2306&lt;=01_因子設定!$M$6+0.000000001,F2306&gt;=01_因子設定!$L$7-0.000000001,F2306&lt;=01_因子設定!$M$7+0.000000001,IF(01_因子設定!$B$20="Box-Behnken",D2306^2+E2306^2+F2306^2&lt;=2+0.000000001,TRUE()))</f>
        <v>1</v>
      </c>
      <c r="W2306" s="55" t="n">
        <f aca="false">IF(V2306,IF(01_因子設定!$B$13="最大化",T2306-01_因子設定!$B$14,IF(01_因子設定!$B$13="最小化",01_因子設定!$B$15-U2306,MIN(T2306-01_因子設定!$B$14,01_因子設定!$B$15-U2306))),-1E+030)</f>
        <v>-2.26310523814057</v>
      </c>
      <c r="X2306" s="55" t="n">
        <f aca="false">IF(V2306,IF(01_因子設定!$B$13="最大化",Q2306,IF(01_因子設定!$B$13="最小化",-Q2306,-ABS(Q2306-01_因子設定!$B$16))),-1E+030)</f>
        <v>47.3685369318182</v>
      </c>
      <c r="Y2306" s="55" t="n">
        <f aca="false">W2306+ROW()*0.000000001</f>
        <v>-2.26310293214057</v>
      </c>
      <c r="Z2306" s="55" t="n">
        <f aca="false">X2306+ROW()*0.000000001</f>
        <v>47.3685392378182</v>
      </c>
    </row>
    <row r="2307" customFormat="false" ht="15" hidden="false" customHeight="false" outlineLevel="0" collapsed="false">
      <c r="A2307" s="0" t="n">
        <v>7</v>
      </c>
      <c r="B2307" s="0" t="n">
        <v>16</v>
      </c>
      <c r="C2307" s="0" t="n">
        <v>7</v>
      </c>
      <c r="D2307" s="0" t="n">
        <f aca="false">-1+A2307*0.125</f>
        <v>-0.125</v>
      </c>
      <c r="E2307" s="0" t="n">
        <f aca="false">-1+B2307*0.125</f>
        <v>1</v>
      </c>
      <c r="F2307" s="0" t="n">
        <f aca="false">-1+C2307*0.125</f>
        <v>-0.125</v>
      </c>
      <c r="G2307" s="0" t="n">
        <f aca="false">1</f>
        <v>1</v>
      </c>
      <c r="H2307" s="0" t="n">
        <f aca="false">D2307</f>
        <v>-0.125</v>
      </c>
      <c r="I2307" s="0" t="n">
        <f aca="false">E2307</f>
        <v>1</v>
      </c>
      <c r="J2307" s="0" t="n">
        <f aca="false">F2307</f>
        <v>-0.125</v>
      </c>
      <c r="K2307" s="0" t="n">
        <f aca="false">D2307*E2307</f>
        <v>-0.125</v>
      </c>
      <c r="L2307" s="0" t="n">
        <f aca="false">D2307*F2307</f>
        <v>0.015625</v>
      </c>
      <c r="M2307" s="0" t="n">
        <f aca="false">E2307*F2307</f>
        <v>-0.125</v>
      </c>
      <c r="N2307" s="0" t="n">
        <f aca="false">D2307*D2307</f>
        <v>0.015625</v>
      </c>
      <c r="O2307" s="0" t="n">
        <f aca="false">E2307*E2307</f>
        <v>1</v>
      </c>
      <c r="P2307" s="0" t="n">
        <f aca="false">F2307*F2307</f>
        <v>0.015625</v>
      </c>
      <c r="Q2307" s="0" t="n">
        <f aca="false">SUMPRODUCT(G2307:P2307,_XtX!$B$71:$K$71)</f>
        <v>47.6548153409091</v>
      </c>
      <c r="R2307" s="0" t="n">
        <f aca="false">SUMPRODUCT(MMULT(G2307:P2307,_XtX!$B$58:$K$67),G2307:P2307)</f>
        <v>0.486718195134943</v>
      </c>
      <c r="S2307" s="0" t="n">
        <f aca="false">04_回帰ANOVA!$K$19*04_回帰ANOVA!$K$14*SQRT(1+R2307)</f>
        <v>1.13365514750636</v>
      </c>
      <c r="T2307" s="0" t="n">
        <f aca="false">Q2307-S2307</f>
        <v>46.5211601934027</v>
      </c>
      <c r="U2307" s="0" t="n">
        <f aca="false">Q2307+S2307</f>
        <v>48.7884704884155</v>
      </c>
      <c r="V2307" s="54" t="b">
        <f aca="false">AND(D2307&gt;=01_因子設定!$L$5-0.000000001,D2307&lt;=01_因子設定!$M$5+0.000000001,E2307&gt;=01_因子設定!$L$6-0.000000001,E2307&lt;=01_因子設定!$M$6+0.000000001,F2307&gt;=01_因子設定!$L$7-0.000000001,F2307&lt;=01_因子設定!$M$7+0.000000001,IF(01_因子設定!$B$20="Box-Behnken",D2307^2+E2307^2+F2307^2&lt;=2+0.000000001,TRUE()))</f>
        <v>1</v>
      </c>
      <c r="W2307" s="55" t="n">
        <f aca="false">IF(V2307,IF(01_因子設定!$B$13="最大化",T2307-01_因子設定!$B$14,IF(01_因子設定!$B$13="最小化",01_因子設定!$B$15-U2307,MIN(T2307-01_因子設定!$B$14,01_因子設定!$B$15-U2307))),-1E+030)</f>
        <v>-1.97883980659726</v>
      </c>
      <c r="X2307" s="55" t="n">
        <f aca="false">IF(V2307,IF(01_因子設定!$B$13="最大化",Q2307,IF(01_因子設定!$B$13="最小化",-Q2307,-ABS(Q2307-01_因子設定!$B$16))),-1E+030)</f>
        <v>47.6548153409091</v>
      </c>
      <c r="Y2307" s="55" t="n">
        <f aca="false">W2307+ROW()*0.000000001</f>
        <v>-1.97883749959726</v>
      </c>
      <c r="Z2307" s="55" t="n">
        <f aca="false">X2307+ROW()*0.000000001</f>
        <v>47.6548176479091</v>
      </c>
    </row>
    <row r="2308" customFormat="false" ht="15" hidden="false" customHeight="false" outlineLevel="0" collapsed="false">
      <c r="A2308" s="0" t="n">
        <v>7</v>
      </c>
      <c r="B2308" s="0" t="n">
        <v>16</v>
      </c>
      <c r="C2308" s="0" t="n">
        <v>8</v>
      </c>
      <c r="D2308" s="0" t="n">
        <f aca="false">-1+A2308*0.125</f>
        <v>-0.125</v>
      </c>
      <c r="E2308" s="0" t="n">
        <f aca="false">-1+B2308*0.125</f>
        <v>1</v>
      </c>
      <c r="F2308" s="0" t="n">
        <f aca="false">-1+C2308*0.125</f>
        <v>0</v>
      </c>
      <c r="G2308" s="0" t="n">
        <f aca="false">1</f>
        <v>1</v>
      </c>
      <c r="H2308" s="0" t="n">
        <f aca="false">D2308</f>
        <v>-0.125</v>
      </c>
      <c r="I2308" s="0" t="n">
        <f aca="false">E2308</f>
        <v>1</v>
      </c>
      <c r="J2308" s="0" t="n">
        <f aca="false">F2308</f>
        <v>0</v>
      </c>
      <c r="K2308" s="0" t="n">
        <f aca="false">D2308*E2308</f>
        <v>-0.125</v>
      </c>
      <c r="L2308" s="0" t="n">
        <f aca="false">D2308*F2308</f>
        <v>-0</v>
      </c>
      <c r="M2308" s="0" t="n">
        <f aca="false">E2308*F2308</f>
        <v>0</v>
      </c>
      <c r="N2308" s="0" t="n">
        <f aca="false">D2308*D2308</f>
        <v>0.015625</v>
      </c>
      <c r="O2308" s="0" t="n">
        <f aca="false">E2308*E2308</f>
        <v>1</v>
      </c>
      <c r="P2308" s="0" t="n">
        <f aca="false">F2308*F2308</f>
        <v>0</v>
      </c>
      <c r="Q2308" s="0" t="n">
        <f aca="false">SUMPRODUCT(G2308:P2308,_XtX!$B$71:$K$71)</f>
        <v>47.9043039772727</v>
      </c>
      <c r="R2308" s="0" t="n">
        <f aca="false">SUMPRODUCT(MMULT(G2308:P2308,_XtX!$B$58:$K$67),G2308:P2308)</f>
        <v>0.488831676136364</v>
      </c>
      <c r="S2308" s="0" t="n">
        <f aca="false">04_回帰ANOVA!$K$19*04_回帰ANOVA!$K$14*SQRT(1+R2308)</f>
        <v>1.13446064908709</v>
      </c>
      <c r="T2308" s="0" t="n">
        <f aca="false">Q2308-S2308</f>
        <v>46.7698433281857</v>
      </c>
      <c r="U2308" s="0" t="n">
        <f aca="false">Q2308+S2308</f>
        <v>49.0387646263598</v>
      </c>
      <c r="V2308" s="54" t="b">
        <f aca="false">AND(D2308&gt;=01_因子設定!$L$5-0.000000001,D2308&lt;=01_因子設定!$M$5+0.000000001,E2308&gt;=01_因子設定!$L$6-0.000000001,E2308&lt;=01_因子設定!$M$6+0.000000001,F2308&gt;=01_因子設定!$L$7-0.000000001,F2308&lt;=01_因子設定!$M$7+0.000000001,IF(01_因子設定!$B$20="Box-Behnken",D2308^2+E2308^2+F2308^2&lt;=2+0.000000001,TRUE()))</f>
        <v>1</v>
      </c>
      <c r="W2308" s="55" t="n">
        <f aca="false">IF(V2308,IF(01_因子設定!$B$13="最大化",T2308-01_因子設定!$B$14,IF(01_因子設定!$B$13="最小化",01_因子設定!$B$15-U2308,MIN(T2308-01_因子設定!$B$14,01_因子設定!$B$15-U2308))),-1E+030)</f>
        <v>-1.73015667181435</v>
      </c>
      <c r="X2308" s="55" t="n">
        <f aca="false">IF(V2308,IF(01_因子設定!$B$13="最大化",Q2308,IF(01_因子設定!$B$13="最小化",-Q2308,-ABS(Q2308-01_因子設定!$B$16))),-1E+030)</f>
        <v>47.9043039772727</v>
      </c>
      <c r="Y2308" s="55" t="n">
        <f aca="false">W2308+ROW()*0.000000001</f>
        <v>-1.73015436381435</v>
      </c>
      <c r="Z2308" s="55" t="n">
        <f aca="false">X2308+ROW()*0.000000001</f>
        <v>47.9043062852727</v>
      </c>
    </row>
    <row r="2309" customFormat="false" ht="15" hidden="false" customHeight="false" outlineLevel="0" collapsed="false">
      <c r="A2309" s="0" t="n">
        <v>7</v>
      </c>
      <c r="B2309" s="0" t="n">
        <v>16</v>
      </c>
      <c r="C2309" s="0" t="n">
        <v>9</v>
      </c>
      <c r="D2309" s="0" t="n">
        <f aca="false">-1+A2309*0.125</f>
        <v>-0.125</v>
      </c>
      <c r="E2309" s="0" t="n">
        <f aca="false">-1+B2309*0.125</f>
        <v>1</v>
      </c>
      <c r="F2309" s="0" t="n">
        <f aca="false">-1+C2309*0.125</f>
        <v>0.125</v>
      </c>
      <c r="G2309" s="0" t="n">
        <f aca="false">1</f>
        <v>1</v>
      </c>
      <c r="H2309" s="0" t="n">
        <f aca="false">D2309</f>
        <v>-0.125</v>
      </c>
      <c r="I2309" s="0" t="n">
        <f aca="false">E2309</f>
        <v>1</v>
      </c>
      <c r="J2309" s="0" t="n">
        <f aca="false">F2309</f>
        <v>0.125</v>
      </c>
      <c r="K2309" s="0" t="n">
        <f aca="false">D2309*E2309</f>
        <v>-0.125</v>
      </c>
      <c r="L2309" s="0" t="n">
        <f aca="false">D2309*F2309</f>
        <v>-0.015625</v>
      </c>
      <c r="M2309" s="0" t="n">
        <f aca="false">E2309*F2309</f>
        <v>0.125</v>
      </c>
      <c r="N2309" s="0" t="n">
        <f aca="false">D2309*D2309</f>
        <v>0.015625</v>
      </c>
      <c r="O2309" s="0" t="n">
        <f aca="false">E2309*E2309</f>
        <v>1</v>
      </c>
      <c r="P2309" s="0" t="n">
        <f aca="false">F2309*F2309</f>
        <v>0.015625</v>
      </c>
      <c r="Q2309" s="0" t="n">
        <f aca="false">SUMPRODUCT(G2309:P2309,_XtX!$B$71:$K$71)</f>
        <v>48.1170028409091</v>
      </c>
      <c r="R2309" s="0" t="n">
        <f aca="false">SUMPRODUCT(MMULT(G2309:P2309,_XtX!$B$58:$K$67),G2309:P2309)</f>
        <v>0.486718195134943</v>
      </c>
      <c r="S2309" s="0" t="n">
        <f aca="false">04_回帰ANOVA!$K$19*04_回帰ANOVA!$K$14*SQRT(1+R2309)</f>
        <v>1.13365514750636</v>
      </c>
      <c r="T2309" s="0" t="n">
        <f aca="false">Q2309-S2309</f>
        <v>46.9833476934027</v>
      </c>
      <c r="U2309" s="0" t="n">
        <f aca="false">Q2309+S2309</f>
        <v>49.2506579884155</v>
      </c>
      <c r="V2309" s="54" t="b">
        <f aca="false">AND(D2309&gt;=01_因子設定!$L$5-0.000000001,D2309&lt;=01_因子設定!$M$5+0.000000001,E2309&gt;=01_因子設定!$L$6-0.000000001,E2309&lt;=01_因子設定!$M$6+0.000000001,F2309&gt;=01_因子設定!$L$7-0.000000001,F2309&lt;=01_因子設定!$M$7+0.000000001,IF(01_因子設定!$B$20="Box-Behnken",D2309^2+E2309^2+F2309^2&lt;=2+0.000000001,TRUE()))</f>
        <v>1</v>
      </c>
      <c r="W2309" s="55" t="n">
        <f aca="false">IF(V2309,IF(01_因子設定!$B$13="最大化",T2309-01_因子設定!$B$14,IF(01_因子設定!$B$13="最小化",01_因子設定!$B$15-U2309,MIN(T2309-01_因子設定!$B$14,01_因子設定!$B$15-U2309))),-1E+030)</f>
        <v>-1.51665230659726</v>
      </c>
      <c r="X2309" s="55" t="n">
        <f aca="false">IF(V2309,IF(01_因子設定!$B$13="最大化",Q2309,IF(01_因子設定!$B$13="最小化",-Q2309,-ABS(Q2309-01_因子設定!$B$16))),-1E+030)</f>
        <v>48.1170028409091</v>
      </c>
      <c r="Y2309" s="55" t="n">
        <f aca="false">W2309+ROW()*0.000000001</f>
        <v>-1.51664999759726</v>
      </c>
      <c r="Z2309" s="55" t="n">
        <f aca="false">X2309+ROW()*0.000000001</f>
        <v>48.1170051499091</v>
      </c>
    </row>
    <row r="2310" customFormat="false" ht="15" hidden="false" customHeight="false" outlineLevel="0" collapsed="false">
      <c r="A2310" s="0" t="n">
        <v>7</v>
      </c>
      <c r="B2310" s="0" t="n">
        <v>16</v>
      </c>
      <c r="C2310" s="0" t="n">
        <v>10</v>
      </c>
      <c r="D2310" s="0" t="n">
        <f aca="false">-1+A2310*0.125</f>
        <v>-0.125</v>
      </c>
      <c r="E2310" s="0" t="n">
        <f aca="false">-1+B2310*0.125</f>
        <v>1</v>
      </c>
      <c r="F2310" s="0" t="n">
        <f aca="false">-1+C2310*0.125</f>
        <v>0.25</v>
      </c>
      <c r="G2310" s="0" t="n">
        <f aca="false">1</f>
        <v>1</v>
      </c>
      <c r="H2310" s="0" t="n">
        <f aca="false">D2310</f>
        <v>-0.125</v>
      </c>
      <c r="I2310" s="0" t="n">
        <f aca="false">E2310</f>
        <v>1</v>
      </c>
      <c r="J2310" s="0" t="n">
        <f aca="false">F2310</f>
        <v>0.25</v>
      </c>
      <c r="K2310" s="0" t="n">
        <f aca="false">D2310*E2310</f>
        <v>-0.125</v>
      </c>
      <c r="L2310" s="0" t="n">
        <f aca="false">D2310*F2310</f>
        <v>-0.03125</v>
      </c>
      <c r="M2310" s="0" t="n">
        <f aca="false">E2310*F2310</f>
        <v>0.25</v>
      </c>
      <c r="N2310" s="0" t="n">
        <f aca="false">D2310*D2310</f>
        <v>0.015625</v>
      </c>
      <c r="O2310" s="0" t="n">
        <f aca="false">E2310*E2310</f>
        <v>1</v>
      </c>
      <c r="P2310" s="0" t="n">
        <f aca="false">F2310*F2310</f>
        <v>0.0625</v>
      </c>
      <c r="Q2310" s="0" t="n">
        <f aca="false">SUMPRODUCT(G2310:P2310,_XtX!$B$71:$K$71)</f>
        <v>48.2929119318182</v>
      </c>
      <c r="R2310" s="0" t="n">
        <f aca="false">SUMPRODUCT(MMULT(G2310:P2310,_XtX!$B$58:$K$67),G2310:P2310)</f>
        <v>0.481443093039773</v>
      </c>
      <c r="S2310" s="0" t="n">
        <f aca="false">04_回帰ANOVA!$K$19*04_回帰ANOVA!$K$14*SQRT(1+R2310)</f>
        <v>1.13164216995877</v>
      </c>
      <c r="T2310" s="0" t="n">
        <f aca="false">Q2310-S2310</f>
        <v>47.1612697618594</v>
      </c>
      <c r="U2310" s="0" t="n">
        <f aca="false">Q2310+S2310</f>
        <v>49.424554101777</v>
      </c>
      <c r="V2310" s="54" t="b">
        <f aca="false">AND(D2310&gt;=01_因子設定!$L$5-0.000000001,D2310&lt;=01_因子設定!$M$5+0.000000001,E2310&gt;=01_因子設定!$L$6-0.000000001,E2310&lt;=01_因子設定!$M$6+0.000000001,F2310&gt;=01_因子設定!$L$7-0.000000001,F2310&lt;=01_因子設定!$M$7+0.000000001,IF(01_因子設定!$B$20="Box-Behnken",D2310^2+E2310^2+F2310^2&lt;=2+0.000000001,TRUE()))</f>
        <v>1</v>
      </c>
      <c r="W2310" s="55" t="n">
        <f aca="false">IF(V2310,IF(01_因子設定!$B$13="最大化",T2310-01_因子設定!$B$14,IF(01_因子設定!$B$13="最小化",01_因子設定!$B$15-U2310,MIN(T2310-01_因子設定!$B$14,01_因子設定!$B$15-U2310))),-1E+030)</f>
        <v>-1.33873023814057</v>
      </c>
      <c r="X2310" s="55" t="n">
        <f aca="false">IF(V2310,IF(01_因子設定!$B$13="最大化",Q2310,IF(01_因子設定!$B$13="最小化",-Q2310,-ABS(Q2310-01_因子設定!$B$16))),-1E+030)</f>
        <v>48.2929119318182</v>
      </c>
      <c r="Y2310" s="55" t="n">
        <f aca="false">W2310+ROW()*0.000000001</f>
        <v>-1.33872792814057</v>
      </c>
      <c r="Z2310" s="55" t="n">
        <f aca="false">X2310+ROW()*0.000000001</f>
        <v>48.2929142418182</v>
      </c>
    </row>
    <row r="2311" customFormat="false" ht="15" hidden="false" customHeight="false" outlineLevel="0" collapsed="false">
      <c r="A2311" s="0" t="n">
        <v>7</v>
      </c>
      <c r="B2311" s="0" t="n">
        <v>16</v>
      </c>
      <c r="C2311" s="0" t="n">
        <v>11</v>
      </c>
      <c r="D2311" s="0" t="n">
        <f aca="false">-1+A2311*0.125</f>
        <v>-0.125</v>
      </c>
      <c r="E2311" s="0" t="n">
        <f aca="false">-1+B2311*0.125</f>
        <v>1</v>
      </c>
      <c r="F2311" s="0" t="n">
        <f aca="false">-1+C2311*0.125</f>
        <v>0.375</v>
      </c>
      <c r="G2311" s="0" t="n">
        <f aca="false">1</f>
        <v>1</v>
      </c>
      <c r="H2311" s="0" t="n">
        <f aca="false">D2311</f>
        <v>-0.125</v>
      </c>
      <c r="I2311" s="0" t="n">
        <f aca="false">E2311</f>
        <v>1</v>
      </c>
      <c r="J2311" s="0" t="n">
        <f aca="false">F2311</f>
        <v>0.375</v>
      </c>
      <c r="K2311" s="0" t="n">
        <f aca="false">D2311*E2311</f>
        <v>-0.125</v>
      </c>
      <c r="L2311" s="0" t="n">
        <f aca="false">D2311*F2311</f>
        <v>-0.046875</v>
      </c>
      <c r="M2311" s="0" t="n">
        <f aca="false">E2311*F2311</f>
        <v>0.375</v>
      </c>
      <c r="N2311" s="0" t="n">
        <f aca="false">D2311*D2311</f>
        <v>0.015625</v>
      </c>
      <c r="O2311" s="0" t="n">
        <f aca="false">E2311*E2311</f>
        <v>1</v>
      </c>
      <c r="P2311" s="0" t="n">
        <f aca="false">F2311*F2311</f>
        <v>0.140625</v>
      </c>
      <c r="Q2311" s="0" t="n">
        <f aca="false">SUMPRODUCT(G2311:P2311,_XtX!$B$71:$K$71)</f>
        <v>48.43203125</v>
      </c>
      <c r="R2311" s="0" t="n">
        <f aca="false">SUMPRODUCT(MMULT(G2311:P2311,_XtX!$B$58:$K$67),G2311:P2311)</f>
        <v>0.476202392578125</v>
      </c>
      <c r="S2311" s="0" t="n">
        <f aca="false">04_回帰ANOVA!$K$19*04_回帰ANOVA!$K$14*SQRT(1+R2311)</f>
        <v>1.12963876802721</v>
      </c>
      <c r="T2311" s="0" t="n">
        <f aca="false">Q2311-S2311</f>
        <v>47.3023924819728</v>
      </c>
      <c r="U2311" s="0" t="n">
        <f aca="false">Q2311+S2311</f>
        <v>49.5616700180272</v>
      </c>
      <c r="V2311" s="54" t="b">
        <f aca="false">AND(D2311&gt;=01_因子設定!$L$5-0.000000001,D2311&lt;=01_因子設定!$M$5+0.000000001,E2311&gt;=01_因子設定!$L$6-0.000000001,E2311&lt;=01_因子設定!$M$6+0.000000001,F2311&gt;=01_因子設定!$L$7-0.000000001,F2311&lt;=01_因子設定!$M$7+0.000000001,IF(01_因子設定!$B$20="Box-Behnken",D2311^2+E2311^2+F2311^2&lt;=2+0.000000001,TRUE()))</f>
        <v>1</v>
      </c>
      <c r="W2311" s="55" t="n">
        <f aca="false">IF(V2311,IF(01_因子設定!$B$13="最大化",T2311-01_因子設定!$B$14,IF(01_因子設定!$B$13="最小化",01_因子設定!$B$15-U2311,MIN(T2311-01_因子設定!$B$14,01_因子設定!$B$15-U2311))),-1E+030)</f>
        <v>-1.19760751802719</v>
      </c>
      <c r="X2311" s="55" t="n">
        <f aca="false">IF(V2311,IF(01_因子設定!$B$13="最大化",Q2311,IF(01_因子設定!$B$13="最小化",-Q2311,-ABS(Q2311-01_因子設定!$B$16))),-1E+030)</f>
        <v>48.43203125</v>
      </c>
      <c r="Y2311" s="55" t="n">
        <f aca="false">W2311+ROW()*0.000000001</f>
        <v>-1.19760520702719</v>
      </c>
      <c r="Z2311" s="55" t="n">
        <f aca="false">X2311+ROW()*0.000000001</f>
        <v>48.432033561</v>
      </c>
    </row>
    <row r="2312" customFormat="false" ht="15" hidden="false" customHeight="false" outlineLevel="0" collapsed="false">
      <c r="A2312" s="0" t="n">
        <v>7</v>
      </c>
      <c r="B2312" s="0" t="n">
        <v>16</v>
      </c>
      <c r="C2312" s="0" t="n">
        <v>12</v>
      </c>
      <c r="D2312" s="0" t="n">
        <f aca="false">-1+A2312*0.125</f>
        <v>-0.125</v>
      </c>
      <c r="E2312" s="0" t="n">
        <f aca="false">-1+B2312*0.125</f>
        <v>1</v>
      </c>
      <c r="F2312" s="0" t="n">
        <f aca="false">-1+C2312*0.125</f>
        <v>0.5</v>
      </c>
      <c r="G2312" s="0" t="n">
        <f aca="false">1</f>
        <v>1</v>
      </c>
      <c r="H2312" s="0" t="n">
        <f aca="false">D2312</f>
        <v>-0.125</v>
      </c>
      <c r="I2312" s="0" t="n">
        <f aca="false">E2312</f>
        <v>1</v>
      </c>
      <c r="J2312" s="0" t="n">
        <f aca="false">F2312</f>
        <v>0.5</v>
      </c>
      <c r="K2312" s="0" t="n">
        <f aca="false">D2312*E2312</f>
        <v>-0.125</v>
      </c>
      <c r="L2312" s="0" t="n">
        <f aca="false">D2312*F2312</f>
        <v>-0.0625</v>
      </c>
      <c r="M2312" s="0" t="n">
        <f aca="false">E2312*F2312</f>
        <v>0.5</v>
      </c>
      <c r="N2312" s="0" t="n">
        <f aca="false">D2312*D2312</f>
        <v>0.015625</v>
      </c>
      <c r="O2312" s="0" t="n">
        <f aca="false">E2312*E2312</f>
        <v>1</v>
      </c>
      <c r="P2312" s="0" t="n">
        <f aca="false">F2312*F2312</f>
        <v>0.25</v>
      </c>
      <c r="Q2312" s="0" t="n">
        <f aca="false">SUMPRODUCT(G2312:P2312,_XtX!$B$71:$K$71)</f>
        <v>48.5343607954546</v>
      </c>
      <c r="R2312" s="0" t="n">
        <f aca="false">SUMPRODUCT(MMULT(G2312:P2312,_XtX!$B$58:$K$67),G2312:P2312)</f>
        <v>0.476322798295455</v>
      </c>
      <c r="S2312" s="0" t="n">
        <f aca="false">04_回帰ANOVA!$K$19*04_回帰ANOVA!$K$14*SQRT(1+R2312)</f>
        <v>1.12968483630128</v>
      </c>
      <c r="T2312" s="0" t="n">
        <f aca="false">Q2312-S2312</f>
        <v>47.4046759591533</v>
      </c>
      <c r="U2312" s="0" t="n">
        <f aca="false">Q2312+S2312</f>
        <v>49.6640456317558</v>
      </c>
      <c r="V2312" s="54" t="b">
        <f aca="false">AND(D2312&gt;=01_因子設定!$L$5-0.000000001,D2312&lt;=01_因子設定!$M$5+0.000000001,E2312&gt;=01_因子設定!$L$6-0.000000001,E2312&lt;=01_因子設定!$M$6+0.000000001,F2312&gt;=01_因子設定!$L$7-0.000000001,F2312&lt;=01_因子設定!$M$7+0.000000001,IF(01_因子設定!$B$20="Box-Behnken",D2312^2+E2312^2+F2312^2&lt;=2+0.000000001,TRUE()))</f>
        <v>1</v>
      </c>
      <c r="W2312" s="55" t="n">
        <f aca="false">IF(V2312,IF(01_因子設定!$B$13="最大化",T2312-01_因子設定!$B$14,IF(01_因子設定!$B$13="最小化",01_因子設定!$B$15-U2312,MIN(T2312-01_因子設定!$B$14,01_因子設定!$B$15-U2312))),-1E+030)</f>
        <v>-1.09532404084672</v>
      </c>
      <c r="X2312" s="55" t="n">
        <f aca="false">IF(V2312,IF(01_因子設定!$B$13="最大化",Q2312,IF(01_因子設定!$B$13="最小化",-Q2312,-ABS(Q2312-01_因子設定!$B$16))),-1E+030)</f>
        <v>48.5343607954546</v>
      </c>
      <c r="Y2312" s="55" t="n">
        <f aca="false">W2312+ROW()*0.000000001</f>
        <v>-1.09532172884672</v>
      </c>
      <c r="Z2312" s="55" t="n">
        <f aca="false">X2312+ROW()*0.000000001</f>
        <v>48.5343631074546</v>
      </c>
    </row>
    <row r="2313" customFormat="false" ht="15" hidden="false" customHeight="false" outlineLevel="0" collapsed="false">
      <c r="A2313" s="0" t="n">
        <v>7</v>
      </c>
      <c r="B2313" s="0" t="n">
        <v>16</v>
      </c>
      <c r="C2313" s="0" t="n">
        <v>13</v>
      </c>
      <c r="D2313" s="0" t="n">
        <f aca="false">-1+A2313*0.125</f>
        <v>-0.125</v>
      </c>
      <c r="E2313" s="0" t="n">
        <f aca="false">-1+B2313*0.125</f>
        <v>1</v>
      </c>
      <c r="F2313" s="0" t="n">
        <f aca="false">-1+C2313*0.125</f>
        <v>0.625</v>
      </c>
      <c r="G2313" s="0" t="n">
        <f aca="false">1</f>
        <v>1</v>
      </c>
      <c r="H2313" s="0" t="n">
        <f aca="false">D2313</f>
        <v>-0.125</v>
      </c>
      <c r="I2313" s="0" t="n">
        <f aca="false">E2313</f>
        <v>1</v>
      </c>
      <c r="J2313" s="0" t="n">
        <f aca="false">F2313</f>
        <v>0.625</v>
      </c>
      <c r="K2313" s="0" t="n">
        <f aca="false">D2313*E2313</f>
        <v>-0.125</v>
      </c>
      <c r="L2313" s="0" t="n">
        <f aca="false">D2313*F2313</f>
        <v>-0.078125</v>
      </c>
      <c r="M2313" s="0" t="n">
        <f aca="false">E2313*F2313</f>
        <v>0.625</v>
      </c>
      <c r="N2313" s="0" t="n">
        <f aca="false">D2313*D2313</f>
        <v>0.015625</v>
      </c>
      <c r="O2313" s="0" t="n">
        <f aca="false">E2313*E2313</f>
        <v>1</v>
      </c>
      <c r="P2313" s="0" t="n">
        <f aca="false">F2313*F2313</f>
        <v>0.390625</v>
      </c>
      <c r="Q2313" s="0" t="n">
        <f aca="false">SUMPRODUCT(G2313:P2313,_XtX!$B$71:$K$71)</f>
        <v>48.5999005681818</v>
      </c>
      <c r="R2313" s="0" t="n">
        <f aca="false">SUMPRODUCT(MMULT(G2313:P2313,_XtX!$B$58:$K$67),G2313:P2313)</f>
        <v>0.489261696555398</v>
      </c>
      <c r="S2313" s="0" t="n">
        <f aca="false">04_回帰ANOVA!$K$19*04_回帰ANOVA!$K$14*SQRT(1+R2313)</f>
        <v>1.13462447083763</v>
      </c>
      <c r="T2313" s="0" t="n">
        <f aca="false">Q2313-S2313</f>
        <v>47.4652760973442</v>
      </c>
      <c r="U2313" s="0" t="n">
        <f aca="false">Q2313+S2313</f>
        <v>49.7345250390195</v>
      </c>
      <c r="V2313" s="54" t="b">
        <f aca="false">AND(D2313&gt;=01_因子設定!$L$5-0.000000001,D2313&lt;=01_因子設定!$M$5+0.000000001,E2313&gt;=01_因子設定!$L$6-0.000000001,E2313&lt;=01_因子設定!$M$6+0.000000001,F2313&gt;=01_因子設定!$L$7-0.000000001,F2313&lt;=01_因子設定!$M$7+0.000000001,IF(01_因子設定!$B$20="Box-Behnken",D2313^2+E2313^2+F2313^2&lt;=2+0.000000001,TRUE()))</f>
        <v>1</v>
      </c>
      <c r="W2313" s="55" t="n">
        <f aca="false">IF(V2313,IF(01_因子設定!$B$13="最大化",T2313-01_因子設定!$B$14,IF(01_因子設定!$B$13="最小化",01_因子設定!$B$15-U2313,MIN(T2313-01_因子設定!$B$14,01_因子設定!$B$15-U2313))),-1E+030)</f>
        <v>-1.0347239026558</v>
      </c>
      <c r="X2313" s="55" t="n">
        <f aca="false">IF(V2313,IF(01_因子設定!$B$13="最大化",Q2313,IF(01_因子設定!$B$13="最小化",-Q2313,-ABS(Q2313-01_因子設定!$B$16))),-1E+030)</f>
        <v>48.5999005681818</v>
      </c>
      <c r="Y2313" s="55" t="n">
        <f aca="false">W2313+ROW()*0.000000001</f>
        <v>-1.0347215896558</v>
      </c>
      <c r="Z2313" s="55" t="n">
        <f aca="false">X2313+ROW()*0.000000001</f>
        <v>48.5999028811818</v>
      </c>
    </row>
    <row r="2314" customFormat="false" ht="15" hidden="false" customHeight="false" outlineLevel="0" collapsed="false">
      <c r="A2314" s="0" t="n">
        <v>7</v>
      </c>
      <c r="B2314" s="0" t="n">
        <v>16</v>
      </c>
      <c r="C2314" s="0" t="n">
        <v>14</v>
      </c>
      <c r="D2314" s="0" t="n">
        <f aca="false">-1+A2314*0.125</f>
        <v>-0.125</v>
      </c>
      <c r="E2314" s="0" t="n">
        <f aca="false">-1+B2314*0.125</f>
        <v>1</v>
      </c>
      <c r="F2314" s="0" t="n">
        <f aca="false">-1+C2314*0.125</f>
        <v>0.75</v>
      </c>
      <c r="G2314" s="0" t="n">
        <f aca="false">1</f>
        <v>1</v>
      </c>
      <c r="H2314" s="0" t="n">
        <f aca="false">D2314</f>
        <v>-0.125</v>
      </c>
      <c r="I2314" s="0" t="n">
        <f aca="false">E2314</f>
        <v>1</v>
      </c>
      <c r="J2314" s="0" t="n">
        <f aca="false">F2314</f>
        <v>0.75</v>
      </c>
      <c r="K2314" s="0" t="n">
        <f aca="false">D2314*E2314</f>
        <v>-0.125</v>
      </c>
      <c r="L2314" s="0" t="n">
        <f aca="false">D2314*F2314</f>
        <v>-0.09375</v>
      </c>
      <c r="M2314" s="0" t="n">
        <f aca="false">E2314*F2314</f>
        <v>0.75</v>
      </c>
      <c r="N2314" s="0" t="n">
        <f aca="false">D2314*D2314</f>
        <v>0.015625</v>
      </c>
      <c r="O2314" s="0" t="n">
        <f aca="false">E2314*E2314</f>
        <v>1</v>
      </c>
      <c r="P2314" s="0" t="n">
        <f aca="false">F2314*F2314</f>
        <v>0.5625</v>
      </c>
      <c r="Q2314" s="0" t="n">
        <f aca="false">SUMPRODUCT(G2314:P2314,_XtX!$B$71:$K$71)</f>
        <v>48.6286505681818</v>
      </c>
      <c r="R2314" s="0" t="n">
        <f aca="false">SUMPRODUCT(MMULT(G2314:P2314,_XtX!$B$58:$K$67),G2314:P2314)</f>
        <v>0.524607155539773</v>
      </c>
      <c r="S2314" s="0" t="n">
        <f aca="false">04_回帰ANOVA!$K$19*04_回帰ANOVA!$K$14*SQRT(1+R2314)</f>
        <v>1.14800984623412</v>
      </c>
      <c r="T2314" s="0" t="n">
        <f aca="false">Q2314-S2314</f>
        <v>47.4806407219477</v>
      </c>
      <c r="U2314" s="0" t="n">
        <f aca="false">Q2314+S2314</f>
        <v>49.776660414416</v>
      </c>
      <c r="V2314" s="54" t="b">
        <f aca="false">AND(D2314&gt;=01_因子設定!$L$5-0.000000001,D2314&lt;=01_因子設定!$M$5+0.000000001,E2314&gt;=01_因子設定!$L$6-0.000000001,E2314&lt;=01_因子設定!$M$6+0.000000001,F2314&gt;=01_因子設定!$L$7-0.000000001,F2314&lt;=01_因子設定!$M$7+0.000000001,IF(01_因子設定!$B$20="Box-Behnken",D2314^2+E2314^2+F2314^2&lt;=2+0.000000001,TRUE()))</f>
        <v>1</v>
      </c>
      <c r="W2314" s="55" t="n">
        <f aca="false">IF(V2314,IF(01_因子設定!$B$13="最大化",T2314-01_因子設定!$B$14,IF(01_因子設定!$B$13="最小化",01_因子設定!$B$15-U2314,MIN(T2314-01_因子設定!$B$14,01_因子設定!$B$15-U2314))),-1E+030)</f>
        <v>-1.01935927805228</v>
      </c>
      <c r="X2314" s="55" t="n">
        <f aca="false">IF(V2314,IF(01_因子設定!$B$13="最大化",Q2314,IF(01_因子設定!$B$13="最小化",-Q2314,-ABS(Q2314-01_因子設定!$B$16))),-1E+030)</f>
        <v>48.6286505681818</v>
      </c>
      <c r="Y2314" s="55" t="n">
        <f aca="false">W2314+ROW()*0.000000001</f>
        <v>-1.01935696405228</v>
      </c>
      <c r="Z2314" s="55" t="n">
        <f aca="false">X2314+ROW()*0.000000001</f>
        <v>48.6286528821818</v>
      </c>
    </row>
    <row r="2315" customFormat="false" ht="15" hidden="false" customHeight="false" outlineLevel="0" collapsed="false">
      <c r="A2315" s="0" t="n">
        <v>7</v>
      </c>
      <c r="B2315" s="0" t="n">
        <v>16</v>
      </c>
      <c r="C2315" s="0" t="n">
        <v>15</v>
      </c>
      <c r="D2315" s="0" t="n">
        <f aca="false">-1+A2315*0.125</f>
        <v>-0.125</v>
      </c>
      <c r="E2315" s="0" t="n">
        <f aca="false">-1+B2315*0.125</f>
        <v>1</v>
      </c>
      <c r="F2315" s="0" t="n">
        <f aca="false">-1+C2315*0.125</f>
        <v>0.875</v>
      </c>
      <c r="G2315" s="0" t="n">
        <f aca="false">1</f>
        <v>1</v>
      </c>
      <c r="H2315" s="0" t="n">
        <f aca="false">D2315</f>
        <v>-0.125</v>
      </c>
      <c r="I2315" s="0" t="n">
        <f aca="false">E2315</f>
        <v>1</v>
      </c>
      <c r="J2315" s="0" t="n">
        <f aca="false">F2315</f>
        <v>0.875</v>
      </c>
      <c r="K2315" s="0" t="n">
        <f aca="false">D2315*E2315</f>
        <v>-0.125</v>
      </c>
      <c r="L2315" s="0" t="n">
        <f aca="false">D2315*F2315</f>
        <v>-0.109375</v>
      </c>
      <c r="M2315" s="0" t="n">
        <f aca="false">E2315*F2315</f>
        <v>0.875</v>
      </c>
      <c r="N2315" s="0" t="n">
        <f aca="false">D2315*D2315</f>
        <v>0.015625</v>
      </c>
      <c r="O2315" s="0" t="n">
        <f aca="false">E2315*E2315</f>
        <v>1</v>
      </c>
      <c r="P2315" s="0" t="n">
        <f aca="false">F2315*F2315</f>
        <v>0.765625</v>
      </c>
      <c r="Q2315" s="0" t="n">
        <f aca="false">SUMPRODUCT(G2315:P2315,_XtX!$B$71:$K$71)</f>
        <v>48.6206107954546</v>
      </c>
      <c r="R2315" s="0" t="n">
        <f aca="false">SUMPRODUCT(MMULT(G2315:P2315,_XtX!$B$58:$K$67),G2315:P2315)</f>
        <v>0.59407792524858</v>
      </c>
      <c r="S2315" s="0" t="n">
        <f aca="false">04_回帰ANOVA!$K$19*04_回帰ANOVA!$K$14*SQRT(1+R2315)</f>
        <v>1.17387380087722</v>
      </c>
      <c r="T2315" s="0" t="n">
        <f aca="false">Q2315-S2315</f>
        <v>47.4467369945774</v>
      </c>
      <c r="U2315" s="0" t="n">
        <f aca="false">Q2315+S2315</f>
        <v>49.7944845963318</v>
      </c>
      <c r="V2315" s="54" t="b">
        <f aca="false">AND(D2315&gt;=01_因子設定!$L$5-0.000000001,D2315&lt;=01_因子設定!$M$5+0.000000001,E2315&gt;=01_因子設定!$L$6-0.000000001,E2315&lt;=01_因子設定!$M$6+0.000000001,F2315&gt;=01_因子設定!$L$7-0.000000001,F2315&lt;=01_因子設定!$M$7+0.000000001,IF(01_因子設定!$B$20="Box-Behnken",D2315^2+E2315^2+F2315^2&lt;=2+0.000000001,TRUE()))</f>
        <v>1</v>
      </c>
      <c r="W2315" s="55" t="n">
        <f aca="false">IF(V2315,IF(01_因子設定!$B$13="最大化",T2315-01_因子設定!$B$14,IF(01_因子設定!$B$13="最小化",01_因子設定!$B$15-U2315,MIN(T2315-01_因子設定!$B$14,01_因子設定!$B$15-U2315))),-1E+030)</f>
        <v>-1.05326300542264</v>
      </c>
      <c r="X2315" s="55" t="n">
        <f aca="false">IF(V2315,IF(01_因子設定!$B$13="最大化",Q2315,IF(01_因子設定!$B$13="最小化",-Q2315,-ABS(Q2315-01_因子設定!$B$16))),-1E+030)</f>
        <v>48.6206107954546</v>
      </c>
      <c r="Y2315" s="55" t="n">
        <f aca="false">W2315+ROW()*0.000000001</f>
        <v>-1.05326069042264</v>
      </c>
      <c r="Z2315" s="55" t="n">
        <f aca="false">X2315+ROW()*0.000000001</f>
        <v>48.6206131104546</v>
      </c>
    </row>
    <row r="2316" customFormat="false" ht="15" hidden="false" customHeight="false" outlineLevel="0" collapsed="false">
      <c r="A2316" s="0" t="n">
        <v>7</v>
      </c>
      <c r="B2316" s="0" t="n">
        <v>16</v>
      </c>
      <c r="C2316" s="0" t="n">
        <v>16</v>
      </c>
      <c r="D2316" s="0" t="n">
        <f aca="false">-1+A2316*0.125</f>
        <v>-0.125</v>
      </c>
      <c r="E2316" s="0" t="n">
        <f aca="false">-1+B2316*0.125</f>
        <v>1</v>
      </c>
      <c r="F2316" s="0" t="n">
        <f aca="false">-1+C2316*0.125</f>
        <v>1</v>
      </c>
      <c r="G2316" s="0" t="n">
        <f aca="false">1</f>
        <v>1</v>
      </c>
      <c r="H2316" s="0" t="n">
        <f aca="false">D2316</f>
        <v>-0.125</v>
      </c>
      <c r="I2316" s="0" t="n">
        <f aca="false">E2316</f>
        <v>1</v>
      </c>
      <c r="J2316" s="0" t="n">
        <f aca="false">F2316</f>
        <v>1</v>
      </c>
      <c r="K2316" s="0" t="n">
        <f aca="false">D2316*E2316</f>
        <v>-0.125</v>
      </c>
      <c r="L2316" s="0" t="n">
        <f aca="false">D2316*F2316</f>
        <v>-0.125</v>
      </c>
      <c r="M2316" s="0" t="n">
        <f aca="false">E2316*F2316</f>
        <v>1</v>
      </c>
      <c r="N2316" s="0" t="n">
        <f aca="false">D2316*D2316</f>
        <v>0.015625</v>
      </c>
      <c r="O2316" s="0" t="n">
        <f aca="false">E2316*E2316</f>
        <v>1</v>
      </c>
      <c r="P2316" s="0" t="n">
        <f aca="false">F2316*F2316</f>
        <v>1</v>
      </c>
      <c r="Q2316" s="0" t="n">
        <f aca="false">SUMPRODUCT(G2316:P2316,_XtX!$B$71:$K$71)</f>
        <v>48.57578125</v>
      </c>
      <c r="R2316" s="0" t="n">
        <f aca="false">SUMPRODUCT(MMULT(G2316:P2316,_XtX!$B$58:$K$67),G2316:P2316)</f>
        <v>0.7115234375</v>
      </c>
      <c r="S2316" s="0" t="n">
        <f aca="false">04_回帰ANOVA!$K$19*04_回帰ANOVA!$K$14*SQRT(1+R2316)</f>
        <v>1.21634860506574</v>
      </c>
      <c r="T2316" s="0" t="n">
        <f aca="false">Q2316-S2316</f>
        <v>47.3594326449343</v>
      </c>
      <c r="U2316" s="0" t="n">
        <f aca="false">Q2316+S2316</f>
        <v>49.7921298550658</v>
      </c>
      <c r="V2316" s="54" t="b">
        <f aca="false">AND(D2316&gt;=01_因子設定!$L$5-0.000000001,D2316&lt;=01_因子設定!$M$5+0.000000001,E2316&gt;=01_因子設定!$L$6-0.000000001,E2316&lt;=01_因子設定!$M$6+0.000000001,F2316&gt;=01_因子設定!$L$7-0.000000001,F2316&lt;=01_因子設定!$M$7+0.000000001,IF(01_因子設定!$B$20="Box-Behnken",D2316^2+E2316^2+F2316^2&lt;=2+0.000000001,TRUE()))</f>
        <v>1</v>
      </c>
      <c r="W2316" s="55" t="n">
        <f aca="false">IF(V2316,IF(01_因子設定!$B$13="最大化",T2316-01_因子設定!$B$14,IF(01_因子設定!$B$13="最小化",01_因子設定!$B$15-U2316,MIN(T2316-01_因子設定!$B$14,01_因子設定!$B$15-U2316))),-1E+030)</f>
        <v>-1.1405673550657</v>
      </c>
      <c r="X2316" s="55" t="n">
        <f aca="false">IF(V2316,IF(01_因子設定!$B$13="最大化",Q2316,IF(01_因子設定!$B$13="最小化",-Q2316,-ABS(Q2316-01_因子設定!$B$16))),-1E+030)</f>
        <v>48.57578125</v>
      </c>
      <c r="Y2316" s="55" t="n">
        <f aca="false">W2316+ROW()*0.000000001</f>
        <v>-1.1405650390657</v>
      </c>
      <c r="Z2316" s="55" t="n">
        <f aca="false">X2316+ROW()*0.000000001</f>
        <v>48.575783566</v>
      </c>
    </row>
    <row r="2317" customFormat="false" ht="15" hidden="false" customHeight="false" outlineLevel="0" collapsed="false">
      <c r="A2317" s="0" t="n">
        <v>8</v>
      </c>
      <c r="B2317" s="0" t="n">
        <v>0</v>
      </c>
      <c r="C2317" s="0" t="n">
        <v>0</v>
      </c>
      <c r="D2317" s="0" t="n">
        <f aca="false">-1+A2317*0.125</f>
        <v>0</v>
      </c>
      <c r="E2317" s="0" t="n">
        <f aca="false">-1+B2317*0.125</f>
        <v>-1</v>
      </c>
      <c r="F2317" s="0" t="n">
        <f aca="false">-1+C2317*0.125</f>
        <v>-1</v>
      </c>
      <c r="G2317" s="0" t="n">
        <f aca="false">1</f>
        <v>1</v>
      </c>
      <c r="H2317" s="0" t="n">
        <f aca="false">D2317</f>
        <v>0</v>
      </c>
      <c r="I2317" s="0" t="n">
        <f aca="false">E2317</f>
        <v>-1</v>
      </c>
      <c r="J2317" s="0" t="n">
        <f aca="false">F2317</f>
        <v>-1</v>
      </c>
      <c r="K2317" s="0" t="n">
        <f aca="false">D2317*E2317</f>
        <v>-0</v>
      </c>
      <c r="L2317" s="0" t="n">
        <f aca="false">D2317*F2317</f>
        <v>-0</v>
      </c>
      <c r="M2317" s="0" t="n">
        <f aca="false">E2317*F2317</f>
        <v>1</v>
      </c>
      <c r="N2317" s="0" t="n">
        <f aca="false">D2317*D2317</f>
        <v>0</v>
      </c>
      <c r="O2317" s="0" t="n">
        <f aca="false">E2317*E2317</f>
        <v>1</v>
      </c>
      <c r="P2317" s="0" t="n">
        <f aca="false">F2317*F2317</f>
        <v>1</v>
      </c>
      <c r="Q2317" s="0" t="n">
        <f aca="false">SUMPRODUCT(G2317:P2317,_XtX!$B$71:$K$71)</f>
        <v>42.1763636363637</v>
      </c>
      <c r="R2317" s="0" t="n">
        <f aca="false">SUMPRODUCT(MMULT(G2317:P2317,_XtX!$B$58:$K$67),G2317:P2317)</f>
        <v>0.715909090909091</v>
      </c>
      <c r="S2317" s="0" t="n">
        <f aca="false">04_回帰ANOVA!$K$19*04_回帰ANOVA!$K$14*SQRT(1+R2317)</f>
        <v>1.21790601011063</v>
      </c>
      <c r="T2317" s="0" t="n">
        <f aca="false">Q2317-S2317</f>
        <v>40.958457626253</v>
      </c>
      <c r="U2317" s="0" t="n">
        <f aca="false">Q2317+S2317</f>
        <v>43.3942696464743</v>
      </c>
      <c r="V2317" s="54" t="b">
        <f aca="false">AND(D2317&gt;=01_因子設定!$L$5-0.000000001,D2317&lt;=01_因子設定!$M$5+0.000000001,E2317&gt;=01_因子設定!$L$6-0.000000001,E2317&lt;=01_因子設定!$M$6+0.000000001,F2317&gt;=01_因子設定!$L$7-0.000000001,F2317&lt;=01_因子設定!$M$7+0.000000001,IF(01_因子設定!$B$20="Box-Behnken",D2317^2+E2317^2+F2317^2&lt;=2+0.000000001,TRUE()))</f>
        <v>1</v>
      </c>
      <c r="W2317" s="55" t="n">
        <f aca="false">IF(V2317,IF(01_因子設定!$B$13="最大化",T2317-01_因子設定!$B$14,IF(01_因子設定!$B$13="最小化",01_因子設定!$B$15-U2317,MIN(T2317-01_因子設定!$B$14,01_因子設定!$B$15-U2317))),-1E+030)</f>
        <v>-7.54154237374696</v>
      </c>
      <c r="X2317" s="55" t="n">
        <f aca="false">IF(V2317,IF(01_因子設定!$B$13="最大化",Q2317,IF(01_因子設定!$B$13="最小化",-Q2317,-ABS(Q2317-01_因子設定!$B$16))),-1E+030)</f>
        <v>42.1763636363637</v>
      </c>
      <c r="Y2317" s="55" t="n">
        <f aca="false">W2317+ROW()*0.000000001</f>
        <v>-7.54154005674696</v>
      </c>
      <c r="Z2317" s="55" t="n">
        <f aca="false">X2317+ROW()*0.000000001</f>
        <v>42.1763659533637</v>
      </c>
    </row>
    <row r="2318" customFormat="false" ht="15" hidden="false" customHeight="false" outlineLevel="0" collapsed="false">
      <c r="A2318" s="0" t="n">
        <v>8</v>
      </c>
      <c r="B2318" s="0" t="n">
        <v>0</v>
      </c>
      <c r="C2318" s="0" t="n">
        <v>1</v>
      </c>
      <c r="D2318" s="0" t="n">
        <f aca="false">-1+A2318*0.125</f>
        <v>0</v>
      </c>
      <c r="E2318" s="0" t="n">
        <f aca="false">-1+B2318*0.125</f>
        <v>-1</v>
      </c>
      <c r="F2318" s="0" t="n">
        <f aca="false">-1+C2318*0.125</f>
        <v>-0.875</v>
      </c>
      <c r="G2318" s="0" t="n">
        <f aca="false">1</f>
        <v>1</v>
      </c>
      <c r="H2318" s="0" t="n">
        <f aca="false">D2318</f>
        <v>0</v>
      </c>
      <c r="I2318" s="0" t="n">
        <f aca="false">E2318</f>
        <v>-1</v>
      </c>
      <c r="J2318" s="0" t="n">
        <f aca="false">F2318</f>
        <v>-0.875</v>
      </c>
      <c r="K2318" s="0" t="n">
        <f aca="false">D2318*E2318</f>
        <v>-0</v>
      </c>
      <c r="L2318" s="0" t="n">
        <f aca="false">D2318*F2318</f>
        <v>-0</v>
      </c>
      <c r="M2318" s="0" t="n">
        <f aca="false">E2318*F2318</f>
        <v>0.875</v>
      </c>
      <c r="N2318" s="0" t="n">
        <f aca="false">D2318*D2318</f>
        <v>0</v>
      </c>
      <c r="O2318" s="0" t="n">
        <f aca="false">E2318*E2318</f>
        <v>1</v>
      </c>
      <c r="P2318" s="0" t="n">
        <f aca="false">F2318*F2318</f>
        <v>0.765625</v>
      </c>
      <c r="Q2318" s="0" t="n">
        <f aca="false">SUMPRODUCT(G2318:P2318,_XtX!$B$71:$K$71)</f>
        <v>42.5685369318182</v>
      </c>
      <c r="R2318" s="0" t="n">
        <f aca="false">SUMPRODUCT(MMULT(G2318:P2318,_XtX!$B$58:$K$67),G2318:P2318)</f>
        <v>0.597922585227273</v>
      </c>
      <c r="S2318" s="0" t="n">
        <f aca="false">04_回帰ANOVA!$K$19*04_回帰ANOVA!$K$14*SQRT(1+R2318)</f>
        <v>1.17528854591003</v>
      </c>
      <c r="T2318" s="0" t="n">
        <f aca="false">Q2318-S2318</f>
        <v>41.3932483859082</v>
      </c>
      <c r="U2318" s="0" t="n">
        <f aca="false">Q2318+S2318</f>
        <v>43.7438254777282</v>
      </c>
      <c r="V2318" s="54" t="b">
        <f aca="false">AND(D2318&gt;=01_因子設定!$L$5-0.000000001,D2318&lt;=01_因子設定!$M$5+0.000000001,E2318&gt;=01_因子設定!$L$6-0.000000001,E2318&lt;=01_因子設定!$M$6+0.000000001,F2318&gt;=01_因子設定!$L$7-0.000000001,F2318&lt;=01_因子設定!$M$7+0.000000001,IF(01_因子設定!$B$20="Box-Behnken",D2318^2+E2318^2+F2318^2&lt;=2+0.000000001,TRUE()))</f>
        <v>1</v>
      </c>
      <c r="W2318" s="55" t="n">
        <f aca="false">IF(V2318,IF(01_因子設定!$B$13="最大化",T2318-01_因子設定!$B$14,IF(01_因子設定!$B$13="最小化",01_因子設定!$B$15-U2318,MIN(T2318-01_因子設定!$B$14,01_因子設定!$B$15-U2318))),-1E+030)</f>
        <v>-7.10675161409182</v>
      </c>
      <c r="X2318" s="55" t="n">
        <f aca="false">IF(V2318,IF(01_因子設定!$B$13="最大化",Q2318,IF(01_因子設定!$B$13="最小化",-Q2318,-ABS(Q2318-01_因子設定!$B$16))),-1E+030)</f>
        <v>42.5685369318182</v>
      </c>
      <c r="Y2318" s="55" t="n">
        <f aca="false">W2318+ROW()*0.000000001</f>
        <v>-7.10674929609182</v>
      </c>
      <c r="Z2318" s="55" t="n">
        <f aca="false">X2318+ROW()*0.000000001</f>
        <v>42.5685392498182</v>
      </c>
    </row>
    <row r="2319" customFormat="false" ht="15" hidden="false" customHeight="false" outlineLevel="0" collapsed="false">
      <c r="A2319" s="0" t="n">
        <v>8</v>
      </c>
      <c r="B2319" s="0" t="n">
        <v>0</v>
      </c>
      <c r="C2319" s="0" t="n">
        <v>2</v>
      </c>
      <c r="D2319" s="0" t="n">
        <f aca="false">-1+A2319*0.125</f>
        <v>0</v>
      </c>
      <c r="E2319" s="0" t="n">
        <f aca="false">-1+B2319*0.125</f>
        <v>-1</v>
      </c>
      <c r="F2319" s="0" t="n">
        <f aca="false">-1+C2319*0.125</f>
        <v>-0.75</v>
      </c>
      <c r="G2319" s="0" t="n">
        <f aca="false">1</f>
        <v>1</v>
      </c>
      <c r="H2319" s="0" t="n">
        <f aca="false">D2319</f>
        <v>0</v>
      </c>
      <c r="I2319" s="0" t="n">
        <f aca="false">E2319</f>
        <v>-1</v>
      </c>
      <c r="J2319" s="0" t="n">
        <f aca="false">F2319</f>
        <v>-0.75</v>
      </c>
      <c r="K2319" s="0" t="n">
        <f aca="false">D2319*E2319</f>
        <v>-0</v>
      </c>
      <c r="L2319" s="0" t="n">
        <f aca="false">D2319*F2319</f>
        <v>-0</v>
      </c>
      <c r="M2319" s="0" t="n">
        <f aca="false">E2319*F2319</f>
        <v>0.75</v>
      </c>
      <c r="N2319" s="0" t="n">
        <f aca="false">D2319*D2319</f>
        <v>0</v>
      </c>
      <c r="O2319" s="0" t="n">
        <f aca="false">E2319*E2319</f>
        <v>1</v>
      </c>
      <c r="P2319" s="0" t="n">
        <f aca="false">F2319*F2319</f>
        <v>0.5625</v>
      </c>
      <c r="Q2319" s="0" t="n">
        <f aca="false">SUMPRODUCT(G2319:P2319,_XtX!$B$71:$K$71)</f>
        <v>42.9239204545455</v>
      </c>
      <c r="R2319" s="0" t="n">
        <f aca="false">SUMPRODUCT(MMULT(G2319:P2319,_XtX!$B$58:$K$67),G2319:P2319)</f>
        <v>0.527982954545455</v>
      </c>
      <c r="S2319" s="0" t="n">
        <f aca="false">04_回帰ANOVA!$K$19*04_回帰ANOVA!$K$14*SQRT(1+R2319)</f>
        <v>1.14928011037747</v>
      </c>
      <c r="T2319" s="0" t="n">
        <f aca="false">Q2319-S2319</f>
        <v>41.774640344168</v>
      </c>
      <c r="U2319" s="0" t="n">
        <f aca="false">Q2319+S2319</f>
        <v>44.073200564923</v>
      </c>
      <c r="V2319" s="54" t="b">
        <f aca="false">AND(D2319&gt;=01_因子設定!$L$5-0.000000001,D2319&lt;=01_因子設定!$M$5+0.000000001,E2319&gt;=01_因子設定!$L$6-0.000000001,E2319&lt;=01_因子設定!$M$6+0.000000001,F2319&gt;=01_因子設定!$L$7-0.000000001,F2319&lt;=01_因子設定!$M$7+0.000000001,IF(01_因子設定!$B$20="Box-Behnken",D2319^2+E2319^2+F2319^2&lt;=2+0.000000001,TRUE()))</f>
        <v>1</v>
      </c>
      <c r="W2319" s="55" t="n">
        <f aca="false">IF(V2319,IF(01_因子設定!$B$13="最大化",T2319-01_因子設定!$B$14,IF(01_因子設定!$B$13="最小化",01_因子設定!$B$15-U2319,MIN(T2319-01_因子設定!$B$14,01_因子設定!$B$15-U2319))),-1E+030)</f>
        <v>-6.72535965583199</v>
      </c>
      <c r="X2319" s="55" t="n">
        <f aca="false">IF(V2319,IF(01_因子設定!$B$13="最大化",Q2319,IF(01_因子設定!$B$13="最小化",-Q2319,-ABS(Q2319-01_因子設定!$B$16))),-1E+030)</f>
        <v>42.9239204545455</v>
      </c>
      <c r="Y2319" s="55" t="n">
        <f aca="false">W2319+ROW()*0.000000001</f>
        <v>-6.72535733683199</v>
      </c>
      <c r="Z2319" s="55" t="n">
        <f aca="false">X2319+ROW()*0.000000001</f>
        <v>42.9239227735455</v>
      </c>
    </row>
    <row r="2320" customFormat="false" ht="15" hidden="false" customHeight="false" outlineLevel="0" collapsed="false">
      <c r="A2320" s="0" t="n">
        <v>8</v>
      </c>
      <c r="B2320" s="0" t="n">
        <v>0</v>
      </c>
      <c r="C2320" s="0" t="n">
        <v>3</v>
      </c>
      <c r="D2320" s="0" t="n">
        <f aca="false">-1+A2320*0.125</f>
        <v>0</v>
      </c>
      <c r="E2320" s="0" t="n">
        <f aca="false">-1+B2320*0.125</f>
        <v>-1</v>
      </c>
      <c r="F2320" s="0" t="n">
        <f aca="false">-1+C2320*0.125</f>
        <v>-0.625</v>
      </c>
      <c r="G2320" s="0" t="n">
        <f aca="false">1</f>
        <v>1</v>
      </c>
      <c r="H2320" s="0" t="n">
        <f aca="false">D2320</f>
        <v>0</v>
      </c>
      <c r="I2320" s="0" t="n">
        <f aca="false">E2320</f>
        <v>-1</v>
      </c>
      <c r="J2320" s="0" t="n">
        <f aca="false">F2320</f>
        <v>-0.625</v>
      </c>
      <c r="K2320" s="0" t="n">
        <f aca="false">D2320*E2320</f>
        <v>-0</v>
      </c>
      <c r="L2320" s="0" t="n">
        <f aca="false">D2320*F2320</f>
        <v>-0</v>
      </c>
      <c r="M2320" s="0" t="n">
        <f aca="false">E2320*F2320</f>
        <v>0.625</v>
      </c>
      <c r="N2320" s="0" t="n">
        <f aca="false">D2320*D2320</f>
        <v>0</v>
      </c>
      <c r="O2320" s="0" t="n">
        <f aca="false">E2320*E2320</f>
        <v>1</v>
      </c>
      <c r="P2320" s="0" t="n">
        <f aca="false">F2320*F2320</f>
        <v>0.390625</v>
      </c>
      <c r="Q2320" s="0" t="n">
        <f aca="false">SUMPRODUCT(G2320:P2320,_XtX!$B$71:$K$71)</f>
        <v>43.2425142045455</v>
      </c>
      <c r="R2320" s="0" t="n">
        <f aca="false">SUMPRODUCT(MMULT(G2320:P2320,_XtX!$B$58:$K$67),G2320:P2320)</f>
        <v>0.492240767045455</v>
      </c>
      <c r="S2320" s="0" t="n">
        <f aca="false">04_回帰ANOVA!$K$19*04_回帰ANOVA!$K$14*SQRT(1+R2320)</f>
        <v>1.13575873676322</v>
      </c>
      <c r="T2320" s="0" t="n">
        <f aca="false">Q2320-S2320</f>
        <v>42.1067554677823</v>
      </c>
      <c r="U2320" s="0" t="n">
        <f aca="false">Q2320+S2320</f>
        <v>44.3782729413087</v>
      </c>
      <c r="V2320" s="54" t="b">
        <f aca="false">AND(D2320&gt;=01_因子設定!$L$5-0.000000001,D2320&lt;=01_因子設定!$M$5+0.000000001,E2320&gt;=01_因子設定!$L$6-0.000000001,E2320&lt;=01_因子設定!$M$6+0.000000001,F2320&gt;=01_因子設定!$L$7-0.000000001,F2320&lt;=01_因子設定!$M$7+0.000000001,IF(01_因子設定!$B$20="Box-Behnken",D2320^2+E2320^2+F2320^2&lt;=2+0.000000001,TRUE()))</f>
        <v>1</v>
      </c>
      <c r="W2320" s="55" t="n">
        <f aca="false">IF(V2320,IF(01_因子設定!$B$13="最大化",T2320-01_因子設定!$B$14,IF(01_因子設定!$B$13="最小化",01_因子設定!$B$15-U2320,MIN(T2320-01_因子設定!$B$14,01_因子設定!$B$15-U2320))),-1E+030)</f>
        <v>-6.39324453221775</v>
      </c>
      <c r="X2320" s="55" t="n">
        <f aca="false">IF(V2320,IF(01_因子設定!$B$13="最大化",Q2320,IF(01_因子設定!$B$13="最小化",-Q2320,-ABS(Q2320-01_因子設定!$B$16))),-1E+030)</f>
        <v>43.2425142045455</v>
      </c>
      <c r="Y2320" s="55" t="n">
        <f aca="false">W2320+ROW()*0.000000001</f>
        <v>-6.39324221221775</v>
      </c>
      <c r="Z2320" s="55" t="n">
        <f aca="false">X2320+ROW()*0.000000001</f>
        <v>43.2425165245455</v>
      </c>
    </row>
    <row r="2321" customFormat="false" ht="15" hidden="false" customHeight="false" outlineLevel="0" collapsed="false">
      <c r="A2321" s="0" t="n">
        <v>8</v>
      </c>
      <c r="B2321" s="0" t="n">
        <v>0</v>
      </c>
      <c r="C2321" s="0" t="n">
        <v>4</v>
      </c>
      <c r="D2321" s="0" t="n">
        <f aca="false">-1+A2321*0.125</f>
        <v>0</v>
      </c>
      <c r="E2321" s="0" t="n">
        <f aca="false">-1+B2321*0.125</f>
        <v>-1</v>
      </c>
      <c r="F2321" s="0" t="n">
        <f aca="false">-1+C2321*0.125</f>
        <v>-0.5</v>
      </c>
      <c r="G2321" s="0" t="n">
        <f aca="false">1</f>
        <v>1</v>
      </c>
      <c r="H2321" s="0" t="n">
        <f aca="false">D2321</f>
        <v>0</v>
      </c>
      <c r="I2321" s="0" t="n">
        <f aca="false">E2321</f>
        <v>-1</v>
      </c>
      <c r="J2321" s="0" t="n">
        <f aca="false">F2321</f>
        <v>-0.5</v>
      </c>
      <c r="K2321" s="0" t="n">
        <f aca="false">D2321*E2321</f>
        <v>-0</v>
      </c>
      <c r="L2321" s="0" t="n">
        <f aca="false">D2321*F2321</f>
        <v>-0</v>
      </c>
      <c r="M2321" s="0" t="n">
        <f aca="false">E2321*F2321</f>
        <v>0.5</v>
      </c>
      <c r="N2321" s="0" t="n">
        <f aca="false">D2321*D2321</f>
        <v>0</v>
      </c>
      <c r="O2321" s="0" t="n">
        <f aca="false">E2321*E2321</f>
        <v>1</v>
      </c>
      <c r="P2321" s="0" t="n">
        <f aca="false">F2321*F2321</f>
        <v>0.25</v>
      </c>
      <c r="Q2321" s="0" t="n">
        <f aca="false">SUMPRODUCT(G2321:P2321,_XtX!$B$71:$K$71)</f>
        <v>43.5243181818182</v>
      </c>
      <c r="R2321" s="0" t="n">
        <f aca="false">SUMPRODUCT(MMULT(G2321:P2321,_XtX!$B$58:$K$67),G2321:P2321)</f>
        <v>0.478977272727273</v>
      </c>
      <c r="S2321" s="0" t="n">
        <f aca="false">04_回帰ANOVA!$K$19*04_回帰ANOVA!$K$14*SQRT(1+R2321)</f>
        <v>1.13069998447216</v>
      </c>
      <c r="T2321" s="0" t="n">
        <f aca="false">Q2321-S2321</f>
        <v>42.393618197346</v>
      </c>
      <c r="U2321" s="0" t="n">
        <f aca="false">Q2321+S2321</f>
        <v>44.6550181662904</v>
      </c>
      <c r="V2321" s="54" t="b">
        <f aca="false">AND(D2321&gt;=01_因子設定!$L$5-0.000000001,D2321&lt;=01_因子設定!$M$5+0.000000001,E2321&gt;=01_因子設定!$L$6-0.000000001,E2321&lt;=01_因子設定!$M$6+0.000000001,F2321&gt;=01_因子設定!$L$7-0.000000001,F2321&lt;=01_因子設定!$M$7+0.000000001,IF(01_因子設定!$B$20="Box-Behnken",D2321^2+E2321^2+F2321^2&lt;=2+0.000000001,TRUE()))</f>
        <v>1</v>
      </c>
      <c r="W2321" s="55" t="n">
        <f aca="false">IF(V2321,IF(01_因子設定!$B$13="最大化",T2321-01_因子設定!$B$14,IF(01_因子設定!$B$13="最小化",01_因子設定!$B$15-U2321,MIN(T2321-01_因子設定!$B$14,01_因子設定!$B$15-U2321))),-1E+030)</f>
        <v>-6.10638180265396</v>
      </c>
      <c r="X2321" s="55" t="n">
        <f aca="false">IF(V2321,IF(01_因子設定!$B$13="最大化",Q2321,IF(01_因子設定!$B$13="最小化",-Q2321,-ABS(Q2321-01_因子設定!$B$16))),-1E+030)</f>
        <v>43.5243181818182</v>
      </c>
      <c r="Y2321" s="55" t="n">
        <f aca="false">W2321+ROW()*0.000000001</f>
        <v>-6.10637948165396</v>
      </c>
      <c r="Z2321" s="55" t="n">
        <f aca="false">X2321+ROW()*0.000000001</f>
        <v>43.5243205028182</v>
      </c>
    </row>
    <row r="2322" customFormat="false" ht="15" hidden="false" customHeight="false" outlineLevel="0" collapsed="false">
      <c r="A2322" s="0" t="n">
        <v>8</v>
      </c>
      <c r="B2322" s="0" t="n">
        <v>0</v>
      </c>
      <c r="C2322" s="0" t="n">
        <v>5</v>
      </c>
      <c r="D2322" s="0" t="n">
        <f aca="false">-1+A2322*0.125</f>
        <v>0</v>
      </c>
      <c r="E2322" s="0" t="n">
        <f aca="false">-1+B2322*0.125</f>
        <v>-1</v>
      </c>
      <c r="F2322" s="0" t="n">
        <f aca="false">-1+C2322*0.125</f>
        <v>-0.375</v>
      </c>
      <c r="G2322" s="0" t="n">
        <f aca="false">1</f>
        <v>1</v>
      </c>
      <c r="H2322" s="0" t="n">
        <f aca="false">D2322</f>
        <v>0</v>
      </c>
      <c r="I2322" s="0" t="n">
        <f aca="false">E2322</f>
        <v>-1</v>
      </c>
      <c r="J2322" s="0" t="n">
        <f aca="false">F2322</f>
        <v>-0.375</v>
      </c>
      <c r="K2322" s="0" t="n">
        <f aca="false">D2322*E2322</f>
        <v>-0</v>
      </c>
      <c r="L2322" s="0" t="n">
        <f aca="false">D2322*F2322</f>
        <v>-0</v>
      </c>
      <c r="M2322" s="0" t="n">
        <f aca="false">E2322*F2322</f>
        <v>0.375</v>
      </c>
      <c r="N2322" s="0" t="n">
        <f aca="false">D2322*D2322</f>
        <v>0</v>
      </c>
      <c r="O2322" s="0" t="n">
        <f aca="false">E2322*E2322</f>
        <v>1</v>
      </c>
      <c r="P2322" s="0" t="n">
        <f aca="false">F2322*F2322</f>
        <v>0.140625</v>
      </c>
      <c r="Q2322" s="0" t="n">
        <f aca="false">SUMPRODUCT(G2322:P2322,_XtX!$B$71:$K$71)</f>
        <v>43.7693323863637</v>
      </c>
      <c r="R2322" s="0" t="n">
        <f aca="false">SUMPRODUCT(MMULT(G2322:P2322,_XtX!$B$58:$K$67),G2322:P2322)</f>
        <v>0.478604403409091</v>
      </c>
      <c r="S2322" s="0" t="n">
        <f aca="false">04_回帰ANOVA!$K$19*04_回帰ANOVA!$K$14*SQRT(1+R2322)</f>
        <v>1.13055744343508</v>
      </c>
      <c r="T2322" s="0" t="n">
        <f aca="false">Q2322-S2322</f>
        <v>42.6387749429286</v>
      </c>
      <c r="U2322" s="0" t="n">
        <f aca="false">Q2322+S2322</f>
        <v>44.8998898297987</v>
      </c>
      <c r="V2322" s="54" t="b">
        <f aca="false">AND(D2322&gt;=01_因子設定!$L$5-0.000000001,D2322&lt;=01_因子設定!$M$5+0.000000001,E2322&gt;=01_因子設定!$L$6-0.000000001,E2322&lt;=01_因子設定!$M$6+0.000000001,F2322&gt;=01_因子設定!$L$7-0.000000001,F2322&lt;=01_因子設定!$M$7+0.000000001,IF(01_因子設定!$B$20="Box-Behnken",D2322^2+E2322^2+F2322^2&lt;=2+0.000000001,TRUE()))</f>
        <v>1</v>
      </c>
      <c r="W2322" s="55" t="n">
        <f aca="false">IF(V2322,IF(01_因子設定!$B$13="最大化",T2322-01_因子設定!$B$14,IF(01_因子設定!$B$13="最小化",01_因子設定!$B$15-U2322,MIN(T2322-01_因子設定!$B$14,01_因子設定!$B$15-U2322))),-1E+030)</f>
        <v>-5.86122505707143</v>
      </c>
      <c r="X2322" s="55" t="n">
        <f aca="false">IF(V2322,IF(01_因子設定!$B$13="最大化",Q2322,IF(01_因子設定!$B$13="最小化",-Q2322,-ABS(Q2322-01_因子設定!$B$16))),-1E+030)</f>
        <v>43.7693323863637</v>
      </c>
      <c r="Y2322" s="55" t="n">
        <f aca="false">W2322+ROW()*0.000000001</f>
        <v>-5.86122273507143</v>
      </c>
      <c r="Z2322" s="55" t="n">
        <f aca="false">X2322+ROW()*0.000000001</f>
        <v>43.7693347083637</v>
      </c>
    </row>
    <row r="2323" customFormat="false" ht="15" hidden="false" customHeight="false" outlineLevel="0" collapsed="false">
      <c r="A2323" s="0" t="n">
        <v>8</v>
      </c>
      <c r="B2323" s="0" t="n">
        <v>0</v>
      </c>
      <c r="C2323" s="0" t="n">
        <v>6</v>
      </c>
      <c r="D2323" s="0" t="n">
        <f aca="false">-1+A2323*0.125</f>
        <v>0</v>
      </c>
      <c r="E2323" s="0" t="n">
        <f aca="false">-1+B2323*0.125</f>
        <v>-1</v>
      </c>
      <c r="F2323" s="0" t="n">
        <f aca="false">-1+C2323*0.125</f>
        <v>-0.25</v>
      </c>
      <c r="G2323" s="0" t="n">
        <f aca="false">1</f>
        <v>1</v>
      </c>
      <c r="H2323" s="0" t="n">
        <f aca="false">D2323</f>
        <v>0</v>
      </c>
      <c r="I2323" s="0" t="n">
        <f aca="false">E2323</f>
        <v>-1</v>
      </c>
      <c r="J2323" s="0" t="n">
        <f aca="false">F2323</f>
        <v>-0.25</v>
      </c>
      <c r="K2323" s="0" t="n">
        <f aca="false">D2323*E2323</f>
        <v>-0</v>
      </c>
      <c r="L2323" s="0" t="n">
        <f aca="false">D2323*F2323</f>
        <v>-0</v>
      </c>
      <c r="M2323" s="0" t="n">
        <f aca="false">E2323*F2323</f>
        <v>0.25</v>
      </c>
      <c r="N2323" s="0" t="n">
        <f aca="false">D2323*D2323</f>
        <v>0</v>
      </c>
      <c r="O2323" s="0" t="n">
        <f aca="false">E2323*E2323</f>
        <v>1</v>
      </c>
      <c r="P2323" s="0" t="n">
        <f aca="false">F2323*F2323</f>
        <v>0.0625</v>
      </c>
      <c r="Q2323" s="0" t="n">
        <f aca="false">SUMPRODUCT(G2323:P2323,_XtX!$B$71:$K$71)</f>
        <v>43.9775568181818</v>
      </c>
      <c r="R2323" s="0" t="n">
        <f aca="false">SUMPRODUCT(MMULT(G2323:P2323,_XtX!$B$58:$K$67),G2323:P2323)</f>
        <v>0.483664772727273</v>
      </c>
      <c r="S2323" s="0" t="n">
        <f aca="false">04_回帰ANOVA!$K$19*04_回帰ANOVA!$K$14*SQRT(1+R2323)</f>
        <v>1.13249039846694</v>
      </c>
      <c r="T2323" s="0" t="n">
        <f aca="false">Q2323-S2323</f>
        <v>42.8450664197149</v>
      </c>
      <c r="U2323" s="0" t="n">
        <f aca="false">Q2323+S2323</f>
        <v>45.1100472166488</v>
      </c>
      <c r="V2323" s="54" t="b">
        <f aca="false">AND(D2323&gt;=01_因子設定!$L$5-0.000000001,D2323&lt;=01_因子設定!$M$5+0.000000001,E2323&gt;=01_因子設定!$L$6-0.000000001,E2323&lt;=01_因子設定!$M$6+0.000000001,F2323&gt;=01_因子設定!$L$7-0.000000001,F2323&lt;=01_因子設定!$M$7+0.000000001,IF(01_因子設定!$B$20="Box-Behnken",D2323^2+E2323^2+F2323^2&lt;=2+0.000000001,TRUE()))</f>
        <v>1</v>
      </c>
      <c r="W2323" s="55" t="n">
        <f aca="false">IF(V2323,IF(01_因子設定!$B$13="最大化",T2323-01_因子設定!$B$14,IF(01_因子設定!$B$13="最小化",01_因子設定!$B$15-U2323,MIN(T2323-01_因子設定!$B$14,01_因子設定!$B$15-U2323))),-1E+030)</f>
        <v>-5.6549335802851</v>
      </c>
      <c r="X2323" s="55" t="n">
        <f aca="false">IF(V2323,IF(01_因子設定!$B$13="最大化",Q2323,IF(01_因子設定!$B$13="最小化",-Q2323,-ABS(Q2323-01_因子設定!$B$16))),-1E+030)</f>
        <v>43.9775568181818</v>
      </c>
      <c r="Y2323" s="55" t="n">
        <f aca="false">W2323+ROW()*0.000000001</f>
        <v>-5.6549312572851</v>
      </c>
      <c r="Z2323" s="55" t="n">
        <f aca="false">X2323+ROW()*0.000000001</f>
        <v>43.9775591411818</v>
      </c>
    </row>
    <row r="2324" customFormat="false" ht="15" hidden="false" customHeight="false" outlineLevel="0" collapsed="false">
      <c r="A2324" s="0" t="n">
        <v>8</v>
      </c>
      <c r="B2324" s="0" t="n">
        <v>0</v>
      </c>
      <c r="C2324" s="0" t="n">
        <v>7</v>
      </c>
      <c r="D2324" s="0" t="n">
        <f aca="false">-1+A2324*0.125</f>
        <v>0</v>
      </c>
      <c r="E2324" s="0" t="n">
        <f aca="false">-1+B2324*0.125</f>
        <v>-1</v>
      </c>
      <c r="F2324" s="0" t="n">
        <f aca="false">-1+C2324*0.125</f>
        <v>-0.125</v>
      </c>
      <c r="G2324" s="0" t="n">
        <f aca="false">1</f>
        <v>1</v>
      </c>
      <c r="H2324" s="0" t="n">
        <f aca="false">D2324</f>
        <v>0</v>
      </c>
      <c r="I2324" s="0" t="n">
        <f aca="false">E2324</f>
        <v>-1</v>
      </c>
      <c r="J2324" s="0" t="n">
        <f aca="false">F2324</f>
        <v>-0.125</v>
      </c>
      <c r="K2324" s="0" t="n">
        <f aca="false">D2324*E2324</f>
        <v>-0</v>
      </c>
      <c r="L2324" s="0" t="n">
        <f aca="false">D2324*F2324</f>
        <v>-0</v>
      </c>
      <c r="M2324" s="0" t="n">
        <f aca="false">E2324*F2324</f>
        <v>0.125</v>
      </c>
      <c r="N2324" s="0" t="n">
        <f aca="false">D2324*D2324</f>
        <v>0</v>
      </c>
      <c r="O2324" s="0" t="n">
        <f aca="false">E2324*E2324</f>
        <v>1</v>
      </c>
      <c r="P2324" s="0" t="n">
        <f aca="false">F2324*F2324</f>
        <v>0.015625</v>
      </c>
      <c r="Q2324" s="0" t="n">
        <f aca="false">SUMPRODUCT(G2324:P2324,_XtX!$B$71:$K$71)</f>
        <v>44.1489914772727</v>
      </c>
      <c r="R2324" s="0" t="n">
        <f aca="false">SUMPRODUCT(MMULT(G2324:P2324,_XtX!$B$58:$K$67),G2324:P2324)</f>
        <v>0.488831676136364</v>
      </c>
      <c r="S2324" s="0" t="n">
        <f aca="false">04_回帰ANOVA!$K$19*04_回帰ANOVA!$K$14*SQRT(1+R2324)</f>
        <v>1.13446064908709</v>
      </c>
      <c r="T2324" s="0" t="n">
        <f aca="false">Q2324-S2324</f>
        <v>43.0145308281857</v>
      </c>
      <c r="U2324" s="0" t="n">
        <f aca="false">Q2324+S2324</f>
        <v>45.2834521263598</v>
      </c>
      <c r="V2324" s="54" t="b">
        <f aca="false">AND(D2324&gt;=01_因子設定!$L$5-0.000000001,D2324&lt;=01_因子設定!$M$5+0.000000001,E2324&gt;=01_因子設定!$L$6-0.000000001,E2324&lt;=01_因子設定!$M$6+0.000000001,F2324&gt;=01_因子設定!$L$7-0.000000001,F2324&lt;=01_因子設定!$M$7+0.000000001,IF(01_因子設定!$B$20="Box-Behnken",D2324^2+E2324^2+F2324^2&lt;=2+0.000000001,TRUE()))</f>
        <v>1</v>
      </c>
      <c r="W2324" s="55" t="n">
        <f aca="false">IF(V2324,IF(01_因子設定!$B$13="最大化",T2324-01_因子設定!$B$14,IF(01_因子設定!$B$13="最小化",01_因子設定!$B$15-U2324,MIN(T2324-01_因子設定!$B$14,01_因子設定!$B$15-U2324))),-1E+030)</f>
        <v>-5.48546917181435</v>
      </c>
      <c r="X2324" s="55" t="n">
        <f aca="false">IF(V2324,IF(01_因子設定!$B$13="最大化",Q2324,IF(01_因子設定!$B$13="最小化",-Q2324,-ABS(Q2324-01_因子設定!$B$16))),-1E+030)</f>
        <v>44.1489914772727</v>
      </c>
      <c r="Y2324" s="55" t="n">
        <f aca="false">W2324+ROW()*0.000000001</f>
        <v>-5.48546684781435</v>
      </c>
      <c r="Z2324" s="55" t="n">
        <f aca="false">X2324+ROW()*0.000000001</f>
        <v>44.1489938012727</v>
      </c>
    </row>
    <row r="2325" customFormat="false" ht="15" hidden="false" customHeight="false" outlineLevel="0" collapsed="false">
      <c r="A2325" s="0" t="n">
        <v>8</v>
      </c>
      <c r="B2325" s="0" t="n">
        <v>0</v>
      </c>
      <c r="C2325" s="0" t="n">
        <v>8</v>
      </c>
      <c r="D2325" s="0" t="n">
        <f aca="false">-1+A2325*0.125</f>
        <v>0</v>
      </c>
      <c r="E2325" s="0" t="n">
        <f aca="false">-1+B2325*0.125</f>
        <v>-1</v>
      </c>
      <c r="F2325" s="0" t="n">
        <f aca="false">-1+C2325*0.125</f>
        <v>0</v>
      </c>
      <c r="G2325" s="0" t="n">
        <f aca="false">1</f>
        <v>1</v>
      </c>
      <c r="H2325" s="0" t="n">
        <f aca="false">D2325</f>
        <v>0</v>
      </c>
      <c r="I2325" s="0" t="n">
        <f aca="false">E2325</f>
        <v>-1</v>
      </c>
      <c r="J2325" s="0" t="n">
        <f aca="false">F2325</f>
        <v>0</v>
      </c>
      <c r="K2325" s="0" t="n">
        <f aca="false">D2325*E2325</f>
        <v>-0</v>
      </c>
      <c r="L2325" s="0" t="n">
        <f aca="false">D2325*F2325</f>
        <v>0</v>
      </c>
      <c r="M2325" s="0" t="n">
        <f aca="false">E2325*F2325</f>
        <v>-0</v>
      </c>
      <c r="N2325" s="0" t="n">
        <f aca="false">D2325*D2325</f>
        <v>0</v>
      </c>
      <c r="O2325" s="0" t="n">
        <f aca="false">E2325*E2325</f>
        <v>1</v>
      </c>
      <c r="P2325" s="0" t="n">
        <f aca="false">F2325*F2325</f>
        <v>0</v>
      </c>
      <c r="Q2325" s="0" t="n">
        <f aca="false">SUMPRODUCT(G2325:P2325,_XtX!$B$71:$K$71)</f>
        <v>44.2836363636364</v>
      </c>
      <c r="R2325" s="0" t="n">
        <f aca="false">SUMPRODUCT(MMULT(G2325:P2325,_XtX!$B$58:$K$67),G2325:P2325)</f>
        <v>0.490909090909091</v>
      </c>
      <c r="S2325" s="0" t="n">
        <f aca="false">04_回帰ANOVA!$K$19*04_回帰ANOVA!$K$14*SQRT(1+R2325)</f>
        <v>1.13525184792161</v>
      </c>
      <c r="T2325" s="0" t="n">
        <f aca="false">Q2325-S2325</f>
        <v>43.1483845157148</v>
      </c>
      <c r="U2325" s="0" t="n">
        <f aca="false">Q2325+S2325</f>
        <v>45.418888211558</v>
      </c>
      <c r="V2325" s="54" t="b">
        <f aca="false">AND(D2325&gt;=01_因子設定!$L$5-0.000000001,D2325&lt;=01_因子設定!$M$5+0.000000001,E2325&gt;=01_因子設定!$L$6-0.000000001,E2325&lt;=01_因子設定!$M$6+0.000000001,F2325&gt;=01_因子設定!$L$7-0.000000001,F2325&lt;=01_因子設定!$M$7+0.000000001,IF(01_因子設定!$B$20="Box-Behnken",D2325^2+E2325^2+F2325^2&lt;=2+0.000000001,TRUE()))</f>
        <v>1</v>
      </c>
      <c r="W2325" s="55" t="n">
        <f aca="false">IF(V2325,IF(01_因子設定!$B$13="最大化",T2325-01_因子設定!$B$14,IF(01_因子設定!$B$13="最小化",01_因子設定!$B$15-U2325,MIN(T2325-01_因子設定!$B$14,01_因子設定!$B$15-U2325))),-1E+030)</f>
        <v>-5.35161548428523</v>
      </c>
      <c r="X2325" s="55" t="n">
        <f aca="false">IF(V2325,IF(01_因子設定!$B$13="最大化",Q2325,IF(01_因子設定!$B$13="最小化",-Q2325,-ABS(Q2325-01_因子設定!$B$16))),-1E+030)</f>
        <v>44.2836363636364</v>
      </c>
      <c r="Y2325" s="55" t="n">
        <f aca="false">W2325+ROW()*0.000000001</f>
        <v>-5.35161315928523</v>
      </c>
      <c r="Z2325" s="55" t="n">
        <f aca="false">X2325+ROW()*0.000000001</f>
        <v>44.2836386886364</v>
      </c>
    </row>
    <row r="2326" customFormat="false" ht="15" hidden="false" customHeight="false" outlineLevel="0" collapsed="false">
      <c r="A2326" s="0" t="n">
        <v>8</v>
      </c>
      <c r="B2326" s="0" t="n">
        <v>0</v>
      </c>
      <c r="C2326" s="0" t="n">
        <v>9</v>
      </c>
      <c r="D2326" s="0" t="n">
        <f aca="false">-1+A2326*0.125</f>
        <v>0</v>
      </c>
      <c r="E2326" s="0" t="n">
        <f aca="false">-1+B2326*0.125</f>
        <v>-1</v>
      </c>
      <c r="F2326" s="0" t="n">
        <f aca="false">-1+C2326*0.125</f>
        <v>0.125</v>
      </c>
      <c r="G2326" s="0" t="n">
        <f aca="false">1</f>
        <v>1</v>
      </c>
      <c r="H2326" s="0" t="n">
        <f aca="false">D2326</f>
        <v>0</v>
      </c>
      <c r="I2326" s="0" t="n">
        <f aca="false">E2326</f>
        <v>-1</v>
      </c>
      <c r="J2326" s="0" t="n">
        <f aca="false">F2326</f>
        <v>0.125</v>
      </c>
      <c r="K2326" s="0" t="n">
        <f aca="false">D2326*E2326</f>
        <v>-0</v>
      </c>
      <c r="L2326" s="0" t="n">
        <f aca="false">D2326*F2326</f>
        <v>0</v>
      </c>
      <c r="M2326" s="0" t="n">
        <f aca="false">E2326*F2326</f>
        <v>-0.125</v>
      </c>
      <c r="N2326" s="0" t="n">
        <f aca="false">D2326*D2326</f>
        <v>0</v>
      </c>
      <c r="O2326" s="0" t="n">
        <f aca="false">E2326*E2326</f>
        <v>1</v>
      </c>
      <c r="P2326" s="0" t="n">
        <f aca="false">F2326*F2326</f>
        <v>0.015625</v>
      </c>
      <c r="Q2326" s="0" t="n">
        <f aca="false">SUMPRODUCT(G2326:P2326,_XtX!$B$71:$K$71)</f>
        <v>44.3814914772727</v>
      </c>
      <c r="R2326" s="0" t="n">
        <f aca="false">SUMPRODUCT(MMULT(G2326:P2326,_XtX!$B$58:$K$67),G2326:P2326)</f>
        <v>0.488831676136364</v>
      </c>
      <c r="S2326" s="0" t="n">
        <f aca="false">04_回帰ANOVA!$K$19*04_回帰ANOVA!$K$14*SQRT(1+R2326)</f>
        <v>1.13446064908709</v>
      </c>
      <c r="T2326" s="0" t="n">
        <f aca="false">Q2326-S2326</f>
        <v>43.2470308281857</v>
      </c>
      <c r="U2326" s="0" t="n">
        <f aca="false">Q2326+S2326</f>
        <v>45.5159521263598</v>
      </c>
      <c r="V2326" s="54" t="b">
        <f aca="false">AND(D2326&gt;=01_因子設定!$L$5-0.000000001,D2326&lt;=01_因子設定!$M$5+0.000000001,E2326&gt;=01_因子設定!$L$6-0.000000001,E2326&lt;=01_因子設定!$M$6+0.000000001,F2326&gt;=01_因子設定!$L$7-0.000000001,F2326&lt;=01_因子設定!$M$7+0.000000001,IF(01_因子設定!$B$20="Box-Behnken",D2326^2+E2326^2+F2326^2&lt;=2+0.000000001,TRUE()))</f>
        <v>1</v>
      </c>
      <c r="W2326" s="55" t="n">
        <f aca="false">IF(V2326,IF(01_因子設定!$B$13="最大化",T2326-01_因子設定!$B$14,IF(01_因子設定!$B$13="最小化",01_因子設定!$B$15-U2326,MIN(T2326-01_因子設定!$B$14,01_因子設定!$B$15-U2326))),-1E+030)</f>
        <v>-5.25296917181435</v>
      </c>
      <c r="X2326" s="55" t="n">
        <f aca="false">IF(V2326,IF(01_因子設定!$B$13="最大化",Q2326,IF(01_因子設定!$B$13="最小化",-Q2326,-ABS(Q2326-01_因子設定!$B$16))),-1E+030)</f>
        <v>44.3814914772727</v>
      </c>
      <c r="Y2326" s="55" t="n">
        <f aca="false">W2326+ROW()*0.000000001</f>
        <v>-5.25296684581435</v>
      </c>
      <c r="Z2326" s="55" t="n">
        <f aca="false">X2326+ROW()*0.000000001</f>
        <v>44.3814938032727</v>
      </c>
    </row>
    <row r="2327" customFormat="false" ht="15" hidden="false" customHeight="false" outlineLevel="0" collapsed="false">
      <c r="A2327" s="0" t="n">
        <v>8</v>
      </c>
      <c r="B2327" s="0" t="n">
        <v>0</v>
      </c>
      <c r="C2327" s="0" t="n">
        <v>10</v>
      </c>
      <c r="D2327" s="0" t="n">
        <f aca="false">-1+A2327*0.125</f>
        <v>0</v>
      </c>
      <c r="E2327" s="0" t="n">
        <f aca="false">-1+B2327*0.125</f>
        <v>-1</v>
      </c>
      <c r="F2327" s="0" t="n">
        <f aca="false">-1+C2327*0.125</f>
        <v>0.25</v>
      </c>
      <c r="G2327" s="0" t="n">
        <f aca="false">1</f>
        <v>1</v>
      </c>
      <c r="H2327" s="0" t="n">
        <f aca="false">D2327</f>
        <v>0</v>
      </c>
      <c r="I2327" s="0" t="n">
        <f aca="false">E2327</f>
        <v>-1</v>
      </c>
      <c r="J2327" s="0" t="n">
        <f aca="false">F2327</f>
        <v>0.25</v>
      </c>
      <c r="K2327" s="0" t="n">
        <f aca="false">D2327*E2327</f>
        <v>-0</v>
      </c>
      <c r="L2327" s="0" t="n">
        <f aca="false">D2327*F2327</f>
        <v>0</v>
      </c>
      <c r="M2327" s="0" t="n">
        <f aca="false">E2327*F2327</f>
        <v>-0.25</v>
      </c>
      <c r="N2327" s="0" t="n">
        <f aca="false">D2327*D2327</f>
        <v>0</v>
      </c>
      <c r="O2327" s="0" t="n">
        <f aca="false">E2327*E2327</f>
        <v>1</v>
      </c>
      <c r="P2327" s="0" t="n">
        <f aca="false">F2327*F2327</f>
        <v>0.0625</v>
      </c>
      <c r="Q2327" s="0" t="n">
        <f aca="false">SUMPRODUCT(G2327:P2327,_XtX!$B$71:$K$71)</f>
        <v>44.4425568181818</v>
      </c>
      <c r="R2327" s="0" t="n">
        <f aca="false">SUMPRODUCT(MMULT(G2327:P2327,_XtX!$B$58:$K$67),G2327:P2327)</f>
        <v>0.483664772727273</v>
      </c>
      <c r="S2327" s="0" t="n">
        <f aca="false">04_回帰ANOVA!$K$19*04_回帰ANOVA!$K$14*SQRT(1+R2327)</f>
        <v>1.13249039846694</v>
      </c>
      <c r="T2327" s="0" t="n">
        <f aca="false">Q2327-S2327</f>
        <v>43.3100664197149</v>
      </c>
      <c r="U2327" s="0" t="n">
        <f aca="false">Q2327+S2327</f>
        <v>45.5750472166488</v>
      </c>
      <c r="V2327" s="54" t="b">
        <f aca="false">AND(D2327&gt;=01_因子設定!$L$5-0.000000001,D2327&lt;=01_因子設定!$M$5+0.000000001,E2327&gt;=01_因子設定!$L$6-0.000000001,E2327&lt;=01_因子設定!$M$6+0.000000001,F2327&gt;=01_因子設定!$L$7-0.000000001,F2327&lt;=01_因子設定!$M$7+0.000000001,IF(01_因子設定!$B$20="Box-Behnken",D2327^2+E2327^2+F2327^2&lt;=2+0.000000001,TRUE()))</f>
        <v>1</v>
      </c>
      <c r="W2327" s="55" t="n">
        <f aca="false">IF(V2327,IF(01_因子設定!$B$13="最大化",T2327-01_因子設定!$B$14,IF(01_因子設定!$B$13="最小化",01_因子設定!$B$15-U2327,MIN(T2327-01_因子設定!$B$14,01_因子設定!$B$15-U2327))),-1E+030)</f>
        <v>-5.1899335802851</v>
      </c>
      <c r="X2327" s="55" t="n">
        <f aca="false">IF(V2327,IF(01_因子設定!$B$13="最大化",Q2327,IF(01_因子設定!$B$13="最小化",-Q2327,-ABS(Q2327-01_因子設定!$B$16))),-1E+030)</f>
        <v>44.4425568181818</v>
      </c>
      <c r="Y2327" s="55" t="n">
        <f aca="false">W2327+ROW()*0.000000001</f>
        <v>-5.1899312532851</v>
      </c>
      <c r="Z2327" s="55" t="n">
        <f aca="false">X2327+ROW()*0.000000001</f>
        <v>44.4425591451818</v>
      </c>
    </row>
    <row r="2328" customFormat="false" ht="15" hidden="false" customHeight="false" outlineLevel="0" collapsed="false">
      <c r="A2328" s="0" t="n">
        <v>8</v>
      </c>
      <c r="B2328" s="0" t="n">
        <v>0</v>
      </c>
      <c r="C2328" s="0" t="n">
        <v>11</v>
      </c>
      <c r="D2328" s="0" t="n">
        <f aca="false">-1+A2328*0.125</f>
        <v>0</v>
      </c>
      <c r="E2328" s="0" t="n">
        <f aca="false">-1+B2328*0.125</f>
        <v>-1</v>
      </c>
      <c r="F2328" s="0" t="n">
        <f aca="false">-1+C2328*0.125</f>
        <v>0.375</v>
      </c>
      <c r="G2328" s="0" t="n">
        <f aca="false">1</f>
        <v>1</v>
      </c>
      <c r="H2328" s="0" t="n">
        <f aca="false">D2328</f>
        <v>0</v>
      </c>
      <c r="I2328" s="0" t="n">
        <f aca="false">E2328</f>
        <v>-1</v>
      </c>
      <c r="J2328" s="0" t="n">
        <f aca="false">F2328</f>
        <v>0.375</v>
      </c>
      <c r="K2328" s="0" t="n">
        <f aca="false">D2328*E2328</f>
        <v>-0</v>
      </c>
      <c r="L2328" s="0" t="n">
        <f aca="false">D2328*F2328</f>
        <v>0</v>
      </c>
      <c r="M2328" s="0" t="n">
        <f aca="false">E2328*F2328</f>
        <v>-0.375</v>
      </c>
      <c r="N2328" s="0" t="n">
        <f aca="false">D2328*D2328</f>
        <v>0</v>
      </c>
      <c r="O2328" s="0" t="n">
        <f aca="false">E2328*E2328</f>
        <v>1</v>
      </c>
      <c r="P2328" s="0" t="n">
        <f aca="false">F2328*F2328</f>
        <v>0.140625</v>
      </c>
      <c r="Q2328" s="0" t="n">
        <f aca="false">SUMPRODUCT(G2328:P2328,_XtX!$B$71:$K$71)</f>
        <v>44.4668323863637</v>
      </c>
      <c r="R2328" s="0" t="n">
        <f aca="false">SUMPRODUCT(MMULT(G2328:P2328,_XtX!$B$58:$K$67),G2328:P2328)</f>
        <v>0.478604403409091</v>
      </c>
      <c r="S2328" s="0" t="n">
        <f aca="false">04_回帰ANOVA!$K$19*04_回帰ANOVA!$K$14*SQRT(1+R2328)</f>
        <v>1.13055744343508</v>
      </c>
      <c r="T2328" s="0" t="n">
        <f aca="false">Q2328-S2328</f>
        <v>43.3362749429286</v>
      </c>
      <c r="U2328" s="0" t="n">
        <f aca="false">Q2328+S2328</f>
        <v>45.5973898297987</v>
      </c>
      <c r="V2328" s="54" t="b">
        <f aca="false">AND(D2328&gt;=01_因子設定!$L$5-0.000000001,D2328&lt;=01_因子設定!$M$5+0.000000001,E2328&gt;=01_因子設定!$L$6-0.000000001,E2328&lt;=01_因子設定!$M$6+0.000000001,F2328&gt;=01_因子設定!$L$7-0.000000001,F2328&lt;=01_因子設定!$M$7+0.000000001,IF(01_因子設定!$B$20="Box-Behnken",D2328^2+E2328^2+F2328^2&lt;=2+0.000000001,TRUE()))</f>
        <v>1</v>
      </c>
      <c r="W2328" s="55" t="n">
        <f aca="false">IF(V2328,IF(01_因子設定!$B$13="最大化",T2328-01_因子設定!$B$14,IF(01_因子設定!$B$13="最小化",01_因子設定!$B$15-U2328,MIN(T2328-01_因子設定!$B$14,01_因子設定!$B$15-U2328))),-1E+030)</f>
        <v>-5.16372505707143</v>
      </c>
      <c r="X2328" s="55" t="n">
        <f aca="false">IF(V2328,IF(01_因子設定!$B$13="最大化",Q2328,IF(01_因子設定!$B$13="最小化",-Q2328,-ABS(Q2328-01_因子設定!$B$16))),-1E+030)</f>
        <v>44.4668323863637</v>
      </c>
      <c r="Y2328" s="55" t="n">
        <f aca="false">W2328+ROW()*0.000000001</f>
        <v>-5.16372272907143</v>
      </c>
      <c r="Z2328" s="55" t="n">
        <f aca="false">X2328+ROW()*0.000000001</f>
        <v>44.4668347143637</v>
      </c>
    </row>
    <row r="2329" customFormat="false" ht="15" hidden="false" customHeight="false" outlineLevel="0" collapsed="false">
      <c r="A2329" s="0" t="n">
        <v>8</v>
      </c>
      <c r="B2329" s="0" t="n">
        <v>0</v>
      </c>
      <c r="C2329" s="0" t="n">
        <v>12</v>
      </c>
      <c r="D2329" s="0" t="n">
        <f aca="false">-1+A2329*0.125</f>
        <v>0</v>
      </c>
      <c r="E2329" s="0" t="n">
        <f aca="false">-1+B2329*0.125</f>
        <v>-1</v>
      </c>
      <c r="F2329" s="0" t="n">
        <f aca="false">-1+C2329*0.125</f>
        <v>0.5</v>
      </c>
      <c r="G2329" s="0" t="n">
        <f aca="false">1</f>
        <v>1</v>
      </c>
      <c r="H2329" s="0" t="n">
        <f aca="false">D2329</f>
        <v>0</v>
      </c>
      <c r="I2329" s="0" t="n">
        <f aca="false">E2329</f>
        <v>-1</v>
      </c>
      <c r="J2329" s="0" t="n">
        <f aca="false">F2329</f>
        <v>0.5</v>
      </c>
      <c r="K2329" s="0" t="n">
        <f aca="false">D2329*E2329</f>
        <v>-0</v>
      </c>
      <c r="L2329" s="0" t="n">
        <f aca="false">D2329*F2329</f>
        <v>0</v>
      </c>
      <c r="M2329" s="0" t="n">
        <f aca="false">E2329*F2329</f>
        <v>-0.5</v>
      </c>
      <c r="N2329" s="0" t="n">
        <f aca="false">D2329*D2329</f>
        <v>0</v>
      </c>
      <c r="O2329" s="0" t="n">
        <f aca="false">E2329*E2329</f>
        <v>1</v>
      </c>
      <c r="P2329" s="0" t="n">
        <f aca="false">F2329*F2329</f>
        <v>0.25</v>
      </c>
      <c r="Q2329" s="0" t="n">
        <f aca="false">SUMPRODUCT(G2329:P2329,_XtX!$B$71:$K$71)</f>
        <v>44.4543181818182</v>
      </c>
      <c r="R2329" s="0" t="n">
        <f aca="false">SUMPRODUCT(MMULT(G2329:P2329,_XtX!$B$58:$K$67),G2329:P2329)</f>
        <v>0.478977272727273</v>
      </c>
      <c r="S2329" s="0" t="n">
        <f aca="false">04_回帰ANOVA!$K$19*04_回帰ANOVA!$K$14*SQRT(1+R2329)</f>
        <v>1.13069998447216</v>
      </c>
      <c r="T2329" s="0" t="n">
        <f aca="false">Q2329-S2329</f>
        <v>43.323618197346</v>
      </c>
      <c r="U2329" s="0" t="n">
        <f aca="false">Q2329+S2329</f>
        <v>45.5850181662904</v>
      </c>
      <c r="V2329" s="54" t="b">
        <f aca="false">AND(D2329&gt;=01_因子設定!$L$5-0.000000001,D2329&lt;=01_因子設定!$M$5+0.000000001,E2329&gt;=01_因子設定!$L$6-0.000000001,E2329&lt;=01_因子設定!$M$6+0.000000001,F2329&gt;=01_因子設定!$L$7-0.000000001,F2329&lt;=01_因子設定!$M$7+0.000000001,IF(01_因子設定!$B$20="Box-Behnken",D2329^2+E2329^2+F2329^2&lt;=2+0.000000001,TRUE()))</f>
        <v>1</v>
      </c>
      <c r="W2329" s="55" t="n">
        <f aca="false">IF(V2329,IF(01_因子設定!$B$13="最大化",T2329-01_因子設定!$B$14,IF(01_因子設定!$B$13="最小化",01_因子設定!$B$15-U2329,MIN(T2329-01_因子設定!$B$14,01_因子設定!$B$15-U2329))),-1E+030)</f>
        <v>-5.17638180265396</v>
      </c>
      <c r="X2329" s="55" t="n">
        <f aca="false">IF(V2329,IF(01_因子設定!$B$13="最大化",Q2329,IF(01_因子設定!$B$13="最小化",-Q2329,-ABS(Q2329-01_因子設定!$B$16))),-1E+030)</f>
        <v>44.4543181818182</v>
      </c>
      <c r="Y2329" s="55" t="n">
        <f aca="false">W2329+ROW()*0.000000001</f>
        <v>-5.17637947365396</v>
      </c>
      <c r="Z2329" s="55" t="n">
        <f aca="false">X2329+ROW()*0.000000001</f>
        <v>44.4543205108182</v>
      </c>
    </row>
    <row r="2330" customFormat="false" ht="15" hidden="false" customHeight="false" outlineLevel="0" collapsed="false">
      <c r="A2330" s="0" t="n">
        <v>8</v>
      </c>
      <c r="B2330" s="0" t="n">
        <v>0</v>
      </c>
      <c r="C2330" s="0" t="n">
        <v>13</v>
      </c>
      <c r="D2330" s="0" t="n">
        <f aca="false">-1+A2330*0.125</f>
        <v>0</v>
      </c>
      <c r="E2330" s="0" t="n">
        <f aca="false">-1+B2330*0.125</f>
        <v>-1</v>
      </c>
      <c r="F2330" s="0" t="n">
        <f aca="false">-1+C2330*0.125</f>
        <v>0.625</v>
      </c>
      <c r="G2330" s="0" t="n">
        <f aca="false">1</f>
        <v>1</v>
      </c>
      <c r="H2330" s="0" t="n">
        <f aca="false">D2330</f>
        <v>0</v>
      </c>
      <c r="I2330" s="0" t="n">
        <f aca="false">E2330</f>
        <v>-1</v>
      </c>
      <c r="J2330" s="0" t="n">
        <f aca="false">F2330</f>
        <v>0.625</v>
      </c>
      <c r="K2330" s="0" t="n">
        <f aca="false">D2330*E2330</f>
        <v>-0</v>
      </c>
      <c r="L2330" s="0" t="n">
        <f aca="false">D2330*F2330</f>
        <v>0</v>
      </c>
      <c r="M2330" s="0" t="n">
        <f aca="false">E2330*F2330</f>
        <v>-0.625</v>
      </c>
      <c r="N2330" s="0" t="n">
        <f aca="false">D2330*D2330</f>
        <v>0</v>
      </c>
      <c r="O2330" s="0" t="n">
        <f aca="false">E2330*E2330</f>
        <v>1</v>
      </c>
      <c r="P2330" s="0" t="n">
        <f aca="false">F2330*F2330</f>
        <v>0.390625</v>
      </c>
      <c r="Q2330" s="0" t="n">
        <f aca="false">SUMPRODUCT(G2330:P2330,_XtX!$B$71:$K$71)</f>
        <v>44.4050142045455</v>
      </c>
      <c r="R2330" s="0" t="n">
        <f aca="false">SUMPRODUCT(MMULT(G2330:P2330,_XtX!$B$58:$K$67),G2330:P2330)</f>
        <v>0.492240767045455</v>
      </c>
      <c r="S2330" s="0" t="n">
        <f aca="false">04_回帰ANOVA!$K$19*04_回帰ANOVA!$K$14*SQRT(1+R2330)</f>
        <v>1.13575873676322</v>
      </c>
      <c r="T2330" s="0" t="n">
        <f aca="false">Q2330-S2330</f>
        <v>43.2692554677823</v>
      </c>
      <c r="U2330" s="0" t="n">
        <f aca="false">Q2330+S2330</f>
        <v>45.5407729413087</v>
      </c>
      <c r="V2330" s="54" t="b">
        <f aca="false">AND(D2330&gt;=01_因子設定!$L$5-0.000000001,D2330&lt;=01_因子設定!$M$5+0.000000001,E2330&gt;=01_因子設定!$L$6-0.000000001,E2330&lt;=01_因子設定!$M$6+0.000000001,F2330&gt;=01_因子設定!$L$7-0.000000001,F2330&lt;=01_因子設定!$M$7+0.000000001,IF(01_因子設定!$B$20="Box-Behnken",D2330^2+E2330^2+F2330^2&lt;=2+0.000000001,TRUE()))</f>
        <v>1</v>
      </c>
      <c r="W2330" s="55" t="n">
        <f aca="false">IF(V2330,IF(01_因子設定!$B$13="最大化",T2330-01_因子設定!$B$14,IF(01_因子設定!$B$13="最小化",01_因子設定!$B$15-U2330,MIN(T2330-01_因子設定!$B$14,01_因子設定!$B$15-U2330))),-1E+030)</f>
        <v>-5.23074453221775</v>
      </c>
      <c r="X2330" s="55" t="n">
        <f aca="false">IF(V2330,IF(01_因子設定!$B$13="最大化",Q2330,IF(01_因子設定!$B$13="最小化",-Q2330,-ABS(Q2330-01_因子設定!$B$16))),-1E+030)</f>
        <v>44.4050142045455</v>
      </c>
      <c r="Y2330" s="55" t="n">
        <f aca="false">W2330+ROW()*0.000000001</f>
        <v>-5.23074220221775</v>
      </c>
      <c r="Z2330" s="55" t="n">
        <f aca="false">X2330+ROW()*0.000000001</f>
        <v>44.4050165345455</v>
      </c>
    </row>
    <row r="2331" customFormat="false" ht="15" hidden="false" customHeight="false" outlineLevel="0" collapsed="false">
      <c r="A2331" s="0" t="n">
        <v>8</v>
      </c>
      <c r="B2331" s="0" t="n">
        <v>0</v>
      </c>
      <c r="C2331" s="0" t="n">
        <v>14</v>
      </c>
      <c r="D2331" s="0" t="n">
        <f aca="false">-1+A2331*0.125</f>
        <v>0</v>
      </c>
      <c r="E2331" s="0" t="n">
        <f aca="false">-1+B2331*0.125</f>
        <v>-1</v>
      </c>
      <c r="F2331" s="0" t="n">
        <f aca="false">-1+C2331*0.125</f>
        <v>0.75</v>
      </c>
      <c r="G2331" s="0" t="n">
        <f aca="false">1</f>
        <v>1</v>
      </c>
      <c r="H2331" s="0" t="n">
        <f aca="false">D2331</f>
        <v>0</v>
      </c>
      <c r="I2331" s="0" t="n">
        <f aca="false">E2331</f>
        <v>-1</v>
      </c>
      <c r="J2331" s="0" t="n">
        <f aca="false">F2331</f>
        <v>0.75</v>
      </c>
      <c r="K2331" s="0" t="n">
        <f aca="false">D2331*E2331</f>
        <v>-0</v>
      </c>
      <c r="L2331" s="0" t="n">
        <f aca="false">D2331*F2331</f>
        <v>0</v>
      </c>
      <c r="M2331" s="0" t="n">
        <f aca="false">E2331*F2331</f>
        <v>-0.75</v>
      </c>
      <c r="N2331" s="0" t="n">
        <f aca="false">D2331*D2331</f>
        <v>0</v>
      </c>
      <c r="O2331" s="0" t="n">
        <f aca="false">E2331*E2331</f>
        <v>1</v>
      </c>
      <c r="P2331" s="0" t="n">
        <f aca="false">F2331*F2331</f>
        <v>0.5625</v>
      </c>
      <c r="Q2331" s="0" t="n">
        <f aca="false">SUMPRODUCT(G2331:P2331,_XtX!$B$71:$K$71)</f>
        <v>44.3189204545455</v>
      </c>
      <c r="R2331" s="0" t="n">
        <f aca="false">SUMPRODUCT(MMULT(G2331:P2331,_XtX!$B$58:$K$67),G2331:P2331)</f>
        <v>0.527982954545455</v>
      </c>
      <c r="S2331" s="0" t="n">
        <f aca="false">04_回帰ANOVA!$K$19*04_回帰ANOVA!$K$14*SQRT(1+R2331)</f>
        <v>1.14928011037747</v>
      </c>
      <c r="T2331" s="0" t="n">
        <f aca="false">Q2331-S2331</f>
        <v>43.169640344168</v>
      </c>
      <c r="U2331" s="0" t="n">
        <f aca="false">Q2331+S2331</f>
        <v>45.468200564923</v>
      </c>
      <c r="V2331" s="54" t="b">
        <f aca="false">AND(D2331&gt;=01_因子設定!$L$5-0.000000001,D2331&lt;=01_因子設定!$M$5+0.000000001,E2331&gt;=01_因子設定!$L$6-0.000000001,E2331&lt;=01_因子設定!$M$6+0.000000001,F2331&gt;=01_因子設定!$L$7-0.000000001,F2331&lt;=01_因子設定!$M$7+0.000000001,IF(01_因子設定!$B$20="Box-Behnken",D2331^2+E2331^2+F2331^2&lt;=2+0.000000001,TRUE()))</f>
        <v>1</v>
      </c>
      <c r="W2331" s="55" t="n">
        <f aca="false">IF(V2331,IF(01_因子設定!$B$13="最大化",T2331-01_因子設定!$B$14,IF(01_因子設定!$B$13="最小化",01_因子設定!$B$15-U2331,MIN(T2331-01_因子設定!$B$14,01_因子設定!$B$15-U2331))),-1E+030)</f>
        <v>-5.330359655832</v>
      </c>
      <c r="X2331" s="55" t="n">
        <f aca="false">IF(V2331,IF(01_因子設定!$B$13="最大化",Q2331,IF(01_因子設定!$B$13="最小化",-Q2331,-ABS(Q2331-01_因子設定!$B$16))),-1E+030)</f>
        <v>44.3189204545455</v>
      </c>
      <c r="Y2331" s="55" t="n">
        <f aca="false">W2331+ROW()*0.000000001</f>
        <v>-5.330357324832</v>
      </c>
      <c r="Z2331" s="55" t="n">
        <f aca="false">X2331+ROW()*0.000000001</f>
        <v>44.3189227855455</v>
      </c>
    </row>
    <row r="2332" customFormat="false" ht="15" hidden="false" customHeight="false" outlineLevel="0" collapsed="false">
      <c r="A2332" s="0" t="n">
        <v>8</v>
      </c>
      <c r="B2332" s="0" t="n">
        <v>0</v>
      </c>
      <c r="C2332" s="0" t="n">
        <v>15</v>
      </c>
      <c r="D2332" s="0" t="n">
        <f aca="false">-1+A2332*0.125</f>
        <v>0</v>
      </c>
      <c r="E2332" s="0" t="n">
        <f aca="false">-1+B2332*0.125</f>
        <v>-1</v>
      </c>
      <c r="F2332" s="0" t="n">
        <f aca="false">-1+C2332*0.125</f>
        <v>0.875</v>
      </c>
      <c r="G2332" s="0" t="n">
        <f aca="false">1</f>
        <v>1</v>
      </c>
      <c r="H2332" s="0" t="n">
        <f aca="false">D2332</f>
        <v>0</v>
      </c>
      <c r="I2332" s="0" t="n">
        <f aca="false">E2332</f>
        <v>-1</v>
      </c>
      <c r="J2332" s="0" t="n">
        <f aca="false">F2332</f>
        <v>0.875</v>
      </c>
      <c r="K2332" s="0" t="n">
        <f aca="false">D2332*E2332</f>
        <v>-0</v>
      </c>
      <c r="L2332" s="0" t="n">
        <f aca="false">D2332*F2332</f>
        <v>0</v>
      </c>
      <c r="M2332" s="0" t="n">
        <f aca="false">E2332*F2332</f>
        <v>-0.875</v>
      </c>
      <c r="N2332" s="0" t="n">
        <f aca="false">D2332*D2332</f>
        <v>0</v>
      </c>
      <c r="O2332" s="0" t="n">
        <f aca="false">E2332*E2332</f>
        <v>1</v>
      </c>
      <c r="P2332" s="0" t="n">
        <f aca="false">F2332*F2332</f>
        <v>0.765625</v>
      </c>
      <c r="Q2332" s="0" t="n">
        <f aca="false">SUMPRODUCT(G2332:P2332,_XtX!$B$71:$K$71)</f>
        <v>44.1960369318182</v>
      </c>
      <c r="R2332" s="0" t="n">
        <f aca="false">SUMPRODUCT(MMULT(G2332:P2332,_XtX!$B$58:$K$67),G2332:P2332)</f>
        <v>0.597922585227273</v>
      </c>
      <c r="S2332" s="0" t="n">
        <f aca="false">04_回帰ANOVA!$K$19*04_回帰ANOVA!$K$14*SQRT(1+R2332)</f>
        <v>1.17528854591003</v>
      </c>
      <c r="T2332" s="0" t="n">
        <f aca="false">Q2332-S2332</f>
        <v>43.0207483859082</v>
      </c>
      <c r="U2332" s="0" t="n">
        <f aca="false">Q2332+S2332</f>
        <v>45.3713254777282</v>
      </c>
      <c r="V2332" s="54" t="b">
        <f aca="false">AND(D2332&gt;=01_因子設定!$L$5-0.000000001,D2332&lt;=01_因子設定!$M$5+0.000000001,E2332&gt;=01_因子設定!$L$6-0.000000001,E2332&lt;=01_因子設定!$M$6+0.000000001,F2332&gt;=01_因子設定!$L$7-0.000000001,F2332&lt;=01_因子設定!$M$7+0.000000001,IF(01_因子設定!$B$20="Box-Behnken",D2332^2+E2332^2+F2332^2&lt;=2+0.000000001,TRUE()))</f>
        <v>1</v>
      </c>
      <c r="W2332" s="55" t="n">
        <f aca="false">IF(V2332,IF(01_因子設定!$B$13="最大化",T2332-01_因子設定!$B$14,IF(01_因子設定!$B$13="最小化",01_因子設定!$B$15-U2332,MIN(T2332-01_因子設定!$B$14,01_因子設定!$B$15-U2332))),-1E+030)</f>
        <v>-5.47925161409182</v>
      </c>
      <c r="X2332" s="55" t="n">
        <f aca="false">IF(V2332,IF(01_因子設定!$B$13="最大化",Q2332,IF(01_因子設定!$B$13="最小化",-Q2332,-ABS(Q2332-01_因子設定!$B$16))),-1E+030)</f>
        <v>44.1960369318182</v>
      </c>
      <c r="Y2332" s="55" t="n">
        <f aca="false">W2332+ROW()*0.000000001</f>
        <v>-5.47924928209182</v>
      </c>
      <c r="Z2332" s="55" t="n">
        <f aca="false">X2332+ROW()*0.000000001</f>
        <v>44.1960392638182</v>
      </c>
    </row>
    <row r="2333" customFormat="false" ht="15" hidden="false" customHeight="false" outlineLevel="0" collapsed="false">
      <c r="A2333" s="0" t="n">
        <v>8</v>
      </c>
      <c r="B2333" s="0" t="n">
        <v>0</v>
      </c>
      <c r="C2333" s="0" t="n">
        <v>16</v>
      </c>
      <c r="D2333" s="0" t="n">
        <f aca="false">-1+A2333*0.125</f>
        <v>0</v>
      </c>
      <c r="E2333" s="0" t="n">
        <f aca="false">-1+B2333*0.125</f>
        <v>-1</v>
      </c>
      <c r="F2333" s="0" t="n">
        <f aca="false">-1+C2333*0.125</f>
        <v>1</v>
      </c>
      <c r="G2333" s="0" t="n">
        <f aca="false">1</f>
        <v>1</v>
      </c>
      <c r="H2333" s="0" t="n">
        <f aca="false">D2333</f>
        <v>0</v>
      </c>
      <c r="I2333" s="0" t="n">
        <f aca="false">E2333</f>
        <v>-1</v>
      </c>
      <c r="J2333" s="0" t="n">
        <f aca="false">F2333</f>
        <v>1</v>
      </c>
      <c r="K2333" s="0" t="n">
        <f aca="false">D2333*E2333</f>
        <v>-0</v>
      </c>
      <c r="L2333" s="0" t="n">
        <f aca="false">D2333*F2333</f>
        <v>0</v>
      </c>
      <c r="M2333" s="0" t="n">
        <f aca="false">E2333*F2333</f>
        <v>-1</v>
      </c>
      <c r="N2333" s="0" t="n">
        <f aca="false">D2333*D2333</f>
        <v>0</v>
      </c>
      <c r="O2333" s="0" t="n">
        <f aca="false">E2333*E2333</f>
        <v>1</v>
      </c>
      <c r="P2333" s="0" t="n">
        <f aca="false">F2333*F2333</f>
        <v>1</v>
      </c>
      <c r="Q2333" s="0" t="n">
        <f aca="false">SUMPRODUCT(G2333:P2333,_XtX!$B$71:$K$71)</f>
        <v>44.0363636363637</v>
      </c>
      <c r="R2333" s="0" t="n">
        <f aca="false">SUMPRODUCT(MMULT(G2333:P2333,_XtX!$B$58:$K$67),G2333:P2333)</f>
        <v>0.715909090909091</v>
      </c>
      <c r="S2333" s="0" t="n">
        <f aca="false">04_回帰ANOVA!$K$19*04_回帰ANOVA!$K$14*SQRT(1+R2333)</f>
        <v>1.21790601011063</v>
      </c>
      <c r="T2333" s="0" t="n">
        <f aca="false">Q2333-S2333</f>
        <v>42.818457626253</v>
      </c>
      <c r="U2333" s="0" t="n">
        <f aca="false">Q2333+S2333</f>
        <v>45.2542696464743</v>
      </c>
      <c r="V2333" s="54" t="b">
        <f aca="false">AND(D2333&gt;=01_因子設定!$L$5-0.000000001,D2333&lt;=01_因子設定!$M$5+0.000000001,E2333&gt;=01_因子設定!$L$6-0.000000001,E2333&lt;=01_因子設定!$M$6+0.000000001,F2333&gt;=01_因子設定!$L$7-0.000000001,F2333&lt;=01_因子設定!$M$7+0.000000001,IF(01_因子設定!$B$20="Box-Behnken",D2333^2+E2333^2+F2333^2&lt;=2+0.000000001,TRUE()))</f>
        <v>1</v>
      </c>
      <c r="W2333" s="55" t="n">
        <f aca="false">IF(V2333,IF(01_因子設定!$B$13="最大化",T2333-01_因子設定!$B$14,IF(01_因子設定!$B$13="最小化",01_因子設定!$B$15-U2333,MIN(T2333-01_因子設定!$B$14,01_因子設定!$B$15-U2333))),-1E+030)</f>
        <v>-5.68154237374696</v>
      </c>
      <c r="X2333" s="55" t="n">
        <f aca="false">IF(V2333,IF(01_因子設定!$B$13="最大化",Q2333,IF(01_因子設定!$B$13="最小化",-Q2333,-ABS(Q2333-01_因子設定!$B$16))),-1E+030)</f>
        <v>44.0363636363637</v>
      </c>
      <c r="Y2333" s="55" t="n">
        <f aca="false">W2333+ROW()*0.000000001</f>
        <v>-5.68154004074696</v>
      </c>
      <c r="Z2333" s="55" t="n">
        <f aca="false">X2333+ROW()*0.000000001</f>
        <v>44.0363659693637</v>
      </c>
    </row>
    <row r="2334" customFormat="false" ht="15" hidden="false" customHeight="false" outlineLevel="0" collapsed="false">
      <c r="A2334" s="0" t="n">
        <v>8</v>
      </c>
      <c r="B2334" s="0" t="n">
        <v>1</v>
      </c>
      <c r="C2334" s="0" t="n">
        <v>0</v>
      </c>
      <c r="D2334" s="0" t="n">
        <f aca="false">-1+A2334*0.125</f>
        <v>0</v>
      </c>
      <c r="E2334" s="0" t="n">
        <f aca="false">-1+B2334*0.125</f>
        <v>-0.875</v>
      </c>
      <c r="F2334" s="0" t="n">
        <f aca="false">-1+C2334*0.125</f>
        <v>-1</v>
      </c>
      <c r="G2334" s="0" t="n">
        <f aca="false">1</f>
        <v>1</v>
      </c>
      <c r="H2334" s="0" t="n">
        <f aca="false">D2334</f>
        <v>0</v>
      </c>
      <c r="I2334" s="0" t="n">
        <f aca="false">E2334</f>
        <v>-0.875</v>
      </c>
      <c r="J2334" s="0" t="n">
        <f aca="false">F2334</f>
        <v>-1</v>
      </c>
      <c r="K2334" s="0" t="n">
        <f aca="false">D2334*E2334</f>
        <v>-0</v>
      </c>
      <c r="L2334" s="0" t="n">
        <f aca="false">D2334*F2334</f>
        <v>-0</v>
      </c>
      <c r="M2334" s="0" t="n">
        <f aca="false">E2334*F2334</f>
        <v>0.875</v>
      </c>
      <c r="N2334" s="0" t="n">
        <f aca="false">D2334*D2334</f>
        <v>0</v>
      </c>
      <c r="O2334" s="0" t="n">
        <f aca="false">E2334*E2334</f>
        <v>0.765625</v>
      </c>
      <c r="P2334" s="0" t="n">
        <f aca="false">F2334*F2334</f>
        <v>1</v>
      </c>
      <c r="Q2334" s="0" t="n">
        <f aca="false">SUMPRODUCT(G2334:P2334,_XtX!$B$71:$K$71)</f>
        <v>42.8540056818182</v>
      </c>
      <c r="R2334" s="0" t="n">
        <f aca="false">SUMPRODUCT(MMULT(G2334:P2334,_XtX!$B$58:$K$67),G2334:P2334)</f>
        <v>0.597922585227273</v>
      </c>
      <c r="S2334" s="0" t="n">
        <f aca="false">04_回帰ANOVA!$K$19*04_回帰ANOVA!$K$14*SQRT(1+R2334)</f>
        <v>1.17528854591003</v>
      </c>
      <c r="T2334" s="0" t="n">
        <f aca="false">Q2334-S2334</f>
        <v>41.6787171359082</v>
      </c>
      <c r="U2334" s="0" t="n">
        <f aca="false">Q2334+S2334</f>
        <v>44.0292942277282</v>
      </c>
      <c r="V2334" s="54" t="b">
        <f aca="false">AND(D2334&gt;=01_因子設定!$L$5-0.000000001,D2334&lt;=01_因子設定!$M$5+0.000000001,E2334&gt;=01_因子設定!$L$6-0.000000001,E2334&lt;=01_因子設定!$M$6+0.000000001,F2334&gt;=01_因子設定!$L$7-0.000000001,F2334&lt;=01_因子設定!$M$7+0.000000001,IF(01_因子設定!$B$20="Box-Behnken",D2334^2+E2334^2+F2334^2&lt;=2+0.000000001,TRUE()))</f>
        <v>1</v>
      </c>
      <c r="W2334" s="55" t="n">
        <f aca="false">IF(V2334,IF(01_因子設定!$B$13="最大化",T2334-01_因子設定!$B$14,IF(01_因子設定!$B$13="最小化",01_因子設定!$B$15-U2334,MIN(T2334-01_因子設定!$B$14,01_因子設定!$B$15-U2334))),-1E+030)</f>
        <v>-6.82128286409181</v>
      </c>
      <c r="X2334" s="55" t="n">
        <f aca="false">IF(V2334,IF(01_因子設定!$B$13="最大化",Q2334,IF(01_因子設定!$B$13="最小化",-Q2334,-ABS(Q2334-01_因子設定!$B$16))),-1E+030)</f>
        <v>42.8540056818182</v>
      </c>
      <c r="Y2334" s="55" t="n">
        <f aca="false">W2334+ROW()*0.000000001</f>
        <v>-6.82128053009181</v>
      </c>
      <c r="Z2334" s="55" t="n">
        <f aca="false">X2334+ROW()*0.000000001</f>
        <v>42.8540080158182</v>
      </c>
    </row>
    <row r="2335" customFormat="false" ht="15" hidden="false" customHeight="false" outlineLevel="0" collapsed="false">
      <c r="A2335" s="0" t="n">
        <v>8</v>
      </c>
      <c r="B2335" s="0" t="n">
        <v>1</v>
      </c>
      <c r="C2335" s="0" t="n">
        <v>1</v>
      </c>
      <c r="D2335" s="0" t="n">
        <f aca="false">-1+A2335*0.125</f>
        <v>0</v>
      </c>
      <c r="E2335" s="0" t="n">
        <f aca="false">-1+B2335*0.125</f>
        <v>-0.875</v>
      </c>
      <c r="F2335" s="0" t="n">
        <f aca="false">-1+C2335*0.125</f>
        <v>-0.875</v>
      </c>
      <c r="G2335" s="0" t="n">
        <f aca="false">1</f>
        <v>1</v>
      </c>
      <c r="H2335" s="0" t="n">
        <f aca="false">D2335</f>
        <v>0</v>
      </c>
      <c r="I2335" s="0" t="n">
        <f aca="false">E2335</f>
        <v>-0.875</v>
      </c>
      <c r="J2335" s="0" t="n">
        <f aca="false">F2335</f>
        <v>-0.875</v>
      </c>
      <c r="K2335" s="0" t="n">
        <f aca="false">D2335*E2335</f>
        <v>-0</v>
      </c>
      <c r="L2335" s="0" t="n">
        <f aca="false">D2335*F2335</f>
        <v>-0</v>
      </c>
      <c r="M2335" s="0" t="n">
        <f aca="false">E2335*F2335</f>
        <v>0.765625</v>
      </c>
      <c r="N2335" s="0" t="n">
        <f aca="false">D2335*D2335</f>
        <v>0</v>
      </c>
      <c r="O2335" s="0" t="n">
        <f aca="false">E2335*E2335</f>
        <v>0.765625</v>
      </c>
      <c r="P2335" s="0" t="n">
        <f aca="false">F2335*F2335</f>
        <v>0.765625</v>
      </c>
      <c r="Q2335" s="0" t="n">
        <f aca="false">SUMPRODUCT(G2335:P2335,_XtX!$B$71:$K$71)</f>
        <v>43.2532102272728</v>
      </c>
      <c r="R2335" s="0" t="n">
        <f aca="false">SUMPRODUCT(MMULT(G2335:P2335,_XtX!$B$58:$K$67),G2335:P2335)</f>
        <v>0.471821178089489</v>
      </c>
      <c r="S2335" s="0" t="n">
        <f aca="false">04_回帰ANOVA!$K$19*04_回帰ANOVA!$K$14*SQRT(1+R2335)</f>
        <v>1.12796119746125</v>
      </c>
      <c r="T2335" s="0" t="n">
        <f aca="false">Q2335-S2335</f>
        <v>42.1252490298115</v>
      </c>
      <c r="U2335" s="0" t="n">
        <f aca="false">Q2335+S2335</f>
        <v>44.381171424734</v>
      </c>
      <c r="V2335" s="54" t="b">
        <f aca="false">AND(D2335&gt;=01_因子設定!$L$5-0.000000001,D2335&lt;=01_因子設定!$M$5+0.000000001,E2335&gt;=01_因子設定!$L$6-0.000000001,E2335&lt;=01_因子設定!$M$6+0.000000001,F2335&gt;=01_因子設定!$L$7-0.000000001,F2335&lt;=01_因子設定!$M$7+0.000000001,IF(01_因子設定!$B$20="Box-Behnken",D2335^2+E2335^2+F2335^2&lt;=2+0.000000001,TRUE()))</f>
        <v>1</v>
      </c>
      <c r="W2335" s="55" t="n">
        <f aca="false">IF(V2335,IF(01_因子設定!$B$13="最大化",T2335-01_因子設定!$B$14,IF(01_因子設定!$B$13="最小化",01_因子設定!$B$15-U2335,MIN(T2335-01_因子設定!$B$14,01_因子設定!$B$15-U2335))),-1E+030)</f>
        <v>-6.3747509701885</v>
      </c>
      <c r="X2335" s="55" t="n">
        <f aca="false">IF(V2335,IF(01_因子設定!$B$13="最大化",Q2335,IF(01_因子設定!$B$13="最小化",-Q2335,-ABS(Q2335-01_因子設定!$B$16))),-1E+030)</f>
        <v>43.2532102272728</v>
      </c>
      <c r="Y2335" s="55" t="n">
        <f aca="false">W2335+ROW()*0.000000001</f>
        <v>-6.3747486351885</v>
      </c>
      <c r="Z2335" s="55" t="n">
        <f aca="false">X2335+ROW()*0.000000001</f>
        <v>43.2532125622728</v>
      </c>
    </row>
    <row r="2336" customFormat="false" ht="15" hidden="false" customHeight="false" outlineLevel="0" collapsed="false">
      <c r="A2336" s="0" t="n">
        <v>8</v>
      </c>
      <c r="B2336" s="0" t="n">
        <v>1</v>
      </c>
      <c r="C2336" s="0" t="n">
        <v>2</v>
      </c>
      <c r="D2336" s="0" t="n">
        <f aca="false">-1+A2336*0.125</f>
        <v>0</v>
      </c>
      <c r="E2336" s="0" t="n">
        <f aca="false">-1+B2336*0.125</f>
        <v>-0.875</v>
      </c>
      <c r="F2336" s="0" t="n">
        <f aca="false">-1+C2336*0.125</f>
        <v>-0.75</v>
      </c>
      <c r="G2336" s="0" t="n">
        <f aca="false">1</f>
        <v>1</v>
      </c>
      <c r="H2336" s="0" t="n">
        <f aca="false">D2336</f>
        <v>0</v>
      </c>
      <c r="I2336" s="0" t="n">
        <f aca="false">E2336</f>
        <v>-0.875</v>
      </c>
      <c r="J2336" s="0" t="n">
        <f aca="false">F2336</f>
        <v>-0.75</v>
      </c>
      <c r="K2336" s="0" t="n">
        <f aca="false">D2336*E2336</f>
        <v>-0</v>
      </c>
      <c r="L2336" s="0" t="n">
        <f aca="false">D2336*F2336</f>
        <v>-0</v>
      </c>
      <c r="M2336" s="0" t="n">
        <f aca="false">E2336*F2336</f>
        <v>0.65625</v>
      </c>
      <c r="N2336" s="0" t="n">
        <f aca="false">D2336*D2336</f>
        <v>0</v>
      </c>
      <c r="O2336" s="0" t="n">
        <f aca="false">E2336*E2336</f>
        <v>0.765625</v>
      </c>
      <c r="P2336" s="0" t="n">
        <f aca="false">F2336*F2336</f>
        <v>0.5625</v>
      </c>
      <c r="Q2336" s="0" t="n">
        <f aca="false">SUMPRODUCT(G2336:P2336,_XtX!$B$71:$K$71)</f>
        <v>43.615625</v>
      </c>
      <c r="R2336" s="0" t="n">
        <f aca="false">SUMPRODUCT(MMULT(G2336:P2336,_XtX!$B$58:$K$67),G2336:P2336)</f>
        <v>0.3948486328125</v>
      </c>
      <c r="S2336" s="0" t="n">
        <f aca="false">04_回帰ANOVA!$K$19*04_回帰ANOVA!$K$14*SQRT(1+R2336)</f>
        <v>1.09807037952996</v>
      </c>
      <c r="T2336" s="0" t="n">
        <f aca="false">Q2336-S2336</f>
        <v>42.5175546204701</v>
      </c>
      <c r="U2336" s="0" t="n">
        <f aca="false">Q2336+S2336</f>
        <v>44.71369537953</v>
      </c>
      <c r="V2336" s="54" t="b">
        <f aca="false">AND(D2336&gt;=01_因子設定!$L$5-0.000000001,D2336&lt;=01_因子設定!$M$5+0.000000001,E2336&gt;=01_因子設定!$L$6-0.000000001,E2336&lt;=01_因子設定!$M$6+0.000000001,F2336&gt;=01_因子設定!$L$7-0.000000001,F2336&lt;=01_因子設定!$M$7+0.000000001,IF(01_因子設定!$B$20="Box-Behnken",D2336^2+E2336^2+F2336^2&lt;=2+0.000000001,TRUE()))</f>
        <v>1</v>
      </c>
      <c r="W2336" s="55" t="n">
        <f aca="false">IF(V2336,IF(01_因子設定!$B$13="最大化",T2336-01_因子設定!$B$14,IF(01_因子設定!$B$13="最小化",01_因子設定!$B$15-U2336,MIN(T2336-01_因子設定!$B$14,01_因子設定!$B$15-U2336))),-1E+030)</f>
        <v>-5.98244537952994</v>
      </c>
      <c r="X2336" s="55" t="n">
        <f aca="false">IF(V2336,IF(01_因子設定!$B$13="最大化",Q2336,IF(01_因子設定!$B$13="最小化",-Q2336,-ABS(Q2336-01_因子設定!$B$16))),-1E+030)</f>
        <v>43.615625</v>
      </c>
      <c r="Y2336" s="55" t="n">
        <f aca="false">W2336+ROW()*0.000000001</f>
        <v>-5.98244304352994</v>
      </c>
      <c r="Z2336" s="55" t="n">
        <f aca="false">X2336+ROW()*0.000000001</f>
        <v>43.615627336</v>
      </c>
    </row>
    <row r="2337" customFormat="false" ht="15" hidden="false" customHeight="false" outlineLevel="0" collapsed="false">
      <c r="A2337" s="0" t="n">
        <v>8</v>
      </c>
      <c r="B2337" s="0" t="n">
        <v>1</v>
      </c>
      <c r="C2337" s="0" t="n">
        <v>3</v>
      </c>
      <c r="D2337" s="0" t="n">
        <f aca="false">-1+A2337*0.125</f>
        <v>0</v>
      </c>
      <c r="E2337" s="0" t="n">
        <f aca="false">-1+B2337*0.125</f>
        <v>-0.875</v>
      </c>
      <c r="F2337" s="0" t="n">
        <f aca="false">-1+C2337*0.125</f>
        <v>-0.625</v>
      </c>
      <c r="G2337" s="0" t="n">
        <f aca="false">1</f>
        <v>1</v>
      </c>
      <c r="H2337" s="0" t="n">
        <f aca="false">D2337</f>
        <v>0</v>
      </c>
      <c r="I2337" s="0" t="n">
        <f aca="false">E2337</f>
        <v>-0.875</v>
      </c>
      <c r="J2337" s="0" t="n">
        <f aca="false">F2337</f>
        <v>-0.625</v>
      </c>
      <c r="K2337" s="0" t="n">
        <f aca="false">D2337*E2337</f>
        <v>-0</v>
      </c>
      <c r="L2337" s="0" t="n">
        <f aca="false">D2337*F2337</f>
        <v>-0</v>
      </c>
      <c r="M2337" s="0" t="n">
        <f aca="false">E2337*F2337</f>
        <v>0.546875</v>
      </c>
      <c r="N2337" s="0" t="n">
        <f aca="false">D2337*D2337</f>
        <v>0</v>
      </c>
      <c r="O2337" s="0" t="n">
        <f aca="false">E2337*E2337</f>
        <v>0.765625</v>
      </c>
      <c r="P2337" s="0" t="n">
        <f aca="false">F2337*F2337</f>
        <v>0.390625</v>
      </c>
      <c r="Q2337" s="0" t="n">
        <f aca="false">SUMPRODUCT(G2337:P2337,_XtX!$B$71:$K$71)</f>
        <v>43.94125</v>
      </c>
      <c r="R2337" s="0" t="n">
        <f aca="false">SUMPRODUCT(MMULT(G2337:P2337,_XtX!$B$58:$K$67),G2337:P2337)</f>
        <v>0.353155517578125</v>
      </c>
      <c r="S2337" s="0" t="n">
        <f aca="false">04_回帰ANOVA!$K$19*04_回帰ANOVA!$K$14*SQRT(1+R2337)</f>
        <v>1.08153478594098</v>
      </c>
      <c r="T2337" s="0" t="n">
        <f aca="false">Q2337-S2337</f>
        <v>42.859715214059</v>
      </c>
      <c r="U2337" s="0" t="n">
        <f aca="false">Q2337+S2337</f>
        <v>45.022784785941</v>
      </c>
      <c r="V2337" s="54" t="b">
        <f aca="false">AND(D2337&gt;=01_因子設定!$L$5-0.000000001,D2337&lt;=01_因子設定!$M$5+0.000000001,E2337&gt;=01_因子設定!$L$6-0.000000001,E2337&lt;=01_因子設定!$M$6+0.000000001,F2337&gt;=01_因子設定!$L$7-0.000000001,F2337&lt;=01_因子設定!$M$7+0.000000001,IF(01_因子設定!$B$20="Box-Behnken",D2337^2+E2337^2+F2337^2&lt;=2+0.000000001,TRUE()))</f>
        <v>1</v>
      </c>
      <c r="W2337" s="55" t="n">
        <f aca="false">IF(V2337,IF(01_因子設定!$B$13="最大化",T2337-01_因子設定!$B$14,IF(01_因子設定!$B$13="最小化",01_因子設定!$B$15-U2337,MIN(T2337-01_因子設定!$B$14,01_因子設定!$B$15-U2337))),-1E+030)</f>
        <v>-5.64028478594096</v>
      </c>
      <c r="X2337" s="55" t="n">
        <f aca="false">IF(V2337,IF(01_因子設定!$B$13="最大化",Q2337,IF(01_因子設定!$B$13="最小化",-Q2337,-ABS(Q2337-01_因子設定!$B$16))),-1E+030)</f>
        <v>43.94125</v>
      </c>
      <c r="Y2337" s="55" t="n">
        <f aca="false">W2337+ROW()*0.000000001</f>
        <v>-5.64028244894096</v>
      </c>
      <c r="Z2337" s="55" t="n">
        <f aca="false">X2337+ROW()*0.000000001</f>
        <v>43.941252337</v>
      </c>
    </row>
    <row r="2338" customFormat="false" ht="15" hidden="false" customHeight="false" outlineLevel="0" collapsed="false">
      <c r="A2338" s="0" t="n">
        <v>8</v>
      </c>
      <c r="B2338" s="0" t="n">
        <v>1</v>
      </c>
      <c r="C2338" s="0" t="n">
        <v>4</v>
      </c>
      <c r="D2338" s="0" t="n">
        <f aca="false">-1+A2338*0.125</f>
        <v>0</v>
      </c>
      <c r="E2338" s="0" t="n">
        <f aca="false">-1+B2338*0.125</f>
        <v>-0.875</v>
      </c>
      <c r="F2338" s="0" t="n">
        <f aca="false">-1+C2338*0.125</f>
        <v>-0.5</v>
      </c>
      <c r="G2338" s="0" t="n">
        <f aca="false">1</f>
        <v>1</v>
      </c>
      <c r="H2338" s="0" t="n">
        <f aca="false">D2338</f>
        <v>0</v>
      </c>
      <c r="I2338" s="0" t="n">
        <f aca="false">E2338</f>
        <v>-0.875</v>
      </c>
      <c r="J2338" s="0" t="n">
        <f aca="false">F2338</f>
        <v>-0.5</v>
      </c>
      <c r="K2338" s="0" t="n">
        <f aca="false">D2338*E2338</f>
        <v>-0</v>
      </c>
      <c r="L2338" s="0" t="n">
        <f aca="false">D2338*F2338</f>
        <v>-0</v>
      </c>
      <c r="M2338" s="0" t="n">
        <f aca="false">E2338*F2338</f>
        <v>0.4375</v>
      </c>
      <c r="N2338" s="0" t="n">
        <f aca="false">D2338*D2338</f>
        <v>0</v>
      </c>
      <c r="O2338" s="0" t="n">
        <f aca="false">E2338*E2338</f>
        <v>0.765625</v>
      </c>
      <c r="P2338" s="0" t="n">
        <f aca="false">F2338*F2338</f>
        <v>0.25</v>
      </c>
      <c r="Q2338" s="0" t="n">
        <f aca="false">SUMPRODUCT(G2338:P2338,_XtX!$B$71:$K$71)</f>
        <v>44.2300852272727</v>
      </c>
      <c r="R2338" s="0" t="n">
        <f aca="false">SUMPRODUCT(MMULT(G2338:P2338,_XtX!$B$58:$K$67),G2338:P2338)</f>
        <v>0.335023082386364</v>
      </c>
      <c r="S2338" s="0" t="n">
        <f aca="false">04_回帰ANOVA!$K$19*04_回帰ANOVA!$K$14*SQRT(1+R2338)</f>
        <v>1.07426400295275</v>
      </c>
      <c r="T2338" s="0" t="n">
        <f aca="false">Q2338-S2338</f>
        <v>43.15582122432</v>
      </c>
      <c r="U2338" s="0" t="n">
        <f aca="false">Q2338+S2338</f>
        <v>45.3043492302255</v>
      </c>
      <c r="V2338" s="54" t="b">
        <f aca="false">AND(D2338&gt;=01_因子設定!$L$5-0.000000001,D2338&lt;=01_因子設定!$M$5+0.000000001,E2338&gt;=01_因子設定!$L$6-0.000000001,E2338&lt;=01_因子設定!$M$6+0.000000001,F2338&gt;=01_因子設定!$L$7-0.000000001,F2338&lt;=01_因子設定!$M$7+0.000000001,IF(01_因子設定!$B$20="Box-Behnken",D2338^2+E2338^2+F2338^2&lt;=2+0.000000001,TRUE()))</f>
        <v>1</v>
      </c>
      <c r="W2338" s="55" t="n">
        <f aca="false">IF(V2338,IF(01_因子設定!$B$13="最大化",T2338-01_因子設定!$B$14,IF(01_因子設定!$B$13="最小化",01_因子設定!$B$15-U2338,MIN(T2338-01_因子設定!$B$14,01_因子設定!$B$15-U2338))),-1E+030)</f>
        <v>-5.34417877568001</v>
      </c>
      <c r="X2338" s="55" t="n">
        <f aca="false">IF(V2338,IF(01_因子設定!$B$13="最大化",Q2338,IF(01_因子設定!$B$13="最小化",-Q2338,-ABS(Q2338-01_因子設定!$B$16))),-1E+030)</f>
        <v>44.2300852272727</v>
      </c>
      <c r="Y2338" s="55" t="n">
        <f aca="false">W2338+ROW()*0.000000001</f>
        <v>-5.34417643768001</v>
      </c>
      <c r="Z2338" s="55" t="n">
        <f aca="false">X2338+ROW()*0.000000001</f>
        <v>44.2300875652728</v>
      </c>
    </row>
    <row r="2339" customFormat="false" ht="15" hidden="false" customHeight="false" outlineLevel="0" collapsed="false">
      <c r="A2339" s="0" t="n">
        <v>8</v>
      </c>
      <c r="B2339" s="0" t="n">
        <v>1</v>
      </c>
      <c r="C2339" s="0" t="n">
        <v>5</v>
      </c>
      <c r="D2339" s="0" t="n">
        <f aca="false">-1+A2339*0.125</f>
        <v>0</v>
      </c>
      <c r="E2339" s="0" t="n">
        <f aca="false">-1+B2339*0.125</f>
        <v>-0.875</v>
      </c>
      <c r="F2339" s="0" t="n">
        <f aca="false">-1+C2339*0.125</f>
        <v>-0.375</v>
      </c>
      <c r="G2339" s="0" t="n">
        <f aca="false">1</f>
        <v>1</v>
      </c>
      <c r="H2339" s="0" t="n">
        <f aca="false">D2339</f>
        <v>0</v>
      </c>
      <c r="I2339" s="0" t="n">
        <f aca="false">E2339</f>
        <v>-0.875</v>
      </c>
      <c r="J2339" s="0" t="n">
        <f aca="false">F2339</f>
        <v>-0.375</v>
      </c>
      <c r="K2339" s="0" t="n">
        <f aca="false">D2339*E2339</f>
        <v>-0</v>
      </c>
      <c r="L2339" s="0" t="n">
        <f aca="false">D2339*F2339</f>
        <v>-0</v>
      </c>
      <c r="M2339" s="0" t="n">
        <f aca="false">E2339*F2339</f>
        <v>0.328125</v>
      </c>
      <c r="N2339" s="0" t="n">
        <f aca="false">D2339*D2339</f>
        <v>0</v>
      </c>
      <c r="O2339" s="0" t="n">
        <f aca="false">E2339*E2339</f>
        <v>0.765625</v>
      </c>
      <c r="P2339" s="0" t="n">
        <f aca="false">F2339*F2339</f>
        <v>0.140625</v>
      </c>
      <c r="Q2339" s="0" t="n">
        <f aca="false">SUMPRODUCT(G2339:P2339,_XtX!$B$71:$K$71)</f>
        <v>44.4821306818182</v>
      </c>
      <c r="R2339" s="0" t="n">
        <f aca="false">SUMPRODUCT(MMULT(G2339:P2339,_XtX!$B$58:$K$67),G2339:P2339)</f>
        <v>0.330863259055398</v>
      </c>
      <c r="S2339" s="0" t="n">
        <f aca="false">04_回帰ANOVA!$K$19*04_回帰ANOVA!$K$14*SQRT(1+R2339)</f>
        <v>1.07258903754571</v>
      </c>
      <c r="T2339" s="0" t="n">
        <f aca="false">Q2339-S2339</f>
        <v>43.4095416442725</v>
      </c>
      <c r="U2339" s="0" t="n">
        <f aca="false">Q2339+S2339</f>
        <v>45.5547197193639</v>
      </c>
      <c r="V2339" s="54" t="b">
        <f aca="false">AND(D2339&gt;=01_因子設定!$L$5-0.000000001,D2339&lt;=01_因子設定!$M$5+0.000000001,E2339&gt;=01_因子設定!$L$6-0.000000001,E2339&lt;=01_因子設定!$M$6+0.000000001,F2339&gt;=01_因子設定!$L$7-0.000000001,F2339&lt;=01_因子設定!$M$7+0.000000001,IF(01_因子設定!$B$20="Box-Behnken",D2339^2+E2339^2+F2339^2&lt;=2+0.000000001,TRUE()))</f>
        <v>1</v>
      </c>
      <c r="W2339" s="55" t="n">
        <f aca="false">IF(V2339,IF(01_因子設定!$B$13="最大化",T2339-01_因子設定!$B$14,IF(01_因子設定!$B$13="最小化",01_因子設定!$B$15-U2339,MIN(T2339-01_因子設定!$B$14,01_因子設定!$B$15-U2339))),-1E+030)</f>
        <v>-5.09045835572751</v>
      </c>
      <c r="X2339" s="55" t="n">
        <f aca="false">IF(V2339,IF(01_因子設定!$B$13="最大化",Q2339,IF(01_因子設定!$B$13="最小化",-Q2339,-ABS(Q2339-01_因子設定!$B$16))),-1E+030)</f>
        <v>44.4821306818182</v>
      </c>
      <c r="Y2339" s="55" t="n">
        <f aca="false">W2339+ROW()*0.000000001</f>
        <v>-5.09045601672751</v>
      </c>
      <c r="Z2339" s="55" t="n">
        <f aca="false">X2339+ROW()*0.000000001</f>
        <v>44.4821330208182</v>
      </c>
    </row>
    <row r="2340" customFormat="false" ht="15" hidden="false" customHeight="false" outlineLevel="0" collapsed="false">
      <c r="A2340" s="0" t="n">
        <v>8</v>
      </c>
      <c r="B2340" s="0" t="n">
        <v>1</v>
      </c>
      <c r="C2340" s="0" t="n">
        <v>6</v>
      </c>
      <c r="D2340" s="0" t="n">
        <f aca="false">-1+A2340*0.125</f>
        <v>0</v>
      </c>
      <c r="E2340" s="0" t="n">
        <f aca="false">-1+B2340*0.125</f>
        <v>-0.875</v>
      </c>
      <c r="F2340" s="0" t="n">
        <f aca="false">-1+C2340*0.125</f>
        <v>-0.25</v>
      </c>
      <c r="G2340" s="0" t="n">
        <f aca="false">1</f>
        <v>1</v>
      </c>
      <c r="H2340" s="0" t="n">
        <f aca="false">D2340</f>
        <v>0</v>
      </c>
      <c r="I2340" s="0" t="n">
        <f aca="false">E2340</f>
        <v>-0.875</v>
      </c>
      <c r="J2340" s="0" t="n">
        <f aca="false">F2340</f>
        <v>-0.25</v>
      </c>
      <c r="K2340" s="0" t="n">
        <f aca="false">D2340*E2340</f>
        <v>-0</v>
      </c>
      <c r="L2340" s="0" t="n">
        <f aca="false">D2340*F2340</f>
        <v>-0</v>
      </c>
      <c r="M2340" s="0" t="n">
        <f aca="false">E2340*F2340</f>
        <v>0.21875</v>
      </c>
      <c r="N2340" s="0" t="n">
        <f aca="false">D2340*D2340</f>
        <v>0</v>
      </c>
      <c r="O2340" s="0" t="n">
        <f aca="false">E2340*E2340</f>
        <v>0.765625</v>
      </c>
      <c r="P2340" s="0" t="n">
        <f aca="false">F2340*F2340</f>
        <v>0.0625</v>
      </c>
      <c r="Q2340" s="0" t="n">
        <f aca="false">SUMPRODUCT(G2340:P2340,_XtX!$B$71:$K$71)</f>
        <v>44.6973863636364</v>
      </c>
      <c r="R2340" s="0" t="n">
        <f aca="false">SUMPRODUCT(MMULT(G2340:P2340,_XtX!$B$58:$K$67),G2340:P2340)</f>
        <v>0.333218661221591</v>
      </c>
      <c r="S2340" s="0" t="n">
        <f aca="false">04_回帰ANOVA!$K$19*04_回帰ANOVA!$K$14*SQRT(1+R2340)</f>
        <v>1.07353776826542</v>
      </c>
      <c r="T2340" s="0" t="n">
        <f aca="false">Q2340-S2340</f>
        <v>43.623848595371</v>
      </c>
      <c r="U2340" s="0" t="n">
        <f aca="false">Q2340+S2340</f>
        <v>45.7709241319018</v>
      </c>
      <c r="V2340" s="54" t="b">
        <f aca="false">AND(D2340&gt;=01_因子設定!$L$5-0.000000001,D2340&lt;=01_因子設定!$M$5+0.000000001,E2340&gt;=01_因子設定!$L$6-0.000000001,E2340&lt;=01_因子設定!$M$6+0.000000001,F2340&gt;=01_因子設定!$L$7-0.000000001,F2340&lt;=01_因子設定!$M$7+0.000000001,IF(01_因子設定!$B$20="Box-Behnken",D2340^2+E2340^2+F2340^2&lt;=2+0.000000001,TRUE()))</f>
        <v>1</v>
      </c>
      <c r="W2340" s="55" t="n">
        <f aca="false">IF(V2340,IF(01_因子設定!$B$13="最大化",T2340-01_因子設定!$B$14,IF(01_因子設定!$B$13="最小化",01_因子設定!$B$15-U2340,MIN(T2340-01_因子設定!$B$14,01_因子設定!$B$15-U2340))),-1E+030)</f>
        <v>-4.87615140462904</v>
      </c>
      <c r="X2340" s="55" t="n">
        <f aca="false">IF(V2340,IF(01_因子設定!$B$13="最大化",Q2340,IF(01_因子設定!$B$13="最小化",-Q2340,-ABS(Q2340-01_因子設定!$B$16))),-1E+030)</f>
        <v>44.6973863636364</v>
      </c>
      <c r="Y2340" s="55" t="n">
        <f aca="false">W2340+ROW()*0.000000001</f>
        <v>-4.87614906462904</v>
      </c>
      <c r="Z2340" s="55" t="n">
        <f aca="false">X2340+ROW()*0.000000001</f>
        <v>44.6973887036364</v>
      </c>
    </row>
    <row r="2341" customFormat="false" ht="15" hidden="false" customHeight="false" outlineLevel="0" collapsed="false">
      <c r="A2341" s="0" t="n">
        <v>8</v>
      </c>
      <c r="B2341" s="0" t="n">
        <v>1</v>
      </c>
      <c r="C2341" s="0" t="n">
        <v>7</v>
      </c>
      <c r="D2341" s="0" t="n">
        <f aca="false">-1+A2341*0.125</f>
        <v>0</v>
      </c>
      <c r="E2341" s="0" t="n">
        <f aca="false">-1+B2341*0.125</f>
        <v>-0.875</v>
      </c>
      <c r="F2341" s="0" t="n">
        <f aca="false">-1+C2341*0.125</f>
        <v>-0.125</v>
      </c>
      <c r="G2341" s="0" t="n">
        <f aca="false">1</f>
        <v>1</v>
      </c>
      <c r="H2341" s="0" t="n">
        <f aca="false">D2341</f>
        <v>0</v>
      </c>
      <c r="I2341" s="0" t="n">
        <f aca="false">E2341</f>
        <v>-0.875</v>
      </c>
      <c r="J2341" s="0" t="n">
        <f aca="false">F2341</f>
        <v>-0.125</v>
      </c>
      <c r="K2341" s="0" t="n">
        <f aca="false">D2341*E2341</f>
        <v>-0</v>
      </c>
      <c r="L2341" s="0" t="n">
        <f aca="false">D2341*F2341</f>
        <v>-0</v>
      </c>
      <c r="M2341" s="0" t="n">
        <f aca="false">E2341*F2341</f>
        <v>0.109375</v>
      </c>
      <c r="N2341" s="0" t="n">
        <f aca="false">D2341*D2341</f>
        <v>0</v>
      </c>
      <c r="O2341" s="0" t="n">
        <f aca="false">E2341*E2341</f>
        <v>0.765625</v>
      </c>
      <c r="P2341" s="0" t="n">
        <f aca="false">F2341*F2341</f>
        <v>0.015625</v>
      </c>
      <c r="Q2341" s="0" t="n">
        <f aca="false">SUMPRODUCT(G2341:P2341,_XtX!$B$71:$K$71)</f>
        <v>44.8758522727273</v>
      </c>
      <c r="R2341" s="0" t="n">
        <f aca="false">SUMPRODUCT(MMULT(G2341:P2341,_XtX!$B$58:$K$67),G2341:P2341)</f>
        <v>0.336762584339489</v>
      </c>
      <c r="S2341" s="0" t="n">
        <f aca="false">04_回帰ANOVA!$K$19*04_回帰ANOVA!$K$14*SQRT(1+R2341)</f>
        <v>1.07496364479411</v>
      </c>
      <c r="T2341" s="0" t="n">
        <f aca="false">Q2341-S2341</f>
        <v>43.8008886279332</v>
      </c>
      <c r="U2341" s="0" t="n">
        <f aca="false">Q2341+S2341</f>
        <v>45.9508159175214</v>
      </c>
      <c r="V2341" s="54" t="b">
        <f aca="false">AND(D2341&gt;=01_因子設定!$L$5-0.000000001,D2341&lt;=01_因子設定!$M$5+0.000000001,E2341&gt;=01_因子設定!$L$6-0.000000001,E2341&lt;=01_因子設定!$M$6+0.000000001,F2341&gt;=01_因子設定!$L$7-0.000000001,F2341&lt;=01_因子設定!$M$7+0.000000001,IF(01_因子設定!$B$20="Box-Behnken",D2341^2+E2341^2+F2341^2&lt;=2+0.000000001,TRUE()))</f>
        <v>1</v>
      </c>
      <c r="W2341" s="55" t="n">
        <f aca="false">IF(V2341,IF(01_因子設定!$B$13="最大化",T2341-01_因子設定!$B$14,IF(01_因子設定!$B$13="最小化",01_因子設定!$B$15-U2341,MIN(T2341-01_因子設定!$B$14,01_因子設定!$B$15-U2341))),-1E+030)</f>
        <v>-4.69911137206682</v>
      </c>
      <c r="X2341" s="55" t="n">
        <f aca="false">IF(V2341,IF(01_因子設定!$B$13="最大化",Q2341,IF(01_因子設定!$B$13="最小化",-Q2341,-ABS(Q2341-01_因子設定!$B$16))),-1E+030)</f>
        <v>44.8758522727273</v>
      </c>
      <c r="Y2341" s="55" t="n">
        <f aca="false">W2341+ROW()*0.000000001</f>
        <v>-4.69910903106682</v>
      </c>
      <c r="Z2341" s="55" t="n">
        <f aca="false">X2341+ROW()*0.000000001</f>
        <v>44.8758546137273</v>
      </c>
    </row>
    <row r="2342" customFormat="false" ht="15" hidden="false" customHeight="false" outlineLevel="0" collapsed="false">
      <c r="A2342" s="0" t="n">
        <v>8</v>
      </c>
      <c r="B2342" s="0" t="n">
        <v>1</v>
      </c>
      <c r="C2342" s="0" t="n">
        <v>8</v>
      </c>
      <c r="D2342" s="0" t="n">
        <f aca="false">-1+A2342*0.125</f>
        <v>0</v>
      </c>
      <c r="E2342" s="0" t="n">
        <f aca="false">-1+B2342*0.125</f>
        <v>-0.875</v>
      </c>
      <c r="F2342" s="0" t="n">
        <f aca="false">-1+C2342*0.125</f>
        <v>0</v>
      </c>
      <c r="G2342" s="0" t="n">
        <f aca="false">1</f>
        <v>1</v>
      </c>
      <c r="H2342" s="0" t="n">
        <f aca="false">D2342</f>
        <v>0</v>
      </c>
      <c r="I2342" s="0" t="n">
        <f aca="false">E2342</f>
        <v>-0.875</v>
      </c>
      <c r="J2342" s="0" t="n">
        <f aca="false">F2342</f>
        <v>0</v>
      </c>
      <c r="K2342" s="0" t="n">
        <f aca="false">D2342*E2342</f>
        <v>-0</v>
      </c>
      <c r="L2342" s="0" t="n">
        <f aca="false">D2342*F2342</f>
        <v>0</v>
      </c>
      <c r="M2342" s="0" t="n">
        <f aca="false">E2342*F2342</f>
        <v>-0</v>
      </c>
      <c r="N2342" s="0" t="n">
        <f aca="false">D2342*D2342</f>
        <v>0</v>
      </c>
      <c r="O2342" s="0" t="n">
        <f aca="false">E2342*E2342</f>
        <v>0.765625</v>
      </c>
      <c r="P2342" s="0" t="n">
        <f aca="false">F2342*F2342</f>
        <v>0</v>
      </c>
      <c r="Q2342" s="0" t="n">
        <f aca="false">SUMPRODUCT(G2342:P2342,_XtX!$B$71:$K$71)</f>
        <v>45.0175284090909</v>
      </c>
      <c r="R2342" s="0" t="n">
        <f aca="false">SUMPRODUCT(MMULT(G2342:P2342,_XtX!$B$58:$K$67),G2342:P2342)</f>
        <v>0.338299005681818</v>
      </c>
      <c r="S2342" s="0" t="n">
        <f aca="false">04_回帰ANOVA!$K$19*04_回帰ANOVA!$K$14*SQRT(1+R2342)</f>
        <v>1.07558122745542</v>
      </c>
      <c r="T2342" s="0" t="n">
        <f aca="false">Q2342-S2342</f>
        <v>43.9419471816355</v>
      </c>
      <c r="U2342" s="0" t="n">
        <f aca="false">Q2342+S2342</f>
        <v>46.0931096365463</v>
      </c>
      <c r="V2342" s="54" t="b">
        <f aca="false">AND(D2342&gt;=01_因子設定!$L$5-0.000000001,D2342&lt;=01_因子設定!$M$5+0.000000001,E2342&gt;=01_因子設定!$L$6-0.000000001,E2342&lt;=01_因子設定!$M$6+0.000000001,F2342&gt;=01_因子設定!$L$7-0.000000001,F2342&lt;=01_因子設定!$M$7+0.000000001,IF(01_因子設定!$B$20="Box-Behnken",D2342^2+E2342^2+F2342^2&lt;=2+0.000000001,TRUE()))</f>
        <v>1</v>
      </c>
      <c r="W2342" s="55" t="n">
        <f aca="false">IF(V2342,IF(01_因子設定!$B$13="最大化",T2342-01_因子設定!$B$14,IF(01_因子設定!$B$13="最小化",01_因子設定!$B$15-U2342,MIN(T2342-01_因子設定!$B$14,01_因子設定!$B$15-U2342))),-1E+030)</f>
        <v>-4.55805281836449</v>
      </c>
      <c r="X2342" s="55" t="n">
        <f aca="false">IF(V2342,IF(01_因子設定!$B$13="最大化",Q2342,IF(01_因子設定!$B$13="最小化",-Q2342,-ABS(Q2342-01_因子設定!$B$16))),-1E+030)</f>
        <v>45.0175284090909</v>
      </c>
      <c r="Y2342" s="55" t="n">
        <f aca="false">W2342+ROW()*0.000000001</f>
        <v>-4.55805047636449</v>
      </c>
      <c r="Z2342" s="55" t="n">
        <f aca="false">X2342+ROW()*0.000000001</f>
        <v>45.0175307510909</v>
      </c>
    </row>
    <row r="2343" customFormat="false" ht="15" hidden="false" customHeight="false" outlineLevel="0" collapsed="false">
      <c r="A2343" s="0" t="n">
        <v>8</v>
      </c>
      <c r="B2343" s="0" t="n">
        <v>1</v>
      </c>
      <c r="C2343" s="0" t="n">
        <v>9</v>
      </c>
      <c r="D2343" s="0" t="n">
        <f aca="false">-1+A2343*0.125</f>
        <v>0</v>
      </c>
      <c r="E2343" s="0" t="n">
        <f aca="false">-1+B2343*0.125</f>
        <v>-0.875</v>
      </c>
      <c r="F2343" s="0" t="n">
        <f aca="false">-1+C2343*0.125</f>
        <v>0.125</v>
      </c>
      <c r="G2343" s="0" t="n">
        <f aca="false">1</f>
        <v>1</v>
      </c>
      <c r="H2343" s="0" t="n">
        <f aca="false">D2343</f>
        <v>0</v>
      </c>
      <c r="I2343" s="0" t="n">
        <f aca="false">E2343</f>
        <v>-0.875</v>
      </c>
      <c r="J2343" s="0" t="n">
        <f aca="false">F2343</f>
        <v>0.125</v>
      </c>
      <c r="K2343" s="0" t="n">
        <f aca="false">D2343*E2343</f>
        <v>-0</v>
      </c>
      <c r="L2343" s="0" t="n">
        <f aca="false">D2343*F2343</f>
        <v>0</v>
      </c>
      <c r="M2343" s="0" t="n">
        <f aca="false">E2343*F2343</f>
        <v>-0.109375</v>
      </c>
      <c r="N2343" s="0" t="n">
        <f aca="false">D2343*D2343</f>
        <v>0</v>
      </c>
      <c r="O2343" s="0" t="n">
        <f aca="false">E2343*E2343</f>
        <v>0.765625</v>
      </c>
      <c r="P2343" s="0" t="n">
        <f aca="false">F2343*F2343</f>
        <v>0.015625</v>
      </c>
      <c r="Q2343" s="0" t="n">
        <f aca="false">SUMPRODUCT(G2343:P2343,_XtX!$B$71:$K$71)</f>
        <v>45.1224147727273</v>
      </c>
      <c r="R2343" s="0" t="n">
        <f aca="false">SUMPRODUCT(MMULT(G2343:P2343,_XtX!$B$58:$K$67),G2343:P2343)</f>
        <v>0.336762584339489</v>
      </c>
      <c r="S2343" s="0" t="n">
        <f aca="false">04_回帰ANOVA!$K$19*04_回帰ANOVA!$K$14*SQRT(1+R2343)</f>
        <v>1.07496364479411</v>
      </c>
      <c r="T2343" s="0" t="n">
        <f aca="false">Q2343-S2343</f>
        <v>44.0474511279332</v>
      </c>
      <c r="U2343" s="0" t="n">
        <f aca="false">Q2343+S2343</f>
        <v>46.1973784175214</v>
      </c>
      <c r="V2343" s="54" t="b">
        <f aca="false">AND(D2343&gt;=01_因子設定!$L$5-0.000000001,D2343&lt;=01_因子設定!$M$5+0.000000001,E2343&gt;=01_因子設定!$L$6-0.000000001,E2343&lt;=01_因子設定!$M$6+0.000000001,F2343&gt;=01_因子設定!$L$7-0.000000001,F2343&lt;=01_因子設定!$M$7+0.000000001,IF(01_因子設定!$B$20="Box-Behnken",D2343^2+E2343^2+F2343^2&lt;=2+0.000000001,TRUE()))</f>
        <v>1</v>
      </c>
      <c r="W2343" s="55" t="n">
        <f aca="false">IF(V2343,IF(01_因子設定!$B$13="最大化",T2343-01_因子設定!$B$14,IF(01_因子設定!$B$13="最小化",01_因子設定!$B$15-U2343,MIN(T2343-01_因子設定!$B$14,01_因子設定!$B$15-U2343))),-1E+030)</f>
        <v>-4.45254887206683</v>
      </c>
      <c r="X2343" s="55" t="n">
        <f aca="false">IF(V2343,IF(01_因子設定!$B$13="最大化",Q2343,IF(01_因子設定!$B$13="最小化",-Q2343,-ABS(Q2343-01_因子設定!$B$16))),-1E+030)</f>
        <v>45.1224147727273</v>
      </c>
      <c r="Y2343" s="55" t="n">
        <f aca="false">W2343+ROW()*0.000000001</f>
        <v>-4.45254652906683</v>
      </c>
      <c r="Z2343" s="55" t="n">
        <f aca="false">X2343+ROW()*0.000000001</f>
        <v>45.1224171157273</v>
      </c>
    </row>
    <row r="2344" customFormat="false" ht="15" hidden="false" customHeight="false" outlineLevel="0" collapsed="false">
      <c r="A2344" s="0" t="n">
        <v>8</v>
      </c>
      <c r="B2344" s="0" t="n">
        <v>1</v>
      </c>
      <c r="C2344" s="0" t="n">
        <v>10</v>
      </c>
      <c r="D2344" s="0" t="n">
        <f aca="false">-1+A2344*0.125</f>
        <v>0</v>
      </c>
      <c r="E2344" s="0" t="n">
        <f aca="false">-1+B2344*0.125</f>
        <v>-0.875</v>
      </c>
      <c r="F2344" s="0" t="n">
        <f aca="false">-1+C2344*0.125</f>
        <v>0.25</v>
      </c>
      <c r="G2344" s="0" t="n">
        <f aca="false">1</f>
        <v>1</v>
      </c>
      <c r="H2344" s="0" t="n">
        <f aca="false">D2344</f>
        <v>0</v>
      </c>
      <c r="I2344" s="0" t="n">
        <f aca="false">E2344</f>
        <v>-0.875</v>
      </c>
      <c r="J2344" s="0" t="n">
        <f aca="false">F2344</f>
        <v>0.25</v>
      </c>
      <c r="K2344" s="0" t="n">
        <f aca="false">D2344*E2344</f>
        <v>-0</v>
      </c>
      <c r="L2344" s="0" t="n">
        <f aca="false">D2344*F2344</f>
        <v>0</v>
      </c>
      <c r="M2344" s="0" t="n">
        <f aca="false">E2344*F2344</f>
        <v>-0.21875</v>
      </c>
      <c r="N2344" s="0" t="n">
        <f aca="false">D2344*D2344</f>
        <v>0</v>
      </c>
      <c r="O2344" s="0" t="n">
        <f aca="false">E2344*E2344</f>
        <v>0.765625</v>
      </c>
      <c r="P2344" s="0" t="n">
        <f aca="false">F2344*F2344</f>
        <v>0.0625</v>
      </c>
      <c r="Q2344" s="0" t="n">
        <f aca="false">SUMPRODUCT(G2344:P2344,_XtX!$B$71:$K$71)</f>
        <v>45.1905113636364</v>
      </c>
      <c r="R2344" s="0" t="n">
        <f aca="false">SUMPRODUCT(MMULT(G2344:P2344,_XtX!$B$58:$K$67),G2344:P2344)</f>
        <v>0.333218661221591</v>
      </c>
      <c r="S2344" s="0" t="n">
        <f aca="false">04_回帰ANOVA!$K$19*04_回帰ANOVA!$K$14*SQRT(1+R2344)</f>
        <v>1.07353776826542</v>
      </c>
      <c r="T2344" s="0" t="n">
        <f aca="false">Q2344-S2344</f>
        <v>44.116973595371</v>
      </c>
      <c r="U2344" s="0" t="n">
        <f aca="false">Q2344+S2344</f>
        <v>46.2640491319018</v>
      </c>
      <c r="V2344" s="54" t="b">
        <f aca="false">AND(D2344&gt;=01_因子設定!$L$5-0.000000001,D2344&lt;=01_因子設定!$M$5+0.000000001,E2344&gt;=01_因子設定!$L$6-0.000000001,E2344&lt;=01_因子設定!$M$6+0.000000001,F2344&gt;=01_因子設定!$L$7-0.000000001,F2344&lt;=01_因子設定!$M$7+0.000000001,IF(01_因子設定!$B$20="Box-Behnken",D2344^2+E2344^2+F2344^2&lt;=2+0.000000001,TRUE()))</f>
        <v>1</v>
      </c>
      <c r="W2344" s="55" t="n">
        <f aca="false">IF(V2344,IF(01_因子設定!$B$13="最大化",T2344-01_因子設定!$B$14,IF(01_因子設定!$B$13="最小化",01_因子設定!$B$15-U2344,MIN(T2344-01_因子設定!$B$14,01_因子設定!$B$15-U2344))),-1E+030)</f>
        <v>-4.38302640462904</v>
      </c>
      <c r="X2344" s="55" t="n">
        <f aca="false">IF(V2344,IF(01_因子設定!$B$13="最大化",Q2344,IF(01_因子設定!$B$13="最小化",-Q2344,-ABS(Q2344-01_因子設定!$B$16))),-1E+030)</f>
        <v>45.1905113636364</v>
      </c>
      <c r="Y2344" s="55" t="n">
        <f aca="false">W2344+ROW()*0.000000001</f>
        <v>-4.38302406062904</v>
      </c>
      <c r="Z2344" s="55" t="n">
        <f aca="false">X2344+ROW()*0.000000001</f>
        <v>45.1905137076364</v>
      </c>
    </row>
    <row r="2345" customFormat="false" ht="15" hidden="false" customHeight="false" outlineLevel="0" collapsed="false">
      <c r="A2345" s="0" t="n">
        <v>8</v>
      </c>
      <c r="B2345" s="0" t="n">
        <v>1</v>
      </c>
      <c r="C2345" s="0" t="n">
        <v>11</v>
      </c>
      <c r="D2345" s="0" t="n">
        <f aca="false">-1+A2345*0.125</f>
        <v>0</v>
      </c>
      <c r="E2345" s="0" t="n">
        <f aca="false">-1+B2345*0.125</f>
        <v>-0.875</v>
      </c>
      <c r="F2345" s="0" t="n">
        <f aca="false">-1+C2345*0.125</f>
        <v>0.375</v>
      </c>
      <c r="G2345" s="0" t="n">
        <f aca="false">1</f>
        <v>1</v>
      </c>
      <c r="H2345" s="0" t="n">
        <f aca="false">D2345</f>
        <v>0</v>
      </c>
      <c r="I2345" s="0" t="n">
        <f aca="false">E2345</f>
        <v>-0.875</v>
      </c>
      <c r="J2345" s="0" t="n">
        <f aca="false">F2345</f>
        <v>0.375</v>
      </c>
      <c r="K2345" s="0" t="n">
        <f aca="false">D2345*E2345</f>
        <v>-0</v>
      </c>
      <c r="L2345" s="0" t="n">
        <f aca="false">D2345*F2345</f>
        <v>0</v>
      </c>
      <c r="M2345" s="0" t="n">
        <f aca="false">E2345*F2345</f>
        <v>-0.328125</v>
      </c>
      <c r="N2345" s="0" t="n">
        <f aca="false">D2345*D2345</f>
        <v>0</v>
      </c>
      <c r="O2345" s="0" t="n">
        <f aca="false">E2345*E2345</f>
        <v>0.765625</v>
      </c>
      <c r="P2345" s="0" t="n">
        <f aca="false">F2345*F2345</f>
        <v>0.140625</v>
      </c>
      <c r="Q2345" s="0" t="n">
        <f aca="false">SUMPRODUCT(G2345:P2345,_XtX!$B$71:$K$71)</f>
        <v>45.2218181818182</v>
      </c>
      <c r="R2345" s="0" t="n">
        <f aca="false">SUMPRODUCT(MMULT(G2345:P2345,_XtX!$B$58:$K$67),G2345:P2345)</f>
        <v>0.330863259055398</v>
      </c>
      <c r="S2345" s="0" t="n">
        <f aca="false">04_回帰ANOVA!$K$19*04_回帰ANOVA!$K$14*SQRT(1+R2345)</f>
        <v>1.07258903754571</v>
      </c>
      <c r="T2345" s="0" t="n">
        <f aca="false">Q2345-S2345</f>
        <v>44.1492291442725</v>
      </c>
      <c r="U2345" s="0" t="n">
        <f aca="false">Q2345+S2345</f>
        <v>46.2944072193639</v>
      </c>
      <c r="V2345" s="54" t="b">
        <f aca="false">AND(D2345&gt;=01_因子設定!$L$5-0.000000001,D2345&lt;=01_因子設定!$M$5+0.000000001,E2345&gt;=01_因子設定!$L$6-0.000000001,E2345&lt;=01_因子設定!$M$6+0.000000001,F2345&gt;=01_因子設定!$L$7-0.000000001,F2345&lt;=01_因子設定!$M$7+0.000000001,IF(01_因子設定!$B$20="Box-Behnken",D2345^2+E2345^2+F2345^2&lt;=2+0.000000001,TRUE()))</f>
        <v>1</v>
      </c>
      <c r="W2345" s="55" t="n">
        <f aca="false">IF(V2345,IF(01_因子設定!$B$13="最大化",T2345-01_因子設定!$B$14,IF(01_因子設定!$B$13="最小化",01_因子設定!$B$15-U2345,MIN(T2345-01_因子設定!$B$14,01_因子設定!$B$15-U2345))),-1E+030)</f>
        <v>-4.35077085572751</v>
      </c>
      <c r="X2345" s="55" t="n">
        <f aca="false">IF(V2345,IF(01_因子設定!$B$13="最大化",Q2345,IF(01_因子設定!$B$13="最小化",-Q2345,-ABS(Q2345-01_因子設定!$B$16))),-1E+030)</f>
        <v>45.2218181818182</v>
      </c>
      <c r="Y2345" s="55" t="n">
        <f aca="false">W2345+ROW()*0.000000001</f>
        <v>-4.35076851072751</v>
      </c>
      <c r="Z2345" s="55" t="n">
        <f aca="false">X2345+ROW()*0.000000001</f>
        <v>45.2218205268182</v>
      </c>
    </row>
    <row r="2346" customFormat="false" ht="15" hidden="false" customHeight="false" outlineLevel="0" collapsed="false">
      <c r="A2346" s="0" t="n">
        <v>8</v>
      </c>
      <c r="B2346" s="0" t="n">
        <v>1</v>
      </c>
      <c r="C2346" s="0" t="n">
        <v>12</v>
      </c>
      <c r="D2346" s="0" t="n">
        <f aca="false">-1+A2346*0.125</f>
        <v>0</v>
      </c>
      <c r="E2346" s="0" t="n">
        <f aca="false">-1+B2346*0.125</f>
        <v>-0.875</v>
      </c>
      <c r="F2346" s="0" t="n">
        <f aca="false">-1+C2346*0.125</f>
        <v>0.5</v>
      </c>
      <c r="G2346" s="0" t="n">
        <f aca="false">1</f>
        <v>1</v>
      </c>
      <c r="H2346" s="0" t="n">
        <f aca="false">D2346</f>
        <v>0</v>
      </c>
      <c r="I2346" s="0" t="n">
        <f aca="false">E2346</f>
        <v>-0.875</v>
      </c>
      <c r="J2346" s="0" t="n">
        <f aca="false">F2346</f>
        <v>0.5</v>
      </c>
      <c r="K2346" s="0" t="n">
        <f aca="false">D2346*E2346</f>
        <v>-0</v>
      </c>
      <c r="L2346" s="0" t="n">
        <f aca="false">D2346*F2346</f>
        <v>0</v>
      </c>
      <c r="M2346" s="0" t="n">
        <f aca="false">E2346*F2346</f>
        <v>-0.4375</v>
      </c>
      <c r="N2346" s="0" t="n">
        <f aca="false">D2346*D2346</f>
        <v>0</v>
      </c>
      <c r="O2346" s="0" t="n">
        <f aca="false">E2346*E2346</f>
        <v>0.765625</v>
      </c>
      <c r="P2346" s="0" t="n">
        <f aca="false">F2346*F2346</f>
        <v>0.25</v>
      </c>
      <c r="Q2346" s="0" t="n">
        <f aca="false">SUMPRODUCT(G2346:P2346,_XtX!$B$71:$K$71)</f>
        <v>45.2163352272727</v>
      </c>
      <c r="R2346" s="0" t="n">
        <f aca="false">SUMPRODUCT(MMULT(G2346:P2346,_XtX!$B$58:$K$67),G2346:P2346)</f>
        <v>0.335023082386364</v>
      </c>
      <c r="S2346" s="0" t="n">
        <f aca="false">04_回帰ANOVA!$K$19*04_回帰ANOVA!$K$14*SQRT(1+R2346)</f>
        <v>1.07426400295275</v>
      </c>
      <c r="T2346" s="0" t="n">
        <f aca="false">Q2346-S2346</f>
        <v>44.14207122432</v>
      </c>
      <c r="U2346" s="0" t="n">
        <f aca="false">Q2346+S2346</f>
        <v>46.2905992302255</v>
      </c>
      <c r="V2346" s="54" t="b">
        <f aca="false">AND(D2346&gt;=01_因子設定!$L$5-0.000000001,D2346&lt;=01_因子設定!$M$5+0.000000001,E2346&gt;=01_因子設定!$L$6-0.000000001,E2346&lt;=01_因子設定!$M$6+0.000000001,F2346&gt;=01_因子設定!$L$7-0.000000001,F2346&lt;=01_因子設定!$M$7+0.000000001,IF(01_因子設定!$B$20="Box-Behnken",D2346^2+E2346^2+F2346^2&lt;=2+0.000000001,TRUE()))</f>
        <v>1</v>
      </c>
      <c r="W2346" s="55" t="n">
        <f aca="false">IF(V2346,IF(01_因子設定!$B$13="最大化",T2346-01_因子設定!$B$14,IF(01_因子設定!$B$13="最小化",01_因子設定!$B$15-U2346,MIN(T2346-01_因子設定!$B$14,01_因子設定!$B$15-U2346))),-1E+030)</f>
        <v>-4.35792877568001</v>
      </c>
      <c r="X2346" s="55" t="n">
        <f aca="false">IF(V2346,IF(01_因子設定!$B$13="最大化",Q2346,IF(01_因子設定!$B$13="最小化",-Q2346,-ABS(Q2346-01_因子設定!$B$16))),-1E+030)</f>
        <v>45.2163352272727</v>
      </c>
      <c r="Y2346" s="55" t="n">
        <f aca="false">W2346+ROW()*0.000000001</f>
        <v>-4.35792642968001</v>
      </c>
      <c r="Z2346" s="55" t="n">
        <f aca="false">X2346+ROW()*0.000000001</f>
        <v>45.2163375732727</v>
      </c>
    </row>
    <row r="2347" customFormat="false" ht="15" hidden="false" customHeight="false" outlineLevel="0" collapsed="false">
      <c r="A2347" s="0" t="n">
        <v>8</v>
      </c>
      <c r="B2347" s="0" t="n">
        <v>1</v>
      </c>
      <c r="C2347" s="0" t="n">
        <v>13</v>
      </c>
      <c r="D2347" s="0" t="n">
        <f aca="false">-1+A2347*0.125</f>
        <v>0</v>
      </c>
      <c r="E2347" s="0" t="n">
        <f aca="false">-1+B2347*0.125</f>
        <v>-0.875</v>
      </c>
      <c r="F2347" s="0" t="n">
        <f aca="false">-1+C2347*0.125</f>
        <v>0.625</v>
      </c>
      <c r="G2347" s="0" t="n">
        <f aca="false">1</f>
        <v>1</v>
      </c>
      <c r="H2347" s="0" t="n">
        <f aca="false">D2347</f>
        <v>0</v>
      </c>
      <c r="I2347" s="0" t="n">
        <f aca="false">E2347</f>
        <v>-0.875</v>
      </c>
      <c r="J2347" s="0" t="n">
        <f aca="false">F2347</f>
        <v>0.625</v>
      </c>
      <c r="K2347" s="0" t="n">
        <f aca="false">D2347*E2347</f>
        <v>-0</v>
      </c>
      <c r="L2347" s="0" t="n">
        <f aca="false">D2347*F2347</f>
        <v>0</v>
      </c>
      <c r="M2347" s="0" t="n">
        <f aca="false">E2347*F2347</f>
        <v>-0.546875</v>
      </c>
      <c r="N2347" s="0" t="n">
        <f aca="false">D2347*D2347</f>
        <v>0</v>
      </c>
      <c r="O2347" s="0" t="n">
        <f aca="false">E2347*E2347</f>
        <v>0.765625</v>
      </c>
      <c r="P2347" s="0" t="n">
        <f aca="false">F2347*F2347</f>
        <v>0.390625</v>
      </c>
      <c r="Q2347" s="0" t="n">
        <f aca="false">SUMPRODUCT(G2347:P2347,_XtX!$B$71:$K$71)</f>
        <v>45.1740625</v>
      </c>
      <c r="R2347" s="0" t="n">
        <f aca="false">SUMPRODUCT(MMULT(G2347:P2347,_XtX!$B$58:$K$67),G2347:P2347)</f>
        <v>0.353155517578125</v>
      </c>
      <c r="S2347" s="0" t="n">
        <f aca="false">04_回帰ANOVA!$K$19*04_回帰ANOVA!$K$14*SQRT(1+R2347)</f>
        <v>1.08153478594098</v>
      </c>
      <c r="T2347" s="0" t="n">
        <f aca="false">Q2347-S2347</f>
        <v>44.092527714059</v>
      </c>
      <c r="U2347" s="0" t="n">
        <f aca="false">Q2347+S2347</f>
        <v>46.255597285941</v>
      </c>
      <c r="V2347" s="54" t="b">
        <f aca="false">AND(D2347&gt;=01_因子設定!$L$5-0.000000001,D2347&lt;=01_因子設定!$M$5+0.000000001,E2347&gt;=01_因子設定!$L$6-0.000000001,E2347&lt;=01_因子設定!$M$6+0.000000001,F2347&gt;=01_因子設定!$L$7-0.000000001,F2347&lt;=01_因子設定!$M$7+0.000000001,IF(01_因子設定!$B$20="Box-Behnken",D2347^2+E2347^2+F2347^2&lt;=2+0.000000001,TRUE()))</f>
        <v>1</v>
      </c>
      <c r="W2347" s="55" t="n">
        <f aca="false">IF(V2347,IF(01_因子設定!$B$13="最大化",T2347-01_因子設定!$B$14,IF(01_因子設定!$B$13="最小化",01_因子設定!$B$15-U2347,MIN(T2347-01_因子設定!$B$14,01_因子設定!$B$15-U2347))),-1E+030)</f>
        <v>-4.40747228594096</v>
      </c>
      <c r="X2347" s="55" t="n">
        <f aca="false">IF(V2347,IF(01_因子設定!$B$13="最大化",Q2347,IF(01_因子設定!$B$13="最小化",-Q2347,-ABS(Q2347-01_因子設定!$B$16))),-1E+030)</f>
        <v>45.1740625</v>
      </c>
      <c r="Y2347" s="55" t="n">
        <f aca="false">W2347+ROW()*0.000000001</f>
        <v>-4.40746993894096</v>
      </c>
      <c r="Z2347" s="55" t="n">
        <f aca="false">X2347+ROW()*0.000000001</f>
        <v>45.174064847</v>
      </c>
    </row>
    <row r="2348" customFormat="false" ht="15" hidden="false" customHeight="false" outlineLevel="0" collapsed="false">
      <c r="A2348" s="0" t="n">
        <v>8</v>
      </c>
      <c r="B2348" s="0" t="n">
        <v>1</v>
      </c>
      <c r="C2348" s="0" t="n">
        <v>14</v>
      </c>
      <c r="D2348" s="0" t="n">
        <f aca="false">-1+A2348*0.125</f>
        <v>0</v>
      </c>
      <c r="E2348" s="0" t="n">
        <f aca="false">-1+B2348*0.125</f>
        <v>-0.875</v>
      </c>
      <c r="F2348" s="0" t="n">
        <f aca="false">-1+C2348*0.125</f>
        <v>0.75</v>
      </c>
      <c r="G2348" s="0" t="n">
        <f aca="false">1</f>
        <v>1</v>
      </c>
      <c r="H2348" s="0" t="n">
        <f aca="false">D2348</f>
        <v>0</v>
      </c>
      <c r="I2348" s="0" t="n">
        <f aca="false">E2348</f>
        <v>-0.875</v>
      </c>
      <c r="J2348" s="0" t="n">
        <f aca="false">F2348</f>
        <v>0.75</v>
      </c>
      <c r="K2348" s="0" t="n">
        <f aca="false">D2348*E2348</f>
        <v>-0</v>
      </c>
      <c r="L2348" s="0" t="n">
        <f aca="false">D2348*F2348</f>
        <v>0</v>
      </c>
      <c r="M2348" s="0" t="n">
        <f aca="false">E2348*F2348</f>
        <v>-0.65625</v>
      </c>
      <c r="N2348" s="0" t="n">
        <f aca="false">D2348*D2348</f>
        <v>0</v>
      </c>
      <c r="O2348" s="0" t="n">
        <f aca="false">E2348*E2348</f>
        <v>0.765625</v>
      </c>
      <c r="P2348" s="0" t="n">
        <f aca="false">F2348*F2348</f>
        <v>0.5625</v>
      </c>
      <c r="Q2348" s="0" t="n">
        <f aca="false">SUMPRODUCT(G2348:P2348,_XtX!$B$71:$K$71)</f>
        <v>45.095</v>
      </c>
      <c r="R2348" s="0" t="n">
        <f aca="false">SUMPRODUCT(MMULT(G2348:P2348,_XtX!$B$58:$K$67),G2348:P2348)</f>
        <v>0.3948486328125</v>
      </c>
      <c r="S2348" s="0" t="n">
        <f aca="false">04_回帰ANOVA!$K$19*04_回帰ANOVA!$K$14*SQRT(1+R2348)</f>
        <v>1.09807037952996</v>
      </c>
      <c r="T2348" s="0" t="n">
        <f aca="false">Q2348-S2348</f>
        <v>43.9969296204701</v>
      </c>
      <c r="U2348" s="0" t="n">
        <f aca="false">Q2348+S2348</f>
        <v>46.19307037953</v>
      </c>
      <c r="V2348" s="54" t="b">
        <f aca="false">AND(D2348&gt;=01_因子設定!$L$5-0.000000001,D2348&lt;=01_因子設定!$M$5+0.000000001,E2348&gt;=01_因子設定!$L$6-0.000000001,E2348&lt;=01_因子設定!$M$6+0.000000001,F2348&gt;=01_因子設定!$L$7-0.000000001,F2348&lt;=01_因子設定!$M$7+0.000000001,IF(01_因子設定!$B$20="Box-Behnken",D2348^2+E2348^2+F2348^2&lt;=2+0.000000001,TRUE()))</f>
        <v>1</v>
      </c>
      <c r="W2348" s="55" t="n">
        <f aca="false">IF(V2348,IF(01_因子設定!$B$13="最大化",T2348-01_因子設定!$B$14,IF(01_因子設定!$B$13="最小化",01_因子設定!$B$15-U2348,MIN(T2348-01_因子設定!$B$14,01_因子設定!$B$15-U2348))),-1E+030)</f>
        <v>-4.50307037952994</v>
      </c>
      <c r="X2348" s="55" t="n">
        <f aca="false">IF(V2348,IF(01_因子設定!$B$13="最大化",Q2348,IF(01_因子設定!$B$13="最小化",-Q2348,-ABS(Q2348-01_因子設定!$B$16))),-1E+030)</f>
        <v>45.095</v>
      </c>
      <c r="Y2348" s="55" t="n">
        <f aca="false">W2348+ROW()*0.000000001</f>
        <v>-4.50306803152994</v>
      </c>
      <c r="Z2348" s="55" t="n">
        <f aca="false">X2348+ROW()*0.000000001</f>
        <v>45.095002348</v>
      </c>
    </row>
    <row r="2349" customFormat="false" ht="15" hidden="false" customHeight="false" outlineLevel="0" collapsed="false">
      <c r="A2349" s="0" t="n">
        <v>8</v>
      </c>
      <c r="B2349" s="0" t="n">
        <v>1</v>
      </c>
      <c r="C2349" s="0" t="n">
        <v>15</v>
      </c>
      <c r="D2349" s="0" t="n">
        <f aca="false">-1+A2349*0.125</f>
        <v>0</v>
      </c>
      <c r="E2349" s="0" t="n">
        <f aca="false">-1+B2349*0.125</f>
        <v>-0.875</v>
      </c>
      <c r="F2349" s="0" t="n">
        <f aca="false">-1+C2349*0.125</f>
        <v>0.875</v>
      </c>
      <c r="G2349" s="0" t="n">
        <f aca="false">1</f>
        <v>1</v>
      </c>
      <c r="H2349" s="0" t="n">
        <f aca="false">D2349</f>
        <v>0</v>
      </c>
      <c r="I2349" s="0" t="n">
        <f aca="false">E2349</f>
        <v>-0.875</v>
      </c>
      <c r="J2349" s="0" t="n">
        <f aca="false">F2349</f>
        <v>0.875</v>
      </c>
      <c r="K2349" s="0" t="n">
        <f aca="false">D2349*E2349</f>
        <v>-0</v>
      </c>
      <c r="L2349" s="0" t="n">
        <f aca="false">D2349*F2349</f>
        <v>0</v>
      </c>
      <c r="M2349" s="0" t="n">
        <f aca="false">E2349*F2349</f>
        <v>-0.765625</v>
      </c>
      <c r="N2349" s="0" t="n">
        <f aca="false">D2349*D2349</f>
        <v>0</v>
      </c>
      <c r="O2349" s="0" t="n">
        <f aca="false">E2349*E2349</f>
        <v>0.765625</v>
      </c>
      <c r="P2349" s="0" t="n">
        <f aca="false">F2349*F2349</f>
        <v>0.765625</v>
      </c>
      <c r="Q2349" s="0" t="n">
        <f aca="false">SUMPRODUCT(G2349:P2349,_XtX!$B$71:$K$71)</f>
        <v>44.9791477272728</v>
      </c>
      <c r="R2349" s="0" t="n">
        <f aca="false">SUMPRODUCT(MMULT(G2349:P2349,_XtX!$B$58:$K$67),G2349:P2349)</f>
        <v>0.471821178089489</v>
      </c>
      <c r="S2349" s="0" t="n">
        <f aca="false">04_回帰ANOVA!$K$19*04_回帰ANOVA!$K$14*SQRT(1+R2349)</f>
        <v>1.12796119746125</v>
      </c>
      <c r="T2349" s="0" t="n">
        <f aca="false">Q2349-S2349</f>
        <v>43.8511865298115</v>
      </c>
      <c r="U2349" s="0" t="n">
        <f aca="false">Q2349+S2349</f>
        <v>46.107108924734</v>
      </c>
      <c r="V2349" s="54" t="b">
        <f aca="false">AND(D2349&gt;=01_因子設定!$L$5-0.000000001,D2349&lt;=01_因子設定!$M$5+0.000000001,E2349&gt;=01_因子設定!$L$6-0.000000001,E2349&lt;=01_因子設定!$M$6+0.000000001,F2349&gt;=01_因子設定!$L$7-0.000000001,F2349&lt;=01_因子設定!$M$7+0.000000001,IF(01_因子設定!$B$20="Box-Behnken",D2349^2+E2349^2+F2349^2&lt;=2+0.000000001,TRUE()))</f>
        <v>1</v>
      </c>
      <c r="W2349" s="55" t="n">
        <f aca="false">IF(V2349,IF(01_因子設定!$B$13="最大化",T2349-01_因子設定!$B$14,IF(01_因子設定!$B$13="最小化",01_因子設定!$B$15-U2349,MIN(T2349-01_因子設定!$B$14,01_因子設定!$B$15-U2349))),-1E+030)</f>
        <v>-4.6488134701885</v>
      </c>
      <c r="X2349" s="55" t="n">
        <f aca="false">IF(V2349,IF(01_因子設定!$B$13="最大化",Q2349,IF(01_因子設定!$B$13="最小化",-Q2349,-ABS(Q2349-01_因子設定!$B$16))),-1E+030)</f>
        <v>44.9791477272728</v>
      </c>
      <c r="Y2349" s="55" t="n">
        <f aca="false">W2349+ROW()*0.000000001</f>
        <v>-4.6488111211885</v>
      </c>
      <c r="Z2349" s="55" t="n">
        <f aca="false">X2349+ROW()*0.000000001</f>
        <v>44.9791500762728</v>
      </c>
    </row>
    <row r="2350" customFormat="false" ht="15" hidden="false" customHeight="false" outlineLevel="0" collapsed="false">
      <c r="A2350" s="0" t="n">
        <v>8</v>
      </c>
      <c r="B2350" s="0" t="n">
        <v>1</v>
      </c>
      <c r="C2350" s="0" t="n">
        <v>16</v>
      </c>
      <c r="D2350" s="0" t="n">
        <f aca="false">-1+A2350*0.125</f>
        <v>0</v>
      </c>
      <c r="E2350" s="0" t="n">
        <f aca="false">-1+B2350*0.125</f>
        <v>-0.875</v>
      </c>
      <c r="F2350" s="0" t="n">
        <f aca="false">-1+C2350*0.125</f>
        <v>1</v>
      </c>
      <c r="G2350" s="0" t="n">
        <f aca="false">1</f>
        <v>1</v>
      </c>
      <c r="H2350" s="0" t="n">
        <f aca="false">D2350</f>
        <v>0</v>
      </c>
      <c r="I2350" s="0" t="n">
        <f aca="false">E2350</f>
        <v>-0.875</v>
      </c>
      <c r="J2350" s="0" t="n">
        <f aca="false">F2350</f>
        <v>1</v>
      </c>
      <c r="K2350" s="0" t="n">
        <f aca="false">D2350*E2350</f>
        <v>-0</v>
      </c>
      <c r="L2350" s="0" t="n">
        <f aca="false">D2350*F2350</f>
        <v>0</v>
      </c>
      <c r="M2350" s="0" t="n">
        <f aca="false">E2350*F2350</f>
        <v>-0.875</v>
      </c>
      <c r="N2350" s="0" t="n">
        <f aca="false">D2350*D2350</f>
        <v>0</v>
      </c>
      <c r="O2350" s="0" t="n">
        <f aca="false">E2350*E2350</f>
        <v>0.765625</v>
      </c>
      <c r="P2350" s="0" t="n">
        <f aca="false">F2350*F2350</f>
        <v>1</v>
      </c>
      <c r="Q2350" s="0" t="n">
        <f aca="false">SUMPRODUCT(G2350:P2350,_XtX!$B$71:$K$71)</f>
        <v>44.8265056818182</v>
      </c>
      <c r="R2350" s="0" t="n">
        <f aca="false">SUMPRODUCT(MMULT(G2350:P2350,_XtX!$B$58:$K$67),G2350:P2350)</f>
        <v>0.597922585227273</v>
      </c>
      <c r="S2350" s="0" t="n">
        <f aca="false">04_回帰ANOVA!$K$19*04_回帰ANOVA!$K$14*SQRT(1+R2350)</f>
        <v>1.17528854591003</v>
      </c>
      <c r="T2350" s="0" t="n">
        <f aca="false">Q2350-S2350</f>
        <v>43.6512171359082</v>
      </c>
      <c r="U2350" s="0" t="n">
        <f aca="false">Q2350+S2350</f>
        <v>46.0017942277282</v>
      </c>
      <c r="V2350" s="54" t="b">
        <f aca="false">AND(D2350&gt;=01_因子設定!$L$5-0.000000001,D2350&lt;=01_因子設定!$M$5+0.000000001,E2350&gt;=01_因子設定!$L$6-0.000000001,E2350&lt;=01_因子設定!$M$6+0.000000001,F2350&gt;=01_因子設定!$L$7-0.000000001,F2350&lt;=01_因子設定!$M$7+0.000000001,IF(01_因子設定!$B$20="Box-Behnken",D2350^2+E2350^2+F2350^2&lt;=2+0.000000001,TRUE()))</f>
        <v>1</v>
      </c>
      <c r="W2350" s="55" t="n">
        <f aca="false">IF(V2350,IF(01_因子設定!$B$13="最大化",T2350-01_因子設定!$B$14,IF(01_因子設定!$B$13="最小化",01_因子設定!$B$15-U2350,MIN(T2350-01_因子設定!$B$14,01_因子設定!$B$15-U2350))),-1E+030)</f>
        <v>-4.84878286409182</v>
      </c>
      <c r="X2350" s="55" t="n">
        <f aca="false">IF(V2350,IF(01_因子設定!$B$13="最大化",Q2350,IF(01_因子設定!$B$13="最小化",-Q2350,-ABS(Q2350-01_因子設定!$B$16))),-1E+030)</f>
        <v>44.8265056818182</v>
      </c>
      <c r="Y2350" s="55" t="n">
        <f aca="false">W2350+ROW()*0.000000001</f>
        <v>-4.84878051409182</v>
      </c>
      <c r="Z2350" s="55" t="n">
        <f aca="false">X2350+ROW()*0.000000001</f>
        <v>44.8265080318182</v>
      </c>
    </row>
    <row r="2351" customFormat="false" ht="15" hidden="false" customHeight="false" outlineLevel="0" collapsed="false">
      <c r="A2351" s="0" t="n">
        <v>8</v>
      </c>
      <c r="B2351" s="0" t="n">
        <v>2</v>
      </c>
      <c r="C2351" s="0" t="n">
        <v>0</v>
      </c>
      <c r="D2351" s="0" t="n">
        <f aca="false">-1+A2351*0.125</f>
        <v>0</v>
      </c>
      <c r="E2351" s="0" t="n">
        <f aca="false">-1+B2351*0.125</f>
        <v>-0.75</v>
      </c>
      <c r="F2351" s="0" t="n">
        <f aca="false">-1+C2351*0.125</f>
        <v>-1</v>
      </c>
      <c r="G2351" s="0" t="n">
        <f aca="false">1</f>
        <v>1</v>
      </c>
      <c r="H2351" s="0" t="n">
        <f aca="false">D2351</f>
        <v>0</v>
      </c>
      <c r="I2351" s="0" t="n">
        <f aca="false">E2351</f>
        <v>-0.75</v>
      </c>
      <c r="J2351" s="0" t="n">
        <f aca="false">F2351</f>
        <v>-1</v>
      </c>
      <c r="K2351" s="0" t="n">
        <f aca="false">D2351*E2351</f>
        <v>-0</v>
      </c>
      <c r="L2351" s="0" t="n">
        <f aca="false">D2351*F2351</f>
        <v>-0</v>
      </c>
      <c r="M2351" s="0" t="n">
        <f aca="false">E2351*F2351</f>
        <v>0.75</v>
      </c>
      <c r="N2351" s="0" t="n">
        <f aca="false">D2351*D2351</f>
        <v>0</v>
      </c>
      <c r="O2351" s="0" t="n">
        <f aca="false">E2351*E2351</f>
        <v>0.5625</v>
      </c>
      <c r="P2351" s="0" t="n">
        <f aca="false">F2351*F2351</f>
        <v>1</v>
      </c>
      <c r="Q2351" s="0" t="n">
        <f aca="false">SUMPRODUCT(G2351:P2351,_XtX!$B$71:$K$71)</f>
        <v>43.4682954545455</v>
      </c>
      <c r="R2351" s="0" t="n">
        <f aca="false">SUMPRODUCT(MMULT(G2351:P2351,_XtX!$B$58:$K$67),G2351:P2351)</f>
        <v>0.527982954545455</v>
      </c>
      <c r="S2351" s="0" t="n">
        <f aca="false">04_回帰ANOVA!$K$19*04_回帰ANOVA!$K$14*SQRT(1+R2351)</f>
        <v>1.14928011037747</v>
      </c>
      <c r="T2351" s="0" t="n">
        <f aca="false">Q2351-S2351</f>
        <v>42.319015344168</v>
      </c>
      <c r="U2351" s="0" t="n">
        <f aca="false">Q2351+S2351</f>
        <v>44.617575564923</v>
      </c>
      <c r="V2351" s="54" t="b">
        <f aca="false">AND(D2351&gt;=01_因子設定!$L$5-0.000000001,D2351&lt;=01_因子設定!$M$5+0.000000001,E2351&gt;=01_因子設定!$L$6-0.000000001,E2351&lt;=01_因子設定!$M$6+0.000000001,F2351&gt;=01_因子設定!$L$7-0.000000001,F2351&lt;=01_因子設定!$M$7+0.000000001,IF(01_因子設定!$B$20="Box-Behnken",D2351^2+E2351^2+F2351^2&lt;=2+0.000000001,TRUE()))</f>
        <v>1</v>
      </c>
      <c r="W2351" s="55" t="n">
        <f aca="false">IF(V2351,IF(01_因子設定!$B$13="最大化",T2351-01_因子設定!$B$14,IF(01_因子設定!$B$13="最小化",01_因子設定!$B$15-U2351,MIN(T2351-01_因子設定!$B$14,01_因子設定!$B$15-U2351))),-1E+030)</f>
        <v>-6.18098465583199</v>
      </c>
      <c r="X2351" s="55" t="n">
        <f aca="false">IF(V2351,IF(01_因子設定!$B$13="最大化",Q2351,IF(01_因子設定!$B$13="最小化",-Q2351,-ABS(Q2351-01_因子設定!$B$16))),-1E+030)</f>
        <v>43.4682954545455</v>
      </c>
      <c r="Y2351" s="55" t="n">
        <f aca="false">W2351+ROW()*0.000000001</f>
        <v>-6.18098230483199</v>
      </c>
      <c r="Z2351" s="55" t="n">
        <f aca="false">X2351+ROW()*0.000000001</f>
        <v>43.4682978055455</v>
      </c>
    </row>
    <row r="2352" customFormat="false" ht="15" hidden="false" customHeight="false" outlineLevel="0" collapsed="false">
      <c r="A2352" s="0" t="n">
        <v>8</v>
      </c>
      <c r="B2352" s="0" t="n">
        <v>2</v>
      </c>
      <c r="C2352" s="0" t="n">
        <v>1</v>
      </c>
      <c r="D2352" s="0" t="n">
        <f aca="false">-1+A2352*0.125</f>
        <v>0</v>
      </c>
      <c r="E2352" s="0" t="n">
        <f aca="false">-1+B2352*0.125</f>
        <v>-0.75</v>
      </c>
      <c r="F2352" s="0" t="n">
        <f aca="false">-1+C2352*0.125</f>
        <v>-0.875</v>
      </c>
      <c r="G2352" s="0" t="n">
        <f aca="false">1</f>
        <v>1</v>
      </c>
      <c r="H2352" s="0" t="n">
        <f aca="false">D2352</f>
        <v>0</v>
      </c>
      <c r="I2352" s="0" t="n">
        <f aca="false">E2352</f>
        <v>-0.75</v>
      </c>
      <c r="J2352" s="0" t="n">
        <f aca="false">F2352</f>
        <v>-0.875</v>
      </c>
      <c r="K2352" s="0" t="n">
        <f aca="false">D2352*E2352</f>
        <v>-0</v>
      </c>
      <c r="L2352" s="0" t="n">
        <f aca="false">D2352*F2352</f>
        <v>-0</v>
      </c>
      <c r="M2352" s="0" t="n">
        <f aca="false">E2352*F2352</f>
        <v>0.65625</v>
      </c>
      <c r="N2352" s="0" t="n">
        <f aca="false">D2352*D2352</f>
        <v>0</v>
      </c>
      <c r="O2352" s="0" t="n">
        <f aca="false">E2352*E2352</f>
        <v>0.5625</v>
      </c>
      <c r="P2352" s="0" t="n">
        <f aca="false">F2352*F2352</f>
        <v>0.765625</v>
      </c>
      <c r="Q2352" s="0" t="n">
        <f aca="false">SUMPRODUCT(G2352:P2352,_XtX!$B$71:$K$71)</f>
        <v>43.87453125</v>
      </c>
      <c r="R2352" s="0" t="n">
        <f aca="false">SUMPRODUCT(MMULT(G2352:P2352,_XtX!$B$58:$K$67),G2352:P2352)</f>
        <v>0.3948486328125</v>
      </c>
      <c r="S2352" s="0" t="n">
        <f aca="false">04_回帰ANOVA!$K$19*04_回帰ANOVA!$K$14*SQRT(1+R2352)</f>
        <v>1.09807037952996</v>
      </c>
      <c r="T2352" s="0" t="n">
        <f aca="false">Q2352-S2352</f>
        <v>42.7764608704701</v>
      </c>
      <c r="U2352" s="0" t="n">
        <f aca="false">Q2352+S2352</f>
        <v>44.97260162953</v>
      </c>
      <c r="V2352" s="54" t="b">
        <f aca="false">AND(D2352&gt;=01_因子設定!$L$5-0.000000001,D2352&lt;=01_因子設定!$M$5+0.000000001,E2352&gt;=01_因子設定!$L$6-0.000000001,E2352&lt;=01_因子設定!$M$6+0.000000001,F2352&gt;=01_因子設定!$L$7-0.000000001,F2352&lt;=01_因子設定!$M$7+0.000000001,IF(01_因子設定!$B$20="Box-Behnken",D2352^2+E2352^2+F2352^2&lt;=2+0.000000001,TRUE()))</f>
        <v>1</v>
      </c>
      <c r="W2352" s="55" t="n">
        <f aca="false">IF(V2352,IF(01_因子設定!$B$13="最大化",T2352-01_因子設定!$B$14,IF(01_因子設定!$B$13="最小化",01_因子設定!$B$15-U2352,MIN(T2352-01_因子設定!$B$14,01_因子設定!$B$15-U2352))),-1E+030)</f>
        <v>-5.72353912952993</v>
      </c>
      <c r="X2352" s="55" t="n">
        <f aca="false">IF(V2352,IF(01_因子設定!$B$13="最大化",Q2352,IF(01_因子設定!$B$13="最小化",-Q2352,-ABS(Q2352-01_因子設定!$B$16))),-1E+030)</f>
        <v>43.87453125</v>
      </c>
      <c r="Y2352" s="55" t="n">
        <f aca="false">W2352+ROW()*0.000000001</f>
        <v>-5.72353677752993</v>
      </c>
      <c r="Z2352" s="55" t="n">
        <f aca="false">X2352+ROW()*0.000000001</f>
        <v>43.874533602</v>
      </c>
    </row>
    <row r="2353" customFormat="false" ht="15" hidden="false" customHeight="false" outlineLevel="0" collapsed="false">
      <c r="A2353" s="0" t="n">
        <v>8</v>
      </c>
      <c r="B2353" s="0" t="n">
        <v>2</v>
      </c>
      <c r="C2353" s="0" t="n">
        <v>2</v>
      </c>
      <c r="D2353" s="0" t="n">
        <f aca="false">-1+A2353*0.125</f>
        <v>0</v>
      </c>
      <c r="E2353" s="0" t="n">
        <f aca="false">-1+B2353*0.125</f>
        <v>-0.75</v>
      </c>
      <c r="F2353" s="0" t="n">
        <f aca="false">-1+C2353*0.125</f>
        <v>-0.75</v>
      </c>
      <c r="G2353" s="0" t="n">
        <f aca="false">1</f>
        <v>1</v>
      </c>
      <c r="H2353" s="0" t="n">
        <f aca="false">D2353</f>
        <v>0</v>
      </c>
      <c r="I2353" s="0" t="n">
        <f aca="false">E2353</f>
        <v>-0.75</v>
      </c>
      <c r="J2353" s="0" t="n">
        <f aca="false">F2353</f>
        <v>-0.75</v>
      </c>
      <c r="K2353" s="0" t="n">
        <f aca="false">D2353*E2353</f>
        <v>-0</v>
      </c>
      <c r="L2353" s="0" t="n">
        <f aca="false">D2353*F2353</f>
        <v>-0</v>
      </c>
      <c r="M2353" s="0" t="n">
        <f aca="false">E2353*F2353</f>
        <v>0.5625</v>
      </c>
      <c r="N2353" s="0" t="n">
        <f aca="false">D2353*D2353</f>
        <v>0</v>
      </c>
      <c r="O2353" s="0" t="n">
        <f aca="false">E2353*E2353</f>
        <v>0.5625</v>
      </c>
      <c r="P2353" s="0" t="n">
        <f aca="false">F2353*F2353</f>
        <v>0.5625</v>
      </c>
      <c r="Q2353" s="0" t="n">
        <f aca="false">SUMPRODUCT(G2353:P2353,_XtX!$B$71:$K$71)</f>
        <v>44.2439772727273</v>
      </c>
      <c r="R2353" s="0" t="n">
        <f aca="false">SUMPRODUCT(MMULT(G2353:P2353,_XtX!$B$58:$K$67),G2353:P2353)</f>
        <v>0.311780894886364</v>
      </c>
      <c r="S2353" s="0" t="n">
        <f aca="false">04_回帰ANOVA!$K$19*04_回帰ANOVA!$K$14*SQRT(1+R2353)</f>
        <v>1.06487170339437</v>
      </c>
      <c r="T2353" s="0" t="n">
        <f aca="false">Q2353-S2353</f>
        <v>43.1791055693329</v>
      </c>
      <c r="U2353" s="0" t="n">
        <f aca="false">Q2353+S2353</f>
        <v>45.3088489761217</v>
      </c>
      <c r="V2353" s="54" t="b">
        <f aca="false">AND(D2353&gt;=01_因子設定!$L$5-0.000000001,D2353&lt;=01_因子設定!$M$5+0.000000001,E2353&gt;=01_因子設定!$L$6-0.000000001,E2353&lt;=01_因子設定!$M$6+0.000000001,F2353&gt;=01_因子設定!$L$7-0.000000001,F2353&lt;=01_因子設定!$M$7+0.000000001,IF(01_因子設定!$B$20="Box-Behnken",D2353^2+E2353^2+F2353^2&lt;=2+0.000000001,TRUE()))</f>
        <v>1</v>
      </c>
      <c r="W2353" s="55" t="n">
        <f aca="false">IF(V2353,IF(01_因子設定!$B$13="最大化",T2353-01_因子設定!$B$14,IF(01_因子設定!$B$13="最小化",01_因子設定!$B$15-U2353,MIN(T2353-01_因子設定!$B$14,01_因子設定!$B$15-U2353))),-1E+030)</f>
        <v>-5.32089443066708</v>
      </c>
      <c r="X2353" s="55" t="n">
        <f aca="false">IF(V2353,IF(01_因子設定!$B$13="最大化",Q2353,IF(01_因子設定!$B$13="最小化",-Q2353,-ABS(Q2353-01_因子設定!$B$16))),-1E+030)</f>
        <v>44.2439772727273</v>
      </c>
      <c r="Y2353" s="55" t="n">
        <f aca="false">W2353+ROW()*0.000000001</f>
        <v>-5.32089207766708</v>
      </c>
      <c r="Z2353" s="55" t="n">
        <f aca="false">X2353+ROW()*0.000000001</f>
        <v>44.2439796257273</v>
      </c>
    </row>
    <row r="2354" customFormat="false" ht="15" hidden="false" customHeight="false" outlineLevel="0" collapsed="false">
      <c r="A2354" s="0" t="n">
        <v>8</v>
      </c>
      <c r="B2354" s="0" t="n">
        <v>2</v>
      </c>
      <c r="C2354" s="0" t="n">
        <v>3</v>
      </c>
      <c r="D2354" s="0" t="n">
        <f aca="false">-1+A2354*0.125</f>
        <v>0</v>
      </c>
      <c r="E2354" s="0" t="n">
        <f aca="false">-1+B2354*0.125</f>
        <v>-0.75</v>
      </c>
      <c r="F2354" s="0" t="n">
        <f aca="false">-1+C2354*0.125</f>
        <v>-0.625</v>
      </c>
      <c r="G2354" s="0" t="n">
        <f aca="false">1</f>
        <v>1</v>
      </c>
      <c r="H2354" s="0" t="n">
        <f aca="false">D2354</f>
        <v>0</v>
      </c>
      <c r="I2354" s="0" t="n">
        <f aca="false">E2354</f>
        <v>-0.75</v>
      </c>
      <c r="J2354" s="0" t="n">
        <f aca="false">F2354</f>
        <v>-0.625</v>
      </c>
      <c r="K2354" s="0" t="n">
        <f aca="false">D2354*E2354</f>
        <v>-0</v>
      </c>
      <c r="L2354" s="0" t="n">
        <f aca="false">D2354*F2354</f>
        <v>-0</v>
      </c>
      <c r="M2354" s="0" t="n">
        <f aca="false">E2354*F2354</f>
        <v>0.46875</v>
      </c>
      <c r="N2354" s="0" t="n">
        <f aca="false">D2354*D2354</f>
        <v>0</v>
      </c>
      <c r="O2354" s="0" t="n">
        <f aca="false">E2354*E2354</f>
        <v>0.5625</v>
      </c>
      <c r="P2354" s="0" t="n">
        <f aca="false">F2354*F2354</f>
        <v>0.390625</v>
      </c>
      <c r="Q2354" s="0" t="n">
        <f aca="false">SUMPRODUCT(G2354:P2354,_XtX!$B$71:$K$71)</f>
        <v>44.5766335227273</v>
      </c>
      <c r="R2354" s="0" t="n">
        <f aca="false">SUMPRODUCT(MMULT(G2354:P2354,_XtX!$B$58:$K$67),G2354:P2354)</f>
        <v>0.264930308948864</v>
      </c>
      <c r="S2354" s="0" t="n">
        <f aca="false">04_回帰ANOVA!$K$19*04_回帰ANOVA!$K$14*SQRT(1+R2354)</f>
        <v>1.04568272997153</v>
      </c>
      <c r="T2354" s="0" t="n">
        <f aca="false">Q2354-S2354</f>
        <v>43.5309507927558</v>
      </c>
      <c r="U2354" s="0" t="n">
        <f aca="false">Q2354+S2354</f>
        <v>45.6223162526988</v>
      </c>
      <c r="V2354" s="54" t="b">
        <f aca="false">AND(D2354&gt;=01_因子設定!$L$5-0.000000001,D2354&lt;=01_因子設定!$M$5+0.000000001,E2354&gt;=01_因子設定!$L$6-0.000000001,E2354&lt;=01_因子設定!$M$6+0.000000001,F2354&gt;=01_因子設定!$L$7-0.000000001,F2354&lt;=01_因子設定!$M$7+0.000000001,IF(01_因子設定!$B$20="Box-Behnken",D2354^2+E2354^2+F2354^2&lt;=2+0.000000001,TRUE()))</f>
        <v>1</v>
      </c>
      <c r="W2354" s="55" t="n">
        <f aca="false">IF(V2354,IF(01_因子設定!$B$13="最大化",T2354-01_因子設定!$B$14,IF(01_因子設定!$B$13="最小化",01_因子設定!$B$15-U2354,MIN(T2354-01_因子設定!$B$14,01_因子設定!$B$15-U2354))),-1E+030)</f>
        <v>-4.96904920724423</v>
      </c>
      <c r="X2354" s="55" t="n">
        <f aca="false">IF(V2354,IF(01_因子設定!$B$13="最大化",Q2354,IF(01_因子設定!$B$13="最小化",-Q2354,-ABS(Q2354-01_因子設定!$B$16))),-1E+030)</f>
        <v>44.5766335227273</v>
      </c>
      <c r="Y2354" s="55" t="n">
        <f aca="false">W2354+ROW()*0.000000001</f>
        <v>-4.96904685324423</v>
      </c>
      <c r="Z2354" s="55" t="n">
        <f aca="false">X2354+ROW()*0.000000001</f>
        <v>44.5766358767273</v>
      </c>
    </row>
    <row r="2355" customFormat="false" ht="15" hidden="false" customHeight="false" outlineLevel="0" collapsed="false">
      <c r="A2355" s="0" t="n">
        <v>8</v>
      </c>
      <c r="B2355" s="0" t="n">
        <v>2</v>
      </c>
      <c r="C2355" s="0" t="n">
        <v>4</v>
      </c>
      <c r="D2355" s="0" t="n">
        <f aca="false">-1+A2355*0.125</f>
        <v>0</v>
      </c>
      <c r="E2355" s="0" t="n">
        <f aca="false">-1+B2355*0.125</f>
        <v>-0.75</v>
      </c>
      <c r="F2355" s="0" t="n">
        <f aca="false">-1+C2355*0.125</f>
        <v>-0.5</v>
      </c>
      <c r="G2355" s="0" t="n">
        <f aca="false">1</f>
        <v>1</v>
      </c>
      <c r="H2355" s="0" t="n">
        <f aca="false">D2355</f>
        <v>0</v>
      </c>
      <c r="I2355" s="0" t="n">
        <f aca="false">E2355</f>
        <v>-0.75</v>
      </c>
      <c r="J2355" s="0" t="n">
        <f aca="false">F2355</f>
        <v>-0.5</v>
      </c>
      <c r="K2355" s="0" t="n">
        <f aca="false">D2355*E2355</f>
        <v>-0</v>
      </c>
      <c r="L2355" s="0" t="n">
        <f aca="false">D2355*F2355</f>
        <v>-0</v>
      </c>
      <c r="M2355" s="0" t="n">
        <f aca="false">E2355*F2355</f>
        <v>0.375</v>
      </c>
      <c r="N2355" s="0" t="n">
        <f aca="false">D2355*D2355</f>
        <v>0</v>
      </c>
      <c r="O2355" s="0" t="n">
        <f aca="false">E2355*E2355</f>
        <v>0.5625</v>
      </c>
      <c r="P2355" s="0" t="n">
        <f aca="false">F2355*F2355</f>
        <v>0.25</v>
      </c>
      <c r="Q2355" s="0" t="n">
        <f aca="false">SUMPRODUCT(G2355:P2355,_XtX!$B$71:$K$71)</f>
        <v>44.8725</v>
      </c>
      <c r="R2355" s="0" t="n">
        <f aca="false">SUMPRODUCT(MMULT(G2355:P2355,_XtX!$B$58:$K$67),G2355:P2355)</f>
        <v>0.242578125</v>
      </c>
      <c r="S2355" s="0" t="n">
        <f aca="false">04_回帰ANOVA!$K$19*04_回帰ANOVA!$K$14*SQRT(1+R2355)</f>
        <v>1.03640258600455</v>
      </c>
      <c r="T2355" s="0" t="n">
        <f aca="false">Q2355-S2355</f>
        <v>43.8360974139955</v>
      </c>
      <c r="U2355" s="0" t="n">
        <f aca="false">Q2355+S2355</f>
        <v>45.9089025860046</v>
      </c>
      <c r="V2355" s="54" t="b">
        <f aca="false">AND(D2355&gt;=01_因子設定!$L$5-0.000000001,D2355&lt;=01_因子設定!$M$5+0.000000001,E2355&gt;=01_因子設定!$L$6-0.000000001,E2355&lt;=01_因子設定!$M$6+0.000000001,F2355&gt;=01_因子設定!$L$7-0.000000001,F2355&lt;=01_因子設定!$M$7+0.000000001,IF(01_因子設定!$B$20="Box-Behnken",D2355^2+E2355^2+F2355^2&lt;=2+0.000000001,TRUE()))</f>
        <v>1</v>
      </c>
      <c r="W2355" s="55" t="n">
        <f aca="false">IF(V2355,IF(01_因子設定!$B$13="最大化",T2355-01_因子設定!$B$14,IF(01_因子設定!$B$13="最小化",01_因子設定!$B$15-U2355,MIN(T2355-01_因子設定!$B$14,01_因子設定!$B$15-U2355))),-1E+030)</f>
        <v>-4.66390258600453</v>
      </c>
      <c r="X2355" s="55" t="n">
        <f aca="false">IF(V2355,IF(01_因子設定!$B$13="最大化",Q2355,IF(01_因子設定!$B$13="最小化",-Q2355,-ABS(Q2355-01_因子設定!$B$16))),-1E+030)</f>
        <v>44.8725</v>
      </c>
      <c r="Y2355" s="55" t="n">
        <f aca="false">W2355+ROW()*0.000000001</f>
        <v>-4.66390023100453</v>
      </c>
      <c r="Z2355" s="55" t="n">
        <f aca="false">X2355+ROW()*0.000000001</f>
        <v>44.872502355</v>
      </c>
    </row>
    <row r="2356" customFormat="false" ht="15" hidden="false" customHeight="false" outlineLevel="0" collapsed="false">
      <c r="A2356" s="0" t="n">
        <v>8</v>
      </c>
      <c r="B2356" s="0" t="n">
        <v>2</v>
      </c>
      <c r="C2356" s="0" t="n">
        <v>5</v>
      </c>
      <c r="D2356" s="0" t="n">
        <f aca="false">-1+A2356*0.125</f>
        <v>0</v>
      </c>
      <c r="E2356" s="0" t="n">
        <f aca="false">-1+B2356*0.125</f>
        <v>-0.75</v>
      </c>
      <c r="F2356" s="0" t="n">
        <f aca="false">-1+C2356*0.125</f>
        <v>-0.375</v>
      </c>
      <c r="G2356" s="0" t="n">
        <f aca="false">1</f>
        <v>1</v>
      </c>
      <c r="H2356" s="0" t="n">
        <f aca="false">D2356</f>
        <v>0</v>
      </c>
      <c r="I2356" s="0" t="n">
        <f aca="false">E2356</f>
        <v>-0.75</v>
      </c>
      <c r="J2356" s="0" t="n">
        <f aca="false">F2356</f>
        <v>-0.375</v>
      </c>
      <c r="K2356" s="0" t="n">
        <f aca="false">D2356*E2356</f>
        <v>-0</v>
      </c>
      <c r="L2356" s="0" t="n">
        <f aca="false">D2356*F2356</f>
        <v>-0</v>
      </c>
      <c r="M2356" s="0" t="n">
        <f aca="false">E2356*F2356</f>
        <v>0.28125</v>
      </c>
      <c r="N2356" s="0" t="n">
        <f aca="false">D2356*D2356</f>
        <v>0</v>
      </c>
      <c r="O2356" s="0" t="n">
        <f aca="false">E2356*E2356</f>
        <v>0.5625</v>
      </c>
      <c r="P2356" s="0" t="n">
        <f aca="false">F2356*F2356</f>
        <v>0.140625</v>
      </c>
      <c r="Q2356" s="0" t="n">
        <f aca="false">SUMPRODUCT(G2356:P2356,_XtX!$B$71:$K$71)</f>
        <v>45.1315767045455</v>
      </c>
      <c r="R2356" s="0" t="n">
        <f aca="false">SUMPRODUCT(MMULT(G2356:P2356,_XtX!$B$58:$K$67),G2356:P2356)</f>
        <v>0.235136274857955</v>
      </c>
      <c r="S2356" s="0" t="n">
        <f aca="false">04_回帰ANOVA!$K$19*04_回帰ANOVA!$K$14*SQRT(1+R2356)</f>
        <v>1.03329439695656</v>
      </c>
      <c r="T2356" s="0" t="n">
        <f aca="false">Q2356-S2356</f>
        <v>44.0982823075889</v>
      </c>
      <c r="U2356" s="0" t="n">
        <f aca="false">Q2356+S2356</f>
        <v>46.164871101502</v>
      </c>
      <c r="V2356" s="54" t="b">
        <f aca="false">AND(D2356&gt;=01_因子設定!$L$5-0.000000001,D2356&lt;=01_因子設定!$M$5+0.000000001,E2356&gt;=01_因子設定!$L$6-0.000000001,E2356&lt;=01_因子設定!$M$6+0.000000001,F2356&gt;=01_因子設定!$L$7-0.000000001,F2356&lt;=01_因子設定!$M$7+0.000000001,IF(01_因子設定!$B$20="Box-Behnken",D2356^2+E2356^2+F2356^2&lt;=2+0.000000001,TRUE()))</f>
        <v>1</v>
      </c>
      <c r="W2356" s="55" t="n">
        <f aca="false">IF(V2356,IF(01_因子設定!$B$13="最大化",T2356-01_因子設定!$B$14,IF(01_因子設定!$B$13="最小化",01_因子設定!$B$15-U2356,MIN(T2356-01_因子設定!$B$14,01_因子設定!$B$15-U2356))),-1E+030)</f>
        <v>-4.40171769241109</v>
      </c>
      <c r="X2356" s="55" t="n">
        <f aca="false">IF(V2356,IF(01_因子設定!$B$13="最大化",Q2356,IF(01_因子設定!$B$13="最小化",-Q2356,-ABS(Q2356-01_因子設定!$B$16))),-1E+030)</f>
        <v>45.1315767045455</v>
      </c>
      <c r="Y2356" s="55" t="n">
        <f aca="false">W2356+ROW()*0.000000001</f>
        <v>-4.40171533641109</v>
      </c>
      <c r="Z2356" s="55" t="n">
        <f aca="false">X2356+ROW()*0.000000001</f>
        <v>45.1315790605455</v>
      </c>
    </row>
    <row r="2357" customFormat="false" ht="15" hidden="false" customHeight="false" outlineLevel="0" collapsed="false">
      <c r="A2357" s="0" t="n">
        <v>8</v>
      </c>
      <c r="B2357" s="0" t="n">
        <v>2</v>
      </c>
      <c r="C2357" s="0" t="n">
        <v>6</v>
      </c>
      <c r="D2357" s="0" t="n">
        <f aca="false">-1+A2357*0.125</f>
        <v>0</v>
      </c>
      <c r="E2357" s="0" t="n">
        <f aca="false">-1+B2357*0.125</f>
        <v>-0.75</v>
      </c>
      <c r="F2357" s="0" t="n">
        <f aca="false">-1+C2357*0.125</f>
        <v>-0.25</v>
      </c>
      <c r="G2357" s="0" t="n">
        <f aca="false">1</f>
        <v>1</v>
      </c>
      <c r="H2357" s="0" t="n">
        <f aca="false">D2357</f>
        <v>0</v>
      </c>
      <c r="I2357" s="0" t="n">
        <f aca="false">E2357</f>
        <v>-0.75</v>
      </c>
      <c r="J2357" s="0" t="n">
        <f aca="false">F2357</f>
        <v>-0.25</v>
      </c>
      <c r="K2357" s="0" t="n">
        <f aca="false">D2357*E2357</f>
        <v>-0</v>
      </c>
      <c r="L2357" s="0" t="n">
        <f aca="false">D2357*F2357</f>
        <v>-0</v>
      </c>
      <c r="M2357" s="0" t="n">
        <f aca="false">E2357*F2357</f>
        <v>0.1875</v>
      </c>
      <c r="N2357" s="0" t="n">
        <f aca="false">D2357*D2357</f>
        <v>0</v>
      </c>
      <c r="O2357" s="0" t="n">
        <f aca="false">E2357*E2357</f>
        <v>0.5625</v>
      </c>
      <c r="P2357" s="0" t="n">
        <f aca="false">F2357*F2357</f>
        <v>0.0625</v>
      </c>
      <c r="Q2357" s="0" t="n">
        <f aca="false">SUMPRODUCT(G2357:P2357,_XtX!$B$71:$K$71)</f>
        <v>45.3538636363637</v>
      </c>
      <c r="R2357" s="0" t="n">
        <f aca="false">SUMPRODUCT(MMULT(G2357:P2357,_XtX!$B$58:$K$67),G2357:P2357)</f>
        <v>0.235147372159091</v>
      </c>
      <c r="S2357" s="0" t="n">
        <f aca="false">04_回帰ANOVA!$K$19*04_回帰ANOVA!$K$14*SQRT(1+R2357)</f>
        <v>1.03329903885461</v>
      </c>
      <c r="T2357" s="0" t="n">
        <f aca="false">Q2357-S2357</f>
        <v>44.320564597509</v>
      </c>
      <c r="U2357" s="0" t="n">
        <f aca="false">Q2357+S2357</f>
        <v>46.3871626752183</v>
      </c>
      <c r="V2357" s="54" t="b">
        <f aca="false">AND(D2357&gt;=01_因子設定!$L$5-0.000000001,D2357&lt;=01_因子設定!$M$5+0.000000001,E2357&gt;=01_因子設定!$L$6-0.000000001,E2357&lt;=01_因子設定!$M$6+0.000000001,F2357&gt;=01_因子設定!$L$7-0.000000001,F2357&lt;=01_因子設定!$M$7+0.000000001,IF(01_因子設定!$B$20="Box-Behnken",D2357^2+E2357^2+F2357^2&lt;=2+0.000000001,TRUE()))</f>
        <v>1</v>
      </c>
      <c r="W2357" s="55" t="n">
        <f aca="false">IF(V2357,IF(01_因子設定!$B$13="最大化",T2357-01_因子設定!$B$14,IF(01_因子設定!$B$13="最小化",01_因子設定!$B$15-U2357,MIN(T2357-01_因子設定!$B$14,01_因子設定!$B$15-U2357))),-1E+030)</f>
        <v>-4.17943540249096</v>
      </c>
      <c r="X2357" s="55" t="n">
        <f aca="false">IF(V2357,IF(01_因子設定!$B$13="最大化",Q2357,IF(01_因子設定!$B$13="最小化",-Q2357,-ABS(Q2357-01_因子設定!$B$16))),-1E+030)</f>
        <v>45.3538636363637</v>
      </c>
      <c r="Y2357" s="55" t="n">
        <f aca="false">W2357+ROW()*0.000000001</f>
        <v>-4.17943304549096</v>
      </c>
      <c r="Z2357" s="55" t="n">
        <f aca="false">X2357+ROW()*0.000000001</f>
        <v>45.3538659933637</v>
      </c>
    </row>
    <row r="2358" customFormat="false" ht="15" hidden="false" customHeight="false" outlineLevel="0" collapsed="false">
      <c r="A2358" s="0" t="n">
        <v>8</v>
      </c>
      <c r="B2358" s="0" t="n">
        <v>2</v>
      </c>
      <c r="C2358" s="0" t="n">
        <v>7</v>
      </c>
      <c r="D2358" s="0" t="n">
        <f aca="false">-1+A2358*0.125</f>
        <v>0</v>
      </c>
      <c r="E2358" s="0" t="n">
        <f aca="false">-1+B2358*0.125</f>
        <v>-0.75</v>
      </c>
      <c r="F2358" s="0" t="n">
        <f aca="false">-1+C2358*0.125</f>
        <v>-0.125</v>
      </c>
      <c r="G2358" s="0" t="n">
        <f aca="false">1</f>
        <v>1</v>
      </c>
      <c r="H2358" s="0" t="n">
        <f aca="false">D2358</f>
        <v>0</v>
      </c>
      <c r="I2358" s="0" t="n">
        <f aca="false">E2358</f>
        <v>-0.75</v>
      </c>
      <c r="J2358" s="0" t="n">
        <f aca="false">F2358</f>
        <v>-0.125</v>
      </c>
      <c r="K2358" s="0" t="n">
        <f aca="false">D2358*E2358</f>
        <v>-0</v>
      </c>
      <c r="L2358" s="0" t="n">
        <f aca="false">D2358*F2358</f>
        <v>-0</v>
      </c>
      <c r="M2358" s="0" t="n">
        <f aca="false">E2358*F2358</f>
        <v>0.09375</v>
      </c>
      <c r="N2358" s="0" t="n">
        <f aca="false">D2358*D2358</f>
        <v>0</v>
      </c>
      <c r="O2358" s="0" t="n">
        <f aca="false">E2358*E2358</f>
        <v>0.5625</v>
      </c>
      <c r="P2358" s="0" t="n">
        <f aca="false">F2358*F2358</f>
        <v>0.015625</v>
      </c>
      <c r="Q2358" s="0" t="n">
        <f aca="false">SUMPRODUCT(G2358:P2358,_XtX!$B$71:$K$71)</f>
        <v>45.5393607954546</v>
      </c>
      <c r="R2358" s="0" t="n">
        <f aca="false">SUMPRODUCT(MMULT(G2358:P2358,_XtX!$B$58:$K$67),G2358:P2358)</f>
        <v>0.237284712357955</v>
      </c>
      <c r="S2358" s="0" t="n">
        <f aca="false">04_回帰ANOVA!$K$19*04_回帰ANOVA!$K$14*SQRT(1+R2358)</f>
        <v>1.03419267998124</v>
      </c>
      <c r="T2358" s="0" t="n">
        <f aca="false">Q2358-S2358</f>
        <v>44.5051681154733</v>
      </c>
      <c r="U2358" s="0" t="n">
        <f aca="false">Q2358+S2358</f>
        <v>46.5735534754358</v>
      </c>
      <c r="V2358" s="54" t="b">
        <f aca="false">AND(D2358&gt;=01_因子設定!$L$5-0.000000001,D2358&lt;=01_因子設定!$M$5+0.000000001,E2358&gt;=01_因子設定!$L$6-0.000000001,E2358&lt;=01_因子設定!$M$6+0.000000001,F2358&gt;=01_因子設定!$L$7-0.000000001,F2358&lt;=01_因子設定!$M$7+0.000000001,IF(01_因子設定!$B$20="Box-Behnken",D2358^2+E2358^2+F2358^2&lt;=2+0.000000001,TRUE()))</f>
        <v>1</v>
      </c>
      <c r="W2358" s="55" t="n">
        <f aca="false">IF(V2358,IF(01_因子設定!$B$13="最大化",T2358-01_因子設定!$B$14,IF(01_因子設定!$B$13="最小化",01_因子設定!$B$15-U2358,MIN(T2358-01_因子設定!$B$14,01_因子設定!$B$15-U2358))),-1E+030)</f>
        <v>-3.99483188452668</v>
      </c>
      <c r="X2358" s="55" t="n">
        <f aca="false">IF(V2358,IF(01_因子設定!$B$13="最大化",Q2358,IF(01_因子設定!$B$13="最小化",-Q2358,-ABS(Q2358-01_因子設定!$B$16))),-1E+030)</f>
        <v>45.5393607954546</v>
      </c>
      <c r="Y2358" s="55" t="n">
        <f aca="false">W2358+ROW()*0.000000001</f>
        <v>-3.99482952652668</v>
      </c>
      <c r="Z2358" s="55" t="n">
        <f aca="false">X2358+ROW()*0.000000001</f>
        <v>45.5393631534546</v>
      </c>
    </row>
    <row r="2359" customFormat="false" ht="15" hidden="false" customHeight="false" outlineLevel="0" collapsed="false">
      <c r="A2359" s="0" t="n">
        <v>8</v>
      </c>
      <c r="B2359" s="0" t="n">
        <v>2</v>
      </c>
      <c r="C2359" s="0" t="n">
        <v>8</v>
      </c>
      <c r="D2359" s="0" t="n">
        <f aca="false">-1+A2359*0.125</f>
        <v>0</v>
      </c>
      <c r="E2359" s="0" t="n">
        <f aca="false">-1+B2359*0.125</f>
        <v>-0.75</v>
      </c>
      <c r="F2359" s="0" t="n">
        <f aca="false">-1+C2359*0.125</f>
        <v>0</v>
      </c>
      <c r="G2359" s="0" t="n">
        <f aca="false">1</f>
        <v>1</v>
      </c>
      <c r="H2359" s="0" t="n">
        <f aca="false">D2359</f>
        <v>0</v>
      </c>
      <c r="I2359" s="0" t="n">
        <f aca="false">E2359</f>
        <v>-0.75</v>
      </c>
      <c r="J2359" s="0" t="n">
        <f aca="false">F2359</f>
        <v>0</v>
      </c>
      <c r="K2359" s="0" t="n">
        <f aca="false">D2359*E2359</f>
        <v>-0</v>
      </c>
      <c r="L2359" s="0" t="n">
        <f aca="false">D2359*F2359</f>
        <v>0</v>
      </c>
      <c r="M2359" s="0" t="n">
        <f aca="false">E2359*F2359</f>
        <v>-0</v>
      </c>
      <c r="N2359" s="0" t="n">
        <f aca="false">D2359*D2359</f>
        <v>0</v>
      </c>
      <c r="O2359" s="0" t="n">
        <f aca="false">E2359*E2359</f>
        <v>0.5625</v>
      </c>
      <c r="P2359" s="0" t="n">
        <f aca="false">F2359*F2359</f>
        <v>0</v>
      </c>
      <c r="Q2359" s="0" t="n">
        <f aca="false">SUMPRODUCT(G2359:P2359,_XtX!$B$71:$K$71)</f>
        <v>45.6880681818182</v>
      </c>
      <c r="R2359" s="0" t="n">
        <f aca="false">SUMPRODUCT(MMULT(G2359:P2359,_XtX!$B$58:$K$67),G2359:P2359)</f>
        <v>0.238352272727273</v>
      </c>
      <c r="S2359" s="0" t="n">
        <f aca="false">04_回帰ANOVA!$K$19*04_回帰ANOVA!$K$14*SQRT(1+R2359)</f>
        <v>1.03463874751028</v>
      </c>
      <c r="T2359" s="0" t="n">
        <f aca="false">Q2359-S2359</f>
        <v>44.6534294343079</v>
      </c>
      <c r="U2359" s="0" t="n">
        <f aca="false">Q2359+S2359</f>
        <v>46.7227069293285</v>
      </c>
      <c r="V2359" s="54" t="b">
        <f aca="false">AND(D2359&gt;=01_因子設定!$L$5-0.000000001,D2359&lt;=01_因子設定!$M$5+0.000000001,E2359&gt;=01_因子設定!$L$6-0.000000001,E2359&lt;=01_因子設定!$M$6+0.000000001,F2359&gt;=01_因子設定!$L$7-0.000000001,F2359&lt;=01_因子設定!$M$7+0.000000001,IF(01_因子設定!$B$20="Box-Behnken",D2359^2+E2359^2+F2359^2&lt;=2+0.000000001,TRUE()))</f>
        <v>1</v>
      </c>
      <c r="W2359" s="55" t="n">
        <f aca="false">IF(V2359,IF(01_因子設定!$B$13="最大化",T2359-01_因子設定!$B$14,IF(01_因子設定!$B$13="最小化",01_因子設定!$B$15-U2359,MIN(T2359-01_因子設定!$B$14,01_因子設定!$B$15-U2359))),-1E+030)</f>
        <v>-3.84657056569208</v>
      </c>
      <c r="X2359" s="55" t="n">
        <f aca="false">IF(V2359,IF(01_因子設定!$B$13="最大化",Q2359,IF(01_因子設定!$B$13="最小化",-Q2359,-ABS(Q2359-01_因子設定!$B$16))),-1E+030)</f>
        <v>45.6880681818182</v>
      </c>
      <c r="Y2359" s="55" t="n">
        <f aca="false">W2359+ROW()*0.000000001</f>
        <v>-3.84656820669208</v>
      </c>
      <c r="Z2359" s="55" t="n">
        <f aca="false">X2359+ROW()*0.000000001</f>
        <v>45.6880705408182</v>
      </c>
    </row>
    <row r="2360" customFormat="false" ht="15" hidden="false" customHeight="false" outlineLevel="0" collapsed="false">
      <c r="A2360" s="0" t="n">
        <v>8</v>
      </c>
      <c r="B2360" s="0" t="n">
        <v>2</v>
      </c>
      <c r="C2360" s="0" t="n">
        <v>9</v>
      </c>
      <c r="D2360" s="0" t="n">
        <f aca="false">-1+A2360*0.125</f>
        <v>0</v>
      </c>
      <c r="E2360" s="0" t="n">
        <f aca="false">-1+B2360*0.125</f>
        <v>-0.75</v>
      </c>
      <c r="F2360" s="0" t="n">
        <f aca="false">-1+C2360*0.125</f>
        <v>0.125</v>
      </c>
      <c r="G2360" s="0" t="n">
        <f aca="false">1</f>
        <v>1</v>
      </c>
      <c r="H2360" s="0" t="n">
        <f aca="false">D2360</f>
        <v>0</v>
      </c>
      <c r="I2360" s="0" t="n">
        <f aca="false">E2360</f>
        <v>-0.75</v>
      </c>
      <c r="J2360" s="0" t="n">
        <f aca="false">F2360</f>
        <v>0.125</v>
      </c>
      <c r="K2360" s="0" t="n">
        <f aca="false">D2360*E2360</f>
        <v>-0</v>
      </c>
      <c r="L2360" s="0" t="n">
        <f aca="false">D2360*F2360</f>
        <v>0</v>
      </c>
      <c r="M2360" s="0" t="n">
        <f aca="false">E2360*F2360</f>
        <v>-0.09375</v>
      </c>
      <c r="N2360" s="0" t="n">
        <f aca="false">D2360*D2360</f>
        <v>0</v>
      </c>
      <c r="O2360" s="0" t="n">
        <f aca="false">E2360*E2360</f>
        <v>0.5625</v>
      </c>
      <c r="P2360" s="0" t="n">
        <f aca="false">F2360*F2360</f>
        <v>0.015625</v>
      </c>
      <c r="Q2360" s="0" t="n">
        <f aca="false">SUMPRODUCT(G2360:P2360,_XtX!$B$71:$K$71)</f>
        <v>45.7999857954546</v>
      </c>
      <c r="R2360" s="0" t="n">
        <f aca="false">SUMPRODUCT(MMULT(G2360:P2360,_XtX!$B$58:$K$67),G2360:P2360)</f>
        <v>0.237284712357955</v>
      </c>
      <c r="S2360" s="0" t="n">
        <f aca="false">04_回帰ANOVA!$K$19*04_回帰ANOVA!$K$14*SQRT(1+R2360)</f>
        <v>1.03419267998124</v>
      </c>
      <c r="T2360" s="0" t="n">
        <f aca="false">Q2360-S2360</f>
        <v>44.7657931154733</v>
      </c>
      <c r="U2360" s="0" t="n">
        <f aca="false">Q2360+S2360</f>
        <v>46.8341784754358</v>
      </c>
      <c r="V2360" s="54" t="b">
        <f aca="false">AND(D2360&gt;=01_因子設定!$L$5-0.000000001,D2360&lt;=01_因子設定!$M$5+0.000000001,E2360&gt;=01_因子設定!$L$6-0.000000001,E2360&lt;=01_因子設定!$M$6+0.000000001,F2360&gt;=01_因子設定!$L$7-0.000000001,F2360&lt;=01_因子設定!$M$7+0.000000001,IF(01_因子設定!$B$20="Box-Behnken",D2360^2+E2360^2+F2360^2&lt;=2+0.000000001,TRUE()))</f>
        <v>1</v>
      </c>
      <c r="W2360" s="55" t="n">
        <f aca="false">IF(V2360,IF(01_因子設定!$B$13="最大化",T2360-01_因子設定!$B$14,IF(01_因子設定!$B$13="最小化",01_因子設定!$B$15-U2360,MIN(T2360-01_因子設定!$B$14,01_因子設定!$B$15-U2360))),-1E+030)</f>
        <v>-3.73420688452669</v>
      </c>
      <c r="X2360" s="55" t="n">
        <f aca="false">IF(V2360,IF(01_因子設定!$B$13="最大化",Q2360,IF(01_因子設定!$B$13="最小化",-Q2360,-ABS(Q2360-01_因子設定!$B$16))),-1E+030)</f>
        <v>45.7999857954546</v>
      </c>
      <c r="Y2360" s="55" t="n">
        <f aca="false">W2360+ROW()*0.000000001</f>
        <v>-3.73420452452669</v>
      </c>
      <c r="Z2360" s="55" t="n">
        <f aca="false">X2360+ROW()*0.000000001</f>
        <v>45.7999881554546</v>
      </c>
    </row>
    <row r="2361" customFormat="false" ht="15" hidden="false" customHeight="false" outlineLevel="0" collapsed="false">
      <c r="A2361" s="0" t="n">
        <v>8</v>
      </c>
      <c r="B2361" s="0" t="n">
        <v>2</v>
      </c>
      <c r="C2361" s="0" t="n">
        <v>10</v>
      </c>
      <c r="D2361" s="0" t="n">
        <f aca="false">-1+A2361*0.125</f>
        <v>0</v>
      </c>
      <c r="E2361" s="0" t="n">
        <f aca="false">-1+B2361*0.125</f>
        <v>-0.75</v>
      </c>
      <c r="F2361" s="0" t="n">
        <f aca="false">-1+C2361*0.125</f>
        <v>0.25</v>
      </c>
      <c r="G2361" s="0" t="n">
        <f aca="false">1</f>
        <v>1</v>
      </c>
      <c r="H2361" s="0" t="n">
        <f aca="false">D2361</f>
        <v>0</v>
      </c>
      <c r="I2361" s="0" t="n">
        <f aca="false">E2361</f>
        <v>-0.75</v>
      </c>
      <c r="J2361" s="0" t="n">
        <f aca="false">F2361</f>
        <v>0.25</v>
      </c>
      <c r="K2361" s="0" t="n">
        <f aca="false">D2361*E2361</f>
        <v>-0</v>
      </c>
      <c r="L2361" s="0" t="n">
        <f aca="false">D2361*F2361</f>
        <v>0</v>
      </c>
      <c r="M2361" s="0" t="n">
        <f aca="false">E2361*F2361</f>
        <v>-0.1875</v>
      </c>
      <c r="N2361" s="0" t="n">
        <f aca="false">D2361*D2361</f>
        <v>0</v>
      </c>
      <c r="O2361" s="0" t="n">
        <f aca="false">E2361*E2361</f>
        <v>0.5625</v>
      </c>
      <c r="P2361" s="0" t="n">
        <f aca="false">F2361*F2361</f>
        <v>0.0625</v>
      </c>
      <c r="Q2361" s="0" t="n">
        <f aca="false">SUMPRODUCT(G2361:P2361,_XtX!$B$71:$K$71)</f>
        <v>45.8751136363637</v>
      </c>
      <c r="R2361" s="0" t="n">
        <f aca="false">SUMPRODUCT(MMULT(G2361:P2361,_XtX!$B$58:$K$67),G2361:P2361)</f>
        <v>0.235147372159091</v>
      </c>
      <c r="S2361" s="0" t="n">
        <f aca="false">04_回帰ANOVA!$K$19*04_回帰ANOVA!$K$14*SQRT(1+R2361)</f>
        <v>1.03329903885461</v>
      </c>
      <c r="T2361" s="0" t="n">
        <f aca="false">Q2361-S2361</f>
        <v>44.841814597509</v>
      </c>
      <c r="U2361" s="0" t="n">
        <f aca="false">Q2361+S2361</f>
        <v>46.9084126752183</v>
      </c>
      <c r="V2361" s="54" t="b">
        <f aca="false">AND(D2361&gt;=01_因子設定!$L$5-0.000000001,D2361&lt;=01_因子設定!$M$5+0.000000001,E2361&gt;=01_因子設定!$L$6-0.000000001,E2361&lt;=01_因子設定!$M$6+0.000000001,F2361&gt;=01_因子設定!$L$7-0.000000001,F2361&lt;=01_因子設定!$M$7+0.000000001,IF(01_因子設定!$B$20="Box-Behnken",D2361^2+E2361^2+F2361^2&lt;=2+0.000000001,TRUE()))</f>
        <v>1</v>
      </c>
      <c r="W2361" s="55" t="n">
        <f aca="false">IF(V2361,IF(01_因子設定!$B$13="最大化",T2361-01_因子設定!$B$14,IF(01_因子設定!$B$13="最小化",01_因子設定!$B$15-U2361,MIN(T2361-01_因子設定!$B$14,01_因子設定!$B$15-U2361))),-1E+030)</f>
        <v>-3.65818540249096</v>
      </c>
      <c r="X2361" s="55" t="n">
        <f aca="false">IF(V2361,IF(01_因子設定!$B$13="最大化",Q2361,IF(01_因子設定!$B$13="最小化",-Q2361,-ABS(Q2361-01_因子設定!$B$16))),-1E+030)</f>
        <v>45.8751136363637</v>
      </c>
      <c r="Y2361" s="55" t="n">
        <f aca="false">W2361+ROW()*0.000000001</f>
        <v>-3.65818304149096</v>
      </c>
      <c r="Z2361" s="55" t="n">
        <f aca="false">X2361+ROW()*0.000000001</f>
        <v>45.8751159973637</v>
      </c>
    </row>
    <row r="2362" customFormat="false" ht="15" hidden="false" customHeight="false" outlineLevel="0" collapsed="false">
      <c r="A2362" s="0" t="n">
        <v>8</v>
      </c>
      <c r="B2362" s="0" t="n">
        <v>2</v>
      </c>
      <c r="C2362" s="0" t="n">
        <v>11</v>
      </c>
      <c r="D2362" s="0" t="n">
        <f aca="false">-1+A2362*0.125</f>
        <v>0</v>
      </c>
      <c r="E2362" s="0" t="n">
        <f aca="false">-1+B2362*0.125</f>
        <v>-0.75</v>
      </c>
      <c r="F2362" s="0" t="n">
        <f aca="false">-1+C2362*0.125</f>
        <v>0.375</v>
      </c>
      <c r="G2362" s="0" t="n">
        <f aca="false">1</f>
        <v>1</v>
      </c>
      <c r="H2362" s="0" t="n">
        <f aca="false">D2362</f>
        <v>0</v>
      </c>
      <c r="I2362" s="0" t="n">
        <f aca="false">E2362</f>
        <v>-0.75</v>
      </c>
      <c r="J2362" s="0" t="n">
        <f aca="false">F2362</f>
        <v>0.375</v>
      </c>
      <c r="K2362" s="0" t="n">
        <f aca="false">D2362*E2362</f>
        <v>-0</v>
      </c>
      <c r="L2362" s="0" t="n">
        <f aca="false">D2362*F2362</f>
        <v>0</v>
      </c>
      <c r="M2362" s="0" t="n">
        <f aca="false">E2362*F2362</f>
        <v>-0.28125</v>
      </c>
      <c r="N2362" s="0" t="n">
        <f aca="false">D2362*D2362</f>
        <v>0</v>
      </c>
      <c r="O2362" s="0" t="n">
        <f aca="false">E2362*E2362</f>
        <v>0.5625</v>
      </c>
      <c r="P2362" s="0" t="n">
        <f aca="false">F2362*F2362</f>
        <v>0.140625</v>
      </c>
      <c r="Q2362" s="0" t="n">
        <f aca="false">SUMPRODUCT(G2362:P2362,_XtX!$B$71:$K$71)</f>
        <v>45.9134517045455</v>
      </c>
      <c r="R2362" s="0" t="n">
        <f aca="false">SUMPRODUCT(MMULT(G2362:P2362,_XtX!$B$58:$K$67),G2362:P2362)</f>
        <v>0.235136274857955</v>
      </c>
      <c r="S2362" s="0" t="n">
        <f aca="false">04_回帰ANOVA!$K$19*04_回帰ANOVA!$K$14*SQRT(1+R2362)</f>
        <v>1.03329439695656</v>
      </c>
      <c r="T2362" s="0" t="n">
        <f aca="false">Q2362-S2362</f>
        <v>44.8801573075889</v>
      </c>
      <c r="U2362" s="0" t="n">
        <f aca="false">Q2362+S2362</f>
        <v>46.946746101502</v>
      </c>
      <c r="V2362" s="54" t="b">
        <f aca="false">AND(D2362&gt;=01_因子設定!$L$5-0.000000001,D2362&lt;=01_因子設定!$M$5+0.000000001,E2362&gt;=01_因子設定!$L$6-0.000000001,E2362&lt;=01_因子設定!$M$6+0.000000001,F2362&gt;=01_因子設定!$L$7-0.000000001,F2362&lt;=01_因子設定!$M$7+0.000000001,IF(01_因子設定!$B$20="Box-Behnken",D2362^2+E2362^2+F2362^2&lt;=2+0.000000001,TRUE()))</f>
        <v>1</v>
      </c>
      <c r="W2362" s="55" t="n">
        <f aca="false">IF(V2362,IF(01_因子設定!$B$13="最大化",T2362-01_因子設定!$B$14,IF(01_因子設定!$B$13="最小化",01_因子設定!$B$15-U2362,MIN(T2362-01_因子設定!$B$14,01_因子設定!$B$15-U2362))),-1E+030)</f>
        <v>-3.61984269241109</v>
      </c>
      <c r="X2362" s="55" t="n">
        <f aca="false">IF(V2362,IF(01_因子設定!$B$13="最大化",Q2362,IF(01_因子設定!$B$13="最小化",-Q2362,-ABS(Q2362-01_因子設定!$B$16))),-1E+030)</f>
        <v>45.9134517045455</v>
      </c>
      <c r="Y2362" s="55" t="n">
        <f aca="false">W2362+ROW()*0.000000001</f>
        <v>-3.61984033041109</v>
      </c>
      <c r="Z2362" s="55" t="n">
        <f aca="false">X2362+ROW()*0.000000001</f>
        <v>45.9134540665455</v>
      </c>
    </row>
    <row r="2363" customFormat="false" ht="15" hidden="false" customHeight="false" outlineLevel="0" collapsed="false">
      <c r="A2363" s="0" t="n">
        <v>8</v>
      </c>
      <c r="B2363" s="0" t="n">
        <v>2</v>
      </c>
      <c r="C2363" s="0" t="n">
        <v>12</v>
      </c>
      <c r="D2363" s="0" t="n">
        <f aca="false">-1+A2363*0.125</f>
        <v>0</v>
      </c>
      <c r="E2363" s="0" t="n">
        <f aca="false">-1+B2363*0.125</f>
        <v>-0.75</v>
      </c>
      <c r="F2363" s="0" t="n">
        <f aca="false">-1+C2363*0.125</f>
        <v>0.5</v>
      </c>
      <c r="G2363" s="0" t="n">
        <f aca="false">1</f>
        <v>1</v>
      </c>
      <c r="H2363" s="0" t="n">
        <f aca="false">D2363</f>
        <v>0</v>
      </c>
      <c r="I2363" s="0" t="n">
        <f aca="false">E2363</f>
        <v>-0.75</v>
      </c>
      <c r="J2363" s="0" t="n">
        <f aca="false">F2363</f>
        <v>0.5</v>
      </c>
      <c r="K2363" s="0" t="n">
        <f aca="false">D2363*E2363</f>
        <v>-0</v>
      </c>
      <c r="L2363" s="0" t="n">
        <f aca="false">D2363*F2363</f>
        <v>0</v>
      </c>
      <c r="M2363" s="0" t="n">
        <f aca="false">E2363*F2363</f>
        <v>-0.375</v>
      </c>
      <c r="N2363" s="0" t="n">
        <f aca="false">D2363*D2363</f>
        <v>0</v>
      </c>
      <c r="O2363" s="0" t="n">
        <f aca="false">E2363*E2363</f>
        <v>0.5625</v>
      </c>
      <c r="P2363" s="0" t="n">
        <f aca="false">F2363*F2363</f>
        <v>0.25</v>
      </c>
      <c r="Q2363" s="0" t="n">
        <f aca="false">SUMPRODUCT(G2363:P2363,_XtX!$B$71:$K$71)</f>
        <v>45.915</v>
      </c>
      <c r="R2363" s="0" t="n">
        <f aca="false">SUMPRODUCT(MMULT(G2363:P2363,_XtX!$B$58:$K$67),G2363:P2363)</f>
        <v>0.242578125</v>
      </c>
      <c r="S2363" s="0" t="n">
        <f aca="false">04_回帰ANOVA!$K$19*04_回帰ANOVA!$K$14*SQRT(1+R2363)</f>
        <v>1.03640258600455</v>
      </c>
      <c r="T2363" s="0" t="n">
        <f aca="false">Q2363-S2363</f>
        <v>44.8785974139955</v>
      </c>
      <c r="U2363" s="0" t="n">
        <f aca="false">Q2363+S2363</f>
        <v>46.9514025860046</v>
      </c>
      <c r="V2363" s="54" t="b">
        <f aca="false">AND(D2363&gt;=01_因子設定!$L$5-0.000000001,D2363&lt;=01_因子設定!$M$5+0.000000001,E2363&gt;=01_因子設定!$L$6-0.000000001,E2363&lt;=01_因子設定!$M$6+0.000000001,F2363&gt;=01_因子設定!$L$7-0.000000001,F2363&lt;=01_因子設定!$M$7+0.000000001,IF(01_因子設定!$B$20="Box-Behnken",D2363^2+E2363^2+F2363^2&lt;=2+0.000000001,TRUE()))</f>
        <v>1</v>
      </c>
      <c r="W2363" s="55" t="n">
        <f aca="false">IF(V2363,IF(01_因子設定!$B$13="最大化",T2363-01_因子設定!$B$14,IF(01_因子設定!$B$13="最小化",01_因子設定!$B$15-U2363,MIN(T2363-01_因子設定!$B$14,01_因子設定!$B$15-U2363))),-1E+030)</f>
        <v>-3.62140258600454</v>
      </c>
      <c r="X2363" s="55" t="n">
        <f aca="false">IF(V2363,IF(01_因子設定!$B$13="最大化",Q2363,IF(01_因子設定!$B$13="最小化",-Q2363,-ABS(Q2363-01_因子設定!$B$16))),-1E+030)</f>
        <v>45.915</v>
      </c>
      <c r="Y2363" s="55" t="n">
        <f aca="false">W2363+ROW()*0.000000001</f>
        <v>-3.62140022300454</v>
      </c>
      <c r="Z2363" s="55" t="n">
        <f aca="false">X2363+ROW()*0.000000001</f>
        <v>45.915002363</v>
      </c>
    </row>
    <row r="2364" customFormat="false" ht="15" hidden="false" customHeight="false" outlineLevel="0" collapsed="false">
      <c r="A2364" s="0" t="n">
        <v>8</v>
      </c>
      <c r="B2364" s="0" t="n">
        <v>2</v>
      </c>
      <c r="C2364" s="0" t="n">
        <v>13</v>
      </c>
      <c r="D2364" s="0" t="n">
        <f aca="false">-1+A2364*0.125</f>
        <v>0</v>
      </c>
      <c r="E2364" s="0" t="n">
        <f aca="false">-1+B2364*0.125</f>
        <v>-0.75</v>
      </c>
      <c r="F2364" s="0" t="n">
        <f aca="false">-1+C2364*0.125</f>
        <v>0.625</v>
      </c>
      <c r="G2364" s="0" t="n">
        <f aca="false">1</f>
        <v>1</v>
      </c>
      <c r="H2364" s="0" t="n">
        <f aca="false">D2364</f>
        <v>0</v>
      </c>
      <c r="I2364" s="0" t="n">
        <f aca="false">E2364</f>
        <v>-0.75</v>
      </c>
      <c r="J2364" s="0" t="n">
        <f aca="false">F2364</f>
        <v>0.625</v>
      </c>
      <c r="K2364" s="0" t="n">
        <f aca="false">D2364*E2364</f>
        <v>-0</v>
      </c>
      <c r="L2364" s="0" t="n">
        <f aca="false">D2364*F2364</f>
        <v>0</v>
      </c>
      <c r="M2364" s="0" t="n">
        <f aca="false">E2364*F2364</f>
        <v>-0.46875</v>
      </c>
      <c r="N2364" s="0" t="n">
        <f aca="false">D2364*D2364</f>
        <v>0</v>
      </c>
      <c r="O2364" s="0" t="n">
        <f aca="false">E2364*E2364</f>
        <v>0.5625</v>
      </c>
      <c r="P2364" s="0" t="n">
        <f aca="false">F2364*F2364</f>
        <v>0.390625</v>
      </c>
      <c r="Q2364" s="0" t="n">
        <f aca="false">SUMPRODUCT(G2364:P2364,_XtX!$B$71:$K$71)</f>
        <v>45.8797585227273</v>
      </c>
      <c r="R2364" s="0" t="n">
        <f aca="false">SUMPRODUCT(MMULT(G2364:P2364,_XtX!$B$58:$K$67),G2364:P2364)</f>
        <v>0.264930308948864</v>
      </c>
      <c r="S2364" s="0" t="n">
        <f aca="false">04_回帰ANOVA!$K$19*04_回帰ANOVA!$K$14*SQRT(1+R2364)</f>
        <v>1.04568272997153</v>
      </c>
      <c r="T2364" s="0" t="n">
        <f aca="false">Q2364-S2364</f>
        <v>44.8340757927558</v>
      </c>
      <c r="U2364" s="0" t="n">
        <f aca="false">Q2364+S2364</f>
        <v>46.9254412526988</v>
      </c>
      <c r="V2364" s="54" t="b">
        <f aca="false">AND(D2364&gt;=01_因子設定!$L$5-0.000000001,D2364&lt;=01_因子設定!$M$5+0.000000001,E2364&gt;=01_因子設定!$L$6-0.000000001,E2364&lt;=01_因子設定!$M$6+0.000000001,F2364&gt;=01_因子設定!$L$7-0.000000001,F2364&lt;=01_因子設定!$M$7+0.000000001,IF(01_因子設定!$B$20="Box-Behnken",D2364^2+E2364^2+F2364^2&lt;=2+0.000000001,TRUE()))</f>
        <v>1</v>
      </c>
      <c r="W2364" s="55" t="n">
        <f aca="false">IF(V2364,IF(01_因子設定!$B$13="最大化",T2364-01_因子設定!$B$14,IF(01_因子設定!$B$13="最小化",01_因子設定!$B$15-U2364,MIN(T2364-01_因子設定!$B$14,01_因子設定!$B$15-U2364))),-1E+030)</f>
        <v>-3.66592420724423</v>
      </c>
      <c r="X2364" s="55" t="n">
        <f aca="false">IF(V2364,IF(01_因子設定!$B$13="最大化",Q2364,IF(01_因子設定!$B$13="最小化",-Q2364,-ABS(Q2364-01_因子設定!$B$16))),-1E+030)</f>
        <v>45.8797585227273</v>
      </c>
      <c r="Y2364" s="55" t="n">
        <f aca="false">W2364+ROW()*0.000000001</f>
        <v>-3.66592184324423</v>
      </c>
      <c r="Z2364" s="55" t="n">
        <f aca="false">X2364+ROW()*0.000000001</f>
        <v>45.8797608867273</v>
      </c>
    </row>
    <row r="2365" customFormat="false" ht="15" hidden="false" customHeight="false" outlineLevel="0" collapsed="false">
      <c r="A2365" s="0" t="n">
        <v>8</v>
      </c>
      <c r="B2365" s="0" t="n">
        <v>2</v>
      </c>
      <c r="C2365" s="0" t="n">
        <v>14</v>
      </c>
      <c r="D2365" s="0" t="n">
        <f aca="false">-1+A2365*0.125</f>
        <v>0</v>
      </c>
      <c r="E2365" s="0" t="n">
        <f aca="false">-1+B2365*0.125</f>
        <v>-0.75</v>
      </c>
      <c r="F2365" s="0" t="n">
        <f aca="false">-1+C2365*0.125</f>
        <v>0.75</v>
      </c>
      <c r="G2365" s="0" t="n">
        <f aca="false">1</f>
        <v>1</v>
      </c>
      <c r="H2365" s="0" t="n">
        <f aca="false">D2365</f>
        <v>0</v>
      </c>
      <c r="I2365" s="0" t="n">
        <f aca="false">E2365</f>
        <v>-0.75</v>
      </c>
      <c r="J2365" s="0" t="n">
        <f aca="false">F2365</f>
        <v>0.75</v>
      </c>
      <c r="K2365" s="0" t="n">
        <f aca="false">D2365*E2365</f>
        <v>-0</v>
      </c>
      <c r="L2365" s="0" t="n">
        <f aca="false">D2365*F2365</f>
        <v>0</v>
      </c>
      <c r="M2365" s="0" t="n">
        <f aca="false">E2365*F2365</f>
        <v>-0.5625</v>
      </c>
      <c r="N2365" s="0" t="n">
        <f aca="false">D2365*D2365</f>
        <v>0</v>
      </c>
      <c r="O2365" s="0" t="n">
        <f aca="false">E2365*E2365</f>
        <v>0.5625</v>
      </c>
      <c r="P2365" s="0" t="n">
        <f aca="false">F2365*F2365</f>
        <v>0.5625</v>
      </c>
      <c r="Q2365" s="0" t="n">
        <f aca="false">SUMPRODUCT(G2365:P2365,_XtX!$B$71:$K$71)</f>
        <v>45.8077272727273</v>
      </c>
      <c r="R2365" s="0" t="n">
        <f aca="false">SUMPRODUCT(MMULT(G2365:P2365,_XtX!$B$58:$K$67),G2365:P2365)</f>
        <v>0.311780894886364</v>
      </c>
      <c r="S2365" s="0" t="n">
        <f aca="false">04_回帰ANOVA!$K$19*04_回帰ANOVA!$K$14*SQRT(1+R2365)</f>
        <v>1.06487170339437</v>
      </c>
      <c r="T2365" s="0" t="n">
        <f aca="false">Q2365-S2365</f>
        <v>44.7428555693329</v>
      </c>
      <c r="U2365" s="0" t="n">
        <f aca="false">Q2365+S2365</f>
        <v>46.8725989761217</v>
      </c>
      <c r="V2365" s="54" t="b">
        <f aca="false">AND(D2365&gt;=01_因子設定!$L$5-0.000000001,D2365&lt;=01_因子設定!$M$5+0.000000001,E2365&gt;=01_因子設定!$L$6-0.000000001,E2365&lt;=01_因子設定!$M$6+0.000000001,F2365&gt;=01_因子設定!$L$7-0.000000001,F2365&lt;=01_因子設定!$M$7+0.000000001,IF(01_因子設定!$B$20="Box-Behnken",D2365^2+E2365^2+F2365^2&lt;=2+0.000000001,TRUE()))</f>
        <v>1</v>
      </c>
      <c r="W2365" s="55" t="n">
        <f aca="false">IF(V2365,IF(01_因子設定!$B$13="最大化",T2365-01_因子設定!$B$14,IF(01_因子設定!$B$13="最小化",01_因子設定!$B$15-U2365,MIN(T2365-01_因子設定!$B$14,01_因子設定!$B$15-U2365))),-1E+030)</f>
        <v>-3.75714443066708</v>
      </c>
      <c r="X2365" s="55" t="n">
        <f aca="false">IF(V2365,IF(01_因子設定!$B$13="最大化",Q2365,IF(01_因子設定!$B$13="最小化",-Q2365,-ABS(Q2365-01_因子設定!$B$16))),-1E+030)</f>
        <v>45.8077272727273</v>
      </c>
      <c r="Y2365" s="55" t="n">
        <f aca="false">W2365+ROW()*0.000000001</f>
        <v>-3.75714206566708</v>
      </c>
      <c r="Z2365" s="55" t="n">
        <f aca="false">X2365+ROW()*0.000000001</f>
        <v>45.8077296377273</v>
      </c>
    </row>
    <row r="2366" customFormat="false" ht="15" hidden="false" customHeight="false" outlineLevel="0" collapsed="false">
      <c r="A2366" s="0" t="n">
        <v>8</v>
      </c>
      <c r="B2366" s="0" t="n">
        <v>2</v>
      </c>
      <c r="C2366" s="0" t="n">
        <v>15</v>
      </c>
      <c r="D2366" s="0" t="n">
        <f aca="false">-1+A2366*0.125</f>
        <v>0</v>
      </c>
      <c r="E2366" s="0" t="n">
        <f aca="false">-1+B2366*0.125</f>
        <v>-0.75</v>
      </c>
      <c r="F2366" s="0" t="n">
        <f aca="false">-1+C2366*0.125</f>
        <v>0.875</v>
      </c>
      <c r="G2366" s="0" t="n">
        <f aca="false">1</f>
        <v>1</v>
      </c>
      <c r="H2366" s="0" t="n">
        <f aca="false">D2366</f>
        <v>0</v>
      </c>
      <c r="I2366" s="0" t="n">
        <f aca="false">E2366</f>
        <v>-0.75</v>
      </c>
      <c r="J2366" s="0" t="n">
        <f aca="false">F2366</f>
        <v>0.875</v>
      </c>
      <c r="K2366" s="0" t="n">
        <f aca="false">D2366*E2366</f>
        <v>-0</v>
      </c>
      <c r="L2366" s="0" t="n">
        <f aca="false">D2366*F2366</f>
        <v>0</v>
      </c>
      <c r="M2366" s="0" t="n">
        <f aca="false">E2366*F2366</f>
        <v>-0.65625</v>
      </c>
      <c r="N2366" s="0" t="n">
        <f aca="false">D2366*D2366</f>
        <v>0</v>
      </c>
      <c r="O2366" s="0" t="n">
        <f aca="false">E2366*E2366</f>
        <v>0.5625</v>
      </c>
      <c r="P2366" s="0" t="n">
        <f aca="false">F2366*F2366</f>
        <v>0.765625</v>
      </c>
      <c r="Q2366" s="0" t="n">
        <f aca="false">SUMPRODUCT(G2366:P2366,_XtX!$B$71:$K$71)</f>
        <v>45.69890625</v>
      </c>
      <c r="R2366" s="0" t="n">
        <f aca="false">SUMPRODUCT(MMULT(G2366:P2366,_XtX!$B$58:$K$67),G2366:P2366)</f>
        <v>0.3948486328125</v>
      </c>
      <c r="S2366" s="0" t="n">
        <f aca="false">04_回帰ANOVA!$K$19*04_回帰ANOVA!$K$14*SQRT(1+R2366)</f>
        <v>1.09807037952996</v>
      </c>
      <c r="T2366" s="0" t="n">
        <f aca="false">Q2366-S2366</f>
        <v>44.6008358704701</v>
      </c>
      <c r="U2366" s="0" t="n">
        <f aca="false">Q2366+S2366</f>
        <v>46.79697662953</v>
      </c>
      <c r="V2366" s="54" t="b">
        <f aca="false">AND(D2366&gt;=01_因子設定!$L$5-0.000000001,D2366&lt;=01_因子設定!$M$5+0.000000001,E2366&gt;=01_因子設定!$L$6-0.000000001,E2366&lt;=01_因子設定!$M$6+0.000000001,F2366&gt;=01_因子設定!$L$7-0.000000001,F2366&lt;=01_因子設定!$M$7+0.000000001,IF(01_因子設定!$B$20="Box-Behnken",D2366^2+E2366^2+F2366^2&lt;=2+0.000000001,TRUE()))</f>
        <v>1</v>
      </c>
      <c r="W2366" s="55" t="n">
        <f aca="false">IF(V2366,IF(01_因子設定!$B$13="最大化",T2366-01_因子設定!$B$14,IF(01_因子設定!$B$13="最小化",01_因子設定!$B$15-U2366,MIN(T2366-01_因子設定!$B$14,01_因子設定!$B$15-U2366))),-1E+030)</f>
        <v>-3.89916412952993</v>
      </c>
      <c r="X2366" s="55" t="n">
        <f aca="false">IF(V2366,IF(01_因子設定!$B$13="最大化",Q2366,IF(01_因子設定!$B$13="最小化",-Q2366,-ABS(Q2366-01_因子設定!$B$16))),-1E+030)</f>
        <v>45.69890625</v>
      </c>
      <c r="Y2366" s="55" t="n">
        <f aca="false">W2366+ROW()*0.000000001</f>
        <v>-3.89916176352993</v>
      </c>
      <c r="Z2366" s="55" t="n">
        <f aca="false">X2366+ROW()*0.000000001</f>
        <v>45.698908616</v>
      </c>
    </row>
    <row r="2367" customFormat="false" ht="15" hidden="false" customHeight="false" outlineLevel="0" collapsed="false">
      <c r="A2367" s="0" t="n">
        <v>8</v>
      </c>
      <c r="B2367" s="0" t="n">
        <v>2</v>
      </c>
      <c r="C2367" s="0" t="n">
        <v>16</v>
      </c>
      <c r="D2367" s="0" t="n">
        <f aca="false">-1+A2367*0.125</f>
        <v>0</v>
      </c>
      <c r="E2367" s="0" t="n">
        <f aca="false">-1+B2367*0.125</f>
        <v>-0.75</v>
      </c>
      <c r="F2367" s="0" t="n">
        <f aca="false">-1+C2367*0.125</f>
        <v>1</v>
      </c>
      <c r="G2367" s="0" t="n">
        <f aca="false">1</f>
        <v>1</v>
      </c>
      <c r="H2367" s="0" t="n">
        <f aca="false">D2367</f>
        <v>0</v>
      </c>
      <c r="I2367" s="0" t="n">
        <f aca="false">E2367</f>
        <v>-0.75</v>
      </c>
      <c r="J2367" s="0" t="n">
        <f aca="false">F2367</f>
        <v>1</v>
      </c>
      <c r="K2367" s="0" t="n">
        <f aca="false">D2367*E2367</f>
        <v>-0</v>
      </c>
      <c r="L2367" s="0" t="n">
        <f aca="false">D2367*F2367</f>
        <v>0</v>
      </c>
      <c r="M2367" s="0" t="n">
        <f aca="false">E2367*F2367</f>
        <v>-0.75</v>
      </c>
      <c r="N2367" s="0" t="n">
        <f aca="false">D2367*D2367</f>
        <v>0</v>
      </c>
      <c r="O2367" s="0" t="n">
        <f aca="false">E2367*E2367</f>
        <v>0.5625</v>
      </c>
      <c r="P2367" s="0" t="n">
        <f aca="false">F2367*F2367</f>
        <v>1</v>
      </c>
      <c r="Q2367" s="0" t="n">
        <f aca="false">SUMPRODUCT(G2367:P2367,_XtX!$B$71:$K$71)</f>
        <v>45.5532954545455</v>
      </c>
      <c r="R2367" s="0" t="n">
        <f aca="false">SUMPRODUCT(MMULT(G2367:P2367,_XtX!$B$58:$K$67),G2367:P2367)</f>
        <v>0.527982954545455</v>
      </c>
      <c r="S2367" s="0" t="n">
        <f aca="false">04_回帰ANOVA!$K$19*04_回帰ANOVA!$K$14*SQRT(1+R2367)</f>
        <v>1.14928011037747</v>
      </c>
      <c r="T2367" s="0" t="n">
        <f aca="false">Q2367-S2367</f>
        <v>44.404015344168</v>
      </c>
      <c r="U2367" s="0" t="n">
        <f aca="false">Q2367+S2367</f>
        <v>46.702575564923</v>
      </c>
      <c r="V2367" s="54" t="b">
        <f aca="false">AND(D2367&gt;=01_因子設定!$L$5-0.000000001,D2367&lt;=01_因子設定!$M$5+0.000000001,E2367&gt;=01_因子設定!$L$6-0.000000001,E2367&lt;=01_因子設定!$M$6+0.000000001,F2367&gt;=01_因子設定!$L$7-0.000000001,F2367&lt;=01_因子設定!$M$7+0.000000001,IF(01_因子設定!$B$20="Box-Behnken",D2367^2+E2367^2+F2367^2&lt;=2+0.000000001,TRUE()))</f>
        <v>1</v>
      </c>
      <c r="W2367" s="55" t="n">
        <f aca="false">IF(V2367,IF(01_因子設定!$B$13="最大化",T2367-01_因子設定!$B$14,IF(01_因子設定!$B$13="最小化",01_因子設定!$B$15-U2367,MIN(T2367-01_因子設定!$B$14,01_因子設定!$B$15-U2367))),-1E+030)</f>
        <v>-4.09598465583199</v>
      </c>
      <c r="X2367" s="55" t="n">
        <f aca="false">IF(V2367,IF(01_因子設定!$B$13="最大化",Q2367,IF(01_因子設定!$B$13="最小化",-Q2367,-ABS(Q2367-01_因子設定!$B$16))),-1E+030)</f>
        <v>45.5532954545455</v>
      </c>
      <c r="Y2367" s="55" t="n">
        <f aca="false">W2367+ROW()*0.000000001</f>
        <v>-4.09598228883199</v>
      </c>
      <c r="Z2367" s="55" t="n">
        <f aca="false">X2367+ROW()*0.000000001</f>
        <v>45.5532978215455</v>
      </c>
    </row>
    <row r="2368" customFormat="false" ht="15" hidden="false" customHeight="false" outlineLevel="0" collapsed="false">
      <c r="A2368" s="0" t="n">
        <v>8</v>
      </c>
      <c r="B2368" s="0" t="n">
        <v>3</v>
      </c>
      <c r="C2368" s="0" t="n">
        <v>0</v>
      </c>
      <c r="D2368" s="0" t="n">
        <f aca="false">-1+A2368*0.125</f>
        <v>0</v>
      </c>
      <c r="E2368" s="0" t="n">
        <f aca="false">-1+B2368*0.125</f>
        <v>-0.625</v>
      </c>
      <c r="F2368" s="0" t="n">
        <f aca="false">-1+C2368*0.125</f>
        <v>-1</v>
      </c>
      <c r="G2368" s="0" t="n">
        <f aca="false">1</f>
        <v>1</v>
      </c>
      <c r="H2368" s="0" t="n">
        <f aca="false">D2368</f>
        <v>0</v>
      </c>
      <c r="I2368" s="0" t="n">
        <f aca="false">E2368</f>
        <v>-0.625</v>
      </c>
      <c r="J2368" s="0" t="n">
        <f aca="false">F2368</f>
        <v>-1</v>
      </c>
      <c r="K2368" s="0" t="n">
        <f aca="false">D2368*E2368</f>
        <v>-0</v>
      </c>
      <c r="L2368" s="0" t="n">
        <f aca="false">D2368*F2368</f>
        <v>-0</v>
      </c>
      <c r="M2368" s="0" t="n">
        <f aca="false">E2368*F2368</f>
        <v>0.625</v>
      </c>
      <c r="N2368" s="0" t="n">
        <f aca="false">D2368*D2368</f>
        <v>0</v>
      </c>
      <c r="O2368" s="0" t="n">
        <f aca="false">E2368*E2368</f>
        <v>0.390625</v>
      </c>
      <c r="P2368" s="0" t="n">
        <f aca="false">F2368*F2368</f>
        <v>1</v>
      </c>
      <c r="Q2368" s="0" t="n">
        <f aca="false">SUMPRODUCT(G2368:P2368,_XtX!$B$71:$K$71)</f>
        <v>44.0192329545455</v>
      </c>
      <c r="R2368" s="0" t="n">
        <f aca="false">SUMPRODUCT(MMULT(G2368:P2368,_XtX!$B$58:$K$67),G2368:P2368)</f>
        <v>0.492240767045455</v>
      </c>
      <c r="S2368" s="0" t="n">
        <f aca="false">04_回帰ANOVA!$K$19*04_回帰ANOVA!$K$14*SQRT(1+R2368)</f>
        <v>1.13575873676322</v>
      </c>
      <c r="T2368" s="0" t="n">
        <f aca="false">Q2368-S2368</f>
        <v>42.8834742177823</v>
      </c>
      <c r="U2368" s="0" t="n">
        <f aca="false">Q2368+S2368</f>
        <v>45.1549916913087</v>
      </c>
      <c r="V2368" s="54" t="b">
        <f aca="false">AND(D2368&gt;=01_因子設定!$L$5-0.000000001,D2368&lt;=01_因子設定!$M$5+0.000000001,E2368&gt;=01_因子設定!$L$6-0.000000001,E2368&lt;=01_因子設定!$M$6+0.000000001,F2368&gt;=01_因子設定!$L$7-0.000000001,F2368&lt;=01_因子設定!$M$7+0.000000001,IF(01_因子設定!$B$20="Box-Behnken",D2368^2+E2368^2+F2368^2&lt;=2+0.000000001,TRUE()))</f>
        <v>1</v>
      </c>
      <c r="W2368" s="55" t="n">
        <f aca="false">IF(V2368,IF(01_因子設定!$B$13="最大化",T2368-01_因子設定!$B$14,IF(01_因子設定!$B$13="最小化",01_因子設定!$B$15-U2368,MIN(T2368-01_因子設定!$B$14,01_因子設定!$B$15-U2368))),-1E+030)</f>
        <v>-5.61652578221774</v>
      </c>
      <c r="X2368" s="55" t="n">
        <f aca="false">IF(V2368,IF(01_因子設定!$B$13="最大化",Q2368,IF(01_因子設定!$B$13="最小化",-Q2368,-ABS(Q2368-01_因子設定!$B$16))),-1E+030)</f>
        <v>44.0192329545455</v>
      </c>
      <c r="Y2368" s="55" t="n">
        <f aca="false">W2368+ROW()*0.000000001</f>
        <v>-5.61652341421774</v>
      </c>
      <c r="Z2368" s="55" t="n">
        <f aca="false">X2368+ROW()*0.000000001</f>
        <v>44.0192353225455</v>
      </c>
    </row>
    <row r="2369" customFormat="false" ht="15" hidden="false" customHeight="false" outlineLevel="0" collapsed="false">
      <c r="A2369" s="0" t="n">
        <v>8</v>
      </c>
      <c r="B2369" s="0" t="n">
        <v>3</v>
      </c>
      <c r="C2369" s="0" t="n">
        <v>1</v>
      </c>
      <c r="D2369" s="0" t="n">
        <f aca="false">-1+A2369*0.125</f>
        <v>0</v>
      </c>
      <c r="E2369" s="0" t="n">
        <f aca="false">-1+B2369*0.125</f>
        <v>-0.625</v>
      </c>
      <c r="F2369" s="0" t="n">
        <f aca="false">-1+C2369*0.125</f>
        <v>-0.875</v>
      </c>
      <c r="G2369" s="0" t="n">
        <f aca="false">1</f>
        <v>1</v>
      </c>
      <c r="H2369" s="0" t="n">
        <f aca="false">D2369</f>
        <v>0</v>
      </c>
      <c r="I2369" s="0" t="n">
        <f aca="false">E2369</f>
        <v>-0.625</v>
      </c>
      <c r="J2369" s="0" t="n">
        <f aca="false">F2369</f>
        <v>-0.875</v>
      </c>
      <c r="K2369" s="0" t="n">
        <f aca="false">D2369*E2369</f>
        <v>-0</v>
      </c>
      <c r="L2369" s="0" t="n">
        <f aca="false">D2369*F2369</f>
        <v>-0</v>
      </c>
      <c r="M2369" s="0" t="n">
        <f aca="false">E2369*F2369</f>
        <v>0.546875</v>
      </c>
      <c r="N2369" s="0" t="n">
        <f aca="false">D2369*D2369</f>
        <v>0</v>
      </c>
      <c r="O2369" s="0" t="n">
        <f aca="false">E2369*E2369</f>
        <v>0.390625</v>
      </c>
      <c r="P2369" s="0" t="n">
        <f aca="false">F2369*F2369</f>
        <v>0.765625</v>
      </c>
      <c r="Q2369" s="0" t="n">
        <f aca="false">SUMPRODUCT(G2369:P2369,_XtX!$B$71:$K$71)</f>
        <v>44.4325</v>
      </c>
      <c r="R2369" s="0" t="n">
        <f aca="false">SUMPRODUCT(MMULT(G2369:P2369,_XtX!$B$58:$K$67),G2369:P2369)</f>
        <v>0.353155517578125</v>
      </c>
      <c r="S2369" s="0" t="n">
        <f aca="false">04_回帰ANOVA!$K$19*04_回帰ANOVA!$K$14*SQRT(1+R2369)</f>
        <v>1.08153478594098</v>
      </c>
      <c r="T2369" s="0" t="n">
        <f aca="false">Q2369-S2369</f>
        <v>43.350965214059</v>
      </c>
      <c r="U2369" s="0" t="n">
        <f aca="false">Q2369+S2369</f>
        <v>45.514034785941</v>
      </c>
      <c r="V2369" s="54" t="b">
        <f aca="false">AND(D2369&gt;=01_因子設定!$L$5-0.000000001,D2369&lt;=01_因子設定!$M$5+0.000000001,E2369&gt;=01_因子設定!$L$6-0.000000001,E2369&lt;=01_因子設定!$M$6+0.000000001,F2369&gt;=01_因子設定!$L$7-0.000000001,F2369&lt;=01_因子設定!$M$7+0.000000001,IF(01_因子設定!$B$20="Box-Behnken",D2369^2+E2369^2+F2369^2&lt;=2+0.000000001,TRUE()))</f>
        <v>1</v>
      </c>
      <c r="W2369" s="55" t="n">
        <f aca="false">IF(V2369,IF(01_因子設定!$B$13="最大化",T2369-01_因子設定!$B$14,IF(01_因子設定!$B$13="最小化",01_因子設定!$B$15-U2369,MIN(T2369-01_因子設定!$B$14,01_因子設定!$B$15-U2369))),-1E+030)</f>
        <v>-5.14903478594096</v>
      </c>
      <c r="X2369" s="55" t="n">
        <f aca="false">IF(V2369,IF(01_因子設定!$B$13="最大化",Q2369,IF(01_因子設定!$B$13="最小化",-Q2369,-ABS(Q2369-01_因子設定!$B$16))),-1E+030)</f>
        <v>44.4325</v>
      </c>
      <c r="Y2369" s="55" t="n">
        <f aca="false">W2369+ROW()*0.000000001</f>
        <v>-5.14903241694096</v>
      </c>
      <c r="Z2369" s="55" t="n">
        <f aca="false">X2369+ROW()*0.000000001</f>
        <v>44.432502369</v>
      </c>
    </row>
    <row r="2370" customFormat="false" ht="15" hidden="false" customHeight="false" outlineLevel="0" collapsed="false">
      <c r="A2370" s="0" t="n">
        <v>8</v>
      </c>
      <c r="B2370" s="0" t="n">
        <v>3</v>
      </c>
      <c r="C2370" s="0" t="n">
        <v>2</v>
      </c>
      <c r="D2370" s="0" t="n">
        <f aca="false">-1+A2370*0.125</f>
        <v>0</v>
      </c>
      <c r="E2370" s="0" t="n">
        <f aca="false">-1+B2370*0.125</f>
        <v>-0.625</v>
      </c>
      <c r="F2370" s="0" t="n">
        <f aca="false">-1+C2370*0.125</f>
        <v>-0.75</v>
      </c>
      <c r="G2370" s="0" t="n">
        <f aca="false">1</f>
        <v>1</v>
      </c>
      <c r="H2370" s="0" t="n">
        <f aca="false">D2370</f>
        <v>0</v>
      </c>
      <c r="I2370" s="0" t="n">
        <f aca="false">E2370</f>
        <v>-0.625</v>
      </c>
      <c r="J2370" s="0" t="n">
        <f aca="false">F2370</f>
        <v>-0.75</v>
      </c>
      <c r="K2370" s="0" t="n">
        <f aca="false">D2370*E2370</f>
        <v>-0</v>
      </c>
      <c r="L2370" s="0" t="n">
        <f aca="false">D2370*F2370</f>
        <v>-0</v>
      </c>
      <c r="M2370" s="0" t="n">
        <f aca="false">E2370*F2370</f>
        <v>0.46875</v>
      </c>
      <c r="N2370" s="0" t="n">
        <f aca="false">D2370*D2370</f>
        <v>0</v>
      </c>
      <c r="O2370" s="0" t="n">
        <f aca="false">E2370*E2370</f>
        <v>0.390625</v>
      </c>
      <c r="P2370" s="0" t="n">
        <f aca="false">F2370*F2370</f>
        <v>0.5625</v>
      </c>
      <c r="Q2370" s="0" t="n">
        <f aca="false">SUMPRODUCT(G2370:P2370,_XtX!$B$71:$K$71)</f>
        <v>44.8089772727273</v>
      </c>
      <c r="R2370" s="0" t="n">
        <f aca="false">SUMPRODUCT(MMULT(G2370:P2370,_XtX!$B$58:$K$67),G2370:P2370)</f>
        <v>0.264930308948864</v>
      </c>
      <c r="S2370" s="0" t="n">
        <f aca="false">04_回帰ANOVA!$K$19*04_回帰ANOVA!$K$14*SQRT(1+R2370)</f>
        <v>1.04568272997153</v>
      </c>
      <c r="T2370" s="0" t="n">
        <f aca="false">Q2370-S2370</f>
        <v>43.7632945427558</v>
      </c>
      <c r="U2370" s="0" t="n">
        <f aca="false">Q2370+S2370</f>
        <v>45.8546600026988</v>
      </c>
      <c r="V2370" s="54" t="b">
        <f aca="false">AND(D2370&gt;=01_因子設定!$L$5-0.000000001,D2370&lt;=01_因子設定!$M$5+0.000000001,E2370&gt;=01_因子設定!$L$6-0.000000001,E2370&lt;=01_因子設定!$M$6+0.000000001,F2370&gt;=01_因子設定!$L$7-0.000000001,F2370&lt;=01_因子設定!$M$7+0.000000001,IF(01_因子設定!$B$20="Box-Behnken",D2370^2+E2370^2+F2370^2&lt;=2+0.000000001,TRUE()))</f>
        <v>1</v>
      </c>
      <c r="W2370" s="55" t="n">
        <f aca="false">IF(V2370,IF(01_因子設定!$B$13="最大化",T2370-01_因子設定!$B$14,IF(01_因子設定!$B$13="最小化",01_因子設定!$B$15-U2370,MIN(T2370-01_因子設定!$B$14,01_因子設定!$B$15-U2370))),-1E+030)</f>
        <v>-4.73670545724423</v>
      </c>
      <c r="X2370" s="55" t="n">
        <f aca="false">IF(V2370,IF(01_因子設定!$B$13="最大化",Q2370,IF(01_因子設定!$B$13="最小化",-Q2370,-ABS(Q2370-01_因子設定!$B$16))),-1E+030)</f>
        <v>44.8089772727273</v>
      </c>
      <c r="Y2370" s="55" t="n">
        <f aca="false">W2370+ROW()*0.000000001</f>
        <v>-4.73670308724423</v>
      </c>
      <c r="Z2370" s="55" t="n">
        <f aca="false">X2370+ROW()*0.000000001</f>
        <v>44.8089796427273</v>
      </c>
    </row>
    <row r="2371" customFormat="false" ht="15" hidden="false" customHeight="false" outlineLevel="0" collapsed="false">
      <c r="A2371" s="0" t="n">
        <v>8</v>
      </c>
      <c r="B2371" s="0" t="n">
        <v>3</v>
      </c>
      <c r="C2371" s="0" t="n">
        <v>3</v>
      </c>
      <c r="D2371" s="0" t="n">
        <f aca="false">-1+A2371*0.125</f>
        <v>0</v>
      </c>
      <c r="E2371" s="0" t="n">
        <f aca="false">-1+B2371*0.125</f>
        <v>-0.625</v>
      </c>
      <c r="F2371" s="0" t="n">
        <f aca="false">-1+C2371*0.125</f>
        <v>-0.625</v>
      </c>
      <c r="G2371" s="0" t="n">
        <f aca="false">1</f>
        <v>1</v>
      </c>
      <c r="H2371" s="0" t="n">
        <f aca="false">D2371</f>
        <v>0</v>
      </c>
      <c r="I2371" s="0" t="n">
        <f aca="false">E2371</f>
        <v>-0.625</v>
      </c>
      <c r="J2371" s="0" t="n">
        <f aca="false">F2371</f>
        <v>-0.625</v>
      </c>
      <c r="K2371" s="0" t="n">
        <f aca="false">D2371*E2371</f>
        <v>-0</v>
      </c>
      <c r="L2371" s="0" t="n">
        <f aca="false">D2371*F2371</f>
        <v>-0</v>
      </c>
      <c r="M2371" s="0" t="n">
        <f aca="false">E2371*F2371</f>
        <v>0.390625</v>
      </c>
      <c r="N2371" s="0" t="n">
        <f aca="false">D2371*D2371</f>
        <v>0</v>
      </c>
      <c r="O2371" s="0" t="n">
        <f aca="false">E2371*E2371</f>
        <v>0.390625</v>
      </c>
      <c r="P2371" s="0" t="n">
        <f aca="false">F2371*F2371</f>
        <v>0.390625</v>
      </c>
      <c r="Q2371" s="0" t="n">
        <f aca="false">SUMPRODUCT(G2371:P2371,_XtX!$B$71:$K$71)</f>
        <v>45.1486647727273</v>
      </c>
      <c r="R2371" s="0" t="n">
        <f aca="false">SUMPRODUCT(MMULT(G2371:P2371,_XtX!$B$58:$K$67),G2371:P2371)</f>
        <v>0.213715709339489</v>
      </c>
      <c r="S2371" s="0" t="n">
        <f aca="false">04_回帰ANOVA!$K$19*04_回帰ANOVA!$K$14*SQRT(1+R2371)</f>
        <v>1.02429516478377</v>
      </c>
      <c r="T2371" s="0" t="n">
        <f aca="false">Q2371-S2371</f>
        <v>44.1243696079435</v>
      </c>
      <c r="U2371" s="0" t="n">
        <f aca="false">Q2371+S2371</f>
        <v>46.1729599375111</v>
      </c>
      <c r="V2371" s="54" t="b">
        <f aca="false">AND(D2371&gt;=01_因子設定!$L$5-0.000000001,D2371&lt;=01_因子設定!$M$5+0.000000001,E2371&gt;=01_因子設定!$L$6-0.000000001,E2371&lt;=01_因子設定!$M$6+0.000000001,F2371&gt;=01_因子設定!$L$7-0.000000001,F2371&lt;=01_因子設定!$M$7+0.000000001,IF(01_因子設定!$B$20="Box-Behnken",D2371^2+E2371^2+F2371^2&lt;=2+0.000000001,TRUE()))</f>
        <v>1</v>
      </c>
      <c r="W2371" s="55" t="n">
        <f aca="false">IF(V2371,IF(01_因子設定!$B$13="最大化",T2371-01_因子設定!$B$14,IF(01_因子設定!$B$13="最小化",01_因子設定!$B$15-U2371,MIN(T2371-01_因子設定!$B$14,01_因子設定!$B$15-U2371))),-1E+030)</f>
        <v>-4.37563039205648</v>
      </c>
      <c r="X2371" s="55" t="n">
        <f aca="false">IF(V2371,IF(01_因子設定!$B$13="最大化",Q2371,IF(01_因子設定!$B$13="最小化",-Q2371,-ABS(Q2371-01_因子設定!$B$16))),-1E+030)</f>
        <v>45.1486647727273</v>
      </c>
      <c r="Y2371" s="55" t="n">
        <f aca="false">W2371+ROW()*0.000000001</f>
        <v>-4.37562802105648</v>
      </c>
      <c r="Z2371" s="55" t="n">
        <f aca="false">X2371+ROW()*0.000000001</f>
        <v>45.1486671437273</v>
      </c>
    </row>
    <row r="2372" customFormat="false" ht="15" hidden="false" customHeight="false" outlineLevel="0" collapsed="false">
      <c r="A2372" s="0" t="n">
        <v>8</v>
      </c>
      <c r="B2372" s="0" t="n">
        <v>3</v>
      </c>
      <c r="C2372" s="0" t="n">
        <v>4</v>
      </c>
      <c r="D2372" s="0" t="n">
        <f aca="false">-1+A2372*0.125</f>
        <v>0</v>
      </c>
      <c r="E2372" s="0" t="n">
        <f aca="false">-1+B2372*0.125</f>
        <v>-0.625</v>
      </c>
      <c r="F2372" s="0" t="n">
        <f aca="false">-1+C2372*0.125</f>
        <v>-0.5</v>
      </c>
      <c r="G2372" s="0" t="n">
        <f aca="false">1</f>
        <v>1</v>
      </c>
      <c r="H2372" s="0" t="n">
        <f aca="false">D2372</f>
        <v>0</v>
      </c>
      <c r="I2372" s="0" t="n">
        <f aca="false">E2372</f>
        <v>-0.625</v>
      </c>
      <c r="J2372" s="0" t="n">
        <f aca="false">F2372</f>
        <v>-0.5</v>
      </c>
      <c r="K2372" s="0" t="n">
        <f aca="false">D2372*E2372</f>
        <v>-0</v>
      </c>
      <c r="L2372" s="0" t="n">
        <f aca="false">D2372*F2372</f>
        <v>-0</v>
      </c>
      <c r="M2372" s="0" t="n">
        <f aca="false">E2372*F2372</f>
        <v>0.3125</v>
      </c>
      <c r="N2372" s="0" t="n">
        <f aca="false">D2372*D2372</f>
        <v>0</v>
      </c>
      <c r="O2372" s="0" t="n">
        <f aca="false">E2372*E2372</f>
        <v>0.390625</v>
      </c>
      <c r="P2372" s="0" t="n">
        <f aca="false">F2372*F2372</f>
        <v>0.25</v>
      </c>
      <c r="Q2372" s="0" t="n">
        <f aca="false">SUMPRODUCT(G2372:P2372,_XtX!$B$71:$K$71)</f>
        <v>45.4515625</v>
      </c>
      <c r="R2372" s="0" t="n">
        <f aca="false">SUMPRODUCT(MMULT(G2372:P2372,_XtX!$B$58:$K$67),G2372:P2372)</f>
        <v>0.18779296875</v>
      </c>
      <c r="S2372" s="0" t="n">
        <f aca="false">04_回帰ANOVA!$K$19*04_回帰ANOVA!$K$14*SQRT(1+R2372)</f>
        <v>1.01329759319777</v>
      </c>
      <c r="T2372" s="0" t="n">
        <f aca="false">Q2372-S2372</f>
        <v>44.4382649068022</v>
      </c>
      <c r="U2372" s="0" t="n">
        <f aca="false">Q2372+S2372</f>
        <v>46.4648600931978</v>
      </c>
      <c r="V2372" s="54" t="b">
        <f aca="false">AND(D2372&gt;=01_因子設定!$L$5-0.000000001,D2372&lt;=01_因子設定!$M$5+0.000000001,E2372&gt;=01_因子設定!$L$6-0.000000001,E2372&lt;=01_因子設定!$M$6+0.000000001,F2372&gt;=01_因子設定!$L$7-0.000000001,F2372&lt;=01_因子設定!$M$7+0.000000001,IF(01_因子設定!$B$20="Box-Behnken",D2372^2+E2372^2+F2372^2&lt;=2+0.000000001,TRUE()))</f>
        <v>1</v>
      </c>
      <c r="W2372" s="55" t="n">
        <f aca="false">IF(V2372,IF(01_因子設定!$B$13="最大化",T2372-01_因子設定!$B$14,IF(01_因子設定!$B$13="最小化",01_因子設定!$B$15-U2372,MIN(T2372-01_因子設定!$B$14,01_因子設定!$B$15-U2372))),-1E+030)</f>
        <v>-4.06173509319775</v>
      </c>
      <c r="X2372" s="55" t="n">
        <f aca="false">IF(V2372,IF(01_因子設定!$B$13="最大化",Q2372,IF(01_因子設定!$B$13="最小化",-Q2372,-ABS(Q2372-01_因子設定!$B$16))),-1E+030)</f>
        <v>45.4515625</v>
      </c>
      <c r="Y2372" s="55" t="n">
        <f aca="false">W2372+ROW()*0.000000001</f>
        <v>-4.06173272119775</v>
      </c>
      <c r="Z2372" s="55" t="n">
        <f aca="false">X2372+ROW()*0.000000001</f>
        <v>45.451564872</v>
      </c>
    </row>
    <row r="2373" customFormat="false" ht="15" hidden="false" customHeight="false" outlineLevel="0" collapsed="false">
      <c r="A2373" s="0" t="n">
        <v>8</v>
      </c>
      <c r="B2373" s="0" t="n">
        <v>3</v>
      </c>
      <c r="C2373" s="0" t="n">
        <v>5</v>
      </c>
      <c r="D2373" s="0" t="n">
        <f aca="false">-1+A2373*0.125</f>
        <v>0</v>
      </c>
      <c r="E2373" s="0" t="n">
        <f aca="false">-1+B2373*0.125</f>
        <v>-0.625</v>
      </c>
      <c r="F2373" s="0" t="n">
        <f aca="false">-1+C2373*0.125</f>
        <v>-0.375</v>
      </c>
      <c r="G2373" s="0" t="n">
        <f aca="false">1</f>
        <v>1</v>
      </c>
      <c r="H2373" s="0" t="n">
        <f aca="false">D2373</f>
        <v>0</v>
      </c>
      <c r="I2373" s="0" t="n">
        <f aca="false">E2373</f>
        <v>-0.625</v>
      </c>
      <c r="J2373" s="0" t="n">
        <f aca="false">F2373</f>
        <v>-0.375</v>
      </c>
      <c r="K2373" s="0" t="n">
        <f aca="false">D2373*E2373</f>
        <v>-0</v>
      </c>
      <c r="L2373" s="0" t="n">
        <f aca="false">D2373*F2373</f>
        <v>-0</v>
      </c>
      <c r="M2373" s="0" t="n">
        <f aca="false">E2373*F2373</f>
        <v>0.234375</v>
      </c>
      <c r="N2373" s="0" t="n">
        <f aca="false">D2373*D2373</f>
        <v>0</v>
      </c>
      <c r="O2373" s="0" t="n">
        <f aca="false">E2373*E2373</f>
        <v>0.390625</v>
      </c>
      <c r="P2373" s="0" t="n">
        <f aca="false">F2373*F2373</f>
        <v>0.140625</v>
      </c>
      <c r="Q2373" s="0" t="n">
        <f aca="false">SUMPRODUCT(G2373:P2373,_XtX!$B$71:$K$71)</f>
        <v>45.7176704545455</v>
      </c>
      <c r="R2373" s="0" t="n">
        <f aca="false">SUMPRODUCT(MMULT(G2373:P2373,_XtX!$B$58:$K$67),G2373:P2373)</f>
        <v>0.17757401899858</v>
      </c>
      <c r="S2373" s="0" t="n">
        <f aca="false">04_回帰ANOVA!$K$19*04_回帰ANOVA!$K$14*SQRT(1+R2373)</f>
        <v>1.00892932143276</v>
      </c>
      <c r="T2373" s="0" t="n">
        <f aca="false">Q2373-S2373</f>
        <v>44.7087411331127</v>
      </c>
      <c r="U2373" s="0" t="n">
        <f aca="false">Q2373+S2373</f>
        <v>46.7265997759782</v>
      </c>
      <c r="V2373" s="54" t="b">
        <f aca="false">AND(D2373&gt;=01_因子設定!$L$5-0.000000001,D2373&lt;=01_因子設定!$M$5+0.000000001,E2373&gt;=01_因子設定!$L$6-0.000000001,E2373&lt;=01_因子設定!$M$6+0.000000001,F2373&gt;=01_因子設定!$L$7-0.000000001,F2373&lt;=01_因子設定!$M$7+0.000000001,IF(01_因子設定!$B$20="Box-Behnken",D2373^2+E2373^2+F2373^2&lt;=2+0.000000001,TRUE()))</f>
        <v>1</v>
      </c>
      <c r="W2373" s="55" t="n">
        <f aca="false">IF(V2373,IF(01_因子設定!$B$13="最大化",T2373-01_因子設定!$B$14,IF(01_因子設定!$B$13="最小化",01_因子設定!$B$15-U2373,MIN(T2373-01_因子設定!$B$14,01_因子設定!$B$15-U2373))),-1E+030)</f>
        <v>-3.79125886688729</v>
      </c>
      <c r="X2373" s="55" t="n">
        <f aca="false">IF(V2373,IF(01_因子設定!$B$13="最大化",Q2373,IF(01_因子設定!$B$13="最小化",-Q2373,-ABS(Q2373-01_因子設定!$B$16))),-1E+030)</f>
        <v>45.7176704545455</v>
      </c>
      <c r="Y2373" s="55" t="n">
        <f aca="false">W2373+ROW()*0.000000001</f>
        <v>-3.79125649388729</v>
      </c>
      <c r="Z2373" s="55" t="n">
        <f aca="false">X2373+ROW()*0.000000001</f>
        <v>45.7176728275455</v>
      </c>
    </row>
    <row r="2374" customFormat="false" ht="15" hidden="false" customHeight="false" outlineLevel="0" collapsed="false">
      <c r="A2374" s="0" t="n">
        <v>8</v>
      </c>
      <c r="B2374" s="0" t="n">
        <v>3</v>
      </c>
      <c r="C2374" s="0" t="n">
        <v>6</v>
      </c>
      <c r="D2374" s="0" t="n">
        <f aca="false">-1+A2374*0.125</f>
        <v>0</v>
      </c>
      <c r="E2374" s="0" t="n">
        <f aca="false">-1+B2374*0.125</f>
        <v>-0.625</v>
      </c>
      <c r="F2374" s="0" t="n">
        <f aca="false">-1+C2374*0.125</f>
        <v>-0.25</v>
      </c>
      <c r="G2374" s="0" t="n">
        <f aca="false">1</f>
        <v>1</v>
      </c>
      <c r="H2374" s="0" t="n">
        <f aca="false">D2374</f>
        <v>0</v>
      </c>
      <c r="I2374" s="0" t="n">
        <f aca="false">E2374</f>
        <v>-0.625</v>
      </c>
      <c r="J2374" s="0" t="n">
        <f aca="false">F2374</f>
        <v>-0.25</v>
      </c>
      <c r="K2374" s="0" t="n">
        <f aca="false">D2374*E2374</f>
        <v>-0</v>
      </c>
      <c r="L2374" s="0" t="n">
        <f aca="false">D2374*F2374</f>
        <v>-0</v>
      </c>
      <c r="M2374" s="0" t="n">
        <f aca="false">E2374*F2374</f>
        <v>0.15625</v>
      </c>
      <c r="N2374" s="0" t="n">
        <f aca="false">D2374*D2374</f>
        <v>0</v>
      </c>
      <c r="O2374" s="0" t="n">
        <f aca="false">E2374*E2374</f>
        <v>0.390625</v>
      </c>
      <c r="P2374" s="0" t="n">
        <f aca="false">F2374*F2374</f>
        <v>0.0625</v>
      </c>
      <c r="Q2374" s="0" t="n">
        <f aca="false">SUMPRODUCT(G2374:P2374,_XtX!$B$71:$K$71)</f>
        <v>45.9469886363637</v>
      </c>
      <c r="R2374" s="0" t="n">
        <f aca="false">SUMPRODUCT(MMULT(G2374:P2374,_XtX!$B$58:$K$67),G2374:P2374)</f>
        <v>0.175601473721591</v>
      </c>
      <c r="S2374" s="0" t="n">
        <f aca="false">04_回帰ANOVA!$K$19*04_回帰ANOVA!$K$14*SQRT(1+R2374)</f>
        <v>1.00808394234856</v>
      </c>
      <c r="T2374" s="0" t="n">
        <f aca="false">Q2374-S2374</f>
        <v>44.9389046940151</v>
      </c>
      <c r="U2374" s="0" t="n">
        <f aca="false">Q2374+S2374</f>
        <v>46.9550725787122</v>
      </c>
      <c r="V2374" s="54" t="b">
        <f aca="false">AND(D2374&gt;=01_因子設定!$L$5-0.000000001,D2374&lt;=01_因子設定!$M$5+0.000000001,E2374&gt;=01_因子設定!$L$6-0.000000001,E2374&lt;=01_因子設定!$M$6+0.000000001,F2374&gt;=01_因子設定!$L$7-0.000000001,F2374&lt;=01_因子設定!$M$7+0.000000001,IF(01_因子設定!$B$20="Box-Behnken",D2374^2+E2374^2+F2374^2&lt;=2+0.000000001,TRUE()))</f>
        <v>1</v>
      </c>
      <c r="W2374" s="55" t="n">
        <f aca="false">IF(V2374,IF(01_因子設定!$B$13="最大化",T2374-01_因子設定!$B$14,IF(01_因子設定!$B$13="最小化",01_因子設定!$B$15-U2374,MIN(T2374-01_因子設定!$B$14,01_因子設定!$B$15-U2374))),-1E+030)</f>
        <v>-3.56109530598491</v>
      </c>
      <c r="X2374" s="55" t="n">
        <f aca="false">IF(V2374,IF(01_因子設定!$B$13="最大化",Q2374,IF(01_因子設定!$B$13="最小化",-Q2374,-ABS(Q2374-01_因子設定!$B$16))),-1E+030)</f>
        <v>45.9469886363637</v>
      </c>
      <c r="Y2374" s="55" t="n">
        <f aca="false">W2374+ROW()*0.000000001</f>
        <v>-3.56109293198491</v>
      </c>
      <c r="Z2374" s="55" t="n">
        <f aca="false">X2374+ROW()*0.000000001</f>
        <v>45.9469910103637</v>
      </c>
    </row>
    <row r="2375" customFormat="false" ht="15" hidden="false" customHeight="false" outlineLevel="0" collapsed="false">
      <c r="A2375" s="0" t="n">
        <v>8</v>
      </c>
      <c r="B2375" s="0" t="n">
        <v>3</v>
      </c>
      <c r="C2375" s="0" t="n">
        <v>7</v>
      </c>
      <c r="D2375" s="0" t="n">
        <f aca="false">-1+A2375*0.125</f>
        <v>0</v>
      </c>
      <c r="E2375" s="0" t="n">
        <f aca="false">-1+B2375*0.125</f>
        <v>-0.625</v>
      </c>
      <c r="F2375" s="0" t="n">
        <f aca="false">-1+C2375*0.125</f>
        <v>-0.125</v>
      </c>
      <c r="G2375" s="0" t="n">
        <f aca="false">1</f>
        <v>1</v>
      </c>
      <c r="H2375" s="0" t="n">
        <f aca="false">D2375</f>
        <v>0</v>
      </c>
      <c r="I2375" s="0" t="n">
        <f aca="false">E2375</f>
        <v>-0.625</v>
      </c>
      <c r="J2375" s="0" t="n">
        <f aca="false">F2375</f>
        <v>-0.125</v>
      </c>
      <c r="K2375" s="0" t="n">
        <f aca="false">D2375*E2375</f>
        <v>-0</v>
      </c>
      <c r="L2375" s="0" t="n">
        <f aca="false">D2375*F2375</f>
        <v>-0</v>
      </c>
      <c r="M2375" s="0" t="n">
        <f aca="false">E2375*F2375</f>
        <v>0.078125</v>
      </c>
      <c r="N2375" s="0" t="n">
        <f aca="false">D2375*D2375</f>
        <v>0</v>
      </c>
      <c r="O2375" s="0" t="n">
        <f aca="false">E2375*E2375</f>
        <v>0.390625</v>
      </c>
      <c r="P2375" s="0" t="n">
        <f aca="false">F2375*F2375</f>
        <v>0.015625</v>
      </c>
      <c r="Q2375" s="0" t="n">
        <f aca="false">SUMPRODUCT(G2375:P2375,_XtX!$B$71:$K$71)</f>
        <v>46.1395170454546</v>
      </c>
      <c r="R2375" s="0" t="n">
        <f aca="false">SUMPRODUCT(MMULT(G2375:P2375,_XtX!$B$58:$K$67),G2375:P2375)</f>
        <v>0.17654862837358</v>
      </c>
      <c r="S2375" s="0" t="n">
        <f aca="false">04_回帰ANOVA!$K$19*04_回帰ANOVA!$K$14*SQRT(1+R2375)</f>
        <v>1.00848995543082</v>
      </c>
      <c r="T2375" s="0" t="n">
        <f aca="false">Q2375-S2375</f>
        <v>45.1310270900237</v>
      </c>
      <c r="U2375" s="0" t="n">
        <f aca="false">Q2375+S2375</f>
        <v>47.1480070008854</v>
      </c>
      <c r="V2375" s="54" t="b">
        <f aca="false">AND(D2375&gt;=01_因子設定!$L$5-0.000000001,D2375&lt;=01_因子設定!$M$5+0.000000001,E2375&gt;=01_因子設定!$L$6-0.000000001,E2375&lt;=01_因子設定!$M$6+0.000000001,F2375&gt;=01_因子設定!$L$7-0.000000001,F2375&lt;=01_因子設定!$M$7+0.000000001,IF(01_因子設定!$B$20="Box-Behnken",D2375^2+E2375^2+F2375^2&lt;=2+0.000000001,TRUE()))</f>
        <v>1</v>
      </c>
      <c r="W2375" s="55" t="n">
        <f aca="false">IF(V2375,IF(01_因子設定!$B$13="最大化",T2375-01_因子設定!$B$14,IF(01_因子設定!$B$13="最小化",01_因子設定!$B$15-U2375,MIN(T2375-01_因子設定!$B$14,01_因子設定!$B$15-U2375))),-1E+030)</f>
        <v>-3.36897290997627</v>
      </c>
      <c r="X2375" s="55" t="n">
        <f aca="false">IF(V2375,IF(01_因子設定!$B$13="最大化",Q2375,IF(01_因子設定!$B$13="最小化",-Q2375,-ABS(Q2375-01_因子設定!$B$16))),-1E+030)</f>
        <v>46.1395170454546</v>
      </c>
      <c r="Y2375" s="55" t="n">
        <f aca="false">W2375+ROW()*0.000000001</f>
        <v>-3.36897053497627</v>
      </c>
      <c r="Z2375" s="55" t="n">
        <f aca="false">X2375+ROW()*0.000000001</f>
        <v>46.1395194204546</v>
      </c>
    </row>
    <row r="2376" customFormat="false" ht="15" hidden="false" customHeight="false" outlineLevel="0" collapsed="false">
      <c r="A2376" s="0" t="n">
        <v>8</v>
      </c>
      <c r="B2376" s="0" t="n">
        <v>3</v>
      </c>
      <c r="C2376" s="0" t="n">
        <v>8</v>
      </c>
      <c r="D2376" s="0" t="n">
        <f aca="false">-1+A2376*0.125</f>
        <v>0</v>
      </c>
      <c r="E2376" s="0" t="n">
        <f aca="false">-1+B2376*0.125</f>
        <v>-0.625</v>
      </c>
      <c r="F2376" s="0" t="n">
        <f aca="false">-1+C2376*0.125</f>
        <v>0</v>
      </c>
      <c r="G2376" s="0" t="n">
        <f aca="false">1</f>
        <v>1</v>
      </c>
      <c r="H2376" s="0" t="n">
        <f aca="false">D2376</f>
        <v>0</v>
      </c>
      <c r="I2376" s="0" t="n">
        <f aca="false">E2376</f>
        <v>-0.625</v>
      </c>
      <c r="J2376" s="0" t="n">
        <f aca="false">F2376</f>
        <v>0</v>
      </c>
      <c r="K2376" s="0" t="n">
        <f aca="false">D2376*E2376</f>
        <v>-0</v>
      </c>
      <c r="L2376" s="0" t="n">
        <f aca="false">D2376*F2376</f>
        <v>0</v>
      </c>
      <c r="M2376" s="0" t="n">
        <f aca="false">E2376*F2376</f>
        <v>-0</v>
      </c>
      <c r="N2376" s="0" t="n">
        <f aca="false">D2376*D2376</f>
        <v>0</v>
      </c>
      <c r="O2376" s="0" t="n">
        <f aca="false">E2376*E2376</f>
        <v>0.390625</v>
      </c>
      <c r="P2376" s="0" t="n">
        <f aca="false">F2376*F2376</f>
        <v>0</v>
      </c>
      <c r="Q2376" s="0" t="n">
        <f aca="false">SUMPRODUCT(G2376:P2376,_XtX!$B$71:$K$71)</f>
        <v>46.2952556818182</v>
      </c>
      <c r="R2376" s="0" t="n">
        <f aca="false">SUMPRODUCT(MMULT(G2376:P2376,_XtX!$B$58:$K$67),G2376:P2376)</f>
        <v>0.177219460227273</v>
      </c>
      <c r="S2376" s="0" t="n">
        <f aca="false">04_回帰ANOVA!$K$19*04_回帰ANOVA!$K$14*SQRT(1+R2376)</f>
        <v>1.00877741944364</v>
      </c>
      <c r="T2376" s="0" t="n">
        <f aca="false">Q2376-S2376</f>
        <v>45.2864782623746</v>
      </c>
      <c r="U2376" s="0" t="n">
        <f aca="false">Q2376+S2376</f>
        <v>47.3040331012618</v>
      </c>
      <c r="V2376" s="54" t="b">
        <f aca="false">AND(D2376&gt;=01_因子設定!$L$5-0.000000001,D2376&lt;=01_因子設定!$M$5+0.000000001,E2376&gt;=01_因子設定!$L$6-0.000000001,E2376&lt;=01_因子設定!$M$6+0.000000001,F2376&gt;=01_因子設定!$L$7-0.000000001,F2376&lt;=01_因子設定!$M$7+0.000000001,IF(01_因子設定!$B$20="Box-Behnken",D2376^2+E2376^2+F2376^2&lt;=2+0.000000001,TRUE()))</f>
        <v>1</v>
      </c>
      <c r="W2376" s="55" t="n">
        <f aca="false">IF(V2376,IF(01_因子設定!$B$13="最大化",T2376-01_因子設定!$B$14,IF(01_因子設定!$B$13="最小化",01_因子設定!$B$15-U2376,MIN(T2376-01_因子設定!$B$14,01_因子設定!$B$15-U2376))),-1E+030)</f>
        <v>-3.21352173762544</v>
      </c>
      <c r="X2376" s="55" t="n">
        <f aca="false">IF(V2376,IF(01_因子設定!$B$13="最大化",Q2376,IF(01_因子設定!$B$13="最小化",-Q2376,-ABS(Q2376-01_因子設定!$B$16))),-1E+030)</f>
        <v>46.2952556818182</v>
      </c>
      <c r="Y2376" s="55" t="n">
        <f aca="false">W2376+ROW()*0.000000001</f>
        <v>-3.21351936162544</v>
      </c>
      <c r="Z2376" s="55" t="n">
        <f aca="false">X2376+ROW()*0.000000001</f>
        <v>46.2952580578182</v>
      </c>
    </row>
    <row r="2377" customFormat="false" ht="15" hidden="false" customHeight="false" outlineLevel="0" collapsed="false">
      <c r="A2377" s="0" t="n">
        <v>8</v>
      </c>
      <c r="B2377" s="0" t="n">
        <v>3</v>
      </c>
      <c r="C2377" s="0" t="n">
        <v>9</v>
      </c>
      <c r="D2377" s="0" t="n">
        <f aca="false">-1+A2377*0.125</f>
        <v>0</v>
      </c>
      <c r="E2377" s="0" t="n">
        <f aca="false">-1+B2377*0.125</f>
        <v>-0.625</v>
      </c>
      <c r="F2377" s="0" t="n">
        <f aca="false">-1+C2377*0.125</f>
        <v>0.125</v>
      </c>
      <c r="G2377" s="0" t="n">
        <f aca="false">1</f>
        <v>1</v>
      </c>
      <c r="H2377" s="0" t="n">
        <f aca="false">D2377</f>
        <v>0</v>
      </c>
      <c r="I2377" s="0" t="n">
        <f aca="false">E2377</f>
        <v>-0.625</v>
      </c>
      <c r="J2377" s="0" t="n">
        <f aca="false">F2377</f>
        <v>0.125</v>
      </c>
      <c r="K2377" s="0" t="n">
        <f aca="false">D2377*E2377</f>
        <v>-0</v>
      </c>
      <c r="L2377" s="0" t="n">
        <f aca="false">D2377*F2377</f>
        <v>0</v>
      </c>
      <c r="M2377" s="0" t="n">
        <f aca="false">E2377*F2377</f>
        <v>-0.078125</v>
      </c>
      <c r="N2377" s="0" t="n">
        <f aca="false">D2377*D2377</f>
        <v>0</v>
      </c>
      <c r="O2377" s="0" t="n">
        <f aca="false">E2377*E2377</f>
        <v>0.390625</v>
      </c>
      <c r="P2377" s="0" t="n">
        <f aca="false">F2377*F2377</f>
        <v>0.015625</v>
      </c>
      <c r="Q2377" s="0" t="n">
        <f aca="false">SUMPRODUCT(G2377:P2377,_XtX!$B$71:$K$71)</f>
        <v>46.4142045454546</v>
      </c>
      <c r="R2377" s="0" t="n">
        <f aca="false">SUMPRODUCT(MMULT(G2377:P2377,_XtX!$B$58:$K$67),G2377:P2377)</f>
        <v>0.17654862837358</v>
      </c>
      <c r="S2377" s="0" t="n">
        <f aca="false">04_回帰ANOVA!$K$19*04_回帰ANOVA!$K$14*SQRT(1+R2377)</f>
        <v>1.00848995543082</v>
      </c>
      <c r="T2377" s="0" t="n">
        <f aca="false">Q2377-S2377</f>
        <v>45.4057145900237</v>
      </c>
      <c r="U2377" s="0" t="n">
        <f aca="false">Q2377+S2377</f>
        <v>47.4226945008854</v>
      </c>
      <c r="V2377" s="54" t="b">
        <f aca="false">AND(D2377&gt;=01_因子設定!$L$5-0.000000001,D2377&lt;=01_因子設定!$M$5+0.000000001,E2377&gt;=01_因子設定!$L$6-0.000000001,E2377&lt;=01_因子設定!$M$6+0.000000001,F2377&gt;=01_因子設定!$L$7-0.000000001,F2377&lt;=01_因子設定!$M$7+0.000000001,IF(01_因子設定!$B$20="Box-Behnken",D2377^2+E2377^2+F2377^2&lt;=2+0.000000001,TRUE()))</f>
        <v>1</v>
      </c>
      <c r="W2377" s="55" t="n">
        <f aca="false">IF(V2377,IF(01_因子設定!$B$13="最大化",T2377-01_因子設定!$B$14,IF(01_因子設定!$B$13="最小化",01_因子設定!$B$15-U2377,MIN(T2377-01_因子設定!$B$14,01_因子設定!$B$15-U2377))),-1E+030)</f>
        <v>-3.09428540997627</v>
      </c>
      <c r="X2377" s="55" t="n">
        <f aca="false">IF(V2377,IF(01_因子設定!$B$13="最大化",Q2377,IF(01_因子設定!$B$13="最小化",-Q2377,-ABS(Q2377-01_因子設定!$B$16))),-1E+030)</f>
        <v>46.4142045454546</v>
      </c>
      <c r="Y2377" s="55" t="n">
        <f aca="false">W2377+ROW()*0.000000001</f>
        <v>-3.09428303297627</v>
      </c>
      <c r="Z2377" s="55" t="n">
        <f aca="false">X2377+ROW()*0.000000001</f>
        <v>46.4142069224546</v>
      </c>
    </row>
    <row r="2378" customFormat="false" ht="15" hidden="false" customHeight="false" outlineLevel="0" collapsed="false">
      <c r="A2378" s="0" t="n">
        <v>8</v>
      </c>
      <c r="B2378" s="0" t="n">
        <v>3</v>
      </c>
      <c r="C2378" s="0" t="n">
        <v>10</v>
      </c>
      <c r="D2378" s="0" t="n">
        <f aca="false">-1+A2378*0.125</f>
        <v>0</v>
      </c>
      <c r="E2378" s="0" t="n">
        <f aca="false">-1+B2378*0.125</f>
        <v>-0.625</v>
      </c>
      <c r="F2378" s="0" t="n">
        <f aca="false">-1+C2378*0.125</f>
        <v>0.25</v>
      </c>
      <c r="G2378" s="0" t="n">
        <f aca="false">1</f>
        <v>1</v>
      </c>
      <c r="H2378" s="0" t="n">
        <f aca="false">D2378</f>
        <v>0</v>
      </c>
      <c r="I2378" s="0" t="n">
        <f aca="false">E2378</f>
        <v>-0.625</v>
      </c>
      <c r="J2378" s="0" t="n">
        <f aca="false">F2378</f>
        <v>0.25</v>
      </c>
      <c r="K2378" s="0" t="n">
        <f aca="false">D2378*E2378</f>
        <v>-0</v>
      </c>
      <c r="L2378" s="0" t="n">
        <f aca="false">D2378*F2378</f>
        <v>0</v>
      </c>
      <c r="M2378" s="0" t="n">
        <f aca="false">E2378*F2378</f>
        <v>-0.15625</v>
      </c>
      <c r="N2378" s="0" t="n">
        <f aca="false">D2378*D2378</f>
        <v>0</v>
      </c>
      <c r="O2378" s="0" t="n">
        <f aca="false">E2378*E2378</f>
        <v>0.390625</v>
      </c>
      <c r="P2378" s="0" t="n">
        <f aca="false">F2378*F2378</f>
        <v>0.0625</v>
      </c>
      <c r="Q2378" s="0" t="n">
        <f aca="false">SUMPRODUCT(G2378:P2378,_XtX!$B$71:$K$71)</f>
        <v>46.4963636363637</v>
      </c>
      <c r="R2378" s="0" t="n">
        <f aca="false">SUMPRODUCT(MMULT(G2378:P2378,_XtX!$B$58:$K$67),G2378:P2378)</f>
        <v>0.175601473721591</v>
      </c>
      <c r="S2378" s="0" t="n">
        <f aca="false">04_回帰ANOVA!$K$19*04_回帰ANOVA!$K$14*SQRT(1+R2378)</f>
        <v>1.00808394234856</v>
      </c>
      <c r="T2378" s="0" t="n">
        <f aca="false">Q2378-S2378</f>
        <v>45.4882796940151</v>
      </c>
      <c r="U2378" s="0" t="n">
        <f aca="false">Q2378+S2378</f>
        <v>47.5044475787122</v>
      </c>
      <c r="V2378" s="54" t="b">
        <f aca="false">AND(D2378&gt;=01_因子設定!$L$5-0.000000001,D2378&lt;=01_因子設定!$M$5+0.000000001,E2378&gt;=01_因子設定!$L$6-0.000000001,E2378&lt;=01_因子設定!$M$6+0.000000001,F2378&gt;=01_因子設定!$L$7-0.000000001,F2378&lt;=01_因子設定!$M$7+0.000000001,IF(01_因子設定!$B$20="Box-Behnken",D2378^2+E2378^2+F2378^2&lt;=2+0.000000001,TRUE()))</f>
        <v>1</v>
      </c>
      <c r="W2378" s="55" t="n">
        <f aca="false">IF(V2378,IF(01_因子設定!$B$13="最大化",T2378-01_因子設定!$B$14,IF(01_因子設定!$B$13="最小化",01_因子設定!$B$15-U2378,MIN(T2378-01_因子設定!$B$14,01_因子設定!$B$15-U2378))),-1E+030)</f>
        <v>-3.01172030598492</v>
      </c>
      <c r="X2378" s="55" t="n">
        <f aca="false">IF(V2378,IF(01_因子設定!$B$13="最大化",Q2378,IF(01_因子設定!$B$13="最小化",-Q2378,-ABS(Q2378-01_因子設定!$B$16))),-1E+030)</f>
        <v>46.4963636363637</v>
      </c>
      <c r="Y2378" s="55" t="n">
        <f aca="false">W2378+ROW()*0.000000001</f>
        <v>-3.01171792798492</v>
      </c>
      <c r="Z2378" s="55" t="n">
        <f aca="false">X2378+ROW()*0.000000001</f>
        <v>46.4963660143636</v>
      </c>
    </row>
    <row r="2379" customFormat="false" ht="15" hidden="false" customHeight="false" outlineLevel="0" collapsed="false">
      <c r="A2379" s="0" t="n">
        <v>8</v>
      </c>
      <c r="B2379" s="0" t="n">
        <v>3</v>
      </c>
      <c r="C2379" s="0" t="n">
        <v>11</v>
      </c>
      <c r="D2379" s="0" t="n">
        <f aca="false">-1+A2379*0.125</f>
        <v>0</v>
      </c>
      <c r="E2379" s="0" t="n">
        <f aca="false">-1+B2379*0.125</f>
        <v>-0.625</v>
      </c>
      <c r="F2379" s="0" t="n">
        <f aca="false">-1+C2379*0.125</f>
        <v>0.375</v>
      </c>
      <c r="G2379" s="0" t="n">
        <f aca="false">1</f>
        <v>1</v>
      </c>
      <c r="H2379" s="0" t="n">
        <f aca="false">D2379</f>
        <v>0</v>
      </c>
      <c r="I2379" s="0" t="n">
        <f aca="false">E2379</f>
        <v>-0.625</v>
      </c>
      <c r="J2379" s="0" t="n">
        <f aca="false">F2379</f>
        <v>0.375</v>
      </c>
      <c r="K2379" s="0" t="n">
        <f aca="false">D2379*E2379</f>
        <v>-0</v>
      </c>
      <c r="L2379" s="0" t="n">
        <f aca="false">D2379*F2379</f>
        <v>0</v>
      </c>
      <c r="M2379" s="0" t="n">
        <f aca="false">E2379*F2379</f>
        <v>-0.234375</v>
      </c>
      <c r="N2379" s="0" t="n">
        <f aca="false">D2379*D2379</f>
        <v>0</v>
      </c>
      <c r="O2379" s="0" t="n">
        <f aca="false">E2379*E2379</f>
        <v>0.390625</v>
      </c>
      <c r="P2379" s="0" t="n">
        <f aca="false">F2379*F2379</f>
        <v>0.140625</v>
      </c>
      <c r="Q2379" s="0" t="n">
        <f aca="false">SUMPRODUCT(G2379:P2379,_XtX!$B$71:$K$71)</f>
        <v>46.5417329545455</v>
      </c>
      <c r="R2379" s="0" t="n">
        <f aca="false">SUMPRODUCT(MMULT(G2379:P2379,_XtX!$B$58:$K$67),G2379:P2379)</f>
        <v>0.17757401899858</v>
      </c>
      <c r="S2379" s="0" t="n">
        <f aca="false">04_回帰ANOVA!$K$19*04_回帰ANOVA!$K$14*SQRT(1+R2379)</f>
        <v>1.00892932143276</v>
      </c>
      <c r="T2379" s="0" t="n">
        <f aca="false">Q2379-S2379</f>
        <v>45.5328036331127</v>
      </c>
      <c r="U2379" s="0" t="n">
        <f aca="false">Q2379+S2379</f>
        <v>47.5506622759782</v>
      </c>
      <c r="V2379" s="54" t="b">
        <f aca="false">AND(D2379&gt;=01_因子設定!$L$5-0.000000001,D2379&lt;=01_因子設定!$M$5+0.000000001,E2379&gt;=01_因子設定!$L$6-0.000000001,E2379&lt;=01_因子設定!$M$6+0.000000001,F2379&gt;=01_因子設定!$L$7-0.000000001,F2379&lt;=01_因子設定!$M$7+0.000000001,IF(01_因子設定!$B$20="Box-Behnken",D2379^2+E2379^2+F2379^2&lt;=2+0.000000001,TRUE()))</f>
        <v>1</v>
      </c>
      <c r="W2379" s="55" t="n">
        <f aca="false">IF(V2379,IF(01_因子設定!$B$13="最大化",T2379-01_因子設定!$B$14,IF(01_因子設定!$B$13="最小化",01_因子設定!$B$15-U2379,MIN(T2379-01_因子設定!$B$14,01_因子設定!$B$15-U2379))),-1E+030)</f>
        <v>-2.96719636688729</v>
      </c>
      <c r="X2379" s="55" t="n">
        <f aca="false">IF(V2379,IF(01_因子設定!$B$13="最大化",Q2379,IF(01_因子設定!$B$13="最小化",-Q2379,-ABS(Q2379-01_因子設定!$B$16))),-1E+030)</f>
        <v>46.5417329545455</v>
      </c>
      <c r="Y2379" s="55" t="n">
        <f aca="false">W2379+ROW()*0.000000001</f>
        <v>-2.96719398788729</v>
      </c>
      <c r="Z2379" s="55" t="n">
        <f aca="false">X2379+ROW()*0.000000001</f>
        <v>46.5417353335455</v>
      </c>
    </row>
    <row r="2380" customFormat="false" ht="15" hidden="false" customHeight="false" outlineLevel="0" collapsed="false">
      <c r="A2380" s="0" t="n">
        <v>8</v>
      </c>
      <c r="B2380" s="0" t="n">
        <v>3</v>
      </c>
      <c r="C2380" s="0" t="n">
        <v>12</v>
      </c>
      <c r="D2380" s="0" t="n">
        <f aca="false">-1+A2380*0.125</f>
        <v>0</v>
      </c>
      <c r="E2380" s="0" t="n">
        <f aca="false">-1+B2380*0.125</f>
        <v>-0.625</v>
      </c>
      <c r="F2380" s="0" t="n">
        <f aca="false">-1+C2380*0.125</f>
        <v>0.5</v>
      </c>
      <c r="G2380" s="0" t="n">
        <f aca="false">1</f>
        <v>1</v>
      </c>
      <c r="H2380" s="0" t="n">
        <f aca="false">D2380</f>
        <v>0</v>
      </c>
      <c r="I2380" s="0" t="n">
        <f aca="false">E2380</f>
        <v>-0.625</v>
      </c>
      <c r="J2380" s="0" t="n">
        <f aca="false">F2380</f>
        <v>0.5</v>
      </c>
      <c r="K2380" s="0" t="n">
        <f aca="false">D2380*E2380</f>
        <v>-0</v>
      </c>
      <c r="L2380" s="0" t="n">
        <f aca="false">D2380*F2380</f>
        <v>0</v>
      </c>
      <c r="M2380" s="0" t="n">
        <f aca="false">E2380*F2380</f>
        <v>-0.3125</v>
      </c>
      <c r="N2380" s="0" t="n">
        <f aca="false">D2380*D2380</f>
        <v>0</v>
      </c>
      <c r="O2380" s="0" t="n">
        <f aca="false">E2380*E2380</f>
        <v>0.390625</v>
      </c>
      <c r="P2380" s="0" t="n">
        <f aca="false">F2380*F2380</f>
        <v>0.25</v>
      </c>
      <c r="Q2380" s="0" t="n">
        <f aca="false">SUMPRODUCT(G2380:P2380,_XtX!$B$71:$K$71)</f>
        <v>46.5503125</v>
      </c>
      <c r="R2380" s="0" t="n">
        <f aca="false">SUMPRODUCT(MMULT(G2380:P2380,_XtX!$B$58:$K$67),G2380:P2380)</f>
        <v>0.18779296875</v>
      </c>
      <c r="S2380" s="0" t="n">
        <f aca="false">04_回帰ANOVA!$K$19*04_回帰ANOVA!$K$14*SQRT(1+R2380)</f>
        <v>1.01329759319777</v>
      </c>
      <c r="T2380" s="0" t="n">
        <f aca="false">Q2380-S2380</f>
        <v>45.5370149068023</v>
      </c>
      <c r="U2380" s="0" t="n">
        <f aca="false">Q2380+S2380</f>
        <v>47.5636100931978</v>
      </c>
      <c r="V2380" s="54" t="b">
        <f aca="false">AND(D2380&gt;=01_因子設定!$L$5-0.000000001,D2380&lt;=01_因子設定!$M$5+0.000000001,E2380&gt;=01_因子設定!$L$6-0.000000001,E2380&lt;=01_因子設定!$M$6+0.000000001,F2380&gt;=01_因子設定!$L$7-0.000000001,F2380&lt;=01_因子設定!$M$7+0.000000001,IF(01_因子設定!$B$20="Box-Behnken",D2380^2+E2380^2+F2380^2&lt;=2+0.000000001,TRUE()))</f>
        <v>1</v>
      </c>
      <c r="W2380" s="55" t="n">
        <f aca="false">IF(V2380,IF(01_因子設定!$B$13="最大化",T2380-01_因子設定!$B$14,IF(01_因子設定!$B$13="最小化",01_因子設定!$B$15-U2380,MIN(T2380-01_因子設定!$B$14,01_因子設定!$B$15-U2380))),-1E+030)</f>
        <v>-2.96298509319775</v>
      </c>
      <c r="X2380" s="55" t="n">
        <f aca="false">IF(V2380,IF(01_因子設定!$B$13="最大化",Q2380,IF(01_因子設定!$B$13="最小化",-Q2380,-ABS(Q2380-01_因子設定!$B$16))),-1E+030)</f>
        <v>46.5503125</v>
      </c>
      <c r="Y2380" s="55" t="n">
        <f aca="false">W2380+ROW()*0.000000001</f>
        <v>-2.96298271319775</v>
      </c>
      <c r="Z2380" s="55" t="n">
        <f aca="false">X2380+ROW()*0.000000001</f>
        <v>46.55031488</v>
      </c>
    </row>
    <row r="2381" customFormat="false" ht="15" hidden="false" customHeight="false" outlineLevel="0" collapsed="false">
      <c r="A2381" s="0" t="n">
        <v>8</v>
      </c>
      <c r="B2381" s="0" t="n">
        <v>3</v>
      </c>
      <c r="C2381" s="0" t="n">
        <v>13</v>
      </c>
      <c r="D2381" s="0" t="n">
        <f aca="false">-1+A2381*0.125</f>
        <v>0</v>
      </c>
      <c r="E2381" s="0" t="n">
        <f aca="false">-1+B2381*0.125</f>
        <v>-0.625</v>
      </c>
      <c r="F2381" s="0" t="n">
        <f aca="false">-1+C2381*0.125</f>
        <v>0.625</v>
      </c>
      <c r="G2381" s="0" t="n">
        <f aca="false">1</f>
        <v>1</v>
      </c>
      <c r="H2381" s="0" t="n">
        <f aca="false">D2381</f>
        <v>0</v>
      </c>
      <c r="I2381" s="0" t="n">
        <f aca="false">E2381</f>
        <v>-0.625</v>
      </c>
      <c r="J2381" s="0" t="n">
        <f aca="false">F2381</f>
        <v>0.625</v>
      </c>
      <c r="K2381" s="0" t="n">
        <f aca="false">D2381*E2381</f>
        <v>-0</v>
      </c>
      <c r="L2381" s="0" t="n">
        <f aca="false">D2381*F2381</f>
        <v>0</v>
      </c>
      <c r="M2381" s="0" t="n">
        <f aca="false">E2381*F2381</f>
        <v>-0.390625</v>
      </c>
      <c r="N2381" s="0" t="n">
        <f aca="false">D2381*D2381</f>
        <v>0</v>
      </c>
      <c r="O2381" s="0" t="n">
        <f aca="false">E2381*E2381</f>
        <v>0.390625</v>
      </c>
      <c r="P2381" s="0" t="n">
        <f aca="false">F2381*F2381</f>
        <v>0.390625</v>
      </c>
      <c r="Q2381" s="0" t="n">
        <f aca="false">SUMPRODUCT(G2381:P2381,_XtX!$B$71:$K$71)</f>
        <v>46.5221022727273</v>
      </c>
      <c r="R2381" s="0" t="n">
        <f aca="false">SUMPRODUCT(MMULT(G2381:P2381,_XtX!$B$58:$K$67),G2381:P2381)</f>
        <v>0.213715709339489</v>
      </c>
      <c r="S2381" s="0" t="n">
        <f aca="false">04_回帰ANOVA!$K$19*04_回帰ANOVA!$K$14*SQRT(1+R2381)</f>
        <v>1.02429516478377</v>
      </c>
      <c r="T2381" s="0" t="n">
        <f aca="false">Q2381-S2381</f>
        <v>45.4978071079435</v>
      </c>
      <c r="U2381" s="0" t="n">
        <f aca="false">Q2381+S2381</f>
        <v>47.5463974375111</v>
      </c>
      <c r="V2381" s="54" t="b">
        <f aca="false">AND(D2381&gt;=01_因子設定!$L$5-0.000000001,D2381&lt;=01_因子設定!$M$5+0.000000001,E2381&gt;=01_因子設定!$L$6-0.000000001,E2381&lt;=01_因子設定!$M$6+0.000000001,F2381&gt;=01_因子設定!$L$7-0.000000001,F2381&lt;=01_因子設定!$M$7+0.000000001,IF(01_因子設定!$B$20="Box-Behnken",D2381^2+E2381^2+F2381^2&lt;=2+0.000000001,TRUE()))</f>
        <v>1</v>
      </c>
      <c r="W2381" s="55" t="n">
        <f aca="false">IF(V2381,IF(01_因子設定!$B$13="最大化",T2381-01_因子設定!$B$14,IF(01_因子設定!$B$13="最小化",01_因子設定!$B$15-U2381,MIN(T2381-01_因子設定!$B$14,01_因子設定!$B$15-U2381))),-1E+030)</f>
        <v>-3.00219289205648</v>
      </c>
      <c r="X2381" s="55" t="n">
        <f aca="false">IF(V2381,IF(01_因子設定!$B$13="最大化",Q2381,IF(01_因子設定!$B$13="最小化",-Q2381,-ABS(Q2381-01_因子設定!$B$16))),-1E+030)</f>
        <v>46.5221022727273</v>
      </c>
      <c r="Y2381" s="55" t="n">
        <f aca="false">W2381+ROW()*0.000000001</f>
        <v>-3.00219051105649</v>
      </c>
      <c r="Z2381" s="55" t="n">
        <f aca="false">X2381+ROW()*0.000000001</f>
        <v>46.5221046537273</v>
      </c>
    </row>
    <row r="2382" customFormat="false" ht="15" hidden="false" customHeight="false" outlineLevel="0" collapsed="false">
      <c r="A2382" s="0" t="n">
        <v>8</v>
      </c>
      <c r="B2382" s="0" t="n">
        <v>3</v>
      </c>
      <c r="C2382" s="0" t="n">
        <v>14</v>
      </c>
      <c r="D2382" s="0" t="n">
        <f aca="false">-1+A2382*0.125</f>
        <v>0</v>
      </c>
      <c r="E2382" s="0" t="n">
        <f aca="false">-1+B2382*0.125</f>
        <v>-0.625</v>
      </c>
      <c r="F2382" s="0" t="n">
        <f aca="false">-1+C2382*0.125</f>
        <v>0.75</v>
      </c>
      <c r="G2382" s="0" t="n">
        <f aca="false">1</f>
        <v>1</v>
      </c>
      <c r="H2382" s="0" t="n">
        <f aca="false">D2382</f>
        <v>0</v>
      </c>
      <c r="I2382" s="0" t="n">
        <f aca="false">E2382</f>
        <v>-0.625</v>
      </c>
      <c r="J2382" s="0" t="n">
        <f aca="false">F2382</f>
        <v>0.75</v>
      </c>
      <c r="K2382" s="0" t="n">
        <f aca="false">D2382*E2382</f>
        <v>-0</v>
      </c>
      <c r="L2382" s="0" t="n">
        <f aca="false">D2382*F2382</f>
        <v>0</v>
      </c>
      <c r="M2382" s="0" t="n">
        <f aca="false">E2382*F2382</f>
        <v>-0.46875</v>
      </c>
      <c r="N2382" s="0" t="n">
        <f aca="false">D2382*D2382</f>
        <v>0</v>
      </c>
      <c r="O2382" s="0" t="n">
        <f aca="false">E2382*E2382</f>
        <v>0.390625</v>
      </c>
      <c r="P2382" s="0" t="n">
        <f aca="false">F2382*F2382</f>
        <v>0.5625</v>
      </c>
      <c r="Q2382" s="0" t="n">
        <f aca="false">SUMPRODUCT(G2382:P2382,_XtX!$B$71:$K$71)</f>
        <v>46.4571022727273</v>
      </c>
      <c r="R2382" s="0" t="n">
        <f aca="false">SUMPRODUCT(MMULT(G2382:P2382,_XtX!$B$58:$K$67),G2382:P2382)</f>
        <v>0.264930308948864</v>
      </c>
      <c r="S2382" s="0" t="n">
        <f aca="false">04_回帰ANOVA!$K$19*04_回帰ANOVA!$K$14*SQRT(1+R2382)</f>
        <v>1.04568272997153</v>
      </c>
      <c r="T2382" s="0" t="n">
        <f aca="false">Q2382-S2382</f>
        <v>45.4114195427558</v>
      </c>
      <c r="U2382" s="0" t="n">
        <f aca="false">Q2382+S2382</f>
        <v>47.5027850026988</v>
      </c>
      <c r="V2382" s="54" t="b">
        <f aca="false">AND(D2382&gt;=01_因子設定!$L$5-0.000000001,D2382&lt;=01_因子設定!$M$5+0.000000001,E2382&gt;=01_因子設定!$L$6-0.000000001,E2382&lt;=01_因子設定!$M$6+0.000000001,F2382&gt;=01_因子設定!$L$7-0.000000001,F2382&lt;=01_因子設定!$M$7+0.000000001,IF(01_因子設定!$B$20="Box-Behnken",D2382^2+E2382^2+F2382^2&lt;=2+0.000000001,TRUE()))</f>
        <v>1</v>
      </c>
      <c r="W2382" s="55" t="n">
        <f aca="false">IF(V2382,IF(01_因子設定!$B$13="最大化",T2382-01_因子設定!$B$14,IF(01_因子設定!$B$13="最小化",01_因子設定!$B$15-U2382,MIN(T2382-01_因子設定!$B$14,01_因子設定!$B$15-U2382))),-1E+030)</f>
        <v>-3.08858045724423</v>
      </c>
      <c r="X2382" s="55" t="n">
        <f aca="false">IF(V2382,IF(01_因子設定!$B$13="最大化",Q2382,IF(01_因子設定!$B$13="最小化",-Q2382,-ABS(Q2382-01_因子設定!$B$16))),-1E+030)</f>
        <v>46.4571022727273</v>
      </c>
      <c r="Y2382" s="55" t="n">
        <f aca="false">W2382+ROW()*0.000000001</f>
        <v>-3.08857807524423</v>
      </c>
      <c r="Z2382" s="55" t="n">
        <f aca="false">X2382+ROW()*0.000000001</f>
        <v>46.4571046547273</v>
      </c>
    </row>
    <row r="2383" customFormat="false" ht="15" hidden="false" customHeight="false" outlineLevel="0" collapsed="false">
      <c r="A2383" s="0" t="n">
        <v>8</v>
      </c>
      <c r="B2383" s="0" t="n">
        <v>3</v>
      </c>
      <c r="C2383" s="0" t="n">
        <v>15</v>
      </c>
      <c r="D2383" s="0" t="n">
        <f aca="false">-1+A2383*0.125</f>
        <v>0</v>
      </c>
      <c r="E2383" s="0" t="n">
        <f aca="false">-1+B2383*0.125</f>
        <v>-0.625</v>
      </c>
      <c r="F2383" s="0" t="n">
        <f aca="false">-1+C2383*0.125</f>
        <v>0.875</v>
      </c>
      <c r="G2383" s="0" t="n">
        <f aca="false">1</f>
        <v>1</v>
      </c>
      <c r="H2383" s="0" t="n">
        <f aca="false">D2383</f>
        <v>0</v>
      </c>
      <c r="I2383" s="0" t="n">
        <f aca="false">E2383</f>
        <v>-0.625</v>
      </c>
      <c r="J2383" s="0" t="n">
        <f aca="false">F2383</f>
        <v>0.875</v>
      </c>
      <c r="K2383" s="0" t="n">
        <f aca="false">D2383*E2383</f>
        <v>-0</v>
      </c>
      <c r="L2383" s="0" t="n">
        <f aca="false">D2383*F2383</f>
        <v>0</v>
      </c>
      <c r="M2383" s="0" t="n">
        <f aca="false">E2383*F2383</f>
        <v>-0.546875</v>
      </c>
      <c r="N2383" s="0" t="n">
        <f aca="false">D2383*D2383</f>
        <v>0</v>
      </c>
      <c r="O2383" s="0" t="n">
        <f aca="false">E2383*E2383</f>
        <v>0.390625</v>
      </c>
      <c r="P2383" s="0" t="n">
        <f aca="false">F2383*F2383</f>
        <v>0.765625</v>
      </c>
      <c r="Q2383" s="0" t="n">
        <f aca="false">SUMPRODUCT(G2383:P2383,_XtX!$B$71:$K$71)</f>
        <v>46.3553125</v>
      </c>
      <c r="R2383" s="0" t="n">
        <f aca="false">SUMPRODUCT(MMULT(G2383:P2383,_XtX!$B$58:$K$67),G2383:P2383)</f>
        <v>0.353155517578125</v>
      </c>
      <c r="S2383" s="0" t="n">
        <f aca="false">04_回帰ANOVA!$K$19*04_回帰ANOVA!$K$14*SQRT(1+R2383)</f>
        <v>1.08153478594098</v>
      </c>
      <c r="T2383" s="0" t="n">
        <f aca="false">Q2383-S2383</f>
        <v>45.273777714059</v>
      </c>
      <c r="U2383" s="0" t="n">
        <f aca="false">Q2383+S2383</f>
        <v>47.436847285941</v>
      </c>
      <c r="V2383" s="54" t="b">
        <f aca="false">AND(D2383&gt;=01_因子設定!$L$5-0.000000001,D2383&lt;=01_因子設定!$M$5+0.000000001,E2383&gt;=01_因子設定!$L$6-0.000000001,E2383&lt;=01_因子設定!$M$6+0.000000001,F2383&gt;=01_因子設定!$L$7-0.000000001,F2383&lt;=01_因子設定!$M$7+0.000000001,IF(01_因子設定!$B$20="Box-Behnken",D2383^2+E2383^2+F2383^2&lt;=2+0.000000001,TRUE()))</f>
        <v>1</v>
      </c>
      <c r="W2383" s="55" t="n">
        <f aca="false">IF(V2383,IF(01_因子設定!$B$13="最大化",T2383-01_因子設定!$B$14,IF(01_因子設定!$B$13="最小化",01_因子設定!$B$15-U2383,MIN(T2383-01_因子設定!$B$14,01_因子設定!$B$15-U2383))),-1E+030)</f>
        <v>-3.22622228594096</v>
      </c>
      <c r="X2383" s="55" t="n">
        <f aca="false">IF(V2383,IF(01_因子設定!$B$13="最大化",Q2383,IF(01_因子設定!$B$13="最小化",-Q2383,-ABS(Q2383-01_因子設定!$B$16))),-1E+030)</f>
        <v>46.3553125</v>
      </c>
      <c r="Y2383" s="55" t="n">
        <f aca="false">W2383+ROW()*0.000000001</f>
        <v>-3.22621990294096</v>
      </c>
      <c r="Z2383" s="55" t="n">
        <f aca="false">X2383+ROW()*0.000000001</f>
        <v>46.355314883</v>
      </c>
    </row>
    <row r="2384" customFormat="false" ht="15" hidden="false" customHeight="false" outlineLevel="0" collapsed="false">
      <c r="A2384" s="0" t="n">
        <v>8</v>
      </c>
      <c r="B2384" s="0" t="n">
        <v>3</v>
      </c>
      <c r="C2384" s="0" t="n">
        <v>16</v>
      </c>
      <c r="D2384" s="0" t="n">
        <f aca="false">-1+A2384*0.125</f>
        <v>0</v>
      </c>
      <c r="E2384" s="0" t="n">
        <f aca="false">-1+B2384*0.125</f>
        <v>-0.625</v>
      </c>
      <c r="F2384" s="0" t="n">
        <f aca="false">-1+C2384*0.125</f>
        <v>1</v>
      </c>
      <c r="G2384" s="0" t="n">
        <f aca="false">1</f>
        <v>1</v>
      </c>
      <c r="H2384" s="0" t="n">
        <f aca="false">D2384</f>
        <v>0</v>
      </c>
      <c r="I2384" s="0" t="n">
        <f aca="false">E2384</f>
        <v>-0.625</v>
      </c>
      <c r="J2384" s="0" t="n">
        <f aca="false">F2384</f>
        <v>1</v>
      </c>
      <c r="K2384" s="0" t="n">
        <f aca="false">D2384*E2384</f>
        <v>-0</v>
      </c>
      <c r="L2384" s="0" t="n">
        <f aca="false">D2384*F2384</f>
        <v>0</v>
      </c>
      <c r="M2384" s="0" t="n">
        <f aca="false">E2384*F2384</f>
        <v>-0.625</v>
      </c>
      <c r="N2384" s="0" t="n">
        <f aca="false">D2384*D2384</f>
        <v>0</v>
      </c>
      <c r="O2384" s="0" t="n">
        <f aca="false">E2384*E2384</f>
        <v>0.390625</v>
      </c>
      <c r="P2384" s="0" t="n">
        <f aca="false">F2384*F2384</f>
        <v>1</v>
      </c>
      <c r="Q2384" s="0" t="n">
        <f aca="false">SUMPRODUCT(G2384:P2384,_XtX!$B$71:$K$71)</f>
        <v>46.2167329545455</v>
      </c>
      <c r="R2384" s="0" t="n">
        <f aca="false">SUMPRODUCT(MMULT(G2384:P2384,_XtX!$B$58:$K$67),G2384:P2384)</f>
        <v>0.492240767045455</v>
      </c>
      <c r="S2384" s="0" t="n">
        <f aca="false">04_回帰ANOVA!$K$19*04_回帰ANOVA!$K$14*SQRT(1+R2384)</f>
        <v>1.13575873676322</v>
      </c>
      <c r="T2384" s="0" t="n">
        <f aca="false">Q2384-S2384</f>
        <v>45.0809742177823</v>
      </c>
      <c r="U2384" s="0" t="n">
        <f aca="false">Q2384+S2384</f>
        <v>47.3524916913087</v>
      </c>
      <c r="V2384" s="54" t="b">
        <f aca="false">AND(D2384&gt;=01_因子設定!$L$5-0.000000001,D2384&lt;=01_因子設定!$M$5+0.000000001,E2384&gt;=01_因子設定!$L$6-0.000000001,E2384&lt;=01_因子設定!$M$6+0.000000001,F2384&gt;=01_因子設定!$L$7-0.000000001,F2384&lt;=01_因子設定!$M$7+0.000000001,IF(01_因子設定!$B$20="Box-Behnken",D2384^2+E2384^2+F2384^2&lt;=2+0.000000001,TRUE()))</f>
        <v>1</v>
      </c>
      <c r="W2384" s="55" t="n">
        <f aca="false">IF(V2384,IF(01_因子設定!$B$13="最大化",T2384-01_因子設定!$B$14,IF(01_因子設定!$B$13="最小化",01_因子設定!$B$15-U2384,MIN(T2384-01_因子設定!$B$14,01_因子設定!$B$15-U2384))),-1E+030)</f>
        <v>-3.41902578221774</v>
      </c>
      <c r="X2384" s="55" t="n">
        <f aca="false">IF(V2384,IF(01_因子設定!$B$13="最大化",Q2384,IF(01_因子設定!$B$13="最小化",-Q2384,-ABS(Q2384-01_因子設定!$B$16))),-1E+030)</f>
        <v>46.2167329545455</v>
      </c>
      <c r="Y2384" s="55" t="n">
        <f aca="false">W2384+ROW()*0.000000001</f>
        <v>-3.41902339821774</v>
      </c>
      <c r="Z2384" s="55" t="n">
        <f aca="false">X2384+ROW()*0.000000001</f>
        <v>46.2167353385455</v>
      </c>
    </row>
    <row r="2385" customFormat="false" ht="15" hidden="false" customHeight="false" outlineLevel="0" collapsed="false">
      <c r="A2385" s="0" t="n">
        <v>8</v>
      </c>
      <c r="B2385" s="0" t="n">
        <v>4</v>
      </c>
      <c r="C2385" s="0" t="n">
        <v>0</v>
      </c>
      <c r="D2385" s="0" t="n">
        <f aca="false">-1+A2385*0.125</f>
        <v>0</v>
      </c>
      <c r="E2385" s="0" t="n">
        <f aca="false">-1+B2385*0.125</f>
        <v>-0.5</v>
      </c>
      <c r="F2385" s="0" t="n">
        <f aca="false">-1+C2385*0.125</f>
        <v>-1</v>
      </c>
      <c r="G2385" s="0" t="n">
        <f aca="false">1</f>
        <v>1</v>
      </c>
      <c r="H2385" s="0" t="n">
        <f aca="false">D2385</f>
        <v>0</v>
      </c>
      <c r="I2385" s="0" t="n">
        <f aca="false">E2385</f>
        <v>-0.5</v>
      </c>
      <c r="J2385" s="0" t="n">
        <f aca="false">F2385</f>
        <v>-1</v>
      </c>
      <c r="K2385" s="0" t="n">
        <f aca="false">D2385*E2385</f>
        <v>-0</v>
      </c>
      <c r="L2385" s="0" t="n">
        <f aca="false">D2385*F2385</f>
        <v>-0</v>
      </c>
      <c r="M2385" s="0" t="n">
        <f aca="false">E2385*F2385</f>
        <v>0.5</v>
      </c>
      <c r="N2385" s="0" t="n">
        <f aca="false">D2385*D2385</f>
        <v>0</v>
      </c>
      <c r="O2385" s="0" t="n">
        <f aca="false">E2385*E2385</f>
        <v>0.25</v>
      </c>
      <c r="P2385" s="0" t="n">
        <f aca="false">F2385*F2385</f>
        <v>1</v>
      </c>
      <c r="Q2385" s="0" t="n">
        <f aca="false">SUMPRODUCT(G2385:P2385,_XtX!$B$71:$K$71)</f>
        <v>44.5068181818182</v>
      </c>
      <c r="R2385" s="0" t="n">
        <f aca="false">SUMPRODUCT(MMULT(G2385:P2385,_XtX!$B$58:$K$67),G2385:P2385)</f>
        <v>0.478977272727273</v>
      </c>
      <c r="S2385" s="0" t="n">
        <f aca="false">04_回帰ANOVA!$K$19*04_回帰ANOVA!$K$14*SQRT(1+R2385)</f>
        <v>1.13069998447216</v>
      </c>
      <c r="T2385" s="0" t="n">
        <f aca="false">Q2385-S2385</f>
        <v>43.3761181973461</v>
      </c>
      <c r="U2385" s="0" t="n">
        <f aca="false">Q2385+S2385</f>
        <v>45.6375181662904</v>
      </c>
      <c r="V2385" s="54" t="b">
        <f aca="false">AND(D2385&gt;=01_因子設定!$L$5-0.000000001,D2385&lt;=01_因子設定!$M$5+0.000000001,E2385&gt;=01_因子設定!$L$6-0.000000001,E2385&lt;=01_因子設定!$M$6+0.000000001,F2385&gt;=01_因子設定!$L$7-0.000000001,F2385&lt;=01_因子設定!$M$7+0.000000001,IF(01_因子設定!$B$20="Box-Behnken",D2385^2+E2385^2+F2385^2&lt;=2+0.000000001,TRUE()))</f>
        <v>1</v>
      </c>
      <c r="W2385" s="55" t="n">
        <f aca="false">IF(V2385,IF(01_因子設定!$B$13="最大化",T2385-01_因子設定!$B$14,IF(01_因子設定!$B$13="最小化",01_因子設定!$B$15-U2385,MIN(T2385-01_因子設定!$B$14,01_因子設定!$B$15-U2385))),-1E+030)</f>
        <v>-5.12388180265395</v>
      </c>
      <c r="X2385" s="55" t="n">
        <f aca="false">IF(V2385,IF(01_因子設定!$B$13="最大化",Q2385,IF(01_因子設定!$B$13="最小化",-Q2385,-ABS(Q2385-01_因子設定!$B$16))),-1E+030)</f>
        <v>44.5068181818182</v>
      </c>
      <c r="Y2385" s="55" t="n">
        <f aca="false">W2385+ROW()*0.000000001</f>
        <v>-5.12387941765395</v>
      </c>
      <c r="Z2385" s="55" t="n">
        <f aca="false">X2385+ROW()*0.000000001</f>
        <v>44.5068205668182</v>
      </c>
    </row>
    <row r="2386" customFormat="false" ht="15" hidden="false" customHeight="false" outlineLevel="0" collapsed="false">
      <c r="A2386" s="0" t="n">
        <v>8</v>
      </c>
      <c r="B2386" s="0" t="n">
        <v>4</v>
      </c>
      <c r="C2386" s="0" t="n">
        <v>1</v>
      </c>
      <c r="D2386" s="0" t="n">
        <f aca="false">-1+A2386*0.125</f>
        <v>0</v>
      </c>
      <c r="E2386" s="0" t="n">
        <f aca="false">-1+B2386*0.125</f>
        <v>-0.5</v>
      </c>
      <c r="F2386" s="0" t="n">
        <f aca="false">-1+C2386*0.125</f>
        <v>-0.875</v>
      </c>
      <c r="G2386" s="0" t="n">
        <f aca="false">1</f>
        <v>1</v>
      </c>
      <c r="H2386" s="0" t="n">
        <f aca="false">D2386</f>
        <v>0</v>
      </c>
      <c r="I2386" s="0" t="n">
        <f aca="false">E2386</f>
        <v>-0.5</v>
      </c>
      <c r="J2386" s="0" t="n">
        <f aca="false">F2386</f>
        <v>-0.875</v>
      </c>
      <c r="K2386" s="0" t="n">
        <f aca="false">D2386*E2386</f>
        <v>-0</v>
      </c>
      <c r="L2386" s="0" t="n">
        <f aca="false">D2386*F2386</f>
        <v>-0</v>
      </c>
      <c r="M2386" s="0" t="n">
        <f aca="false">E2386*F2386</f>
        <v>0.4375</v>
      </c>
      <c r="N2386" s="0" t="n">
        <f aca="false">D2386*D2386</f>
        <v>0</v>
      </c>
      <c r="O2386" s="0" t="n">
        <f aca="false">E2386*E2386</f>
        <v>0.25</v>
      </c>
      <c r="P2386" s="0" t="n">
        <f aca="false">F2386*F2386</f>
        <v>0.765625</v>
      </c>
      <c r="Q2386" s="0" t="n">
        <f aca="false">SUMPRODUCT(G2386:P2386,_XtX!$B$71:$K$71)</f>
        <v>44.9271164772728</v>
      </c>
      <c r="R2386" s="0" t="n">
        <f aca="false">SUMPRODUCT(MMULT(G2386:P2386,_XtX!$B$58:$K$67),G2386:P2386)</f>
        <v>0.335023082386364</v>
      </c>
      <c r="S2386" s="0" t="n">
        <f aca="false">04_回帰ANOVA!$K$19*04_回帰ANOVA!$K$14*SQRT(1+R2386)</f>
        <v>1.07426400295275</v>
      </c>
      <c r="T2386" s="0" t="n">
        <f aca="false">Q2386-S2386</f>
        <v>43.85285247432</v>
      </c>
      <c r="U2386" s="0" t="n">
        <f aca="false">Q2386+S2386</f>
        <v>46.0013804802255</v>
      </c>
      <c r="V2386" s="54" t="b">
        <f aca="false">AND(D2386&gt;=01_因子設定!$L$5-0.000000001,D2386&lt;=01_因子設定!$M$5+0.000000001,E2386&gt;=01_因子設定!$L$6-0.000000001,E2386&lt;=01_因子設定!$M$6+0.000000001,F2386&gt;=01_因子設定!$L$7-0.000000001,F2386&lt;=01_因子設定!$M$7+0.000000001,IF(01_因子設定!$B$20="Box-Behnken",D2386^2+E2386^2+F2386^2&lt;=2+0.000000001,TRUE()))</f>
        <v>1</v>
      </c>
      <c r="W2386" s="55" t="n">
        <f aca="false">IF(V2386,IF(01_因子設定!$B$13="最大化",T2386-01_因子設定!$B$14,IF(01_因子設定!$B$13="最小化",01_因子設定!$B$15-U2386,MIN(T2386-01_因子設定!$B$14,01_因子設定!$B$15-U2386))),-1E+030)</f>
        <v>-4.64714752568</v>
      </c>
      <c r="X2386" s="55" t="n">
        <f aca="false">IF(V2386,IF(01_因子設定!$B$13="最大化",Q2386,IF(01_因子設定!$B$13="最小化",-Q2386,-ABS(Q2386-01_因子設定!$B$16))),-1E+030)</f>
        <v>44.9271164772728</v>
      </c>
      <c r="Y2386" s="55" t="n">
        <f aca="false">W2386+ROW()*0.000000001</f>
        <v>-4.64714513968</v>
      </c>
      <c r="Z2386" s="55" t="n">
        <f aca="false">X2386+ROW()*0.000000001</f>
        <v>44.9271188632728</v>
      </c>
    </row>
    <row r="2387" customFormat="false" ht="15" hidden="false" customHeight="false" outlineLevel="0" collapsed="false">
      <c r="A2387" s="0" t="n">
        <v>8</v>
      </c>
      <c r="B2387" s="0" t="n">
        <v>4</v>
      </c>
      <c r="C2387" s="0" t="n">
        <v>2</v>
      </c>
      <c r="D2387" s="0" t="n">
        <f aca="false">-1+A2387*0.125</f>
        <v>0</v>
      </c>
      <c r="E2387" s="0" t="n">
        <f aca="false">-1+B2387*0.125</f>
        <v>-0.5</v>
      </c>
      <c r="F2387" s="0" t="n">
        <f aca="false">-1+C2387*0.125</f>
        <v>-0.75</v>
      </c>
      <c r="G2387" s="0" t="n">
        <f aca="false">1</f>
        <v>1</v>
      </c>
      <c r="H2387" s="0" t="n">
        <f aca="false">D2387</f>
        <v>0</v>
      </c>
      <c r="I2387" s="0" t="n">
        <f aca="false">E2387</f>
        <v>-0.5</v>
      </c>
      <c r="J2387" s="0" t="n">
        <f aca="false">F2387</f>
        <v>-0.75</v>
      </c>
      <c r="K2387" s="0" t="n">
        <f aca="false">D2387*E2387</f>
        <v>-0</v>
      </c>
      <c r="L2387" s="0" t="n">
        <f aca="false">D2387*F2387</f>
        <v>-0</v>
      </c>
      <c r="M2387" s="0" t="n">
        <f aca="false">E2387*F2387</f>
        <v>0.375</v>
      </c>
      <c r="N2387" s="0" t="n">
        <f aca="false">D2387*D2387</f>
        <v>0</v>
      </c>
      <c r="O2387" s="0" t="n">
        <f aca="false">E2387*E2387</f>
        <v>0.25</v>
      </c>
      <c r="P2387" s="0" t="n">
        <f aca="false">F2387*F2387</f>
        <v>0.5625</v>
      </c>
      <c r="Q2387" s="0" t="n">
        <f aca="false">SUMPRODUCT(G2387:P2387,_XtX!$B$71:$K$71)</f>
        <v>45.310625</v>
      </c>
      <c r="R2387" s="0" t="n">
        <f aca="false">SUMPRODUCT(MMULT(G2387:P2387,_XtX!$B$58:$K$67),G2387:P2387)</f>
        <v>0.242578125</v>
      </c>
      <c r="S2387" s="0" t="n">
        <f aca="false">04_回帰ANOVA!$K$19*04_回帰ANOVA!$K$14*SQRT(1+R2387)</f>
        <v>1.03640258600455</v>
      </c>
      <c r="T2387" s="0" t="n">
        <f aca="false">Q2387-S2387</f>
        <v>44.2742224139955</v>
      </c>
      <c r="U2387" s="0" t="n">
        <f aca="false">Q2387+S2387</f>
        <v>46.3470275860046</v>
      </c>
      <c r="V2387" s="54" t="b">
        <f aca="false">AND(D2387&gt;=01_因子設定!$L$5-0.000000001,D2387&lt;=01_因子設定!$M$5+0.000000001,E2387&gt;=01_因子設定!$L$6-0.000000001,E2387&lt;=01_因子設定!$M$6+0.000000001,F2387&gt;=01_因子設定!$L$7-0.000000001,F2387&lt;=01_因子設定!$M$7+0.000000001,IF(01_因子設定!$B$20="Box-Behnken",D2387^2+E2387^2+F2387^2&lt;=2+0.000000001,TRUE()))</f>
        <v>1</v>
      </c>
      <c r="W2387" s="55" t="n">
        <f aca="false">IF(V2387,IF(01_因子設定!$B$13="最大化",T2387-01_因子設定!$B$14,IF(01_因子設定!$B$13="最小化",01_因子設定!$B$15-U2387,MIN(T2387-01_因子設定!$B$14,01_因子設定!$B$15-U2387))),-1E+030)</f>
        <v>-4.22577758600453</v>
      </c>
      <c r="X2387" s="55" t="n">
        <f aca="false">IF(V2387,IF(01_因子設定!$B$13="最大化",Q2387,IF(01_因子設定!$B$13="最小化",-Q2387,-ABS(Q2387-01_因子設定!$B$16))),-1E+030)</f>
        <v>45.310625</v>
      </c>
      <c r="Y2387" s="55" t="n">
        <f aca="false">W2387+ROW()*0.000000001</f>
        <v>-4.22577519900453</v>
      </c>
      <c r="Z2387" s="55" t="n">
        <f aca="false">X2387+ROW()*0.000000001</f>
        <v>45.310627387</v>
      </c>
    </row>
    <row r="2388" customFormat="false" ht="15" hidden="false" customHeight="false" outlineLevel="0" collapsed="false">
      <c r="A2388" s="0" t="n">
        <v>8</v>
      </c>
      <c r="B2388" s="0" t="n">
        <v>4</v>
      </c>
      <c r="C2388" s="0" t="n">
        <v>3</v>
      </c>
      <c r="D2388" s="0" t="n">
        <f aca="false">-1+A2388*0.125</f>
        <v>0</v>
      </c>
      <c r="E2388" s="0" t="n">
        <f aca="false">-1+B2388*0.125</f>
        <v>-0.5</v>
      </c>
      <c r="F2388" s="0" t="n">
        <f aca="false">-1+C2388*0.125</f>
        <v>-0.625</v>
      </c>
      <c r="G2388" s="0" t="n">
        <f aca="false">1</f>
        <v>1</v>
      </c>
      <c r="H2388" s="0" t="n">
        <f aca="false">D2388</f>
        <v>0</v>
      </c>
      <c r="I2388" s="0" t="n">
        <f aca="false">E2388</f>
        <v>-0.5</v>
      </c>
      <c r="J2388" s="0" t="n">
        <f aca="false">F2388</f>
        <v>-0.625</v>
      </c>
      <c r="K2388" s="0" t="n">
        <f aca="false">D2388*E2388</f>
        <v>-0</v>
      </c>
      <c r="L2388" s="0" t="n">
        <f aca="false">D2388*F2388</f>
        <v>-0</v>
      </c>
      <c r="M2388" s="0" t="n">
        <f aca="false">E2388*F2388</f>
        <v>0.3125</v>
      </c>
      <c r="N2388" s="0" t="n">
        <f aca="false">D2388*D2388</f>
        <v>0</v>
      </c>
      <c r="O2388" s="0" t="n">
        <f aca="false">E2388*E2388</f>
        <v>0.25</v>
      </c>
      <c r="P2388" s="0" t="n">
        <f aca="false">F2388*F2388</f>
        <v>0.390625</v>
      </c>
      <c r="Q2388" s="0" t="n">
        <f aca="false">SUMPRODUCT(G2388:P2388,_XtX!$B$71:$K$71)</f>
        <v>45.65734375</v>
      </c>
      <c r="R2388" s="0" t="n">
        <f aca="false">SUMPRODUCT(MMULT(G2388:P2388,_XtX!$B$58:$K$67),G2388:P2388)</f>
        <v>0.18779296875</v>
      </c>
      <c r="S2388" s="0" t="n">
        <f aca="false">04_回帰ANOVA!$K$19*04_回帰ANOVA!$K$14*SQRT(1+R2388)</f>
        <v>1.01329759319777</v>
      </c>
      <c r="T2388" s="0" t="n">
        <f aca="false">Q2388-S2388</f>
        <v>44.6440461568023</v>
      </c>
      <c r="U2388" s="0" t="n">
        <f aca="false">Q2388+S2388</f>
        <v>46.6706413431978</v>
      </c>
      <c r="V2388" s="54" t="b">
        <f aca="false">AND(D2388&gt;=01_因子設定!$L$5-0.000000001,D2388&lt;=01_因子設定!$M$5+0.000000001,E2388&gt;=01_因子設定!$L$6-0.000000001,E2388&lt;=01_因子設定!$M$6+0.000000001,F2388&gt;=01_因子設定!$L$7-0.000000001,F2388&lt;=01_因子設定!$M$7+0.000000001,IF(01_因子設定!$B$20="Box-Behnken",D2388^2+E2388^2+F2388^2&lt;=2+0.000000001,TRUE()))</f>
        <v>1</v>
      </c>
      <c r="W2388" s="55" t="n">
        <f aca="false">IF(V2388,IF(01_因子設定!$B$13="最大化",T2388-01_因子設定!$B$14,IF(01_因子設定!$B$13="最小化",01_因子設定!$B$15-U2388,MIN(T2388-01_因子設定!$B$14,01_因子設定!$B$15-U2388))),-1E+030)</f>
        <v>-3.85595384319775</v>
      </c>
      <c r="X2388" s="55" t="n">
        <f aca="false">IF(V2388,IF(01_因子設定!$B$13="最大化",Q2388,IF(01_因子設定!$B$13="最小化",-Q2388,-ABS(Q2388-01_因子設定!$B$16))),-1E+030)</f>
        <v>45.65734375</v>
      </c>
      <c r="Y2388" s="55" t="n">
        <f aca="false">W2388+ROW()*0.000000001</f>
        <v>-3.85595145519775</v>
      </c>
      <c r="Z2388" s="55" t="n">
        <f aca="false">X2388+ROW()*0.000000001</f>
        <v>45.657346138</v>
      </c>
    </row>
    <row r="2389" customFormat="false" ht="15" hidden="false" customHeight="false" outlineLevel="0" collapsed="false">
      <c r="A2389" s="0" t="n">
        <v>8</v>
      </c>
      <c r="B2389" s="0" t="n">
        <v>4</v>
      </c>
      <c r="C2389" s="0" t="n">
        <v>4</v>
      </c>
      <c r="D2389" s="0" t="n">
        <f aca="false">-1+A2389*0.125</f>
        <v>0</v>
      </c>
      <c r="E2389" s="0" t="n">
        <f aca="false">-1+B2389*0.125</f>
        <v>-0.5</v>
      </c>
      <c r="F2389" s="0" t="n">
        <f aca="false">-1+C2389*0.125</f>
        <v>-0.5</v>
      </c>
      <c r="G2389" s="0" t="n">
        <f aca="false">1</f>
        <v>1</v>
      </c>
      <c r="H2389" s="0" t="n">
        <f aca="false">D2389</f>
        <v>0</v>
      </c>
      <c r="I2389" s="0" t="n">
        <f aca="false">E2389</f>
        <v>-0.5</v>
      </c>
      <c r="J2389" s="0" t="n">
        <f aca="false">F2389</f>
        <v>-0.5</v>
      </c>
      <c r="K2389" s="0" t="n">
        <f aca="false">D2389*E2389</f>
        <v>-0</v>
      </c>
      <c r="L2389" s="0" t="n">
        <f aca="false">D2389*F2389</f>
        <v>-0</v>
      </c>
      <c r="M2389" s="0" t="n">
        <f aca="false">E2389*F2389</f>
        <v>0.25</v>
      </c>
      <c r="N2389" s="0" t="n">
        <f aca="false">D2389*D2389</f>
        <v>0</v>
      </c>
      <c r="O2389" s="0" t="n">
        <f aca="false">E2389*E2389</f>
        <v>0.25</v>
      </c>
      <c r="P2389" s="0" t="n">
        <f aca="false">F2389*F2389</f>
        <v>0.25</v>
      </c>
      <c r="Q2389" s="0" t="n">
        <f aca="false">SUMPRODUCT(G2389:P2389,_XtX!$B$71:$K$71)</f>
        <v>45.9672727272727</v>
      </c>
      <c r="R2389" s="0" t="n">
        <f aca="false">SUMPRODUCT(MMULT(G2389:P2389,_XtX!$B$58:$K$67),G2389:P2389)</f>
        <v>0.158948863636364</v>
      </c>
      <c r="S2389" s="0" t="n">
        <f aca="false">04_回帰ANOVA!$K$19*04_回帰ANOVA!$K$14*SQRT(1+R2389)</f>
        <v>1.00091863056612</v>
      </c>
      <c r="T2389" s="0" t="n">
        <f aca="false">Q2389-S2389</f>
        <v>44.9663540967066</v>
      </c>
      <c r="U2389" s="0" t="n">
        <f aca="false">Q2389+S2389</f>
        <v>46.9681913578389</v>
      </c>
      <c r="V2389" s="54" t="b">
        <f aca="false">AND(D2389&gt;=01_因子設定!$L$5-0.000000001,D2389&lt;=01_因子設定!$M$5+0.000000001,E2389&gt;=01_因子設定!$L$6-0.000000001,E2389&lt;=01_因子設定!$M$6+0.000000001,F2389&gt;=01_因子設定!$L$7-0.000000001,F2389&lt;=01_因子設定!$M$7+0.000000001,IF(01_因子設定!$B$20="Box-Behnken",D2389^2+E2389^2+F2389^2&lt;=2+0.000000001,TRUE()))</f>
        <v>1</v>
      </c>
      <c r="W2389" s="55" t="n">
        <f aca="false">IF(V2389,IF(01_因子設定!$B$13="最大化",T2389-01_因子設定!$B$14,IF(01_因子設定!$B$13="最小化",01_因子設定!$B$15-U2389,MIN(T2389-01_因子設定!$B$14,01_因子設定!$B$15-U2389))),-1E+030)</f>
        <v>-3.53364590329338</v>
      </c>
      <c r="X2389" s="55" t="n">
        <f aca="false">IF(V2389,IF(01_因子設定!$B$13="最大化",Q2389,IF(01_因子設定!$B$13="最小化",-Q2389,-ABS(Q2389-01_因子設定!$B$16))),-1E+030)</f>
        <v>45.9672727272727</v>
      </c>
      <c r="Y2389" s="55" t="n">
        <f aca="false">W2389+ROW()*0.000000001</f>
        <v>-3.53364351429338</v>
      </c>
      <c r="Z2389" s="55" t="n">
        <f aca="false">X2389+ROW()*0.000000001</f>
        <v>45.9672751162727</v>
      </c>
    </row>
    <row r="2390" customFormat="false" ht="15" hidden="false" customHeight="false" outlineLevel="0" collapsed="false">
      <c r="A2390" s="0" t="n">
        <v>8</v>
      </c>
      <c r="B2390" s="0" t="n">
        <v>4</v>
      </c>
      <c r="C2390" s="0" t="n">
        <v>5</v>
      </c>
      <c r="D2390" s="0" t="n">
        <f aca="false">-1+A2390*0.125</f>
        <v>0</v>
      </c>
      <c r="E2390" s="0" t="n">
        <f aca="false">-1+B2390*0.125</f>
        <v>-0.5</v>
      </c>
      <c r="F2390" s="0" t="n">
        <f aca="false">-1+C2390*0.125</f>
        <v>-0.375</v>
      </c>
      <c r="G2390" s="0" t="n">
        <f aca="false">1</f>
        <v>1</v>
      </c>
      <c r="H2390" s="0" t="n">
        <f aca="false">D2390</f>
        <v>0</v>
      </c>
      <c r="I2390" s="0" t="n">
        <f aca="false">E2390</f>
        <v>-0.5</v>
      </c>
      <c r="J2390" s="0" t="n">
        <f aca="false">F2390</f>
        <v>-0.375</v>
      </c>
      <c r="K2390" s="0" t="n">
        <f aca="false">D2390*E2390</f>
        <v>-0</v>
      </c>
      <c r="L2390" s="0" t="n">
        <f aca="false">D2390*F2390</f>
        <v>-0</v>
      </c>
      <c r="M2390" s="0" t="n">
        <f aca="false">E2390*F2390</f>
        <v>0.1875</v>
      </c>
      <c r="N2390" s="0" t="n">
        <f aca="false">D2390*D2390</f>
        <v>0</v>
      </c>
      <c r="O2390" s="0" t="n">
        <f aca="false">E2390*E2390</f>
        <v>0.25</v>
      </c>
      <c r="P2390" s="0" t="n">
        <f aca="false">F2390*F2390</f>
        <v>0.140625</v>
      </c>
      <c r="Q2390" s="0" t="n">
        <f aca="false">SUMPRODUCT(G2390:P2390,_XtX!$B$71:$K$71)</f>
        <v>46.2404119318182</v>
      </c>
      <c r="R2390" s="0" t="n">
        <f aca="false">SUMPRODUCT(MMULT(G2390:P2390,_XtX!$B$58:$K$67),G2390:P2390)</f>
        <v>0.146457741477273</v>
      </c>
      <c r="S2390" s="0" t="n">
        <f aca="false">04_回帰ANOVA!$K$19*04_回帰ANOVA!$K$14*SQRT(1+R2390)</f>
        <v>0.995510079668687</v>
      </c>
      <c r="T2390" s="0" t="n">
        <f aca="false">Q2390-S2390</f>
        <v>45.2449018521495</v>
      </c>
      <c r="U2390" s="0" t="n">
        <f aca="false">Q2390+S2390</f>
        <v>47.2359220114869</v>
      </c>
      <c r="V2390" s="54" t="b">
        <f aca="false">AND(D2390&gt;=01_因子設定!$L$5-0.000000001,D2390&lt;=01_因子設定!$M$5+0.000000001,E2390&gt;=01_因子設定!$L$6-0.000000001,E2390&lt;=01_因子設定!$M$6+0.000000001,F2390&gt;=01_因子設定!$L$7-0.000000001,F2390&lt;=01_因子設定!$M$7+0.000000001,IF(01_因子設定!$B$20="Box-Behnken",D2390^2+E2390^2+F2390^2&lt;=2+0.000000001,TRUE()))</f>
        <v>1</v>
      </c>
      <c r="W2390" s="55" t="n">
        <f aca="false">IF(V2390,IF(01_因子設定!$B$13="最大化",T2390-01_因子設定!$B$14,IF(01_因子設定!$B$13="最小化",01_因子設定!$B$15-U2390,MIN(T2390-01_因子設定!$B$14,01_因子設定!$B$15-U2390))),-1E+030)</f>
        <v>-3.25509814785049</v>
      </c>
      <c r="X2390" s="55" t="n">
        <f aca="false">IF(V2390,IF(01_因子設定!$B$13="最大化",Q2390,IF(01_因子設定!$B$13="最小化",-Q2390,-ABS(Q2390-01_因子設定!$B$16))),-1E+030)</f>
        <v>46.2404119318182</v>
      </c>
      <c r="Y2390" s="55" t="n">
        <f aca="false">W2390+ROW()*0.000000001</f>
        <v>-3.25509575785049</v>
      </c>
      <c r="Z2390" s="55" t="n">
        <f aca="false">X2390+ROW()*0.000000001</f>
        <v>46.2404143218182</v>
      </c>
    </row>
    <row r="2391" customFormat="false" ht="15" hidden="false" customHeight="false" outlineLevel="0" collapsed="false">
      <c r="A2391" s="0" t="n">
        <v>8</v>
      </c>
      <c r="B2391" s="0" t="n">
        <v>4</v>
      </c>
      <c r="C2391" s="0" t="n">
        <v>6</v>
      </c>
      <c r="D2391" s="0" t="n">
        <f aca="false">-1+A2391*0.125</f>
        <v>0</v>
      </c>
      <c r="E2391" s="0" t="n">
        <f aca="false">-1+B2391*0.125</f>
        <v>-0.5</v>
      </c>
      <c r="F2391" s="0" t="n">
        <f aca="false">-1+C2391*0.125</f>
        <v>-0.25</v>
      </c>
      <c r="G2391" s="0" t="n">
        <f aca="false">1</f>
        <v>1</v>
      </c>
      <c r="H2391" s="0" t="n">
        <f aca="false">D2391</f>
        <v>0</v>
      </c>
      <c r="I2391" s="0" t="n">
        <f aca="false">E2391</f>
        <v>-0.5</v>
      </c>
      <c r="J2391" s="0" t="n">
        <f aca="false">F2391</f>
        <v>-0.25</v>
      </c>
      <c r="K2391" s="0" t="n">
        <f aca="false">D2391*E2391</f>
        <v>-0</v>
      </c>
      <c r="L2391" s="0" t="n">
        <f aca="false">D2391*F2391</f>
        <v>-0</v>
      </c>
      <c r="M2391" s="0" t="n">
        <f aca="false">E2391*F2391</f>
        <v>0.125</v>
      </c>
      <c r="N2391" s="0" t="n">
        <f aca="false">D2391*D2391</f>
        <v>0</v>
      </c>
      <c r="O2391" s="0" t="n">
        <f aca="false">E2391*E2391</f>
        <v>0.25</v>
      </c>
      <c r="P2391" s="0" t="n">
        <f aca="false">F2391*F2391</f>
        <v>0.0625</v>
      </c>
      <c r="Q2391" s="0" t="n">
        <f aca="false">SUMPRODUCT(G2391:P2391,_XtX!$B$71:$K$71)</f>
        <v>46.4767613636364</v>
      </c>
      <c r="R2391" s="0" t="n">
        <f aca="false">SUMPRODUCT(MMULT(G2391:P2391,_XtX!$B$58:$K$67),G2391:P2391)</f>
        <v>0.142862215909091</v>
      </c>
      <c r="S2391" s="0" t="n">
        <f aca="false">04_回帰ANOVA!$K$19*04_回帰ANOVA!$K$14*SQRT(1+R2391)</f>
        <v>0.993947792354123</v>
      </c>
      <c r="T2391" s="0" t="n">
        <f aca="false">Q2391-S2391</f>
        <v>45.4828135712823</v>
      </c>
      <c r="U2391" s="0" t="n">
        <f aca="false">Q2391+S2391</f>
        <v>47.4707091559905</v>
      </c>
      <c r="V2391" s="54" t="b">
        <f aca="false">AND(D2391&gt;=01_因子設定!$L$5-0.000000001,D2391&lt;=01_因子設定!$M$5+0.000000001,E2391&gt;=01_因子設定!$L$6-0.000000001,E2391&lt;=01_因子設定!$M$6+0.000000001,F2391&gt;=01_因子設定!$L$7-0.000000001,F2391&lt;=01_因子設定!$M$7+0.000000001,IF(01_因子設定!$B$20="Box-Behnken",D2391^2+E2391^2+F2391^2&lt;=2+0.000000001,TRUE()))</f>
        <v>1</v>
      </c>
      <c r="W2391" s="55" t="n">
        <f aca="false">IF(V2391,IF(01_因子設定!$B$13="最大化",T2391-01_因子設定!$B$14,IF(01_因子設定!$B$13="最小化",01_因子設定!$B$15-U2391,MIN(T2391-01_因子設定!$B$14,01_因子設定!$B$15-U2391))),-1E+030)</f>
        <v>-3.01718642871774</v>
      </c>
      <c r="X2391" s="55" t="n">
        <f aca="false">IF(V2391,IF(01_因子設定!$B$13="最大化",Q2391,IF(01_因子設定!$B$13="最小化",-Q2391,-ABS(Q2391-01_因子設定!$B$16))),-1E+030)</f>
        <v>46.4767613636364</v>
      </c>
      <c r="Y2391" s="55" t="n">
        <f aca="false">W2391+ROW()*0.000000001</f>
        <v>-3.01718403771774</v>
      </c>
      <c r="Z2391" s="55" t="n">
        <f aca="false">X2391+ROW()*0.000000001</f>
        <v>46.4767637546364</v>
      </c>
    </row>
    <row r="2392" customFormat="false" ht="15" hidden="false" customHeight="false" outlineLevel="0" collapsed="false">
      <c r="A2392" s="0" t="n">
        <v>8</v>
      </c>
      <c r="B2392" s="0" t="n">
        <v>4</v>
      </c>
      <c r="C2392" s="0" t="n">
        <v>7</v>
      </c>
      <c r="D2392" s="0" t="n">
        <f aca="false">-1+A2392*0.125</f>
        <v>0</v>
      </c>
      <c r="E2392" s="0" t="n">
        <f aca="false">-1+B2392*0.125</f>
        <v>-0.5</v>
      </c>
      <c r="F2392" s="0" t="n">
        <f aca="false">-1+C2392*0.125</f>
        <v>-0.125</v>
      </c>
      <c r="G2392" s="0" t="n">
        <f aca="false">1</f>
        <v>1</v>
      </c>
      <c r="H2392" s="0" t="n">
        <f aca="false">D2392</f>
        <v>0</v>
      </c>
      <c r="I2392" s="0" t="n">
        <f aca="false">E2392</f>
        <v>-0.5</v>
      </c>
      <c r="J2392" s="0" t="n">
        <f aca="false">F2392</f>
        <v>-0.125</v>
      </c>
      <c r="K2392" s="0" t="n">
        <f aca="false">D2392*E2392</f>
        <v>-0</v>
      </c>
      <c r="L2392" s="0" t="n">
        <f aca="false">D2392*F2392</f>
        <v>-0</v>
      </c>
      <c r="M2392" s="0" t="n">
        <f aca="false">E2392*F2392</f>
        <v>0.0625</v>
      </c>
      <c r="N2392" s="0" t="n">
        <f aca="false">D2392*D2392</f>
        <v>0</v>
      </c>
      <c r="O2392" s="0" t="n">
        <f aca="false">E2392*E2392</f>
        <v>0.25</v>
      </c>
      <c r="P2392" s="0" t="n">
        <f aca="false">F2392*F2392</f>
        <v>0.015625</v>
      </c>
      <c r="Q2392" s="0" t="n">
        <f aca="false">SUMPRODUCT(G2392:P2392,_XtX!$B$71:$K$71)</f>
        <v>46.6763210227273</v>
      </c>
      <c r="R2392" s="0" t="n">
        <f aca="false">SUMPRODUCT(MMULT(G2392:P2392,_XtX!$B$58:$K$67),G2392:P2392)</f>
        <v>0.142835582386364</v>
      </c>
      <c r="S2392" s="0" t="n">
        <f aca="false">04_回帰ANOVA!$K$19*04_回帰ANOVA!$K$14*SQRT(1+R2392)</f>
        <v>0.993936210693193</v>
      </c>
      <c r="T2392" s="0" t="n">
        <f aca="false">Q2392-S2392</f>
        <v>45.6823848120341</v>
      </c>
      <c r="U2392" s="0" t="n">
        <f aca="false">Q2392+S2392</f>
        <v>47.6702572334205</v>
      </c>
      <c r="V2392" s="54" t="b">
        <f aca="false">AND(D2392&gt;=01_因子設定!$L$5-0.000000001,D2392&lt;=01_因子設定!$M$5+0.000000001,E2392&gt;=01_因子設定!$L$6-0.000000001,E2392&lt;=01_因子設定!$M$6+0.000000001,F2392&gt;=01_因子設定!$L$7-0.000000001,F2392&lt;=01_因子設定!$M$7+0.000000001,IF(01_因子設定!$B$20="Box-Behnken",D2392^2+E2392^2+F2392^2&lt;=2+0.000000001,TRUE()))</f>
        <v>1</v>
      </c>
      <c r="W2392" s="55" t="n">
        <f aca="false">IF(V2392,IF(01_因子設定!$B$13="最大化",T2392-01_因子設定!$B$14,IF(01_因子設定!$B$13="最小化",01_因子設定!$B$15-U2392,MIN(T2392-01_因子設定!$B$14,01_因子設定!$B$15-U2392))),-1E+030)</f>
        <v>-2.81761518796591</v>
      </c>
      <c r="X2392" s="55" t="n">
        <f aca="false">IF(V2392,IF(01_因子設定!$B$13="最大化",Q2392,IF(01_因子設定!$B$13="最小化",-Q2392,-ABS(Q2392-01_因子設定!$B$16))),-1E+030)</f>
        <v>46.6763210227273</v>
      </c>
      <c r="Y2392" s="55" t="n">
        <f aca="false">W2392+ROW()*0.000000001</f>
        <v>-2.81761279596591</v>
      </c>
      <c r="Z2392" s="55" t="n">
        <f aca="false">X2392+ROW()*0.000000001</f>
        <v>46.6763234147273</v>
      </c>
    </row>
    <row r="2393" customFormat="false" ht="15" hidden="false" customHeight="false" outlineLevel="0" collapsed="false">
      <c r="A2393" s="0" t="n">
        <v>8</v>
      </c>
      <c r="B2393" s="0" t="n">
        <v>4</v>
      </c>
      <c r="C2393" s="0" t="n">
        <v>8</v>
      </c>
      <c r="D2393" s="0" t="n">
        <f aca="false">-1+A2393*0.125</f>
        <v>0</v>
      </c>
      <c r="E2393" s="0" t="n">
        <f aca="false">-1+B2393*0.125</f>
        <v>-0.5</v>
      </c>
      <c r="F2393" s="0" t="n">
        <f aca="false">-1+C2393*0.125</f>
        <v>0</v>
      </c>
      <c r="G2393" s="0" t="n">
        <f aca="false">1</f>
        <v>1</v>
      </c>
      <c r="H2393" s="0" t="n">
        <f aca="false">D2393</f>
        <v>0</v>
      </c>
      <c r="I2393" s="0" t="n">
        <f aca="false">E2393</f>
        <v>-0.5</v>
      </c>
      <c r="J2393" s="0" t="n">
        <f aca="false">F2393</f>
        <v>0</v>
      </c>
      <c r="K2393" s="0" t="n">
        <f aca="false">D2393*E2393</f>
        <v>-0</v>
      </c>
      <c r="L2393" s="0" t="n">
        <f aca="false">D2393*F2393</f>
        <v>0</v>
      </c>
      <c r="M2393" s="0" t="n">
        <f aca="false">E2393*F2393</f>
        <v>-0</v>
      </c>
      <c r="N2393" s="0" t="n">
        <f aca="false">D2393*D2393</f>
        <v>0</v>
      </c>
      <c r="O2393" s="0" t="n">
        <f aca="false">E2393*E2393</f>
        <v>0.25</v>
      </c>
      <c r="P2393" s="0" t="n">
        <f aca="false">F2393*F2393</f>
        <v>0</v>
      </c>
      <c r="Q2393" s="0" t="n">
        <f aca="false">SUMPRODUCT(G2393:P2393,_XtX!$B$71:$K$71)</f>
        <v>46.8390909090909</v>
      </c>
      <c r="R2393" s="0" t="n">
        <f aca="false">SUMPRODUCT(MMULT(G2393:P2393,_XtX!$B$58:$K$67),G2393:P2393)</f>
        <v>0.143181818181818</v>
      </c>
      <c r="S2393" s="0" t="n">
        <f aca="false">04_回帰ANOVA!$K$19*04_回帰ANOVA!$K$14*SQRT(1+R2393)</f>
        <v>0.994086761760527</v>
      </c>
      <c r="T2393" s="0" t="n">
        <f aca="false">Q2393-S2393</f>
        <v>45.8450041473304</v>
      </c>
      <c r="U2393" s="0" t="n">
        <f aca="false">Q2393+S2393</f>
        <v>47.8331776708515</v>
      </c>
      <c r="V2393" s="54" t="b">
        <f aca="false">AND(D2393&gt;=01_因子設定!$L$5-0.000000001,D2393&lt;=01_因子設定!$M$5+0.000000001,E2393&gt;=01_因子設定!$L$6-0.000000001,E2393&lt;=01_因子設定!$M$6+0.000000001,F2393&gt;=01_因子設定!$L$7-0.000000001,F2393&lt;=01_因子設定!$M$7+0.000000001,IF(01_因子設定!$B$20="Box-Behnken",D2393^2+E2393^2+F2393^2&lt;=2+0.000000001,TRUE()))</f>
        <v>1</v>
      </c>
      <c r="W2393" s="55" t="n">
        <f aca="false">IF(V2393,IF(01_因子設定!$B$13="最大化",T2393-01_因子設定!$B$14,IF(01_因子設定!$B$13="最小化",01_因子設定!$B$15-U2393,MIN(T2393-01_因子設定!$B$14,01_因子設定!$B$15-U2393))),-1E+030)</f>
        <v>-2.65499585266961</v>
      </c>
      <c r="X2393" s="55" t="n">
        <f aca="false">IF(V2393,IF(01_因子設定!$B$13="最大化",Q2393,IF(01_因子設定!$B$13="最小化",-Q2393,-ABS(Q2393-01_因子設定!$B$16))),-1E+030)</f>
        <v>46.8390909090909</v>
      </c>
      <c r="Y2393" s="55" t="n">
        <f aca="false">W2393+ROW()*0.000000001</f>
        <v>-2.65499345966961</v>
      </c>
      <c r="Z2393" s="55" t="n">
        <f aca="false">X2393+ROW()*0.000000001</f>
        <v>46.8390933020909</v>
      </c>
    </row>
    <row r="2394" customFormat="false" ht="15" hidden="false" customHeight="false" outlineLevel="0" collapsed="false">
      <c r="A2394" s="0" t="n">
        <v>8</v>
      </c>
      <c r="B2394" s="0" t="n">
        <v>4</v>
      </c>
      <c r="C2394" s="0" t="n">
        <v>9</v>
      </c>
      <c r="D2394" s="0" t="n">
        <f aca="false">-1+A2394*0.125</f>
        <v>0</v>
      </c>
      <c r="E2394" s="0" t="n">
        <f aca="false">-1+B2394*0.125</f>
        <v>-0.5</v>
      </c>
      <c r="F2394" s="0" t="n">
        <f aca="false">-1+C2394*0.125</f>
        <v>0.125</v>
      </c>
      <c r="G2394" s="0" t="n">
        <f aca="false">1</f>
        <v>1</v>
      </c>
      <c r="H2394" s="0" t="n">
        <f aca="false">D2394</f>
        <v>0</v>
      </c>
      <c r="I2394" s="0" t="n">
        <f aca="false">E2394</f>
        <v>-0.5</v>
      </c>
      <c r="J2394" s="0" t="n">
        <f aca="false">F2394</f>
        <v>0.125</v>
      </c>
      <c r="K2394" s="0" t="n">
        <f aca="false">D2394*E2394</f>
        <v>-0</v>
      </c>
      <c r="L2394" s="0" t="n">
        <f aca="false">D2394*F2394</f>
        <v>0</v>
      </c>
      <c r="M2394" s="0" t="n">
        <f aca="false">E2394*F2394</f>
        <v>-0.0625</v>
      </c>
      <c r="N2394" s="0" t="n">
        <f aca="false">D2394*D2394</f>
        <v>0</v>
      </c>
      <c r="O2394" s="0" t="n">
        <f aca="false">E2394*E2394</f>
        <v>0.25</v>
      </c>
      <c r="P2394" s="0" t="n">
        <f aca="false">F2394*F2394</f>
        <v>0.015625</v>
      </c>
      <c r="Q2394" s="0" t="n">
        <f aca="false">SUMPRODUCT(G2394:P2394,_XtX!$B$71:$K$71)</f>
        <v>46.9650710227273</v>
      </c>
      <c r="R2394" s="0" t="n">
        <f aca="false">SUMPRODUCT(MMULT(G2394:P2394,_XtX!$B$58:$K$67),G2394:P2394)</f>
        <v>0.142835582386364</v>
      </c>
      <c r="S2394" s="0" t="n">
        <f aca="false">04_回帰ANOVA!$K$19*04_回帰ANOVA!$K$14*SQRT(1+R2394)</f>
        <v>0.993936210693193</v>
      </c>
      <c r="T2394" s="0" t="n">
        <f aca="false">Q2394-S2394</f>
        <v>45.9711348120341</v>
      </c>
      <c r="U2394" s="0" t="n">
        <f aca="false">Q2394+S2394</f>
        <v>47.9590072334205</v>
      </c>
      <c r="V2394" s="54" t="b">
        <f aca="false">AND(D2394&gt;=01_因子設定!$L$5-0.000000001,D2394&lt;=01_因子設定!$M$5+0.000000001,E2394&gt;=01_因子設定!$L$6-0.000000001,E2394&lt;=01_因子設定!$M$6+0.000000001,F2394&gt;=01_因子設定!$L$7-0.000000001,F2394&lt;=01_因子設定!$M$7+0.000000001,IF(01_因子設定!$B$20="Box-Behnken",D2394^2+E2394^2+F2394^2&lt;=2+0.000000001,TRUE()))</f>
        <v>1</v>
      </c>
      <c r="W2394" s="55" t="n">
        <f aca="false">IF(V2394,IF(01_因子設定!$B$13="最大化",T2394-01_因子設定!$B$14,IF(01_因子設定!$B$13="最小化",01_因子設定!$B$15-U2394,MIN(T2394-01_因子設定!$B$14,01_因子設定!$B$15-U2394))),-1E+030)</f>
        <v>-2.52886518796591</v>
      </c>
      <c r="X2394" s="55" t="n">
        <f aca="false">IF(V2394,IF(01_因子設定!$B$13="最大化",Q2394,IF(01_因子設定!$B$13="最小化",-Q2394,-ABS(Q2394-01_因子設定!$B$16))),-1E+030)</f>
        <v>46.9650710227273</v>
      </c>
      <c r="Y2394" s="55" t="n">
        <f aca="false">W2394+ROW()*0.000000001</f>
        <v>-2.52886279396591</v>
      </c>
      <c r="Z2394" s="55" t="n">
        <f aca="false">X2394+ROW()*0.000000001</f>
        <v>46.9650734167273</v>
      </c>
    </row>
    <row r="2395" customFormat="false" ht="15" hidden="false" customHeight="false" outlineLevel="0" collapsed="false">
      <c r="A2395" s="0" t="n">
        <v>8</v>
      </c>
      <c r="B2395" s="0" t="n">
        <v>4</v>
      </c>
      <c r="C2395" s="0" t="n">
        <v>10</v>
      </c>
      <c r="D2395" s="0" t="n">
        <f aca="false">-1+A2395*0.125</f>
        <v>0</v>
      </c>
      <c r="E2395" s="0" t="n">
        <f aca="false">-1+B2395*0.125</f>
        <v>-0.5</v>
      </c>
      <c r="F2395" s="0" t="n">
        <f aca="false">-1+C2395*0.125</f>
        <v>0.25</v>
      </c>
      <c r="G2395" s="0" t="n">
        <f aca="false">1</f>
        <v>1</v>
      </c>
      <c r="H2395" s="0" t="n">
        <f aca="false">D2395</f>
        <v>0</v>
      </c>
      <c r="I2395" s="0" t="n">
        <f aca="false">E2395</f>
        <v>-0.5</v>
      </c>
      <c r="J2395" s="0" t="n">
        <f aca="false">F2395</f>
        <v>0.25</v>
      </c>
      <c r="K2395" s="0" t="n">
        <f aca="false">D2395*E2395</f>
        <v>-0</v>
      </c>
      <c r="L2395" s="0" t="n">
        <f aca="false">D2395*F2395</f>
        <v>0</v>
      </c>
      <c r="M2395" s="0" t="n">
        <f aca="false">E2395*F2395</f>
        <v>-0.125</v>
      </c>
      <c r="N2395" s="0" t="n">
        <f aca="false">D2395*D2395</f>
        <v>0</v>
      </c>
      <c r="O2395" s="0" t="n">
        <f aca="false">E2395*E2395</f>
        <v>0.25</v>
      </c>
      <c r="P2395" s="0" t="n">
        <f aca="false">F2395*F2395</f>
        <v>0.0625</v>
      </c>
      <c r="Q2395" s="0" t="n">
        <f aca="false">SUMPRODUCT(G2395:P2395,_XtX!$B$71:$K$71)</f>
        <v>47.0542613636364</v>
      </c>
      <c r="R2395" s="0" t="n">
        <f aca="false">SUMPRODUCT(MMULT(G2395:P2395,_XtX!$B$58:$K$67),G2395:P2395)</f>
        <v>0.142862215909091</v>
      </c>
      <c r="S2395" s="0" t="n">
        <f aca="false">04_回帰ANOVA!$K$19*04_回帰ANOVA!$K$14*SQRT(1+R2395)</f>
        <v>0.993947792354123</v>
      </c>
      <c r="T2395" s="0" t="n">
        <f aca="false">Q2395-S2395</f>
        <v>46.0603135712823</v>
      </c>
      <c r="U2395" s="0" t="n">
        <f aca="false">Q2395+S2395</f>
        <v>48.0482091559905</v>
      </c>
      <c r="V2395" s="54" t="b">
        <f aca="false">AND(D2395&gt;=01_因子設定!$L$5-0.000000001,D2395&lt;=01_因子設定!$M$5+0.000000001,E2395&gt;=01_因子設定!$L$6-0.000000001,E2395&lt;=01_因子設定!$M$6+0.000000001,F2395&gt;=01_因子設定!$L$7-0.000000001,F2395&lt;=01_因子設定!$M$7+0.000000001,IF(01_因子設定!$B$20="Box-Behnken",D2395^2+E2395^2+F2395^2&lt;=2+0.000000001,TRUE()))</f>
        <v>1</v>
      </c>
      <c r="W2395" s="55" t="n">
        <f aca="false">IF(V2395,IF(01_因子設定!$B$13="最大化",T2395-01_因子設定!$B$14,IF(01_因子設定!$B$13="最小化",01_因子設定!$B$15-U2395,MIN(T2395-01_因子設定!$B$14,01_因子設定!$B$15-U2395))),-1E+030)</f>
        <v>-2.43968642871775</v>
      </c>
      <c r="X2395" s="55" t="n">
        <f aca="false">IF(V2395,IF(01_因子設定!$B$13="最大化",Q2395,IF(01_因子設定!$B$13="最小化",-Q2395,-ABS(Q2395-01_因子設定!$B$16))),-1E+030)</f>
        <v>47.0542613636364</v>
      </c>
      <c r="Y2395" s="55" t="n">
        <f aca="false">W2395+ROW()*0.000000001</f>
        <v>-2.43968403371775</v>
      </c>
      <c r="Z2395" s="55" t="n">
        <f aca="false">X2395+ROW()*0.000000001</f>
        <v>47.0542637586364</v>
      </c>
    </row>
    <row r="2396" customFormat="false" ht="15" hidden="false" customHeight="false" outlineLevel="0" collapsed="false">
      <c r="A2396" s="0" t="n">
        <v>8</v>
      </c>
      <c r="B2396" s="0" t="n">
        <v>4</v>
      </c>
      <c r="C2396" s="0" t="n">
        <v>11</v>
      </c>
      <c r="D2396" s="0" t="n">
        <f aca="false">-1+A2396*0.125</f>
        <v>0</v>
      </c>
      <c r="E2396" s="0" t="n">
        <f aca="false">-1+B2396*0.125</f>
        <v>-0.5</v>
      </c>
      <c r="F2396" s="0" t="n">
        <f aca="false">-1+C2396*0.125</f>
        <v>0.375</v>
      </c>
      <c r="G2396" s="0" t="n">
        <f aca="false">1</f>
        <v>1</v>
      </c>
      <c r="H2396" s="0" t="n">
        <f aca="false">D2396</f>
        <v>0</v>
      </c>
      <c r="I2396" s="0" t="n">
        <f aca="false">E2396</f>
        <v>-0.5</v>
      </c>
      <c r="J2396" s="0" t="n">
        <f aca="false">F2396</f>
        <v>0.375</v>
      </c>
      <c r="K2396" s="0" t="n">
        <f aca="false">D2396*E2396</f>
        <v>-0</v>
      </c>
      <c r="L2396" s="0" t="n">
        <f aca="false">D2396*F2396</f>
        <v>0</v>
      </c>
      <c r="M2396" s="0" t="n">
        <f aca="false">E2396*F2396</f>
        <v>-0.1875</v>
      </c>
      <c r="N2396" s="0" t="n">
        <f aca="false">D2396*D2396</f>
        <v>0</v>
      </c>
      <c r="O2396" s="0" t="n">
        <f aca="false">E2396*E2396</f>
        <v>0.25</v>
      </c>
      <c r="P2396" s="0" t="n">
        <f aca="false">F2396*F2396</f>
        <v>0.140625</v>
      </c>
      <c r="Q2396" s="0" t="n">
        <f aca="false">SUMPRODUCT(G2396:P2396,_XtX!$B$71:$K$71)</f>
        <v>47.1066619318182</v>
      </c>
      <c r="R2396" s="0" t="n">
        <f aca="false">SUMPRODUCT(MMULT(G2396:P2396,_XtX!$B$58:$K$67),G2396:P2396)</f>
        <v>0.146457741477273</v>
      </c>
      <c r="S2396" s="0" t="n">
        <f aca="false">04_回帰ANOVA!$K$19*04_回帰ANOVA!$K$14*SQRT(1+R2396)</f>
        <v>0.995510079668687</v>
      </c>
      <c r="T2396" s="0" t="n">
        <f aca="false">Q2396-S2396</f>
        <v>46.1111518521495</v>
      </c>
      <c r="U2396" s="0" t="n">
        <f aca="false">Q2396+S2396</f>
        <v>48.1021720114869</v>
      </c>
      <c r="V2396" s="54" t="b">
        <f aca="false">AND(D2396&gt;=01_因子設定!$L$5-0.000000001,D2396&lt;=01_因子設定!$M$5+0.000000001,E2396&gt;=01_因子設定!$L$6-0.000000001,E2396&lt;=01_因子設定!$M$6+0.000000001,F2396&gt;=01_因子設定!$L$7-0.000000001,F2396&lt;=01_因子設定!$M$7+0.000000001,IF(01_因子設定!$B$20="Box-Behnken",D2396^2+E2396^2+F2396^2&lt;=2+0.000000001,TRUE()))</f>
        <v>1</v>
      </c>
      <c r="W2396" s="55" t="n">
        <f aca="false">IF(V2396,IF(01_因子設定!$B$13="最大化",T2396-01_因子設定!$B$14,IF(01_因子設定!$B$13="最小化",01_因子設定!$B$15-U2396,MIN(T2396-01_因子設定!$B$14,01_因子設定!$B$15-U2396))),-1E+030)</f>
        <v>-2.38884814785049</v>
      </c>
      <c r="X2396" s="55" t="n">
        <f aca="false">IF(V2396,IF(01_因子設定!$B$13="最大化",Q2396,IF(01_因子設定!$B$13="最小化",-Q2396,-ABS(Q2396-01_因子設定!$B$16))),-1E+030)</f>
        <v>47.1066619318182</v>
      </c>
      <c r="Y2396" s="55" t="n">
        <f aca="false">W2396+ROW()*0.000000001</f>
        <v>-2.38884575185049</v>
      </c>
      <c r="Z2396" s="55" t="n">
        <f aca="false">X2396+ROW()*0.000000001</f>
        <v>47.1066643278182</v>
      </c>
    </row>
    <row r="2397" customFormat="false" ht="15" hidden="false" customHeight="false" outlineLevel="0" collapsed="false">
      <c r="A2397" s="0" t="n">
        <v>8</v>
      </c>
      <c r="B2397" s="0" t="n">
        <v>4</v>
      </c>
      <c r="C2397" s="0" t="n">
        <v>12</v>
      </c>
      <c r="D2397" s="0" t="n">
        <f aca="false">-1+A2397*0.125</f>
        <v>0</v>
      </c>
      <c r="E2397" s="0" t="n">
        <f aca="false">-1+B2397*0.125</f>
        <v>-0.5</v>
      </c>
      <c r="F2397" s="0" t="n">
        <f aca="false">-1+C2397*0.125</f>
        <v>0.5</v>
      </c>
      <c r="G2397" s="0" t="n">
        <f aca="false">1</f>
        <v>1</v>
      </c>
      <c r="H2397" s="0" t="n">
        <f aca="false">D2397</f>
        <v>0</v>
      </c>
      <c r="I2397" s="0" t="n">
        <f aca="false">E2397</f>
        <v>-0.5</v>
      </c>
      <c r="J2397" s="0" t="n">
        <f aca="false">F2397</f>
        <v>0.5</v>
      </c>
      <c r="K2397" s="0" t="n">
        <f aca="false">D2397*E2397</f>
        <v>-0</v>
      </c>
      <c r="L2397" s="0" t="n">
        <f aca="false">D2397*F2397</f>
        <v>0</v>
      </c>
      <c r="M2397" s="0" t="n">
        <f aca="false">E2397*F2397</f>
        <v>-0.25</v>
      </c>
      <c r="N2397" s="0" t="n">
        <f aca="false">D2397*D2397</f>
        <v>0</v>
      </c>
      <c r="O2397" s="0" t="n">
        <f aca="false">E2397*E2397</f>
        <v>0.25</v>
      </c>
      <c r="P2397" s="0" t="n">
        <f aca="false">F2397*F2397</f>
        <v>0.25</v>
      </c>
      <c r="Q2397" s="0" t="n">
        <f aca="false">SUMPRODUCT(G2397:P2397,_XtX!$B$71:$K$71)</f>
        <v>47.1222727272727</v>
      </c>
      <c r="R2397" s="0" t="n">
        <f aca="false">SUMPRODUCT(MMULT(G2397:P2397,_XtX!$B$58:$K$67),G2397:P2397)</f>
        <v>0.158948863636364</v>
      </c>
      <c r="S2397" s="0" t="n">
        <f aca="false">04_回帰ANOVA!$K$19*04_回帰ANOVA!$K$14*SQRT(1+R2397)</f>
        <v>1.00091863056612</v>
      </c>
      <c r="T2397" s="0" t="n">
        <f aca="false">Q2397-S2397</f>
        <v>46.1213540967066</v>
      </c>
      <c r="U2397" s="0" t="n">
        <f aca="false">Q2397+S2397</f>
        <v>48.1231913578389</v>
      </c>
      <c r="V2397" s="54" t="b">
        <f aca="false">AND(D2397&gt;=01_因子設定!$L$5-0.000000001,D2397&lt;=01_因子設定!$M$5+0.000000001,E2397&gt;=01_因子設定!$L$6-0.000000001,E2397&lt;=01_因子設定!$M$6+0.000000001,F2397&gt;=01_因子設定!$L$7-0.000000001,F2397&lt;=01_因子設定!$M$7+0.000000001,IF(01_因子設定!$B$20="Box-Behnken",D2397^2+E2397^2+F2397^2&lt;=2+0.000000001,TRUE()))</f>
        <v>1</v>
      </c>
      <c r="W2397" s="55" t="n">
        <f aca="false">IF(V2397,IF(01_因子設定!$B$13="最大化",T2397-01_因子設定!$B$14,IF(01_因子設定!$B$13="最小化",01_因子設定!$B$15-U2397,MIN(T2397-01_因子設定!$B$14,01_因子設定!$B$15-U2397))),-1E+030)</f>
        <v>-2.37864590329338</v>
      </c>
      <c r="X2397" s="55" t="n">
        <f aca="false">IF(V2397,IF(01_因子設定!$B$13="最大化",Q2397,IF(01_因子設定!$B$13="最小化",-Q2397,-ABS(Q2397-01_因子設定!$B$16))),-1E+030)</f>
        <v>47.1222727272727</v>
      </c>
      <c r="Y2397" s="55" t="n">
        <f aca="false">W2397+ROW()*0.000000001</f>
        <v>-2.37864350629338</v>
      </c>
      <c r="Z2397" s="55" t="n">
        <f aca="false">X2397+ROW()*0.000000001</f>
        <v>47.1222751242728</v>
      </c>
    </row>
    <row r="2398" customFormat="false" ht="15" hidden="false" customHeight="false" outlineLevel="0" collapsed="false">
      <c r="A2398" s="0" t="n">
        <v>8</v>
      </c>
      <c r="B2398" s="0" t="n">
        <v>4</v>
      </c>
      <c r="C2398" s="0" t="n">
        <v>13</v>
      </c>
      <c r="D2398" s="0" t="n">
        <f aca="false">-1+A2398*0.125</f>
        <v>0</v>
      </c>
      <c r="E2398" s="0" t="n">
        <f aca="false">-1+B2398*0.125</f>
        <v>-0.5</v>
      </c>
      <c r="F2398" s="0" t="n">
        <f aca="false">-1+C2398*0.125</f>
        <v>0.625</v>
      </c>
      <c r="G2398" s="0" t="n">
        <f aca="false">1</f>
        <v>1</v>
      </c>
      <c r="H2398" s="0" t="n">
        <f aca="false">D2398</f>
        <v>0</v>
      </c>
      <c r="I2398" s="0" t="n">
        <f aca="false">E2398</f>
        <v>-0.5</v>
      </c>
      <c r="J2398" s="0" t="n">
        <f aca="false">F2398</f>
        <v>0.625</v>
      </c>
      <c r="K2398" s="0" t="n">
        <f aca="false">D2398*E2398</f>
        <v>-0</v>
      </c>
      <c r="L2398" s="0" t="n">
        <f aca="false">D2398*F2398</f>
        <v>0</v>
      </c>
      <c r="M2398" s="0" t="n">
        <f aca="false">E2398*F2398</f>
        <v>-0.3125</v>
      </c>
      <c r="N2398" s="0" t="n">
        <f aca="false">D2398*D2398</f>
        <v>0</v>
      </c>
      <c r="O2398" s="0" t="n">
        <f aca="false">E2398*E2398</f>
        <v>0.25</v>
      </c>
      <c r="P2398" s="0" t="n">
        <f aca="false">F2398*F2398</f>
        <v>0.390625</v>
      </c>
      <c r="Q2398" s="0" t="n">
        <f aca="false">SUMPRODUCT(G2398:P2398,_XtX!$B$71:$K$71)</f>
        <v>47.10109375</v>
      </c>
      <c r="R2398" s="0" t="n">
        <f aca="false">SUMPRODUCT(MMULT(G2398:P2398,_XtX!$B$58:$K$67),G2398:P2398)</f>
        <v>0.18779296875</v>
      </c>
      <c r="S2398" s="0" t="n">
        <f aca="false">04_回帰ANOVA!$K$19*04_回帰ANOVA!$K$14*SQRT(1+R2398)</f>
        <v>1.01329759319777</v>
      </c>
      <c r="T2398" s="0" t="n">
        <f aca="false">Q2398-S2398</f>
        <v>46.0877961568023</v>
      </c>
      <c r="U2398" s="0" t="n">
        <f aca="false">Q2398+S2398</f>
        <v>48.1143913431978</v>
      </c>
      <c r="V2398" s="54" t="b">
        <f aca="false">AND(D2398&gt;=01_因子設定!$L$5-0.000000001,D2398&lt;=01_因子設定!$M$5+0.000000001,E2398&gt;=01_因子設定!$L$6-0.000000001,E2398&lt;=01_因子設定!$M$6+0.000000001,F2398&gt;=01_因子設定!$L$7-0.000000001,F2398&lt;=01_因子設定!$M$7+0.000000001,IF(01_因子設定!$B$20="Box-Behnken",D2398^2+E2398^2+F2398^2&lt;=2+0.000000001,TRUE()))</f>
        <v>1</v>
      </c>
      <c r="W2398" s="55" t="n">
        <f aca="false">IF(V2398,IF(01_因子設定!$B$13="最大化",T2398-01_因子設定!$B$14,IF(01_因子設定!$B$13="最小化",01_因子設定!$B$15-U2398,MIN(T2398-01_因子設定!$B$14,01_因子設定!$B$15-U2398))),-1E+030)</f>
        <v>-2.41220384319775</v>
      </c>
      <c r="X2398" s="55" t="n">
        <f aca="false">IF(V2398,IF(01_因子設定!$B$13="最大化",Q2398,IF(01_因子設定!$B$13="最小化",-Q2398,-ABS(Q2398-01_因子設定!$B$16))),-1E+030)</f>
        <v>47.10109375</v>
      </c>
      <c r="Y2398" s="55" t="n">
        <f aca="false">W2398+ROW()*0.000000001</f>
        <v>-2.41220144519775</v>
      </c>
      <c r="Z2398" s="55" t="n">
        <f aca="false">X2398+ROW()*0.000000001</f>
        <v>47.101096148</v>
      </c>
    </row>
    <row r="2399" customFormat="false" ht="15" hidden="false" customHeight="false" outlineLevel="0" collapsed="false">
      <c r="A2399" s="0" t="n">
        <v>8</v>
      </c>
      <c r="B2399" s="0" t="n">
        <v>4</v>
      </c>
      <c r="C2399" s="0" t="n">
        <v>14</v>
      </c>
      <c r="D2399" s="0" t="n">
        <f aca="false">-1+A2399*0.125</f>
        <v>0</v>
      </c>
      <c r="E2399" s="0" t="n">
        <f aca="false">-1+B2399*0.125</f>
        <v>-0.5</v>
      </c>
      <c r="F2399" s="0" t="n">
        <f aca="false">-1+C2399*0.125</f>
        <v>0.75</v>
      </c>
      <c r="G2399" s="0" t="n">
        <f aca="false">1</f>
        <v>1</v>
      </c>
      <c r="H2399" s="0" t="n">
        <f aca="false">D2399</f>
        <v>0</v>
      </c>
      <c r="I2399" s="0" t="n">
        <f aca="false">E2399</f>
        <v>-0.5</v>
      </c>
      <c r="J2399" s="0" t="n">
        <f aca="false">F2399</f>
        <v>0.75</v>
      </c>
      <c r="K2399" s="0" t="n">
        <f aca="false">D2399*E2399</f>
        <v>-0</v>
      </c>
      <c r="L2399" s="0" t="n">
        <f aca="false">D2399*F2399</f>
        <v>0</v>
      </c>
      <c r="M2399" s="0" t="n">
        <f aca="false">E2399*F2399</f>
        <v>-0.375</v>
      </c>
      <c r="N2399" s="0" t="n">
        <f aca="false">D2399*D2399</f>
        <v>0</v>
      </c>
      <c r="O2399" s="0" t="n">
        <f aca="false">E2399*E2399</f>
        <v>0.25</v>
      </c>
      <c r="P2399" s="0" t="n">
        <f aca="false">F2399*F2399</f>
        <v>0.5625</v>
      </c>
      <c r="Q2399" s="0" t="n">
        <f aca="false">SUMPRODUCT(G2399:P2399,_XtX!$B$71:$K$71)</f>
        <v>47.043125</v>
      </c>
      <c r="R2399" s="0" t="n">
        <f aca="false">SUMPRODUCT(MMULT(G2399:P2399,_XtX!$B$58:$K$67),G2399:P2399)</f>
        <v>0.242578125</v>
      </c>
      <c r="S2399" s="0" t="n">
        <f aca="false">04_回帰ANOVA!$K$19*04_回帰ANOVA!$K$14*SQRT(1+R2399)</f>
        <v>1.03640258600455</v>
      </c>
      <c r="T2399" s="0" t="n">
        <f aca="false">Q2399-S2399</f>
        <v>46.0067224139955</v>
      </c>
      <c r="U2399" s="0" t="n">
        <f aca="false">Q2399+S2399</f>
        <v>48.0795275860046</v>
      </c>
      <c r="V2399" s="54" t="b">
        <f aca="false">AND(D2399&gt;=01_因子設定!$L$5-0.000000001,D2399&lt;=01_因子設定!$M$5+0.000000001,E2399&gt;=01_因子設定!$L$6-0.000000001,E2399&lt;=01_因子設定!$M$6+0.000000001,F2399&gt;=01_因子設定!$L$7-0.000000001,F2399&lt;=01_因子設定!$M$7+0.000000001,IF(01_因子設定!$B$20="Box-Behnken",D2399^2+E2399^2+F2399^2&lt;=2+0.000000001,TRUE()))</f>
        <v>1</v>
      </c>
      <c r="W2399" s="55" t="n">
        <f aca="false">IF(V2399,IF(01_因子設定!$B$13="最大化",T2399-01_因子設定!$B$14,IF(01_因子設定!$B$13="最小化",01_因子設定!$B$15-U2399,MIN(T2399-01_因子設定!$B$14,01_因子設定!$B$15-U2399))),-1E+030)</f>
        <v>-2.49327758600453</v>
      </c>
      <c r="X2399" s="55" t="n">
        <f aca="false">IF(V2399,IF(01_因子設定!$B$13="最大化",Q2399,IF(01_因子設定!$B$13="最小化",-Q2399,-ABS(Q2399-01_因子設定!$B$16))),-1E+030)</f>
        <v>47.043125</v>
      </c>
      <c r="Y2399" s="55" t="n">
        <f aca="false">W2399+ROW()*0.000000001</f>
        <v>-2.49327518700453</v>
      </c>
      <c r="Z2399" s="55" t="n">
        <f aca="false">X2399+ROW()*0.000000001</f>
        <v>47.043127399</v>
      </c>
    </row>
    <row r="2400" customFormat="false" ht="15" hidden="false" customHeight="false" outlineLevel="0" collapsed="false">
      <c r="A2400" s="0" t="n">
        <v>8</v>
      </c>
      <c r="B2400" s="0" t="n">
        <v>4</v>
      </c>
      <c r="C2400" s="0" t="n">
        <v>15</v>
      </c>
      <c r="D2400" s="0" t="n">
        <f aca="false">-1+A2400*0.125</f>
        <v>0</v>
      </c>
      <c r="E2400" s="0" t="n">
        <f aca="false">-1+B2400*0.125</f>
        <v>-0.5</v>
      </c>
      <c r="F2400" s="0" t="n">
        <f aca="false">-1+C2400*0.125</f>
        <v>0.875</v>
      </c>
      <c r="G2400" s="0" t="n">
        <f aca="false">1</f>
        <v>1</v>
      </c>
      <c r="H2400" s="0" t="n">
        <f aca="false">D2400</f>
        <v>0</v>
      </c>
      <c r="I2400" s="0" t="n">
        <f aca="false">E2400</f>
        <v>-0.5</v>
      </c>
      <c r="J2400" s="0" t="n">
        <f aca="false">F2400</f>
        <v>0.875</v>
      </c>
      <c r="K2400" s="0" t="n">
        <f aca="false">D2400*E2400</f>
        <v>-0</v>
      </c>
      <c r="L2400" s="0" t="n">
        <f aca="false">D2400*F2400</f>
        <v>0</v>
      </c>
      <c r="M2400" s="0" t="n">
        <f aca="false">E2400*F2400</f>
        <v>-0.4375</v>
      </c>
      <c r="N2400" s="0" t="n">
        <f aca="false">D2400*D2400</f>
        <v>0</v>
      </c>
      <c r="O2400" s="0" t="n">
        <f aca="false">E2400*E2400</f>
        <v>0.25</v>
      </c>
      <c r="P2400" s="0" t="n">
        <f aca="false">F2400*F2400</f>
        <v>0.765625</v>
      </c>
      <c r="Q2400" s="0" t="n">
        <f aca="false">SUMPRODUCT(G2400:P2400,_XtX!$B$71:$K$71)</f>
        <v>46.9483664772728</v>
      </c>
      <c r="R2400" s="0" t="n">
        <f aca="false">SUMPRODUCT(MMULT(G2400:P2400,_XtX!$B$58:$K$67),G2400:P2400)</f>
        <v>0.335023082386364</v>
      </c>
      <c r="S2400" s="0" t="n">
        <f aca="false">04_回帰ANOVA!$K$19*04_回帰ANOVA!$K$14*SQRT(1+R2400)</f>
        <v>1.07426400295275</v>
      </c>
      <c r="T2400" s="0" t="n">
        <f aca="false">Q2400-S2400</f>
        <v>45.87410247432</v>
      </c>
      <c r="U2400" s="0" t="n">
        <f aca="false">Q2400+S2400</f>
        <v>48.0226304802255</v>
      </c>
      <c r="V2400" s="54" t="b">
        <f aca="false">AND(D2400&gt;=01_因子設定!$L$5-0.000000001,D2400&lt;=01_因子設定!$M$5+0.000000001,E2400&gt;=01_因子設定!$L$6-0.000000001,E2400&lt;=01_因子設定!$M$6+0.000000001,F2400&gt;=01_因子設定!$L$7-0.000000001,F2400&lt;=01_因子設定!$M$7+0.000000001,IF(01_因子設定!$B$20="Box-Behnken",D2400^2+E2400^2+F2400^2&lt;=2+0.000000001,TRUE()))</f>
        <v>1</v>
      </c>
      <c r="W2400" s="55" t="n">
        <f aca="false">IF(V2400,IF(01_因子設定!$B$13="最大化",T2400-01_因子設定!$B$14,IF(01_因子設定!$B$13="最小化",01_因子設定!$B$15-U2400,MIN(T2400-01_因子設定!$B$14,01_因子設定!$B$15-U2400))),-1E+030)</f>
        <v>-2.62589752568</v>
      </c>
      <c r="X2400" s="55" t="n">
        <f aca="false">IF(V2400,IF(01_因子設定!$B$13="最大化",Q2400,IF(01_因子設定!$B$13="最小化",-Q2400,-ABS(Q2400-01_因子設定!$B$16))),-1E+030)</f>
        <v>46.9483664772728</v>
      </c>
      <c r="Y2400" s="55" t="n">
        <f aca="false">W2400+ROW()*0.000000001</f>
        <v>-2.62589512568</v>
      </c>
      <c r="Z2400" s="55" t="n">
        <f aca="false">X2400+ROW()*0.000000001</f>
        <v>46.9483688772728</v>
      </c>
    </row>
    <row r="2401" customFormat="false" ht="15" hidden="false" customHeight="false" outlineLevel="0" collapsed="false">
      <c r="A2401" s="0" t="n">
        <v>8</v>
      </c>
      <c r="B2401" s="0" t="n">
        <v>4</v>
      </c>
      <c r="C2401" s="0" t="n">
        <v>16</v>
      </c>
      <c r="D2401" s="0" t="n">
        <f aca="false">-1+A2401*0.125</f>
        <v>0</v>
      </c>
      <c r="E2401" s="0" t="n">
        <f aca="false">-1+B2401*0.125</f>
        <v>-0.5</v>
      </c>
      <c r="F2401" s="0" t="n">
        <f aca="false">-1+C2401*0.125</f>
        <v>1</v>
      </c>
      <c r="G2401" s="0" t="n">
        <f aca="false">1</f>
        <v>1</v>
      </c>
      <c r="H2401" s="0" t="n">
        <f aca="false">D2401</f>
        <v>0</v>
      </c>
      <c r="I2401" s="0" t="n">
        <f aca="false">E2401</f>
        <v>-0.5</v>
      </c>
      <c r="J2401" s="0" t="n">
        <f aca="false">F2401</f>
        <v>1</v>
      </c>
      <c r="K2401" s="0" t="n">
        <f aca="false">D2401*E2401</f>
        <v>-0</v>
      </c>
      <c r="L2401" s="0" t="n">
        <f aca="false">D2401*F2401</f>
        <v>0</v>
      </c>
      <c r="M2401" s="0" t="n">
        <f aca="false">E2401*F2401</f>
        <v>-0.5</v>
      </c>
      <c r="N2401" s="0" t="n">
        <f aca="false">D2401*D2401</f>
        <v>0</v>
      </c>
      <c r="O2401" s="0" t="n">
        <f aca="false">E2401*E2401</f>
        <v>0.25</v>
      </c>
      <c r="P2401" s="0" t="n">
        <f aca="false">F2401*F2401</f>
        <v>1</v>
      </c>
      <c r="Q2401" s="0" t="n">
        <f aca="false">SUMPRODUCT(G2401:P2401,_XtX!$B$71:$K$71)</f>
        <v>46.8168181818182</v>
      </c>
      <c r="R2401" s="0" t="n">
        <f aca="false">SUMPRODUCT(MMULT(G2401:P2401,_XtX!$B$58:$K$67),G2401:P2401)</f>
        <v>0.478977272727273</v>
      </c>
      <c r="S2401" s="0" t="n">
        <f aca="false">04_回帰ANOVA!$K$19*04_回帰ANOVA!$K$14*SQRT(1+R2401)</f>
        <v>1.13069998447216</v>
      </c>
      <c r="T2401" s="0" t="n">
        <f aca="false">Q2401-S2401</f>
        <v>45.6861181973461</v>
      </c>
      <c r="U2401" s="0" t="n">
        <f aca="false">Q2401+S2401</f>
        <v>47.9475181662904</v>
      </c>
      <c r="V2401" s="54" t="b">
        <f aca="false">AND(D2401&gt;=01_因子設定!$L$5-0.000000001,D2401&lt;=01_因子設定!$M$5+0.000000001,E2401&gt;=01_因子設定!$L$6-0.000000001,E2401&lt;=01_因子設定!$M$6+0.000000001,F2401&gt;=01_因子設定!$L$7-0.000000001,F2401&lt;=01_因子設定!$M$7+0.000000001,IF(01_因子設定!$B$20="Box-Behnken",D2401^2+E2401^2+F2401^2&lt;=2+0.000000001,TRUE()))</f>
        <v>1</v>
      </c>
      <c r="W2401" s="55" t="n">
        <f aca="false">IF(V2401,IF(01_因子設定!$B$13="最大化",T2401-01_因子設定!$B$14,IF(01_因子設定!$B$13="最小化",01_因子設定!$B$15-U2401,MIN(T2401-01_因子設定!$B$14,01_因子設定!$B$15-U2401))),-1E+030)</f>
        <v>-2.81388180265395</v>
      </c>
      <c r="X2401" s="55" t="n">
        <f aca="false">IF(V2401,IF(01_因子設定!$B$13="最大化",Q2401,IF(01_因子設定!$B$13="最小化",-Q2401,-ABS(Q2401-01_因子設定!$B$16))),-1E+030)</f>
        <v>46.8168181818182</v>
      </c>
      <c r="Y2401" s="55" t="n">
        <f aca="false">W2401+ROW()*0.000000001</f>
        <v>-2.81387940165395</v>
      </c>
      <c r="Z2401" s="55" t="n">
        <f aca="false">X2401+ROW()*0.000000001</f>
        <v>46.8168205828182</v>
      </c>
    </row>
    <row r="2402" customFormat="false" ht="15" hidden="false" customHeight="false" outlineLevel="0" collapsed="false">
      <c r="A2402" s="0" t="n">
        <v>8</v>
      </c>
      <c r="B2402" s="0" t="n">
        <v>5</v>
      </c>
      <c r="C2402" s="0" t="n">
        <v>0</v>
      </c>
      <c r="D2402" s="0" t="n">
        <f aca="false">-1+A2402*0.125</f>
        <v>0</v>
      </c>
      <c r="E2402" s="0" t="n">
        <f aca="false">-1+B2402*0.125</f>
        <v>-0.375</v>
      </c>
      <c r="F2402" s="0" t="n">
        <f aca="false">-1+C2402*0.125</f>
        <v>-1</v>
      </c>
      <c r="G2402" s="0" t="n">
        <f aca="false">1</f>
        <v>1</v>
      </c>
      <c r="H2402" s="0" t="n">
        <f aca="false">D2402</f>
        <v>0</v>
      </c>
      <c r="I2402" s="0" t="n">
        <f aca="false">E2402</f>
        <v>-0.375</v>
      </c>
      <c r="J2402" s="0" t="n">
        <f aca="false">F2402</f>
        <v>-1</v>
      </c>
      <c r="K2402" s="0" t="n">
        <f aca="false">D2402*E2402</f>
        <v>-0</v>
      </c>
      <c r="L2402" s="0" t="n">
        <f aca="false">D2402*F2402</f>
        <v>-0</v>
      </c>
      <c r="M2402" s="0" t="n">
        <f aca="false">E2402*F2402</f>
        <v>0.375</v>
      </c>
      <c r="N2402" s="0" t="n">
        <f aca="false">D2402*D2402</f>
        <v>0</v>
      </c>
      <c r="O2402" s="0" t="n">
        <f aca="false">E2402*E2402</f>
        <v>0.140625</v>
      </c>
      <c r="P2402" s="0" t="n">
        <f aca="false">F2402*F2402</f>
        <v>1</v>
      </c>
      <c r="Q2402" s="0" t="n">
        <f aca="false">SUMPRODUCT(G2402:P2402,_XtX!$B$71:$K$71)</f>
        <v>44.9310511363637</v>
      </c>
      <c r="R2402" s="0" t="n">
        <f aca="false">SUMPRODUCT(MMULT(G2402:P2402,_XtX!$B$58:$K$67),G2402:P2402)</f>
        <v>0.478604403409091</v>
      </c>
      <c r="S2402" s="0" t="n">
        <f aca="false">04_回帰ANOVA!$K$19*04_回帰ANOVA!$K$14*SQRT(1+R2402)</f>
        <v>1.13055744343508</v>
      </c>
      <c r="T2402" s="0" t="n">
        <f aca="false">Q2402-S2402</f>
        <v>43.8004936929286</v>
      </c>
      <c r="U2402" s="0" t="n">
        <f aca="false">Q2402+S2402</f>
        <v>46.0616085797987</v>
      </c>
      <c r="V2402" s="54" t="b">
        <f aca="false">AND(D2402&gt;=01_因子設定!$L$5-0.000000001,D2402&lt;=01_因子設定!$M$5+0.000000001,E2402&gt;=01_因子設定!$L$6-0.000000001,E2402&lt;=01_因子設定!$M$6+0.000000001,F2402&gt;=01_因子設定!$L$7-0.000000001,F2402&lt;=01_因子設定!$M$7+0.000000001,IF(01_因子設定!$B$20="Box-Behnken",D2402^2+E2402^2+F2402^2&lt;=2+0.000000001,TRUE()))</f>
        <v>1</v>
      </c>
      <c r="W2402" s="55" t="n">
        <f aca="false">IF(V2402,IF(01_因子設定!$B$13="最大化",T2402-01_因子設定!$B$14,IF(01_因子設定!$B$13="最小化",01_因子設定!$B$15-U2402,MIN(T2402-01_因子設定!$B$14,01_因子設定!$B$15-U2402))),-1E+030)</f>
        <v>-4.69950630707142</v>
      </c>
      <c r="X2402" s="55" t="n">
        <f aca="false">IF(V2402,IF(01_因子設定!$B$13="最大化",Q2402,IF(01_因子設定!$B$13="最小化",-Q2402,-ABS(Q2402-01_因子設定!$B$16))),-1E+030)</f>
        <v>44.9310511363637</v>
      </c>
      <c r="Y2402" s="55" t="n">
        <f aca="false">W2402+ROW()*0.000000001</f>
        <v>-4.69950390507142</v>
      </c>
      <c r="Z2402" s="55" t="n">
        <f aca="false">X2402+ROW()*0.000000001</f>
        <v>44.9310535383637</v>
      </c>
    </row>
    <row r="2403" customFormat="false" ht="15" hidden="false" customHeight="false" outlineLevel="0" collapsed="false">
      <c r="A2403" s="0" t="n">
        <v>8</v>
      </c>
      <c r="B2403" s="0" t="n">
        <v>5</v>
      </c>
      <c r="C2403" s="0" t="n">
        <v>1</v>
      </c>
      <c r="D2403" s="0" t="n">
        <f aca="false">-1+A2403*0.125</f>
        <v>0</v>
      </c>
      <c r="E2403" s="0" t="n">
        <f aca="false">-1+B2403*0.125</f>
        <v>-0.375</v>
      </c>
      <c r="F2403" s="0" t="n">
        <f aca="false">-1+C2403*0.125</f>
        <v>-0.875</v>
      </c>
      <c r="G2403" s="0" t="n">
        <f aca="false">1</f>
        <v>1</v>
      </c>
      <c r="H2403" s="0" t="n">
        <f aca="false">D2403</f>
        <v>0</v>
      </c>
      <c r="I2403" s="0" t="n">
        <f aca="false">E2403</f>
        <v>-0.375</v>
      </c>
      <c r="J2403" s="0" t="n">
        <f aca="false">F2403</f>
        <v>-0.875</v>
      </c>
      <c r="K2403" s="0" t="n">
        <f aca="false">D2403*E2403</f>
        <v>-0</v>
      </c>
      <c r="L2403" s="0" t="n">
        <f aca="false">D2403*F2403</f>
        <v>-0</v>
      </c>
      <c r="M2403" s="0" t="n">
        <f aca="false">E2403*F2403</f>
        <v>0.328125</v>
      </c>
      <c r="N2403" s="0" t="n">
        <f aca="false">D2403*D2403</f>
        <v>0</v>
      </c>
      <c r="O2403" s="0" t="n">
        <f aca="false">E2403*E2403</f>
        <v>0.140625</v>
      </c>
      <c r="P2403" s="0" t="n">
        <f aca="false">F2403*F2403</f>
        <v>0.765625</v>
      </c>
      <c r="Q2403" s="0" t="n">
        <f aca="false">SUMPRODUCT(G2403:P2403,_XtX!$B$71:$K$71)</f>
        <v>45.3583806818182</v>
      </c>
      <c r="R2403" s="0" t="n">
        <f aca="false">SUMPRODUCT(MMULT(G2403:P2403,_XtX!$B$58:$K$67),G2403:P2403)</f>
        <v>0.330863259055398</v>
      </c>
      <c r="S2403" s="0" t="n">
        <f aca="false">04_回帰ANOVA!$K$19*04_回帰ANOVA!$K$14*SQRT(1+R2403)</f>
        <v>1.07258903754571</v>
      </c>
      <c r="T2403" s="0" t="n">
        <f aca="false">Q2403-S2403</f>
        <v>44.2857916442725</v>
      </c>
      <c r="U2403" s="0" t="n">
        <f aca="false">Q2403+S2403</f>
        <v>46.4309697193639</v>
      </c>
      <c r="V2403" s="54" t="b">
        <f aca="false">AND(D2403&gt;=01_因子設定!$L$5-0.000000001,D2403&lt;=01_因子設定!$M$5+0.000000001,E2403&gt;=01_因子設定!$L$6-0.000000001,E2403&lt;=01_因子設定!$M$6+0.000000001,F2403&gt;=01_因子設定!$L$7-0.000000001,F2403&lt;=01_因子設定!$M$7+0.000000001,IF(01_因子設定!$B$20="Box-Behnken",D2403^2+E2403^2+F2403^2&lt;=2+0.000000001,TRUE()))</f>
        <v>1</v>
      </c>
      <c r="W2403" s="55" t="n">
        <f aca="false">IF(V2403,IF(01_因子設定!$B$13="最大化",T2403-01_因子設定!$B$14,IF(01_因子設定!$B$13="最小化",01_因子設定!$B$15-U2403,MIN(T2403-01_因子設定!$B$14,01_因子設定!$B$15-U2403))),-1E+030)</f>
        <v>-4.2142083557275</v>
      </c>
      <c r="X2403" s="55" t="n">
        <f aca="false">IF(V2403,IF(01_因子設定!$B$13="最大化",Q2403,IF(01_因子設定!$B$13="最小化",-Q2403,-ABS(Q2403-01_因子設定!$B$16))),-1E+030)</f>
        <v>45.3583806818182</v>
      </c>
      <c r="Y2403" s="55" t="n">
        <f aca="false">W2403+ROW()*0.000000001</f>
        <v>-4.2142059527275</v>
      </c>
      <c r="Z2403" s="55" t="n">
        <f aca="false">X2403+ROW()*0.000000001</f>
        <v>45.3583830848182</v>
      </c>
    </row>
    <row r="2404" customFormat="false" ht="15" hidden="false" customHeight="false" outlineLevel="0" collapsed="false">
      <c r="A2404" s="0" t="n">
        <v>8</v>
      </c>
      <c r="B2404" s="0" t="n">
        <v>5</v>
      </c>
      <c r="C2404" s="0" t="n">
        <v>2</v>
      </c>
      <c r="D2404" s="0" t="n">
        <f aca="false">-1+A2404*0.125</f>
        <v>0</v>
      </c>
      <c r="E2404" s="0" t="n">
        <f aca="false">-1+B2404*0.125</f>
        <v>-0.375</v>
      </c>
      <c r="F2404" s="0" t="n">
        <f aca="false">-1+C2404*0.125</f>
        <v>-0.75</v>
      </c>
      <c r="G2404" s="0" t="n">
        <f aca="false">1</f>
        <v>1</v>
      </c>
      <c r="H2404" s="0" t="n">
        <f aca="false">D2404</f>
        <v>0</v>
      </c>
      <c r="I2404" s="0" t="n">
        <f aca="false">E2404</f>
        <v>-0.375</v>
      </c>
      <c r="J2404" s="0" t="n">
        <f aca="false">F2404</f>
        <v>-0.75</v>
      </c>
      <c r="K2404" s="0" t="n">
        <f aca="false">D2404*E2404</f>
        <v>-0</v>
      </c>
      <c r="L2404" s="0" t="n">
        <f aca="false">D2404*F2404</f>
        <v>-0</v>
      </c>
      <c r="M2404" s="0" t="n">
        <f aca="false">E2404*F2404</f>
        <v>0.28125</v>
      </c>
      <c r="N2404" s="0" t="n">
        <f aca="false">D2404*D2404</f>
        <v>0</v>
      </c>
      <c r="O2404" s="0" t="n">
        <f aca="false">E2404*E2404</f>
        <v>0.140625</v>
      </c>
      <c r="P2404" s="0" t="n">
        <f aca="false">F2404*F2404</f>
        <v>0.5625</v>
      </c>
      <c r="Q2404" s="0" t="n">
        <f aca="false">SUMPRODUCT(G2404:P2404,_XtX!$B$71:$K$71)</f>
        <v>45.7489204545455</v>
      </c>
      <c r="R2404" s="0" t="n">
        <f aca="false">SUMPRODUCT(MMULT(G2404:P2404,_XtX!$B$58:$K$67),G2404:P2404)</f>
        <v>0.235136274857955</v>
      </c>
      <c r="S2404" s="0" t="n">
        <f aca="false">04_回帰ANOVA!$K$19*04_回帰ANOVA!$K$14*SQRT(1+R2404)</f>
        <v>1.03329439695656</v>
      </c>
      <c r="T2404" s="0" t="n">
        <f aca="false">Q2404-S2404</f>
        <v>44.7156260575889</v>
      </c>
      <c r="U2404" s="0" t="n">
        <f aca="false">Q2404+S2404</f>
        <v>46.782214851502</v>
      </c>
      <c r="V2404" s="54" t="b">
        <f aca="false">AND(D2404&gt;=01_因子設定!$L$5-0.000000001,D2404&lt;=01_因子設定!$M$5+0.000000001,E2404&gt;=01_因子設定!$L$6-0.000000001,E2404&lt;=01_因子設定!$M$6+0.000000001,F2404&gt;=01_因子設定!$L$7-0.000000001,F2404&lt;=01_因子設定!$M$7+0.000000001,IF(01_因子設定!$B$20="Box-Behnken",D2404^2+E2404^2+F2404^2&lt;=2+0.000000001,TRUE()))</f>
        <v>1</v>
      </c>
      <c r="W2404" s="55" t="n">
        <f aca="false">IF(V2404,IF(01_因子設定!$B$13="最大化",T2404-01_因子設定!$B$14,IF(01_因子設定!$B$13="最小化",01_因子設定!$B$15-U2404,MIN(T2404-01_因子設定!$B$14,01_因子設定!$B$15-U2404))),-1E+030)</f>
        <v>-3.78437394241108</v>
      </c>
      <c r="X2404" s="55" t="n">
        <f aca="false">IF(V2404,IF(01_因子設定!$B$13="最大化",Q2404,IF(01_因子設定!$B$13="最小化",-Q2404,-ABS(Q2404-01_因子設定!$B$16))),-1E+030)</f>
        <v>45.7489204545455</v>
      </c>
      <c r="Y2404" s="55" t="n">
        <f aca="false">W2404+ROW()*0.000000001</f>
        <v>-3.78437153841108</v>
      </c>
      <c r="Z2404" s="55" t="n">
        <f aca="false">X2404+ROW()*0.000000001</f>
        <v>45.7489228585455</v>
      </c>
    </row>
    <row r="2405" customFormat="false" ht="15" hidden="false" customHeight="false" outlineLevel="0" collapsed="false">
      <c r="A2405" s="0" t="n">
        <v>8</v>
      </c>
      <c r="B2405" s="0" t="n">
        <v>5</v>
      </c>
      <c r="C2405" s="0" t="n">
        <v>3</v>
      </c>
      <c r="D2405" s="0" t="n">
        <f aca="false">-1+A2405*0.125</f>
        <v>0</v>
      </c>
      <c r="E2405" s="0" t="n">
        <f aca="false">-1+B2405*0.125</f>
        <v>-0.375</v>
      </c>
      <c r="F2405" s="0" t="n">
        <f aca="false">-1+C2405*0.125</f>
        <v>-0.625</v>
      </c>
      <c r="G2405" s="0" t="n">
        <f aca="false">1</f>
        <v>1</v>
      </c>
      <c r="H2405" s="0" t="n">
        <f aca="false">D2405</f>
        <v>0</v>
      </c>
      <c r="I2405" s="0" t="n">
        <f aca="false">E2405</f>
        <v>-0.375</v>
      </c>
      <c r="J2405" s="0" t="n">
        <f aca="false">F2405</f>
        <v>-0.625</v>
      </c>
      <c r="K2405" s="0" t="n">
        <f aca="false">D2405*E2405</f>
        <v>-0</v>
      </c>
      <c r="L2405" s="0" t="n">
        <f aca="false">D2405*F2405</f>
        <v>-0</v>
      </c>
      <c r="M2405" s="0" t="n">
        <f aca="false">E2405*F2405</f>
        <v>0.234375</v>
      </c>
      <c r="N2405" s="0" t="n">
        <f aca="false">D2405*D2405</f>
        <v>0</v>
      </c>
      <c r="O2405" s="0" t="n">
        <f aca="false">E2405*E2405</f>
        <v>0.140625</v>
      </c>
      <c r="P2405" s="0" t="n">
        <f aca="false">F2405*F2405</f>
        <v>0.390625</v>
      </c>
      <c r="Q2405" s="0" t="n">
        <f aca="false">SUMPRODUCT(G2405:P2405,_XtX!$B$71:$K$71)</f>
        <v>46.1026704545455</v>
      </c>
      <c r="R2405" s="0" t="n">
        <f aca="false">SUMPRODUCT(MMULT(G2405:P2405,_XtX!$B$58:$K$67),G2405:P2405)</f>
        <v>0.17757401899858</v>
      </c>
      <c r="S2405" s="0" t="n">
        <f aca="false">04_回帰ANOVA!$K$19*04_回帰ANOVA!$K$14*SQRT(1+R2405)</f>
        <v>1.00892932143276</v>
      </c>
      <c r="T2405" s="0" t="n">
        <f aca="false">Q2405-S2405</f>
        <v>45.0937411331127</v>
      </c>
      <c r="U2405" s="0" t="n">
        <f aca="false">Q2405+S2405</f>
        <v>47.1115997759782</v>
      </c>
      <c r="V2405" s="54" t="b">
        <f aca="false">AND(D2405&gt;=01_因子設定!$L$5-0.000000001,D2405&lt;=01_因子設定!$M$5+0.000000001,E2405&gt;=01_因子設定!$L$6-0.000000001,E2405&lt;=01_因子設定!$M$6+0.000000001,F2405&gt;=01_因子設定!$L$7-0.000000001,F2405&lt;=01_因子設定!$M$7+0.000000001,IF(01_因子設定!$B$20="Box-Behnken",D2405^2+E2405^2+F2405^2&lt;=2+0.000000001,TRUE()))</f>
        <v>1</v>
      </c>
      <c r="W2405" s="55" t="n">
        <f aca="false">IF(V2405,IF(01_因子設定!$B$13="最大化",T2405-01_因子設定!$B$14,IF(01_因子設定!$B$13="最小化",01_因子設定!$B$15-U2405,MIN(T2405-01_因子設定!$B$14,01_因子設定!$B$15-U2405))),-1E+030)</f>
        <v>-3.40625886688729</v>
      </c>
      <c r="X2405" s="55" t="n">
        <f aca="false">IF(V2405,IF(01_因子設定!$B$13="最大化",Q2405,IF(01_因子設定!$B$13="最小化",-Q2405,-ABS(Q2405-01_因子設定!$B$16))),-1E+030)</f>
        <v>46.1026704545455</v>
      </c>
      <c r="Y2405" s="55" t="n">
        <f aca="false">W2405+ROW()*0.000000001</f>
        <v>-3.40625646188729</v>
      </c>
      <c r="Z2405" s="55" t="n">
        <f aca="false">X2405+ROW()*0.000000001</f>
        <v>46.1026728595455</v>
      </c>
    </row>
    <row r="2406" customFormat="false" ht="15" hidden="false" customHeight="false" outlineLevel="0" collapsed="false">
      <c r="A2406" s="0" t="n">
        <v>8</v>
      </c>
      <c r="B2406" s="0" t="n">
        <v>5</v>
      </c>
      <c r="C2406" s="0" t="n">
        <v>4</v>
      </c>
      <c r="D2406" s="0" t="n">
        <f aca="false">-1+A2406*0.125</f>
        <v>0</v>
      </c>
      <c r="E2406" s="0" t="n">
        <f aca="false">-1+B2406*0.125</f>
        <v>-0.375</v>
      </c>
      <c r="F2406" s="0" t="n">
        <f aca="false">-1+C2406*0.125</f>
        <v>-0.5</v>
      </c>
      <c r="G2406" s="0" t="n">
        <f aca="false">1</f>
        <v>1</v>
      </c>
      <c r="H2406" s="0" t="n">
        <f aca="false">D2406</f>
        <v>0</v>
      </c>
      <c r="I2406" s="0" t="n">
        <f aca="false">E2406</f>
        <v>-0.375</v>
      </c>
      <c r="J2406" s="0" t="n">
        <f aca="false">F2406</f>
        <v>-0.5</v>
      </c>
      <c r="K2406" s="0" t="n">
        <f aca="false">D2406*E2406</f>
        <v>-0</v>
      </c>
      <c r="L2406" s="0" t="n">
        <f aca="false">D2406*F2406</f>
        <v>-0</v>
      </c>
      <c r="M2406" s="0" t="n">
        <f aca="false">E2406*F2406</f>
        <v>0.1875</v>
      </c>
      <c r="N2406" s="0" t="n">
        <f aca="false">D2406*D2406</f>
        <v>0</v>
      </c>
      <c r="O2406" s="0" t="n">
        <f aca="false">E2406*E2406</f>
        <v>0.140625</v>
      </c>
      <c r="P2406" s="0" t="n">
        <f aca="false">F2406*F2406</f>
        <v>0.25</v>
      </c>
      <c r="Q2406" s="0" t="n">
        <f aca="false">SUMPRODUCT(G2406:P2406,_XtX!$B$71:$K$71)</f>
        <v>46.4196306818182</v>
      </c>
      <c r="R2406" s="0" t="n">
        <f aca="false">SUMPRODUCT(MMULT(G2406:P2406,_XtX!$B$58:$K$67),G2406:P2406)</f>
        <v>0.146457741477273</v>
      </c>
      <c r="S2406" s="0" t="n">
        <f aca="false">04_回帰ANOVA!$K$19*04_回帰ANOVA!$K$14*SQRT(1+R2406)</f>
        <v>0.995510079668687</v>
      </c>
      <c r="T2406" s="0" t="n">
        <f aca="false">Q2406-S2406</f>
        <v>45.4241206021495</v>
      </c>
      <c r="U2406" s="0" t="n">
        <f aca="false">Q2406+S2406</f>
        <v>47.4151407614869</v>
      </c>
      <c r="V2406" s="54" t="b">
        <f aca="false">AND(D2406&gt;=01_因子設定!$L$5-0.000000001,D2406&lt;=01_因子設定!$M$5+0.000000001,E2406&gt;=01_因子設定!$L$6-0.000000001,E2406&lt;=01_因子設定!$M$6+0.000000001,F2406&gt;=01_因子設定!$L$7-0.000000001,F2406&lt;=01_因子設定!$M$7+0.000000001,IF(01_因子設定!$B$20="Box-Behnken",D2406^2+E2406^2+F2406^2&lt;=2+0.000000001,TRUE()))</f>
        <v>1</v>
      </c>
      <c r="W2406" s="55" t="n">
        <f aca="false">IF(V2406,IF(01_因子設定!$B$13="最大化",T2406-01_因子設定!$B$14,IF(01_因子設定!$B$13="最小化",01_因子設定!$B$15-U2406,MIN(T2406-01_因子設定!$B$14,01_因子設定!$B$15-U2406))),-1E+030)</f>
        <v>-3.07587939785049</v>
      </c>
      <c r="X2406" s="55" t="n">
        <f aca="false">IF(V2406,IF(01_因子設定!$B$13="最大化",Q2406,IF(01_因子設定!$B$13="最小化",-Q2406,-ABS(Q2406-01_因子設定!$B$16))),-1E+030)</f>
        <v>46.4196306818182</v>
      </c>
      <c r="Y2406" s="55" t="n">
        <f aca="false">W2406+ROW()*0.000000001</f>
        <v>-3.07587699185049</v>
      </c>
      <c r="Z2406" s="55" t="n">
        <f aca="false">X2406+ROW()*0.000000001</f>
        <v>46.4196330878182</v>
      </c>
    </row>
    <row r="2407" customFormat="false" ht="15" hidden="false" customHeight="false" outlineLevel="0" collapsed="false">
      <c r="A2407" s="0" t="n">
        <v>8</v>
      </c>
      <c r="B2407" s="0" t="n">
        <v>5</v>
      </c>
      <c r="C2407" s="0" t="n">
        <v>5</v>
      </c>
      <c r="D2407" s="0" t="n">
        <f aca="false">-1+A2407*0.125</f>
        <v>0</v>
      </c>
      <c r="E2407" s="0" t="n">
        <f aca="false">-1+B2407*0.125</f>
        <v>-0.375</v>
      </c>
      <c r="F2407" s="0" t="n">
        <f aca="false">-1+C2407*0.125</f>
        <v>-0.375</v>
      </c>
      <c r="G2407" s="0" t="n">
        <f aca="false">1</f>
        <v>1</v>
      </c>
      <c r="H2407" s="0" t="n">
        <f aca="false">D2407</f>
        <v>0</v>
      </c>
      <c r="I2407" s="0" t="n">
        <f aca="false">E2407</f>
        <v>-0.375</v>
      </c>
      <c r="J2407" s="0" t="n">
        <f aca="false">F2407</f>
        <v>-0.375</v>
      </c>
      <c r="K2407" s="0" t="n">
        <f aca="false">D2407*E2407</f>
        <v>-0</v>
      </c>
      <c r="L2407" s="0" t="n">
        <f aca="false">D2407*F2407</f>
        <v>-0</v>
      </c>
      <c r="M2407" s="0" t="n">
        <f aca="false">E2407*F2407</f>
        <v>0.140625</v>
      </c>
      <c r="N2407" s="0" t="n">
        <f aca="false">D2407*D2407</f>
        <v>0</v>
      </c>
      <c r="O2407" s="0" t="n">
        <f aca="false">E2407*E2407</f>
        <v>0.140625</v>
      </c>
      <c r="P2407" s="0" t="n">
        <f aca="false">F2407*F2407</f>
        <v>0.140625</v>
      </c>
      <c r="Q2407" s="0" t="n">
        <f aca="false">SUMPRODUCT(G2407:P2407,_XtX!$B$71:$K$71)</f>
        <v>46.6998011363637</v>
      </c>
      <c r="R2407" s="0" t="n">
        <f aca="false">SUMPRODUCT(MMULT(G2407:P2407,_XtX!$B$58:$K$67),G2407:P2407)</f>
        <v>0.132199374112216</v>
      </c>
      <c r="S2407" s="0" t="n">
        <f aca="false">04_回帰ANOVA!$K$19*04_回帰ANOVA!$K$14*SQRT(1+R2407)</f>
        <v>0.989300187279118</v>
      </c>
      <c r="T2407" s="0" t="n">
        <f aca="false">Q2407-S2407</f>
        <v>45.7105009490845</v>
      </c>
      <c r="U2407" s="0" t="n">
        <f aca="false">Q2407+S2407</f>
        <v>47.6891013236428</v>
      </c>
      <c r="V2407" s="54" t="b">
        <f aca="false">AND(D2407&gt;=01_因子設定!$L$5-0.000000001,D2407&lt;=01_因子設定!$M$5+0.000000001,E2407&gt;=01_因子設定!$L$6-0.000000001,E2407&lt;=01_因子設定!$M$6+0.000000001,F2407&gt;=01_因子設定!$L$7-0.000000001,F2407&lt;=01_因子設定!$M$7+0.000000001,IF(01_因子設定!$B$20="Box-Behnken",D2407^2+E2407^2+F2407^2&lt;=2+0.000000001,TRUE()))</f>
        <v>1</v>
      </c>
      <c r="W2407" s="55" t="n">
        <f aca="false">IF(V2407,IF(01_因子設定!$B$13="最大化",T2407-01_因子設定!$B$14,IF(01_因子設定!$B$13="最小化",01_因子設定!$B$15-U2407,MIN(T2407-01_因子設定!$B$14,01_因子設定!$B$15-U2407))),-1E+030)</f>
        <v>-2.78949905091547</v>
      </c>
      <c r="X2407" s="55" t="n">
        <f aca="false">IF(V2407,IF(01_因子設定!$B$13="最大化",Q2407,IF(01_因子設定!$B$13="最小化",-Q2407,-ABS(Q2407-01_因子設定!$B$16))),-1E+030)</f>
        <v>46.6998011363637</v>
      </c>
      <c r="Y2407" s="55" t="n">
        <f aca="false">W2407+ROW()*0.000000001</f>
        <v>-2.78949664391547</v>
      </c>
      <c r="Z2407" s="55" t="n">
        <f aca="false">X2407+ROW()*0.000000001</f>
        <v>46.6998035433636</v>
      </c>
    </row>
    <row r="2408" customFormat="false" ht="15" hidden="false" customHeight="false" outlineLevel="0" collapsed="false">
      <c r="A2408" s="0" t="n">
        <v>8</v>
      </c>
      <c r="B2408" s="0" t="n">
        <v>5</v>
      </c>
      <c r="C2408" s="0" t="n">
        <v>6</v>
      </c>
      <c r="D2408" s="0" t="n">
        <f aca="false">-1+A2408*0.125</f>
        <v>0</v>
      </c>
      <c r="E2408" s="0" t="n">
        <f aca="false">-1+B2408*0.125</f>
        <v>-0.375</v>
      </c>
      <c r="F2408" s="0" t="n">
        <f aca="false">-1+C2408*0.125</f>
        <v>-0.25</v>
      </c>
      <c r="G2408" s="0" t="n">
        <f aca="false">1</f>
        <v>1</v>
      </c>
      <c r="H2408" s="0" t="n">
        <f aca="false">D2408</f>
        <v>0</v>
      </c>
      <c r="I2408" s="0" t="n">
        <f aca="false">E2408</f>
        <v>-0.375</v>
      </c>
      <c r="J2408" s="0" t="n">
        <f aca="false">F2408</f>
        <v>-0.25</v>
      </c>
      <c r="K2408" s="0" t="n">
        <f aca="false">D2408*E2408</f>
        <v>-0</v>
      </c>
      <c r="L2408" s="0" t="n">
        <f aca="false">D2408*F2408</f>
        <v>-0</v>
      </c>
      <c r="M2408" s="0" t="n">
        <f aca="false">E2408*F2408</f>
        <v>0.09375</v>
      </c>
      <c r="N2408" s="0" t="n">
        <f aca="false">D2408*D2408</f>
        <v>0</v>
      </c>
      <c r="O2408" s="0" t="n">
        <f aca="false">E2408*E2408</f>
        <v>0.140625</v>
      </c>
      <c r="P2408" s="0" t="n">
        <f aca="false">F2408*F2408</f>
        <v>0.0625</v>
      </c>
      <c r="Q2408" s="0" t="n">
        <f aca="false">SUMPRODUCT(G2408:P2408,_XtX!$B$71:$K$71)</f>
        <v>46.9431818181818</v>
      </c>
      <c r="R2408" s="0" t="n">
        <f aca="false">SUMPRODUCT(MMULT(G2408:P2408,_XtX!$B$58:$K$67),G2408:P2408)</f>
        <v>0.127341530539773</v>
      </c>
      <c r="S2408" s="0" t="n">
        <f aca="false">04_回帰ANOVA!$K$19*04_回帰ANOVA!$K$14*SQRT(1+R2408)</f>
        <v>0.987175547486288</v>
      </c>
      <c r="T2408" s="0" t="n">
        <f aca="false">Q2408-S2408</f>
        <v>45.9560062706955</v>
      </c>
      <c r="U2408" s="0" t="n">
        <f aca="false">Q2408+S2408</f>
        <v>47.9303573656681</v>
      </c>
      <c r="V2408" s="54" t="b">
        <f aca="false">AND(D2408&gt;=01_因子設定!$L$5-0.000000001,D2408&lt;=01_因子設定!$M$5+0.000000001,E2408&gt;=01_因子設定!$L$6-0.000000001,E2408&lt;=01_因子設定!$M$6+0.000000001,F2408&gt;=01_因子設定!$L$7-0.000000001,F2408&lt;=01_因子設定!$M$7+0.000000001,IF(01_因子設定!$B$20="Box-Behnken",D2408^2+E2408^2+F2408^2&lt;=2+0.000000001,TRUE()))</f>
        <v>1</v>
      </c>
      <c r="W2408" s="55" t="n">
        <f aca="false">IF(V2408,IF(01_因子設定!$B$13="最大化",T2408-01_因子設定!$B$14,IF(01_因子設定!$B$13="最小化",01_因子設定!$B$15-U2408,MIN(T2408-01_因子設定!$B$14,01_因子設定!$B$15-U2408))),-1E+030)</f>
        <v>-2.54399372930446</v>
      </c>
      <c r="X2408" s="55" t="n">
        <f aca="false">IF(V2408,IF(01_因子設定!$B$13="最大化",Q2408,IF(01_因子設定!$B$13="最小化",-Q2408,-ABS(Q2408-01_因子設定!$B$16))),-1E+030)</f>
        <v>46.9431818181818</v>
      </c>
      <c r="Y2408" s="55" t="n">
        <f aca="false">W2408+ROW()*0.000000001</f>
        <v>-2.54399132130446</v>
      </c>
      <c r="Z2408" s="55" t="n">
        <f aca="false">X2408+ROW()*0.000000001</f>
        <v>46.9431842261818</v>
      </c>
    </row>
    <row r="2409" customFormat="false" ht="15" hidden="false" customHeight="false" outlineLevel="0" collapsed="false">
      <c r="A2409" s="0" t="n">
        <v>8</v>
      </c>
      <c r="B2409" s="0" t="n">
        <v>5</v>
      </c>
      <c r="C2409" s="0" t="n">
        <v>7</v>
      </c>
      <c r="D2409" s="0" t="n">
        <f aca="false">-1+A2409*0.125</f>
        <v>0</v>
      </c>
      <c r="E2409" s="0" t="n">
        <f aca="false">-1+B2409*0.125</f>
        <v>-0.375</v>
      </c>
      <c r="F2409" s="0" t="n">
        <f aca="false">-1+C2409*0.125</f>
        <v>-0.125</v>
      </c>
      <c r="G2409" s="0" t="n">
        <f aca="false">1</f>
        <v>1</v>
      </c>
      <c r="H2409" s="0" t="n">
        <f aca="false">D2409</f>
        <v>0</v>
      </c>
      <c r="I2409" s="0" t="n">
        <f aca="false">E2409</f>
        <v>-0.375</v>
      </c>
      <c r="J2409" s="0" t="n">
        <f aca="false">F2409</f>
        <v>-0.125</v>
      </c>
      <c r="K2409" s="0" t="n">
        <f aca="false">D2409*E2409</f>
        <v>-0</v>
      </c>
      <c r="L2409" s="0" t="n">
        <f aca="false">D2409*F2409</f>
        <v>-0</v>
      </c>
      <c r="M2409" s="0" t="n">
        <f aca="false">E2409*F2409</f>
        <v>0.046875</v>
      </c>
      <c r="N2409" s="0" t="n">
        <f aca="false">D2409*D2409</f>
        <v>0</v>
      </c>
      <c r="O2409" s="0" t="n">
        <f aca="false">E2409*E2409</f>
        <v>0.140625</v>
      </c>
      <c r="P2409" s="0" t="n">
        <f aca="false">F2409*F2409</f>
        <v>0.015625</v>
      </c>
      <c r="Q2409" s="0" t="n">
        <f aca="false">SUMPRODUCT(G2409:P2409,_XtX!$B$71:$K$71)</f>
        <v>47.1497727272727</v>
      </c>
      <c r="R2409" s="0" t="n">
        <f aca="false">SUMPRODUCT(MMULT(G2409:P2409,_XtX!$B$58:$K$67),G2409:P2409)</f>
        <v>0.126557506214489</v>
      </c>
      <c r="S2409" s="0" t="n">
        <f aca="false">04_回帰ANOVA!$K$19*04_回帰ANOVA!$K$14*SQRT(1+R2409)</f>
        <v>0.986832215747321</v>
      </c>
      <c r="T2409" s="0" t="n">
        <f aca="false">Q2409-S2409</f>
        <v>46.1629405115254</v>
      </c>
      <c r="U2409" s="0" t="n">
        <f aca="false">Q2409+S2409</f>
        <v>48.1366049430201</v>
      </c>
      <c r="V2409" s="54" t="b">
        <f aca="false">AND(D2409&gt;=01_因子設定!$L$5-0.000000001,D2409&lt;=01_因子設定!$M$5+0.000000001,E2409&gt;=01_因子設定!$L$6-0.000000001,E2409&lt;=01_因子設定!$M$6+0.000000001,F2409&gt;=01_因子設定!$L$7-0.000000001,F2409&lt;=01_因子設定!$M$7+0.000000001,IF(01_因子設定!$B$20="Box-Behnken",D2409^2+E2409^2+F2409^2&lt;=2+0.000000001,TRUE()))</f>
        <v>1</v>
      </c>
      <c r="W2409" s="55" t="n">
        <f aca="false">IF(V2409,IF(01_因子設定!$B$13="最大化",T2409-01_因子設定!$B$14,IF(01_因子設定!$B$13="最小化",01_因子設定!$B$15-U2409,MIN(T2409-01_因子設定!$B$14,01_因子設定!$B$15-U2409))),-1E+030)</f>
        <v>-2.33705948847458</v>
      </c>
      <c r="X2409" s="55" t="n">
        <f aca="false">IF(V2409,IF(01_因子設定!$B$13="最大化",Q2409,IF(01_因子設定!$B$13="最小化",-Q2409,-ABS(Q2409-01_因子設定!$B$16))),-1E+030)</f>
        <v>47.1497727272727</v>
      </c>
      <c r="Y2409" s="55" t="n">
        <f aca="false">W2409+ROW()*0.000000001</f>
        <v>-2.33705707947458</v>
      </c>
      <c r="Z2409" s="55" t="n">
        <f aca="false">X2409+ROW()*0.000000001</f>
        <v>47.1497751362727</v>
      </c>
    </row>
    <row r="2410" customFormat="false" ht="15" hidden="false" customHeight="false" outlineLevel="0" collapsed="false">
      <c r="A2410" s="0" t="n">
        <v>8</v>
      </c>
      <c r="B2410" s="0" t="n">
        <v>5</v>
      </c>
      <c r="C2410" s="0" t="n">
        <v>8</v>
      </c>
      <c r="D2410" s="0" t="n">
        <f aca="false">-1+A2410*0.125</f>
        <v>0</v>
      </c>
      <c r="E2410" s="0" t="n">
        <f aca="false">-1+B2410*0.125</f>
        <v>-0.375</v>
      </c>
      <c r="F2410" s="0" t="n">
        <f aca="false">-1+C2410*0.125</f>
        <v>0</v>
      </c>
      <c r="G2410" s="0" t="n">
        <f aca="false">1</f>
        <v>1</v>
      </c>
      <c r="H2410" s="0" t="n">
        <f aca="false">D2410</f>
        <v>0</v>
      </c>
      <c r="I2410" s="0" t="n">
        <f aca="false">E2410</f>
        <v>-0.375</v>
      </c>
      <c r="J2410" s="0" t="n">
        <f aca="false">F2410</f>
        <v>0</v>
      </c>
      <c r="K2410" s="0" t="n">
        <f aca="false">D2410*E2410</f>
        <v>-0</v>
      </c>
      <c r="L2410" s="0" t="n">
        <f aca="false">D2410*F2410</f>
        <v>0</v>
      </c>
      <c r="M2410" s="0" t="n">
        <f aca="false">E2410*F2410</f>
        <v>-0</v>
      </c>
      <c r="N2410" s="0" t="n">
        <f aca="false">D2410*D2410</f>
        <v>0</v>
      </c>
      <c r="O2410" s="0" t="n">
        <f aca="false">E2410*E2410</f>
        <v>0.140625</v>
      </c>
      <c r="P2410" s="0" t="n">
        <f aca="false">F2410*F2410</f>
        <v>0</v>
      </c>
      <c r="Q2410" s="0" t="n">
        <f aca="false">SUMPRODUCT(G2410:P2410,_XtX!$B$71:$K$71)</f>
        <v>47.3195738636364</v>
      </c>
      <c r="R2410" s="0" t="n">
        <f aca="false">SUMPRODUCT(MMULT(G2410:P2410,_XtX!$B$58:$K$67),G2410:P2410)</f>
        <v>0.126651278409091</v>
      </c>
      <c r="S2410" s="0" t="n">
        <f aca="false">04_回帰ANOVA!$K$19*04_回帰ANOVA!$K$14*SQRT(1+R2410)</f>
        <v>0.986873285775478</v>
      </c>
      <c r="T2410" s="0" t="n">
        <f aca="false">Q2410-S2410</f>
        <v>46.3327005778609</v>
      </c>
      <c r="U2410" s="0" t="n">
        <f aca="false">Q2410+S2410</f>
        <v>48.3064471494119</v>
      </c>
      <c r="V2410" s="54" t="b">
        <f aca="false">AND(D2410&gt;=01_因子設定!$L$5-0.000000001,D2410&lt;=01_因子設定!$M$5+0.000000001,E2410&gt;=01_因子設定!$L$6-0.000000001,E2410&lt;=01_因子設定!$M$6+0.000000001,F2410&gt;=01_因子設定!$L$7-0.000000001,F2410&lt;=01_因子設定!$M$7+0.000000001,IF(01_因子設定!$B$20="Box-Behnken",D2410^2+E2410^2+F2410^2&lt;=2+0.000000001,TRUE()))</f>
        <v>1</v>
      </c>
      <c r="W2410" s="55" t="n">
        <f aca="false">IF(V2410,IF(01_因子設定!$B$13="最大化",T2410-01_因子設定!$B$14,IF(01_因子設定!$B$13="最小化",01_因子設定!$B$15-U2410,MIN(T2410-01_因子設定!$B$14,01_因子設定!$B$15-U2410))),-1E+030)</f>
        <v>-2.16729942213911</v>
      </c>
      <c r="X2410" s="55" t="n">
        <f aca="false">IF(V2410,IF(01_因子設定!$B$13="最大化",Q2410,IF(01_因子設定!$B$13="最小化",-Q2410,-ABS(Q2410-01_因子設定!$B$16))),-1E+030)</f>
        <v>47.3195738636364</v>
      </c>
      <c r="Y2410" s="55" t="n">
        <f aca="false">W2410+ROW()*0.000000001</f>
        <v>-2.16729701213911</v>
      </c>
      <c r="Z2410" s="55" t="n">
        <f aca="false">X2410+ROW()*0.000000001</f>
        <v>47.3195762736364</v>
      </c>
    </row>
    <row r="2411" customFormat="false" ht="15" hidden="false" customHeight="false" outlineLevel="0" collapsed="false">
      <c r="A2411" s="0" t="n">
        <v>8</v>
      </c>
      <c r="B2411" s="0" t="n">
        <v>5</v>
      </c>
      <c r="C2411" s="0" t="n">
        <v>9</v>
      </c>
      <c r="D2411" s="0" t="n">
        <f aca="false">-1+A2411*0.125</f>
        <v>0</v>
      </c>
      <c r="E2411" s="0" t="n">
        <f aca="false">-1+B2411*0.125</f>
        <v>-0.375</v>
      </c>
      <c r="F2411" s="0" t="n">
        <f aca="false">-1+C2411*0.125</f>
        <v>0.125</v>
      </c>
      <c r="G2411" s="0" t="n">
        <f aca="false">1</f>
        <v>1</v>
      </c>
      <c r="H2411" s="0" t="n">
        <f aca="false">D2411</f>
        <v>0</v>
      </c>
      <c r="I2411" s="0" t="n">
        <f aca="false">E2411</f>
        <v>-0.375</v>
      </c>
      <c r="J2411" s="0" t="n">
        <f aca="false">F2411</f>
        <v>0.125</v>
      </c>
      <c r="K2411" s="0" t="n">
        <f aca="false">D2411*E2411</f>
        <v>-0</v>
      </c>
      <c r="L2411" s="0" t="n">
        <f aca="false">D2411*F2411</f>
        <v>0</v>
      </c>
      <c r="M2411" s="0" t="n">
        <f aca="false">E2411*F2411</f>
        <v>-0.046875</v>
      </c>
      <c r="N2411" s="0" t="n">
        <f aca="false">D2411*D2411</f>
        <v>0</v>
      </c>
      <c r="O2411" s="0" t="n">
        <f aca="false">E2411*E2411</f>
        <v>0.140625</v>
      </c>
      <c r="P2411" s="0" t="n">
        <f aca="false">F2411*F2411</f>
        <v>0.015625</v>
      </c>
      <c r="Q2411" s="0" t="n">
        <f aca="false">SUMPRODUCT(G2411:P2411,_XtX!$B$71:$K$71)</f>
        <v>47.4525852272727</v>
      </c>
      <c r="R2411" s="0" t="n">
        <f aca="false">SUMPRODUCT(MMULT(G2411:P2411,_XtX!$B$58:$K$67),G2411:P2411)</f>
        <v>0.126557506214489</v>
      </c>
      <c r="S2411" s="0" t="n">
        <f aca="false">04_回帰ANOVA!$K$19*04_回帰ANOVA!$K$14*SQRT(1+R2411)</f>
        <v>0.986832215747321</v>
      </c>
      <c r="T2411" s="0" t="n">
        <f aca="false">Q2411-S2411</f>
        <v>46.4657530115254</v>
      </c>
      <c r="U2411" s="0" t="n">
        <f aca="false">Q2411+S2411</f>
        <v>48.4394174430201</v>
      </c>
      <c r="V2411" s="54" t="b">
        <f aca="false">AND(D2411&gt;=01_因子設定!$L$5-0.000000001,D2411&lt;=01_因子設定!$M$5+0.000000001,E2411&gt;=01_因子設定!$L$6-0.000000001,E2411&lt;=01_因子設定!$M$6+0.000000001,F2411&gt;=01_因子設定!$L$7-0.000000001,F2411&lt;=01_因子設定!$M$7+0.000000001,IF(01_因子設定!$B$20="Box-Behnken",D2411^2+E2411^2+F2411^2&lt;=2+0.000000001,TRUE()))</f>
        <v>1</v>
      </c>
      <c r="W2411" s="55" t="n">
        <f aca="false">IF(V2411,IF(01_因子設定!$B$13="最大化",T2411-01_因子設定!$B$14,IF(01_因子設定!$B$13="最小化",01_因子設定!$B$15-U2411,MIN(T2411-01_因子設定!$B$14,01_因子設定!$B$15-U2411))),-1E+030)</f>
        <v>-2.03424698847459</v>
      </c>
      <c r="X2411" s="55" t="n">
        <f aca="false">IF(V2411,IF(01_因子設定!$B$13="最大化",Q2411,IF(01_因子設定!$B$13="最小化",-Q2411,-ABS(Q2411-01_因子設定!$B$16))),-1E+030)</f>
        <v>47.4525852272727</v>
      </c>
      <c r="Y2411" s="55" t="n">
        <f aca="false">W2411+ROW()*0.000000001</f>
        <v>-2.03424457747459</v>
      </c>
      <c r="Z2411" s="55" t="n">
        <f aca="false">X2411+ROW()*0.000000001</f>
        <v>47.4525876382727</v>
      </c>
    </row>
    <row r="2412" customFormat="false" ht="15" hidden="false" customHeight="false" outlineLevel="0" collapsed="false">
      <c r="A2412" s="0" t="n">
        <v>8</v>
      </c>
      <c r="B2412" s="0" t="n">
        <v>5</v>
      </c>
      <c r="C2412" s="0" t="n">
        <v>10</v>
      </c>
      <c r="D2412" s="0" t="n">
        <f aca="false">-1+A2412*0.125</f>
        <v>0</v>
      </c>
      <c r="E2412" s="0" t="n">
        <f aca="false">-1+B2412*0.125</f>
        <v>-0.375</v>
      </c>
      <c r="F2412" s="0" t="n">
        <f aca="false">-1+C2412*0.125</f>
        <v>0.25</v>
      </c>
      <c r="G2412" s="0" t="n">
        <f aca="false">1</f>
        <v>1</v>
      </c>
      <c r="H2412" s="0" t="n">
        <f aca="false">D2412</f>
        <v>0</v>
      </c>
      <c r="I2412" s="0" t="n">
        <f aca="false">E2412</f>
        <v>-0.375</v>
      </c>
      <c r="J2412" s="0" t="n">
        <f aca="false">F2412</f>
        <v>0.25</v>
      </c>
      <c r="K2412" s="0" t="n">
        <f aca="false">D2412*E2412</f>
        <v>-0</v>
      </c>
      <c r="L2412" s="0" t="n">
        <f aca="false">D2412*F2412</f>
        <v>0</v>
      </c>
      <c r="M2412" s="0" t="n">
        <f aca="false">E2412*F2412</f>
        <v>-0.09375</v>
      </c>
      <c r="N2412" s="0" t="n">
        <f aca="false">D2412*D2412</f>
        <v>0</v>
      </c>
      <c r="O2412" s="0" t="n">
        <f aca="false">E2412*E2412</f>
        <v>0.140625</v>
      </c>
      <c r="P2412" s="0" t="n">
        <f aca="false">F2412*F2412</f>
        <v>0.0625</v>
      </c>
      <c r="Q2412" s="0" t="n">
        <f aca="false">SUMPRODUCT(G2412:P2412,_XtX!$B$71:$K$71)</f>
        <v>47.5488068181818</v>
      </c>
      <c r="R2412" s="0" t="n">
        <f aca="false">SUMPRODUCT(MMULT(G2412:P2412,_XtX!$B$58:$K$67),G2412:P2412)</f>
        <v>0.127341530539773</v>
      </c>
      <c r="S2412" s="0" t="n">
        <f aca="false">04_回帰ANOVA!$K$19*04_回帰ANOVA!$K$14*SQRT(1+R2412)</f>
        <v>0.987175547486288</v>
      </c>
      <c r="T2412" s="0" t="n">
        <f aca="false">Q2412-S2412</f>
        <v>46.5616312706955</v>
      </c>
      <c r="U2412" s="0" t="n">
        <f aca="false">Q2412+S2412</f>
        <v>48.5359823656681</v>
      </c>
      <c r="V2412" s="54" t="b">
        <f aca="false">AND(D2412&gt;=01_因子設定!$L$5-0.000000001,D2412&lt;=01_因子設定!$M$5+0.000000001,E2412&gt;=01_因子設定!$L$6-0.000000001,E2412&lt;=01_因子設定!$M$6+0.000000001,F2412&gt;=01_因子設定!$L$7-0.000000001,F2412&lt;=01_因子設定!$M$7+0.000000001,IF(01_因子設定!$B$20="Box-Behnken",D2412^2+E2412^2+F2412^2&lt;=2+0.000000001,TRUE()))</f>
        <v>1</v>
      </c>
      <c r="W2412" s="55" t="n">
        <f aca="false">IF(V2412,IF(01_因子設定!$B$13="最大化",T2412-01_因子設定!$B$14,IF(01_因子設定!$B$13="最小化",01_因子設定!$B$15-U2412,MIN(T2412-01_因子設定!$B$14,01_因子設定!$B$15-U2412))),-1E+030)</f>
        <v>-1.93836872930446</v>
      </c>
      <c r="X2412" s="55" t="n">
        <f aca="false">IF(V2412,IF(01_因子設定!$B$13="最大化",Q2412,IF(01_因子設定!$B$13="最小化",-Q2412,-ABS(Q2412-01_因子設定!$B$16))),-1E+030)</f>
        <v>47.5488068181818</v>
      </c>
      <c r="Y2412" s="55" t="n">
        <f aca="false">W2412+ROW()*0.000000001</f>
        <v>-1.93836631730446</v>
      </c>
      <c r="Z2412" s="55" t="n">
        <f aca="false">X2412+ROW()*0.000000001</f>
        <v>47.5488092301818</v>
      </c>
    </row>
    <row r="2413" customFormat="false" ht="15" hidden="false" customHeight="false" outlineLevel="0" collapsed="false">
      <c r="A2413" s="0" t="n">
        <v>8</v>
      </c>
      <c r="B2413" s="0" t="n">
        <v>5</v>
      </c>
      <c r="C2413" s="0" t="n">
        <v>11</v>
      </c>
      <c r="D2413" s="0" t="n">
        <f aca="false">-1+A2413*0.125</f>
        <v>0</v>
      </c>
      <c r="E2413" s="0" t="n">
        <f aca="false">-1+B2413*0.125</f>
        <v>-0.375</v>
      </c>
      <c r="F2413" s="0" t="n">
        <f aca="false">-1+C2413*0.125</f>
        <v>0.375</v>
      </c>
      <c r="G2413" s="0" t="n">
        <f aca="false">1</f>
        <v>1</v>
      </c>
      <c r="H2413" s="0" t="n">
        <f aca="false">D2413</f>
        <v>0</v>
      </c>
      <c r="I2413" s="0" t="n">
        <f aca="false">E2413</f>
        <v>-0.375</v>
      </c>
      <c r="J2413" s="0" t="n">
        <f aca="false">F2413</f>
        <v>0.375</v>
      </c>
      <c r="K2413" s="0" t="n">
        <f aca="false">D2413*E2413</f>
        <v>-0</v>
      </c>
      <c r="L2413" s="0" t="n">
        <f aca="false">D2413*F2413</f>
        <v>0</v>
      </c>
      <c r="M2413" s="0" t="n">
        <f aca="false">E2413*F2413</f>
        <v>-0.140625</v>
      </c>
      <c r="N2413" s="0" t="n">
        <f aca="false">D2413*D2413</f>
        <v>0</v>
      </c>
      <c r="O2413" s="0" t="n">
        <f aca="false">E2413*E2413</f>
        <v>0.140625</v>
      </c>
      <c r="P2413" s="0" t="n">
        <f aca="false">F2413*F2413</f>
        <v>0.140625</v>
      </c>
      <c r="Q2413" s="0" t="n">
        <f aca="false">SUMPRODUCT(G2413:P2413,_XtX!$B$71:$K$71)</f>
        <v>47.6082386363637</v>
      </c>
      <c r="R2413" s="0" t="n">
        <f aca="false">SUMPRODUCT(MMULT(G2413:P2413,_XtX!$B$58:$K$67),G2413:P2413)</f>
        <v>0.132199374112216</v>
      </c>
      <c r="S2413" s="0" t="n">
        <f aca="false">04_回帰ANOVA!$K$19*04_回帰ANOVA!$K$14*SQRT(1+R2413)</f>
        <v>0.989300187279118</v>
      </c>
      <c r="T2413" s="0" t="n">
        <f aca="false">Q2413-S2413</f>
        <v>46.6189384490845</v>
      </c>
      <c r="U2413" s="0" t="n">
        <f aca="false">Q2413+S2413</f>
        <v>48.5975388236428</v>
      </c>
      <c r="V2413" s="54" t="b">
        <f aca="false">AND(D2413&gt;=01_因子設定!$L$5-0.000000001,D2413&lt;=01_因子設定!$M$5+0.000000001,E2413&gt;=01_因子設定!$L$6-0.000000001,E2413&lt;=01_因子設定!$M$6+0.000000001,F2413&gt;=01_因子設定!$L$7-0.000000001,F2413&lt;=01_因子設定!$M$7+0.000000001,IF(01_因子設定!$B$20="Box-Behnken",D2413^2+E2413^2+F2413^2&lt;=2+0.000000001,TRUE()))</f>
        <v>1</v>
      </c>
      <c r="W2413" s="55" t="n">
        <f aca="false">IF(V2413,IF(01_因子設定!$B$13="最大化",T2413-01_因子設定!$B$14,IF(01_因子設定!$B$13="最小化",01_因子設定!$B$15-U2413,MIN(T2413-01_因子設定!$B$14,01_因子設定!$B$15-U2413))),-1E+030)</f>
        <v>-1.88106155091547</v>
      </c>
      <c r="X2413" s="55" t="n">
        <f aca="false">IF(V2413,IF(01_因子設定!$B$13="最大化",Q2413,IF(01_因子設定!$B$13="最小化",-Q2413,-ABS(Q2413-01_因子設定!$B$16))),-1E+030)</f>
        <v>47.6082386363637</v>
      </c>
      <c r="Y2413" s="55" t="n">
        <f aca="false">W2413+ROW()*0.000000001</f>
        <v>-1.88105913791547</v>
      </c>
      <c r="Z2413" s="55" t="n">
        <f aca="false">X2413+ROW()*0.000000001</f>
        <v>47.6082410493637</v>
      </c>
    </row>
    <row r="2414" customFormat="false" ht="15" hidden="false" customHeight="false" outlineLevel="0" collapsed="false">
      <c r="A2414" s="0" t="n">
        <v>8</v>
      </c>
      <c r="B2414" s="0" t="n">
        <v>5</v>
      </c>
      <c r="C2414" s="0" t="n">
        <v>12</v>
      </c>
      <c r="D2414" s="0" t="n">
        <f aca="false">-1+A2414*0.125</f>
        <v>0</v>
      </c>
      <c r="E2414" s="0" t="n">
        <f aca="false">-1+B2414*0.125</f>
        <v>-0.375</v>
      </c>
      <c r="F2414" s="0" t="n">
        <f aca="false">-1+C2414*0.125</f>
        <v>0.5</v>
      </c>
      <c r="G2414" s="0" t="n">
        <f aca="false">1</f>
        <v>1</v>
      </c>
      <c r="H2414" s="0" t="n">
        <f aca="false">D2414</f>
        <v>0</v>
      </c>
      <c r="I2414" s="0" t="n">
        <f aca="false">E2414</f>
        <v>-0.375</v>
      </c>
      <c r="J2414" s="0" t="n">
        <f aca="false">F2414</f>
        <v>0.5</v>
      </c>
      <c r="K2414" s="0" t="n">
        <f aca="false">D2414*E2414</f>
        <v>-0</v>
      </c>
      <c r="L2414" s="0" t="n">
        <f aca="false">D2414*F2414</f>
        <v>0</v>
      </c>
      <c r="M2414" s="0" t="n">
        <f aca="false">E2414*F2414</f>
        <v>-0.1875</v>
      </c>
      <c r="N2414" s="0" t="n">
        <f aca="false">D2414*D2414</f>
        <v>0</v>
      </c>
      <c r="O2414" s="0" t="n">
        <f aca="false">E2414*E2414</f>
        <v>0.140625</v>
      </c>
      <c r="P2414" s="0" t="n">
        <f aca="false">F2414*F2414</f>
        <v>0.25</v>
      </c>
      <c r="Q2414" s="0" t="n">
        <f aca="false">SUMPRODUCT(G2414:P2414,_XtX!$B$71:$K$71)</f>
        <v>47.6308806818182</v>
      </c>
      <c r="R2414" s="0" t="n">
        <f aca="false">SUMPRODUCT(MMULT(G2414:P2414,_XtX!$B$58:$K$67),G2414:P2414)</f>
        <v>0.146457741477273</v>
      </c>
      <c r="S2414" s="0" t="n">
        <f aca="false">04_回帰ANOVA!$K$19*04_回帰ANOVA!$K$14*SQRT(1+R2414)</f>
        <v>0.995510079668687</v>
      </c>
      <c r="T2414" s="0" t="n">
        <f aca="false">Q2414-S2414</f>
        <v>46.6353706021495</v>
      </c>
      <c r="U2414" s="0" t="n">
        <f aca="false">Q2414+S2414</f>
        <v>48.6263907614869</v>
      </c>
      <c r="V2414" s="54" t="b">
        <f aca="false">AND(D2414&gt;=01_因子設定!$L$5-0.000000001,D2414&lt;=01_因子設定!$M$5+0.000000001,E2414&gt;=01_因子設定!$L$6-0.000000001,E2414&lt;=01_因子設定!$M$6+0.000000001,F2414&gt;=01_因子設定!$L$7-0.000000001,F2414&lt;=01_因子設定!$M$7+0.000000001,IF(01_因子設定!$B$20="Box-Behnken",D2414^2+E2414^2+F2414^2&lt;=2+0.000000001,TRUE()))</f>
        <v>1</v>
      </c>
      <c r="W2414" s="55" t="n">
        <f aca="false">IF(V2414,IF(01_因子設定!$B$13="最大化",T2414-01_因子設定!$B$14,IF(01_因子設定!$B$13="最小化",01_因子設定!$B$15-U2414,MIN(T2414-01_因子設定!$B$14,01_因子設定!$B$15-U2414))),-1E+030)</f>
        <v>-1.86462939785049</v>
      </c>
      <c r="X2414" s="55" t="n">
        <f aca="false">IF(V2414,IF(01_因子設定!$B$13="最大化",Q2414,IF(01_因子設定!$B$13="最小化",-Q2414,-ABS(Q2414-01_因子設定!$B$16))),-1E+030)</f>
        <v>47.6308806818182</v>
      </c>
      <c r="Y2414" s="55" t="n">
        <f aca="false">W2414+ROW()*0.000000001</f>
        <v>-1.86462698385049</v>
      </c>
      <c r="Z2414" s="55" t="n">
        <f aca="false">X2414+ROW()*0.000000001</f>
        <v>47.6308830958182</v>
      </c>
    </row>
    <row r="2415" customFormat="false" ht="15" hidden="false" customHeight="false" outlineLevel="0" collapsed="false">
      <c r="A2415" s="0" t="n">
        <v>8</v>
      </c>
      <c r="B2415" s="0" t="n">
        <v>5</v>
      </c>
      <c r="C2415" s="0" t="n">
        <v>13</v>
      </c>
      <c r="D2415" s="0" t="n">
        <f aca="false">-1+A2415*0.125</f>
        <v>0</v>
      </c>
      <c r="E2415" s="0" t="n">
        <f aca="false">-1+B2415*0.125</f>
        <v>-0.375</v>
      </c>
      <c r="F2415" s="0" t="n">
        <f aca="false">-1+C2415*0.125</f>
        <v>0.625</v>
      </c>
      <c r="G2415" s="0" t="n">
        <f aca="false">1</f>
        <v>1</v>
      </c>
      <c r="H2415" s="0" t="n">
        <f aca="false">D2415</f>
        <v>0</v>
      </c>
      <c r="I2415" s="0" t="n">
        <f aca="false">E2415</f>
        <v>-0.375</v>
      </c>
      <c r="J2415" s="0" t="n">
        <f aca="false">F2415</f>
        <v>0.625</v>
      </c>
      <c r="K2415" s="0" t="n">
        <f aca="false">D2415*E2415</f>
        <v>-0</v>
      </c>
      <c r="L2415" s="0" t="n">
        <f aca="false">D2415*F2415</f>
        <v>0</v>
      </c>
      <c r="M2415" s="0" t="n">
        <f aca="false">E2415*F2415</f>
        <v>-0.234375</v>
      </c>
      <c r="N2415" s="0" t="n">
        <f aca="false">D2415*D2415</f>
        <v>0</v>
      </c>
      <c r="O2415" s="0" t="n">
        <f aca="false">E2415*E2415</f>
        <v>0.140625</v>
      </c>
      <c r="P2415" s="0" t="n">
        <f aca="false">F2415*F2415</f>
        <v>0.390625</v>
      </c>
      <c r="Q2415" s="0" t="n">
        <f aca="false">SUMPRODUCT(G2415:P2415,_XtX!$B$71:$K$71)</f>
        <v>47.6167329545455</v>
      </c>
      <c r="R2415" s="0" t="n">
        <f aca="false">SUMPRODUCT(MMULT(G2415:P2415,_XtX!$B$58:$K$67),G2415:P2415)</f>
        <v>0.17757401899858</v>
      </c>
      <c r="S2415" s="0" t="n">
        <f aca="false">04_回帰ANOVA!$K$19*04_回帰ANOVA!$K$14*SQRT(1+R2415)</f>
        <v>1.00892932143276</v>
      </c>
      <c r="T2415" s="0" t="n">
        <f aca="false">Q2415-S2415</f>
        <v>46.6078036331127</v>
      </c>
      <c r="U2415" s="0" t="n">
        <f aca="false">Q2415+S2415</f>
        <v>48.6256622759782</v>
      </c>
      <c r="V2415" s="54" t="b">
        <f aca="false">AND(D2415&gt;=01_因子設定!$L$5-0.000000001,D2415&lt;=01_因子設定!$M$5+0.000000001,E2415&gt;=01_因子設定!$L$6-0.000000001,E2415&lt;=01_因子設定!$M$6+0.000000001,F2415&gt;=01_因子設定!$L$7-0.000000001,F2415&lt;=01_因子設定!$M$7+0.000000001,IF(01_因子設定!$B$20="Box-Behnken",D2415^2+E2415^2+F2415^2&lt;=2+0.000000001,TRUE()))</f>
        <v>1</v>
      </c>
      <c r="W2415" s="55" t="n">
        <f aca="false">IF(V2415,IF(01_因子設定!$B$13="最大化",T2415-01_因子設定!$B$14,IF(01_因子設定!$B$13="最小化",01_因子設定!$B$15-U2415,MIN(T2415-01_因子設定!$B$14,01_因子設定!$B$15-U2415))),-1E+030)</f>
        <v>-1.89219636688729</v>
      </c>
      <c r="X2415" s="55" t="n">
        <f aca="false">IF(V2415,IF(01_因子設定!$B$13="最大化",Q2415,IF(01_因子設定!$B$13="最小化",-Q2415,-ABS(Q2415-01_因子設定!$B$16))),-1E+030)</f>
        <v>47.6167329545455</v>
      </c>
      <c r="Y2415" s="55" t="n">
        <f aca="false">W2415+ROW()*0.000000001</f>
        <v>-1.89219395188729</v>
      </c>
      <c r="Z2415" s="55" t="n">
        <f aca="false">X2415+ROW()*0.000000001</f>
        <v>47.6167353695455</v>
      </c>
    </row>
    <row r="2416" customFormat="false" ht="15" hidden="false" customHeight="false" outlineLevel="0" collapsed="false">
      <c r="A2416" s="0" t="n">
        <v>8</v>
      </c>
      <c r="B2416" s="0" t="n">
        <v>5</v>
      </c>
      <c r="C2416" s="0" t="n">
        <v>14</v>
      </c>
      <c r="D2416" s="0" t="n">
        <f aca="false">-1+A2416*0.125</f>
        <v>0</v>
      </c>
      <c r="E2416" s="0" t="n">
        <f aca="false">-1+B2416*0.125</f>
        <v>-0.375</v>
      </c>
      <c r="F2416" s="0" t="n">
        <f aca="false">-1+C2416*0.125</f>
        <v>0.75</v>
      </c>
      <c r="G2416" s="0" t="n">
        <f aca="false">1</f>
        <v>1</v>
      </c>
      <c r="H2416" s="0" t="n">
        <f aca="false">D2416</f>
        <v>0</v>
      </c>
      <c r="I2416" s="0" t="n">
        <f aca="false">E2416</f>
        <v>-0.375</v>
      </c>
      <c r="J2416" s="0" t="n">
        <f aca="false">F2416</f>
        <v>0.75</v>
      </c>
      <c r="K2416" s="0" t="n">
        <f aca="false">D2416*E2416</f>
        <v>-0</v>
      </c>
      <c r="L2416" s="0" t="n">
        <f aca="false">D2416*F2416</f>
        <v>0</v>
      </c>
      <c r="M2416" s="0" t="n">
        <f aca="false">E2416*F2416</f>
        <v>-0.28125</v>
      </c>
      <c r="N2416" s="0" t="n">
        <f aca="false">D2416*D2416</f>
        <v>0</v>
      </c>
      <c r="O2416" s="0" t="n">
        <f aca="false">E2416*E2416</f>
        <v>0.140625</v>
      </c>
      <c r="P2416" s="0" t="n">
        <f aca="false">F2416*F2416</f>
        <v>0.5625</v>
      </c>
      <c r="Q2416" s="0" t="n">
        <f aca="false">SUMPRODUCT(G2416:P2416,_XtX!$B$71:$K$71)</f>
        <v>47.5657954545455</v>
      </c>
      <c r="R2416" s="0" t="n">
        <f aca="false">SUMPRODUCT(MMULT(G2416:P2416,_XtX!$B$58:$K$67),G2416:P2416)</f>
        <v>0.235136274857955</v>
      </c>
      <c r="S2416" s="0" t="n">
        <f aca="false">04_回帰ANOVA!$K$19*04_回帰ANOVA!$K$14*SQRT(1+R2416)</f>
        <v>1.03329439695656</v>
      </c>
      <c r="T2416" s="0" t="n">
        <f aca="false">Q2416-S2416</f>
        <v>46.5325010575889</v>
      </c>
      <c r="U2416" s="0" t="n">
        <f aca="false">Q2416+S2416</f>
        <v>48.599089851502</v>
      </c>
      <c r="V2416" s="54" t="b">
        <f aca="false">AND(D2416&gt;=01_因子設定!$L$5-0.000000001,D2416&lt;=01_因子設定!$M$5+0.000000001,E2416&gt;=01_因子設定!$L$6-0.000000001,E2416&lt;=01_因子設定!$M$6+0.000000001,F2416&gt;=01_因子設定!$L$7-0.000000001,F2416&lt;=01_因子設定!$M$7+0.000000001,IF(01_因子設定!$B$20="Box-Behnken",D2416^2+E2416^2+F2416^2&lt;=2+0.000000001,TRUE()))</f>
        <v>1</v>
      </c>
      <c r="W2416" s="55" t="n">
        <f aca="false">IF(V2416,IF(01_因子設定!$B$13="最大化",T2416-01_因子設定!$B$14,IF(01_因子設定!$B$13="最小化",01_因子設定!$B$15-U2416,MIN(T2416-01_因子設定!$B$14,01_因子設定!$B$15-U2416))),-1E+030)</f>
        <v>-1.96749894241108</v>
      </c>
      <c r="X2416" s="55" t="n">
        <f aca="false">IF(V2416,IF(01_因子設定!$B$13="最大化",Q2416,IF(01_因子設定!$B$13="最小化",-Q2416,-ABS(Q2416-01_因子設定!$B$16))),-1E+030)</f>
        <v>47.5657954545455</v>
      </c>
      <c r="Y2416" s="55" t="n">
        <f aca="false">W2416+ROW()*0.000000001</f>
        <v>-1.96749652641108</v>
      </c>
      <c r="Z2416" s="55" t="n">
        <f aca="false">X2416+ROW()*0.000000001</f>
        <v>47.5657978705455</v>
      </c>
    </row>
    <row r="2417" customFormat="false" ht="15" hidden="false" customHeight="false" outlineLevel="0" collapsed="false">
      <c r="A2417" s="0" t="n">
        <v>8</v>
      </c>
      <c r="B2417" s="0" t="n">
        <v>5</v>
      </c>
      <c r="C2417" s="0" t="n">
        <v>15</v>
      </c>
      <c r="D2417" s="0" t="n">
        <f aca="false">-1+A2417*0.125</f>
        <v>0</v>
      </c>
      <c r="E2417" s="0" t="n">
        <f aca="false">-1+B2417*0.125</f>
        <v>-0.375</v>
      </c>
      <c r="F2417" s="0" t="n">
        <f aca="false">-1+C2417*0.125</f>
        <v>0.875</v>
      </c>
      <c r="G2417" s="0" t="n">
        <f aca="false">1</f>
        <v>1</v>
      </c>
      <c r="H2417" s="0" t="n">
        <f aca="false">D2417</f>
        <v>0</v>
      </c>
      <c r="I2417" s="0" t="n">
        <f aca="false">E2417</f>
        <v>-0.375</v>
      </c>
      <c r="J2417" s="0" t="n">
        <f aca="false">F2417</f>
        <v>0.875</v>
      </c>
      <c r="K2417" s="0" t="n">
        <f aca="false">D2417*E2417</f>
        <v>-0</v>
      </c>
      <c r="L2417" s="0" t="n">
        <f aca="false">D2417*F2417</f>
        <v>0</v>
      </c>
      <c r="M2417" s="0" t="n">
        <f aca="false">E2417*F2417</f>
        <v>-0.328125</v>
      </c>
      <c r="N2417" s="0" t="n">
        <f aca="false">D2417*D2417</f>
        <v>0</v>
      </c>
      <c r="O2417" s="0" t="n">
        <f aca="false">E2417*E2417</f>
        <v>0.140625</v>
      </c>
      <c r="P2417" s="0" t="n">
        <f aca="false">F2417*F2417</f>
        <v>0.765625</v>
      </c>
      <c r="Q2417" s="0" t="n">
        <f aca="false">SUMPRODUCT(G2417:P2417,_XtX!$B$71:$K$71)</f>
        <v>47.4780681818182</v>
      </c>
      <c r="R2417" s="0" t="n">
        <f aca="false">SUMPRODUCT(MMULT(G2417:P2417,_XtX!$B$58:$K$67),G2417:P2417)</f>
        <v>0.330863259055398</v>
      </c>
      <c r="S2417" s="0" t="n">
        <f aca="false">04_回帰ANOVA!$K$19*04_回帰ANOVA!$K$14*SQRT(1+R2417)</f>
        <v>1.07258903754571</v>
      </c>
      <c r="T2417" s="0" t="n">
        <f aca="false">Q2417-S2417</f>
        <v>46.4054791442725</v>
      </c>
      <c r="U2417" s="0" t="n">
        <f aca="false">Q2417+S2417</f>
        <v>48.5506572193639</v>
      </c>
      <c r="V2417" s="54" t="b">
        <f aca="false">AND(D2417&gt;=01_因子設定!$L$5-0.000000001,D2417&lt;=01_因子設定!$M$5+0.000000001,E2417&gt;=01_因子設定!$L$6-0.000000001,E2417&lt;=01_因子設定!$M$6+0.000000001,F2417&gt;=01_因子設定!$L$7-0.000000001,F2417&lt;=01_因子設定!$M$7+0.000000001,IF(01_因子設定!$B$20="Box-Behnken",D2417^2+E2417^2+F2417^2&lt;=2+0.000000001,TRUE()))</f>
        <v>1</v>
      </c>
      <c r="W2417" s="55" t="n">
        <f aca="false">IF(V2417,IF(01_因子設定!$B$13="最大化",T2417-01_因子設定!$B$14,IF(01_因子設定!$B$13="最小化",01_因子設定!$B$15-U2417,MIN(T2417-01_因子設定!$B$14,01_因子設定!$B$15-U2417))),-1E+030)</f>
        <v>-2.0945208557275</v>
      </c>
      <c r="X2417" s="55" t="n">
        <f aca="false">IF(V2417,IF(01_因子設定!$B$13="最大化",Q2417,IF(01_因子設定!$B$13="最小化",-Q2417,-ABS(Q2417-01_因子設定!$B$16))),-1E+030)</f>
        <v>47.4780681818182</v>
      </c>
      <c r="Y2417" s="55" t="n">
        <f aca="false">W2417+ROW()*0.000000001</f>
        <v>-2.0945184387275</v>
      </c>
      <c r="Z2417" s="55" t="n">
        <f aca="false">X2417+ROW()*0.000000001</f>
        <v>47.4780705988182</v>
      </c>
    </row>
    <row r="2418" customFormat="false" ht="15" hidden="false" customHeight="false" outlineLevel="0" collapsed="false">
      <c r="A2418" s="0" t="n">
        <v>8</v>
      </c>
      <c r="B2418" s="0" t="n">
        <v>5</v>
      </c>
      <c r="C2418" s="0" t="n">
        <v>16</v>
      </c>
      <c r="D2418" s="0" t="n">
        <f aca="false">-1+A2418*0.125</f>
        <v>0</v>
      </c>
      <c r="E2418" s="0" t="n">
        <f aca="false">-1+B2418*0.125</f>
        <v>-0.375</v>
      </c>
      <c r="F2418" s="0" t="n">
        <f aca="false">-1+C2418*0.125</f>
        <v>1</v>
      </c>
      <c r="G2418" s="0" t="n">
        <f aca="false">1</f>
        <v>1</v>
      </c>
      <c r="H2418" s="0" t="n">
        <f aca="false">D2418</f>
        <v>0</v>
      </c>
      <c r="I2418" s="0" t="n">
        <f aca="false">E2418</f>
        <v>-0.375</v>
      </c>
      <c r="J2418" s="0" t="n">
        <f aca="false">F2418</f>
        <v>1</v>
      </c>
      <c r="K2418" s="0" t="n">
        <f aca="false">D2418*E2418</f>
        <v>-0</v>
      </c>
      <c r="L2418" s="0" t="n">
        <f aca="false">D2418*F2418</f>
        <v>0</v>
      </c>
      <c r="M2418" s="0" t="n">
        <f aca="false">E2418*F2418</f>
        <v>-0.375</v>
      </c>
      <c r="N2418" s="0" t="n">
        <f aca="false">D2418*D2418</f>
        <v>0</v>
      </c>
      <c r="O2418" s="0" t="n">
        <f aca="false">E2418*E2418</f>
        <v>0.140625</v>
      </c>
      <c r="P2418" s="0" t="n">
        <f aca="false">F2418*F2418</f>
        <v>1</v>
      </c>
      <c r="Q2418" s="0" t="n">
        <f aca="false">SUMPRODUCT(G2418:P2418,_XtX!$B$71:$K$71)</f>
        <v>47.3535511363637</v>
      </c>
      <c r="R2418" s="0" t="n">
        <f aca="false">SUMPRODUCT(MMULT(G2418:P2418,_XtX!$B$58:$K$67),G2418:P2418)</f>
        <v>0.478604403409091</v>
      </c>
      <c r="S2418" s="0" t="n">
        <f aca="false">04_回帰ANOVA!$K$19*04_回帰ANOVA!$K$14*SQRT(1+R2418)</f>
        <v>1.13055744343508</v>
      </c>
      <c r="T2418" s="0" t="n">
        <f aca="false">Q2418-S2418</f>
        <v>46.2229936929286</v>
      </c>
      <c r="U2418" s="0" t="n">
        <f aca="false">Q2418+S2418</f>
        <v>48.4841085797987</v>
      </c>
      <c r="V2418" s="54" t="b">
        <f aca="false">AND(D2418&gt;=01_因子設定!$L$5-0.000000001,D2418&lt;=01_因子設定!$M$5+0.000000001,E2418&gt;=01_因子設定!$L$6-0.000000001,E2418&lt;=01_因子設定!$M$6+0.000000001,F2418&gt;=01_因子設定!$L$7-0.000000001,F2418&lt;=01_因子設定!$M$7+0.000000001,IF(01_因子設定!$B$20="Box-Behnken",D2418^2+E2418^2+F2418^2&lt;=2+0.000000001,TRUE()))</f>
        <v>1</v>
      </c>
      <c r="W2418" s="55" t="n">
        <f aca="false">IF(V2418,IF(01_因子設定!$B$13="最大化",T2418-01_因子設定!$B$14,IF(01_因子設定!$B$13="最小化",01_因子設定!$B$15-U2418,MIN(T2418-01_因子設定!$B$14,01_因子設定!$B$15-U2418))),-1E+030)</f>
        <v>-2.27700630707142</v>
      </c>
      <c r="X2418" s="55" t="n">
        <f aca="false">IF(V2418,IF(01_因子設定!$B$13="最大化",Q2418,IF(01_因子設定!$B$13="最小化",-Q2418,-ABS(Q2418-01_因子設定!$B$16))),-1E+030)</f>
        <v>47.3535511363637</v>
      </c>
      <c r="Y2418" s="55" t="n">
        <f aca="false">W2418+ROW()*0.000000001</f>
        <v>-2.27700388907142</v>
      </c>
      <c r="Z2418" s="55" t="n">
        <f aca="false">X2418+ROW()*0.000000001</f>
        <v>47.3535535543637</v>
      </c>
    </row>
    <row r="2419" customFormat="false" ht="15" hidden="false" customHeight="false" outlineLevel="0" collapsed="false">
      <c r="A2419" s="0" t="n">
        <v>8</v>
      </c>
      <c r="B2419" s="0" t="n">
        <v>6</v>
      </c>
      <c r="C2419" s="0" t="n">
        <v>0</v>
      </c>
      <c r="D2419" s="0" t="n">
        <f aca="false">-1+A2419*0.125</f>
        <v>0</v>
      </c>
      <c r="E2419" s="0" t="n">
        <f aca="false">-1+B2419*0.125</f>
        <v>-0.25</v>
      </c>
      <c r="F2419" s="0" t="n">
        <f aca="false">-1+C2419*0.125</f>
        <v>-1</v>
      </c>
      <c r="G2419" s="0" t="n">
        <f aca="false">1</f>
        <v>1</v>
      </c>
      <c r="H2419" s="0" t="n">
        <f aca="false">D2419</f>
        <v>0</v>
      </c>
      <c r="I2419" s="0" t="n">
        <f aca="false">E2419</f>
        <v>-0.25</v>
      </c>
      <c r="J2419" s="0" t="n">
        <f aca="false">F2419</f>
        <v>-1</v>
      </c>
      <c r="K2419" s="0" t="n">
        <f aca="false">D2419*E2419</f>
        <v>-0</v>
      </c>
      <c r="L2419" s="0" t="n">
        <f aca="false">D2419*F2419</f>
        <v>-0</v>
      </c>
      <c r="M2419" s="0" t="n">
        <f aca="false">E2419*F2419</f>
        <v>0.25</v>
      </c>
      <c r="N2419" s="0" t="n">
        <f aca="false">D2419*D2419</f>
        <v>0</v>
      </c>
      <c r="O2419" s="0" t="n">
        <f aca="false">E2419*E2419</f>
        <v>0.0625</v>
      </c>
      <c r="P2419" s="0" t="n">
        <f aca="false">F2419*F2419</f>
        <v>1</v>
      </c>
      <c r="Q2419" s="0" t="n">
        <f aca="false">SUMPRODUCT(G2419:P2419,_XtX!$B$71:$K$71)</f>
        <v>45.2919318181818</v>
      </c>
      <c r="R2419" s="0" t="n">
        <f aca="false">SUMPRODUCT(MMULT(G2419:P2419,_XtX!$B$58:$K$67),G2419:P2419)</f>
        <v>0.483664772727273</v>
      </c>
      <c r="S2419" s="0" t="n">
        <f aca="false">04_回帰ANOVA!$K$19*04_回帰ANOVA!$K$14*SQRT(1+R2419)</f>
        <v>1.13249039846694</v>
      </c>
      <c r="T2419" s="0" t="n">
        <f aca="false">Q2419-S2419</f>
        <v>44.1594414197149</v>
      </c>
      <c r="U2419" s="0" t="n">
        <f aca="false">Q2419+S2419</f>
        <v>46.4244222166488</v>
      </c>
      <c r="V2419" s="54" t="b">
        <f aca="false">AND(D2419&gt;=01_因子設定!$L$5-0.000000001,D2419&lt;=01_因子設定!$M$5+0.000000001,E2419&gt;=01_因子設定!$L$6-0.000000001,E2419&lt;=01_因子設定!$M$6+0.000000001,F2419&gt;=01_因子設定!$L$7-0.000000001,F2419&lt;=01_因子設定!$M$7+0.000000001,IF(01_因子設定!$B$20="Box-Behnken",D2419^2+E2419^2+F2419^2&lt;=2+0.000000001,TRUE()))</f>
        <v>1</v>
      </c>
      <c r="W2419" s="55" t="n">
        <f aca="false">IF(V2419,IF(01_因子設定!$B$13="最大化",T2419-01_因子設定!$B$14,IF(01_因子設定!$B$13="最小化",01_因子設定!$B$15-U2419,MIN(T2419-01_因子設定!$B$14,01_因子設定!$B$15-U2419))),-1E+030)</f>
        <v>-4.34055858028509</v>
      </c>
      <c r="X2419" s="55" t="n">
        <f aca="false">IF(V2419,IF(01_因子設定!$B$13="最大化",Q2419,IF(01_因子設定!$B$13="最小化",-Q2419,-ABS(Q2419-01_因子設定!$B$16))),-1E+030)</f>
        <v>45.2919318181818</v>
      </c>
      <c r="Y2419" s="55" t="n">
        <f aca="false">W2419+ROW()*0.000000001</f>
        <v>-4.34055616128509</v>
      </c>
      <c r="Z2419" s="55" t="n">
        <f aca="false">X2419+ROW()*0.000000001</f>
        <v>45.2919342371818</v>
      </c>
    </row>
    <row r="2420" customFormat="false" ht="15" hidden="false" customHeight="false" outlineLevel="0" collapsed="false">
      <c r="A2420" s="0" t="n">
        <v>8</v>
      </c>
      <c r="B2420" s="0" t="n">
        <v>6</v>
      </c>
      <c r="C2420" s="0" t="n">
        <v>1</v>
      </c>
      <c r="D2420" s="0" t="n">
        <f aca="false">-1+A2420*0.125</f>
        <v>0</v>
      </c>
      <c r="E2420" s="0" t="n">
        <f aca="false">-1+B2420*0.125</f>
        <v>-0.25</v>
      </c>
      <c r="F2420" s="0" t="n">
        <f aca="false">-1+C2420*0.125</f>
        <v>-0.875</v>
      </c>
      <c r="G2420" s="0" t="n">
        <f aca="false">1</f>
        <v>1</v>
      </c>
      <c r="H2420" s="0" t="n">
        <f aca="false">D2420</f>
        <v>0</v>
      </c>
      <c r="I2420" s="0" t="n">
        <f aca="false">E2420</f>
        <v>-0.25</v>
      </c>
      <c r="J2420" s="0" t="n">
        <f aca="false">F2420</f>
        <v>-0.875</v>
      </c>
      <c r="K2420" s="0" t="n">
        <f aca="false">D2420*E2420</f>
        <v>-0</v>
      </c>
      <c r="L2420" s="0" t="n">
        <f aca="false">D2420*F2420</f>
        <v>-0</v>
      </c>
      <c r="M2420" s="0" t="n">
        <f aca="false">E2420*F2420</f>
        <v>0.21875</v>
      </c>
      <c r="N2420" s="0" t="n">
        <f aca="false">D2420*D2420</f>
        <v>0</v>
      </c>
      <c r="O2420" s="0" t="n">
        <f aca="false">E2420*E2420</f>
        <v>0.0625</v>
      </c>
      <c r="P2420" s="0" t="n">
        <f aca="false">F2420*F2420</f>
        <v>0.765625</v>
      </c>
      <c r="Q2420" s="0" t="n">
        <f aca="false">SUMPRODUCT(G2420:P2420,_XtX!$B$71:$K$71)</f>
        <v>45.7262926136364</v>
      </c>
      <c r="R2420" s="0" t="n">
        <f aca="false">SUMPRODUCT(MMULT(G2420:P2420,_XtX!$B$58:$K$67),G2420:P2420)</f>
        <v>0.333218661221591</v>
      </c>
      <c r="S2420" s="0" t="n">
        <f aca="false">04_回帰ANOVA!$K$19*04_回帰ANOVA!$K$14*SQRT(1+R2420)</f>
        <v>1.07353776826542</v>
      </c>
      <c r="T2420" s="0" t="n">
        <f aca="false">Q2420-S2420</f>
        <v>44.652754845371</v>
      </c>
      <c r="U2420" s="0" t="n">
        <f aca="false">Q2420+S2420</f>
        <v>46.7998303819018</v>
      </c>
      <c r="V2420" s="54" t="b">
        <f aca="false">AND(D2420&gt;=01_因子設定!$L$5-0.000000001,D2420&lt;=01_因子設定!$M$5+0.000000001,E2420&gt;=01_因子設定!$L$6-0.000000001,E2420&lt;=01_因子設定!$M$6+0.000000001,F2420&gt;=01_因子設定!$L$7-0.000000001,F2420&lt;=01_因子設定!$M$7+0.000000001,IF(01_因子設定!$B$20="Box-Behnken",D2420^2+E2420^2+F2420^2&lt;=2+0.000000001,TRUE()))</f>
        <v>1</v>
      </c>
      <c r="W2420" s="55" t="n">
        <f aca="false">IF(V2420,IF(01_因子設定!$B$13="最大化",T2420-01_因子設定!$B$14,IF(01_因子設定!$B$13="最小化",01_因子設定!$B$15-U2420,MIN(T2420-01_因子設定!$B$14,01_因子設定!$B$15-U2420))),-1E+030)</f>
        <v>-3.84724515462903</v>
      </c>
      <c r="X2420" s="55" t="n">
        <f aca="false">IF(V2420,IF(01_因子設定!$B$13="最大化",Q2420,IF(01_因子設定!$B$13="最小化",-Q2420,-ABS(Q2420-01_因子設定!$B$16))),-1E+030)</f>
        <v>45.7262926136364</v>
      </c>
      <c r="Y2420" s="55" t="n">
        <f aca="false">W2420+ROW()*0.000000001</f>
        <v>-3.84724273462903</v>
      </c>
      <c r="Z2420" s="55" t="n">
        <f aca="false">X2420+ROW()*0.000000001</f>
        <v>45.7262950336364</v>
      </c>
    </row>
    <row r="2421" customFormat="false" ht="15" hidden="false" customHeight="false" outlineLevel="0" collapsed="false">
      <c r="A2421" s="0" t="n">
        <v>8</v>
      </c>
      <c r="B2421" s="0" t="n">
        <v>6</v>
      </c>
      <c r="C2421" s="0" t="n">
        <v>2</v>
      </c>
      <c r="D2421" s="0" t="n">
        <f aca="false">-1+A2421*0.125</f>
        <v>0</v>
      </c>
      <c r="E2421" s="0" t="n">
        <f aca="false">-1+B2421*0.125</f>
        <v>-0.25</v>
      </c>
      <c r="F2421" s="0" t="n">
        <f aca="false">-1+C2421*0.125</f>
        <v>-0.75</v>
      </c>
      <c r="G2421" s="0" t="n">
        <f aca="false">1</f>
        <v>1</v>
      </c>
      <c r="H2421" s="0" t="n">
        <f aca="false">D2421</f>
        <v>0</v>
      </c>
      <c r="I2421" s="0" t="n">
        <f aca="false">E2421</f>
        <v>-0.25</v>
      </c>
      <c r="J2421" s="0" t="n">
        <f aca="false">F2421</f>
        <v>-0.75</v>
      </c>
      <c r="K2421" s="0" t="n">
        <f aca="false">D2421*E2421</f>
        <v>-0</v>
      </c>
      <c r="L2421" s="0" t="n">
        <f aca="false">D2421*F2421</f>
        <v>-0</v>
      </c>
      <c r="M2421" s="0" t="n">
        <f aca="false">E2421*F2421</f>
        <v>0.1875</v>
      </c>
      <c r="N2421" s="0" t="n">
        <f aca="false">D2421*D2421</f>
        <v>0</v>
      </c>
      <c r="O2421" s="0" t="n">
        <f aca="false">E2421*E2421</f>
        <v>0.0625</v>
      </c>
      <c r="P2421" s="0" t="n">
        <f aca="false">F2421*F2421</f>
        <v>0.5625</v>
      </c>
      <c r="Q2421" s="0" t="n">
        <f aca="false">SUMPRODUCT(G2421:P2421,_XtX!$B$71:$K$71)</f>
        <v>46.1238636363637</v>
      </c>
      <c r="R2421" s="0" t="n">
        <f aca="false">SUMPRODUCT(MMULT(G2421:P2421,_XtX!$B$58:$K$67),G2421:P2421)</f>
        <v>0.235147372159091</v>
      </c>
      <c r="S2421" s="0" t="n">
        <f aca="false">04_回帰ANOVA!$K$19*04_回帰ANOVA!$K$14*SQRT(1+R2421)</f>
        <v>1.03329903885461</v>
      </c>
      <c r="T2421" s="0" t="n">
        <f aca="false">Q2421-S2421</f>
        <v>45.0905645975091</v>
      </c>
      <c r="U2421" s="0" t="n">
        <f aca="false">Q2421+S2421</f>
        <v>47.1571626752183</v>
      </c>
      <c r="V2421" s="54" t="b">
        <f aca="false">AND(D2421&gt;=01_因子設定!$L$5-0.000000001,D2421&lt;=01_因子設定!$M$5+0.000000001,E2421&gt;=01_因子設定!$L$6-0.000000001,E2421&lt;=01_因子設定!$M$6+0.000000001,F2421&gt;=01_因子設定!$L$7-0.000000001,F2421&lt;=01_因子設定!$M$7+0.000000001,IF(01_因子設定!$B$20="Box-Behnken",D2421^2+E2421^2+F2421^2&lt;=2+0.000000001,TRUE()))</f>
        <v>1</v>
      </c>
      <c r="W2421" s="55" t="n">
        <f aca="false">IF(V2421,IF(01_因子設定!$B$13="最大化",T2421-01_因子設定!$B$14,IF(01_因子設定!$B$13="最小化",01_因子設定!$B$15-U2421,MIN(T2421-01_因子設定!$B$14,01_因子設定!$B$15-U2421))),-1E+030)</f>
        <v>-3.40943540249095</v>
      </c>
      <c r="X2421" s="55" t="n">
        <f aca="false">IF(V2421,IF(01_因子設定!$B$13="最大化",Q2421,IF(01_因子設定!$B$13="最小化",-Q2421,-ABS(Q2421-01_因子設定!$B$16))),-1E+030)</f>
        <v>46.1238636363637</v>
      </c>
      <c r="Y2421" s="55" t="n">
        <f aca="false">W2421+ROW()*0.000000001</f>
        <v>-3.40943298149095</v>
      </c>
      <c r="Z2421" s="55" t="n">
        <f aca="false">X2421+ROW()*0.000000001</f>
        <v>46.1238660573637</v>
      </c>
    </row>
    <row r="2422" customFormat="false" ht="15" hidden="false" customHeight="false" outlineLevel="0" collapsed="false">
      <c r="A2422" s="0" t="n">
        <v>8</v>
      </c>
      <c r="B2422" s="0" t="n">
        <v>6</v>
      </c>
      <c r="C2422" s="0" t="n">
        <v>3</v>
      </c>
      <c r="D2422" s="0" t="n">
        <f aca="false">-1+A2422*0.125</f>
        <v>0</v>
      </c>
      <c r="E2422" s="0" t="n">
        <f aca="false">-1+B2422*0.125</f>
        <v>-0.25</v>
      </c>
      <c r="F2422" s="0" t="n">
        <f aca="false">-1+C2422*0.125</f>
        <v>-0.625</v>
      </c>
      <c r="G2422" s="0" t="n">
        <f aca="false">1</f>
        <v>1</v>
      </c>
      <c r="H2422" s="0" t="n">
        <f aca="false">D2422</f>
        <v>0</v>
      </c>
      <c r="I2422" s="0" t="n">
        <f aca="false">E2422</f>
        <v>-0.25</v>
      </c>
      <c r="J2422" s="0" t="n">
        <f aca="false">F2422</f>
        <v>-0.625</v>
      </c>
      <c r="K2422" s="0" t="n">
        <f aca="false">D2422*E2422</f>
        <v>-0</v>
      </c>
      <c r="L2422" s="0" t="n">
        <f aca="false">D2422*F2422</f>
        <v>-0</v>
      </c>
      <c r="M2422" s="0" t="n">
        <f aca="false">E2422*F2422</f>
        <v>0.15625</v>
      </c>
      <c r="N2422" s="0" t="n">
        <f aca="false">D2422*D2422</f>
        <v>0</v>
      </c>
      <c r="O2422" s="0" t="n">
        <f aca="false">E2422*E2422</f>
        <v>0.0625</v>
      </c>
      <c r="P2422" s="0" t="n">
        <f aca="false">F2422*F2422</f>
        <v>0.390625</v>
      </c>
      <c r="Q2422" s="0" t="n">
        <f aca="false">SUMPRODUCT(G2422:P2422,_XtX!$B$71:$K$71)</f>
        <v>46.4846448863637</v>
      </c>
      <c r="R2422" s="0" t="n">
        <f aca="false">SUMPRODUCT(MMULT(G2422:P2422,_XtX!$B$58:$K$67),G2422:P2422)</f>
        <v>0.175601473721591</v>
      </c>
      <c r="S2422" s="0" t="n">
        <f aca="false">04_回帰ANOVA!$K$19*04_回帰ANOVA!$K$14*SQRT(1+R2422)</f>
        <v>1.00808394234856</v>
      </c>
      <c r="T2422" s="0" t="n">
        <f aca="false">Q2422-S2422</f>
        <v>45.4765609440151</v>
      </c>
      <c r="U2422" s="0" t="n">
        <f aca="false">Q2422+S2422</f>
        <v>47.4927288287122</v>
      </c>
      <c r="V2422" s="54" t="b">
        <f aca="false">AND(D2422&gt;=01_因子設定!$L$5-0.000000001,D2422&lt;=01_因子設定!$M$5+0.000000001,E2422&gt;=01_因子設定!$L$6-0.000000001,E2422&lt;=01_因子設定!$M$6+0.000000001,F2422&gt;=01_因子設定!$L$7-0.000000001,F2422&lt;=01_因子設定!$M$7+0.000000001,IF(01_因子設定!$B$20="Box-Behnken",D2422^2+E2422^2+F2422^2&lt;=2+0.000000001,TRUE()))</f>
        <v>1</v>
      </c>
      <c r="W2422" s="55" t="n">
        <f aca="false">IF(V2422,IF(01_因子設定!$B$13="最大化",T2422-01_因子設定!$B$14,IF(01_因子設定!$B$13="最小化",01_因子設定!$B$15-U2422,MIN(T2422-01_因子設定!$B$14,01_因子設定!$B$15-U2422))),-1E+030)</f>
        <v>-3.02343905598491</v>
      </c>
      <c r="X2422" s="55" t="n">
        <f aca="false">IF(V2422,IF(01_因子設定!$B$13="最大化",Q2422,IF(01_因子設定!$B$13="最小化",-Q2422,-ABS(Q2422-01_因子設定!$B$16))),-1E+030)</f>
        <v>46.4846448863637</v>
      </c>
      <c r="Y2422" s="55" t="n">
        <f aca="false">W2422+ROW()*0.000000001</f>
        <v>-3.02343663398491</v>
      </c>
      <c r="Z2422" s="55" t="n">
        <f aca="false">X2422+ROW()*0.000000001</f>
        <v>46.4846473083637</v>
      </c>
    </row>
    <row r="2423" customFormat="false" ht="15" hidden="false" customHeight="false" outlineLevel="0" collapsed="false">
      <c r="A2423" s="0" t="n">
        <v>8</v>
      </c>
      <c r="B2423" s="0" t="n">
        <v>6</v>
      </c>
      <c r="C2423" s="0" t="n">
        <v>4</v>
      </c>
      <c r="D2423" s="0" t="n">
        <f aca="false">-1+A2423*0.125</f>
        <v>0</v>
      </c>
      <c r="E2423" s="0" t="n">
        <f aca="false">-1+B2423*0.125</f>
        <v>-0.25</v>
      </c>
      <c r="F2423" s="0" t="n">
        <f aca="false">-1+C2423*0.125</f>
        <v>-0.5</v>
      </c>
      <c r="G2423" s="0" t="n">
        <f aca="false">1</f>
        <v>1</v>
      </c>
      <c r="H2423" s="0" t="n">
        <f aca="false">D2423</f>
        <v>0</v>
      </c>
      <c r="I2423" s="0" t="n">
        <f aca="false">E2423</f>
        <v>-0.25</v>
      </c>
      <c r="J2423" s="0" t="n">
        <f aca="false">F2423</f>
        <v>-0.5</v>
      </c>
      <c r="K2423" s="0" t="n">
        <f aca="false">D2423*E2423</f>
        <v>-0</v>
      </c>
      <c r="L2423" s="0" t="n">
        <f aca="false">D2423*F2423</f>
        <v>-0</v>
      </c>
      <c r="M2423" s="0" t="n">
        <f aca="false">E2423*F2423</f>
        <v>0.125</v>
      </c>
      <c r="N2423" s="0" t="n">
        <f aca="false">D2423*D2423</f>
        <v>0</v>
      </c>
      <c r="O2423" s="0" t="n">
        <f aca="false">E2423*E2423</f>
        <v>0.0625</v>
      </c>
      <c r="P2423" s="0" t="n">
        <f aca="false">F2423*F2423</f>
        <v>0.25</v>
      </c>
      <c r="Q2423" s="0" t="n">
        <f aca="false">SUMPRODUCT(G2423:P2423,_XtX!$B$71:$K$71)</f>
        <v>46.8086363636364</v>
      </c>
      <c r="R2423" s="0" t="n">
        <f aca="false">SUMPRODUCT(MMULT(G2423:P2423,_XtX!$B$58:$K$67),G2423:P2423)</f>
        <v>0.142862215909091</v>
      </c>
      <c r="S2423" s="0" t="n">
        <f aca="false">04_回帰ANOVA!$K$19*04_回帰ANOVA!$K$14*SQRT(1+R2423)</f>
        <v>0.993947792354123</v>
      </c>
      <c r="T2423" s="0" t="n">
        <f aca="false">Q2423-S2423</f>
        <v>45.8146885712823</v>
      </c>
      <c r="U2423" s="0" t="n">
        <f aca="false">Q2423+S2423</f>
        <v>47.8025841559905</v>
      </c>
      <c r="V2423" s="54" t="b">
        <f aca="false">AND(D2423&gt;=01_因子設定!$L$5-0.000000001,D2423&lt;=01_因子設定!$M$5+0.000000001,E2423&gt;=01_因子設定!$L$6-0.000000001,E2423&lt;=01_因子設定!$M$6+0.000000001,F2423&gt;=01_因子設定!$L$7-0.000000001,F2423&lt;=01_因子設定!$M$7+0.000000001,IF(01_因子設定!$B$20="Box-Behnken",D2423^2+E2423^2+F2423^2&lt;=2+0.000000001,TRUE()))</f>
        <v>1</v>
      </c>
      <c r="W2423" s="55" t="n">
        <f aca="false">IF(V2423,IF(01_因子設定!$B$13="最大化",T2423-01_因子設定!$B$14,IF(01_因子設定!$B$13="最小化",01_因子設定!$B$15-U2423,MIN(T2423-01_因子設定!$B$14,01_因子設定!$B$15-U2423))),-1E+030)</f>
        <v>-2.68531142871775</v>
      </c>
      <c r="X2423" s="55" t="n">
        <f aca="false">IF(V2423,IF(01_因子設定!$B$13="最大化",Q2423,IF(01_因子設定!$B$13="最小化",-Q2423,-ABS(Q2423-01_因子設定!$B$16))),-1E+030)</f>
        <v>46.8086363636364</v>
      </c>
      <c r="Y2423" s="55" t="n">
        <f aca="false">W2423+ROW()*0.000000001</f>
        <v>-2.68530900571775</v>
      </c>
      <c r="Z2423" s="55" t="n">
        <f aca="false">X2423+ROW()*0.000000001</f>
        <v>46.8086387866364</v>
      </c>
    </row>
    <row r="2424" customFormat="false" ht="15" hidden="false" customHeight="false" outlineLevel="0" collapsed="false">
      <c r="A2424" s="0" t="n">
        <v>8</v>
      </c>
      <c r="B2424" s="0" t="n">
        <v>6</v>
      </c>
      <c r="C2424" s="0" t="n">
        <v>5</v>
      </c>
      <c r="D2424" s="0" t="n">
        <f aca="false">-1+A2424*0.125</f>
        <v>0</v>
      </c>
      <c r="E2424" s="0" t="n">
        <f aca="false">-1+B2424*0.125</f>
        <v>-0.25</v>
      </c>
      <c r="F2424" s="0" t="n">
        <f aca="false">-1+C2424*0.125</f>
        <v>-0.375</v>
      </c>
      <c r="G2424" s="0" t="n">
        <f aca="false">1</f>
        <v>1</v>
      </c>
      <c r="H2424" s="0" t="n">
        <f aca="false">D2424</f>
        <v>0</v>
      </c>
      <c r="I2424" s="0" t="n">
        <f aca="false">E2424</f>
        <v>-0.25</v>
      </c>
      <c r="J2424" s="0" t="n">
        <f aca="false">F2424</f>
        <v>-0.375</v>
      </c>
      <c r="K2424" s="0" t="n">
        <f aca="false">D2424*E2424</f>
        <v>-0</v>
      </c>
      <c r="L2424" s="0" t="n">
        <f aca="false">D2424*F2424</f>
        <v>-0</v>
      </c>
      <c r="M2424" s="0" t="n">
        <f aca="false">E2424*F2424</f>
        <v>0.09375</v>
      </c>
      <c r="N2424" s="0" t="n">
        <f aca="false">D2424*D2424</f>
        <v>0</v>
      </c>
      <c r="O2424" s="0" t="n">
        <f aca="false">E2424*E2424</f>
        <v>0.0625</v>
      </c>
      <c r="P2424" s="0" t="n">
        <f aca="false">F2424*F2424</f>
        <v>0.140625</v>
      </c>
      <c r="Q2424" s="0" t="n">
        <f aca="false">SUMPRODUCT(G2424:P2424,_XtX!$B$71:$K$71)</f>
        <v>47.0958380681818</v>
      </c>
      <c r="R2424" s="0" t="n">
        <f aca="false">SUMPRODUCT(MMULT(G2424:P2424,_XtX!$B$58:$K$67),G2424:P2424)</f>
        <v>0.127341530539773</v>
      </c>
      <c r="S2424" s="0" t="n">
        <f aca="false">04_回帰ANOVA!$K$19*04_回帰ANOVA!$K$14*SQRT(1+R2424)</f>
        <v>0.987175547486288</v>
      </c>
      <c r="T2424" s="0" t="n">
        <f aca="false">Q2424-S2424</f>
        <v>46.1086625206955</v>
      </c>
      <c r="U2424" s="0" t="n">
        <f aca="false">Q2424+S2424</f>
        <v>48.0830136156681</v>
      </c>
      <c r="V2424" s="54" t="b">
        <f aca="false">AND(D2424&gt;=01_因子設定!$L$5-0.000000001,D2424&lt;=01_因子設定!$M$5+0.000000001,E2424&gt;=01_因子設定!$L$6-0.000000001,E2424&lt;=01_因子設定!$M$6+0.000000001,F2424&gt;=01_因子設定!$L$7-0.000000001,F2424&lt;=01_因子設定!$M$7+0.000000001,IF(01_因子設定!$B$20="Box-Behnken",D2424^2+E2424^2+F2424^2&lt;=2+0.000000001,TRUE()))</f>
        <v>1</v>
      </c>
      <c r="W2424" s="55" t="n">
        <f aca="false">IF(V2424,IF(01_因子設定!$B$13="最大化",T2424-01_因子設定!$B$14,IF(01_因子設定!$B$13="最小化",01_因子設定!$B$15-U2424,MIN(T2424-01_因子設定!$B$14,01_因子設定!$B$15-U2424))),-1E+030)</f>
        <v>-2.39133747930446</v>
      </c>
      <c r="X2424" s="55" t="n">
        <f aca="false">IF(V2424,IF(01_因子設定!$B$13="最大化",Q2424,IF(01_因子設定!$B$13="最小化",-Q2424,-ABS(Q2424-01_因子設定!$B$16))),-1E+030)</f>
        <v>47.0958380681818</v>
      </c>
      <c r="Y2424" s="55" t="n">
        <f aca="false">W2424+ROW()*0.000000001</f>
        <v>-2.39133505530446</v>
      </c>
      <c r="Z2424" s="55" t="n">
        <f aca="false">X2424+ROW()*0.000000001</f>
        <v>47.0958404921818</v>
      </c>
    </row>
    <row r="2425" customFormat="false" ht="15" hidden="false" customHeight="false" outlineLevel="0" collapsed="false">
      <c r="A2425" s="0" t="n">
        <v>8</v>
      </c>
      <c r="B2425" s="0" t="n">
        <v>6</v>
      </c>
      <c r="C2425" s="0" t="n">
        <v>6</v>
      </c>
      <c r="D2425" s="0" t="n">
        <f aca="false">-1+A2425*0.125</f>
        <v>0</v>
      </c>
      <c r="E2425" s="0" t="n">
        <f aca="false">-1+B2425*0.125</f>
        <v>-0.25</v>
      </c>
      <c r="F2425" s="0" t="n">
        <f aca="false">-1+C2425*0.125</f>
        <v>-0.25</v>
      </c>
      <c r="G2425" s="0" t="n">
        <f aca="false">1</f>
        <v>1</v>
      </c>
      <c r="H2425" s="0" t="n">
        <f aca="false">D2425</f>
        <v>0</v>
      </c>
      <c r="I2425" s="0" t="n">
        <f aca="false">E2425</f>
        <v>-0.25</v>
      </c>
      <c r="J2425" s="0" t="n">
        <f aca="false">F2425</f>
        <v>-0.25</v>
      </c>
      <c r="K2425" s="0" t="n">
        <f aca="false">D2425*E2425</f>
        <v>-0</v>
      </c>
      <c r="L2425" s="0" t="n">
        <f aca="false">D2425*F2425</f>
        <v>-0</v>
      </c>
      <c r="M2425" s="0" t="n">
        <f aca="false">E2425*F2425</f>
        <v>0.0625</v>
      </c>
      <c r="N2425" s="0" t="n">
        <f aca="false">D2425*D2425</f>
        <v>0</v>
      </c>
      <c r="O2425" s="0" t="n">
        <f aca="false">E2425*E2425</f>
        <v>0.0625</v>
      </c>
      <c r="P2425" s="0" t="n">
        <f aca="false">F2425*F2425</f>
        <v>0.0625</v>
      </c>
      <c r="Q2425" s="0" t="n">
        <f aca="false">SUMPRODUCT(G2425:P2425,_XtX!$B$71:$K$71)</f>
        <v>47.34625</v>
      </c>
      <c r="R2425" s="0" t="n">
        <f aca="false">SUMPRODUCT(MMULT(G2425:P2425,_XtX!$B$58:$K$67),G2425:P2425)</f>
        <v>0.12158203125</v>
      </c>
      <c r="S2425" s="0" t="n">
        <f aca="false">04_回帰ANOVA!$K$19*04_回帰ANOVA!$K$14*SQRT(1+R2425)</f>
        <v>0.984650617290782</v>
      </c>
      <c r="T2425" s="0" t="n">
        <f aca="false">Q2425-S2425</f>
        <v>46.3615993827092</v>
      </c>
      <c r="U2425" s="0" t="n">
        <f aca="false">Q2425+S2425</f>
        <v>48.3309006172908</v>
      </c>
      <c r="V2425" s="54" t="b">
        <f aca="false">AND(D2425&gt;=01_因子設定!$L$5-0.000000001,D2425&lt;=01_因子設定!$M$5+0.000000001,E2425&gt;=01_因子設定!$L$6-0.000000001,E2425&lt;=01_因子設定!$M$6+0.000000001,F2425&gt;=01_因子設定!$L$7-0.000000001,F2425&lt;=01_因子設定!$M$7+0.000000001,IF(01_因子設定!$B$20="Box-Behnken",D2425^2+E2425^2+F2425^2&lt;=2+0.000000001,TRUE()))</f>
        <v>1</v>
      </c>
      <c r="W2425" s="55" t="n">
        <f aca="false">IF(V2425,IF(01_因子設定!$B$13="最大化",T2425-01_因子設定!$B$14,IF(01_因子設定!$B$13="最小化",01_因子設定!$B$15-U2425,MIN(T2425-01_因子設定!$B$14,01_因子設定!$B$15-U2425))),-1E+030)</f>
        <v>-2.13840061729077</v>
      </c>
      <c r="X2425" s="55" t="n">
        <f aca="false">IF(V2425,IF(01_因子設定!$B$13="最大化",Q2425,IF(01_因子設定!$B$13="最小化",-Q2425,-ABS(Q2425-01_因子設定!$B$16))),-1E+030)</f>
        <v>47.34625</v>
      </c>
      <c r="Y2425" s="55" t="n">
        <f aca="false">W2425+ROW()*0.000000001</f>
        <v>-2.13839819229077</v>
      </c>
      <c r="Z2425" s="55" t="n">
        <f aca="false">X2425+ROW()*0.000000001</f>
        <v>47.346252425</v>
      </c>
    </row>
    <row r="2426" customFormat="false" ht="15" hidden="false" customHeight="false" outlineLevel="0" collapsed="false">
      <c r="A2426" s="0" t="n">
        <v>8</v>
      </c>
      <c r="B2426" s="0" t="n">
        <v>6</v>
      </c>
      <c r="C2426" s="0" t="n">
        <v>7</v>
      </c>
      <c r="D2426" s="0" t="n">
        <f aca="false">-1+A2426*0.125</f>
        <v>0</v>
      </c>
      <c r="E2426" s="0" t="n">
        <f aca="false">-1+B2426*0.125</f>
        <v>-0.25</v>
      </c>
      <c r="F2426" s="0" t="n">
        <f aca="false">-1+C2426*0.125</f>
        <v>-0.125</v>
      </c>
      <c r="G2426" s="0" t="n">
        <f aca="false">1</f>
        <v>1</v>
      </c>
      <c r="H2426" s="0" t="n">
        <f aca="false">D2426</f>
        <v>0</v>
      </c>
      <c r="I2426" s="0" t="n">
        <f aca="false">E2426</f>
        <v>-0.25</v>
      </c>
      <c r="J2426" s="0" t="n">
        <f aca="false">F2426</f>
        <v>-0.125</v>
      </c>
      <c r="K2426" s="0" t="n">
        <f aca="false">D2426*E2426</f>
        <v>-0</v>
      </c>
      <c r="L2426" s="0" t="n">
        <f aca="false">D2426*F2426</f>
        <v>-0</v>
      </c>
      <c r="M2426" s="0" t="n">
        <f aca="false">E2426*F2426</f>
        <v>0.03125</v>
      </c>
      <c r="N2426" s="0" t="n">
        <f aca="false">D2426*D2426</f>
        <v>0</v>
      </c>
      <c r="O2426" s="0" t="n">
        <f aca="false">E2426*E2426</f>
        <v>0.0625</v>
      </c>
      <c r="P2426" s="0" t="n">
        <f aca="false">F2426*F2426</f>
        <v>0.015625</v>
      </c>
      <c r="Q2426" s="0" t="n">
        <f aca="false">SUMPRODUCT(G2426:P2426,_XtX!$B$71:$K$71)</f>
        <v>47.5598721590909</v>
      </c>
      <c r="R2426" s="0" t="n">
        <f aca="false">SUMPRODUCT(MMULT(G2426:P2426,_XtX!$B$58:$K$67),G2426:P2426)</f>
        <v>0.120257013494318</v>
      </c>
      <c r="S2426" s="0" t="n">
        <f aca="false">04_回帰ANOVA!$K$19*04_回帰ANOVA!$K$14*SQRT(1+R2426)</f>
        <v>0.984068820741811</v>
      </c>
      <c r="T2426" s="0" t="n">
        <f aca="false">Q2426-S2426</f>
        <v>46.5758033383491</v>
      </c>
      <c r="U2426" s="0" t="n">
        <f aca="false">Q2426+S2426</f>
        <v>48.5439409798327</v>
      </c>
      <c r="V2426" s="54" t="b">
        <f aca="false">AND(D2426&gt;=01_因子設定!$L$5-0.000000001,D2426&lt;=01_因子設定!$M$5+0.000000001,E2426&gt;=01_因子設定!$L$6-0.000000001,E2426&lt;=01_因子設定!$M$6+0.000000001,F2426&gt;=01_因子設定!$L$7-0.000000001,F2426&lt;=01_因子設定!$M$7+0.000000001,IF(01_因子設定!$B$20="Box-Behnken",D2426^2+E2426^2+F2426^2&lt;=2+0.000000001,TRUE()))</f>
        <v>1</v>
      </c>
      <c r="W2426" s="55" t="n">
        <f aca="false">IF(V2426,IF(01_因子設定!$B$13="最大化",T2426-01_因子設定!$B$14,IF(01_因子設定!$B$13="最小化",01_因子設定!$B$15-U2426,MIN(T2426-01_因子設定!$B$14,01_因子設定!$B$15-U2426))),-1E+030)</f>
        <v>-1.9241966616509</v>
      </c>
      <c r="X2426" s="55" t="n">
        <f aca="false">IF(V2426,IF(01_因子設定!$B$13="最大化",Q2426,IF(01_因子設定!$B$13="最小化",-Q2426,-ABS(Q2426-01_因子設定!$B$16))),-1E+030)</f>
        <v>47.5598721590909</v>
      </c>
      <c r="Y2426" s="55" t="n">
        <f aca="false">W2426+ROW()*0.000000001</f>
        <v>-1.9241942356509</v>
      </c>
      <c r="Z2426" s="55" t="n">
        <f aca="false">X2426+ROW()*0.000000001</f>
        <v>47.5598745850909</v>
      </c>
    </row>
    <row r="2427" customFormat="false" ht="15" hidden="false" customHeight="false" outlineLevel="0" collapsed="false">
      <c r="A2427" s="0" t="n">
        <v>8</v>
      </c>
      <c r="B2427" s="0" t="n">
        <v>6</v>
      </c>
      <c r="C2427" s="0" t="n">
        <v>8</v>
      </c>
      <c r="D2427" s="0" t="n">
        <f aca="false">-1+A2427*0.125</f>
        <v>0</v>
      </c>
      <c r="E2427" s="0" t="n">
        <f aca="false">-1+B2427*0.125</f>
        <v>-0.25</v>
      </c>
      <c r="F2427" s="0" t="n">
        <f aca="false">-1+C2427*0.125</f>
        <v>0</v>
      </c>
      <c r="G2427" s="0" t="n">
        <f aca="false">1</f>
        <v>1</v>
      </c>
      <c r="H2427" s="0" t="n">
        <f aca="false">D2427</f>
        <v>0</v>
      </c>
      <c r="I2427" s="0" t="n">
        <f aca="false">E2427</f>
        <v>-0.25</v>
      </c>
      <c r="J2427" s="0" t="n">
        <f aca="false">F2427</f>
        <v>0</v>
      </c>
      <c r="K2427" s="0" t="n">
        <f aca="false">D2427*E2427</f>
        <v>-0</v>
      </c>
      <c r="L2427" s="0" t="n">
        <f aca="false">D2427*F2427</f>
        <v>0</v>
      </c>
      <c r="M2427" s="0" t="n">
        <f aca="false">E2427*F2427</f>
        <v>-0</v>
      </c>
      <c r="N2427" s="0" t="n">
        <f aca="false">D2427*D2427</f>
        <v>0</v>
      </c>
      <c r="O2427" s="0" t="n">
        <f aca="false">E2427*E2427</f>
        <v>0.0625</v>
      </c>
      <c r="P2427" s="0" t="n">
        <f aca="false">F2427*F2427</f>
        <v>0</v>
      </c>
      <c r="Q2427" s="0" t="n">
        <f aca="false">SUMPRODUCT(G2427:P2427,_XtX!$B$71:$K$71)</f>
        <v>47.7367045454546</v>
      </c>
      <c r="R2427" s="0" t="n">
        <f aca="false">SUMPRODUCT(MMULT(G2427:P2427,_XtX!$B$58:$K$67),G2427:P2427)</f>
        <v>0.120170454545455</v>
      </c>
      <c r="S2427" s="0" t="n">
        <f aca="false">04_回帰ANOVA!$K$19*04_回帰ANOVA!$K$14*SQRT(1+R2427)</f>
        <v>0.984030801962561</v>
      </c>
      <c r="T2427" s="0" t="n">
        <f aca="false">Q2427-S2427</f>
        <v>46.752673743492</v>
      </c>
      <c r="U2427" s="0" t="n">
        <f aca="false">Q2427+S2427</f>
        <v>48.7207353474171</v>
      </c>
      <c r="V2427" s="54" t="b">
        <f aca="false">AND(D2427&gt;=01_因子設定!$L$5-0.000000001,D2427&lt;=01_因子設定!$M$5+0.000000001,E2427&gt;=01_因子設定!$L$6-0.000000001,E2427&lt;=01_因子設定!$M$6+0.000000001,F2427&gt;=01_因子設定!$L$7-0.000000001,F2427&lt;=01_因子設定!$M$7+0.000000001,IF(01_因子設定!$B$20="Box-Behnken",D2427^2+E2427^2+F2427^2&lt;=2+0.000000001,TRUE()))</f>
        <v>1</v>
      </c>
      <c r="W2427" s="55" t="n">
        <f aca="false">IF(V2427,IF(01_因子設定!$B$13="最大化",T2427-01_因子設定!$B$14,IF(01_因子設定!$B$13="最小化",01_因子設定!$B$15-U2427,MIN(T2427-01_因子設定!$B$14,01_因子設定!$B$15-U2427))),-1E+030)</f>
        <v>-1.747326256508</v>
      </c>
      <c r="X2427" s="55" t="n">
        <f aca="false">IF(V2427,IF(01_因子設定!$B$13="最大化",Q2427,IF(01_因子設定!$B$13="最小化",-Q2427,-ABS(Q2427-01_因子設定!$B$16))),-1E+030)</f>
        <v>47.7367045454546</v>
      </c>
      <c r="Y2427" s="55" t="n">
        <f aca="false">W2427+ROW()*0.000000001</f>
        <v>-1.747323829508</v>
      </c>
      <c r="Z2427" s="55" t="n">
        <f aca="false">X2427+ROW()*0.000000001</f>
        <v>47.7367069724546</v>
      </c>
    </row>
    <row r="2428" customFormat="false" ht="15" hidden="false" customHeight="false" outlineLevel="0" collapsed="false">
      <c r="A2428" s="0" t="n">
        <v>8</v>
      </c>
      <c r="B2428" s="0" t="n">
        <v>6</v>
      </c>
      <c r="C2428" s="0" t="n">
        <v>9</v>
      </c>
      <c r="D2428" s="0" t="n">
        <f aca="false">-1+A2428*0.125</f>
        <v>0</v>
      </c>
      <c r="E2428" s="0" t="n">
        <f aca="false">-1+B2428*0.125</f>
        <v>-0.25</v>
      </c>
      <c r="F2428" s="0" t="n">
        <f aca="false">-1+C2428*0.125</f>
        <v>0.125</v>
      </c>
      <c r="G2428" s="0" t="n">
        <f aca="false">1</f>
        <v>1</v>
      </c>
      <c r="H2428" s="0" t="n">
        <f aca="false">D2428</f>
        <v>0</v>
      </c>
      <c r="I2428" s="0" t="n">
        <f aca="false">E2428</f>
        <v>-0.25</v>
      </c>
      <c r="J2428" s="0" t="n">
        <f aca="false">F2428</f>
        <v>0.125</v>
      </c>
      <c r="K2428" s="0" t="n">
        <f aca="false">D2428*E2428</f>
        <v>-0</v>
      </c>
      <c r="L2428" s="0" t="n">
        <f aca="false">D2428*F2428</f>
        <v>0</v>
      </c>
      <c r="M2428" s="0" t="n">
        <f aca="false">E2428*F2428</f>
        <v>-0.03125</v>
      </c>
      <c r="N2428" s="0" t="n">
        <f aca="false">D2428*D2428</f>
        <v>0</v>
      </c>
      <c r="O2428" s="0" t="n">
        <f aca="false">E2428*E2428</f>
        <v>0.0625</v>
      </c>
      <c r="P2428" s="0" t="n">
        <f aca="false">F2428*F2428</f>
        <v>0.015625</v>
      </c>
      <c r="Q2428" s="0" t="n">
        <f aca="false">SUMPRODUCT(G2428:P2428,_XtX!$B$71:$K$71)</f>
        <v>47.8767471590909</v>
      </c>
      <c r="R2428" s="0" t="n">
        <f aca="false">SUMPRODUCT(MMULT(G2428:P2428,_XtX!$B$58:$K$67),G2428:P2428)</f>
        <v>0.120257013494318</v>
      </c>
      <c r="S2428" s="0" t="n">
        <f aca="false">04_回帰ANOVA!$K$19*04_回帰ANOVA!$K$14*SQRT(1+R2428)</f>
        <v>0.984068820741811</v>
      </c>
      <c r="T2428" s="0" t="n">
        <f aca="false">Q2428-S2428</f>
        <v>46.8926783383491</v>
      </c>
      <c r="U2428" s="0" t="n">
        <f aca="false">Q2428+S2428</f>
        <v>48.8608159798327</v>
      </c>
      <c r="V2428" s="54" t="b">
        <f aca="false">AND(D2428&gt;=01_因子設定!$L$5-0.000000001,D2428&lt;=01_因子設定!$M$5+0.000000001,E2428&gt;=01_因子設定!$L$6-0.000000001,E2428&lt;=01_因子設定!$M$6+0.000000001,F2428&gt;=01_因子設定!$L$7-0.000000001,F2428&lt;=01_因子設定!$M$7+0.000000001,IF(01_因子設定!$B$20="Box-Behnken",D2428^2+E2428^2+F2428^2&lt;=2+0.000000001,TRUE()))</f>
        <v>1</v>
      </c>
      <c r="W2428" s="55" t="n">
        <f aca="false">IF(V2428,IF(01_因子設定!$B$13="最大化",T2428-01_因子設定!$B$14,IF(01_因子設定!$B$13="最小化",01_因子設定!$B$15-U2428,MIN(T2428-01_因子設定!$B$14,01_因子設定!$B$15-U2428))),-1E+030)</f>
        <v>-1.60732166165089</v>
      </c>
      <c r="X2428" s="55" t="n">
        <f aca="false">IF(V2428,IF(01_因子設定!$B$13="最大化",Q2428,IF(01_因子設定!$B$13="最小化",-Q2428,-ABS(Q2428-01_因子設定!$B$16))),-1E+030)</f>
        <v>47.8767471590909</v>
      </c>
      <c r="Y2428" s="55" t="n">
        <f aca="false">W2428+ROW()*0.000000001</f>
        <v>-1.60731923365089</v>
      </c>
      <c r="Z2428" s="55" t="n">
        <f aca="false">X2428+ROW()*0.000000001</f>
        <v>47.8767495870909</v>
      </c>
    </row>
    <row r="2429" customFormat="false" ht="15" hidden="false" customHeight="false" outlineLevel="0" collapsed="false">
      <c r="A2429" s="0" t="n">
        <v>8</v>
      </c>
      <c r="B2429" s="0" t="n">
        <v>6</v>
      </c>
      <c r="C2429" s="0" t="n">
        <v>10</v>
      </c>
      <c r="D2429" s="0" t="n">
        <f aca="false">-1+A2429*0.125</f>
        <v>0</v>
      </c>
      <c r="E2429" s="0" t="n">
        <f aca="false">-1+B2429*0.125</f>
        <v>-0.25</v>
      </c>
      <c r="F2429" s="0" t="n">
        <f aca="false">-1+C2429*0.125</f>
        <v>0.25</v>
      </c>
      <c r="G2429" s="0" t="n">
        <f aca="false">1</f>
        <v>1</v>
      </c>
      <c r="H2429" s="0" t="n">
        <f aca="false">D2429</f>
        <v>0</v>
      </c>
      <c r="I2429" s="0" t="n">
        <f aca="false">E2429</f>
        <v>-0.25</v>
      </c>
      <c r="J2429" s="0" t="n">
        <f aca="false">F2429</f>
        <v>0.25</v>
      </c>
      <c r="K2429" s="0" t="n">
        <f aca="false">D2429*E2429</f>
        <v>-0</v>
      </c>
      <c r="L2429" s="0" t="n">
        <f aca="false">D2429*F2429</f>
        <v>0</v>
      </c>
      <c r="M2429" s="0" t="n">
        <f aca="false">E2429*F2429</f>
        <v>-0.0625</v>
      </c>
      <c r="N2429" s="0" t="n">
        <f aca="false">D2429*D2429</f>
        <v>0</v>
      </c>
      <c r="O2429" s="0" t="n">
        <f aca="false">E2429*E2429</f>
        <v>0.0625</v>
      </c>
      <c r="P2429" s="0" t="n">
        <f aca="false">F2429*F2429</f>
        <v>0.0625</v>
      </c>
      <c r="Q2429" s="0" t="n">
        <f aca="false">SUMPRODUCT(G2429:P2429,_XtX!$B$71:$K$71)</f>
        <v>47.98</v>
      </c>
      <c r="R2429" s="0" t="n">
        <f aca="false">SUMPRODUCT(MMULT(G2429:P2429,_XtX!$B$58:$K$67),G2429:P2429)</f>
        <v>0.12158203125</v>
      </c>
      <c r="S2429" s="0" t="n">
        <f aca="false">04_回帰ANOVA!$K$19*04_回帰ANOVA!$K$14*SQRT(1+R2429)</f>
        <v>0.984650617290782</v>
      </c>
      <c r="T2429" s="0" t="n">
        <f aca="false">Q2429-S2429</f>
        <v>46.9953493827092</v>
      </c>
      <c r="U2429" s="0" t="n">
        <f aca="false">Q2429+S2429</f>
        <v>48.9646506172908</v>
      </c>
      <c r="V2429" s="54" t="b">
        <f aca="false">AND(D2429&gt;=01_因子設定!$L$5-0.000000001,D2429&lt;=01_因子設定!$M$5+0.000000001,E2429&gt;=01_因子設定!$L$6-0.000000001,E2429&lt;=01_因子設定!$M$6+0.000000001,F2429&gt;=01_因子設定!$L$7-0.000000001,F2429&lt;=01_因子設定!$M$7+0.000000001,IF(01_因子設定!$B$20="Box-Behnken",D2429^2+E2429^2+F2429^2&lt;=2+0.000000001,TRUE()))</f>
        <v>1</v>
      </c>
      <c r="W2429" s="55" t="n">
        <f aca="false">IF(V2429,IF(01_因子設定!$B$13="最大化",T2429-01_因子設定!$B$14,IF(01_因子設定!$B$13="最小化",01_因子設定!$B$15-U2429,MIN(T2429-01_因子設定!$B$14,01_因子設定!$B$15-U2429))),-1E+030)</f>
        <v>-1.50465061729077</v>
      </c>
      <c r="X2429" s="55" t="n">
        <f aca="false">IF(V2429,IF(01_因子設定!$B$13="最大化",Q2429,IF(01_因子設定!$B$13="最小化",-Q2429,-ABS(Q2429-01_因子設定!$B$16))),-1E+030)</f>
        <v>47.98</v>
      </c>
      <c r="Y2429" s="55" t="n">
        <f aca="false">W2429+ROW()*0.000000001</f>
        <v>-1.50464818829077</v>
      </c>
      <c r="Z2429" s="55" t="n">
        <f aca="false">X2429+ROW()*0.000000001</f>
        <v>47.980002429</v>
      </c>
    </row>
    <row r="2430" customFormat="false" ht="15" hidden="false" customHeight="false" outlineLevel="0" collapsed="false">
      <c r="A2430" s="0" t="n">
        <v>8</v>
      </c>
      <c r="B2430" s="0" t="n">
        <v>6</v>
      </c>
      <c r="C2430" s="0" t="n">
        <v>11</v>
      </c>
      <c r="D2430" s="0" t="n">
        <f aca="false">-1+A2430*0.125</f>
        <v>0</v>
      </c>
      <c r="E2430" s="0" t="n">
        <f aca="false">-1+B2430*0.125</f>
        <v>-0.25</v>
      </c>
      <c r="F2430" s="0" t="n">
        <f aca="false">-1+C2430*0.125</f>
        <v>0.375</v>
      </c>
      <c r="G2430" s="0" t="n">
        <f aca="false">1</f>
        <v>1</v>
      </c>
      <c r="H2430" s="0" t="n">
        <f aca="false">D2430</f>
        <v>0</v>
      </c>
      <c r="I2430" s="0" t="n">
        <f aca="false">E2430</f>
        <v>-0.25</v>
      </c>
      <c r="J2430" s="0" t="n">
        <f aca="false">F2430</f>
        <v>0.375</v>
      </c>
      <c r="K2430" s="0" t="n">
        <f aca="false">D2430*E2430</f>
        <v>-0</v>
      </c>
      <c r="L2430" s="0" t="n">
        <f aca="false">D2430*F2430</f>
        <v>0</v>
      </c>
      <c r="M2430" s="0" t="n">
        <f aca="false">E2430*F2430</f>
        <v>-0.09375</v>
      </c>
      <c r="N2430" s="0" t="n">
        <f aca="false">D2430*D2430</f>
        <v>0</v>
      </c>
      <c r="O2430" s="0" t="n">
        <f aca="false">E2430*E2430</f>
        <v>0.0625</v>
      </c>
      <c r="P2430" s="0" t="n">
        <f aca="false">F2430*F2430</f>
        <v>0.140625</v>
      </c>
      <c r="Q2430" s="0" t="n">
        <f aca="false">SUMPRODUCT(G2430:P2430,_XtX!$B$71:$K$71)</f>
        <v>48.0464630681818</v>
      </c>
      <c r="R2430" s="0" t="n">
        <f aca="false">SUMPRODUCT(MMULT(G2430:P2430,_XtX!$B$58:$K$67),G2430:P2430)</f>
        <v>0.127341530539773</v>
      </c>
      <c r="S2430" s="0" t="n">
        <f aca="false">04_回帰ANOVA!$K$19*04_回帰ANOVA!$K$14*SQRT(1+R2430)</f>
        <v>0.987175547486288</v>
      </c>
      <c r="T2430" s="0" t="n">
        <f aca="false">Q2430-S2430</f>
        <v>47.0592875206955</v>
      </c>
      <c r="U2430" s="0" t="n">
        <f aca="false">Q2430+S2430</f>
        <v>49.0336386156681</v>
      </c>
      <c r="V2430" s="54" t="b">
        <f aca="false">AND(D2430&gt;=01_因子設定!$L$5-0.000000001,D2430&lt;=01_因子設定!$M$5+0.000000001,E2430&gt;=01_因子設定!$L$6-0.000000001,E2430&lt;=01_因子設定!$M$6+0.000000001,F2430&gt;=01_因子設定!$L$7-0.000000001,F2430&lt;=01_因子設定!$M$7+0.000000001,IF(01_因子設定!$B$20="Box-Behnken",D2430^2+E2430^2+F2430^2&lt;=2+0.000000001,TRUE()))</f>
        <v>1</v>
      </c>
      <c r="W2430" s="55" t="n">
        <f aca="false">IF(V2430,IF(01_因子設定!$B$13="最大化",T2430-01_因子設定!$B$14,IF(01_因子設定!$B$13="最小化",01_因子設定!$B$15-U2430,MIN(T2430-01_因子設定!$B$14,01_因子設定!$B$15-U2430))),-1E+030)</f>
        <v>-1.44071247930446</v>
      </c>
      <c r="X2430" s="55" t="n">
        <f aca="false">IF(V2430,IF(01_因子設定!$B$13="最大化",Q2430,IF(01_因子設定!$B$13="最小化",-Q2430,-ABS(Q2430-01_因子設定!$B$16))),-1E+030)</f>
        <v>48.0464630681818</v>
      </c>
      <c r="Y2430" s="55" t="n">
        <f aca="false">W2430+ROW()*0.000000001</f>
        <v>-1.44071004930446</v>
      </c>
      <c r="Z2430" s="55" t="n">
        <f aca="false">X2430+ROW()*0.000000001</f>
        <v>48.0464654981818</v>
      </c>
    </row>
    <row r="2431" customFormat="false" ht="15" hidden="false" customHeight="false" outlineLevel="0" collapsed="false">
      <c r="A2431" s="0" t="n">
        <v>8</v>
      </c>
      <c r="B2431" s="0" t="n">
        <v>6</v>
      </c>
      <c r="C2431" s="0" t="n">
        <v>12</v>
      </c>
      <c r="D2431" s="0" t="n">
        <f aca="false">-1+A2431*0.125</f>
        <v>0</v>
      </c>
      <c r="E2431" s="0" t="n">
        <f aca="false">-1+B2431*0.125</f>
        <v>-0.25</v>
      </c>
      <c r="F2431" s="0" t="n">
        <f aca="false">-1+C2431*0.125</f>
        <v>0.5</v>
      </c>
      <c r="G2431" s="0" t="n">
        <f aca="false">1</f>
        <v>1</v>
      </c>
      <c r="H2431" s="0" t="n">
        <f aca="false">D2431</f>
        <v>0</v>
      </c>
      <c r="I2431" s="0" t="n">
        <f aca="false">E2431</f>
        <v>-0.25</v>
      </c>
      <c r="J2431" s="0" t="n">
        <f aca="false">F2431</f>
        <v>0.5</v>
      </c>
      <c r="K2431" s="0" t="n">
        <f aca="false">D2431*E2431</f>
        <v>-0</v>
      </c>
      <c r="L2431" s="0" t="n">
        <f aca="false">D2431*F2431</f>
        <v>0</v>
      </c>
      <c r="M2431" s="0" t="n">
        <f aca="false">E2431*F2431</f>
        <v>-0.125</v>
      </c>
      <c r="N2431" s="0" t="n">
        <f aca="false">D2431*D2431</f>
        <v>0</v>
      </c>
      <c r="O2431" s="0" t="n">
        <f aca="false">E2431*E2431</f>
        <v>0.0625</v>
      </c>
      <c r="P2431" s="0" t="n">
        <f aca="false">F2431*F2431</f>
        <v>0.25</v>
      </c>
      <c r="Q2431" s="0" t="n">
        <f aca="false">SUMPRODUCT(G2431:P2431,_XtX!$B$71:$K$71)</f>
        <v>48.0761363636364</v>
      </c>
      <c r="R2431" s="0" t="n">
        <f aca="false">SUMPRODUCT(MMULT(G2431:P2431,_XtX!$B$58:$K$67),G2431:P2431)</f>
        <v>0.142862215909091</v>
      </c>
      <c r="S2431" s="0" t="n">
        <f aca="false">04_回帰ANOVA!$K$19*04_回帰ANOVA!$K$14*SQRT(1+R2431)</f>
        <v>0.993947792354123</v>
      </c>
      <c r="T2431" s="0" t="n">
        <f aca="false">Q2431-S2431</f>
        <v>47.0821885712823</v>
      </c>
      <c r="U2431" s="0" t="n">
        <f aca="false">Q2431+S2431</f>
        <v>49.0700841559905</v>
      </c>
      <c r="V2431" s="54" t="b">
        <f aca="false">AND(D2431&gt;=01_因子設定!$L$5-0.000000001,D2431&lt;=01_因子設定!$M$5+0.000000001,E2431&gt;=01_因子設定!$L$6-0.000000001,E2431&lt;=01_因子設定!$M$6+0.000000001,F2431&gt;=01_因子設定!$L$7-0.000000001,F2431&lt;=01_因子設定!$M$7+0.000000001,IF(01_因子設定!$B$20="Box-Behnken",D2431^2+E2431^2+F2431^2&lt;=2+0.000000001,TRUE()))</f>
        <v>1</v>
      </c>
      <c r="W2431" s="55" t="n">
        <f aca="false">IF(V2431,IF(01_因子設定!$B$13="最大化",T2431-01_因子設定!$B$14,IF(01_因子設定!$B$13="最小化",01_因子設定!$B$15-U2431,MIN(T2431-01_因子設定!$B$14,01_因子設定!$B$15-U2431))),-1E+030)</f>
        <v>-1.41781142871774</v>
      </c>
      <c r="X2431" s="55" t="n">
        <f aca="false">IF(V2431,IF(01_因子設定!$B$13="最大化",Q2431,IF(01_因子設定!$B$13="最小化",-Q2431,-ABS(Q2431-01_因子設定!$B$16))),-1E+030)</f>
        <v>48.0761363636364</v>
      </c>
      <c r="Y2431" s="55" t="n">
        <f aca="false">W2431+ROW()*0.000000001</f>
        <v>-1.41780899771774</v>
      </c>
      <c r="Z2431" s="55" t="n">
        <f aca="false">X2431+ROW()*0.000000001</f>
        <v>48.0761387946364</v>
      </c>
    </row>
    <row r="2432" customFormat="false" ht="15" hidden="false" customHeight="false" outlineLevel="0" collapsed="false">
      <c r="A2432" s="0" t="n">
        <v>8</v>
      </c>
      <c r="B2432" s="0" t="n">
        <v>6</v>
      </c>
      <c r="C2432" s="0" t="n">
        <v>13</v>
      </c>
      <c r="D2432" s="0" t="n">
        <f aca="false">-1+A2432*0.125</f>
        <v>0</v>
      </c>
      <c r="E2432" s="0" t="n">
        <f aca="false">-1+B2432*0.125</f>
        <v>-0.25</v>
      </c>
      <c r="F2432" s="0" t="n">
        <f aca="false">-1+C2432*0.125</f>
        <v>0.625</v>
      </c>
      <c r="G2432" s="0" t="n">
        <f aca="false">1</f>
        <v>1</v>
      </c>
      <c r="H2432" s="0" t="n">
        <f aca="false">D2432</f>
        <v>0</v>
      </c>
      <c r="I2432" s="0" t="n">
        <f aca="false">E2432</f>
        <v>-0.25</v>
      </c>
      <c r="J2432" s="0" t="n">
        <f aca="false">F2432</f>
        <v>0.625</v>
      </c>
      <c r="K2432" s="0" t="n">
        <f aca="false">D2432*E2432</f>
        <v>-0</v>
      </c>
      <c r="L2432" s="0" t="n">
        <f aca="false">D2432*F2432</f>
        <v>0</v>
      </c>
      <c r="M2432" s="0" t="n">
        <f aca="false">E2432*F2432</f>
        <v>-0.15625</v>
      </c>
      <c r="N2432" s="0" t="n">
        <f aca="false">D2432*D2432</f>
        <v>0</v>
      </c>
      <c r="O2432" s="0" t="n">
        <f aca="false">E2432*E2432</f>
        <v>0.0625</v>
      </c>
      <c r="P2432" s="0" t="n">
        <f aca="false">F2432*F2432</f>
        <v>0.390625</v>
      </c>
      <c r="Q2432" s="0" t="n">
        <f aca="false">SUMPRODUCT(G2432:P2432,_XtX!$B$71:$K$71)</f>
        <v>48.0690198863637</v>
      </c>
      <c r="R2432" s="0" t="n">
        <f aca="false">SUMPRODUCT(MMULT(G2432:P2432,_XtX!$B$58:$K$67),G2432:P2432)</f>
        <v>0.175601473721591</v>
      </c>
      <c r="S2432" s="0" t="n">
        <f aca="false">04_回帰ANOVA!$K$19*04_回帰ANOVA!$K$14*SQRT(1+R2432)</f>
        <v>1.00808394234856</v>
      </c>
      <c r="T2432" s="0" t="n">
        <f aca="false">Q2432-S2432</f>
        <v>47.0609359440151</v>
      </c>
      <c r="U2432" s="0" t="n">
        <f aca="false">Q2432+S2432</f>
        <v>49.0771038287122</v>
      </c>
      <c r="V2432" s="54" t="b">
        <f aca="false">AND(D2432&gt;=01_因子設定!$L$5-0.000000001,D2432&lt;=01_因子設定!$M$5+0.000000001,E2432&gt;=01_因子設定!$L$6-0.000000001,E2432&lt;=01_因子設定!$M$6+0.000000001,F2432&gt;=01_因子設定!$L$7-0.000000001,F2432&lt;=01_因子設定!$M$7+0.000000001,IF(01_因子設定!$B$20="Box-Behnken",D2432^2+E2432^2+F2432^2&lt;=2+0.000000001,TRUE()))</f>
        <v>1</v>
      </c>
      <c r="W2432" s="55" t="n">
        <f aca="false">IF(V2432,IF(01_因子設定!$B$13="最大化",T2432-01_因子設定!$B$14,IF(01_因子設定!$B$13="最小化",01_因子設定!$B$15-U2432,MIN(T2432-01_因子設定!$B$14,01_因子設定!$B$15-U2432))),-1E+030)</f>
        <v>-1.43906405598491</v>
      </c>
      <c r="X2432" s="55" t="n">
        <f aca="false">IF(V2432,IF(01_因子設定!$B$13="最大化",Q2432,IF(01_因子設定!$B$13="最小化",-Q2432,-ABS(Q2432-01_因子設定!$B$16))),-1E+030)</f>
        <v>48.0690198863637</v>
      </c>
      <c r="Y2432" s="55" t="n">
        <f aca="false">W2432+ROW()*0.000000001</f>
        <v>-1.43906162398491</v>
      </c>
      <c r="Z2432" s="55" t="n">
        <f aca="false">X2432+ROW()*0.000000001</f>
        <v>48.0690223183637</v>
      </c>
    </row>
    <row r="2433" customFormat="false" ht="15" hidden="false" customHeight="false" outlineLevel="0" collapsed="false">
      <c r="A2433" s="0" t="n">
        <v>8</v>
      </c>
      <c r="B2433" s="0" t="n">
        <v>6</v>
      </c>
      <c r="C2433" s="0" t="n">
        <v>14</v>
      </c>
      <c r="D2433" s="0" t="n">
        <f aca="false">-1+A2433*0.125</f>
        <v>0</v>
      </c>
      <c r="E2433" s="0" t="n">
        <f aca="false">-1+B2433*0.125</f>
        <v>-0.25</v>
      </c>
      <c r="F2433" s="0" t="n">
        <f aca="false">-1+C2433*0.125</f>
        <v>0.75</v>
      </c>
      <c r="G2433" s="0" t="n">
        <f aca="false">1</f>
        <v>1</v>
      </c>
      <c r="H2433" s="0" t="n">
        <f aca="false">D2433</f>
        <v>0</v>
      </c>
      <c r="I2433" s="0" t="n">
        <f aca="false">E2433</f>
        <v>-0.25</v>
      </c>
      <c r="J2433" s="0" t="n">
        <f aca="false">F2433</f>
        <v>0.75</v>
      </c>
      <c r="K2433" s="0" t="n">
        <f aca="false">D2433*E2433</f>
        <v>-0</v>
      </c>
      <c r="L2433" s="0" t="n">
        <f aca="false">D2433*F2433</f>
        <v>0</v>
      </c>
      <c r="M2433" s="0" t="n">
        <f aca="false">E2433*F2433</f>
        <v>-0.1875</v>
      </c>
      <c r="N2433" s="0" t="n">
        <f aca="false">D2433*D2433</f>
        <v>0</v>
      </c>
      <c r="O2433" s="0" t="n">
        <f aca="false">E2433*E2433</f>
        <v>0.0625</v>
      </c>
      <c r="P2433" s="0" t="n">
        <f aca="false">F2433*F2433</f>
        <v>0.5625</v>
      </c>
      <c r="Q2433" s="0" t="n">
        <f aca="false">SUMPRODUCT(G2433:P2433,_XtX!$B$71:$K$71)</f>
        <v>48.0251136363637</v>
      </c>
      <c r="R2433" s="0" t="n">
        <f aca="false">SUMPRODUCT(MMULT(G2433:P2433,_XtX!$B$58:$K$67),G2433:P2433)</f>
        <v>0.235147372159091</v>
      </c>
      <c r="S2433" s="0" t="n">
        <f aca="false">04_回帰ANOVA!$K$19*04_回帰ANOVA!$K$14*SQRT(1+R2433)</f>
        <v>1.03329903885461</v>
      </c>
      <c r="T2433" s="0" t="n">
        <f aca="false">Q2433-S2433</f>
        <v>46.9918145975091</v>
      </c>
      <c r="U2433" s="0" t="n">
        <f aca="false">Q2433+S2433</f>
        <v>49.0584126752183</v>
      </c>
      <c r="V2433" s="54" t="b">
        <f aca="false">AND(D2433&gt;=01_因子設定!$L$5-0.000000001,D2433&lt;=01_因子設定!$M$5+0.000000001,E2433&gt;=01_因子設定!$L$6-0.000000001,E2433&lt;=01_因子設定!$M$6+0.000000001,F2433&gt;=01_因子設定!$L$7-0.000000001,F2433&lt;=01_因子設定!$M$7+0.000000001,IF(01_因子設定!$B$20="Box-Behnken",D2433^2+E2433^2+F2433^2&lt;=2+0.000000001,TRUE()))</f>
        <v>1</v>
      </c>
      <c r="W2433" s="55" t="n">
        <f aca="false">IF(V2433,IF(01_因子設定!$B$13="最大化",T2433-01_因子設定!$B$14,IF(01_因子設定!$B$13="最小化",01_因子設定!$B$15-U2433,MIN(T2433-01_因子設定!$B$14,01_因子設定!$B$15-U2433))),-1E+030)</f>
        <v>-1.50818540249095</v>
      </c>
      <c r="X2433" s="55" t="n">
        <f aca="false">IF(V2433,IF(01_因子設定!$B$13="最大化",Q2433,IF(01_因子設定!$B$13="最小化",-Q2433,-ABS(Q2433-01_因子設定!$B$16))),-1E+030)</f>
        <v>48.0251136363637</v>
      </c>
      <c r="Y2433" s="55" t="n">
        <f aca="false">W2433+ROW()*0.000000001</f>
        <v>-1.50818296949095</v>
      </c>
      <c r="Z2433" s="55" t="n">
        <f aca="false">X2433+ROW()*0.000000001</f>
        <v>48.0251160693637</v>
      </c>
    </row>
    <row r="2434" customFormat="false" ht="15" hidden="false" customHeight="false" outlineLevel="0" collapsed="false">
      <c r="A2434" s="0" t="n">
        <v>8</v>
      </c>
      <c r="B2434" s="0" t="n">
        <v>6</v>
      </c>
      <c r="C2434" s="0" t="n">
        <v>15</v>
      </c>
      <c r="D2434" s="0" t="n">
        <f aca="false">-1+A2434*0.125</f>
        <v>0</v>
      </c>
      <c r="E2434" s="0" t="n">
        <f aca="false">-1+B2434*0.125</f>
        <v>-0.25</v>
      </c>
      <c r="F2434" s="0" t="n">
        <f aca="false">-1+C2434*0.125</f>
        <v>0.875</v>
      </c>
      <c r="G2434" s="0" t="n">
        <f aca="false">1</f>
        <v>1</v>
      </c>
      <c r="H2434" s="0" t="n">
        <f aca="false">D2434</f>
        <v>0</v>
      </c>
      <c r="I2434" s="0" t="n">
        <f aca="false">E2434</f>
        <v>-0.25</v>
      </c>
      <c r="J2434" s="0" t="n">
        <f aca="false">F2434</f>
        <v>0.875</v>
      </c>
      <c r="K2434" s="0" t="n">
        <f aca="false">D2434*E2434</f>
        <v>-0</v>
      </c>
      <c r="L2434" s="0" t="n">
        <f aca="false">D2434*F2434</f>
        <v>0</v>
      </c>
      <c r="M2434" s="0" t="n">
        <f aca="false">E2434*F2434</f>
        <v>-0.21875</v>
      </c>
      <c r="N2434" s="0" t="n">
        <f aca="false">D2434*D2434</f>
        <v>0</v>
      </c>
      <c r="O2434" s="0" t="n">
        <f aca="false">E2434*E2434</f>
        <v>0.0625</v>
      </c>
      <c r="P2434" s="0" t="n">
        <f aca="false">F2434*F2434</f>
        <v>0.765625</v>
      </c>
      <c r="Q2434" s="0" t="n">
        <f aca="false">SUMPRODUCT(G2434:P2434,_XtX!$B$71:$K$71)</f>
        <v>47.9444176136364</v>
      </c>
      <c r="R2434" s="0" t="n">
        <f aca="false">SUMPRODUCT(MMULT(G2434:P2434,_XtX!$B$58:$K$67),G2434:P2434)</f>
        <v>0.333218661221591</v>
      </c>
      <c r="S2434" s="0" t="n">
        <f aca="false">04_回帰ANOVA!$K$19*04_回帰ANOVA!$K$14*SQRT(1+R2434)</f>
        <v>1.07353776826542</v>
      </c>
      <c r="T2434" s="0" t="n">
        <f aca="false">Q2434-S2434</f>
        <v>46.870879845371</v>
      </c>
      <c r="U2434" s="0" t="n">
        <f aca="false">Q2434+S2434</f>
        <v>49.0179553819018</v>
      </c>
      <c r="V2434" s="54" t="b">
        <f aca="false">AND(D2434&gt;=01_因子設定!$L$5-0.000000001,D2434&lt;=01_因子設定!$M$5+0.000000001,E2434&gt;=01_因子設定!$L$6-0.000000001,E2434&lt;=01_因子設定!$M$6+0.000000001,F2434&gt;=01_因子設定!$L$7-0.000000001,F2434&lt;=01_因子設定!$M$7+0.000000001,IF(01_因子設定!$B$20="Box-Behnken",D2434^2+E2434^2+F2434^2&lt;=2+0.000000001,TRUE()))</f>
        <v>1</v>
      </c>
      <c r="W2434" s="55" t="n">
        <f aca="false">IF(V2434,IF(01_因子設定!$B$13="最大化",T2434-01_因子設定!$B$14,IF(01_因子設定!$B$13="最小化",01_因子設定!$B$15-U2434,MIN(T2434-01_因子設定!$B$14,01_因子設定!$B$15-U2434))),-1E+030)</f>
        <v>-1.62912015462903</v>
      </c>
      <c r="X2434" s="55" t="n">
        <f aca="false">IF(V2434,IF(01_因子設定!$B$13="最大化",Q2434,IF(01_因子設定!$B$13="最小化",-Q2434,-ABS(Q2434-01_因子設定!$B$16))),-1E+030)</f>
        <v>47.9444176136364</v>
      </c>
      <c r="Y2434" s="55" t="n">
        <f aca="false">W2434+ROW()*0.000000001</f>
        <v>-1.62911772062903</v>
      </c>
      <c r="Z2434" s="55" t="n">
        <f aca="false">X2434+ROW()*0.000000001</f>
        <v>47.9444200476364</v>
      </c>
    </row>
    <row r="2435" customFormat="false" ht="15" hidden="false" customHeight="false" outlineLevel="0" collapsed="false">
      <c r="A2435" s="0" t="n">
        <v>8</v>
      </c>
      <c r="B2435" s="0" t="n">
        <v>6</v>
      </c>
      <c r="C2435" s="0" t="n">
        <v>16</v>
      </c>
      <c r="D2435" s="0" t="n">
        <f aca="false">-1+A2435*0.125</f>
        <v>0</v>
      </c>
      <c r="E2435" s="0" t="n">
        <f aca="false">-1+B2435*0.125</f>
        <v>-0.25</v>
      </c>
      <c r="F2435" s="0" t="n">
        <f aca="false">-1+C2435*0.125</f>
        <v>1</v>
      </c>
      <c r="G2435" s="0" t="n">
        <f aca="false">1</f>
        <v>1</v>
      </c>
      <c r="H2435" s="0" t="n">
        <f aca="false">D2435</f>
        <v>0</v>
      </c>
      <c r="I2435" s="0" t="n">
        <f aca="false">E2435</f>
        <v>-0.25</v>
      </c>
      <c r="J2435" s="0" t="n">
        <f aca="false">F2435</f>
        <v>1</v>
      </c>
      <c r="K2435" s="0" t="n">
        <f aca="false">D2435*E2435</f>
        <v>-0</v>
      </c>
      <c r="L2435" s="0" t="n">
        <f aca="false">D2435*F2435</f>
        <v>0</v>
      </c>
      <c r="M2435" s="0" t="n">
        <f aca="false">E2435*F2435</f>
        <v>-0.25</v>
      </c>
      <c r="N2435" s="0" t="n">
        <f aca="false">D2435*D2435</f>
        <v>0</v>
      </c>
      <c r="O2435" s="0" t="n">
        <f aca="false">E2435*E2435</f>
        <v>0.0625</v>
      </c>
      <c r="P2435" s="0" t="n">
        <f aca="false">F2435*F2435</f>
        <v>1</v>
      </c>
      <c r="Q2435" s="0" t="n">
        <f aca="false">SUMPRODUCT(G2435:P2435,_XtX!$B$71:$K$71)</f>
        <v>47.8269318181819</v>
      </c>
      <c r="R2435" s="0" t="n">
        <f aca="false">SUMPRODUCT(MMULT(G2435:P2435,_XtX!$B$58:$K$67),G2435:P2435)</f>
        <v>0.483664772727273</v>
      </c>
      <c r="S2435" s="0" t="n">
        <f aca="false">04_回帰ANOVA!$K$19*04_回帰ANOVA!$K$14*SQRT(1+R2435)</f>
        <v>1.13249039846694</v>
      </c>
      <c r="T2435" s="0" t="n">
        <f aca="false">Q2435-S2435</f>
        <v>46.6944414197149</v>
      </c>
      <c r="U2435" s="0" t="n">
        <f aca="false">Q2435+S2435</f>
        <v>48.9594222166488</v>
      </c>
      <c r="V2435" s="54" t="b">
        <f aca="false">AND(D2435&gt;=01_因子設定!$L$5-0.000000001,D2435&lt;=01_因子設定!$M$5+0.000000001,E2435&gt;=01_因子設定!$L$6-0.000000001,E2435&lt;=01_因子設定!$M$6+0.000000001,F2435&gt;=01_因子設定!$L$7-0.000000001,F2435&lt;=01_因子設定!$M$7+0.000000001,IF(01_因子設定!$B$20="Box-Behnken",D2435^2+E2435^2+F2435^2&lt;=2+0.000000001,TRUE()))</f>
        <v>1</v>
      </c>
      <c r="W2435" s="55" t="n">
        <f aca="false">IF(V2435,IF(01_因子設定!$B$13="最大化",T2435-01_因子設定!$B$14,IF(01_因子設定!$B$13="最小化",01_因子設定!$B$15-U2435,MIN(T2435-01_因子設定!$B$14,01_因子設定!$B$15-U2435))),-1E+030)</f>
        <v>-1.80555858028509</v>
      </c>
      <c r="X2435" s="55" t="n">
        <f aca="false">IF(V2435,IF(01_因子設定!$B$13="最大化",Q2435,IF(01_因子設定!$B$13="最小化",-Q2435,-ABS(Q2435-01_因子設定!$B$16))),-1E+030)</f>
        <v>47.8269318181819</v>
      </c>
      <c r="Y2435" s="55" t="n">
        <f aca="false">W2435+ROW()*0.000000001</f>
        <v>-1.80555614528509</v>
      </c>
      <c r="Z2435" s="55" t="n">
        <f aca="false">X2435+ROW()*0.000000001</f>
        <v>47.8269342531819</v>
      </c>
    </row>
    <row r="2436" customFormat="false" ht="15" hidden="false" customHeight="false" outlineLevel="0" collapsed="false">
      <c r="A2436" s="0" t="n">
        <v>8</v>
      </c>
      <c r="B2436" s="0" t="n">
        <v>7</v>
      </c>
      <c r="C2436" s="0" t="n">
        <v>0</v>
      </c>
      <c r="D2436" s="0" t="n">
        <f aca="false">-1+A2436*0.125</f>
        <v>0</v>
      </c>
      <c r="E2436" s="0" t="n">
        <f aca="false">-1+B2436*0.125</f>
        <v>-0.125</v>
      </c>
      <c r="F2436" s="0" t="n">
        <f aca="false">-1+C2436*0.125</f>
        <v>-1</v>
      </c>
      <c r="G2436" s="0" t="n">
        <f aca="false">1</f>
        <v>1</v>
      </c>
      <c r="H2436" s="0" t="n">
        <f aca="false">D2436</f>
        <v>0</v>
      </c>
      <c r="I2436" s="0" t="n">
        <f aca="false">E2436</f>
        <v>-0.125</v>
      </c>
      <c r="J2436" s="0" t="n">
        <f aca="false">F2436</f>
        <v>-1</v>
      </c>
      <c r="K2436" s="0" t="n">
        <f aca="false">D2436*E2436</f>
        <v>-0</v>
      </c>
      <c r="L2436" s="0" t="n">
        <f aca="false">D2436*F2436</f>
        <v>-0</v>
      </c>
      <c r="M2436" s="0" t="n">
        <f aca="false">E2436*F2436</f>
        <v>0.125</v>
      </c>
      <c r="N2436" s="0" t="n">
        <f aca="false">D2436*D2436</f>
        <v>0</v>
      </c>
      <c r="O2436" s="0" t="n">
        <f aca="false">E2436*E2436</f>
        <v>0.015625</v>
      </c>
      <c r="P2436" s="0" t="n">
        <f aca="false">F2436*F2436</f>
        <v>1</v>
      </c>
      <c r="Q2436" s="0" t="n">
        <f aca="false">SUMPRODUCT(G2436:P2436,_XtX!$B$71:$K$71)</f>
        <v>45.5894602272728</v>
      </c>
      <c r="R2436" s="0" t="n">
        <f aca="false">SUMPRODUCT(MMULT(G2436:P2436,_XtX!$B$58:$K$67),G2436:P2436)</f>
        <v>0.488831676136364</v>
      </c>
      <c r="S2436" s="0" t="n">
        <f aca="false">04_回帰ANOVA!$K$19*04_回帰ANOVA!$K$14*SQRT(1+R2436)</f>
        <v>1.13446064908709</v>
      </c>
      <c r="T2436" s="0" t="n">
        <f aca="false">Q2436-S2436</f>
        <v>44.4549995781857</v>
      </c>
      <c r="U2436" s="0" t="n">
        <f aca="false">Q2436+S2436</f>
        <v>46.7239208763598</v>
      </c>
      <c r="V2436" s="54" t="b">
        <f aca="false">AND(D2436&gt;=01_因子設定!$L$5-0.000000001,D2436&lt;=01_因子設定!$M$5+0.000000001,E2436&gt;=01_因子設定!$L$6-0.000000001,E2436&lt;=01_因子設定!$M$6+0.000000001,F2436&gt;=01_因子設定!$L$7-0.000000001,F2436&lt;=01_因子設定!$M$7+0.000000001,IF(01_因子設定!$B$20="Box-Behnken",D2436^2+E2436^2+F2436^2&lt;=2+0.000000001,TRUE()))</f>
        <v>1</v>
      </c>
      <c r="W2436" s="55" t="n">
        <f aca="false">IF(V2436,IF(01_因子設定!$B$13="最大化",T2436-01_因子設定!$B$14,IF(01_因子設定!$B$13="最小化",01_因子設定!$B$15-U2436,MIN(T2436-01_因子設定!$B$14,01_因子設定!$B$15-U2436))),-1E+030)</f>
        <v>-4.04500042181434</v>
      </c>
      <c r="X2436" s="55" t="n">
        <f aca="false">IF(V2436,IF(01_因子設定!$B$13="最大化",Q2436,IF(01_因子設定!$B$13="最小化",-Q2436,-ABS(Q2436-01_因子設定!$B$16))),-1E+030)</f>
        <v>45.5894602272728</v>
      </c>
      <c r="Y2436" s="55" t="n">
        <f aca="false">W2436+ROW()*0.000000001</f>
        <v>-4.04499798581434</v>
      </c>
      <c r="Z2436" s="55" t="n">
        <f aca="false">X2436+ROW()*0.000000001</f>
        <v>45.5894626632728</v>
      </c>
    </row>
    <row r="2437" customFormat="false" ht="15" hidden="false" customHeight="false" outlineLevel="0" collapsed="false">
      <c r="A2437" s="0" t="n">
        <v>8</v>
      </c>
      <c r="B2437" s="0" t="n">
        <v>7</v>
      </c>
      <c r="C2437" s="0" t="n">
        <v>1</v>
      </c>
      <c r="D2437" s="0" t="n">
        <f aca="false">-1+A2437*0.125</f>
        <v>0</v>
      </c>
      <c r="E2437" s="0" t="n">
        <f aca="false">-1+B2437*0.125</f>
        <v>-0.125</v>
      </c>
      <c r="F2437" s="0" t="n">
        <f aca="false">-1+C2437*0.125</f>
        <v>-0.875</v>
      </c>
      <c r="G2437" s="0" t="n">
        <f aca="false">1</f>
        <v>1</v>
      </c>
      <c r="H2437" s="0" t="n">
        <f aca="false">D2437</f>
        <v>0</v>
      </c>
      <c r="I2437" s="0" t="n">
        <f aca="false">E2437</f>
        <v>-0.125</v>
      </c>
      <c r="J2437" s="0" t="n">
        <f aca="false">F2437</f>
        <v>-0.875</v>
      </c>
      <c r="K2437" s="0" t="n">
        <f aca="false">D2437*E2437</f>
        <v>-0</v>
      </c>
      <c r="L2437" s="0" t="n">
        <f aca="false">D2437*F2437</f>
        <v>-0</v>
      </c>
      <c r="M2437" s="0" t="n">
        <f aca="false">E2437*F2437</f>
        <v>0.109375</v>
      </c>
      <c r="N2437" s="0" t="n">
        <f aca="false">D2437*D2437</f>
        <v>0</v>
      </c>
      <c r="O2437" s="0" t="n">
        <f aca="false">E2437*E2437</f>
        <v>0.015625</v>
      </c>
      <c r="P2437" s="0" t="n">
        <f aca="false">F2437*F2437</f>
        <v>0.765625</v>
      </c>
      <c r="Q2437" s="0" t="n">
        <f aca="false">SUMPRODUCT(G2437:P2437,_XtX!$B$71:$K$71)</f>
        <v>46.0308522727273</v>
      </c>
      <c r="R2437" s="0" t="n">
        <f aca="false">SUMPRODUCT(MMULT(G2437:P2437,_XtX!$B$58:$K$67),G2437:P2437)</f>
        <v>0.336762584339489</v>
      </c>
      <c r="S2437" s="0" t="n">
        <f aca="false">04_回帰ANOVA!$K$19*04_回帰ANOVA!$K$14*SQRT(1+R2437)</f>
        <v>1.07496364479411</v>
      </c>
      <c r="T2437" s="0" t="n">
        <f aca="false">Q2437-S2437</f>
        <v>44.9558886279332</v>
      </c>
      <c r="U2437" s="0" t="n">
        <f aca="false">Q2437+S2437</f>
        <v>47.1058159175214</v>
      </c>
      <c r="V2437" s="54" t="b">
        <f aca="false">AND(D2437&gt;=01_因子設定!$L$5-0.000000001,D2437&lt;=01_因子設定!$M$5+0.000000001,E2437&gt;=01_因子設定!$L$6-0.000000001,E2437&lt;=01_因子設定!$M$6+0.000000001,F2437&gt;=01_因子設定!$L$7-0.000000001,F2437&lt;=01_因子設定!$M$7+0.000000001,IF(01_因子設定!$B$20="Box-Behnken",D2437^2+E2437^2+F2437^2&lt;=2+0.000000001,TRUE()))</f>
        <v>1</v>
      </c>
      <c r="W2437" s="55" t="n">
        <f aca="false">IF(V2437,IF(01_因子設定!$B$13="最大化",T2437-01_因子設定!$B$14,IF(01_因子設定!$B$13="最小化",01_因子設定!$B$15-U2437,MIN(T2437-01_因子設定!$B$14,01_因子設定!$B$15-U2437))),-1E+030)</f>
        <v>-3.54411137206682</v>
      </c>
      <c r="X2437" s="55" t="n">
        <f aca="false">IF(V2437,IF(01_因子設定!$B$13="最大化",Q2437,IF(01_因子設定!$B$13="最小化",-Q2437,-ABS(Q2437-01_因子設定!$B$16))),-1E+030)</f>
        <v>46.0308522727273</v>
      </c>
      <c r="Y2437" s="55" t="n">
        <f aca="false">W2437+ROW()*0.000000001</f>
        <v>-3.54410893506682</v>
      </c>
      <c r="Z2437" s="55" t="n">
        <f aca="false">X2437+ROW()*0.000000001</f>
        <v>46.0308547097273</v>
      </c>
    </row>
    <row r="2438" customFormat="false" ht="15" hidden="false" customHeight="false" outlineLevel="0" collapsed="false">
      <c r="A2438" s="0" t="n">
        <v>8</v>
      </c>
      <c r="B2438" s="0" t="n">
        <v>7</v>
      </c>
      <c r="C2438" s="0" t="n">
        <v>2</v>
      </c>
      <c r="D2438" s="0" t="n">
        <f aca="false">-1+A2438*0.125</f>
        <v>0</v>
      </c>
      <c r="E2438" s="0" t="n">
        <f aca="false">-1+B2438*0.125</f>
        <v>-0.125</v>
      </c>
      <c r="F2438" s="0" t="n">
        <f aca="false">-1+C2438*0.125</f>
        <v>-0.75</v>
      </c>
      <c r="G2438" s="0" t="n">
        <f aca="false">1</f>
        <v>1</v>
      </c>
      <c r="H2438" s="0" t="n">
        <f aca="false">D2438</f>
        <v>0</v>
      </c>
      <c r="I2438" s="0" t="n">
        <f aca="false">E2438</f>
        <v>-0.125</v>
      </c>
      <c r="J2438" s="0" t="n">
        <f aca="false">F2438</f>
        <v>-0.75</v>
      </c>
      <c r="K2438" s="0" t="n">
        <f aca="false">D2438*E2438</f>
        <v>-0</v>
      </c>
      <c r="L2438" s="0" t="n">
        <f aca="false">D2438*F2438</f>
        <v>-0</v>
      </c>
      <c r="M2438" s="0" t="n">
        <f aca="false">E2438*F2438</f>
        <v>0.09375</v>
      </c>
      <c r="N2438" s="0" t="n">
        <f aca="false">D2438*D2438</f>
        <v>0</v>
      </c>
      <c r="O2438" s="0" t="n">
        <f aca="false">E2438*E2438</f>
        <v>0.015625</v>
      </c>
      <c r="P2438" s="0" t="n">
        <f aca="false">F2438*F2438</f>
        <v>0.5625</v>
      </c>
      <c r="Q2438" s="0" t="n">
        <f aca="false">SUMPRODUCT(G2438:P2438,_XtX!$B$71:$K$71)</f>
        <v>46.4354545454546</v>
      </c>
      <c r="R2438" s="0" t="n">
        <f aca="false">SUMPRODUCT(MMULT(G2438:P2438,_XtX!$B$58:$K$67),G2438:P2438)</f>
        <v>0.237284712357955</v>
      </c>
      <c r="S2438" s="0" t="n">
        <f aca="false">04_回帰ANOVA!$K$19*04_回帰ANOVA!$K$14*SQRT(1+R2438)</f>
        <v>1.03419267998124</v>
      </c>
      <c r="T2438" s="0" t="n">
        <f aca="false">Q2438-S2438</f>
        <v>45.4012618654733</v>
      </c>
      <c r="U2438" s="0" t="n">
        <f aca="false">Q2438+S2438</f>
        <v>47.4696472254358</v>
      </c>
      <c r="V2438" s="54" t="b">
        <f aca="false">AND(D2438&gt;=01_因子設定!$L$5-0.000000001,D2438&lt;=01_因子設定!$M$5+0.000000001,E2438&gt;=01_因子設定!$L$6-0.000000001,E2438&lt;=01_因子設定!$M$6+0.000000001,F2438&gt;=01_因子設定!$L$7-0.000000001,F2438&lt;=01_因子設定!$M$7+0.000000001,IF(01_因子設定!$B$20="Box-Behnken",D2438^2+E2438^2+F2438^2&lt;=2+0.000000001,TRUE()))</f>
        <v>1</v>
      </c>
      <c r="W2438" s="55" t="n">
        <f aca="false">IF(V2438,IF(01_因子設定!$B$13="最大化",T2438-01_因子設定!$B$14,IF(01_因子設定!$B$13="最小化",01_因子設定!$B$15-U2438,MIN(T2438-01_因子設定!$B$14,01_因子設定!$B$15-U2438))),-1E+030)</f>
        <v>-3.09873813452667</v>
      </c>
      <c r="X2438" s="55" t="n">
        <f aca="false">IF(V2438,IF(01_因子設定!$B$13="最大化",Q2438,IF(01_因子設定!$B$13="最小化",-Q2438,-ABS(Q2438-01_因子設定!$B$16))),-1E+030)</f>
        <v>46.4354545454546</v>
      </c>
      <c r="Y2438" s="55" t="n">
        <f aca="false">W2438+ROW()*0.000000001</f>
        <v>-3.09873569652667</v>
      </c>
      <c r="Z2438" s="55" t="n">
        <f aca="false">X2438+ROW()*0.000000001</f>
        <v>46.4354569834546</v>
      </c>
    </row>
    <row r="2439" customFormat="false" ht="15" hidden="false" customHeight="false" outlineLevel="0" collapsed="false">
      <c r="A2439" s="0" t="n">
        <v>8</v>
      </c>
      <c r="B2439" s="0" t="n">
        <v>7</v>
      </c>
      <c r="C2439" s="0" t="n">
        <v>3</v>
      </c>
      <c r="D2439" s="0" t="n">
        <f aca="false">-1+A2439*0.125</f>
        <v>0</v>
      </c>
      <c r="E2439" s="0" t="n">
        <f aca="false">-1+B2439*0.125</f>
        <v>-0.125</v>
      </c>
      <c r="F2439" s="0" t="n">
        <f aca="false">-1+C2439*0.125</f>
        <v>-0.625</v>
      </c>
      <c r="G2439" s="0" t="n">
        <f aca="false">1</f>
        <v>1</v>
      </c>
      <c r="H2439" s="0" t="n">
        <f aca="false">D2439</f>
        <v>0</v>
      </c>
      <c r="I2439" s="0" t="n">
        <f aca="false">E2439</f>
        <v>-0.125</v>
      </c>
      <c r="J2439" s="0" t="n">
        <f aca="false">F2439</f>
        <v>-0.625</v>
      </c>
      <c r="K2439" s="0" t="n">
        <f aca="false">D2439*E2439</f>
        <v>-0</v>
      </c>
      <c r="L2439" s="0" t="n">
        <f aca="false">D2439*F2439</f>
        <v>-0</v>
      </c>
      <c r="M2439" s="0" t="n">
        <f aca="false">E2439*F2439</f>
        <v>0.078125</v>
      </c>
      <c r="N2439" s="0" t="n">
        <f aca="false">D2439*D2439</f>
        <v>0</v>
      </c>
      <c r="O2439" s="0" t="n">
        <f aca="false">E2439*E2439</f>
        <v>0.015625</v>
      </c>
      <c r="P2439" s="0" t="n">
        <f aca="false">F2439*F2439</f>
        <v>0.390625</v>
      </c>
      <c r="Q2439" s="0" t="n">
        <f aca="false">SUMPRODUCT(G2439:P2439,_XtX!$B$71:$K$71)</f>
        <v>46.8032670454546</v>
      </c>
      <c r="R2439" s="0" t="n">
        <f aca="false">SUMPRODUCT(MMULT(G2439:P2439,_XtX!$B$58:$K$67),G2439:P2439)</f>
        <v>0.17654862837358</v>
      </c>
      <c r="S2439" s="0" t="n">
        <f aca="false">04_回帰ANOVA!$K$19*04_回帰ANOVA!$K$14*SQRT(1+R2439)</f>
        <v>1.00848995543082</v>
      </c>
      <c r="T2439" s="0" t="n">
        <f aca="false">Q2439-S2439</f>
        <v>45.7947770900237</v>
      </c>
      <c r="U2439" s="0" t="n">
        <f aca="false">Q2439+S2439</f>
        <v>47.8117570008854</v>
      </c>
      <c r="V2439" s="54" t="b">
        <f aca="false">AND(D2439&gt;=01_因子設定!$L$5-0.000000001,D2439&lt;=01_因子設定!$M$5+0.000000001,E2439&gt;=01_因子設定!$L$6-0.000000001,E2439&lt;=01_因子設定!$M$6+0.000000001,F2439&gt;=01_因子設定!$L$7-0.000000001,F2439&lt;=01_因子設定!$M$7+0.000000001,IF(01_因子設定!$B$20="Box-Behnken",D2439^2+E2439^2+F2439^2&lt;=2+0.000000001,TRUE()))</f>
        <v>1</v>
      </c>
      <c r="W2439" s="55" t="n">
        <f aca="false">IF(V2439,IF(01_因子設定!$B$13="最大化",T2439-01_因子設定!$B$14,IF(01_因子設定!$B$13="最小化",01_因子設定!$B$15-U2439,MIN(T2439-01_因子設定!$B$14,01_因子設定!$B$15-U2439))),-1E+030)</f>
        <v>-2.70522290997626</v>
      </c>
      <c r="X2439" s="55" t="n">
        <f aca="false">IF(V2439,IF(01_因子設定!$B$13="最大化",Q2439,IF(01_因子設定!$B$13="最小化",-Q2439,-ABS(Q2439-01_因子設定!$B$16))),-1E+030)</f>
        <v>46.8032670454546</v>
      </c>
      <c r="Y2439" s="55" t="n">
        <f aca="false">W2439+ROW()*0.000000001</f>
        <v>-2.70522047097626</v>
      </c>
      <c r="Z2439" s="55" t="n">
        <f aca="false">X2439+ROW()*0.000000001</f>
        <v>46.8032694844546</v>
      </c>
    </row>
    <row r="2440" customFormat="false" ht="15" hidden="false" customHeight="false" outlineLevel="0" collapsed="false">
      <c r="A2440" s="0" t="n">
        <v>8</v>
      </c>
      <c r="B2440" s="0" t="n">
        <v>7</v>
      </c>
      <c r="C2440" s="0" t="n">
        <v>4</v>
      </c>
      <c r="D2440" s="0" t="n">
        <f aca="false">-1+A2440*0.125</f>
        <v>0</v>
      </c>
      <c r="E2440" s="0" t="n">
        <f aca="false">-1+B2440*0.125</f>
        <v>-0.125</v>
      </c>
      <c r="F2440" s="0" t="n">
        <f aca="false">-1+C2440*0.125</f>
        <v>-0.5</v>
      </c>
      <c r="G2440" s="0" t="n">
        <f aca="false">1</f>
        <v>1</v>
      </c>
      <c r="H2440" s="0" t="n">
        <f aca="false">D2440</f>
        <v>0</v>
      </c>
      <c r="I2440" s="0" t="n">
        <f aca="false">E2440</f>
        <v>-0.125</v>
      </c>
      <c r="J2440" s="0" t="n">
        <f aca="false">F2440</f>
        <v>-0.5</v>
      </c>
      <c r="K2440" s="0" t="n">
        <f aca="false">D2440*E2440</f>
        <v>-0</v>
      </c>
      <c r="L2440" s="0" t="n">
        <f aca="false">D2440*F2440</f>
        <v>-0</v>
      </c>
      <c r="M2440" s="0" t="n">
        <f aca="false">E2440*F2440</f>
        <v>0.0625</v>
      </c>
      <c r="N2440" s="0" t="n">
        <f aca="false">D2440*D2440</f>
        <v>0</v>
      </c>
      <c r="O2440" s="0" t="n">
        <f aca="false">E2440*E2440</f>
        <v>0.015625</v>
      </c>
      <c r="P2440" s="0" t="n">
        <f aca="false">F2440*F2440</f>
        <v>0.25</v>
      </c>
      <c r="Q2440" s="0" t="n">
        <f aca="false">SUMPRODUCT(G2440:P2440,_XtX!$B$71:$K$71)</f>
        <v>47.1342897727273</v>
      </c>
      <c r="R2440" s="0" t="n">
        <f aca="false">SUMPRODUCT(MMULT(G2440:P2440,_XtX!$B$58:$K$67),G2440:P2440)</f>
        <v>0.142835582386364</v>
      </c>
      <c r="S2440" s="0" t="n">
        <f aca="false">04_回帰ANOVA!$K$19*04_回帰ANOVA!$K$14*SQRT(1+R2440)</f>
        <v>0.993936210693193</v>
      </c>
      <c r="T2440" s="0" t="n">
        <f aca="false">Q2440-S2440</f>
        <v>46.1403535620341</v>
      </c>
      <c r="U2440" s="0" t="n">
        <f aca="false">Q2440+S2440</f>
        <v>48.1282259834205</v>
      </c>
      <c r="V2440" s="54" t="b">
        <f aca="false">AND(D2440&gt;=01_因子設定!$L$5-0.000000001,D2440&lt;=01_因子設定!$M$5+0.000000001,E2440&gt;=01_因子設定!$L$6-0.000000001,E2440&lt;=01_因子設定!$M$6+0.000000001,F2440&gt;=01_因子設定!$L$7-0.000000001,F2440&lt;=01_因子設定!$M$7+0.000000001,IF(01_因子設定!$B$20="Box-Behnken",D2440^2+E2440^2+F2440^2&lt;=2+0.000000001,TRUE()))</f>
        <v>1</v>
      </c>
      <c r="W2440" s="55" t="n">
        <f aca="false">IF(V2440,IF(01_因子設定!$B$13="最大化",T2440-01_因子設定!$B$14,IF(01_因子設定!$B$13="最小化",01_因子設定!$B$15-U2440,MIN(T2440-01_因子設定!$B$14,01_因子設定!$B$15-U2440))),-1E+030)</f>
        <v>-2.35964643796591</v>
      </c>
      <c r="X2440" s="55" t="n">
        <f aca="false">IF(V2440,IF(01_因子設定!$B$13="最大化",Q2440,IF(01_因子設定!$B$13="最小化",-Q2440,-ABS(Q2440-01_因子設定!$B$16))),-1E+030)</f>
        <v>47.1342897727273</v>
      </c>
      <c r="Y2440" s="55" t="n">
        <f aca="false">W2440+ROW()*0.000000001</f>
        <v>-2.35964399796591</v>
      </c>
      <c r="Z2440" s="55" t="n">
        <f aca="false">X2440+ROW()*0.000000001</f>
        <v>47.1342922127273</v>
      </c>
    </row>
    <row r="2441" customFormat="false" ht="15" hidden="false" customHeight="false" outlineLevel="0" collapsed="false">
      <c r="A2441" s="0" t="n">
        <v>8</v>
      </c>
      <c r="B2441" s="0" t="n">
        <v>7</v>
      </c>
      <c r="C2441" s="0" t="n">
        <v>5</v>
      </c>
      <c r="D2441" s="0" t="n">
        <f aca="false">-1+A2441*0.125</f>
        <v>0</v>
      </c>
      <c r="E2441" s="0" t="n">
        <f aca="false">-1+B2441*0.125</f>
        <v>-0.125</v>
      </c>
      <c r="F2441" s="0" t="n">
        <f aca="false">-1+C2441*0.125</f>
        <v>-0.375</v>
      </c>
      <c r="G2441" s="0" t="n">
        <f aca="false">1</f>
        <v>1</v>
      </c>
      <c r="H2441" s="0" t="n">
        <f aca="false">D2441</f>
        <v>0</v>
      </c>
      <c r="I2441" s="0" t="n">
        <f aca="false">E2441</f>
        <v>-0.125</v>
      </c>
      <c r="J2441" s="0" t="n">
        <f aca="false">F2441</f>
        <v>-0.375</v>
      </c>
      <c r="K2441" s="0" t="n">
        <f aca="false">D2441*E2441</f>
        <v>-0</v>
      </c>
      <c r="L2441" s="0" t="n">
        <f aca="false">D2441*F2441</f>
        <v>-0</v>
      </c>
      <c r="M2441" s="0" t="n">
        <f aca="false">E2441*F2441</f>
        <v>0.046875</v>
      </c>
      <c r="N2441" s="0" t="n">
        <f aca="false">D2441*D2441</f>
        <v>0</v>
      </c>
      <c r="O2441" s="0" t="n">
        <f aca="false">E2441*E2441</f>
        <v>0.015625</v>
      </c>
      <c r="P2441" s="0" t="n">
        <f aca="false">F2441*F2441</f>
        <v>0.140625</v>
      </c>
      <c r="Q2441" s="0" t="n">
        <f aca="false">SUMPRODUCT(G2441:P2441,_XtX!$B$71:$K$71)</f>
        <v>47.4285227272727</v>
      </c>
      <c r="R2441" s="0" t="n">
        <f aca="false">SUMPRODUCT(MMULT(G2441:P2441,_XtX!$B$58:$K$67),G2441:P2441)</f>
        <v>0.126557506214489</v>
      </c>
      <c r="S2441" s="0" t="n">
        <f aca="false">04_回帰ANOVA!$K$19*04_回帰ANOVA!$K$14*SQRT(1+R2441)</f>
        <v>0.986832215747321</v>
      </c>
      <c r="T2441" s="0" t="n">
        <f aca="false">Q2441-S2441</f>
        <v>46.4416905115254</v>
      </c>
      <c r="U2441" s="0" t="n">
        <f aca="false">Q2441+S2441</f>
        <v>48.4153549430201</v>
      </c>
      <c r="V2441" s="54" t="b">
        <f aca="false">AND(D2441&gt;=01_因子設定!$L$5-0.000000001,D2441&lt;=01_因子設定!$M$5+0.000000001,E2441&gt;=01_因子設定!$L$6-0.000000001,E2441&lt;=01_因子設定!$M$6+0.000000001,F2441&gt;=01_因子設定!$L$7-0.000000001,F2441&lt;=01_因子設定!$M$7+0.000000001,IF(01_因子設定!$B$20="Box-Behnken",D2441^2+E2441^2+F2441^2&lt;=2+0.000000001,TRUE()))</f>
        <v>1</v>
      </c>
      <c r="W2441" s="55" t="n">
        <f aca="false">IF(V2441,IF(01_因子設定!$B$13="最大化",T2441-01_因子設定!$B$14,IF(01_因子設定!$B$13="最小化",01_因子設定!$B$15-U2441,MIN(T2441-01_因子設定!$B$14,01_因子設定!$B$15-U2441))),-1E+030)</f>
        <v>-2.05830948847458</v>
      </c>
      <c r="X2441" s="55" t="n">
        <f aca="false">IF(V2441,IF(01_因子設定!$B$13="最大化",Q2441,IF(01_因子設定!$B$13="最小化",-Q2441,-ABS(Q2441-01_因子設定!$B$16))),-1E+030)</f>
        <v>47.4285227272727</v>
      </c>
      <c r="Y2441" s="55" t="n">
        <f aca="false">W2441+ROW()*0.000000001</f>
        <v>-2.05830704747459</v>
      </c>
      <c r="Z2441" s="55" t="n">
        <f aca="false">X2441+ROW()*0.000000001</f>
        <v>47.4285251682727</v>
      </c>
    </row>
    <row r="2442" customFormat="false" ht="15" hidden="false" customHeight="false" outlineLevel="0" collapsed="false">
      <c r="A2442" s="0" t="n">
        <v>8</v>
      </c>
      <c r="B2442" s="0" t="n">
        <v>7</v>
      </c>
      <c r="C2442" s="0" t="n">
        <v>6</v>
      </c>
      <c r="D2442" s="0" t="n">
        <f aca="false">-1+A2442*0.125</f>
        <v>0</v>
      </c>
      <c r="E2442" s="0" t="n">
        <f aca="false">-1+B2442*0.125</f>
        <v>-0.125</v>
      </c>
      <c r="F2442" s="0" t="n">
        <f aca="false">-1+C2442*0.125</f>
        <v>-0.25</v>
      </c>
      <c r="G2442" s="0" t="n">
        <f aca="false">1</f>
        <v>1</v>
      </c>
      <c r="H2442" s="0" t="n">
        <f aca="false">D2442</f>
        <v>0</v>
      </c>
      <c r="I2442" s="0" t="n">
        <f aca="false">E2442</f>
        <v>-0.125</v>
      </c>
      <c r="J2442" s="0" t="n">
        <f aca="false">F2442</f>
        <v>-0.25</v>
      </c>
      <c r="K2442" s="0" t="n">
        <f aca="false">D2442*E2442</f>
        <v>-0</v>
      </c>
      <c r="L2442" s="0" t="n">
        <f aca="false">D2442*F2442</f>
        <v>-0</v>
      </c>
      <c r="M2442" s="0" t="n">
        <f aca="false">E2442*F2442</f>
        <v>0.03125</v>
      </c>
      <c r="N2442" s="0" t="n">
        <f aca="false">D2442*D2442</f>
        <v>0</v>
      </c>
      <c r="O2442" s="0" t="n">
        <f aca="false">E2442*E2442</f>
        <v>0.015625</v>
      </c>
      <c r="P2442" s="0" t="n">
        <f aca="false">F2442*F2442</f>
        <v>0.0625</v>
      </c>
      <c r="Q2442" s="0" t="n">
        <f aca="false">SUMPRODUCT(G2442:P2442,_XtX!$B$71:$K$71)</f>
        <v>47.6859659090909</v>
      </c>
      <c r="R2442" s="0" t="n">
        <f aca="false">SUMPRODUCT(MMULT(G2442:P2442,_XtX!$B$58:$K$67),G2442:P2442)</f>
        <v>0.120257013494318</v>
      </c>
      <c r="S2442" s="0" t="n">
        <f aca="false">04_回帰ANOVA!$K$19*04_回帰ANOVA!$K$14*SQRT(1+R2442)</f>
        <v>0.984068820741811</v>
      </c>
      <c r="T2442" s="0" t="n">
        <f aca="false">Q2442-S2442</f>
        <v>46.7018970883491</v>
      </c>
      <c r="U2442" s="0" t="n">
        <f aca="false">Q2442+S2442</f>
        <v>48.6700347298327</v>
      </c>
      <c r="V2442" s="54" t="b">
        <f aca="false">AND(D2442&gt;=01_因子設定!$L$5-0.000000001,D2442&lt;=01_因子設定!$M$5+0.000000001,E2442&gt;=01_因子設定!$L$6-0.000000001,E2442&lt;=01_因子設定!$M$6+0.000000001,F2442&gt;=01_因子設定!$L$7-0.000000001,F2442&lt;=01_因子設定!$M$7+0.000000001,IF(01_因子設定!$B$20="Box-Behnken",D2442^2+E2442^2+F2442^2&lt;=2+0.000000001,TRUE()))</f>
        <v>1</v>
      </c>
      <c r="W2442" s="55" t="n">
        <f aca="false">IF(V2442,IF(01_因子設定!$B$13="最大化",T2442-01_因子設定!$B$14,IF(01_因子設定!$B$13="最小化",01_因子設定!$B$15-U2442,MIN(T2442-01_因子設定!$B$14,01_因子設定!$B$15-U2442))),-1E+030)</f>
        <v>-1.79810291165089</v>
      </c>
      <c r="X2442" s="55" t="n">
        <f aca="false">IF(V2442,IF(01_因子設定!$B$13="最大化",Q2442,IF(01_因子設定!$B$13="最小化",-Q2442,-ABS(Q2442-01_因子設定!$B$16))),-1E+030)</f>
        <v>47.6859659090909</v>
      </c>
      <c r="Y2442" s="55" t="n">
        <f aca="false">W2442+ROW()*0.000000001</f>
        <v>-1.79810046965089</v>
      </c>
      <c r="Z2442" s="55" t="n">
        <f aca="false">X2442+ROW()*0.000000001</f>
        <v>47.6859683510909</v>
      </c>
    </row>
    <row r="2443" customFormat="false" ht="15" hidden="false" customHeight="false" outlineLevel="0" collapsed="false">
      <c r="A2443" s="0" t="n">
        <v>8</v>
      </c>
      <c r="B2443" s="0" t="n">
        <v>7</v>
      </c>
      <c r="C2443" s="0" t="n">
        <v>7</v>
      </c>
      <c r="D2443" s="0" t="n">
        <f aca="false">-1+A2443*0.125</f>
        <v>0</v>
      </c>
      <c r="E2443" s="0" t="n">
        <f aca="false">-1+B2443*0.125</f>
        <v>-0.125</v>
      </c>
      <c r="F2443" s="0" t="n">
        <f aca="false">-1+C2443*0.125</f>
        <v>-0.125</v>
      </c>
      <c r="G2443" s="0" t="n">
        <f aca="false">1</f>
        <v>1</v>
      </c>
      <c r="H2443" s="0" t="n">
        <f aca="false">D2443</f>
        <v>0</v>
      </c>
      <c r="I2443" s="0" t="n">
        <f aca="false">E2443</f>
        <v>-0.125</v>
      </c>
      <c r="J2443" s="0" t="n">
        <f aca="false">F2443</f>
        <v>-0.125</v>
      </c>
      <c r="K2443" s="0" t="n">
        <f aca="false">D2443*E2443</f>
        <v>-0</v>
      </c>
      <c r="L2443" s="0" t="n">
        <f aca="false">D2443*F2443</f>
        <v>-0</v>
      </c>
      <c r="M2443" s="0" t="n">
        <f aca="false">E2443*F2443</f>
        <v>0.015625</v>
      </c>
      <c r="N2443" s="0" t="n">
        <f aca="false">D2443*D2443</f>
        <v>0</v>
      </c>
      <c r="O2443" s="0" t="n">
        <f aca="false">E2443*E2443</f>
        <v>0.015625</v>
      </c>
      <c r="P2443" s="0" t="n">
        <f aca="false">F2443*F2443</f>
        <v>0.015625</v>
      </c>
      <c r="Q2443" s="0" t="n">
        <f aca="false">SUMPRODUCT(G2443:P2443,_XtX!$B$71:$K$71)</f>
        <v>47.9066193181818</v>
      </c>
      <c r="R2443" s="0" t="n">
        <f aca="false">SUMPRODUCT(MMULT(G2443:P2443,_XtX!$B$58:$K$67),G2443:P2443)</f>
        <v>0.118607399680398</v>
      </c>
      <c r="S2443" s="0" t="n">
        <f aca="false">04_回帰ANOVA!$K$19*04_回帰ANOVA!$K$14*SQRT(1+R2443)</f>
        <v>0.983344017619025</v>
      </c>
      <c r="T2443" s="0" t="n">
        <f aca="false">Q2443-S2443</f>
        <v>46.9232753005628</v>
      </c>
      <c r="U2443" s="0" t="n">
        <f aca="false">Q2443+S2443</f>
        <v>48.8899633358009</v>
      </c>
      <c r="V2443" s="54" t="b">
        <f aca="false">AND(D2443&gt;=01_因子設定!$L$5-0.000000001,D2443&lt;=01_因子設定!$M$5+0.000000001,E2443&gt;=01_因子設定!$L$6-0.000000001,E2443&lt;=01_因子設定!$M$6+0.000000001,F2443&gt;=01_因子設定!$L$7-0.000000001,F2443&lt;=01_因子設定!$M$7+0.000000001,IF(01_因子設定!$B$20="Box-Behnken",D2443^2+E2443^2+F2443^2&lt;=2+0.000000001,TRUE()))</f>
        <v>1</v>
      </c>
      <c r="W2443" s="55" t="n">
        <f aca="false">IF(V2443,IF(01_因子設定!$B$13="最大化",T2443-01_因子設定!$B$14,IF(01_因子設定!$B$13="最小化",01_因子設定!$B$15-U2443,MIN(T2443-01_因子設定!$B$14,01_因子設定!$B$15-U2443))),-1E+030)</f>
        <v>-1.5767246994372</v>
      </c>
      <c r="X2443" s="55" t="n">
        <f aca="false">IF(V2443,IF(01_因子設定!$B$13="最大化",Q2443,IF(01_因子設定!$B$13="最小化",-Q2443,-ABS(Q2443-01_因子設定!$B$16))),-1E+030)</f>
        <v>47.9066193181818</v>
      </c>
      <c r="Y2443" s="55" t="n">
        <f aca="false">W2443+ROW()*0.000000001</f>
        <v>-1.5767222564372</v>
      </c>
      <c r="Z2443" s="55" t="n">
        <f aca="false">X2443+ROW()*0.000000001</f>
        <v>47.9066217611818</v>
      </c>
    </row>
    <row r="2444" customFormat="false" ht="15" hidden="false" customHeight="false" outlineLevel="0" collapsed="false">
      <c r="A2444" s="0" t="n">
        <v>8</v>
      </c>
      <c r="B2444" s="0" t="n">
        <v>7</v>
      </c>
      <c r="C2444" s="0" t="n">
        <v>8</v>
      </c>
      <c r="D2444" s="0" t="n">
        <f aca="false">-1+A2444*0.125</f>
        <v>0</v>
      </c>
      <c r="E2444" s="0" t="n">
        <f aca="false">-1+B2444*0.125</f>
        <v>-0.125</v>
      </c>
      <c r="F2444" s="0" t="n">
        <f aca="false">-1+C2444*0.125</f>
        <v>0</v>
      </c>
      <c r="G2444" s="0" t="n">
        <f aca="false">1</f>
        <v>1</v>
      </c>
      <c r="H2444" s="0" t="n">
        <f aca="false">D2444</f>
        <v>0</v>
      </c>
      <c r="I2444" s="0" t="n">
        <f aca="false">E2444</f>
        <v>-0.125</v>
      </c>
      <c r="J2444" s="0" t="n">
        <f aca="false">F2444</f>
        <v>0</v>
      </c>
      <c r="K2444" s="0" t="n">
        <f aca="false">D2444*E2444</f>
        <v>-0</v>
      </c>
      <c r="L2444" s="0" t="n">
        <f aca="false">D2444*F2444</f>
        <v>0</v>
      </c>
      <c r="M2444" s="0" t="n">
        <f aca="false">E2444*F2444</f>
        <v>-0</v>
      </c>
      <c r="N2444" s="0" t="n">
        <f aca="false">D2444*D2444</f>
        <v>0</v>
      </c>
      <c r="O2444" s="0" t="n">
        <f aca="false">E2444*E2444</f>
        <v>0.015625</v>
      </c>
      <c r="P2444" s="0" t="n">
        <f aca="false">F2444*F2444</f>
        <v>0</v>
      </c>
      <c r="Q2444" s="0" t="n">
        <f aca="false">SUMPRODUCT(G2444:P2444,_XtX!$B$71:$K$71)</f>
        <v>48.0904829545455</v>
      </c>
      <c r="R2444" s="0" t="n">
        <f aca="false">SUMPRODUCT(MMULT(G2444:P2444,_XtX!$B$58:$K$67),G2444:P2444)</f>
        <v>0.118412642045455</v>
      </c>
      <c r="S2444" s="0" t="n">
        <f aca="false">04_回帰ANOVA!$K$19*04_回帰ANOVA!$K$14*SQRT(1+R2444)</f>
        <v>0.983258410241508</v>
      </c>
      <c r="T2444" s="0" t="n">
        <f aca="false">Q2444-S2444</f>
        <v>47.107224544304</v>
      </c>
      <c r="U2444" s="0" t="n">
        <f aca="false">Q2444+S2444</f>
        <v>49.073741364787</v>
      </c>
      <c r="V2444" s="54" t="b">
        <f aca="false">AND(D2444&gt;=01_因子設定!$L$5-0.000000001,D2444&lt;=01_因子設定!$M$5+0.000000001,E2444&gt;=01_因子設定!$L$6-0.000000001,E2444&lt;=01_因子設定!$M$6+0.000000001,F2444&gt;=01_因子設定!$L$7-0.000000001,F2444&lt;=01_因子設定!$M$7+0.000000001,IF(01_因子設定!$B$20="Box-Behnken",D2444^2+E2444^2+F2444^2&lt;=2+0.000000001,TRUE()))</f>
        <v>1</v>
      </c>
      <c r="W2444" s="55" t="n">
        <f aca="false">IF(V2444,IF(01_因子設定!$B$13="最大化",T2444-01_因子設定!$B$14,IF(01_因子設定!$B$13="最小化",01_因子設定!$B$15-U2444,MIN(T2444-01_因子設定!$B$14,01_因子設定!$B$15-U2444))),-1E+030)</f>
        <v>-1.39277545569605</v>
      </c>
      <c r="X2444" s="55" t="n">
        <f aca="false">IF(V2444,IF(01_因子設定!$B$13="最大化",Q2444,IF(01_因子設定!$B$13="最小化",-Q2444,-ABS(Q2444-01_因子設定!$B$16))),-1E+030)</f>
        <v>48.0904829545455</v>
      </c>
      <c r="Y2444" s="55" t="n">
        <f aca="false">W2444+ROW()*0.000000001</f>
        <v>-1.39277301169605</v>
      </c>
      <c r="Z2444" s="55" t="n">
        <f aca="false">X2444+ROW()*0.000000001</f>
        <v>48.0904853985455</v>
      </c>
    </row>
    <row r="2445" customFormat="false" ht="15" hidden="false" customHeight="false" outlineLevel="0" collapsed="false">
      <c r="A2445" s="0" t="n">
        <v>8</v>
      </c>
      <c r="B2445" s="0" t="n">
        <v>7</v>
      </c>
      <c r="C2445" s="0" t="n">
        <v>9</v>
      </c>
      <c r="D2445" s="0" t="n">
        <f aca="false">-1+A2445*0.125</f>
        <v>0</v>
      </c>
      <c r="E2445" s="0" t="n">
        <f aca="false">-1+B2445*0.125</f>
        <v>-0.125</v>
      </c>
      <c r="F2445" s="0" t="n">
        <f aca="false">-1+C2445*0.125</f>
        <v>0.125</v>
      </c>
      <c r="G2445" s="0" t="n">
        <f aca="false">1</f>
        <v>1</v>
      </c>
      <c r="H2445" s="0" t="n">
        <f aca="false">D2445</f>
        <v>0</v>
      </c>
      <c r="I2445" s="0" t="n">
        <f aca="false">E2445</f>
        <v>-0.125</v>
      </c>
      <c r="J2445" s="0" t="n">
        <f aca="false">F2445</f>
        <v>0.125</v>
      </c>
      <c r="K2445" s="0" t="n">
        <f aca="false">D2445*E2445</f>
        <v>-0</v>
      </c>
      <c r="L2445" s="0" t="n">
        <f aca="false">D2445*F2445</f>
        <v>0</v>
      </c>
      <c r="M2445" s="0" t="n">
        <f aca="false">E2445*F2445</f>
        <v>-0.015625</v>
      </c>
      <c r="N2445" s="0" t="n">
        <f aca="false">D2445*D2445</f>
        <v>0</v>
      </c>
      <c r="O2445" s="0" t="n">
        <f aca="false">E2445*E2445</f>
        <v>0.015625</v>
      </c>
      <c r="P2445" s="0" t="n">
        <f aca="false">F2445*F2445</f>
        <v>0.015625</v>
      </c>
      <c r="Q2445" s="0" t="n">
        <f aca="false">SUMPRODUCT(G2445:P2445,_XtX!$B$71:$K$71)</f>
        <v>48.2375568181818</v>
      </c>
      <c r="R2445" s="0" t="n">
        <f aca="false">SUMPRODUCT(MMULT(G2445:P2445,_XtX!$B$58:$K$67),G2445:P2445)</f>
        <v>0.118607399680398</v>
      </c>
      <c r="S2445" s="0" t="n">
        <f aca="false">04_回帰ANOVA!$K$19*04_回帰ANOVA!$K$14*SQRT(1+R2445)</f>
        <v>0.983344017619025</v>
      </c>
      <c r="T2445" s="0" t="n">
        <f aca="false">Q2445-S2445</f>
        <v>47.2542128005628</v>
      </c>
      <c r="U2445" s="0" t="n">
        <f aca="false">Q2445+S2445</f>
        <v>49.2209008358009</v>
      </c>
      <c r="V2445" s="54" t="b">
        <f aca="false">AND(D2445&gt;=01_因子設定!$L$5-0.000000001,D2445&lt;=01_因子設定!$M$5+0.000000001,E2445&gt;=01_因子設定!$L$6-0.000000001,E2445&lt;=01_因子設定!$M$6+0.000000001,F2445&gt;=01_因子設定!$L$7-0.000000001,F2445&lt;=01_因子設定!$M$7+0.000000001,IF(01_因子設定!$B$20="Box-Behnken",D2445^2+E2445^2+F2445^2&lt;=2+0.000000001,TRUE()))</f>
        <v>1</v>
      </c>
      <c r="W2445" s="55" t="n">
        <f aca="false">IF(V2445,IF(01_因子設定!$B$13="最大化",T2445-01_因子設定!$B$14,IF(01_因子設定!$B$13="最小化",01_因子設定!$B$15-U2445,MIN(T2445-01_因子設定!$B$14,01_因子設定!$B$15-U2445))),-1E+030)</f>
        <v>-1.2457871994372</v>
      </c>
      <c r="X2445" s="55" t="n">
        <f aca="false">IF(V2445,IF(01_因子設定!$B$13="最大化",Q2445,IF(01_因子設定!$B$13="最小化",-Q2445,-ABS(Q2445-01_因子設定!$B$16))),-1E+030)</f>
        <v>48.2375568181818</v>
      </c>
      <c r="Y2445" s="55" t="n">
        <f aca="false">W2445+ROW()*0.000000001</f>
        <v>-1.2457847544372</v>
      </c>
      <c r="Z2445" s="55" t="n">
        <f aca="false">X2445+ROW()*0.000000001</f>
        <v>48.2375592631818</v>
      </c>
    </row>
    <row r="2446" customFormat="false" ht="15" hidden="false" customHeight="false" outlineLevel="0" collapsed="false">
      <c r="A2446" s="0" t="n">
        <v>8</v>
      </c>
      <c r="B2446" s="0" t="n">
        <v>7</v>
      </c>
      <c r="C2446" s="0" t="n">
        <v>10</v>
      </c>
      <c r="D2446" s="0" t="n">
        <f aca="false">-1+A2446*0.125</f>
        <v>0</v>
      </c>
      <c r="E2446" s="0" t="n">
        <f aca="false">-1+B2446*0.125</f>
        <v>-0.125</v>
      </c>
      <c r="F2446" s="0" t="n">
        <f aca="false">-1+C2446*0.125</f>
        <v>0.25</v>
      </c>
      <c r="G2446" s="0" t="n">
        <f aca="false">1</f>
        <v>1</v>
      </c>
      <c r="H2446" s="0" t="n">
        <f aca="false">D2446</f>
        <v>0</v>
      </c>
      <c r="I2446" s="0" t="n">
        <f aca="false">E2446</f>
        <v>-0.125</v>
      </c>
      <c r="J2446" s="0" t="n">
        <f aca="false">F2446</f>
        <v>0.25</v>
      </c>
      <c r="K2446" s="0" t="n">
        <f aca="false">D2446*E2446</f>
        <v>-0</v>
      </c>
      <c r="L2446" s="0" t="n">
        <f aca="false">D2446*F2446</f>
        <v>0</v>
      </c>
      <c r="M2446" s="0" t="n">
        <f aca="false">E2446*F2446</f>
        <v>-0.03125</v>
      </c>
      <c r="N2446" s="0" t="n">
        <f aca="false">D2446*D2446</f>
        <v>0</v>
      </c>
      <c r="O2446" s="0" t="n">
        <f aca="false">E2446*E2446</f>
        <v>0.015625</v>
      </c>
      <c r="P2446" s="0" t="n">
        <f aca="false">F2446*F2446</f>
        <v>0.0625</v>
      </c>
      <c r="Q2446" s="0" t="n">
        <f aca="false">SUMPRODUCT(G2446:P2446,_XtX!$B$71:$K$71)</f>
        <v>48.3478409090909</v>
      </c>
      <c r="R2446" s="0" t="n">
        <f aca="false">SUMPRODUCT(MMULT(G2446:P2446,_XtX!$B$58:$K$67),G2446:P2446)</f>
        <v>0.120257013494318</v>
      </c>
      <c r="S2446" s="0" t="n">
        <f aca="false">04_回帰ANOVA!$K$19*04_回帰ANOVA!$K$14*SQRT(1+R2446)</f>
        <v>0.984068820741811</v>
      </c>
      <c r="T2446" s="0" t="n">
        <f aca="false">Q2446-S2446</f>
        <v>47.3637720883491</v>
      </c>
      <c r="U2446" s="0" t="n">
        <f aca="false">Q2446+S2446</f>
        <v>49.3319097298327</v>
      </c>
      <c r="V2446" s="54" t="b">
        <f aca="false">AND(D2446&gt;=01_因子設定!$L$5-0.000000001,D2446&lt;=01_因子設定!$M$5+0.000000001,E2446&gt;=01_因子設定!$L$6-0.000000001,E2446&lt;=01_因子設定!$M$6+0.000000001,F2446&gt;=01_因子設定!$L$7-0.000000001,F2446&lt;=01_因子設定!$M$7+0.000000001,IF(01_因子設定!$B$20="Box-Behnken",D2446^2+E2446^2+F2446^2&lt;=2+0.000000001,TRUE()))</f>
        <v>1</v>
      </c>
      <c r="W2446" s="55" t="n">
        <f aca="false">IF(V2446,IF(01_因子設定!$B$13="最大化",T2446-01_因子設定!$B$14,IF(01_因子設定!$B$13="最小化",01_因子設定!$B$15-U2446,MIN(T2446-01_因子設定!$B$14,01_因子設定!$B$15-U2446))),-1E+030)</f>
        <v>-1.13622791165089</v>
      </c>
      <c r="X2446" s="55" t="n">
        <f aca="false">IF(V2446,IF(01_因子設定!$B$13="最大化",Q2446,IF(01_因子設定!$B$13="最小化",-Q2446,-ABS(Q2446-01_因子設定!$B$16))),-1E+030)</f>
        <v>48.3478409090909</v>
      </c>
      <c r="Y2446" s="55" t="n">
        <f aca="false">W2446+ROW()*0.000000001</f>
        <v>-1.13622546565089</v>
      </c>
      <c r="Z2446" s="55" t="n">
        <f aca="false">X2446+ROW()*0.000000001</f>
        <v>48.3478433550909</v>
      </c>
    </row>
    <row r="2447" customFormat="false" ht="15" hidden="false" customHeight="false" outlineLevel="0" collapsed="false">
      <c r="A2447" s="0" t="n">
        <v>8</v>
      </c>
      <c r="B2447" s="0" t="n">
        <v>7</v>
      </c>
      <c r="C2447" s="0" t="n">
        <v>11</v>
      </c>
      <c r="D2447" s="0" t="n">
        <f aca="false">-1+A2447*0.125</f>
        <v>0</v>
      </c>
      <c r="E2447" s="0" t="n">
        <f aca="false">-1+B2447*0.125</f>
        <v>-0.125</v>
      </c>
      <c r="F2447" s="0" t="n">
        <f aca="false">-1+C2447*0.125</f>
        <v>0.375</v>
      </c>
      <c r="G2447" s="0" t="n">
        <f aca="false">1</f>
        <v>1</v>
      </c>
      <c r="H2447" s="0" t="n">
        <f aca="false">D2447</f>
        <v>0</v>
      </c>
      <c r="I2447" s="0" t="n">
        <f aca="false">E2447</f>
        <v>-0.125</v>
      </c>
      <c r="J2447" s="0" t="n">
        <f aca="false">F2447</f>
        <v>0.375</v>
      </c>
      <c r="K2447" s="0" t="n">
        <f aca="false">D2447*E2447</f>
        <v>-0</v>
      </c>
      <c r="L2447" s="0" t="n">
        <f aca="false">D2447*F2447</f>
        <v>0</v>
      </c>
      <c r="M2447" s="0" t="n">
        <f aca="false">E2447*F2447</f>
        <v>-0.046875</v>
      </c>
      <c r="N2447" s="0" t="n">
        <f aca="false">D2447*D2447</f>
        <v>0</v>
      </c>
      <c r="O2447" s="0" t="n">
        <f aca="false">E2447*E2447</f>
        <v>0.015625</v>
      </c>
      <c r="P2447" s="0" t="n">
        <f aca="false">F2447*F2447</f>
        <v>0.140625</v>
      </c>
      <c r="Q2447" s="0" t="n">
        <f aca="false">SUMPRODUCT(G2447:P2447,_XtX!$B$71:$K$71)</f>
        <v>48.4213352272727</v>
      </c>
      <c r="R2447" s="0" t="n">
        <f aca="false">SUMPRODUCT(MMULT(G2447:P2447,_XtX!$B$58:$K$67),G2447:P2447)</f>
        <v>0.126557506214489</v>
      </c>
      <c r="S2447" s="0" t="n">
        <f aca="false">04_回帰ANOVA!$K$19*04_回帰ANOVA!$K$14*SQRT(1+R2447)</f>
        <v>0.986832215747321</v>
      </c>
      <c r="T2447" s="0" t="n">
        <f aca="false">Q2447-S2447</f>
        <v>47.4345030115254</v>
      </c>
      <c r="U2447" s="0" t="n">
        <f aca="false">Q2447+S2447</f>
        <v>49.4081674430201</v>
      </c>
      <c r="V2447" s="54" t="b">
        <f aca="false">AND(D2447&gt;=01_因子設定!$L$5-0.000000001,D2447&lt;=01_因子設定!$M$5+0.000000001,E2447&gt;=01_因子設定!$L$6-0.000000001,E2447&lt;=01_因子設定!$M$6+0.000000001,F2447&gt;=01_因子設定!$L$7-0.000000001,F2447&lt;=01_因子設定!$M$7+0.000000001,IF(01_因子設定!$B$20="Box-Behnken",D2447^2+E2447^2+F2447^2&lt;=2+0.000000001,TRUE()))</f>
        <v>1</v>
      </c>
      <c r="W2447" s="55" t="n">
        <f aca="false">IF(V2447,IF(01_因子設定!$B$13="最大化",T2447-01_因子設定!$B$14,IF(01_因子設定!$B$13="最小化",01_因子設定!$B$15-U2447,MIN(T2447-01_因子設定!$B$14,01_因子設定!$B$15-U2447))),-1E+030)</f>
        <v>-1.06549698847458</v>
      </c>
      <c r="X2447" s="55" t="n">
        <f aca="false">IF(V2447,IF(01_因子設定!$B$13="最大化",Q2447,IF(01_因子設定!$B$13="最小化",-Q2447,-ABS(Q2447-01_因子設定!$B$16))),-1E+030)</f>
        <v>48.4213352272727</v>
      </c>
      <c r="Y2447" s="55" t="n">
        <f aca="false">W2447+ROW()*0.000000001</f>
        <v>-1.06549454147458</v>
      </c>
      <c r="Z2447" s="55" t="n">
        <f aca="false">X2447+ROW()*0.000000001</f>
        <v>48.4213376742727</v>
      </c>
    </row>
    <row r="2448" customFormat="false" ht="15" hidden="false" customHeight="false" outlineLevel="0" collapsed="false">
      <c r="A2448" s="0" t="n">
        <v>8</v>
      </c>
      <c r="B2448" s="0" t="n">
        <v>7</v>
      </c>
      <c r="C2448" s="0" t="n">
        <v>12</v>
      </c>
      <c r="D2448" s="0" t="n">
        <f aca="false">-1+A2448*0.125</f>
        <v>0</v>
      </c>
      <c r="E2448" s="0" t="n">
        <f aca="false">-1+B2448*0.125</f>
        <v>-0.125</v>
      </c>
      <c r="F2448" s="0" t="n">
        <f aca="false">-1+C2448*0.125</f>
        <v>0.5</v>
      </c>
      <c r="G2448" s="0" t="n">
        <f aca="false">1</f>
        <v>1</v>
      </c>
      <c r="H2448" s="0" t="n">
        <f aca="false">D2448</f>
        <v>0</v>
      </c>
      <c r="I2448" s="0" t="n">
        <f aca="false">E2448</f>
        <v>-0.125</v>
      </c>
      <c r="J2448" s="0" t="n">
        <f aca="false">F2448</f>
        <v>0.5</v>
      </c>
      <c r="K2448" s="0" t="n">
        <f aca="false">D2448*E2448</f>
        <v>-0</v>
      </c>
      <c r="L2448" s="0" t="n">
        <f aca="false">D2448*F2448</f>
        <v>0</v>
      </c>
      <c r="M2448" s="0" t="n">
        <f aca="false">E2448*F2448</f>
        <v>-0.0625</v>
      </c>
      <c r="N2448" s="0" t="n">
        <f aca="false">D2448*D2448</f>
        <v>0</v>
      </c>
      <c r="O2448" s="0" t="n">
        <f aca="false">E2448*E2448</f>
        <v>0.015625</v>
      </c>
      <c r="P2448" s="0" t="n">
        <f aca="false">F2448*F2448</f>
        <v>0.25</v>
      </c>
      <c r="Q2448" s="0" t="n">
        <f aca="false">SUMPRODUCT(G2448:P2448,_XtX!$B$71:$K$71)</f>
        <v>48.4580397727273</v>
      </c>
      <c r="R2448" s="0" t="n">
        <f aca="false">SUMPRODUCT(MMULT(G2448:P2448,_XtX!$B$58:$K$67),G2448:P2448)</f>
        <v>0.142835582386364</v>
      </c>
      <c r="S2448" s="0" t="n">
        <f aca="false">04_回帰ANOVA!$K$19*04_回帰ANOVA!$K$14*SQRT(1+R2448)</f>
        <v>0.993936210693193</v>
      </c>
      <c r="T2448" s="0" t="n">
        <f aca="false">Q2448-S2448</f>
        <v>47.4641035620341</v>
      </c>
      <c r="U2448" s="0" t="n">
        <f aca="false">Q2448+S2448</f>
        <v>49.4519759834205</v>
      </c>
      <c r="V2448" s="54" t="b">
        <f aca="false">AND(D2448&gt;=01_因子設定!$L$5-0.000000001,D2448&lt;=01_因子設定!$M$5+0.000000001,E2448&gt;=01_因子設定!$L$6-0.000000001,E2448&lt;=01_因子設定!$M$6+0.000000001,F2448&gt;=01_因子設定!$L$7-0.000000001,F2448&lt;=01_因子設定!$M$7+0.000000001,IF(01_因子設定!$B$20="Box-Behnken",D2448^2+E2448^2+F2448^2&lt;=2+0.000000001,TRUE()))</f>
        <v>1</v>
      </c>
      <c r="W2448" s="55" t="n">
        <f aca="false">IF(V2448,IF(01_因子設定!$B$13="最大化",T2448-01_因子設定!$B$14,IF(01_因子設定!$B$13="最小化",01_因子設定!$B$15-U2448,MIN(T2448-01_因子設定!$B$14,01_因子設定!$B$15-U2448))),-1E+030)</f>
        <v>-1.0358964379659</v>
      </c>
      <c r="X2448" s="55" t="n">
        <f aca="false">IF(V2448,IF(01_因子設定!$B$13="最大化",Q2448,IF(01_因子設定!$B$13="最小化",-Q2448,-ABS(Q2448-01_因子設定!$B$16))),-1E+030)</f>
        <v>48.4580397727273</v>
      </c>
      <c r="Y2448" s="55" t="n">
        <f aca="false">W2448+ROW()*0.000000001</f>
        <v>-1.0358939899659</v>
      </c>
      <c r="Z2448" s="55" t="n">
        <f aca="false">X2448+ROW()*0.000000001</f>
        <v>48.4580422207273</v>
      </c>
    </row>
    <row r="2449" customFormat="false" ht="15" hidden="false" customHeight="false" outlineLevel="0" collapsed="false">
      <c r="A2449" s="0" t="n">
        <v>8</v>
      </c>
      <c r="B2449" s="0" t="n">
        <v>7</v>
      </c>
      <c r="C2449" s="0" t="n">
        <v>13</v>
      </c>
      <c r="D2449" s="0" t="n">
        <f aca="false">-1+A2449*0.125</f>
        <v>0</v>
      </c>
      <c r="E2449" s="0" t="n">
        <f aca="false">-1+B2449*0.125</f>
        <v>-0.125</v>
      </c>
      <c r="F2449" s="0" t="n">
        <f aca="false">-1+C2449*0.125</f>
        <v>0.625</v>
      </c>
      <c r="G2449" s="0" t="n">
        <f aca="false">1</f>
        <v>1</v>
      </c>
      <c r="H2449" s="0" t="n">
        <f aca="false">D2449</f>
        <v>0</v>
      </c>
      <c r="I2449" s="0" t="n">
        <f aca="false">E2449</f>
        <v>-0.125</v>
      </c>
      <c r="J2449" s="0" t="n">
        <f aca="false">F2449</f>
        <v>0.625</v>
      </c>
      <c r="K2449" s="0" t="n">
        <f aca="false">D2449*E2449</f>
        <v>-0</v>
      </c>
      <c r="L2449" s="0" t="n">
        <f aca="false">D2449*F2449</f>
        <v>0</v>
      </c>
      <c r="M2449" s="0" t="n">
        <f aca="false">E2449*F2449</f>
        <v>-0.078125</v>
      </c>
      <c r="N2449" s="0" t="n">
        <f aca="false">D2449*D2449</f>
        <v>0</v>
      </c>
      <c r="O2449" s="0" t="n">
        <f aca="false">E2449*E2449</f>
        <v>0.015625</v>
      </c>
      <c r="P2449" s="0" t="n">
        <f aca="false">F2449*F2449</f>
        <v>0.390625</v>
      </c>
      <c r="Q2449" s="0" t="n">
        <f aca="false">SUMPRODUCT(G2449:P2449,_XtX!$B$71:$K$71)</f>
        <v>48.4579545454546</v>
      </c>
      <c r="R2449" s="0" t="n">
        <f aca="false">SUMPRODUCT(MMULT(G2449:P2449,_XtX!$B$58:$K$67),G2449:P2449)</f>
        <v>0.17654862837358</v>
      </c>
      <c r="S2449" s="0" t="n">
        <f aca="false">04_回帰ANOVA!$K$19*04_回帰ANOVA!$K$14*SQRT(1+R2449)</f>
        <v>1.00848995543082</v>
      </c>
      <c r="T2449" s="0" t="n">
        <f aca="false">Q2449-S2449</f>
        <v>47.4494645900237</v>
      </c>
      <c r="U2449" s="0" t="n">
        <f aca="false">Q2449+S2449</f>
        <v>49.4664445008854</v>
      </c>
      <c r="V2449" s="54" t="b">
        <f aca="false">AND(D2449&gt;=01_因子設定!$L$5-0.000000001,D2449&lt;=01_因子設定!$M$5+0.000000001,E2449&gt;=01_因子設定!$L$6-0.000000001,E2449&lt;=01_因子設定!$M$6+0.000000001,F2449&gt;=01_因子設定!$L$7-0.000000001,F2449&lt;=01_因子設定!$M$7+0.000000001,IF(01_因子設定!$B$20="Box-Behnken",D2449^2+E2449^2+F2449^2&lt;=2+0.000000001,TRUE()))</f>
        <v>1</v>
      </c>
      <c r="W2449" s="55" t="n">
        <f aca="false">IF(V2449,IF(01_因子設定!$B$13="最大化",T2449-01_因子設定!$B$14,IF(01_因子設定!$B$13="最小化",01_因子設定!$B$15-U2449,MIN(T2449-01_因子設定!$B$14,01_因子設定!$B$15-U2449))),-1E+030)</f>
        <v>-1.05053540997626</v>
      </c>
      <c r="X2449" s="55" t="n">
        <f aca="false">IF(V2449,IF(01_因子設定!$B$13="最大化",Q2449,IF(01_因子設定!$B$13="最小化",-Q2449,-ABS(Q2449-01_因子設定!$B$16))),-1E+030)</f>
        <v>48.4579545454546</v>
      </c>
      <c r="Y2449" s="55" t="n">
        <f aca="false">W2449+ROW()*0.000000001</f>
        <v>-1.05053296097626</v>
      </c>
      <c r="Z2449" s="55" t="n">
        <f aca="false">X2449+ROW()*0.000000001</f>
        <v>48.4579569944546</v>
      </c>
    </row>
    <row r="2450" customFormat="false" ht="15" hidden="false" customHeight="false" outlineLevel="0" collapsed="false">
      <c r="A2450" s="0" t="n">
        <v>8</v>
      </c>
      <c r="B2450" s="0" t="n">
        <v>7</v>
      </c>
      <c r="C2450" s="0" t="n">
        <v>14</v>
      </c>
      <c r="D2450" s="0" t="n">
        <f aca="false">-1+A2450*0.125</f>
        <v>0</v>
      </c>
      <c r="E2450" s="0" t="n">
        <f aca="false">-1+B2450*0.125</f>
        <v>-0.125</v>
      </c>
      <c r="F2450" s="0" t="n">
        <f aca="false">-1+C2450*0.125</f>
        <v>0.75</v>
      </c>
      <c r="G2450" s="0" t="n">
        <f aca="false">1</f>
        <v>1</v>
      </c>
      <c r="H2450" s="0" t="n">
        <f aca="false">D2450</f>
        <v>0</v>
      </c>
      <c r="I2450" s="0" t="n">
        <f aca="false">E2450</f>
        <v>-0.125</v>
      </c>
      <c r="J2450" s="0" t="n">
        <f aca="false">F2450</f>
        <v>0.75</v>
      </c>
      <c r="K2450" s="0" t="n">
        <f aca="false">D2450*E2450</f>
        <v>-0</v>
      </c>
      <c r="L2450" s="0" t="n">
        <f aca="false">D2450*F2450</f>
        <v>0</v>
      </c>
      <c r="M2450" s="0" t="n">
        <f aca="false">E2450*F2450</f>
        <v>-0.09375</v>
      </c>
      <c r="N2450" s="0" t="n">
        <f aca="false">D2450*D2450</f>
        <v>0</v>
      </c>
      <c r="O2450" s="0" t="n">
        <f aca="false">E2450*E2450</f>
        <v>0.015625</v>
      </c>
      <c r="P2450" s="0" t="n">
        <f aca="false">F2450*F2450</f>
        <v>0.5625</v>
      </c>
      <c r="Q2450" s="0" t="n">
        <f aca="false">SUMPRODUCT(G2450:P2450,_XtX!$B$71:$K$71)</f>
        <v>48.4210795454546</v>
      </c>
      <c r="R2450" s="0" t="n">
        <f aca="false">SUMPRODUCT(MMULT(G2450:P2450,_XtX!$B$58:$K$67),G2450:P2450)</f>
        <v>0.237284712357955</v>
      </c>
      <c r="S2450" s="0" t="n">
        <f aca="false">04_回帰ANOVA!$K$19*04_回帰ANOVA!$K$14*SQRT(1+R2450)</f>
        <v>1.03419267998124</v>
      </c>
      <c r="T2450" s="0" t="n">
        <f aca="false">Q2450-S2450</f>
        <v>47.3868868654733</v>
      </c>
      <c r="U2450" s="0" t="n">
        <f aca="false">Q2450+S2450</f>
        <v>49.4552722254358</v>
      </c>
      <c r="V2450" s="54" t="b">
        <f aca="false">AND(D2450&gt;=01_因子設定!$L$5-0.000000001,D2450&lt;=01_因子設定!$M$5+0.000000001,E2450&gt;=01_因子設定!$L$6-0.000000001,E2450&lt;=01_因子設定!$M$6+0.000000001,F2450&gt;=01_因子設定!$L$7-0.000000001,F2450&lt;=01_因子設定!$M$7+0.000000001,IF(01_因子設定!$B$20="Box-Behnken",D2450^2+E2450^2+F2450^2&lt;=2+0.000000001,TRUE()))</f>
        <v>1</v>
      </c>
      <c r="W2450" s="55" t="n">
        <f aca="false">IF(V2450,IF(01_因子設定!$B$13="最大化",T2450-01_因子設定!$B$14,IF(01_因子設定!$B$13="最小化",01_因子設定!$B$15-U2450,MIN(T2450-01_因子設定!$B$14,01_因子設定!$B$15-U2450))),-1E+030)</f>
        <v>-1.11311313452667</v>
      </c>
      <c r="X2450" s="55" t="n">
        <f aca="false">IF(V2450,IF(01_因子設定!$B$13="最大化",Q2450,IF(01_因子設定!$B$13="最小化",-Q2450,-ABS(Q2450-01_因子設定!$B$16))),-1E+030)</f>
        <v>48.4210795454546</v>
      </c>
      <c r="Y2450" s="55" t="n">
        <f aca="false">W2450+ROW()*0.000000001</f>
        <v>-1.11311068452667</v>
      </c>
      <c r="Z2450" s="55" t="n">
        <f aca="false">X2450+ROW()*0.000000001</f>
        <v>48.4210819954546</v>
      </c>
    </row>
    <row r="2451" customFormat="false" ht="15" hidden="false" customHeight="false" outlineLevel="0" collapsed="false">
      <c r="A2451" s="0" t="n">
        <v>8</v>
      </c>
      <c r="B2451" s="0" t="n">
        <v>7</v>
      </c>
      <c r="C2451" s="0" t="n">
        <v>15</v>
      </c>
      <c r="D2451" s="0" t="n">
        <f aca="false">-1+A2451*0.125</f>
        <v>0</v>
      </c>
      <c r="E2451" s="0" t="n">
        <f aca="false">-1+B2451*0.125</f>
        <v>-0.125</v>
      </c>
      <c r="F2451" s="0" t="n">
        <f aca="false">-1+C2451*0.125</f>
        <v>0.875</v>
      </c>
      <c r="G2451" s="0" t="n">
        <f aca="false">1</f>
        <v>1</v>
      </c>
      <c r="H2451" s="0" t="n">
        <f aca="false">D2451</f>
        <v>0</v>
      </c>
      <c r="I2451" s="0" t="n">
        <f aca="false">E2451</f>
        <v>-0.125</v>
      </c>
      <c r="J2451" s="0" t="n">
        <f aca="false">F2451</f>
        <v>0.875</v>
      </c>
      <c r="K2451" s="0" t="n">
        <f aca="false">D2451*E2451</f>
        <v>-0</v>
      </c>
      <c r="L2451" s="0" t="n">
        <f aca="false">D2451*F2451</f>
        <v>0</v>
      </c>
      <c r="M2451" s="0" t="n">
        <f aca="false">E2451*F2451</f>
        <v>-0.109375</v>
      </c>
      <c r="N2451" s="0" t="n">
        <f aca="false">D2451*D2451</f>
        <v>0</v>
      </c>
      <c r="O2451" s="0" t="n">
        <f aca="false">E2451*E2451</f>
        <v>0.015625</v>
      </c>
      <c r="P2451" s="0" t="n">
        <f aca="false">F2451*F2451</f>
        <v>0.765625</v>
      </c>
      <c r="Q2451" s="0" t="n">
        <f aca="false">SUMPRODUCT(G2451:P2451,_XtX!$B$71:$K$71)</f>
        <v>48.3474147727273</v>
      </c>
      <c r="R2451" s="0" t="n">
        <f aca="false">SUMPRODUCT(MMULT(G2451:P2451,_XtX!$B$58:$K$67),G2451:P2451)</f>
        <v>0.336762584339489</v>
      </c>
      <c r="S2451" s="0" t="n">
        <f aca="false">04_回帰ANOVA!$K$19*04_回帰ANOVA!$K$14*SQRT(1+R2451)</f>
        <v>1.07496364479411</v>
      </c>
      <c r="T2451" s="0" t="n">
        <f aca="false">Q2451-S2451</f>
        <v>47.2724511279332</v>
      </c>
      <c r="U2451" s="0" t="n">
        <f aca="false">Q2451+S2451</f>
        <v>49.4223784175214</v>
      </c>
      <c r="V2451" s="54" t="b">
        <f aca="false">AND(D2451&gt;=01_因子設定!$L$5-0.000000001,D2451&lt;=01_因子設定!$M$5+0.000000001,E2451&gt;=01_因子設定!$L$6-0.000000001,E2451&lt;=01_因子設定!$M$6+0.000000001,F2451&gt;=01_因子設定!$L$7-0.000000001,F2451&lt;=01_因子設定!$M$7+0.000000001,IF(01_因子設定!$B$20="Box-Behnken",D2451^2+E2451^2+F2451^2&lt;=2+0.000000001,TRUE()))</f>
        <v>1</v>
      </c>
      <c r="W2451" s="55" t="n">
        <f aca="false">IF(V2451,IF(01_因子設定!$B$13="最大化",T2451-01_因子設定!$B$14,IF(01_因子設定!$B$13="最小化",01_因子設定!$B$15-U2451,MIN(T2451-01_因子設定!$B$14,01_因子設定!$B$15-U2451))),-1E+030)</f>
        <v>-1.22754887206681</v>
      </c>
      <c r="X2451" s="55" t="n">
        <f aca="false">IF(V2451,IF(01_因子設定!$B$13="最大化",Q2451,IF(01_因子設定!$B$13="最小化",-Q2451,-ABS(Q2451-01_因子設定!$B$16))),-1E+030)</f>
        <v>48.3474147727273</v>
      </c>
      <c r="Y2451" s="55" t="n">
        <f aca="false">W2451+ROW()*0.000000001</f>
        <v>-1.22754642106681</v>
      </c>
      <c r="Z2451" s="55" t="n">
        <f aca="false">X2451+ROW()*0.000000001</f>
        <v>48.3474172237273</v>
      </c>
    </row>
    <row r="2452" customFormat="false" ht="15" hidden="false" customHeight="false" outlineLevel="0" collapsed="false">
      <c r="A2452" s="0" t="n">
        <v>8</v>
      </c>
      <c r="B2452" s="0" t="n">
        <v>7</v>
      </c>
      <c r="C2452" s="0" t="n">
        <v>16</v>
      </c>
      <c r="D2452" s="0" t="n">
        <f aca="false">-1+A2452*0.125</f>
        <v>0</v>
      </c>
      <c r="E2452" s="0" t="n">
        <f aca="false">-1+B2452*0.125</f>
        <v>-0.125</v>
      </c>
      <c r="F2452" s="0" t="n">
        <f aca="false">-1+C2452*0.125</f>
        <v>1</v>
      </c>
      <c r="G2452" s="0" t="n">
        <f aca="false">1</f>
        <v>1</v>
      </c>
      <c r="H2452" s="0" t="n">
        <f aca="false">D2452</f>
        <v>0</v>
      </c>
      <c r="I2452" s="0" t="n">
        <f aca="false">E2452</f>
        <v>-0.125</v>
      </c>
      <c r="J2452" s="0" t="n">
        <f aca="false">F2452</f>
        <v>1</v>
      </c>
      <c r="K2452" s="0" t="n">
        <f aca="false">D2452*E2452</f>
        <v>-0</v>
      </c>
      <c r="L2452" s="0" t="n">
        <f aca="false">D2452*F2452</f>
        <v>0</v>
      </c>
      <c r="M2452" s="0" t="n">
        <f aca="false">E2452*F2452</f>
        <v>-0.125</v>
      </c>
      <c r="N2452" s="0" t="n">
        <f aca="false">D2452*D2452</f>
        <v>0</v>
      </c>
      <c r="O2452" s="0" t="n">
        <f aca="false">E2452*E2452</f>
        <v>0.015625</v>
      </c>
      <c r="P2452" s="0" t="n">
        <f aca="false">F2452*F2452</f>
        <v>1</v>
      </c>
      <c r="Q2452" s="0" t="n">
        <f aca="false">SUMPRODUCT(G2452:P2452,_XtX!$B$71:$K$71)</f>
        <v>48.2369602272728</v>
      </c>
      <c r="R2452" s="0" t="n">
        <f aca="false">SUMPRODUCT(MMULT(G2452:P2452,_XtX!$B$58:$K$67),G2452:P2452)</f>
        <v>0.488831676136364</v>
      </c>
      <c r="S2452" s="0" t="n">
        <f aca="false">04_回帰ANOVA!$K$19*04_回帰ANOVA!$K$14*SQRT(1+R2452)</f>
        <v>1.13446064908709</v>
      </c>
      <c r="T2452" s="0" t="n">
        <f aca="false">Q2452-S2452</f>
        <v>47.1024995781857</v>
      </c>
      <c r="U2452" s="0" t="n">
        <f aca="false">Q2452+S2452</f>
        <v>49.3714208763598</v>
      </c>
      <c r="V2452" s="54" t="b">
        <f aca="false">AND(D2452&gt;=01_因子設定!$L$5-0.000000001,D2452&lt;=01_因子設定!$M$5+0.000000001,E2452&gt;=01_因子設定!$L$6-0.000000001,E2452&lt;=01_因子設定!$M$6+0.000000001,F2452&gt;=01_因子設定!$L$7-0.000000001,F2452&lt;=01_因子設定!$M$7+0.000000001,IF(01_因子設定!$B$20="Box-Behnken",D2452^2+E2452^2+F2452^2&lt;=2+0.000000001,TRUE()))</f>
        <v>1</v>
      </c>
      <c r="W2452" s="55" t="n">
        <f aca="false">IF(V2452,IF(01_因子設定!$B$13="最大化",T2452-01_因子設定!$B$14,IF(01_因子設定!$B$13="最小化",01_因子設定!$B$15-U2452,MIN(T2452-01_因子設定!$B$14,01_因子設定!$B$15-U2452))),-1E+030)</f>
        <v>-1.39750042181434</v>
      </c>
      <c r="X2452" s="55" t="n">
        <f aca="false">IF(V2452,IF(01_因子設定!$B$13="最大化",Q2452,IF(01_因子設定!$B$13="最小化",-Q2452,-ABS(Q2452-01_因子設定!$B$16))),-1E+030)</f>
        <v>48.2369602272728</v>
      </c>
      <c r="Y2452" s="55" t="n">
        <f aca="false">W2452+ROW()*0.000000001</f>
        <v>-1.39749796981434</v>
      </c>
      <c r="Z2452" s="55" t="n">
        <f aca="false">X2452+ROW()*0.000000001</f>
        <v>48.2369626792728</v>
      </c>
    </row>
    <row r="2453" customFormat="false" ht="15" hidden="false" customHeight="false" outlineLevel="0" collapsed="false">
      <c r="A2453" s="0" t="n">
        <v>8</v>
      </c>
      <c r="B2453" s="0" t="n">
        <v>8</v>
      </c>
      <c r="C2453" s="0" t="n">
        <v>0</v>
      </c>
      <c r="D2453" s="0" t="n">
        <f aca="false">-1+A2453*0.125</f>
        <v>0</v>
      </c>
      <c r="E2453" s="0" t="n">
        <f aca="false">-1+B2453*0.125</f>
        <v>0</v>
      </c>
      <c r="F2453" s="0" t="n">
        <f aca="false">-1+C2453*0.125</f>
        <v>-1</v>
      </c>
      <c r="G2453" s="0" t="n">
        <f aca="false">1</f>
        <v>1</v>
      </c>
      <c r="H2453" s="0" t="n">
        <f aca="false">D2453</f>
        <v>0</v>
      </c>
      <c r="I2453" s="0" t="n">
        <f aca="false">E2453</f>
        <v>0</v>
      </c>
      <c r="J2453" s="0" t="n">
        <f aca="false">F2453</f>
        <v>-1</v>
      </c>
      <c r="K2453" s="0" t="n">
        <f aca="false">D2453*E2453</f>
        <v>0</v>
      </c>
      <c r="L2453" s="0" t="n">
        <f aca="false">D2453*F2453</f>
        <v>-0</v>
      </c>
      <c r="M2453" s="0" t="n">
        <f aca="false">E2453*F2453</f>
        <v>-0</v>
      </c>
      <c r="N2453" s="0" t="n">
        <f aca="false">D2453*D2453</f>
        <v>0</v>
      </c>
      <c r="O2453" s="0" t="n">
        <f aca="false">E2453*E2453</f>
        <v>0</v>
      </c>
      <c r="P2453" s="0" t="n">
        <f aca="false">F2453*F2453</f>
        <v>1</v>
      </c>
      <c r="Q2453" s="0" t="n">
        <f aca="false">SUMPRODUCT(G2453:P2453,_XtX!$B$71:$K$71)</f>
        <v>45.8236363636364</v>
      </c>
      <c r="R2453" s="0" t="n">
        <f aca="false">SUMPRODUCT(MMULT(G2453:P2453,_XtX!$B$58:$K$67),G2453:P2453)</f>
        <v>0.490909090909091</v>
      </c>
      <c r="S2453" s="0" t="n">
        <f aca="false">04_回帰ANOVA!$K$19*04_回帰ANOVA!$K$14*SQRT(1+R2453)</f>
        <v>1.13525184792161</v>
      </c>
      <c r="T2453" s="0" t="n">
        <f aca="false">Q2453-S2453</f>
        <v>44.6883845157148</v>
      </c>
      <c r="U2453" s="0" t="n">
        <f aca="false">Q2453+S2453</f>
        <v>46.958888211558</v>
      </c>
      <c r="V2453" s="54" t="b">
        <f aca="false">AND(D2453&gt;=01_因子設定!$L$5-0.000000001,D2453&lt;=01_因子設定!$M$5+0.000000001,E2453&gt;=01_因子設定!$L$6-0.000000001,E2453&lt;=01_因子設定!$M$6+0.000000001,F2453&gt;=01_因子設定!$L$7-0.000000001,F2453&lt;=01_因子設定!$M$7+0.000000001,IF(01_因子設定!$B$20="Box-Behnken",D2453^2+E2453^2+F2453^2&lt;=2+0.000000001,TRUE()))</f>
        <v>1</v>
      </c>
      <c r="W2453" s="55" t="n">
        <f aca="false">IF(V2453,IF(01_因子設定!$B$13="最大化",T2453-01_因子設定!$B$14,IF(01_因子設定!$B$13="最小化",01_因子設定!$B$15-U2453,MIN(T2453-01_因子設定!$B$14,01_因子設定!$B$15-U2453))),-1E+030)</f>
        <v>-3.81161548428522</v>
      </c>
      <c r="X2453" s="55" t="n">
        <f aca="false">IF(V2453,IF(01_因子設定!$B$13="最大化",Q2453,IF(01_因子設定!$B$13="最小化",-Q2453,-ABS(Q2453-01_因子設定!$B$16))),-1E+030)</f>
        <v>45.8236363636364</v>
      </c>
      <c r="Y2453" s="55" t="n">
        <f aca="false">W2453+ROW()*0.000000001</f>
        <v>-3.81161303128522</v>
      </c>
      <c r="Z2453" s="55" t="n">
        <f aca="false">X2453+ROW()*0.000000001</f>
        <v>45.8236388166364</v>
      </c>
    </row>
    <row r="2454" customFormat="false" ht="15" hidden="false" customHeight="false" outlineLevel="0" collapsed="false">
      <c r="A2454" s="0" t="n">
        <v>8</v>
      </c>
      <c r="B2454" s="0" t="n">
        <v>8</v>
      </c>
      <c r="C2454" s="0" t="n">
        <v>1</v>
      </c>
      <c r="D2454" s="0" t="n">
        <f aca="false">-1+A2454*0.125</f>
        <v>0</v>
      </c>
      <c r="E2454" s="0" t="n">
        <f aca="false">-1+B2454*0.125</f>
        <v>0</v>
      </c>
      <c r="F2454" s="0" t="n">
        <f aca="false">-1+C2454*0.125</f>
        <v>-0.875</v>
      </c>
      <c r="G2454" s="0" t="n">
        <f aca="false">1</f>
        <v>1</v>
      </c>
      <c r="H2454" s="0" t="n">
        <f aca="false">D2454</f>
        <v>0</v>
      </c>
      <c r="I2454" s="0" t="n">
        <f aca="false">E2454</f>
        <v>0</v>
      </c>
      <c r="J2454" s="0" t="n">
        <f aca="false">F2454</f>
        <v>-0.875</v>
      </c>
      <c r="K2454" s="0" t="n">
        <f aca="false">D2454*E2454</f>
        <v>0</v>
      </c>
      <c r="L2454" s="0" t="n">
        <f aca="false">D2454*F2454</f>
        <v>-0</v>
      </c>
      <c r="M2454" s="0" t="n">
        <f aca="false">E2454*F2454</f>
        <v>-0</v>
      </c>
      <c r="N2454" s="0" t="n">
        <f aca="false">D2454*D2454</f>
        <v>0</v>
      </c>
      <c r="O2454" s="0" t="n">
        <f aca="false">E2454*E2454</f>
        <v>0</v>
      </c>
      <c r="P2454" s="0" t="n">
        <f aca="false">F2454*F2454</f>
        <v>0.765625</v>
      </c>
      <c r="Q2454" s="0" t="n">
        <f aca="false">SUMPRODUCT(G2454:P2454,_XtX!$B$71:$K$71)</f>
        <v>46.2720596590909</v>
      </c>
      <c r="R2454" s="0" t="n">
        <f aca="false">SUMPRODUCT(MMULT(G2454:P2454,_XtX!$B$58:$K$67),G2454:P2454)</f>
        <v>0.338299005681818</v>
      </c>
      <c r="S2454" s="0" t="n">
        <f aca="false">04_回帰ANOVA!$K$19*04_回帰ANOVA!$K$14*SQRT(1+R2454)</f>
        <v>1.07558122745542</v>
      </c>
      <c r="T2454" s="0" t="n">
        <f aca="false">Q2454-S2454</f>
        <v>45.1964784316355</v>
      </c>
      <c r="U2454" s="0" t="n">
        <f aca="false">Q2454+S2454</f>
        <v>47.3476408865464</v>
      </c>
      <c r="V2454" s="54" t="b">
        <f aca="false">AND(D2454&gt;=01_因子設定!$L$5-0.000000001,D2454&lt;=01_因子設定!$M$5+0.000000001,E2454&gt;=01_因子設定!$L$6-0.000000001,E2454&lt;=01_因子設定!$M$6+0.000000001,F2454&gt;=01_因子設定!$L$7-0.000000001,F2454&lt;=01_因子設定!$M$7+0.000000001,IF(01_因子設定!$B$20="Box-Behnken",D2454^2+E2454^2+F2454^2&lt;=2+0.000000001,TRUE()))</f>
        <v>1</v>
      </c>
      <c r="W2454" s="55" t="n">
        <f aca="false">IF(V2454,IF(01_因子設定!$B$13="最大化",T2454-01_因子設定!$B$14,IF(01_因子設定!$B$13="最小化",01_因子設定!$B$15-U2454,MIN(T2454-01_因子設定!$B$14,01_因子設定!$B$15-U2454))),-1E+030)</f>
        <v>-3.30352156836448</v>
      </c>
      <c r="X2454" s="55" t="n">
        <f aca="false">IF(V2454,IF(01_因子設定!$B$13="最大化",Q2454,IF(01_因子設定!$B$13="最小化",-Q2454,-ABS(Q2454-01_因子設定!$B$16))),-1E+030)</f>
        <v>46.2720596590909</v>
      </c>
      <c r="Y2454" s="55" t="n">
        <f aca="false">W2454+ROW()*0.000000001</f>
        <v>-3.30351911436448</v>
      </c>
      <c r="Z2454" s="55" t="n">
        <f aca="false">X2454+ROW()*0.000000001</f>
        <v>46.2720621130909</v>
      </c>
    </row>
    <row r="2455" customFormat="false" ht="15" hidden="false" customHeight="false" outlineLevel="0" collapsed="false">
      <c r="A2455" s="0" t="n">
        <v>8</v>
      </c>
      <c r="B2455" s="0" t="n">
        <v>8</v>
      </c>
      <c r="C2455" s="0" t="n">
        <v>2</v>
      </c>
      <c r="D2455" s="0" t="n">
        <f aca="false">-1+A2455*0.125</f>
        <v>0</v>
      </c>
      <c r="E2455" s="0" t="n">
        <f aca="false">-1+B2455*0.125</f>
        <v>0</v>
      </c>
      <c r="F2455" s="0" t="n">
        <f aca="false">-1+C2455*0.125</f>
        <v>-0.75</v>
      </c>
      <c r="G2455" s="0" t="n">
        <f aca="false">1</f>
        <v>1</v>
      </c>
      <c r="H2455" s="0" t="n">
        <f aca="false">D2455</f>
        <v>0</v>
      </c>
      <c r="I2455" s="0" t="n">
        <f aca="false">E2455</f>
        <v>0</v>
      </c>
      <c r="J2455" s="0" t="n">
        <f aca="false">F2455</f>
        <v>-0.75</v>
      </c>
      <c r="K2455" s="0" t="n">
        <f aca="false">D2455*E2455</f>
        <v>0</v>
      </c>
      <c r="L2455" s="0" t="n">
        <f aca="false">D2455*F2455</f>
        <v>-0</v>
      </c>
      <c r="M2455" s="0" t="n">
        <f aca="false">E2455*F2455</f>
        <v>-0</v>
      </c>
      <c r="N2455" s="0" t="n">
        <f aca="false">D2455*D2455</f>
        <v>0</v>
      </c>
      <c r="O2455" s="0" t="n">
        <f aca="false">E2455*E2455</f>
        <v>0</v>
      </c>
      <c r="P2455" s="0" t="n">
        <f aca="false">F2455*F2455</f>
        <v>0.5625</v>
      </c>
      <c r="Q2455" s="0" t="n">
        <f aca="false">SUMPRODUCT(G2455:P2455,_XtX!$B$71:$K$71)</f>
        <v>46.6836931818182</v>
      </c>
      <c r="R2455" s="0" t="n">
        <f aca="false">SUMPRODUCT(MMULT(G2455:P2455,_XtX!$B$58:$K$67),G2455:P2455)</f>
        <v>0.238352272727273</v>
      </c>
      <c r="S2455" s="0" t="n">
        <f aca="false">04_回帰ANOVA!$K$19*04_回帰ANOVA!$K$14*SQRT(1+R2455)</f>
        <v>1.03463874751028</v>
      </c>
      <c r="T2455" s="0" t="n">
        <f aca="false">Q2455-S2455</f>
        <v>45.6490544343079</v>
      </c>
      <c r="U2455" s="0" t="n">
        <f aca="false">Q2455+S2455</f>
        <v>47.7183319293285</v>
      </c>
      <c r="V2455" s="54" t="b">
        <f aca="false">AND(D2455&gt;=01_因子設定!$L$5-0.000000001,D2455&lt;=01_因子設定!$M$5+0.000000001,E2455&gt;=01_因子設定!$L$6-0.000000001,E2455&lt;=01_因子設定!$M$6+0.000000001,F2455&gt;=01_因子設定!$L$7-0.000000001,F2455&lt;=01_因子設定!$M$7+0.000000001,IF(01_因子設定!$B$20="Box-Behnken",D2455^2+E2455^2+F2455^2&lt;=2+0.000000001,TRUE()))</f>
        <v>1</v>
      </c>
      <c r="W2455" s="55" t="n">
        <f aca="false">IF(V2455,IF(01_因子設定!$B$13="最大化",T2455-01_因子設定!$B$14,IF(01_因子設定!$B$13="最小化",01_因子設定!$B$15-U2455,MIN(T2455-01_因子設定!$B$14,01_因子設定!$B$15-U2455))),-1E+030)</f>
        <v>-2.85094556569208</v>
      </c>
      <c r="X2455" s="55" t="n">
        <f aca="false">IF(V2455,IF(01_因子設定!$B$13="最大化",Q2455,IF(01_因子設定!$B$13="最小化",-Q2455,-ABS(Q2455-01_因子設定!$B$16))),-1E+030)</f>
        <v>46.6836931818182</v>
      </c>
      <c r="Y2455" s="55" t="n">
        <f aca="false">W2455+ROW()*0.000000001</f>
        <v>-2.85094311069208</v>
      </c>
      <c r="Z2455" s="55" t="n">
        <f aca="false">X2455+ROW()*0.000000001</f>
        <v>46.6836956368182</v>
      </c>
    </row>
    <row r="2456" customFormat="false" ht="15" hidden="false" customHeight="false" outlineLevel="0" collapsed="false">
      <c r="A2456" s="0" t="n">
        <v>8</v>
      </c>
      <c r="B2456" s="0" t="n">
        <v>8</v>
      </c>
      <c r="C2456" s="0" t="n">
        <v>3</v>
      </c>
      <c r="D2456" s="0" t="n">
        <f aca="false">-1+A2456*0.125</f>
        <v>0</v>
      </c>
      <c r="E2456" s="0" t="n">
        <f aca="false">-1+B2456*0.125</f>
        <v>0</v>
      </c>
      <c r="F2456" s="0" t="n">
        <f aca="false">-1+C2456*0.125</f>
        <v>-0.625</v>
      </c>
      <c r="G2456" s="0" t="n">
        <f aca="false">1</f>
        <v>1</v>
      </c>
      <c r="H2456" s="0" t="n">
        <f aca="false">D2456</f>
        <v>0</v>
      </c>
      <c r="I2456" s="0" t="n">
        <f aca="false">E2456</f>
        <v>0</v>
      </c>
      <c r="J2456" s="0" t="n">
        <f aca="false">F2456</f>
        <v>-0.625</v>
      </c>
      <c r="K2456" s="0" t="n">
        <f aca="false">D2456*E2456</f>
        <v>0</v>
      </c>
      <c r="L2456" s="0" t="n">
        <f aca="false">D2456*F2456</f>
        <v>-0</v>
      </c>
      <c r="M2456" s="0" t="n">
        <f aca="false">E2456*F2456</f>
        <v>-0</v>
      </c>
      <c r="N2456" s="0" t="n">
        <f aca="false">D2456*D2456</f>
        <v>0</v>
      </c>
      <c r="O2456" s="0" t="n">
        <f aca="false">E2456*E2456</f>
        <v>0</v>
      </c>
      <c r="P2456" s="0" t="n">
        <f aca="false">F2456*F2456</f>
        <v>0.390625</v>
      </c>
      <c r="Q2456" s="0" t="n">
        <f aca="false">SUMPRODUCT(G2456:P2456,_XtX!$B$71:$K$71)</f>
        <v>47.0585369318182</v>
      </c>
      <c r="R2456" s="0" t="n">
        <f aca="false">SUMPRODUCT(MMULT(G2456:P2456,_XtX!$B$58:$K$67),G2456:P2456)</f>
        <v>0.177219460227273</v>
      </c>
      <c r="S2456" s="0" t="n">
        <f aca="false">04_回帰ANOVA!$K$19*04_回帰ANOVA!$K$14*SQRT(1+R2456)</f>
        <v>1.00877741944364</v>
      </c>
      <c r="T2456" s="0" t="n">
        <f aca="false">Q2456-S2456</f>
        <v>46.0497595123746</v>
      </c>
      <c r="U2456" s="0" t="n">
        <f aca="false">Q2456+S2456</f>
        <v>48.0673143512618</v>
      </c>
      <c r="V2456" s="54" t="b">
        <f aca="false">AND(D2456&gt;=01_因子設定!$L$5-0.000000001,D2456&lt;=01_因子設定!$M$5+0.000000001,E2456&gt;=01_因子設定!$L$6-0.000000001,E2456&lt;=01_因子設定!$M$6+0.000000001,F2456&gt;=01_因子設定!$L$7-0.000000001,F2456&lt;=01_因子設定!$M$7+0.000000001,IF(01_因子設定!$B$20="Box-Behnken",D2456^2+E2456^2+F2456^2&lt;=2+0.000000001,TRUE()))</f>
        <v>1</v>
      </c>
      <c r="W2456" s="55" t="n">
        <f aca="false">IF(V2456,IF(01_因子設定!$B$13="最大化",T2456-01_因子設定!$B$14,IF(01_因子設定!$B$13="最小化",01_因子設定!$B$15-U2456,MIN(T2456-01_因子設定!$B$14,01_因子設定!$B$15-U2456))),-1E+030)</f>
        <v>-2.45024048762544</v>
      </c>
      <c r="X2456" s="55" t="n">
        <f aca="false">IF(V2456,IF(01_因子設定!$B$13="最大化",Q2456,IF(01_因子設定!$B$13="最小化",-Q2456,-ABS(Q2456-01_因子設定!$B$16))),-1E+030)</f>
        <v>47.0585369318182</v>
      </c>
      <c r="Y2456" s="55" t="n">
        <f aca="false">W2456+ROW()*0.000000001</f>
        <v>-2.45023803162544</v>
      </c>
      <c r="Z2456" s="55" t="n">
        <f aca="false">X2456+ROW()*0.000000001</f>
        <v>47.0585393878182</v>
      </c>
    </row>
    <row r="2457" customFormat="false" ht="15" hidden="false" customHeight="false" outlineLevel="0" collapsed="false">
      <c r="A2457" s="0" t="n">
        <v>8</v>
      </c>
      <c r="B2457" s="0" t="n">
        <v>8</v>
      </c>
      <c r="C2457" s="0" t="n">
        <v>4</v>
      </c>
      <c r="D2457" s="0" t="n">
        <f aca="false">-1+A2457*0.125</f>
        <v>0</v>
      </c>
      <c r="E2457" s="0" t="n">
        <f aca="false">-1+B2457*0.125</f>
        <v>0</v>
      </c>
      <c r="F2457" s="0" t="n">
        <f aca="false">-1+C2457*0.125</f>
        <v>-0.5</v>
      </c>
      <c r="G2457" s="0" t="n">
        <f aca="false">1</f>
        <v>1</v>
      </c>
      <c r="H2457" s="0" t="n">
        <f aca="false">D2457</f>
        <v>0</v>
      </c>
      <c r="I2457" s="0" t="n">
        <f aca="false">E2457</f>
        <v>0</v>
      </c>
      <c r="J2457" s="0" t="n">
        <f aca="false">F2457</f>
        <v>-0.5</v>
      </c>
      <c r="K2457" s="0" t="n">
        <f aca="false">D2457*E2457</f>
        <v>0</v>
      </c>
      <c r="L2457" s="0" t="n">
        <f aca="false">D2457*F2457</f>
        <v>-0</v>
      </c>
      <c r="M2457" s="0" t="n">
        <f aca="false">E2457*F2457</f>
        <v>-0</v>
      </c>
      <c r="N2457" s="0" t="n">
        <f aca="false">D2457*D2457</f>
        <v>0</v>
      </c>
      <c r="O2457" s="0" t="n">
        <f aca="false">E2457*E2457</f>
        <v>0</v>
      </c>
      <c r="P2457" s="0" t="n">
        <f aca="false">F2457*F2457</f>
        <v>0.25</v>
      </c>
      <c r="Q2457" s="0" t="n">
        <f aca="false">SUMPRODUCT(G2457:P2457,_XtX!$B$71:$K$71)</f>
        <v>47.3965909090909</v>
      </c>
      <c r="R2457" s="0" t="n">
        <f aca="false">SUMPRODUCT(MMULT(G2457:P2457,_XtX!$B$58:$K$67),G2457:P2457)</f>
        <v>0.143181818181818</v>
      </c>
      <c r="S2457" s="0" t="n">
        <f aca="false">04_回帰ANOVA!$K$19*04_回帰ANOVA!$K$14*SQRT(1+R2457)</f>
        <v>0.994086761760527</v>
      </c>
      <c r="T2457" s="0" t="n">
        <f aca="false">Q2457-S2457</f>
        <v>46.4025041473304</v>
      </c>
      <c r="U2457" s="0" t="n">
        <f aca="false">Q2457+S2457</f>
        <v>48.3906776708515</v>
      </c>
      <c r="V2457" s="54" t="b">
        <f aca="false">AND(D2457&gt;=01_因子設定!$L$5-0.000000001,D2457&lt;=01_因子設定!$M$5+0.000000001,E2457&gt;=01_因子設定!$L$6-0.000000001,E2457&lt;=01_因子設定!$M$6+0.000000001,F2457&gt;=01_因子設定!$L$7-0.000000001,F2457&lt;=01_因子設定!$M$7+0.000000001,IF(01_因子設定!$B$20="Box-Behnken",D2457^2+E2457^2+F2457^2&lt;=2+0.000000001,TRUE()))</f>
        <v>1</v>
      </c>
      <c r="W2457" s="55" t="n">
        <f aca="false">IF(V2457,IF(01_因子設定!$B$13="最大化",T2457-01_因子設定!$B$14,IF(01_因子設定!$B$13="最小化",01_因子設定!$B$15-U2457,MIN(T2457-01_因子設定!$B$14,01_因子設定!$B$15-U2457))),-1E+030)</f>
        <v>-2.0974958526696</v>
      </c>
      <c r="X2457" s="55" t="n">
        <f aca="false">IF(V2457,IF(01_因子設定!$B$13="最大化",Q2457,IF(01_因子設定!$B$13="最小化",-Q2457,-ABS(Q2457-01_因子設定!$B$16))),-1E+030)</f>
        <v>47.3965909090909</v>
      </c>
      <c r="Y2457" s="55" t="n">
        <f aca="false">W2457+ROW()*0.000000001</f>
        <v>-2.0974933956696</v>
      </c>
      <c r="Z2457" s="55" t="n">
        <f aca="false">X2457+ROW()*0.000000001</f>
        <v>47.3965933660909</v>
      </c>
    </row>
    <row r="2458" customFormat="false" ht="15" hidden="false" customHeight="false" outlineLevel="0" collapsed="false">
      <c r="A2458" s="0" t="n">
        <v>8</v>
      </c>
      <c r="B2458" s="0" t="n">
        <v>8</v>
      </c>
      <c r="C2458" s="0" t="n">
        <v>5</v>
      </c>
      <c r="D2458" s="0" t="n">
        <f aca="false">-1+A2458*0.125</f>
        <v>0</v>
      </c>
      <c r="E2458" s="0" t="n">
        <f aca="false">-1+B2458*0.125</f>
        <v>0</v>
      </c>
      <c r="F2458" s="0" t="n">
        <f aca="false">-1+C2458*0.125</f>
        <v>-0.375</v>
      </c>
      <c r="G2458" s="0" t="n">
        <f aca="false">1</f>
        <v>1</v>
      </c>
      <c r="H2458" s="0" t="n">
        <f aca="false">D2458</f>
        <v>0</v>
      </c>
      <c r="I2458" s="0" t="n">
        <f aca="false">E2458</f>
        <v>0</v>
      </c>
      <c r="J2458" s="0" t="n">
        <f aca="false">F2458</f>
        <v>-0.375</v>
      </c>
      <c r="K2458" s="0" t="n">
        <f aca="false">D2458*E2458</f>
        <v>0</v>
      </c>
      <c r="L2458" s="0" t="n">
        <f aca="false">D2458*F2458</f>
        <v>-0</v>
      </c>
      <c r="M2458" s="0" t="n">
        <f aca="false">E2458*F2458</f>
        <v>-0</v>
      </c>
      <c r="N2458" s="0" t="n">
        <f aca="false">D2458*D2458</f>
        <v>0</v>
      </c>
      <c r="O2458" s="0" t="n">
        <f aca="false">E2458*E2458</f>
        <v>0</v>
      </c>
      <c r="P2458" s="0" t="n">
        <f aca="false">F2458*F2458</f>
        <v>0.140625</v>
      </c>
      <c r="Q2458" s="0" t="n">
        <f aca="false">SUMPRODUCT(G2458:P2458,_XtX!$B$71:$K$71)</f>
        <v>47.6978551136364</v>
      </c>
      <c r="R2458" s="0" t="n">
        <f aca="false">SUMPRODUCT(MMULT(G2458:P2458,_XtX!$B$58:$K$67),G2458:P2458)</f>
        <v>0.126651278409091</v>
      </c>
      <c r="S2458" s="0" t="n">
        <f aca="false">04_回帰ANOVA!$K$19*04_回帰ANOVA!$K$14*SQRT(1+R2458)</f>
        <v>0.986873285775478</v>
      </c>
      <c r="T2458" s="0" t="n">
        <f aca="false">Q2458-S2458</f>
        <v>46.7109818278609</v>
      </c>
      <c r="U2458" s="0" t="n">
        <f aca="false">Q2458+S2458</f>
        <v>48.6847283994119</v>
      </c>
      <c r="V2458" s="54" t="b">
        <f aca="false">AND(D2458&gt;=01_因子設定!$L$5-0.000000001,D2458&lt;=01_因子設定!$M$5+0.000000001,E2458&gt;=01_因子設定!$L$6-0.000000001,E2458&lt;=01_因子設定!$M$6+0.000000001,F2458&gt;=01_因子設定!$L$7-0.000000001,F2458&lt;=01_因子設定!$M$7+0.000000001,IF(01_因子設定!$B$20="Box-Behnken",D2458^2+E2458^2+F2458^2&lt;=2+0.000000001,TRUE()))</f>
        <v>1</v>
      </c>
      <c r="W2458" s="55" t="n">
        <f aca="false">IF(V2458,IF(01_因子設定!$B$13="最大化",T2458-01_因子設定!$B$14,IF(01_因子設定!$B$13="最小化",01_因子設定!$B$15-U2458,MIN(T2458-01_因子設定!$B$14,01_因子設定!$B$15-U2458))),-1E+030)</f>
        <v>-1.78901817213911</v>
      </c>
      <c r="X2458" s="55" t="n">
        <f aca="false">IF(V2458,IF(01_因子設定!$B$13="最大化",Q2458,IF(01_因子設定!$B$13="最小化",-Q2458,-ABS(Q2458-01_因子設定!$B$16))),-1E+030)</f>
        <v>47.6978551136364</v>
      </c>
      <c r="Y2458" s="55" t="n">
        <f aca="false">W2458+ROW()*0.000000001</f>
        <v>-1.78901571413911</v>
      </c>
      <c r="Z2458" s="55" t="n">
        <f aca="false">X2458+ROW()*0.000000001</f>
        <v>47.6978575716364</v>
      </c>
    </row>
    <row r="2459" customFormat="false" ht="15" hidden="false" customHeight="false" outlineLevel="0" collapsed="false">
      <c r="A2459" s="0" t="n">
        <v>8</v>
      </c>
      <c r="B2459" s="0" t="n">
        <v>8</v>
      </c>
      <c r="C2459" s="0" t="n">
        <v>6</v>
      </c>
      <c r="D2459" s="0" t="n">
        <f aca="false">-1+A2459*0.125</f>
        <v>0</v>
      </c>
      <c r="E2459" s="0" t="n">
        <f aca="false">-1+B2459*0.125</f>
        <v>0</v>
      </c>
      <c r="F2459" s="0" t="n">
        <f aca="false">-1+C2459*0.125</f>
        <v>-0.25</v>
      </c>
      <c r="G2459" s="0" t="n">
        <f aca="false">1</f>
        <v>1</v>
      </c>
      <c r="H2459" s="0" t="n">
        <f aca="false">D2459</f>
        <v>0</v>
      </c>
      <c r="I2459" s="0" t="n">
        <f aca="false">E2459</f>
        <v>0</v>
      </c>
      <c r="J2459" s="0" t="n">
        <f aca="false">F2459</f>
        <v>-0.25</v>
      </c>
      <c r="K2459" s="0" t="n">
        <f aca="false">D2459*E2459</f>
        <v>0</v>
      </c>
      <c r="L2459" s="0" t="n">
        <f aca="false">D2459*F2459</f>
        <v>-0</v>
      </c>
      <c r="M2459" s="0" t="n">
        <f aca="false">E2459*F2459</f>
        <v>-0</v>
      </c>
      <c r="N2459" s="0" t="n">
        <f aca="false">D2459*D2459</f>
        <v>0</v>
      </c>
      <c r="O2459" s="0" t="n">
        <f aca="false">E2459*E2459</f>
        <v>0</v>
      </c>
      <c r="P2459" s="0" t="n">
        <f aca="false">F2459*F2459</f>
        <v>0.0625</v>
      </c>
      <c r="Q2459" s="0" t="n">
        <f aca="false">SUMPRODUCT(G2459:P2459,_XtX!$B$71:$K$71)</f>
        <v>47.9623295454546</v>
      </c>
      <c r="R2459" s="0" t="n">
        <f aca="false">SUMPRODUCT(MMULT(G2459:P2459,_XtX!$B$58:$K$67),G2459:P2459)</f>
        <v>0.120170454545455</v>
      </c>
      <c r="S2459" s="0" t="n">
        <f aca="false">04_回帰ANOVA!$K$19*04_回帰ANOVA!$K$14*SQRT(1+R2459)</f>
        <v>0.984030801962561</v>
      </c>
      <c r="T2459" s="0" t="n">
        <f aca="false">Q2459-S2459</f>
        <v>46.978298743492</v>
      </c>
      <c r="U2459" s="0" t="n">
        <f aca="false">Q2459+S2459</f>
        <v>48.9463603474171</v>
      </c>
      <c r="V2459" s="54" t="b">
        <f aca="false">AND(D2459&gt;=01_因子設定!$L$5-0.000000001,D2459&lt;=01_因子設定!$M$5+0.000000001,E2459&gt;=01_因子設定!$L$6-0.000000001,E2459&lt;=01_因子設定!$M$6+0.000000001,F2459&gt;=01_因子設定!$L$7-0.000000001,F2459&lt;=01_因子設定!$M$7+0.000000001,IF(01_因子設定!$B$20="Box-Behnken",D2459^2+E2459^2+F2459^2&lt;=2+0.000000001,TRUE()))</f>
        <v>1</v>
      </c>
      <c r="W2459" s="55" t="n">
        <f aca="false">IF(V2459,IF(01_因子設定!$B$13="最大化",T2459-01_因子設定!$B$14,IF(01_因子設定!$B$13="最小化",01_因子設定!$B$15-U2459,MIN(T2459-01_因子設定!$B$14,01_因子設定!$B$15-U2459))),-1E+030)</f>
        <v>-1.521701256508</v>
      </c>
      <c r="X2459" s="55" t="n">
        <f aca="false">IF(V2459,IF(01_因子設定!$B$13="最大化",Q2459,IF(01_因子設定!$B$13="最小化",-Q2459,-ABS(Q2459-01_因子設定!$B$16))),-1E+030)</f>
        <v>47.9623295454546</v>
      </c>
      <c r="Y2459" s="55" t="n">
        <f aca="false">W2459+ROW()*0.000000001</f>
        <v>-1.521698797508</v>
      </c>
      <c r="Z2459" s="55" t="n">
        <f aca="false">X2459+ROW()*0.000000001</f>
        <v>47.9623320044546</v>
      </c>
    </row>
    <row r="2460" customFormat="false" ht="15" hidden="false" customHeight="false" outlineLevel="0" collapsed="false">
      <c r="A2460" s="0" t="n">
        <v>8</v>
      </c>
      <c r="B2460" s="0" t="n">
        <v>8</v>
      </c>
      <c r="C2460" s="0" t="n">
        <v>7</v>
      </c>
      <c r="D2460" s="0" t="n">
        <f aca="false">-1+A2460*0.125</f>
        <v>0</v>
      </c>
      <c r="E2460" s="0" t="n">
        <f aca="false">-1+B2460*0.125</f>
        <v>0</v>
      </c>
      <c r="F2460" s="0" t="n">
        <f aca="false">-1+C2460*0.125</f>
        <v>-0.125</v>
      </c>
      <c r="G2460" s="0" t="n">
        <f aca="false">1</f>
        <v>1</v>
      </c>
      <c r="H2460" s="0" t="n">
        <f aca="false">D2460</f>
        <v>0</v>
      </c>
      <c r="I2460" s="0" t="n">
        <f aca="false">E2460</f>
        <v>0</v>
      </c>
      <c r="J2460" s="0" t="n">
        <f aca="false">F2460</f>
        <v>-0.125</v>
      </c>
      <c r="K2460" s="0" t="n">
        <f aca="false">D2460*E2460</f>
        <v>0</v>
      </c>
      <c r="L2460" s="0" t="n">
        <f aca="false">D2460*F2460</f>
        <v>-0</v>
      </c>
      <c r="M2460" s="0" t="n">
        <f aca="false">E2460*F2460</f>
        <v>-0</v>
      </c>
      <c r="N2460" s="0" t="n">
        <f aca="false">D2460*D2460</f>
        <v>0</v>
      </c>
      <c r="O2460" s="0" t="n">
        <f aca="false">E2460*E2460</f>
        <v>0</v>
      </c>
      <c r="P2460" s="0" t="n">
        <f aca="false">F2460*F2460</f>
        <v>0.015625</v>
      </c>
      <c r="Q2460" s="0" t="n">
        <f aca="false">SUMPRODUCT(G2460:P2460,_XtX!$B$71:$K$71)</f>
        <v>48.1900142045455</v>
      </c>
      <c r="R2460" s="0" t="n">
        <f aca="false">SUMPRODUCT(MMULT(G2460:P2460,_XtX!$B$58:$K$67),G2460:P2460)</f>
        <v>0.118412642045455</v>
      </c>
      <c r="S2460" s="0" t="n">
        <f aca="false">04_回帰ANOVA!$K$19*04_回帰ANOVA!$K$14*SQRT(1+R2460)</f>
        <v>0.983258410241508</v>
      </c>
      <c r="T2460" s="0" t="n">
        <f aca="false">Q2460-S2460</f>
        <v>47.206755794304</v>
      </c>
      <c r="U2460" s="0" t="n">
        <f aca="false">Q2460+S2460</f>
        <v>49.173272614787</v>
      </c>
      <c r="V2460" s="54" t="b">
        <f aca="false">AND(D2460&gt;=01_因子設定!$L$5-0.000000001,D2460&lt;=01_因子設定!$M$5+0.000000001,E2460&gt;=01_因子設定!$L$6-0.000000001,E2460&lt;=01_因子設定!$M$6+0.000000001,F2460&gt;=01_因子設定!$L$7-0.000000001,F2460&lt;=01_因子設定!$M$7+0.000000001,IF(01_因子設定!$B$20="Box-Behnken",D2460^2+E2460^2+F2460^2&lt;=2+0.000000001,TRUE()))</f>
        <v>1</v>
      </c>
      <c r="W2460" s="55" t="n">
        <f aca="false">IF(V2460,IF(01_因子設定!$B$13="最大化",T2460-01_因子設定!$B$14,IF(01_因子設定!$B$13="最小化",01_因子設定!$B$15-U2460,MIN(T2460-01_因子設定!$B$14,01_因子設定!$B$15-U2460))),-1E+030)</f>
        <v>-1.29324420569605</v>
      </c>
      <c r="X2460" s="55" t="n">
        <f aca="false">IF(V2460,IF(01_因子設定!$B$13="最大化",Q2460,IF(01_因子設定!$B$13="最小化",-Q2460,-ABS(Q2460-01_因子設定!$B$16))),-1E+030)</f>
        <v>48.1900142045455</v>
      </c>
      <c r="Y2460" s="55" t="n">
        <f aca="false">W2460+ROW()*0.000000001</f>
        <v>-1.29324174569605</v>
      </c>
      <c r="Z2460" s="55" t="n">
        <f aca="false">X2460+ROW()*0.000000001</f>
        <v>48.1900166645455</v>
      </c>
    </row>
    <row r="2461" customFormat="false" ht="15" hidden="false" customHeight="false" outlineLevel="0" collapsed="false">
      <c r="A2461" s="0" t="n">
        <v>8</v>
      </c>
      <c r="B2461" s="0" t="n">
        <v>8</v>
      </c>
      <c r="C2461" s="0" t="n">
        <v>8</v>
      </c>
      <c r="D2461" s="0" t="n">
        <f aca="false">-1+A2461*0.125</f>
        <v>0</v>
      </c>
      <c r="E2461" s="0" t="n">
        <f aca="false">-1+B2461*0.125</f>
        <v>0</v>
      </c>
      <c r="F2461" s="0" t="n">
        <f aca="false">-1+C2461*0.125</f>
        <v>0</v>
      </c>
      <c r="G2461" s="0" t="n">
        <f aca="false">1</f>
        <v>1</v>
      </c>
      <c r="H2461" s="0" t="n">
        <f aca="false">D2461</f>
        <v>0</v>
      </c>
      <c r="I2461" s="0" t="n">
        <f aca="false">E2461</f>
        <v>0</v>
      </c>
      <c r="J2461" s="0" t="n">
        <f aca="false">F2461</f>
        <v>0</v>
      </c>
      <c r="K2461" s="0" t="n">
        <f aca="false">D2461*E2461</f>
        <v>0</v>
      </c>
      <c r="L2461" s="0" t="n">
        <f aca="false">D2461*F2461</f>
        <v>0</v>
      </c>
      <c r="M2461" s="0" t="n">
        <f aca="false">E2461*F2461</f>
        <v>0</v>
      </c>
      <c r="N2461" s="0" t="n">
        <f aca="false">D2461*D2461</f>
        <v>0</v>
      </c>
      <c r="O2461" s="0" t="n">
        <f aca="false">E2461*E2461</f>
        <v>0</v>
      </c>
      <c r="P2461" s="0" t="n">
        <f aca="false">F2461*F2461</f>
        <v>0</v>
      </c>
      <c r="Q2461" s="0" t="n">
        <f aca="false">SUMPRODUCT(G2461:P2461,_XtX!$B$71:$K$71)</f>
        <v>48.3809090909091</v>
      </c>
      <c r="R2461" s="0" t="n">
        <f aca="false">SUMPRODUCT(MMULT(G2461:P2461,_XtX!$B$58:$K$67),G2461:P2461)</f>
        <v>0.118181818181818</v>
      </c>
      <c r="S2461" s="0" t="n">
        <f aca="false">04_回帰ANOVA!$K$19*04_回帰ANOVA!$K$14*SQRT(1+R2461)</f>
        <v>0.983156939993339</v>
      </c>
      <c r="T2461" s="0" t="n">
        <f aca="false">Q2461-S2461</f>
        <v>47.3977521509158</v>
      </c>
      <c r="U2461" s="0" t="n">
        <f aca="false">Q2461+S2461</f>
        <v>49.3640660309024</v>
      </c>
      <c r="V2461" s="54" t="b">
        <f aca="false">AND(D2461&gt;=01_因子設定!$L$5-0.000000001,D2461&lt;=01_因子設定!$M$5+0.000000001,E2461&gt;=01_因子設定!$L$6-0.000000001,E2461&lt;=01_因子設定!$M$6+0.000000001,F2461&gt;=01_因子設定!$L$7-0.000000001,F2461&lt;=01_因子設定!$M$7+0.000000001,IF(01_因子設定!$B$20="Box-Behnken",D2461^2+E2461^2+F2461^2&lt;=2+0.000000001,TRUE()))</f>
        <v>1</v>
      </c>
      <c r="W2461" s="55" t="n">
        <f aca="false">IF(V2461,IF(01_因子設定!$B$13="最大化",T2461-01_因子設定!$B$14,IF(01_因子設定!$B$13="最小化",01_因子設定!$B$15-U2461,MIN(T2461-01_因子設定!$B$14,01_因子設定!$B$15-U2461))),-1E+030)</f>
        <v>-1.10224784908424</v>
      </c>
      <c r="X2461" s="55" t="n">
        <f aca="false">IF(V2461,IF(01_因子設定!$B$13="最大化",Q2461,IF(01_因子設定!$B$13="最小化",-Q2461,-ABS(Q2461-01_因子設定!$B$16))),-1E+030)</f>
        <v>48.3809090909091</v>
      </c>
      <c r="Y2461" s="55" t="n">
        <f aca="false">W2461+ROW()*0.000000001</f>
        <v>-1.10224538808424</v>
      </c>
      <c r="Z2461" s="55" t="n">
        <f aca="false">X2461+ROW()*0.000000001</f>
        <v>48.3809115519091</v>
      </c>
    </row>
    <row r="2462" customFormat="false" ht="15" hidden="false" customHeight="false" outlineLevel="0" collapsed="false">
      <c r="A2462" s="0" t="n">
        <v>8</v>
      </c>
      <c r="B2462" s="0" t="n">
        <v>8</v>
      </c>
      <c r="C2462" s="0" t="n">
        <v>9</v>
      </c>
      <c r="D2462" s="0" t="n">
        <f aca="false">-1+A2462*0.125</f>
        <v>0</v>
      </c>
      <c r="E2462" s="0" t="n">
        <f aca="false">-1+B2462*0.125</f>
        <v>0</v>
      </c>
      <c r="F2462" s="0" t="n">
        <f aca="false">-1+C2462*0.125</f>
        <v>0.125</v>
      </c>
      <c r="G2462" s="0" t="n">
        <f aca="false">1</f>
        <v>1</v>
      </c>
      <c r="H2462" s="0" t="n">
        <f aca="false">D2462</f>
        <v>0</v>
      </c>
      <c r="I2462" s="0" t="n">
        <f aca="false">E2462</f>
        <v>0</v>
      </c>
      <c r="J2462" s="0" t="n">
        <f aca="false">F2462</f>
        <v>0.125</v>
      </c>
      <c r="K2462" s="0" t="n">
        <f aca="false">D2462*E2462</f>
        <v>0</v>
      </c>
      <c r="L2462" s="0" t="n">
        <f aca="false">D2462*F2462</f>
        <v>0</v>
      </c>
      <c r="M2462" s="0" t="n">
        <f aca="false">E2462*F2462</f>
        <v>0</v>
      </c>
      <c r="N2462" s="0" t="n">
        <f aca="false">D2462*D2462</f>
        <v>0</v>
      </c>
      <c r="O2462" s="0" t="n">
        <f aca="false">E2462*E2462</f>
        <v>0</v>
      </c>
      <c r="P2462" s="0" t="n">
        <f aca="false">F2462*F2462</f>
        <v>0.015625</v>
      </c>
      <c r="Q2462" s="0" t="n">
        <f aca="false">SUMPRODUCT(G2462:P2462,_XtX!$B$71:$K$71)</f>
        <v>48.5350142045455</v>
      </c>
      <c r="R2462" s="0" t="n">
        <f aca="false">SUMPRODUCT(MMULT(G2462:P2462,_XtX!$B$58:$K$67),G2462:P2462)</f>
        <v>0.118412642045455</v>
      </c>
      <c r="S2462" s="0" t="n">
        <f aca="false">04_回帰ANOVA!$K$19*04_回帰ANOVA!$K$14*SQRT(1+R2462)</f>
        <v>0.983258410241508</v>
      </c>
      <c r="T2462" s="0" t="n">
        <f aca="false">Q2462-S2462</f>
        <v>47.551755794304</v>
      </c>
      <c r="U2462" s="0" t="n">
        <f aca="false">Q2462+S2462</f>
        <v>49.518272614787</v>
      </c>
      <c r="V2462" s="54" t="b">
        <f aca="false">AND(D2462&gt;=01_因子設定!$L$5-0.000000001,D2462&lt;=01_因子設定!$M$5+0.000000001,E2462&gt;=01_因子設定!$L$6-0.000000001,E2462&lt;=01_因子設定!$M$6+0.000000001,F2462&gt;=01_因子設定!$L$7-0.000000001,F2462&lt;=01_因子設定!$M$7+0.000000001,IF(01_因子設定!$B$20="Box-Behnken",D2462^2+E2462^2+F2462^2&lt;=2+0.000000001,TRUE()))</f>
        <v>1</v>
      </c>
      <c r="W2462" s="55" t="n">
        <f aca="false">IF(V2462,IF(01_因子設定!$B$13="最大化",T2462-01_因子設定!$B$14,IF(01_因子設定!$B$13="最小化",01_因子設定!$B$15-U2462,MIN(T2462-01_因子設定!$B$14,01_因子設定!$B$15-U2462))),-1E+030)</f>
        <v>-0.948244205696049</v>
      </c>
      <c r="X2462" s="55" t="n">
        <f aca="false">IF(V2462,IF(01_因子設定!$B$13="最大化",Q2462,IF(01_因子設定!$B$13="最小化",-Q2462,-ABS(Q2462-01_因子設定!$B$16))),-1E+030)</f>
        <v>48.5350142045455</v>
      </c>
      <c r="Y2462" s="55" t="n">
        <f aca="false">W2462+ROW()*0.000000001</f>
        <v>-0.948241743696049</v>
      </c>
      <c r="Z2462" s="55" t="n">
        <f aca="false">X2462+ROW()*0.000000001</f>
        <v>48.5350166665455</v>
      </c>
    </row>
    <row r="2463" customFormat="false" ht="15" hidden="false" customHeight="false" outlineLevel="0" collapsed="false">
      <c r="A2463" s="0" t="n">
        <v>8</v>
      </c>
      <c r="B2463" s="0" t="n">
        <v>8</v>
      </c>
      <c r="C2463" s="0" t="n">
        <v>10</v>
      </c>
      <c r="D2463" s="0" t="n">
        <f aca="false">-1+A2463*0.125</f>
        <v>0</v>
      </c>
      <c r="E2463" s="0" t="n">
        <f aca="false">-1+B2463*0.125</f>
        <v>0</v>
      </c>
      <c r="F2463" s="0" t="n">
        <f aca="false">-1+C2463*0.125</f>
        <v>0.25</v>
      </c>
      <c r="G2463" s="0" t="n">
        <f aca="false">1</f>
        <v>1</v>
      </c>
      <c r="H2463" s="0" t="n">
        <f aca="false">D2463</f>
        <v>0</v>
      </c>
      <c r="I2463" s="0" t="n">
        <f aca="false">E2463</f>
        <v>0</v>
      </c>
      <c r="J2463" s="0" t="n">
        <f aca="false">F2463</f>
        <v>0.25</v>
      </c>
      <c r="K2463" s="0" t="n">
        <f aca="false">D2463*E2463</f>
        <v>0</v>
      </c>
      <c r="L2463" s="0" t="n">
        <f aca="false">D2463*F2463</f>
        <v>0</v>
      </c>
      <c r="M2463" s="0" t="n">
        <f aca="false">E2463*F2463</f>
        <v>0</v>
      </c>
      <c r="N2463" s="0" t="n">
        <f aca="false">D2463*D2463</f>
        <v>0</v>
      </c>
      <c r="O2463" s="0" t="n">
        <f aca="false">E2463*E2463</f>
        <v>0</v>
      </c>
      <c r="P2463" s="0" t="n">
        <f aca="false">F2463*F2463</f>
        <v>0.0625</v>
      </c>
      <c r="Q2463" s="0" t="n">
        <f aca="false">SUMPRODUCT(G2463:P2463,_XtX!$B$71:$K$71)</f>
        <v>48.6523295454546</v>
      </c>
      <c r="R2463" s="0" t="n">
        <f aca="false">SUMPRODUCT(MMULT(G2463:P2463,_XtX!$B$58:$K$67),G2463:P2463)</f>
        <v>0.120170454545455</v>
      </c>
      <c r="S2463" s="0" t="n">
        <f aca="false">04_回帰ANOVA!$K$19*04_回帰ANOVA!$K$14*SQRT(1+R2463)</f>
        <v>0.984030801962561</v>
      </c>
      <c r="T2463" s="0" t="n">
        <f aca="false">Q2463-S2463</f>
        <v>47.668298743492</v>
      </c>
      <c r="U2463" s="0" t="n">
        <f aca="false">Q2463+S2463</f>
        <v>49.6363603474171</v>
      </c>
      <c r="V2463" s="54" t="b">
        <f aca="false">AND(D2463&gt;=01_因子設定!$L$5-0.000000001,D2463&lt;=01_因子設定!$M$5+0.000000001,E2463&gt;=01_因子設定!$L$6-0.000000001,E2463&lt;=01_因子設定!$M$6+0.000000001,F2463&gt;=01_因子設定!$L$7-0.000000001,F2463&lt;=01_因子設定!$M$7+0.000000001,IF(01_因子設定!$B$20="Box-Behnken",D2463^2+E2463^2+F2463^2&lt;=2+0.000000001,TRUE()))</f>
        <v>1</v>
      </c>
      <c r="W2463" s="55" t="n">
        <f aca="false">IF(V2463,IF(01_因子設定!$B$13="最大化",T2463-01_因子設定!$B$14,IF(01_因子設定!$B$13="最小化",01_因子設定!$B$15-U2463,MIN(T2463-01_因子設定!$B$14,01_因子設定!$B$15-U2463))),-1E+030)</f>
        <v>-0.831701256508005</v>
      </c>
      <c r="X2463" s="55" t="n">
        <f aca="false">IF(V2463,IF(01_因子設定!$B$13="最大化",Q2463,IF(01_因子設定!$B$13="最小化",-Q2463,-ABS(Q2463-01_因子設定!$B$16))),-1E+030)</f>
        <v>48.6523295454546</v>
      </c>
      <c r="Y2463" s="55" t="n">
        <f aca="false">W2463+ROW()*0.000000001</f>
        <v>-0.831698793508005</v>
      </c>
      <c r="Z2463" s="55" t="n">
        <f aca="false">X2463+ROW()*0.000000001</f>
        <v>48.6523320084546</v>
      </c>
    </row>
    <row r="2464" customFormat="false" ht="15" hidden="false" customHeight="false" outlineLevel="0" collapsed="false">
      <c r="A2464" s="0" t="n">
        <v>8</v>
      </c>
      <c r="B2464" s="0" t="n">
        <v>8</v>
      </c>
      <c r="C2464" s="0" t="n">
        <v>11</v>
      </c>
      <c r="D2464" s="0" t="n">
        <f aca="false">-1+A2464*0.125</f>
        <v>0</v>
      </c>
      <c r="E2464" s="0" t="n">
        <f aca="false">-1+B2464*0.125</f>
        <v>0</v>
      </c>
      <c r="F2464" s="0" t="n">
        <f aca="false">-1+C2464*0.125</f>
        <v>0.375</v>
      </c>
      <c r="G2464" s="0" t="n">
        <f aca="false">1</f>
        <v>1</v>
      </c>
      <c r="H2464" s="0" t="n">
        <f aca="false">D2464</f>
        <v>0</v>
      </c>
      <c r="I2464" s="0" t="n">
        <f aca="false">E2464</f>
        <v>0</v>
      </c>
      <c r="J2464" s="0" t="n">
        <f aca="false">F2464</f>
        <v>0.375</v>
      </c>
      <c r="K2464" s="0" t="n">
        <f aca="false">D2464*E2464</f>
        <v>0</v>
      </c>
      <c r="L2464" s="0" t="n">
        <f aca="false">D2464*F2464</f>
        <v>0</v>
      </c>
      <c r="M2464" s="0" t="n">
        <f aca="false">E2464*F2464</f>
        <v>0</v>
      </c>
      <c r="N2464" s="0" t="n">
        <f aca="false">D2464*D2464</f>
        <v>0</v>
      </c>
      <c r="O2464" s="0" t="n">
        <f aca="false">E2464*E2464</f>
        <v>0</v>
      </c>
      <c r="P2464" s="0" t="n">
        <f aca="false">F2464*F2464</f>
        <v>0.140625</v>
      </c>
      <c r="Q2464" s="0" t="n">
        <f aca="false">SUMPRODUCT(G2464:P2464,_XtX!$B$71:$K$71)</f>
        <v>48.7328551136364</v>
      </c>
      <c r="R2464" s="0" t="n">
        <f aca="false">SUMPRODUCT(MMULT(G2464:P2464,_XtX!$B$58:$K$67),G2464:P2464)</f>
        <v>0.126651278409091</v>
      </c>
      <c r="S2464" s="0" t="n">
        <f aca="false">04_回帰ANOVA!$K$19*04_回帰ANOVA!$K$14*SQRT(1+R2464)</f>
        <v>0.986873285775478</v>
      </c>
      <c r="T2464" s="0" t="n">
        <f aca="false">Q2464-S2464</f>
        <v>47.7459818278609</v>
      </c>
      <c r="U2464" s="0" t="n">
        <f aca="false">Q2464+S2464</f>
        <v>49.7197283994119</v>
      </c>
      <c r="V2464" s="54" t="b">
        <f aca="false">AND(D2464&gt;=01_因子設定!$L$5-0.000000001,D2464&lt;=01_因子設定!$M$5+0.000000001,E2464&gt;=01_因子設定!$L$6-0.000000001,E2464&lt;=01_因子設定!$M$6+0.000000001,F2464&gt;=01_因子設定!$L$7-0.000000001,F2464&lt;=01_因子設定!$M$7+0.000000001,IF(01_因子設定!$B$20="Box-Behnken",D2464^2+E2464^2+F2464^2&lt;=2+0.000000001,TRUE()))</f>
        <v>1</v>
      </c>
      <c r="W2464" s="55" t="n">
        <f aca="false">IF(V2464,IF(01_因子設定!$B$13="最大化",T2464-01_因子設定!$B$14,IF(01_因子設定!$B$13="最小化",01_因子設定!$B$15-U2464,MIN(T2464-01_因子設定!$B$14,01_因子設定!$B$15-U2464))),-1E+030)</f>
        <v>-0.754018172139105</v>
      </c>
      <c r="X2464" s="55" t="n">
        <f aca="false">IF(V2464,IF(01_因子設定!$B$13="最大化",Q2464,IF(01_因子設定!$B$13="最小化",-Q2464,-ABS(Q2464-01_因子設定!$B$16))),-1E+030)</f>
        <v>48.7328551136364</v>
      </c>
      <c r="Y2464" s="55" t="n">
        <f aca="false">W2464+ROW()*0.000000001</f>
        <v>-0.754015708139105</v>
      </c>
      <c r="Z2464" s="55" t="n">
        <f aca="false">X2464+ROW()*0.000000001</f>
        <v>48.7328575776364</v>
      </c>
    </row>
    <row r="2465" customFormat="false" ht="15" hidden="false" customHeight="false" outlineLevel="0" collapsed="false">
      <c r="A2465" s="0" t="n">
        <v>8</v>
      </c>
      <c r="B2465" s="0" t="n">
        <v>8</v>
      </c>
      <c r="C2465" s="0" t="n">
        <v>12</v>
      </c>
      <c r="D2465" s="0" t="n">
        <f aca="false">-1+A2465*0.125</f>
        <v>0</v>
      </c>
      <c r="E2465" s="0" t="n">
        <f aca="false">-1+B2465*0.125</f>
        <v>0</v>
      </c>
      <c r="F2465" s="0" t="n">
        <f aca="false">-1+C2465*0.125</f>
        <v>0.5</v>
      </c>
      <c r="G2465" s="0" t="n">
        <f aca="false">1</f>
        <v>1</v>
      </c>
      <c r="H2465" s="0" t="n">
        <f aca="false">D2465</f>
        <v>0</v>
      </c>
      <c r="I2465" s="0" t="n">
        <f aca="false">E2465</f>
        <v>0</v>
      </c>
      <c r="J2465" s="0" t="n">
        <f aca="false">F2465</f>
        <v>0.5</v>
      </c>
      <c r="K2465" s="0" t="n">
        <f aca="false">D2465*E2465</f>
        <v>0</v>
      </c>
      <c r="L2465" s="0" t="n">
        <f aca="false">D2465*F2465</f>
        <v>0</v>
      </c>
      <c r="M2465" s="0" t="n">
        <f aca="false">E2465*F2465</f>
        <v>0</v>
      </c>
      <c r="N2465" s="0" t="n">
        <f aca="false">D2465*D2465</f>
        <v>0</v>
      </c>
      <c r="O2465" s="0" t="n">
        <f aca="false">E2465*E2465</f>
        <v>0</v>
      </c>
      <c r="P2465" s="0" t="n">
        <f aca="false">F2465*F2465</f>
        <v>0.25</v>
      </c>
      <c r="Q2465" s="0" t="n">
        <f aca="false">SUMPRODUCT(G2465:P2465,_XtX!$B$71:$K$71)</f>
        <v>48.7765909090909</v>
      </c>
      <c r="R2465" s="0" t="n">
        <f aca="false">SUMPRODUCT(MMULT(G2465:P2465,_XtX!$B$58:$K$67),G2465:P2465)</f>
        <v>0.143181818181818</v>
      </c>
      <c r="S2465" s="0" t="n">
        <f aca="false">04_回帰ANOVA!$K$19*04_回帰ANOVA!$K$14*SQRT(1+R2465)</f>
        <v>0.994086761760527</v>
      </c>
      <c r="T2465" s="0" t="n">
        <f aca="false">Q2465-S2465</f>
        <v>47.7825041473304</v>
      </c>
      <c r="U2465" s="0" t="n">
        <f aca="false">Q2465+S2465</f>
        <v>49.7706776708515</v>
      </c>
      <c r="V2465" s="54" t="b">
        <f aca="false">AND(D2465&gt;=01_因子設定!$L$5-0.000000001,D2465&lt;=01_因子設定!$M$5+0.000000001,E2465&gt;=01_因子設定!$L$6-0.000000001,E2465&lt;=01_因子設定!$M$6+0.000000001,F2465&gt;=01_因子設定!$L$7-0.000000001,F2465&lt;=01_因子設定!$M$7+0.000000001,IF(01_因子設定!$B$20="Box-Behnken",D2465^2+E2465^2+F2465^2&lt;=2+0.000000001,TRUE()))</f>
        <v>1</v>
      </c>
      <c r="W2465" s="55" t="n">
        <f aca="false">IF(V2465,IF(01_因子設定!$B$13="最大化",T2465-01_因子設定!$B$14,IF(01_因子設定!$B$13="最小化",01_因子設定!$B$15-U2465,MIN(T2465-01_因子設定!$B$14,01_因子設定!$B$15-U2465))),-1E+030)</f>
        <v>-0.717495852669607</v>
      </c>
      <c r="X2465" s="55" t="n">
        <f aca="false">IF(V2465,IF(01_因子設定!$B$13="最大化",Q2465,IF(01_因子設定!$B$13="最小化",-Q2465,-ABS(Q2465-01_因子設定!$B$16))),-1E+030)</f>
        <v>48.7765909090909</v>
      </c>
      <c r="Y2465" s="55" t="n">
        <f aca="false">W2465+ROW()*0.000000001</f>
        <v>-0.717493387669607</v>
      </c>
      <c r="Z2465" s="55" t="n">
        <f aca="false">X2465+ROW()*0.000000001</f>
        <v>48.7765933740909</v>
      </c>
    </row>
    <row r="2466" customFormat="false" ht="15" hidden="false" customHeight="false" outlineLevel="0" collapsed="false">
      <c r="A2466" s="0" t="n">
        <v>8</v>
      </c>
      <c r="B2466" s="0" t="n">
        <v>8</v>
      </c>
      <c r="C2466" s="0" t="n">
        <v>13</v>
      </c>
      <c r="D2466" s="0" t="n">
        <f aca="false">-1+A2466*0.125</f>
        <v>0</v>
      </c>
      <c r="E2466" s="0" t="n">
        <f aca="false">-1+B2466*0.125</f>
        <v>0</v>
      </c>
      <c r="F2466" s="0" t="n">
        <f aca="false">-1+C2466*0.125</f>
        <v>0.625</v>
      </c>
      <c r="G2466" s="0" t="n">
        <f aca="false">1</f>
        <v>1</v>
      </c>
      <c r="H2466" s="0" t="n">
        <f aca="false">D2466</f>
        <v>0</v>
      </c>
      <c r="I2466" s="0" t="n">
        <f aca="false">E2466</f>
        <v>0</v>
      </c>
      <c r="J2466" s="0" t="n">
        <f aca="false">F2466</f>
        <v>0.625</v>
      </c>
      <c r="K2466" s="0" t="n">
        <f aca="false">D2466*E2466</f>
        <v>0</v>
      </c>
      <c r="L2466" s="0" t="n">
        <f aca="false">D2466*F2466</f>
        <v>0</v>
      </c>
      <c r="M2466" s="0" t="n">
        <f aca="false">E2466*F2466</f>
        <v>0</v>
      </c>
      <c r="N2466" s="0" t="n">
        <f aca="false">D2466*D2466</f>
        <v>0</v>
      </c>
      <c r="O2466" s="0" t="n">
        <f aca="false">E2466*E2466</f>
        <v>0</v>
      </c>
      <c r="P2466" s="0" t="n">
        <f aca="false">F2466*F2466</f>
        <v>0.390625</v>
      </c>
      <c r="Q2466" s="0" t="n">
        <f aca="false">SUMPRODUCT(G2466:P2466,_XtX!$B$71:$K$71)</f>
        <v>48.7835369318182</v>
      </c>
      <c r="R2466" s="0" t="n">
        <f aca="false">SUMPRODUCT(MMULT(G2466:P2466,_XtX!$B$58:$K$67),G2466:P2466)</f>
        <v>0.177219460227273</v>
      </c>
      <c r="S2466" s="0" t="n">
        <f aca="false">04_回帰ANOVA!$K$19*04_回帰ANOVA!$K$14*SQRT(1+R2466)</f>
        <v>1.00877741944364</v>
      </c>
      <c r="T2466" s="0" t="n">
        <f aca="false">Q2466-S2466</f>
        <v>47.7747595123746</v>
      </c>
      <c r="U2466" s="0" t="n">
        <f aca="false">Q2466+S2466</f>
        <v>49.7923143512618</v>
      </c>
      <c r="V2466" s="54" t="b">
        <f aca="false">AND(D2466&gt;=01_因子設定!$L$5-0.000000001,D2466&lt;=01_因子設定!$M$5+0.000000001,E2466&gt;=01_因子設定!$L$6-0.000000001,E2466&lt;=01_因子設定!$M$6+0.000000001,F2466&gt;=01_因子設定!$L$7-0.000000001,F2466&lt;=01_因子設定!$M$7+0.000000001,IF(01_因子設定!$B$20="Box-Behnken",D2466^2+E2466^2+F2466^2&lt;=2+0.000000001,TRUE()))</f>
        <v>1</v>
      </c>
      <c r="W2466" s="55" t="n">
        <f aca="false">IF(V2466,IF(01_因子設定!$B$13="最大化",T2466-01_因子設定!$B$14,IF(01_因子設定!$B$13="最小化",01_因子設定!$B$15-U2466,MIN(T2466-01_因子設定!$B$14,01_因子設定!$B$15-U2466))),-1E+030)</f>
        <v>-0.725240487625435</v>
      </c>
      <c r="X2466" s="55" t="n">
        <f aca="false">IF(V2466,IF(01_因子設定!$B$13="最大化",Q2466,IF(01_因子設定!$B$13="最小化",-Q2466,-ABS(Q2466-01_因子設定!$B$16))),-1E+030)</f>
        <v>48.7835369318182</v>
      </c>
      <c r="Y2466" s="55" t="n">
        <f aca="false">W2466+ROW()*0.000000001</f>
        <v>-0.725238021625435</v>
      </c>
      <c r="Z2466" s="55" t="n">
        <f aca="false">X2466+ROW()*0.000000001</f>
        <v>48.7835393978182</v>
      </c>
    </row>
    <row r="2467" customFormat="false" ht="15" hidden="false" customHeight="false" outlineLevel="0" collapsed="false">
      <c r="A2467" s="0" t="n">
        <v>8</v>
      </c>
      <c r="B2467" s="0" t="n">
        <v>8</v>
      </c>
      <c r="C2467" s="0" t="n">
        <v>14</v>
      </c>
      <c r="D2467" s="0" t="n">
        <f aca="false">-1+A2467*0.125</f>
        <v>0</v>
      </c>
      <c r="E2467" s="0" t="n">
        <f aca="false">-1+B2467*0.125</f>
        <v>0</v>
      </c>
      <c r="F2467" s="0" t="n">
        <f aca="false">-1+C2467*0.125</f>
        <v>0.75</v>
      </c>
      <c r="G2467" s="0" t="n">
        <f aca="false">1</f>
        <v>1</v>
      </c>
      <c r="H2467" s="0" t="n">
        <f aca="false">D2467</f>
        <v>0</v>
      </c>
      <c r="I2467" s="0" t="n">
        <f aca="false">E2467</f>
        <v>0</v>
      </c>
      <c r="J2467" s="0" t="n">
        <f aca="false">F2467</f>
        <v>0.75</v>
      </c>
      <c r="K2467" s="0" t="n">
        <f aca="false">D2467*E2467</f>
        <v>0</v>
      </c>
      <c r="L2467" s="0" t="n">
        <f aca="false">D2467*F2467</f>
        <v>0</v>
      </c>
      <c r="M2467" s="0" t="n">
        <f aca="false">E2467*F2467</f>
        <v>0</v>
      </c>
      <c r="N2467" s="0" t="n">
        <f aca="false">D2467*D2467</f>
        <v>0</v>
      </c>
      <c r="O2467" s="0" t="n">
        <f aca="false">E2467*E2467</f>
        <v>0</v>
      </c>
      <c r="P2467" s="0" t="n">
        <f aca="false">F2467*F2467</f>
        <v>0.5625</v>
      </c>
      <c r="Q2467" s="0" t="n">
        <f aca="false">SUMPRODUCT(G2467:P2467,_XtX!$B$71:$K$71)</f>
        <v>48.7536931818182</v>
      </c>
      <c r="R2467" s="0" t="n">
        <f aca="false">SUMPRODUCT(MMULT(G2467:P2467,_XtX!$B$58:$K$67),G2467:P2467)</f>
        <v>0.238352272727273</v>
      </c>
      <c r="S2467" s="0" t="n">
        <f aca="false">04_回帰ANOVA!$K$19*04_回帰ANOVA!$K$14*SQRT(1+R2467)</f>
        <v>1.03463874751028</v>
      </c>
      <c r="T2467" s="0" t="n">
        <f aca="false">Q2467-S2467</f>
        <v>47.7190544343079</v>
      </c>
      <c r="U2467" s="0" t="n">
        <f aca="false">Q2467+S2467</f>
        <v>49.7883319293285</v>
      </c>
      <c r="V2467" s="54" t="b">
        <f aca="false">AND(D2467&gt;=01_因子設定!$L$5-0.000000001,D2467&lt;=01_因子設定!$M$5+0.000000001,E2467&gt;=01_因子設定!$L$6-0.000000001,E2467&lt;=01_因子設定!$M$6+0.000000001,F2467&gt;=01_因子設定!$L$7-0.000000001,F2467&lt;=01_因子設定!$M$7+0.000000001,IF(01_因子設定!$B$20="Box-Behnken",D2467^2+E2467^2+F2467^2&lt;=2+0.000000001,TRUE()))</f>
        <v>1</v>
      </c>
      <c r="W2467" s="55" t="n">
        <f aca="false">IF(V2467,IF(01_因子設定!$B$13="最大化",T2467-01_因子設定!$B$14,IF(01_因子設定!$B$13="最小化",01_因子設定!$B$15-U2467,MIN(T2467-01_因子設定!$B$14,01_因子設定!$B$15-U2467))),-1E+030)</f>
        <v>-0.780945565692079</v>
      </c>
      <c r="X2467" s="55" t="n">
        <f aca="false">IF(V2467,IF(01_因子設定!$B$13="最大化",Q2467,IF(01_因子設定!$B$13="最小化",-Q2467,-ABS(Q2467-01_因子設定!$B$16))),-1E+030)</f>
        <v>48.7536931818182</v>
      </c>
      <c r="Y2467" s="55" t="n">
        <f aca="false">W2467+ROW()*0.000000001</f>
        <v>-0.780943098692079</v>
      </c>
      <c r="Z2467" s="55" t="n">
        <f aca="false">X2467+ROW()*0.000000001</f>
        <v>48.7536956488182</v>
      </c>
    </row>
    <row r="2468" customFormat="false" ht="15" hidden="false" customHeight="false" outlineLevel="0" collapsed="false">
      <c r="A2468" s="0" t="n">
        <v>8</v>
      </c>
      <c r="B2468" s="0" t="n">
        <v>8</v>
      </c>
      <c r="C2468" s="0" t="n">
        <v>15</v>
      </c>
      <c r="D2468" s="0" t="n">
        <f aca="false">-1+A2468*0.125</f>
        <v>0</v>
      </c>
      <c r="E2468" s="0" t="n">
        <f aca="false">-1+B2468*0.125</f>
        <v>0</v>
      </c>
      <c r="F2468" s="0" t="n">
        <f aca="false">-1+C2468*0.125</f>
        <v>0.875</v>
      </c>
      <c r="G2468" s="0" t="n">
        <f aca="false">1</f>
        <v>1</v>
      </c>
      <c r="H2468" s="0" t="n">
        <f aca="false">D2468</f>
        <v>0</v>
      </c>
      <c r="I2468" s="0" t="n">
        <f aca="false">E2468</f>
        <v>0</v>
      </c>
      <c r="J2468" s="0" t="n">
        <f aca="false">F2468</f>
        <v>0.875</v>
      </c>
      <c r="K2468" s="0" t="n">
        <f aca="false">D2468*E2468</f>
        <v>0</v>
      </c>
      <c r="L2468" s="0" t="n">
        <f aca="false">D2468*F2468</f>
        <v>0</v>
      </c>
      <c r="M2468" s="0" t="n">
        <f aca="false">E2468*F2468</f>
        <v>0</v>
      </c>
      <c r="N2468" s="0" t="n">
        <f aca="false">D2468*D2468</f>
        <v>0</v>
      </c>
      <c r="O2468" s="0" t="n">
        <f aca="false">E2468*E2468</f>
        <v>0</v>
      </c>
      <c r="P2468" s="0" t="n">
        <f aca="false">F2468*F2468</f>
        <v>0.765625</v>
      </c>
      <c r="Q2468" s="0" t="n">
        <f aca="false">SUMPRODUCT(G2468:P2468,_XtX!$B$71:$K$71)</f>
        <v>48.6870596590909</v>
      </c>
      <c r="R2468" s="0" t="n">
        <f aca="false">SUMPRODUCT(MMULT(G2468:P2468,_XtX!$B$58:$K$67),G2468:P2468)</f>
        <v>0.338299005681818</v>
      </c>
      <c r="S2468" s="0" t="n">
        <f aca="false">04_回帰ANOVA!$K$19*04_回帰ANOVA!$K$14*SQRT(1+R2468)</f>
        <v>1.07558122745542</v>
      </c>
      <c r="T2468" s="0" t="n">
        <f aca="false">Q2468-S2468</f>
        <v>47.6114784316355</v>
      </c>
      <c r="U2468" s="0" t="n">
        <f aca="false">Q2468+S2468</f>
        <v>49.7626408865464</v>
      </c>
      <c r="V2468" s="54" t="b">
        <f aca="false">AND(D2468&gt;=01_因子設定!$L$5-0.000000001,D2468&lt;=01_因子設定!$M$5+0.000000001,E2468&gt;=01_因子設定!$L$6-0.000000001,E2468&lt;=01_因子設定!$M$6+0.000000001,F2468&gt;=01_因子設定!$L$7-0.000000001,F2468&lt;=01_因子設定!$M$7+0.000000001,IF(01_因子設定!$B$20="Box-Behnken",D2468^2+E2468^2+F2468^2&lt;=2+0.000000001,TRUE()))</f>
        <v>1</v>
      </c>
      <c r="W2468" s="55" t="n">
        <f aca="false">IF(V2468,IF(01_因子設定!$B$13="最大化",T2468-01_因子設定!$B$14,IF(01_因子設定!$B$13="最小化",01_因子設定!$B$15-U2468,MIN(T2468-01_因子設定!$B$14,01_因子設定!$B$15-U2468))),-1E+030)</f>
        <v>-0.888521568364482</v>
      </c>
      <c r="X2468" s="55" t="n">
        <f aca="false">IF(V2468,IF(01_因子設定!$B$13="最大化",Q2468,IF(01_因子設定!$B$13="最小化",-Q2468,-ABS(Q2468-01_因子設定!$B$16))),-1E+030)</f>
        <v>48.6870596590909</v>
      </c>
      <c r="Y2468" s="55" t="n">
        <f aca="false">W2468+ROW()*0.000000001</f>
        <v>-0.888519100364482</v>
      </c>
      <c r="Z2468" s="55" t="n">
        <f aca="false">X2468+ROW()*0.000000001</f>
        <v>48.6870621270909</v>
      </c>
    </row>
    <row r="2469" customFormat="false" ht="15" hidden="false" customHeight="false" outlineLevel="0" collapsed="false">
      <c r="A2469" s="0" t="n">
        <v>8</v>
      </c>
      <c r="B2469" s="0" t="n">
        <v>8</v>
      </c>
      <c r="C2469" s="0" t="n">
        <v>16</v>
      </c>
      <c r="D2469" s="0" t="n">
        <f aca="false">-1+A2469*0.125</f>
        <v>0</v>
      </c>
      <c r="E2469" s="0" t="n">
        <f aca="false">-1+B2469*0.125</f>
        <v>0</v>
      </c>
      <c r="F2469" s="0" t="n">
        <f aca="false">-1+C2469*0.125</f>
        <v>1</v>
      </c>
      <c r="G2469" s="0" t="n">
        <f aca="false">1</f>
        <v>1</v>
      </c>
      <c r="H2469" s="0" t="n">
        <f aca="false">D2469</f>
        <v>0</v>
      </c>
      <c r="I2469" s="0" t="n">
        <f aca="false">E2469</f>
        <v>0</v>
      </c>
      <c r="J2469" s="0" t="n">
        <f aca="false">F2469</f>
        <v>1</v>
      </c>
      <c r="K2469" s="0" t="n">
        <f aca="false">D2469*E2469</f>
        <v>0</v>
      </c>
      <c r="L2469" s="0" t="n">
        <f aca="false">D2469*F2469</f>
        <v>0</v>
      </c>
      <c r="M2469" s="0" t="n">
        <f aca="false">E2469*F2469</f>
        <v>0</v>
      </c>
      <c r="N2469" s="0" t="n">
        <f aca="false">D2469*D2469</f>
        <v>0</v>
      </c>
      <c r="O2469" s="0" t="n">
        <f aca="false">E2469*E2469</f>
        <v>0</v>
      </c>
      <c r="P2469" s="0" t="n">
        <f aca="false">F2469*F2469</f>
        <v>1</v>
      </c>
      <c r="Q2469" s="0" t="n">
        <f aca="false">SUMPRODUCT(G2469:P2469,_XtX!$B$71:$K$71)</f>
        <v>48.5836363636364</v>
      </c>
      <c r="R2469" s="0" t="n">
        <f aca="false">SUMPRODUCT(MMULT(G2469:P2469,_XtX!$B$58:$K$67),G2469:P2469)</f>
        <v>0.490909090909091</v>
      </c>
      <c r="S2469" s="0" t="n">
        <f aca="false">04_回帰ANOVA!$K$19*04_回帰ANOVA!$K$14*SQRT(1+R2469)</f>
        <v>1.13525184792161</v>
      </c>
      <c r="T2469" s="0" t="n">
        <f aca="false">Q2469-S2469</f>
        <v>47.4483845157148</v>
      </c>
      <c r="U2469" s="0" t="n">
        <f aca="false">Q2469+S2469</f>
        <v>49.718888211558</v>
      </c>
      <c r="V2469" s="54" t="b">
        <f aca="false">AND(D2469&gt;=01_因子設定!$L$5-0.000000001,D2469&lt;=01_因子設定!$M$5+0.000000001,E2469&gt;=01_因子設定!$L$6-0.000000001,E2469&lt;=01_因子設定!$M$6+0.000000001,F2469&gt;=01_因子設定!$L$7-0.000000001,F2469&lt;=01_因子設定!$M$7+0.000000001,IF(01_因子設定!$B$20="Box-Behnken",D2469^2+E2469^2+F2469^2&lt;=2+0.000000001,TRUE()))</f>
        <v>1</v>
      </c>
      <c r="W2469" s="55" t="n">
        <f aca="false">IF(V2469,IF(01_因子設定!$B$13="最大化",T2469-01_因子設定!$B$14,IF(01_因子設定!$B$13="最小化",01_因子設定!$B$15-U2469,MIN(T2469-01_因子設定!$B$14,01_因子設定!$B$15-U2469))),-1E+030)</f>
        <v>-1.05161548428521</v>
      </c>
      <c r="X2469" s="55" t="n">
        <f aca="false">IF(V2469,IF(01_因子設定!$B$13="最大化",Q2469,IF(01_因子設定!$B$13="最小化",-Q2469,-ABS(Q2469-01_因子設定!$B$16))),-1E+030)</f>
        <v>48.5836363636364</v>
      </c>
      <c r="Y2469" s="55" t="n">
        <f aca="false">W2469+ROW()*0.000000001</f>
        <v>-1.05161301528521</v>
      </c>
      <c r="Z2469" s="55" t="n">
        <f aca="false">X2469+ROW()*0.000000001</f>
        <v>48.5836388326364</v>
      </c>
    </row>
    <row r="2470" customFormat="false" ht="15" hidden="false" customHeight="false" outlineLevel="0" collapsed="false">
      <c r="A2470" s="0" t="n">
        <v>8</v>
      </c>
      <c r="B2470" s="0" t="n">
        <v>9</v>
      </c>
      <c r="C2470" s="0" t="n">
        <v>0</v>
      </c>
      <c r="D2470" s="0" t="n">
        <f aca="false">-1+A2470*0.125</f>
        <v>0</v>
      </c>
      <c r="E2470" s="0" t="n">
        <f aca="false">-1+B2470*0.125</f>
        <v>0.125</v>
      </c>
      <c r="F2470" s="0" t="n">
        <f aca="false">-1+C2470*0.125</f>
        <v>-1</v>
      </c>
      <c r="G2470" s="0" t="n">
        <f aca="false">1</f>
        <v>1</v>
      </c>
      <c r="H2470" s="0" t="n">
        <f aca="false">D2470</f>
        <v>0</v>
      </c>
      <c r="I2470" s="0" t="n">
        <f aca="false">E2470</f>
        <v>0.125</v>
      </c>
      <c r="J2470" s="0" t="n">
        <f aca="false">F2470</f>
        <v>-1</v>
      </c>
      <c r="K2470" s="0" t="n">
        <f aca="false">D2470*E2470</f>
        <v>0</v>
      </c>
      <c r="L2470" s="0" t="n">
        <f aca="false">D2470*F2470</f>
        <v>-0</v>
      </c>
      <c r="M2470" s="0" t="n">
        <f aca="false">E2470*F2470</f>
        <v>-0.125</v>
      </c>
      <c r="N2470" s="0" t="n">
        <f aca="false">D2470*D2470</f>
        <v>0</v>
      </c>
      <c r="O2470" s="0" t="n">
        <f aca="false">E2470*E2470</f>
        <v>0.015625</v>
      </c>
      <c r="P2470" s="0" t="n">
        <f aca="false">F2470*F2470</f>
        <v>1</v>
      </c>
      <c r="Q2470" s="0" t="n">
        <f aca="false">SUMPRODUCT(G2470:P2470,_XtX!$B$71:$K$71)</f>
        <v>45.9944602272728</v>
      </c>
      <c r="R2470" s="0" t="n">
        <f aca="false">SUMPRODUCT(MMULT(G2470:P2470,_XtX!$B$58:$K$67),G2470:P2470)</f>
        <v>0.488831676136364</v>
      </c>
      <c r="S2470" s="0" t="n">
        <f aca="false">04_回帰ANOVA!$K$19*04_回帰ANOVA!$K$14*SQRT(1+R2470)</f>
        <v>1.13446064908709</v>
      </c>
      <c r="T2470" s="0" t="n">
        <f aca="false">Q2470-S2470</f>
        <v>44.8599995781857</v>
      </c>
      <c r="U2470" s="0" t="n">
        <f aca="false">Q2470+S2470</f>
        <v>47.1289208763598</v>
      </c>
      <c r="V2470" s="54" t="b">
        <f aca="false">AND(D2470&gt;=01_因子設定!$L$5-0.000000001,D2470&lt;=01_因子設定!$M$5+0.000000001,E2470&gt;=01_因子設定!$L$6-0.000000001,E2470&lt;=01_因子設定!$M$6+0.000000001,F2470&gt;=01_因子設定!$L$7-0.000000001,F2470&lt;=01_因子設定!$M$7+0.000000001,IF(01_因子設定!$B$20="Box-Behnken",D2470^2+E2470^2+F2470^2&lt;=2+0.000000001,TRUE()))</f>
        <v>1</v>
      </c>
      <c r="W2470" s="55" t="n">
        <f aca="false">IF(V2470,IF(01_因子設定!$B$13="最大化",T2470-01_因子設定!$B$14,IF(01_因子設定!$B$13="最小化",01_因子設定!$B$15-U2470,MIN(T2470-01_因子設定!$B$14,01_因子設定!$B$15-U2470))),-1E+030)</f>
        <v>-3.64000042181434</v>
      </c>
      <c r="X2470" s="55" t="n">
        <f aca="false">IF(V2470,IF(01_因子設定!$B$13="最大化",Q2470,IF(01_因子設定!$B$13="最小化",-Q2470,-ABS(Q2470-01_因子設定!$B$16))),-1E+030)</f>
        <v>45.9944602272728</v>
      </c>
      <c r="Y2470" s="55" t="n">
        <f aca="false">W2470+ROW()*0.000000001</f>
        <v>-3.63999795181434</v>
      </c>
      <c r="Z2470" s="55" t="n">
        <f aca="false">X2470+ROW()*0.000000001</f>
        <v>45.9944626972728</v>
      </c>
    </row>
    <row r="2471" customFormat="false" ht="15" hidden="false" customHeight="false" outlineLevel="0" collapsed="false">
      <c r="A2471" s="0" t="n">
        <v>8</v>
      </c>
      <c r="B2471" s="0" t="n">
        <v>9</v>
      </c>
      <c r="C2471" s="0" t="n">
        <v>1</v>
      </c>
      <c r="D2471" s="0" t="n">
        <f aca="false">-1+A2471*0.125</f>
        <v>0</v>
      </c>
      <c r="E2471" s="0" t="n">
        <f aca="false">-1+B2471*0.125</f>
        <v>0.125</v>
      </c>
      <c r="F2471" s="0" t="n">
        <f aca="false">-1+C2471*0.125</f>
        <v>-0.875</v>
      </c>
      <c r="G2471" s="0" t="n">
        <f aca="false">1</f>
        <v>1</v>
      </c>
      <c r="H2471" s="0" t="n">
        <f aca="false">D2471</f>
        <v>0</v>
      </c>
      <c r="I2471" s="0" t="n">
        <f aca="false">E2471</f>
        <v>0.125</v>
      </c>
      <c r="J2471" s="0" t="n">
        <f aca="false">F2471</f>
        <v>-0.875</v>
      </c>
      <c r="K2471" s="0" t="n">
        <f aca="false">D2471*E2471</f>
        <v>0</v>
      </c>
      <c r="L2471" s="0" t="n">
        <f aca="false">D2471*F2471</f>
        <v>-0</v>
      </c>
      <c r="M2471" s="0" t="n">
        <f aca="false">E2471*F2471</f>
        <v>-0.109375</v>
      </c>
      <c r="N2471" s="0" t="n">
        <f aca="false">D2471*D2471</f>
        <v>0</v>
      </c>
      <c r="O2471" s="0" t="n">
        <f aca="false">E2471*E2471</f>
        <v>0.015625</v>
      </c>
      <c r="P2471" s="0" t="n">
        <f aca="false">F2471*F2471</f>
        <v>0.765625</v>
      </c>
      <c r="Q2471" s="0" t="n">
        <f aca="false">SUMPRODUCT(G2471:P2471,_XtX!$B$71:$K$71)</f>
        <v>46.4499147727273</v>
      </c>
      <c r="R2471" s="0" t="n">
        <f aca="false">SUMPRODUCT(MMULT(G2471:P2471,_XtX!$B$58:$K$67),G2471:P2471)</f>
        <v>0.336762584339489</v>
      </c>
      <c r="S2471" s="0" t="n">
        <f aca="false">04_回帰ANOVA!$K$19*04_回帰ANOVA!$K$14*SQRT(1+R2471)</f>
        <v>1.07496364479411</v>
      </c>
      <c r="T2471" s="0" t="n">
        <f aca="false">Q2471-S2471</f>
        <v>45.3749511279332</v>
      </c>
      <c r="U2471" s="0" t="n">
        <f aca="false">Q2471+S2471</f>
        <v>47.5248784175214</v>
      </c>
      <c r="V2471" s="54" t="b">
        <f aca="false">AND(D2471&gt;=01_因子設定!$L$5-0.000000001,D2471&lt;=01_因子設定!$M$5+0.000000001,E2471&gt;=01_因子設定!$L$6-0.000000001,E2471&lt;=01_因子設定!$M$6+0.000000001,F2471&gt;=01_因子設定!$L$7-0.000000001,F2471&lt;=01_因子設定!$M$7+0.000000001,IF(01_因子設定!$B$20="Box-Behnken",D2471^2+E2471^2+F2471^2&lt;=2+0.000000001,TRUE()))</f>
        <v>1</v>
      </c>
      <c r="W2471" s="55" t="n">
        <f aca="false">IF(V2471,IF(01_因子設定!$B$13="最大化",T2471-01_因子設定!$B$14,IF(01_因子設定!$B$13="最小化",01_因子設定!$B$15-U2471,MIN(T2471-01_因子設定!$B$14,01_因子設定!$B$15-U2471))),-1E+030)</f>
        <v>-3.12504887206681</v>
      </c>
      <c r="X2471" s="55" t="n">
        <f aca="false">IF(V2471,IF(01_因子設定!$B$13="最大化",Q2471,IF(01_因子設定!$B$13="最小化",-Q2471,-ABS(Q2471-01_因子設定!$B$16))),-1E+030)</f>
        <v>46.4499147727273</v>
      </c>
      <c r="Y2471" s="55" t="n">
        <f aca="false">W2471+ROW()*0.000000001</f>
        <v>-3.12504640106681</v>
      </c>
      <c r="Z2471" s="55" t="n">
        <f aca="false">X2471+ROW()*0.000000001</f>
        <v>46.4499172437273</v>
      </c>
    </row>
    <row r="2472" customFormat="false" ht="15" hidden="false" customHeight="false" outlineLevel="0" collapsed="false">
      <c r="A2472" s="0" t="n">
        <v>8</v>
      </c>
      <c r="B2472" s="0" t="n">
        <v>9</v>
      </c>
      <c r="C2472" s="0" t="n">
        <v>2</v>
      </c>
      <c r="D2472" s="0" t="n">
        <f aca="false">-1+A2472*0.125</f>
        <v>0</v>
      </c>
      <c r="E2472" s="0" t="n">
        <f aca="false">-1+B2472*0.125</f>
        <v>0.125</v>
      </c>
      <c r="F2472" s="0" t="n">
        <f aca="false">-1+C2472*0.125</f>
        <v>-0.75</v>
      </c>
      <c r="G2472" s="0" t="n">
        <f aca="false">1</f>
        <v>1</v>
      </c>
      <c r="H2472" s="0" t="n">
        <f aca="false">D2472</f>
        <v>0</v>
      </c>
      <c r="I2472" s="0" t="n">
        <f aca="false">E2472</f>
        <v>0.125</v>
      </c>
      <c r="J2472" s="0" t="n">
        <f aca="false">F2472</f>
        <v>-0.75</v>
      </c>
      <c r="K2472" s="0" t="n">
        <f aca="false">D2472*E2472</f>
        <v>0</v>
      </c>
      <c r="L2472" s="0" t="n">
        <f aca="false">D2472*F2472</f>
        <v>-0</v>
      </c>
      <c r="M2472" s="0" t="n">
        <f aca="false">E2472*F2472</f>
        <v>-0.09375</v>
      </c>
      <c r="N2472" s="0" t="n">
        <f aca="false">D2472*D2472</f>
        <v>0</v>
      </c>
      <c r="O2472" s="0" t="n">
        <f aca="false">E2472*E2472</f>
        <v>0.015625</v>
      </c>
      <c r="P2472" s="0" t="n">
        <f aca="false">F2472*F2472</f>
        <v>0.5625</v>
      </c>
      <c r="Q2472" s="0" t="n">
        <f aca="false">SUMPRODUCT(G2472:P2472,_XtX!$B$71:$K$71)</f>
        <v>46.8685795454546</v>
      </c>
      <c r="R2472" s="0" t="n">
        <f aca="false">SUMPRODUCT(MMULT(G2472:P2472,_XtX!$B$58:$K$67),G2472:P2472)</f>
        <v>0.237284712357955</v>
      </c>
      <c r="S2472" s="0" t="n">
        <f aca="false">04_回帰ANOVA!$K$19*04_回帰ANOVA!$K$14*SQRT(1+R2472)</f>
        <v>1.03419267998124</v>
      </c>
      <c r="T2472" s="0" t="n">
        <f aca="false">Q2472-S2472</f>
        <v>45.8343868654733</v>
      </c>
      <c r="U2472" s="0" t="n">
        <f aca="false">Q2472+S2472</f>
        <v>47.9027722254358</v>
      </c>
      <c r="V2472" s="54" t="b">
        <f aca="false">AND(D2472&gt;=01_因子設定!$L$5-0.000000001,D2472&lt;=01_因子設定!$M$5+0.000000001,E2472&gt;=01_因子設定!$L$6-0.000000001,E2472&lt;=01_因子設定!$M$6+0.000000001,F2472&gt;=01_因子設定!$L$7-0.000000001,F2472&lt;=01_因子設定!$M$7+0.000000001,IF(01_因子設定!$B$20="Box-Behnken",D2472^2+E2472^2+F2472^2&lt;=2+0.000000001,TRUE()))</f>
        <v>1</v>
      </c>
      <c r="W2472" s="55" t="n">
        <f aca="false">IF(V2472,IF(01_因子設定!$B$13="最大化",T2472-01_因子設定!$B$14,IF(01_因子設定!$B$13="最小化",01_因子設定!$B$15-U2472,MIN(T2472-01_因子設定!$B$14,01_因子設定!$B$15-U2472))),-1E+030)</f>
        <v>-2.66561313452667</v>
      </c>
      <c r="X2472" s="55" t="n">
        <f aca="false">IF(V2472,IF(01_因子設定!$B$13="最大化",Q2472,IF(01_因子設定!$B$13="最小化",-Q2472,-ABS(Q2472-01_因子設定!$B$16))),-1E+030)</f>
        <v>46.8685795454546</v>
      </c>
      <c r="Y2472" s="55" t="n">
        <f aca="false">W2472+ROW()*0.000000001</f>
        <v>-2.66561066252667</v>
      </c>
      <c r="Z2472" s="55" t="n">
        <f aca="false">X2472+ROW()*0.000000001</f>
        <v>46.8685820174546</v>
      </c>
    </row>
    <row r="2473" customFormat="false" ht="15" hidden="false" customHeight="false" outlineLevel="0" collapsed="false">
      <c r="A2473" s="0" t="n">
        <v>8</v>
      </c>
      <c r="B2473" s="0" t="n">
        <v>9</v>
      </c>
      <c r="C2473" s="0" t="n">
        <v>3</v>
      </c>
      <c r="D2473" s="0" t="n">
        <f aca="false">-1+A2473*0.125</f>
        <v>0</v>
      </c>
      <c r="E2473" s="0" t="n">
        <f aca="false">-1+B2473*0.125</f>
        <v>0.125</v>
      </c>
      <c r="F2473" s="0" t="n">
        <f aca="false">-1+C2473*0.125</f>
        <v>-0.625</v>
      </c>
      <c r="G2473" s="0" t="n">
        <f aca="false">1</f>
        <v>1</v>
      </c>
      <c r="H2473" s="0" t="n">
        <f aca="false">D2473</f>
        <v>0</v>
      </c>
      <c r="I2473" s="0" t="n">
        <f aca="false">E2473</f>
        <v>0.125</v>
      </c>
      <c r="J2473" s="0" t="n">
        <f aca="false">F2473</f>
        <v>-0.625</v>
      </c>
      <c r="K2473" s="0" t="n">
        <f aca="false">D2473*E2473</f>
        <v>0</v>
      </c>
      <c r="L2473" s="0" t="n">
        <f aca="false">D2473*F2473</f>
        <v>-0</v>
      </c>
      <c r="M2473" s="0" t="n">
        <f aca="false">E2473*F2473</f>
        <v>-0.078125</v>
      </c>
      <c r="N2473" s="0" t="n">
        <f aca="false">D2473*D2473</f>
        <v>0</v>
      </c>
      <c r="O2473" s="0" t="n">
        <f aca="false">E2473*E2473</f>
        <v>0.015625</v>
      </c>
      <c r="P2473" s="0" t="n">
        <f aca="false">F2473*F2473</f>
        <v>0.390625</v>
      </c>
      <c r="Q2473" s="0" t="n">
        <f aca="false">SUMPRODUCT(G2473:P2473,_XtX!$B$71:$K$71)</f>
        <v>47.2504545454546</v>
      </c>
      <c r="R2473" s="0" t="n">
        <f aca="false">SUMPRODUCT(MMULT(G2473:P2473,_XtX!$B$58:$K$67),G2473:P2473)</f>
        <v>0.17654862837358</v>
      </c>
      <c r="S2473" s="0" t="n">
        <f aca="false">04_回帰ANOVA!$K$19*04_回帰ANOVA!$K$14*SQRT(1+R2473)</f>
        <v>1.00848995543082</v>
      </c>
      <c r="T2473" s="0" t="n">
        <f aca="false">Q2473-S2473</f>
        <v>46.2419645900237</v>
      </c>
      <c r="U2473" s="0" t="n">
        <f aca="false">Q2473+S2473</f>
        <v>48.2589445008854</v>
      </c>
      <c r="V2473" s="54" t="b">
        <f aca="false">AND(D2473&gt;=01_因子設定!$L$5-0.000000001,D2473&lt;=01_因子設定!$M$5+0.000000001,E2473&gt;=01_因子設定!$L$6-0.000000001,E2473&lt;=01_因子設定!$M$6+0.000000001,F2473&gt;=01_因子設定!$L$7-0.000000001,F2473&lt;=01_因子設定!$M$7+0.000000001,IF(01_因子設定!$B$20="Box-Behnken",D2473^2+E2473^2+F2473^2&lt;=2+0.000000001,TRUE()))</f>
        <v>1</v>
      </c>
      <c r="W2473" s="55" t="n">
        <f aca="false">IF(V2473,IF(01_因子設定!$B$13="最大化",T2473-01_因子設定!$B$14,IF(01_因子設定!$B$13="最小化",01_因子設定!$B$15-U2473,MIN(T2473-01_因子設定!$B$14,01_因子設定!$B$15-U2473))),-1E+030)</f>
        <v>-2.25803540997627</v>
      </c>
      <c r="X2473" s="55" t="n">
        <f aca="false">IF(V2473,IF(01_因子設定!$B$13="最大化",Q2473,IF(01_因子設定!$B$13="最小化",-Q2473,-ABS(Q2473-01_因子設定!$B$16))),-1E+030)</f>
        <v>47.2504545454546</v>
      </c>
      <c r="Y2473" s="55" t="n">
        <f aca="false">W2473+ROW()*0.000000001</f>
        <v>-2.25803293697627</v>
      </c>
      <c r="Z2473" s="55" t="n">
        <f aca="false">X2473+ROW()*0.000000001</f>
        <v>47.2504570184546</v>
      </c>
    </row>
    <row r="2474" customFormat="false" ht="15" hidden="false" customHeight="false" outlineLevel="0" collapsed="false">
      <c r="A2474" s="0" t="n">
        <v>8</v>
      </c>
      <c r="B2474" s="0" t="n">
        <v>9</v>
      </c>
      <c r="C2474" s="0" t="n">
        <v>4</v>
      </c>
      <c r="D2474" s="0" t="n">
        <f aca="false">-1+A2474*0.125</f>
        <v>0</v>
      </c>
      <c r="E2474" s="0" t="n">
        <f aca="false">-1+B2474*0.125</f>
        <v>0.125</v>
      </c>
      <c r="F2474" s="0" t="n">
        <f aca="false">-1+C2474*0.125</f>
        <v>-0.5</v>
      </c>
      <c r="G2474" s="0" t="n">
        <f aca="false">1</f>
        <v>1</v>
      </c>
      <c r="H2474" s="0" t="n">
        <f aca="false">D2474</f>
        <v>0</v>
      </c>
      <c r="I2474" s="0" t="n">
        <f aca="false">E2474</f>
        <v>0.125</v>
      </c>
      <c r="J2474" s="0" t="n">
        <f aca="false">F2474</f>
        <v>-0.5</v>
      </c>
      <c r="K2474" s="0" t="n">
        <f aca="false">D2474*E2474</f>
        <v>0</v>
      </c>
      <c r="L2474" s="0" t="n">
        <f aca="false">D2474*F2474</f>
        <v>-0</v>
      </c>
      <c r="M2474" s="0" t="n">
        <f aca="false">E2474*F2474</f>
        <v>-0.0625</v>
      </c>
      <c r="N2474" s="0" t="n">
        <f aca="false">D2474*D2474</f>
        <v>0</v>
      </c>
      <c r="O2474" s="0" t="n">
        <f aca="false">E2474*E2474</f>
        <v>0.015625</v>
      </c>
      <c r="P2474" s="0" t="n">
        <f aca="false">F2474*F2474</f>
        <v>0.25</v>
      </c>
      <c r="Q2474" s="0" t="n">
        <f aca="false">SUMPRODUCT(G2474:P2474,_XtX!$B$71:$K$71)</f>
        <v>47.5955397727273</v>
      </c>
      <c r="R2474" s="0" t="n">
        <f aca="false">SUMPRODUCT(MMULT(G2474:P2474,_XtX!$B$58:$K$67),G2474:P2474)</f>
        <v>0.142835582386364</v>
      </c>
      <c r="S2474" s="0" t="n">
        <f aca="false">04_回帰ANOVA!$K$19*04_回帰ANOVA!$K$14*SQRT(1+R2474)</f>
        <v>0.993936210693193</v>
      </c>
      <c r="T2474" s="0" t="n">
        <f aca="false">Q2474-S2474</f>
        <v>46.6016035620341</v>
      </c>
      <c r="U2474" s="0" t="n">
        <f aca="false">Q2474+S2474</f>
        <v>48.5894759834205</v>
      </c>
      <c r="V2474" s="54" t="b">
        <f aca="false">AND(D2474&gt;=01_因子設定!$L$5-0.000000001,D2474&lt;=01_因子設定!$M$5+0.000000001,E2474&gt;=01_因子設定!$L$6-0.000000001,E2474&lt;=01_因子設定!$M$6+0.000000001,F2474&gt;=01_因子設定!$L$7-0.000000001,F2474&lt;=01_因子設定!$M$7+0.000000001,IF(01_因子設定!$B$20="Box-Behnken",D2474^2+E2474^2+F2474^2&lt;=2+0.000000001,TRUE()))</f>
        <v>1</v>
      </c>
      <c r="W2474" s="55" t="n">
        <f aca="false">IF(V2474,IF(01_因子設定!$B$13="最大化",T2474-01_因子設定!$B$14,IF(01_因子設定!$B$13="最小化",01_因子設定!$B$15-U2474,MIN(T2474-01_因子設定!$B$14,01_因子設定!$B$15-U2474))),-1E+030)</f>
        <v>-1.89839643796591</v>
      </c>
      <c r="X2474" s="55" t="n">
        <f aca="false">IF(V2474,IF(01_因子設定!$B$13="最大化",Q2474,IF(01_因子設定!$B$13="最小化",-Q2474,-ABS(Q2474-01_因子設定!$B$16))),-1E+030)</f>
        <v>47.5955397727273</v>
      </c>
      <c r="Y2474" s="55" t="n">
        <f aca="false">W2474+ROW()*0.000000001</f>
        <v>-1.89839396396591</v>
      </c>
      <c r="Z2474" s="55" t="n">
        <f aca="false">X2474+ROW()*0.000000001</f>
        <v>47.5955422467273</v>
      </c>
    </row>
    <row r="2475" customFormat="false" ht="15" hidden="false" customHeight="false" outlineLevel="0" collapsed="false">
      <c r="A2475" s="0" t="n">
        <v>8</v>
      </c>
      <c r="B2475" s="0" t="n">
        <v>9</v>
      </c>
      <c r="C2475" s="0" t="n">
        <v>5</v>
      </c>
      <c r="D2475" s="0" t="n">
        <f aca="false">-1+A2475*0.125</f>
        <v>0</v>
      </c>
      <c r="E2475" s="0" t="n">
        <f aca="false">-1+B2475*0.125</f>
        <v>0.125</v>
      </c>
      <c r="F2475" s="0" t="n">
        <f aca="false">-1+C2475*0.125</f>
        <v>-0.375</v>
      </c>
      <c r="G2475" s="0" t="n">
        <f aca="false">1</f>
        <v>1</v>
      </c>
      <c r="H2475" s="0" t="n">
        <f aca="false">D2475</f>
        <v>0</v>
      </c>
      <c r="I2475" s="0" t="n">
        <f aca="false">E2475</f>
        <v>0.125</v>
      </c>
      <c r="J2475" s="0" t="n">
        <f aca="false">F2475</f>
        <v>-0.375</v>
      </c>
      <c r="K2475" s="0" t="n">
        <f aca="false">D2475*E2475</f>
        <v>0</v>
      </c>
      <c r="L2475" s="0" t="n">
        <f aca="false">D2475*F2475</f>
        <v>-0</v>
      </c>
      <c r="M2475" s="0" t="n">
        <f aca="false">E2475*F2475</f>
        <v>-0.046875</v>
      </c>
      <c r="N2475" s="0" t="n">
        <f aca="false">D2475*D2475</f>
        <v>0</v>
      </c>
      <c r="O2475" s="0" t="n">
        <f aca="false">E2475*E2475</f>
        <v>0.015625</v>
      </c>
      <c r="P2475" s="0" t="n">
        <f aca="false">F2475*F2475</f>
        <v>0.140625</v>
      </c>
      <c r="Q2475" s="0" t="n">
        <f aca="false">SUMPRODUCT(G2475:P2475,_XtX!$B$71:$K$71)</f>
        <v>47.9038352272727</v>
      </c>
      <c r="R2475" s="0" t="n">
        <f aca="false">SUMPRODUCT(MMULT(G2475:P2475,_XtX!$B$58:$K$67),G2475:P2475)</f>
        <v>0.126557506214489</v>
      </c>
      <c r="S2475" s="0" t="n">
        <f aca="false">04_回帰ANOVA!$K$19*04_回帰ANOVA!$K$14*SQRT(1+R2475)</f>
        <v>0.986832215747321</v>
      </c>
      <c r="T2475" s="0" t="n">
        <f aca="false">Q2475-S2475</f>
        <v>46.9170030115254</v>
      </c>
      <c r="U2475" s="0" t="n">
        <f aca="false">Q2475+S2475</f>
        <v>48.8906674430201</v>
      </c>
      <c r="V2475" s="54" t="b">
        <f aca="false">AND(D2475&gt;=01_因子設定!$L$5-0.000000001,D2475&lt;=01_因子設定!$M$5+0.000000001,E2475&gt;=01_因子設定!$L$6-0.000000001,E2475&lt;=01_因子設定!$M$6+0.000000001,F2475&gt;=01_因子設定!$L$7-0.000000001,F2475&lt;=01_因子設定!$M$7+0.000000001,IF(01_因子設定!$B$20="Box-Behnken",D2475^2+E2475^2+F2475^2&lt;=2+0.000000001,TRUE()))</f>
        <v>1</v>
      </c>
      <c r="W2475" s="55" t="n">
        <f aca="false">IF(V2475,IF(01_因子設定!$B$13="最大化",T2475-01_因子設定!$B$14,IF(01_因子設定!$B$13="最小化",01_因子設定!$B$15-U2475,MIN(T2475-01_因子設定!$B$14,01_因子設定!$B$15-U2475))),-1E+030)</f>
        <v>-1.58299698847458</v>
      </c>
      <c r="X2475" s="55" t="n">
        <f aca="false">IF(V2475,IF(01_因子設定!$B$13="最大化",Q2475,IF(01_因子設定!$B$13="最小化",-Q2475,-ABS(Q2475-01_因子設定!$B$16))),-1E+030)</f>
        <v>47.9038352272727</v>
      </c>
      <c r="Y2475" s="55" t="n">
        <f aca="false">W2475+ROW()*0.000000001</f>
        <v>-1.58299451347458</v>
      </c>
      <c r="Z2475" s="55" t="n">
        <f aca="false">X2475+ROW()*0.000000001</f>
        <v>47.9038377022727</v>
      </c>
    </row>
    <row r="2476" customFormat="false" ht="15" hidden="false" customHeight="false" outlineLevel="0" collapsed="false">
      <c r="A2476" s="0" t="n">
        <v>8</v>
      </c>
      <c r="B2476" s="0" t="n">
        <v>9</v>
      </c>
      <c r="C2476" s="0" t="n">
        <v>6</v>
      </c>
      <c r="D2476" s="0" t="n">
        <f aca="false">-1+A2476*0.125</f>
        <v>0</v>
      </c>
      <c r="E2476" s="0" t="n">
        <f aca="false">-1+B2476*0.125</f>
        <v>0.125</v>
      </c>
      <c r="F2476" s="0" t="n">
        <f aca="false">-1+C2476*0.125</f>
        <v>-0.25</v>
      </c>
      <c r="G2476" s="0" t="n">
        <f aca="false">1</f>
        <v>1</v>
      </c>
      <c r="H2476" s="0" t="n">
        <f aca="false">D2476</f>
        <v>0</v>
      </c>
      <c r="I2476" s="0" t="n">
        <f aca="false">E2476</f>
        <v>0.125</v>
      </c>
      <c r="J2476" s="0" t="n">
        <f aca="false">F2476</f>
        <v>-0.25</v>
      </c>
      <c r="K2476" s="0" t="n">
        <f aca="false">D2476*E2476</f>
        <v>0</v>
      </c>
      <c r="L2476" s="0" t="n">
        <f aca="false">D2476*F2476</f>
        <v>-0</v>
      </c>
      <c r="M2476" s="0" t="n">
        <f aca="false">E2476*F2476</f>
        <v>-0.03125</v>
      </c>
      <c r="N2476" s="0" t="n">
        <f aca="false">D2476*D2476</f>
        <v>0</v>
      </c>
      <c r="O2476" s="0" t="n">
        <f aca="false">E2476*E2476</f>
        <v>0.015625</v>
      </c>
      <c r="P2476" s="0" t="n">
        <f aca="false">F2476*F2476</f>
        <v>0.0625</v>
      </c>
      <c r="Q2476" s="0" t="n">
        <f aca="false">SUMPRODUCT(G2476:P2476,_XtX!$B$71:$K$71)</f>
        <v>48.1753409090909</v>
      </c>
      <c r="R2476" s="0" t="n">
        <f aca="false">SUMPRODUCT(MMULT(G2476:P2476,_XtX!$B$58:$K$67),G2476:P2476)</f>
        <v>0.120257013494318</v>
      </c>
      <c r="S2476" s="0" t="n">
        <f aca="false">04_回帰ANOVA!$K$19*04_回帰ANOVA!$K$14*SQRT(1+R2476)</f>
        <v>0.984068820741811</v>
      </c>
      <c r="T2476" s="0" t="n">
        <f aca="false">Q2476-S2476</f>
        <v>47.1912720883491</v>
      </c>
      <c r="U2476" s="0" t="n">
        <f aca="false">Q2476+S2476</f>
        <v>49.1594097298327</v>
      </c>
      <c r="V2476" s="54" t="b">
        <f aca="false">AND(D2476&gt;=01_因子設定!$L$5-0.000000001,D2476&lt;=01_因子設定!$M$5+0.000000001,E2476&gt;=01_因子設定!$L$6-0.000000001,E2476&lt;=01_因子設定!$M$6+0.000000001,F2476&gt;=01_因子設定!$L$7-0.000000001,F2476&lt;=01_因子設定!$M$7+0.000000001,IF(01_因子設定!$B$20="Box-Behnken",D2476^2+E2476^2+F2476^2&lt;=2+0.000000001,TRUE()))</f>
        <v>1</v>
      </c>
      <c r="W2476" s="55" t="n">
        <f aca="false">IF(V2476,IF(01_因子設定!$B$13="最大化",T2476-01_因子設定!$B$14,IF(01_因子設定!$B$13="最小化",01_因子設定!$B$15-U2476,MIN(T2476-01_因子設定!$B$14,01_因子設定!$B$15-U2476))),-1E+030)</f>
        <v>-1.30872791165089</v>
      </c>
      <c r="X2476" s="55" t="n">
        <f aca="false">IF(V2476,IF(01_因子設定!$B$13="最大化",Q2476,IF(01_因子設定!$B$13="最小化",-Q2476,-ABS(Q2476-01_因子設定!$B$16))),-1E+030)</f>
        <v>48.1753409090909</v>
      </c>
      <c r="Y2476" s="55" t="n">
        <f aca="false">W2476+ROW()*0.000000001</f>
        <v>-1.30872543565089</v>
      </c>
      <c r="Z2476" s="55" t="n">
        <f aca="false">X2476+ROW()*0.000000001</f>
        <v>48.1753433850909</v>
      </c>
    </row>
    <row r="2477" customFormat="false" ht="15" hidden="false" customHeight="false" outlineLevel="0" collapsed="false">
      <c r="A2477" s="0" t="n">
        <v>8</v>
      </c>
      <c r="B2477" s="0" t="n">
        <v>9</v>
      </c>
      <c r="C2477" s="0" t="n">
        <v>7</v>
      </c>
      <c r="D2477" s="0" t="n">
        <f aca="false">-1+A2477*0.125</f>
        <v>0</v>
      </c>
      <c r="E2477" s="0" t="n">
        <f aca="false">-1+B2477*0.125</f>
        <v>0.125</v>
      </c>
      <c r="F2477" s="0" t="n">
        <f aca="false">-1+C2477*0.125</f>
        <v>-0.125</v>
      </c>
      <c r="G2477" s="0" t="n">
        <f aca="false">1</f>
        <v>1</v>
      </c>
      <c r="H2477" s="0" t="n">
        <f aca="false">D2477</f>
        <v>0</v>
      </c>
      <c r="I2477" s="0" t="n">
        <f aca="false">E2477</f>
        <v>0.125</v>
      </c>
      <c r="J2477" s="0" t="n">
        <f aca="false">F2477</f>
        <v>-0.125</v>
      </c>
      <c r="K2477" s="0" t="n">
        <f aca="false">D2477*E2477</f>
        <v>0</v>
      </c>
      <c r="L2477" s="0" t="n">
        <f aca="false">D2477*F2477</f>
        <v>-0</v>
      </c>
      <c r="M2477" s="0" t="n">
        <f aca="false">E2477*F2477</f>
        <v>-0.015625</v>
      </c>
      <c r="N2477" s="0" t="n">
        <f aca="false">D2477*D2477</f>
        <v>0</v>
      </c>
      <c r="O2477" s="0" t="n">
        <f aca="false">E2477*E2477</f>
        <v>0.015625</v>
      </c>
      <c r="P2477" s="0" t="n">
        <f aca="false">F2477*F2477</f>
        <v>0.015625</v>
      </c>
      <c r="Q2477" s="0" t="n">
        <f aca="false">SUMPRODUCT(G2477:P2477,_XtX!$B$71:$K$71)</f>
        <v>48.4100568181818</v>
      </c>
      <c r="R2477" s="0" t="n">
        <f aca="false">SUMPRODUCT(MMULT(G2477:P2477,_XtX!$B$58:$K$67),G2477:P2477)</f>
        <v>0.118607399680398</v>
      </c>
      <c r="S2477" s="0" t="n">
        <f aca="false">04_回帰ANOVA!$K$19*04_回帰ANOVA!$K$14*SQRT(1+R2477)</f>
        <v>0.983344017619025</v>
      </c>
      <c r="T2477" s="0" t="n">
        <f aca="false">Q2477-S2477</f>
        <v>47.4267128005628</v>
      </c>
      <c r="U2477" s="0" t="n">
        <f aca="false">Q2477+S2477</f>
        <v>49.3934008358009</v>
      </c>
      <c r="V2477" s="54" t="b">
        <f aca="false">AND(D2477&gt;=01_因子設定!$L$5-0.000000001,D2477&lt;=01_因子設定!$M$5+0.000000001,E2477&gt;=01_因子設定!$L$6-0.000000001,E2477&lt;=01_因子設定!$M$6+0.000000001,F2477&gt;=01_因子設定!$L$7-0.000000001,F2477&lt;=01_因子設定!$M$7+0.000000001,IF(01_因子設定!$B$20="Box-Behnken",D2477^2+E2477^2+F2477^2&lt;=2+0.000000001,TRUE()))</f>
        <v>1</v>
      </c>
      <c r="W2477" s="55" t="n">
        <f aca="false">IF(V2477,IF(01_因子設定!$B$13="最大化",T2477-01_因子設定!$B$14,IF(01_因子設定!$B$13="最小化",01_因子設定!$B$15-U2477,MIN(T2477-01_因子設定!$B$14,01_因子設定!$B$15-U2477))),-1E+030)</f>
        <v>-1.0732871994372</v>
      </c>
      <c r="X2477" s="55" t="n">
        <f aca="false">IF(V2477,IF(01_因子設定!$B$13="最大化",Q2477,IF(01_因子設定!$B$13="最小化",-Q2477,-ABS(Q2477-01_因子設定!$B$16))),-1E+030)</f>
        <v>48.4100568181818</v>
      </c>
      <c r="Y2477" s="55" t="n">
        <f aca="false">W2477+ROW()*0.000000001</f>
        <v>-1.0732847224372</v>
      </c>
      <c r="Z2477" s="55" t="n">
        <f aca="false">X2477+ROW()*0.000000001</f>
        <v>48.4100592951818</v>
      </c>
    </row>
    <row r="2478" customFormat="false" ht="15" hidden="false" customHeight="false" outlineLevel="0" collapsed="false">
      <c r="A2478" s="0" t="n">
        <v>8</v>
      </c>
      <c r="B2478" s="0" t="n">
        <v>9</v>
      </c>
      <c r="C2478" s="0" t="n">
        <v>8</v>
      </c>
      <c r="D2478" s="0" t="n">
        <f aca="false">-1+A2478*0.125</f>
        <v>0</v>
      </c>
      <c r="E2478" s="0" t="n">
        <f aca="false">-1+B2478*0.125</f>
        <v>0.125</v>
      </c>
      <c r="F2478" s="0" t="n">
        <f aca="false">-1+C2478*0.125</f>
        <v>0</v>
      </c>
      <c r="G2478" s="0" t="n">
        <f aca="false">1</f>
        <v>1</v>
      </c>
      <c r="H2478" s="0" t="n">
        <f aca="false">D2478</f>
        <v>0</v>
      </c>
      <c r="I2478" s="0" t="n">
        <f aca="false">E2478</f>
        <v>0.125</v>
      </c>
      <c r="J2478" s="0" t="n">
        <f aca="false">F2478</f>
        <v>0</v>
      </c>
      <c r="K2478" s="0" t="n">
        <f aca="false">D2478*E2478</f>
        <v>0</v>
      </c>
      <c r="L2478" s="0" t="n">
        <f aca="false">D2478*F2478</f>
        <v>0</v>
      </c>
      <c r="M2478" s="0" t="n">
        <f aca="false">E2478*F2478</f>
        <v>0</v>
      </c>
      <c r="N2478" s="0" t="n">
        <f aca="false">D2478*D2478</f>
        <v>0</v>
      </c>
      <c r="O2478" s="0" t="n">
        <f aca="false">E2478*E2478</f>
        <v>0.015625</v>
      </c>
      <c r="P2478" s="0" t="n">
        <f aca="false">F2478*F2478</f>
        <v>0</v>
      </c>
      <c r="Q2478" s="0" t="n">
        <f aca="false">SUMPRODUCT(G2478:P2478,_XtX!$B$71:$K$71)</f>
        <v>48.6079829545455</v>
      </c>
      <c r="R2478" s="0" t="n">
        <f aca="false">SUMPRODUCT(MMULT(G2478:P2478,_XtX!$B$58:$K$67),G2478:P2478)</f>
        <v>0.118412642045455</v>
      </c>
      <c r="S2478" s="0" t="n">
        <f aca="false">04_回帰ANOVA!$K$19*04_回帰ANOVA!$K$14*SQRT(1+R2478)</f>
        <v>0.983258410241508</v>
      </c>
      <c r="T2478" s="0" t="n">
        <f aca="false">Q2478-S2478</f>
        <v>47.624724544304</v>
      </c>
      <c r="U2478" s="0" t="n">
        <f aca="false">Q2478+S2478</f>
        <v>49.591241364787</v>
      </c>
      <c r="V2478" s="54" t="b">
        <f aca="false">AND(D2478&gt;=01_因子設定!$L$5-0.000000001,D2478&lt;=01_因子設定!$M$5+0.000000001,E2478&gt;=01_因子設定!$L$6-0.000000001,E2478&lt;=01_因子設定!$M$6+0.000000001,F2478&gt;=01_因子設定!$L$7-0.000000001,F2478&lt;=01_因子設定!$M$7+0.000000001,IF(01_因子設定!$B$20="Box-Behnken",D2478^2+E2478^2+F2478^2&lt;=2+0.000000001,TRUE()))</f>
        <v>1</v>
      </c>
      <c r="W2478" s="55" t="n">
        <f aca="false">IF(V2478,IF(01_因子設定!$B$13="最大化",T2478-01_因子設定!$B$14,IF(01_因子設定!$B$13="最小化",01_因子設定!$B$15-U2478,MIN(T2478-01_因子設定!$B$14,01_因子設定!$B$15-U2478))),-1E+030)</f>
        <v>-0.875275455696048</v>
      </c>
      <c r="X2478" s="55" t="n">
        <f aca="false">IF(V2478,IF(01_因子設定!$B$13="最大化",Q2478,IF(01_因子設定!$B$13="最小化",-Q2478,-ABS(Q2478-01_因子設定!$B$16))),-1E+030)</f>
        <v>48.6079829545455</v>
      </c>
      <c r="Y2478" s="55" t="n">
        <f aca="false">W2478+ROW()*0.000000001</f>
        <v>-0.875272977696048</v>
      </c>
      <c r="Z2478" s="55" t="n">
        <f aca="false">X2478+ROW()*0.000000001</f>
        <v>48.6079854325455</v>
      </c>
    </row>
    <row r="2479" customFormat="false" ht="15" hidden="false" customHeight="false" outlineLevel="0" collapsed="false">
      <c r="A2479" s="0" t="n">
        <v>8</v>
      </c>
      <c r="B2479" s="0" t="n">
        <v>9</v>
      </c>
      <c r="C2479" s="0" t="n">
        <v>9</v>
      </c>
      <c r="D2479" s="0" t="n">
        <f aca="false">-1+A2479*0.125</f>
        <v>0</v>
      </c>
      <c r="E2479" s="0" t="n">
        <f aca="false">-1+B2479*0.125</f>
        <v>0.125</v>
      </c>
      <c r="F2479" s="0" t="n">
        <f aca="false">-1+C2479*0.125</f>
        <v>0.125</v>
      </c>
      <c r="G2479" s="0" t="n">
        <f aca="false">1</f>
        <v>1</v>
      </c>
      <c r="H2479" s="0" t="n">
        <f aca="false">D2479</f>
        <v>0</v>
      </c>
      <c r="I2479" s="0" t="n">
        <f aca="false">E2479</f>
        <v>0.125</v>
      </c>
      <c r="J2479" s="0" t="n">
        <f aca="false">F2479</f>
        <v>0.125</v>
      </c>
      <c r="K2479" s="0" t="n">
        <f aca="false">D2479*E2479</f>
        <v>0</v>
      </c>
      <c r="L2479" s="0" t="n">
        <f aca="false">D2479*F2479</f>
        <v>0</v>
      </c>
      <c r="M2479" s="0" t="n">
        <f aca="false">E2479*F2479</f>
        <v>0.015625</v>
      </c>
      <c r="N2479" s="0" t="n">
        <f aca="false">D2479*D2479</f>
        <v>0</v>
      </c>
      <c r="O2479" s="0" t="n">
        <f aca="false">E2479*E2479</f>
        <v>0.015625</v>
      </c>
      <c r="P2479" s="0" t="n">
        <f aca="false">F2479*F2479</f>
        <v>0.015625</v>
      </c>
      <c r="Q2479" s="0" t="n">
        <f aca="false">SUMPRODUCT(G2479:P2479,_XtX!$B$71:$K$71)</f>
        <v>48.7691193181818</v>
      </c>
      <c r="R2479" s="0" t="n">
        <f aca="false">SUMPRODUCT(MMULT(G2479:P2479,_XtX!$B$58:$K$67),G2479:P2479)</f>
        <v>0.118607399680398</v>
      </c>
      <c r="S2479" s="0" t="n">
        <f aca="false">04_回帰ANOVA!$K$19*04_回帰ANOVA!$K$14*SQRT(1+R2479)</f>
        <v>0.983344017619025</v>
      </c>
      <c r="T2479" s="0" t="n">
        <f aca="false">Q2479-S2479</f>
        <v>47.7857753005628</v>
      </c>
      <c r="U2479" s="0" t="n">
        <f aca="false">Q2479+S2479</f>
        <v>49.7524633358009</v>
      </c>
      <c r="V2479" s="54" t="b">
        <f aca="false">AND(D2479&gt;=01_因子設定!$L$5-0.000000001,D2479&lt;=01_因子設定!$M$5+0.000000001,E2479&gt;=01_因子設定!$L$6-0.000000001,E2479&lt;=01_因子設定!$M$6+0.000000001,F2479&gt;=01_因子設定!$L$7-0.000000001,F2479&lt;=01_因子設定!$M$7+0.000000001,IF(01_因子設定!$B$20="Box-Behnken",D2479^2+E2479^2+F2479^2&lt;=2+0.000000001,TRUE()))</f>
        <v>1</v>
      </c>
      <c r="W2479" s="55" t="n">
        <f aca="false">IF(V2479,IF(01_因子設定!$B$13="最大化",T2479-01_因子設定!$B$14,IF(01_因子設定!$B$13="最小化",01_因子設定!$B$15-U2479,MIN(T2479-01_因子設定!$B$14,01_因子設定!$B$15-U2479))),-1E+030)</f>
        <v>-0.714224699437196</v>
      </c>
      <c r="X2479" s="55" t="n">
        <f aca="false">IF(V2479,IF(01_因子設定!$B$13="最大化",Q2479,IF(01_因子設定!$B$13="最小化",-Q2479,-ABS(Q2479-01_因子設定!$B$16))),-1E+030)</f>
        <v>48.7691193181818</v>
      </c>
      <c r="Y2479" s="55" t="n">
        <f aca="false">W2479+ROW()*0.000000001</f>
        <v>-0.714222220437196</v>
      </c>
      <c r="Z2479" s="55" t="n">
        <f aca="false">X2479+ROW()*0.000000001</f>
        <v>48.7691217971818</v>
      </c>
    </row>
    <row r="2480" customFormat="false" ht="15" hidden="false" customHeight="false" outlineLevel="0" collapsed="false">
      <c r="A2480" s="0" t="n">
        <v>8</v>
      </c>
      <c r="B2480" s="0" t="n">
        <v>9</v>
      </c>
      <c r="C2480" s="0" t="n">
        <v>10</v>
      </c>
      <c r="D2480" s="0" t="n">
        <f aca="false">-1+A2480*0.125</f>
        <v>0</v>
      </c>
      <c r="E2480" s="0" t="n">
        <f aca="false">-1+B2480*0.125</f>
        <v>0.125</v>
      </c>
      <c r="F2480" s="0" t="n">
        <f aca="false">-1+C2480*0.125</f>
        <v>0.25</v>
      </c>
      <c r="G2480" s="0" t="n">
        <f aca="false">1</f>
        <v>1</v>
      </c>
      <c r="H2480" s="0" t="n">
        <f aca="false">D2480</f>
        <v>0</v>
      </c>
      <c r="I2480" s="0" t="n">
        <f aca="false">E2480</f>
        <v>0.125</v>
      </c>
      <c r="J2480" s="0" t="n">
        <f aca="false">F2480</f>
        <v>0.25</v>
      </c>
      <c r="K2480" s="0" t="n">
        <f aca="false">D2480*E2480</f>
        <v>0</v>
      </c>
      <c r="L2480" s="0" t="n">
        <f aca="false">D2480*F2480</f>
        <v>0</v>
      </c>
      <c r="M2480" s="0" t="n">
        <f aca="false">E2480*F2480</f>
        <v>0.03125</v>
      </c>
      <c r="N2480" s="0" t="n">
        <f aca="false">D2480*D2480</f>
        <v>0</v>
      </c>
      <c r="O2480" s="0" t="n">
        <f aca="false">E2480*E2480</f>
        <v>0.015625</v>
      </c>
      <c r="P2480" s="0" t="n">
        <f aca="false">F2480*F2480</f>
        <v>0.0625</v>
      </c>
      <c r="Q2480" s="0" t="n">
        <f aca="false">SUMPRODUCT(G2480:P2480,_XtX!$B$71:$K$71)</f>
        <v>48.8934659090909</v>
      </c>
      <c r="R2480" s="0" t="n">
        <f aca="false">SUMPRODUCT(MMULT(G2480:P2480,_XtX!$B$58:$K$67),G2480:P2480)</f>
        <v>0.120257013494318</v>
      </c>
      <c r="S2480" s="0" t="n">
        <f aca="false">04_回帰ANOVA!$K$19*04_回帰ANOVA!$K$14*SQRT(1+R2480)</f>
        <v>0.984068820741811</v>
      </c>
      <c r="T2480" s="0" t="n">
        <f aca="false">Q2480-S2480</f>
        <v>47.9093970883491</v>
      </c>
      <c r="U2480" s="0" t="n">
        <f aca="false">Q2480+S2480</f>
        <v>49.8775347298327</v>
      </c>
      <c r="V2480" s="54" t="b">
        <f aca="false">AND(D2480&gt;=01_因子設定!$L$5-0.000000001,D2480&lt;=01_因子設定!$M$5+0.000000001,E2480&gt;=01_因子設定!$L$6-0.000000001,E2480&lt;=01_因子設定!$M$6+0.000000001,F2480&gt;=01_因子設定!$L$7-0.000000001,F2480&lt;=01_因子設定!$M$7+0.000000001,IF(01_因子設定!$B$20="Box-Behnken",D2480^2+E2480^2+F2480^2&lt;=2+0.000000001,TRUE()))</f>
        <v>1</v>
      </c>
      <c r="W2480" s="55" t="n">
        <f aca="false">IF(V2480,IF(01_因子設定!$B$13="最大化",T2480-01_因子設定!$B$14,IF(01_因子設定!$B$13="最小化",01_因子設定!$B$15-U2480,MIN(T2480-01_因子設定!$B$14,01_因子設定!$B$15-U2480))),-1E+030)</f>
        <v>-0.59060291165089</v>
      </c>
      <c r="X2480" s="55" t="n">
        <f aca="false">IF(V2480,IF(01_因子設定!$B$13="最大化",Q2480,IF(01_因子設定!$B$13="最小化",-Q2480,-ABS(Q2480-01_因子設定!$B$16))),-1E+030)</f>
        <v>48.8934659090909</v>
      </c>
      <c r="Y2480" s="55" t="n">
        <f aca="false">W2480+ROW()*0.000000001</f>
        <v>-0.59060043165089</v>
      </c>
      <c r="Z2480" s="55" t="n">
        <f aca="false">X2480+ROW()*0.000000001</f>
        <v>48.8934683890909</v>
      </c>
    </row>
    <row r="2481" customFormat="false" ht="15" hidden="false" customHeight="false" outlineLevel="0" collapsed="false">
      <c r="A2481" s="0" t="n">
        <v>8</v>
      </c>
      <c r="B2481" s="0" t="n">
        <v>9</v>
      </c>
      <c r="C2481" s="0" t="n">
        <v>11</v>
      </c>
      <c r="D2481" s="0" t="n">
        <f aca="false">-1+A2481*0.125</f>
        <v>0</v>
      </c>
      <c r="E2481" s="0" t="n">
        <f aca="false">-1+B2481*0.125</f>
        <v>0.125</v>
      </c>
      <c r="F2481" s="0" t="n">
        <f aca="false">-1+C2481*0.125</f>
        <v>0.375</v>
      </c>
      <c r="G2481" s="0" t="n">
        <f aca="false">1</f>
        <v>1</v>
      </c>
      <c r="H2481" s="0" t="n">
        <f aca="false">D2481</f>
        <v>0</v>
      </c>
      <c r="I2481" s="0" t="n">
        <f aca="false">E2481</f>
        <v>0.125</v>
      </c>
      <c r="J2481" s="0" t="n">
        <f aca="false">F2481</f>
        <v>0.375</v>
      </c>
      <c r="K2481" s="0" t="n">
        <f aca="false">D2481*E2481</f>
        <v>0</v>
      </c>
      <c r="L2481" s="0" t="n">
        <f aca="false">D2481*F2481</f>
        <v>0</v>
      </c>
      <c r="M2481" s="0" t="n">
        <f aca="false">E2481*F2481</f>
        <v>0.046875</v>
      </c>
      <c r="N2481" s="0" t="n">
        <f aca="false">D2481*D2481</f>
        <v>0</v>
      </c>
      <c r="O2481" s="0" t="n">
        <f aca="false">E2481*E2481</f>
        <v>0.015625</v>
      </c>
      <c r="P2481" s="0" t="n">
        <f aca="false">F2481*F2481</f>
        <v>0.140625</v>
      </c>
      <c r="Q2481" s="0" t="n">
        <f aca="false">SUMPRODUCT(G2481:P2481,_XtX!$B$71:$K$71)</f>
        <v>48.9810227272727</v>
      </c>
      <c r="R2481" s="0" t="n">
        <f aca="false">SUMPRODUCT(MMULT(G2481:P2481,_XtX!$B$58:$K$67),G2481:P2481)</f>
        <v>0.126557506214489</v>
      </c>
      <c r="S2481" s="0" t="n">
        <f aca="false">04_回帰ANOVA!$K$19*04_回帰ANOVA!$K$14*SQRT(1+R2481)</f>
        <v>0.986832215747321</v>
      </c>
      <c r="T2481" s="0" t="n">
        <f aca="false">Q2481-S2481</f>
        <v>47.9941905115254</v>
      </c>
      <c r="U2481" s="0" t="n">
        <f aca="false">Q2481+S2481</f>
        <v>49.9678549430201</v>
      </c>
      <c r="V2481" s="54" t="b">
        <f aca="false">AND(D2481&gt;=01_因子設定!$L$5-0.000000001,D2481&lt;=01_因子設定!$M$5+0.000000001,E2481&gt;=01_因子設定!$L$6-0.000000001,E2481&lt;=01_因子設定!$M$6+0.000000001,F2481&gt;=01_因子設定!$L$7-0.000000001,F2481&lt;=01_因子設定!$M$7+0.000000001,IF(01_因子設定!$B$20="Box-Behnken",D2481^2+E2481^2+F2481^2&lt;=2+0.000000001,TRUE()))</f>
        <v>1</v>
      </c>
      <c r="W2481" s="55" t="n">
        <f aca="false">IF(V2481,IF(01_因子設定!$B$13="最大化",T2481-01_因子設定!$B$14,IF(01_因子設定!$B$13="最小化",01_因子設定!$B$15-U2481,MIN(T2481-01_因子設定!$B$14,01_因子設定!$B$15-U2481))),-1E+030)</f>
        <v>-0.505809488474583</v>
      </c>
      <c r="X2481" s="55" t="n">
        <f aca="false">IF(V2481,IF(01_因子設定!$B$13="最大化",Q2481,IF(01_因子設定!$B$13="最小化",-Q2481,-ABS(Q2481-01_因子設定!$B$16))),-1E+030)</f>
        <v>48.9810227272727</v>
      </c>
      <c r="Y2481" s="55" t="n">
        <f aca="false">W2481+ROW()*0.000000001</f>
        <v>-0.505807007474583</v>
      </c>
      <c r="Z2481" s="55" t="n">
        <f aca="false">X2481+ROW()*0.000000001</f>
        <v>48.9810252082727</v>
      </c>
    </row>
    <row r="2482" customFormat="false" ht="15" hidden="false" customHeight="false" outlineLevel="0" collapsed="false">
      <c r="A2482" s="0" t="n">
        <v>8</v>
      </c>
      <c r="B2482" s="0" t="n">
        <v>9</v>
      </c>
      <c r="C2482" s="0" t="n">
        <v>12</v>
      </c>
      <c r="D2482" s="0" t="n">
        <f aca="false">-1+A2482*0.125</f>
        <v>0</v>
      </c>
      <c r="E2482" s="0" t="n">
        <f aca="false">-1+B2482*0.125</f>
        <v>0.125</v>
      </c>
      <c r="F2482" s="0" t="n">
        <f aca="false">-1+C2482*0.125</f>
        <v>0.5</v>
      </c>
      <c r="G2482" s="0" t="n">
        <f aca="false">1</f>
        <v>1</v>
      </c>
      <c r="H2482" s="0" t="n">
        <f aca="false">D2482</f>
        <v>0</v>
      </c>
      <c r="I2482" s="0" t="n">
        <f aca="false">E2482</f>
        <v>0.125</v>
      </c>
      <c r="J2482" s="0" t="n">
        <f aca="false">F2482</f>
        <v>0.5</v>
      </c>
      <c r="K2482" s="0" t="n">
        <f aca="false">D2482*E2482</f>
        <v>0</v>
      </c>
      <c r="L2482" s="0" t="n">
        <f aca="false">D2482*F2482</f>
        <v>0</v>
      </c>
      <c r="M2482" s="0" t="n">
        <f aca="false">E2482*F2482</f>
        <v>0.0625</v>
      </c>
      <c r="N2482" s="0" t="n">
        <f aca="false">D2482*D2482</f>
        <v>0</v>
      </c>
      <c r="O2482" s="0" t="n">
        <f aca="false">E2482*E2482</f>
        <v>0.015625</v>
      </c>
      <c r="P2482" s="0" t="n">
        <f aca="false">F2482*F2482</f>
        <v>0.25</v>
      </c>
      <c r="Q2482" s="0" t="n">
        <f aca="false">SUMPRODUCT(G2482:P2482,_XtX!$B$71:$K$71)</f>
        <v>49.0317897727273</v>
      </c>
      <c r="R2482" s="0" t="n">
        <f aca="false">SUMPRODUCT(MMULT(G2482:P2482,_XtX!$B$58:$K$67),G2482:P2482)</f>
        <v>0.142835582386364</v>
      </c>
      <c r="S2482" s="0" t="n">
        <f aca="false">04_回帰ANOVA!$K$19*04_回帰ANOVA!$K$14*SQRT(1+R2482)</f>
        <v>0.993936210693193</v>
      </c>
      <c r="T2482" s="0" t="n">
        <f aca="false">Q2482-S2482</f>
        <v>48.0378535620341</v>
      </c>
      <c r="U2482" s="0" t="n">
        <f aca="false">Q2482+S2482</f>
        <v>50.0257259834205</v>
      </c>
      <c r="V2482" s="54" t="b">
        <f aca="false">AND(D2482&gt;=01_因子設定!$L$5-0.000000001,D2482&lt;=01_因子設定!$M$5+0.000000001,E2482&gt;=01_因子設定!$L$6-0.000000001,E2482&lt;=01_因子設定!$M$6+0.000000001,F2482&gt;=01_因子設定!$L$7-0.000000001,F2482&lt;=01_因子設定!$M$7+0.000000001,IF(01_因子設定!$B$20="Box-Behnken",D2482^2+E2482^2+F2482^2&lt;=2+0.000000001,TRUE()))</f>
        <v>1</v>
      </c>
      <c r="W2482" s="55" t="n">
        <f aca="false">IF(V2482,IF(01_因子設定!$B$13="最大化",T2482-01_因子設定!$B$14,IF(01_因子設定!$B$13="最小化",01_因子設定!$B$15-U2482,MIN(T2482-01_因子設定!$B$14,01_因子設定!$B$15-U2482))),-1E+030)</f>
        <v>-0.462146437965906</v>
      </c>
      <c r="X2482" s="55" t="n">
        <f aca="false">IF(V2482,IF(01_因子設定!$B$13="最大化",Q2482,IF(01_因子設定!$B$13="最小化",-Q2482,-ABS(Q2482-01_因子設定!$B$16))),-1E+030)</f>
        <v>49.0317897727273</v>
      </c>
      <c r="Y2482" s="55" t="n">
        <f aca="false">W2482+ROW()*0.000000001</f>
        <v>-0.462143955965906</v>
      </c>
      <c r="Z2482" s="55" t="n">
        <f aca="false">X2482+ROW()*0.000000001</f>
        <v>49.0317922547273</v>
      </c>
    </row>
    <row r="2483" customFormat="false" ht="15" hidden="false" customHeight="false" outlineLevel="0" collapsed="false">
      <c r="A2483" s="0" t="n">
        <v>8</v>
      </c>
      <c r="B2483" s="0" t="n">
        <v>9</v>
      </c>
      <c r="C2483" s="0" t="n">
        <v>13</v>
      </c>
      <c r="D2483" s="0" t="n">
        <f aca="false">-1+A2483*0.125</f>
        <v>0</v>
      </c>
      <c r="E2483" s="0" t="n">
        <f aca="false">-1+B2483*0.125</f>
        <v>0.125</v>
      </c>
      <c r="F2483" s="0" t="n">
        <f aca="false">-1+C2483*0.125</f>
        <v>0.625</v>
      </c>
      <c r="G2483" s="0" t="n">
        <f aca="false">1</f>
        <v>1</v>
      </c>
      <c r="H2483" s="0" t="n">
        <f aca="false">D2483</f>
        <v>0</v>
      </c>
      <c r="I2483" s="0" t="n">
        <f aca="false">E2483</f>
        <v>0.125</v>
      </c>
      <c r="J2483" s="0" t="n">
        <f aca="false">F2483</f>
        <v>0.625</v>
      </c>
      <c r="K2483" s="0" t="n">
        <f aca="false">D2483*E2483</f>
        <v>0</v>
      </c>
      <c r="L2483" s="0" t="n">
        <f aca="false">D2483*F2483</f>
        <v>0</v>
      </c>
      <c r="M2483" s="0" t="n">
        <f aca="false">E2483*F2483</f>
        <v>0.078125</v>
      </c>
      <c r="N2483" s="0" t="n">
        <f aca="false">D2483*D2483</f>
        <v>0</v>
      </c>
      <c r="O2483" s="0" t="n">
        <f aca="false">E2483*E2483</f>
        <v>0.015625</v>
      </c>
      <c r="P2483" s="0" t="n">
        <f aca="false">F2483*F2483</f>
        <v>0.390625</v>
      </c>
      <c r="Q2483" s="0" t="n">
        <f aca="false">SUMPRODUCT(G2483:P2483,_XtX!$B$71:$K$71)</f>
        <v>49.0457670454546</v>
      </c>
      <c r="R2483" s="0" t="n">
        <f aca="false">SUMPRODUCT(MMULT(G2483:P2483,_XtX!$B$58:$K$67),G2483:P2483)</f>
        <v>0.17654862837358</v>
      </c>
      <c r="S2483" s="0" t="n">
        <f aca="false">04_回帰ANOVA!$K$19*04_回帰ANOVA!$K$14*SQRT(1+R2483)</f>
        <v>1.00848995543082</v>
      </c>
      <c r="T2483" s="0" t="n">
        <f aca="false">Q2483-S2483</f>
        <v>48.0372770900237</v>
      </c>
      <c r="U2483" s="0" t="n">
        <f aca="false">Q2483+S2483</f>
        <v>50.0542570008854</v>
      </c>
      <c r="V2483" s="54" t="b">
        <f aca="false">AND(D2483&gt;=01_因子設定!$L$5-0.000000001,D2483&lt;=01_因子設定!$M$5+0.000000001,E2483&gt;=01_因子設定!$L$6-0.000000001,E2483&lt;=01_因子設定!$M$6+0.000000001,F2483&gt;=01_因子設定!$L$7-0.000000001,F2483&lt;=01_因子設定!$M$7+0.000000001,IF(01_因子設定!$B$20="Box-Behnken",D2483^2+E2483^2+F2483^2&lt;=2+0.000000001,TRUE()))</f>
        <v>1</v>
      </c>
      <c r="W2483" s="55" t="n">
        <f aca="false">IF(V2483,IF(01_因子設定!$B$13="最大化",T2483-01_因子設定!$B$14,IF(01_因子設定!$B$13="最小化",01_因子設定!$B$15-U2483,MIN(T2483-01_因子設定!$B$14,01_因子設定!$B$15-U2483))),-1E+030)</f>
        <v>-0.462722909976264</v>
      </c>
      <c r="X2483" s="55" t="n">
        <f aca="false">IF(V2483,IF(01_因子設定!$B$13="最大化",Q2483,IF(01_因子設定!$B$13="最小化",-Q2483,-ABS(Q2483-01_因子設定!$B$16))),-1E+030)</f>
        <v>49.0457670454546</v>
      </c>
      <c r="Y2483" s="55" t="n">
        <f aca="false">W2483+ROW()*0.000000001</f>
        <v>-0.462720426976264</v>
      </c>
      <c r="Z2483" s="55" t="n">
        <f aca="false">X2483+ROW()*0.000000001</f>
        <v>49.0457695284546</v>
      </c>
    </row>
    <row r="2484" customFormat="false" ht="15" hidden="false" customHeight="false" outlineLevel="0" collapsed="false">
      <c r="A2484" s="0" t="n">
        <v>8</v>
      </c>
      <c r="B2484" s="0" t="n">
        <v>9</v>
      </c>
      <c r="C2484" s="0" t="n">
        <v>14</v>
      </c>
      <c r="D2484" s="0" t="n">
        <f aca="false">-1+A2484*0.125</f>
        <v>0</v>
      </c>
      <c r="E2484" s="0" t="n">
        <f aca="false">-1+B2484*0.125</f>
        <v>0.125</v>
      </c>
      <c r="F2484" s="0" t="n">
        <f aca="false">-1+C2484*0.125</f>
        <v>0.75</v>
      </c>
      <c r="G2484" s="0" t="n">
        <f aca="false">1</f>
        <v>1</v>
      </c>
      <c r="H2484" s="0" t="n">
        <f aca="false">D2484</f>
        <v>0</v>
      </c>
      <c r="I2484" s="0" t="n">
        <f aca="false">E2484</f>
        <v>0.125</v>
      </c>
      <c r="J2484" s="0" t="n">
        <f aca="false">F2484</f>
        <v>0.75</v>
      </c>
      <c r="K2484" s="0" t="n">
        <f aca="false">D2484*E2484</f>
        <v>0</v>
      </c>
      <c r="L2484" s="0" t="n">
        <f aca="false">D2484*F2484</f>
        <v>0</v>
      </c>
      <c r="M2484" s="0" t="n">
        <f aca="false">E2484*F2484</f>
        <v>0.09375</v>
      </c>
      <c r="N2484" s="0" t="n">
        <f aca="false">D2484*D2484</f>
        <v>0</v>
      </c>
      <c r="O2484" s="0" t="n">
        <f aca="false">E2484*E2484</f>
        <v>0.015625</v>
      </c>
      <c r="P2484" s="0" t="n">
        <f aca="false">F2484*F2484</f>
        <v>0.5625</v>
      </c>
      <c r="Q2484" s="0" t="n">
        <f aca="false">SUMPRODUCT(G2484:P2484,_XtX!$B$71:$K$71)</f>
        <v>49.0229545454546</v>
      </c>
      <c r="R2484" s="0" t="n">
        <f aca="false">SUMPRODUCT(MMULT(G2484:P2484,_XtX!$B$58:$K$67),G2484:P2484)</f>
        <v>0.237284712357955</v>
      </c>
      <c r="S2484" s="0" t="n">
        <f aca="false">04_回帰ANOVA!$K$19*04_回帰ANOVA!$K$14*SQRT(1+R2484)</f>
        <v>1.03419267998124</v>
      </c>
      <c r="T2484" s="0" t="n">
        <f aca="false">Q2484-S2484</f>
        <v>47.9887618654733</v>
      </c>
      <c r="U2484" s="0" t="n">
        <f aca="false">Q2484+S2484</f>
        <v>50.0571472254358</v>
      </c>
      <c r="V2484" s="54" t="b">
        <f aca="false">AND(D2484&gt;=01_因子設定!$L$5-0.000000001,D2484&lt;=01_因子設定!$M$5+0.000000001,E2484&gt;=01_因子設定!$L$6-0.000000001,E2484&lt;=01_因子設定!$M$6+0.000000001,F2484&gt;=01_因子設定!$L$7-0.000000001,F2484&lt;=01_因子設定!$M$7+0.000000001,IF(01_因子設定!$B$20="Box-Behnken",D2484^2+E2484^2+F2484^2&lt;=2+0.000000001,TRUE()))</f>
        <v>1</v>
      </c>
      <c r="W2484" s="55" t="n">
        <f aca="false">IF(V2484,IF(01_因子設定!$B$13="最大化",T2484-01_因子設定!$B$14,IF(01_因子設定!$B$13="最小化",01_因子設定!$B$15-U2484,MIN(T2484-01_因子設定!$B$14,01_因子設定!$B$15-U2484))),-1E+030)</f>
        <v>-0.511238134526671</v>
      </c>
      <c r="X2484" s="55" t="n">
        <f aca="false">IF(V2484,IF(01_因子設定!$B$13="最大化",Q2484,IF(01_因子設定!$B$13="最小化",-Q2484,-ABS(Q2484-01_因子設定!$B$16))),-1E+030)</f>
        <v>49.0229545454546</v>
      </c>
      <c r="Y2484" s="55" t="n">
        <f aca="false">W2484+ROW()*0.000000001</f>
        <v>-0.511235650526671</v>
      </c>
      <c r="Z2484" s="55" t="n">
        <f aca="false">X2484+ROW()*0.000000001</f>
        <v>49.0229570294546</v>
      </c>
    </row>
    <row r="2485" customFormat="false" ht="15" hidden="false" customHeight="false" outlineLevel="0" collapsed="false">
      <c r="A2485" s="0" t="n">
        <v>8</v>
      </c>
      <c r="B2485" s="0" t="n">
        <v>9</v>
      </c>
      <c r="C2485" s="0" t="n">
        <v>15</v>
      </c>
      <c r="D2485" s="0" t="n">
        <f aca="false">-1+A2485*0.125</f>
        <v>0</v>
      </c>
      <c r="E2485" s="0" t="n">
        <f aca="false">-1+B2485*0.125</f>
        <v>0.125</v>
      </c>
      <c r="F2485" s="0" t="n">
        <f aca="false">-1+C2485*0.125</f>
        <v>0.875</v>
      </c>
      <c r="G2485" s="0" t="n">
        <f aca="false">1</f>
        <v>1</v>
      </c>
      <c r="H2485" s="0" t="n">
        <f aca="false">D2485</f>
        <v>0</v>
      </c>
      <c r="I2485" s="0" t="n">
        <f aca="false">E2485</f>
        <v>0.125</v>
      </c>
      <c r="J2485" s="0" t="n">
        <f aca="false">F2485</f>
        <v>0.875</v>
      </c>
      <c r="K2485" s="0" t="n">
        <f aca="false">D2485*E2485</f>
        <v>0</v>
      </c>
      <c r="L2485" s="0" t="n">
        <f aca="false">D2485*F2485</f>
        <v>0</v>
      </c>
      <c r="M2485" s="0" t="n">
        <f aca="false">E2485*F2485</f>
        <v>0.109375</v>
      </c>
      <c r="N2485" s="0" t="n">
        <f aca="false">D2485*D2485</f>
        <v>0</v>
      </c>
      <c r="O2485" s="0" t="n">
        <f aca="false">E2485*E2485</f>
        <v>0.015625</v>
      </c>
      <c r="P2485" s="0" t="n">
        <f aca="false">F2485*F2485</f>
        <v>0.765625</v>
      </c>
      <c r="Q2485" s="0" t="n">
        <f aca="false">SUMPRODUCT(G2485:P2485,_XtX!$B$71:$K$71)</f>
        <v>48.9633522727273</v>
      </c>
      <c r="R2485" s="0" t="n">
        <f aca="false">SUMPRODUCT(MMULT(G2485:P2485,_XtX!$B$58:$K$67),G2485:P2485)</f>
        <v>0.336762584339489</v>
      </c>
      <c r="S2485" s="0" t="n">
        <f aca="false">04_回帰ANOVA!$K$19*04_回帰ANOVA!$K$14*SQRT(1+R2485)</f>
        <v>1.07496364479411</v>
      </c>
      <c r="T2485" s="0" t="n">
        <f aca="false">Q2485-S2485</f>
        <v>47.8883886279332</v>
      </c>
      <c r="U2485" s="0" t="n">
        <f aca="false">Q2485+S2485</f>
        <v>50.0383159175214</v>
      </c>
      <c r="V2485" s="54" t="b">
        <f aca="false">AND(D2485&gt;=01_因子設定!$L$5-0.000000001,D2485&lt;=01_因子設定!$M$5+0.000000001,E2485&gt;=01_因子設定!$L$6-0.000000001,E2485&lt;=01_因子設定!$M$6+0.000000001,F2485&gt;=01_因子設定!$L$7-0.000000001,F2485&lt;=01_因子設定!$M$7+0.000000001,IF(01_因子設定!$B$20="Box-Behnken",D2485^2+E2485^2+F2485^2&lt;=2+0.000000001,TRUE()))</f>
        <v>1</v>
      </c>
      <c r="W2485" s="55" t="n">
        <f aca="false">IF(V2485,IF(01_因子設定!$B$13="最大化",T2485-01_因子設定!$B$14,IF(01_因子設定!$B$13="最小化",01_因子設定!$B$15-U2485,MIN(T2485-01_因子設定!$B$14,01_因子設定!$B$15-U2485))),-1E+030)</f>
        <v>-0.611611372066811</v>
      </c>
      <c r="X2485" s="55" t="n">
        <f aca="false">IF(V2485,IF(01_因子設定!$B$13="最大化",Q2485,IF(01_因子設定!$B$13="最小化",-Q2485,-ABS(Q2485-01_因子設定!$B$16))),-1E+030)</f>
        <v>48.9633522727273</v>
      </c>
      <c r="Y2485" s="55" t="n">
        <f aca="false">W2485+ROW()*0.000000001</f>
        <v>-0.611608887066811</v>
      </c>
      <c r="Z2485" s="55" t="n">
        <f aca="false">X2485+ROW()*0.000000001</f>
        <v>48.9633547577273</v>
      </c>
    </row>
    <row r="2486" customFormat="false" ht="15" hidden="false" customHeight="false" outlineLevel="0" collapsed="false">
      <c r="A2486" s="0" t="n">
        <v>8</v>
      </c>
      <c r="B2486" s="0" t="n">
        <v>9</v>
      </c>
      <c r="C2486" s="0" t="n">
        <v>16</v>
      </c>
      <c r="D2486" s="0" t="n">
        <f aca="false">-1+A2486*0.125</f>
        <v>0</v>
      </c>
      <c r="E2486" s="0" t="n">
        <f aca="false">-1+B2486*0.125</f>
        <v>0.125</v>
      </c>
      <c r="F2486" s="0" t="n">
        <f aca="false">-1+C2486*0.125</f>
        <v>1</v>
      </c>
      <c r="G2486" s="0" t="n">
        <f aca="false">1</f>
        <v>1</v>
      </c>
      <c r="H2486" s="0" t="n">
        <f aca="false">D2486</f>
        <v>0</v>
      </c>
      <c r="I2486" s="0" t="n">
        <f aca="false">E2486</f>
        <v>0.125</v>
      </c>
      <c r="J2486" s="0" t="n">
        <f aca="false">F2486</f>
        <v>1</v>
      </c>
      <c r="K2486" s="0" t="n">
        <f aca="false">D2486*E2486</f>
        <v>0</v>
      </c>
      <c r="L2486" s="0" t="n">
        <f aca="false">D2486*F2486</f>
        <v>0</v>
      </c>
      <c r="M2486" s="0" t="n">
        <f aca="false">E2486*F2486</f>
        <v>0.125</v>
      </c>
      <c r="N2486" s="0" t="n">
        <f aca="false">D2486*D2486</f>
        <v>0</v>
      </c>
      <c r="O2486" s="0" t="n">
        <f aca="false">E2486*E2486</f>
        <v>0.015625</v>
      </c>
      <c r="P2486" s="0" t="n">
        <f aca="false">F2486*F2486</f>
        <v>1</v>
      </c>
      <c r="Q2486" s="0" t="n">
        <f aca="false">SUMPRODUCT(G2486:P2486,_XtX!$B$71:$K$71)</f>
        <v>48.8669602272728</v>
      </c>
      <c r="R2486" s="0" t="n">
        <f aca="false">SUMPRODUCT(MMULT(G2486:P2486,_XtX!$B$58:$K$67),G2486:P2486)</f>
        <v>0.488831676136364</v>
      </c>
      <c r="S2486" s="0" t="n">
        <f aca="false">04_回帰ANOVA!$K$19*04_回帰ANOVA!$K$14*SQRT(1+R2486)</f>
        <v>1.13446064908709</v>
      </c>
      <c r="T2486" s="0" t="n">
        <f aca="false">Q2486-S2486</f>
        <v>47.7324995781857</v>
      </c>
      <c r="U2486" s="0" t="n">
        <f aca="false">Q2486+S2486</f>
        <v>50.0014208763598</v>
      </c>
      <c r="V2486" s="54" t="b">
        <f aca="false">AND(D2486&gt;=01_因子設定!$L$5-0.000000001,D2486&lt;=01_因子設定!$M$5+0.000000001,E2486&gt;=01_因子設定!$L$6-0.000000001,E2486&lt;=01_因子設定!$M$6+0.000000001,F2486&gt;=01_因子設定!$L$7-0.000000001,F2486&lt;=01_因子設定!$M$7+0.000000001,IF(01_因子設定!$B$20="Box-Behnken",D2486^2+E2486^2+F2486^2&lt;=2+0.000000001,TRUE()))</f>
        <v>1</v>
      </c>
      <c r="W2486" s="55" t="n">
        <f aca="false">IF(V2486,IF(01_因子設定!$B$13="最大化",T2486-01_因子設定!$B$14,IF(01_因子設定!$B$13="最小化",01_因子設定!$B$15-U2486,MIN(T2486-01_因子設定!$B$14,01_因子設定!$B$15-U2486))),-1E+030)</f>
        <v>-0.767500421814333</v>
      </c>
      <c r="X2486" s="55" t="n">
        <f aca="false">IF(V2486,IF(01_因子設定!$B$13="最大化",Q2486,IF(01_因子設定!$B$13="最小化",-Q2486,-ABS(Q2486-01_因子設定!$B$16))),-1E+030)</f>
        <v>48.8669602272728</v>
      </c>
      <c r="Y2486" s="55" t="n">
        <f aca="false">W2486+ROW()*0.000000001</f>
        <v>-0.767497935814333</v>
      </c>
      <c r="Z2486" s="55" t="n">
        <f aca="false">X2486+ROW()*0.000000001</f>
        <v>48.8669627132728</v>
      </c>
    </row>
    <row r="2487" customFormat="false" ht="15" hidden="false" customHeight="false" outlineLevel="0" collapsed="false">
      <c r="A2487" s="0" t="n">
        <v>8</v>
      </c>
      <c r="B2487" s="0" t="n">
        <v>10</v>
      </c>
      <c r="C2487" s="0" t="n">
        <v>0</v>
      </c>
      <c r="D2487" s="0" t="n">
        <f aca="false">-1+A2487*0.125</f>
        <v>0</v>
      </c>
      <c r="E2487" s="0" t="n">
        <f aca="false">-1+B2487*0.125</f>
        <v>0.25</v>
      </c>
      <c r="F2487" s="0" t="n">
        <f aca="false">-1+C2487*0.125</f>
        <v>-1</v>
      </c>
      <c r="G2487" s="0" t="n">
        <f aca="false">1</f>
        <v>1</v>
      </c>
      <c r="H2487" s="0" t="n">
        <f aca="false">D2487</f>
        <v>0</v>
      </c>
      <c r="I2487" s="0" t="n">
        <f aca="false">E2487</f>
        <v>0.25</v>
      </c>
      <c r="J2487" s="0" t="n">
        <f aca="false">F2487</f>
        <v>-1</v>
      </c>
      <c r="K2487" s="0" t="n">
        <f aca="false">D2487*E2487</f>
        <v>0</v>
      </c>
      <c r="L2487" s="0" t="n">
        <f aca="false">D2487*F2487</f>
        <v>-0</v>
      </c>
      <c r="M2487" s="0" t="n">
        <f aca="false">E2487*F2487</f>
        <v>-0.25</v>
      </c>
      <c r="N2487" s="0" t="n">
        <f aca="false">D2487*D2487</f>
        <v>0</v>
      </c>
      <c r="O2487" s="0" t="n">
        <f aca="false">E2487*E2487</f>
        <v>0.0625</v>
      </c>
      <c r="P2487" s="0" t="n">
        <f aca="false">F2487*F2487</f>
        <v>1</v>
      </c>
      <c r="Q2487" s="0" t="n">
        <f aca="false">SUMPRODUCT(G2487:P2487,_XtX!$B$71:$K$71)</f>
        <v>46.1019318181818</v>
      </c>
      <c r="R2487" s="0" t="n">
        <f aca="false">SUMPRODUCT(MMULT(G2487:P2487,_XtX!$B$58:$K$67),G2487:P2487)</f>
        <v>0.483664772727273</v>
      </c>
      <c r="S2487" s="0" t="n">
        <f aca="false">04_回帰ANOVA!$K$19*04_回帰ANOVA!$K$14*SQRT(1+R2487)</f>
        <v>1.13249039846694</v>
      </c>
      <c r="T2487" s="0" t="n">
        <f aca="false">Q2487-S2487</f>
        <v>44.9694414197149</v>
      </c>
      <c r="U2487" s="0" t="n">
        <f aca="false">Q2487+S2487</f>
        <v>47.2344222166488</v>
      </c>
      <c r="V2487" s="54" t="b">
        <f aca="false">AND(D2487&gt;=01_因子設定!$L$5-0.000000001,D2487&lt;=01_因子設定!$M$5+0.000000001,E2487&gt;=01_因子設定!$L$6-0.000000001,E2487&lt;=01_因子設定!$M$6+0.000000001,F2487&gt;=01_因子設定!$L$7-0.000000001,F2487&lt;=01_因子設定!$M$7+0.000000001,IF(01_因子設定!$B$20="Box-Behnken",D2487^2+E2487^2+F2487^2&lt;=2+0.000000001,TRUE()))</f>
        <v>1</v>
      </c>
      <c r="W2487" s="55" t="n">
        <f aca="false">IF(V2487,IF(01_因子設定!$B$13="最大化",T2487-01_因子設定!$B$14,IF(01_因子設定!$B$13="最小化",01_因子設定!$B$15-U2487,MIN(T2487-01_因子設定!$B$14,01_因子設定!$B$15-U2487))),-1E+030)</f>
        <v>-3.53055858028509</v>
      </c>
      <c r="X2487" s="55" t="n">
        <f aca="false">IF(V2487,IF(01_因子設定!$B$13="最大化",Q2487,IF(01_因子設定!$B$13="最小化",-Q2487,-ABS(Q2487-01_因子設定!$B$16))),-1E+030)</f>
        <v>46.1019318181818</v>
      </c>
      <c r="Y2487" s="55" t="n">
        <f aca="false">W2487+ROW()*0.000000001</f>
        <v>-3.53055609328509</v>
      </c>
      <c r="Z2487" s="55" t="n">
        <f aca="false">X2487+ROW()*0.000000001</f>
        <v>46.1019343051819</v>
      </c>
    </row>
    <row r="2488" customFormat="false" ht="15" hidden="false" customHeight="false" outlineLevel="0" collapsed="false">
      <c r="A2488" s="0" t="n">
        <v>8</v>
      </c>
      <c r="B2488" s="0" t="n">
        <v>10</v>
      </c>
      <c r="C2488" s="0" t="n">
        <v>1</v>
      </c>
      <c r="D2488" s="0" t="n">
        <f aca="false">-1+A2488*0.125</f>
        <v>0</v>
      </c>
      <c r="E2488" s="0" t="n">
        <f aca="false">-1+B2488*0.125</f>
        <v>0.25</v>
      </c>
      <c r="F2488" s="0" t="n">
        <f aca="false">-1+C2488*0.125</f>
        <v>-0.875</v>
      </c>
      <c r="G2488" s="0" t="n">
        <f aca="false">1</f>
        <v>1</v>
      </c>
      <c r="H2488" s="0" t="n">
        <f aca="false">D2488</f>
        <v>0</v>
      </c>
      <c r="I2488" s="0" t="n">
        <f aca="false">E2488</f>
        <v>0.25</v>
      </c>
      <c r="J2488" s="0" t="n">
        <f aca="false">F2488</f>
        <v>-0.875</v>
      </c>
      <c r="K2488" s="0" t="n">
        <f aca="false">D2488*E2488</f>
        <v>0</v>
      </c>
      <c r="L2488" s="0" t="n">
        <f aca="false">D2488*F2488</f>
        <v>-0</v>
      </c>
      <c r="M2488" s="0" t="n">
        <f aca="false">E2488*F2488</f>
        <v>-0.21875</v>
      </c>
      <c r="N2488" s="0" t="n">
        <f aca="false">D2488*D2488</f>
        <v>0</v>
      </c>
      <c r="O2488" s="0" t="n">
        <f aca="false">E2488*E2488</f>
        <v>0.0625</v>
      </c>
      <c r="P2488" s="0" t="n">
        <f aca="false">F2488*F2488</f>
        <v>0.765625</v>
      </c>
      <c r="Q2488" s="0" t="n">
        <f aca="false">SUMPRODUCT(G2488:P2488,_XtX!$B$71:$K$71)</f>
        <v>46.5644176136364</v>
      </c>
      <c r="R2488" s="0" t="n">
        <f aca="false">SUMPRODUCT(MMULT(G2488:P2488,_XtX!$B$58:$K$67),G2488:P2488)</f>
        <v>0.333218661221591</v>
      </c>
      <c r="S2488" s="0" t="n">
        <f aca="false">04_回帰ANOVA!$K$19*04_回帰ANOVA!$K$14*SQRT(1+R2488)</f>
        <v>1.07353776826542</v>
      </c>
      <c r="T2488" s="0" t="n">
        <f aca="false">Q2488-S2488</f>
        <v>45.490879845371</v>
      </c>
      <c r="U2488" s="0" t="n">
        <f aca="false">Q2488+S2488</f>
        <v>47.6379553819018</v>
      </c>
      <c r="V2488" s="54" t="b">
        <f aca="false">AND(D2488&gt;=01_因子設定!$L$5-0.000000001,D2488&lt;=01_因子設定!$M$5+0.000000001,E2488&gt;=01_因子設定!$L$6-0.000000001,E2488&lt;=01_因子設定!$M$6+0.000000001,F2488&gt;=01_因子設定!$L$7-0.000000001,F2488&lt;=01_因子設定!$M$7+0.000000001,IF(01_因子設定!$B$20="Box-Behnken",D2488^2+E2488^2+F2488^2&lt;=2+0.000000001,TRUE()))</f>
        <v>1</v>
      </c>
      <c r="W2488" s="55" t="n">
        <f aca="false">IF(V2488,IF(01_因子設定!$B$13="最大化",T2488-01_因子設定!$B$14,IF(01_因子設定!$B$13="最小化",01_因子設定!$B$15-U2488,MIN(T2488-01_因子設定!$B$14,01_因子設定!$B$15-U2488))),-1E+030)</f>
        <v>-3.00912015462903</v>
      </c>
      <c r="X2488" s="55" t="n">
        <f aca="false">IF(V2488,IF(01_因子設定!$B$13="最大化",Q2488,IF(01_因子設定!$B$13="最小化",-Q2488,-ABS(Q2488-01_因子設定!$B$16))),-1E+030)</f>
        <v>46.5644176136364</v>
      </c>
      <c r="Y2488" s="55" t="n">
        <f aca="false">W2488+ROW()*0.000000001</f>
        <v>-3.00911766662903</v>
      </c>
      <c r="Z2488" s="55" t="n">
        <f aca="false">X2488+ROW()*0.000000001</f>
        <v>46.5644201016364</v>
      </c>
    </row>
    <row r="2489" customFormat="false" ht="15" hidden="false" customHeight="false" outlineLevel="0" collapsed="false">
      <c r="A2489" s="0" t="n">
        <v>8</v>
      </c>
      <c r="B2489" s="0" t="n">
        <v>10</v>
      </c>
      <c r="C2489" s="0" t="n">
        <v>2</v>
      </c>
      <c r="D2489" s="0" t="n">
        <f aca="false">-1+A2489*0.125</f>
        <v>0</v>
      </c>
      <c r="E2489" s="0" t="n">
        <f aca="false">-1+B2489*0.125</f>
        <v>0.25</v>
      </c>
      <c r="F2489" s="0" t="n">
        <f aca="false">-1+C2489*0.125</f>
        <v>-0.75</v>
      </c>
      <c r="G2489" s="0" t="n">
        <f aca="false">1</f>
        <v>1</v>
      </c>
      <c r="H2489" s="0" t="n">
        <f aca="false">D2489</f>
        <v>0</v>
      </c>
      <c r="I2489" s="0" t="n">
        <f aca="false">E2489</f>
        <v>0.25</v>
      </c>
      <c r="J2489" s="0" t="n">
        <f aca="false">F2489</f>
        <v>-0.75</v>
      </c>
      <c r="K2489" s="0" t="n">
        <f aca="false">D2489*E2489</f>
        <v>0</v>
      </c>
      <c r="L2489" s="0" t="n">
        <f aca="false">D2489*F2489</f>
        <v>-0</v>
      </c>
      <c r="M2489" s="0" t="n">
        <f aca="false">E2489*F2489</f>
        <v>-0.1875</v>
      </c>
      <c r="N2489" s="0" t="n">
        <f aca="false">D2489*D2489</f>
        <v>0</v>
      </c>
      <c r="O2489" s="0" t="n">
        <f aca="false">E2489*E2489</f>
        <v>0.0625</v>
      </c>
      <c r="P2489" s="0" t="n">
        <f aca="false">F2489*F2489</f>
        <v>0.5625</v>
      </c>
      <c r="Q2489" s="0" t="n">
        <f aca="false">SUMPRODUCT(G2489:P2489,_XtX!$B$71:$K$71)</f>
        <v>46.9901136363637</v>
      </c>
      <c r="R2489" s="0" t="n">
        <f aca="false">SUMPRODUCT(MMULT(G2489:P2489,_XtX!$B$58:$K$67),G2489:P2489)</f>
        <v>0.235147372159091</v>
      </c>
      <c r="S2489" s="0" t="n">
        <f aca="false">04_回帰ANOVA!$K$19*04_回帰ANOVA!$K$14*SQRT(1+R2489)</f>
        <v>1.03329903885461</v>
      </c>
      <c r="T2489" s="0" t="n">
        <f aca="false">Q2489-S2489</f>
        <v>45.9568145975091</v>
      </c>
      <c r="U2489" s="0" t="n">
        <f aca="false">Q2489+S2489</f>
        <v>48.0234126752183</v>
      </c>
      <c r="V2489" s="54" t="b">
        <f aca="false">AND(D2489&gt;=01_因子設定!$L$5-0.000000001,D2489&lt;=01_因子設定!$M$5+0.000000001,E2489&gt;=01_因子設定!$L$6-0.000000001,E2489&lt;=01_因子設定!$M$6+0.000000001,F2489&gt;=01_因子設定!$L$7-0.000000001,F2489&lt;=01_因子設定!$M$7+0.000000001,IF(01_因子設定!$B$20="Box-Behnken",D2489^2+E2489^2+F2489^2&lt;=2+0.000000001,TRUE()))</f>
        <v>1</v>
      </c>
      <c r="W2489" s="55" t="n">
        <f aca="false">IF(V2489,IF(01_因子設定!$B$13="最大化",T2489-01_因子設定!$B$14,IF(01_因子設定!$B$13="最小化",01_因子設定!$B$15-U2489,MIN(T2489-01_因子設定!$B$14,01_因子設定!$B$15-U2489))),-1E+030)</f>
        <v>-2.54318540249095</v>
      </c>
      <c r="X2489" s="55" t="n">
        <f aca="false">IF(V2489,IF(01_因子設定!$B$13="最大化",Q2489,IF(01_因子設定!$B$13="最小化",-Q2489,-ABS(Q2489-01_因子設定!$B$16))),-1E+030)</f>
        <v>46.9901136363637</v>
      </c>
      <c r="Y2489" s="55" t="n">
        <f aca="false">W2489+ROW()*0.000000001</f>
        <v>-2.54318291349095</v>
      </c>
      <c r="Z2489" s="55" t="n">
        <f aca="false">X2489+ROW()*0.000000001</f>
        <v>46.9901161253637</v>
      </c>
    </row>
    <row r="2490" customFormat="false" ht="15" hidden="false" customHeight="false" outlineLevel="0" collapsed="false">
      <c r="A2490" s="0" t="n">
        <v>8</v>
      </c>
      <c r="B2490" s="0" t="n">
        <v>10</v>
      </c>
      <c r="C2490" s="0" t="n">
        <v>3</v>
      </c>
      <c r="D2490" s="0" t="n">
        <f aca="false">-1+A2490*0.125</f>
        <v>0</v>
      </c>
      <c r="E2490" s="0" t="n">
        <f aca="false">-1+B2490*0.125</f>
        <v>0.25</v>
      </c>
      <c r="F2490" s="0" t="n">
        <f aca="false">-1+C2490*0.125</f>
        <v>-0.625</v>
      </c>
      <c r="G2490" s="0" t="n">
        <f aca="false">1</f>
        <v>1</v>
      </c>
      <c r="H2490" s="0" t="n">
        <f aca="false">D2490</f>
        <v>0</v>
      </c>
      <c r="I2490" s="0" t="n">
        <f aca="false">E2490</f>
        <v>0.25</v>
      </c>
      <c r="J2490" s="0" t="n">
        <f aca="false">F2490</f>
        <v>-0.625</v>
      </c>
      <c r="K2490" s="0" t="n">
        <f aca="false">D2490*E2490</f>
        <v>0</v>
      </c>
      <c r="L2490" s="0" t="n">
        <f aca="false">D2490*F2490</f>
        <v>-0</v>
      </c>
      <c r="M2490" s="0" t="n">
        <f aca="false">E2490*F2490</f>
        <v>-0.15625</v>
      </c>
      <c r="N2490" s="0" t="n">
        <f aca="false">D2490*D2490</f>
        <v>0</v>
      </c>
      <c r="O2490" s="0" t="n">
        <f aca="false">E2490*E2490</f>
        <v>0.0625</v>
      </c>
      <c r="P2490" s="0" t="n">
        <f aca="false">F2490*F2490</f>
        <v>0.390625</v>
      </c>
      <c r="Q2490" s="0" t="n">
        <f aca="false">SUMPRODUCT(G2490:P2490,_XtX!$B$71:$K$71)</f>
        <v>47.3790198863637</v>
      </c>
      <c r="R2490" s="0" t="n">
        <f aca="false">SUMPRODUCT(MMULT(G2490:P2490,_XtX!$B$58:$K$67),G2490:P2490)</f>
        <v>0.175601473721591</v>
      </c>
      <c r="S2490" s="0" t="n">
        <f aca="false">04_回帰ANOVA!$K$19*04_回帰ANOVA!$K$14*SQRT(1+R2490)</f>
        <v>1.00808394234856</v>
      </c>
      <c r="T2490" s="0" t="n">
        <f aca="false">Q2490-S2490</f>
        <v>46.3709359440151</v>
      </c>
      <c r="U2490" s="0" t="n">
        <f aca="false">Q2490+S2490</f>
        <v>48.3871038287122</v>
      </c>
      <c r="V2490" s="54" t="b">
        <f aca="false">AND(D2490&gt;=01_因子設定!$L$5-0.000000001,D2490&lt;=01_因子設定!$M$5+0.000000001,E2490&gt;=01_因子設定!$L$6-0.000000001,E2490&lt;=01_因子設定!$M$6+0.000000001,F2490&gt;=01_因子設定!$L$7-0.000000001,F2490&lt;=01_因子設定!$M$7+0.000000001,IF(01_因子設定!$B$20="Box-Behnken",D2490^2+E2490^2+F2490^2&lt;=2+0.000000001,TRUE()))</f>
        <v>1</v>
      </c>
      <c r="W2490" s="55" t="n">
        <f aca="false">IF(V2490,IF(01_因子設定!$B$13="最大化",T2490-01_因子設定!$B$14,IF(01_因子設定!$B$13="最小化",01_因子設定!$B$15-U2490,MIN(T2490-01_因子設定!$B$14,01_因子設定!$B$15-U2490))),-1E+030)</f>
        <v>-2.12906405598491</v>
      </c>
      <c r="X2490" s="55" t="n">
        <f aca="false">IF(V2490,IF(01_因子設定!$B$13="最大化",Q2490,IF(01_因子設定!$B$13="最小化",-Q2490,-ABS(Q2490-01_因子設定!$B$16))),-1E+030)</f>
        <v>47.3790198863637</v>
      </c>
      <c r="Y2490" s="55" t="n">
        <f aca="false">W2490+ROW()*0.000000001</f>
        <v>-2.12906156598491</v>
      </c>
      <c r="Z2490" s="55" t="n">
        <f aca="false">X2490+ROW()*0.000000001</f>
        <v>47.3790223763637</v>
      </c>
    </row>
    <row r="2491" customFormat="false" ht="15" hidden="false" customHeight="false" outlineLevel="0" collapsed="false">
      <c r="A2491" s="0" t="n">
        <v>8</v>
      </c>
      <c r="B2491" s="0" t="n">
        <v>10</v>
      </c>
      <c r="C2491" s="0" t="n">
        <v>4</v>
      </c>
      <c r="D2491" s="0" t="n">
        <f aca="false">-1+A2491*0.125</f>
        <v>0</v>
      </c>
      <c r="E2491" s="0" t="n">
        <f aca="false">-1+B2491*0.125</f>
        <v>0.25</v>
      </c>
      <c r="F2491" s="0" t="n">
        <f aca="false">-1+C2491*0.125</f>
        <v>-0.5</v>
      </c>
      <c r="G2491" s="0" t="n">
        <f aca="false">1</f>
        <v>1</v>
      </c>
      <c r="H2491" s="0" t="n">
        <f aca="false">D2491</f>
        <v>0</v>
      </c>
      <c r="I2491" s="0" t="n">
        <f aca="false">E2491</f>
        <v>0.25</v>
      </c>
      <c r="J2491" s="0" t="n">
        <f aca="false">F2491</f>
        <v>-0.5</v>
      </c>
      <c r="K2491" s="0" t="n">
        <f aca="false">D2491*E2491</f>
        <v>0</v>
      </c>
      <c r="L2491" s="0" t="n">
        <f aca="false">D2491*F2491</f>
        <v>-0</v>
      </c>
      <c r="M2491" s="0" t="n">
        <f aca="false">E2491*F2491</f>
        <v>-0.125</v>
      </c>
      <c r="N2491" s="0" t="n">
        <f aca="false">D2491*D2491</f>
        <v>0</v>
      </c>
      <c r="O2491" s="0" t="n">
        <f aca="false">E2491*E2491</f>
        <v>0.0625</v>
      </c>
      <c r="P2491" s="0" t="n">
        <f aca="false">F2491*F2491</f>
        <v>0.25</v>
      </c>
      <c r="Q2491" s="0" t="n">
        <f aca="false">SUMPRODUCT(G2491:P2491,_XtX!$B$71:$K$71)</f>
        <v>47.7311363636364</v>
      </c>
      <c r="R2491" s="0" t="n">
        <f aca="false">SUMPRODUCT(MMULT(G2491:P2491,_XtX!$B$58:$K$67),G2491:P2491)</f>
        <v>0.142862215909091</v>
      </c>
      <c r="S2491" s="0" t="n">
        <f aca="false">04_回帰ANOVA!$K$19*04_回帰ANOVA!$K$14*SQRT(1+R2491)</f>
        <v>0.993947792354123</v>
      </c>
      <c r="T2491" s="0" t="n">
        <f aca="false">Q2491-S2491</f>
        <v>46.7371885712823</v>
      </c>
      <c r="U2491" s="0" t="n">
        <f aca="false">Q2491+S2491</f>
        <v>48.7250841559905</v>
      </c>
      <c r="V2491" s="54" t="b">
        <f aca="false">AND(D2491&gt;=01_因子設定!$L$5-0.000000001,D2491&lt;=01_因子設定!$M$5+0.000000001,E2491&gt;=01_因子設定!$L$6-0.000000001,E2491&lt;=01_因子設定!$M$6+0.000000001,F2491&gt;=01_因子設定!$L$7-0.000000001,F2491&lt;=01_因子設定!$M$7+0.000000001,IF(01_因子設定!$B$20="Box-Behnken",D2491^2+E2491^2+F2491^2&lt;=2+0.000000001,TRUE()))</f>
        <v>1</v>
      </c>
      <c r="W2491" s="55" t="n">
        <f aca="false">IF(V2491,IF(01_因子設定!$B$13="最大化",T2491-01_因子設定!$B$14,IF(01_因子設定!$B$13="最小化",01_因子設定!$B$15-U2491,MIN(T2491-01_因子設定!$B$14,01_因子設定!$B$15-U2491))),-1E+030)</f>
        <v>-1.76281142871774</v>
      </c>
      <c r="X2491" s="55" t="n">
        <f aca="false">IF(V2491,IF(01_因子設定!$B$13="最大化",Q2491,IF(01_因子設定!$B$13="最小化",-Q2491,-ABS(Q2491-01_因子設定!$B$16))),-1E+030)</f>
        <v>47.7311363636364</v>
      </c>
      <c r="Y2491" s="55" t="n">
        <f aca="false">W2491+ROW()*0.000000001</f>
        <v>-1.76280893771774</v>
      </c>
      <c r="Z2491" s="55" t="n">
        <f aca="false">X2491+ROW()*0.000000001</f>
        <v>47.7311388546364</v>
      </c>
    </row>
    <row r="2492" customFormat="false" ht="15" hidden="false" customHeight="false" outlineLevel="0" collapsed="false">
      <c r="A2492" s="0" t="n">
        <v>8</v>
      </c>
      <c r="B2492" s="0" t="n">
        <v>10</v>
      </c>
      <c r="C2492" s="0" t="n">
        <v>5</v>
      </c>
      <c r="D2492" s="0" t="n">
        <f aca="false">-1+A2492*0.125</f>
        <v>0</v>
      </c>
      <c r="E2492" s="0" t="n">
        <f aca="false">-1+B2492*0.125</f>
        <v>0.25</v>
      </c>
      <c r="F2492" s="0" t="n">
        <f aca="false">-1+C2492*0.125</f>
        <v>-0.375</v>
      </c>
      <c r="G2492" s="0" t="n">
        <f aca="false">1</f>
        <v>1</v>
      </c>
      <c r="H2492" s="0" t="n">
        <f aca="false">D2492</f>
        <v>0</v>
      </c>
      <c r="I2492" s="0" t="n">
        <f aca="false">E2492</f>
        <v>0.25</v>
      </c>
      <c r="J2492" s="0" t="n">
        <f aca="false">F2492</f>
        <v>-0.375</v>
      </c>
      <c r="K2492" s="0" t="n">
        <f aca="false">D2492*E2492</f>
        <v>0</v>
      </c>
      <c r="L2492" s="0" t="n">
        <f aca="false">D2492*F2492</f>
        <v>-0</v>
      </c>
      <c r="M2492" s="0" t="n">
        <f aca="false">E2492*F2492</f>
        <v>-0.09375</v>
      </c>
      <c r="N2492" s="0" t="n">
        <f aca="false">D2492*D2492</f>
        <v>0</v>
      </c>
      <c r="O2492" s="0" t="n">
        <f aca="false">E2492*E2492</f>
        <v>0.0625</v>
      </c>
      <c r="P2492" s="0" t="n">
        <f aca="false">F2492*F2492</f>
        <v>0.140625</v>
      </c>
      <c r="Q2492" s="0" t="n">
        <f aca="false">SUMPRODUCT(G2492:P2492,_XtX!$B$71:$K$71)</f>
        <v>48.0464630681818</v>
      </c>
      <c r="R2492" s="0" t="n">
        <f aca="false">SUMPRODUCT(MMULT(G2492:P2492,_XtX!$B$58:$K$67),G2492:P2492)</f>
        <v>0.127341530539773</v>
      </c>
      <c r="S2492" s="0" t="n">
        <f aca="false">04_回帰ANOVA!$K$19*04_回帰ANOVA!$K$14*SQRT(1+R2492)</f>
        <v>0.987175547486288</v>
      </c>
      <c r="T2492" s="0" t="n">
        <f aca="false">Q2492-S2492</f>
        <v>47.0592875206955</v>
      </c>
      <c r="U2492" s="0" t="n">
        <f aca="false">Q2492+S2492</f>
        <v>49.0336386156681</v>
      </c>
      <c r="V2492" s="54" t="b">
        <f aca="false">AND(D2492&gt;=01_因子設定!$L$5-0.000000001,D2492&lt;=01_因子設定!$M$5+0.000000001,E2492&gt;=01_因子設定!$L$6-0.000000001,E2492&lt;=01_因子設定!$M$6+0.000000001,F2492&gt;=01_因子設定!$L$7-0.000000001,F2492&lt;=01_因子設定!$M$7+0.000000001,IF(01_因子設定!$B$20="Box-Behnken",D2492^2+E2492^2+F2492^2&lt;=2+0.000000001,TRUE()))</f>
        <v>1</v>
      </c>
      <c r="W2492" s="55" t="n">
        <f aca="false">IF(V2492,IF(01_因子設定!$B$13="最大化",T2492-01_因子設定!$B$14,IF(01_因子設定!$B$13="最小化",01_因子設定!$B$15-U2492,MIN(T2492-01_因子設定!$B$14,01_因子設定!$B$15-U2492))),-1E+030)</f>
        <v>-1.44071247930446</v>
      </c>
      <c r="X2492" s="55" t="n">
        <f aca="false">IF(V2492,IF(01_因子設定!$B$13="最大化",Q2492,IF(01_因子設定!$B$13="最小化",-Q2492,-ABS(Q2492-01_因子設定!$B$16))),-1E+030)</f>
        <v>48.0464630681818</v>
      </c>
      <c r="Y2492" s="55" t="n">
        <f aca="false">W2492+ROW()*0.000000001</f>
        <v>-1.44070998730446</v>
      </c>
      <c r="Z2492" s="55" t="n">
        <f aca="false">X2492+ROW()*0.000000001</f>
        <v>48.0464655601818</v>
      </c>
    </row>
    <row r="2493" customFormat="false" ht="15" hidden="false" customHeight="false" outlineLevel="0" collapsed="false">
      <c r="A2493" s="0" t="n">
        <v>8</v>
      </c>
      <c r="B2493" s="0" t="n">
        <v>10</v>
      </c>
      <c r="C2493" s="0" t="n">
        <v>6</v>
      </c>
      <c r="D2493" s="0" t="n">
        <f aca="false">-1+A2493*0.125</f>
        <v>0</v>
      </c>
      <c r="E2493" s="0" t="n">
        <f aca="false">-1+B2493*0.125</f>
        <v>0.25</v>
      </c>
      <c r="F2493" s="0" t="n">
        <f aca="false">-1+C2493*0.125</f>
        <v>-0.25</v>
      </c>
      <c r="G2493" s="0" t="n">
        <f aca="false">1</f>
        <v>1</v>
      </c>
      <c r="H2493" s="0" t="n">
        <f aca="false">D2493</f>
        <v>0</v>
      </c>
      <c r="I2493" s="0" t="n">
        <f aca="false">E2493</f>
        <v>0.25</v>
      </c>
      <c r="J2493" s="0" t="n">
        <f aca="false">F2493</f>
        <v>-0.25</v>
      </c>
      <c r="K2493" s="0" t="n">
        <f aca="false">D2493*E2493</f>
        <v>0</v>
      </c>
      <c r="L2493" s="0" t="n">
        <f aca="false">D2493*F2493</f>
        <v>-0</v>
      </c>
      <c r="M2493" s="0" t="n">
        <f aca="false">E2493*F2493</f>
        <v>-0.0625</v>
      </c>
      <c r="N2493" s="0" t="n">
        <f aca="false">D2493*D2493</f>
        <v>0</v>
      </c>
      <c r="O2493" s="0" t="n">
        <f aca="false">E2493*E2493</f>
        <v>0.0625</v>
      </c>
      <c r="P2493" s="0" t="n">
        <f aca="false">F2493*F2493</f>
        <v>0.0625</v>
      </c>
      <c r="Q2493" s="0" t="n">
        <f aca="false">SUMPRODUCT(G2493:P2493,_XtX!$B$71:$K$71)</f>
        <v>48.325</v>
      </c>
      <c r="R2493" s="0" t="n">
        <f aca="false">SUMPRODUCT(MMULT(G2493:P2493,_XtX!$B$58:$K$67),G2493:P2493)</f>
        <v>0.12158203125</v>
      </c>
      <c r="S2493" s="0" t="n">
        <f aca="false">04_回帰ANOVA!$K$19*04_回帰ANOVA!$K$14*SQRT(1+R2493)</f>
        <v>0.984650617290782</v>
      </c>
      <c r="T2493" s="0" t="n">
        <f aca="false">Q2493-S2493</f>
        <v>47.3403493827092</v>
      </c>
      <c r="U2493" s="0" t="n">
        <f aca="false">Q2493+S2493</f>
        <v>49.3096506172908</v>
      </c>
      <c r="V2493" s="54" t="b">
        <f aca="false">AND(D2493&gt;=01_因子設定!$L$5-0.000000001,D2493&lt;=01_因子設定!$M$5+0.000000001,E2493&gt;=01_因子設定!$L$6-0.000000001,E2493&lt;=01_因子設定!$M$6+0.000000001,F2493&gt;=01_因子設定!$L$7-0.000000001,F2493&lt;=01_因子設定!$M$7+0.000000001,IF(01_因子設定!$B$20="Box-Behnken",D2493^2+E2493^2+F2493^2&lt;=2+0.000000001,TRUE()))</f>
        <v>1</v>
      </c>
      <c r="W2493" s="55" t="n">
        <f aca="false">IF(V2493,IF(01_因子設定!$B$13="最大化",T2493-01_因子設定!$B$14,IF(01_因子設定!$B$13="最小化",01_因子設定!$B$15-U2493,MIN(T2493-01_因子設定!$B$14,01_因子設定!$B$15-U2493))),-1E+030)</f>
        <v>-1.15965061729077</v>
      </c>
      <c r="X2493" s="55" t="n">
        <f aca="false">IF(V2493,IF(01_因子設定!$B$13="最大化",Q2493,IF(01_因子設定!$B$13="最小化",-Q2493,-ABS(Q2493-01_因子設定!$B$16))),-1E+030)</f>
        <v>48.325</v>
      </c>
      <c r="Y2493" s="55" t="n">
        <f aca="false">W2493+ROW()*0.000000001</f>
        <v>-1.15964812429077</v>
      </c>
      <c r="Z2493" s="55" t="n">
        <f aca="false">X2493+ROW()*0.000000001</f>
        <v>48.325002493</v>
      </c>
    </row>
    <row r="2494" customFormat="false" ht="15" hidden="false" customHeight="false" outlineLevel="0" collapsed="false">
      <c r="A2494" s="0" t="n">
        <v>8</v>
      </c>
      <c r="B2494" s="0" t="n">
        <v>10</v>
      </c>
      <c r="C2494" s="0" t="n">
        <v>7</v>
      </c>
      <c r="D2494" s="0" t="n">
        <f aca="false">-1+A2494*0.125</f>
        <v>0</v>
      </c>
      <c r="E2494" s="0" t="n">
        <f aca="false">-1+B2494*0.125</f>
        <v>0.25</v>
      </c>
      <c r="F2494" s="0" t="n">
        <f aca="false">-1+C2494*0.125</f>
        <v>-0.125</v>
      </c>
      <c r="G2494" s="0" t="n">
        <f aca="false">1</f>
        <v>1</v>
      </c>
      <c r="H2494" s="0" t="n">
        <f aca="false">D2494</f>
        <v>0</v>
      </c>
      <c r="I2494" s="0" t="n">
        <f aca="false">E2494</f>
        <v>0.25</v>
      </c>
      <c r="J2494" s="0" t="n">
        <f aca="false">F2494</f>
        <v>-0.125</v>
      </c>
      <c r="K2494" s="0" t="n">
        <f aca="false">D2494*E2494</f>
        <v>0</v>
      </c>
      <c r="L2494" s="0" t="n">
        <f aca="false">D2494*F2494</f>
        <v>-0</v>
      </c>
      <c r="M2494" s="0" t="n">
        <f aca="false">E2494*F2494</f>
        <v>-0.03125</v>
      </c>
      <c r="N2494" s="0" t="n">
        <f aca="false">D2494*D2494</f>
        <v>0</v>
      </c>
      <c r="O2494" s="0" t="n">
        <f aca="false">E2494*E2494</f>
        <v>0.0625</v>
      </c>
      <c r="P2494" s="0" t="n">
        <f aca="false">F2494*F2494</f>
        <v>0.015625</v>
      </c>
      <c r="Q2494" s="0" t="n">
        <f aca="false">SUMPRODUCT(G2494:P2494,_XtX!$B$71:$K$71)</f>
        <v>48.5667471590909</v>
      </c>
      <c r="R2494" s="0" t="n">
        <f aca="false">SUMPRODUCT(MMULT(G2494:P2494,_XtX!$B$58:$K$67),G2494:P2494)</f>
        <v>0.120257013494318</v>
      </c>
      <c r="S2494" s="0" t="n">
        <f aca="false">04_回帰ANOVA!$K$19*04_回帰ANOVA!$K$14*SQRT(1+R2494)</f>
        <v>0.984068820741811</v>
      </c>
      <c r="T2494" s="0" t="n">
        <f aca="false">Q2494-S2494</f>
        <v>47.5826783383491</v>
      </c>
      <c r="U2494" s="0" t="n">
        <f aca="false">Q2494+S2494</f>
        <v>49.5508159798327</v>
      </c>
      <c r="V2494" s="54" t="b">
        <f aca="false">AND(D2494&gt;=01_因子設定!$L$5-0.000000001,D2494&lt;=01_因子設定!$M$5+0.000000001,E2494&gt;=01_因子設定!$L$6-0.000000001,E2494&lt;=01_因子設定!$M$6+0.000000001,F2494&gt;=01_因子設定!$L$7-0.000000001,F2494&lt;=01_因子設定!$M$7+0.000000001,IF(01_因子設定!$B$20="Box-Behnken",D2494^2+E2494^2+F2494^2&lt;=2+0.000000001,TRUE()))</f>
        <v>1</v>
      </c>
      <c r="W2494" s="55" t="n">
        <f aca="false">IF(V2494,IF(01_因子設定!$B$13="最大化",T2494-01_因子設定!$B$14,IF(01_因子設定!$B$13="最小化",01_因子設定!$B$15-U2494,MIN(T2494-01_因子設定!$B$14,01_因子設定!$B$15-U2494))),-1E+030)</f>
        <v>-0.917321661650895</v>
      </c>
      <c r="X2494" s="55" t="n">
        <f aca="false">IF(V2494,IF(01_因子設定!$B$13="最大化",Q2494,IF(01_因子設定!$B$13="最小化",-Q2494,-ABS(Q2494-01_因子設定!$B$16))),-1E+030)</f>
        <v>48.5667471590909</v>
      </c>
      <c r="Y2494" s="55" t="n">
        <f aca="false">W2494+ROW()*0.000000001</f>
        <v>-0.917319167650895</v>
      </c>
      <c r="Z2494" s="55" t="n">
        <f aca="false">X2494+ROW()*0.000000001</f>
        <v>48.5667496530909</v>
      </c>
    </row>
    <row r="2495" customFormat="false" ht="15" hidden="false" customHeight="false" outlineLevel="0" collapsed="false">
      <c r="A2495" s="0" t="n">
        <v>8</v>
      </c>
      <c r="B2495" s="0" t="n">
        <v>10</v>
      </c>
      <c r="C2495" s="0" t="n">
        <v>8</v>
      </c>
      <c r="D2495" s="0" t="n">
        <f aca="false">-1+A2495*0.125</f>
        <v>0</v>
      </c>
      <c r="E2495" s="0" t="n">
        <f aca="false">-1+B2495*0.125</f>
        <v>0.25</v>
      </c>
      <c r="F2495" s="0" t="n">
        <f aca="false">-1+C2495*0.125</f>
        <v>0</v>
      </c>
      <c r="G2495" s="0" t="n">
        <f aca="false">1</f>
        <v>1</v>
      </c>
      <c r="H2495" s="0" t="n">
        <f aca="false">D2495</f>
        <v>0</v>
      </c>
      <c r="I2495" s="0" t="n">
        <f aca="false">E2495</f>
        <v>0.25</v>
      </c>
      <c r="J2495" s="0" t="n">
        <f aca="false">F2495</f>
        <v>0</v>
      </c>
      <c r="K2495" s="0" t="n">
        <f aca="false">D2495*E2495</f>
        <v>0</v>
      </c>
      <c r="L2495" s="0" t="n">
        <f aca="false">D2495*F2495</f>
        <v>0</v>
      </c>
      <c r="M2495" s="0" t="n">
        <f aca="false">E2495*F2495</f>
        <v>0</v>
      </c>
      <c r="N2495" s="0" t="n">
        <f aca="false">D2495*D2495</f>
        <v>0</v>
      </c>
      <c r="O2495" s="0" t="n">
        <f aca="false">E2495*E2495</f>
        <v>0.0625</v>
      </c>
      <c r="P2495" s="0" t="n">
        <f aca="false">F2495*F2495</f>
        <v>0</v>
      </c>
      <c r="Q2495" s="0" t="n">
        <f aca="false">SUMPRODUCT(G2495:P2495,_XtX!$B$71:$K$71)</f>
        <v>48.7717045454546</v>
      </c>
      <c r="R2495" s="0" t="n">
        <f aca="false">SUMPRODUCT(MMULT(G2495:P2495,_XtX!$B$58:$K$67),G2495:P2495)</f>
        <v>0.120170454545455</v>
      </c>
      <c r="S2495" s="0" t="n">
        <f aca="false">04_回帰ANOVA!$K$19*04_回帰ANOVA!$K$14*SQRT(1+R2495)</f>
        <v>0.984030801962561</v>
      </c>
      <c r="T2495" s="0" t="n">
        <f aca="false">Q2495-S2495</f>
        <v>47.787673743492</v>
      </c>
      <c r="U2495" s="0" t="n">
        <f aca="false">Q2495+S2495</f>
        <v>49.7557353474171</v>
      </c>
      <c r="V2495" s="54" t="b">
        <f aca="false">AND(D2495&gt;=01_因子設定!$L$5-0.000000001,D2495&lt;=01_因子設定!$M$5+0.000000001,E2495&gt;=01_因子設定!$L$6-0.000000001,E2495&lt;=01_因子設定!$M$6+0.000000001,F2495&gt;=01_因子設定!$L$7-0.000000001,F2495&lt;=01_因子設定!$M$7+0.000000001,IF(01_因子設定!$B$20="Box-Behnken",D2495^2+E2495^2+F2495^2&lt;=2+0.000000001,TRUE()))</f>
        <v>1</v>
      </c>
      <c r="W2495" s="55" t="n">
        <f aca="false">IF(V2495,IF(01_因子設定!$B$13="最大化",T2495-01_因子設定!$B$14,IF(01_因子設定!$B$13="最小化",01_因子設定!$B$15-U2495,MIN(T2495-01_因子設定!$B$14,01_因子設定!$B$15-U2495))),-1E+030)</f>
        <v>-0.712326256508007</v>
      </c>
      <c r="X2495" s="55" t="n">
        <f aca="false">IF(V2495,IF(01_因子設定!$B$13="最大化",Q2495,IF(01_因子設定!$B$13="最小化",-Q2495,-ABS(Q2495-01_因子設定!$B$16))),-1E+030)</f>
        <v>48.7717045454546</v>
      </c>
      <c r="Y2495" s="55" t="n">
        <f aca="false">W2495+ROW()*0.000000001</f>
        <v>-0.712323761508007</v>
      </c>
      <c r="Z2495" s="55" t="n">
        <f aca="false">X2495+ROW()*0.000000001</f>
        <v>48.7717070404546</v>
      </c>
    </row>
    <row r="2496" customFormat="false" ht="15" hidden="false" customHeight="false" outlineLevel="0" collapsed="false">
      <c r="A2496" s="0" t="n">
        <v>8</v>
      </c>
      <c r="B2496" s="0" t="n">
        <v>10</v>
      </c>
      <c r="C2496" s="0" t="n">
        <v>9</v>
      </c>
      <c r="D2496" s="0" t="n">
        <f aca="false">-1+A2496*0.125</f>
        <v>0</v>
      </c>
      <c r="E2496" s="0" t="n">
        <f aca="false">-1+B2496*0.125</f>
        <v>0.25</v>
      </c>
      <c r="F2496" s="0" t="n">
        <f aca="false">-1+C2496*0.125</f>
        <v>0.125</v>
      </c>
      <c r="G2496" s="0" t="n">
        <f aca="false">1</f>
        <v>1</v>
      </c>
      <c r="H2496" s="0" t="n">
        <f aca="false">D2496</f>
        <v>0</v>
      </c>
      <c r="I2496" s="0" t="n">
        <f aca="false">E2496</f>
        <v>0.25</v>
      </c>
      <c r="J2496" s="0" t="n">
        <f aca="false">F2496</f>
        <v>0.125</v>
      </c>
      <c r="K2496" s="0" t="n">
        <f aca="false">D2496*E2496</f>
        <v>0</v>
      </c>
      <c r="L2496" s="0" t="n">
        <f aca="false">D2496*F2496</f>
        <v>0</v>
      </c>
      <c r="M2496" s="0" t="n">
        <f aca="false">E2496*F2496</f>
        <v>0.03125</v>
      </c>
      <c r="N2496" s="0" t="n">
        <f aca="false">D2496*D2496</f>
        <v>0</v>
      </c>
      <c r="O2496" s="0" t="n">
        <f aca="false">E2496*E2496</f>
        <v>0.0625</v>
      </c>
      <c r="P2496" s="0" t="n">
        <f aca="false">F2496*F2496</f>
        <v>0.015625</v>
      </c>
      <c r="Q2496" s="0" t="n">
        <f aca="false">SUMPRODUCT(G2496:P2496,_XtX!$B$71:$K$71)</f>
        <v>48.9398721590909</v>
      </c>
      <c r="R2496" s="0" t="n">
        <f aca="false">SUMPRODUCT(MMULT(G2496:P2496,_XtX!$B$58:$K$67),G2496:P2496)</f>
        <v>0.120257013494318</v>
      </c>
      <c r="S2496" s="0" t="n">
        <f aca="false">04_回帰ANOVA!$K$19*04_回帰ANOVA!$K$14*SQRT(1+R2496)</f>
        <v>0.984068820741811</v>
      </c>
      <c r="T2496" s="0" t="n">
        <f aca="false">Q2496-S2496</f>
        <v>47.9558033383491</v>
      </c>
      <c r="U2496" s="0" t="n">
        <f aca="false">Q2496+S2496</f>
        <v>49.9239409798327</v>
      </c>
      <c r="V2496" s="54" t="b">
        <f aca="false">AND(D2496&gt;=01_因子設定!$L$5-0.000000001,D2496&lt;=01_因子設定!$M$5+0.000000001,E2496&gt;=01_因子設定!$L$6-0.000000001,E2496&lt;=01_因子設定!$M$6+0.000000001,F2496&gt;=01_因子設定!$L$7-0.000000001,F2496&lt;=01_因子設定!$M$7+0.000000001,IF(01_因子設定!$B$20="Box-Behnken",D2496^2+E2496^2+F2496^2&lt;=2+0.000000001,TRUE()))</f>
        <v>1</v>
      </c>
      <c r="W2496" s="55" t="n">
        <f aca="false">IF(V2496,IF(01_因子設定!$B$13="最大化",T2496-01_因子設定!$B$14,IF(01_因子設定!$B$13="最小化",01_因子設定!$B$15-U2496,MIN(T2496-01_因子設定!$B$14,01_因子設定!$B$15-U2496))),-1E+030)</f>
        <v>-0.544196661650894</v>
      </c>
      <c r="X2496" s="55" t="n">
        <f aca="false">IF(V2496,IF(01_因子設定!$B$13="最大化",Q2496,IF(01_因子設定!$B$13="最小化",-Q2496,-ABS(Q2496-01_因子設定!$B$16))),-1E+030)</f>
        <v>48.9398721590909</v>
      </c>
      <c r="Y2496" s="55" t="n">
        <f aca="false">W2496+ROW()*0.000000001</f>
        <v>-0.544194165650894</v>
      </c>
      <c r="Z2496" s="55" t="n">
        <f aca="false">X2496+ROW()*0.000000001</f>
        <v>48.9398746550909</v>
      </c>
    </row>
    <row r="2497" customFormat="false" ht="15" hidden="false" customHeight="false" outlineLevel="0" collapsed="false">
      <c r="A2497" s="0" t="n">
        <v>8</v>
      </c>
      <c r="B2497" s="0" t="n">
        <v>10</v>
      </c>
      <c r="C2497" s="0" t="n">
        <v>10</v>
      </c>
      <c r="D2497" s="0" t="n">
        <f aca="false">-1+A2497*0.125</f>
        <v>0</v>
      </c>
      <c r="E2497" s="0" t="n">
        <f aca="false">-1+B2497*0.125</f>
        <v>0.25</v>
      </c>
      <c r="F2497" s="0" t="n">
        <f aca="false">-1+C2497*0.125</f>
        <v>0.25</v>
      </c>
      <c r="G2497" s="0" t="n">
        <f aca="false">1</f>
        <v>1</v>
      </c>
      <c r="H2497" s="0" t="n">
        <f aca="false">D2497</f>
        <v>0</v>
      </c>
      <c r="I2497" s="0" t="n">
        <f aca="false">E2497</f>
        <v>0.25</v>
      </c>
      <c r="J2497" s="0" t="n">
        <f aca="false">F2497</f>
        <v>0.25</v>
      </c>
      <c r="K2497" s="0" t="n">
        <f aca="false">D2497*E2497</f>
        <v>0</v>
      </c>
      <c r="L2497" s="0" t="n">
        <f aca="false">D2497*F2497</f>
        <v>0</v>
      </c>
      <c r="M2497" s="0" t="n">
        <f aca="false">E2497*F2497</f>
        <v>0.0625</v>
      </c>
      <c r="N2497" s="0" t="n">
        <f aca="false">D2497*D2497</f>
        <v>0</v>
      </c>
      <c r="O2497" s="0" t="n">
        <f aca="false">E2497*E2497</f>
        <v>0.0625</v>
      </c>
      <c r="P2497" s="0" t="n">
        <f aca="false">F2497*F2497</f>
        <v>0.0625</v>
      </c>
      <c r="Q2497" s="0" t="n">
        <f aca="false">SUMPRODUCT(G2497:P2497,_XtX!$B$71:$K$71)</f>
        <v>49.07125</v>
      </c>
      <c r="R2497" s="0" t="n">
        <f aca="false">SUMPRODUCT(MMULT(G2497:P2497,_XtX!$B$58:$K$67),G2497:P2497)</f>
        <v>0.12158203125</v>
      </c>
      <c r="S2497" s="0" t="n">
        <f aca="false">04_回帰ANOVA!$K$19*04_回帰ANOVA!$K$14*SQRT(1+R2497)</f>
        <v>0.984650617290782</v>
      </c>
      <c r="T2497" s="0" t="n">
        <f aca="false">Q2497-S2497</f>
        <v>48.0865993827092</v>
      </c>
      <c r="U2497" s="0" t="n">
        <f aca="false">Q2497+S2497</f>
        <v>50.0559006172908</v>
      </c>
      <c r="V2497" s="54" t="b">
        <f aca="false">AND(D2497&gt;=01_因子設定!$L$5-0.000000001,D2497&lt;=01_因子設定!$M$5+0.000000001,E2497&gt;=01_因子設定!$L$6-0.000000001,E2497&lt;=01_因子設定!$M$6+0.000000001,F2497&gt;=01_因子設定!$L$7-0.000000001,F2497&lt;=01_因子設定!$M$7+0.000000001,IF(01_因子設定!$B$20="Box-Behnken",D2497^2+E2497^2+F2497^2&lt;=2+0.000000001,TRUE()))</f>
        <v>1</v>
      </c>
      <c r="W2497" s="55" t="n">
        <f aca="false">IF(V2497,IF(01_因子設定!$B$13="最大化",T2497-01_因子設定!$B$14,IF(01_因子設定!$B$13="最小化",01_因子設定!$B$15-U2497,MIN(T2497-01_因子設定!$B$14,01_因子設定!$B$15-U2497))),-1E+030)</f>
        <v>-0.413400617290769</v>
      </c>
      <c r="X2497" s="55" t="n">
        <f aca="false">IF(V2497,IF(01_因子設定!$B$13="最大化",Q2497,IF(01_因子設定!$B$13="最小化",-Q2497,-ABS(Q2497-01_因子設定!$B$16))),-1E+030)</f>
        <v>49.07125</v>
      </c>
      <c r="Y2497" s="55" t="n">
        <f aca="false">W2497+ROW()*0.000000001</f>
        <v>-0.413398120290769</v>
      </c>
      <c r="Z2497" s="55" t="n">
        <f aca="false">X2497+ROW()*0.000000001</f>
        <v>49.071252497</v>
      </c>
    </row>
    <row r="2498" customFormat="false" ht="15" hidden="false" customHeight="false" outlineLevel="0" collapsed="false">
      <c r="A2498" s="0" t="n">
        <v>8</v>
      </c>
      <c r="B2498" s="0" t="n">
        <v>10</v>
      </c>
      <c r="C2498" s="0" t="n">
        <v>11</v>
      </c>
      <c r="D2498" s="0" t="n">
        <f aca="false">-1+A2498*0.125</f>
        <v>0</v>
      </c>
      <c r="E2498" s="0" t="n">
        <f aca="false">-1+B2498*0.125</f>
        <v>0.25</v>
      </c>
      <c r="F2498" s="0" t="n">
        <f aca="false">-1+C2498*0.125</f>
        <v>0.375</v>
      </c>
      <c r="G2498" s="0" t="n">
        <f aca="false">1</f>
        <v>1</v>
      </c>
      <c r="H2498" s="0" t="n">
        <f aca="false">D2498</f>
        <v>0</v>
      </c>
      <c r="I2498" s="0" t="n">
        <f aca="false">E2498</f>
        <v>0.25</v>
      </c>
      <c r="J2498" s="0" t="n">
        <f aca="false">F2498</f>
        <v>0.375</v>
      </c>
      <c r="K2498" s="0" t="n">
        <f aca="false">D2498*E2498</f>
        <v>0</v>
      </c>
      <c r="L2498" s="0" t="n">
        <f aca="false">D2498*F2498</f>
        <v>0</v>
      </c>
      <c r="M2498" s="0" t="n">
        <f aca="false">E2498*F2498</f>
        <v>0.09375</v>
      </c>
      <c r="N2498" s="0" t="n">
        <f aca="false">D2498*D2498</f>
        <v>0</v>
      </c>
      <c r="O2498" s="0" t="n">
        <f aca="false">E2498*E2498</f>
        <v>0.0625</v>
      </c>
      <c r="P2498" s="0" t="n">
        <f aca="false">F2498*F2498</f>
        <v>0.140625</v>
      </c>
      <c r="Q2498" s="0" t="n">
        <f aca="false">SUMPRODUCT(G2498:P2498,_XtX!$B$71:$K$71)</f>
        <v>49.1658380681818</v>
      </c>
      <c r="R2498" s="0" t="n">
        <f aca="false">SUMPRODUCT(MMULT(G2498:P2498,_XtX!$B$58:$K$67),G2498:P2498)</f>
        <v>0.127341530539773</v>
      </c>
      <c r="S2498" s="0" t="n">
        <f aca="false">04_回帰ANOVA!$K$19*04_回帰ANOVA!$K$14*SQRT(1+R2498)</f>
        <v>0.987175547486288</v>
      </c>
      <c r="T2498" s="0" t="n">
        <f aca="false">Q2498-S2498</f>
        <v>48.1786625206955</v>
      </c>
      <c r="U2498" s="0" t="n">
        <f aca="false">Q2498+S2498</f>
        <v>50.1530136156681</v>
      </c>
      <c r="V2498" s="54" t="b">
        <f aca="false">AND(D2498&gt;=01_因子設定!$L$5-0.000000001,D2498&lt;=01_因子設定!$M$5+0.000000001,E2498&gt;=01_因子設定!$L$6-0.000000001,E2498&lt;=01_因子設定!$M$6+0.000000001,F2498&gt;=01_因子設定!$L$7-0.000000001,F2498&lt;=01_因子設定!$M$7+0.000000001,IF(01_因子設定!$B$20="Box-Behnken",D2498^2+E2498^2+F2498^2&lt;=2+0.000000001,TRUE()))</f>
        <v>1</v>
      </c>
      <c r="W2498" s="55" t="n">
        <f aca="false">IF(V2498,IF(01_因子設定!$B$13="最大化",T2498-01_因子設定!$B$14,IF(01_因子設定!$B$13="最小化",01_因子設定!$B$15-U2498,MIN(T2498-01_因子設定!$B$14,01_因子設定!$B$15-U2498))),-1E+030)</f>
        <v>-0.321337479304461</v>
      </c>
      <c r="X2498" s="55" t="n">
        <f aca="false">IF(V2498,IF(01_因子設定!$B$13="最大化",Q2498,IF(01_因子設定!$B$13="最小化",-Q2498,-ABS(Q2498-01_因子設定!$B$16))),-1E+030)</f>
        <v>49.1658380681818</v>
      </c>
      <c r="Y2498" s="55" t="n">
        <f aca="false">W2498+ROW()*0.000000001</f>
        <v>-0.321334981304461</v>
      </c>
      <c r="Z2498" s="55" t="n">
        <f aca="false">X2498+ROW()*0.000000001</f>
        <v>49.1658405661818</v>
      </c>
    </row>
    <row r="2499" customFormat="false" ht="15" hidden="false" customHeight="false" outlineLevel="0" collapsed="false">
      <c r="A2499" s="0" t="n">
        <v>8</v>
      </c>
      <c r="B2499" s="0" t="n">
        <v>10</v>
      </c>
      <c r="C2499" s="0" t="n">
        <v>12</v>
      </c>
      <c r="D2499" s="0" t="n">
        <f aca="false">-1+A2499*0.125</f>
        <v>0</v>
      </c>
      <c r="E2499" s="0" t="n">
        <f aca="false">-1+B2499*0.125</f>
        <v>0.25</v>
      </c>
      <c r="F2499" s="0" t="n">
        <f aca="false">-1+C2499*0.125</f>
        <v>0.5</v>
      </c>
      <c r="G2499" s="0" t="n">
        <f aca="false">1</f>
        <v>1</v>
      </c>
      <c r="H2499" s="0" t="n">
        <f aca="false">D2499</f>
        <v>0</v>
      </c>
      <c r="I2499" s="0" t="n">
        <f aca="false">E2499</f>
        <v>0.25</v>
      </c>
      <c r="J2499" s="0" t="n">
        <f aca="false">F2499</f>
        <v>0.5</v>
      </c>
      <c r="K2499" s="0" t="n">
        <f aca="false">D2499*E2499</f>
        <v>0</v>
      </c>
      <c r="L2499" s="0" t="n">
        <f aca="false">D2499*F2499</f>
        <v>0</v>
      </c>
      <c r="M2499" s="0" t="n">
        <f aca="false">E2499*F2499</f>
        <v>0.125</v>
      </c>
      <c r="N2499" s="0" t="n">
        <f aca="false">D2499*D2499</f>
        <v>0</v>
      </c>
      <c r="O2499" s="0" t="n">
        <f aca="false">E2499*E2499</f>
        <v>0.0625</v>
      </c>
      <c r="P2499" s="0" t="n">
        <f aca="false">F2499*F2499</f>
        <v>0.25</v>
      </c>
      <c r="Q2499" s="0" t="n">
        <f aca="false">SUMPRODUCT(G2499:P2499,_XtX!$B$71:$K$71)</f>
        <v>49.2236363636364</v>
      </c>
      <c r="R2499" s="0" t="n">
        <f aca="false">SUMPRODUCT(MMULT(G2499:P2499,_XtX!$B$58:$K$67),G2499:P2499)</f>
        <v>0.142862215909091</v>
      </c>
      <c r="S2499" s="0" t="n">
        <f aca="false">04_回帰ANOVA!$K$19*04_回帰ANOVA!$K$14*SQRT(1+R2499)</f>
        <v>0.993947792354123</v>
      </c>
      <c r="T2499" s="0" t="n">
        <f aca="false">Q2499-S2499</f>
        <v>48.2296885712823</v>
      </c>
      <c r="U2499" s="0" t="n">
        <f aca="false">Q2499+S2499</f>
        <v>50.2175841559905</v>
      </c>
      <c r="V2499" s="54" t="b">
        <f aca="false">AND(D2499&gt;=01_因子設定!$L$5-0.000000001,D2499&lt;=01_因子設定!$M$5+0.000000001,E2499&gt;=01_因子設定!$L$6-0.000000001,E2499&lt;=01_因子設定!$M$6+0.000000001,F2499&gt;=01_因子設定!$L$7-0.000000001,F2499&lt;=01_因子設定!$M$7+0.000000001,IF(01_因子設定!$B$20="Box-Behnken",D2499^2+E2499^2+F2499^2&lt;=2+0.000000001,TRUE()))</f>
        <v>1</v>
      </c>
      <c r="W2499" s="55" t="n">
        <f aca="false">IF(V2499,IF(01_因子設定!$B$13="最大化",T2499-01_因子設定!$B$14,IF(01_因子設定!$B$13="最小化",01_因子設定!$B$15-U2499,MIN(T2499-01_因子設定!$B$14,01_因子設定!$B$15-U2499))),-1E+030)</f>
        <v>-0.27031142871774</v>
      </c>
      <c r="X2499" s="55" t="n">
        <f aca="false">IF(V2499,IF(01_因子設定!$B$13="最大化",Q2499,IF(01_因子設定!$B$13="最小化",-Q2499,-ABS(Q2499-01_因子設定!$B$16))),-1E+030)</f>
        <v>49.2236363636364</v>
      </c>
      <c r="Y2499" s="55" t="n">
        <f aca="false">W2499+ROW()*0.000000001</f>
        <v>-0.27030892971774</v>
      </c>
      <c r="Z2499" s="55" t="n">
        <f aca="false">X2499+ROW()*0.000000001</f>
        <v>49.2236388626364</v>
      </c>
    </row>
    <row r="2500" customFormat="false" ht="15" hidden="false" customHeight="false" outlineLevel="0" collapsed="false">
      <c r="A2500" s="0" t="n">
        <v>8</v>
      </c>
      <c r="B2500" s="0" t="n">
        <v>10</v>
      </c>
      <c r="C2500" s="0" t="n">
        <v>13</v>
      </c>
      <c r="D2500" s="0" t="n">
        <f aca="false">-1+A2500*0.125</f>
        <v>0</v>
      </c>
      <c r="E2500" s="0" t="n">
        <f aca="false">-1+B2500*0.125</f>
        <v>0.25</v>
      </c>
      <c r="F2500" s="0" t="n">
        <f aca="false">-1+C2500*0.125</f>
        <v>0.625</v>
      </c>
      <c r="G2500" s="0" t="n">
        <f aca="false">1</f>
        <v>1</v>
      </c>
      <c r="H2500" s="0" t="n">
        <f aca="false">D2500</f>
        <v>0</v>
      </c>
      <c r="I2500" s="0" t="n">
        <f aca="false">E2500</f>
        <v>0.25</v>
      </c>
      <c r="J2500" s="0" t="n">
        <f aca="false">F2500</f>
        <v>0.625</v>
      </c>
      <c r="K2500" s="0" t="n">
        <f aca="false">D2500*E2500</f>
        <v>0</v>
      </c>
      <c r="L2500" s="0" t="n">
        <f aca="false">D2500*F2500</f>
        <v>0</v>
      </c>
      <c r="M2500" s="0" t="n">
        <f aca="false">E2500*F2500</f>
        <v>0.15625</v>
      </c>
      <c r="N2500" s="0" t="n">
        <f aca="false">D2500*D2500</f>
        <v>0</v>
      </c>
      <c r="O2500" s="0" t="n">
        <f aca="false">E2500*E2500</f>
        <v>0.0625</v>
      </c>
      <c r="P2500" s="0" t="n">
        <f aca="false">F2500*F2500</f>
        <v>0.390625</v>
      </c>
      <c r="Q2500" s="0" t="n">
        <f aca="false">SUMPRODUCT(G2500:P2500,_XtX!$B$71:$K$71)</f>
        <v>49.2446448863637</v>
      </c>
      <c r="R2500" s="0" t="n">
        <f aca="false">SUMPRODUCT(MMULT(G2500:P2500,_XtX!$B$58:$K$67),G2500:P2500)</f>
        <v>0.175601473721591</v>
      </c>
      <c r="S2500" s="0" t="n">
        <f aca="false">04_回帰ANOVA!$K$19*04_回帰ANOVA!$K$14*SQRT(1+R2500)</f>
        <v>1.00808394234856</v>
      </c>
      <c r="T2500" s="0" t="n">
        <f aca="false">Q2500-S2500</f>
        <v>48.2365609440151</v>
      </c>
      <c r="U2500" s="0" t="n">
        <f aca="false">Q2500+S2500</f>
        <v>50.2527288287122</v>
      </c>
      <c r="V2500" s="54" t="b">
        <f aca="false">AND(D2500&gt;=01_因子設定!$L$5-0.000000001,D2500&lt;=01_因子設定!$M$5+0.000000001,E2500&gt;=01_因子設定!$L$6-0.000000001,E2500&lt;=01_因子設定!$M$6+0.000000001,F2500&gt;=01_因子設定!$L$7-0.000000001,F2500&lt;=01_因子設定!$M$7+0.000000001,IF(01_因子設定!$B$20="Box-Behnken",D2500^2+E2500^2+F2500^2&lt;=2+0.000000001,TRUE()))</f>
        <v>1</v>
      </c>
      <c r="W2500" s="55" t="n">
        <f aca="false">IF(V2500,IF(01_因子設定!$B$13="最大化",T2500-01_因子設定!$B$14,IF(01_因子設定!$B$13="最小化",01_因子設定!$B$15-U2500,MIN(T2500-01_因子設定!$B$14,01_因子設定!$B$15-U2500))),-1E+030)</f>
        <v>-0.263439055984911</v>
      </c>
      <c r="X2500" s="55" t="n">
        <f aca="false">IF(V2500,IF(01_因子設定!$B$13="最大化",Q2500,IF(01_因子設定!$B$13="最小化",-Q2500,-ABS(Q2500-01_因子設定!$B$16))),-1E+030)</f>
        <v>49.2446448863637</v>
      </c>
      <c r="Y2500" s="55" t="n">
        <f aca="false">W2500+ROW()*0.000000001</f>
        <v>-0.263436555984911</v>
      </c>
      <c r="Z2500" s="55" t="n">
        <f aca="false">X2500+ROW()*0.000000001</f>
        <v>49.2446473863637</v>
      </c>
    </row>
    <row r="2501" customFormat="false" ht="15" hidden="false" customHeight="false" outlineLevel="0" collapsed="false">
      <c r="A2501" s="0" t="n">
        <v>8</v>
      </c>
      <c r="B2501" s="0" t="n">
        <v>10</v>
      </c>
      <c r="C2501" s="0" t="n">
        <v>14</v>
      </c>
      <c r="D2501" s="0" t="n">
        <f aca="false">-1+A2501*0.125</f>
        <v>0</v>
      </c>
      <c r="E2501" s="0" t="n">
        <f aca="false">-1+B2501*0.125</f>
        <v>0.25</v>
      </c>
      <c r="F2501" s="0" t="n">
        <f aca="false">-1+C2501*0.125</f>
        <v>0.75</v>
      </c>
      <c r="G2501" s="0" t="n">
        <f aca="false">1</f>
        <v>1</v>
      </c>
      <c r="H2501" s="0" t="n">
        <f aca="false">D2501</f>
        <v>0</v>
      </c>
      <c r="I2501" s="0" t="n">
        <f aca="false">E2501</f>
        <v>0.25</v>
      </c>
      <c r="J2501" s="0" t="n">
        <f aca="false">F2501</f>
        <v>0.75</v>
      </c>
      <c r="K2501" s="0" t="n">
        <f aca="false">D2501*E2501</f>
        <v>0</v>
      </c>
      <c r="L2501" s="0" t="n">
        <f aca="false">D2501*F2501</f>
        <v>0</v>
      </c>
      <c r="M2501" s="0" t="n">
        <f aca="false">E2501*F2501</f>
        <v>0.1875</v>
      </c>
      <c r="N2501" s="0" t="n">
        <f aca="false">D2501*D2501</f>
        <v>0</v>
      </c>
      <c r="O2501" s="0" t="n">
        <f aca="false">E2501*E2501</f>
        <v>0.0625</v>
      </c>
      <c r="P2501" s="0" t="n">
        <f aca="false">F2501*F2501</f>
        <v>0.5625</v>
      </c>
      <c r="Q2501" s="0" t="n">
        <f aca="false">SUMPRODUCT(G2501:P2501,_XtX!$B$71:$K$71)</f>
        <v>49.2288636363637</v>
      </c>
      <c r="R2501" s="0" t="n">
        <f aca="false">SUMPRODUCT(MMULT(G2501:P2501,_XtX!$B$58:$K$67),G2501:P2501)</f>
        <v>0.235147372159091</v>
      </c>
      <c r="S2501" s="0" t="n">
        <f aca="false">04_回帰ANOVA!$K$19*04_回帰ANOVA!$K$14*SQRT(1+R2501)</f>
        <v>1.03329903885461</v>
      </c>
      <c r="T2501" s="0" t="n">
        <f aca="false">Q2501-S2501</f>
        <v>48.1955645975091</v>
      </c>
      <c r="U2501" s="0" t="n">
        <f aca="false">Q2501+S2501</f>
        <v>50.2621626752183</v>
      </c>
      <c r="V2501" s="54" t="b">
        <f aca="false">AND(D2501&gt;=01_因子設定!$L$5-0.000000001,D2501&lt;=01_因子設定!$M$5+0.000000001,E2501&gt;=01_因子設定!$L$6-0.000000001,E2501&lt;=01_因子設定!$M$6+0.000000001,F2501&gt;=01_因子設定!$L$7-0.000000001,F2501&lt;=01_因子設定!$M$7+0.000000001,IF(01_因子設定!$B$20="Box-Behnken",D2501^2+E2501^2+F2501^2&lt;=2+0.000000001,TRUE()))</f>
        <v>1</v>
      </c>
      <c r="W2501" s="55" t="n">
        <f aca="false">IF(V2501,IF(01_因子設定!$B$13="最大化",T2501-01_因子設定!$B$14,IF(01_因子設定!$B$13="最小化",01_因子設定!$B$15-U2501,MIN(T2501-01_因子設定!$B$14,01_因子設定!$B$15-U2501))),-1E+030)</f>
        <v>-0.304435402490952</v>
      </c>
      <c r="X2501" s="55" t="n">
        <f aca="false">IF(V2501,IF(01_因子設定!$B$13="最大化",Q2501,IF(01_因子設定!$B$13="最小化",-Q2501,-ABS(Q2501-01_因子設定!$B$16))),-1E+030)</f>
        <v>49.2288636363637</v>
      </c>
      <c r="Y2501" s="55" t="n">
        <f aca="false">W2501+ROW()*0.000000001</f>
        <v>-0.304432901490952</v>
      </c>
      <c r="Z2501" s="55" t="n">
        <f aca="false">X2501+ROW()*0.000000001</f>
        <v>49.2288661373637</v>
      </c>
    </row>
    <row r="2502" customFormat="false" ht="15" hidden="false" customHeight="false" outlineLevel="0" collapsed="false">
      <c r="A2502" s="0" t="n">
        <v>8</v>
      </c>
      <c r="B2502" s="0" t="n">
        <v>10</v>
      </c>
      <c r="C2502" s="0" t="n">
        <v>15</v>
      </c>
      <c r="D2502" s="0" t="n">
        <f aca="false">-1+A2502*0.125</f>
        <v>0</v>
      </c>
      <c r="E2502" s="0" t="n">
        <f aca="false">-1+B2502*0.125</f>
        <v>0.25</v>
      </c>
      <c r="F2502" s="0" t="n">
        <f aca="false">-1+C2502*0.125</f>
        <v>0.875</v>
      </c>
      <c r="G2502" s="0" t="n">
        <f aca="false">1</f>
        <v>1</v>
      </c>
      <c r="H2502" s="0" t="n">
        <f aca="false">D2502</f>
        <v>0</v>
      </c>
      <c r="I2502" s="0" t="n">
        <f aca="false">E2502</f>
        <v>0.25</v>
      </c>
      <c r="J2502" s="0" t="n">
        <f aca="false">F2502</f>
        <v>0.875</v>
      </c>
      <c r="K2502" s="0" t="n">
        <f aca="false">D2502*E2502</f>
        <v>0</v>
      </c>
      <c r="L2502" s="0" t="n">
        <f aca="false">D2502*F2502</f>
        <v>0</v>
      </c>
      <c r="M2502" s="0" t="n">
        <f aca="false">E2502*F2502</f>
        <v>0.21875</v>
      </c>
      <c r="N2502" s="0" t="n">
        <f aca="false">D2502*D2502</f>
        <v>0</v>
      </c>
      <c r="O2502" s="0" t="n">
        <f aca="false">E2502*E2502</f>
        <v>0.0625</v>
      </c>
      <c r="P2502" s="0" t="n">
        <f aca="false">F2502*F2502</f>
        <v>0.765625</v>
      </c>
      <c r="Q2502" s="0" t="n">
        <f aca="false">SUMPRODUCT(G2502:P2502,_XtX!$B$71:$K$71)</f>
        <v>49.1762926136364</v>
      </c>
      <c r="R2502" s="0" t="n">
        <f aca="false">SUMPRODUCT(MMULT(G2502:P2502,_XtX!$B$58:$K$67),G2502:P2502)</f>
        <v>0.333218661221591</v>
      </c>
      <c r="S2502" s="0" t="n">
        <f aca="false">04_回帰ANOVA!$K$19*04_回帰ANOVA!$K$14*SQRT(1+R2502)</f>
        <v>1.07353776826542</v>
      </c>
      <c r="T2502" s="0" t="n">
        <f aca="false">Q2502-S2502</f>
        <v>48.102754845371</v>
      </c>
      <c r="U2502" s="0" t="n">
        <f aca="false">Q2502+S2502</f>
        <v>50.2498303819018</v>
      </c>
      <c r="V2502" s="54" t="b">
        <f aca="false">AND(D2502&gt;=01_因子設定!$L$5-0.000000001,D2502&lt;=01_因子設定!$M$5+0.000000001,E2502&gt;=01_因子設定!$L$6-0.000000001,E2502&lt;=01_因子設定!$M$6+0.000000001,F2502&gt;=01_因子設定!$L$7-0.000000001,F2502&lt;=01_因子設定!$M$7+0.000000001,IF(01_因子設定!$B$20="Box-Behnken",D2502^2+E2502^2+F2502^2&lt;=2+0.000000001,TRUE()))</f>
        <v>1</v>
      </c>
      <c r="W2502" s="55" t="n">
        <f aca="false">IF(V2502,IF(01_因子設定!$B$13="最大化",T2502-01_因子設定!$B$14,IF(01_因子設定!$B$13="最小化",01_因子設定!$B$15-U2502,MIN(T2502-01_因子設定!$B$14,01_因子設定!$B$15-U2502))),-1E+030)</f>
        <v>-0.397245154629033</v>
      </c>
      <c r="X2502" s="55" t="n">
        <f aca="false">IF(V2502,IF(01_因子設定!$B$13="最大化",Q2502,IF(01_因子設定!$B$13="最小化",-Q2502,-ABS(Q2502-01_因子設定!$B$16))),-1E+030)</f>
        <v>49.1762926136364</v>
      </c>
      <c r="Y2502" s="55" t="n">
        <f aca="false">W2502+ROW()*0.000000001</f>
        <v>-0.397242652629033</v>
      </c>
      <c r="Z2502" s="55" t="n">
        <f aca="false">X2502+ROW()*0.000000001</f>
        <v>49.1762951156364</v>
      </c>
    </row>
    <row r="2503" customFormat="false" ht="15" hidden="false" customHeight="false" outlineLevel="0" collapsed="false">
      <c r="A2503" s="0" t="n">
        <v>8</v>
      </c>
      <c r="B2503" s="0" t="n">
        <v>10</v>
      </c>
      <c r="C2503" s="0" t="n">
        <v>16</v>
      </c>
      <c r="D2503" s="0" t="n">
        <f aca="false">-1+A2503*0.125</f>
        <v>0</v>
      </c>
      <c r="E2503" s="0" t="n">
        <f aca="false">-1+B2503*0.125</f>
        <v>0.25</v>
      </c>
      <c r="F2503" s="0" t="n">
        <f aca="false">-1+C2503*0.125</f>
        <v>1</v>
      </c>
      <c r="G2503" s="0" t="n">
        <f aca="false">1</f>
        <v>1</v>
      </c>
      <c r="H2503" s="0" t="n">
        <f aca="false">D2503</f>
        <v>0</v>
      </c>
      <c r="I2503" s="0" t="n">
        <f aca="false">E2503</f>
        <v>0.25</v>
      </c>
      <c r="J2503" s="0" t="n">
        <f aca="false">F2503</f>
        <v>1</v>
      </c>
      <c r="K2503" s="0" t="n">
        <f aca="false">D2503*E2503</f>
        <v>0</v>
      </c>
      <c r="L2503" s="0" t="n">
        <f aca="false">D2503*F2503</f>
        <v>0</v>
      </c>
      <c r="M2503" s="0" t="n">
        <f aca="false">E2503*F2503</f>
        <v>0.25</v>
      </c>
      <c r="N2503" s="0" t="n">
        <f aca="false">D2503*D2503</f>
        <v>0</v>
      </c>
      <c r="O2503" s="0" t="n">
        <f aca="false">E2503*E2503</f>
        <v>0.0625</v>
      </c>
      <c r="P2503" s="0" t="n">
        <f aca="false">F2503*F2503</f>
        <v>1</v>
      </c>
      <c r="Q2503" s="0" t="n">
        <f aca="false">SUMPRODUCT(G2503:P2503,_XtX!$B$71:$K$71)</f>
        <v>49.0869318181818</v>
      </c>
      <c r="R2503" s="0" t="n">
        <f aca="false">SUMPRODUCT(MMULT(G2503:P2503,_XtX!$B$58:$K$67),G2503:P2503)</f>
        <v>0.483664772727273</v>
      </c>
      <c r="S2503" s="0" t="n">
        <f aca="false">04_回帰ANOVA!$K$19*04_回帰ANOVA!$K$14*SQRT(1+R2503)</f>
        <v>1.13249039846694</v>
      </c>
      <c r="T2503" s="0" t="n">
        <f aca="false">Q2503-S2503</f>
        <v>47.9544414197149</v>
      </c>
      <c r="U2503" s="0" t="n">
        <f aca="false">Q2503+S2503</f>
        <v>50.2194222166488</v>
      </c>
      <c r="V2503" s="54" t="b">
        <f aca="false">AND(D2503&gt;=01_因子設定!$L$5-0.000000001,D2503&lt;=01_因子設定!$M$5+0.000000001,E2503&gt;=01_因子設定!$L$6-0.000000001,E2503&lt;=01_因子設定!$M$6+0.000000001,F2503&gt;=01_因子設定!$L$7-0.000000001,F2503&lt;=01_因子設定!$M$7+0.000000001,IF(01_因子設定!$B$20="Box-Behnken",D2503^2+E2503^2+F2503^2&lt;=2+0.000000001,TRUE()))</f>
        <v>1</v>
      </c>
      <c r="W2503" s="55" t="n">
        <f aca="false">IF(V2503,IF(01_因子設定!$B$13="最大化",T2503-01_因子設定!$B$14,IF(01_因子設定!$B$13="最小化",01_因子設定!$B$15-U2503,MIN(T2503-01_因子設定!$B$14,01_因子設定!$B$15-U2503))),-1E+030)</f>
        <v>-0.545558580285089</v>
      </c>
      <c r="X2503" s="55" t="n">
        <f aca="false">IF(V2503,IF(01_因子設定!$B$13="最大化",Q2503,IF(01_因子設定!$B$13="最小化",-Q2503,-ABS(Q2503-01_因子設定!$B$16))),-1E+030)</f>
        <v>49.0869318181818</v>
      </c>
      <c r="Y2503" s="55" t="n">
        <f aca="false">W2503+ROW()*0.000000001</f>
        <v>-0.545556077285089</v>
      </c>
      <c r="Z2503" s="55" t="n">
        <f aca="false">X2503+ROW()*0.000000001</f>
        <v>49.0869343211818</v>
      </c>
    </row>
    <row r="2504" customFormat="false" ht="15" hidden="false" customHeight="false" outlineLevel="0" collapsed="false">
      <c r="A2504" s="0" t="n">
        <v>8</v>
      </c>
      <c r="B2504" s="0" t="n">
        <v>11</v>
      </c>
      <c r="C2504" s="0" t="n">
        <v>0</v>
      </c>
      <c r="D2504" s="0" t="n">
        <f aca="false">-1+A2504*0.125</f>
        <v>0</v>
      </c>
      <c r="E2504" s="0" t="n">
        <f aca="false">-1+B2504*0.125</f>
        <v>0.375</v>
      </c>
      <c r="F2504" s="0" t="n">
        <f aca="false">-1+C2504*0.125</f>
        <v>-1</v>
      </c>
      <c r="G2504" s="0" t="n">
        <f aca="false">1</f>
        <v>1</v>
      </c>
      <c r="H2504" s="0" t="n">
        <f aca="false">D2504</f>
        <v>0</v>
      </c>
      <c r="I2504" s="0" t="n">
        <f aca="false">E2504</f>
        <v>0.375</v>
      </c>
      <c r="J2504" s="0" t="n">
        <f aca="false">F2504</f>
        <v>-1</v>
      </c>
      <c r="K2504" s="0" t="n">
        <f aca="false">D2504*E2504</f>
        <v>0</v>
      </c>
      <c r="L2504" s="0" t="n">
        <f aca="false">D2504*F2504</f>
        <v>-0</v>
      </c>
      <c r="M2504" s="0" t="n">
        <f aca="false">E2504*F2504</f>
        <v>-0.375</v>
      </c>
      <c r="N2504" s="0" t="n">
        <f aca="false">D2504*D2504</f>
        <v>0</v>
      </c>
      <c r="O2504" s="0" t="n">
        <f aca="false">E2504*E2504</f>
        <v>0.140625</v>
      </c>
      <c r="P2504" s="0" t="n">
        <f aca="false">F2504*F2504</f>
        <v>1</v>
      </c>
      <c r="Q2504" s="0" t="n">
        <f aca="false">SUMPRODUCT(G2504:P2504,_XtX!$B$71:$K$71)</f>
        <v>46.1460511363637</v>
      </c>
      <c r="R2504" s="0" t="n">
        <f aca="false">SUMPRODUCT(MMULT(G2504:P2504,_XtX!$B$58:$K$67),G2504:P2504)</f>
        <v>0.478604403409091</v>
      </c>
      <c r="S2504" s="0" t="n">
        <f aca="false">04_回帰ANOVA!$K$19*04_回帰ANOVA!$K$14*SQRT(1+R2504)</f>
        <v>1.13055744343508</v>
      </c>
      <c r="T2504" s="0" t="n">
        <f aca="false">Q2504-S2504</f>
        <v>45.0154936929286</v>
      </c>
      <c r="U2504" s="0" t="n">
        <f aca="false">Q2504+S2504</f>
        <v>47.2766085797988</v>
      </c>
      <c r="V2504" s="54" t="b">
        <f aca="false">AND(D2504&gt;=01_因子設定!$L$5-0.000000001,D2504&lt;=01_因子設定!$M$5+0.000000001,E2504&gt;=01_因子設定!$L$6-0.000000001,E2504&lt;=01_因子設定!$M$6+0.000000001,F2504&gt;=01_因子設定!$L$7-0.000000001,F2504&lt;=01_因子設定!$M$7+0.000000001,IF(01_因子設定!$B$20="Box-Behnken",D2504^2+E2504^2+F2504^2&lt;=2+0.000000001,TRUE()))</f>
        <v>1</v>
      </c>
      <c r="W2504" s="55" t="n">
        <f aca="false">IF(V2504,IF(01_因子設定!$B$13="最大化",T2504-01_因子設定!$B$14,IF(01_因子設定!$B$13="最小化",01_因子設定!$B$15-U2504,MIN(T2504-01_因子設定!$B$14,01_因子設定!$B$15-U2504))),-1E+030)</f>
        <v>-3.48450630707141</v>
      </c>
      <c r="X2504" s="55" t="n">
        <f aca="false">IF(V2504,IF(01_因子設定!$B$13="最大化",Q2504,IF(01_因子設定!$B$13="最小化",-Q2504,-ABS(Q2504-01_因子設定!$B$16))),-1E+030)</f>
        <v>46.1460511363637</v>
      </c>
      <c r="Y2504" s="55" t="n">
        <f aca="false">W2504+ROW()*0.000000001</f>
        <v>-3.48450380307141</v>
      </c>
      <c r="Z2504" s="55" t="n">
        <f aca="false">X2504+ROW()*0.000000001</f>
        <v>46.1460536403637</v>
      </c>
    </row>
    <row r="2505" customFormat="false" ht="15" hidden="false" customHeight="false" outlineLevel="0" collapsed="false">
      <c r="A2505" s="0" t="n">
        <v>8</v>
      </c>
      <c r="B2505" s="0" t="n">
        <v>11</v>
      </c>
      <c r="C2505" s="0" t="n">
        <v>1</v>
      </c>
      <c r="D2505" s="0" t="n">
        <f aca="false">-1+A2505*0.125</f>
        <v>0</v>
      </c>
      <c r="E2505" s="0" t="n">
        <f aca="false">-1+B2505*0.125</f>
        <v>0.375</v>
      </c>
      <c r="F2505" s="0" t="n">
        <f aca="false">-1+C2505*0.125</f>
        <v>-0.875</v>
      </c>
      <c r="G2505" s="0" t="n">
        <f aca="false">1</f>
        <v>1</v>
      </c>
      <c r="H2505" s="0" t="n">
        <f aca="false">D2505</f>
        <v>0</v>
      </c>
      <c r="I2505" s="0" t="n">
        <f aca="false">E2505</f>
        <v>0.375</v>
      </c>
      <c r="J2505" s="0" t="n">
        <f aca="false">F2505</f>
        <v>-0.875</v>
      </c>
      <c r="K2505" s="0" t="n">
        <f aca="false">D2505*E2505</f>
        <v>0</v>
      </c>
      <c r="L2505" s="0" t="n">
        <f aca="false">D2505*F2505</f>
        <v>-0</v>
      </c>
      <c r="M2505" s="0" t="n">
        <f aca="false">E2505*F2505</f>
        <v>-0.328125</v>
      </c>
      <c r="N2505" s="0" t="n">
        <f aca="false">D2505*D2505</f>
        <v>0</v>
      </c>
      <c r="O2505" s="0" t="n">
        <f aca="false">E2505*E2505</f>
        <v>0.140625</v>
      </c>
      <c r="P2505" s="0" t="n">
        <f aca="false">F2505*F2505</f>
        <v>0.765625</v>
      </c>
      <c r="Q2505" s="0" t="n">
        <f aca="false">SUMPRODUCT(G2505:P2505,_XtX!$B$71:$K$71)</f>
        <v>46.6155681818182</v>
      </c>
      <c r="R2505" s="0" t="n">
        <f aca="false">SUMPRODUCT(MMULT(G2505:P2505,_XtX!$B$58:$K$67),G2505:P2505)</f>
        <v>0.330863259055398</v>
      </c>
      <c r="S2505" s="0" t="n">
        <f aca="false">04_回帰ANOVA!$K$19*04_回帰ANOVA!$K$14*SQRT(1+R2505)</f>
        <v>1.07258903754571</v>
      </c>
      <c r="T2505" s="0" t="n">
        <f aca="false">Q2505-S2505</f>
        <v>45.5429791442725</v>
      </c>
      <c r="U2505" s="0" t="n">
        <f aca="false">Q2505+S2505</f>
        <v>47.6881572193639</v>
      </c>
      <c r="V2505" s="54" t="b">
        <f aca="false">AND(D2505&gt;=01_因子設定!$L$5-0.000000001,D2505&lt;=01_因子設定!$M$5+0.000000001,E2505&gt;=01_因子設定!$L$6-0.000000001,E2505&lt;=01_因子設定!$M$6+0.000000001,F2505&gt;=01_因子設定!$L$7-0.000000001,F2505&lt;=01_因子設定!$M$7+0.000000001,IF(01_因子設定!$B$20="Box-Behnken",D2505^2+E2505^2+F2505^2&lt;=2+0.000000001,TRUE()))</f>
        <v>1</v>
      </c>
      <c r="W2505" s="55" t="n">
        <f aca="false">IF(V2505,IF(01_因子設定!$B$13="最大化",T2505-01_因子設定!$B$14,IF(01_因子設定!$B$13="最小化",01_因子設定!$B$15-U2505,MIN(T2505-01_因子設定!$B$14,01_因子設定!$B$15-U2505))),-1E+030)</f>
        <v>-2.9570208557275</v>
      </c>
      <c r="X2505" s="55" t="n">
        <f aca="false">IF(V2505,IF(01_因子設定!$B$13="最大化",Q2505,IF(01_因子設定!$B$13="最小化",-Q2505,-ABS(Q2505-01_因子設定!$B$16))),-1E+030)</f>
        <v>46.6155681818182</v>
      </c>
      <c r="Y2505" s="55" t="n">
        <f aca="false">W2505+ROW()*0.000000001</f>
        <v>-2.9570183507275</v>
      </c>
      <c r="Z2505" s="55" t="n">
        <f aca="false">X2505+ROW()*0.000000001</f>
        <v>46.6155706868182</v>
      </c>
    </row>
    <row r="2506" customFormat="false" ht="15" hidden="false" customHeight="false" outlineLevel="0" collapsed="false">
      <c r="A2506" s="0" t="n">
        <v>8</v>
      </c>
      <c r="B2506" s="0" t="n">
        <v>11</v>
      </c>
      <c r="C2506" s="0" t="n">
        <v>2</v>
      </c>
      <c r="D2506" s="0" t="n">
        <f aca="false">-1+A2506*0.125</f>
        <v>0</v>
      </c>
      <c r="E2506" s="0" t="n">
        <f aca="false">-1+B2506*0.125</f>
        <v>0.375</v>
      </c>
      <c r="F2506" s="0" t="n">
        <f aca="false">-1+C2506*0.125</f>
        <v>-0.75</v>
      </c>
      <c r="G2506" s="0" t="n">
        <f aca="false">1</f>
        <v>1</v>
      </c>
      <c r="H2506" s="0" t="n">
        <f aca="false">D2506</f>
        <v>0</v>
      </c>
      <c r="I2506" s="0" t="n">
        <f aca="false">E2506</f>
        <v>0.375</v>
      </c>
      <c r="J2506" s="0" t="n">
        <f aca="false">F2506</f>
        <v>-0.75</v>
      </c>
      <c r="K2506" s="0" t="n">
        <f aca="false">D2506*E2506</f>
        <v>0</v>
      </c>
      <c r="L2506" s="0" t="n">
        <f aca="false">D2506*F2506</f>
        <v>-0</v>
      </c>
      <c r="M2506" s="0" t="n">
        <f aca="false">E2506*F2506</f>
        <v>-0.28125</v>
      </c>
      <c r="N2506" s="0" t="n">
        <f aca="false">D2506*D2506</f>
        <v>0</v>
      </c>
      <c r="O2506" s="0" t="n">
        <f aca="false">E2506*E2506</f>
        <v>0.140625</v>
      </c>
      <c r="P2506" s="0" t="n">
        <f aca="false">F2506*F2506</f>
        <v>0.5625</v>
      </c>
      <c r="Q2506" s="0" t="n">
        <f aca="false">SUMPRODUCT(G2506:P2506,_XtX!$B$71:$K$71)</f>
        <v>47.0482954545455</v>
      </c>
      <c r="R2506" s="0" t="n">
        <f aca="false">SUMPRODUCT(MMULT(G2506:P2506,_XtX!$B$58:$K$67),G2506:P2506)</f>
        <v>0.235136274857955</v>
      </c>
      <c r="S2506" s="0" t="n">
        <f aca="false">04_回帰ANOVA!$K$19*04_回帰ANOVA!$K$14*SQRT(1+R2506)</f>
        <v>1.03329439695656</v>
      </c>
      <c r="T2506" s="0" t="n">
        <f aca="false">Q2506-S2506</f>
        <v>46.0150010575889</v>
      </c>
      <c r="U2506" s="0" t="n">
        <f aca="false">Q2506+S2506</f>
        <v>48.081589851502</v>
      </c>
      <c r="V2506" s="54" t="b">
        <f aca="false">AND(D2506&gt;=01_因子設定!$L$5-0.000000001,D2506&lt;=01_因子設定!$M$5+0.000000001,E2506&gt;=01_因子設定!$L$6-0.000000001,E2506&lt;=01_因子設定!$M$6+0.000000001,F2506&gt;=01_因子設定!$L$7-0.000000001,F2506&lt;=01_因子設定!$M$7+0.000000001,IF(01_因子設定!$B$20="Box-Behnken",D2506^2+E2506^2+F2506^2&lt;=2+0.000000001,TRUE()))</f>
        <v>1</v>
      </c>
      <c r="W2506" s="55" t="n">
        <f aca="false">IF(V2506,IF(01_因子設定!$B$13="最大化",T2506-01_因子設定!$B$14,IF(01_因子設定!$B$13="最小化",01_因子設定!$B$15-U2506,MIN(T2506-01_因子設定!$B$14,01_因子設定!$B$15-U2506))),-1E+030)</f>
        <v>-2.48499894241108</v>
      </c>
      <c r="X2506" s="55" t="n">
        <f aca="false">IF(V2506,IF(01_因子設定!$B$13="最大化",Q2506,IF(01_因子設定!$B$13="最小化",-Q2506,-ABS(Q2506-01_因子設定!$B$16))),-1E+030)</f>
        <v>47.0482954545455</v>
      </c>
      <c r="Y2506" s="55" t="n">
        <f aca="false">W2506+ROW()*0.000000001</f>
        <v>-2.48499643641108</v>
      </c>
      <c r="Z2506" s="55" t="n">
        <f aca="false">X2506+ROW()*0.000000001</f>
        <v>47.0482979605455</v>
      </c>
    </row>
    <row r="2507" customFormat="false" ht="15" hidden="false" customHeight="false" outlineLevel="0" collapsed="false">
      <c r="A2507" s="0" t="n">
        <v>8</v>
      </c>
      <c r="B2507" s="0" t="n">
        <v>11</v>
      </c>
      <c r="C2507" s="0" t="n">
        <v>3</v>
      </c>
      <c r="D2507" s="0" t="n">
        <f aca="false">-1+A2507*0.125</f>
        <v>0</v>
      </c>
      <c r="E2507" s="0" t="n">
        <f aca="false">-1+B2507*0.125</f>
        <v>0.375</v>
      </c>
      <c r="F2507" s="0" t="n">
        <f aca="false">-1+C2507*0.125</f>
        <v>-0.625</v>
      </c>
      <c r="G2507" s="0" t="n">
        <f aca="false">1</f>
        <v>1</v>
      </c>
      <c r="H2507" s="0" t="n">
        <f aca="false">D2507</f>
        <v>0</v>
      </c>
      <c r="I2507" s="0" t="n">
        <f aca="false">E2507</f>
        <v>0.375</v>
      </c>
      <c r="J2507" s="0" t="n">
        <f aca="false">F2507</f>
        <v>-0.625</v>
      </c>
      <c r="K2507" s="0" t="n">
        <f aca="false">D2507*E2507</f>
        <v>0</v>
      </c>
      <c r="L2507" s="0" t="n">
        <f aca="false">D2507*F2507</f>
        <v>-0</v>
      </c>
      <c r="M2507" s="0" t="n">
        <f aca="false">E2507*F2507</f>
        <v>-0.234375</v>
      </c>
      <c r="N2507" s="0" t="n">
        <f aca="false">D2507*D2507</f>
        <v>0</v>
      </c>
      <c r="O2507" s="0" t="n">
        <f aca="false">E2507*E2507</f>
        <v>0.140625</v>
      </c>
      <c r="P2507" s="0" t="n">
        <f aca="false">F2507*F2507</f>
        <v>0.390625</v>
      </c>
      <c r="Q2507" s="0" t="n">
        <f aca="false">SUMPRODUCT(G2507:P2507,_XtX!$B$71:$K$71)</f>
        <v>47.4442329545455</v>
      </c>
      <c r="R2507" s="0" t="n">
        <f aca="false">SUMPRODUCT(MMULT(G2507:P2507,_XtX!$B$58:$K$67),G2507:P2507)</f>
        <v>0.17757401899858</v>
      </c>
      <c r="S2507" s="0" t="n">
        <f aca="false">04_回帰ANOVA!$K$19*04_回帰ANOVA!$K$14*SQRT(1+R2507)</f>
        <v>1.00892932143276</v>
      </c>
      <c r="T2507" s="0" t="n">
        <f aca="false">Q2507-S2507</f>
        <v>46.4353036331127</v>
      </c>
      <c r="U2507" s="0" t="n">
        <f aca="false">Q2507+S2507</f>
        <v>48.4531622759782</v>
      </c>
      <c r="V2507" s="54" t="b">
        <f aca="false">AND(D2507&gt;=01_因子設定!$L$5-0.000000001,D2507&lt;=01_因子設定!$M$5+0.000000001,E2507&gt;=01_因子設定!$L$6-0.000000001,E2507&lt;=01_因子設定!$M$6+0.000000001,F2507&gt;=01_因子設定!$L$7-0.000000001,F2507&lt;=01_因子設定!$M$7+0.000000001,IF(01_因子設定!$B$20="Box-Behnken",D2507^2+E2507^2+F2507^2&lt;=2+0.000000001,TRUE()))</f>
        <v>1</v>
      </c>
      <c r="W2507" s="55" t="n">
        <f aca="false">IF(V2507,IF(01_因子設定!$B$13="最大化",T2507-01_因子設定!$B$14,IF(01_因子設定!$B$13="最小化",01_因子設定!$B$15-U2507,MIN(T2507-01_因子設定!$B$14,01_因子設定!$B$15-U2507))),-1E+030)</f>
        <v>-2.06469636688729</v>
      </c>
      <c r="X2507" s="55" t="n">
        <f aca="false">IF(V2507,IF(01_因子設定!$B$13="最大化",Q2507,IF(01_因子設定!$B$13="最小化",-Q2507,-ABS(Q2507-01_因子設定!$B$16))),-1E+030)</f>
        <v>47.4442329545455</v>
      </c>
      <c r="Y2507" s="55" t="n">
        <f aca="false">W2507+ROW()*0.000000001</f>
        <v>-2.06469385988729</v>
      </c>
      <c r="Z2507" s="55" t="n">
        <f aca="false">X2507+ROW()*0.000000001</f>
        <v>47.4442354615455</v>
      </c>
    </row>
    <row r="2508" customFormat="false" ht="15" hidden="false" customHeight="false" outlineLevel="0" collapsed="false">
      <c r="A2508" s="0" t="n">
        <v>8</v>
      </c>
      <c r="B2508" s="0" t="n">
        <v>11</v>
      </c>
      <c r="C2508" s="0" t="n">
        <v>4</v>
      </c>
      <c r="D2508" s="0" t="n">
        <f aca="false">-1+A2508*0.125</f>
        <v>0</v>
      </c>
      <c r="E2508" s="0" t="n">
        <f aca="false">-1+B2508*0.125</f>
        <v>0.375</v>
      </c>
      <c r="F2508" s="0" t="n">
        <f aca="false">-1+C2508*0.125</f>
        <v>-0.5</v>
      </c>
      <c r="G2508" s="0" t="n">
        <f aca="false">1</f>
        <v>1</v>
      </c>
      <c r="H2508" s="0" t="n">
        <f aca="false">D2508</f>
        <v>0</v>
      </c>
      <c r="I2508" s="0" t="n">
        <f aca="false">E2508</f>
        <v>0.375</v>
      </c>
      <c r="J2508" s="0" t="n">
        <f aca="false">F2508</f>
        <v>-0.5</v>
      </c>
      <c r="K2508" s="0" t="n">
        <f aca="false">D2508*E2508</f>
        <v>0</v>
      </c>
      <c r="L2508" s="0" t="n">
        <f aca="false">D2508*F2508</f>
        <v>-0</v>
      </c>
      <c r="M2508" s="0" t="n">
        <f aca="false">E2508*F2508</f>
        <v>-0.1875</v>
      </c>
      <c r="N2508" s="0" t="n">
        <f aca="false">D2508*D2508</f>
        <v>0</v>
      </c>
      <c r="O2508" s="0" t="n">
        <f aca="false">E2508*E2508</f>
        <v>0.140625</v>
      </c>
      <c r="P2508" s="0" t="n">
        <f aca="false">F2508*F2508</f>
        <v>0.25</v>
      </c>
      <c r="Q2508" s="0" t="n">
        <f aca="false">SUMPRODUCT(G2508:P2508,_XtX!$B$71:$K$71)</f>
        <v>47.8033806818182</v>
      </c>
      <c r="R2508" s="0" t="n">
        <f aca="false">SUMPRODUCT(MMULT(G2508:P2508,_XtX!$B$58:$K$67),G2508:P2508)</f>
        <v>0.146457741477273</v>
      </c>
      <c r="S2508" s="0" t="n">
        <f aca="false">04_回帰ANOVA!$K$19*04_回帰ANOVA!$K$14*SQRT(1+R2508)</f>
        <v>0.995510079668687</v>
      </c>
      <c r="T2508" s="0" t="n">
        <f aca="false">Q2508-S2508</f>
        <v>46.8078706021495</v>
      </c>
      <c r="U2508" s="0" t="n">
        <f aca="false">Q2508+S2508</f>
        <v>48.7988907614869</v>
      </c>
      <c r="V2508" s="54" t="b">
        <f aca="false">AND(D2508&gt;=01_因子設定!$L$5-0.000000001,D2508&lt;=01_因子設定!$M$5+0.000000001,E2508&gt;=01_因子設定!$L$6-0.000000001,E2508&lt;=01_因子設定!$M$6+0.000000001,F2508&gt;=01_因子設定!$L$7-0.000000001,F2508&lt;=01_因子設定!$M$7+0.000000001,IF(01_因子設定!$B$20="Box-Behnken",D2508^2+E2508^2+F2508^2&lt;=2+0.000000001,TRUE()))</f>
        <v>1</v>
      </c>
      <c r="W2508" s="55" t="n">
        <f aca="false">IF(V2508,IF(01_因子設定!$B$13="最大化",T2508-01_因子設定!$B$14,IF(01_因子設定!$B$13="最小化",01_因子設定!$B$15-U2508,MIN(T2508-01_因子設定!$B$14,01_因子設定!$B$15-U2508))),-1E+030)</f>
        <v>-1.69212939785049</v>
      </c>
      <c r="X2508" s="55" t="n">
        <f aca="false">IF(V2508,IF(01_因子設定!$B$13="最大化",Q2508,IF(01_因子設定!$B$13="最小化",-Q2508,-ABS(Q2508-01_因子設定!$B$16))),-1E+030)</f>
        <v>47.8033806818182</v>
      </c>
      <c r="Y2508" s="55" t="n">
        <f aca="false">W2508+ROW()*0.000000001</f>
        <v>-1.69212688985049</v>
      </c>
      <c r="Z2508" s="55" t="n">
        <f aca="false">X2508+ROW()*0.000000001</f>
        <v>47.8033831898182</v>
      </c>
    </row>
    <row r="2509" customFormat="false" ht="15" hidden="false" customHeight="false" outlineLevel="0" collapsed="false">
      <c r="A2509" s="0" t="n">
        <v>8</v>
      </c>
      <c r="B2509" s="0" t="n">
        <v>11</v>
      </c>
      <c r="C2509" s="0" t="n">
        <v>5</v>
      </c>
      <c r="D2509" s="0" t="n">
        <f aca="false">-1+A2509*0.125</f>
        <v>0</v>
      </c>
      <c r="E2509" s="0" t="n">
        <f aca="false">-1+B2509*0.125</f>
        <v>0.375</v>
      </c>
      <c r="F2509" s="0" t="n">
        <f aca="false">-1+C2509*0.125</f>
        <v>-0.375</v>
      </c>
      <c r="G2509" s="0" t="n">
        <f aca="false">1</f>
        <v>1</v>
      </c>
      <c r="H2509" s="0" t="n">
        <f aca="false">D2509</f>
        <v>0</v>
      </c>
      <c r="I2509" s="0" t="n">
        <f aca="false">E2509</f>
        <v>0.375</v>
      </c>
      <c r="J2509" s="0" t="n">
        <f aca="false">F2509</f>
        <v>-0.375</v>
      </c>
      <c r="K2509" s="0" t="n">
        <f aca="false">D2509*E2509</f>
        <v>0</v>
      </c>
      <c r="L2509" s="0" t="n">
        <f aca="false">D2509*F2509</f>
        <v>-0</v>
      </c>
      <c r="M2509" s="0" t="n">
        <f aca="false">E2509*F2509</f>
        <v>-0.140625</v>
      </c>
      <c r="N2509" s="0" t="n">
        <f aca="false">D2509*D2509</f>
        <v>0</v>
      </c>
      <c r="O2509" s="0" t="n">
        <f aca="false">E2509*E2509</f>
        <v>0.140625</v>
      </c>
      <c r="P2509" s="0" t="n">
        <f aca="false">F2509*F2509</f>
        <v>0.140625</v>
      </c>
      <c r="Q2509" s="0" t="n">
        <f aca="false">SUMPRODUCT(G2509:P2509,_XtX!$B$71:$K$71)</f>
        <v>48.1257386363637</v>
      </c>
      <c r="R2509" s="0" t="n">
        <f aca="false">SUMPRODUCT(MMULT(G2509:P2509,_XtX!$B$58:$K$67),G2509:P2509)</f>
        <v>0.132199374112216</v>
      </c>
      <c r="S2509" s="0" t="n">
        <f aca="false">04_回帰ANOVA!$K$19*04_回帰ANOVA!$K$14*SQRT(1+R2509)</f>
        <v>0.989300187279118</v>
      </c>
      <c r="T2509" s="0" t="n">
        <f aca="false">Q2509-S2509</f>
        <v>47.1364384490845</v>
      </c>
      <c r="U2509" s="0" t="n">
        <f aca="false">Q2509+S2509</f>
        <v>49.1150388236428</v>
      </c>
      <c r="V2509" s="54" t="b">
        <f aca="false">AND(D2509&gt;=01_因子設定!$L$5-0.000000001,D2509&lt;=01_因子設定!$M$5+0.000000001,E2509&gt;=01_因子設定!$L$6-0.000000001,E2509&lt;=01_因子設定!$M$6+0.000000001,F2509&gt;=01_因子設定!$L$7-0.000000001,F2509&lt;=01_因子設定!$M$7+0.000000001,IF(01_因子設定!$B$20="Box-Behnken",D2509^2+E2509^2+F2509^2&lt;=2+0.000000001,TRUE()))</f>
        <v>1</v>
      </c>
      <c r="W2509" s="55" t="n">
        <f aca="false">IF(V2509,IF(01_因子設定!$B$13="最大化",T2509-01_因子設定!$B$14,IF(01_因子設定!$B$13="最小化",01_因子設定!$B$15-U2509,MIN(T2509-01_因子設定!$B$14,01_因子設定!$B$15-U2509))),-1E+030)</f>
        <v>-1.36356155091547</v>
      </c>
      <c r="X2509" s="55" t="n">
        <f aca="false">IF(V2509,IF(01_因子設定!$B$13="最大化",Q2509,IF(01_因子設定!$B$13="最小化",-Q2509,-ABS(Q2509-01_因子設定!$B$16))),-1E+030)</f>
        <v>48.1257386363637</v>
      </c>
      <c r="Y2509" s="55" t="n">
        <f aca="false">W2509+ROW()*0.000000001</f>
        <v>-1.36355904191547</v>
      </c>
      <c r="Z2509" s="55" t="n">
        <f aca="false">X2509+ROW()*0.000000001</f>
        <v>48.1257411453637</v>
      </c>
    </row>
    <row r="2510" customFormat="false" ht="15" hidden="false" customHeight="false" outlineLevel="0" collapsed="false">
      <c r="A2510" s="0" t="n">
        <v>8</v>
      </c>
      <c r="B2510" s="0" t="n">
        <v>11</v>
      </c>
      <c r="C2510" s="0" t="n">
        <v>6</v>
      </c>
      <c r="D2510" s="0" t="n">
        <f aca="false">-1+A2510*0.125</f>
        <v>0</v>
      </c>
      <c r="E2510" s="0" t="n">
        <f aca="false">-1+B2510*0.125</f>
        <v>0.375</v>
      </c>
      <c r="F2510" s="0" t="n">
        <f aca="false">-1+C2510*0.125</f>
        <v>-0.25</v>
      </c>
      <c r="G2510" s="0" t="n">
        <f aca="false">1</f>
        <v>1</v>
      </c>
      <c r="H2510" s="0" t="n">
        <f aca="false">D2510</f>
        <v>0</v>
      </c>
      <c r="I2510" s="0" t="n">
        <f aca="false">E2510</f>
        <v>0.375</v>
      </c>
      <c r="J2510" s="0" t="n">
        <f aca="false">F2510</f>
        <v>-0.25</v>
      </c>
      <c r="K2510" s="0" t="n">
        <f aca="false">D2510*E2510</f>
        <v>0</v>
      </c>
      <c r="L2510" s="0" t="n">
        <f aca="false">D2510*F2510</f>
        <v>-0</v>
      </c>
      <c r="M2510" s="0" t="n">
        <f aca="false">E2510*F2510</f>
        <v>-0.09375</v>
      </c>
      <c r="N2510" s="0" t="n">
        <f aca="false">D2510*D2510</f>
        <v>0</v>
      </c>
      <c r="O2510" s="0" t="n">
        <f aca="false">E2510*E2510</f>
        <v>0.140625</v>
      </c>
      <c r="P2510" s="0" t="n">
        <f aca="false">F2510*F2510</f>
        <v>0.0625</v>
      </c>
      <c r="Q2510" s="0" t="n">
        <f aca="false">SUMPRODUCT(G2510:P2510,_XtX!$B$71:$K$71)</f>
        <v>48.4113068181818</v>
      </c>
      <c r="R2510" s="0" t="n">
        <f aca="false">SUMPRODUCT(MMULT(G2510:P2510,_XtX!$B$58:$K$67),G2510:P2510)</f>
        <v>0.127341530539773</v>
      </c>
      <c r="S2510" s="0" t="n">
        <f aca="false">04_回帰ANOVA!$K$19*04_回帰ANOVA!$K$14*SQRT(1+R2510)</f>
        <v>0.987175547486288</v>
      </c>
      <c r="T2510" s="0" t="n">
        <f aca="false">Q2510-S2510</f>
        <v>47.4241312706955</v>
      </c>
      <c r="U2510" s="0" t="n">
        <f aca="false">Q2510+S2510</f>
        <v>49.3984823656681</v>
      </c>
      <c r="V2510" s="54" t="b">
        <f aca="false">AND(D2510&gt;=01_因子設定!$L$5-0.000000001,D2510&lt;=01_因子設定!$M$5+0.000000001,E2510&gt;=01_因子設定!$L$6-0.000000001,E2510&lt;=01_因子設定!$M$6+0.000000001,F2510&gt;=01_因子設定!$L$7-0.000000001,F2510&lt;=01_因子設定!$M$7+0.000000001,IF(01_因子設定!$B$20="Box-Behnken",D2510^2+E2510^2+F2510^2&lt;=2+0.000000001,TRUE()))</f>
        <v>1</v>
      </c>
      <c r="W2510" s="55" t="n">
        <f aca="false">IF(V2510,IF(01_因子設定!$B$13="最大化",T2510-01_因子設定!$B$14,IF(01_因子設定!$B$13="最小化",01_因子設定!$B$15-U2510,MIN(T2510-01_因子設定!$B$14,01_因子設定!$B$15-U2510))),-1E+030)</f>
        <v>-1.07586872930446</v>
      </c>
      <c r="X2510" s="55" t="n">
        <f aca="false">IF(V2510,IF(01_因子設定!$B$13="最大化",Q2510,IF(01_因子設定!$B$13="最小化",-Q2510,-ABS(Q2510-01_因子設定!$B$16))),-1E+030)</f>
        <v>48.4113068181818</v>
      </c>
      <c r="Y2510" s="55" t="n">
        <f aca="false">W2510+ROW()*0.000000001</f>
        <v>-1.07586621930446</v>
      </c>
      <c r="Z2510" s="55" t="n">
        <f aca="false">X2510+ROW()*0.000000001</f>
        <v>48.4113093281818</v>
      </c>
    </row>
    <row r="2511" customFormat="false" ht="15" hidden="false" customHeight="false" outlineLevel="0" collapsed="false">
      <c r="A2511" s="0" t="n">
        <v>8</v>
      </c>
      <c r="B2511" s="0" t="n">
        <v>11</v>
      </c>
      <c r="C2511" s="0" t="n">
        <v>7</v>
      </c>
      <c r="D2511" s="0" t="n">
        <f aca="false">-1+A2511*0.125</f>
        <v>0</v>
      </c>
      <c r="E2511" s="0" t="n">
        <f aca="false">-1+B2511*0.125</f>
        <v>0.375</v>
      </c>
      <c r="F2511" s="0" t="n">
        <f aca="false">-1+C2511*0.125</f>
        <v>-0.125</v>
      </c>
      <c r="G2511" s="0" t="n">
        <f aca="false">1</f>
        <v>1</v>
      </c>
      <c r="H2511" s="0" t="n">
        <f aca="false">D2511</f>
        <v>0</v>
      </c>
      <c r="I2511" s="0" t="n">
        <f aca="false">E2511</f>
        <v>0.375</v>
      </c>
      <c r="J2511" s="0" t="n">
        <f aca="false">F2511</f>
        <v>-0.125</v>
      </c>
      <c r="K2511" s="0" t="n">
        <f aca="false">D2511*E2511</f>
        <v>0</v>
      </c>
      <c r="L2511" s="0" t="n">
        <f aca="false">D2511*F2511</f>
        <v>-0</v>
      </c>
      <c r="M2511" s="0" t="n">
        <f aca="false">E2511*F2511</f>
        <v>-0.046875</v>
      </c>
      <c r="N2511" s="0" t="n">
        <f aca="false">D2511*D2511</f>
        <v>0</v>
      </c>
      <c r="O2511" s="0" t="n">
        <f aca="false">E2511*E2511</f>
        <v>0.140625</v>
      </c>
      <c r="P2511" s="0" t="n">
        <f aca="false">F2511*F2511</f>
        <v>0.015625</v>
      </c>
      <c r="Q2511" s="0" t="n">
        <f aca="false">SUMPRODUCT(G2511:P2511,_XtX!$B$71:$K$71)</f>
        <v>48.6600852272727</v>
      </c>
      <c r="R2511" s="0" t="n">
        <f aca="false">SUMPRODUCT(MMULT(G2511:P2511,_XtX!$B$58:$K$67),G2511:P2511)</f>
        <v>0.126557506214489</v>
      </c>
      <c r="S2511" s="0" t="n">
        <f aca="false">04_回帰ANOVA!$K$19*04_回帰ANOVA!$K$14*SQRT(1+R2511)</f>
        <v>0.986832215747321</v>
      </c>
      <c r="T2511" s="0" t="n">
        <f aca="false">Q2511-S2511</f>
        <v>47.6732530115254</v>
      </c>
      <c r="U2511" s="0" t="n">
        <f aca="false">Q2511+S2511</f>
        <v>49.6469174430201</v>
      </c>
      <c r="V2511" s="54" t="b">
        <f aca="false">AND(D2511&gt;=01_因子設定!$L$5-0.000000001,D2511&lt;=01_因子設定!$M$5+0.000000001,E2511&gt;=01_因子設定!$L$6-0.000000001,E2511&lt;=01_因子設定!$M$6+0.000000001,F2511&gt;=01_因子設定!$L$7-0.000000001,F2511&lt;=01_因子設定!$M$7+0.000000001,IF(01_因子設定!$B$20="Box-Behnken",D2511^2+E2511^2+F2511^2&lt;=2+0.000000001,TRUE()))</f>
        <v>1</v>
      </c>
      <c r="W2511" s="55" t="n">
        <f aca="false">IF(V2511,IF(01_因子設定!$B$13="最大化",T2511-01_因子設定!$B$14,IF(01_因子設定!$B$13="最小化",01_因子設定!$B$15-U2511,MIN(T2511-01_因子設定!$B$14,01_因子設定!$B$15-U2511))),-1E+030)</f>
        <v>-0.826746988474582</v>
      </c>
      <c r="X2511" s="55" t="n">
        <f aca="false">IF(V2511,IF(01_因子設定!$B$13="最大化",Q2511,IF(01_因子設定!$B$13="最小化",-Q2511,-ABS(Q2511-01_因子設定!$B$16))),-1E+030)</f>
        <v>48.6600852272727</v>
      </c>
      <c r="Y2511" s="55" t="n">
        <f aca="false">W2511+ROW()*0.000000001</f>
        <v>-0.826744477474582</v>
      </c>
      <c r="Z2511" s="55" t="n">
        <f aca="false">X2511+ROW()*0.000000001</f>
        <v>48.6600877382727</v>
      </c>
    </row>
    <row r="2512" customFormat="false" ht="15" hidden="false" customHeight="false" outlineLevel="0" collapsed="false">
      <c r="A2512" s="0" t="n">
        <v>8</v>
      </c>
      <c r="B2512" s="0" t="n">
        <v>11</v>
      </c>
      <c r="C2512" s="0" t="n">
        <v>8</v>
      </c>
      <c r="D2512" s="0" t="n">
        <f aca="false">-1+A2512*0.125</f>
        <v>0</v>
      </c>
      <c r="E2512" s="0" t="n">
        <f aca="false">-1+B2512*0.125</f>
        <v>0.375</v>
      </c>
      <c r="F2512" s="0" t="n">
        <f aca="false">-1+C2512*0.125</f>
        <v>0</v>
      </c>
      <c r="G2512" s="0" t="n">
        <f aca="false">1</f>
        <v>1</v>
      </c>
      <c r="H2512" s="0" t="n">
        <f aca="false">D2512</f>
        <v>0</v>
      </c>
      <c r="I2512" s="0" t="n">
        <f aca="false">E2512</f>
        <v>0.375</v>
      </c>
      <c r="J2512" s="0" t="n">
        <f aca="false">F2512</f>
        <v>0</v>
      </c>
      <c r="K2512" s="0" t="n">
        <f aca="false">D2512*E2512</f>
        <v>0</v>
      </c>
      <c r="L2512" s="0" t="n">
        <f aca="false">D2512*F2512</f>
        <v>0</v>
      </c>
      <c r="M2512" s="0" t="n">
        <f aca="false">E2512*F2512</f>
        <v>0</v>
      </c>
      <c r="N2512" s="0" t="n">
        <f aca="false">D2512*D2512</f>
        <v>0</v>
      </c>
      <c r="O2512" s="0" t="n">
        <f aca="false">E2512*E2512</f>
        <v>0.140625</v>
      </c>
      <c r="P2512" s="0" t="n">
        <f aca="false">F2512*F2512</f>
        <v>0</v>
      </c>
      <c r="Q2512" s="0" t="n">
        <f aca="false">SUMPRODUCT(G2512:P2512,_XtX!$B$71:$K$71)</f>
        <v>48.8720738636364</v>
      </c>
      <c r="R2512" s="0" t="n">
        <f aca="false">SUMPRODUCT(MMULT(G2512:P2512,_XtX!$B$58:$K$67),G2512:P2512)</f>
        <v>0.126651278409091</v>
      </c>
      <c r="S2512" s="0" t="n">
        <f aca="false">04_回帰ANOVA!$K$19*04_回帰ANOVA!$K$14*SQRT(1+R2512)</f>
        <v>0.986873285775478</v>
      </c>
      <c r="T2512" s="0" t="n">
        <f aca="false">Q2512-S2512</f>
        <v>47.8852005778609</v>
      </c>
      <c r="U2512" s="0" t="n">
        <f aca="false">Q2512+S2512</f>
        <v>49.8589471494119</v>
      </c>
      <c r="V2512" s="54" t="b">
        <f aca="false">AND(D2512&gt;=01_因子設定!$L$5-0.000000001,D2512&lt;=01_因子設定!$M$5+0.000000001,E2512&gt;=01_因子設定!$L$6-0.000000001,E2512&lt;=01_因子設定!$M$6+0.000000001,F2512&gt;=01_因子設定!$L$7-0.000000001,F2512&lt;=01_因子設定!$M$7+0.000000001,IF(01_因子設定!$B$20="Box-Behnken",D2512^2+E2512^2+F2512^2&lt;=2+0.000000001,TRUE()))</f>
        <v>1</v>
      </c>
      <c r="W2512" s="55" t="n">
        <f aca="false">IF(V2512,IF(01_因子設定!$B$13="最大化",T2512-01_因子設定!$B$14,IF(01_因子設定!$B$13="最小化",01_因子設定!$B$15-U2512,MIN(T2512-01_因子設定!$B$14,01_因子設定!$B$15-U2512))),-1E+030)</f>
        <v>-0.614799422139107</v>
      </c>
      <c r="X2512" s="55" t="n">
        <f aca="false">IF(V2512,IF(01_因子設定!$B$13="最大化",Q2512,IF(01_因子設定!$B$13="最小化",-Q2512,-ABS(Q2512-01_因子設定!$B$16))),-1E+030)</f>
        <v>48.8720738636364</v>
      </c>
      <c r="Y2512" s="55" t="n">
        <f aca="false">W2512+ROW()*0.000000001</f>
        <v>-0.614796910139107</v>
      </c>
      <c r="Z2512" s="55" t="n">
        <f aca="false">X2512+ROW()*0.000000001</f>
        <v>48.8720763756364</v>
      </c>
    </row>
    <row r="2513" customFormat="false" ht="15" hidden="false" customHeight="false" outlineLevel="0" collapsed="false">
      <c r="A2513" s="0" t="n">
        <v>8</v>
      </c>
      <c r="B2513" s="0" t="n">
        <v>11</v>
      </c>
      <c r="C2513" s="0" t="n">
        <v>9</v>
      </c>
      <c r="D2513" s="0" t="n">
        <f aca="false">-1+A2513*0.125</f>
        <v>0</v>
      </c>
      <c r="E2513" s="0" t="n">
        <f aca="false">-1+B2513*0.125</f>
        <v>0.375</v>
      </c>
      <c r="F2513" s="0" t="n">
        <f aca="false">-1+C2513*0.125</f>
        <v>0.125</v>
      </c>
      <c r="G2513" s="0" t="n">
        <f aca="false">1</f>
        <v>1</v>
      </c>
      <c r="H2513" s="0" t="n">
        <f aca="false">D2513</f>
        <v>0</v>
      </c>
      <c r="I2513" s="0" t="n">
        <f aca="false">E2513</f>
        <v>0.375</v>
      </c>
      <c r="J2513" s="0" t="n">
        <f aca="false">F2513</f>
        <v>0.125</v>
      </c>
      <c r="K2513" s="0" t="n">
        <f aca="false">D2513*E2513</f>
        <v>0</v>
      </c>
      <c r="L2513" s="0" t="n">
        <f aca="false">D2513*F2513</f>
        <v>0</v>
      </c>
      <c r="M2513" s="0" t="n">
        <f aca="false">E2513*F2513</f>
        <v>0.046875</v>
      </c>
      <c r="N2513" s="0" t="n">
        <f aca="false">D2513*D2513</f>
        <v>0</v>
      </c>
      <c r="O2513" s="0" t="n">
        <f aca="false">E2513*E2513</f>
        <v>0.140625</v>
      </c>
      <c r="P2513" s="0" t="n">
        <f aca="false">F2513*F2513</f>
        <v>0.015625</v>
      </c>
      <c r="Q2513" s="0" t="n">
        <f aca="false">SUMPRODUCT(G2513:P2513,_XtX!$B$71:$K$71)</f>
        <v>49.0472727272727</v>
      </c>
      <c r="R2513" s="0" t="n">
        <f aca="false">SUMPRODUCT(MMULT(G2513:P2513,_XtX!$B$58:$K$67),G2513:P2513)</f>
        <v>0.126557506214489</v>
      </c>
      <c r="S2513" s="0" t="n">
        <f aca="false">04_回帰ANOVA!$K$19*04_回帰ANOVA!$K$14*SQRT(1+R2513)</f>
        <v>0.986832215747321</v>
      </c>
      <c r="T2513" s="0" t="n">
        <f aca="false">Q2513-S2513</f>
        <v>48.0604405115254</v>
      </c>
      <c r="U2513" s="0" t="n">
        <f aca="false">Q2513+S2513</f>
        <v>50.0341049430201</v>
      </c>
      <c r="V2513" s="54" t="b">
        <f aca="false">AND(D2513&gt;=01_因子設定!$L$5-0.000000001,D2513&lt;=01_因子設定!$M$5+0.000000001,E2513&gt;=01_因子設定!$L$6-0.000000001,E2513&lt;=01_因子設定!$M$6+0.000000001,F2513&gt;=01_因子設定!$L$7-0.000000001,F2513&lt;=01_因子設定!$M$7+0.000000001,IF(01_因子設定!$B$20="Box-Behnken",D2513^2+E2513^2+F2513^2&lt;=2+0.000000001,TRUE()))</f>
        <v>1</v>
      </c>
      <c r="W2513" s="55" t="n">
        <f aca="false">IF(V2513,IF(01_因子設定!$B$13="最大化",T2513-01_因子設定!$B$14,IF(01_因子設定!$B$13="最小化",01_因子設定!$B$15-U2513,MIN(T2513-01_因子設定!$B$14,01_因子設定!$B$15-U2513))),-1E+030)</f>
        <v>-0.439559488474586</v>
      </c>
      <c r="X2513" s="55" t="n">
        <f aca="false">IF(V2513,IF(01_因子設定!$B$13="最大化",Q2513,IF(01_因子設定!$B$13="最小化",-Q2513,-ABS(Q2513-01_因子設定!$B$16))),-1E+030)</f>
        <v>49.0472727272727</v>
      </c>
      <c r="Y2513" s="55" t="n">
        <f aca="false">W2513+ROW()*0.000000001</f>
        <v>-0.439556975474586</v>
      </c>
      <c r="Z2513" s="55" t="n">
        <f aca="false">X2513+ROW()*0.000000001</f>
        <v>49.0472752402727</v>
      </c>
    </row>
    <row r="2514" customFormat="false" ht="15" hidden="false" customHeight="false" outlineLevel="0" collapsed="false">
      <c r="A2514" s="0" t="n">
        <v>8</v>
      </c>
      <c r="B2514" s="0" t="n">
        <v>11</v>
      </c>
      <c r="C2514" s="0" t="n">
        <v>10</v>
      </c>
      <c r="D2514" s="0" t="n">
        <f aca="false">-1+A2514*0.125</f>
        <v>0</v>
      </c>
      <c r="E2514" s="0" t="n">
        <f aca="false">-1+B2514*0.125</f>
        <v>0.375</v>
      </c>
      <c r="F2514" s="0" t="n">
        <f aca="false">-1+C2514*0.125</f>
        <v>0.25</v>
      </c>
      <c r="G2514" s="0" t="n">
        <f aca="false">1</f>
        <v>1</v>
      </c>
      <c r="H2514" s="0" t="n">
        <f aca="false">D2514</f>
        <v>0</v>
      </c>
      <c r="I2514" s="0" t="n">
        <f aca="false">E2514</f>
        <v>0.375</v>
      </c>
      <c r="J2514" s="0" t="n">
        <f aca="false">F2514</f>
        <v>0.25</v>
      </c>
      <c r="K2514" s="0" t="n">
        <f aca="false">D2514*E2514</f>
        <v>0</v>
      </c>
      <c r="L2514" s="0" t="n">
        <f aca="false">D2514*F2514</f>
        <v>0</v>
      </c>
      <c r="M2514" s="0" t="n">
        <f aca="false">E2514*F2514</f>
        <v>0.09375</v>
      </c>
      <c r="N2514" s="0" t="n">
        <f aca="false">D2514*D2514</f>
        <v>0</v>
      </c>
      <c r="O2514" s="0" t="n">
        <f aca="false">E2514*E2514</f>
        <v>0.140625</v>
      </c>
      <c r="P2514" s="0" t="n">
        <f aca="false">F2514*F2514</f>
        <v>0.0625</v>
      </c>
      <c r="Q2514" s="0" t="n">
        <f aca="false">SUMPRODUCT(G2514:P2514,_XtX!$B$71:$K$71)</f>
        <v>49.1856818181818</v>
      </c>
      <c r="R2514" s="0" t="n">
        <f aca="false">SUMPRODUCT(MMULT(G2514:P2514,_XtX!$B$58:$K$67),G2514:P2514)</f>
        <v>0.127341530539773</v>
      </c>
      <c r="S2514" s="0" t="n">
        <f aca="false">04_回帰ANOVA!$K$19*04_回帰ANOVA!$K$14*SQRT(1+R2514)</f>
        <v>0.987175547486288</v>
      </c>
      <c r="T2514" s="0" t="n">
        <f aca="false">Q2514-S2514</f>
        <v>48.1985062706955</v>
      </c>
      <c r="U2514" s="0" t="n">
        <f aca="false">Q2514+S2514</f>
        <v>50.1728573656681</v>
      </c>
      <c r="V2514" s="54" t="b">
        <f aca="false">AND(D2514&gt;=01_因子設定!$L$5-0.000000001,D2514&lt;=01_因子設定!$M$5+0.000000001,E2514&gt;=01_因子設定!$L$6-0.000000001,E2514&lt;=01_因子設定!$M$6+0.000000001,F2514&gt;=01_因子設定!$L$7-0.000000001,F2514&lt;=01_因子設定!$M$7+0.000000001,IF(01_因子設定!$B$20="Box-Behnken",D2514^2+E2514^2+F2514^2&lt;=2+0.000000001,TRUE()))</f>
        <v>1</v>
      </c>
      <c r="W2514" s="55" t="n">
        <f aca="false">IF(V2514,IF(01_因子設定!$B$13="最大化",T2514-01_因子設定!$B$14,IF(01_因子設定!$B$13="最小化",01_因子設定!$B$15-U2514,MIN(T2514-01_因子設定!$B$14,01_因子設定!$B$15-U2514))),-1E+030)</f>
        <v>-0.301493729304461</v>
      </c>
      <c r="X2514" s="55" t="n">
        <f aca="false">IF(V2514,IF(01_因子設定!$B$13="最大化",Q2514,IF(01_因子設定!$B$13="最小化",-Q2514,-ABS(Q2514-01_因子設定!$B$16))),-1E+030)</f>
        <v>49.1856818181818</v>
      </c>
      <c r="Y2514" s="55" t="n">
        <f aca="false">W2514+ROW()*0.000000001</f>
        <v>-0.301491215304461</v>
      </c>
      <c r="Z2514" s="55" t="n">
        <f aca="false">X2514+ROW()*0.000000001</f>
        <v>49.1856843321818</v>
      </c>
    </row>
    <row r="2515" customFormat="false" ht="15" hidden="false" customHeight="false" outlineLevel="0" collapsed="false">
      <c r="A2515" s="0" t="n">
        <v>8</v>
      </c>
      <c r="B2515" s="0" t="n">
        <v>11</v>
      </c>
      <c r="C2515" s="0" t="n">
        <v>11</v>
      </c>
      <c r="D2515" s="0" t="n">
        <f aca="false">-1+A2515*0.125</f>
        <v>0</v>
      </c>
      <c r="E2515" s="0" t="n">
        <f aca="false">-1+B2515*0.125</f>
        <v>0.375</v>
      </c>
      <c r="F2515" s="0" t="n">
        <f aca="false">-1+C2515*0.125</f>
        <v>0.375</v>
      </c>
      <c r="G2515" s="0" t="n">
        <f aca="false">1</f>
        <v>1</v>
      </c>
      <c r="H2515" s="0" t="n">
        <f aca="false">D2515</f>
        <v>0</v>
      </c>
      <c r="I2515" s="0" t="n">
        <f aca="false">E2515</f>
        <v>0.375</v>
      </c>
      <c r="J2515" s="0" t="n">
        <f aca="false">F2515</f>
        <v>0.375</v>
      </c>
      <c r="K2515" s="0" t="n">
        <f aca="false">D2515*E2515</f>
        <v>0</v>
      </c>
      <c r="L2515" s="0" t="n">
        <f aca="false">D2515*F2515</f>
        <v>0</v>
      </c>
      <c r="M2515" s="0" t="n">
        <f aca="false">E2515*F2515</f>
        <v>0.140625</v>
      </c>
      <c r="N2515" s="0" t="n">
        <f aca="false">D2515*D2515</f>
        <v>0</v>
      </c>
      <c r="O2515" s="0" t="n">
        <f aca="false">E2515*E2515</f>
        <v>0.140625</v>
      </c>
      <c r="P2515" s="0" t="n">
        <f aca="false">F2515*F2515</f>
        <v>0.140625</v>
      </c>
      <c r="Q2515" s="0" t="n">
        <f aca="false">SUMPRODUCT(G2515:P2515,_XtX!$B$71:$K$71)</f>
        <v>49.2873011363636</v>
      </c>
      <c r="R2515" s="0" t="n">
        <f aca="false">SUMPRODUCT(MMULT(G2515:P2515,_XtX!$B$58:$K$67),G2515:P2515)</f>
        <v>0.132199374112216</v>
      </c>
      <c r="S2515" s="0" t="n">
        <f aca="false">04_回帰ANOVA!$K$19*04_回帰ANOVA!$K$14*SQRT(1+R2515)</f>
        <v>0.989300187279118</v>
      </c>
      <c r="T2515" s="0" t="n">
        <f aca="false">Q2515-S2515</f>
        <v>48.2980009490845</v>
      </c>
      <c r="U2515" s="0" t="n">
        <f aca="false">Q2515+S2515</f>
        <v>50.2766013236428</v>
      </c>
      <c r="V2515" s="54" t="b">
        <f aca="false">AND(D2515&gt;=01_因子設定!$L$5-0.000000001,D2515&lt;=01_因子設定!$M$5+0.000000001,E2515&gt;=01_因子設定!$L$6-0.000000001,E2515&lt;=01_因子設定!$M$6+0.000000001,F2515&gt;=01_因子設定!$L$7-0.000000001,F2515&lt;=01_因子設定!$M$7+0.000000001,IF(01_因子設定!$B$20="Box-Behnken",D2515^2+E2515^2+F2515^2&lt;=2+0.000000001,TRUE()))</f>
        <v>1</v>
      </c>
      <c r="W2515" s="55" t="n">
        <f aca="false">IF(V2515,IF(01_因子設定!$B$13="最大化",T2515-01_因子設定!$B$14,IF(01_因子設定!$B$13="最小化",01_因子設定!$B$15-U2515,MIN(T2515-01_因子設定!$B$14,01_因子設定!$B$15-U2515))),-1E+030)</f>
        <v>-0.201999050915475</v>
      </c>
      <c r="X2515" s="55" t="n">
        <f aca="false">IF(V2515,IF(01_因子設定!$B$13="最大化",Q2515,IF(01_因子設定!$B$13="最小化",-Q2515,-ABS(Q2515-01_因子設定!$B$16))),-1E+030)</f>
        <v>49.2873011363636</v>
      </c>
      <c r="Y2515" s="55" t="n">
        <f aca="false">W2515+ROW()*0.000000001</f>
        <v>-0.201996535915475</v>
      </c>
      <c r="Z2515" s="55" t="n">
        <f aca="false">X2515+ROW()*0.000000001</f>
        <v>49.2873036513636</v>
      </c>
    </row>
    <row r="2516" customFormat="false" ht="15" hidden="false" customHeight="false" outlineLevel="0" collapsed="false">
      <c r="A2516" s="0" t="n">
        <v>8</v>
      </c>
      <c r="B2516" s="0" t="n">
        <v>11</v>
      </c>
      <c r="C2516" s="0" t="n">
        <v>12</v>
      </c>
      <c r="D2516" s="0" t="n">
        <f aca="false">-1+A2516*0.125</f>
        <v>0</v>
      </c>
      <c r="E2516" s="0" t="n">
        <f aca="false">-1+B2516*0.125</f>
        <v>0.375</v>
      </c>
      <c r="F2516" s="0" t="n">
        <f aca="false">-1+C2516*0.125</f>
        <v>0.5</v>
      </c>
      <c r="G2516" s="0" t="n">
        <f aca="false">1</f>
        <v>1</v>
      </c>
      <c r="H2516" s="0" t="n">
        <f aca="false">D2516</f>
        <v>0</v>
      </c>
      <c r="I2516" s="0" t="n">
        <f aca="false">E2516</f>
        <v>0.375</v>
      </c>
      <c r="J2516" s="0" t="n">
        <f aca="false">F2516</f>
        <v>0.5</v>
      </c>
      <c r="K2516" s="0" t="n">
        <f aca="false">D2516*E2516</f>
        <v>0</v>
      </c>
      <c r="L2516" s="0" t="n">
        <f aca="false">D2516*F2516</f>
        <v>0</v>
      </c>
      <c r="M2516" s="0" t="n">
        <f aca="false">E2516*F2516</f>
        <v>0.1875</v>
      </c>
      <c r="N2516" s="0" t="n">
        <f aca="false">D2516*D2516</f>
        <v>0</v>
      </c>
      <c r="O2516" s="0" t="n">
        <f aca="false">E2516*E2516</f>
        <v>0.140625</v>
      </c>
      <c r="P2516" s="0" t="n">
        <f aca="false">F2516*F2516</f>
        <v>0.25</v>
      </c>
      <c r="Q2516" s="0" t="n">
        <f aca="false">SUMPRODUCT(G2516:P2516,_XtX!$B$71:$K$71)</f>
        <v>49.3521306818182</v>
      </c>
      <c r="R2516" s="0" t="n">
        <f aca="false">SUMPRODUCT(MMULT(G2516:P2516,_XtX!$B$58:$K$67),G2516:P2516)</f>
        <v>0.146457741477273</v>
      </c>
      <c r="S2516" s="0" t="n">
        <f aca="false">04_回帰ANOVA!$K$19*04_回帰ANOVA!$K$14*SQRT(1+R2516)</f>
        <v>0.995510079668687</v>
      </c>
      <c r="T2516" s="0" t="n">
        <f aca="false">Q2516-S2516</f>
        <v>48.3566206021495</v>
      </c>
      <c r="U2516" s="0" t="n">
        <f aca="false">Q2516+S2516</f>
        <v>50.3476407614869</v>
      </c>
      <c r="V2516" s="54" t="b">
        <f aca="false">AND(D2516&gt;=01_因子設定!$L$5-0.000000001,D2516&lt;=01_因子設定!$M$5+0.000000001,E2516&gt;=01_因子設定!$L$6-0.000000001,E2516&lt;=01_因子設定!$M$6+0.000000001,F2516&gt;=01_因子設定!$L$7-0.000000001,F2516&lt;=01_因子設定!$M$7+0.000000001,IF(01_因子設定!$B$20="Box-Behnken",D2516^2+E2516^2+F2516^2&lt;=2+0.000000001,TRUE()))</f>
        <v>1</v>
      </c>
      <c r="W2516" s="55" t="n">
        <f aca="false">IF(V2516,IF(01_因子設定!$B$13="最大化",T2516-01_因子設定!$B$14,IF(01_因子設定!$B$13="最小化",01_因子設定!$B$15-U2516,MIN(T2516-01_因子設定!$B$14,01_因子設定!$B$15-U2516))),-1E+030)</f>
        <v>-0.143379397850488</v>
      </c>
      <c r="X2516" s="55" t="n">
        <f aca="false">IF(V2516,IF(01_因子設定!$B$13="最大化",Q2516,IF(01_因子設定!$B$13="最小化",-Q2516,-ABS(Q2516-01_因子設定!$B$16))),-1E+030)</f>
        <v>49.3521306818182</v>
      </c>
      <c r="Y2516" s="55" t="n">
        <f aca="false">W2516+ROW()*0.000000001</f>
        <v>-0.143376881850488</v>
      </c>
      <c r="Z2516" s="55" t="n">
        <f aca="false">X2516+ROW()*0.000000001</f>
        <v>49.3521331978182</v>
      </c>
    </row>
    <row r="2517" customFormat="false" ht="15" hidden="false" customHeight="false" outlineLevel="0" collapsed="false">
      <c r="A2517" s="0" t="n">
        <v>8</v>
      </c>
      <c r="B2517" s="0" t="n">
        <v>11</v>
      </c>
      <c r="C2517" s="0" t="n">
        <v>13</v>
      </c>
      <c r="D2517" s="0" t="n">
        <f aca="false">-1+A2517*0.125</f>
        <v>0</v>
      </c>
      <c r="E2517" s="0" t="n">
        <f aca="false">-1+B2517*0.125</f>
        <v>0.375</v>
      </c>
      <c r="F2517" s="0" t="n">
        <f aca="false">-1+C2517*0.125</f>
        <v>0.625</v>
      </c>
      <c r="G2517" s="0" t="n">
        <f aca="false">1</f>
        <v>1</v>
      </c>
      <c r="H2517" s="0" t="n">
        <f aca="false">D2517</f>
        <v>0</v>
      </c>
      <c r="I2517" s="0" t="n">
        <f aca="false">E2517</f>
        <v>0.375</v>
      </c>
      <c r="J2517" s="0" t="n">
        <f aca="false">F2517</f>
        <v>0.625</v>
      </c>
      <c r="K2517" s="0" t="n">
        <f aca="false">D2517*E2517</f>
        <v>0</v>
      </c>
      <c r="L2517" s="0" t="n">
        <f aca="false">D2517*F2517</f>
        <v>0</v>
      </c>
      <c r="M2517" s="0" t="n">
        <f aca="false">E2517*F2517</f>
        <v>0.234375</v>
      </c>
      <c r="N2517" s="0" t="n">
        <f aca="false">D2517*D2517</f>
        <v>0</v>
      </c>
      <c r="O2517" s="0" t="n">
        <f aca="false">E2517*E2517</f>
        <v>0.140625</v>
      </c>
      <c r="P2517" s="0" t="n">
        <f aca="false">F2517*F2517</f>
        <v>0.390625</v>
      </c>
      <c r="Q2517" s="0" t="n">
        <f aca="false">SUMPRODUCT(G2517:P2517,_XtX!$B$71:$K$71)</f>
        <v>49.3801704545455</v>
      </c>
      <c r="R2517" s="0" t="n">
        <f aca="false">SUMPRODUCT(MMULT(G2517:P2517,_XtX!$B$58:$K$67),G2517:P2517)</f>
        <v>0.17757401899858</v>
      </c>
      <c r="S2517" s="0" t="n">
        <f aca="false">04_回帰ANOVA!$K$19*04_回帰ANOVA!$K$14*SQRT(1+R2517)</f>
        <v>1.00892932143276</v>
      </c>
      <c r="T2517" s="0" t="n">
        <f aca="false">Q2517-S2517</f>
        <v>48.3712411331127</v>
      </c>
      <c r="U2517" s="0" t="n">
        <f aca="false">Q2517+S2517</f>
        <v>50.3890997759782</v>
      </c>
      <c r="V2517" s="54" t="b">
        <f aca="false">AND(D2517&gt;=01_因子設定!$L$5-0.000000001,D2517&lt;=01_因子設定!$M$5+0.000000001,E2517&gt;=01_因子設定!$L$6-0.000000001,E2517&lt;=01_因子設定!$M$6+0.000000001,F2517&gt;=01_因子設定!$L$7-0.000000001,F2517&lt;=01_因子設定!$M$7+0.000000001,IF(01_因子設定!$B$20="Box-Behnken",D2517^2+E2517^2+F2517^2&lt;=2+0.000000001,TRUE()))</f>
        <v>1</v>
      </c>
      <c r="W2517" s="55" t="n">
        <f aca="false">IF(V2517,IF(01_因子設定!$B$13="最大化",T2517-01_因子設定!$B$14,IF(01_因子設定!$B$13="最小化",01_因子設定!$B$15-U2517,MIN(T2517-01_因子設定!$B$14,01_因子設定!$B$15-U2517))),-1E+030)</f>
        <v>-0.128758866887289</v>
      </c>
      <c r="X2517" s="55" t="n">
        <f aca="false">IF(V2517,IF(01_因子設定!$B$13="最大化",Q2517,IF(01_因子設定!$B$13="最小化",-Q2517,-ABS(Q2517-01_因子設定!$B$16))),-1E+030)</f>
        <v>49.3801704545455</v>
      </c>
      <c r="Y2517" s="55" t="n">
        <f aca="false">W2517+ROW()*0.000000001</f>
        <v>-0.128756349887289</v>
      </c>
      <c r="Z2517" s="55" t="n">
        <f aca="false">X2517+ROW()*0.000000001</f>
        <v>49.3801729715455</v>
      </c>
    </row>
    <row r="2518" customFormat="false" ht="15" hidden="false" customHeight="false" outlineLevel="0" collapsed="false">
      <c r="A2518" s="0" t="n">
        <v>8</v>
      </c>
      <c r="B2518" s="0" t="n">
        <v>11</v>
      </c>
      <c r="C2518" s="0" t="n">
        <v>14</v>
      </c>
      <c r="D2518" s="0" t="n">
        <f aca="false">-1+A2518*0.125</f>
        <v>0</v>
      </c>
      <c r="E2518" s="0" t="n">
        <f aca="false">-1+B2518*0.125</f>
        <v>0.375</v>
      </c>
      <c r="F2518" s="0" t="n">
        <f aca="false">-1+C2518*0.125</f>
        <v>0.75</v>
      </c>
      <c r="G2518" s="0" t="n">
        <f aca="false">1</f>
        <v>1</v>
      </c>
      <c r="H2518" s="0" t="n">
        <f aca="false">D2518</f>
        <v>0</v>
      </c>
      <c r="I2518" s="0" t="n">
        <f aca="false">E2518</f>
        <v>0.375</v>
      </c>
      <c r="J2518" s="0" t="n">
        <f aca="false">F2518</f>
        <v>0.75</v>
      </c>
      <c r="K2518" s="0" t="n">
        <f aca="false">D2518*E2518</f>
        <v>0</v>
      </c>
      <c r="L2518" s="0" t="n">
        <f aca="false">D2518*F2518</f>
        <v>0</v>
      </c>
      <c r="M2518" s="0" t="n">
        <f aca="false">E2518*F2518</f>
        <v>0.28125</v>
      </c>
      <c r="N2518" s="0" t="n">
        <f aca="false">D2518*D2518</f>
        <v>0</v>
      </c>
      <c r="O2518" s="0" t="n">
        <f aca="false">E2518*E2518</f>
        <v>0.140625</v>
      </c>
      <c r="P2518" s="0" t="n">
        <f aca="false">F2518*F2518</f>
        <v>0.5625</v>
      </c>
      <c r="Q2518" s="0" t="n">
        <f aca="false">SUMPRODUCT(G2518:P2518,_XtX!$B$71:$K$71)</f>
        <v>49.3714204545455</v>
      </c>
      <c r="R2518" s="0" t="n">
        <f aca="false">SUMPRODUCT(MMULT(G2518:P2518,_XtX!$B$58:$K$67),G2518:P2518)</f>
        <v>0.235136274857955</v>
      </c>
      <c r="S2518" s="0" t="n">
        <f aca="false">04_回帰ANOVA!$K$19*04_回帰ANOVA!$K$14*SQRT(1+R2518)</f>
        <v>1.03329439695656</v>
      </c>
      <c r="T2518" s="0" t="n">
        <f aca="false">Q2518-S2518</f>
        <v>48.3381260575889</v>
      </c>
      <c r="U2518" s="0" t="n">
        <f aca="false">Q2518+S2518</f>
        <v>50.404714851502</v>
      </c>
      <c r="V2518" s="54" t="b">
        <f aca="false">AND(D2518&gt;=01_因子設定!$L$5-0.000000001,D2518&lt;=01_因子設定!$M$5+0.000000001,E2518&gt;=01_因子設定!$L$6-0.000000001,E2518&lt;=01_因子設定!$M$6+0.000000001,F2518&gt;=01_因子設定!$L$7-0.000000001,F2518&lt;=01_因子設定!$M$7+0.000000001,IF(01_因子設定!$B$20="Box-Behnken",D2518^2+E2518^2+F2518^2&lt;=2+0.000000001,TRUE()))</f>
        <v>1</v>
      </c>
      <c r="W2518" s="55" t="n">
        <f aca="false">IF(V2518,IF(01_因子設定!$B$13="最大化",T2518-01_因子設定!$B$14,IF(01_因子設定!$B$13="最小化",01_因子設定!$B$15-U2518,MIN(T2518-01_因子設定!$B$14,01_因子設定!$B$15-U2518))),-1E+030)</f>
        <v>-0.161873942411084</v>
      </c>
      <c r="X2518" s="55" t="n">
        <f aca="false">IF(V2518,IF(01_因子設定!$B$13="最大化",Q2518,IF(01_因子設定!$B$13="最小化",-Q2518,-ABS(Q2518-01_因子設定!$B$16))),-1E+030)</f>
        <v>49.3714204545455</v>
      </c>
      <c r="Y2518" s="55" t="n">
        <f aca="false">W2518+ROW()*0.000000001</f>
        <v>-0.161871424411084</v>
      </c>
      <c r="Z2518" s="55" t="n">
        <f aca="false">X2518+ROW()*0.000000001</f>
        <v>49.3714229725455</v>
      </c>
    </row>
    <row r="2519" customFormat="false" ht="15" hidden="false" customHeight="false" outlineLevel="0" collapsed="false">
      <c r="A2519" s="0" t="n">
        <v>8</v>
      </c>
      <c r="B2519" s="0" t="n">
        <v>11</v>
      </c>
      <c r="C2519" s="0" t="n">
        <v>15</v>
      </c>
      <c r="D2519" s="0" t="n">
        <f aca="false">-1+A2519*0.125</f>
        <v>0</v>
      </c>
      <c r="E2519" s="0" t="n">
        <f aca="false">-1+B2519*0.125</f>
        <v>0.375</v>
      </c>
      <c r="F2519" s="0" t="n">
        <f aca="false">-1+C2519*0.125</f>
        <v>0.875</v>
      </c>
      <c r="G2519" s="0" t="n">
        <f aca="false">1</f>
        <v>1</v>
      </c>
      <c r="H2519" s="0" t="n">
        <f aca="false">D2519</f>
        <v>0</v>
      </c>
      <c r="I2519" s="0" t="n">
        <f aca="false">E2519</f>
        <v>0.375</v>
      </c>
      <c r="J2519" s="0" t="n">
        <f aca="false">F2519</f>
        <v>0.875</v>
      </c>
      <c r="K2519" s="0" t="n">
        <f aca="false">D2519*E2519</f>
        <v>0</v>
      </c>
      <c r="L2519" s="0" t="n">
        <f aca="false">D2519*F2519</f>
        <v>0</v>
      </c>
      <c r="M2519" s="0" t="n">
        <f aca="false">E2519*F2519</f>
        <v>0.328125</v>
      </c>
      <c r="N2519" s="0" t="n">
        <f aca="false">D2519*D2519</f>
        <v>0</v>
      </c>
      <c r="O2519" s="0" t="n">
        <f aca="false">E2519*E2519</f>
        <v>0.140625</v>
      </c>
      <c r="P2519" s="0" t="n">
        <f aca="false">F2519*F2519</f>
        <v>0.765625</v>
      </c>
      <c r="Q2519" s="0" t="n">
        <f aca="false">SUMPRODUCT(G2519:P2519,_XtX!$B$71:$K$71)</f>
        <v>49.3258806818182</v>
      </c>
      <c r="R2519" s="0" t="n">
        <f aca="false">SUMPRODUCT(MMULT(G2519:P2519,_XtX!$B$58:$K$67),G2519:P2519)</f>
        <v>0.330863259055398</v>
      </c>
      <c r="S2519" s="0" t="n">
        <f aca="false">04_回帰ANOVA!$K$19*04_回帰ANOVA!$K$14*SQRT(1+R2519)</f>
        <v>1.07258903754571</v>
      </c>
      <c r="T2519" s="0" t="n">
        <f aca="false">Q2519-S2519</f>
        <v>48.2532916442725</v>
      </c>
      <c r="U2519" s="0" t="n">
        <f aca="false">Q2519+S2519</f>
        <v>50.3984697193639</v>
      </c>
      <c r="V2519" s="54" t="b">
        <f aca="false">AND(D2519&gt;=01_因子設定!$L$5-0.000000001,D2519&lt;=01_因子設定!$M$5+0.000000001,E2519&gt;=01_因子設定!$L$6-0.000000001,E2519&lt;=01_因子設定!$M$6+0.000000001,F2519&gt;=01_因子設定!$L$7-0.000000001,F2519&lt;=01_因子設定!$M$7+0.000000001,IF(01_因子設定!$B$20="Box-Behnken",D2519^2+E2519^2+F2519^2&lt;=2+0.000000001,TRUE()))</f>
        <v>1</v>
      </c>
      <c r="W2519" s="55" t="n">
        <f aca="false">IF(V2519,IF(01_因子設定!$B$13="最大化",T2519-01_因子設定!$B$14,IF(01_因子設定!$B$13="最小化",01_因子設定!$B$15-U2519,MIN(T2519-01_因子設定!$B$14,01_因子設定!$B$15-U2519))),-1E+030)</f>
        <v>-0.246708355727499</v>
      </c>
      <c r="X2519" s="55" t="n">
        <f aca="false">IF(V2519,IF(01_因子設定!$B$13="最大化",Q2519,IF(01_因子設定!$B$13="最小化",-Q2519,-ABS(Q2519-01_因子設定!$B$16))),-1E+030)</f>
        <v>49.3258806818182</v>
      </c>
      <c r="Y2519" s="55" t="n">
        <f aca="false">W2519+ROW()*0.000000001</f>
        <v>-0.246705836727499</v>
      </c>
      <c r="Z2519" s="55" t="n">
        <f aca="false">X2519+ROW()*0.000000001</f>
        <v>49.3258832008182</v>
      </c>
    </row>
    <row r="2520" customFormat="false" ht="15" hidden="false" customHeight="false" outlineLevel="0" collapsed="false">
      <c r="A2520" s="0" t="n">
        <v>8</v>
      </c>
      <c r="B2520" s="0" t="n">
        <v>11</v>
      </c>
      <c r="C2520" s="0" t="n">
        <v>16</v>
      </c>
      <c r="D2520" s="0" t="n">
        <f aca="false">-1+A2520*0.125</f>
        <v>0</v>
      </c>
      <c r="E2520" s="0" t="n">
        <f aca="false">-1+B2520*0.125</f>
        <v>0.375</v>
      </c>
      <c r="F2520" s="0" t="n">
        <f aca="false">-1+C2520*0.125</f>
        <v>1</v>
      </c>
      <c r="G2520" s="0" t="n">
        <f aca="false">1</f>
        <v>1</v>
      </c>
      <c r="H2520" s="0" t="n">
        <f aca="false">D2520</f>
        <v>0</v>
      </c>
      <c r="I2520" s="0" t="n">
        <f aca="false">E2520</f>
        <v>0.375</v>
      </c>
      <c r="J2520" s="0" t="n">
        <f aca="false">F2520</f>
        <v>1</v>
      </c>
      <c r="K2520" s="0" t="n">
        <f aca="false">D2520*E2520</f>
        <v>0</v>
      </c>
      <c r="L2520" s="0" t="n">
        <f aca="false">D2520*F2520</f>
        <v>0</v>
      </c>
      <c r="M2520" s="0" t="n">
        <f aca="false">E2520*F2520</f>
        <v>0.375</v>
      </c>
      <c r="N2520" s="0" t="n">
        <f aca="false">D2520*D2520</f>
        <v>0</v>
      </c>
      <c r="O2520" s="0" t="n">
        <f aca="false">E2520*E2520</f>
        <v>0.140625</v>
      </c>
      <c r="P2520" s="0" t="n">
        <f aca="false">F2520*F2520</f>
        <v>1</v>
      </c>
      <c r="Q2520" s="0" t="n">
        <f aca="false">SUMPRODUCT(G2520:P2520,_XtX!$B$71:$K$71)</f>
        <v>49.2435511363637</v>
      </c>
      <c r="R2520" s="0" t="n">
        <f aca="false">SUMPRODUCT(MMULT(G2520:P2520,_XtX!$B$58:$K$67),G2520:P2520)</f>
        <v>0.478604403409091</v>
      </c>
      <c r="S2520" s="0" t="n">
        <f aca="false">04_回帰ANOVA!$K$19*04_回帰ANOVA!$K$14*SQRT(1+R2520)</f>
        <v>1.13055744343508</v>
      </c>
      <c r="T2520" s="0" t="n">
        <f aca="false">Q2520-S2520</f>
        <v>48.1129936929286</v>
      </c>
      <c r="U2520" s="0" t="n">
        <f aca="false">Q2520+S2520</f>
        <v>50.3741085797987</v>
      </c>
      <c r="V2520" s="54" t="b">
        <f aca="false">AND(D2520&gt;=01_因子設定!$L$5-0.000000001,D2520&lt;=01_因子設定!$M$5+0.000000001,E2520&gt;=01_因子設定!$L$6-0.000000001,E2520&lt;=01_因子設定!$M$6+0.000000001,F2520&gt;=01_因子設定!$L$7-0.000000001,F2520&lt;=01_因子設定!$M$7+0.000000001,IF(01_因子設定!$B$20="Box-Behnken",D2520^2+E2520^2+F2520^2&lt;=2+0.000000001,TRUE()))</f>
        <v>1</v>
      </c>
      <c r="W2520" s="55" t="n">
        <f aca="false">IF(V2520,IF(01_因子設定!$B$13="最大化",T2520-01_因子設定!$B$14,IF(01_因子設定!$B$13="最小化",01_因子設定!$B$15-U2520,MIN(T2520-01_因子設定!$B$14,01_因子設定!$B$15-U2520))),-1E+030)</f>
        <v>-0.387006307071417</v>
      </c>
      <c r="X2520" s="55" t="n">
        <f aca="false">IF(V2520,IF(01_因子設定!$B$13="最大化",Q2520,IF(01_因子設定!$B$13="最小化",-Q2520,-ABS(Q2520-01_因子設定!$B$16))),-1E+030)</f>
        <v>49.2435511363637</v>
      </c>
      <c r="Y2520" s="55" t="n">
        <f aca="false">W2520+ROW()*0.000000001</f>
        <v>-0.387003787071417</v>
      </c>
      <c r="Z2520" s="55" t="n">
        <f aca="false">X2520+ROW()*0.000000001</f>
        <v>49.2435536563637</v>
      </c>
    </row>
    <row r="2521" customFormat="false" ht="15" hidden="false" customHeight="false" outlineLevel="0" collapsed="false">
      <c r="A2521" s="0" t="n">
        <v>8</v>
      </c>
      <c r="B2521" s="0" t="n">
        <v>12</v>
      </c>
      <c r="C2521" s="0" t="n">
        <v>0</v>
      </c>
      <c r="D2521" s="0" t="n">
        <f aca="false">-1+A2521*0.125</f>
        <v>0</v>
      </c>
      <c r="E2521" s="0" t="n">
        <f aca="false">-1+B2521*0.125</f>
        <v>0.5</v>
      </c>
      <c r="F2521" s="0" t="n">
        <f aca="false">-1+C2521*0.125</f>
        <v>-1</v>
      </c>
      <c r="G2521" s="0" t="n">
        <f aca="false">1</f>
        <v>1</v>
      </c>
      <c r="H2521" s="0" t="n">
        <f aca="false">D2521</f>
        <v>0</v>
      </c>
      <c r="I2521" s="0" t="n">
        <f aca="false">E2521</f>
        <v>0.5</v>
      </c>
      <c r="J2521" s="0" t="n">
        <f aca="false">F2521</f>
        <v>-1</v>
      </c>
      <c r="K2521" s="0" t="n">
        <f aca="false">D2521*E2521</f>
        <v>0</v>
      </c>
      <c r="L2521" s="0" t="n">
        <f aca="false">D2521*F2521</f>
        <v>-0</v>
      </c>
      <c r="M2521" s="0" t="n">
        <f aca="false">E2521*F2521</f>
        <v>-0.5</v>
      </c>
      <c r="N2521" s="0" t="n">
        <f aca="false">D2521*D2521</f>
        <v>0</v>
      </c>
      <c r="O2521" s="0" t="n">
        <f aca="false">E2521*E2521</f>
        <v>0.25</v>
      </c>
      <c r="P2521" s="0" t="n">
        <f aca="false">F2521*F2521</f>
        <v>1</v>
      </c>
      <c r="Q2521" s="0" t="n">
        <f aca="false">SUMPRODUCT(G2521:P2521,_XtX!$B$71:$K$71)</f>
        <v>46.1268181818182</v>
      </c>
      <c r="R2521" s="0" t="n">
        <f aca="false">SUMPRODUCT(MMULT(G2521:P2521,_XtX!$B$58:$K$67),G2521:P2521)</f>
        <v>0.478977272727273</v>
      </c>
      <c r="S2521" s="0" t="n">
        <f aca="false">04_回帰ANOVA!$K$19*04_回帰ANOVA!$K$14*SQRT(1+R2521)</f>
        <v>1.13069998447216</v>
      </c>
      <c r="T2521" s="0" t="n">
        <f aca="false">Q2521-S2521</f>
        <v>44.9961181973461</v>
      </c>
      <c r="U2521" s="0" t="n">
        <f aca="false">Q2521+S2521</f>
        <v>47.2575181662904</v>
      </c>
      <c r="V2521" s="54" t="b">
        <f aca="false">AND(D2521&gt;=01_因子設定!$L$5-0.000000001,D2521&lt;=01_因子設定!$M$5+0.000000001,E2521&gt;=01_因子設定!$L$6-0.000000001,E2521&lt;=01_因子設定!$M$6+0.000000001,F2521&gt;=01_因子設定!$L$7-0.000000001,F2521&lt;=01_因子設定!$M$7+0.000000001,IF(01_因子設定!$B$20="Box-Behnken",D2521^2+E2521^2+F2521^2&lt;=2+0.000000001,TRUE()))</f>
        <v>1</v>
      </c>
      <c r="W2521" s="55" t="n">
        <f aca="false">IF(V2521,IF(01_因子設定!$B$13="最大化",T2521-01_因子設定!$B$14,IF(01_因子設定!$B$13="最小化",01_因子設定!$B$15-U2521,MIN(T2521-01_因子設定!$B$14,01_因子設定!$B$15-U2521))),-1E+030)</f>
        <v>-3.50388180265395</v>
      </c>
      <c r="X2521" s="55" t="n">
        <f aca="false">IF(V2521,IF(01_因子設定!$B$13="最大化",Q2521,IF(01_因子設定!$B$13="最小化",-Q2521,-ABS(Q2521-01_因子設定!$B$16))),-1E+030)</f>
        <v>46.1268181818182</v>
      </c>
      <c r="Y2521" s="55" t="n">
        <f aca="false">W2521+ROW()*0.000000001</f>
        <v>-3.50387928165395</v>
      </c>
      <c r="Z2521" s="55" t="n">
        <f aca="false">X2521+ROW()*0.000000001</f>
        <v>46.1268207028182</v>
      </c>
    </row>
    <row r="2522" customFormat="false" ht="15" hidden="false" customHeight="false" outlineLevel="0" collapsed="false">
      <c r="A2522" s="0" t="n">
        <v>8</v>
      </c>
      <c r="B2522" s="0" t="n">
        <v>12</v>
      </c>
      <c r="C2522" s="0" t="n">
        <v>1</v>
      </c>
      <c r="D2522" s="0" t="n">
        <f aca="false">-1+A2522*0.125</f>
        <v>0</v>
      </c>
      <c r="E2522" s="0" t="n">
        <f aca="false">-1+B2522*0.125</f>
        <v>0.5</v>
      </c>
      <c r="F2522" s="0" t="n">
        <f aca="false">-1+C2522*0.125</f>
        <v>-0.875</v>
      </c>
      <c r="G2522" s="0" t="n">
        <f aca="false">1</f>
        <v>1</v>
      </c>
      <c r="H2522" s="0" t="n">
        <f aca="false">D2522</f>
        <v>0</v>
      </c>
      <c r="I2522" s="0" t="n">
        <f aca="false">E2522</f>
        <v>0.5</v>
      </c>
      <c r="J2522" s="0" t="n">
        <f aca="false">F2522</f>
        <v>-0.875</v>
      </c>
      <c r="K2522" s="0" t="n">
        <f aca="false">D2522*E2522</f>
        <v>0</v>
      </c>
      <c r="L2522" s="0" t="n">
        <f aca="false">D2522*F2522</f>
        <v>-0</v>
      </c>
      <c r="M2522" s="0" t="n">
        <f aca="false">E2522*F2522</f>
        <v>-0.4375</v>
      </c>
      <c r="N2522" s="0" t="n">
        <f aca="false">D2522*D2522</f>
        <v>0</v>
      </c>
      <c r="O2522" s="0" t="n">
        <f aca="false">E2522*E2522</f>
        <v>0.25</v>
      </c>
      <c r="P2522" s="0" t="n">
        <f aca="false">F2522*F2522</f>
        <v>0.765625</v>
      </c>
      <c r="Q2522" s="0" t="n">
        <f aca="false">SUMPRODUCT(G2522:P2522,_XtX!$B$71:$K$71)</f>
        <v>46.6033664772728</v>
      </c>
      <c r="R2522" s="0" t="n">
        <f aca="false">SUMPRODUCT(MMULT(G2522:P2522,_XtX!$B$58:$K$67),G2522:P2522)</f>
        <v>0.335023082386364</v>
      </c>
      <c r="S2522" s="0" t="n">
        <f aca="false">04_回帰ANOVA!$K$19*04_回帰ANOVA!$K$14*SQRT(1+R2522)</f>
        <v>1.07426400295275</v>
      </c>
      <c r="T2522" s="0" t="n">
        <f aca="false">Q2522-S2522</f>
        <v>45.52910247432</v>
      </c>
      <c r="U2522" s="0" t="n">
        <f aca="false">Q2522+S2522</f>
        <v>47.6776304802255</v>
      </c>
      <c r="V2522" s="54" t="b">
        <f aca="false">AND(D2522&gt;=01_因子設定!$L$5-0.000000001,D2522&lt;=01_因子設定!$M$5+0.000000001,E2522&gt;=01_因子設定!$L$6-0.000000001,E2522&lt;=01_因子設定!$M$6+0.000000001,F2522&gt;=01_因子設定!$L$7-0.000000001,F2522&lt;=01_因子設定!$M$7+0.000000001,IF(01_因子設定!$B$20="Box-Behnken",D2522^2+E2522^2+F2522^2&lt;=2+0.000000001,TRUE()))</f>
        <v>1</v>
      </c>
      <c r="W2522" s="55" t="n">
        <f aca="false">IF(V2522,IF(01_因子設定!$B$13="最大化",T2522-01_因子設定!$B$14,IF(01_因子設定!$B$13="最小化",01_因子設定!$B$15-U2522,MIN(T2522-01_因子設定!$B$14,01_因子設定!$B$15-U2522))),-1E+030)</f>
        <v>-2.97089752568</v>
      </c>
      <c r="X2522" s="55" t="n">
        <f aca="false">IF(V2522,IF(01_因子設定!$B$13="最大化",Q2522,IF(01_因子設定!$B$13="最小化",-Q2522,-ABS(Q2522-01_因子設定!$B$16))),-1E+030)</f>
        <v>46.6033664772728</v>
      </c>
      <c r="Y2522" s="55" t="n">
        <f aca="false">W2522+ROW()*0.000000001</f>
        <v>-2.97089500368</v>
      </c>
      <c r="Z2522" s="55" t="n">
        <f aca="false">X2522+ROW()*0.000000001</f>
        <v>46.6033689992728</v>
      </c>
    </row>
    <row r="2523" customFormat="false" ht="15" hidden="false" customHeight="false" outlineLevel="0" collapsed="false">
      <c r="A2523" s="0" t="n">
        <v>8</v>
      </c>
      <c r="B2523" s="0" t="n">
        <v>12</v>
      </c>
      <c r="C2523" s="0" t="n">
        <v>2</v>
      </c>
      <c r="D2523" s="0" t="n">
        <f aca="false">-1+A2523*0.125</f>
        <v>0</v>
      </c>
      <c r="E2523" s="0" t="n">
        <f aca="false">-1+B2523*0.125</f>
        <v>0.5</v>
      </c>
      <c r="F2523" s="0" t="n">
        <f aca="false">-1+C2523*0.125</f>
        <v>-0.75</v>
      </c>
      <c r="G2523" s="0" t="n">
        <f aca="false">1</f>
        <v>1</v>
      </c>
      <c r="H2523" s="0" t="n">
        <f aca="false">D2523</f>
        <v>0</v>
      </c>
      <c r="I2523" s="0" t="n">
        <f aca="false">E2523</f>
        <v>0.5</v>
      </c>
      <c r="J2523" s="0" t="n">
        <f aca="false">F2523</f>
        <v>-0.75</v>
      </c>
      <c r="K2523" s="0" t="n">
        <f aca="false">D2523*E2523</f>
        <v>0</v>
      </c>
      <c r="L2523" s="0" t="n">
        <f aca="false">D2523*F2523</f>
        <v>-0</v>
      </c>
      <c r="M2523" s="0" t="n">
        <f aca="false">E2523*F2523</f>
        <v>-0.375</v>
      </c>
      <c r="N2523" s="0" t="n">
        <f aca="false">D2523*D2523</f>
        <v>0</v>
      </c>
      <c r="O2523" s="0" t="n">
        <f aca="false">E2523*E2523</f>
        <v>0.25</v>
      </c>
      <c r="P2523" s="0" t="n">
        <f aca="false">F2523*F2523</f>
        <v>0.5625</v>
      </c>
      <c r="Q2523" s="0" t="n">
        <f aca="false">SUMPRODUCT(G2523:P2523,_XtX!$B$71:$K$71)</f>
        <v>47.043125</v>
      </c>
      <c r="R2523" s="0" t="n">
        <f aca="false">SUMPRODUCT(MMULT(G2523:P2523,_XtX!$B$58:$K$67),G2523:P2523)</f>
        <v>0.242578125</v>
      </c>
      <c r="S2523" s="0" t="n">
        <f aca="false">04_回帰ANOVA!$K$19*04_回帰ANOVA!$K$14*SQRT(1+R2523)</f>
        <v>1.03640258600455</v>
      </c>
      <c r="T2523" s="0" t="n">
        <f aca="false">Q2523-S2523</f>
        <v>46.0067224139955</v>
      </c>
      <c r="U2523" s="0" t="n">
        <f aca="false">Q2523+S2523</f>
        <v>48.0795275860046</v>
      </c>
      <c r="V2523" s="54" t="b">
        <f aca="false">AND(D2523&gt;=01_因子設定!$L$5-0.000000001,D2523&lt;=01_因子設定!$M$5+0.000000001,E2523&gt;=01_因子設定!$L$6-0.000000001,E2523&lt;=01_因子設定!$M$6+0.000000001,F2523&gt;=01_因子設定!$L$7-0.000000001,F2523&lt;=01_因子設定!$M$7+0.000000001,IF(01_因子設定!$B$20="Box-Behnken",D2523^2+E2523^2+F2523^2&lt;=2+0.000000001,TRUE()))</f>
        <v>1</v>
      </c>
      <c r="W2523" s="55" t="n">
        <f aca="false">IF(V2523,IF(01_因子設定!$B$13="最大化",T2523-01_因子設定!$B$14,IF(01_因子設定!$B$13="最小化",01_因子設定!$B$15-U2523,MIN(T2523-01_因子設定!$B$14,01_因子設定!$B$15-U2523))),-1E+030)</f>
        <v>-2.49327758600453</v>
      </c>
      <c r="X2523" s="55" t="n">
        <f aca="false">IF(V2523,IF(01_因子設定!$B$13="最大化",Q2523,IF(01_因子設定!$B$13="最小化",-Q2523,-ABS(Q2523-01_因子設定!$B$16))),-1E+030)</f>
        <v>47.043125</v>
      </c>
      <c r="Y2523" s="55" t="n">
        <f aca="false">W2523+ROW()*0.000000001</f>
        <v>-2.49327506300453</v>
      </c>
      <c r="Z2523" s="55" t="n">
        <f aca="false">X2523+ROW()*0.000000001</f>
        <v>47.043127523</v>
      </c>
    </row>
    <row r="2524" customFormat="false" ht="15" hidden="false" customHeight="false" outlineLevel="0" collapsed="false">
      <c r="A2524" s="0" t="n">
        <v>8</v>
      </c>
      <c r="B2524" s="0" t="n">
        <v>12</v>
      </c>
      <c r="C2524" s="0" t="n">
        <v>3</v>
      </c>
      <c r="D2524" s="0" t="n">
        <f aca="false">-1+A2524*0.125</f>
        <v>0</v>
      </c>
      <c r="E2524" s="0" t="n">
        <f aca="false">-1+B2524*0.125</f>
        <v>0.5</v>
      </c>
      <c r="F2524" s="0" t="n">
        <f aca="false">-1+C2524*0.125</f>
        <v>-0.625</v>
      </c>
      <c r="G2524" s="0" t="n">
        <f aca="false">1</f>
        <v>1</v>
      </c>
      <c r="H2524" s="0" t="n">
        <f aca="false">D2524</f>
        <v>0</v>
      </c>
      <c r="I2524" s="0" t="n">
        <f aca="false">E2524</f>
        <v>0.5</v>
      </c>
      <c r="J2524" s="0" t="n">
        <f aca="false">F2524</f>
        <v>-0.625</v>
      </c>
      <c r="K2524" s="0" t="n">
        <f aca="false">D2524*E2524</f>
        <v>0</v>
      </c>
      <c r="L2524" s="0" t="n">
        <f aca="false">D2524*F2524</f>
        <v>-0</v>
      </c>
      <c r="M2524" s="0" t="n">
        <f aca="false">E2524*F2524</f>
        <v>-0.3125</v>
      </c>
      <c r="N2524" s="0" t="n">
        <f aca="false">D2524*D2524</f>
        <v>0</v>
      </c>
      <c r="O2524" s="0" t="n">
        <f aca="false">E2524*E2524</f>
        <v>0.25</v>
      </c>
      <c r="P2524" s="0" t="n">
        <f aca="false">F2524*F2524</f>
        <v>0.390625</v>
      </c>
      <c r="Q2524" s="0" t="n">
        <f aca="false">SUMPRODUCT(G2524:P2524,_XtX!$B$71:$K$71)</f>
        <v>47.44609375</v>
      </c>
      <c r="R2524" s="0" t="n">
        <f aca="false">SUMPRODUCT(MMULT(G2524:P2524,_XtX!$B$58:$K$67),G2524:P2524)</f>
        <v>0.18779296875</v>
      </c>
      <c r="S2524" s="0" t="n">
        <f aca="false">04_回帰ANOVA!$K$19*04_回帰ANOVA!$K$14*SQRT(1+R2524)</f>
        <v>1.01329759319777</v>
      </c>
      <c r="T2524" s="0" t="n">
        <f aca="false">Q2524-S2524</f>
        <v>46.4327961568023</v>
      </c>
      <c r="U2524" s="0" t="n">
        <f aca="false">Q2524+S2524</f>
        <v>48.4593913431978</v>
      </c>
      <c r="V2524" s="54" t="b">
        <f aca="false">AND(D2524&gt;=01_因子設定!$L$5-0.000000001,D2524&lt;=01_因子設定!$M$5+0.000000001,E2524&gt;=01_因子設定!$L$6-0.000000001,E2524&lt;=01_因子設定!$M$6+0.000000001,F2524&gt;=01_因子設定!$L$7-0.000000001,F2524&lt;=01_因子設定!$M$7+0.000000001,IF(01_因子設定!$B$20="Box-Behnken",D2524^2+E2524^2+F2524^2&lt;=2+0.000000001,TRUE()))</f>
        <v>1</v>
      </c>
      <c r="W2524" s="55" t="n">
        <f aca="false">IF(V2524,IF(01_因子設定!$B$13="最大化",T2524-01_因子設定!$B$14,IF(01_因子設定!$B$13="最小化",01_因子設定!$B$15-U2524,MIN(T2524-01_因子設定!$B$14,01_因子設定!$B$15-U2524))),-1E+030)</f>
        <v>-2.06720384319775</v>
      </c>
      <c r="X2524" s="55" t="n">
        <f aca="false">IF(V2524,IF(01_因子設定!$B$13="最大化",Q2524,IF(01_因子設定!$B$13="最小化",-Q2524,-ABS(Q2524-01_因子設定!$B$16))),-1E+030)</f>
        <v>47.44609375</v>
      </c>
      <c r="Y2524" s="55" t="n">
        <f aca="false">W2524+ROW()*0.000000001</f>
        <v>-2.06720131919775</v>
      </c>
      <c r="Z2524" s="55" t="n">
        <f aca="false">X2524+ROW()*0.000000001</f>
        <v>47.446096274</v>
      </c>
    </row>
    <row r="2525" customFormat="false" ht="15" hidden="false" customHeight="false" outlineLevel="0" collapsed="false">
      <c r="A2525" s="0" t="n">
        <v>8</v>
      </c>
      <c r="B2525" s="0" t="n">
        <v>12</v>
      </c>
      <c r="C2525" s="0" t="n">
        <v>4</v>
      </c>
      <c r="D2525" s="0" t="n">
        <f aca="false">-1+A2525*0.125</f>
        <v>0</v>
      </c>
      <c r="E2525" s="0" t="n">
        <f aca="false">-1+B2525*0.125</f>
        <v>0.5</v>
      </c>
      <c r="F2525" s="0" t="n">
        <f aca="false">-1+C2525*0.125</f>
        <v>-0.5</v>
      </c>
      <c r="G2525" s="0" t="n">
        <f aca="false">1</f>
        <v>1</v>
      </c>
      <c r="H2525" s="0" t="n">
        <f aca="false">D2525</f>
        <v>0</v>
      </c>
      <c r="I2525" s="0" t="n">
        <f aca="false">E2525</f>
        <v>0.5</v>
      </c>
      <c r="J2525" s="0" t="n">
        <f aca="false">F2525</f>
        <v>-0.5</v>
      </c>
      <c r="K2525" s="0" t="n">
        <f aca="false">D2525*E2525</f>
        <v>0</v>
      </c>
      <c r="L2525" s="0" t="n">
        <f aca="false">D2525*F2525</f>
        <v>-0</v>
      </c>
      <c r="M2525" s="0" t="n">
        <f aca="false">E2525*F2525</f>
        <v>-0.25</v>
      </c>
      <c r="N2525" s="0" t="n">
        <f aca="false">D2525*D2525</f>
        <v>0</v>
      </c>
      <c r="O2525" s="0" t="n">
        <f aca="false">E2525*E2525</f>
        <v>0.25</v>
      </c>
      <c r="P2525" s="0" t="n">
        <f aca="false">F2525*F2525</f>
        <v>0.25</v>
      </c>
      <c r="Q2525" s="0" t="n">
        <f aca="false">SUMPRODUCT(G2525:P2525,_XtX!$B$71:$K$71)</f>
        <v>47.8122727272727</v>
      </c>
      <c r="R2525" s="0" t="n">
        <f aca="false">SUMPRODUCT(MMULT(G2525:P2525,_XtX!$B$58:$K$67),G2525:P2525)</f>
        <v>0.158948863636364</v>
      </c>
      <c r="S2525" s="0" t="n">
        <f aca="false">04_回帰ANOVA!$K$19*04_回帰ANOVA!$K$14*SQRT(1+R2525)</f>
        <v>1.00091863056612</v>
      </c>
      <c r="T2525" s="0" t="n">
        <f aca="false">Q2525-S2525</f>
        <v>46.8113540967066</v>
      </c>
      <c r="U2525" s="0" t="n">
        <f aca="false">Q2525+S2525</f>
        <v>48.8131913578389</v>
      </c>
      <c r="V2525" s="54" t="b">
        <f aca="false">AND(D2525&gt;=01_因子設定!$L$5-0.000000001,D2525&lt;=01_因子設定!$M$5+0.000000001,E2525&gt;=01_因子設定!$L$6-0.000000001,E2525&lt;=01_因子設定!$M$6+0.000000001,F2525&gt;=01_因子設定!$L$7-0.000000001,F2525&lt;=01_因子設定!$M$7+0.000000001,IF(01_因子設定!$B$20="Box-Behnken",D2525^2+E2525^2+F2525^2&lt;=2+0.000000001,TRUE()))</f>
        <v>1</v>
      </c>
      <c r="W2525" s="55" t="n">
        <f aca="false">IF(V2525,IF(01_因子設定!$B$13="最大化",T2525-01_因子設定!$B$14,IF(01_因子設定!$B$13="最小化",01_因子設定!$B$15-U2525,MIN(T2525-01_因子設定!$B$14,01_因子設定!$B$15-U2525))),-1E+030)</f>
        <v>-1.68864590329338</v>
      </c>
      <c r="X2525" s="55" t="n">
        <f aca="false">IF(V2525,IF(01_因子設定!$B$13="最大化",Q2525,IF(01_因子設定!$B$13="最小化",-Q2525,-ABS(Q2525-01_因子設定!$B$16))),-1E+030)</f>
        <v>47.8122727272727</v>
      </c>
      <c r="Y2525" s="55" t="n">
        <f aca="false">W2525+ROW()*0.000000001</f>
        <v>-1.68864337829338</v>
      </c>
      <c r="Z2525" s="55" t="n">
        <f aca="false">X2525+ROW()*0.000000001</f>
        <v>47.8122752522727</v>
      </c>
    </row>
    <row r="2526" customFormat="false" ht="15" hidden="false" customHeight="false" outlineLevel="0" collapsed="false">
      <c r="A2526" s="0" t="n">
        <v>8</v>
      </c>
      <c r="B2526" s="0" t="n">
        <v>12</v>
      </c>
      <c r="C2526" s="0" t="n">
        <v>5</v>
      </c>
      <c r="D2526" s="0" t="n">
        <f aca="false">-1+A2526*0.125</f>
        <v>0</v>
      </c>
      <c r="E2526" s="0" t="n">
        <f aca="false">-1+B2526*0.125</f>
        <v>0.5</v>
      </c>
      <c r="F2526" s="0" t="n">
        <f aca="false">-1+C2526*0.125</f>
        <v>-0.375</v>
      </c>
      <c r="G2526" s="0" t="n">
        <f aca="false">1</f>
        <v>1</v>
      </c>
      <c r="H2526" s="0" t="n">
        <f aca="false">D2526</f>
        <v>0</v>
      </c>
      <c r="I2526" s="0" t="n">
        <f aca="false">E2526</f>
        <v>0.5</v>
      </c>
      <c r="J2526" s="0" t="n">
        <f aca="false">F2526</f>
        <v>-0.375</v>
      </c>
      <c r="K2526" s="0" t="n">
        <f aca="false">D2526*E2526</f>
        <v>0</v>
      </c>
      <c r="L2526" s="0" t="n">
        <f aca="false">D2526*F2526</f>
        <v>-0</v>
      </c>
      <c r="M2526" s="0" t="n">
        <f aca="false">E2526*F2526</f>
        <v>-0.1875</v>
      </c>
      <c r="N2526" s="0" t="n">
        <f aca="false">D2526*D2526</f>
        <v>0</v>
      </c>
      <c r="O2526" s="0" t="n">
        <f aca="false">E2526*E2526</f>
        <v>0.25</v>
      </c>
      <c r="P2526" s="0" t="n">
        <f aca="false">F2526*F2526</f>
        <v>0.140625</v>
      </c>
      <c r="Q2526" s="0" t="n">
        <f aca="false">SUMPRODUCT(G2526:P2526,_XtX!$B$71:$K$71)</f>
        <v>48.1416619318182</v>
      </c>
      <c r="R2526" s="0" t="n">
        <f aca="false">SUMPRODUCT(MMULT(G2526:P2526,_XtX!$B$58:$K$67),G2526:P2526)</f>
        <v>0.146457741477273</v>
      </c>
      <c r="S2526" s="0" t="n">
        <f aca="false">04_回帰ANOVA!$K$19*04_回帰ANOVA!$K$14*SQRT(1+R2526)</f>
        <v>0.995510079668687</v>
      </c>
      <c r="T2526" s="0" t="n">
        <f aca="false">Q2526-S2526</f>
        <v>47.1461518521495</v>
      </c>
      <c r="U2526" s="0" t="n">
        <f aca="false">Q2526+S2526</f>
        <v>49.1371720114869</v>
      </c>
      <c r="V2526" s="54" t="b">
        <f aca="false">AND(D2526&gt;=01_因子設定!$L$5-0.000000001,D2526&lt;=01_因子設定!$M$5+0.000000001,E2526&gt;=01_因子設定!$L$6-0.000000001,E2526&lt;=01_因子設定!$M$6+0.000000001,F2526&gt;=01_因子設定!$L$7-0.000000001,F2526&lt;=01_因子設定!$M$7+0.000000001,IF(01_因子設定!$B$20="Box-Behnken",D2526^2+E2526^2+F2526^2&lt;=2+0.000000001,TRUE()))</f>
        <v>1</v>
      </c>
      <c r="W2526" s="55" t="n">
        <f aca="false">IF(V2526,IF(01_因子設定!$B$13="最大化",T2526-01_因子設定!$B$14,IF(01_因子設定!$B$13="最小化",01_因子設定!$B$15-U2526,MIN(T2526-01_因子設定!$B$14,01_因子設定!$B$15-U2526))),-1E+030)</f>
        <v>-1.35384814785049</v>
      </c>
      <c r="X2526" s="55" t="n">
        <f aca="false">IF(V2526,IF(01_因子設定!$B$13="最大化",Q2526,IF(01_因子設定!$B$13="最小化",-Q2526,-ABS(Q2526-01_因子設定!$B$16))),-1E+030)</f>
        <v>48.1416619318182</v>
      </c>
      <c r="Y2526" s="55" t="n">
        <f aca="false">W2526+ROW()*0.000000001</f>
        <v>-1.35384562185049</v>
      </c>
      <c r="Z2526" s="55" t="n">
        <f aca="false">X2526+ROW()*0.000000001</f>
        <v>48.1416644578182</v>
      </c>
    </row>
    <row r="2527" customFormat="false" ht="15" hidden="false" customHeight="false" outlineLevel="0" collapsed="false">
      <c r="A2527" s="0" t="n">
        <v>8</v>
      </c>
      <c r="B2527" s="0" t="n">
        <v>12</v>
      </c>
      <c r="C2527" s="0" t="n">
        <v>6</v>
      </c>
      <c r="D2527" s="0" t="n">
        <f aca="false">-1+A2527*0.125</f>
        <v>0</v>
      </c>
      <c r="E2527" s="0" t="n">
        <f aca="false">-1+B2527*0.125</f>
        <v>0.5</v>
      </c>
      <c r="F2527" s="0" t="n">
        <f aca="false">-1+C2527*0.125</f>
        <v>-0.25</v>
      </c>
      <c r="G2527" s="0" t="n">
        <f aca="false">1</f>
        <v>1</v>
      </c>
      <c r="H2527" s="0" t="n">
        <f aca="false">D2527</f>
        <v>0</v>
      </c>
      <c r="I2527" s="0" t="n">
        <f aca="false">E2527</f>
        <v>0.5</v>
      </c>
      <c r="J2527" s="0" t="n">
        <f aca="false">F2527</f>
        <v>-0.25</v>
      </c>
      <c r="K2527" s="0" t="n">
        <f aca="false">D2527*E2527</f>
        <v>0</v>
      </c>
      <c r="L2527" s="0" t="n">
        <f aca="false">D2527*F2527</f>
        <v>-0</v>
      </c>
      <c r="M2527" s="0" t="n">
        <f aca="false">E2527*F2527</f>
        <v>-0.125</v>
      </c>
      <c r="N2527" s="0" t="n">
        <f aca="false">D2527*D2527</f>
        <v>0</v>
      </c>
      <c r="O2527" s="0" t="n">
        <f aca="false">E2527*E2527</f>
        <v>0.25</v>
      </c>
      <c r="P2527" s="0" t="n">
        <f aca="false">F2527*F2527</f>
        <v>0.0625</v>
      </c>
      <c r="Q2527" s="0" t="n">
        <f aca="false">SUMPRODUCT(G2527:P2527,_XtX!$B$71:$K$71)</f>
        <v>48.4342613636364</v>
      </c>
      <c r="R2527" s="0" t="n">
        <f aca="false">SUMPRODUCT(MMULT(G2527:P2527,_XtX!$B$58:$K$67),G2527:P2527)</f>
        <v>0.142862215909091</v>
      </c>
      <c r="S2527" s="0" t="n">
        <f aca="false">04_回帰ANOVA!$K$19*04_回帰ANOVA!$K$14*SQRT(1+R2527)</f>
        <v>0.993947792354123</v>
      </c>
      <c r="T2527" s="0" t="n">
        <f aca="false">Q2527-S2527</f>
        <v>47.4403135712823</v>
      </c>
      <c r="U2527" s="0" t="n">
        <f aca="false">Q2527+S2527</f>
        <v>49.4282091559905</v>
      </c>
      <c r="V2527" s="54" t="b">
        <f aca="false">AND(D2527&gt;=01_因子設定!$L$5-0.000000001,D2527&lt;=01_因子設定!$M$5+0.000000001,E2527&gt;=01_因子設定!$L$6-0.000000001,E2527&lt;=01_因子設定!$M$6+0.000000001,F2527&gt;=01_因子設定!$L$7-0.000000001,F2527&lt;=01_因子設定!$M$7+0.000000001,IF(01_因子設定!$B$20="Box-Behnken",D2527^2+E2527^2+F2527^2&lt;=2+0.000000001,TRUE()))</f>
        <v>1</v>
      </c>
      <c r="W2527" s="55" t="n">
        <f aca="false">IF(V2527,IF(01_因子設定!$B$13="最大化",T2527-01_因子設定!$B$14,IF(01_因子設定!$B$13="最小化",01_因子設定!$B$15-U2527,MIN(T2527-01_因子設定!$B$14,01_因子設定!$B$15-U2527))),-1E+030)</f>
        <v>-1.05968642871775</v>
      </c>
      <c r="X2527" s="55" t="n">
        <f aca="false">IF(V2527,IF(01_因子設定!$B$13="最大化",Q2527,IF(01_因子設定!$B$13="最小化",-Q2527,-ABS(Q2527-01_因子設定!$B$16))),-1E+030)</f>
        <v>48.4342613636364</v>
      </c>
      <c r="Y2527" s="55" t="n">
        <f aca="false">W2527+ROW()*0.000000001</f>
        <v>-1.05968390171775</v>
      </c>
      <c r="Z2527" s="55" t="n">
        <f aca="false">X2527+ROW()*0.000000001</f>
        <v>48.4342638906364</v>
      </c>
    </row>
    <row r="2528" customFormat="false" ht="15" hidden="false" customHeight="false" outlineLevel="0" collapsed="false">
      <c r="A2528" s="0" t="n">
        <v>8</v>
      </c>
      <c r="B2528" s="0" t="n">
        <v>12</v>
      </c>
      <c r="C2528" s="0" t="n">
        <v>7</v>
      </c>
      <c r="D2528" s="0" t="n">
        <f aca="false">-1+A2528*0.125</f>
        <v>0</v>
      </c>
      <c r="E2528" s="0" t="n">
        <f aca="false">-1+B2528*0.125</f>
        <v>0.5</v>
      </c>
      <c r="F2528" s="0" t="n">
        <f aca="false">-1+C2528*0.125</f>
        <v>-0.125</v>
      </c>
      <c r="G2528" s="0" t="n">
        <f aca="false">1</f>
        <v>1</v>
      </c>
      <c r="H2528" s="0" t="n">
        <f aca="false">D2528</f>
        <v>0</v>
      </c>
      <c r="I2528" s="0" t="n">
        <f aca="false">E2528</f>
        <v>0.5</v>
      </c>
      <c r="J2528" s="0" t="n">
        <f aca="false">F2528</f>
        <v>-0.125</v>
      </c>
      <c r="K2528" s="0" t="n">
        <f aca="false">D2528*E2528</f>
        <v>0</v>
      </c>
      <c r="L2528" s="0" t="n">
        <f aca="false">D2528*F2528</f>
        <v>-0</v>
      </c>
      <c r="M2528" s="0" t="n">
        <f aca="false">E2528*F2528</f>
        <v>-0.0625</v>
      </c>
      <c r="N2528" s="0" t="n">
        <f aca="false">D2528*D2528</f>
        <v>0</v>
      </c>
      <c r="O2528" s="0" t="n">
        <f aca="false">E2528*E2528</f>
        <v>0.25</v>
      </c>
      <c r="P2528" s="0" t="n">
        <f aca="false">F2528*F2528</f>
        <v>0.015625</v>
      </c>
      <c r="Q2528" s="0" t="n">
        <f aca="false">SUMPRODUCT(G2528:P2528,_XtX!$B$71:$K$71)</f>
        <v>48.6900710227273</v>
      </c>
      <c r="R2528" s="0" t="n">
        <f aca="false">SUMPRODUCT(MMULT(G2528:P2528,_XtX!$B$58:$K$67),G2528:P2528)</f>
        <v>0.142835582386364</v>
      </c>
      <c r="S2528" s="0" t="n">
        <f aca="false">04_回帰ANOVA!$K$19*04_回帰ANOVA!$K$14*SQRT(1+R2528)</f>
        <v>0.993936210693193</v>
      </c>
      <c r="T2528" s="0" t="n">
        <f aca="false">Q2528-S2528</f>
        <v>47.6961348120341</v>
      </c>
      <c r="U2528" s="0" t="n">
        <f aca="false">Q2528+S2528</f>
        <v>49.6840072334205</v>
      </c>
      <c r="V2528" s="54" t="b">
        <f aca="false">AND(D2528&gt;=01_因子設定!$L$5-0.000000001,D2528&lt;=01_因子設定!$M$5+0.000000001,E2528&gt;=01_因子設定!$L$6-0.000000001,E2528&lt;=01_因子設定!$M$6+0.000000001,F2528&gt;=01_因子設定!$L$7-0.000000001,F2528&lt;=01_因子設定!$M$7+0.000000001,IF(01_因子設定!$B$20="Box-Behnken",D2528^2+E2528^2+F2528^2&lt;=2+0.000000001,TRUE()))</f>
        <v>1</v>
      </c>
      <c r="W2528" s="55" t="n">
        <f aca="false">IF(V2528,IF(01_因子設定!$B$13="最大化",T2528-01_因子設定!$B$14,IF(01_因子設定!$B$13="最小化",01_因子設定!$B$15-U2528,MIN(T2528-01_因子設定!$B$14,01_因子設定!$B$15-U2528))),-1E+030)</f>
        <v>-0.803865187965911</v>
      </c>
      <c r="X2528" s="55" t="n">
        <f aca="false">IF(V2528,IF(01_因子設定!$B$13="最大化",Q2528,IF(01_因子設定!$B$13="最小化",-Q2528,-ABS(Q2528-01_因子設定!$B$16))),-1E+030)</f>
        <v>48.6900710227273</v>
      </c>
      <c r="Y2528" s="55" t="n">
        <f aca="false">W2528+ROW()*0.000000001</f>
        <v>-0.803862659965911</v>
      </c>
      <c r="Z2528" s="55" t="n">
        <f aca="false">X2528+ROW()*0.000000001</f>
        <v>48.6900735507273</v>
      </c>
    </row>
    <row r="2529" customFormat="false" ht="15" hidden="false" customHeight="false" outlineLevel="0" collapsed="false">
      <c r="A2529" s="0" t="n">
        <v>8</v>
      </c>
      <c r="B2529" s="0" t="n">
        <v>12</v>
      </c>
      <c r="C2529" s="0" t="n">
        <v>8</v>
      </c>
      <c r="D2529" s="0" t="n">
        <f aca="false">-1+A2529*0.125</f>
        <v>0</v>
      </c>
      <c r="E2529" s="0" t="n">
        <f aca="false">-1+B2529*0.125</f>
        <v>0.5</v>
      </c>
      <c r="F2529" s="0" t="n">
        <f aca="false">-1+C2529*0.125</f>
        <v>0</v>
      </c>
      <c r="G2529" s="0" t="n">
        <f aca="false">1</f>
        <v>1</v>
      </c>
      <c r="H2529" s="0" t="n">
        <f aca="false">D2529</f>
        <v>0</v>
      </c>
      <c r="I2529" s="0" t="n">
        <f aca="false">E2529</f>
        <v>0.5</v>
      </c>
      <c r="J2529" s="0" t="n">
        <f aca="false">F2529</f>
        <v>0</v>
      </c>
      <c r="K2529" s="0" t="n">
        <f aca="false">D2529*E2529</f>
        <v>0</v>
      </c>
      <c r="L2529" s="0" t="n">
        <f aca="false">D2529*F2529</f>
        <v>0</v>
      </c>
      <c r="M2529" s="0" t="n">
        <f aca="false">E2529*F2529</f>
        <v>0</v>
      </c>
      <c r="N2529" s="0" t="n">
        <f aca="false">D2529*D2529</f>
        <v>0</v>
      </c>
      <c r="O2529" s="0" t="n">
        <f aca="false">E2529*E2529</f>
        <v>0.25</v>
      </c>
      <c r="P2529" s="0" t="n">
        <f aca="false">F2529*F2529</f>
        <v>0</v>
      </c>
      <c r="Q2529" s="0" t="n">
        <f aca="false">SUMPRODUCT(G2529:P2529,_XtX!$B$71:$K$71)</f>
        <v>48.9090909090909</v>
      </c>
      <c r="R2529" s="0" t="n">
        <f aca="false">SUMPRODUCT(MMULT(G2529:P2529,_XtX!$B$58:$K$67),G2529:P2529)</f>
        <v>0.143181818181818</v>
      </c>
      <c r="S2529" s="0" t="n">
        <f aca="false">04_回帰ANOVA!$K$19*04_回帰ANOVA!$K$14*SQRT(1+R2529)</f>
        <v>0.994086761760527</v>
      </c>
      <c r="T2529" s="0" t="n">
        <f aca="false">Q2529-S2529</f>
        <v>47.9150041473304</v>
      </c>
      <c r="U2529" s="0" t="n">
        <f aca="false">Q2529+S2529</f>
        <v>49.9031776708515</v>
      </c>
      <c r="V2529" s="54" t="b">
        <f aca="false">AND(D2529&gt;=01_因子設定!$L$5-0.000000001,D2529&lt;=01_因子設定!$M$5+0.000000001,E2529&gt;=01_因子設定!$L$6-0.000000001,E2529&lt;=01_因子設定!$M$6+0.000000001,F2529&gt;=01_因子設定!$L$7-0.000000001,F2529&lt;=01_因子設定!$M$7+0.000000001,IF(01_因子設定!$B$20="Box-Behnken",D2529^2+E2529^2+F2529^2&lt;=2+0.000000001,TRUE()))</f>
        <v>1</v>
      </c>
      <c r="W2529" s="55" t="n">
        <f aca="false">IF(V2529,IF(01_因子設定!$B$13="最大化",T2529-01_因子設定!$B$14,IF(01_因子設定!$B$13="最小化",01_因子設定!$B$15-U2529,MIN(T2529-01_因子設定!$B$14,01_因子設定!$B$15-U2529))),-1E+030)</f>
        <v>-0.584995852669607</v>
      </c>
      <c r="X2529" s="55" t="n">
        <f aca="false">IF(V2529,IF(01_因子設定!$B$13="最大化",Q2529,IF(01_因子設定!$B$13="最小化",-Q2529,-ABS(Q2529-01_因子設定!$B$16))),-1E+030)</f>
        <v>48.9090909090909</v>
      </c>
      <c r="Y2529" s="55" t="n">
        <f aca="false">W2529+ROW()*0.000000001</f>
        <v>-0.584993323669607</v>
      </c>
      <c r="Z2529" s="55" t="n">
        <f aca="false">X2529+ROW()*0.000000001</f>
        <v>48.9090934380909</v>
      </c>
    </row>
    <row r="2530" customFormat="false" ht="15" hidden="false" customHeight="false" outlineLevel="0" collapsed="false">
      <c r="A2530" s="0" t="n">
        <v>8</v>
      </c>
      <c r="B2530" s="0" t="n">
        <v>12</v>
      </c>
      <c r="C2530" s="0" t="n">
        <v>9</v>
      </c>
      <c r="D2530" s="0" t="n">
        <f aca="false">-1+A2530*0.125</f>
        <v>0</v>
      </c>
      <c r="E2530" s="0" t="n">
        <f aca="false">-1+B2530*0.125</f>
        <v>0.5</v>
      </c>
      <c r="F2530" s="0" t="n">
        <f aca="false">-1+C2530*0.125</f>
        <v>0.125</v>
      </c>
      <c r="G2530" s="0" t="n">
        <f aca="false">1</f>
        <v>1</v>
      </c>
      <c r="H2530" s="0" t="n">
        <f aca="false">D2530</f>
        <v>0</v>
      </c>
      <c r="I2530" s="0" t="n">
        <f aca="false">E2530</f>
        <v>0.5</v>
      </c>
      <c r="J2530" s="0" t="n">
        <f aca="false">F2530</f>
        <v>0.125</v>
      </c>
      <c r="K2530" s="0" t="n">
        <f aca="false">D2530*E2530</f>
        <v>0</v>
      </c>
      <c r="L2530" s="0" t="n">
        <f aca="false">D2530*F2530</f>
        <v>0</v>
      </c>
      <c r="M2530" s="0" t="n">
        <f aca="false">E2530*F2530</f>
        <v>0.0625</v>
      </c>
      <c r="N2530" s="0" t="n">
        <f aca="false">D2530*D2530</f>
        <v>0</v>
      </c>
      <c r="O2530" s="0" t="n">
        <f aca="false">E2530*E2530</f>
        <v>0.25</v>
      </c>
      <c r="P2530" s="0" t="n">
        <f aca="false">F2530*F2530</f>
        <v>0.015625</v>
      </c>
      <c r="Q2530" s="0" t="n">
        <f aca="false">SUMPRODUCT(G2530:P2530,_XtX!$B$71:$K$71)</f>
        <v>49.0913210227273</v>
      </c>
      <c r="R2530" s="0" t="n">
        <f aca="false">SUMPRODUCT(MMULT(G2530:P2530,_XtX!$B$58:$K$67),G2530:P2530)</f>
        <v>0.142835582386364</v>
      </c>
      <c r="S2530" s="0" t="n">
        <f aca="false">04_回帰ANOVA!$K$19*04_回帰ANOVA!$K$14*SQRT(1+R2530)</f>
        <v>0.993936210693193</v>
      </c>
      <c r="T2530" s="0" t="n">
        <f aca="false">Q2530-S2530</f>
        <v>48.0973848120341</v>
      </c>
      <c r="U2530" s="0" t="n">
        <f aca="false">Q2530+S2530</f>
        <v>50.0852572334205</v>
      </c>
      <c r="V2530" s="54" t="b">
        <f aca="false">AND(D2530&gt;=01_因子設定!$L$5-0.000000001,D2530&lt;=01_因子設定!$M$5+0.000000001,E2530&gt;=01_因子設定!$L$6-0.000000001,E2530&lt;=01_因子設定!$M$6+0.000000001,F2530&gt;=01_因子設定!$L$7-0.000000001,F2530&lt;=01_因子設定!$M$7+0.000000001,IF(01_因子設定!$B$20="Box-Behnken",D2530^2+E2530^2+F2530^2&lt;=2+0.000000001,TRUE()))</f>
        <v>1</v>
      </c>
      <c r="W2530" s="55" t="n">
        <f aca="false">IF(V2530,IF(01_因子設定!$B$13="最大化",T2530-01_因子設定!$B$14,IF(01_因子設定!$B$13="最小化",01_因子設定!$B$15-U2530,MIN(T2530-01_因子設定!$B$14,01_因子設定!$B$15-U2530))),-1E+030)</f>
        <v>-0.402615187965907</v>
      </c>
      <c r="X2530" s="55" t="n">
        <f aca="false">IF(V2530,IF(01_因子設定!$B$13="最大化",Q2530,IF(01_因子設定!$B$13="最小化",-Q2530,-ABS(Q2530-01_因子設定!$B$16))),-1E+030)</f>
        <v>49.0913210227273</v>
      </c>
      <c r="Y2530" s="55" t="n">
        <f aca="false">W2530+ROW()*0.000000001</f>
        <v>-0.402612657965907</v>
      </c>
      <c r="Z2530" s="55" t="n">
        <f aca="false">X2530+ROW()*0.000000001</f>
        <v>49.0913235527273</v>
      </c>
    </row>
    <row r="2531" customFormat="false" ht="15" hidden="false" customHeight="false" outlineLevel="0" collapsed="false">
      <c r="A2531" s="0" t="n">
        <v>8</v>
      </c>
      <c r="B2531" s="0" t="n">
        <v>12</v>
      </c>
      <c r="C2531" s="0" t="n">
        <v>10</v>
      </c>
      <c r="D2531" s="0" t="n">
        <f aca="false">-1+A2531*0.125</f>
        <v>0</v>
      </c>
      <c r="E2531" s="0" t="n">
        <f aca="false">-1+B2531*0.125</f>
        <v>0.5</v>
      </c>
      <c r="F2531" s="0" t="n">
        <f aca="false">-1+C2531*0.125</f>
        <v>0.25</v>
      </c>
      <c r="G2531" s="0" t="n">
        <f aca="false">1</f>
        <v>1</v>
      </c>
      <c r="H2531" s="0" t="n">
        <f aca="false">D2531</f>
        <v>0</v>
      </c>
      <c r="I2531" s="0" t="n">
        <f aca="false">E2531</f>
        <v>0.5</v>
      </c>
      <c r="J2531" s="0" t="n">
        <f aca="false">F2531</f>
        <v>0.25</v>
      </c>
      <c r="K2531" s="0" t="n">
        <f aca="false">D2531*E2531</f>
        <v>0</v>
      </c>
      <c r="L2531" s="0" t="n">
        <f aca="false">D2531*F2531</f>
        <v>0</v>
      </c>
      <c r="M2531" s="0" t="n">
        <f aca="false">E2531*F2531</f>
        <v>0.125</v>
      </c>
      <c r="N2531" s="0" t="n">
        <f aca="false">D2531*D2531</f>
        <v>0</v>
      </c>
      <c r="O2531" s="0" t="n">
        <f aca="false">E2531*E2531</f>
        <v>0.25</v>
      </c>
      <c r="P2531" s="0" t="n">
        <f aca="false">F2531*F2531</f>
        <v>0.0625</v>
      </c>
      <c r="Q2531" s="0" t="n">
        <f aca="false">SUMPRODUCT(G2531:P2531,_XtX!$B$71:$K$71)</f>
        <v>49.2367613636364</v>
      </c>
      <c r="R2531" s="0" t="n">
        <f aca="false">SUMPRODUCT(MMULT(G2531:P2531,_XtX!$B$58:$K$67),G2531:P2531)</f>
        <v>0.142862215909091</v>
      </c>
      <c r="S2531" s="0" t="n">
        <f aca="false">04_回帰ANOVA!$K$19*04_回帰ANOVA!$K$14*SQRT(1+R2531)</f>
        <v>0.993947792354123</v>
      </c>
      <c r="T2531" s="0" t="n">
        <f aca="false">Q2531-S2531</f>
        <v>48.2428135712823</v>
      </c>
      <c r="U2531" s="0" t="n">
        <f aca="false">Q2531+S2531</f>
        <v>50.2307091559905</v>
      </c>
      <c r="V2531" s="54" t="b">
        <f aca="false">AND(D2531&gt;=01_因子設定!$L$5-0.000000001,D2531&lt;=01_因子設定!$M$5+0.000000001,E2531&gt;=01_因子設定!$L$6-0.000000001,E2531&lt;=01_因子設定!$M$6+0.000000001,F2531&gt;=01_因子設定!$L$7-0.000000001,F2531&lt;=01_因子設定!$M$7+0.000000001,IF(01_因子設定!$B$20="Box-Behnken",D2531^2+E2531^2+F2531^2&lt;=2+0.000000001,TRUE()))</f>
        <v>1</v>
      </c>
      <c r="W2531" s="55" t="n">
        <f aca="false">IF(V2531,IF(01_因子設定!$B$13="最大化",T2531-01_因子設定!$B$14,IF(01_因子設定!$B$13="最小化",01_因子設定!$B$15-U2531,MIN(T2531-01_因子設定!$B$14,01_因子設定!$B$15-U2531))),-1E+030)</f>
        <v>-0.257186428717745</v>
      </c>
      <c r="X2531" s="55" t="n">
        <f aca="false">IF(V2531,IF(01_因子設定!$B$13="最大化",Q2531,IF(01_因子設定!$B$13="最小化",-Q2531,-ABS(Q2531-01_因子設定!$B$16))),-1E+030)</f>
        <v>49.2367613636364</v>
      </c>
      <c r="Y2531" s="55" t="n">
        <f aca="false">W2531+ROW()*0.000000001</f>
        <v>-0.257183897717745</v>
      </c>
      <c r="Z2531" s="55" t="n">
        <f aca="false">X2531+ROW()*0.000000001</f>
        <v>49.2367638946364</v>
      </c>
    </row>
    <row r="2532" customFormat="false" ht="15" hidden="false" customHeight="false" outlineLevel="0" collapsed="false">
      <c r="A2532" s="0" t="n">
        <v>8</v>
      </c>
      <c r="B2532" s="0" t="n">
        <v>12</v>
      </c>
      <c r="C2532" s="0" t="n">
        <v>11</v>
      </c>
      <c r="D2532" s="0" t="n">
        <f aca="false">-1+A2532*0.125</f>
        <v>0</v>
      </c>
      <c r="E2532" s="0" t="n">
        <f aca="false">-1+B2532*0.125</f>
        <v>0.5</v>
      </c>
      <c r="F2532" s="0" t="n">
        <f aca="false">-1+C2532*0.125</f>
        <v>0.375</v>
      </c>
      <c r="G2532" s="0" t="n">
        <f aca="false">1</f>
        <v>1</v>
      </c>
      <c r="H2532" s="0" t="n">
        <f aca="false">D2532</f>
        <v>0</v>
      </c>
      <c r="I2532" s="0" t="n">
        <f aca="false">E2532</f>
        <v>0.5</v>
      </c>
      <c r="J2532" s="0" t="n">
        <f aca="false">F2532</f>
        <v>0.375</v>
      </c>
      <c r="K2532" s="0" t="n">
        <f aca="false">D2532*E2532</f>
        <v>0</v>
      </c>
      <c r="L2532" s="0" t="n">
        <f aca="false">D2532*F2532</f>
        <v>0</v>
      </c>
      <c r="M2532" s="0" t="n">
        <f aca="false">E2532*F2532</f>
        <v>0.1875</v>
      </c>
      <c r="N2532" s="0" t="n">
        <f aca="false">D2532*D2532</f>
        <v>0</v>
      </c>
      <c r="O2532" s="0" t="n">
        <f aca="false">E2532*E2532</f>
        <v>0.25</v>
      </c>
      <c r="P2532" s="0" t="n">
        <f aca="false">F2532*F2532</f>
        <v>0.140625</v>
      </c>
      <c r="Q2532" s="0" t="n">
        <f aca="false">SUMPRODUCT(G2532:P2532,_XtX!$B$71:$K$71)</f>
        <v>49.3454119318182</v>
      </c>
      <c r="R2532" s="0" t="n">
        <f aca="false">SUMPRODUCT(MMULT(G2532:P2532,_XtX!$B$58:$K$67),G2532:P2532)</f>
        <v>0.146457741477273</v>
      </c>
      <c r="S2532" s="0" t="n">
        <f aca="false">04_回帰ANOVA!$K$19*04_回帰ANOVA!$K$14*SQRT(1+R2532)</f>
        <v>0.995510079668687</v>
      </c>
      <c r="T2532" s="0" t="n">
        <f aca="false">Q2532-S2532</f>
        <v>48.3499018521495</v>
      </c>
      <c r="U2532" s="0" t="n">
        <f aca="false">Q2532+S2532</f>
        <v>50.3409220114869</v>
      </c>
      <c r="V2532" s="54" t="b">
        <f aca="false">AND(D2532&gt;=01_因子設定!$L$5-0.000000001,D2532&lt;=01_因子設定!$M$5+0.000000001,E2532&gt;=01_因子設定!$L$6-0.000000001,E2532&lt;=01_因子設定!$M$6+0.000000001,F2532&gt;=01_因子設定!$L$7-0.000000001,F2532&lt;=01_因子設定!$M$7+0.000000001,IF(01_因子設定!$B$20="Box-Behnken",D2532^2+E2532^2+F2532^2&lt;=2+0.000000001,TRUE()))</f>
        <v>1</v>
      </c>
      <c r="W2532" s="55" t="n">
        <f aca="false">IF(V2532,IF(01_因子設定!$B$13="最大化",T2532-01_因子設定!$B$14,IF(01_因子設定!$B$13="最小化",01_因子設定!$B$15-U2532,MIN(T2532-01_因子設定!$B$14,01_因子設定!$B$15-U2532))),-1E+030)</f>
        <v>-0.150098147850493</v>
      </c>
      <c r="X2532" s="55" t="n">
        <f aca="false">IF(V2532,IF(01_因子設定!$B$13="最大化",Q2532,IF(01_因子設定!$B$13="最小化",-Q2532,-ABS(Q2532-01_因子設定!$B$16))),-1E+030)</f>
        <v>49.3454119318182</v>
      </c>
      <c r="Y2532" s="55" t="n">
        <f aca="false">W2532+ROW()*0.000000001</f>
        <v>-0.150095615850493</v>
      </c>
      <c r="Z2532" s="55" t="n">
        <f aca="false">X2532+ROW()*0.000000001</f>
        <v>49.3454144638182</v>
      </c>
    </row>
    <row r="2533" customFormat="false" ht="15" hidden="false" customHeight="false" outlineLevel="0" collapsed="false">
      <c r="A2533" s="0" t="n">
        <v>8</v>
      </c>
      <c r="B2533" s="0" t="n">
        <v>12</v>
      </c>
      <c r="C2533" s="0" t="n">
        <v>12</v>
      </c>
      <c r="D2533" s="0" t="n">
        <f aca="false">-1+A2533*0.125</f>
        <v>0</v>
      </c>
      <c r="E2533" s="0" t="n">
        <f aca="false">-1+B2533*0.125</f>
        <v>0.5</v>
      </c>
      <c r="F2533" s="0" t="n">
        <f aca="false">-1+C2533*0.125</f>
        <v>0.5</v>
      </c>
      <c r="G2533" s="0" t="n">
        <f aca="false">1</f>
        <v>1</v>
      </c>
      <c r="H2533" s="0" t="n">
        <f aca="false">D2533</f>
        <v>0</v>
      </c>
      <c r="I2533" s="0" t="n">
        <f aca="false">E2533</f>
        <v>0.5</v>
      </c>
      <c r="J2533" s="0" t="n">
        <f aca="false">F2533</f>
        <v>0.5</v>
      </c>
      <c r="K2533" s="0" t="n">
        <f aca="false">D2533*E2533</f>
        <v>0</v>
      </c>
      <c r="L2533" s="0" t="n">
        <f aca="false">D2533*F2533</f>
        <v>0</v>
      </c>
      <c r="M2533" s="0" t="n">
        <f aca="false">E2533*F2533</f>
        <v>0.25</v>
      </c>
      <c r="N2533" s="0" t="n">
        <f aca="false">D2533*D2533</f>
        <v>0</v>
      </c>
      <c r="O2533" s="0" t="n">
        <f aca="false">E2533*E2533</f>
        <v>0.25</v>
      </c>
      <c r="P2533" s="0" t="n">
        <f aca="false">F2533*F2533</f>
        <v>0.25</v>
      </c>
      <c r="Q2533" s="0" t="n">
        <f aca="false">SUMPRODUCT(G2533:P2533,_XtX!$B$71:$K$71)</f>
        <v>49.4172727272727</v>
      </c>
      <c r="R2533" s="0" t="n">
        <f aca="false">SUMPRODUCT(MMULT(G2533:P2533,_XtX!$B$58:$K$67),G2533:P2533)</f>
        <v>0.158948863636364</v>
      </c>
      <c r="S2533" s="0" t="n">
        <f aca="false">04_回帰ANOVA!$K$19*04_回帰ANOVA!$K$14*SQRT(1+R2533)</f>
        <v>1.00091863056612</v>
      </c>
      <c r="T2533" s="0" t="n">
        <f aca="false">Q2533-S2533</f>
        <v>48.4163540967066</v>
      </c>
      <c r="U2533" s="0" t="n">
        <f aca="false">Q2533+S2533</f>
        <v>50.4181913578389</v>
      </c>
      <c r="V2533" s="54" t="b">
        <f aca="false">AND(D2533&gt;=01_因子設定!$L$5-0.000000001,D2533&lt;=01_因子設定!$M$5+0.000000001,E2533&gt;=01_因子設定!$L$6-0.000000001,E2533&lt;=01_因子設定!$M$6+0.000000001,F2533&gt;=01_因子設定!$L$7-0.000000001,F2533&lt;=01_因子設定!$M$7+0.000000001,IF(01_因子設定!$B$20="Box-Behnken",D2533^2+E2533^2+F2533^2&lt;=2+0.000000001,TRUE()))</f>
        <v>1</v>
      </c>
      <c r="W2533" s="55" t="n">
        <f aca="false">IF(V2533,IF(01_因子設定!$B$13="最大化",T2533-01_因子設定!$B$14,IF(01_因子設定!$B$13="最小化",01_因子設定!$B$15-U2533,MIN(T2533-01_因子設定!$B$14,01_因子設定!$B$15-U2533))),-1E+030)</f>
        <v>-0.0836459032933803</v>
      </c>
      <c r="X2533" s="55" t="n">
        <f aca="false">IF(V2533,IF(01_因子設定!$B$13="最大化",Q2533,IF(01_因子設定!$B$13="最小化",-Q2533,-ABS(Q2533-01_因子設定!$B$16))),-1E+030)</f>
        <v>49.4172727272727</v>
      </c>
      <c r="Y2533" s="55" t="n">
        <f aca="false">W2533+ROW()*0.000000001</f>
        <v>-0.0836433702933803</v>
      </c>
      <c r="Z2533" s="55" t="n">
        <f aca="false">X2533+ROW()*0.000000001</f>
        <v>49.4172752602727</v>
      </c>
    </row>
    <row r="2534" customFormat="false" ht="15" hidden="false" customHeight="false" outlineLevel="0" collapsed="false">
      <c r="A2534" s="0" t="n">
        <v>8</v>
      </c>
      <c r="B2534" s="0" t="n">
        <v>12</v>
      </c>
      <c r="C2534" s="0" t="n">
        <v>13</v>
      </c>
      <c r="D2534" s="0" t="n">
        <f aca="false">-1+A2534*0.125</f>
        <v>0</v>
      </c>
      <c r="E2534" s="0" t="n">
        <f aca="false">-1+B2534*0.125</f>
        <v>0.5</v>
      </c>
      <c r="F2534" s="0" t="n">
        <f aca="false">-1+C2534*0.125</f>
        <v>0.625</v>
      </c>
      <c r="G2534" s="0" t="n">
        <f aca="false">1</f>
        <v>1</v>
      </c>
      <c r="H2534" s="0" t="n">
        <f aca="false">D2534</f>
        <v>0</v>
      </c>
      <c r="I2534" s="0" t="n">
        <f aca="false">E2534</f>
        <v>0.5</v>
      </c>
      <c r="J2534" s="0" t="n">
        <f aca="false">F2534</f>
        <v>0.625</v>
      </c>
      <c r="K2534" s="0" t="n">
        <f aca="false">D2534*E2534</f>
        <v>0</v>
      </c>
      <c r="L2534" s="0" t="n">
        <f aca="false">D2534*F2534</f>
        <v>0</v>
      </c>
      <c r="M2534" s="0" t="n">
        <f aca="false">E2534*F2534</f>
        <v>0.3125</v>
      </c>
      <c r="N2534" s="0" t="n">
        <f aca="false">D2534*D2534</f>
        <v>0</v>
      </c>
      <c r="O2534" s="0" t="n">
        <f aca="false">E2534*E2534</f>
        <v>0.25</v>
      </c>
      <c r="P2534" s="0" t="n">
        <f aca="false">F2534*F2534</f>
        <v>0.390625</v>
      </c>
      <c r="Q2534" s="0" t="n">
        <f aca="false">SUMPRODUCT(G2534:P2534,_XtX!$B$71:$K$71)</f>
        <v>49.45234375</v>
      </c>
      <c r="R2534" s="0" t="n">
        <f aca="false">SUMPRODUCT(MMULT(G2534:P2534,_XtX!$B$58:$K$67),G2534:P2534)</f>
        <v>0.18779296875</v>
      </c>
      <c r="S2534" s="0" t="n">
        <f aca="false">04_回帰ANOVA!$K$19*04_回帰ANOVA!$K$14*SQRT(1+R2534)</f>
        <v>1.01329759319777</v>
      </c>
      <c r="T2534" s="0" t="n">
        <f aca="false">Q2534-S2534</f>
        <v>48.4390461568023</v>
      </c>
      <c r="U2534" s="0" t="n">
        <f aca="false">Q2534+S2534</f>
        <v>50.4656413431978</v>
      </c>
      <c r="V2534" s="54" t="b">
        <f aca="false">AND(D2534&gt;=01_因子設定!$L$5-0.000000001,D2534&lt;=01_因子設定!$M$5+0.000000001,E2534&gt;=01_因子設定!$L$6-0.000000001,E2534&lt;=01_因子設定!$M$6+0.000000001,F2534&gt;=01_因子設定!$L$7-0.000000001,F2534&lt;=01_因子設定!$M$7+0.000000001,IF(01_因子設定!$B$20="Box-Behnken",D2534^2+E2534^2+F2534^2&lt;=2+0.000000001,TRUE()))</f>
        <v>1</v>
      </c>
      <c r="W2534" s="55" t="n">
        <f aca="false">IF(V2534,IF(01_因子設定!$B$13="最大化",T2534-01_因子設定!$B$14,IF(01_因子設定!$B$13="最小化",01_因子設定!$B$15-U2534,MIN(T2534-01_因子設定!$B$14,01_因子設定!$B$15-U2534))),-1E+030)</f>
        <v>-0.0609538431977512</v>
      </c>
      <c r="X2534" s="55" t="n">
        <f aca="false">IF(V2534,IF(01_因子設定!$B$13="最大化",Q2534,IF(01_因子設定!$B$13="最小化",-Q2534,-ABS(Q2534-01_因子設定!$B$16))),-1E+030)</f>
        <v>49.45234375</v>
      </c>
      <c r="Y2534" s="55" t="n">
        <f aca="false">W2534+ROW()*0.000000001</f>
        <v>-0.0609513091977512</v>
      </c>
      <c r="Z2534" s="55" t="n">
        <f aca="false">X2534+ROW()*0.000000001</f>
        <v>49.452346284</v>
      </c>
    </row>
    <row r="2535" customFormat="false" ht="15" hidden="false" customHeight="false" outlineLevel="0" collapsed="false">
      <c r="A2535" s="0" t="n">
        <v>8</v>
      </c>
      <c r="B2535" s="0" t="n">
        <v>12</v>
      </c>
      <c r="C2535" s="0" t="n">
        <v>14</v>
      </c>
      <c r="D2535" s="0" t="n">
        <f aca="false">-1+A2535*0.125</f>
        <v>0</v>
      </c>
      <c r="E2535" s="0" t="n">
        <f aca="false">-1+B2535*0.125</f>
        <v>0.5</v>
      </c>
      <c r="F2535" s="0" t="n">
        <f aca="false">-1+C2535*0.125</f>
        <v>0.75</v>
      </c>
      <c r="G2535" s="0" t="n">
        <f aca="false">1</f>
        <v>1</v>
      </c>
      <c r="H2535" s="0" t="n">
        <f aca="false">D2535</f>
        <v>0</v>
      </c>
      <c r="I2535" s="0" t="n">
        <f aca="false">E2535</f>
        <v>0.5</v>
      </c>
      <c r="J2535" s="0" t="n">
        <f aca="false">F2535</f>
        <v>0.75</v>
      </c>
      <c r="K2535" s="0" t="n">
        <f aca="false">D2535*E2535</f>
        <v>0</v>
      </c>
      <c r="L2535" s="0" t="n">
        <f aca="false">D2535*F2535</f>
        <v>0</v>
      </c>
      <c r="M2535" s="0" t="n">
        <f aca="false">E2535*F2535</f>
        <v>0.375</v>
      </c>
      <c r="N2535" s="0" t="n">
        <f aca="false">D2535*D2535</f>
        <v>0</v>
      </c>
      <c r="O2535" s="0" t="n">
        <f aca="false">E2535*E2535</f>
        <v>0.25</v>
      </c>
      <c r="P2535" s="0" t="n">
        <f aca="false">F2535*F2535</f>
        <v>0.5625</v>
      </c>
      <c r="Q2535" s="0" t="n">
        <f aca="false">SUMPRODUCT(G2535:P2535,_XtX!$B$71:$K$71)</f>
        <v>49.450625</v>
      </c>
      <c r="R2535" s="0" t="n">
        <f aca="false">SUMPRODUCT(MMULT(G2535:P2535,_XtX!$B$58:$K$67),G2535:P2535)</f>
        <v>0.242578125</v>
      </c>
      <c r="S2535" s="0" t="n">
        <f aca="false">04_回帰ANOVA!$K$19*04_回帰ANOVA!$K$14*SQRT(1+R2535)</f>
        <v>1.03640258600455</v>
      </c>
      <c r="T2535" s="0" t="n">
        <f aca="false">Q2535-S2535</f>
        <v>48.4142224139955</v>
      </c>
      <c r="U2535" s="0" t="n">
        <f aca="false">Q2535+S2535</f>
        <v>50.4870275860046</v>
      </c>
      <c r="V2535" s="54" t="b">
        <f aca="false">AND(D2535&gt;=01_因子設定!$L$5-0.000000001,D2535&lt;=01_因子設定!$M$5+0.000000001,E2535&gt;=01_因子設定!$L$6-0.000000001,E2535&lt;=01_因子設定!$M$6+0.000000001,F2535&gt;=01_因子設定!$L$7-0.000000001,F2535&lt;=01_因子設定!$M$7+0.000000001,IF(01_因子設定!$B$20="Box-Behnken",D2535^2+E2535^2+F2535^2&lt;=2+0.000000001,TRUE()))</f>
        <v>1</v>
      </c>
      <c r="W2535" s="55" t="n">
        <f aca="false">IF(V2535,IF(01_因子設定!$B$13="最大化",T2535-01_因子設定!$B$14,IF(01_因子設定!$B$13="最小化",01_因子設定!$B$15-U2535,MIN(T2535-01_因子設定!$B$14,01_因子設定!$B$15-U2535))),-1E+030)</f>
        <v>-0.0857775860045251</v>
      </c>
      <c r="X2535" s="55" t="n">
        <f aca="false">IF(V2535,IF(01_因子設定!$B$13="最大化",Q2535,IF(01_因子設定!$B$13="最小化",-Q2535,-ABS(Q2535-01_因子設定!$B$16))),-1E+030)</f>
        <v>49.450625</v>
      </c>
      <c r="Y2535" s="55" t="n">
        <f aca="false">W2535+ROW()*0.000000001</f>
        <v>-0.0857750510045251</v>
      </c>
      <c r="Z2535" s="55" t="n">
        <f aca="false">X2535+ROW()*0.000000001</f>
        <v>49.450627535</v>
      </c>
    </row>
    <row r="2536" customFormat="false" ht="15" hidden="false" customHeight="false" outlineLevel="0" collapsed="false">
      <c r="A2536" s="0" t="n">
        <v>8</v>
      </c>
      <c r="B2536" s="0" t="n">
        <v>12</v>
      </c>
      <c r="C2536" s="0" t="n">
        <v>15</v>
      </c>
      <c r="D2536" s="0" t="n">
        <f aca="false">-1+A2536*0.125</f>
        <v>0</v>
      </c>
      <c r="E2536" s="0" t="n">
        <f aca="false">-1+B2536*0.125</f>
        <v>0.5</v>
      </c>
      <c r="F2536" s="0" t="n">
        <f aca="false">-1+C2536*0.125</f>
        <v>0.875</v>
      </c>
      <c r="G2536" s="0" t="n">
        <f aca="false">1</f>
        <v>1</v>
      </c>
      <c r="H2536" s="0" t="n">
        <f aca="false">D2536</f>
        <v>0</v>
      </c>
      <c r="I2536" s="0" t="n">
        <f aca="false">E2536</f>
        <v>0.5</v>
      </c>
      <c r="J2536" s="0" t="n">
        <f aca="false">F2536</f>
        <v>0.875</v>
      </c>
      <c r="K2536" s="0" t="n">
        <f aca="false">D2536*E2536</f>
        <v>0</v>
      </c>
      <c r="L2536" s="0" t="n">
        <f aca="false">D2536*F2536</f>
        <v>0</v>
      </c>
      <c r="M2536" s="0" t="n">
        <f aca="false">E2536*F2536</f>
        <v>0.4375</v>
      </c>
      <c r="N2536" s="0" t="n">
        <f aca="false">D2536*D2536</f>
        <v>0</v>
      </c>
      <c r="O2536" s="0" t="n">
        <f aca="false">E2536*E2536</f>
        <v>0.25</v>
      </c>
      <c r="P2536" s="0" t="n">
        <f aca="false">F2536*F2536</f>
        <v>0.765625</v>
      </c>
      <c r="Q2536" s="0" t="n">
        <f aca="false">SUMPRODUCT(G2536:P2536,_XtX!$B$71:$K$71)</f>
        <v>49.4121164772728</v>
      </c>
      <c r="R2536" s="0" t="n">
        <f aca="false">SUMPRODUCT(MMULT(G2536:P2536,_XtX!$B$58:$K$67),G2536:P2536)</f>
        <v>0.335023082386364</v>
      </c>
      <c r="S2536" s="0" t="n">
        <f aca="false">04_回帰ANOVA!$K$19*04_回帰ANOVA!$K$14*SQRT(1+R2536)</f>
        <v>1.07426400295275</v>
      </c>
      <c r="T2536" s="0" t="n">
        <f aca="false">Q2536-S2536</f>
        <v>48.33785247432</v>
      </c>
      <c r="U2536" s="0" t="n">
        <f aca="false">Q2536+S2536</f>
        <v>50.4863804802255</v>
      </c>
      <c r="V2536" s="54" t="b">
        <f aca="false">AND(D2536&gt;=01_因子設定!$L$5-0.000000001,D2536&lt;=01_因子設定!$M$5+0.000000001,E2536&gt;=01_因子設定!$L$6-0.000000001,E2536&lt;=01_因子設定!$M$6+0.000000001,F2536&gt;=01_因子設定!$L$7-0.000000001,F2536&lt;=01_因子設定!$M$7+0.000000001,IF(01_因子設定!$B$20="Box-Behnken",D2536^2+E2536^2+F2536^2&lt;=2+0.000000001,TRUE()))</f>
        <v>1</v>
      </c>
      <c r="W2536" s="55" t="n">
        <f aca="false">IF(V2536,IF(01_因子設定!$B$13="最大化",T2536-01_因子設定!$B$14,IF(01_因子設定!$B$13="最小化",01_因子設定!$B$15-U2536,MIN(T2536-01_因子設定!$B$14,01_因子設定!$B$15-U2536))),-1E+030)</f>
        <v>-0.162147525679998</v>
      </c>
      <c r="X2536" s="55" t="n">
        <f aca="false">IF(V2536,IF(01_因子設定!$B$13="最大化",Q2536,IF(01_因子設定!$B$13="最小化",-Q2536,-ABS(Q2536-01_因子設定!$B$16))),-1E+030)</f>
        <v>49.4121164772728</v>
      </c>
      <c r="Y2536" s="55" t="n">
        <f aca="false">W2536+ROW()*0.000000001</f>
        <v>-0.162144989679998</v>
      </c>
      <c r="Z2536" s="55" t="n">
        <f aca="false">X2536+ROW()*0.000000001</f>
        <v>49.4121190132728</v>
      </c>
    </row>
    <row r="2537" customFormat="false" ht="15" hidden="false" customHeight="false" outlineLevel="0" collapsed="false">
      <c r="A2537" s="0" t="n">
        <v>8</v>
      </c>
      <c r="B2537" s="0" t="n">
        <v>12</v>
      </c>
      <c r="C2537" s="0" t="n">
        <v>16</v>
      </c>
      <c r="D2537" s="0" t="n">
        <f aca="false">-1+A2537*0.125</f>
        <v>0</v>
      </c>
      <c r="E2537" s="0" t="n">
        <f aca="false">-1+B2537*0.125</f>
        <v>0.5</v>
      </c>
      <c r="F2537" s="0" t="n">
        <f aca="false">-1+C2537*0.125</f>
        <v>1</v>
      </c>
      <c r="G2537" s="0" t="n">
        <f aca="false">1</f>
        <v>1</v>
      </c>
      <c r="H2537" s="0" t="n">
        <f aca="false">D2537</f>
        <v>0</v>
      </c>
      <c r="I2537" s="0" t="n">
        <f aca="false">E2537</f>
        <v>0.5</v>
      </c>
      <c r="J2537" s="0" t="n">
        <f aca="false">F2537</f>
        <v>1</v>
      </c>
      <c r="K2537" s="0" t="n">
        <f aca="false">D2537*E2537</f>
        <v>0</v>
      </c>
      <c r="L2537" s="0" t="n">
        <f aca="false">D2537*F2537</f>
        <v>0</v>
      </c>
      <c r="M2537" s="0" t="n">
        <f aca="false">E2537*F2537</f>
        <v>0.5</v>
      </c>
      <c r="N2537" s="0" t="n">
        <f aca="false">D2537*D2537</f>
        <v>0</v>
      </c>
      <c r="O2537" s="0" t="n">
        <f aca="false">E2537*E2537</f>
        <v>0.25</v>
      </c>
      <c r="P2537" s="0" t="n">
        <f aca="false">F2537*F2537</f>
        <v>1</v>
      </c>
      <c r="Q2537" s="0" t="n">
        <f aca="false">SUMPRODUCT(G2537:P2537,_XtX!$B$71:$K$71)</f>
        <v>49.3368181818182</v>
      </c>
      <c r="R2537" s="0" t="n">
        <f aca="false">SUMPRODUCT(MMULT(G2537:P2537,_XtX!$B$58:$K$67),G2537:P2537)</f>
        <v>0.478977272727273</v>
      </c>
      <c r="S2537" s="0" t="n">
        <f aca="false">04_回帰ANOVA!$K$19*04_回帰ANOVA!$K$14*SQRT(1+R2537)</f>
        <v>1.13069998447216</v>
      </c>
      <c r="T2537" s="0" t="n">
        <f aca="false">Q2537-S2537</f>
        <v>48.2061181973461</v>
      </c>
      <c r="U2537" s="0" t="n">
        <f aca="false">Q2537+S2537</f>
        <v>50.4675181662904</v>
      </c>
      <c r="V2537" s="54" t="b">
        <f aca="false">AND(D2537&gt;=01_因子設定!$L$5-0.000000001,D2537&lt;=01_因子設定!$M$5+0.000000001,E2537&gt;=01_因子設定!$L$6-0.000000001,E2537&lt;=01_因子設定!$M$6+0.000000001,F2537&gt;=01_因子設定!$L$7-0.000000001,F2537&lt;=01_因子設定!$M$7+0.000000001,IF(01_因子設定!$B$20="Box-Behnken",D2537^2+E2537^2+F2537^2&lt;=2+0.000000001,TRUE()))</f>
        <v>1</v>
      </c>
      <c r="W2537" s="55" t="n">
        <f aca="false">IF(V2537,IF(01_因子設定!$B$13="最大化",T2537-01_因子設定!$B$14,IF(01_因子設定!$B$13="最小化",01_因子設定!$B$15-U2537,MIN(T2537-01_因子設定!$B$14,01_因子設定!$B$15-U2537))),-1E+030)</f>
        <v>-0.293881802653949</v>
      </c>
      <c r="X2537" s="55" t="n">
        <f aca="false">IF(V2537,IF(01_因子設定!$B$13="最大化",Q2537,IF(01_因子設定!$B$13="最小化",-Q2537,-ABS(Q2537-01_因子設定!$B$16))),-1E+030)</f>
        <v>49.3368181818182</v>
      </c>
      <c r="Y2537" s="55" t="n">
        <f aca="false">W2537+ROW()*0.000000001</f>
        <v>-0.293879265653949</v>
      </c>
      <c r="Z2537" s="55" t="n">
        <f aca="false">X2537+ROW()*0.000000001</f>
        <v>49.3368207188182</v>
      </c>
    </row>
    <row r="2538" customFormat="false" ht="15" hidden="false" customHeight="false" outlineLevel="0" collapsed="false">
      <c r="A2538" s="0" t="n">
        <v>8</v>
      </c>
      <c r="B2538" s="0" t="n">
        <v>13</v>
      </c>
      <c r="C2538" s="0" t="n">
        <v>0</v>
      </c>
      <c r="D2538" s="0" t="n">
        <f aca="false">-1+A2538*0.125</f>
        <v>0</v>
      </c>
      <c r="E2538" s="0" t="n">
        <f aca="false">-1+B2538*0.125</f>
        <v>0.625</v>
      </c>
      <c r="F2538" s="0" t="n">
        <f aca="false">-1+C2538*0.125</f>
        <v>-1</v>
      </c>
      <c r="G2538" s="0" t="n">
        <f aca="false">1</f>
        <v>1</v>
      </c>
      <c r="H2538" s="0" t="n">
        <f aca="false">D2538</f>
        <v>0</v>
      </c>
      <c r="I2538" s="0" t="n">
        <f aca="false">E2538</f>
        <v>0.625</v>
      </c>
      <c r="J2538" s="0" t="n">
        <f aca="false">F2538</f>
        <v>-1</v>
      </c>
      <c r="K2538" s="0" t="n">
        <f aca="false">D2538*E2538</f>
        <v>0</v>
      </c>
      <c r="L2538" s="0" t="n">
        <f aca="false">D2538*F2538</f>
        <v>-0</v>
      </c>
      <c r="M2538" s="0" t="n">
        <f aca="false">E2538*F2538</f>
        <v>-0.625</v>
      </c>
      <c r="N2538" s="0" t="n">
        <f aca="false">D2538*D2538</f>
        <v>0</v>
      </c>
      <c r="O2538" s="0" t="n">
        <f aca="false">E2538*E2538</f>
        <v>0.390625</v>
      </c>
      <c r="P2538" s="0" t="n">
        <f aca="false">F2538*F2538</f>
        <v>1</v>
      </c>
      <c r="Q2538" s="0" t="n">
        <f aca="false">SUMPRODUCT(G2538:P2538,_XtX!$B$71:$K$71)</f>
        <v>46.0442329545455</v>
      </c>
      <c r="R2538" s="0" t="n">
        <f aca="false">SUMPRODUCT(MMULT(G2538:P2538,_XtX!$B$58:$K$67),G2538:P2538)</f>
        <v>0.492240767045455</v>
      </c>
      <c r="S2538" s="0" t="n">
        <f aca="false">04_回帰ANOVA!$K$19*04_回帰ANOVA!$K$14*SQRT(1+R2538)</f>
        <v>1.13575873676322</v>
      </c>
      <c r="T2538" s="0" t="n">
        <f aca="false">Q2538-S2538</f>
        <v>44.9084742177823</v>
      </c>
      <c r="U2538" s="0" t="n">
        <f aca="false">Q2538+S2538</f>
        <v>47.1799916913087</v>
      </c>
      <c r="V2538" s="54" t="b">
        <f aca="false">AND(D2538&gt;=01_因子設定!$L$5-0.000000001,D2538&lt;=01_因子設定!$M$5+0.000000001,E2538&gt;=01_因子設定!$L$6-0.000000001,E2538&lt;=01_因子設定!$M$6+0.000000001,F2538&gt;=01_因子設定!$L$7-0.000000001,F2538&lt;=01_因子設定!$M$7+0.000000001,IF(01_因子設定!$B$20="Box-Behnken",D2538^2+E2538^2+F2538^2&lt;=2+0.000000001,TRUE()))</f>
        <v>1</v>
      </c>
      <c r="W2538" s="55" t="n">
        <f aca="false">IF(V2538,IF(01_因子設定!$B$13="最大化",T2538-01_因子設定!$B$14,IF(01_因子設定!$B$13="最小化",01_因子設定!$B$15-U2538,MIN(T2538-01_因子設定!$B$14,01_因子設定!$B$15-U2538))),-1E+030)</f>
        <v>-3.59152578221774</v>
      </c>
      <c r="X2538" s="55" t="n">
        <f aca="false">IF(V2538,IF(01_因子設定!$B$13="最大化",Q2538,IF(01_因子設定!$B$13="最小化",-Q2538,-ABS(Q2538-01_因子設定!$B$16))),-1E+030)</f>
        <v>46.0442329545455</v>
      </c>
      <c r="Y2538" s="55" t="n">
        <f aca="false">W2538+ROW()*0.000000001</f>
        <v>-3.59152324421774</v>
      </c>
      <c r="Z2538" s="55" t="n">
        <f aca="false">X2538+ROW()*0.000000001</f>
        <v>46.0442354925455</v>
      </c>
    </row>
    <row r="2539" customFormat="false" ht="15" hidden="false" customHeight="false" outlineLevel="0" collapsed="false">
      <c r="A2539" s="0" t="n">
        <v>8</v>
      </c>
      <c r="B2539" s="0" t="n">
        <v>13</v>
      </c>
      <c r="C2539" s="0" t="n">
        <v>1</v>
      </c>
      <c r="D2539" s="0" t="n">
        <f aca="false">-1+A2539*0.125</f>
        <v>0</v>
      </c>
      <c r="E2539" s="0" t="n">
        <f aca="false">-1+B2539*0.125</f>
        <v>0.625</v>
      </c>
      <c r="F2539" s="0" t="n">
        <f aca="false">-1+C2539*0.125</f>
        <v>-0.875</v>
      </c>
      <c r="G2539" s="0" t="n">
        <f aca="false">1</f>
        <v>1</v>
      </c>
      <c r="H2539" s="0" t="n">
        <f aca="false">D2539</f>
        <v>0</v>
      </c>
      <c r="I2539" s="0" t="n">
        <f aca="false">E2539</f>
        <v>0.625</v>
      </c>
      <c r="J2539" s="0" t="n">
        <f aca="false">F2539</f>
        <v>-0.875</v>
      </c>
      <c r="K2539" s="0" t="n">
        <f aca="false">D2539*E2539</f>
        <v>0</v>
      </c>
      <c r="L2539" s="0" t="n">
        <f aca="false">D2539*F2539</f>
        <v>-0</v>
      </c>
      <c r="M2539" s="0" t="n">
        <f aca="false">E2539*F2539</f>
        <v>-0.546875</v>
      </c>
      <c r="N2539" s="0" t="n">
        <f aca="false">D2539*D2539</f>
        <v>0</v>
      </c>
      <c r="O2539" s="0" t="n">
        <f aca="false">E2539*E2539</f>
        <v>0.390625</v>
      </c>
      <c r="P2539" s="0" t="n">
        <f aca="false">F2539*F2539</f>
        <v>0.765625</v>
      </c>
      <c r="Q2539" s="0" t="n">
        <f aca="false">SUMPRODUCT(G2539:P2539,_XtX!$B$71:$K$71)</f>
        <v>46.5278125</v>
      </c>
      <c r="R2539" s="0" t="n">
        <f aca="false">SUMPRODUCT(MMULT(G2539:P2539,_XtX!$B$58:$K$67),G2539:P2539)</f>
        <v>0.353155517578125</v>
      </c>
      <c r="S2539" s="0" t="n">
        <f aca="false">04_回帰ANOVA!$K$19*04_回帰ANOVA!$K$14*SQRT(1+R2539)</f>
        <v>1.08153478594098</v>
      </c>
      <c r="T2539" s="0" t="n">
        <f aca="false">Q2539-S2539</f>
        <v>45.446277714059</v>
      </c>
      <c r="U2539" s="0" t="n">
        <f aca="false">Q2539+S2539</f>
        <v>47.609347285941</v>
      </c>
      <c r="V2539" s="54" t="b">
        <f aca="false">AND(D2539&gt;=01_因子設定!$L$5-0.000000001,D2539&lt;=01_因子設定!$M$5+0.000000001,E2539&gt;=01_因子設定!$L$6-0.000000001,E2539&lt;=01_因子設定!$M$6+0.000000001,F2539&gt;=01_因子設定!$L$7-0.000000001,F2539&lt;=01_因子設定!$M$7+0.000000001,IF(01_因子設定!$B$20="Box-Behnken",D2539^2+E2539^2+F2539^2&lt;=2+0.000000001,TRUE()))</f>
        <v>1</v>
      </c>
      <c r="W2539" s="55" t="n">
        <f aca="false">IF(V2539,IF(01_因子設定!$B$13="最大化",T2539-01_因子設定!$B$14,IF(01_因子設定!$B$13="最小化",01_因子設定!$B$15-U2539,MIN(T2539-01_因子設定!$B$14,01_因子設定!$B$15-U2539))),-1E+030)</f>
        <v>-3.05372228594096</v>
      </c>
      <c r="X2539" s="55" t="n">
        <f aca="false">IF(V2539,IF(01_因子設定!$B$13="最大化",Q2539,IF(01_因子設定!$B$13="最小化",-Q2539,-ABS(Q2539-01_因子設定!$B$16))),-1E+030)</f>
        <v>46.5278125</v>
      </c>
      <c r="Y2539" s="55" t="n">
        <f aca="false">W2539+ROW()*0.000000001</f>
        <v>-3.05371974694096</v>
      </c>
      <c r="Z2539" s="55" t="n">
        <f aca="false">X2539+ROW()*0.000000001</f>
        <v>46.527815039</v>
      </c>
    </row>
    <row r="2540" customFormat="false" ht="15" hidden="false" customHeight="false" outlineLevel="0" collapsed="false">
      <c r="A2540" s="0" t="n">
        <v>8</v>
      </c>
      <c r="B2540" s="0" t="n">
        <v>13</v>
      </c>
      <c r="C2540" s="0" t="n">
        <v>2</v>
      </c>
      <c r="D2540" s="0" t="n">
        <f aca="false">-1+A2540*0.125</f>
        <v>0</v>
      </c>
      <c r="E2540" s="0" t="n">
        <f aca="false">-1+B2540*0.125</f>
        <v>0.625</v>
      </c>
      <c r="F2540" s="0" t="n">
        <f aca="false">-1+C2540*0.125</f>
        <v>-0.75</v>
      </c>
      <c r="G2540" s="0" t="n">
        <f aca="false">1</f>
        <v>1</v>
      </c>
      <c r="H2540" s="0" t="n">
        <f aca="false">D2540</f>
        <v>0</v>
      </c>
      <c r="I2540" s="0" t="n">
        <f aca="false">E2540</f>
        <v>0.625</v>
      </c>
      <c r="J2540" s="0" t="n">
        <f aca="false">F2540</f>
        <v>-0.75</v>
      </c>
      <c r="K2540" s="0" t="n">
        <f aca="false">D2540*E2540</f>
        <v>0</v>
      </c>
      <c r="L2540" s="0" t="n">
        <f aca="false">D2540*F2540</f>
        <v>-0</v>
      </c>
      <c r="M2540" s="0" t="n">
        <f aca="false">E2540*F2540</f>
        <v>-0.46875</v>
      </c>
      <c r="N2540" s="0" t="n">
        <f aca="false">D2540*D2540</f>
        <v>0</v>
      </c>
      <c r="O2540" s="0" t="n">
        <f aca="false">E2540*E2540</f>
        <v>0.390625</v>
      </c>
      <c r="P2540" s="0" t="n">
        <f aca="false">F2540*F2540</f>
        <v>0.5625</v>
      </c>
      <c r="Q2540" s="0" t="n">
        <f aca="false">SUMPRODUCT(G2540:P2540,_XtX!$B$71:$K$71)</f>
        <v>46.9746022727273</v>
      </c>
      <c r="R2540" s="0" t="n">
        <f aca="false">SUMPRODUCT(MMULT(G2540:P2540,_XtX!$B$58:$K$67),G2540:P2540)</f>
        <v>0.264930308948864</v>
      </c>
      <c r="S2540" s="0" t="n">
        <f aca="false">04_回帰ANOVA!$K$19*04_回帰ANOVA!$K$14*SQRT(1+R2540)</f>
        <v>1.04568272997153</v>
      </c>
      <c r="T2540" s="0" t="n">
        <f aca="false">Q2540-S2540</f>
        <v>45.9289195427558</v>
      </c>
      <c r="U2540" s="0" t="n">
        <f aca="false">Q2540+S2540</f>
        <v>48.0202850026988</v>
      </c>
      <c r="V2540" s="54" t="b">
        <f aca="false">AND(D2540&gt;=01_因子設定!$L$5-0.000000001,D2540&lt;=01_因子設定!$M$5+0.000000001,E2540&gt;=01_因子設定!$L$6-0.000000001,E2540&lt;=01_因子設定!$M$6+0.000000001,F2540&gt;=01_因子設定!$L$7-0.000000001,F2540&lt;=01_因子設定!$M$7+0.000000001,IF(01_因子設定!$B$20="Box-Behnken",D2540^2+E2540^2+F2540^2&lt;=2+0.000000001,TRUE()))</f>
        <v>1</v>
      </c>
      <c r="W2540" s="55" t="n">
        <f aca="false">IF(V2540,IF(01_因子設定!$B$13="最大化",T2540-01_因子設定!$B$14,IF(01_因子設定!$B$13="最小化",01_因子設定!$B$15-U2540,MIN(T2540-01_因子設定!$B$14,01_因子設定!$B$15-U2540))),-1E+030)</f>
        <v>-2.57108045724423</v>
      </c>
      <c r="X2540" s="55" t="n">
        <f aca="false">IF(V2540,IF(01_因子設定!$B$13="最大化",Q2540,IF(01_因子設定!$B$13="最小化",-Q2540,-ABS(Q2540-01_因子設定!$B$16))),-1E+030)</f>
        <v>46.9746022727273</v>
      </c>
      <c r="Y2540" s="55" t="n">
        <f aca="false">W2540+ROW()*0.000000001</f>
        <v>-2.57107791724423</v>
      </c>
      <c r="Z2540" s="55" t="n">
        <f aca="false">X2540+ROW()*0.000000001</f>
        <v>46.9746048127273</v>
      </c>
    </row>
    <row r="2541" customFormat="false" ht="15" hidden="false" customHeight="false" outlineLevel="0" collapsed="false">
      <c r="A2541" s="0" t="n">
        <v>8</v>
      </c>
      <c r="B2541" s="0" t="n">
        <v>13</v>
      </c>
      <c r="C2541" s="0" t="n">
        <v>3</v>
      </c>
      <c r="D2541" s="0" t="n">
        <f aca="false">-1+A2541*0.125</f>
        <v>0</v>
      </c>
      <c r="E2541" s="0" t="n">
        <f aca="false">-1+B2541*0.125</f>
        <v>0.625</v>
      </c>
      <c r="F2541" s="0" t="n">
        <f aca="false">-1+C2541*0.125</f>
        <v>-0.625</v>
      </c>
      <c r="G2541" s="0" t="n">
        <f aca="false">1</f>
        <v>1</v>
      </c>
      <c r="H2541" s="0" t="n">
        <f aca="false">D2541</f>
        <v>0</v>
      </c>
      <c r="I2541" s="0" t="n">
        <f aca="false">E2541</f>
        <v>0.625</v>
      </c>
      <c r="J2541" s="0" t="n">
        <f aca="false">F2541</f>
        <v>-0.625</v>
      </c>
      <c r="K2541" s="0" t="n">
        <f aca="false">D2541*E2541</f>
        <v>0</v>
      </c>
      <c r="L2541" s="0" t="n">
        <f aca="false">D2541*F2541</f>
        <v>-0</v>
      </c>
      <c r="M2541" s="0" t="n">
        <f aca="false">E2541*F2541</f>
        <v>-0.390625</v>
      </c>
      <c r="N2541" s="0" t="n">
        <f aca="false">D2541*D2541</f>
        <v>0</v>
      </c>
      <c r="O2541" s="0" t="n">
        <f aca="false">E2541*E2541</f>
        <v>0.390625</v>
      </c>
      <c r="P2541" s="0" t="n">
        <f aca="false">F2541*F2541</f>
        <v>0.390625</v>
      </c>
      <c r="Q2541" s="0" t="n">
        <f aca="false">SUMPRODUCT(G2541:P2541,_XtX!$B$71:$K$71)</f>
        <v>47.3846022727273</v>
      </c>
      <c r="R2541" s="0" t="n">
        <f aca="false">SUMPRODUCT(MMULT(G2541:P2541,_XtX!$B$58:$K$67),G2541:P2541)</f>
        <v>0.213715709339489</v>
      </c>
      <c r="S2541" s="0" t="n">
        <f aca="false">04_回帰ANOVA!$K$19*04_回帰ANOVA!$K$14*SQRT(1+R2541)</f>
        <v>1.02429516478377</v>
      </c>
      <c r="T2541" s="0" t="n">
        <f aca="false">Q2541-S2541</f>
        <v>46.3603071079435</v>
      </c>
      <c r="U2541" s="0" t="n">
        <f aca="false">Q2541+S2541</f>
        <v>48.4088974375111</v>
      </c>
      <c r="V2541" s="54" t="b">
        <f aca="false">AND(D2541&gt;=01_因子設定!$L$5-0.000000001,D2541&lt;=01_因子設定!$M$5+0.000000001,E2541&gt;=01_因子設定!$L$6-0.000000001,E2541&lt;=01_因子設定!$M$6+0.000000001,F2541&gt;=01_因子設定!$L$7-0.000000001,F2541&lt;=01_因子設定!$M$7+0.000000001,IF(01_因子設定!$B$20="Box-Behnken",D2541^2+E2541^2+F2541^2&lt;=2+0.000000001,TRUE()))</f>
        <v>1</v>
      </c>
      <c r="W2541" s="55" t="n">
        <f aca="false">IF(V2541,IF(01_因子設定!$B$13="最大化",T2541-01_因子設定!$B$14,IF(01_因子設定!$B$13="最小化",01_因子設定!$B$15-U2541,MIN(T2541-01_因子設定!$B$14,01_因子設定!$B$15-U2541))),-1E+030)</f>
        <v>-2.13969289205648</v>
      </c>
      <c r="X2541" s="55" t="n">
        <f aca="false">IF(V2541,IF(01_因子設定!$B$13="最大化",Q2541,IF(01_因子設定!$B$13="最小化",-Q2541,-ABS(Q2541-01_因子設定!$B$16))),-1E+030)</f>
        <v>47.3846022727273</v>
      </c>
      <c r="Y2541" s="55" t="n">
        <f aca="false">W2541+ROW()*0.000000001</f>
        <v>-2.13969035105648</v>
      </c>
      <c r="Z2541" s="55" t="n">
        <f aca="false">X2541+ROW()*0.000000001</f>
        <v>47.3846048137273</v>
      </c>
    </row>
    <row r="2542" customFormat="false" ht="15" hidden="false" customHeight="false" outlineLevel="0" collapsed="false">
      <c r="A2542" s="0" t="n">
        <v>8</v>
      </c>
      <c r="B2542" s="0" t="n">
        <v>13</v>
      </c>
      <c r="C2542" s="0" t="n">
        <v>4</v>
      </c>
      <c r="D2542" s="0" t="n">
        <f aca="false">-1+A2542*0.125</f>
        <v>0</v>
      </c>
      <c r="E2542" s="0" t="n">
        <f aca="false">-1+B2542*0.125</f>
        <v>0.625</v>
      </c>
      <c r="F2542" s="0" t="n">
        <f aca="false">-1+C2542*0.125</f>
        <v>-0.5</v>
      </c>
      <c r="G2542" s="0" t="n">
        <f aca="false">1</f>
        <v>1</v>
      </c>
      <c r="H2542" s="0" t="n">
        <f aca="false">D2542</f>
        <v>0</v>
      </c>
      <c r="I2542" s="0" t="n">
        <f aca="false">E2542</f>
        <v>0.625</v>
      </c>
      <c r="J2542" s="0" t="n">
        <f aca="false">F2542</f>
        <v>-0.5</v>
      </c>
      <c r="K2542" s="0" t="n">
        <f aca="false">D2542*E2542</f>
        <v>0</v>
      </c>
      <c r="L2542" s="0" t="n">
        <f aca="false">D2542*F2542</f>
        <v>-0</v>
      </c>
      <c r="M2542" s="0" t="n">
        <f aca="false">E2542*F2542</f>
        <v>-0.3125</v>
      </c>
      <c r="N2542" s="0" t="n">
        <f aca="false">D2542*D2542</f>
        <v>0</v>
      </c>
      <c r="O2542" s="0" t="n">
        <f aca="false">E2542*E2542</f>
        <v>0.390625</v>
      </c>
      <c r="P2542" s="0" t="n">
        <f aca="false">F2542*F2542</f>
        <v>0.25</v>
      </c>
      <c r="Q2542" s="0" t="n">
        <f aca="false">SUMPRODUCT(G2542:P2542,_XtX!$B$71:$K$71)</f>
        <v>47.7578125</v>
      </c>
      <c r="R2542" s="0" t="n">
        <f aca="false">SUMPRODUCT(MMULT(G2542:P2542,_XtX!$B$58:$K$67),G2542:P2542)</f>
        <v>0.18779296875</v>
      </c>
      <c r="S2542" s="0" t="n">
        <f aca="false">04_回帰ANOVA!$K$19*04_回帰ANOVA!$K$14*SQRT(1+R2542)</f>
        <v>1.01329759319777</v>
      </c>
      <c r="T2542" s="0" t="n">
        <f aca="false">Q2542-S2542</f>
        <v>46.7445149068022</v>
      </c>
      <c r="U2542" s="0" t="n">
        <f aca="false">Q2542+S2542</f>
        <v>48.7711100931978</v>
      </c>
      <c r="V2542" s="54" t="b">
        <f aca="false">AND(D2542&gt;=01_因子設定!$L$5-0.000000001,D2542&lt;=01_因子設定!$M$5+0.000000001,E2542&gt;=01_因子設定!$L$6-0.000000001,E2542&lt;=01_因子設定!$M$6+0.000000001,F2542&gt;=01_因子設定!$L$7-0.000000001,F2542&lt;=01_因子設定!$M$7+0.000000001,IF(01_因子設定!$B$20="Box-Behnken",D2542^2+E2542^2+F2542^2&lt;=2+0.000000001,TRUE()))</f>
        <v>1</v>
      </c>
      <c r="W2542" s="55" t="n">
        <f aca="false">IF(V2542,IF(01_因子設定!$B$13="最大化",T2542-01_因子設定!$B$14,IF(01_因子設定!$B$13="最小化",01_因子設定!$B$15-U2542,MIN(T2542-01_因子設定!$B$14,01_因子設定!$B$15-U2542))),-1E+030)</f>
        <v>-1.75548509319776</v>
      </c>
      <c r="X2542" s="55" t="n">
        <f aca="false">IF(V2542,IF(01_因子設定!$B$13="最大化",Q2542,IF(01_因子設定!$B$13="最小化",-Q2542,-ABS(Q2542-01_因子設定!$B$16))),-1E+030)</f>
        <v>47.7578125</v>
      </c>
      <c r="Y2542" s="55" t="n">
        <f aca="false">W2542+ROW()*0.000000001</f>
        <v>-1.75548255119776</v>
      </c>
      <c r="Z2542" s="55" t="n">
        <f aca="false">X2542+ROW()*0.000000001</f>
        <v>47.757815042</v>
      </c>
    </row>
    <row r="2543" customFormat="false" ht="15" hidden="false" customHeight="false" outlineLevel="0" collapsed="false">
      <c r="A2543" s="0" t="n">
        <v>8</v>
      </c>
      <c r="B2543" s="0" t="n">
        <v>13</v>
      </c>
      <c r="C2543" s="0" t="n">
        <v>5</v>
      </c>
      <c r="D2543" s="0" t="n">
        <f aca="false">-1+A2543*0.125</f>
        <v>0</v>
      </c>
      <c r="E2543" s="0" t="n">
        <f aca="false">-1+B2543*0.125</f>
        <v>0.625</v>
      </c>
      <c r="F2543" s="0" t="n">
        <f aca="false">-1+C2543*0.125</f>
        <v>-0.375</v>
      </c>
      <c r="G2543" s="0" t="n">
        <f aca="false">1</f>
        <v>1</v>
      </c>
      <c r="H2543" s="0" t="n">
        <f aca="false">D2543</f>
        <v>0</v>
      </c>
      <c r="I2543" s="0" t="n">
        <f aca="false">E2543</f>
        <v>0.625</v>
      </c>
      <c r="J2543" s="0" t="n">
        <f aca="false">F2543</f>
        <v>-0.375</v>
      </c>
      <c r="K2543" s="0" t="n">
        <f aca="false">D2543*E2543</f>
        <v>0</v>
      </c>
      <c r="L2543" s="0" t="n">
        <f aca="false">D2543*F2543</f>
        <v>-0</v>
      </c>
      <c r="M2543" s="0" t="n">
        <f aca="false">E2543*F2543</f>
        <v>-0.234375</v>
      </c>
      <c r="N2543" s="0" t="n">
        <f aca="false">D2543*D2543</f>
        <v>0</v>
      </c>
      <c r="O2543" s="0" t="n">
        <f aca="false">E2543*E2543</f>
        <v>0.390625</v>
      </c>
      <c r="P2543" s="0" t="n">
        <f aca="false">F2543*F2543</f>
        <v>0.140625</v>
      </c>
      <c r="Q2543" s="0" t="n">
        <f aca="false">SUMPRODUCT(G2543:P2543,_XtX!$B$71:$K$71)</f>
        <v>48.0942329545455</v>
      </c>
      <c r="R2543" s="0" t="n">
        <f aca="false">SUMPRODUCT(MMULT(G2543:P2543,_XtX!$B$58:$K$67),G2543:P2543)</f>
        <v>0.17757401899858</v>
      </c>
      <c r="S2543" s="0" t="n">
        <f aca="false">04_回帰ANOVA!$K$19*04_回帰ANOVA!$K$14*SQRT(1+R2543)</f>
        <v>1.00892932143276</v>
      </c>
      <c r="T2543" s="0" t="n">
        <f aca="false">Q2543-S2543</f>
        <v>47.0853036331127</v>
      </c>
      <c r="U2543" s="0" t="n">
        <f aca="false">Q2543+S2543</f>
        <v>49.1031622759782</v>
      </c>
      <c r="V2543" s="54" t="b">
        <f aca="false">AND(D2543&gt;=01_因子設定!$L$5-0.000000001,D2543&lt;=01_因子設定!$M$5+0.000000001,E2543&gt;=01_因子設定!$L$6-0.000000001,E2543&lt;=01_因子設定!$M$6+0.000000001,F2543&gt;=01_因子設定!$L$7-0.000000001,F2543&lt;=01_因子設定!$M$7+0.000000001,IF(01_因子設定!$B$20="Box-Behnken",D2543^2+E2543^2+F2543^2&lt;=2+0.000000001,TRUE()))</f>
        <v>1</v>
      </c>
      <c r="W2543" s="55" t="n">
        <f aca="false">IF(V2543,IF(01_因子設定!$B$13="最大化",T2543-01_因子設定!$B$14,IF(01_因子設定!$B$13="最小化",01_因子設定!$B$15-U2543,MIN(T2543-01_因子設定!$B$14,01_因子設定!$B$15-U2543))),-1E+030)</f>
        <v>-1.41469636688729</v>
      </c>
      <c r="X2543" s="55" t="n">
        <f aca="false">IF(V2543,IF(01_因子設定!$B$13="最大化",Q2543,IF(01_因子設定!$B$13="最小化",-Q2543,-ABS(Q2543-01_因子設定!$B$16))),-1E+030)</f>
        <v>48.0942329545455</v>
      </c>
      <c r="Y2543" s="55" t="n">
        <f aca="false">W2543+ROW()*0.000000001</f>
        <v>-1.41469382388729</v>
      </c>
      <c r="Z2543" s="55" t="n">
        <f aca="false">X2543+ROW()*0.000000001</f>
        <v>48.0942354975455</v>
      </c>
    </row>
    <row r="2544" customFormat="false" ht="15" hidden="false" customHeight="false" outlineLevel="0" collapsed="false">
      <c r="A2544" s="0" t="n">
        <v>8</v>
      </c>
      <c r="B2544" s="0" t="n">
        <v>13</v>
      </c>
      <c r="C2544" s="0" t="n">
        <v>6</v>
      </c>
      <c r="D2544" s="0" t="n">
        <f aca="false">-1+A2544*0.125</f>
        <v>0</v>
      </c>
      <c r="E2544" s="0" t="n">
        <f aca="false">-1+B2544*0.125</f>
        <v>0.625</v>
      </c>
      <c r="F2544" s="0" t="n">
        <f aca="false">-1+C2544*0.125</f>
        <v>-0.25</v>
      </c>
      <c r="G2544" s="0" t="n">
        <f aca="false">1</f>
        <v>1</v>
      </c>
      <c r="H2544" s="0" t="n">
        <f aca="false">D2544</f>
        <v>0</v>
      </c>
      <c r="I2544" s="0" t="n">
        <f aca="false">E2544</f>
        <v>0.625</v>
      </c>
      <c r="J2544" s="0" t="n">
        <f aca="false">F2544</f>
        <v>-0.25</v>
      </c>
      <c r="K2544" s="0" t="n">
        <f aca="false">D2544*E2544</f>
        <v>0</v>
      </c>
      <c r="L2544" s="0" t="n">
        <f aca="false">D2544*F2544</f>
        <v>-0</v>
      </c>
      <c r="M2544" s="0" t="n">
        <f aca="false">E2544*F2544</f>
        <v>-0.15625</v>
      </c>
      <c r="N2544" s="0" t="n">
        <f aca="false">D2544*D2544</f>
        <v>0</v>
      </c>
      <c r="O2544" s="0" t="n">
        <f aca="false">E2544*E2544</f>
        <v>0.390625</v>
      </c>
      <c r="P2544" s="0" t="n">
        <f aca="false">F2544*F2544</f>
        <v>0.0625</v>
      </c>
      <c r="Q2544" s="0" t="n">
        <f aca="false">SUMPRODUCT(G2544:P2544,_XtX!$B$71:$K$71)</f>
        <v>48.3938636363637</v>
      </c>
      <c r="R2544" s="0" t="n">
        <f aca="false">SUMPRODUCT(MMULT(G2544:P2544,_XtX!$B$58:$K$67),G2544:P2544)</f>
        <v>0.175601473721591</v>
      </c>
      <c r="S2544" s="0" t="n">
        <f aca="false">04_回帰ANOVA!$K$19*04_回帰ANOVA!$K$14*SQRT(1+R2544)</f>
        <v>1.00808394234856</v>
      </c>
      <c r="T2544" s="0" t="n">
        <f aca="false">Q2544-S2544</f>
        <v>47.3857796940151</v>
      </c>
      <c r="U2544" s="0" t="n">
        <f aca="false">Q2544+S2544</f>
        <v>49.4019475787122</v>
      </c>
      <c r="V2544" s="54" t="b">
        <f aca="false">AND(D2544&gt;=01_因子設定!$L$5-0.000000001,D2544&lt;=01_因子設定!$M$5+0.000000001,E2544&gt;=01_因子設定!$L$6-0.000000001,E2544&lt;=01_因子設定!$M$6+0.000000001,F2544&gt;=01_因子設定!$L$7-0.000000001,F2544&lt;=01_因子設定!$M$7+0.000000001,IF(01_因子設定!$B$20="Box-Behnken",D2544^2+E2544^2+F2544^2&lt;=2+0.000000001,TRUE()))</f>
        <v>1</v>
      </c>
      <c r="W2544" s="55" t="n">
        <f aca="false">IF(V2544,IF(01_因子設定!$B$13="最大化",T2544-01_因子設定!$B$14,IF(01_因子設定!$B$13="最小化",01_因子設定!$B$15-U2544,MIN(T2544-01_因子設定!$B$14,01_因子設定!$B$15-U2544))),-1E+030)</f>
        <v>-1.11422030598492</v>
      </c>
      <c r="X2544" s="55" t="n">
        <f aca="false">IF(V2544,IF(01_因子設定!$B$13="最大化",Q2544,IF(01_因子設定!$B$13="最小化",-Q2544,-ABS(Q2544-01_因子設定!$B$16))),-1E+030)</f>
        <v>48.3938636363637</v>
      </c>
      <c r="Y2544" s="55" t="n">
        <f aca="false">W2544+ROW()*0.000000001</f>
        <v>-1.11421776198492</v>
      </c>
      <c r="Z2544" s="55" t="n">
        <f aca="false">X2544+ROW()*0.000000001</f>
        <v>48.3938661803636</v>
      </c>
    </row>
    <row r="2545" customFormat="false" ht="15" hidden="false" customHeight="false" outlineLevel="0" collapsed="false">
      <c r="A2545" s="0" t="n">
        <v>8</v>
      </c>
      <c r="B2545" s="0" t="n">
        <v>13</v>
      </c>
      <c r="C2545" s="0" t="n">
        <v>7</v>
      </c>
      <c r="D2545" s="0" t="n">
        <f aca="false">-1+A2545*0.125</f>
        <v>0</v>
      </c>
      <c r="E2545" s="0" t="n">
        <f aca="false">-1+B2545*0.125</f>
        <v>0.625</v>
      </c>
      <c r="F2545" s="0" t="n">
        <f aca="false">-1+C2545*0.125</f>
        <v>-0.125</v>
      </c>
      <c r="G2545" s="0" t="n">
        <f aca="false">1</f>
        <v>1</v>
      </c>
      <c r="H2545" s="0" t="n">
        <f aca="false">D2545</f>
        <v>0</v>
      </c>
      <c r="I2545" s="0" t="n">
        <f aca="false">E2545</f>
        <v>0.625</v>
      </c>
      <c r="J2545" s="0" t="n">
        <f aca="false">F2545</f>
        <v>-0.125</v>
      </c>
      <c r="K2545" s="0" t="n">
        <f aca="false">D2545*E2545</f>
        <v>0</v>
      </c>
      <c r="L2545" s="0" t="n">
        <f aca="false">D2545*F2545</f>
        <v>-0</v>
      </c>
      <c r="M2545" s="0" t="n">
        <f aca="false">E2545*F2545</f>
        <v>-0.078125</v>
      </c>
      <c r="N2545" s="0" t="n">
        <f aca="false">D2545*D2545</f>
        <v>0</v>
      </c>
      <c r="O2545" s="0" t="n">
        <f aca="false">E2545*E2545</f>
        <v>0.390625</v>
      </c>
      <c r="P2545" s="0" t="n">
        <f aca="false">F2545*F2545</f>
        <v>0.015625</v>
      </c>
      <c r="Q2545" s="0" t="n">
        <f aca="false">SUMPRODUCT(G2545:P2545,_XtX!$B$71:$K$71)</f>
        <v>48.6567045454546</v>
      </c>
      <c r="R2545" s="0" t="n">
        <f aca="false">SUMPRODUCT(MMULT(G2545:P2545,_XtX!$B$58:$K$67),G2545:P2545)</f>
        <v>0.17654862837358</v>
      </c>
      <c r="S2545" s="0" t="n">
        <f aca="false">04_回帰ANOVA!$K$19*04_回帰ANOVA!$K$14*SQRT(1+R2545)</f>
        <v>1.00848995543082</v>
      </c>
      <c r="T2545" s="0" t="n">
        <f aca="false">Q2545-S2545</f>
        <v>47.6482145900237</v>
      </c>
      <c r="U2545" s="0" t="n">
        <f aca="false">Q2545+S2545</f>
        <v>49.6651945008854</v>
      </c>
      <c r="V2545" s="54" t="b">
        <f aca="false">AND(D2545&gt;=01_因子設定!$L$5-0.000000001,D2545&lt;=01_因子設定!$M$5+0.000000001,E2545&gt;=01_因子設定!$L$6-0.000000001,E2545&lt;=01_因子設定!$M$6+0.000000001,F2545&gt;=01_因子設定!$L$7-0.000000001,F2545&lt;=01_因子設定!$M$7+0.000000001,IF(01_因子設定!$B$20="Box-Behnken",D2545^2+E2545^2+F2545^2&lt;=2+0.000000001,TRUE()))</f>
        <v>1</v>
      </c>
      <c r="W2545" s="55" t="n">
        <f aca="false">IF(V2545,IF(01_因子設定!$B$13="最大化",T2545-01_因子設定!$B$14,IF(01_因子設定!$B$13="最小化",01_因子設定!$B$15-U2545,MIN(T2545-01_因子設定!$B$14,01_因子設定!$B$15-U2545))),-1E+030)</f>
        <v>-0.851785409976266</v>
      </c>
      <c r="X2545" s="55" t="n">
        <f aca="false">IF(V2545,IF(01_因子設定!$B$13="最大化",Q2545,IF(01_因子設定!$B$13="最小化",-Q2545,-ABS(Q2545-01_因子設定!$B$16))),-1E+030)</f>
        <v>48.6567045454546</v>
      </c>
      <c r="Y2545" s="55" t="n">
        <f aca="false">W2545+ROW()*0.000000001</f>
        <v>-0.851782864976266</v>
      </c>
      <c r="Z2545" s="55" t="n">
        <f aca="false">X2545+ROW()*0.000000001</f>
        <v>48.6567070904546</v>
      </c>
    </row>
    <row r="2546" customFormat="false" ht="15" hidden="false" customHeight="false" outlineLevel="0" collapsed="false">
      <c r="A2546" s="0" t="n">
        <v>8</v>
      </c>
      <c r="B2546" s="0" t="n">
        <v>13</v>
      </c>
      <c r="C2546" s="0" t="n">
        <v>8</v>
      </c>
      <c r="D2546" s="0" t="n">
        <f aca="false">-1+A2546*0.125</f>
        <v>0</v>
      </c>
      <c r="E2546" s="0" t="n">
        <f aca="false">-1+B2546*0.125</f>
        <v>0.625</v>
      </c>
      <c r="F2546" s="0" t="n">
        <f aca="false">-1+C2546*0.125</f>
        <v>0</v>
      </c>
      <c r="G2546" s="0" t="n">
        <f aca="false">1</f>
        <v>1</v>
      </c>
      <c r="H2546" s="0" t="n">
        <f aca="false">D2546</f>
        <v>0</v>
      </c>
      <c r="I2546" s="0" t="n">
        <f aca="false">E2546</f>
        <v>0.625</v>
      </c>
      <c r="J2546" s="0" t="n">
        <f aca="false">F2546</f>
        <v>0</v>
      </c>
      <c r="K2546" s="0" t="n">
        <f aca="false">D2546*E2546</f>
        <v>0</v>
      </c>
      <c r="L2546" s="0" t="n">
        <f aca="false">D2546*F2546</f>
        <v>0</v>
      </c>
      <c r="M2546" s="0" t="n">
        <f aca="false">E2546*F2546</f>
        <v>0</v>
      </c>
      <c r="N2546" s="0" t="n">
        <f aca="false">D2546*D2546</f>
        <v>0</v>
      </c>
      <c r="O2546" s="0" t="n">
        <f aca="false">E2546*E2546</f>
        <v>0.390625</v>
      </c>
      <c r="P2546" s="0" t="n">
        <f aca="false">F2546*F2546</f>
        <v>0</v>
      </c>
      <c r="Q2546" s="0" t="n">
        <f aca="false">SUMPRODUCT(G2546:P2546,_XtX!$B$71:$K$71)</f>
        <v>48.8827556818182</v>
      </c>
      <c r="R2546" s="0" t="n">
        <f aca="false">SUMPRODUCT(MMULT(G2546:P2546,_XtX!$B$58:$K$67),G2546:P2546)</f>
        <v>0.177219460227273</v>
      </c>
      <c r="S2546" s="0" t="n">
        <f aca="false">04_回帰ANOVA!$K$19*04_回帰ANOVA!$K$14*SQRT(1+R2546)</f>
        <v>1.00877741944364</v>
      </c>
      <c r="T2546" s="0" t="n">
        <f aca="false">Q2546-S2546</f>
        <v>47.8739782623746</v>
      </c>
      <c r="U2546" s="0" t="n">
        <f aca="false">Q2546+S2546</f>
        <v>49.8915331012618</v>
      </c>
      <c r="V2546" s="54" t="b">
        <f aca="false">AND(D2546&gt;=01_因子設定!$L$5-0.000000001,D2546&lt;=01_因子設定!$M$5+0.000000001,E2546&gt;=01_因子設定!$L$6-0.000000001,E2546&lt;=01_因子設定!$M$6+0.000000001,F2546&gt;=01_因子設定!$L$7-0.000000001,F2546&lt;=01_因子設定!$M$7+0.000000001,IF(01_因子設定!$B$20="Box-Behnken",D2546^2+E2546^2+F2546^2&lt;=2+0.000000001,TRUE()))</f>
        <v>1</v>
      </c>
      <c r="W2546" s="55" t="n">
        <f aca="false">IF(V2546,IF(01_因子設定!$B$13="最大化",T2546-01_因子設定!$B$14,IF(01_因子設定!$B$13="最小化",01_因子設定!$B$15-U2546,MIN(T2546-01_因子設定!$B$14,01_因子設定!$B$15-U2546))),-1E+030)</f>
        <v>-0.626021737625443</v>
      </c>
      <c r="X2546" s="55" t="n">
        <f aca="false">IF(V2546,IF(01_因子設定!$B$13="最大化",Q2546,IF(01_因子設定!$B$13="最小化",-Q2546,-ABS(Q2546-01_因子設定!$B$16))),-1E+030)</f>
        <v>48.8827556818182</v>
      </c>
      <c r="Y2546" s="55" t="n">
        <f aca="false">W2546+ROW()*0.000000001</f>
        <v>-0.626019191625443</v>
      </c>
      <c r="Z2546" s="55" t="n">
        <f aca="false">X2546+ROW()*0.000000001</f>
        <v>48.8827582278182</v>
      </c>
    </row>
    <row r="2547" customFormat="false" ht="15" hidden="false" customHeight="false" outlineLevel="0" collapsed="false">
      <c r="A2547" s="0" t="n">
        <v>8</v>
      </c>
      <c r="B2547" s="0" t="n">
        <v>13</v>
      </c>
      <c r="C2547" s="0" t="n">
        <v>9</v>
      </c>
      <c r="D2547" s="0" t="n">
        <f aca="false">-1+A2547*0.125</f>
        <v>0</v>
      </c>
      <c r="E2547" s="0" t="n">
        <f aca="false">-1+B2547*0.125</f>
        <v>0.625</v>
      </c>
      <c r="F2547" s="0" t="n">
        <f aca="false">-1+C2547*0.125</f>
        <v>0.125</v>
      </c>
      <c r="G2547" s="0" t="n">
        <f aca="false">1</f>
        <v>1</v>
      </c>
      <c r="H2547" s="0" t="n">
        <f aca="false">D2547</f>
        <v>0</v>
      </c>
      <c r="I2547" s="0" t="n">
        <f aca="false">E2547</f>
        <v>0.625</v>
      </c>
      <c r="J2547" s="0" t="n">
        <f aca="false">F2547</f>
        <v>0.125</v>
      </c>
      <c r="K2547" s="0" t="n">
        <f aca="false">D2547*E2547</f>
        <v>0</v>
      </c>
      <c r="L2547" s="0" t="n">
        <f aca="false">D2547*F2547</f>
        <v>0</v>
      </c>
      <c r="M2547" s="0" t="n">
        <f aca="false">E2547*F2547</f>
        <v>0.078125</v>
      </c>
      <c r="N2547" s="0" t="n">
        <f aca="false">D2547*D2547</f>
        <v>0</v>
      </c>
      <c r="O2547" s="0" t="n">
        <f aca="false">E2547*E2547</f>
        <v>0.390625</v>
      </c>
      <c r="P2547" s="0" t="n">
        <f aca="false">F2547*F2547</f>
        <v>0.015625</v>
      </c>
      <c r="Q2547" s="0" t="n">
        <f aca="false">SUMPRODUCT(G2547:P2547,_XtX!$B$71:$K$71)</f>
        <v>49.0720170454546</v>
      </c>
      <c r="R2547" s="0" t="n">
        <f aca="false">SUMPRODUCT(MMULT(G2547:P2547,_XtX!$B$58:$K$67),G2547:P2547)</f>
        <v>0.17654862837358</v>
      </c>
      <c r="S2547" s="0" t="n">
        <f aca="false">04_回帰ANOVA!$K$19*04_回帰ANOVA!$K$14*SQRT(1+R2547)</f>
        <v>1.00848995543082</v>
      </c>
      <c r="T2547" s="0" t="n">
        <f aca="false">Q2547-S2547</f>
        <v>48.0635270900237</v>
      </c>
      <c r="U2547" s="0" t="n">
        <f aca="false">Q2547+S2547</f>
        <v>50.0805070008854</v>
      </c>
      <c r="V2547" s="54" t="b">
        <f aca="false">AND(D2547&gt;=01_因子設定!$L$5-0.000000001,D2547&lt;=01_因子設定!$M$5+0.000000001,E2547&gt;=01_因子設定!$L$6-0.000000001,E2547&lt;=01_因子設定!$M$6+0.000000001,F2547&gt;=01_因子設定!$L$7-0.000000001,F2547&lt;=01_因子設定!$M$7+0.000000001,IF(01_因子設定!$B$20="Box-Behnken",D2547^2+E2547^2+F2547^2&lt;=2+0.000000001,TRUE()))</f>
        <v>1</v>
      </c>
      <c r="W2547" s="55" t="n">
        <f aca="false">IF(V2547,IF(01_因子設定!$B$13="最大化",T2547-01_因子設定!$B$14,IF(01_因子設定!$B$13="最小化",01_因子設定!$B$15-U2547,MIN(T2547-01_因子設定!$B$14,01_因子設定!$B$15-U2547))),-1E+030)</f>
        <v>-0.436472909976267</v>
      </c>
      <c r="X2547" s="55" t="n">
        <f aca="false">IF(V2547,IF(01_因子設定!$B$13="最大化",Q2547,IF(01_因子設定!$B$13="最小化",-Q2547,-ABS(Q2547-01_因子設定!$B$16))),-1E+030)</f>
        <v>49.0720170454546</v>
      </c>
      <c r="Y2547" s="55" t="n">
        <f aca="false">W2547+ROW()*0.000000001</f>
        <v>-0.436470362976267</v>
      </c>
      <c r="Z2547" s="55" t="n">
        <f aca="false">X2547+ROW()*0.000000001</f>
        <v>49.0720195924546</v>
      </c>
    </row>
    <row r="2548" customFormat="false" ht="15" hidden="false" customHeight="false" outlineLevel="0" collapsed="false">
      <c r="A2548" s="0" t="n">
        <v>8</v>
      </c>
      <c r="B2548" s="0" t="n">
        <v>13</v>
      </c>
      <c r="C2548" s="0" t="n">
        <v>10</v>
      </c>
      <c r="D2548" s="0" t="n">
        <f aca="false">-1+A2548*0.125</f>
        <v>0</v>
      </c>
      <c r="E2548" s="0" t="n">
        <f aca="false">-1+B2548*0.125</f>
        <v>0.625</v>
      </c>
      <c r="F2548" s="0" t="n">
        <f aca="false">-1+C2548*0.125</f>
        <v>0.25</v>
      </c>
      <c r="G2548" s="0" t="n">
        <f aca="false">1</f>
        <v>1</v>
      </c>
      <c r="H2548" s="0" t="n">
        <f aca="false">D2548</f>
        <v>0</v>
      </c>
      <c r="I2548" s="0" t="n">
        <f aca="false">E2548</f>
        <v>0.625</v>
      </c>
      <c r="J2548" s="0" t="n">
        <f aca="false">F2548</f>
        <v>0.25</v>
      </c>
      <c r="K2548" s="0" t="n">
        <f aca="false">D2548*E2548</f>
        <v>0</v>
      </c>
      <c r="L2548" s="0" t="n">
        <f aca="false">D2548*F2548</f>
        <v>0</v>
      </c>
      <c r="M2548" s="0" t="n">
        <f aca="false">E2548*F2548</f>
        <v>0.15625</v>
      </c>
      <c r="N2548" s="0" t="n">
        <f aca="false">D2548*D2548</f>
        <v>0</v>
      </c>
      <c r="O2548" s="0" t="n">
        <f aca="false">E2548*E2548</f>
        <v>0.390625</v>
      </c>
      <c r="P2548" s="0" t="n">
        <f aca="false">F2548*F2548</f>
        <v>0.0625</v>
      </c>
      <c r="Q2548" s="0" t="n">
        <f aca="false">SUMPRODUCT(G2548:P2548,_XtX!$B$71:$K$71)</f>
        <v>49.2244886363636</v>
      </c>
      <c r="R2548" s="0" t="n">
        <f aca="false">SUMPRODUCT(MMULT(G2548:P2548,_XtX!$B$58:$K$67),G2548:P2548)</f>
        <v>0.175601473721591</v>
      </c>
      <c r="S2548" s="0" t="n">
        <f aca="false">04_回帰ANOVA!$K$19*04_回帰ANOVA!$K$14*SQRT(1+R2548)</f>
        <v>1.00808394234856</v>
      </c>
      <c r="T2548" s="0" t="n">
        <f aca="false">Q2548-S2548</f>
        <v>48.2164046940151</v>
      </c>
      <c r="U2548" s="0" t="n">
        <f aca="false">Q2548+S2548</f>
        <v>50.2325725787122</v>
      </c>
      <c r="V2548" s="54" t="b">
        <f aca="false">AND(D2548&gt;=01_因子設定!$L$5-0.000000001,D2548&lt;=01_因子設定!$M$5+0.000000001,E2548&gt;=01_因子設定!$L$6-0.000000001,E2548&lt;=01_因子設定!$M$6+0.000000001,F2548&gt;=01_因子設定!$L$7-0.000000001,F2548&lt;=01_因子設定!$M$7+0.000000001,IF(01_因子設定!$B$20="Box-Behnken",D2548^2+E2548^2+F2548^2&lt;=2+0.000000001,TRUE()))</f>
        <v>1</v>
      </c>
      <c r="W2548" s="55" t="n">
        <f aca="false">IF(V2548,IF(01_因子設定!$B$13="最大化",T2548-01_因子設定!$B$14,IF(01_因子設定!$B$13="最小化",01_因子設定!$B$15-U2548,MIN(T2548-01_因子設定!$B$14,01_因子設定!$B$15-U2548))),-1E+030)</f>
        <v>-0.283595305984917</v>
      </c>
      <c r="X2548" s="55" t="n">
        <f aca="false">IF(V2548,IF(01_因子設定!$B$13="最大化",Q2548,IF(01_因子設定!$B$13="最小化",-Q2548,-ABS(Q2548-01_因子設定!$B$16))),-1E+030)</f>
        <v>49.2244886363636</v>
      </c>
      <c r="Y2548" s="55" t="n">
        <f aca="false">W2548+ROW()*0.000000001</f>
        <v>-0.283592757984917</v>
      </c>
      <c r="Z2548" s="55" t="n">
        <f aca="false">X2548+ROW()*0.000000001</f>
        <v>49.2244911843636</v>
      </c>
    </row>
    <row r="2549" customFormat="false" ht="15" hidden="false" customHeight="false" outlineLevel="0" collapsed="false">
      <c r="A2549" s="0" t="n">
        <v>8</v>
      </c>
      <c r="B2549" s="0" t="n">
        <v>13</v>
      </c>
      <c r="C2549" s="0" t="n">
        <v>11</v>
      </c>
      <c r="D2549" s="0" t="n">
        <f aca="false">-1+A2549*0.125</f>
        <v>0</v>
      </c>
      <c r="E2549" s="0" t="n">
        <f aca="false">-1+B2549*0.125</f>
        <v>0.625</v>
      </c>
      <c r="F2549" s="0" t="n">
        <f aca="false">-1+C2549*0.125</f>
        <v>0.375</v>
      </c>
      <c r="G2549" s="0" t="n">
        <f aca="false">1</f>
        <v>1</v>
      </c>
      <c r="H2549" s="0" t="n">
        <f aca="false">D2549</f>
        <v>0</v>
      </c>
      <c r="I2549" s="0" t="n">
        <f aca="false">E2549</f>
        <v>0.625</v>
      </c>
      <c r="J2549" s="0" t="n">
        <f aca="false">F2549</f>
        <v>0.375</v>
      </c>
      <c r="K2549" s="0" t="n">
        <f aca="false">D2549*E2549</f>
        <v>0</v>
      </c>
      <c r="L2549" s="0" t="n">
        <f aca="false">D2549*F2549</f>
        <v>0</v>
      </c>
      <c r="M2549" s="0" t="n">
        <f aca="false">E2549*F2549</f>
        <v>0.234375</v>
      </c>
      <c r="N2549" s="0" t="n">
        <f aca="false">D2549*D2549</f>
        <v>0</v>
      </c>
      <c r="O2549" s="0" t="n">
        <f aca="false">E2549*E2549</f>
        <v>0.390625</v>
      </c>
      <c r="P2549" s="0" t="n">
        <f aca="false">F2549*F2549</f>
        <v>0.140625</v>
      </c>
      <c r="Q2549" s="0" t="n">
        <f aca="false">SUMPRODUCT(G2549:P2549,_XtX!$B$71:$K$71)</f>
        <v>49.3401704545455</v>
      </c>
      <c r="R2549" s="0" t="n">
        <f aca="false">SUMPRODUCT(MMULT(G2549:P2549,_XtX!$B$58:$K$67),G2549:P2549)</f>
        <v>0.17757401899858</v>
      </c>
      <c r="S2549" s="0" t="n">
        <f aca="false">04_回帰ANOVA!$K$19*04_回帰ANOVA!$K$14*SQRT(1+R2549)</f>
        <v>1.00892932143276</v>
      </c>
      <c r="T2549" s="0" t="n">
        <f aca="false">Q2549-S2549</f>
        <v>48.3312411331127</v>
      </c>
      <c r="U2549" s="0" t="n">
        <f aca="false">Q2549+S2549</f>
        <v>50.3490997759782</v>
      </c>
      <c r="V2549" s="54" t="b">
        <f aca="false">AND(D2549&gt;=01_因子設定!$L$5-0.000000001,D2549&lt;=01_因子設定!$M$5+0.000000001,E2549&gt;=01_因子設定!$L$6-0.000000001,E2549&lt;=01_因子設定!$M$6+0.000000001,F2549&gt;=01_因子設定!$L$7-0.000000001,F2549&lt;=01_因子設定!$M$7+0.000000001,IF(01_因子設定!$B$20="Box-Behnken",D2549^2+E2549^2+F2549^2&lt;=2+0.000000001,TRUE()))</f>
        <v>1</v>
      </c>
      <c r="W2549" s="55" t="n">
        <f aca="false">IF(V2549,IF(01_因子設定!$B$13="最大化",T2549-01_因子設定!$B$14,IF(01_因子設定!$B$13="最小化",01_因子設定!$B$15-U2549,MIN(T2549-01_因子設定!$B$14,01_因子設定!$B$15-U2549))),-1E+030)</f>
        <v>-0.168758866887295</v>
      </c>
      <c r="X2549" s="55" t="n">
        <f aca="false">IF(V2549,IF(01_因子設定!$B$13="最大化",Q2549,IF(01_因子設定!$B$13="最小化",-Q2549,-ABS(Q2549-01_因子設定!$B$16))),-1E+030)</f>
        <v>49.3401704545455</v>
      </c>
      <c r="Y2549" s="55" t="n">
        <f aca="false">W2549+ROW()*0.000000001</f>
        <v>-0.168756317887295</v>
      </c>
      <c r="Z2549" s="55" t="n">
        <f aca="false">X2549+ROW()*0.000000001</f>
        <v>49.3401730035455</v>
      </c>
    </row>
    <row r="2550" customFormat="false" ht="15" hidden="false" customHeight="false" outlineLevel="0" collapsed="false">
      <c r="A2550" s="0" t="n">
        <v>8</v>
      </c>
      <c r="B2550" s="0" t="n">
        <v>13</v>
      </c>
      <c r="C2550" s="0" t="n">
        <v>12</v>
      </c>
      <c r="D2550" s="0" t="n">
        <f aca="false">-1+A2550*0.125</f>
        <v>0</v>
      </c>
      <c r="E2550" s="0" t="n">
        <f aca="false">-1+B2550*0.125</f>
        <v>0.625</v>
      </c>
      <c r="F2550" s="0" t="n">
        <f aca="false">-1+C2550*0.125</f>
        <v>0.5</v>
      </c>
      <c r="G2550" s="0" t="n">
        <f aca="false">1</f>
        <v>1</v>
      </c>
      <c r="H2550" s="0" t="n">
        <f aca="false">D2550</f>
        <v>0</v>
      </c>
      <c r="I2550" s="0" t="n">
        <f aca="false">E2550</f>
        <v>0.625</v>
      </c>
      <c r="J2550" s="0" t="n">
        <f aca="false">F2550</f>
        <v>0.5</v>
      </c>
      <c r="K2550" s="0" t="n">
        <f aca="false">D2550*E2550</f>
        <v>0</v>
      </c>
      <c r="L2550" s="0" t="n">
        <f aca="false">D2550*F2550</f>
        <v>0</v>
      </c>
      <c r="M2550" s="0" t="n">
        <f aca="false">E2550*F2550</f>
        <v>0.3125</v>
      </c>
      <c r="N2550" s="0" t="n">
        <f aca="false">D2550*D2550</f>
        <v>0</v>
      </c>
      <c r="O2550" s="0" t="n">
        <f aca="false">E2550*E2550</f>
        <v>0.390625</v>
      </c>
      <c r="P2550" s="0" t="n">
        <f aca="false">F2550*F2550</f>
        <v>0.25</v>
      </c>
      <c r="Q2550" s="0" t="n">
        <f aca="false">SUMPRODUCT(G2550:P2550,_XtX!$B$71:$K$71)</f>
        <v>49.4190625</v>
      </c>
      <c r="R2550" s="0" t="n">
        <f aca="false">SUMPRODUCT(MMULT(G2550:P2550,_XtX!$B$58:$K$67),G2550:P2550)</f>
        <v>0.18779296875</v>
      </c>
      <c r="S2550" s="0" t="n">
        <f aca="false">04_回帰ANOVA!$K$19*04_回帰ANOVA!$K$14*SQRT(1+R2550)</f>
        <v>1.01329759319777</v>
      </c>
      <c r="T2550" s="0" t="n">
        <f aca="false">Q2550-S2550</f>
        <v>48.4057649068023</v>
      </c>
      <c r="U2550" s="0" t="n">
        <f aca="false">Q2550+S2550</f>
        <v>50.4323600931978</v>
      </c>
      <c r="V2550" s="54" t="b">
        <f aca="false">AND(D2550&gt;=01_因子設定!$L$5-0.000000001,D2550&lt;=01_因子設定!$M$5+0.000000001,E2550&gt;=01_因子設定!$L$6-0.000000001,E2550&lt;=01_因子設定!$M$6+0.000000001,F2550&gt;=01_因子設定!$L$7-0.000000001,F2550&lt;=01_因子設定!$M$7+0.000000001,IF(01_因子設定!$B$20="Box-Behnken",D2550^2+E2550^2+F2550^2&lt;=2+0.000000001,TRUE()))</f>
        <v>1</v>
      </c>
      <c r="W2550" s="55" t="n">
        <f aca="false">IF(V2550,IF(01_因子設定!$B$13="最大化",T2550-01_因子設定!$B$14,IF(01_因子設定!$B$13="最小化",01_因子設定!$B$15-U2550,MIN(T2550-01_因子設定!$B$14,01_因子設定!$B$15-U2550))),-1E+030)</f>
        <v>-0.0942350931977529</v>
      </c>
      <c r="X2550" s="55" t="n">
        <f aca="false">IF(V2550,IF(01_因子設定!$B$13="最大化",Q2550,IF(01_因子設定!$B$13="最小化",-Q2550,-ABS(Q2550-01_因子設定!$B$16))),-1E+030)</f>
        <v>49.4190625</v>
      </c>
      <c r="Y2550" s="55" t="n">
        <f aca="false">W2550+ROW()*0.000000001</f>
        <v>-0.0942325431977529</v>
      </c>
      <c r="Z2550" s="55" t="n">
        <f aca="false">X2550+ROW()*0.000000001</f>
        <v>49.41906505</v>
      </c>
    </row>
    <row r="2551" customFormat="false" ht="15" hidden="false" customHeight="false" outlineLevel="0" collapsed="false">
      <c r="A2551" s="0" t="n">
        <v>8</v>
      </c>
      <c r="B2551" s="0" t="n">
        <v>13</v>
      </c>
      <c r="C2551" s="0" t="n">
        <v>13</v>
      </c>
      <c r="D2551" s="0" t="n">
        <f aca="false">-1+A2551*0.125</f>
        <v>0</v>
      </c>
      <c r="E2551" s="0" t="n">
        <f aca="false">-1+B2551*0.125</f>
        <v>0.625</v>
      </c>
      <c r="F2551" s="0" t="n">
        <f aca="false">-1+C2551*0.125</f>
        <v>0.625</v>
      </c>
      <c r="G2551" s="0" t="n">
        <f aca="false">1</f>
        <v>1</v>
      </c>
      <c r="H2551" s="0" t="n">
        <f aca="false">D2551</f>
        <v>0</v>
      </c>
      <c r="I2551" s="0" t="n">
        <f aca="false">E2551</f>
        <v>0.625</v>
      </c>
      <c r="J2551" s="0" t="n">
        <f aca="false">F2551</f>
        <v>0.625</v>
      </c>
      <c r="K2551" s="0" t="n">
        <f aca="false">D2551*E2551</f>
        <v>0</v>
      </c>
      <c r="L2551" s="0" t="n">
        <f aca="false">D2551*F2551</f>
        <v>0</v>
      </c>
      <c r="M2551" s="0" t="n">
        <f aca="false">E2551*F2551</f>
        <v>0.390625</v>
      </c>
      <c r="N2551" s="0" t="n">
        <f aca="false">D2551*D2551</f>
        <v>0</v>
      </c>
      <c r="O2551" s="0" t="n">
        <f aca="false">E2551*E2551</f>
        <v>0.390625</v>
      </c>
      <c r="P2551" s="0" t="n">
        <f aca="false">F2551*F2551</f>
        <v>0.390625</v>
      </c>
      <c r="Q2551" s="0" t="n">
        <f aca="false">SUMPRODUCT(G2551:P2551,_XtX!$B$71:$K$71)</f>
        <v>49.4611647727273</v>
      </c>
      <c r="R2551" s="0" t="n">
        <f aca="false">SUMPRODUCT(MMULT(G2551:P2551,_XtX!$B$58:$K$67),G2551:P2551)</f>
        <v>0.213715709339489</v>
      </c>
      <c r="S2551" s="0" t="n">
        <f aca="false">04_回帰ANOVA!$K$19*04_回帰ANOVA!$K$14*SQRT(1+R2551)</f>
        <v>1.02429516478377</v>
      </c>
      <c r="T2551" s="0" t="n">
        <f aca="false">Q2551-S2551</f>
        <v>48.4368696079435</v>
      </c>
      <c r="U2551" s="0" t="n">
        <f aca="false">Q2551+S2551</f>
        <v>50.4854599375111</v>
      </c>
      <c r="V2551" s="54" t="b">
        <f aca="false">AND(D2551&gt;=01_因子設定!$L$5-0.000000001,D2551&lt;=01_因子設定!$M$5+0.000000001,E2551&gt;=01_因子設定!$L$6-0.000000001,E2551&lt;=01_因子設定!$M$6+0.000000001,F2551&gt;=01_因子設定!$L$7-0.000000001,F2551&lt;=01_因子設定!$M$7+0.000000001,IF(01_因子設定!$B$20="Box-Behnken",D2551^2+E2551^2+F2551^2&lt;=2+0.000000001,TRUE()))</f>
        <v>1</v>
      </c>
      <c r="W2551" s="55" t="n">
        <f aca="false">IF(V2551,IF(01_因子設定!$B$13="最大化",T2551-01_因子設定!$B$14,IF(01_因子設定!$B$13="最小化",01_因子設定!$B$15-U2551,MIN(T2551-01_因子設定!$B$14,01_因子設定!$B$15-U2551))),-1E+030)</f>
        <v>-0.063130392056479</v>
      </c>
      <c r="X2551" s="55" t="n">
        <f aca="false">IF(V2551,IF(01_因子設定!$B$13="最大化",Q2551,IF(01_因子設定!$B$13="最小化",-Q2551,-ABS(Q2551-01_因子設定!$B$16))),-1E+030)</f>
        <v>49.4611647727273</v>
      </c>
      <c r="Y2551" s="55" t="n">
        <f aca="false">W2551+ROW()*0.000000001</f>
        <v>-0.063127841056479</v>
      </c>
      <c r="Z2551" s="55" t="n">
        <f aca="false">X2551+ROW()*0.000000001</f>
        <v>49.4611673237273</v>
      </c>
    </row>
    <row r="2552" customFormat="false" ht="15" hidden="false" customHeight="false" outlineLevel="0" collapsed="false">
      <c r="A2552" s="0" t="n">
        <v>8</v>
      </c>
      <c r="B2552" s="0" t="n">
        <v>13</v>
      </c>
      <c r="C2552" s="0" t="n">
        <v>14</v>
      </c>
      <c r="D2552" s="0" t="n">
        <f aca="false">-1+A2552*0.125</f>
        <v>0</v>
      </c>
      <c r="E2552" s="0" t="n">
        <f aca="false">-1+B2552*0.125</f>
        <v>0.625</v>
      </c>
      <c r="F2552" s="0" t="n">
        <f aca="false">-1+C2552*0.125</f>
        <v>0.75</v>
      </c>
      <c r="G2552" s="0" t="n">
        <f aca="false">1</f>
        <v>1</v>
      </c>
      <c r="H2552" s="0" t="n">
        <f aca="false">D2552</f>
        <v>0</v>
      </c>
      <c r="I2552" s="0" t="n">
        <f aca="false">E2552</f>
        <v>0.625</v>
      </c>
      <c r="J2552" s="0" t="n">
        <f aca="false">F2552</f>
        <v>0.75</v>
      </c>
      <c r="K2552" s="0" t="n">
        <f aca="false">D2552*E2552</f>
        <v>0</v>
      </c>
      <c r="L2552" s="0" t="n">
        <f aca="false">D2552*F2552</f>
        <v>0</v>
      </c>
      <c r="M2552" s="0" t="n">
        <f aca="false">E2552*F2552</f>
        <v>0.46875</v>
      </c>
      <c r="N2552" s="0" t="n">
        <f aca="false">D2552*D2552</f>
        <v>0</v>
      </c>
      <c r="O2552" s="0" t="n">
        <f aca="false">E2552*E2552</f>
        <v>0.390625</v>
      </c>
      <c r="P2552" s="0" t="n">
        <f aca="false">F2552*F2552</f>
        <v>0.5625</v>
      </c>
      <c r="Q2552" s="0" t="n">
        <f aca="false">SUMPRODUCT(G2552:P2552,_XtX!$B$71:$K$71)</f>
        <v>49.4664772727273</v>
      </c>
      <c r="R2552" s="0" t="n">
        <f aca="false">SUMPRODUCT(MMULT(G2552:P2552,_XtX!$B$58:$K$67),G2552:P2552)</f>
        <v>0.264930308948864</v>
      </c>
      <c r="S2552" s="0" t="n">
        <f aca="false">04_回帰ANOVA!$K$19*04_回帰ANOVA!$K$14*SQRT(1+R2552)</f>
        <v>1.04568272997153</v>
      </c>
      <c r="T2552" s="0" t="n">
        <f aca="false">Q2552-S2552</f>
        <v>48.4207945427558</v>
      </c>
      <c r="U2552" s="0" t="n">
        <f aca="false">Q2552+S2552</f>
        <v>50.5121600026988</v>
      </c>
      <c r="V2552" s="54" t="b">
        <f aca="false">AND(D2552&gt;=01_因子設定!$L$5-0.000000001,D2552&lt;=01_因子設定!$M$5+0.000000001,E2552&gt;=01_因子設定!$L$6-0.000000001,E2552&lt;=01_因子設定!$M$6+0.000000001,F2552&gt;=01_因子設定!$L$7-0.000000001,F2552&lt;=01_因子設定!$M$7+0.000000001,IF(01_因子設定!$B$20="Box-Behnken",D2552^2+E2552^2+F2552^2&lt;=2+0.000000001,TRUE()))</f>
        <v>1</v>
      </c>
      <c r="W2552" s="55" t="n">
        <f aca="false">IF(V2552,IF(01_因子設定!$B$13="最大化",T2552-01_因子設定!$B$14,IF(01_因子設定!$B$13="最小化",01_因子設定!$B$15-U2552,MIN(T2552-01_因子設定!$B$14,01_因子設定!$B$15-U2552))),-1E+030)</f>
        <v>-0.0792054572442282</v>
      </c>
      <c r="X2552" s="55" t="n">
        <f aca="false">IF(V2552,IF(01_因子設定!$B$13="最大化",Q2552,IF(01_因子設定!$B$13="最小化",-Q2552,-ABS(Q2552-01_因子設定!$B$16))),-1E+030)</f>
        <v>49.4664772727273</v>
      </c>
      <c r="Y2552" s="55" t="n">
        <f aca="false">W2552+ROW()*0.000000001</f>
        <v>-0.0792029052442282</v>
      </c>
      <c r="Z2552" s="55" t="n">
        <f aca="false">X2552+ROW()*0.000000001</f>
        <v>49.4664798247273</v>
      </c>
    </row>
    <row r="2553" customFormat="false" ht="15" hidden="false" customHeight="false" outlineLevel="0" collapsed="false">
      <c r="A2553" s="0" t="n">
        <v>8</v>
      </c>
      <c r="B2553" s="0" t="n">
        <v>13</v>
      </c>
      <c r="C2553" s="0" t="n">
        <v>15</v>
      </c>
      <c r="D2553" s="0" t="n">
        <f aca="false">-1+A2553*0.125</f>
        <v>0</v>
      </c>
      <c r="E2553" s="0" t="n">
        <f aca="false">-1+B2553*0.125</f>
        <v>0.625</v>
      </c>
      <c r="F2553" s="0" t="n">
        <f aca="false">-1+C2553*0.125</f>
        <v>0.875</v>
      </c>
      <c r="G2553" s="0" t="n">
        <f aca="false">1</f>
        <v>1</v>
      </c>
      <c r="H2553" s="0" t="n">
        <f aca="false">D2553</f>
        <v>0</v>
      </c>
      <c r="I2553" s="0" t="n">
        <f aca="false">E2553</f>
        <v>0.625</v>
      </c>
      <c r="J2553" s="0" t="n">
        <f aca="false">F2553</f>
        <v>0.875</v>
      </c>
      <c r="K2553" s="0" t="n">
        <f aca="false">D2553*E2553</f>
        <v>0</v>
      </c>
      <c r="L2553" s="0" t="n">
        <f aca="false">D2553*F2553</f>
        <v>0</v>
      </c>
      <c r="M2553" s="0" t="n">
        <f aca="false">E2553*F2553</f>
        <v>0.546875</v>
      </c>
      <c r="N2553" s="0" t="n">
        <f aca="false">D2553*D2553</f>
        <v>0</v>
      </c>
      <c r="O2553" s="0" t="n">
        <f aca="false">E2553*E2553</f>
        <v>0.390625</v>
      </c>
      <c r="P2553" s="0" t="n">
        <f aca="false">F2553*F2553</f>
        <v>0.765625</v>
      </c>
      <c r="Q2553" s="0" t="n">
        <f aca="false">SUMPRODUCT(G2553:P2553,_XtX!$B$71:$K$71)</f>
        <v>49.435</v>
      </c>
      <c r="R2553" s="0" t="n">
        <f aca="false">SUMPRODUCT(MMULT(G2553:P2553,_XtX!$B$58:$K$67),G2553:P2553)</f>
        <v>0.353155517578125</v>
      </c>
      <c r="S2553" s="0" t="n">
        <f aca="false">04_回帰ANOVA!$K$19*04_回帰ANOVA!$K$14*SQRT(1+R2553)</f>
        <v>1.08153478594098</v>
      </c>
      <c r="T2553" s="0" t="n">
        <f aca="false">Q2553-S2553</f>
        <v>48.353465214059</v>
      </c>
      <c r="U2553" s="0" t="n">
        <f aca="false">Q2553+S2553</f>
        <v>50.516534785941</v>
      </c>
      <c r="V2553" s="54" t="b">
        <f aca="false">AND(D2553&gt;=01_因子設定!$L$5-0.000000001,D2553&lt;=01_因子設定!$M$5+0.000000001,E2553&gt;=01_因子設定!$L$6-0.000000001,E2553&lt;=01_因子設定!$M$6+0.000000001,F2553&gt;=01_因子設定!$L$7-0.000000001,F2553&lt;=01_因子設定!$M$7+0.000000001,IF(01_因子設定!$B$20="Box-Behnken",D2553^2+E2553^2+F2553^2&lt;=2+0.000000001,TRUE()))</f>
        <v>1</v>
      </c>
      <c r="W2553" s="55" t="n">
        <f aca="false">IF(V2553,IF(01_因子設定!$B$13="最大化",T2553-01_因子設定!$B$14,IF(01_因子設定!$B$13="最小化",01_因子設定!$B$15-U2553,MIN(T2553-01_因子設定!$B$14,01_因子設定!$B$15-U2553))),-1E+030)</f>
        <v>-0.146534785940958</v>
      </c>
      <c r="X2553" s="55" t="n">
        <f aca="false">IF(V2553,IF(01_因子設定!$B$13="最大化",Q2553,IF(01_因子設定!$B$13="最小化",-Q2553,-ABS(Q2553-01_因子設定!$B$16))),-1E+030)</f>
        <v>49.435</v>
      </c>
      <c r="Y2553" s="55" t="n">
        <f aca="false">W2553+ROW()*0.000000001</f>
        <v>-0.146532232940958</v>
      </c>
      <c r="Z2553" s="55" t="n">
        <f aca="false">X2553+ROW()*0.000000001</f>
        <v>49.435002553</v>
      </c>
    </row>
    <row r="2554" customFormat="false" ht="15" hidden="false" customHeight="false" outlineLevel="0" collapsed="false">
      <c r="A2554" s="0" t="n">
        <v>8</v>
      </c>
      <c r="B2554" s="0" t="n">
        <v>13</v>
      </c>
      <c r="C2554" s="0" t="n">
        <v>16</v>
      </c>
      <c r="D2554" s="0" t="n">
        <f aca="false">-1+A2554*0.125</f>
        <v>0</v>
      </c>
      <c r="E2554" s="0" t="n">
        <f aca="false">-1+B2554*0.125</f>
        <v>0.625</v>
      </c>
      <c r="F2554" s="0" t="n">
        <f aca="false">-1+C2554*0.125</f>
        <v>1</v>
      </c>
      <c r="G2554" s="0" t="n">
        <f aca="false">1</f>
        <v>1</v>
      </c>
      <c r="H2554" s="0" t="n">
        <f aca="false">D2554</f>
        <v>0</v>
      </c>
      <c r="I2554" s="0" t="n">
        <f aca="false">E2554</f>
        <v>0.625</v>
      </c>
      <c r="J2554" s="0" t="n">
        <f aca="false">F2554</f>
        <v>1</v>
      </c>
      <c r="K2554" s="0" t="n">
        <f aca="false">D2554*E2554</f>
        <v>0</v>
      </c>
      <c r="L2554" s="0" t="n">
        <f aca="false">D2554*F2554</f>
        <v>0</v>
      </c>
      <c r="M2554" s="0" t="n">
        <f aca="false">E2554*F2554</f>
        <v>0.625</v>
      </c>
      <c r="N2554" s="0" t="n">
        <f aca="false">D2554*D2554</f>
        <v>0</v>
      </c>
      <c r="O2554" s="0" t="n">
        <f aca="false">E2554*E2554</f>
        <v>0.390625</v>
      </c>
      <c r="P2554" s="0" t="n">
        <f aca="false">F2554*F2554</f>
        <v>1</v>
      </c>
      <c r="Q2554" s="0" t="n">
        <f aca="false">SUMPRODUCT(G2554:P2554,_XtX!$B$71:$K$71)</f>
        <v>49.3667329545455</v>
      </c>
      <c r="R2554" s="0" t="n">
        <f aca="false">SUMPRODUCT(MMULT(G2554:P2554,_XtX!$B$58:$K$67),G2554:P2554)</f>
        <v>0.492240767045455</v>
      </c>
      <c r="S2554" s="0" t="n">
        <f aca="false">04_回帰ANOVA!$K$19*04_回帰ANOVA!$K$14*SQRT(1+R2554)</f>
        <v>1.13575873676322</v>
      </c>
      <c r="T2554" s="0" t="n">
        <f aca="false">Q2554-S2554</f>
        <v>48.2309742177823</v>
      </c>
      <c r="U2554" s="0" t="n">
        <f aca="false">Q2554+S2554</f>
        <v>50.5024916913087</v>
      </c>
      <c r="V2554" s="54" t="b">
        <f aca="false">AND(D2554&gt;=01_因子設定!$L$5-0.000000001,D2554&lt;=01_因子設定!$M$5+0.000000001,E2554&gt;=01_因子設定!$L$6-0.000000001,E2554&lt;=01_因子設定!$M$6+0.000000001,F2554&gt;=01_因子設定!$L$7-0.000000001,F2554&lt;=01_因子設定!$M$7+0.000000001,IF(01_因子設定!$B$20="Box-Behnken",D2554^2+E2554^2+F2554^2&lt;=2+0.000000001,TRUE()))</f>
        <v>1</v>
      </c>
      <c r="W2554" s="55" t="n">
        <f aca="false">IF(V2554,IF(01_因子設定!$B$13="最大化",T2554-01_因子設定!$B$14,IF(01_因子設定!$B$13="最小化",01_因子設定!$B$15-U2554,MIN(T2554-01_因子設定!$B$14,01_因子設定!$B$15-U2554))),-1E+030)</f>
        <v>-0.269025782217739</v>
      </c>
      <c r="X2554" s="55" t="n">
        <f aca="false">IF(V2554,IF(01_因子設定!$B$13="最大化",Q2554,IF(01_因子設定!$B$13="最小化",-Q2554,-ABS(Q2554-01_因子設定!$B$16))),-1E+030)</f>
        <v>49.3667329545455</v>
      </c>
      <c r="Y2554" s="55" t="n">
        <f aca="false">W2554+ROW()*0.000000001</f>
        <v>-0.269023228217739</v>
      </c>
      <c r="Z2554" s="55" t="n">
        <f aca="false">X2554+ROW()*0.000000001</f>
        <v>49.3667355085455</v>
      </c>
    </row>
    <row r="2555" customFormat="false" ht="15" hidden="false" customHeight="false" outlineLevel="0" collapsed="false">
      <c r="A2555" s="0" t="n">
        <v>8</v>
      </c>
      <c r="B2555" s="0" t="n">
        <v>14</v>
      </c>
      <c r="C2555" s="0" t="n">
        <v>0</v>
      </c>
      <c r="D2555" s="0" t="n">
        <f aca="false">-1+A2555*0.125</f>
        <v>0</v>
      </c>
      <c r="E2555" s="0" t="n">
        <f aca="false">-1+B2555*0.125</f>
        <v>0.75</v>
      </c>
      <c r="F2555" s="0" t="n">
        <f aca="false">-1+C2555*0.125</f>
        <v>-1</v>
      </c>
      <c r="G2555" s="0" t="n">
        <f aca="false">1</f>
        <v>1</v>
      </c>
      <c r="H2555" s="0" t="n">
        <f aca="false">D2555</f>
        <v>0</v>
      </c>
      <c r="I2555" s="0" t="n">
        <f aca="false">E2555</f>
        <v>0.75</v>
      </c>
      <c r="J2555" s="0" t="n">
        <f aca="false">F2555</f>
        <v>-1</v>
      </c>
      <c r="K2555" s="0" t="n">
        <f aca="false">D2555*E2555</f>
        <v>0</v>
      </c>
      <c r="L2555" s="0" t="n">
        <f aca="false">D2555*F2555</f>
        <v>-0</v>
      </c>
      <c r="M2555" s="0" t="n">
        <f aca="false">E2555*F2555</f>
        <v>-0.75</v>
      </c>
      <c r="N2555" s="0" t="n">
        <f aca="false">D2555*D2555</f>
        <v>0</v>
      </c>
      <c r="O2555" s="0" t="n">
        <f aca="false">E2555*E2555</f>
        <v>0.5625</v>
      </c>
      <c r="P2555" s="0" t="n">
        <f aca="false">F2555*F2555</f>
        <v>1</v>
      </c>
      <c r="Q2555" s="0" t="n">
        <f aca="false">SUMPRODUCT(G2555:P2555,_XtX!$B$71:$K$71)</f>
        <v>45.8982954545455</v>
      </c>
      <c r="R2555" s="0" t="n">
        <f aca="false">SUMPRODUCT(MMULT(G2555:P2555,_XtX!$B$58:$K$67),G2555:P2555)</f>
        <v>0.527982954545455</v>
      </c>
      <c r="S2555" s="0" t="n">
        <f aca="false">04_回帰ANOVA!$K$19*04_回帰ANOVA!$K$14*SQRT(1+R2555)</f>
        <v>1.14928011037747</v>
      </c>
      <c r="T2555" s="0" t="n">
        <f aca="false">Q2555-S2555</f>
        <v>44.749015344168</v>
      </c>
      <c r="U2555" s="0" t="n">
        <f aca="false">Q2555+S2555</f>
        <v>47.047575564923</v>
      </c>
      <c r="V2555" s="54" t="b">
        <f aca="false">AND(D2555&gt;=01_因子設定!$L$5-0.000000001,D2555&lt;=01_因子設定!$M$5+0.000000001,E2555&gt;=01_因子設定!$L$6-0.000000001,E2555&lt;=01_因子設定!$M$6+0.000000001,F2555&gt;=01_因子設定!$L$7-0.000000001,F2555&lt;=01_因子設定!$M$7+0.000000001,IF(01_因子設定!$B$20="Box-Behnken",D2555^2+E2555^2+F2555^2&lt;=2+0.000000001,TRUE()))</f>
        <v>1</v>
      </c>
      <c r="W2555" s="55" t="n">
        <f aca="false">IF(V2555,IF(01_因子設定!$B$13="最大化",T2555-01_因子設定!$B$14,IF(01_因子設定!$B$13="最小化",01_因子設定!$B$15-U2555,MIN(T2555-01_因子設定!$B$14,01_因子設定!$B$15-U2555))),-1E+030)</f>
        <v>-3.75098465583199</v>
      </c>
      <c r="X2555" s="55" t="n">
        <f aca="false">IF(V2555,IF(01_因子設定!$B$13="最大化",Q2555,IF(01_因子設定!$B$13="最小化",-Q2555,-ABS(Q2555-01_因子設定!$B$16))),-1E+030)</f>
        <v>45.8982954545455</v>
      </c>
      <c r="Y2555" s="55" t="n">
        <f aca="false">W2555+ROW()*0.000000001</f>
        <v>-3.75098210083199</v>
      </c>
      <c r="Z2555" s="55" t="n">
        <f aca="false">X2555+ROW()*0.000000001</f>
        <v>45.8982980095455</v>
      </c>
    </row>
    <row r="2556" customFormat="false" ht="15" hidden="false" customHeight="false" outlineLevel="0" collapsed="false">
      <c r="A2556" s="0" t="n">
        <v>8</v>
      </c>
      <c r="B2556" s="0" t="n">
        <v>14</v>
      </c>
      <c r="C2556" s="0" t="n">
        <v>1</v>
      </c>
      <c r="D2556" s="0" t="n">
        <f aca="false">-1+A2556*0.125</f>
        <v>0</v>
      </c>
      <c r="E2556" s="0" t="n">
        <f aca="false">-1+B2556*0.125</f>
        <v>0.75</v>
      </c>
      <c r="F2556" s="0" t="n">
        <f aca="false">-1+C2556*0.125</f>
        <v>-0.875</v>
      </c>
      <c r="G2556" s="0" t="n">
        <f aca="false">1</f>
        <v>1</v>
      </c>
      <c r="H2556" s="0" t="n">
        <f aca="false">D2556</f>
        <v>0</v>
      </c>
      <c r="I2556" s="0" t="n">
        <f aca="false">E2556</f>
        <v>0.75</v>
      </c>
      <c r="J2556" s="0" t="n">
        <f aca="false">F2556</f>
        <v>-0.875</v>
      </c>
      <c r="K2556" s="0" t="n">
        <f aca="false">D2556*E2556</f>
        <v>0</v>
      </c>
      <c r="L2556" s="0" t="n">
        <f aca="false">D2556*F2556</f>
        <v>-0</v>
      </c>
      <c r="M2556" s="0" t="n">
        <f aca="false">E2556*F2556</f>
        <v>-0.65625</v>
      </c>
      <c r="N2556" s="0" t="n">
        <f aca="false">D2556*D2556</f>
        <v>0</v>
      </c>
      <c r="O2556" s="0" t="n">
        <f aca="false">E2556*E2556</f>
        <v>0.5625</v>
      </c>
      <c r="P2556" s="0" t="n">
        <f aca="false">F2556*F2556</f>
        <v>0.765625</v>
      </c>
      <c r="Q2556" s="0" t="n">
        <f aca="false">SUMPRODUCT(G2556:P2556,_XtX!$B$71:$K$71)</f>
        <v>46.38890625</v>
      </c>
      <c r="R2556" s="0" t="n">
        <f aca="false">SUMPRODUCT(MMULT(G2556:P2556,_XtX!$B$58:$K$67),G2556:P2556)</f>
        <v>0.3948486328125</v>
      </c>
      <c r="S2556" s="0" t="n">
        <f aca="false">04_回帰ANOVA!$K$19*04_回帰ANOVA!$K$14*SQRT(1+R2556)</f>
        <v>1.09807037952996</v>
      </c>
      <c r="T2556" s="0" t="n">
        <f aca="false">Q2556-S2556</f>
        <v>45.2908358704701</v>
      </c>
      <c r="U2556" s="0" t="n">
        <f aca="false">Q2556+S2556</f>
        <v>47.48697662953</v>
      </c>
      <c r="V2556" s="54" t="b">
        <f aca="false">AND(D2556&gt;=01_因子設定!$L$5-0.000000001,D2556&lt;=01_因子設定!$M$5+0.000000001,E2556&gt;=01_因子設定!$L$6-0.000000001,E2556&lt;=01_因子設定!$M$6+0.000000001,F2556&gt;=01_因子設定!$L$7-0.000000001,F2556&lt;=01_因子設定!$M$7+0.000000001,IF(01_因子設定!$B$20="Box-Behnken",D2556^2+E2556^2+F2556^2&lt;=2+0.000000001,TRUE()))</f>
        <v>1</v>
      </c>
      <c r="W2556" s="55" t="n">
        <f aca="false">IF(V2556,IF(01_因子設定!$B$13="最大化",T2556-01_因子設定!$B$14,IF(01_因子設定!$B$13="最小化",01_因子設定!$B$15-U2556,MIN(T2556-01_因子設定!$B$14,01_因子設定!$B$15-U2556))),-1E+030)</f>
        <v>-3.20916412952993</v>
      </c>
      <c r="X2556" s="55" t="n">
        <f aca="false">IF(V2556,IF(01_因子設定!$B$13="最大化",Q2556,IF(01_因子設定!$B$13="最小化",-Q2556,-ABS(Q2556-01_因子設定!$B$16))),-1E+030)</f>
        <v>46.38890625</v>
      </c>
      <c r="Y2556" s="55" t="n">
        <f aca="false">W2556+ROW()*0.000000001</f>
        <v>-3.20916157352993</v>
      </c>
      <c r="Z2556" s="55" t="n">
        <f aca="false">X2556+ROW()*0.000000001</f>
        <v>46.388908806</v>
      </c>
    </row>
    <row r="2557" customFormat="false" ht="15" hidden="false" customHeight="false" outlineLevel="0" collapsed="false">
      <c r="A2557" s="0" t="n">
        <v>8</v>
      </c>
      <c r="B2557" s="0" t="n">
        <v>14</v>
      </c>
      <c r="C2557" s="0" t="n">
        <v>2</v>
      </c>
      <c r="D2557" s="0" t="n">
        <f aca="false">-1+A2557*0.125</f>
        <v>0</v>
      </c>
      <c r="E2557" s="0" t="n">
        <f aca="false">-1+B2557*0.125</f>
        <v>0.75</v>
      </c>
      <c r="F2557" s="0" t="n">
        <f aca="false">-1+C2557*0.125</f>
        <v>-0.75</v>
      </c>
      <c r="G2557" s="0" t="n">
        <f aca="false">1</f>
        <v>1</v>
      </c>
      <c r="H2557" s="0" t="n">
        <f aca="false">D2557</f>
        <v>0</v>
      </c>
      <c r="I2557" s="0" t="n">
        <f aca="false">E2557</f>
        <v>0.75</v>
      </c>
      <c r="J2557" s="0" t="n">
        <f aca="false">F2557</f>
        <v>-0.75</v>
      </c>
      <c r="K2557" s="0" t="n">
        <f aca="false">D2557*E2557</f>
        <v>0</v>
      </c>
      <c r="L2557" s="0" t="n">
        <f aca="false">D2557*F2557</f>
        <v>-0</v>
      </c>
      <c r="M2557" s="0" t="n">
        <f aca="false">E2557*F2557</f>
        <v>-0.5625</v>
      </c>
      <c r="N2557" s="0" t="n">
        <f aca="false">D2557*D2557</f>
        <v>0</v>
      </c>
      <c r="O2557" s="0" t="n">
        <f aca="false">E2557*E2557</f>
        <v>0.5625</v>
      </c>
      <c r="P2557" s="0" t="n">
        <f aca="false">F2557*F2557</f>
        <v>0.5625</v>
      </c>
      <c r="Q2557" s="0" t="n">
        <f aca="false">SUMPRODUCT(G2557:P2557,_XtX!$B$71:$K$71)</f>
        <v>46.8427272727273</v>
      </c>
      <c r="R2557" s="0" t="n">
        <f aca="false">SUMPRODUCT(MMULT(G2557:P2557,_XtX!$B$58:$K$67),G2557:P2557)</f>
        <v>0.311780894886364</v>
      </c>
      <c r="S2557" s="0" t="n">
        <f aca="false">04_回帰ANOVA!$K$19*04_回帰ANOVA!$K$14*SQRT(1+R2557)</f>
        <v>1.06487170339437</v>
      </c>
      <c r="T2557" s="0" t="n">
        <f aca="false">Q2557-S2557</f>
        <v>45.7778555693329</v>
      </c>
      <c r="U2557" s="0" t="n">
        <f aca="false">Q2557+S2557</f>
        <v>47.9075989761217</v>
      </c>
      <c r="V2557" s="54" t="b">
        <f aca="false">AND(D2557&gt;=01_因子設定!$L$5-0.000000001,D2557&lt;=01_因子設定!$M$5+0.000000001,E2557&gt;=01_因子設定!$L$6-0.000000001,E2557&lt;=01_因子設定!$M$6+0.000000001,F2557&gt;=01_因子設定!$L$7-0.000000001,F2557&lt;=01_因子設定!$M$7+0.000000001,IF(01_因子設定!$B$20="Box-Behnken",D2557^2+E2557^2+F2557^2&lt;=2+0.000000001,TRUE()))</f>
        <v>1</v>
      </c>
      <c r="W2557" s="55" t="n">
        <f aca="false">IF(V2557,IF(01_因子設定!$B$13="最大化",T2557-01_因子設定!$B$14,IF(01_因子設定!$B$13="最小化",01_因子設定!$B$15-U2557,MIN(T2557-01_因子設定!$B$14,01_因子設定!$B$15-U2557))),-1E+030)</f>
        <v>-2.72214443066708</v>
      </c>
      <c r="X2557" s="55" t="n">
        <f aca="false">IF(V2557,IF(01_因子設定!$B$13="最大化",Q2557,IF(01_因子設定!$B$13="最小化",-Q2557,-ABS(Q2557-01_因子設定!$B$16))),-1E+030)</f>
        <v>46.8427272727273</v>
      </c>
      <c r="Y2557" s="55" t="n">
        <f aca="false">W2557+ROW()*0.000000001</f>
        <v>-2.72214187366708</v>
      </c>
      <c r="Z2557" s="55" t="n">
        <f aca="false">X2557+ROW()*0.000000001</f>
        <v>46.8427298297273</v>
      </c>
    </row>
    <row r="2558" customFormat="false" ht="15" hidden="false" customHeight="false" outlineLevel="0" collapsed="false">
      <c r="A2558" s="0" t="n">
        <v>8</v>
      </c>
      <c r="B2558" s="0" t="n">
        <v>14</v>
      </c>
      <c r="C2558" s="0" t="n">
        <v>3</v>
      </c>
      <c r="D2558" s="0" t="n">
        <f aca="false">-1+A2558*0.125</f>
        <v>0</v>
      </c>
      <c r="E2558" s="0" t="n">
        <f aca="false">-1+B2558*0.125</f>
        <v>0.75</v>
      </c>
      <c r="F2558" s="0" t="n">
        <f aca="false">-1+C2558*0.125</f>
        <v>-0.625</v>
      </c>
      <c r="G2558" s="0" t="n">
        <f aca="false">1</f>
        <v>1</v>
      </c>
      <c r="H2558" s="0" t="n">
        <f aca="false">D2558</f>
        <v>0</v>
      </c>
      <c r="I2558" s="0" t="n">
        <f aca="false">E2558</f>
        <v>0.75</v>
      </c>
      <c r="J2558" s="0" t="n">
        <f aca="false">F2558</f>
        <v>-0.625</v>
      </c>
      <c r="K2558" s="0" t="n">
        <f aca="false">D2558*E2558</f>
        <v>0</v>
      </c>
      <c r="L2558" s="0" t="n">
        <f aca="false">D2558*F2558</f>
        <v>-0</v>
      </c>
      <c r="M2558" s="0" t="n">
        <f aca="false">E2558*F2558</f>
        <v>-0.46875</v>
      </c>
      <c r="N2558" s="0" t="n">
        <f aca="false">D2558*D2558</f>
        <v>0</v>
      </c>
      <c r="O2558" s="0" t="n">
        <f aca="false">E2558*E2558</f>
        <v>0.5625</v>
      </c>
      <c r="P2558" s="0" t="n">
        <f aca="false">F2558*F2558</f>
        <v>0.390625</v>
      </c>
      <c r="Q2558" s="0" t="n">
        <f aca="false">SUMPRODUCT(G2558:P2558,_XtX!$B$71:$K$71)</f>
        <v>47.2597585227273</v>
      </c>
      <c r="R2558" s="0" t="n">
        <f aca="false">SUMPRODUCT(MMULT(G2558:P2558,_XtX!$B$58:$K$67),G2558:P2558)</f>
        <v>0.264930308948864</v>
      </c>
      <c r="S2558" s="0" t="n">
        <f aca="false">04_回帰ANOVA!$K$19*04_回帰ANOVA!$K$14*SQRT(1+R2558)</f>
        <v>1.04568272997153</v>
      </c>
      <c r="T2558" s="0" t="n">
        <f aca="false">Q2558-S2558</f>
        <v>46.2140757927558</v>
      </c>
      <c r="U2558" s="0" t="n">
        <f aca="false">Q2558+S2558</f>
        <v>48.3054412526988</v>
      </c>
      <c r="V2558" s="54" t="b">
        <f aca="false">AND(D2558&gt;=01_因子設定!$L$5-0.000000001,D2558&lt;=01_因子設定!$M$5+0.000000001,E2558&gt;=01_因子設定!$L$6-0.000000001,E2558&lt;=01_因子設定!$M$6+0.000000001,F2558&gt;=01_因子設定!$L$7-0.000000001,F2558&lt;=01_因子設定!$M$7+0.000000001,IF(01_因子設定!$B$20="Box-Behnken",D2558^2+E2558^2+F2558^2&lt;=2+0.000000001,TRUE()))</f>
        <v>1</v>
      </c>
      <c r="W2558" s="55" t="n">
        <f aca="false">IF(V2558,IF(01_因子設定!$B$13="最大化",T2558-01_因子設定!$B$14,IF(01_因子設定!$B$13="最小化",01_因子設定!$B$15-U2558,MIN(T2558-01_因子設定!$B$14,01_因子設定!$B$15-U2558))),-1E+030)</f>
        <v>-2.28592420724424</v>
      </c>
      <c r="X2558" s="55" t="n">
        <f aca="false">IF(V2558,IF(01_因子設定!$B$13="最大化",Q2558,IF(01_因子設定!$B$13="最小化",-Q2558,-ABS(Q2558-01_因子設定!$B$16))),-1E+030)</f>
        <v>47.2597585227273</v>
      </c>
      <c r="Y2558" s="55" t="n">
        <f aca="false">W2558+ROW()*0.000000001</f>
        <v>-2.28592164924424</v>
      </c>
      <c r="Z2558" s="55" t="n">
        <f aca="false">X2558+ROW()*0.000000001</f>
        <v>47.2597610807273</v>
      </c>
    </row>
    <row r="2559" customFormat="false" ht="15" hidden="false" customHeight="false" outlineLevel="0" collapsed="false">
      <c r="A2559" s="0" t="n">
        <v>8</v>
      </c>
      <c r="B2559" s="0" t="n">
        <v>14</v>
      </c>
      <c r="C2559" s="0" t="n">
        <v>4</v>
      </c>
      <c r="D2559" s="0" t="n">
        <f aca="false">-1+A2559*0.125</f>
        <v>0</v>
      </c>
      <c r="E2559" s="0" t="n">
        <f aca="false">-1+B2559*0.125</f>
        <v>0.75</v>
      </c>
      <c r="F2559" s="0" t="n">
        <f aca="false">-1+C2559*0.125</f>
        <v>-0.5</v>
      </c>
      <c r="G2559" s="0" t="n">
        <f aca="false">1</f>
        <v>1</v>
      </c>
      <c r="H2559" s="0" t="n">
        <f aca="false">D2559</f>
        <v>0</v>
      </c>
      <c r="I2559" s="0" t="n">
        <f aca="false">E2559</f>
        <v>0.75</v>
      </c>
      <c r="J2559" s="0" t="n">
        <f aca="false">F2559</f>
        <v>-0.5</v>
      </c>
      <c r="K2559" s="0" t="n">
        <f aca="false">D2559*E2559</f>
        <v>0</v>
      </c>
      <c r="L2559" s="0" t="n">
        <f aca="false">D2559*F2559</f>
        <v>-0</v>
      </c>
      <c r="M2559" s="0" t="n">
        <f aca="false">E2559*F2559</f>
        <v>-0.375</v>
      </c>
      <c r="N2559" s="0" t="n">
        <f aca="false">D2559*D2559</f>
        <v>0</v>
      </c>
      <c r="O2559" s="0" t="n">
        <f aca="false">E2559*E2559</f>
        <v>0.5625</v>
      </c>
      <c r="P2559" s="0" t="n">
        <f aca="false">F2559*F2559</f>
        <v>0.25</v>
      </c>
      <c r="Q2559" s="0" t="n">
        <f aca="false">SUMPRODUCT(G2559:P2559,_XtX!$B$71:$K$71)</f>
        <v>47.64</v>
      </c>
      <c r="R2559" s="0" t="n">
        <f aca="false">SUMPRODUCT(MMULT(G2559:P2559,_XtX!$B$58:$K$67),G2559:P2559)</f>
        <v>0.242578125</v>
      </c>
      <c r="S2559" s="0" t="n">
        <f aca="false">04_回帰ANOVA!$K$19*04_回帰ANOVA!$K$14*SQRT(1+R2559)</f>
        <v>1.03640258600455</v>
      </c>
      <c r="T2559" s="0" t="n">
        <f aca="false">Q2559-S2559</f>
        <v>46.6035974139955</v>
      </c>
      <c r="U2559" s="0" t="n">
        <f aca="false">Q2559+S2559</f>
        <v>48.6764025860046</v>
      </c>
      <c r="V2559" s="54" t="b">
        <f aca="false">AND(D2559&gt;=01_因子設定!$L$5-0.000000001,D2559&lt;=01_因子設定!$M$5+0.000000001,E2559&gt;=01_因子設定!$L$6-0.000000001,E2559&lt;=01_因子設定!$M$6+0.000000001,F2559&gt;=01_因子設定!$L$7-0.000000001,F2559&lt;=01_因子設定!$M$7+0.000000001,IF(01_因子設定!$B$20="Box-Behnken",D2559^2+E2559^2+F2559^2&lt;=2+0.000000001,TRUE()))</f>
        <v>1</v>
      </c>
      <c r="W2559" s="55" t="n">
        <f aca="false">IF(V2559,IF(01_因子設定!$B$13="最大化",T2559-01_因子設定!$B$14,IF(01_因子設定!$B$13="最小化",01_因子設定!$B$15-U2559,MIN(T2559-01_因子設定!$B$14,01_因子設定!$B$15-U2559))),-1E+030)</f>
        <v>-1.89640258600453</v>
      </c>
      <c r="X2559" s="55" t="n">
        <f aca="false">IF(V2559,IF(01_因子設定!$B$13="最大化",Q2559,IF(01_因子設定!$B$13="最小化",-Q2559,-ABS(Q2559-01_因子設定!$B$16))),-1E+030)</f>
        <v>47.64</v>
      </c>
      <c r="Y2559" s="55" t="n">
        <f aca="false">W2559+ROW()*0.000000001</f>
        <v>-1.89640002700453</v>
      </c>
      <c r="Z2559" s="55" t="n">
        <f aca="false">X2559+ROW()*0.000000001</f>
        <v>47.640002559</v>
      </c>
    </row>
    <row r="2560" customFormat="false" ht="15" hidden="false" customHeight="false" outlineLevel="0" collapsed="false">
      <c r="A2560" s="0" t="n">
        <v>8</v>
      </c>
      <c r="B2560" s="0" t="n">
        <v>14</v>
      </c>
      <c r="C2560" s="0" t="n">
        <v>5</v>
      </c>
      <c r="D2560" s="0" t="n">
        <f aca="false">-1+A2560*0.125</f>
        <v>0</v>
      </c>
      <c r="E2560" s="0" t="n">
        <f aca="false">-1+B2560*0.125</f>
        <v>0.75</v>
      </c>
      <c r="F2560" s="0" t="n">
        <f aca="false">-1+C2560*0.125</f>
        <v>-0.375</v>
      </c>
      <c r="G2560" s="0" t="n">
        <f aca="false">1</f>
        <v>1</v>
      </c>
      <c r="H2560" s="0" t="n">
        <f aca="false">D2560</f>
        <v>0</v>
      </c>
      <c r="I2560" s="0" t="n">
        <f aca="false">E2560</f>
        <v>0.75</v>
      </c>
      <c r="J2560" s="0" t="n">
        <f aca="false">F2560</f>
        <v>-0.375</v>
      </c>
      <c r="K2560" s="0" t="n">
        <f aca="false">D2560*E2560</f>
        <v>0</v>
      </c>
      <c r="L2560" s="0" t="n">
        <f aca="false">D2560*F2560</f>
        <v>-0</v>
      </c>
      <c r="M2560" s="0" t="n">
        <f aca="false">E2560*F2560</f>
        <v>-0.28125</v>
      </c>
      <c r="N2560" s="0" t="n">
        <f aca="false">D2560*D2560</f>
        <v>0</v>
      </c>
      <c r="O2560" s="0" t="n">
        <f aca="false">E2560*E2560</f>
        <v>0.5625</v>
      </c>
      <c r="P2560" s="0" t="n">
        <f aca="false">F2560*F2560</f>
        <v>0.140625</v>
      </c>
      <c r="Q2560" s="0" t="n">
        <f aca="false">SUMPRODUCT(G2560:P2560,_XtX!$B$71:$K$71)</f>
        <v>47.9834517045455</v>
      </c>
      <c r="R2560" s="0" t="n">
        <f aca="false">SUMPRODUCT(MMULT(G2560:P2560,_XtX!$B$58:$K$67),G2560:P2560)</f>
        <v>0.235136274857955</v>
      </c>
      <c r="S2560" s="0" t="n">
        <f aca="false">04_回帰ANOVA!$K$19*04_回帰ANOVA!$K$14*SQRT(1+R2560)</f>
        <v>1.03329439695656</v>
      </c>
      <c r="T2560" s="0" t="n">
        <f aca="false">Q2560-S2560</f>
        <v>46.9501573075889</v>
      </c>
      <c r="U2560" s="0" t="n">
        <f aca="false">Q2560+S2560</f>
        <v>49.016746101502</v>
      </c>
      <c r="V2560" s="54" t="b">
        <f aca="false">AND(D2560&gt;=01_因子設定!$L$5-0.000000001,D2560&lt;=01_因子設定!$M$5+0.000000001,E2560&gt;=01_因子設定!$L$6-0.000000001,E2560&lt;=01_因子設定!$M$6+0.000000001,F2560&gt;=01_因子設定!$L$7-0.000000001,F2560&lt;=01_因子設定!$M$7+0.000000001,IF(01_因子設定!$B$20="Box-Behnken",D2560^2+E2560^2+F2560^2&lt;=2+0.000000001,TRUE()))</f>
        <v>1</v>
      </c>
      <c r="W2560" s="55" t="n">
        <f aca="false">IF(V2560,IF(01_因子設定!$B$13="最大化",T2560-01_因子設定!$B$14,IF(01_因子設定!$B$13="最小化",01_因子設定!$B$15-U2560,MIN(T2560-01_因子設定!$B$14,01_因子設定!$B$15-U2560))),-1E+030)</f>
        <v>-1.54984269241109</v>
      </c>
      <c r="X2560" s="55" t="n">
        <f aca="false">IF(V2560,IF(01_因子設定!$B$13="最大化",Q2560,IF(01_因子設定!$B$13="最小化",-Q2560,-ABS(Q2560-01_因子設定!$B$16))),-1E+030)</f>
        <v>47.9834517045455</v>
      </c>
      <c r="Y2560" s="55" t="n">
        <f aca="false">W2560+ROW()*0.000000001</f>
        <v>-1.54984013241109</v>
      </c>
      <c r="Z2560" s="55" t="n">
        <f aca="false">X2560+ROW()*0.000000001</f>
        <v>47.9834542645455</v>
      </c>
    </row>
    <row r="2561" customFormat="false" ht="15" hidden="false" customHeight="false" outlineLevel="0" collapsed="false">
      <c r="A2561" s="0" t="n">
        <v>8</v>
      </c>
      <c r="B2561" s="0" t="n">
        <v>14</v>
      </c>
      <c r="C2561" s="0" t="n">
        <v>6</v>
      </c>
      <c r="D2561" s="0" t="n">
        <f aca="false">-1+A2561*0.125</f>
        <v>0</v>
      </c>
      <c r="E2561" s="0" t="n">
        <f aca="false">-1+B2561*0.125</f>
        <v>0.75</v>
      </c>
      <c r="F2561" s="0" t="n">
        <f aca="false">-1+C2561*0.125</f>
        <v>-0.25</v>
      </c>
      <c r="G2561" s="0" t="n">
        <f aca="false">1</f>
        <v>1</v>
      </c>
      <c r="H2561" s="0" t="n">
        <f aca="false">D2561</f>
        <v>0</v>
      </c>
      <c r="I2561" s="0" t="n">
        <f aca="false">E2561</f>
        <v>0.75</v>
      </c>
      <c r="J2561" s="0" t="n">
        <f aca="false">F2561</f>
        <v>-0.25</v>
      </c>
      <c r="K2561" s="0" t="n">
        <f aca="false">D2561*E2561</f>
        <v>0</v>
      </c>
      <c r="L2561" s="0" t="n">
        <f aca="false">D2561*F2561</f>
        <v>-0</v>
      </c>
      <c r="M2561" s="0" t="n">
        <f aca="false">E2561*F2561</f>
        <v>-0.1875</v>
      </c>
      <c r="N2561" s="0" t="n">
        <f aca="false">D2561*D2561</f>
        <v>0</v>
      </c>
      <c r="O2561" s="0" t="n">
        <f aca="false">E2561*E2561</f>
        <v>0.5625</v>
      </c>
      <c r="P2561" s="0" t="n">
        <f aca="false">F2561*F2561</f>
        <v>0.0625</v>
      </c>
      <c r="Q2561" s="0" t="n">
        <f aca="false">SUMPRODUCT(G2561:P2561,_XtX!$B$71:$K$71)</f>
        <v>48.2901136363637</v>
      </c>
      <c r="R2561" s="0" t="n">
        <f aca="false">SUMPRODUCT(MMULT(G2561:P2561,_XtX!$B$58:$K$67),G2561:P2561)</f>
        <v>0.235147372159091</v>
      </c>
      <c r="S2561" s="0" t="n">
        <f aca="false">04_回帰ANOVA!$K$19*04_回帰ANOVA!$K$14*SQRT(1+R2561)</f>
        <v>1.03329903885461</v>
      </c>
      <c r="T2561" s="0" t="n">
        <f aca="false">Q2561-S2561</f>
        <v>47.256814597509</v>
      </c>
      <c r="U2561" s="0" t="n">
        <f aca="false">Q2561+S2561</f>
        <v>49.3234126752183</v>
      </c>
      <c r="V2561" s="54" t="b">
        <f aca="false">AND(D2561&gt;=01_因子設定!$L$5-0.000000001,D2561&lt;=01_因子設定!$M$5+0.000000001,E2561&gt;=01_因子設定!$L$6-0.000000001,E2561&lt;=01_因子設定!$M$6+0.000000001,F2561&gt;=01_因子設定!$L$7-0.000000001,F2561&lt;=01_因子設定!$M$7+0.000000001,IF(01_因子設定!$B$20="Box-Behnken",D2561^2+E2561^2+F2561^2&lt;=2+0.000000001,TRUE()))</f>
        <v>1</v>
      </c>
      <c r="W2561" s="55" t="n">
        <f aca="false">IF(V2561,IF(01_因子設定!$B$13="最大化",T2561-01_因子設定!$B$14,IF(01_因子設定!$B$13="最小化",01_因子設定!$B$15-U2561,MIN(T2561-01_因子設定!$B$14,01_因子設定!$B$15-U2561))),-1E+030)</f>
        <v>-1.24318540249096</v>
      </c>
      <c r="X2561" s="55" t="n">
        <f aca="false">IF(V2561,IF(01_因子設定!$B$13="最大化",Q2561,IF(01_因子設定!$B$13="最小化",-Q2561,-ABS(Q2561-01_因子設定!$B$16))),-1E+030)</f>
        <v>48.2901136363637</v>
      </c>
      <c r="Y2561" s="55" t="n">
        <f aca="false">W2561+ROW()*0.000000001</f>
        <v>-1.24318284149096</v>
      </c>
      <c r="Z2561" s="55" t="n">
        <f aca="false">X2561+ROW()*0.000000001</f>
        <v>48.2901161973637</v>
      </c>
    </row>
    <row r="2562" customFormat="false" ht="15" hidden="false" customHeight="false" outlineLevel="0" collapsed="false">
      <c r="A2562" s="0" t="n">
        <v>8</v>
      </c>
      <c r="B2562" s="0" t="n">
        <v>14</v>
      </c>
      <c r="C2562" s="0" t="n">
        <v>7</v>
      </c>
      <c r="D2562" s="0" t="n">
        <f aca="false">-1+A2562*0.125</f>
        <v>0</v>
      </c>
      <c r="E2562" s="0" t="n">
        <f aca="false">-1+B2562*0.125</f>
        <v>0.75</v>
      </c>
      <c r="F2562" s="0" t="n">
        <f aca="false">-1+C2562*0.125</f>
        <v>-0.125</v>
      </c>
      <c r="G2562" s="0" t="n">
        <f aca="false">1</f>
        <v>1</v>
      </c>
      <c r="H2562" s="0" t="n">
        <f aca="false">D2562</f>
        <v>0</v>
      </c>
      <c r="I2562" s="0" t="n">
        <f aca="false">E2562</f>
        <v>0.75</v>
      </c>
      <c r="J2562" s="0" t="n">
        <f aca="false">F2562</f>
        <v>-0.125</v>
      </c>
      <c r="K2562" s="0" t="n">
        <f aca="false">D2562*E2562</f>
        <v>0</v>
      </c>
      <c r="L2562" s="0" t="n">
        <f aca="false">D2562*F2562</f>
        <v>-0</v>
      </c>
      <c r="M2562" s="0" t="n">
        <f aca="false">E2562*F2562</f>
        <v>-0.09375</v>
      </c>
      <c r="N2562" s="0" t="n">
        <f aca="false">D2562*D2562</f>
        <v>0</v>
      </c>
      <c r="O2562" s="0" t="n">
        <f aca="false">E2562*E2562</f>
        <v>0.5625</v>
      </c>
      <c r="P2562" s="0" t="n">
        <f aca="false">F2562*F2562</f>
        <v>0.015625</v>
      </c>
      <c r="Q2562" s="0" t="n">
        <f aca="false">SUMPRODUCT(G2562:P2562,_XtX!$B$71:$K$71)</f>
        <v>48.5599857954546</v>
      </c>
      <c r="R2562" s="0" t="n">
        <f aca="false">SUMPRODUCT(MMULT(G2562:P2562,_XtX!$B$58:$K$67),G2562:P2562)</f>
        <v>0.237284712357955</v>
      </c>
      <c r="S2562" s="0" t="n">
        <f aca="false">04_回帰ANOVA!$K$19*04_回帰ANOVA!$K$14*SQRT(1+R2562)</f>
        <v>1.03419267998124</v>
      </c>
      <c r="T2562" s="0" t="n">
        <f aca="false">Q2562-S2562</f>
        <v>47.5257931154733</v>
      </c>
      <c r="U2562" s="0" t="n">
        <f aca="false">Q2562+S2562</f>
        <v>49.5941784754358</v>
      </c>
      <c r="V2562" s="54" t="b">
        <f aca="false">AND(D2562&gt;=01_因子設定!$L$5-0.000000001,D2562&lt;=01_因子設定!$M$5+0.000000001,E2562&gt;=01_因子設定!$L$6-0.000000001,E2562&lt;=01_因子設定!$M$6+0.000000001,F2562&gt;=01_因子設定!$L$7-0.000000001,F2562&lt;=01_因子設定!$M$7+0.000000001,IF(01_因子設定!$B$20="Box-Behnken",D2562^2+E2562^2+F2562^2&lt;=2+0.000000001,TRUE()))</f>
        <v>1</v>
      </c>
      <c r="W2562" s="55" t="n">
        <f aca="false">IF(V2562,IF(01_因子設定!$B$13="最大化",T2562-01_因子設定!$B$14,IF(01_因子設定!$B$13="最小化",01_因子設定!$B$15-U2562,MIN(T2562-01_因子設定!$B$14,01_因子設定!$B$15-U2562))),-1E+030)</f>
        <v>-0.97420688452668</v>
      </c>
      <c r="X2562" s="55" t="n">
        <f aca="false">IF(V2562,IF(01_因子設定!$B$13="最大化",Q2562,IF(01_因子設定!$B$13="最小化",-Q2562,-ABS(Q2562-01_因子設定!$B$16))),-1E+030)</f>
        <v>48.5599857954546</v>
      </c>
      <c r="Y2562" s="55" t="n">
        <f aca="false">W2562+ROW()*0.000000001</f>
        <v>-0.97420432252668</v>
      </c>
      <c r="Z2562" s="55" t="n">
        <f aca="false">X2562+ROW()*0.000000001</f>
        <v>48.5599883574546</v>
      </c>
    </row>
    <row r="2563" customFormat="false" ht="15" hidden="false" customHeight="false" outlineLevel="0" collapsed="false">
      <c r="A2563" s="0" t="n">
        <v>8</v>
      </c>
      <c r="B2563" s="0" t="n">
        <v>14</v>
      </c>
      <c r="C2563" s="0" t="n">
        <v>8</v>
      </c>
      <c r="D2563" s="0" t="n">
        <f aca="false">-1+A2563*0.125</f>
        <v>0</v>
      </c>
      <c r="E2563" s="0" t="n">
        <f aca="false">-1+B2563*0.125</f>
        <v>0.75</v>
      </c>
      <c r="F2563" s="0" t="n">
        <f aca="false">-1+C2563*0.125</f>
        <v>0</v>
      </c>
      <c r="G2563" s="0" t="n">
        <f aca="false">1</f>
        <v>1</v>
      </c>
      <c r="H2563" s="0" t="n">
        <f aca="false">D2563</f>
        <v>0</v>
      </c>
      <c r="I2563" s="0" t="n">
        <f aca="false">E2563</f>
        <v>0.75</v>
      </c>
      <c r="J2563" s="0" t="n">
        <f aca="false">F2563</f>
        <v>0</v>
      </c>
      <c r="K2563" s="0" t="n">
        <f aca="false">D2563*E2563</f>
        <v>0</v>
      </c>
      <c r="L2563" s="0" t="n">
        <f aca="false">D2563*F2563</f>
        <v>0</v>
      </c>
      <c r="M2563" s="0" t="n">
        <f aca="false">E2563*F2563</f>
        <v>0</v>
      </c>
      <c r="N2563" s="0" t="n">
        <f aca="false">D2563*D2563</f>
        <v>0</v>
      </c>
      <c r="O2563" s="0" t="n">
        <f aca="false">E2563*E2563</f>
        <v>0.5625</v>
      </c>
      <c r="P2563" s="0" t="n">
        <f aca="false">F2563*F2563</f>
        <v>0</v>
      </c>
      <c r="Q2563" s="0" t="n">
        <f aca="false">SUMPRODUCT(G2563:P2563,_XtX!$B$71:$K$71)</f>
        <v>48.7930681818182</v>
      </c>
      <c r="R2563" s="0" t="n">
        <f aca="false">SUMPRODUCT(MMULT(G2563:P2563,_XtX!$B$58:$K$67),G2563:P2563)</f>
        <v>0.238352272727273</v>
      </c>
      <c r="S2563" s="0" t="n">
        <f aca="false">04_回帰ANOVA!$K$19*04_回帰ANOVA!$K$14*SQRT(1+R2563)</f>
        <v>1.03463874751028</v>
      </c>
      <c r="T2563" s="0" t="n">
        <f aca="false">Q2563-S2563</f>
        <v>47.7584294343079</v>
      </c>
      <c r="U2563" s="0" t="n">
        <f aca="false">Q2563+S2563</f>
        <v>49.8277069293285</v>
      </c>
      <c r="V2563" s="54" t="b">
        <f aca="false">AND(D2563&gt;=01_因子設定!$L$5-0.000000001,D2563&lt;=01_因子設定!$M$5+0.000000001,E2563&gt;=01_因子設定!$L$6-0.000000001,E2563&lt;=01_因子設定!$M$6+0.000000001,F2563&gt;=01_因子設定!$L$7-0.000000001,F2563&lt;=01_因子設定!$M$7+0.000000001,IF(01_因子設定!$B$20="Box-Behnken",D2563^2+E2563^2+F2563^2&lt;=2+0.000000001,TRUE()))</f>
        <v>1</v>
      </c>
      <c r="W2563" s="55" t="n">
        <f aca="false">IF(V2563,IF(01_因子設定!$B$13="最大化",T2563-01_因子設定!$B$14,IF(01_因子設定!$B$13="最小化",01_因子設定!$B$15-U2563,MIN(T2563-01_因子設定!$B$14,01_因子設定!$B$15-U2563))),-1E+030)</f>
        <v>-0.741570565692086</v>
      </c>
      <c r="X2563" s="55" t="n">
        <f aca="false">IF(V2563,IF(01_因子設定!$B$13="最大化",Q2563,IF(01_因子設定!$B$13="最小化",-Q2563,-ABS(Q2563-01_因子設定!$B$16))),-1E+030)</f>
        <v>48.7930681818182</v>
      </c>
      <c r="Y2563" s="55" t="n">
        <f aca="false">W2563+ROW()*0.000000001</f>
        <v>-0.741568002692086</v>
      </c>
      <c r="Z2563" s="55" t="n">
        <f aca="false">X2563+ROW()*0.000000001</f>
        <v>48.7930707448182</v>
      </c>
    </row>
    <row r="2564" customFormat="false" ht="15" hidden="false" customHeight="false" outlineLevel="0" collapsed="false">
      <c r="A2564" s="0" t="n">
        <v>8</v>
      </c>
      <c r="B2564" s="0" t="n">
        <v>14</v>
      </c>
      <c r="C2564" s="0" t="n">
        <v>9</v>
      </c>
      <c r="D2564" s="0" t="n">
        <f aca="false">-1+A2564*0.125</f>
        <v>0</v>
      </c>
      <c r="E2564" s="0" t="n">
        <f aca="false">-1+B2564*0.125</f>
        <v>0.75</v>
      </c>
      <c r="F2564" s="0" t="n">
        <f aca="false">-1+C2564*0.125</f>
        <v>0.125</v>
      </c>
      <c r="G2564" s="0" t="n">
        <f aca="false">1</f>
        <v>1</v>
      </c>
      <c r="H2564" s="0" t="n">
        <f aca="false">D2564</f>
        <v>0</v>
      </c>
      <c r="I2564" s="0" t="n">
        <f aca="false">E2564</f>
        <v>0.75</v>
      </c>
      <c r="J2564" s="0" t="n">
        <f aca="false">F2564</f>
        <v>0.125</v>
      </c>
      <c r="K2564" s="0" t="n">
        <f aca="false">D2564*E2564</f>
        <v>0</v>
      </c>
      <c r="L2564" s="0" t="n">
        <f aca="false">D2564*F2564</f>
        <v>0</v>
      </c>
      <c r="M2564" s="0" t="n">
        <f aca="false">E2564*F2564</f>
        <v>0.09375</v>
      </c>
      <c r="N2564" s="0" t="n">
        <f aca="false">D2564*D2564</f>
        <v>0</v>
      </c>
      <c r="O2564" s="0" t="n">
        <f aca="false">E2564*E2564</f>
        <v>0.5625</v>
      </c>
      <c r="P2564" s="0" t="n">
        <f aca="false">F2564*F2564</f>
        <v>0.015625</v>
      </c>
      <c r="Q2564" s="0" t="n">
        <f aca="false">SUMPRODUCT(G2564:P2564,_XtX!$B$71:$K$71)</f>
        <v>48.9893607954546</v>
      </c>
      <c r="R2564" s="0" t="n">
        <f aca="false">SUMPRODUCT(MMULT(G2564:P2564,_XtX!$B$58:$K$67),G2564:P2564)</f>
        <v>0.237284712357955</v>
      </c>
      <c r="S2564" s="0" t="n">
        <f aca="false">04_回帰ANOVA!$K$19*04_回帰ANOVA!$K$14*SQRT(1+R2564)</f>
        <v>1.03419267998124</v>
      </c>
      <c r="T2564" s="0" t="n">
        <f aca="false">Q2564-S2564</f>
        <v>47.9551681154733</v>
      </c>
      <c r="U2564" s="0" t="n">
        <f aca="false">Q2564+S2564</f>
        <v>50.0235534754358</v>
      </c>
      <c r="V2564" s="54" t="b">
        <f aca="false">AND(D2564&gt;=01_因子設定!$L$5-0.000000001,D2564&lt;=01_因子設定!$M$5+0.000000001,E2564&gt;=01_因子設定!$L$6-0.000000001,E2564&lt;=01_因子設定!$M$6+0.000000001,F2564&gt;=01_因子設定!$L$7-0.000000001,F2564&lt;=01_因子設定!$M$7+0.000000001,IF(01_因子設定!$B$20="Box-Behnken",D2564^2+E2564^2+F2564^2&lt;=2+0.000000001,TRUE()))</f>
        <v>1</v>
      </c>
      <c r="W2564" s="55" t="n">
        <f aca="false">IF(V2564,IF(01_因子設定!$B$13="最大化",T2564-01_因子設定!$B$14,IF(01_因子設定!$B$13="最小化",01_因子設定!$B$15-U2564,MIN(T2564-01_因子設定!$B$14,01_因子設定!$B$15-U2564))),-1E+030)</f>
        <v>-0.54483188452668</v>
      </c>
      <c r="X2564" s="55" t="n">
        <f aca="false">IF(V2564,IF(01_因子設定!$B$13="最大化",Q2564,IF(01_因子設定!$B$13="最小化",-Q2564,-ABS(Q2564-01_因子設定!$B$16))),-1E+030)</f>
        <v>48.9893607954546</v>
      </c>
      <c r="Y2564" s="55" t="n">
        <f aca="false">W2564+ROW()*0.000000001</f>
        <v>-0.54482932052668</v>
      </c>
      <c r="Z2564" s="55" t="n">
        <f aca="false">X2564+ROW()*0.000000001</f>
        <v>48.9893633594546</v>
      </c>
    </row>
    <row r="2565" customFormat="false" ht="15" hidden="false" customHeight="false" outlineLevel="0" collapsed="false">
      <c r="A2565" s="0" t="n">
        <v>8</v>
      </c>
      <c r="B2565" s="0" t="n">
        <v>14</v>
      </c>
      <c r="C2565" s="0" t="n">
        <v>10</v>
      </c>
      <c r="D2565" s="0" t="n">
        <f aca="false">-1+A2565*0.125</f>
        <v>0</v>
      </c>
      <c r="E2565" s="0" t="n">
        <f aca="false">-1+B2565*0.125</f>
        <v>0.75</v>
      </c>
      <c r="F2565" s="0" t="n">
        <f aca="false">-1+C2565*0.125</f>
        <v>0.25</v>
      </c>
      <c r="G2565" s="0" t="n">
        <f aca="false">1</f>
        <v>1</v>
      </c>
      <c r="H2565" s="0" t="n">
        <f aca="false">D2565</f>
        <v>0</v>
      </c>
      <c r="I2565" s="0" t="n">
        <f aca="false">E2565</f>
        <v>0.75</v>
      </c>
      <c r="J2565" s="0" t="n">
        <f aca="false">F2565</f>
        <v>0.25</v>
      </c>
      <c r="K2565" s="0" t="n">
        <f aca="false">D2565*E2565</f>
        <v>0</v>
      </c>
      <c r="L2565" s="0" t="n">
        <f aca="false">D2565*F2565</f>
        <v>0</v>
      </c>
      <c r="M2565" s="0" t="n">
        <f aca="false">E2565*F2565</f>
        <v>0.1875</v>
      </c>
      <c r="N2565" s="0" t="n">
        <f aca="false">D2565*D2565</f>
        <v>0</v>
      </c>
      <c r="O2565" s="0" t="n">
        <f aca="false">E2565*E2565</f>
        <v>0.5625</v>
      </c>
      <c r="P2565" s="0" t="n">
        <f aca="false">F2565*F2565</f>
        <v>0.0625</v>
      </c>
      <c r="Q2565" s="0" t="n">
        <f aca="false">SUMPRODUCT(G2565:P2565,_XtX!$B$71:$K$71)</f>
        <v>49.1488636363637</v>
      </c>
      <c r="R2565" s="0" t="n">
        <f aca="false">SUMPRODUCT(MMULT(G2565:P2565,_XtX!$B$58:$K$67),G2565:P2565)</f>
        <v>0.235147372159091</v>
      </c>
      <c r="S2565" s="0" t="n">
        <f aca="false">04_回帰ANOVA!$K$19*04_回帰ANOVA!$K$14*SQRT(1+R2565)</f>
        <v>1.03329903885461</v>
      </c>
      <c r="T2565" s="0" t="n">
        <f aca="false">Q2565-S2565</f>
        <v>48.115564597509</v>
      </c>
      <c r="U2565" s="0" t="n">
        <f aca="false">Q2565+S2565</f>
        <v>50.1821626752183</v>
      </c>
      <c r="V2565" s="54" t="b">
        <f aca="false">AND(D2565&gt;=01_因子設定!$L$5-0.000000001,D2565&lt;=01_因子設定!$M$5+0.000000001,E2565&gt;=01_因子設定!$L$6-0.000000001,E2565&lt;=01_因子設定!$M$6+0.000000001,F2565&gt;=01_因子設定!$L$7-0.000000001,F2565&lt;=01_因子設定!$M$7+0.000000001,IF(01_因子設定!$B$20="Box-Behnken",D2565^2+E2565^2+F2565^2&lt;=2+0.000000001,TRUE()))</f>
        <v>1</v>
      </c>
      <c r="W2565" s="55" t="n">
        <f aca="false">IF(V2565,IF(01_因子設定!$B$13="最大化",T2565-01_因子設定!$B$14,IF(01_因子設定!$B$13="最小化",01_因子設定!$B$15-U2565,MIN(T2565-01_因子設定!$B$14,01_因子設定!$B$15-U2565))),-1E+030)</f>
        <v>-0.384435402490958</v>
      </c>
      <c r="X2565" s="55" t="n">
        <f aca="false">IF(V2565,IF(01_因子設定!$B$13="最大化",Q2565,IF(01_因子設定!$B$13="最小化",-Q2565,-ABS(Q2565-01_因子設定!$B$16))),-1E+030)</f>
        <v>49.1488636363637</v>
      </c>
      <c r="Y2565" s="55" t="n">
        <f aca="false">W2565+ROW()*0.000000001</f>
        <v>-0.384432837490958</v>
      </c>
      <c r="Z2565" s="55" t="n">
        <f aca="false">X2565+ROW()*0.000000001</f>
        <v>49.1488662013637</v>
      </c>
    </row>
    <row r="2566" customFormat="false" ht="15" hidden="false" customHeight="false" outlineLevel="0" collapsed="false">
      <c r="A2566" s="0" t="n">
        <v>8</v>
      </c>
      <c r="B2566" s="0" t="n">
        <v>14</v>
      </c>
      <c r="C2566" s="0" t="n">
        <v>11</v>
      </c>
      <c r="D2566" s="0" t="n">
        <f aca="false">-1+A2566*0.125</f>
        <v>0</v>
      </c>
      <c r="E2566" s="0" t="n">
        <f aca="false">-1+B2566*0.125</f>
        <v>0.75</v>
      </c>
      <c r="F2566" s="0" t="n">
        <f aca="false">-1+C2566*0.125</f>
        <v>0.375</v>
      </c>
      <c r="G2566" s="0" t="n">
        <f aca="false">1</f>
        <v>1</v>
      </c>
      <c r="H2566" s="0" t="n">
        <f aca="false">D2566</f>
        <v>0</v>
      </c>
      <c r="I2566" s="0" t="n">
        <f aca="false">E2566</f>
        <v>0.75</v>
      </c>
      <c r="J2566" s="0" t="n">
        <f aca="false">F2566</f>
        <v>0.375</v>
      </c>
      <c r="K2566" s="0" t="n">
        <f aca="false">D2566*E2566</f>
        <v>0</v>
      </c>
      <c r="L2566" s="0" t="n">
        <f aca="false">D2566*F2566</f>
        <v>0</v>
      </c>
      <c r="M2566" s="0" t="n">
        <f aca="false">E2566*F2566</f>
        <v>0.28125</v>
      </c>
      <c r="N2566" s="0" t="n">
        <f aca="false">D2566*D2566</f>
        <v>0</v>
      </c>
      <c r="O2566" s="0" t="n">
        <f aca="false">E2566*E2566</f>
        <v>0.5625</v>
      </c>
      <c r="P2566" s="0" t="n">
        <f aca="false">F2566*F2566</f>
        <v>0.140625</v>
      </c>
      <c r="Q2566" s="0" t="n">
        <f aca="false">SUMPRODUCT(G2566:P2566,_XtX!$B$71:$K$71)</f>
        <v>49.2715767045455</v>
      </c>
      <c r="R2566" s="0" t="n">
        <f aca="false">SUMPRODUCT(MMULT(G2566:P2566,_XtX!$B$58:$K$67),G2566:P2566)</f>
        <v>0.235136274857955</v>
      </c>
      <c r="S2566" s="0" t="n">
        <f aca="false">04_回帰ANOVA!$K$19*04_回帰ANOVA!$K$14*SQRT(1+R2566)</f>
        <v>1.03329439695656</v>
      </c>
      <c r="T2566" s="0" t="n">
        <f aca="false">Q2566-S2566</f>
        <v>48.2382823075889</v>
      </c>
      <c r="U2566" s="0" t="n">
        <f aca="false">Q2566+S2566</f>
        <v>50.304871101502</v>
      </c>
      <c r="V2566" s="54" t="b">
        <f aca="false">AND(D2566&gt;=01_因子設定!$L$5-0.000000001,D2566&lt;=01_因子設定!$M$5+0.000000001,E2566&gt;=01_因子設定!$L$6-0.000000001,E2566&lt;=01_因子設定!$M$6+0.000000001,F2566&gt;=01_因子設定!$L$7-0.000000001,F2566&lt;=01_因子設定!$M$7+0.000000001,IF(01_因子設定!$B$20="Box-Behnken",D2566^2+E2566^2+F2566^2&lt;=2+0.000000001,TRUE()))</f>
        <v>1</v>
      </c>
      <c r="W2566" s="55" t="n">
        <f aca="false">IF(V2566,IF(01_因子設定!$B$13="最大化",T2566-01_因子設定!$B$14,IF(01_因子設定!$B$13="最小化",01_因子設定!$B$15-U2566,MIN(T2566-01_因子設定!$B$14,01_因子設定!$B$15-U2566))),-1E+030)</f>
        <v>-0.261717692411089</v>
      </c>
      <c r="X2566" s="55" t="n">
        <f aca="false">IF(V2566,IF(01_因子設定!$B$13="最大化",Q2566,IF(01_因子設定!$B$13="最小化",-Q2566,-ABS(Q2566-01_因子設定!$B$16))),-1E+030)</f>
        <v>49.2715767045455</v>
      </c>
      <c r="Y2566" s="55" t="n">
        <f aca="false">W2566+ROW()*0.000000001</f>
        <v>-0.261715126411089</v>
      </c>
      <c r="Z2566" s="55" t="n">
        <f aca="false">X2566+ROW()*0.000000001</f>
        <v>49.2715792705455</v>
      </c>
    </row>
    <row r="2567" customFormat="false" ht="15" hidden="false" customHeight="false" outlineLevel="0" collapsed="false">
      <c r="A2567" s="0" t="n">
        <v>8</v>
      </c>
      <c r="B2567" s="0" t="n">
        <v>14</v>
      </c>
      <c r="C2567" s="0" t="n">
        <v>12</v>
      </c>
      <c r="D2567" s="0" t="n">
        <f aca="false">-1+A2567*0.125</f>
        <v>0</v>
      </c>
      <c r="E2567" s="0" t="n">
        <f aca="false">-1+B2567*0.125</f>
        <v>0.75</v>
      </c>
      <c r="F2567" s="0" t="n">
        <f aca="false">-1+C2567*0.125</f>
        <v>0.5</v>
      </c>
      <c r="G2567" s="0" t="n">
        <f aca="false">1</f>
        <v>1</v>
      </c>
      <c r="H2567" s="0" t="n">
        <f aca="false">D2567</f>
        <v>0</v>
      </c>
      <c r="I2567" s="0" t="n">
        <f aca="false">E2567</f>
        <v>0.75</v>
      </c>
      <c r="J2567" s="0" t="n">
        <f aca="false">F2567</f>
        <v>0.5</v>
      </c>
      <c r="K2567" s="0" t="n">
        <f aca="false">D2567*E2567</f>
        <v>0</v>
      </c>
      <c r="L2567" s="0" t="n">
        <f aca="false">D2567*F2567</f>
        <v>0</v>
      </c>
      <c r="M2567" s="0" t="n">
        <f aca="false">E2567*F2567</f>
        <v>0.375</v>
      </c>
      <c r="N2567" s="0" t="n">
        <f aca="false">D2567*D2567</f>
        <v>0</v>
      </c>
      <c r="O2567" s="0" t="n">
        <f aca="false">E2567*E2567</f>
        <v>0.5625</v>
      </c>
      <c r="P2567" s="0" t="n">
        <f aca="false">F2567*F2567</f>
        <v>0.25</v>
      </c>
      <c r="Q2567" s="0" t="n">
        <f aca="false">SUMPRODUCT(G2567:P2567,_XtX!$B$71:$K$71)</f>
        <v>49.3575</v>
      </c>
      <c r="R2567" s="0" t="n">
        <f aca="false">SUMPRODUCT(MMULT(G2567:P2567,_XtX!$B$58:$K$67),G2567:P2567)</f>
        <v>0.242578125</v>
      </c>
      <c r="S2567" s="0" t="n">
        <f aca="false">04_回帰ANOVA!$K$19*04_回帰ANOVA!$K$14*SQRT(1+R2567)</f>
        <v>1.03640258600455</v>
      </c>
      <c r="T2567" s="0" t="n">
        <f aca="false">Q2567-S2567</f>
        <v>48.3210974139955</v>
      </c>
      <c r="U2567" s="0" t="n">
        <f aca="false">Q2567+S2567</f>
        <v>50.3939025860046</v>
      </c>
      <c r="V2567" s="54" t="b">
        <f aca="false">AND(D2567&gt;=01_因子設定!$L$5-0.000000001,D2567&lt;=01_因子設定!$M$5+0.000000001,E2567&gt;=01_因子設定!$L$6-0.000000001,E2567&lt;=01_因子設定!$M$6+0.000000001,F2567&gt;=01_因子設定!$L$7-0.000000001,F2567&lt;=01_因子設定!$M$7+0.000000001,IF(01_因子設定!$B$20="Box-Behnken",D2567^2+E2567^2+F2567^2&lt;=2+0.000000001,TRUE()))</f>
        <v>1</v>
      </c>
      <c r="W2567" s="55" t="n">
        <f aca="false">IF(V2567,IF(01_因子設定!$B$13="最大化",T2567-01_因子設定!$B$14,IF(01_因子設定!$B$13="最小化",01_因子設定!$B$15-U2567,MIN(T2567-01_因子設定!$B$14,01_因子設定!$B$15-U2567))),-1E+030)</f>
        <v>-0.178902586004533</v>
      </c>
      <c r="X2567" s="55" t="n">
        <f aca="false">IF(V2567,IF(01_因子設定!$B$13="最大化",Q2567,IF(01_因子設定!$B$13="最小化",-Q2567,-ABS(Q2567-01_因子設定!$B$16))),-1E+030)</f>
        <v>49.3575</v>
      </c>
      <c r="Y2567" s="55" t="n">
        <f aca="false">W2567+ROW()*0.000000001</f>
        <v>-0.178900019004533</v>
      </c>
      <c r="Z2567" s="55" t="n">
        <f aca="false">X2567+ROW()*0.000000001</f>
        <v>49.357502567</v>
      </c>
    </row>
    <row r="2568" customFormat="false" ht="15" hidden="false" customHeight="false" outlineLevel="0" collapsed="false">
      <c r="A2568" s="0" t="n">
        <v>8</v>
      </c>
      <c r="B2568" s="0" t="n">
        <v>14</v>
      </c>
      <c r="C2568" s="0" t="n">
        <v>13</v>
      </c>
      <c r="D2568" s="0" t="n">
        <f aca="false">-1+A2568*0.125</f>
        <v>0</v>
      </c>
      <c r="E2568" s="0" t="n">
        <f aca="false">-1+B2568*0.125</f>
        <v>0.75</v>
      </c>
      <c r="F2568" s="0" t="n">
        <f aca="false">-1+C2568*0.125</f>
        <v>0.625</v>
      </c>
      <c r="G2568" s="0" t="n">
        <f aca="false">1</f>
        <v>1</v>
      </c>
      <c r="H2568" s="0" t="n">
        <f aca="false">D2568</f>
        <v>0</v>
      </c>
      <c r="I2568" s="0" t="n">
        <f aca="false">E2568</f>
        <v>0.75</v>
      </c>
      <c r="J2568" s="0" t="n">
        <f aca="false">F2568</f>
        <v>0.625</v>
      </c>
      <c r="K2568" s="0" t="n">
        <f aca="false">D2568*E2568</f>
        <v>0</v>
      </c>
      <c r="L2568" s="0" t="n">
        <f aca="false">D2568*F2568</f>
        <v>0</v>
      </c>
      <c r="M2568" s="0" t="n">
        <f aca="false">E2568*F2568</f>
        <v>0.46875</v>
      </c>
      <c r="N2568" s="0" t="n">
        <f aca="false">D2568*D2568</f>
        <v>0</v>
      </c>
      <c r="O2568" s="0" t="n">
        <f aca="false">E2568*E2568</f>
        <v>0.5625</v>
      </c>
      <c r="P2568" s="0" t="n">
        <f aca="false">F2568*F2568</f>
        <v>0.390625</v>
      </c>
      <c r="Q2568" s="0" t="n">
        <f aca="false">SUMPRODUCT(G2568:P2568,_XtX!$B$71:$K$71)</f>
        <v>49.4066335227273</v>
      </c>
      <c r="R2568" s="0" t="n">
        <f aca="false">SUMPRODUCT(MMULT(G2568:P2568,_XtX!$B$58:$K$67),G2568:P2568)</f>
        <v>0.264930308948864</v>
      </c>
      <c r="S2568" s="0" t="n">
        <f aca="false">04_回帰ANOVA!$K$19*04_回帰ANOVA!$K$14*SQRT(1+R2568)</f>
        <v>1.04568272997153</v>
      </c>
      <c r="T2568" s="0" t="n">
        <f aca="false">Q2568-S2568</f>
        <v>48.3609507927558</v>
      </c>
      <c r="U2568" s="0" t="n">
        <f aca="false">Q2568+S2568</f>
        <v>50.4523162526988</v>
      </c>
      <c r="V2568" s="54" t="b">
        <f aca="false">AND(D2568&gt;=01_因子設定!$L$5-0.000000001,D2568&lt;=01_因子設定!$M$5+0.000000001,E2568&gt;=01_因子設定!$L$6-0.000000001,E2568&lt;=01_因子設定!$M$6+0.000000001,F2568&gt;=01_因子設定!$L$7-0.000000001,F2568&lt;=01_因子設定!$M$7+0.000000001,IF(01_因子設定!$B$20="Box-Behnken",D2568^2+E2568^2+F2568^2&lt;=2+0.000000001,TRUE()))</f>
        <v>1</v>
      </c>
      <c r="W2568" s="55" t="n">
        <f aca="false">IF(V2568,IF(01_因子設定!$B$13="最大化",T2568-01_因子設定!$B$14,IF(01_因子設定!$B$13="最小化",01_因子設定!$B$15-U2568,MIN(T2568-01_因子設定!$B$14,01_因子設定!$B$15-U2568))),-1E+030)</f>
        <v>-0.139049207244234</v>
      </c>
      <c r="X2568" s="55" t="n">
        <f aca="false">IF(V2568,IF(01_因子設定!$B$13="最大化",Q2568,IF(01_因子設定!$B$13="最小化",-Q2568,-ABS(Q2568-01_因子設定!$B$16))),-1E+030)</f>
        <v>49.4066335227273</v>
      </c>
      <c r="Y2568" s="55" t="n">
        <f aca="false">W2568+ROW()*0.000000001</f>
        <v>-0.139046639244234</v>
      </c>
      <c r="Z2568" s="55" t="n">
        <f aca="false">X2568+ROW()*0.000000001</f>
        <v>49.4066360907273</v>
      </c>
    </row>
    <row r="2569" customFormat="false" ht="15" hidden="false" customHeight="false" outlineLevel="0" collapsed="false">
      <c r="A2569" s="0" t="n">
        <v>8</v>
      </c>
      <c r="B2569" s="0" t="n">
        <v>14</v>
      </c>
      <c r="C2569" s="0" t="n">
        <v>14</v>
      </c>
      <c r="D2569" s="0" t="n">
        <f aca="false">-1+A2569*0.125</f>
        <v>0</v>
      </c>
      <c r="E2569" s="0" t="n">
        <f aca="false">-1+B2569*0.125</f>
        <v>0.75</v>
      </c>
      <c r="F2569" s="0" t="n">
        <f aca="false">-1+C2569*0.125</f>
        <v>0.75</v>
      </c>
      <c r="G2569" s="0" t="n">
        <f aca="false">1</f>
        <v>1</v>
      </c>
      <c r="H2569" s="0" t="n">
        <f aca="false">D2569</f>
        <v>0</v>
      </c>
      <c r="I2569" s="0" t="n">
        <f aca="false">E2569</f>
        <v>0.75</v>
      </c>
      <c r="J2569" s="0" t="n">
        <f aca="false">F2569</f>
        <v>0.75</v>
      </c>
      <c r="K2569" s="0" t="n">
        <f aca="false">D2569*E2569</f>
        <v>0</v>
      </c>
      <c r="L2569" s="0" t="n">
        <f aca="false">D2569*F2569</f>
        <v>0</v>
      </c>
      <c r="M2569" s="0" t="n">
        <f aca="false">E2569*F2569</f>
        <v>0.5625</v>
      </c>
      <c r="N2569" s="0" t="n">
        <f aca="false">D2569*D2569</f>
        <v>0</v>
      </c>
      <c r="O2569" s="0" t="n">
        <f aca="false">E2569*E2569</f>
        <v>0.5625</v>
      </c>
      <c r="P2569" s="0" t="n">
        <f aca="false">F2569*F2569</f>
        <v>0.5625</v>
      </c>
      <c r="Q2569" s="0" t="n">
        <f aca="false">SUMPRODUCT(G2569:P2569,_XtX!$B$71:$K$71)</f>
        <v>49.4189772727273</v>
      </c>
      <c r="R2569" s="0" t="n">
        <f aca="false">SUMPRODUCT(MMULT(G2569:P2569,_XtX!$B$58:$K$67),G2569:P2569)</f>
        <v>0.311780894886364</v>
      </c>
      <c r="S2569" s="0" t="n">
        <f aca="false">04_回帰ANOVA!$K$19*04_回帰ANOVA!$K$14*SQRT(1+R2569)</f>
        <v>1.06487170339437</v>
      </c>
      <c r="T2569" s="0" t="n">
        <f aca="false">Q2569-S2569</f>
        <v>48.3541055693329</v>
      </c>
      <c r="U2569" s="0" t="n">
        <f aca="false">Q2569+S2569</f>
        <v>50.4838489761217</v>
      </c>
      <c r="V2569" s="54" t="b">
        <f aca="false">AND(D2569&gt;=01_因子設定!$L$5-0.000000001,D2569&lt;=01_因子設定!$M$5+0.000000001,E2569&gt;=01_因子設定!$L$6-0.000000001,E2569&lt;=01_因子設定!$M$6+0.000000001,F2569&gt;=01_因子設定!$L$7-0.000000001,F2569&lt;=01_因子設定!$M$7+0.000000001,IF(01_因子設定!$B$20="Box-Behnken",D2569^2+E2569^2+F2569^2&lt;=2+0.000000001,TRUE()))</f>
        <v>1</v>
      </c>
      <c r="W2569" s="55" t="n">
        <f aca="false">IF(V2569,IF(01_因子設定!$B$13="最大化",T2569-01_因子設定!$B$14,IF(01_因子設定!$B$13="最小化",01_因子設定!$B$15-U2569,MIN(T2569-01_因子設定!$B$14,01_因子設定!$B$15-U2569))),-1E+030)</f>
        <v>-0.145894430667077</v>
      </c>
      <c r="X2569" s="55" t="n">
        <f aca="false">IF(V2569,IF(01_因子設定!$B$13="最大化",Q2569,IF(01_因子設定!$B$13="最小化",-Q2569,-ABS(Q2569-01_因子設定!$B$16))),-1E+030)</f>
        <v>49.4189772727273</v>
      </c>
      <c r="Y2569" s="55" t="n">
        <f aca="false">W2569+ROW()*0.000000001</f>
        <v>-0.145891861667077</v>
      </c>
      <c r="Z2569" s="55" t="n">
        <f aca="false">X2569+ROW()*0.000000001</f>
        <v>49.4189798417273</v>
      </c>
    </row>
    <row r="2570" customFormat="false" ht="15" hidden="false" customHeight="false" outlineLevel="0" collapsed="false">
      <c r="A2570" s="0" t="n">
        <v>8</v>
      </c>
      <c r="B2570" s="0" t="n">
        <v>14</v>
      </c>
      <c r="C2570" s="0" t="n">
        <v>15</v>
      </c>
      <c r="D2570" s="0" t="n">
        <f aca="false">-1+A2570*0.125</f>
        <v>0</v>
      </c>
      <c r="E2570" s="0" t="n">
        <f aca="false">-1+B2570*0.125</f>
        <v>0.75</v>
      </c>
      <c r="F2570" s="0" t="n">
        <f aca="false">-1+C2570*0.125</f>
        <v>0.875</v>
      </c>
      <c r="G2570" s="0" t="n">
        <f aca="false">1</f>
        <v>1</v>
      </c>
      <c r="H2570" s="0" t="n">
        <f aca="false">D2570</f>
        <v>0</v>
      </c>
      <c r="I2570" s="0" t="n">
        <f aca="false">E2570</f>
        <v>0.75</v>
      </c>
      <c r="J2570" s="0" t="n">
        <f aca="false">F2570</f>
        <v>0.875</v>
      </c>
      <c r="K2570" s="0" t="n">
        <f aca="false">D2570*E2570</f>
        <v>0</v>
      </c>
      <c r="L2570" s="0" t="n">
        <f aca="false">D2570*F2570</f>
        <v>0</v>
      </c>
      <c r="M2570" s="0" t="n">
        <f aca="false">E2570*F2570</f>
        <v>0.65625</v>
      </c>
      <c r="N2570" s="0" t="n">
        <f aca="false">D2570*D2570</f>
        <v>0</v>
      </c>
      <c r="O2570" s="0" t="n">
        <f aca="false">E2570*E2570</f>
        <v>0.5625</v>
      </c>
      <c r="P2570" s="0" t="n">
        <f aca="false">F2570*F2570</f>
        <v>0.765625</v>
      </c>
      <c r="Q2570" s="0" t="n">
        <f aca="false">SUMPRODUCT(G2570:P2570,_XtX!$B$71:$K$71)</f>
        <v>49.39453125</v>
      </c>
      <c r="R2570" s="0" t="n">
        <f aca="false">SUMPRODUCT(MMULT(G2570:P2570,_XtX!$B$58:$K$67),G2570:P2570)</f>
        <v>0.3948486328125</v>
      </c>
      <c r="S2570" s="0" t="n">
        <f aca="false">04_回帰ANOVA!$K$19*04_回帰ANOVA!$K$14*SQRT(1+R2570)</f>
        <v>1.09807037952996</v>
      </c>
      <c r="T2570" s="0" t="n">
        <f aca="false">Q2570-S2570</f>
        <v>48.2964608704701</v>
      </c>
      <c r="U2570" s="0" t="n">
        <f aca="false">Q2570+S2570</f>
        <v>50.49260162953</v>
      </c>
      <c r="V2570" s="54" t="b">
        <f aca="false">AND(D2570&gt;=01_因子設定!$L$5-0.000000001,D2570&lt;=01_因子設定!$M$5+0.000000001,E2570&gt;=01_因子設定!$L$6-0.000000001,E2570&lt;=01_因子設定!$M$6+0.000000001,F2570&gt;=01_因子設定!$L$7-0.000000001,F2570&lt;=01_因子設定!$M$7+0.000000001,IF(01_因子設定!$B$20="Box-Behnken",D2570^2+E2570^2+F2570^2&lt;=2+0.000000001,TRUE()))</f>
        <v>1</v>
      </c>
      <c r="W2570" s="55" t="n">
        <f aca="false">IF(V2570,IF(01_因子設定!$B$13="最大化",T2570-01_因子設定!$B$14,IF(01_因子設定!$B$13="最小化",01_因子設定!$B$15-U2570,MIN(T2570-01_因子設定!$B$14,01_因子設定!$B$15-U2570))),-1E+030)</f>
        <v>-0.203539129529929</v>
      </c>
      <c r="X2570" s="55" t="n">
        <f aca="false">IF(V2570,IF(01_因子設定!$B$13="最大化",Q2570,IF(01_因子設定!$B$13="最小化",-Q2570,-ABS(Q2570-01_因子設定!$B$16))),-1E+030)</f>
        <v>49.39453125</v>
      </c>
      <c r="Y2570" s="55" t="n">
        <f aca="false">W2570+ROW()*0.000000001</f>
        <v>-0.203536559529929</v>
      </c>
      <c r="Z2570" s="55" t="n">
        <f aca="false">X2570+ROW()*0.000000001</f>
        <v>49.39453382</v>
      </c>
    </row>
    <row r="2571" customFormat="false" ht="15" hidden="false" customHeight="false" outlineLevel="0" collapsed="false">
      <c r="A2571" s="0" t="n">
        <v>8</v>
      </c>
      <c r="B2571" s="0" t="n">
        <v>14</v>
      </c>
      <c r="C2571" s="0" t="n">
        <v>16</v>
      </c>
      <c r="D2571" s="0" t="n">
        <f aca="false">-1+A2571*0.125</f>
        <v>0</v>
      </c>
      <c r="E2571" s="0" t="n">
        <f aca="false">-1+B2571*0.125</f>
        <v>0.75</v>
      </c>
      <c r="F2571" s="0" t="n">
        <f aca="false">-1+C2571*0.125</f>
        <v>1</v>
      </c>
      <c r="G2571" s="0" t="n">
        <f aca="false">1</f>
        <v>1</v>
      </c>
      <c r="H2571" s="0" t="n">
        <f aca="false">D2571</f>
        <v>0</v>
      </c>
      <c r="I2571" s="0" t="n">
        <f aca="false">E2571</f>
        <v>0.75</v>
      </c>
      <c r="J2571" s="0" t="n">
        <f aca="false">F2571</f>
        <v>1</v>
      </c>
      <c r="K2571" s="0" t="n">
        <f aca="false">D2571*E2571</f>
        <v>0</v>
      </c>
      <c r="L2571" s="0" t="n">
        <f aca="false">D2571*F2571</f>
        <v>0</v>
      </c>
      <c r="M2571" s="0" t="n">
        <f aca="false">E2571*F2571</f>
        <v>0.75</v>
      </c>
      <c r="N2571" s="0" t="n">
        <f aca="false">D2571*D2571</f>
        <v>0</v>
      </c>
      <c r="O2571" s="0" t="n">
        <f aca="false">E2571*E2571</f>
        <v>0.5625</v>
      </c>
      <c r="P2571" s="0" t="n">
        <f aca="false">F2571*F2571</f>
        <v>1</v>
      </c>
      <c r="Q2571" s="0" t="n">
        <f aca="false">SUMPRODUCT(G2571:P2571,_XtX!$B$71:$K$71)</f>
        <v>49.3332954545455</v>
      </c>
      <c r="R2571" s="0" t="n">
        <f aca="false">SUMPRODUCT(MMULT(G2571:P2571,_XtX!$B$58:$K$67),G2571:P2571)</f>
        <v>0.527982954545455</v>
      </c>
      <c r="S2571" s="0" t="n">
        <f aca="false">04_回帰ANOVA!$K$19*04_回帰ANOVA!$K$14*SQRT(1+R2571)</f>
        <v>1.14928011037747</v>
      </c>
      <c r="T2571" s="0" t="n">
        <f aca="false">Q2571-S2571</f>
        <v>48.184015344168</v>
      </c>
      <c r="U2571" s="0" t="n">
        <f aca="false">Q2571+S2571</f>
        <v>50.482575564923</v>
      </c>
      <c r="V2571" s="54" t="b">
        <f aca="false">AND(D2571&gt;=01_因子設定!$L$5-0.000000001,D2571&lt;=01_因子設定!$M$5+0.000000001,E2571&gt;=01_因子設定!$L$6-0.000000001,E2571&lt;=01_因子設定!$M$6+0.000000001,F2571&gt;=01_因子設定!$L$7-0.000000001,F2571&lt;=01_因子設定!$M$7+0.000000001,IF(01_因子設定!$B$20="Box-Behnken",D2571^2+E2571^2+F2571^2&lt;=2+0.000000001,TRUE()))</f>
        <v>1</v>
      </c>
      <c r="W2571" s="55" t="n">
        <f aca="false">IF(V2571,IF(01_因子設定!$B$13="最大化",T2571-01_因子設定!$B$14,IF(01_因子設定!$B$13="最小化",01_因子設定!$B$15-U2571,MIN(T2571-01_因子設定!$B$14,01_因子設定!$B$15-U2571))),-1E+030)</f>
        <v>-0.31598465583199</v>
      </c>
      <c r="X2571" s="55" t="n">
        <f aca="false">IF(V2571,IF(01_因子設定!$B$13="最大化",Q2571,IF(01_因子設定!$B$13="最小化",-Q2571,-ABS(Q2571-01_因子設定!$B$16))),-1E+030)</f>
        <v>49.3332954545455</v>
      </c>
      <c r="Y2571" s="55" t="n">
        <f aca="false">W2571+ROW()*0.000000001</f>
        <v>-0.31598208483199</v>
      </c>
      <c r="Z2571" s="55" t="n">
        <f aca="false">X2571+ROW()*0.000000001</f>
        <v>49.3332980255455</v>
      </c>
    </row>
    <row r="2572" customFormat="false" ht="15" hidden="false" customHeight="false" outlineLevel="0" collapsed="false">
      <c r="A2572" s="0" t="n">
        <v>8</v>
      </c>
      <c r="B2572" s="0" t="n">
        <v>15</v>
      </c>
      <c r="C2572" s="0" t="n">
        <v>0</v>
      </c>
      <c r="D2572" s="0" t="n">
        <f aca="false">-1+A2572*0.125</f>
        <v>0</v>
      </c>
      <c r="E2572" s="0" t="n">
        <f aca="false">-1+B2572*0.125</f>
        <v>0.875</v>
      </c>
      <c r="F2572" s="0" t="n">
        <f aca="false">-1+C2572*0.125</f>
        <v>-1</v>
      </c>
      <c r="G2572" s="0" t="n">
        <f aca="false">1</f>
        <v>1</v>
      </c>
      <c r="H2572" s="0" t="n">
        <f aca="false">D2572</f>
        <v>0</v>
      </c>
      <c r="I2572" s="0" t="n">
        <f aca="false">E2572</f>
        <v>0.875</v>
      </c>
      <c r="J2572" s="0" t="n">
        <f aca="false">F2572</f>
        <v>-1</v>
      </c>
      <c r="K2572" s="0" t="n">
        <f aca="false">D2572*E2572</f>
        <v>0</v>
      </c>
      <c r="L2572" s="0" t="n">
        <f aca="false">D2572*F2572</f>
        <v>-0</v>
      </c>
      <c r="M2572" s="0" t="n">
        <f aca="false">E2572*F2572</f>
        <v>-0.875</v>
      </c>
      <c r="N2572" s="0" t="n">
        <f aca="false">D2572*D2572</f>
        <v>0</v>
      </c>
      <c r="O2572" s="0" t="n">
        <f aca="false">E2572*E2572</f>
        <v>0.765625</v>
      </c>
      <c r="P2572" s="0" t="n">
        <f aca="false">F2572*F2572</f>
        <v>1</v>
      </c>
      <c r="Q2572" s="0" t="n">
        <f aca="false">SUMPRODUCT(G2572:P2572,_XtX!$B$71:$K$71)</f>
        <v>45.6890056818182</v>
      </c>
      <c r="R2572" s="0" t="n">
        <f aca="false">SUMPRODUCT(MMULT(G2572:P2572,_XtX!$B$58:$K$67),G2572:P2572)</f>
        <v>0.597922585227273</v>
      </c>
      <c r="S2572" s="0" t="n">
        <f aca="false">04_回帰ANOVA!$K$19*04_回帰ANOVA!$K$14*SQRT(1+R2572)</f>
        <v>1.17528854591003</v>
      </c>
      <c r="T2572" s="0" t="n">
        <f aca="false">Q2572-S2572</f>
        <v>44.5137171359082</v>
      </c>
      <c r="U2572" s="0" t="n">
        <f aca="false">Q2572+S2572</f>
        <v>46.8642942277282</v>
      </c>
      <c r="V2572" s="54" t="b">
        <f aca="false">AND(D2572&gt;=01_因子設定!$L$5-0.000000001,D2572&lt;=01_因子設定!$M$5+0.000000001,E2572&gt;=01_因子設定!$L$6-0.000000001,E2572&lt;=01_因子設定!$M$6+0.000000001,F2572&gt;=01_因子設定!$L$7-0.000000001,F2572&lt;=01_因子設定!$M$7+0.000000001,IF(01_因子設定!$B$20="Box-Behnken",D2572^2+E2572^2+F2572^2&lt;=2+0.000000001,TRUE()))</f>
        <v>1</v>
      </c>
      <c r="W2572" s="55" t="n">
        <f aca="false">IF(V2572,IF(01_因子設定!$B$13="最大化",T2572-01_因子設定!$B$14,IF(01_因子設定!$B$13="最小化",01_因子設定!$B$15-U2572,MIN(T2572-01_因子設定!$B$14,01_因子設定!$B$15-U2572))),-1E+030)</f>
        <v>-3.98628286409182</v>
      </c>
      <c r="X2572" s="55" t="n">
        <f aca="false">IF(V2572,IF(01_因子設定!$B$13="最大化",Q2572,IF(01_因子設定!$B$13="最小化",-Q2572,-ABS(Q2572-01_因子設定!$B$16))),-1E+030)</f>
        <v>45.6890056818182</v>
      </c>
      <c r="Y2572" s="55" t="n">
        <f aca="false">W2572+ROW()*0.000000001</f>
        <v>-3.98628029209182</v>
      </c>
      <c r="Z2572" s="55" t="n">
        <f aca="false">X2572+ROW()*0.000000001</f>
        <v>45.6890082538182</v>
      </c>
    </row>
    <row r="2573" customFormat="false" ht="15" hidden="false" customHeight="false" outlineLevel="0" collapsed="false">
      <c r="A2573" s="0" t="n">
        <v>8</v>
      </c>
      <c r="B2573" s="0" t="n">
        <v>15</v>
      </c>
      <c r="C2573" s="0" t="n">
        <v>1</v>
      </c>
      <c r="D2573" s="0" t="n">
        <f aca="false">-1+A2573*0.125</f>
        <v>0</v>
      </c>
      <c r="E2573" s="0" t="n">
        <f aca="false">-1+B2573*0.125</f>
        <v>0.875</v>
      </c>
      <c r="F2573" s="0" t="n">
        <f aca="false">-1+C2573*0.125</f>
        <v>-0.875</v>
      </c>
      <c r="G2573" s="0" t="n">
        <f aca="false">1</f>
        <v>1</v>
      </c>
      <c r="H2573" s="0" t="n">
        <f aca="false">D2573</f>
        <v>0</v>
      </c>
      <c r="I2573" s="0" t="n">
        <f aca="false">E2573</f>
        <v>0.875</v>
      </c>
      <c r="J2573" s="0" t="n">
        <f aca="false">F2573</f>
        <v>-0.875</v>
      </c>
      <c r="K2573" s="0" t="n">
        <f aca="false">D2573*E2573</f>
        <v>0</v>
      </c>
      <c r="L2573" s="0" t="n">
        <f aca="false">D2573*F2573</f>
        <v>-0</v>
      </c>
      <c r="M2573" s="0" t="n">
        <f aca="false">E2573*F2573</f>
        <v>-0.765625</v>
      </c>
      <c r="N2573" s="0" t="n">
        <f aca="false">D2573*D2573</f>
        <v>0</v>
      </c>
      <c r="O2573" s="0" t="n">
        <f aca="false">E2573*E2573</f>
        <v>0.765625</v>
      </c>
      <c r="P2573" s="0" t="n">
        <f aca="false">F2573*F2573</f>
        <v>0.765625</v>
      </c>
      <c r="Q2573" s="0" t="n">
        <f aca="false">SUMPRODUCT(G2573:P2573,_XtX!$B$71:$K$71)</f>
        <v>46.1866477272728</v>
      </c>
      <c r="R2573" s="0" t="n">
        <f aca="false">SUMPRODUCT(MMULT(G2573:P2573,_XtX!$B$58:$K$67),G2573:P2573)</f>
        <v>0.471821178089489</v>
      </c>
      <c r="S2573" s="0" t="n">
        <f aca="false">04_回帰ANOVA!$K$19*04_回帰ANOVA!$K$14*SQRT(1+R2573)</f>
        <v>1.12796119746125</v>
      </c>
      <c r="T2573" s="0" t="n">
        <f aca="false">Q2573-S2573</f>
        <v>45.0586865298115</v>
      </c>
      <c r="U2573" s="0" t="n">
        <f aca="false">Q2573+S2573</f>
        <v>47.314608924734</v>
      </c>
      <c r="V2573" s="54" t="b">
        <f aca="false">AND(D2573&gt;=01_因子設定!$L$5-0.000000001,D2573&lt;=01_因子設定!$M$5+0.000000001,E2573&gt;=01_因子設定!$L$6-0.000000001,E2573&lt;=01_因子設定!$M$6+0.000000001,F2573&gt;=01_因子設定!$L$7-0.000000001,F2573&lt;=01_因子設定!$M$7+0.000000001,IF(01_因子設定!$B$20="Box-Behnken",D2573^2+E2573^2+F2573^2&lt;=2+0.000000001,TRUE()))</f>
        <v>1</v>
      </c>
      <c r="W2573" s="55" t="n">
        <f aca="false">IF(V2573,IF(01_因子設定!$B$13="最大化",T2573-01_因子設定!$B$14,IF(01_因子設定!$B$13="最小化",01_因子設定!$B$15-U2573,MIN(T2573-01_因子設定!$B$14,01_因子設定!$B$15-U2573))),-1E+030)</f>
        <v>-3.4413134701885</v>
      </c>
      <c r="X2573" s="55" t="n">
        <f aca="false">IF(V2573,IF(01_因子設定!$B$13="最大化",Q2573,IF(01_因子設定!$B$13="最小化",-Q2573,-ABS(Q2573-01_因子設定!$B$16))),-1E+030)</f>
        <v>46.1866477272728</v>
      </c>
      <c r="Y2573" s="55" t="n">
        <f aca="false">W2573+ROW()*0.000000001</f>
        <v>-3.4413108971885</v>
      </c>
      <c r="Z2573" s="55" t="n">
        <f aca="false">X2573+ROW()*0.000000001</f>
        <v>46.1866503002728</v>
      </c>
    </row>
    <row r="2574" customFormat="false" ht="15" hidden="false" customHeight="false" outlineLevel="0" collapsed="false">
      <c r="A2574" s="0" t="n">
        <v>8</v>
      </c>
      <c r="B2574" s="0" t="n">
        <v>15</v>
      </c>
      <c r="C2574" s="0" t="n">
        <v>2</v>
      </c>
      <c r="D2574" s="0" t="n">
        <f aca="false">-1+A2574*0.125</f>
        <v>0</v>
      </c>
      <c r="E2574" s="0" t="n">
        <f aca="false">-1+B2574*0.125</f>
        <v>0.875</v>
      </c>
      <c r="F2574" s="0" t="n">
        <f aca="false">-1+C2574*0.125</f>
        <v>-0.75</v>
      </c>
      <c r="G2574" s="0" t="n">
        <f aca="false">1</f>
        <v>1</v>
      </c>
      <c r="H2574" s="0" t="n">
        <f aca="false">D2574</f>
        <v>0</v>
      </c>
      <c r="I2574" s="0" t="n">
        <f aca="false">E2574</f>
        <v>0.875</v>
      </c>
      <c r="J2574" s="0" t="n">
        <f aca="false">F2574</f>
        <v>-0.75</v>
      </c>
      <c r="K2574" s="0" t="n">
        <f aca="false">D2574*E2574</f>
        <v>0</v>
      </c>
      <c r="L2574" s="0" t="n">
        <f aca="false">D2574*F2574</f>
        <v>-0</v>
      </c>
      <c r="M2574" s="0" t="n">
        <f aca="false">E2574*F2574</f>
        <v>-0.65625</v>
      </c>
      <c r="N2574" s="0" t="n">
        <f aca="false">D2574*D2574</f>
        <v>0</v>
      </c>
      <c r="O2574" s="0" t="n">
        <f aca="false">E2574*E2574</f>
        <v>0.765625</v>
      </c>
      <c r="P2574" s="0" t="n">
        <f aca="false">F2574*F2574</f>
        <v>0.5625</v>
      </c>
      <c r="Q2574" s="0" t="n">
        <f aca="false">SUMPRODUCT(G2574:P2574,_XtX!$B$71:$K$71)</f>
        <v>46.6475</v>
      </c>
      <c r="R2574" s="0" t="n">
        <f aca="false">SUMPRODUCT(MMULT(G2574:P2574,_XtX!$B$58:$K$67),G2574:P2574)</f>
        <v>0.3948486328125</v>
      </c>
      <c r="S2574" s="0" t="n">
        <f aca="false">04_回帰ANOVA!$K$19*04_回帰ANOVA!$K$14*SQRT(1+R2574)</f>
        <v>1.09807037952996</v>
      </c>
      <c r="T2574" s="0" t="n">
        <f aca="false">Q2574-S2574</f>
        <v>45.5494296204701</v>
      </c>
      <c r="U2574" s="0" t="n">
        <f aca="false">Q2574+S2574</f>
        <v>47.74557037953</v>
      </c>
      <c r="V2574" s="54" t="b">
        <f aca="false">AND(D2574&gt;=01_因子設定!$L$5-0.000000001,D2574&lt;=01_因子設定!$M$5+0.000000001,E2574&gt;=01_因子設定!$L$6-0.000000001,E2574&lt;=01_因子設定!$M$6+0.000000001,F2574&gt;=01_因子設定!$L$7-0.000000001,F2574&lt;=01_因子設定!$M$7+0.000000001,IF(01_因子設定!$B$20="Box-Behnken",D2574^2+E2574^2+F2574^2&lt;=2+0.000000001,TRUE()))</f>
        <v>1</v>
      </c>
      <c r="W2574" s="55" t="n">
        <f aca="false">IF(V2574,IF(01_因子設定!$B$13="最大化",T2574-01_因子設定!$B$14,IF(01_因子設定!$B$13="最小化",01_因子設定!$B$15-U2574,MIN(T2574-01_因子設定!$B$14,01_因子設定!$B$15-U2574))),-1E+030)</f>
        <v>-2.95057037952994</v>
      </c>
      <c r="X2574" s="55" t="n">
        <f aca="false">IF(V2574,IF(01_因子設定!$B$13="最大化",Q2574,IF(01_因子設定!$B$13="最小化",-Q2574,-ABS(Q2574-01_因子設定!$B$16))),-1E+030)</f>
        <v>46.6475</v>
      </c>
      <c r="Y2574" s="55" t="n">
        <f aca="false">W2574+ROW()*0.000000001</f>
        <v>-2.95056780552994</v>
      </c>
      <c r="Z2574" s="55" t="n">
        <f aca="false">X2574+ROW()*0.000000001</f>
        <v>46.647502574</v>
      </c>
    </row>
    <row r="2575" customFormat="false" ht="15" hidden="false" customHeight="false" outlineLevel="0" collapsed="false">
      <c r="A2575" s="0" t="n">
        <v>8</v>
      </c>
      <c r="B2575" s="0" t="n">
        <v>15</v>
      </c>
      <c r="C2575" s="0" t="n">
        <v>3</v>
      </c>
      <c r="D2575" s="0" t="n">
        <f aca="false">-1+A2575*0.125</f>
        <v>0</v>
      </c>
      <c r="E2575" s="0" t="n">
        <f aca="false">-1+B2575*0.125</f>
        <v>0.875</v>
      </c>
      <c r="F2575" s="0" t="n">
        <f aca="false">-1+C2575*0.125</f>
        <v>-0.625</v>
      </c>
      <c r="G2575" s="0" t="n">
        <f aca="false">1</f>
        <v>1</v>
      </c>
      <c r="H2575" s="0" t="n">
        <f aca="false">D2575</f>
        <v>0</v>
      </c>
      <c r="I2575" s="0" t="n">
        <f aca="false">E2575</f>
        <v>0.875</v>
      </c>
      <c r="J2575" s="0" t="n">
        <f aca="false">F2575</f>
        <v>-0.625</v>
      </c>
      <c r="K2575" s="0" t="n">
        <f aca="false">D2575*E2575</f>
        <v>0</v>
      </c>
      <c r="L2575" s="0" t="n">
        <f aca="false">D2575*F2575</f>
        <v>-0</v>
      </c>
      <c r="M2575" s="0" t="n">
        <f aca="false">E2575*F2575</f>
        <v>-0.546875</v>
      </c>
      <c r="N2575" s="0" t="n">
        <f aca="false">D2575*D2575</f>
        <v>0</v>
      </c>
      <c r="O2575" s="0" t="n">
        <f aca="false">E2575*E2575</f>
        <v>0.765625</v>
      </c>
      <c r="P2575" s="0" t="n">
        <f aca="false">F2575*F2575</f>
        <v>0.390625</v>
      </c>
      <c r="Q2575" s="0" t="n">
        <f aca="false">SUMPRODUCT(G2575:P2575,_XtX!$B$71:$K$71)</f>
        <v>47.0715625</v>
      </c>
      <c r="R2575" s="0" t="n">
        <f aca="false">SUMPRODUCT(MMULT(G2575:P2575,_XtX!$B$58:$K$67),G2575:P2575)</f>
        <v>0.353155517578125</v>
      </c>
      <c r="S2575" s="0" t="n">
        <f aca="false">04_回帰ANOVA!$K$19*04_回帰ANOVA!$K$14*SQRT(1+R2575)</f>
        <v>1.08153478594098</v>
      </c>
      <c r="T2575" s="0" t="n">
        <f aca="false">Q2575-S2575</f>
        <v>45.990027714059</v>
      </c>
      <c r="U2575" s="0" t="n">
        <f aca="false">Q2575+S2575</f>
        <v>48.153097285941</v>
      </c>
      <c r="V2575" s="54" t="b">
        <f aca="false">AND(D2575&gt;=01_因子設定!$L$5-0.000000001,D2575&lt;=01_因子設定!$M$5+0.000000001,E2575&gt;=01_因子設定!$L$6-0.000000001,E2575&lt;=01_因子設定!$M$6+0.000000001,F2575&gt;=01_因子設定!$L$7-0.000000001,F2575&lt;=01_因子設定!$M$7+0.000000001,IF(01_因子設定!$B$20="Box-Behnken",D2575^2+E2575^2+F2575^2&lt;=2+0.000000001,TRUE()))</f>
        <v>1</v>
      </c>
      <c r="W2575" s="55" t="n">
        <f aca="false">IF(V2575,IF(01_因子設定!$B$13="最大化",T2575-01_因子設定!$B$14,IF(01_因子設定!$B$13="最小化",01_因子設定!$B$15-U2575,MIN(T2575-01_因子設定!$B$14,01_因子設定!$B$15-U2575))),-1E+030)</f>
        <v>-2.50997228594096</v>
      </c>
      <c r="X2575" s="55" t="n">
        <f aca="false">IF(V2575,IF(01_因子設定!$B$13="最大化",Q2575,IF(01_因子設定!$B$13="最小化",-Q2575,-ABS(Q2575-01_因子設定!$B$16))),-1E+030)</f>
        <v>47.0715625</v>
      </c>
      <c r="Y2575" s="55" t="n">
        <f aca="false">W2575+ROW()*0.000000001</f>
        <v>-2.50996971094096</v>
      </c>
      <c r="Z2575" s="55" t="n">
        <f aca="false">X2575+ROW()*0.000000001</f>
        <v>47.071565075</v>
      </c>
    </row>
    <row r="2576" customFormat="false" ht="15" hidden="false" customHeight="false" outlineLevel="0" collapsed="false">
      <c r="A2576" s="0" t="n">
        <v>8</v>
      </c>
      <c r="B2576" s="0" t="n">
        <v>15</v>
      </c>
      <c r="C2576" s="0" t="n">
        <v>4</v>
      </c>
      <c r="D2576" s="0" t="n">
        <f aca="false">-1+A2576*0.125</f>
        <v>0</v>
      </c>
      <c r="E2576" s="0" t="n">
        <f aca="false">-1+B2576*0.125</f>
        <v>0.875</v>
      </c>
      <c r="F2576" s="0" t="n">
        <f aca="false">-1+C2576*0.125</f>
        <v>-0.5</v>
      </c>
      <c r="G2576" s="0" t="n">
        <f aca="false">1</f>
        <v>1</v>
      </c>
      <c r="H2576" s="0" t="n">
        <f aca="false">D2576</f>
        <v>0</v>
      </c>
      <c r="I2576" s="0" t="n">
        <f aca="false">E2576</f>
        <v>0.875</v>
      </c>
      <c r="J2576" s="0" t="n">
        <f aca="false">F2576</f>
        <v>-0.5</v>
      </c>
      <c r="K2576" s="0" t="n">
        <f aca="false">D2576*E2576</f>
        <v>0</v>
      </c>
      <c r="L2576" s="0" t="n">
        <f aca="false">D2576*F2576</f>
        <v>-0</v>
      </c>
      <c r="M2576" s="0" t="n">
        <f aca="false">E2576*F2576</f>
        <v>-0.4375</v>
      </c>
      <c r="N2576" s="0" t="n">
        <f aca="false">D2576*D2576</f>
        <v>0</v>
      </c>
      <c r="O2576" s="0" t="n">
        <f aca="false">E2576*E2576</f>
        <v>0.765625</v>
      </c>
      <c r="P2576" s="0" t="n">
        <f aca="false">F2576*F2576</f>
        <v>0.25</v>
      </c>
      <c r="Q2576" s="0" t="n">
        <f aca="false">SUMPRODUCT(G2576:P2576,_XtX!$B$71:$K$71)</f>
        <v>47.4588352272727</v>
      </c>
      <c r="R2576" s="0" t="n">
        <f aca="false">SUMPRODUCT(MMULT(G2576:P2576,_XtX!$B$58:$K$67),G2576:P2576)</f>
        <v>0.335023082386364</v>
      </c>
      <c r="S2576" s="0" t="n">
        <f aca="false">04_回帰ANOVA!$K$19*04_回帰ANOVA!$K$14*SQRT(1+R2576)</f>
        <v>1.07426400295275</v>
      </c>
      <c r="T2576" s="0" t="n">
        <f aca="false">Q2576-S2576</f>
        <v>46.38457122432</v>
      </c>
      <c r="U2576" s="0" t="n">
        <f aca="false">Q2576+S2576</f>
        <v>48.5330992302255</v>
      </c>
      <c r="V2576" s="54" t="b">
        <f aca="false">AND(D2576&gt;=01_因子設定!$L$5-0.000000001,D2576&lt;=01_因子設定!$M$5+0.000000001,E2576&gt;=01_因子設定!$L$6-0.000000001,E2576&lt;=01_因子設定!$M$6+0.000000001,F2576&gt;=01_因子設定!$L$7-0.000000001,F2576&lt;=01_因子設定!$M$7+0.000000001,IF(01_因子設定!$B$20="Box-Behnken",D2576^2+E2576^2+F2576^2&lt;=2+0.000000001,TRUE()))</f>
        <v>1</v>
      </c>
      <c r="W2576" s="55" t="n">
        <f aca="false">IF(V2576,IF(01_因子設定!$B$13="最大化",T2576-01_因子設定!$B$14,IF(01_因子設定!$B$13="最小化",01_因子設定!$B$15-U2576,MIN(T2576-01_因子設定!$B$14,01_因子設定!$B$15-U2576))),-1E+030)</f>
        <v>-2.11542877568001</v>
      </c>
      <c r="X2576" s="55" t="n">
        <f aca="false">IF(V2576,IF(01_因子設定!$B$13="最大化",Q2576,IF(01_因子設定!$B$13="最小化",-Q2576,-ABS(Q2576-01_因子設定!$B$16))),-1E+030)</f>
        <v>47.4588352272727</v>
      </c>
      <c r="Y2576" s="55" t="n">
        <f aca="false">W2576+ROW()*0.000000001</f>
        <v>-2.11542619968001</v>
      </c>
      <c r="Z2576" s="55" t="n">
        <f aca="false">X2576+ROW()*0.000000001</f>
        <v>47.4588378032727</v>
      </c>
    </row>
    <row r="2577" customFormat="false" ht="15" hidden="false" customHeight="false" outlineLevel="0" collapsed="false">
      <c r="A2577" s="0" t="n">
        <v>8</v>
      </c>
      <c r="B2577" s="0" t="n">
        <v>15</v>
      </c>
      <c r="C2577" s="0" t="n">
        <v>5</v>
      </c>
      <c r="D2577" s="0" t="n">
        <f aca="false">-1+A2577*0.125</f>
        <v>0</v>
      </c>
      <c r="E2577" s="0" t="n">
        <f aca="false">-1+B2577*0.125</f>
        <v>0.875</v>
      </c>
      <c r="F2577" s="0" t="n">
        <f aca="false">-1+C2577*0.125</f>
        <v>-0.375</v>
      </c>
      <c r="G2577" s="0" t="n">
        <f aca="false">1</f>
        <v>1</v>
      </c>
      <c r="H2577" s="0" t="n">
        <f aca="false">D2577</f>
        <v>0</v>
      </c>
      <c r="I2577" s="0" t="n">
        <f aca="false">E2577</f>
        <v>0.875</v>
      </c>
      <c r="J2577" s="0" t="n">
        <f aca="false">F2577</f>
        <v>-0.375</v>
      </c>
      <c r="K2577" s="0" t="n">
        <f aca="false">D2577*E2577</f>
        <v>0</v>
      </c>
      <c r="L2577" s="0" t="n">
        <f aca="false">D2577*F2577</f>
        <v>-0</v>
      </c>
      <c r="M2577" s="0" t="n">
        <f aca="false">E2577*F2577</f>
        <v>-0.328125</v>
      </c>
      <c r="N2577" s="0" t="n">
        <f aca="false">D2577*D2577</f>
        <v>0</v>
      </c>
      <c r="O2577" s="0" t="n">
        <f aca="false">E2577*E2577</f>
        <v>0.765625</v>
      </c>
      <c r="P2577" s="0" t="n">
        <f aca="false">F2577*F2577</f>
        <v>0.140625</v>
      </c>
      <c r="Q2577" s="0" t="n">
        <f aca="false">SUMPRODUCT(G2577:P2577,_XtX!$B$71:$K$71)</f>
        <v>47.8093181818182</v>
      </c>
      <c r="R2577" s="0" t="n">
        <f aca="false">SUMPRODUCT(MMULT(G2577:P2577,_XtX!$B$58:$K$67),G2577:P2577)</f>
        <v>0.330863259055398</v>
      </c>
      <c r="S2577" s="0" t="n">
        <f aca="false">04_回帰ANOVA!$K$19*04_回帰ANOVA!$K$14*SQRT(1+R2577)</f>
        <v>1.07258903754571</v>
      </c>
      <c r="T2577" s="0" t="n">
        <f aca="false">Q2577-S2577</f>
        <v>46.7367291442725</v>
      </c>
      <c r="U2577" s="0" t="n">
        <f aca="false">Q2577+S2577</f>
        <v>48.8819072193639</v>
      </c>
      <c r="V2577" s="54" t="b">
        <f aca="false">AND(D2577&gt;=01_因子設定!$L$5-0.000000001,D2577&lt;=01_因子設定!$M$5+0.000000001,E2577&gt;=01_因子設定!$L$6-0.000000001,E2577&lt;=01_因子設定!$M$6+0.000000001,F2577&gt;=01_因子設定!$L$7-0.000000001,F2577&lt;=01_因子設定!$M$7+0.000000001,IF(01_因子設定!$B$20="Box-Behnken",D2577^2+E2577^2+F2577^2&lt;=2+0.000000001,TRUE()))</f>
        <v>1</v>
      </c>
      <c r="W2577" s="55" t="n">
        <f aca="false">IF(V2577,IF(01_因子設定!$B$13="最大化",T2577-01_因子設定!$B$14,IF(01_因子設定!$B$13="最小化",01_因子設定!$B$15-U2577,MIN(T2577-01_因子設定!$B$14,01_因子設定!$B$15-U2577))),-1E+030)</f>
        <v>-1.76327085572751</v>
      </c>
      <c r="X2577" s="55" t="n">
        <f aca="false">IF(V2577,IF(01_因子設定!$B$13="最大化",Q2577,IF(01_因子設定!$B$13="最小化",-Q2577,-ABS(Q2577-01_因子設定!$B$16))),-1E+030)</f>
        <v>47.8093181818182</v>
      </c>
      <c r="Y2577" s="55" t="n">
        <f aca="false">W2577+ROW()*0.000000001</f>
        <v>-1.76326827872751</v>
      </c>
      <c r="Z2577" s="55" t="n">
        <f aca="false">X2577+ROW()*0.000000001</f>
        <v>47.8093207588182</v>
      </c>
    </row>
    <row r="2578" customFormat="false" ht="15" hidden="false" customHeight="false" outlineLevel="0" collapsed="false">
      <c r="A2578" s="0" t="n">
        <v>8</v>
      </c>
      <c r="B2578" s="0" t="n">
        <v>15</v>
      </c>
      <c r="C2578" s="0" t="n">
        <v>6</v>
      </c>
      <c r="D2578" s="0" t="n">
        <f aca="false">-1+A2578*0.125</f>
        <v>0</v>
      </c>
      <c r="E2578" s="0" t="n">
        <f aca="false">-1+B2578*0.125</f>
        <v>0.875</v>
      </c>
      <c r="F2578" s="0" t="n">
        <f aca="false">-1+C2578*0.125</f>
        <v>-0.25</v>
      </c>
      <c r="G2578" s="0" t="n">
        <f aca="false">1</f>
        <v>1</v>
      </c>
      <c r="H2578" s="0" t="n">
        <f aca="false">D2578</f>
        <v>0</v>
      </c>
      <c r="I2578" s="0" t="n">
        <f aca="false">E2578</f>
        <v>0.875</v>
      </c>
      <c r="J2578" s="0" t="n">
        <f aca="false">F2578</f>
        <v>-0.25</v>
      </c>
      <c r="K2578" s="0" t="n">
        <f aca="false">D2578*E2578</f>
        <v>0</v>
      </c>
      <c r="L2578" s="0" t="n">
        <f aca="false">D2578*F2578</f>
        <v>-0</v>
      </c>
      <c r="M2578" s="0" t="n">
        <f aca="false">E2578*F2578</f>
        <v>-0.21875</v>
      </c>
      <c r="N2578" s="0" t="n">
        <f aca="false">D2578*D2578</f>
        <v>0</v>
      </c>
      <c r="O2578" s="0" t="n">
        <f aca="false">E2578*E2578</f>
        <v>0.765625</v>
      </c>
      <c r="P2578" s="0" t="n">
        <f aca="false">F2578*F2578</f>
        <v>0.0625</v>
      </c>
      <c r="Q2578" s="0" t="n">
        <f aca="false">SUMPRODUCT(G2578:P2578,_XtX!$B$71:$K$71)</f>
        <v>48.1230113636364</v>
      </c>
      <c r="R2578" s="0" t="n">
        <f aca="false">SUMPRODUCT(MMULT(G2578:P2578,_XtX!$B$58:$K$67),G2578:P2578)</f>
        <v>0.333218661221591</v>
      </c>
      <c r="S2578" s="0" t="n">
        <f aca="false">04_回帰ANOVA!$K$19*04_回帰ANOVA!$K$14*SQRT(1+R2578)</f>
        <v>1.07353776826542</v>
      </c>
      <c r="T2578" s="0" t="n">
        <f aca="false">Q2578-S2578</f>
        <v>47.049473595371</v>
      </c>
      <c r="U2578" s="0" t="n">
        <f aca="false">Q2578+S2578</f>
        <v>49.1965491319018</v>
      </c>
      <c r="V2578" s="54" t="b">
        <f aca="false">AND(D2578&gt;=01_因子設定!$L$5-0.000000001,D2578&lt;=01_因子設定!$M$5+0.000000001,E2578&gt;=01_因子設定!$L$6-0.000000001,E2578&lt;=01_因子設定!$M$6+0.000000001,F2578&gt;=01_因子設定!$L$7-0.000000001,F2578&lt;=01_因子設定!$M$7+0.000000001,IF(01_因子設定!$B$20="Box-Behnken",D2578^2+E2578^2+F2578^2&lt;=2+0.000000001,TRUE()))</f>
        <v>1</v>
      </c>
      <c r="W2578" s="55" t="n">
        <f aca="false">IF(V2578,IF(01_因子設定!$B$13="最大化",T2578-01_因子設定!$B$14,IF(01_因子設定!$B$13="最小化",01_因子設定!$B$15-U2578,MIN(T2578-01_因子設定!$B$14,01_因子設定!$B$15-U2578))),-1E+030)</f>
        <v>-1.45052640462905</v>
      </c>
      <c r="X2578" s="55" t="n">
        <f aca="false">IF(V2578,IF(01_因子設定!$B$13="最大化",Q2578,IF(01_因子設定!$B$13="最小化",-Q2578,-ABS(Q2578-01_因子設定!$B$16))),-1E+030)</f>
        <v>48.1230113636364</v>
      </c>
      <c r="Y2578" s="55" t="n">
        <f aca="false">W2578+ROW()*0.000000001</f>
        <v>-1.45052382662905</v>
      </c>
      <c r="Z2578" s="55" t="n">
        <f aca="false">X2578+ROW()*0.000000001</f>
        <v>48.1230139416364</v>
      </c>
    </row>
    <row r="2579" customFormat="false" ht="15" hidden="false" customHeight="false" outlineLevel="0" collapsed="false">
      <c r="A2579" s="0" t="n">
        <v>8</v>
      </c>
      <c r="B2579" s="0" t="n">
        <v>15</v>
      </c>
      <c r="C2579" s="0" t="n">
        <v>7</v>
      </c>
      <c r="D2579" s="0" t="n">
        <f aca="false">-1+A2579*0.125</f>
        <v>0</v>
      </c>
      <c r="E2579" s="0" t="n">
        <f aca="false">-1+B2579*0.125</f>
        <v>0.875</v>
      </c>
      <c r="F2579" s="0" t="n">
        <f aca="false">-1+C2579*0.125</f>
        <v>-0.125</v>
      </c>
      <c r="G2579" s="0" t="n">
        <f aca="false">1</f>
        <v>1</v>
      </c>
      <c r="H2579" s="0" t="n">
        <f aca="false">D2579</f>
        <v>0</v>
      </c>
      <c r="I2579" s="0" t="n">
        <f aca="false">E2579</f>
        <v>0.875</v>
      </c>
      <c r="J2579" s="0" t="n">
        <f aca="false">F2579</f>
        <v>-0.125</v>
      </c>
      <c r="K2579" s="0" t="n">
        <f aca="false">D2579*E2579</f>
        <v>0</v>
      </c>
      <c r="L2579" s="0" t="n">
        <f aca="false">D2579*F2579</f>
        <v>-0</v>
      </c>
      <c r="M2579" s="0" t="n">
        <f aca="false">E2579*F2579</f>
        <v>-0.109375</v>
      </c>
      <c r="N2579" s="0" t="n">
        <f aca="false">D2579*D2579</f>
        <v>0</v>
      </c>
      <c r="O2579" s="0" t="n">
        <f aca="false">E2579*E2579</f>
        <v>0.765625</v>
      </c>
      <c r="P2579" s="0" t="n">
        <f aca="false">F2579*F2579</f>
        <v>0.015625</v>
      </c>
      <c r="Q2579" s="0" t="n">
        <f aca="false">SUMPRODUCT(G2579:P2579,_XtX!$B$71:$K$71)</f>
        <v>48.3999147727273</v>
      </c>
      <c r="R2579" s="0" t="n">
        <f aca="false">SUMPRODUCT(MMULT(G2579:P2579,_XtX!$B$58:$K$67),G2579:P2579)</f>
        <v>0.336762584339489</v>
      </c>
      <c r="S2579" s="0" t="n">
        <f aca="false">04_回帰ANOVA!$K$19*04_回帰ANOVA!$K$14*SQRT(1+R2579)</f>
        <v>1.07496364479411</v>
      </c>
      <c r="T2579" s="0" t="n">
        <f aca="false">Q2579-S2579</f>
        <v>47.3249511279332</v>
      </c>
      <c r="U2579" s="0" t="n">
        <f aca="false">Q2579+S2579</f>
        <v>49.4748784175214</v>
      </c>
      <c r="V2579" s="54" t="b">
        <f aca="false">AND(D2579&gt;=01_因子設定!$L$5-0.000000001,D2579&lt;=01_因子設定!$M$5+0.000000001,E2579&gt;=01_因子設定!$L$6-0.000000001,E2579&lt;=01_因子設定!$M$6+0.000000001,F2579&gt;=01_因子設定!$L$7-0.000000001,F2579&lt;=01_因子設定!$M$7+0.000000001,IF(01_因子設定!$B$20="Box-Behnken",D2579^2+E2579^2+F2579^2&lt;=2+0.000000001,TRUE()))</f>
        <v>1</v>
      </c>
      <c r="W2579" s="55" t="n">
        <f aca="false">IF(V2579,IF(01_因子設定!$B$13="最大化",T2579-01_因子設定!$B$14,IF(01_因子設定!$B$13="最小化",01_因子設定!$B$15-U2579,MIN(T2579-01_因子設定!$B$14,01_因子設定!$B$15-U2579))),-1E+030)</f>
        <v>-1.17504887206682</v>
      </c>
      <c r="X2579" s="55" t="n">
        <f aca="false">IF(V2579,IF(01_因子設定!$B$13="最大化",Q2579,IF(01_因子設定!$B$13="最小化",-Q2579,-ABS(Q2579-01_因子設定!$B$16))),-1E+030)</f>
        <v>48.3999147727273</v>
      </c>
      <c r="Y2579" s="55" t="n">
        <f aca="false">W2579+ROW()*0.000000001</f>
        <v>-1.17504629306682</v>
      </c>
      <c r="Z2579" s="55" t="n">
        <f aca="false">X2579+ROW()*0.000000001</f>
        <v>48.3999173517273</v>
      </c>
    </row>
    <row r="2580" customFormat="false" ht="15" hidden="false" customHeight="false" outlineLevel="0" collapsed="false">
      <c r="A2580" s="0" t="n">
        <v>8</v>
      </c>
      <c r="B2580" s="0" t="n">
        <v>15</v>
      </c>
      <c r="C2580" s="0" t="n">
        <v>8</v>
      </c>
      <c r="D2580" s="0" t="n">
        <f aca="false">-1+A2580*0.125</f>
        <v>0</v>
      </c>
      <c r="E2580" s="0" t="n">
        <f aca="false">-1+B2580*0.125</f>
        <v>0.875</v>
      </c>
      <c r="F2580" s="0" t="n">
        <f aca="false">-1+C2580*0.125</f>
        <v>0</v>
      </c>
      <c r="G2580" s="0" t="n">
        <f aca="false">1</f>
        <v>1</v>
      </c>
      <c r="H2580" s="0" t="n">
        <f aca="false">D2580</f>
        <v>0</v>
      </c>
      <c r="I2580" s="0" t="n">
        <f aca="false">E2580</f>
        <v>0.875</v>
      </c>
      <c r="J2580" s="0" t="n">
        <f aca="false">F2580</f>
        <v>0</v>
      </c>
      <c r="K2580" s="0" t="n">
        <f aca="false">D2580*E2580</f>
        <v>0</v>
      </c>
      <c r="L2580" s="0" t="n">
        <f aca="false">D2580*F2580</f>
        <v>0</v>
      </c>
      <c r="M2580" s="0" t="n">
        <f aca="false">E2580*F2580</f>
        <v>0</v>
      </c>
      <c r="N2580" s="0" t="n">
        <f aca="false">D2580*D2580</f>
        <v>0</v>
      </c>
      <c r="O2580" s="0" t="n">
        <f aca="false">E2580*E2580</f>
        <v>0.765625</v>
      </c>
      <c r="P2580" s="0" t="n">
        <f aca="false">F2580*F2580</f>
        <v>0</v>
      </c>
      <c r="Q2580" s="0" t="n">
        <f aca="false">SUMPRODUCT(G2580:P2580,_XtX!$B$71:$K$71)</f>
        <v>48.6400284090909</v>
      </c>
      <c r="R2580" s="0" t="n">
        <f aca="false">SUMPRODUCT(MMULT(G2580:P2580,_XtX!$B$58:$K$67),G2580:P2580)</f>
        <v>0.338299005681818</v>
      </c>
      <c r="S2580" s="0" t="n">
        <f aca="false">04_回帰ANOVA!$K$19*04_回帰ANOVA!$K$14*SQRT(1+R2580)</f>
        <v>1.07558122745542</v>
      </c>
      <c r="T2580" s="0" t="n">
        <f aca="false">Q2580-S2580</f>
        <v>47.5644471816355</v>
      </c>
      <c r="U2580" s="0" t="n">
        <f aca="false">Q2580+S2580</f>
        <v>49.7156096365463</v>
      </c>
      <c r="V2580" s="54" t="b">
        <f aca="false">AND(D2580&gt;=01_因子設定!$L$5-0.000000001,D2580&lt;=01_因子設定!$M$5+0.000000001,E2580&gt;=01_因子設定!$L$6-0.000000001,E2580&lt;=01_因子設定!$M$6+0.000000001,F2580&gt;=01_因子設定!$L$7-0.000000001,F2580&lt;=01_因子設定!$M$7+0.000000001,IF(01_因子設定!$B$20="Box-Behnken",D2580^2+E2580^2+F2580^2&lt;=2+0.000000001,TRUE()))</f>
        <v>1</v>
      </c>
      <c r="W2580" s="55" t="n">
        <f aca="false">IF(V2580,IF(01_因子設定!$B$13="最大化",T2580-01_因子設定!$B$14,IF(01_因子設定!$B$13="最小化",01_因子設定!$B$15-U2580,MIN(T2580-01_因子設定!$B$14,01_因子設定!$B$15-U2580))),-1E+030)</f>
        <v>-0.935552818364499</v>
      </c>
      <c r="X2580" s="55" t="n">
        <f aca="false">IF(V2580,IF(01_因子設定!$B$13="最大化",Q2580,IF(01_因子設定!$B$13="最小化",-Q2580,-ABS(Q2580-01_因子設定!$B$16))),-1E+030)</f>
        <v>48.6400284090909</v>
      </c>
      <c r="Y2580" s="55" t="n">
        <f aca="false">W2580+ROW()*0.000000001</f>
        <v>-0.935550238364499</v>
      </c>
      <c r="Z2580" s="55" t="n">
        <f aca="false">X2580+ROW()*0.000000001</f>
        <v>48.6400309890909</v>
      </c>
    </row>
    <row r="2581" customFormat="false" ht="15" hidden="false" customHeight="false" outlineLevel="0" collapsed="false">
      <c r="A2581" s="0" t="n">
        <v>8</v>
      </c>
      <c r="B2581" s="0" t="n">
        <v>15</v>
      </c>
      <c r="C2581" s="0" t="n">
        <v>9</v>
      </c>
      <c r="D2581" s="0" t="n">
        <f aca="false">-1+A2581*0.125</f>
        <v>0</v>
      </c>
      <c r="E2581" s="0" t="n">
        <f aca="false">-1+B2581*0.125</f>
        <v>0.875</v>
      </c>
      <c r="F2581" s="0" t="n">
        <f aca="false">-1+C2581*0.125</f>
        <v>0.125</v>
      </c>
      <c r="G2581" s="0" t="n">
        <f aca="false">1</f>
        <v>1</v>
      </c>
      <c r="H2581" s="0" t="n">
        <f aca="false">D2581</f>
        <v>0</v>
      </c>
      <c r="I2581" s="0" t="n">
        <f aca="false">E2581</f>
        <v>0.875</v>
      </c>
      <c r="J2581" s="0" t="n">
        <f aca="false">F2581</f>
        <v>0.125</v>
      </c>
      <c r="K2581" s="0" t="n">
        <f aca="false">D2581*E2581</f>
        <v>0</v>
      </c>
      <c r="L2581" s="0" t="n">
        <f aca="false">D2581*F2581</f>
        <v>0</v>
      </c>
      <c r="M2581" s="0" t="n">
        <f aca="false">E2581*F2581</f>
        <v>0.109375</v>
      </c>
      <c r="N2581" s="0" t="n">
        <f aca="false">D2581*D2581</f>
        <v>0</v>
      </c>
      <c r="O2581" s="0" t="n">
        <f aca="false">E2581*E2581</f>
        <v>0.765625</v>
      </c>
      <c r="P2581" s="0" t="n">
        <f aca="false">F2581*F2581</f>
        <v>0.015625</v>
      </c>
      <c r="Q2581" s="0" t="n">
        <f aca="false">SUMPRODUCT(G2581:P2581,_XtX!$B$71:$K$71)</f>
        <v>48.8433522727273</v>
      </c>
      <c r="R2581" s="0" t="n">
        <f aca="false">SUMPRODUCT(MMULT(G2581:P2581,_XtX!$B$58:$K$67),G2581:P2581)</f>
        <v>0.336762584339489</v>
      </c>
      <c r="S2581" s="0" t="n">
        <f aca="false">04_回帰ANOVA!$K$19*04_回帰ANOVA!$K$14*SQRT(1+R2581)</f>
        <v>1.07496364479411</v>
      </c>
      <c r="T2581" s="0" t="n">
        <f aca="false">Q2581-S2581</f>
        <v>47.7683886279332</v>
      </c>
      <c r="U2581" s="0" t="n">
        <f aca="false">Q2581+S2581</f>
        <v>49.9183159175214</v>
      </c>
      <c r="V2581" s="54" t="b">
        <f aca="false">AND(D2581&gt;=01_因子設定!$L$5-0.000000001,D2581&lt;=01_因子設定!$M$5+0.000000001,E2581&gt;=01_因子設定!$L$6-0.000000001,E2581&lt;=01_因子設定!$M$6+0.000000001,F2581&gt;=01_因子設定!$L$7-0.000000001,F2581&lt;=01_因子設定!$M$7+0.000000001,IF(01_因子設定!$B$20="Box-Behnken",D2581^2+E2581^2+F2581^2&lt;=2+0.000000001,TRUE()))</f>
        <v>1</v>
      </c>
      <c r="W2581" s="55" t="n">
        <f aca="false">IF(V2581,IF(01_因子設定!$B$13="最大化",T2581-01_因子設定!$B$14,IF(01_因子設定!$B$13="最小化",01_因子設定!$B$15-U2581,MIN(T2581-01_因子設定!$B$14,01_因子設定!$B$15-U2581))),-1E+030)</f>
        <v>-0.731611372066823</v>
      </c>
      <c r="X2581" s="55" t="n">
        <f aca="false">IF(V2581,IF(01_因子設定!$B$13="最大化",Q2581,IF(01_因子設定!$B$13="最小化",-Q2581,-ABS(Q2581-01_因子設定!$B$16))),-1E+030)</f>
        <v>48.8433522727273</v>
      </c>
      <c r="Y2581" s="55" t="n">
        <f aca="false">W2581+ROW()*0.000000001</f>
        <v>-0.731608791066823</v>
      </c>
      <c r="Z2581" s="55" t="n">
        <f aca="false">X2581+ROW()*0.000000001</f>
        <v>48.8433548537273</v>
      </c>
    </row>
    <row r="2582" customFormat="false" ht="15" hidden="false" customHeight="false" outlineLevel="0" collapsed="false">
      <c r="A2582" s="0" t="n">
        <v>8</v>
      </c>
      <c r="B2582" s="0" t="n">
        <v>15</v>
      </c>
      <c r="C2582" s="0" t="n">
        <v>10</v>
      </c>
      <c r="D2582" s="0" t="n">
        <f aca="false">-1+A2582*0.125</f>
        <v>0</v>
      </c>
      <c r="E2582" s="0" t="n">
        <f aca="false">-1+B2582*0.125</f>
        <v>0.875</v>
      </c>
      <c r="F2582" s="0" t="n">
        <f aca="false">-1+C2582*0.125</f>
        <v>0.25</v>
      </c>
      <c r="G2582" s="0" t="n">
        <f aca="false">1</f>
        <v>1</v>
      </c>
      <c r="H2582" s="0" t="n">
        <f aca="false">D2582</f>
        <v>0</v>
      </c>
      <c r="I2582" s="0" t="n">
        <f aca="false">E2582</f>
        <v>0.875</v>
      </c>
      <c r="J2582" s="0" t="n">
        <f aca="false">F2582</f>
        <v>0.25</v>
      </c>
      <c r="K2582" s="0" t="n">
        <f aca="false">D2582*E2582</f>
        <v>0</v>
      </c>
      <c r="L2582" s="0" t="n">
        <f aca="false">D2582*F2582</f>
        <v>0</v>
      </c>
      <c r="M2582" s="0" t="n">
        <f aca="false">E2582*F2582</f>
        <v>0.21875</v>
      </c>
      <c r="N2582" s="0" t="n">
        <f aca="false">D2582*D2582</f>
        <v>0</v>
      </c>
      <c r="O2582" s="0" t="n">
        <f aca="false">E2582*E2582</f>
        <v>0.765625</v>
      </c>
      <c r="P2582" s="0" t="n">
        <f aca="false">F2582*F2582</f>
        <v>0.0625</v>
      </c>
      <c r="Q2582" s="0" t="n">
        <f aca="false">SUMPRODUCT(G2582:P2582,_XtX!$B$71:$K$71)</f>
        <v>49.0098863636364</v>
      </c>
      <c r="R2582" s="0" t="n">
        <f aca="false">SUMPRODUCT(MMULT(G2582:P2582,_XtX!$B$58:$K$67),G2582:P2582)</f>
        <v>0.333218661221591</v>
      </c>
      <c r="S2582" s="0" t="n">
        <f aca="false">04_回帰ANOVA!$K$19*04_回帰ANOVA!$K$14*SQRT(1+R2582)</f>
        <v>1.07353776826542</v>
      </c>
      <c r="T2582" s="0" t="n">
        <f aca="false">Q2582-S2582</f>
        <v>47.936348595371</v>
      </c>
      <c r="U2582" s="0" t="n">
        <f aca="false">Q2582+S2582</f>
        <v>50.0834241319018</v>
      </c>
      <c r="V2582" s="54" t="b">
        <f aca="false">AND(D2582&gt;=01_因子設定!$L$5-0.000000001,D2582&lt;=01_因子設定!$M$5+0.000000001,E2582&gt;=01_因子設定!$L$6-0.000000001,E2582&lt;=01_因子設定!$M$6+0.000000001,F2582&gt;=01_因子設定!$L$7-0.000000001,F2582&lt;=01_因子設定!$M$7+0.000000001,IF(01_因子設定!$B$20="Box-Behnken",D2582^2+E2582^2+F2582^2&lt;=2+0.000000001,TRUE()))</f>
        <v>1</v>
      </c>
      <c r="W2582" s="55" t="n">
        <f aca="false">IF(V2582,IF(01_因子設定!$B$13="最大化",T2582-01_因子設定!$B$14,IF(01_因子設定!$B$13="最小化",01_因子設定!$B$15-U2582,MIN(T2582-01_因子設定!$B$14,01_因子設定!$B$15-U2582))),-1E+030)</f>
        <v>-0.563651404629042</v>
      </c>
      <c r="X2582" s="55" t="n">
        <f aca="false">IF(V2582,IF(01_因子設定!$B$13="最大化",Q2582,IF(01_因子設定!$B$13="最小化",-Q2582,-ABS(Q2582-01_因子設定!$B$16))),-1E+030)</f>
        <v>49.0098863636364</v>
      </c>
      <c r="Y2582" s="55" t="n">
        <f aca="false">W2582+ROW()*0.000000001</f>
        <v>-0.563648822629042</v>
      </c>
      <c r="Z2582" s="55" t="n">
        <f aca="false">X2582+ROW()*0.000000001</f>
        <v>49.0098889456364</v>
      </c>
    </row>
    <row r="2583" customFormat="false" ht="15" hidden="false" customHeight="false" outlineLevel="0" collapsed="false">
      <c r="A2583" s="0" t="n">
        <v>8</v>
      </c>
      <c r="B2583" s="0" t="n">
        <v>15</v>
      </c>
      <c r="C2583" s="0" t="n">
        <v>11</v>
      </c>
      <c r="D2583" s="0" t="n">
        <f aca="false">-1+A2583*0.125</f>
        <v>0</v>
      </c>
      <c r="E2583" s="0" t="n">
        <f aca="false">-1+B2583*0.125</f>
        <v>0.875</v>
      </c>
      <c r="F2583" s="0" t="n">
        <f aca="false">-1+C2583*0.125</f>
        <v>0.375</v>
      </c>
      <c r="G2583" s="0" t="n">
        <f aca="false">1</f>
        <v>1</v>
      </c>
      <c r="H2583" s="0" t="n">
        <f aca="false">D2583</f>
        <v>0</v>
      </c>
      <c r="I2583" s="0" t="n">
        <f aca="false">E2583</f>
        <v>0.875</v>
      </c>
      <c r="J2583" s="0" t="n">
        <f aca="false">F2583</f>
        <v>0.375</v>
      </c>
      <c r="K2583" s="0" t="n">
        <f aca="false">D2583*E2583</f>
        <v>0</v>
      </c>
      <c r="L2583" s="0" t="n">
        <f aca="false">D2583*F2583</f>
        <v>0</v>
      </c>
      <c r="M2583" s="0" t="n">
        <f aca="false">E2583*F2583</f>
        <v>0.328125</v>
      </c>
      <c r="N2583" s="0" t="n">
        <f aca="false">D2583*D2583</f>
        <v>0</v>
      </c>
      <c r="O2583" s="0" t="n">
        <f aca="false">E2583*E2583</f>
        <v>0.765625</v>
      </c>
      <c r="P2583" s="0" t="n">
        <f aca="false">F2583*F2583</f>
        <v>0.140625</v>
      </c>
      <c r="Q2583" s="0" t="n">
        <f aca="false">SUMPRODUCT(G2583:P2583,_XtX!$B$71:$K$71)</f>
        <v>49.1396306818182</v>
      </c>
      <c r="R2583" s="0" t="n">
        <f aca="false">SUMPRODUCT(MMULT(G2583:P2583,_XtX!$B$58:$K$67),G2583:P2583)</f>
        <v>0.330863259055398</v>
      </c>
      <c r="S2583" s="0" t="n">
        <f aca="false">04_回帰ANOVA!$K$19*04_回帰ANOVA!$K$14*SQRT(1+R2583)</f>
        <v>1.07258903754571</v>
      </c>
      <c r="T2583" s="0" t="n">
        <f aca="false">Q2583-S2583</f>
        <v>48.0670416442725</v>
      </c>
      <c r="U2583" s="0" t="n">
        <f aca="false">Q2583+S2583</f>
        <v>50.2122197193639</v>
      </c>
      <c r="V2583" s="54" t="b">
        <f aca="false">AND(D2583&gt;=01_因子設定!$L$5-0.000000001,D2583&lt;=01_因子設定!$M$5+0.000000001,E2583&gt;=01_因子設定!$L$6-0.000000001,E2583&lt;=01_因子設定!$M$6+0.000000001,F2583&gt;=01_因子設定!$L$7-0.000000001,F2583&lt;=01_因子設定!$M$7+0.000000001,IF(01_因子設定!$B$20="Box-Behnken",D2583^2+E2583^2+F2583^2&lt;=2+0.000000001,TRUE()))</f>
        <v>1</v>
      </c>
      <c r="W2583" s="55" t="n">
        <f aca="false">IF(V2583,IF(01_因子設定!$B$13="最大化",T2583-01_因子設定!$B$14,IF(01_因子設定!$B$13="最小化",01_因子設定!$B$15-U2583,MIN(T2583-01_因子設定!$B$14,01_因子設定!$B$15-U2583))),-1E+030)</f>
        <v>-0.432958355727507</v>
      </c>
      <c r="X2583" s="55" t="n">
        <f aca="false">IF(V2583,IF(01_因子設定!$B$13="最大化",Q2583,IF(01_因子設定!$B$13="最小化",-Q2583,-ABS(Q2583-01_因子設定!$B$16))),-1E+030)</f>
        <v>49.1396306818182</v>
      </c>
      <c r="Y2583" s="55" t="n">
        <f aca="false">W2583+ROW()*0.000000001</f>
        <v>-0.432955772727507</v>
      </c>
      <c r="Z2583" s="55" t="n">
        <f aca="false">X2583+ROW()*0.000000001</f>
        <v>49.1396332648182</v>
      </c>
    </row>
    <row r="2584" customFormat="false" ht="15" hidden="false" customHeight="false" outlineLevel="0" collapsed="false">
      <c r="A2584" s="0" t="n">
        <v>8</v>
      </c>
      <c r="B2584" s="0" t="n">
        <v>15</v>
      </c>
      <c r="C2584" s="0" t="n">
        <v>12</v>
      </c>
      <c r="D2584" s="0" t="n">
        <f aca="false">-1+A2584*0.125</f>
        <v>0</v>
      </c>
      <c r="E2584" s="0" t="n">
        <f aca="false">-1+B2584*0.125</f>
        <v>0.875</v>
      </c>
      <c r="F2584" s="0" t="n">
        <f aca="false">-1+C2584*0.125</f>
        <v>0.5</v>
      </c>
      <c r="G2584" s="0" t="n">
        <f aca="false">1</f>
        <v>1</v>
      </c>
      <c r="H2584" s="0" t="n">
        <f aca="false">D2584</f>
        <v>0</v>
      </c>
      <c r="I2584" s="0" t="n">
        <f aca="false">E2584</f>
        <v>0.875</v>
      </c>
      <c r="J2584" s="0" t="n">
        <f aca="false">F2584</f>
        <v>0.5</v>
      </c>
      <c r="K2584" s="0" t="n">
        <f aca="false">D2584*E2584</f>
        <v>0</v>
      </c>
      <c r="L2584" s="0" t="n">
        <f aca="false">D2584*F2584</f>
        <v>0</v>
      </c>
      <c r="M2584" s="0" t="n">
        <f aca="false">E2584*F2584</f>
        <v>0.4375</v>
      </c>
      <c r="N2584" s="0" t="n">
        <f aca="false">D2584*D2584</f>
        <v>0</v>
      </c>
      <c r="O2584" s="0" t="n">
        <f aca="false">E2584*E2584</f>
        <v>0.765625</v>
      </c>
      <c r="P2584" s="0" t="n">
        <f aca="false">F2584*F2584</f>
        <v>0.25</v>
      </c>
      <c r="Q2584" s="0" t="n">
        <f aca="false">SUMPRODUCT(G2584:P2584,_XtX!$B$71:$K$71)</f>
        <v>49.2325852272727</v>
      </c>
      <c r="R2584" s="0" t="n">
        <f aca="false">SUMPRODUCT(MMULT(G2584:P2584,_XtX!$B$58:$K$67),G2584:P2584)</f>
        <v>0.335023082386364</v>
      </c>
      <c r="S2584" s="0" t="n">
        <f aca="false">04_回帰ANOVA!$K$19*04_回帰ANOVA!$K$14*SQRT(1+R2584)</f>
        <v>1.07426400295275</v>
      </c>
      <c r="T2584" s="0" t="n">
        <f aca="false">Q2584-S2584</f>
        <v>48.15832122432</v>
      </c>
      <c r="U2584" s="0" t="n">
        <f aca="false">Q2584+S2584</f>
        <v>50.3068492302255</v>
      </c>
      <c r="V2584" s="54" t="b">
        <f aca="false">AND(D2584&gt;=01_因子設定!$L$5-0.000000001,D2584&lt;=01_因子設定!$M$5+0.000000001,E2584&gt;=01_因子設定!$L$6-0.000000001,E2584&lt;=01_因子設定!$M$6+0.000000001,F2584&gt;=01_因子設定!$L$7-0.000000001,F2584&lt;=01_因子設定!$M$7+0.000000001,IF(01_因子設定!$B$20="Box-Behnken",D2584^2+E2584^2+F2584^2&lt;=2+0.000000001,TRUE()))</f>
        <v>1</v>
      </c>
      <c r="W2584" s="55" t="n">
        <f aca="false">IF(V2584,IF(01_因子設定!$B$13="最大化",T2584-01_因子設定!$B$14,IF(01_因子設定!$B$13="最小化",01_因子設定!$B$15-U2584,MIN(T2584-01_因子設定!$B$14,01_因子設定!$B$15-U2584))),-1E+030)</f>
        <v>-0.341678775680009</v>
      </c>
      <c r="X2584" s="55" t="n">
        <f aca="false">IF(V2584,IF(01_因子設定!$B$13="最大化",Q2584,IF(01_因子設定!$B$13="最小化",-Q2584,-ABS(Q2584-01_因子設定!$B$16))),-1E+030)</f>
        <v>49.2325852272727</v>
      </c>
      <c r="Y2584" s="55" t="n">
        <f aca="false">W2584+ROW()*0.000000001</f>
        <v>-0.341676191680009</v>
      </c>
      <c r="Z2584" s="55" t="n">
        <f aca="false">X2584+ROW()*0.000000001</f>
        <v>49.2325878112727</v>
      </c>
    </row>
    <row r="2585" customFormat="false" ht="15" hidden="false" customHeight="false" outlineLevel="0" collapsed="false">
      <c r="A2585" s="0" t="n">
        <v>8</v>
      </c>
      <c r="B2585" s="0" t="n">
        <v>15</v>
      </c>
      <c r="C2585" s="0" t="n">
        <v>13</v>
      </c>
      <c r="D2585" s="0" t="n">
        <f aca="false">-1+A2585*0.125</f>
        <v>0</v>
      </c>
      <c r="E2585" s="0" t="n">
        <f aca="false">-1+B2585*0.125</f>
        <v>0.875</v>
      </c>
      <c r="F2585" s="0" t="n">
        <f aca="false">-1+C2585*0.125</f>
        <v>0.625</v>
      </c>
      <c r="G2585" s="0" t="n">
        <f aca="false">1</f>
        <v>1</v>
      </c>
      <c r="H2585" s="0" t="n">
        <f aca="false">D2585</f>
        <v>0</v>
      </c>
      <c r="I2585" s="0" t="n">
        <f aca="false">E2585</f>
        <v>0.875</v>
      </c>
      <c r="J2585" s="0" t="n">
        <f aca="false">F2585</f>
        <v>0.625</v>
      </c>
      <c r="K2585" s="0" t="n">
        <f aca="false">D2585*E2585</f>
        <v>0</v>
      </c>
      <c r="L2585" s="0" t="n">
        <f aca="false">D2585*F2585</f>
        <v>0</v>
      </c>
      <c r="M2585" s="0" t="n">
        <f aca="false">E2585*F2585</f>
        <v>0.546875</v>
      </c>
      <c r="N2585" s="0" t="n">
        <f aca="false">D2585*D2585</f>
        <v>0</v>
      </c>
      <c r="O2585" s="0" t="n">
        <f aca="false">E2585*E2585</f>
        <v>0.765625</v>
      </c>
      <c r="P2585" s="0" t="n">
        <f aca="false">F2585*F2585</f>
        <v>0.390625</v>
      </c>
      <c r="Q2585" s="0" t="n">
        <f aca="false">SUMPRODUCT(G2585:P2585,_XtX!$B$71:$K$71)</f>
        <v>49.28875</v>
      </c>
      <c r="R2585" s="0" t="n">
        <f aca="false">SUMPRODUCT(MMULT(G2585:P2585,_XtX!$B$58:$K$67),G2585:P2585)</f>
        <v>0.353155517578125</v>
      </c>
      <c r="S2585" s="0" t="n">
        <f aca="false">04_回帰ANOVA!$K$19*04_回帰ANOVA!$K$14*SQRT(1+R2585)</f>
        <v>1.08153478594098</v>
      </c>
      <c r="T2585" s="0" t="n">
        <f aca="false">Q2585-S2585</f>
        <v>48.207215214059</v>
      </c>
      <c r="U2585" s="0" t="n">
        <f aca="false">Q2585+S2585</f>
        <v>50.370284785941</v>
      </c>
      <c r="V2585" s="54" t="b">
        <f aca="false">AND(D2585&gt;=01_因子設定!$L$5-0.000000001,D2585&lt;=01_因子設定!$M$5+0.000000001,E2585&gt;=01_因子設定!$L$6-0.000000001,E2585&lt;=01_因子設定!$M$6+0.000000001,F2585&gt;=01_因子設定!$L$7-0.000000001,F2585&lt;=01_因子設定!$M$7+0.000000001,IF(01_因子設定!$B$20="Box-Behnken",D2585^2+E2585^2+F2585^2&lt;=2+0.000000001,TRUE()))</f>
        <v>1</v>
      </c>
      <c r="W2585" s="55" t="n">
        <f aca="false">IF(V2585,IF(01_因子設定!$B$13="最大化",T2585-01_因子設定!$B$14,IF(01_因子設定!$B$13="最小化",01_因子設定!$B$15-U2585,MIN(T2585-01_因子設定!$B$14,01_因子設定!$B$15-U2585))),-1E+030)</f>
        <v>-0.29278478594096</v>
      </c>
      <c r="X2585" s="55" t="n">
        <f aca="false">IF(V2585,IF(01_因子設定!$B$13="最大化",Q2585,IF(01_因子設定!$B$13="最小化",-Q2585,-ABS(Q2585-01_因子設定!$B$16))),-1E+030)</f>
        <v>49.28875</v>
      </c>
      <c r="Y2585" s="55" t="n">
        <f aca="false">W2585+ROW()*0.000000001</f>
        <v>-0.29278220094096</v>
      </c>
      <c r="Z2585" s="55" t="n">
        <f aca="false">X2585+ROW()*0.000000001</f>
        <v>49.288752585</v>
      </c>
    </row>
    <row r="2586" customFormat="false" ht="15" hidden="false" customHeight="false" outlineLevel="0" collapsed="false">
      <c r="A2586" s="0" t="n">
        <v>8</v>
      </c>
      <c r="B2586" s="0" t="n">
        <v>15</v>
      </c>
      <c r="C2586" s="0" t="n">
        <v>14</v>
      </c>
      <c r="D2586" s="0" t="n">
        <f aca="false">-1+A2586*0.125</f>
        <v>0</v>
      </c>
      <c r="E2586" s="0" t="n">
        <f aca="false">-1+B2586*0.125</f>
        <v>0.875</v>
      </c>
      <c r="F2586" s="0" t="n">
        <f aca="false">-1+C2586*0.125</f>
        <v>0.75</v>
      </c>
      <c r="G2586" s="0" t="n">
        <f aca="false">1</f>
        <v>1</v>
      </c>
      <c r="H2586" s="0" t="n">
        <f aca="false">D2586</f>
        <v>0</v>
      </c>
      <c r="I2586" s="0" t="n">
        <f aca="false">E2586</f>
        <v>0.875</v>
      </c>
      <c r="J2586" s="0" t="n">
        <f aca="false">F2586</f>
        <v>0.75</v>
      </c>
      <c r="K2586" s="0" t="n">
        <f aca="false">D2586*E2586</f>
        <v>0</v>
      </c>
      <c r="L2586" s="0" t="n">
        <f aca="false">D2586*F2586</f>
        <v>0</v>
      </c>
      <c r="M2586" s="0" t="n">
        <f aca="false">E2586*F2586</f>
        <v>0.65625</v>
      </c>
      <c r="N2586" s="0" t="n">
        <f aca="false">D2586*D2586</f>
        <v>0</v>
      </c>
      <c r="O2586" s="0" t="n">
        <f aca="false">E2586*E2586</f>
        <v>0.765625</v>
      </c>
      <c r="P2586" s="0" t="n">
        <f aca="false">F2586*F2586</f>
        <v>0.5625</v>
      </c>
      <c r="Q2586" s="0" t="n">
        <f aca="false">SUMPRODUCT(G2586:P2586,_XtX!$B$71:$K$71)</f>
        <v>49.308125</v>
      </c>
      <c r="R2586" s="0" t="n">
        <f aca="false">SUMPRODUCT(MMULT(G2586:P2586,_XtX!$B$58:$K$67),G2586:P2586)</f>
        <v>0.3948486328125</v>
      </c>
      <c r="S2586" s="0" t="n">
        <f aca="false">04_回帰ANOVA!$K$19*04_回帰ANOVA!$K$14*SQRT(1+R2586)</f>
        <v>1.09807037952996</v>
      </c>
      <c r="T2586" s="0" t="n">
        <f aca="false">Q2586-S2586</f>
        <v>48.2100546204701</v>
      </c>
      <c r="U2586" s="0" t="n">
        <f aca="false">Q2586+S2586</f>
        <v>50.40619537953</v>
      </c>
      <c r="V2586" s="54" t="b">
        <f aca="false">AND(D2586&gt;=01_因子設定!$L$5-0.000000001,D2586&lt;=01_因子設定!$M$5+0.000000001,E2586&gt;=01_因子設定!$L$6-0.000000001,E2586&lt;=01_因子設定!$M$6+0.000000001,F2586&gt;=01_因子設定!$L$7-0.000000001,F2586&lt;=01_因子設定!$M$7+0.000000001,IF(01_因子設定!$B$20="Box-Behnken",D2586^2+E2586^2+F2586^2&lt;=2+0.000000001,TRUE()))</f>
        <v>1</v>
      </c>
      <c r="W2586" s="55" t="n">
        <f aca="false">IF(V2586,IF(01_因子設定!$B$13="最大化",T2586-01_因子設定!$B$14,IF(01_因子設定!$B$13="最小化",01_因子設定!$B$15-U2586,MIN(T2586-01_因子設定!$B$14,01_因子設定!$B$15-U2586))),-1E+030)</f>
        <v>-0.289945379529932</v>
      </c>
      <c r="X2586" s="55" t="n">
        <f aca="false">IF(V2586,IF(01_因子設定!$B$13="最大化",Q2586,IF(01_因子設定!$B$13="最小化",-Q2586,-ABS(Q2586-01_因子設定!$B$16))),-1E+030)</f>
        <v>49.308125</v>
      </c>
      <c r="Y2586" s="55" t="n">
        <f aca="false">W2586+ROW()*0.000000001</f>
        <v>-0.289942793529932</v>
      </c>
      <c r="Z2586" s="55" t="n">
        <f aca="false">X2586+ROW()*0.000000001</f>
        <v>49.308127586</v>
      </c>
    </row>
    <row r="2587" customFormat="false" ht="15" hidden="false" customHeight="false" outlineLevel="0" collapsed="false">
      <c r="A2587" s="0" t="n">
        <v>8</v>
      </c>
      <c r="B2587" s="0" t="n">
        <v>15</v>
      </c>
      <c r="C2587" s="0" t="n">
        <v>15</v>
      </c>
      <c r="D2587" s="0" t="n">
        <f aca="false">-1+A2587*0.125</f>
        <v>0</v>
      </c>
      <c r="E2587" s="0" t="n">
        <f aca="false">-1+B2587*0.125</f>
        <v>0.875</v>
      </c>
      <c r="F2587" s="0" t="n">
        <f aca="false">-1+C2587*0.125</f>
        <v>0.875</v>
      </c>
      <c r="G2587" s="0" t="n">
        <f aca="false">1</f>
        <v>1</v>
      </c>
      <c r="H2587" s="0" t="n">
        <f aca="false">D2587</f>
        <v>0</v>
      </c>
      <c r="I2587" s="0" t="n">
        <f aca="false">E2587</f>
        <v>0.875</v>
      </c>
      <c r="J2587" s="0" t="n">
        <f aca="false">F2587</f>
        <v>0.875</v>
      </c>
      <c r="K2587" s="0" t="n">
        <f aca="false">D2587*E2587</f>
        <v>0</v>
      </c>
      <c r="L2587" s="0" t="n">
        <f aca="false">D2587*F2587</f>
        <v>0</v>
      </c>
      <c r="M2587" s="0" t="n">
        <f aca="false">E2587*F2587</f>
        <v>0.765625</v>
      </c>
      <c r="N2587" s="0" t="n">
        <f aca="false">D2587*D2587</f>
        <v>0</v>
      </c>
      <c r="O2587" s="0" t="n">
        <f aca="false">E2587*E2587</f>
        <v>0.765625</v>
      </c>
      <c r="P2587" s="0" t="n">
        <f aca="false">F2587*F2587</f>
        <v>0.765625</v>
      </c>
      <c r="Q2587" s="0" t="n">
        <f aca="false">SUMPRODUCT(G2587:P2587,_XtX!$B$71:$K$71)</f>
        <v>49.2907102272728</v>
      </c>
      <c r="R2587" s="0" t="n">
        <f aca="false">SUMPRODUCT(MMULT(G2587:P2587,_XtX!$B$58:$K$67),G2587:P2587)</f>
        <v>0.471821178089489</v>
      </c>
      <c r="S2587" s="0" t="n">
        <f aca="false">04_回帰ANOVA!$K$19*04_回帰ANOVA!$K$14*SQRT(1+R2587)</f>
        <v>1.12796119746125</v>
      </c>
      <c r="T2587" s="0" t="n">
        <f aca="false">Q2587-S2587</f>
        <v>48.1627490298115</v>
      </c>
      <c r="U2587" s="0" t="n">
        <f aca="false">Q2587+S2587</f>
        <v>50.418671424734</v>
      </c>
      <c r="V2587" s="54" t="b">
        <f aca="false">AND(D2587&gt;=01_因子設定!$L$5-0.000000001,D2587&lt;=01_因子設定!$M$5+0.000000001,E2587&gt;=01_因子設定!$L$6-0.000000001,E2587&lt;=01_因子設定!$M$6+0.000000001,F2587&gt;=01_因子設定!$L$7-0.000000001,F2587&lt;=01_因子設定!$M$7+0.000000001,IF(01_因子設定!$B$20="Box-Behnken",D2587^2+E2587^2+F2587^2&lt;=2+0.000000001,TRUE()))</f>
        <v>1</v>
      </c>
      <c r="W2587" s="55" t="n">
        <f aca="false">IF(V2587,IF(01_因子設定!$B$13="最大化",T2587-01_因子設定!$B$14,IF(01_因子設定!$B$13="最小化",01_因子設定!$B$15-U2587,MIN(T2587-01_因子設定!$B$14,01_因子設定!$B$15-U2587))),-1E+030)</f>
        <v>-0.337250970188499</v>
      </c>
      <c r="X2587" s="55" t="n">
        <f aca="false">IF(V2587,IF(01_因子設定!$B$13="最大化",Q2587,IF(01_因子設定!$B$13="最小化",-Q2587,-ABS(Q2587-01_因子設定!$B$16))),-1E+030)</f>
        <v>49.2907102272728</v>
      </c>
      <c r="Y2587" s="55" t="n">
        <f aca="false">W2587+ROW()*0.000000001</f>
        <v>-0.337248383188499</v>
      </c>
      <c r="Z2587" s="55" t="n">
        <f aca="false">X2587+ROW()*0.000000001</f>
        <v>49.2907128142728</v>
      </c>
    </row>
    <row r="2588" customFormat="false" ht="15" hidden="false" customHeight="false" outlineLevel="0" collapsed="false">
      <c r="A2588" s="0" t="n">
        <v>8</v>
      </c>
      <c r="B2588" s="0" t="n">
        <v>15</v>
      </c>
      <c r="C2588" s="0" t="n">
        <v>16</v>
      </c>
      <c r="D2588" s="0" t="n">
        <f aca="false">-1+A2588*0.125</f>
        <v>0</v>
      </c>
      <c r="E2588" s="0" t="n">
        <f aca="false">-1+B2588*0.125</f>
        <v>0.875</v>
      </c>
      <c r="F2588" s="0" t="n">
        <f aca="false">-1+C2588*0.125</f>
        <v>1</v>
      </c>
      <c r="G2588" s="0" t="n">
        <f aca="false">1</f>
        <v>1</v>
      </c>
      <c r="H2588" s="0" t="n">
        <f aca="false">D2588</f>
        <v>0</v>
      </c>
      <c r="I2588" s="0" t="n">
        <f aca="false">E2588</f>
        <v>0.875</v>
      </c>
      <c r="J2588" s="0" t="n">
        <f aca="false">F2588</f>
        <v>1</v>
      </c>
      <c r="K2588" s="0" t="n">
        <f aca="false">D2588*E2588</f>
        <v>0</v>
      </c>
      <c r="L2588" s="0" t="n">
        <f aca="false">D2588*F2588</f>
        <v>0</v>
      </c>
      <c r="M2588" s="0" t="n">
        <f aca="false">E2588*F2588</f>
        <v>0.875</v>
      </c>
      <c r="N2588" s="0" t="n">
        <f aca="false">D2588*D2588</f>
        <v>0</v>
      </c>
      <c r="O2588" s="0" t="n">
        <f aca="false">E2588*E2588</f>
        <v>0.765625</v>
      </c>
      <c r="P2588" s="0" t="n">
        <f aca="false">F2588*F2588</f>
        <v>1</v>
      </c>
      <c r="Q2588" s="0" t="n">
        <f aca="false">SUMPRODUCT(G2588:P2588,_XtX!$B$71:$K$71)</f>
        <v>49.2365056818182</v>
      </c>
      <c r="R2588" s="0" t="n">
        <f aca="false">SUMPRODUCT(MMULT(G2588:P2588,_XtX!$B$58:$K$67),G2588:P2588)</f>
        <v>0.597922585227273</v>
      </c>
      <c r="S2588" s="0" t="n">
        <f aca="false">04_回帰ANOVA!$K$19*04_回帰ANOVA!$K$14*SQRT(1+R2588)</f>
        <v>1.17528854591003</v>
      </c>
      <c r="T2588" s="0" t="n">
        <f aca="false">Q2588-S2588</f>
        <v>48.0612171359082</v>
      </c>
      <c r="U2588" s="0" t="n">
        <f aca="false">Q2588+S2588</f>
        <v>50.4117942277282</v>
      </c>
      <c r="V2588" s="54" t="b">
        <f aca="false">AND(D2588&gt;=01_因子設定!$L$5-0.000000001,D2588&lt;=01_因子設定!$M$5+0.000000001,E2588&gt;=01_因子設定!$L$6-0.000000001,E2588&lt;=01_因子設定!$M$6+0.000000001,F2588&gt;=01_因子設定!$L$7-0.000000001,F2588&lt;=01_因子設定!$M$7+0.000000001,IF(01_因子設定!$B$20="Box-Behnken",D2588^2+E2588^2+F2588^2&lt;=2+0.000000001,TRUE()))</f>
        <v>1</v>
      </c>
      <c r="W2588" s="55" t="n">
        <f aca="false">IF(V2588,IF(01_因子設定!$B$13="最大化",T2588-01_因子設定!$B$14,IF(01_因子設定!$B$13="最小化",01_因子設定!$B$15-U2588,MIN(T2588-01_因子設定!$B$14,01_因子設定!$B$15-U2588))),-1E+030)</f>
        <v>-0.438782864091813</v>
      </c>
      <c r="X2588" s="55" t="n">
        <f aca="false">IF(V2588,IF(01_因子設定!$B$13="最大化",Q2588,IF(01_因子設定!$B$13="最小化",-Q2588,-ABS(Q2588-01_因子設定!$B$16))),-1E+030)</f>
        <v>49.2365056818182</v>
      </c>
      <c r="Y2588" s="55" t="n">
        <f aca="false">W2588+ROW()*0.000000001</f>
        <v>-0.438780276091813</v>
      </c>
      <c r="Z2588" s="55" t="n">
        <f aca="false">X2588+ROW()*0.000000001</f>
        <v>49.2365082698182</v>
      </c>
    </row>
    <row r="2589" customFormat="false" ht="15" hidden="false" customHeight="false" outlineLevel="0" collapsed="false">
      <c r="A2589" s="0" t="n">
        <v>8</v>
      </c>
      <c r="B2589" s="0" t="n">
        <v>16</v>
      </c>
      <c r="C2589" s="0" t="n">
        <v>0</v>
      </c>
      <c r="D2589" s="0" t="n">
        <f aca="false">-1+A2589*0.125</f>
        <v>0</v>
      </c>
      <c r="E2589" s="0" t="n">
        <f aca="false">-1+B2589*0.125</f>
        <v>1</v>
      </c>
      <c r="F2589" s="0" t="n">
        <f aca="false">-1+C2589*0.125</f>
        <v>-1</v>
      </c>
      <c r="G2589" s="0" t="n">
        <f aca="false">1</f>
        <v>1</v>
      </c>
      <c r="H2589" s="0" t="n">
        <f aca="false">D2589</f>
        <v>0</v>
      </c>
      <c r="I2589" s="0" t="n">
        <f aca="false">E2589</f>
        <v>1</v>
      </c>
      <c r="J2589" s="0" t="n">
        <f aca="false">F2589</f>
        <v>-1</v>
      </c>
      <c r="K2589" s="0" t="n">
        <f aca="false">D2589*E2589</f>
        <v>0</v>
      </c>
      <c r="L2589" s="0" t="n">
        <f aca="false">D2589*F2589</f>
        <v>-0</v>
      </c>
      <c r="M2589" s="0" t="n">
        <f aca="false">E2589*F2589</f>
        <v>-1</v>
      </c>
      <c r="N2589" s="0" t="n">
        <f aca="false">D2589*D2589</f>
        <v>0</v>
      </c>
      <c r="O2589" s="0" t="n">
        <f aca="false">E2589*E2589</f>
        <v>1</v>
      </c>
      <c r="P2589" s="0" t="n">
        <f aca="false">F2589*F2589</f>
        <v>1</v>
      </c>
      <c r="Q2589" s="0" t="n">
        <f aca="false">SUMPRODUCT(G2589:P2589,_XtX!$B$71:$K$71)</f>
        <v>45.4163636363637</v>
      </c>
      <c r="R2589" s="0" t="n">
        <f aca="false">SUMPRODUCT(MMULT(G2589:P2589,_XtX!$B$58:$K$67),G2589:P2589)</f>
        <v>0.715909090909091</v>
      </c>
      <c r="S2589" s="0" t="n">
        <f aca="false">04_回帰ANOVA!$K$19*04_回帰ANOVA!$K$14*SQRT(1+R2589)</f>
        <v>1.21790601011063</v>
      </c>
      <c r="T2589" s="0" t="n">
        <f aca="false">Q2589-S2589</f>
        <v>44.198457626253</v>
      </c>
      <c r="U2589" s="0" t="n">
        <f aca="false">Q2589+S2589</f>
        <v>46.6342696464743</v>
      </c>
      <c r="V2589" s="54" t="b">
        <f aca="false">AND(D2589&gt;=01_因子設定!$L$5-0.000000001,D2589&lt;=01_因子設定!$M$5+0.000000001,E2589&gt;=01_因子設定!$L$6-0.000000001,E2589&lt;=01_因子設定!$M$6+0.000000001,F2589&gt;=01_因子設定!$L$7-0.000000001,F2589&lt;=01_因子設定!$M$7+0.000000001,IF(01_因子設定!$B$20="Box-Behnken",D2589^2+E2589^2+F2589^2&lt;=2+0.000000001,TRUE()))</f>
        <v>1</v>
      </c>
      <c r="W2589" s="55" t="n">
        <f aca="false">IF(V2589,IF(01_因子設定!$B$13="最大化",T2589-01_因子設定!$B$14,IF(01_因子設定!$B$13="最小化",01_因子設定!$B$15-U2589,MIN(T2589-01_因子設定!$B$14,01_因子設定!$B$15-U2589))),-1E+030)</f>
        <v>-4.30154237374696</v>
      </c>
      <c r="X2589" s="55" t="n">
        <f aca="false">IF(V2589,IF(01_因子設定!$B$13="最大化",Q2589,IF(01_因子設定!$B$13="最小化",-Q2589,-ABS(Q2589-01_因子設定!$B$16))),-1E+030)</f>
        <v>45.4163636363637</v>
      </c>
      <c r="Y2589" s="55" t="n">
        <f aca="false">W2589+ROW()*0.000000001</f>
        <v>-4.30153978474695</v>
      </c>
      <c r="Z2589" s="55" t="n">
        <f aca="false">X2589+ROW()*0.000000001</f>
        <v>45.4163662253637</v>
      </c>
    </row>
    <row r="2590" customFormat="false" ht="15" hidden="false" customHeight="false" outlineLevel="0" collapsed="false">
      <c r="A2590" s="0" t="n">
        <v>8</v>
      </c>
      <c r="B2590" s="0" t="n">
        <v>16</v>
      </c>
      <c r="C2590" s="0" t="n">
        <v>1</v>
      </c>
      <c r="D2590" s="0" t="n">
        <f aca="false">-1+A2590*0.125</f>
        <v>0</v>
      </c>
      <c r="E2590" s="0" t="n">
        <f aca="false">-1+B2590*0.125</f>
        <v>1</v>
      </c>
      <c r="F2590" s="0" t="n">
        <f aca="false">-1+C2590*0.125</f>
        <v>-0.875</v>
      </c>
      <c r="G2590" s="0" t="n">
        <f aca="false">1</f>
        <v>1</v>
      </c>
      <c r="H2590" s="0" t="n">
        <f aca="false">D2590</f>
        <v>0</v>
      </c>
      <c r="I2590" s="0" t="n">
        <f aca="false">E2590</f>
        <v>1</v>
      </c>
      <c r="J2590" s="0" t="n">
        <f aca="false">F2590</f>
        <v>-0.875</v>
      </c>
      <c r="K2590" s="0" t="n">
        <f aca="false">D2590*E2590</f>
        <v>0</v>
      </c>
      <c r="L2590" s="0" t="n">
        <f aca="false">D2590*F2590</f>
        <v>-0</v>
      </c>
      <c r="M2590" s="0" t="n">
        <f aca="false">E2590*F2590</f>
        <v>-0.875</v>
      </c>
      <c r="N2590" s="0" t="n">
        <f aca="false">D2590*D2590</f>
        <v>0</v>
      </c>
      <c r="O2590" s="0" t="n">
        <f aca="false">E2590*E2590</f>
        <v>1</v>
      </c>
      <c r="P2590" s="0" t="n">
        <f aca="false">F2590*F2590</f>
        <v>0.765625</v>
      </c>
      <c r="Q2590" s="0" t="n">
        <f aca="false">SUMPRODUCT(G2590:P2590,_XtX!$B$71:$K$71)</f>
        <v>45.9210369318182</v>
      </c>
      <c r="R2590" s="0" t="n">
        <f aca="false">SUMPRODUCT(MMULT(G2590:P2590,_XtX!$B$58:$K$67),G2590:P2590)</f>
        <v>0.597922585227273</v>
      </c>
      <c r="S2590" s="0" t="n">
        <f aca="false">04_回帰ANOVA!$K$19*04_回帰ANOVA!$K$14*SQRT(1+R2590)</f>
        <v>1.17528854591003</v>
      </c>
      <c r="T2590" s="0" t="n">
        <f aca="false">Q2590-S2590</f>
        <v>44.7457483859082</v>
      </c>
      <c r="U2590" s="0" t="n">
        <f aca="false">Q2590+S2590</f>
        <v>47.0963254777282</v>
      </c>
      <c r="V2590" s="54" t="b">
        <f aca="false">AND(D2590&gt;=01_因子設定!$L$5-0.000000001,D2590&lt;=01_因子設定!$M$5+0.000000001,E2590&gt;=01_因子設定!$L$6-0.000000001,E2590&lt;=01_因子設定!$M$6+0.000000001,F2590&gt;=01_因子設定!$L$7-0.000000001,F2590&lt;=01_因子設定!$M$7+0.000000001,IF(01_因子設定!$B$20="Box-Behnken",D2590^2+E2590^2+F2590^2&lt;=2+0.000000001,TRUE()))</f>
        <v>1</v>
      </c>
      <c r="W2590" s="55" t="n">
        <f aca="false">IF(V2590,IF(01_因子設定!$B$13="最大化",T2590-01_因子設定!$B$14,IF(01_因子設定!$B$13="最小化",01_因子設定!$B$15-U2590,MIN(T2590-01_因子設定!$B$14,01_因子設定!$B$15-U2590))),-1E+030)</f>
        <v>-3.75425161409182</v>
      </c>
      <c r="X2590" s="55" t="n">
        <f aca="false">IF(V2590,IF(01_因子設定!$B$13="最大化",Q2590,IF(01_因子設定!$B$13="最小化",-Q2590,-ABS(Q2590-01_因子設定!$B$16))),-1E+030)</f>
        <v>45.9210369318182</v>
      </c>
      <c r="Y2590" s="55" t="n">
        <f aca="false">W2590+ROW()*0.000000001</f>
        <v>-3.75424902409182</v>
      </c>
      <c r="Z2590" s="55" t="n">
        <f aca="false">X2590+ROW()*0.000000001</f>
        <v>45.9210395218182</v>
      </c>
    </row>
    <row r="2591" customFormat="false" ht="15" hidden="false" customHeight="false" outlineLevel="0" collapsed="false">
      <c r="A2591" s="0" t="n">
        <v>8</v>
      </c>
      <c r="B2591" s="0" t="n">
        <v>16</v>
      </c>
      <c r="C2591" s="0" t="n">
        <v>2</v>
      </c>
      <c r="D2591" s="0" t="n">
        <f aca="false">-1+A2591*0.125</f>
        <v>0</v>
      </c>
      <c r="E2591" s="0" t="n">
        <f aca="false">-1+B2591*0.125</f>
        <v>1</v>
      </c>
      <c r="F2591" s="0" t="n">
        <f aca="false">-1+C2591*0.125</f>
        <v>-0.75</v>
      </c>
      <c r="G2591" s="0" t="n">
        <f aca="false">1</f>
        <v>1</v>
      </c>
      <c r="H2591" s="0" t="n">
        <f aca="false">D2591</f>
        <v>0</v>
      </c>
      <c r="I2591" s="0" t="n">
        <f aca="false">E2591</f>
        <v>1</v>
      </c>
      <c r="J2591" s="0" t="n">
        <f aca="false">F2591</f>
        <v>-0.75</v>
      </c>
      <c r="K2591" s="0" t="n">
        <f aca="false">D2591*E2591</f>
        <v>0</v>
      </c>
      <c r="L2591" s="0" t="n">
        <f aca="false">D2591*F2591</f>
        <v>-0</v>
      </c>
      <c r="M2591" s="0" t="n">
        <f aca="false">E2591*F2591</f>
        <v>-0.75</v>
      </c>
      <c r="N2591" s="0" t="n">
        <f aca="false">D2591*D2591</f>
        <v>0</v>
      </c>
      <c r="O2591" s="0" t="n">
        <f aca="false">E2591*E2591</f>
        <v>1</v>
      </c>
      <c r="P2591" s="0" t="n">
        <f aca="false">F2591*F2591</f>
        <v>0.5625</v>
      </c>
      <c r="Q2591" s="0" t="n">
        <f aca="false">SUMPRODUCT(G2591:P2591,_XtX!$B$71:$K$71)</f>
        <v>46.3889204545455</v>
      </c>
      <c r="R2591" s="0" t="n">
        <f aca="false">SUMPRODUCT(MMULT(G2591:P2591,_XtX!$B$58:$K$67),G2591:P2591)</f>
        <v>0.527982954545455</v>
      </c>
      <c r="S2591" s="0" t="n">
        <f aca="false">04_回帰ANOVA!$K$19*04_回帰ANOVA!$K$14*SQRT(1+R2591)</f>
        <v>1.14928011037747</v>
      </c>
      <c r="T2591" s="0" t="n">
        <f aca="false">Q2591-S2591</f>
        <v>45.239640344168</v>
      </c>
      <c r="U2591" s="0" t="n">
        <f aca="false">Q2591+S2591</f>
        <v>47.538200564923</v>
      </c>
      <c r="V2591" s="54" t="b">
        <f aca="false">AND(D2591&gt;=01_因子設定!$L$5-0.000000001,D2591&lt;=01_因子設定!$M$5+0.000000001,E2591&gt;=01_因子設定!$L$6-0.000000001,E2591&lt;=01_因子設定!$M$6+0.000000001,F2591&gt;=01_因子設定!$L$7-0.000000001,F2591&lt;=01_因子設定!$M$7+0.000000001,IF(01_因子設定!$B$20="Box-Behnken",D2591^2+E2591^2+F2591^2&lt;=2+0.000000001,TRUE()))</f>
        <v>1</v>
      </c>
      <c r="W2591" s="55" t="n">
        <f aca="false">IF(V2591,IF(01_因子設定!$B$13="最大化",T2591-01_因子設定!$B$14,IF(01_因子設定!$B$13="最小化",01_因子設定!$B$15-U2591,MIN(T2591-01_因子設定!$B$14,01_因子設定!$B$15-U2591))),-1E+030)</f>
        <v>-3.260359655832</v>
      </c>
      <c r="X2591" s="55" t="n">
        <f aca="false">IF(V2591,IF(01_因子設定!$B$13="最大化",Q2591,IF(01_因子設定!$B$13="最小化",-Q2591,-ABS(Q2591-01_因子設定!$B$16))),-1E+030)</f>
        <v>46.3889204545455</v>
      </c>
      <c r="Y2591" s="55" t="n">
        <f aca="false">W2591+ROW()*0.000000001</f>
        <v>-3.260357064832</v>
      </c>
      <c r="Z2591" s="55" t="n">
        <f aca="false">X2591+ROW()*0.000000001</f>
        <v>46.3889230455455</v>
      </c>
    </row>
    <row r="2592" customFormat="false" ht="15" hidden="false" customHeight="false" outlineLevel="0" collapsed="false">
      <c r="A2592" s="0" t="n">
        <v>8</v>
      </c>
      <c r="B2592" s="0" t="n">
        <v>16</v>
      </c>
      <c r="C2592" s="0" t="n">
        <v>3</v>
      </c>
      <c r="D2592" s="0" t="n">
        <f aca="false">-1+A2592*0.125</f>
        <v>0</v>
      </c>
      <c r="E2592" s="0" t="n">
        <f aca="false">-1+B2592*0.125</f>
        <v>1</v>
      </c>
      <c r="F2592" s="0" t="n">
        <f aca="false">-1+C2592*0.125</f>
        <v>-0.625</v>
      </c>
      <c r="G2592" s="0" t="n">
        <f aca="false">1</f>
        <v>1</v>
      </c>
      <c r="H2592" s="0" t="n">
        <f aca="false">D2592</f>
        <v>0</v>
      </c>
      <c r="I2592" s="0" t="n">
        <f aca="false">E2592</f>
        <v>1</v>
      </c>
      <c r="J2592" s="0" t="n">
        <f aca="false">F2592</f>
        <v>-0.625</v>
      </c>
      <c r="K2592" s="0" t="n">
        <f aca="false">D2592*E2592</f>
        <v>0</v>
      </c>
      <c r="L2592" s="0" t="n">
        <f aca="false">D2592*F2592</f>
        <v>-0</v>
      </c>
      <c r="M2592" s="0" t="n">
        <f aca="false">E2592*F2592</f>
        <v>-0.625</v>
      </c>
      <c r="N2592" s="0" t="n">
        <f aca="false">D2592*D2592</f>
        <v>0</v>
      </c>
      <c r="O2592" s="0" t="n">
        <f aca="false">E2592*E2592</f>
        <v>1</v>
      </c>
      <c r="P2592" s="0" t="n">
        <f aca="false">F2592*F2592</f>
        <v>0.390625</v>
      </c>
      <c r="Q2592" s="0" t="n">
        <f aca="false">SUMPRODUCT(G2592:P2592,_XtX!$B$71:$K$71)</f>
        <v>46.8200142045455</v>
      </c>
      <c r="R2592" s="0" t="n">
        <f aca="false">SUMPRODUCT(MMULT(G2592:P2592,_XtX!$B$58:$K$67),G2592:P2592)</f>
        <v>0.492240767045455</v>
      </c>
      <c r="S2592" s="0" t="n">
        <f aca="false">04_回帰ANOVA!$K$19*04_回帰ANOVA!$K$14*SQRT(1+R2592)</f>
        <v>1.13575873676322</v>
      </c>
      <c r="T2592" s="0" t="n">
        <f aca="false">Q2592-S2592</f>
        <v>45.6842554677823</v>
      </c>
      <c r="U2592" s="0" t="n">
        <f aca="false">Q2592+S2592</f>
        <v>47.9557729413087</v>
      </c>
      <c r="V2592" s="54" t="b">
        <f aca="false">AND(D2592&gt;=01_因子設定!$L$5-0.000000001,D2592&lt;=01_因子設定!$M$5+0.000000001,E2592&gt;=01_因子設定!$L$6-0.000000001,E2592&lt;=01_因子設定!$M$6+0.000000001,F2592&gt;=01_因子設定!$L$7-0.000000001,F2592&lt;=01_因子設定!$M$7+0.000000001,IF(01_因子設定!$B$20="Box-Behnken",D2592^2+E2592^2+F2592^2&lt;=2+0.000000001,TRUE()))</f>
        <v>1</v>
      </c>
      <c r="W2592" s="55" t="n">
        <f aca="false">IF(V2592,IF(01_因子設定!$B$13="最大化",T2592-01_因子設定!$B$14,IF(01_因子設定!$B$13="最小化",01_因子設定!$B$15-U2592,MIN(T2592-01_因子設定!$B$14,01_因子設定!$B$15-U2592))),-1E+030)</f>
        <v>-2.81574453221775</v>
      </c>
      <c r="X2592" s="55" t="n">
        <f aca="false">IF(V2592,IF(01_因子設定!$B$13="最大化",Q2592,IF(01_因子設定!$B$13="最小化",-Q2592,-ABS(Q2592-01_因子設定!$B$16))),-1E+030)</f>
        <v>46.8200142045455</v>
      </c>
      <c r="Y2592" s="55" t="n">
        <f aca="false">W2592+ROW()*0.000000001</f>
        <v>-2.81574194021775</v>
      </c>
      <c r="Z2592" s="55" t="n">
        <f aca="false">X2592+ROW()*0.000000001</f>
        <v>46.8200167965455</v>
      </c>
    </row>
    <row r="2593" customFormat="false" ht="15" hidden="false" customHeight="false" outlineLevel="0" collapsed="false">
      <c r="A2593" s="0" t="n">
        <v>8</v>
      </c>
      <c r="B2593" s="0" t="n">
        <v>16</v>
      </c>
      <c r="C2593" s="0" t="n">
        <v>4</v>
      </c>
      <c r="D2593" s="0" t="n">
        <f aca="false">-1+A2593*0.125</f>
        <v>0</v>
      </c>
      <c r="E2593" s="0" t="n">
        <f aca="false">-1+B2593*0.125</f>
        <v>1</v>
      </c>
      <c r="F2593" s="0" t="n">
        <f aca="false">-1+C2593*0.125</f>
        <v>-0.5</v>
      </c>
      <c r="G2593" s="0" t="n">
        <f aca="false">1</f>
        <v>1</v>
      </c>
      <c r="H2593" s="0" t="n">
        <f aca="false">D2593</f>
        <v>0</v>
      </c>
      <c r="I2593" s="0" t="n">
        <f aca="false">E2593</f>
        <v>1</v>
      </c>
      <c r="J2593" s="0" t="n">
        <f aca="false">F2593</f>
        <v>-0.5</v>
      </c>
      <c r="K2593" s="0" t="n">
        <f aca="false">D2593*E2593</f>
        <v>0</v>
      </c>
      <c r="L2593" s="0" t="n">
        <f aca="false">D2593*F2593</f>
        <v>-0</v>
      </c>
      <c r="M2593" s="0" t="n">
        <f aca="false">E2593*F2593</f>
        <v>-0.5</v>
      </c>
      <c r="N2593" s="0" t="n">
        <f aca="false">D2593*D2593</f>
        <v>0</v>
      </c>
      <c r="O2593" s="0" t="n">
        <f aca="false">E2593*E2593</f>
        <v>1</v>
      </c>
      <c r="P2593" s="0" t="n">
        <f aca="false">F2593*F2593</f>
        <v>0.25</v>
      </c>
      <c r="Q2593" s="0" t="n">
        <f aca="false">SUMPRODUCT(G2593:P2593,_XtX!$B$71:$K$71)</f>
        <v>47.2143181818182</v>
      </c>
      <c r="R2593" s="0" t="n">
        <f aca="false">SUMPRODUCT(MMULT(G2593:P2593,_XtX!$B$58:$K$67),G2593:P2593)</f>
        <v>0.478977272727273</v>
      </c>
      <c r="S2593" s="0" t="n">
        <f aca="false">04_回帰ANOVA!$K$19*04_回帰ANOVA!$K$14*SQRT(1+R2593)</f>
        <v>1.13069998447216</v>
      </c>
      <c r="T2593" s="0" t="n">
        <f aca="false">Q2593-S2593</f>
        <v>46.083618197346</v>
      </c>
      <c r="U2593" s="0" t="n">
        <f aca="false">Q2593+S2593</f>
        <v>48.3450181662904</v>
      </c>
      <c r="V2593" s="54" t="b">
        <f aca="false">AND(D2593&gt;=01_因子設定!$L$5-0.000000001,D2593&lt;=01_因子設定!$M$5+0.000000001,E2593&gt;=01_因子設定!$L$6-0.000000001,E2593&lt;=01_因子設定!$M$6+0.000000001,F2593&gt;=01_因子設定!$L$7-0.000000001,F2593&lt;=01_因子設定!$M$7+0.000000001,IF(01_因子設定!$B$20="Box-Behnken",D2593^2+E2593^2+F2593^2&lt;=2+0.000000001,TRUE()))</f>
        <v>1</v>
      </c>
      <c r="W2593" s="55" t="n">
        <f aca="false">IF(V2593,IF(01_因子設定!$B$13="最大化",T2593-01_因子設定!$B$14,IF(01_因子設定!$B$13="最小化",01_因子設定!$B$15-U2593,MIN(T2593-01_因子設定!$B$14,01_因子設定!$B$15-U2593))),-1E+030)</f>
        <v>-2.41638180265396</v>
      </c>
      <c r="X2593" s="55" t="n">
        <f aca="false">IF(V2593,IF(01_因子設定!$B$13="最大化",Q2593,IF(01_因子設定!$B$13="最小化",-Q2593,-ABS(Q2593-01_因子設定!$B$16))),-1E+030)</f>
        <v>47.2143181818182</v>
      </c>
      <c r="Y2593" s="55" t="n">
        <f aca="false">W2593+ROW()*0.000000001</f>
        <v>-2.41637920965396</v>
      </c>
      <c r="Z2593" s="55" t="n">
        <f aca="false">X2593+ROW()*0.000000001</f>
        <v>47.2143207748182</v>
      </c>
    </row>
    <row r="2594" customFormat="false" ht="15" hidden="false" customHeight="false" outlineLevel="0" collapsed="false">
      <c r="A2594" s="0" t="n">
        <v>8</v>
      </c>
      <c r="B2594" s="0" t="n">
        <v>16</v>
      </c>
      <c r="C2594" s="0" t="n">
        <v>5</v>
      </c>
      <c r="D2594" s="0" t="n">
        <f aca="false">-1+A2594*0.125</f>
        <v>0</v>
      </c>
      <c r="E2594" s="0" t="n">
        <f aca="false">-1+B2594*0.125</f>
        <v>1</v>
      </c>
      <c r="F2594" s="0" t="n">
        <f aca="false">-1+C2594*0.125</f>
        <v>-0.375</v>
      </c>
      <c r="G2594" s="0" t="n">
        <f aca="false">1</f>
        <v>1</v>
      </c>
      <c r="H2594" s="0" t="n">
        <f aca="false">D2594</f>
        <v>0</v>
      </c>
      <c r="I2594" s="0" t="n">
        <f aca="false">E2594</f>
        <v>1</v>
      </c>
      <c r="J2594" s="0" t="n">
        <f aca="false">F2594</f>
        <v>-0.375</v>
      </c>
      <c r="K2594" s="0" t="n">
        <f aca="false">D2594*E2594</f>
        <v>0</v>
      </c>
      <c r="L2594" s="0" t="n">
        <f aca="false">D2594*F2594</f>
        <v>-0</v>
      </c>
      <c r="M2594" s="0" t="n">
        <f aca="false">E2594*F2594</f>
        <v>-0.375</v>
      </c>
      <c r="N2594" s="0" t="n">
        <f aca="false">D2594*D2594</f>
        <v>0</v>
      </c>
      <c r="O2594" s="0" t="n">
        <f aca="false">E2594*E2594</f>
        <v>1</v>
      </c>
      <c r="P2594" s="0" t="n">
        <f aca="false">F2594*F2594</f>
        <v>0.140625</v>
      </c>
      <c r="Q2594" s="0" t="n">
        <f aca="false">SUMPRODUCT(G2594:P2594,_XtX!$B$71:$K$71)</f>
        <v>47.5718323863637</v>
      </c>
      <c r="R2594" s="0" t="n">
        <f aca="false">SUMPRODUCT(MMULT(G2594:P2594,_XtX!$B$58:$K$67),G2594:P2594)</f>
        <v>0.478604403409091</v>
      </c>
      <c r="S2594" s="0" t="n">
        <f aca="false">04_回帰ANOVA!$K$19*04_回帰ANOVA!$K$14*SQRT(1+R2594)</f>
        <v>1.13055744343508</v>
      </c>
      <c r="T2594" s="0" t="n">
        <f aca="false">Q2594-S2594</f>
        <v>46.4412749429286</v>
      </c>
      <c r="U2594" s="0" t="n">
        <f aca="false">Q2594+S2594</f>
        <v>48.7023898297987</v>
      </c>
      <c r="V2594" s="54" t="b">
        <f aca="false">AND(D2594&gt;=01_因子設定!$L$5-0.000000001,D2594&lt;=01_因子設定!$M$5+0.000000001,E2594&gt;=01_因子設定!$L$6-0.000000001,E2594&lt;=01_因子設定!$M$6+0.000000001,F2594&gt;=01_因子設定!$L$7-0.000000001,F2594&lt;=01_因子設定!$M$7+0.000000001,IF(01_因子設定!$B$20="Box-Behnken",D2594^2+E2594^2+F2594^2&lt;=2+0.000000001,TRUE()))</f>
        <v>1</v>
      </c>
      <c r="W2594" s="55" t="n">
        <f aca="false">IF(V2594,IF(01_因子設定!$B$13="最大化",T2594-01_因子設定!$B$14,IF(01_因子設定!$B$13="最小化",01_因子設定!$B$15-U2594,MIN(T2594-01_因子設定!$B$14,01_因子設定!$B$15-U2594))),-1E+030)</f>
        <v>-2.05872505707143</v>
      </c>
      <c r="X2594" s="55" t="n">
        <f aca="false">IF(V2594,IF(01_因子設定!$B$13="最大化",Q2594,IF(01_因子設定!$B$13="最小化",-Q2594,-ABS(Q2594-01_因子設定!$B$16))),-1E+030)</f>
        <v>47.5718323863637</v>
      </c>
      <c r="Y2594" s="55" t="n">
        <f aca="false">W2594+ROW()*0.000000001</f>
        <v>-2.05872246307143</v>
      </c>
      <c r="Z2594" s="55" t="n">
        <f aca="false">X2594+ROW()*0.000000001</f>
        <v>47.5718349803637</v>
      </c>
    </row>
    <row r="2595" customFormat="false" ht="15" hidden="false" customHeight="false" outlineLevel="0" collapsed="false">
      <c r="A2595" s="0" t="n">
        <v>8</v>
      </c>
      <c r="B2595" s="0" t="n">
        <v>16</v>
      </c>
      <c r="C2595" s="0" t="n">
        <v>6</v>
      </c>
      <c r="D2595" s="0" t="n">
        <f aca="false">-1+A2595*0.125</f>
        <v>0</v>
      </c>
      <c r="E2595" s="0" t="n">
        <f aca="false">-1+B2595*0.125</f>
        <v>1</v>
      </c>
      <c r="F2595" s="0" t="n">
        <f aca="false">-1+C2595*0.125</f>
        <v>-0.25</v>
      </c>
      <c r="G2595" s="0" t="n">
        <f aca="false">1</f>
        <v>1</v>
      </c>
      <c r="H2595" s="0" t="n">
        <f aca="false">D2595</f>
        <v>0</v>
      </c>
      <c r="I2595" s="0" t="n">
        <f aca="false">E2595</f>
        <v>1</v>
      </c>
      <c r="J2595" s="0" t="n">
        <f aca="false">F2595</f>
        <v>-0.25</v>
      </c>
      <c r="K2595" s="0" t="n">
        <f aca="false">D2595*E2595</f>
        <v>0</v>
      </c>
      <c r="L2595" s="0" t="n">
        <f aca="false">D2595*F2595</f>
        <v>-0</v>
      </c>
      <c r="M2595" s="0" t="n">
        <f aca="false">E2595*F2595</f>
        <v>-0.25</v>
      </c>
      <c r="N2595" s="0" t="n">
        <f aca="false">D2595*D2595</f>
        <v>0</v>
      </c>
      <c r="O2595" s="0" t="n">
        <f aca="false">E2595*E2595</f>
        <v>1</v>
      </c>
      <c r="P2595" s="0" t="n">
        <f aca="false">F2595*F2595</f>
        <v>0.0625</v>
      </c>
      <c r="Q2595" s="0" t="n">
        <f aca="false">SUMPRODUCT(G2595:P2595,_XtX!$B$71:$K$71)</f>
        <v>47.8925568181818</v>
      </c>
      <c r="R2595" s="0" t="n">
        <f aca="false">SUMPRODUCT(MMULT(G2595:P2595,_XtX!$B$58:$K$67),G2595:P2595)</f>
        <v>0.483664772727273</v>
      </c>
      <c r="S2595" s="0" t="n">
        <f aca="false">04_回帰ANOVA!$K$19*04_回帰ANOVA!$K$14*SQRT(1+R2595)</f>
        <v>1.13249039846694</v>
      </c>
      <c r="T2595" s="0" t="n">
        <f aca="false">Q2595-S2595</f>
        <v>46.7600664197149</v>
      </c>
      <c r="U2595" s="0" t="n">
        <f aca="false">Q2595+S2595</f>
        <v>49.0250472166488</v>
      </c>
      <c r="V2595" s="54" t="b">
        <f aca="false">AND(D2595&gt;=01_因子設定!$L$5-0.000000001,D2595&lt;=01_因子設定!$M$5+0.000000001,E2595&gt;=01_因子設定!$L$6-0.000000001,E2595&lt;=01_因子設定!$M$6+0.000000001,F2595&gt;=01_因子設定!$L$7-0.000000001,F2595&lt;=01_因子設定!$M$7+0.000000001,IF(01_因子設定!$B$20="Box-Behnken",D2595^2+E2595^2+F2595^2&lt;=2+0.000000001,TRUE()))</f>
        <v>1</v>
      </c>
      <c r="W2595" s="55" t="n">
        <f aca="false">IF(V2595,IF(01_因子設定!$B$13="最大化",T2595-01_因子設定!$B$14,IF(01_因子設定!$B$13="最小化",01_因子設定!$B$15-U2595,MIN(T2595-01_因子設定!$B$14,01_因子設定!$B$15-U2595))),-1E+030)</f>
        <v>-1.7399335802851</v>
      </c>
      <c r="X2595" s="55" t="n">
        <f aca="false">IF(V2595,IF(01_因子設定!$B$13="最大化",Q2595,IF(01_因子設定!$B$13="最小化",-Q2595,-ABS(Q2595-01_因子設定!$B$16))),-1E+030)</f>
        <v>47.8925568181818</v>
      </c>
      <c r="Y2595" s="55" t="n">
        <f aca="false">W2595+ROW()*0.000000001</f>
        <v>-1.7399309852851</v>
      </c>
      <c r="Z2595" s="55" t="n">
        <f aca="false">X2595+ROW()*0.000000001</f>
        <v>47.8925594131818</v>
      </c>
    </row>
    <row r="2596" customFormat="false" ht="15" hidden="false" customHeight="false" outlineLevel="0" collapsed="false">
      <c r="A2596" s="0" t="n">
        <v>8</v>
      </c>
      <c r="B2596" s="0" t="n">
        <v>16</v>
      </c>
      <c r="C2596" s="0" t="n">
        <v>7</v>
      </c>
      <c r="D2596" s="0" t="n">
        <f aca="false">-1+A2596*0.125</f>
        <v>0</v>
      </c>
      <c r="E2596" s="0" t="n">
        <f aca="false">-1+B2596*0.125</f>
        <v>1</v>
      </c>
      <c r="F2596" s="0" t="n">
        <f aca="false">-1+C2596*0.125</f>
        <v>-0.125</v>
      </c>
      <c r="G2596" s="0" t="n">
        <f aca="false">1</f>
        <v>1</v>
      </c>
      <c r="H2596" s="0" t="n">
        <f aca="false">D2596</f>
        <v>0</v>
      </c>
      <c r="I2596" s="0" t="n">
        <f aca="false">E2596</f>
        <v>1</v>
      </c>
      <c r="J2596" s="0" t="n">
        <f aca="false">F2596</f>
        <v>-0.125</v>
      </c>
      <c r="K2596" s="0" t="n">
        <f aca="false">D2596*E2596</f>
        <v>0</v>
      </c>
      <c r="L2596" s="0" t="n">
        <f aca="false">D2596*F2596</f>
        <v>-0</v>
      </c>
      <c r="M2596" s="0" t="n">
        <f aca="false">E2596*F2596</f>
        <v>-0.125</v>
      </c>
      <c r="N2596" s="0" t="n">
        <f aca="false">D2596*D2596</f>
        <v>0</v>
      </c>
      <c r="O2596" s="0" t="n">
        <f aca="false">E2596*E2596</f>
        <v>1</v>
      </c>
      <c r="P2596" s="0" t="n">
        <f aca="false">F2596*F2596</f>
        <v>0.015625</v>
      </c>
      <c r="Q2596" s="0" t="n">
        <f aca="false">SUMPRODUCT(G2596:P2596,_XtX!$B$71:$K$71)</f>
        <v>48.1764914772727</v>
      </c>
      <c r="R2596" s="0" t="n">
        <f aca="false">SUMPRODUCT(MMULT(G2596:P2596,_XtX!$B$58:$K$67),G2596:P2596)</f>
        <v>0.488831676136364</v>
      </c>
      <c r="S2596" s="0" t="n">
        <f aca="false">04_回帰ANOVA!$K$19*04_回帰ANOVA!$K$14*SQRT(1+R2596)</f>
        <v>1.13446064908709</v>
      </c>
      <c r="T2596" s="0" t="n">
        <f aca="false">Q2596-S2596</f>
        <v>47.0420308281857</v>
      </c>
      <c r="U2596" s="0" t="n">
        <f aca="false">Q2596+S2596</f>
        <v>49.3109521263598</v>
      </c>
      <c r="V2596" s="54" t="b">
        <f aca="false">AND(D2596&gt;=01_因子設定!$L$5-0.000000001,D2596&lt;=01_因子設定!$M$5+0.000000001,E2596&gt;=01_因子設定!$L$6-0.000000001,E2596&lt;=01_因子設定!$M$6+0.000000001,F2596&gt;=01_因子設定!$L$7-0.000000001,F2596&lt;=01_因子設定!$M$7+0.000000001,IF(01_因子設定!$B$20="Box-Behnken",D2596^2+E2596^2+F2596^2&lt;=2+0.000000001,TRUE()))</f>
        <v>1</v>
      </c>
      <c r="W2596" s="55" t="n">
        <f aca="false">IF(V2596,IF(01_因子設定!$B$13="最大化",T2596-01_因子設定!$B$14,IF(01_因子設定!$B$13="最小化",01_因子設定!$B$15-U2596,MIN(T2596-01_因子設定!$B$14,01_因子設定!$B$15-U2596))),-1E+030)</f>
        <v>-1.45796917181435</v>
      </c>
      <c r="X2596" s="55" t="n">
        <f aca="false">IF(V2596,IF(01_因子設定!$B$13="最大化",Q2596,IF(01_因子設定!$B$13="最小化",-Q2596,-ABS(Q2596-01_因子設定!$B$16))),-1E+030)</f>
        <v>48.1764914772727</v>
      </c>
      <c r="Y2596" s="55" t="n">
        <f aca="false">W2596+ROW()*0.000000001</f>
        <v>-1.45796657581435</v>
      </c>
      <c r="Z2596" s="55" t="n">
        <f aca="false">X2596+ROW()*0.000000001</f>
        <v>48.1764940732727</v>
      </c>
    </row>
    <row r="2597" customFormat="false" ht="15" hidden="false" customHeight="false" outlineLevel="0" collapsed="false">
      <c r="A2597" s="0" t="n">
        <v>8</v>
      </c>
      <c r="B2597" s="0" t="n">
        <v>16</v>
      </c>
      <c r="C2597" s="0" t="n">
        <v>8</v>
      </c>
      <c r="D2597" s="0" t="n">
        <f aca="false">-1+A2597*0.125</f>
        <v>0</v>
      </c>
      <c r="E2597" s="0" t="n">
        <f aca="false">-1+B2597*0.125</f>
        <v>1</v>
      </c>
      <c r="F2597" s="0" t="n">
        <f aca="false">-1+C2597*0.125</f>
        <v>0</v>
      </c>
      <c r="G2597" s="0" t="n">
        <f aca="false">1</f>
        <v>1</v>
      </c>
      <c r="H2597" s="0" t="n">
        <f aca="false">D2597</f>
        <v>0</v>
      </c>
      <c r="I2597" s="0" t="n">
        <f aca="false">E2597</f>
        <v>1</v>
      </c>
      <c r="J2597" s="0" t="n">
        <f aca="false">F2597</f>
        <v>0</v>
      </c>
      <c r="K2597" s="0" t="n">
        <f aca="false">D2597*E2597</f>
        <v>0</v>
      </c>
      <c r="L2597" s="0" t="n">
        <f aca="false">D2597*F2597</f>
        <v>0</v>
      </c>
      <c r="M2597" s="0" t="n">
        <f aca="false">E2597*F2597</f>
        <v>0</v>
      </c>
      <c r="N2597" s="0" t="n">
        <f aca="false">D2597*D2597</f>
        <v>0</v>
      </c>
      <c r="O2597" s="0" t="n">
        <f aca="false">E2597*E2597</f>
        <v>1</v>
      </c>
      <c r="P2597" s="0" t="n">
        <f aca="false">F2597*F2597</f>
        <v>0</v>
      </c>
      <c r="Q2597" s="0" t="n">
        <f aca="false">SUMPRODUCT(G2597:P2597,_XtX!$B$71:$K$71)</f>
        <v>48.4236363636364</v>
      </c>
      <c r="R2597" s="0" t="n">
        <f aca="false">SUMPRODUCT(MMULT(G2597:P2597,_XtX!$B$58:$K$67),G2597:P2597)</f>
        <v>0.490909090909091</v>
      </c>
      <c r="S2597" s="0" t="n">
        <f aca="false">04_回帰ANOVA!$K$19*04_回帰ANOVA!$K$14*SQRT(1+R2597)</f>
        <v>1.13525184792161</v>
      </c>
      <c r="T2597" s="0" t="n">
        <f aca="false">Q2597-S2597</f>
        <v>47.2883845157148</v>
      </c>
      <c r="U2597" s="0" t="n">
        <f aca="false">Q2597+S2597</f>
        <v>49.558888211558</v>
      </c>
      <c r="V2597" s="54" t="b">
        <f aca="false">AND(D2597&gt;=01_因子設定!$L$5-0.000000001,D2597&lt;=01_因子設定!$M$5+0.000000001,E2597&gt;=01_因子設定!$L$6-0.000000001,E2597&lt;=01_因子設定!$M$6+0.000000001,F2597&gt;=01_因子設定!$L$7-0.000000001,F2597&lt;=01_因子設定!$M$7+0.000000001,IF(01_因子設定!$B$20="Box-Behnken",D2597^2+E2597^2+F2597^2&lt;=2+0.000000001,TRUE()))</f>
        <v>1</v>
      </c>
      <c r="W2597" s="55" t="n">
        <f aca="false">IF(V2597,IF(01_因子設定!$B$13="最大化",T2597-01_因子設定!$B$14,IF(01_因子設定!$B$13="最小化",01_因子設定!$B$15-U2597,MIN(T2597-01_因子設定!$B$14,01_因子設定!$B$15-U2597))),-1E+030)</f>
        <v>-1.21161548428523</v>
      </c>
      <c r="X2597" s="55" t="n">
        <f aca="false">IF(V2597,IF(01_因子設定!$B$13="最大化",Q2597,IF(01_因子設定!$B$13="最小化",-Q2597,-ABS(Q2597-01_因子設定!$B$16))),-1E+030)</f>
        <v>48.4236363636364</v>
      </c>
      <c r="Y2597" s="55" t="n">
        <f aca="false">W2597+ROW()*0.000000001</f>
        <v>-1.21161288728523</v>
      </c>
      <c r="Z2597" s="55" t="n">
        <f aca="false">X2597+ROW()*0.000000001</f>
        <v>48.4236389606364</v>
      </c>
    </row>
    <row r="2598" customFormat="false" ht="15" hidden="false" customHeight="false" outlineLevel="0" collapsed="false">
      <c r="A2598" s="0" t="n">
        <v>8</v>
      </c>
      <c r="B2598" s="0" t="n">
        <v>16</v>
      </c>
      <c r="C2598" s="0" t="n">
        <v>9</v>
      </c>
      <c r="D2598" s="0" t="n">
        <f aca="false">-1+A2598*0.125</f>
        <v>0</v>
      </c>
      <c r="E2598" s="0" t="n">
        <f aca="false">-1+B2598*0.125</f>
        <v>1</v>
      </c>
      <c r="F2598" s="0" t="n">
        <f aca="false">-1+C2598*0.125</f>
        <v>0.125</v>
      </c>
      <c r="G2598" s="0" t="n">
        <f aca="false">1</f>
        <v>1</v>
      </c>
      <c r="H2598" s="0" t="n">
        <f aca="false">D2598</f>
        <v>0</v>
      </c>
      <c r="I2598" s="0" t="n">
        <f aca="false">E2598</f>
        <v>1</v>
      </c>
      <c r="J2598" s="0" t="n">
        <f aca="false">F2598</f>
        <v>0.125</v>
      </c>
      <c r="K2598" s="0" t="n">
        <f aca="false">D2598*E2598</f>
        <v>0</v>
      </c>
      <c r="L2598" s="0" t="n">
        <f aca="false">D2598*F2598</f>
        <v>0</v>
      </c>
      <c r="M2598" s="0" t="n">
        <f aca="false">E2598*F2598</f>
        <v>0.125</v>
      </c>
      <c r="N2598" s="0" t="n">
        <f aca="false">D2598*D2598</f>
        <v>0</v>
      </c>
      <c r="O2598" s="0" t="n">
        <f aca="false">E2598*E2598</f>
        <v>1</v>
      </c>
      <c r="P2598" s="0" t="n">
        <f aca="false">F2598*F2598</f>
        <v>0.015625</v>
      </c>
      <c r="Q2598" s="0" t="n">
        <f aca="false">SUMPRODUCT(G2598:P2598,_XtX!$B$71:$K$71)</f>
        <v>48.6339914772727</v>
      </c>
      <c r="R2598" s="0" t="n">
        <f aca="false">SUMPRODUCT(MMULT(G2598:P2598,_XtX!$B$58:$K$67),G2598:P2598)</f>
        <v>0.488831676136364</v>
      </c>
      <c r="S2598" s="0" t="n">
        <f aca="false">04_回帰ANOVA!$K$19*04_回帰ANOVA!$K$14*SQRT(1+R2598)</f>
        <v>1.13446064908709</v>
      </c>
      <c r="T2598" s="0" t="n">
        <f aca="false">Q2598-S2598</f>
        <v>47.4995308281857</v>
      </c>
      <c r="U2598" s="0" t="n">
        <f aca="false">Q2598+S2598</f>
        <v>49.7684521263598</v>
      </c>
      <c r="V2598" s="54" t="b">
        <f aca="false">AND(D2598&gt;=01_因子設定!$L$5-0.000000001,D2598&lt;=01_因子設定!$M$5+0.000000001,E2598&gt;=01_因子設定!$L$6-0.000000001,E2598&lt;=01_因子設定!$M$6+0.000000001,F2598&gt;=01_因子設定!$L$7-0.000000001,F2598&lt;=01_因子設定!$M$7+0.000000001,IF(01_因子設定!$B$20="Box-Behnken",D2598^2+E2598^2+F2598^2&lt;=2+0.000000001,TRUE()))</f>
        <v>1</v>
      </c>
      <c r="W2598" s="55" t="n">
        <f aca="false">IF(V2598,IF(01_因子設定!$B$13="最大化",T2598-01_因子設定!$B$14,IF(01_因子設定!$B$13="最小化",01_因子設定!$B$15-U2598,MIN(T2598-01_因子設定!$B$14,01_因子設定!$B$15-U2598))),-1E+030)</f>
        <v>-1.00046917181435</v>
      </c>
      <c r="X2598" s="55" t="n">
        <f aca="false">IF(V2598,IF(01_因子設定!$B$13="最大化",Q2598,IF(01_因子設定!$B$13="最小化",-Q2598,-ABS(Q2598-01_因子設定!$B$16))),-1E+030)</f>
        <v>48.6339914772727</v>
      </c>
      <c r="Y2598" s="55" t="n">
        <f aca="false">W2598+ROW()*0.000000001</f>
        <v>-1.00046657381435</v>
      </c>
      <c r="Z2598" s="55" t="n">
        <f aca="false">X2598+ROW()*0.000000001</f>
        <v>48.6339940752727</v>
      </c>
    </row>
    <row r="2599" customFormat="false" ht="15" hidden="false" customHeight="false" outlineLevel="0" collapsed="false">
      <c r="A2599" s="0" t="n">
        <v>8</v>
      </c>
      <c r="B2599" s="0" t="n">
        <v>16</v>
      </c>
      <c r="C2599" s="0" t="n">
        <v>10</v>
      </c>
      <c r="D2599" s="0" t="n">
        <f aca="false">-1+A2599*0.125</f>
        <v>0</v>
      </c>
      <c r="E2599" s="0" t="n">
        <f aca="false">-1+B2599*0.125</f>
        <v>1</v>
      </c>
      <c r="F2599" s="0" t="n">
        <f aca="false">-1+C2599*0.125</f>
        <v>0.25</v>
      </c>
      <c r="G2599" s="0" t="n">
        <f aca="false">1</f>
        <v>1</v>
      </c>
      <c r="H2599" s="0" t="n">
        <f aca="false">D2599</f>
        <v>0</v>
      </c>
      <c r="I2599" s="0" t="n">
        <f aca="false">E2599</f>
        <v>1</v>
      </c>
      <c r="J2599" s="0" t="n">
        <f aca="false">F2599</f>
        <v>0.25</v>
      </c>
      <c r="K2599" s="0" t="n">
        <f aca="false">D2599*E2599</f>
        <v>0</v>
      </c>
      <c r="L2599" s="0" t="n">
        <f aca="false">D2599*F2599</f>
        <v>0</v>
      </c>
      <c r="M2599" s="0" t="n">
        <f aca="false">E2599*F2599</f>
        <v>0.25</v>
      </c>
      <c r="N2599" s="0" t="n">
        <f aca="false">D2599*D2599</f>
        <v>0</v>
      </c>
      <c r="O2599" s="0" t="n">
        <f aca="false">E2599*E2599</f>
        <v>1</v>
      </c>
      <c r="P2599" s="0" t="n">
        <f aca="false">F2599*F2599</f>
        <v>0.0625</v>
      </c>
      <c r="Q2599" s="0" t="n">
        <f aca="false">SUMPRODUCT(G2599:P2599,_XtX!$B$71:$K$71)</f>
        <v>48.8075568181818</v>
      </c>
      <c r="R2599" s="0" t="n">
        <f aca="false">SUMPRODUCT(MMULT(G2599:P2599,_XtX!$B$58:$K$67),G2599:P2599)</f>
        <v>0.483664772727273</v>
      </c>
      <c r="S2599" s="0" t="n">
        <f aca="false">04_回帰ANOVA!$K$19*04_回帰ANOVA!$K$14*SQRT(1+R2599)</f>
        <v>1.13249039846694</v>
      </c>
      <c r="T2599" s="0" t="n">
        <f aca="false">Q2599-S2599</f>
        <v>47.6750664197149</v>
      </c>
      <c r="U2599" s="0" t="n">
        <f aca="false">Q2599+S2599</f>
        <v>49.9400472166488</v>
      </c>
      <c r="V2599" s="54" t="b">
        <f aca="false">AND(D2599&gt;=01_因子設定!$L$5-0.000000001,D2599&lt;=01_因子設定!$M$5+0.000000001,E2599&gt;=01_因子設定!$L$6-0.000000001,E2599&lt;=01_因子設定!$M$6+0.000000001,F2599&gt;=01_因子設定!$L$7-0.000000001,F2599&lt;=01_因子設定!$M$7+0.000000001,IF(01_因子設定!$B$20="Box-Behnken",D2599^2+E2599^2+F2599^2&lt;=2+0.000000001,TRUE()))</f>
        <v>1</v>
      </c>
      <c r="W2599" s="55" t="n">
        <f aca="false">IF(V2599,IF(01_因子設定!$B$13="最大化",T2599-01_因子設定!$B$14,IF(01_因子設定!$B$13="最小化",01_因子設定!$B$15-U2599,MIN(T2599-01_因子設定!$B$14,01_因子設定!$B$15-U2599))),-1E+030)</f>
        <v>-0.824933580285105</v>
      </c>
      <c r="X2599" s="55" t="n">
        <f aca="false">IF(V2599,IF(01_因子設定!$B$13="最大化",Q2599,IF(01_因子設定!$B$13="最小化",-Q2599,-ABS(Q2599-01_因子設定!$B$16))),-1E+030)</f>
        <v>48.8075568181818</v>
      </c>
      <c r="Y2599" s="55" t="n">
        <f aca="false">W2599+ROW()*0.000000001</f>
        <v>-0.824930981285105</v>
      </c>
      <c r="Z2599" s="55" t="n">
        <f aca="false">X2599+ROW()*0.000000001</f>
        <v>48.8075594171818</v>
      </c>
    </row>
    <row r="2600" customFormat="false" ht="15" hidden="false" customHeight="false" outlineLevel="0" collapsed="false">
      <c r="A2600" s="0" t="n">
        <v>8</v>
      </c>
      <c r="B2600" s="0" t="n">
        <v>16</v>
      </c>
      <c r="C2600" s="0" t="n">
        <v>11</v>
      </c>
      <c r="D2600" s="0" t="n">
        <f aca="false">-1+A2600*0.125</f>
        <v>0</v>
      </c>
      <c r="E2600" s="0" t="n">
        <f aca="false">-1+B2600*0.125</f>
        <v>1</v>
      </c>
      <c r="F2600" s="0" t="n">
        <f aca="false">-1+C2600*0.125</f>
        <v>0.375</v>
      </c>
      <c r="G2600" s="0" t="n">
        <f aca="false">1</f>
        <v>1</v>
      </c>
      <c r="H2600" s="0" t="n">
        <f aca="false">D2600</f>
        <v>0</v>
      </c>
      <c r="I2600" s="0" t="n">
        <f aca="false">E2600</f>
        <v>1</v>
      </c>
      <c r="J2600" s="0" t="n">
        <f aca="false">F2600</f>
        <v>0.375</v>
      </c>
      <c r="K2600" s="0" t="n">
        <f aca="false">D2600*E2600</f>
        <v>0</v>
      </c>
      <c r="L2600" s="0" t="n">
        <f aca="false">D2600*F2600</f>
        <v>0</v>
      </c>
      <c r="M2600" s="0" t="n">
        <f aca="false">E2600*F2600</f>
        <v>0.375</v>
      </c>
      <c r="N2600" s="0" t="n">
        <f aca="false">D2600*D2600</f>
        <v>0</v>
      </c>
      <c r="O2600" s="0" t="n">
        <f aca="false">E2600*E2600</f>
        <v>1</v>
      </c>
      <c r="P2600" s="0" t="n">
        <f aca="false">F2600*F2600</f>
        <v>0.140625</v>
      </c>
      <c r="Q2600" s="0" t="n">
        <f aca="false">SUMPRODUCT(G2600:P2600,_XtX!$B$71:$K$71)</f>
        <v>48.9443323863637</v>
      </c>
      <c r="R2600" s="0" t="n">
        <f aca="false">SUMPRODUCT(MMULT(G2600:P2600,_XtX!$B$58:$K$67),G2600:P2600)</f>
        <v>0.478604403409091</v>
      </c>
      <c r="S2600" s="0" t="n">
        <f aca="false">04_回帰ANOVA!$K$19*04_回帰ANOVA!$K$14*SQRT(1+R2600)</f>
        <v>1.13055744343508</v>
      </c>
      <c r="T2600" s="0" t="n">
        <f aca="false">Q2600-S2600</f>
        <v>47.8137749429286</v>
      </c>
      <c r="U2600" s="0" t="n">
        <f aca="false">Q2600+S2600</f>
        <v>50.0748898297987</v>
      </c>
      <c r="V2600" s="54" t="b">
        <f aca="false">AND(D2600&gt;=01_因子設定!$L$5-0.000000001,D2600&lt;=01_因子設定!$M$5+0.000000001,E2600&gt;=01_因子設定!$L$6-0.000000001,E2600&lt;=01_因子設定!$M$6+0.000000001,F2600&gt;=01_因子設定!$L$7-0.000000001,F2600&lt;=01_因子設定!$M$7+0.000000001,IF(01_因子設定!$B$20="Box-Behnken",D2600^2+E2600^2+F2600^2&lt;=2+0.000000001,TRUE()))</f>
        <v>1</v>
      </c>
      <c r="W2600" s="55" t="n">
        <f aca="false">IF(V2600,IF(01_因子設定!$B$13="最大化",T2600-01_因子設定!$B$14,IF(01_因子設定!$B$13="最小化",01_因子設定!$B$15-U2600,MIN(T2600-01_因子設定!$B$14,01_因子設定!$B$15-U2600))),-1E+030)</f>
        <v>-0.686225057071432</v>
      </c>
      <c r="X2600" s="55" t="n">
        <f aca="false">IF(V2600,IF(01_因子設定!$B$13="最大化",Q2600,IF(01_因子設定!$B$13="最小化",-Q2600,-ABS(Q2600-01_因子設定!$B$16))),-1E+030)</f>
        <v>48.9443323863637</v>
      </c>
      <c r="Y2600" s="55" t="n">
        <f aca="false">W2600+ROW()*0.000000001</f>
        <v>-0.686222457071432</v>
      </c>
      <c r="Z2600" s="55" t="n">
        <f aca="false">X2600+ROW()*0.000000001</f>
        <v>48.9443349863637</v>
      </c>
    </row>
    <row r="2601" customFormat="false" ht="15" hidden="false" customHeight="false" outlineLevel="0" collapsed="false">
      <c r="A2601" s="0" t="n">
        <v>8</v>
      </c>
      <c r="B2601" s="0" t="n">
        <v>16</v>
      </c>
      <c r="C2601" s="0" t="n">
        <v>12</v>
      </c>
      <c r="D2601" s="0" t="n">
        <f aca="false">-1+A2601*0.125</f>
        <v>0</v>
      </c>
      <c r="E2601" s="0" t="n">
        <f aca="false">-1+B2601*0.125</f>
        <v>1</v>
      </c>
      <c r="F2601" s="0" t="n">
        <f aca="false">-1+C2601*0.125</f>
        <v>0.5</v>
      </c>
      <c r="G2601" s="0" t="n">
        <f aca="false">1</f>
        <v>1</v>
      </c>
      <c r="H2601" s="0" t="n">
        <f aca="false">D2601</f>
        <v>0</v>
      </c>
      <c r="I2601" s="0" t="n">
        <f aca="false">E2601</f>
        <v>1</v>
      </c>
      <c r="J2601" s="0" t="n">
        <f aca="false">F2601</f>
        <v>0.5</v>
      </c>
      <c r="K2601" s="0" t="n">
        <f aca="false">D2601*E2601</f>
        <v>0</v>
      </c>
      <c r="L2601" s="0" t="n">
        <f aca="false">D2601*F2601</f>
        <v>0</v>
      </c>
      <c r="M2601" s="0" t="n">
        <f aca="false">E2601*F2601</f>
        <v>0.5</v>
      </c>
      <c r="N2601" s="0" t="n">
        <f aca="false">D2601*D2601</f>
        <v>0</v>
      </c>
      <c r="O2601" s="0" t="n">
        <f aca="false">E2601*E2601</f>
        <v>1</v>
      </c>
      <c r="P2601" s="0" t="n">
        <f aca="false">F2601*F2601</f>
        <v>0.25</v>
      </c>
      <c r="Q2601" s="0" t="n">
        <f aca="false">SUMPRODUCT(G2601:P2601,_XtX!$B$71:$K$71)</f>
        <v>49.0443181818182</v>
      </c>
      <c r="R2601" s="0" t="n">
        <f aca="false">SUMPRODUCT(MMULT(G2601:P2601,_XtX!$B$58:$K$67),G2601:P2601)</f>
        <v>0.478977272727273</v>
      </c>
      <c r="S2601" s="0" t="n">
        <f aca="false">04_回帰ANOVA!$K$19*04_回帰ANOVA!$K$14*SQRT(1+R2601)</f>
        <v>1.13069998447216</v>
      </c>
      <c r="T2601" s="0" t="n">
        <f aca="false">Q2601-S2601</f>
        <v>47.913618197346</v>
      </c>
      <c r="U2601" s="0" t="n">
        <f aca="false">Q2601+S2601</f>
        <v>50.1750181662904</v>
      </c>
      <c r="V2601" s="54" t="b">
        <f aca="false">AND(D2601&gt;=01_因子設定!$L$5-0.000000001,D2601&lt;=01_因子設定!$M$5+0.000000001,E2601&gt;=01_因子設定!$L$6-0.000000001,E2601&lt;=01_因子設定!$M$6+0.000000001,F2601&gt;=01_因子設定!$L$7-0.000000001,F2601&lt;=01_因子設定!$M$7+0.000000001,IF(01_因子設定!$B$20="Box-Behnken",D2601^2+E2601^2+F2601^2&lt;=2+0.000000001,TRUE()))</f>
        <v>1</v>
      </c>
      <c r="W2601" s="55" t="n">
        <f aca="false">IF(V2601,IF(01_因子設定!$B$13="最大化",T2601-01_因子設定!$B$14,IF(01_因子設定!$B$13="最小化",01_因子設定!$B$15-U2601,MIN(T2601-01_因子設定!$B$14,01_因子設定!$B$15-U2601))),-1E+030)</f>
        <v>-0.58638180265396</v>
      </c>
      <c r="X2601" s="55" t="n">
        <f aca="false">IF(V2601,IF(01_因子設定!$B$13="最大化",Q2601,IF(01_因子設定!$B$13="最小化",-Q2601,-ABS(Q2601-01_因子設定!$B$16))),-1E+030)</f>
        <v>49.0443181818182</v>
      </c>
      <c r="Y2601" s="55" t="n">
        <f aca="false">W2601+ROW()*0.000000001</f>
        <v>-0.58637920165396</v>
      </c>
      <c r="Z2601" s="55" t="n">
        <f aca="false">X2601+ROW()*0.000000001</f>
        <v>49.0443207828182</v>
      </c>
    </row>
    <row r="2602" customFormat="false" ht="15" hidden="false" customHeight="false" outlineLevel="0" collapsed="false">
      <c r="A2602" s="0" t="n">
        <v>8</v>
      </c>
      <c r="B2602" s="0" t="n">
        <v>16</v>
      </c>
      <c r="C2602" s="0" t="n">
        <v>13</v>
      </c>
      <c r="D2602" s="0" t="n">
        <f aca="false">-1+A2602*0.125</f>
        <v>0</v>
      </c>
      <c r="E2602" s="0" t="n">
        <f aca="false">-1+B2602*0.125</f>
        <v>1</v>
      </c>
      <c r="F2602" s="0" t="n">
        <f aca="false">-1+C2602*0.125</f>
        <v>0.625</v>
      </c>
      <c r="G2602" s="0" t="n">
        <f aca="false">1</f>
        <v>1</v>
      </c>
      <c r="H2602" s="0" t="n">
        <f aca="false">D2602</f>
        <v>0</v>
      </c>
      <c r="I2602" s="0" t="n">
        <f aca="false">E2602</f>
        <v>1</v>
      </c>
      <c r="J2602" s="0" t="n">
        <f aca="false">F2602</f>
        <v>0.625</v>
      </c>
      <c r="K2602" s="0" t="n">
        <f aca="false">D2602*E2602</f>
        <v>0</v>
      </c>
      <c r="L2602" s="0" t="n">
        <f aca="false">D2602*F2602</f>
        <v>0</v>
      </c>
      <c r="M2602" s="0" t="n">
        <f aca="false">E2602*F2602</f>
        <v>0.625</v>
      </c>
      <c r="N2602" s="0" t="n">
        <f aca="false">D2602*D2602</f>
        <v>0</v>
      </c>
      <c r="O2602" s="0" t="n">
        <f aca="false">E2602*E2602</f>
        <v>1</v>
      </c>
      <c r="P2602" s="0" t="n">
        <f aca="false">F2602*F2602</f>
        <v>0.390625</v>
      </c>
      <c r="Q2602" s="0" t="n">
        <f aca="false">SUMPRODUCT(G2602:P2602,_XtX!$B$71:$K$71)</f>
        <v>49.1075142045455</v>
      </c>
      <c r="R2602" s="0" t="n">
        <f aca="false">SUMPRODUCT(MMULT(G2602:P2602,_XtX!$B$58:$K$67),G2602:P2602)</f>
        <v>0.492240767045455</v>
      </c>
      <c r="S2602" s="0" t="n">
        <f aca="false">04_回帰ANOVA!$K$19*04_回帰ANOVA!$K$14*SQRT(1+R2602)</f>
        <v>1.13575873676322</v>
      </c>
      <c r="T2602" s="0" t="n">
        <f aca="false">Q2602-S2602</f>
        <v>47.9717554677823</v>
      </c>
      <c r="U2602" s="0" t="n">
        <f aca="false">Q2602+S2602</f>
        <v>50.2432729413087</v>
      </c>
      <c r="V2602" s="54" t="b">
        <f aca="false">AND(D2602&gt;=01_因子設定!$L$5-0.000000001,D2602&lt;=01_因子設定!$M$5+0.000000001,E2602&gt;=01_因子設定!$L$6-0.000000001,E2602&lt;=01_因子設定!$M$6+0.000000001,F2602&gt;=01_因子設定!$L$7-0.000000001,F2602&lt;=01_因子設定!$M$7+0.000000001,IF(01_因子設定!$B$20="Box-Behnken",D2602^2+E2602^2+F2602^2&lt;=2+0.000000001,TRUE()))</f>
        <v>1</v>
      </c>
      <c r="W2602" s="55" t="n">
        <f aca="false">IF(V2602,IF(01_因子設定!$B$13="最大化",T2602-01_因子設定!$B$14,IF(01_因子設定!$B$13="最小化",01_因子設定!$B$15-U2602,MIN(T2602-01_因子設定!$B$14,01_因子設定!$B$15-U2602))),-1E+030)</f>
        <v>-0.528244532217748</v>
      </c>
      <c r="X2602" s="55" t="n">
        <f aca="false">IF(V2602,IF(01_因子設定!$B$13="最大化",Q2602,IF(01_因子設定!$B$13="最小化",-Q2602,-ABS(Q2602-01_因子設定!$B$16))),-1E+030)</f>
        <v>49.1075142045455</v>
      </c>
      <c r="Y2602" s="55" t="n">
        <f aca="false">W2602+ROW()*0.000000001</f>
        <v>-0.528241930217748</v>
      </c>
      <c r="Z2602" s="55" t="n">
        <f aca="false">X2602+ROW()*0.000000001</f>
        <v>49.1075168065455</v>
      </c>
    </row>
    <row r="2603" customFormat="false" ht="15" hidden="false" customHeight="false" outlineLevel="0" collapsed="false">
      <c r="A2603" s="0" t="n">
        <v>8</v>
      </c>
      <c r="B2603" s="0" t="n">
        <v>16</v>
      </c>
      <c r="C2603" s="0" t="n">
        <v>14</v>
      </c>
      <c r="D2603" s="0" t="n">
        <f aca="false">-1+A2603*0.125</f>
        <v>0</v>
      </c>
      <c r="E2603" s="0" t="n">
        <f aca="false">-1+B2603*0.125</f>
        <v>1</v>
      </c>
      <c r="F2603" s="0" t="n">
        <f aca="false">-1+C2603*0.125</f>
        <v>0.75</v>
      </c>
      <c r="G2603" s="0" t="n">
        <f aca="false">1</f>
        <v>1</v>
      </c>
      <c r="H2603" s="0" t="n">
        <f aca="false">D2603</f>
        <v>0</v>
      </c>
      <c r="I2603" s="0" t="n">
        <f aca="false">E2603</f>
        <v>1</v>
      </c>
      <c r="J2603" s="0" t="n">
        <f aca="false">F2603</f>
        <v>0.75</v>
      </c>
      <c r="K2603" s="0" t="n">
        <f aca="false">D2603*E2603</f>
        <v>0</v>
      </c>
      <c r="L2603" s="0" t="n">
        <f aca="false">D2603*F2603</f>
        <v>0</v>
      </c>
      <c r="M2603" s="0" t="n">
        <f aca="false">E2603*F2603</f>
        <v>0.75</v>
      </c>
      <c r="N2603" s="0" t="n">
        <f aca="false">D2603*D2603</f>
        <v>0</v>
      </c>
      <c r="O2603" s="0" t="n">
        <f aca="false">E2603*E2603</f>
        <v>1</v>
      </c>
      <c r="P2603" s="0" t="n">
        <f aca="false">F2603*F2603</f>
        <v>0.5625</v>
      </c>
      <c r="Q2603" s="0" t="n">
        <f aca="false">SUMPRODUCT(G2603:P2603,_XtX!$B$71:$K$71)</f>
        <v>49.1339204545455</v>
      </c>
      <c r="R2603" s="0" t="n">
        <f aca="false">SUMPRODUCT(MMULT(G2603:P2603,_XtX!$B$58:$K$67),G2603:P2603)</f>
        <v>0.527982954545455</v>
      </c>
      <c r="S2603" s="0" t="n">
        <f aca="false">04_回帰ANOVA!$K$19*04_回帰ANOVA!$K$14*SQRT(1+R2603)</f>
        <v>1.14928011037747</v>
      </c>
      <c r="T2603" s="0" t="n">
        <f aca="false">Q2603-S2603</f>
        <v>47.984640344168</v>
      </c>
      <c r="U2603" s="0" t="n">
        <f aca="false">Q2603+S2603</f>
        <v>50.283200564923</v>
      </c>
      <c r="V2603" s="54" t="b">
        <f aca="false">AND(D2603&gt;=01_因子設定!$L$5-0.000000001,D2603&lt;=01_因子設定!$M$5+0.000000001,E2603&gt;=01_因子設定!$L$6-0.000000001,E2603&lt;=01_因子設定!$M$6+0.000000001,F2603&gt;=01_因子設定!$L$7-0.000000001,F2603&lt;=01_因子設定!$M$7+0.000000001,IF(01_因子設定!$B$20="Box-Behnken",D2603^2+E2603^2+F2603^2&lt;=2+0.000000001,TRUE()))</f>
        <v>1</v>
      </c>
      <c r="W2603" s="55" t="n">
        <f aca="false">IF(V2603,IF(01_因子設定!$B$13="最大化",T2603-01_因子設定!$B$14,IF(01_因子設定!$B$13="最小化",01_因子設定!$B$15-U2603,MIN(T2603-01_因子設定!$B$14,01_因子設定!$B$15-U2603))),-1E+030)</f>
        <v>-0.515359655832</v>
      </c>
      <c r="X2603" s="55" t="n">
        <f aca="false">IF(V2603,IF(01_因子設定!$B$13="最大化",Q2603,IF(01_因子設定!$B$13="最小化",-Q2603,-ABS(Q2603-01_因子設定!$B$16))),-1E+030)</f>
        <v>49.1339204545455</v>
      </c>
      <c r="Y2603" s="55" t="n">
        <f aca="false">W2603+ROW()*0.000000001</f>
        <v>-0.515357052832</v>
      </c>
      <c r="Z2603" s="55" t="n">
        <f aca="false">X2603+ROW()*0.000000001</f>
        <v>49.1339230575455</v>
      </c>
    </row>
    <row r="2604" customFormat="false" ht="15" hidden="false" customHeight="false" outlineLevel="0" collapsed="false">
      <c r="A2604" s="0" t="n">
        <v>8</v>
      </c>
      <c r="B2604" s="0" t="n">
        <v>16</v>
      </c>
      <c r="C2604" s="0" t="n">
        <v>15</v>
      </c>
      <c r="D2604" s="0" t="n">
        <f aca="false">-1+A2604*0.125</f>
        <v>0</v>
      </c>
      <c r="E2604" s="0" t="n">
        <f aca="false">-1+B2604*0.125</f>
        <v>1</v>
      </c>
      <c r="F2604" s="0" t="n">
        <f aca="false">-1+C2604*0.125</f>
        <v>0.875</v>
      </c>
      <c r="G2604" s="0" t="n">
        <f aca="false">1</f>
        <v>1</v>
      </c>
      <c r="H2604" s="0" t="n">
        <f aca="false">D2604</f>
        <v>0</v>
      </c>
      <c r="I2604" s="0" t="n">
        <f aca="false">E2604</f>
        <v>1</v>
      </c>
      <c r="J2604" s="0" t="n">
        <f aca="false">F2604</f>
        <v>0.875</v>
      </c>
      <c r="K2604" s="0" t="n">
        <f aca="false">D2604*E2604</f>
        <v>0</v>
      </c>
      <c r="L2604" s="0" t="n">
        <f aca="false">D2604*F2604</f>
        <v>0</v>
      </c>
      <c r="M2604" s="0" t="n">
        <f aca="false">E2604*F2604</f>
        <v>0.875</v>
      </c>
      <c r="N2604" s="0" t="n">
        <f aca="false">D2604*D2604</f>
        <v>0</v>
      </c>
      <c r="O2604" s="0" t="n">
        <f aca="false">E2604*E2604</f>
        <v>1</v>
      </c>
      <c r="P2604" s="0" t="n">
        <f aca="false">F2604*F2604</f>
        <v>0.765625</v>
      </c>
      <c r="Q2604" s="0" t="n">
        <f aca="false">SUMPRODUCT(G2604:P2604,_XtX!$B$71:$K$71)</f>
        <v>49.1235369318182</v>
      </c>
      <c r="R2604" s="0" t="n">
        <f aca="false">SUMPRODUCT(MMULT(G2604:P2604,_XtX!$B$58:$K$67),G2604:P2604)</f>
        <v>0.597922585227273</v>
      </c>
      <c r="S2604" s="0" t="n">
        <f aca="false">04_回帰ANOVA!$K$19*04_回帰ANOVA!$K$14*SQRT(1+R2604)</f>
        <v>1.17528854591003</v>
      </c>
      <c r="T2604" s="0" t="n">
        <f aca="false">Q2604-S2604</f>
        <v>47.9482483859082</v>
      </c>
      <c r="U2604" s="0" t="n">
        <f aca="false">Q2604+S2604</f>
        <v>50.2988254777282</v>
      </c>
      <c r="V2604" s="54" t="b">
        <f aca="false">AND(D2604&gt;=01_因子設定!$L$5-0.000000001,D2604&lt;=01_因子設定!$M$5+0.000000001,E2604&gt;=01_因子設定!$L$6-0.000000001,E2604&lt;=01_因子設定!$M$6+0.000000001,F2604&gt;=01_因子設定!$L$7-0.000000001,F2604&lt;=01_因子設定!$M$7+0.000000001,IF(01_因子設定!$B$20="Box-Behnken",D2604^2+E2604^2+F2604^2&lt;=2+0.000000001,TRUE()))</f>
        <v>1</v>
      </c>
      <c r="W2604" s="55" t="n">
        <f aca="false">IF(V2604,IF(01_因子設定!$B$13="最大化",T2604-01_因子設定!$B$14,IF(01_因子設定!$B$13="最小化",01_因子設定!$B$15-U2604,MIN(T2604-01_因子設定!$B$14,01_因子設定!$B$15-U2604))),-1E+030)</f>
        <v>-0.55175161409182</v>
      </c>
      <c r="X2604" s="55" t="n">
        <f aca="false">IF(V2604,IF(01_因子設定!$B$13="最大化",Q2604,IF(01_因子設定!$B$13="最小化",-Q2604,-ABS(Q2604-01_因子設定!$B$16))),-1E+030)</f>
        <v>49.1235369318182</v>
      </c>
      <c r="Y2604" s="55" t="n">
        <f aca="false">W2604+ROW()*0.000000001</f>
        <v>-0.55174901009182</v>
      </c>
      <c r="Z2604" s="55" t="n">
        <f aca="false">X2604+ROW()*0.000000001</f>
        <v>49.1235395358182</v>
      </c>
    </row>
    <row r="2605" customFormat="false" ht="15" hidden="false" customHeight="false" outlineLevel="0" collapsed="false">
      <c r="A2605" s="0" t="n">
        <v>8</v>
      </c>
      <c r="B2605" s="0" t="n">
        <v>16</v>
      </c>
      <c r="C2605" s="0" t="n">
        <v>16</v>
      </c>
      <c r="D2605" s="0" t="n">
        <f aca="false">-1+A2605*0.125</f>
        <v>0</v>
      </c>
      <c r="E2605" s="0" t="n">
        <f aca="false">-1+B2605*0.125</f>
        <v>1</v>
      </c>
      <c r="F2605" s="0" t="n">
        <f aca="false">-1+C2605*0.125</f>
        <v>1</v>
      </c>
      <c r="G2605" s="0" t="n">
        <f aca="false">1</f>
        <v>1</v>
      </c>
      <c r="H2605" s="0" t="n">
        <f aca="false">D2605</f>
        <v>0</v>
      </c>
      <c r="I2605" s="0" t="n">
        <f aca="false">E2605</f>
        <v>1</v>
      </c>
      <c r="J2605" s="0" t="n">
        <f aca="false">F2605</f>
        <v>1</v>
      </c>
      <c r="K2605" s="0" t="n">
        <f aca="false">D2605*E2605</f>
        <v>0</v>
      </c>
      <c r="L2605" s="0" t="n">
        <f aca="false">D2605*F2605</f>
        <v>0</v>
      </c>
      <c r="M2605" s="0" t="n">
        <f aca="false">E2605*F2605</f>
        <v>1</v>
      </c>
      <c r="N2605" s="0" t="n">
        <f aca="false">D2605*D2605</f>
        <v>0</v>
      </c>
      <c r="O2605" s="0" t="n">
        <f aca="false">E2605*E2605</f>
        <v>1</v>
      </c>
      <c r="P2605" s="0" t="n">
        <f aca="false">F2605*F2605</f>
        <v>1</v>
      </c>
      <c r="Q2605" s="0" t="n">
        <f aca="false">SUMPRODUCT(G2605:P2605,_XtX!$B$71:$K$71)</f>
        <v>49.0763636363637</v>
      </c>
      <c r="R2605" s="0" t="n">
        <f aca="false">SUMPRODUCT(MMULT(G2605:P2605,_XtX!$B$58:$K$67),G2605:P2605)</f>
        <v>0.715909090909091</v>
      </c>
      <c r="S2605" s="0" t="n">
        <f aca="false">04_回帰ANOVA!$K$19*04_回帰ANOVA!$K$14*SQRT(1+R2605)</f>
        <v>1.21790601011063</v>
      </c>
      <c r="T2605" s="0" t="n">
        <f aca="false">Q2605-S2605</f>
        <v>47.858457626253</v>
      </c>
      <c r="U2605" s="0" t="n">
        <f aca="false">Q2605+S2605</f>
        <v>50.2942696464743</v>
      </c>
      <c r="V2605" s="54" t="b">
        <f aca="false">AND(D2605&gt;=01_因子設定!$L$5-0.000000001,D2605&lt;=01_因子設定!$M$5+0.000000001,E2605&gt;=01_因子設定!$L$6-0.000000001,E2605&lt;=01_因子設定!$M$6+0.000000001,F2605&gt;=01_因子設定!$L$7-0.000000001,F2605&lt;=01_因子設定!$M$7+0.000000001,IF(01_因子設定!$B$20="Box-Behnken",D2605^2+E2605^2+F2605^2&lt;=2+0.000000001,TRUE()))</f>
        <v>1</v>
      </c>
      <c r="W2605" s="55" t="n">
        <f aca="false">IF(V2605,IF(01_因子設定!$B$13="最大化",T2605-01_因子設定!$B$14,IF(01_因子設定!$B$13="最小化",01_因子設定!$B$15-U2605,MIN(T2605-01_因子設定!$B$14,01_因子設定!$B$15-U2605))),-1E+030)</f>
        <v>-0.641542373746958</v>
      </c>
      <c r="X2605" s="55" t="n">
        <f aca="false">IF(V2605,IF(01_因子設定!$B$13="最大化",Q2605,IF(01_因子設定!$B$13="最小化",-Q2605,-ABS(Q2605-01_因子設定!$B$16))),-1E+030)</f>
        <v>49.0763636363637</v>
      </c>
      <c r="Y2605" s="55" t="n">
        <f aca="false">W2605+ROW()*0.000000001</f>
        <v>-0.641539768746958</v>
      </c>
      <c r="Z2605" s="55" t="n">
        <f aca="false">X2605+ROW()*0.000000001</f>
        <v>49.0763662413637</v>
      </c>
    </row>
    <row r="2606" customFormat="false" ht="15" hidden="false" customHeight="false" outlineLevel="0" collapsed="false">
      <c r="A2606" s="0" t="n">
        <v>9</v>
      </c>
      <c r="B2606" s="0" t="n">
        <v>0</v>
      </c>
      <c r="C2606" s="0" t="n">
        <v>0</v>
      </c>
      <c r="D2606" s="0" t="n">
        <f aca="false">-1+A2606*0.125</f>
        <v>0.125</v>
      </c>
      <c r="E2606" s="0" t="n">
        <f aca="false">-1+B2606*0.125</f>
        <v>-1</v>
      </c>
      <c r="F2606" s="0" t="n">
        <f aca="false">-1+C2606*0.125</f>
        <v>-1</v>
      </c>
      <c r="G2606" s="0" t="n">
        <f aca="false">1</f>
        <v>1</v>
      </c>
      <c r="H2606" s="0" t="n">
        <f aca="false">D2606</f>
        <v>0.125</v>
      </c>
      <c r="I2606" s="0" t="n">
        <f aca="false">E2606</f>
        <v>-1</v>
      </c>
      <c r="J2606" s="0" t="n">
        <f aca="false">F2606</f>
        <v>-1</v>
      </c>
      <c r="K2606" s="0" t="n">
        <f aca="false">D2606*E2606</f>
        <v>-0.125</v>
      </c>
      <c r="L2606" s="0" t="n">
        <f aca="false">D2606*F2606</f>
        <v>-0.125</v>
      </c>
      <c r="M2606" s="0" t="n">
        <f aca="false">E2606*F2606</f>
        <v>1</v>
      </c>
      <c r="N2606" s="0" t="n">
        <f aca="false">D2606*D2606</f>
        <v>0.015625</v>
      </c>
      <c r="O2606" s="0" t="n">
        <f aca="false">E2606*E2606</f>
        <v>1</v>
      </c>
      <c r="P2606" s="0" t="n">
        <f aca="false">F2606*F2606</f>
        <v>1</v>
      </c>
      <c r="Q2606" s="0" t="n">
        <f aca="false">SUMPRODUCT(G2606:P2606,_XtX!$B$71:$K$71)</f>
        <v>42.33078125</v>
      </c>
      <c r="R2606" s="0" t="n">
        <f aca="false">SUMPRODUCT(MMULT(G2606:P2606,_XtX!$B$58:$K$67),G2606:P2606)</f>
        <v>0.7115234375</v>
      </c>
      <c r="S2606" s="0" t="n">
        <f aca="false">04_回帰ANOVA!$K$19*04_回帰ANOVA!$K$14*SQRT(1+R2606)</f>
        <v>1.21634860506574</v>
      </c>
      <c r="T2606" s="0" t="n">
        <f aca="false">Q2606-S2606</f>
        <v>41.1144326449343</v>
      </c>
      <c r="U2606" s="0" t="n">
        <f aca="false">Q2606+S2606</f>
        <v>43.5471298550658</v>
      </c>
      <c r="V2606" s="54" t="b">
        <f aca="false">AND(D2606&gt;=01_因子設定!$L$5-0.000000001,D2606&lt;=01_因子設定!$M$5+0.000000001,E2606&gt;=01_因子設定!$L$6-0.000000001,E2606&lt;=01_因子設定!$M$6+0.000000001,F2606&gt;=01_因子設定!$L$7-0.000000001,F2606&lt;=01_因子設定!$M$7+0.000000001,IF(01_因子設定!$B$20="Box-Behnken",D2606^2+E2606^2+F2606^2&lt;=2+0.000000001,TRUE()))</f>
        <v>1</v>
      </c>
      <c r="W2606" s="55" t="n">
        <f aca="false">IF(V2606,IF(01_因子設定!$B$13="最大化",T2606-01_因子設定!$B$14,IF(01_因子設定!$B$13="最小化",01_因子設定!$B$15-U2606,MIN(T2606-01_因子設定!$B$14,01_因子設定!$B$15-U2606))),-1E+030)</f>
        <v>-7.3855673550657</v>
      </c>
      <c r="X2606" s="55" t="n">
        <f aca="false">IF(V2606,IF(01_因子設定!$B$13="最大化",Q2606,IF(01_因子設定!$B$13="最小化",-Q2606,-ABS(Q2606-01_因子設定!$B$16))),-1E+030)</f>
        <v>42.33078125</v>
      </c>
      <c r="Y2606" s="55" t="n">
        <f aca="false">W2606+ROW()*0.000000001</f>
        <v>-7.3855647490657</v>
      </c>
      <c r="Z2606" s="55" t="n">
        <f aca="false">X2606+ROW()*0.000000001</f>
        <v>42.330783856</v>
      </c>
    </row>
    <row r="2607" customFormat="false" ht="15" hidden="false" customHeight="false" outlineLevel="0" collapsed="false">
      <c r="A2607" s="0" t="n">
        <v>9</v>
      </c>
      <c r="B2607" s="0" t="n">
        <v>0</v>
      </c>
      <c r="C2607" s="0" t="n">
        <v>1</v>
      </c>
      <c r="D2607" s="0" t="n">
        <f aca="false">-1+A2607*0.125</f>
        <v>0.125</v>
      </c>
      <c r="E2607" s="0" t="n">
        <f aca="false">-1+B2607*0.125</f>
        <v>-1</v>
      </c>
      <c r="F2607" s="0" t="n">
        <f aca="false">-1+C2607*0.125</f>
        <v>-0.875</v>
      </c>
      <c r="G2607" s="0" t="n">
        <f aca="false">1</f>
        <v>1</v>
      </c>
      <c r="H2607" s="0" t="n">
        <f aca="false">D2607</f>
        <v>0.125</v>
      </c>
      <c r="I2607" s="0" t="n">
        <f aca="false">E2607</f>
        <v>-1</v>
      </c>
      <c r="J2607" s="0" t="n">
        <f aca="false">F2607</f>
        <v>-0.875</v>
      </c>
      <c r="K2607" s="0" t="n">
        <f aca="false">D2607*E2607</f>
        <v>-0.125</v>
      </c>
      <c r="L2607" s="0" t="n">
        <f aca="false">D2607*F2607</f>
        <v>-0.109375</v>
      </c>
      <c r="M2607" s="0" t="n">
        <f aca="false">E2607*F2607</f>
        <v>0.875</v>
      </c>
      <c r="N2607" s="0" t="n">
        <f aca="false">D2607*D2607</f>
        <v>0.015625</v>
      </c>
      <c r="O2607" s="0" t="n">
        <f aca="false">E2607*E2607</f>
        <v>1</v>
      </c>
      <c r="P2607" s="0" t="n">
        <f aca="false">F2607*F2607</f>
        <v>0.765625</v>
      </c>
      <c r="Q2607" s="0" t="n">
        <f aca="false">SUMPRODUCT(G2607:P2607,_XtX!$B$71:$K$71)</f>
        <v>42.7206107954546</v>
      </c>
      <c r="R2607" s="0" t="n">
        <f aca="false">SUMPRODUCT(MMULT(G2607:P2607,_XtX!$B$58:$K$67),G2607:P2607)</f>
        <v>0.59407792524858</v>
      </c>
      <c r="S2607" s="0" t="n">
        <f aca="false">04_回帰ANOVA!$K$19*04_回帰ANOVA!$K$14*SQRT(1+R2607)</f>
        <v>1.17387380087722</v>
      </c>
      <c r="T2607" s="0" t="n">
        <f aca="false">Q2607-S2607</f>
        <v>41.5467369945774</v>
      </c>
      <c r="U2607" s="0" t="n">
        <f aca="false">Q2607+S2607</f>
        <v>43.8944845963318</v>
      </c>
      <c r="V2607" s="54" t="b">
        <f aca="false">AND(D2607&gt;=01_因子設定!$L$5-0.000000001,D2607&lt;=01_因子設定!$M$5+0.000000001,E2607&gt;=01_因子設定!$L$6-0.000000001,E2607&lt;=01_因子設定!$M$6+0.000000001,F2607&gt;=01_因子設定!$L$7-0.000000001,F2607&lt;=01_因子設定!$M$7+0.000000001,IF(01_因子設定!$B$20="Box-Behnken",D2607^2+E2607^2+F2607^2&lt;=2+0.000000001,TRUE()))</f>
        <v>1</v>
      </c>
      <c r="W2607" s="55" t="n">
        <f aca="false">IF(V2607,IF(01_因子設定!$B$13="最大化",T2607-01_因子設定!$B$14,IF(01_因子設定!$B$13="最小化",01_因子設定!$B$15-U2607,MIN(T2607-01_因子設定!$B$14,01_因子設定!$B$15-U2607))),-1E+030)</f>
        <v>-6.95326300542264</v>
      </c>
      <c r="X2607" s="55" t="n">
        <f aca="false">IF(V2607,IF(01_因子設定!$B$13="最大化",Q2607,IF(01_因子設定!$B$13="最小化",-Q2607,-ABS(Q2607-01_因子設定!$B$16))),-1E+030)</f>
        <v>42.7206107954546</v>
      </c>
      <c r="Y2607" s="55" t="n">
        <f aca="false">W2607+ROW()*0.000000001</f>
        <v>-6.95326039842264</v>
      </c>
      <c r="Z2607" s="55" t="n">
        <f aca="false">X2607+ROW()*0.000000001</f>
        <v>42.7206134024546</v>
      </c>
    </row>
    <row r="2608" customFormat="false" ht="15" hidden="false" customHeight="false" outlineLevel="0" collapsed="false">
      <c r="A2608" s="0" t="n">
        <v>9</v>
      </c>
      <c r="B2608" s="0" t="n">
        <v>0</v>
      </c>
      <c r="C2608" s="0" t="n">
        <v>2</v>
      </c>
      <c r="D2608" s="0" t="n">
        <f aca="false">-1+A2608*0.125</f>
        <v>0.125</v>
      </c>
      <c r="E2608" s="0" t="n">
        <f aca="false">-1+B2608*0.125</f>
        <v>-1</v>
      </c>
      <c r="F2608" s="0" t="n">
        <f aca="false">-1+C2608*0.125</f>
        <v>-0.75</v>
      </c>
      <c r="G2608" s="0" t="n">
        <f aca="false">1</f>
        <v>1</v>
      </c>
      <c r="H2608" s="0" t="n">
        <f aca="false">D2608</f>
        <v>0.125</v>
      </c>
      <c r="I2608" s="0" t="n">
        <f aca="false">E2608</f>
        <v>-1</v>
      </c>
      <c r="J2608" s="0" t="n">
        <f aca="false">F2608</f>
        <v>-0.75</v>
      </c>
      <c r="K2608" s="0" t="n">
        <f aca="false">D2608*E2608</f>
        <v>-0.125</v>
      </c>
      <c r="L2608" s="0" t="n">
        <f aca="false">D2608*F2608</f>
        <v>-0.09375</v>
      </c>
      <c r="M2608" s="0" t="n">
        <f aca="false">E2608*F2608</f>
        <v>0.75</v>
      </c>
      <c r="N2608" s="0" t="n">
        <f aca="false">D2608*D2608</f>
        <v>0.015625</v>
      </c>
      <c r="O2608" s="0" t="n">
        <f aca="false">E2608*E2608</f>
        <v>1</v>
      </c>
      <c r="P2608" s="0" t="n">
        <f aca="false">F2608*F2608</f>
        <v>0.5625</v>
      </c>
      <c r="Q2608" s="0" t="n">
        <f aca="false">SUMPRODUCT(G2608:P2608,_XtX!$B$71:$K$71)</f>
        <v>43.0736505681818</v>
      </c>
      <c r="R2608" s="0" t="n">
        <f aca="false">SUMPRODUCT(MMULT(G2608:P2608,_XtX!$B$58:$K$67),G2608:P2608)</f>
        <v>0.524607155539773</v>
      </c>
      <c r="S2608" s="0" t="n">
        <f aca="false">04_回帰ANOVA!$K$19*04_回帰ANOVA!$K$14*SQRT(1+R2608)</f>
        <v>1.14800984623412</v>
      </c>
      <c r="T2608" s="0" t="n">
        <f aca="false">Q2608-S2608</f>
        <v>41.9256407219477</v>
      </c>
      <c r="U2608" s="0" t="n">
        <f aca="false">Q2608+S2608</f>
        <v>44.221660414416</v>
      </c>
      <c r="V2608" s="54" t="b">
        <f aca="false">AND(D2608&gt;=01_因子設定!$L$5-0.000000001,D2608&lt;=01_因子設定!$M$5+0.000000001,E2608&gt;=01_因子設定!$L$6-0.000000001,E2608&lt;=01_因子設定!$M$6+0.000000001,F2608&gt;=01_因子設定!$L$7-0.000000001,F2608&lt;=01_因子設定!$M$7+0.000000001,IF(01_因子設定!$B$20="Box-Behnken",D2608^2+E2608^2+F2608^2&lt;=2+0.000000001,TRUE()))</f>
        <v>1</v>
      </c>
      <c r="W2608" s="55" t="n">
        <f aca="false">IF(V2608,IF(01_因子設定!$B$13="最大化",T2608-01_因子設定!$B$14,IF(01_因子設定!$B$13="最小化",01_因子設定!$B$15-U2608,MIN(T2608-01_因子設定!$B$14,01_因子設定!$B$15-U2608))),-1E+030)</f>
        <v>-6.57435927805228</v>
      </c>
      <c r="X2608" s="55" t="n">
        <f aca="false">IF(V2608,IF(01_因子設定!$B$13="最大化",Q2608,IF(01_因子設定!$B$13="最小化",-Q2608,-ABS(Q2608-01_因子設定!$B$16))),-1E+030)</f>
        <v>43.0736505681818</v>
      </c>
      <c r="Y2608" s="55" t="n">
        <f aca="false">W2608+ROW()*0.000000001</f>
        <v>-6.57435667005228</v>
      </c>
      <c r="Z2608" s="55" t="n">
        <f aca="false">X2608+ROW()*0.000000001</f>
        <v>43.0736531761818</v>
      </c>
    </row>
    <row r="2609" customFormat="false" ht="15" hidden="false" customHeight="false" outlineLevel="0" collapsed="false">
      <c r="A2609" s="0" t="n">
        <v>9</v>
      </c>
      <c r="B2609" s="0" t="n">
        <v>0</v>
      </c>
      <c r="C2609" s="0" t="n">
        <v>3</v>
      </c>
      <c r="D2609" s="0" t="n">
        <f aca="false">-1+A2609*0.125</f>
        <v>0.125</v>
      </c>
      <c r="E2609" s="0" t="n">
        <f aca="false">-1+B2609*0.125</f>
        <v>-1</v>
      </c>
      <c r="F2609" s="0" t="n">
        <f aca="false">-1+C2609*0.125</f>
        <v>-0.625</v>
      </c>
      <c r="G2609" s="0" t="n">
        <f aca="false">1</f>
        <v>1</v>
      </c>
      <c r="H2609" s="0" t="n">
        <f aca="false">D2609</f>
        <v>0.125</v>
      </c>
      <c r="I2609" s="0" t="n">
        <f aca="false">E2609</f>
        <v>-1</v>
      </c>
      <c r="J2609" s="0" t="n">
        <f aca="false">F2609</f>
        <v>-0.625</v>
      </c>
      <c r="K2609" s="0" t="n">
        <f aca="false">D2609*E2609</f>
        <v>-0.125</v>
      </c>
      <c r="L2609" s="0" t="n">
        <f aca="false">D2609*F2609</f>
        <v>-0.078125</v>
      </c>
      <c r="M2609" s="0" t="n">
        <f aca="false">E2609*F2609</f>
        <v>0.625</v>
      </c>
      <c r="N2609" s="0" t="n">
        <f aca="false">D2609*D2609</f>
        <v>0.015625</v>
      </c>
      <c r="O2609" s="0" t="n">
        <f aca="false">E2609*E2609</f>
        <v>1</v>
      </c>
      <c r="P2609" s="0" t="n">
        <f aca="false">F2609*F2609</f>
        <v>0.390625</v>
      </c>
      <c r="Q2609" s="0" t="n">
        <f aca="false">SUMPRODUCT(G2609:P2609,_XtX!$B$71:$K$71)</f>
        <v>43.3899005681818</v>
      </c>
      <c r="R2609" s="0" t="n">
        <f aca="false">SUMPRODUCT(MMULT(G2609:P2609,_XtX!$B$58:$K$67),G2609:P2609)</f>
        <v>0.489261696555398</v>
      </c>
      <c r="S2609" s="0" t="n">
        <f aca="false">04_回帰ANOVA!$K$19*04_回帰ANOVA!$K$14*SQRT(1+R2609)</f>
        <v>1.13462447083763</v>
      </c>
      <c r="T2609" s="0" t="n">
        <f aca="false">Q2609-S2609</f>
        <v>42.2552760973442</v>
      </c>
      <c r="U2609" s="0" t="n">
        <f aca="false">Q2609+S2609</f>
        <v>44.5245250390195</v>
      </c>
      <c r="V2609" s="54" t="b">
        <f aca="false">AND(D2609&gt;=01_因子設定!$L$5-0.000000001,D2609&lt;=01_因子設定!$M$5+0.000000001,E2609&gt;=01_因子設定!$L$6-0.000000001,E2609&lt;=01_因子設定!$M$6+0.000000001,F2609&gt;=01_因子設定!$L$7-0.000000001,F2609&lt;=01_因子設定!$M$7+0.000000001,IF(01_因子設定!$B$20="Box-Behnken",D2609^2+E2609^2+F2609^2&lt;=2+0.000000001,TRUE()))</f>
        <v>1</v>
      </c>
      <c r="W2609" s="55" t="n">
        <f aca="false">IF(V2609,IF(01_因子設定!$B$13="最大化",T2609-01_因子設定!$B$14,IF(01_因子設定!$B$13="最小化",01_因子設定!$B$15-U2609,MIN(T2609-01_因子設定!$B$14,01_因子設定!$B$15-U2609))),-1E+030)</f>
        <v>-6.2447239026558</v>
      </c>
      <c r="X2609" s="55" t="n">
        <f aca="false">IF(V2609,IF(01_因子設定!$B$13="最大化",Q2609,IF(01_因子設定!$B$13="最小化",-Q2609,-ABS(Q2609-01_因子設定!$B$16))),-1E+030)</f>
        <v>43.3899005681818</v>
      </c>
      <c r="Y2609" s="55" t="n">
        <f aca="false">W2609+ROW()*0.000000001</f>
        <v>-6.2447212936558</v>
      </c>
      <c r="Z2609" s="55" t="n">
        <f aca="false">X2609+ROW()*0.000000001</f>
        <v>43.3899031771818</v>
      </c>
    </row>
    <row r="2610" customFormat="false" ht="15" hidden="false" customHeight="false" outlineLevel="0" collapsed="false">
      <c r="A2610" s="0" t="n">
        <v>9</v>
      </c>
      <c r="B2610" s="0" t="n">
        <v>0</v>
      </c>
      <c r="C2610" s="0" t="n">
        <v>4</v>
      </c>
      <c r="D2610" s="0" t="n">
        <f aca="false">-1+A2610*0.125</f>
        <v>0.125</v>
      </c>
      <c r="E2610" s="0" t="n">
        <f aca="false">-1+B2610*0.125</f>
        <v>-1</v>
      </c>
      <c r="F2610" s="0" t="n">
        <f aca="false">-1+C2610*0.125</f>
        <v>-0.5</v>
      </c>
      <c r="G2610" s="0" t="n">
        <f aca="false">1</f>
        <v>1</v>
      </c>
      <c r="H2610" s="0" t="n">
        <f aca="false">D2610</f>
        <v>0.125</v>
      </c>
      <c r="I2610" s="0" t="n">
        <f aca="false">E2610</f>
        <v>-1</v>
      </c>
      <c r="J2610" s="0" t="n">
        <f aca="false">F2610</f>
        <v>-0.5</v>
      </c>
      <c r="K2610" s="0" t="n">
        <f aca="false">D2610*E2610</f>
        <v>-0.125</v>
      </c>
      <c r="L2610" s="0" t="n">
        <f aca="false">D2610*F2610</f>
        <v>-0.0625</v>
      </c>
      <c r="M2610" s="0" t="n">
        <f aca="false">E2610*F2610</f>
        <v>0.5</v>
      </c>
      <c r="N2610" s="0" t="n">
        <f aca="false">D2610*D2610</f>
        <v>0.015625</v>
      </c>
      <c r="O2610" s="0" t="n">
        <f aca="false">E2610*E2610</f>
        <v>1</v>
      </c>
      <c r="P2610" s="0" t="n">
        <f aca="false">F2610*F2610</f>
        <v>0.25</v>
      </c>
      <c r="Q2610" s="0" t="n">
        <f aca="false">SUMPRODUCT(G2610:P2610,_XtX!$B$71:$K$71)</f>
        <v>43.6693607954546</v>
      </c>
      <c r="R2610" s="0" t="n">
        <f aca="false">SUMPRODUCT(MMULT(G2610:P2610,_XtX!$B$58:$K$67),G2610:P2610)</f>
        <v>0.476322798295455</v>
      </c>
      <c r="S2610" s="0" t="n">
        <f aca="false">04_回帰ANOVA!$K$19*04_回帰ANOVA!$K$14*SQRT(1+R2610)</f>
        <v>1.12968483630128</v>
      </c>
      <c r="T2610" s="0" t="n">
        <f aca="false">Q2610-S2610</f>
        <v>42.5396759591533</v>
      </c>
      <c r="U2610" s="0" t="n">
        <f aca="false">Q2610+S2610</f>
        <v>44.7990456317558</v>
      </c>
      <c r="V2610" s="54" t="b">
        <f aca="false">AND(D2610&gt;=01_因子設定!$L$5-0.000000001,D2610&lt;=01_因子設定!$M$5+0.000000001,E2610&gt;=01_因子設定!$L$6-0.000000001,E2610&lt;=01_因子設定!$M$6+0.000000001,F2610&gt;=01_因子設定!$L$7-0.000000001,F2610&lt;=01_因子設定!$M$7+0.000000001,IF(01_因子設定!$B$20="Box-Behnken",D2610^2+E2610^2+F2610^2&lt;=2+0.000000001,TRUE()))</f>
        <v>1</v>
      </c>
      <c r="W2610" s="55" t="n">
        <f aca="false">IF(V2610,IF(01_因子設定!$B$13="最大化",T2610-01_因子設定!$B$14,IF(01_因子設定!$B$13="最小化",01_因子設定!$B$15-U2610,MIN(T2610-01_因子設定!$B$14,01_因子設定!$B$15-U2610))),-1E+030)</f>
        <v>-5.96032404084671</v>
      </c>
      <c r="X2610" s="55" t="n">
        <f aca="false">IF(V2610,IF(01_因子設定!$B$13="最大化",Q2610,IF(01_因子設定!$B$13="最小化",-Q2610,-ABS(Q2610-01_因子設定!$B$16))),-1E+030)</f>
        <v>43.6693607954546</v>
      </c>
      <c r="Y2610" s="55" t="n">
        <f aca="false">W2610+ROW()*0.000000001</f>
        <v>-5.96032143084671</v>
      </c>
      <c r="Z2610" s="55" t="n">
        <f aca="false">X2610+ROW()*0.000000001</f>
        <v>43.6693634054546</v>
      </c>
    </row>
    <row r="2611" customFormat="false" ht="15" hidden="false" customHeight="false" outlineLevel="0" collapsed="false">
      <c r="A2611" s="0" t="n">
        <v>9</v>
      </c>
      <c r="B2611" s="0" t="n">
        <v>0</v>
      </c>
      <c r="C2611" s="0" t="n">
        <v>5</v>
      </c>
      <c r="D2611" s="0" t="n">
        <f aca="false">-1+A2611*0.125</f>
        <v>0.125</v>
      </c>
      <c r="E2611" s="0" t="n">
        <f aca="false">-1+B2611*0.125</f>
        <v>-1</v>
      </c>
      <c r="F2611" s="0" t="n">
        <f aca="false">-1+C2611*0.125</f>
        <v>-0.375</v>
      </c>
      <c r="G2611" s="0" t="n">
        <f aca="false">1</f>
        <v>1</v>
      </c>
      <c r="H2611" s="0" t="n">
        <f aca="false">D2611</f>
        <v>0.125</v>
      </c>
      <c r="I2611" s="0" t="n">
        <f aca="false">E2611</f>
        <v>-1</v>
      </c>
      <c r="J2611" s="0" t="n">
        <f aca="false">F2611</f>
        <v>-0.375</v>
      </c>
      <c r="K2611" s="0" t="n">
        <f aca="false">D2611*E2611</f>
        <v>-0.125</v>
      </c>
      <c r="L2611" s="0" t="n">
        <f aca="false">D2611*F2611</f>
        <v>-0.046875</v>
      </c>
      <c r="M2611" s="0" t="n">
        <f aca="false">E2611*F2611</f>
        <v>0.375</v>
      </c>
      <c r="N2611" s="0" t="n">
        <f aca="false">D2611*D2611</f>
        <v>0.015625</v>
      </c>
      <c r="O2611" s="0" t="n">
        <f aca="false">E2611*E2611</f>
        <v>1</v>
      </c>
      <c r="P2611" s="0" t="n">
        <f aca="false">F2611*F2611</f>
        <v>0.140625</v>
      </c>
      <c r="Q2611" s="0" t="n">
        <f aca="false">SUMPRODUCT(G2611:P2611,_XtX!$B$71:$K$71)</f>
        <v>43.91203125</v>
      </c>
      <c r="R2611" s="0" t="n">
        <f aca="false">SUMPRODUCT(MMULT(G2611:P2611,_XtX!$B$58:$K$67),G2611:P2611)</f>
        <v>0.476202392578125</v>
      </c>
      <c r="S2611" s="0" t="n">
        <f aca="false">04_回帰ANOVA!$K$19*04_回帰ANOVA!$K$14*SQRT(1+R2611)</f>
        <v>1.12963876802721</v>
      </c>
      <c r="T2611" s="0" t="n">
        <f aca="false">Q2611-S2611</f>
        <v>42.7823924819728</v>
      </c>
      <c r="U2611" s="0" t="n">
        <f aca="false">Q2611+S2611</f>
        <v>45.0416700180272</v>
      </c>
      <c r="V2611" s="54" t="b">
        <f aca="false">AND(D2611&gt;=01_因子設定!$L$5-0.000000001,D2611&lt;=01_因子設定!$M$5+0.000000001,E2611&gt;=01_因子設定!$L$6-0.000000001,E2611&lt;=01_因子設定!$M$6+0.000000001,F2611&gt;=01_因子設定!$L$7-0.000000001,F2611&lt;=01_因子設定!$M$7+0.000000001,IF(01_因子設定!$B$20="Box-Behnken",D2611^2+E2611^2+F2611^2&lt;=2+0.000000001,TRUE()))</f>
        <v>1</v>
      </c>
      <c r="W2611" s="55" t="n">
        <f aca="false">IF(V2611,IF(01_因子設定!$B$13="最大化",T2611-01_因子設定!$B$14,IF(01_因子設定!$B$13="最小化",01_因子設定!$B$15-U2611,MIN(T2611-01_因子設定!$B$14,01_因子設定!$B$15-U2611))),-1E+030)</f>
        <v>-5.71760751802719</v>
      </c>
      <c r="X2611" s="55" t="n">
        <f aca="false">IF(V2611,IF(01_因子設定!$B$13="最大化",Q2611,IF(01_因子設定!$B$13="最小化",-Q2611,-ABS(Q2611-01_因子設定!$B$16))),-1E+030)</f>
        <v>43.91203125</v>
      </c>
      <c r="Y2611" s="55" t="n">
        <f aca="false">W2611+ROW()*0.000000001</f>
        <v>-5.71760490702719</v>
      </c>
      <c r="Z2611" s="55" t="n">
        <f aca="false">X2611+ROW()*0.000000001</f>
        <v>43.912033861</v>
      </c>
    </row>
    <row r="2612" customFormat="false" ht="15" hidden="false" customHeight="false" outlineLevel="0" collapsed="false">
      <c r="A2612" s="0" t="n">
        <v>9</v>
      </c>
      <c r="B2612" s="0" t="n">
        <v>0</v>
      </c>
      <c r="C2612" s="0" t="n">
        <v>6</v>
      </c>
      <c r="D2612" s="0" t="n">
        <f aca="false">-1+A2612*0.125</f>
        <v>0.125</v>
      </c>
      <c r="E2612" s="0" t="n">
        <f aca="false">-1+B2612*0.125</f>
        <v>-1</v>
      </c>
      <c r="F2612" s="0" t="n">
        <f aca="false">-1+C2612*0.125</f>
        <v>-0.25</v>
      </c>
      <c r="G2612" s="0" t="n">
        <f aca="false">1</f>
        <v>1</v>
      </c>
      <c r="H2612" s="0" t="n">
        <f aca="false">D2612</f>
        <v>0.125</v>
      </c>
      <c r="I2612" s="0" t="n">
        <f aca="false">E2612</f>
        <v>-1</v>
      </c>
      <c r="J2612" s="0" t="n">
        <f aca="false">F2612</f>
        <v>-0.25</v>
      </c>
      <c r="K2612" s="0" t="n">
        <f aca="false">D2612*E2612</f>
        <v>-0.125</v>
      </c>
      <c r="L2612" s="0" t="n">
        <f aca="false">D2612*F2612</f>
        <v>-0.03125</v>
      </c>
      <c r="M2612" s="0" t="n">
        <f aca="false">E2612*F2612</f>
        <v>0.25</v>
      </c>
      <c r="N2612" s="0" t="n">
        <f aca="false">D2612*D2612</f>
        <v>0.015625</v>
      </c>
      <c r="O2612" s="0" t="n">
        <f aca="false">E2612*E2612</f>
        <v>1</v>
      </c>
      <c r="P2612" s="0" t="n">
        <f aca="false">F2612*F2612</f>
        <v>0.0625</v>
      </c>
      <c r="Q2612" s="0" t="n">
        <f aca="false">SUMPRODUCT(G2612:P2612,_XtX!$B$71:$K$71)</f>
        <v>44.1179119318182</v>
      </c>
      <c r="R2612" s="0" t="n">
        <f aca="false">SUMPRODUCT(MMULT(G2612:P2612,_XtX!$B$58:$K$67),G2612:P2612)</f>
        <v>0.481443093039773</v>
      </c>
      <c r="S2612" s="0" t="n">
        <f aca="false">04_回帰ANOVA!$K$19*04_回帰ANOVA!$K$14*SQRT(1+R2612)</f>
        <v>1.13164216995877</v>
      </c>
      <c r="T2612" s="0" t="n">
        <f aca="false">Q2612-S2612</f>
        <v>42.9862697618594</v>
      </c>
      <c r="U2612" s="0" t="n">
        <f aca="false">Q2612+S2612</f>
        <v>45.249554101777</v>
      </c>
      <c r="V2612" s="54" t="b">
        <f aca="false">AND(D2612&gt;=01_因子設定!$L$5-0.000000001,D2612&lt;=01_因子設定!$M$5+0.000000001,E2612&gt;=01_因子設定!$L$6-0.000000001,E2612&lt;=01_因子設定!$M$6+0.000000001,F2612&gt;=01_因子設定!$L$7-0.000000001,F2612&lt;=01_因子設定!$M$7+0.000000001,IF(01_因子設定!$B$20="Box-Behnken",D2612^2+E2612^2+F2612^2&lt;=2+0.000000001,TRUE()))</f>
        <v>1</v>
      </c>
      <c r="W2612" s="55" t="n">
        <f aca="false">IF(V2612,IF(01_因子設定!$B$13="最大化",T2612-01_因子設定!$B$14,IF(01_因子設定!$B$13="最小化",01_因子設定!$B$15-U2612,MIN(T2612-01_因子設定!$B$14,01_因子設定!$B$15-U2612))),-1E+030)</f>
        <v>-5.51373023814057</v>
      </c>
      <c r="X2612" s="55" t="n">
        <f aca="false">IF(V2612,IF(01_因子設定!$B$13="最大化",Q2612,IF(01_因子設定!$B$13="最小化",-Q2612,-ABS(Q2612-01_因子設定!$B$16))),-1E+030)</f>
        <v>44.1179119318182</v>
      </c>
      <c r="Y2612" s="55" t="n">
        <f aca="false">W2612+ROW()*0.000000001</f>
        <v>-5.51372762614057</v>
      </c>
      <c r="Z2612" s="55" t="n">
        <f aca="false">X2612+ROW()*0.000000001</f>
        <v>44.1179145438182</v>
      </c>
    </row>
    <row r="2613" customFormat="false" ht="15" hidden="false" customHeight="false" outlineLevel="0" collapsed="false">
      <c r="A2613" s="0" t="n">
        <v>9</v>
      </c>
      <c r="B2613" s="0" t="n">
        <v>0</v>
      </c>
      <c r="C2613" s="0" t="n">
        <v>7</v>
      </c>
      <c r="D2613" s="0" t="n">
        <f aca="false">-1+A2613*0.125</f>
        <v>0.125</v>
      </c>
      <c r="E2613" s="0" t="n">
        <f aca="false">-1+B2613*0.125</f>
        <v>-1</v>
      </c>
      <c r="F2613" s="0" t="n">
        <f aca="false">-1+C2613*0.125</f>
        <v>-0.125</v>
      </c>
      <c r="G2613" s="0" t="n">
        <f aca="false">1</f>
        <v>1</v>
      </c>
      <c r="H2613" s="0" t="n">
        <f aca="false">D2613</f>
        <v>0.125</v>
      </c>
      <c r="I2613" s="0" t="n">
        <f aca="false">E2613</f>
        <v>-1</v>
      </c>
      <c r="J2613" s="0" t="n">
        <f aca="false">F2613</f>
        <v>-0.125</v>
      </c>
      <c r="K2613" s="0" t="n">
        <f aca="false">D2613*E2613</f>
        <v>-0.125</v>
      </c>
      <c r="L2613" s="0" t="n">
        <f aca="false">D2613*F2613</f>
        <v>-0.015625</v>
      </c>
      <c r="M2613" s="0" t="n">
        <f aca="false">E2613*F2613</f>
        <v>0.125</v>
      </c>
      <c r="N2613" s="0" t="n">
        <f aca="false">D2613*D2613</f>
        <v>0.015625</v>
      </c>
      <c r="O2613" s="0" t="n">
        <f aca="false">E2613*E2613</f>
        <v>1</v>
      </c>
      <c r="P2613" s="0" t="n">
        <f aca="false">F2613*F2613</f>
        <v>0.015625</v>
      </c>
      <c r="Q2613" s="0" t="n">
        <f aca="false">SUMPRODUCT(G2613:P2613,_XtX!$B$71:$K$71)</f>
        <v>44.2870028409091</v>
      </c>
      <c r="R2613" s="0" t="n">
        <f aca="false">SUMPRODUCT(MMULT(G2613:P2613,_XtX!$B$58:$K$67),G2613:P2613)</f>
        <v>0.486718195134943</v>
      </c>
      <c r="S2613" s="0" t="n">
        <f aca="false">04_回帰ANOVA!$K$19*04_回帰ANOVA!$K$14*SQRT(1+R2613)</f>
        <v>1.13365514750636</v>
      </c>
      <c r="T2613" s="0" t="n">
        <f aca="false">Q2613-S2613</f>
        <v>43.1533476934027</v>
      </c>
      <c r="U2613" s="0" t="n">
        <f aca="false">Q2613+S2613</f>
        <v>45.4206579884155</v>
      </c>
      <c r="V2613" s="54" t="b">
        <f aca="false">AND(D2613&gt;=01_因子設定!$L$5-0.000000001,D2613&lt;=01_因子設定!$M$5+0.000000001,E2613&gt;=01_因子設定!$L$6-0.000000001,E2613&lt;=01_因子設定!$M$6+0.000000001,F2613&gt;=01_因子設定!$L$7-0.000000001,F2613&lt;=01_因子設定!$M$7+0.000000001,IF(01_因子設定!$B$20="Box-Behnken",D2613^2+E2613^2+F2613^2&lt;=2+0.000000001,TRUE()))</f>
        <v>1</v>
      </c>
      <c r="W2613" s="55" t="n">
        <f aca="false">IF(V2613,IF(01_因子設定!$B$13="最大化",T2613-01_因子設定!$B$14,IF(01_因子設定!$B$13="最小化",01_因子設定!$B$15-U2613,MIN(T2613-01_因子設定!$B$14,01_因子設定!$B$15-U2613))),-1E+030)</f>
        <v>-5.34665230659726</v>
      </c>
      <c r="X2613" s="55" t="n">
        <f aca="false">IF(V2613,IF(01_因子設定!$B$13="最大化",Q2613,IF(01_因子設定!$B$13="最小化",-Q2613,-ABS(Q2613-01_因子設定!$B$16))),-1E+030)</f>
        <v>44.2870028409091</v>
      </c>
      <c r="Y2613" s="55" t="n">
        <f aca="false">W2613+ROW()*0.000000001</f>
        <v>-5.34664969359726</v>
      </c>
      <c r="Z2613" s="55" t="n">
        <f aca="false">X2613+ROW()*0.000000001</f>
        <v>44.2870054539091</v>
      </c>
    </row>
    <row r="2614" customFormat="false" ht="15" hidden="false" customHeight="false" outlineLevel="0" collapsed="false">
      <c r="A2614" s="0" t="n">
        <v>9</v>
      </c>
      <c r="B2614" s="0" t="n">
        <v>0</v>
      </c>
      <c r="C2614" s="0" t="n">
        <v>8</v>
      </c>
      <c r="D2614" s="0" t="n">
        <f aca="false">-1+A2614*0.125</f>
        <v>0.125</v>
      </c>
      <c r="E2614" s="0" t="n">
        <f aca="false">-1+B2614*0.125</f>
        <v>-1</v>
      </c>
      <c r="F2614" s="0" t="n">
        <f aca="false">-1+C2614*0.125</f>
        <v>0</v>
      </c>
      <c r="G2614" s="0" t="n">
        <f aca="false">1</f>
        <v>1</v>
      </c>
      <c r="H2614" s="0" t="n">
        <f aca="false">D2614</f>
        <v>0.125</v>
      </c>
      <c r="I2614" s="0" t="n">
        <f aca="false">E2614</f>
        <v>-1</v>
      </c>
      <c r="J2614" s="0" t="n">
        <f aca="false">F2614</f>
        <v>0</v>
      </c>
      <c r="K2614" s="0" t="n">
        <f aca="false">D2614*E2614</f>
        <v>-0.125</v>
      </c>
      <c r="L2614" s="0" t="n">
        <f aca="false">D2614*F2614</f>
        <v>0</v>
      </c>
      <c r="M2614" s="0" t="n">
        <f aca="false">E2614*F2614</f>
        <v>-0</v>
      </c>
      <c r="N2614" s="0" t="n">
        <f aca="false">D2614*D2614</f>
        <v>0.015625</v>
      </c>
      <c r="O2614" s="0" t="n">
        <f aca="false">E2614*E2614</f>
        <v>1</v>
      </c>
      <c r="P2614" s="0" t="n">
        <f aca="false">F2614*F2614</f>
        <v>0</v>
      </c>
      <c r="Q2614" s="0" t="n">
        <f aca="false">SUMPRODUCT(G2614:P2614,_XtX!$B$71:$K$71)</f>
        <v>44.4193039772727</v>
      </c>
      <c r="R2614" s="0" t="n">
        <f aca="false">SUMPRODUCT(MMULT(G2614:P2614,_XtX!$B$58:$K$67),G2614:P2614)</f>
        <v>0.488831676136364</v>
      </c>
      <c r="S2614" s="0" t="n">
        <f aca="false">04_回帰ANOVA!$K$19*04_回帰ANOVA!$K$14*SQRT(1+R2614)</f>
        <v>1.13446064908709</v>
      </c>
      <c r="T2614" s="0" t="n">
        <f aca="false">Q2614-S2614</f>
        <v>43.2848433281857</v>
      </c>
      <c r="U2614" s="0" t="n">
        <f aca="false">Q2614+S2614</f>
        <v>45.5537646263598</v>
      </c>
      <c r="V2614" s="54" t="b">
        <f aca="false">AND(D2614&gt;=01_因子設定!$L$5-0.000000001,D2614&lt;=01_因子設定!$M$5+0.000000001,E2614&gt;=01_因子設定!$L$6-0.000000001,E2614&lt;=01_因子設定!$M$6+0.000000001,F2614&gt;=01_因子設定!$L$7-0.000000001,F2614&lt;=01_因子設定!$M$7+0.000000001,IF(01_因子設定!$B$20="Box-Behnken",D2614^2+E2614^2+F2614^2&lt;=2+0.000000001,TRUE()))</f>
        <v>1</v>
      </c>
      <c r="W2614" s="55" t="n">
        <f aca="false">IF(V2614,IF(01_因子設定!$B$13="最大化",T2614-01_因子設定!$B$14,IF(01_因子設定!$B$13="最小化",01_因子設定!$B$15-U2614,MIN(T2614-01_因子設定!$B$14,01_因子設定!$B$15-U2614))),-1E+030)</f>
        <v>-5.21515667181435</v>
      </c>
      <c r="X2614" s="55" t="n">
        <f aca="false">IF(V2614,IF(01_因子設定!$B$13="最大化",Q2614,IF(01_因子設定!$B$13="最小化",-Q2614,-ABS(Q2614-01_因子設定!$B$16))),-1E+030)</f>
        <v>44.4193039772727</v>
      </c>
      <c r="Y2614" s="55" t="n">
        <f aca="false">W2614+ROW()*0.000000001</f>
        <v>-5.21515405781435</v>
      </c>
      <c r="Z2614" s="55" t="n">
        <f aca="false">X2614+ROW()*0.000000001</f>
        <v>44.4193065912727</v>
      </c>
    </row>
    <row r="2615" customFormat="false" ht="15" hidden="false" customHeight="false" outlineLevel="0" collapsed="false">
      <c r="A2615" s="0" t="n">
        <v>9</v>
      </c>
      <c r="B2615" s="0" t="n">
        <v>0</v>
      </c>
      <c r="C2615" s="0" t="n">
        <v>9</v>
      </c>
      <c r="D2615" s="0" t="n">
        <f aca="false">-1+A2615*0.125</f>
        <v>0.125</v>
      </c>
      <c r="E2615" s="0" t="n">
        <f aca="false">-1+B2615*0.125</f>
        <v>-1</v>
      </c>
      <c r="F2615" s="0" t="n">
        <f aca="false">-1+C2615*0.125</f>
        <v>0.125</v>
      </c>
      <c r="G2615" s="0" t="n">
        <f aca="false">1</f>
        <v>1</v>
      </c>
      <c r="H2615" s="0" t="n">
        <f aca="false">D2615</f>
        <v>0.125</v>
      </c>
      <c r="I2615" s="0" t="n">
        <f aca="false">E2615</f>
        <v>-1</v>
      </c>
      <c r="J2615" s="0" t="n">
        <f aca="false">F2615</f>
        <v>0.125</v>
      </c>
      <c r="K2615" s="0" t="n">
        <f aca="false">D2615*E2615</f>
        <v>-0.125</v>
      </c>
      <c r="L2615" s="0" t="n">
        <f aca="false">D2615*F2615</f>
        <v>0.015625</v>
      </c>
      <c r="M2615" s="0" t="n">
        <f aca="false">E2615*F2615</f>
        <v>-0.125</v>
      </c>
      <c r="N2615" s="0" t="n">
        <f aca="false">D2615*D2615</f>
        <v>0.015625</v>
      </c>
      <c r="O2615" s="0" t="n">
        <f aca="false">E2615*E2615</f>
        <v>1</v>
      </c>
      <c r="P2615" s="0" t="n">
        <f aca="false">F2615*F2615</f>
        <v>0.015625</v>
      </c>
      <c r="Q2615" s="0" t="n">
        <f aca="false">SUMPRODUCT(G2615:P2615,_XtX!$B$71:$K$71)</f>
        <v>44.5148153409091</v>
      </c>
      <c r="R2615" s="0" t="n">
        <f aca="false">SUMPRODUCT(MMULT(G2615:P2615,_XtX!$B$58:$K$67),G2615:P2615)</f>
        <v>0.486718195134943</v>
      </c>
      <c r="S2615" s="0" t="n">
        <f aca="false">04_回帰ANOVA!$K$19*04_回帰ANOVA!$K$14*SQRT(1+R2615)</f>
        <v>1.13365514750636</v>
      </c>
      <c r="T2615" s="0" t="n">
        <f aca="false">Q2615-S2615</f>
        <v>43.3811601934027</v>
      </c>
      <c r="U2615" s="0" t="n">
        <f aca="false">Q2615+S2615</f>
        <v>45.6484704884155</v>
      </c>
      <c r="V2615" s="54" t="b">
        <f aca="false">AND(D2615&gt;=01_因子設定!$L$5-0.000000001,D2615&lt;=01_因子設定!$M$5+0.000000001,E2615&gt;=01_因子設定!$L$6-0.000000001,E2615&lt;=01_因子設定!$M$6+0.000000001,F2615&gt;=01_因子設定!$L$7-0.000000001,F2615&lt;=01_因子設定!$M$7+0.000000001,IF(01_因子設定!$B$20="Box-Behnken",D2615^2+E2615^2+F2615^2&lt;=2+0.000000001,TRUE()))</f>
        <v>1</v>
      </c>
      <c r="W2615" s="55" t="n">
        <f aca="false">IF(V2615,IF(01_因子設定!$B$13="最大化",T2615-01_因子設定!$B$14,IF(01_因子設定!$B$13="最小化",01_因子設定!$B$15-U2615,MIN(T2615-01_因子設定!$B$14,01_因子設定!$B$15-U2615))),-1E+030)</f>
        <v>-5.11883980659726</v>
      </c>
      <c r="X2615" s="55" t="n">
        <f aca="false">IF(V2615,IF(01_因子設定!$B$13="最大化",Q2615,IF(01_因子設定!$B$13="最小化",-Q2615,-ABS(Q2615-01_因子設定!$B$16))),-1E+030)</f>
        <v>44.5148153409091</v>
      </c>
      <c r="Y2615" s="55" t="n">
        <f aca="false">W2615+ROW()*0.000000001</f>
        <v>-5.11883719159726</v>
      </c>
      <c r="Z2615" s="55" t="n">
        <f aca="false">X2615+ROW()*0.000000001</f>
        <v>44.5148179559091</v>
      </c>
    </row>
    <row r="2616" customFormat="false" ht="15" hidden="false" customHeight="false" outlineLevel="0" collapsed="false">
      <c r="A2616" s="0" t="n">
        <v>9</v>
      </c>
      <c r="B2616" s="0" t="n">
        <v>0</v>
      </c>
      <c r="C2616" s="0" t="n">
        <v>10</v>
      </c>
      <c r="D2616" s="0" t="n">
        <f aca="false">-1+A2616*0.125</f>
        <v>0.125</v>
      </c>
      <c r="E2616" s="0" t="n">
        <f aca="false">-1+B2616*0.125</f>
        <v>-1</v>
      </c>
      <c r="F2616" s="0" t="n">
        <f aca="false">-1+C2616*0.125</f>
        <v>0.25</v>
      </c>
      <c r="G2616" s="0" t="n">
        <f aca="false">1</f>
        <v>1</v>
      </c>
      <c r="H2616" s="0" t="n">
        <f aca="false">D2616</f>
        <v>0.125</v>
      </c>
      <c r="I2616" s="0" t="n">
        <f aca="false">E2616</f>
        <v>-1</v>
      </c>
      <c r="J2616" s="0" t="n">
        <f aca="false">F2616</f>
        <v>0.25</v>
      </c>
      <c r="K2616" s="0" t="n">
        <f aca="false">D2616*E2616</f>
        <v>-0.125</v>
      </c>
      <c r="L2616" s="0" t="n">
        <f aca="false">D2616*F2616</f>
        <v>0.03125</v>
      </c>
      <c r="M2616" s="0" t="n">
        <f aca="false">E2616*F2616</f>
        <v>-0.25</v>
      </c>
      <c r="N2616" s="0" t="n">
        <f aca="false">D2616*D2616</f>
        <v>0.015625</v>
      </c>
      <c r="O2616" s="0" t="n">
        <f aca="false">E2616*E2616</f>
        <v>1</v>
      </c>
      <c r="P2616" s="0" t="n">
        <f aca="false">F2616*F2616</f>
        <v>0.0625</v>
      </c>
      <c r="Q2616" s="0" t="n">
        <f aca="false">SUMPRODUCT(G2616:P2616,_XtX!$B$71:$K$71)</f>
        <v>44.5735369318182</v>
      </c>
      <c r="R2616" s="0" t="n">
        <f aca="false">SUMPRODUCT(MMULT(G2616:P2616,_XtX!$B$58:$K$67),G2616:P2616)</f>
        <v>0.481443093039773</v>
      </c>
      <c r="S2616" s="0" t="n">
        <f aca="false">04_回帰ANOVA!$K$19*04_回帰ANOVA!$K$14*SQRT(1+R2616)</f>
        <v>1.13164216995877</v>
      </c>
      <c r="T2616" s="0" t="n">
        <f aca="false">Q2616-S2616</f>
        <v>43.4418947618594</v>
      </c>
      <c r="U2616" s="0" t="n">
        <f aca="false">Q2616+S2616</f>
        <v>45.705179101777</v>
      </c>
      <c r="V2616" s="54" t="b">
        <f aca="false">AND(D2616&gt;=01_因子設定!$L$5-0.000000001,D2616&lt;=01_因子設定!$M$5+0.000000001,E2616&gt;=01_因子設定!$L$6-0.000000001,E2616&lt;=01_因子設定!$M$6+0.000000001,F2616&gt;=01_因子設定!$L$7-0.000000001,F2616&lt;=01_因子設定!$M$7+0.000000001,IF(01_因子設定!$B$20="Box-Behnken",D2616^2+E2616^2+F2616^2&lt;=2+0.000000001,TRUE()))</f>
        <v>1</v>
      </c>
      <c r="W2616" s="55" t="n">
        <f aca="false">IF(V2616,IF(01_因子設定!$B$13="最大化",T2616-01_因子設定!$B$14,IF(01_因子設定!$B$13="最小化",01_因子設定!$B$15-U2616,MIN(T2616-01_因子設定!$B$14,01_因子設定!$B$15-U2616))),-1E+030)</f>
        <v>-5.05810523814057</v>
      </c>
      <c r="X2616" s="55" t="n">
        <f aca="false">IF(V2616,IF(01_因子設定!$B$13="最大化",Q2616,IF(01_因子設定!$B$13="最小化",-Q2616,-ABS(Q2616-01_因子設定!$B$16))),-1E+030)</f>
        <v>44.5735369318182</v>
      </c>
      <c r="Y2616" s="55" t="n">
        <f aca="false">W2616+ROW()*0.000000001</f>
        <v>-5.05810262214057</v>
      </c>
      <c r="Z2616" s="55" t="n">
        <f aca="false">X2616+ROW()*0.000000001</f>
        <v>44.5735395478182</v>
      </c>
    </row>
    <row r="2617" customFormat="false" ht="15" hidden="false" customHeight="false" outlineLevel="0" collapsed="false">
      <c r="A2617" s="0" t="n">
        <v>9</v>
      </c>
      <c r="B2617" s="0" t="n">
        <v>0</v>
      </c>
      <c r="C2617" s="0" t="n">
        <v>11</v>
      </c>
      <c r="D2617" s="0" t="n">
        <f aca="false">-1+A2617*0.125</f>
        <v>0.125</v>
      </c>
      <c r="E2617" s="0" t="n">
        <f aca="false">-1+B2617*0.125</f>
        <v>-1</v>
      </c>
      <c r="F2617" s="0" t="n">
        <f aca="false">-1+C2617*0.125</f>
        <v>0.375</v>
      </c>
      <c r="G2617" s="0" t="n">
        <f aca="false">1</f>
        <v>1</v>
      </c>
      <c r="H2617" s="0" t="n">
        <f aca="false">D2617</f>
        <v>0.125</v>
      </c>
      <c r="I2617" s="0" t="n">
        <f aca="false">E2617</f>
        <v>-1</v>
      </c>
      <c r="J2617" s="0" t="n">
        <f aca="false">F2617</f>
        <v>0.375</v>
      </c>
      <c r="K2617" s="0" t="n">
        <f aca="false">D2617*E2617</f>
        <v>-0.125</v>
      </c>
      <c r="L2617" s="0" t="n">
        <f aca="false">D2617*F2617</f>
        <v>0.046875</v>
      </c>
      <c r="M2617" s="0" t="n">
        <f aca="false">E2617*F2617</f>
        <v>-0.375</v>
      </c>
      <c r="N2617" s="0" t="n">
        <f aca="false">D2617*D2617</f>
        <v>0.015625</v>
      </c>
      <c r="O2617" s="0" t="n">
        <f aca="false">E2617*E2617</f>
        <v>1</v>
      </c>
      <c r="P2617" s="0" t="n">
        <f aca="false">F2617*F2617</f>
        <v>0.140625</v>
      </c>
      <c r="Q2617" s="0" t="n">
        <f aca="false">SUMPRODUCT(G2617:P2617,_XtX!$B$71:$K$71)</f>
        <v>44.59546875</v>
      </c>
      <c r="R2617" s="0" t="n">
        <f aca="false">SUMPRODUCT(MMULT(G2617:P2617,_XtX!$B$58:$K$67),G2617:P2617)</f>
        <v>0.476202392578125</v>
      </c>
      <c r="S2617" s="0" t="n">
        <f aca="false">04_回帰ANOVA!$K$19*04_回帰ANOVA!$K$14*SQRT(1+R2617)</f>
        <v>1.12963876802721</v>
      </c>
      <c r="T2617" s="0" t="n">
        <f aca="false">Q2617-S2617</f>
        <v>43.4658299819728</v>
      </c>
      <c r="U2617" s="0" t="n">
        <f aca="false">Q2617+S2617</f>
        <v>45.7251075180272</v>
      </c>
      <c r="V2617" s="54" t="b">
        <f aca="false">AND(D2617&gt;=01_因子設定!$L$5-0.000000001,D2617&lt;=01_因子設定!$M$5+0.000000001,E2617&gt;=01_因子設定!$L$6-0.000000001,E2617&lt;=01_因子設定!$M$6+0.000000001,F2617&gt;=01_因子設定!$L$7-0.000000001,F2617&lt;=01_因子設定!$M$7+0.000000001,IF(01_因子設定!$B$20="Box-Behnken",D2617^2+E2617^2+F2617^2&lt;=2+0.000000001,TRUE()))</f>
        <v>1</v>
      </c>
      <c r="W2617" s="55" t="n">
        <f aca="false">IF(V2617,IF(01_因子設定!$B$13="最大化",T2617-01_因子設定!$B$14,IF(01_因子設定!$B$13="最小化",01_因子設定!$B$15-U2617,MIN(T2617-01_因子設定!$B$14,01_因子設定!$B$15-U2617))),-1E+030)</f>
        <v>-5.03417001802719</v>
      </c>
      <c r="X2617" s="55" t="n">
        <f aca="false">IF(V2617,IF(01_因子設定!$B$13="最大化",Q2617,IF(01_因子設定!$B$13="最小化",-Q2617,-ABS(Q2617-01_因子設定!$B$16))),-1E+030)</f>
        <v>44.59546875</v>
      </c>
      <c r="Y2617" s="55" t="n">
        <f aca="false">W2617+ROW()*0.000000001</f>
        <v>-5.03416740102719</v>
      </c>
      <c r="Z2617" s="55" t="n">
        <f aca="false">X2617+ROW()*0.000000001</f>
        <v>44.595471367</v>
      </c>
    </row>
    <row r="2618" customFormat="false" ht="15" hidden="false" customHeight="false" outlineLevel="0" collapsed="false">
      <c r="A2618" s="0" t="n">
        <v>9</v>
      </c>
      <c r="B2618" s="0" t="n">
        <v>0</v>
      </c>
      <c r="C2618" s="0" t="n">
        <v>12</v>
      </c>
      <c r="D2618" s="0" t="n">
        <f aca="false">-1+A2618*0.125</f>
        <v>0.125</v>
      </c>
      <c r="E2618" s="0" t="n">
        <f aca="false">-1+B2618*0.125</f>
        <v>-1</v>
      </c>
      <c r="F2618" s="0" t="n">
        <f aca="false">-1+C2618*0.125</f>
        <v>0.5</v>
      </c>
      <c r="G2618" s="0" t="n">
        <f aca="false">1</f>
        <v>1</v>
      </c>
      <c r="H2618" s="0" t="n">
        <f aca="false">D2618</f>
        <v>0.125</v>
      </c>
      <c r="I2618" s="0" t="n">
        <f aca="false">E2618</f>
        <v>-1</v>
      </c>
      <c r="J2618" s="0" t="n">
        <f aca="false">F2618</f>
        <v>0.5</v>
      </c>
      <c r="K2618" s="0" t="n">
        <f aca="false">D2618*E2618</f>
        <v>-0.125</v>
      </c>
      <c r="L2618" s="0" t="n">
        <f aca="false">D2618*F2618</f>
        <v>0.0625</v>
      </c>
      <c r="M2618" s="0" t="n">
        <f aca="false">E2618*F2618</f>
        <v>-0.5</v>
      </c>
      <c r="N2618" s="0" t="n">
        <f aca="false">D2618*D2618</f>
        <v>0.015625</v>
      </c>
      <c r="O2618" s="0" t="n">
        <f aca="false">E2618*E2618</f>
        <v>1</v>
      </c>
      <c r="P2618" s="0" t="n">
        <f aca="false">F2618*F2618</f>
        <v>0.25</v>
      </c>
      <c r="Q2618" s="0" t="n">
        <f aca="false">SUMPRODUCT(G2618:P2618,_XtX!$B$71:$K$71)</f>
        <v>44.5806107954546</v>
      </c>
      <c r="R2618" s="0" t="n">
        <f aca="false">SUMPRODUCT(MMULT(G2618:P2618,_XtX!$B$58:$K$67),G2618:P2618)</f>
        <v>0.476322798295455</v>
      </c>
      <c r="S2618" s="0" t="n">
        <f aca="false">04_回帰ANOVA!$K$19*04_回帰ANOVA!$K$14*SQRT(1+R2618)</f>
        <v>1.12968483630128</v>
      </c>
      <c r="T2618" s="0" t="n">
        <f aca="false">Q2618-S2618</f>
        <v>43.4509259591533</v>
      </c>
      <c r="U2618" s="0" t="n">
        <f aca="false">Q2618+S2618</f>
        <v>45.7102956317558</v>
      </c>
      <c r="V2618" s="54" t="b">
        <f aca="false">AND(D2618&gt;=01_因子設定!$L$5-0.000000001,D2618&lt;=01_因子設定!$M$5+0.000000001,E2618&gt;=01_因子設定!$L$6-0.000000001,E2618&lt;=01_因子設定!$M$6+0.000000001,F2618&gt;=01_因子設定!$L$7-0.000000001,F2618&lt;=01_因子設定!$M$7+0.000000001,IF(01_因子設定!$B$20="Box-Behnken",D2618^2+E2618^2+F2618^2&lt;=2+0.000000001,TRUE()))</f>
        <v>1</v>
      </c>
      <c r="W2618" s="55" t="n">
        <f aca="false">IF(V2618,IF(01_因子設定!$B$13="最大化",T2618-01_因子設定!$B$14,IF(01_因子設定!$B$13="最小化",01_因子設定!$B$15-U2618,MIN(T2618-01_因子設定!$B$14,01_因子設定!$B$15-U2618))),-1E+030)</f>
        <v>-5.04907404084672</v>
      </c>
      <c r="X2618" s="55" t="n">
        <f aca="false">IF(V2618,IF(01_因子設定!$B$13="最大化",Q2618,IF(01_因子設定!$B$13="最小化",-Q2618,-ABS(Q2618-01_因子設定!$B$16))),-1E+030)</f>
        <v>44.5806107954546</v>
      </c>
      <c r="Y2618" s="55" t="n">
        <f aca="false">W2618+ROW()*0.000000001</f>
        <v>-5.04907142284672</v>
      </c>
      <c r="Z2618" s="55" t="n">
        <f aca="false">X2618+ROW()*0.000000001</f>
        <v>44.5806134134546</v>
      </c>
    </row>
    <row r="2619" customFormat="false" ht="15" hidden="false" customHeight="false" outlineLevel="0" collapsed="false">
      <c r="A2619" s="0" t="n">
        <v>9</v>
      </c>
      <c r="B2619" s="0" t="n">
        <v>0</v>
      </c>
      <c r="C2619" s="0" t="n">
        <v>13</v>
      </c>
      <c r="D2619" s="0" t="n">
        <f aca="false">-1+A2619*0.125</f>
        <v>0.125</v>
      </c>
      <c r="E2619" s="0" t="n">
        <f aca="false">-1+B2619*0.125</f>
        <v>-1</v>
      </c>
      <c r="F2619" s="0" t="n">
        <f aca="false">-1+C2619*0.125</f>
        <v>0.625</v>
      </c>
      <c r="G2619" s="0" t="n">
        <f aca="false">1</f>
        <v>1</v>
      </c>
      <c r="H2619" s="0" t="n">
        <f aca="false">D2619</f>
        <v>0.125</v>
      </c>
      <c r="I2619" s="0" t="n">
        <f aca="false">E2619</f>
        <v>-1</v>
      </c>
      <c r="J2619" s="0" t="n">
        <f aca="false">F2619</f>
        <v>0.625</v>
      </c>
      <c r="K2619" s="0" t="n">
        <f aca="false">D2619*E2619</f>
        <v>-0.125</v>
      </c>
      <c r="L2619" s="0" t="n">
        <f aca="false">D2619*F2619</f>
        <v>0.078125</v>
      </c>
      <c r="M2619" s="0" t="n">
        <f aca="false">E2619*F2619</f>
        <v>-0.625</v>
      </c>
      <c r="N2619" s="0" t="n">
        <f aca="false">D2619*D2619</f>
        <v>0.015625</v>
      </c>
      <c r="O2619" s="0" t="n">
        <f aca="false">E2619*E2619</f>
        <v>1</v>
      </c>
      <c r="P2619" s="0" t="n">
        <f aca="false">F2619*F2619</f>
        <v>0.390625</v>
      </c>
      <c r="Q2619" s="0" t="n">
        <f aca="false">SUMPRODUCT(G2619:P2619,_XtX!$B$71:$K$71)</f>
        <v>44.5289630681818</v>
      </c>
      <c r="R2619" s="0" t="n">
        <f aca="false">SUMPRODUCT(MMULT(G2619:P2619,_XtX!$B$58:$K$67),G2619:P2619)</f>
        <v>0.489261696555398</v>
      </c>
      <c r="S2619" s="0" t="n">
        <f aca="false">04_回帰ANOVA!$K$19*04_回帰ANOVA!$K$14*SQRT(1+R2619)</f>
        <v>1.13462447083763</v>
      </c>
      <c r="T2619" s="0" t="n">
        <f aca="false">Q2619-S2619</f>
        <v>43.3943385973442</v>
      </c>
      <c r="U2619" s="0" t="n">
        <f aca="false">Q2619+S2619</f>
        <v>45.6635875390195</v>
      </c>
      <c r="V2619" s="54" t="b">
        <f aca="false">AND(D2619&gt;=01_因子設定!$L$5-0.000000001,D2619&lt;=01_因子設定!$M$5+0.000000001,E2619&gt;=01_因子設定!$L$6-0.000000001,E2619&lt;=01_因子設定!$M$6+0.000000001,F2619&gt;=01_因子設定!$L$7-0.000000001,F2619&lt;=01_因子設定!$M$7+0.000000001,IF(01_因子設定!$B$20="Box-Behnken",D2619^2+E2619^2+F2619^2&lt;=2+0.000000001,TRUE()))</f>
        <v>1</v>
      </c>
      <c r="W2619" s="55" t="n">
        <f aca="false">IF(V2619,IF(01_因子設定!$B$13="最大化",T2619-01_因子設定!$B$14,IF(01_因子設定!$B$13="最小化",01_因子設定!$B$15-U2619,MIN(T2619-01_因子設定!$B$14,01_因子設定!$B$15-U2619))),-1E+030)</f>
        <v>-5.1056614026558</v>
      </c>
      <c r="X2619" s="55" t="n">
        <f aca="false">IF(V2619,IF(01_因子設定!$B$13="最大化",Q2619,IF(01_因子設定!$B$13="最小化",-Q2619,-ABS(Q2619-01_因子設定!$B$16))),-1E+030)</f>
        <v>44.5289630681818</v>
      </c>
      <c r="Y2619" s="55" t="n">
        <f aca="false">W2619+ROW()*0.000000001</f>
        <v>-5.1056587836558</v>
      </c>
      <c r="Z2619" s="55" t="n">
        <f aca="false">X2619+ROW()*0.000000001</f>
        <v>44.5289656871818</v>
      </c>
    </row>
    <row r="2620" customFormat="false" ht="15" hidden="false" customHeight="false" outlineLevel="0" collapsed="false">
      <c r="A2620" s="0" t="n">
        <v>9</v>
      </c>
      <c r="B2620" s="0" t="n">
        <v>0</v>
      </c>
      <c r="C2620" s="0" t="n">
        <v>14</v>
      </c>
      <c r="D2620" s="0" t="n">
        <f aca="false">-1+A2620*0.125</f>
        <v>0.125</v>
      </c>
      <c r="E2620" s="0" t="n">
        <f aca="false">-1+B2620*0.125</f>
        <v>-1</v>
      </c>
      <c r="F2620" s="0" t="n">
        <f aca="false">-1+C2620*0.125</f>
        <v>0.75</v>
      </c>
      <c r="G2620" s="0" t="n">
        <f aca="false">1</f>
        <v>1</v>
      </c>
      <c r="H2620" s="0" t="n">
        <f aca="false">D2620</f>
        <v>0.125</v>
      </c>
      <c r="I2620" s="0" t="n">
        <f aca="false">E2620</f>
        <v>-1</v>
      </c>
      <c r="J2620" s="0" t="n">
        <f aca="false">F2620</f>
        <v>0.75</v>
      </c>
      <c r="K2620" s="0" t="n">
        <f aca="false">D2620*E2620</f>
        <v>-0.125</v>
      </c>
      <c r="L2620" s="0" t="n">
        <f aca="false">D2620*F2620</f>
        <v>0.09375</v>
      </c>
      <c r="M2620" s="0" t="n">
        <f aca="false">E2620*F2620</f>
        <v>-0.75</v>
      </c>
      <c r="N2620" s="0" t="n">
        <f aca="false">D2620*D2620</f>
        <v>0.015625</v>
      </c>
      <c r="O2620" s="0" t="n">
        <f aca="false">E2620*E2620</f>
        <v>1</v>
      </c>
      <c r="P2620" s="0" t="n">
        <f aca="false">F2620*F2620</f>
        <v>0.5625</v>
      </c>
      <c r="Q2620" s="0" t="n">
        <f aca="false">SUMPRODUCT(G2620:P2620,_XtX!$B$71:$K$71)</f>
        <v>44.4405255681818</v>
      </c>
      <c r="R2620" s="0" t="n">
        <f aca="false">SUMPRODUCT(MMULT(G2620:P2620,_XtX!$B$58:$K$67),G2620:P2620)</f>
        <v>0.524607155539773</v>
      </c>
      <c r="S2620" s="0" t="n">
        <f aca="false">04_回帰ANOVA!$K$19*04_回帰ANOVA!$K$14*SQRT(1+R2620)</f>
        <v>1.14800984623412</v>
      </c>
      <c r="T2620" s="0" t="n">
        <f aca="false">Q2620-S2620</f>
        <v>43.2925157219477</v>
      </c>
      <c r="U2620" s="0" t="n">
        <f aca="false">Q2620+S2620</f>
        <v>45.588535414416</v>
      </c>
      <c r="V2620" s="54" t="b">
        <f aca="false">AND(D2620&gt;=01_因子設定!$L$5-0.000000001,D2620&lt;=01_因子設定!$M$5+0.000000001,E2620&gt;=01_因子設定!$L$6-0.000000001,E2620&lt;=01_因子設定!$M$6+0.000000001,F2620&gt;=01_因子設定!$L$7-0.000000001,F2620&lt;=01_因子設定!$M$7+0.000000001,IF(01_因子設定!$B$20="Box-Behnken",D2620^2+E2620^2+F2620^2&lt;=2+0.000000001,TRUE()))</f>
        <v>1</v>
      </c>
      <c r="W2620" s="55" t="n">
        <f aca="false">IF(V2620,IF(01_因子設定!$B$13="最大化",T2620-01_因子設定!$B$14,IF(01_因子設定!$B$13="最小化",01_因子設定!$B$15-U2620,MIN(T2620-01_因子設定!$B$14,01_因子設定!$B$15-U2620))),-1E+030)</f>
        <v>-5.20748427805228</v>
      </c>
      <c r="X2620" s="55" t="n">
        <f aca="false">IF(V2620,IF(01_因子設定!$B$13="最大化",Q2620,IF(01_因子設定!$B$13="最小化",-Q2620,-ABS(Q2620-01_因子設定!$B$16))),-1E+030)</f>
        <v>44.4405255681818</v>
      </c>
      <c r="Y2620" s="55" t="n">
        <f aca="false">W2620+ROW()*0.000000001</f>
        <v>-5.20748165805228</v>
      </c>
      <c r="Z2620" s="55" t="n">
        <f aca="false">X2620+ROW()*0.000000001</f>
        <v>44.4405281881818</v>
      </c>
    </row>
    <row r="2621" customFormat="false" ht="15" hidden="false" customHeight="false" outlineLevel="0" collapsed="false">
      <c r="A2621" s="0" t="n">
        <v>9</v>
      </c>
      <c r="B2621" s="0" t="n">
        <v>0</v>
      </c>
      <c r="C2621" s="0" t="n">
        <v>15</v>
      </c>
      <c r="D2621" s="0" t="n">
        <f aca="false">-1+A2621*0.125</f>
        <v>0.125</v>
      </c>
      <c r="E2621" s="0" t="n">
        <f aca="false">-1+B2621*0.125</f>
        <v>-1</v>
      </c>
      <c r="F2621" s="0" t="n">
        <f aca="false">-1+C2621*0.125</f>
        <v>0.875</v>
      </c>
      <c r="G2621" s="0" t="n">
        <f aca="false">1</f>
        <v>1</v>
      </c>
      <c r="H2621" s="0" t="n">
        <f aca="false">D2621</f>
        <v>0.125</v>
      </c>
      <c r="I2621" s="0" t="n">
        <f aca="false">E2621</f>
        <v>-1</v>
      </c>
      <c r="J2621" s="0" t="n">
        <f aca="false">F2621</f>
        <v>0.875</v>
      </c>
      <c r="K2621" s="0" t="n">
        <f aca="false">D2621*E2621</f>
        <v>-0.125</v>
      </c>
      <c r="L2621" s="0" t="n">
        <f aca="false">D2621*F2621</f>
        <v>0.109375</v>
      </c>
      <c r="M2621" s="0" t="n">
        <f aca="false">E2621*F2621</f>
        <v>-0.875</v>
      </c>
      <c r="N2621" s="0" t="n">
        <f aca="false">D2621*D2621</f>
        <v>0.015625</v>
      </c>
      <c r="O2621" s="0" t="n">
        <f aca="false">E2621*E2621</f>
        <v>1</v>
      </c>
      <c r="P2621" s="0" t="n">
        <f aca="false">F2621*F2621</f>
        <v>0.765625</v>
      </c>
      <c r="Q2621" s="0" t="n">
        <f aca="false">SUMPRODUCT(G2621:P2621,_XtX!$B$71:$K$71)</f>
        <v>44.3152982954546</v>
      </c>
      <c r="R2621" s="0" t="n">
        <f aca="false">SUMPRODUCT(MMULT(G2621:P2621,_XtX!$B$58:$K$67),G2621:P2621)</f>
        <v>0.59407792524858</v>
      </c>
      <c r="S2621" s="0" t="n">
        <f aca="false">04_回帰ANOVA!$K$19*04_回帰ANOVA!$K$14*SQRT(1+R2621)</f>
        <v>1.17387380087722</v>
      </c>
      <c r="T2621" s="0" t="n">
        <f aca="false">Q2621-S2621</f>
        <v>43.1414244945774</v>
      </c>
      <c r="U2621" s="0" t="n">
        <f aca="false">Q2621+S2621</f>
        <v>45.4891720963318</v>
      </c>
      <c r="V2621" s="54" t="b">
        <f aca="false">AND(D2621&gt;=01_因子設定!$L$5-0.000000001,D2621&lt;=01_因子設定!$M$5+0.000000001,E2621&gt;=01_因子設定!$L$6-0.000000001,E2621&lt;=01_因子設定!$M$6+0.000000001,F2621&gt;=01_因子設定!$L$7-0.000000001,F2621&lt;=01_因子設定!$M$7+0.000000001,IF(01_因子設定!$B$20="Box-Behnken",D2621^2+E2621^2+F2621^2&lt;=2+0.000000001,TRUE()))</f>
        <v>1</v>
      </c>
      <c r="W2621" s="55" t="n">
        <f aca="false">IF(V2621,IF(01_因子設定!$B$13="最大化",T2621-01_因子設定!$B$14,IF(01_因子設定!$B$13="最小化",01_因子設定!$B$15-U2621,MIN(T2621-01_因子設定!$B$14,01_因子設定!$B$15-U2621))),-1E+030)</f>
        <v>-5.35857550542264</v>
      </c>
      <c r="X2621" s="55" t="n">
        <f aca="false">IF(V2621,IF(01_因子設定!$B$13="最大化",Q2621,IF(01_因子設定!$B$13="最小化",-Q2621,-ABS(Q2621-01_因子設定!$B$16))),-1E+030)</f>
        <v>44.3152982954546</v>
      </c>
      <c r="Y2621" s="55" t="n">
        <f aca="false">W2621+ROW()*0.000000001</f>
        <v>-5.35857288442264</v>
      </c>
      <c r="Z2621" s="55" t="n">
        <f aca="false">X2621+ROW()*0.000000001</f>
        <v>44.3153009164546</v>
      </c>
    </row>
    <row r="2622" customFormat="false" ht="15" hidden="false" customHeight="false" outlineLevel="0" collapsed="false">
      <c r="A2622" s="0" t="n">
        <v>9</v>
      </c>
      <c r="B2622" s="0" t="n">
        <v>0</v>
      </c>
      <c r="C2622" s="0" t="n">
        <v>16</v>
      </c>
      <c r="D2622" s="0" t="n">
        <f aca="false">-1+A2622*0.125</f>
        <v>0.125</v>
      </c>
      <c r="E2622" s="0" t="n">
        <f aca="false">-1+B2622*0.125</f>
        <v>-1</v>
      </c>
      <c r="F2622" s="0" t="n">
        <f aca="false">-1+C2622*0.125</f>
        <v>1</v>
      </c>
      <c r="G2622" s="0" t="n">
        <f aca="false">1</f>
        <v>1</v>
      </c>
      <c r="H2622" s="0" t="n">
        <f aca="false">D2622</f>
        <v>0.125</v>
      </c>
      <c r="I2622" s="0" t="n">
        <f aca="false">E2622</f>
        <v>-1</v>
      </c>
      <c r="J2622" s="0" t="n">
        <f aca="false">F2622</f>
        <v>1</v>
      </c>
      <c r="K2622" s="0" t="n">
        <f aca="false">D2622*E2622</f>
        <v>-0.125</v>
      </c>
      <c r="L2622" s="0" t="n">
        <f aca="false">D2622*F2622</f>
        <v>0.125</v>
      </c>
      <c r="M2622" s="0" t="n">
        <f aca="false">E2622*F2622</f>
        <v>-1</v>
      </c>
      <c r="N2622" s="0" t="n">
        <f aca="false">D2622*D2622</f>
        <v>0.015625</v>
      </c>
      <c r="O2622" s="0" t="n">
        <f aca="false">E2622*E2622</f>
        <v>1</v>
      </c>
      <c r="P2622" s="0" t="n">
        <f aca="false">F2622*F2622</f>
        <v>1</v>
      </c>
      <c r="Q2622" s="0" t="n">
        <f aca="false">SUMPRODUCT(G2622:P2622,_XtX!$B$71:$K$71)</f>
        <v>44.15328125</v>
      </c>
      <c r="R2622" s="0" t="n">
        <f aca="false">SUMPRODUCT(MMULT(G2622:P2622,_XtX!$B$58:$K$67),G2622:P2622)</f>
        <v>0.7115234375</v>
      </c>
      <c r="S2622" s="0" t="n">
        <f aca="false">04_回帰ANOVA!$K$19*04_回帰ANOVA!$K$14*SQRT(1+R2622)</f>
        <v>1.21634860506574</v>
      </c>
      <c r="T2622" s="0" t="n">
        <f aca="false">Q2622-S2622</f>
        <v>42.9369326449343</v>
      </c>
      <c r="U2622" s="0" t="n">
        <f aca="false">Q2622+S2622</f>
        <v>45.3696298550658</v>
      </c>
      <c r="V2622" s="54" t="b">
        <f aca="false">AND(D2622&gt;=01_因子設定!$L$5-0.000000001,D2622&lt;=01_因子設定!$M$5+0.000000001,E2622&gt;=01_因子設定!$L$6-0.000000001,E2622&lt;=01_因子設定!$M$6+0.000000001,F2622&gt;=01_因子設定!$L$7-0.000000001,F2622&lt;=01_因子設定!$M$7+0.000000001,IF(01_因子設定!$B$20="Box-Behnken",D2622^2+E2622^2+F2622^2&lt;=2+0.000000001,TRUE()))</f>
        <v>1</v>
      </c>
      <c r="W2622" s="55" t="n">
        <f aca="false">IF(V2622,IF(01_因子設定!$B$13="最大化",T2622-01_因子設定!$B$14,IF(01_因子設定!$B$13="最小化",01_因子設定!$B$15-U2622,MIN(T2622-01_因子設定!$B$14,01_因子設定!$B$15-U2622))),-1E+030)</f>
        <v>-5.5630673550657</v>
      </c>
      <c r="X2622" s="55" t="n">
        <f aca="false">IF(V2622,IF(01_因子設定!$B$13="最大化",Q2622,IF(01_因子設定!$B$13="最小化",-Q2622,-ABS(Q2622-01_因子設定!$B$16))),-1E+030)</f>
        <v>44.15328125</v>
      </c>
      <c r="Y2622" s="55" t="n">
        <f aca="false">W2622+ROW()*0.000000001</f>
        <v>-5.5630647330657</v>
      </c>
      <c r="Z2622" s="55" t="n">
        <f aca="false">X2622+ROW()*0.000000001</f>
        <v>44.153283872</v>
      </c>
    </row>
    <row r="2623" customFormat="false" ht="15" hidden="false" customHeight="false" outlineLevel="0" collapsed="false">
      <c r="A2623" s="0" t="n">
        <v>9</v>
      </c>
      <c r="B2623" s="0" t="n">
        <v>1</v>
      </c>
      <c r="C2623" s="0" t="n">
        <v>0</v>
      </c>
      <c r="D2623" s="0" t="n">
        <f aca="false">-1+A2623*0.125</f>
        <v>0.125</v>
      </c>
      <c r="E2623" s="0" t="n">
        <f aca="false">-1+B2623*0.125</f>
        <v>-0.875</v>
      </c>
      <c r="F2623" s="0" t="n">
        <f aca="false">-1+C2623*0.125</f>
        <v>-1</v>
      </c>
      <c r="G2623" s="0" t="n">
        <f aca="false">1</f>
        <v>1</v>
      </c>
      <c r="H2623" s="0" t="n">
        <f aca="false">D2623</f>
        <v>0.125</v>
      </c>
      <c r="I2623" s="0" t="n">
        <f aca="false">E2623</f>
        <v>-0.875</v>
      </c>
      <c r="J2623" s="0" t="n">
        <f aca="false">F2623</f>
        <v>-1</v>
      </c>
      <c r="K2623" s="0" t="n">
        <f aca="false">D2623*E2623</f>
        <v>-0.109375</v>
      </c>
      <c r="L2623" s="0" t="n">
        <f aca="false">D2623*F2623</f>
        <v>-0.125</v>
      </c>
      <c r="M2623" s="0" t="n">
        <f aca="false">E2623*F2623</f>
        <v>0.875</v>
      </c>
      <c r="N2623" s="0" t="n">
        <f aca="false">D2623*D2623</f>
        <v>0.015625</v>
      </c>
      <c r="O2623" s="0" t="n">
        <f aca="false">E2623*E2623</f>
        <v>0.765625</v>
      </c>
      <c r="P2623" s="0" t="n">
        <f aca="false">F2623*F2623</f>
        <v>1</v>
      </c>
      <c r="Q2623" s="0" t="n">
        <f aca="false">SUMPRODUCT(G2623:P2623,_XtX!$B$71:$K$71)</f>
        <v>43.0275639204546</v>
      </c>
      <c r="R2623" s="0" t="n">
        <f aca="false">SUMPRODUCT(MMULT(G2623:P2623,_XtX!$B$58:$K$67),G2623:P2623)</f>
        <v>0.59407792524858</v>
      </c>
      <c r="S2623" s="0" t="n">
        <f aca="false">04_回帰ANOVA!$K$19*04_回帰ANOVA!$K$14*SQRT(1+R2623)</f>
        <v>1.17387380087722</v>
      </c>
      <c r="T2623" s="0" t="n">
        <f aca="false">Q2623-S2623</f>
        <v>41.8536901195774</v>
      </c>
      <c r="U2623" s="0" t="n">
        <f aca="false">Q2623+S2623</f>
        <v>44.2014377213318</v>
      </c>
      <c r="V2623" s="54" t="b">
        <f aca="false">AND(D2623&gt;=01_因子設定!$L$5-0.000000001,D2623&lt;=01_因子設定!$M$5+0.000000001,E2623&gt;=01_因子設定!$L$6-0.000000001,E2623&lt;=01_因子設定!$M$6+0.000000001,F2623&gt;=01_因子設定!$L$7-0.000000001,F2623&lt;=01_因子設定!$M$7+0.000000001,IF(01_因子設定!$B$20="Box-Behnken",D2623^2+E2623^2+F2623^2&lt;=2+0.000000001,TRUE()))</f>
        <v>1</v>
      </c>
      <c r="W2623" s="55" t="n">
        <f aca="false">IF(V2623,IF(01_因子設定!$B$13="最大化",T2623-01_因子設定!$B$14,IF(01_因子設定!$B$13="最小化",01_因子設定!$B$15-U2623,MIN(T2623-01_因子設定!$B$14,01_因子設定!$B$15-U2623))),-1E+030)</f>
        <v>-6.64630988042264</v>
      </c>
      <c r="X2623" s="55" t="n">
        <f aca="false">IF(V2623,IF(01_因子設定!$B$13="最大化",Q2623,IF(01_因子設定!$B$13="最小化",-Q2623,-ABS(Q2623-01_因子設定!$B$16))),-1E+030)</f>
        <v>43.0275639204546</v>
      </c>
      <c r="Y2623" s="55" t="n">
        <f aca="false">W2623+ROW()*0.000000001</f>
        <v>-6.64630725742264</v>
      </c>
      <c r="Z2623" s="55" t="n">
        <f aca="false">X2623+ROW()*0.000000001</f>
        <v>43.0275665434546</v>
      </c>
    </row>
    <row r="2624" customFormat="false" ht="15" hidden="false" customHeight="false" outlineLevel="0" collapsed="false">
      <c r="A2624" s="0" t="n">
        <v>9</v>
      </c>
      <c r="B2624" s="0" t="n">
        <v>1</v>
      </c>
      <c r="C2624" s="0" t="n">
        <v>1</v>
      </c>
      <c r="D2624" s="0" t="n">
        <f aca="false">-1+A2624*0.125</f>
        <v>0.125</v>
      </c>
      <c r="E2624" s="0" t="n">
        <f aca="false">-1+B2624*0.125</f>
        <v>-0.875</v>
      </c>
      <c r="F2624" s="0" t="n">
        <f aca="false">-1+C2624*0.125</f>
        <v>-0.875</v>
      </c>
      <c r="G2624" s="0" t="n">
        <f aca="false">1</f>
        <v>1</v>
      </c>
      <c r="H2624" s="0" t="n">
        <f aca="false">D2624</f>
        <v>0.125</v>
      </c>
      <c r="I2624" s="0" t="n">
        <f aca="false">E2624</f>
        <v>-0.875</v>
      </c>
      <c r="J2624" s="0" t="n">
        <f aca="false">F2624</f>
        <v>-0.875</v>
      </c>
      <c r="K2624" s="0" t="n">
        <f aca="false">D2624*E2624</f>
        <v>-0.109375</v>
      </c>
      <c r="L2624" s="0" t="n">
        <f aca="false">D2624*F2624</f>
        <v>-0.109375</v>
      </c>
      <c r="M2624" s="0" t="n">
        <f aca="false">E2624*F2624</f>
        <v>0.765625</v>
      </c>
      <c r="N2624" s="0" t="n">
        <f aca="false">D2624*D2624</f>
        <v>0.015625</v>
      </c>
      <c r="O2624" s="0" t="n">
        <f aca="false">E2624*E2624</f>
        <v>0.765625</v>
      </c>
      <c r="P2624" s="0" t="n">
        <f aca="false">F2624*F2624</f>
        <v>0.765625</v>
      </c>
      <c r="Q2624" s="0" t="n">
        <f aca="false">SUMPRODUCT(G2624:P2624,_XtX!$B$71:$K$71)</f>
        <v>43.4244247159091</v>
      </c>
      <c r="R2624" s="0" t="n">
        <f aca="false">SUMPRODUCT(MMULT(G2624:P2624,_XtX!$B$58:$K$67),G2624:P2624)</f>
        <v>0.468517511541193</v>
      </c>
      <c r="S2624" s="0" t="n">
        <f aca="false">04_回帰ANOVA!$K$19*04_回帰ANOVA!$K$14*SQRT(1+R2624)</f>
        <v>1.12669456902645</v>
      </c>
      <c r="T2624" s="0" t="n">
        <f aca="false">Q2624-S2624</f>
        <v>42.2977301468827</v>
      </c>
      <c r="U2624" s="0" t="n">
        <f aca="false">Q2624+S2624</f>
        <v>44.5511192849356</v>
      </c>
      <c r="V2624" s="54" t="b">
        <f aca="false">AND(D2624&gt;=01_因子設定!$L$5-0.000000001,D2624&lt;=01_因子設定!$M$5+0.000000001,E2624&gt;=01_因子設定!$L$6-0.000000001,E2624&lt;=01_因子設定!$M$6+0.000000001,F2624&gt;=01_因子設定!$L$7-0.000000001,F2624&lt;=01_因子設定!$M$7+0.000000001,IF(01_因子設定!$B$20="Box-Behnken",D2624^2+E2624^2+F2624^2&lt;=2+0.000000001,TRUE()))</f>
        <v>1</v>
      </c>
      <c r="W2624" s="55" t="n">
        <f aca="false">IF(V2624,IF(01_因子設定!$B$13="最大化",T2624-01_因子設定!$B$14,IF(01_因子設定!$B$13="最小化",01_因子設定!$B$15-U2624,MIN(T2624-01_因子設定!$B$14,01_因子設定!$B$15-U2624))),-1E+030)</f>
        <v>-6.20226985311733</v>
      </c>
      <c r="X2624" s="55" t="n">
        <f aca="false">IF(V2624,IF(01_因子設定!$B$13="最大化",Q2624,IF(01_因子設定!$B$13="最小化",-Q2624,-ABS(Q2624-01_因子設定!$B$16))),-1E+030)</f>
        <v>43.4244247159091</v>
      </c>
      <c r="Y2624" s="55" t="n">
        <f aca="false">W2624+ROW()*0.000000001</f>
        <v>-6.20226722911733</v>
      </c>
      <c r="Z2624" s="55" t="n">
        <f aca="false">X2624+ROW()*0.000000001</f>
        <v>43.4244273399091</v>
      </c>
    </row>
    <row r="2625" customFormat="false" ht="15" hidden="false" customHeight="false" outlineLevel="0" collapsed="false">
      <c r="A2625" s="0" t="n">
        <v>9</v>
      </c>
      <c r="B2625" s="0" t="n">
        <v>1</v>
      </c>
      <c r="C2625" s="0" t="n">
        <v>2</v>
      </c>
      <c r="D2625" s="0" t="n">
        <f aca="false">-1+A2625*0.125</f>
        <v>0.125</v>
      </c>
      <c r="E2625" s="0" t="n">
        <f aca="false">-1+B2625*0.125</f>
        <v>-0.875</v>
      </c>
      <c r="F2625" s="0" t="n">
        <f aca="false">-1+C2625*0.125</f>
        <v>-0.75</v>
      </c>
      <c r="G2625" s="0" t="n">
        <f aca="false">1</f>
        <v>1</v>
      </c>
      <c r="H2625" s="0" t="n">
        <f aca="false">D2625</f>
        <v>0.125</v>
      </c>
      <c r="I2625" s="0" t="n">
        <f aca="false">E2625</f>
        <v>-0.875</v>
      </c>
      <c r="J2625" s="0" t="n">
        <f aca="false">F2625</f>
        <v>-0.75</v>
      </c>
      <c r="K2625" s="0" t="n">
        <f aca="false">D2625*E2625</f>
        <v>-0.109375</v>
      </c>
      <c r="L2625" s="0" t="n">
        <f aca="false">D2625*F2625</f>
        <v>-0.09375</v>
      </c>
      <c r="M2625" s="0" t="n">
        <f aca="false">E2625*F2625</f>
        <v>0.65625</v>
      </c>
      <c r="N2625" s="0" t="n">
        <f aca="false">D2625*D2625</f>
        <v>0.015625</v>
      </c>
      <c r="O2625" s="0" t="n">
        <f aca="false">E2625*E2625</f>
        <v>0.765625</v>
      </c>
      <c r="P2625" s="0" t="n">
        <f aca="false">F2625*F2625</f>
        <v>0.5625</v>
      </c>
      <c r="Q2625" s="0" t="n">
        <f aca="false">SUMPRODUCT(G2625:P2625,_XtX!$B$71:$K$71)</f>
        <v>43.7844957386364</v>
      </c>
      <c r="R2625" s="0" t="n">
        <f aca="false">SUMPRODUCT(MMULT(G2625:P2625,_XtX!$B$58:$K$67),G2625:P2625)</f>
        <v>0.392013827237216</v>
      </c>
      <c r="S2625" s="0" t="n">
        <f aca="false">04_回帰ANOVA!$K$19*04_回帰ANOVA!$K$14*SQRT(1+R2625)</f>
        <v>1.09695398627251</v>
      </c>
      <c r="T2625" s="0" t="n">
        <f aca="false">Q2625-S2625</f>
        <v>42.6875417523639</v>
      </c>
      <c r="U2625" s="0" t="n">
        <f aca="false">Q2625+S2625</f>
        <v>44.8814497249089</v>
      </c>
      <c r="V2625" s="54" t="b">
        <f aca="false">AND(D2625&gt;=01_因子設定!$L$5-0.000000001,D2625&lt;=01_因子設定!$M$5+0.000000001,E2625&gt;=01_因子設定!$L$6-0.000000001,E2625&lt;=01_因子設定!$M$6+0.000000001,F2625&gt;=01_因子設定!$L$7-0.000000001,F2625&lt;=01_因子設定!$M$7+0.000000001,IF(01_因子設定!$B$20="Box-Behnken",D2625^2+E2625^2+F2625^2&lt;=2+0.000000001,TRUE()))</f>
        <v>1</v>
      </c>
      <c r="W2625" s="55" t="n">
        <f aca="false">IF(V2625,IF(01_因子設定!$B$13="最大化",T2625-01_因子設定!$B$14,IF(01_因子設定!$B$13="最小化",01_因子設定!$B$15-U2625,MIN(T2625-01_因子設定!$B$14,01_因子設定!$B$15-U2625))),-1E+030)</f>
        <v>-5.81245824763612</v>
      </c>
      <c r="X2625" s="55" t="n">
        <f aca="false">IF(V2625,IF(01_因子設定!$B$13="最大化",Q2625,IF(01_因子設定!$B$13="最小化",-Q2625,-ABS(Q2625-01_因子設定!$B$16))),-1E+030)</f>
        <v>43.7844957386364</v>
      </c>
      <c r="Y2625" s="55" t="n">
        <f aca="false">W2625+ROW()*0.000000001</f>
        <v>-5.81245562263612</v>
      </c>
      <c r="Z2625" s="55" t="n">
        <f aca="false">X2625+ROW()*0.000000001</f>
        <v>43.7844983636364</v>
      </c>
    </row>
    <row r="2626" customFormat="false" ht="15" hidden="false" customHeight="false" outlineLevel="0" collapsed="false">
      <c r="A2626" s="0" t="n">
        <v>9</v>
      </c>
      <c r="B2626" s="0" t="n">
        <v>1</v>
      </c>
      <c r="C2626" s="0" t="n">
        <v>3</v>
      </c>
      <c r="D2626" s="0" t="n">
        <f aca="false">-1+A2626*0.125</f>
        <v>0.125</v>
      </c>
      <c r="E2626" s="0" t="n">
        <f aca="false">-1+B2626*0.125</f>
        <v>-0.875</v>
      </c>
      <c r="F2626" s="0" t="n">
        <f aca="false">-1+C2626*0.125</f>
        <v>-0.625</v>
      </c>
      <c r="G2626" s="0" t="n">
        <f aca="false">1</f>
        <v>1</v>
      </c>
      <c r="H2626" s="0" t="n">
        <f aca="false">D2626</f>
        <v>0.125</v>
      </c>
      <c r="I2626" s="0" t="n">
        <f aca="false">E2626</f>
        <v>-0.875</v>
      </c>
      <c r="J2626" s="0" t="n">
        <f aca="false">F2626</f>
        <v>-0.625</v>
      </c>
      <c r="K2626" s="0" t="n">
        <f aca="false">D2626*E2626</f>
        <v>-0.109375</v>
      </c>
      <c r="L2626" s="0" t="n">
        <f aca="false">D2626*F2626</f>
        <v>-0.078125</v>
      </c>
      <c r="M2626" s="0" t="n">
        <f aca="false">E2626*F2626</f>
        <v>0.546875</v>
      </c>
      <c r="N2626" s="0" t="n">
        <f aca="false">D2626*D2626</f>
        <v>0.015625</v>
      </c>
      <c r="O2626" s="0" t="n">
        <f aca="false">E2626*E2626</f>
        <v>0.765625</v>
      </c>
      <c r="P2626" s="0" t="n">
        <f aca="false">F2626*F2626</f>
        <v>0.390625</v>
      </c>
      <c r="Q2626" s="0" t="n">
        <f aca="false">SUMPRODUCT(G2626:P2626,_XtX!$B$71:$K$71)</f>
        <v>44.1077769886364</v>
      </c>
      <c r="R2626" s="0" t="n">
        <f aca="false">SUMPRODUCT(MMULT(G2626:P2626,_XtX!$B$58:$K$67),G2626:P2626)</f>
        <v>0.350717440518466</v>
      </c>
      <c r="S2626" s="0" t="n">
        <f aca="false">04_回帰ANOVA!$K$19*04_回帰ANOVA!$K$14*SQRT(1+R2626)</f>
        <v>1.08056000737898</v>
      </c>
      <c r="T2626" s="0" t="n">
        <f aca="false">Q2626-S2626</f>
        <v>43.0272169812574</v>
      </c>
      <c r="U2626" s="0" t="n">
        <f aca="false">Q2626+S2626</f>
        <v>45.1883369960154</v>
      </c>
      <c r="V2626" s="54" t="b">
        <f aca="false">AND(D2626&gt;=01_因子設定!$L$5-0.000000001,D2626&lt;=01_因子設定!$M$5+0.000000001,E2626&gt;=01_因子設定!$L$6-0.000000001,E2626&lt;=01_因子設定!$M$6+0.000000001,F2626&gt;=01_因子設定!$L$7-0.000000001,F2626&lt;=01_因子設定!$M$7+0.000000001,IF(01_因子設定!$B$20="Box-Behnken",D2626^2+E2626^2+F2626^2&lt;=2+0.000000001,TRUE()))</f>
        <v>1</v>
      </c>
      <c r="W2626" s="55" t="n">
        <f aca="false">IF(V2626,IF(01_因子設定!$B$13="最大化",T2626-01_因子設定!$B$14,IF(01_因子設定!$B$13="最小化",01_因子設定!$B$15-U2626,MIN(T2626-01_因子設定!$B$14,01_因子設定!$B$15-U2626))),-1E+030)</f>
        <v>-5.4727830187426</v>
      </c>
      <c r="X2626" s="55" t="n">
        <f aca="false">IF(V2626,IF(01_因子設定!$B$13="最大化",Q2626,IF(01_因子設定!$B$13="最小化",-Q2626,-ABS(Q2626-01_因子設定!$B$16))),-1E+030)</f>
        <v>44.1077769886364</v>
      </c>
      <c r="Y2626" s="55" t="n">
        <f aca="false">W2626+ROW()*0.000000001</f>
        <v>-5.4727803927426</v>
      </c>
      <c r="Z2626" s="55" t="n">
        <f aca="false">X2626+ROW()*0.000000001</f>
        <v>44.1077796146364</v>
      </c>
    </row>
    <row r="2627" customFormat="false" ht="15" hidden="false" customHeight="false" outlineLevel="0" collapsed="false">
      <c r="A2627" s="0" t="n">
        <v>9</v>
      </c>
      <c r="B2627" s="0" t="n">
        <v>1</v>
      </c>
      <c r="C2627" s="0" t="n">
        <v>4</v>
      </c>
      <c r="D2627" s="0" t="n">
        <f aca="false">-1+A2627*0.125</f>
        <v>0.125</v>
      </c>
      <c r="E2627" s="0" t="n">
        <f aca="false">-1+B2627*0.125</f>
        <v>-0.875</v>
      </c>
      <c r="F2627" s="0" t="n">
        <f aca="false">-1+C2627*0.125</f>
        <v>-0.5</v>
      </c>
      <c r="G2627" s="0" t="n">
        <f aca="false">1</f>
        <v>1</v>
      </c>
      <c r="H2627" s="0" t="n">
        <f aca="false">D2627</f>
        <v>0.125</v>
      </c>
      <c r="I2627" s="0" t="n">
        <f aca="false">E2627</f>
        <v>-0.875</v>
      </c>
      <c r="J2627" s="0" t="n">
        <f aca="false">F2627</f>
        <v>-0.5</v>
      </c>
      <c r="K2627" s="0" t="n">
        <f aca="false">D2627*E2627</f>
        <v>-0.109375</v>
      </c>
      <c r="L2627" s="0" t="n">
        <f aca="false">D2627*F2627</f>
        <v>-0.0625</v>
      </c>
      <c r="M2627" s="0" t="n">
        <f aca="false">E2627*F2627</f>
        <v>0.4375</v>
      </c>
      <c r="N2627" s="0" t="n">
        <f aca="false">D2627*D2627</f>
        <v>0.015625</v>
      </c>
      <c r="O2627" s="0" t="n">
        <f aca="false">E2627*E2627</f>
        <v>0.765625</v>
      </c>
      <c r="P2627" s="0" t="n">
        <f aca="false">F2627*F2627</f>
        <v>0.25</v>
      </c>
      <c r="Q2627" s="0" t="n">
        <f aca="false">SUMPRODUCT(G2627:P2627,_XtX!$B$71:$K$71)</f>
        <v>44.3942684659091</v>
      </c>
      <c r="R2627" s="0" t="n">
        <f aca="false">SUMPRODUCT(MMULT(G2627:P2627,_XtX!$B$58:$K$67),G2627:P2627)</f>
        <v>0.332909601384943</v>
      </c>
      <c r="S2627" s="0" t="n">
        <f aca="false">04_回帰ANOVA!$K$19*04_回帰ANOVA!$K$14*SQRT(1+R2627)</f>
        <v>1.07341333007404</v>
      </c>
      <c r="T2627" s="0" t="n">
        <f aca="false">Q2627-S2627</f>
        <v>43.3208551358351</v>
      </c>
      <c r="U2627" s="0" t="n">
        <f aca="false">Q2627+S2627</f>
        <v>45.4676817959832</v>
      </c>
      <c r="V2627" s="54" t="b">
        <f aca="false">AND(D2627&gt;=01_因子設定!$L$5-0.000000001,D2627&lt;=01_因子設定!$M$5+0.000000001,E2627&gt;=01_因子設定!$L$6-0.000000001,E2627&lt;=01_因子設定!$M$6+0.000000001,F2627&gt;=01_因子設定!$L$7-0.000000001,F2627&lt;=01_因子設定!$M$7+0.000000001,IF(01_因子設定!$B$20="Box-Behnken",D2627^2+E2627^2+F2627^2&lt;=2+0.000000001,TRUE()))</f>
        <v>1</v>
      </c>
      <c r="W2627" s="55" t="n">
        <f aca="false">IF(V2627,IF(01_因子設定!$B$13="最大化",T2627-01_因子設定!$B$14,IF(01_因子設定!$B$13="最小化",01_因子設定!$B$15-U2627,MIN(T2627-01_因子設定!$B$14,01_因子設定!$B$15-U2627))),-1E+030)</f>
        <v>-5.17914486416493</v>
      </c>
      <c r="X2627" s="55" t="n">
        <f aca="false">IF(V2627,IF(01_因子設定!$B$13="最大化",Q2627,IF(01_因子設定!$B$13="最小化",-Q2627,-ABS(Q2627-01_因子設定!$B$16))),-1E+030)</f>
        <v>44.3942684659091</v>
      </c>
      <c r="Y2627" s="55" t="n">
        <f aca="false">W2627+ROW()*0.000000001</f>
        <v>-5.17914223716493</v>
      </c>
      <c r="Z2627" s="55" t="n">
        <f aca="false">X2627+ROW()*0.000000001</f>
        <v>44.3942710929091</v>
      </c>
    </row>
    <row r="2628" customFormat="false" ht="15" hidden="false" customHeight="false" outlineLevel="0" collapsed="false">
      <c r="A2628" s="0" t="n">
        <v>9</v>
      </c>
      <c r="B2628" s="0" t="n">
        <v>1</v>
      </c>
      <c r="C2628" s="0" t="n">
        <v>5</v>
      </c>
      <c r="D2628" s="0" t="n">
        <f aca="false">-1+A2628*0.125</f>
        <v>0.125</v>
      </c>
      <c r="E2628" s="0" t="n">
        <f aca="false">-1+B2628*0.125</f>
        <v>-0.875</v>
      </c>
      <c r="F2628" s="0" t="n">
        <f aca="false">-1+C2628*0.125</f>
        <v>-0.375</v>
      </c>
      <c r="G2628" s="0" t="n">
        <f aca="false">1</f>
        <v>1</v>
      </c>
      <c r="H2628" s="0" t="n">
        <f aca="false">D2628</f>
        <v>0.125</v>
      </c>
      <c r="I2628" s="0" t="n">
        <f aca="false">E2628</f>
        <v>-0.875</v>
      </c>
      <c r="J2628" s="0" t="n">
        <f aca="false">F2628</f>
        <v>-0.375</v>
      </c>
      <c r="K2628" s="0" t="n">
        <f aca="false">D2628*E2628</f>
        <v>-0.109375</v>
      </c>
      <c r="L2628" s="0" t="n">
        <f aca="false">D2628*F2628</f>
        <v>-0.046875</v>
      </c>
      <c r="M2628" s="0" t="n">
        <f aca="false">E2628*F2628</f>
        <v>0.328125</v>
      </c>
      <c r="N2628" s="0" t="n">
        <f aca="false">D2628*D2628</f>
        <v>0.015625</v>
      </c>
      <c r="O2628" s="0" t="n">
        <f aca="false">E2628*E2628</f>
        <v>0.765625</v>
      </c>
      <c r="P2628" s="0" t="n">
        <f aca="false">F2628*F2628</f>
        <v>0.140625</v>
      </c>
      <c r="Q2628" s="0" t="n">
        <f aca="false">SUMPRODUCT(G2628:P2628,_XtX!$B$71:$K$71)</f>
        <v>44.6439701704546</v>
      </c>
      <c r="R2628" s="0" t="n">
        <f aca="false">SUMPRODUCT(MMULT(G2628:P2628,_XtX!$B$58:$K$67),G2628:P2628)</f>
        <v>0.32900224165483</v>
      </c>
      <c r="S2628" s="0" t="n">
        <f aca="false">04_回帰ANOVA!$K$19*04_回帰ANOVA!$K$14*SQRT(1+R2628)</f>
        <v>1.07183884583628</v>
      </c>
      <c r="T2628" s="0" t="n">
        <f aca="false">Q2628-S2628</f>
        <v>43.5721313246183</v>
      </c>
      <c r="U2628" s="0" t="n">
        <f aca="false">Q2628+S2628</f>
        <v>45.7158090162908</v>
      </c>
      <c r="V2628" s="54" t="b">
        <f aca="false">AND(D2628&gt;=01_因子設定!$L$5-0.000000001,D2628&lt;=01_因子設定!$M$5+0.000000001,E2628&gt;=01_因子設定!$L$6-0.000000001,E2628&lt;=01_因子設定!$M$6+0.000000001,F2628&gt;=01_因子設定!$L$7-0.000000001,F2628&lt;=01_因子設定!$M$7+0.000000001,IF(01_因子設定!$B$20="Box-Behnken",D2628^2+E2628^2+F2628^2&lt;=2+0.000000001,TRUE()))</f>
        <v>1</v>
      </c>
      <c r="W2628" s="55" t="n">
        <f aca="false">IF(V2628,IF(01_因子設定!$B$13="最大化",T2628-01_因子設定!$B$14,IF(01_因子設定!$B$13="最小化",01_因子設定!$B$15-U2628,MIN(T2628-01_因子設定!$B$14,01_因子設定!$B$15-U2628))),-1E+030)</f>
        <v>-4.92786867538172</v>
      </c>
      <c r="X2628" s="55" t="n">
        <f aca="false">IF(V2628,IF(01_因子設定!$B$13="最大化",Q2628,IF(01_因子設定!$B$13="最小化",-Q2628,-ABS(Q2628-01_因子設定!$B$16))),-1E+030)</f>
        <v>44.6439701704546</v>
      </c>
      <c r="Y2628" s="55" t="n">
        <f aca="false">W2628+ROW()*0.000000001</f>
        <v>-4.92786604738172</v>
      </c>
      <c r="Z2628" s="55" t="n">
        <f aca="false">X2628+ROW()*0.000000001</f>
        <v>44.6439727984546</v>
      </c>
    </row>
    <row r="2629" customFormat="false" ht="15" hidden="false" customHeight="false" outlineLevel="0" collapsed="false">
      <c r="A2629" s="0" t="n">
        <v>9</v>
      </c>
      <c r="B2629" s="0" t="n">
        <v>1</v>
      </c>
      <c r="C2629" s="0" t="n">
        <v>6</v>
      </c>
      <c r="D2629" s="0" t="n">
        <f aca="false">-1+A2629*0.125</f>
        <v>0.125</v>
      </c>
      <c r="E2629" s="0" t="n">
        <f aca="false">-1+B2629*0.125</f>
        <v>-0.875</v>
      </c>
      <c r="F2629" s="0" t="n">
        <f aca="false">-1+C2629*0.125</f>
        <v>-0.25</v>
      </c>
      <c r="G2629" s="0" t="n">
        <f aca="false">1</f>
        <v>1</v>
      </c>
      <c r="H2629" s="0" t="n">
        <f aca="false">D2629</f>
        <v>0.125</v>
      </c>
      <c r="I2629" s="0" t="n">
        <f aca="false">E2629</f>
        <v>-0.875</v>
      </c>
      <c r="J2629" s="0" t="n">
        <f aca="false">F2629</f>
        <v>-0.25</v>
      </c>
      <c r="K2629" s="0" t="n">
        <f aca="false">D2629*E2629</f>
        <v>-0.109375</v>
      </c>
      <c r="L2629" s="0" t="n">
        <f aca="false">D2629*F2629</f>
        <v>-0.03125</v>
      </c>
      <c r="M2629" s="0" t="n">
        <f aca="false">E2629*F2629</f>
        <v>0.21875</v>
      </c>
      <c r="N2629" s="0" t="n">
        <f aca="false">D2629*D2629</f>
        <v>0.015625</v>
      </c>
      <c r="O2629" s="0" t="n">
        <f aca="false">E2629*E2629</f>
        <v>0.765625</v>
      </c>
      <c r="P2629" s="0" t="n">
        <f aca="false">F2629*F2629</f>
        <v>0.0625</v>
      </c>
      <c r="Q2629" s="0" t="n">
        <f aca="false">SUMPRODUCT(G2629:P2629,_XtX!$B$71:$K$71)</f>
        <v>44.8568821022727</v>
      </c>
      <c r="R2629" s="0" t="n">
        <f aca="false">SUMPRODUCT(MMULT(G2629:P2629,_XtX!$B$58:$K$67),G2629:P2629)</f>
        <v>0.331537974964489</v>
      </c>
      <c r="S2629" s="0" t="n">
        <f aca="false">04_回帰ANOVA!$K$19*04_回帰ANOVA!$K$14*SQRT(1+R2629)</f>
        <v>1.07286089161565</v>
      </c>
      <c r="T2629" s="0" t="n">
        <f aca="false">Q2629-S2629</f>
        <v>43.7840212106571</v>
      </c>
      <c r="U2629" s="0" t="n">
        <f aca="false">Q2629+S2629</f>
        <v>45.9297429938884</v>
      </c>
      <c r="V2629" s="54" t="b">
        <f aca="false">AND(D2629&gt;=01_因子設定!$L$5-0.000000001,D2629&lt;=01_因子設定!$M$5+0.000000001,E2629&gt;=01_因子設定!$L$6-0.000000001,E2629&lt;=01_因子設定!$M$6+0.000000001,F2629&gt;=01_因子設定!$L$7-0.000000001,F2629&lt;=01_因子設定!$M$7+0.000000001,IF(01_因子設定!$B$20="Box-Behnken",D2629^2+E2629^2+F2629^2&lt;=2+0.000000001,TRUE()))</f>
        <v>1</v>
      </c>
      <c r="W2629" s="55" t="n">
        <f aca="false">IF(V2629,IF(01_因子設定!$B$13="最大化",T2629-01_因子設定!$B$14,IF(01_因子設定!$B$13="最小化",01_因子設定!$B$15-U2629,MIN(T2629-01_因子設定!$B$14,01_因子設定!$B$15-U2629))),-1E+030)</f>
        <v>-4.71597878934291</v>
      </c>
      <c r="X2629" s="55" t="n">
        <f aca="false">IF(V2629,IF(01_因子設定!$B$13="最大化",Q2629,IF(01_因子設定!$B$13="最小化",-Q2629,-ABS(Q2629-01_因子設定!$B$16))),-1E+030)</f>
        <v>44.8568821022727</v>
      </c>
      <c r="Y2629" s="55" t="n">
        <f aca="false">W2629+ROW()*0.000000001</f>
        <v>-4.71597616034291</v>
      </c>
      <c r="Z2629" s="55" t="n">
        <f aca="false">X2629+ROW()*0.000000001</f>
        <v>44.8568847312727</v>
      </c>
    </row>
    <row r="2630" customFormat="false" ht="15" hidden="false" customHeight="false" outlineLevel="0" collapsed="false">
      <c r="A2630" s="0" t="n">
        <v>9</v>
      </c>
      <c r="B2630" s="0" t="n">
        <v>1</v>
      </c>
      <c r="C2630" s="0" t="n">
        <v>7</v>
      </c>
      <c r="D2630" s="0" t="n">
        <f aca="false">-1+A2630*0.125</f>
        <v>0.125</v>
      </c>
      <c r="E2630" s="0" t="n">
        <f aca="false">-1+B2630*0.125</f>
        <v>-0.875</v>
      </c>
      <c r="F2630" s="0" t="n">
        <f aca="false">-1+C2630*0.125</f>
        <v>-0.125</v>
      </c>
      <c r="G2630" s="0" t="n">
        <f aca="false">1</f>
        <v>1</v>
      </c>
      <c r="H2630" s="0" t="n">
        <f aca="false">D2630</f>
        <v>0.125</v>
      </c>
      <c r="I2630" s="0" t="n">
        <f aca="false">E2630</f>
        <v>-0.875</v>
      </c>
      <c r="J2630" s="0" t="n">
        <f aca="false">F2630</f>
        <v>-0.125</v>
      </c>
      <c r="K2630" s="0" t="n">
        <f aca="false">D2630*E2630</f>
        <v>-0.109375</v>
      </c>
      <c r="L2630" s="0" t="n">
        <f aca="false">D2630*F2630</f>
        <v>-0.015625</v>
      </c>
      <c r="M2630" s="0" t="n">
        <f aca="false">E2630*F2630</f>
        <v>0.109375</v>
      </c>
      <c r="N2630" s="0" t="n">
        <f aca="false">D2630*D2630</f>
        <v>0.015625</v>
      </c>
      <c r="O2630" s="0" t="n">
        <f aca="false">E2630*E2630</f>
        <v>0.765625</v>
      </c>
      <c r="P2630" s="0" t="n">
        <f aca="false">F2630*F2630</f>
        <v>0.015625</v>
      </c>
      <c r="Q2630" s="0" t="n">
        <f aca="false">SUMPRODUCT(G2630:P2630,_XtX!$B$71:$K$71)</f>
        <v>45.0330042613637</v>
      </c>
      <c r="R2630" s="0" t="n">
        <f aca="false">SUMPRODUCT(MMULT(G2630:P2630,_XtX!$B$58:$K$67),G2630:P2630)</f>
        <v>0.335190096768466</v>
      </c>
      <c r="S2630" s="0" t="n">
        <f aca="false">04_回帰ANOVA!$K$19*04_回帰ANOVA!$K$14*SQRT(1+R2630)</f>
        <v>1.07433119726947</v>
      </c>
      <c r="T2630" s="0" t="n">
        <f aca="false">Q2630-S2630</f>
        <v>43.9586730640942</v>
      </c>
      <c r="U2630" s="0" t="n">
        <f aca="false">Q2630+S2630</f>
        <v>46.1073354586331</v>
      </c>
      <c r="V2630" s="54" t="b">
        <f aca="false">AND(D2630&gt;=01_因子設定!$L$5-0.000000001,D2630&lt;=01_因子設定!$M$5+0.000000001,E2630&gt;=01_因子設定!$L$6-0.000000001,E2630&lt;=01_因子設定!$M$6+0.000000001,F2630&gt;=01_因子設定!$L$7-0.000000001,F2630&lt;=01_因子設定!$M$7+0.000000001,IF(01_因子設定!$B$20="Box-Behnken",D2630^2+E2630^2+F2630^2&lt;=2+0.000000001,TRUE()))</f>
        <v>1</v>
      </c>
      <c r="W2630" s="55" t="n">
        <f aca="false">IF(V2630,IF(01_因子設定!$B$13="最大化",T2630-01_因子設定!$B$14,IF(01_因子設定!$B$13="最小化",01_因子設定!$B$15-U2630,MIN(T2630-01_因子設定!$B$14,01_因子設定!$B$15-U2630))),-1E+030)</f>
        <v>-4.54132693590582</v>
      </c>
      <c r="X2630" s="55" t="n">
        <f aca="false">IF(V2630,IF(01_因子設定!$B$13="最大化",Q2630,IF(01_因子設定!$B$13="最小化",-Q2630,-ABS(Q2630-01_因子設定!$B$16))),-1E+030)</f>
        <v>45.0330042613637</v>
      </c>
      <c r="Y2630" s="55" t="n">
        <f aca="false">W2630+ROW()*0.000000001</f>
        <v>-4.54132430590582</v>
      </c>
      <c r="Z2630" s="55" t="n">
        <f aca="false">X2630+ROW()*0.000000001</f>
        <v>45.0330068913637</v>
      </c>
    </row>
    <row r="2631" customFormat="false" ht="15" hidden="false" customHeight="false" outlineLevel="0" collapsed="false">
      <c r="A2631" s="0" t="n">
        <v>9</v>
      </c>
      <c r="B2631" s="0" t="n">
        <v>1</v>
      </c>
      <c r="C2631" s="0" t="n">
        <v>8</v>
      </c>
      <c r="D2631" s="0" t="n">
        <f aca="false">-1+A2631*0.125</f>
        <v>0.125</v>
      </c>
      <c r="E2631" s="0" t="n">
        <f aca="false">-1+B2631*0.125</f>
        <v>-0.875</v>
      </c>
      <c r="F2631" s="0" t="n">
        <f aca="false">-1+C2631*0.125</f>
        <v>0</v>
      </c>
      <c r="G2631" s="0" t="n">
        <f aca="false">1</f>
        <v>1</v>
      </c>
      <c r="H2631" s="0" t="n">
        <f aca="false">D2631</f>
        <v>0.125</v>
      </c>
      <c r="I2631" s="0" t="n">
        <f aca="false">E2631</f>
        <v>-0.875</v>
      </c>
      <c r="J2631" s="0" t="n">
        <f aca="false">F2631</f>
        <v>0</v>
      </c>
      <c r="K2631" s="0" t="n">
        <f aca="false">D2631*E2631</f>
        <v>-0.109375</v>
      </c>
      <c r="L2631" s="0" t="n">
        <f aca="false">D2631*F2631</f>
        <v>0</v>
      </c>
      <c r="M2631" s="0" t="n">
        <f aca="false">E2631*F2631</f>
        <v>-0</v>
      </c>
      <c r="N2631" s="0" t="n">
        <f aca="false">D2631*D2631</f>
        <v>0.015625</v>
      </c>
      <c r="O2631" s="0" t="n">
        <f aca="false">E2631*E2631</f>
        <v>0.765625</v>
      </c>
      <c r="P2631" s="0" t="n">
        <f aca="false">F2631*F2631</f>
        <v>0</v>
      </c>
      <c r="Q2631" s="0" t="n">
        <f aca="false">SUMPRODUCT(G2631:P2631,_XtX!$B$71:$K$71)</f>
        <v>45.1723366477273</v>
      </c>
      <c r="R2631" s="0" t="n">
        <f aca="false">SUMPRODUCT(MMULT(G2631:P2631,_XtX!$B$58:$K$67),G2631:P2631)</f>
        <v>0.336762584339489</v>
      </c>
      <c r="S2631" s="0" t="n">
        <f aca="false">04_回帰ANOVA!$K$19*04_回帰ANOVA!$K$14*SQRT(1+R2631)</f>
        <v>1.07496364479411</v>
      </c>
      <c r="T2631" s="0" t="n">
        <f aca="false">Q2631-S2631</f>
        <v>44.0973730029332</v>
      </c>
      <c r="U2631" s="0" t="n">
        <f aca="false">Q2631+S2631</f>
        <v>46.2473002925214</v>
      </c>
      <c r="V2631" s="54" t="b">
        <f aca="false">AND(D2631&gt;=01_因子設定!$L$5-0.000000001,D2631&lt;=01_因子設定!$M$5+0.000000001,E2631&gt;=01_因子設定!$L$6-0.000000001,E2631&lt;=01_因子設定!$M$6+0.000000001,F2631&gt;=01_因子設定!$L$7-0.000000001,F2631&lt;=01_因子設定!$M$7+0.000000001,IF(01_因子設定!$B$20="Box-Behnken",D2631^2+E2631^2+F2631^2&lt;=2+0.000000001,TRUE()))</f>
        <v>1</v>
      </c>
      <c r="W2631" s="55" t="n">
        <f aca="false">IF(V2631,IF(01_因子設定!$B$13="最大化",T2631-01_因子設定!$B$14,IF(01_因子設定!$B$13="最小化",01_因子設定!$B$15-U2631,MIN(T2631-01_因子設定!$B$14,01_因子設定!$B$15-U2631))),-1E+030)</f>
        <v>-4.40262699706683</v>
      </c>
      <c r="X2631" s="55" t="n">
        <f aca="false">IF(V2631,IF(01_因子設定!$B$13="最大化",Q2631,IF(01_因子設定!$B$13="最小化",-Q2631,-ABS(Q2631-01_因子設定!$B$16))),-1E+030)</f>
        <v>45.1723366477273</v>
      </c>
      <c r="Y2631" s="55" t="n">
        <f aca="false">W2631+ROW()*0.000000001</f>
        <v>-4.40262436606683</v>
      </c>
      <c r="Z2631" s="55" t="n">
        <f aca="false">X2631+ROW()*0.000000001</f>
        <v>45.1723392787273</v>
      </c>
    </row>
    <row r="2632" customFormat="false" ht="15" hidden="false" customHeight="false" outlineLevel="0" collapsed="false">
      <c r="A2632" s="0" t="n">
        <v>9</v>
      </c>
      <c r="B2632" s="0" t="n">
        <v>1</v>
      </c>
      <c r="C2632" s="0" t="n">
        <v>9</v>
      </c>
      <c r="D2632" s="0" t="n">
        <f aca="false">-1+A2632*0.125</f>
        <v>0.125</v>
      </c>
      <c r="E2632" s="0" t="n">
        <f aca="false">-1+B2632*0.125</f>
        <v>-0.875</v>
      </c>
      <c r="F2632" s="0" t="n">
        <f aca="false">-1+C2632*0.125</f>
        <v>0.125</v>
      </c>
      <c r="G2632" s="0" t="n">
        <f aca="false">1</f>
        <v>1</v>
      </c>
      <c r="H2632" s="0" t="n">
        <f aca="false">D2632</f>
        <v>0.125</v>
      </c>
      <c r="I2632" s="0" t="n">
        <f aca="false">E2632</f>
        <v>-0.875</v>
      </c>
      <c r="J2632" s="0" t="n">
        <f aca="false">F2632</f>
        <v>0.125</v>
      </c>
      <c r="K2632" s="0" t="n">
        <f aca="false">D2632*E2632</f>
        <v>-0.109375</v>
      </c>
      <c r="L2632" s="0" t="n">
        <f aca="false">D2632*F2632</f>
        <v>0.015625</v>
      </c>
      <c r="M2632" s="0" t="n">
        <f aca="false">E2632*F2632</f>
        <v>-0.109375</v>
      </c>
      <c r="N2632" s="0" t="n">
        <f aca="false">D2632*D2632</f>
        <v>0.015625</v>
      </c>
      <c r="O2632" s="0" t="n">
        <f aca="false">E2632*E2632</f>
        <v>0.765625</v>
      </c>
      <c r="P2632" s="0" t="n">
        <f aca="false">F2632*F2632</f>
        <v>0.015625</v>
      </c>
      <c r="Q2632" s="0" t="n">
        <f aca="false">SUMPRODUCT(G2632:P2632,_XtX!$B$71:$K$71)</f>
        <v>45.2748792613637</v>
      </c>
      <c r="R2632" s="0" t="n">
        <f aca="false">SUMPRODUCT(MMULT(G2632:P2632,_XtX!$B$58:$K$67),G2632:P2632)</f>
        <v>0.335190096768466</v>
      </c>
      <c r="S2632" s="0" t="n">
        <f aca="false">04_回帰ANOVA!$K$19*04_回帰ANOVA!$K$14*SQRT(1+R2632)</f>
        <v>1.07433119726947</v>
      </c>
      <c r="T2632" s="0" t="n">
        <f aca="false">Q2632-S2632</f>
        <v>44.2005480640942</v>
      </c>
      <c r="U2632" s="0" t="n">
        <f aca="false">Q2632+S2632</f>
        <v>46.3492104586331</v>
      </c>
      <c r="V2632" s="54" t="b">
        <f aca="false">AND(D2632&gt;=01_因子設定!$L$5-0.000000001,D2632&lt;=01_因子設定!$M$5+0.000000001,E2632&gt;=01_因子設定!$L$6-0.000000001,E2632&lt;=01_因子設定!$M$6+0.000000001,F2632&gt;=01_因子設定!$L$7-0.000000001,F2632&lt;=01_因子設定!$M$7+0.000000001,IF(01_因子設定!$B$20="Box-Behnken",D2632^2+E2632^2+F2632^2&lt;=2+0.000000001,TRUE()))</f>
        <v>1</v>
      </c>
      <c r="W2632" s="55" t="n">
        <f aca="false">IF(V2632,IF(01_因子設定!$B$13="最大化",T2632-01_因子設定!$B$14,IF(01_因子設定!$B$13="最小化",01_因子設定!$B$15-U2632,MIN(T2632-01_因子設定!$B$14,01_因子設定!$B$15-U2632))),-1E+030)</f>
        <v>-4.29945193590581</v>
      </c>
      <c r="X2632" s="55" t="n">
        <f aca="false">IF(V2632,IF(01_因子設定!$B$13="最大化",Q2632,IF(01_因子設定!$B$13="最小化",-Q2632,-ABS(Q2632-01_因子設定!$B$16))),-1E+030)</f>
        <v>45.2748792613637</v>
      </c>
      <c r="Y2632" s="55" t="n">
        <f aca="false">W2632+ROW()*0.000000001</f>
        <v>-4.29944930390581</v>
      </c>
      <c r="Z2632" s="55" t="n">
        <f aca="false">X2632+ROW()*0.000000001</f>
        <v>45.2748818933637</v>
      </c>
    </row>
    <row r="2633" customFormat="false" ht="15" hidden="false" customHeight="false" outlineLevel="0" collapsed="false">
      <c r="A2633" s="0" t="n">
        <v>9</v>
      </c>
      <c r="B2633" s="0" t="n">
        <v>1</v>
      </c>
      <c r="C2633" s="0" t="n">
        <v>10</v>
      </c>
      <c r="D2633" s="0" t="n">
        <f aca="false">-1+A2633*0.125</f>
        <v>0.125</v>
      </c>
      <c r="E2633" s="0" t="n">
        <f aca="false">-1+B2633*0.125</f>
        <v>-0.875</v>
      </c>
      <c r="F2633" s="0" t="n">
        <f aca="false">-1+C2633*0.125</f>
        <v>0.25</v>
      </c>
      <c r="G2633" s="0" t="n">
        <f aca="false">1</f>
        <v>1</v>
      </c>
      <c r="H2633" s="0" t="n">
        <f aca="false">D2633</f>
        <v>0.125</v>
      </c>
      <c r="I2633" s="0" t="n">
        <f aca="false">E2633</f>
        <v>-0.875</v>
      </c>
      <c r="J2633" s="0" t="n">
        <f aca="false">F2633</f>
        <v>0.25</v>
      </c>
      <c r="K2633" s="0" t="n">
        <f aca="false">D2633*E2633</f>
        <v>-0.109375</v>
      </c>
      <c r="L2633" s="0" t="n">
        <f aca="false">D2633*F2633</f>
        <v>0.03125</v>
      </c>
      <c r="M2633" s="0" t="n">
        <f aca="false">E2633*F2633</f>
        <v>-0.21875</v>
      </c>
      <c r="N2633" s="0" t="n">
        <f aca="false">D2633*D2633</f>
        <v>0.015625</v>
      </c>
      <c r="O2633" s="0" t="n">
        <f aca="false">E2633*E2633</f>
        <v>0.765625</v>
      </c>
      <c r="P2633" s="0" t="n">
        <f aca="false">F2633*F2633</f>
        <v>0.0625</v>
      </c>
      <c r="Q2633" s="0" t="n">
        <f aca="false">SUMPRODUCT(G2633:P2633,_XtX!$B$71:$K$71)</f>
        <v>45.3406321022727</v>
      </c>
      <c r="R2633" s="0" t="n">
        <f aca="false">SUMPRODUCT(MMULT(G2633:P2633,_XtX!$B$58:$K$67),G2633:P2633)</f>
        <v>0.331537974964489</v>
      </c>
      <c r="S2633" s="0" t="n">
        <f aca="false">04_回帰ANOVA!$K$19*04_回帰ANOVA!$K$14*SQRT(1+R2633)</f>
        <v>1.07286089161565</v>
      </c>
      <c r="T2633" s="0" t="n">
        <f aca="false">Q2633-S2633</f>
        <v>44.2677712106571</v>
      </c>
      <c r="U2633" s="0" t="n">
        <f aca="false">Q2633+S2633</f>
        <v>46.4134929938884</v>
      </c>
      <c r="V2633" s="54" t="b">
        <f aca="false">AND(D2633&gt;=01_因子設定!$L$5-0.000000001,D2633&lt;=01_因子設定!$M$5+0.000000001,E2633&gt;=01_因子設定!$L$6-0.000000001,E2633&lt;=01_因子設定!$M$6+0.000000001,F2633&gt;=01_因子設定!$L$7-0.000000001,F2633&lt;=01_因子設定!$M$7+0.000000001,IF(01_因子設定!$B$20="Box-Behnken",D2633^2+E2633^2+F2633^2&lt;=2+0.000000001,TRUE()))</f>
        <v>1</v>
      </c>
      <c r="W2633" s="55" t="n">
        <f aca="false">IF(V2633,IF(01_因子設定!$B$13="最大化",T2633-01_因子設定!$B$14,IF(01_因子設定!$B$13="最小化",01_因子設定!$B$15-U2633,MIN(T2633-01_因子設定!$B$14,01_因子設定!$B$15-U2633))),-1E+030)</f>
        <v>-4.23222878934291</v>
      </c>
      <c r="X2633" s="55" t="n">
        <f aca="false">IF(V2633,IF(01_因子設定!$B$13="最大化",Q2633,IF(01_因子設定!$B$13="最小化",-Q2633,-ABS(Q2633-01_因子設定!$B$16))),-1E+030)</f>
        <v>45.3406321022727</v>
      </c>
      <c r="Y2633" s="55" t="n">
        <f aca="false">W2633+ROW()*0.000000001</f>
        <v>-4.23222615634291</v>
      </c>
      <c r="Z2633" s="55" t="n">
        <f aca="false">X2633+ROW()*0.000000001</f>
        <v>45.3406347352727</v>
      </c>
    </row>
    <row r="2634" customFormat="false" ht="15" hidden="false" customHeight="false" outlineLevel="0" collapsed="false">
      <c r="A2634" s="0" t="n">
        <v>9</v>
      </c>
      <c r="B2634" s="0" t="n">
        <v>1</v>
      </c>
      <c r="C2634" s="0" t="n">
        <v>11</v>
      </c>
      <c r="D2634" s="0" t="n">
        <f aca="false">-1+A2634*0.125</f>
        <v>0.125</v>
      </c>
      <c r="E2634" s="0" t="n">
        <f aca="false">-1+B2634*0.125</f>
        <v>-0.875</v>
      </c>
      <c r="F2634" s="0" t="n">
        <f aca="false">-1+C2634*0.125</f>
        <v>0.375</v>
      </c>
      <c r="G2634" s="0" t="n">
        <f aca="false">1</f>
        <v>1</v>
      </c>
      <c r="H2634" s="0" t="n">
        <f aca="false">D2634</f>
        <v>0.125</v>
      </c>
      <c r="I2634" s="0" t="n">
        <f aca="false">E2634</f>
        <v>-0.875</v>
      </c>
      <c r="J2634" s="0" t="n">
        <f aca="false">F2634</f>
        <v>0.375</v>
      </c>
      <c r="K2634" s="0" t="n">
        <f aca="false">D2634*E2634</f>
        <v>-0.109375</v>
      </c>
      <c r="L2634" s="0" t="n">
        <f aca="false">D2634*F2634</f>
        <v>0.046875</v>
      </c>
      <c r="M2634" s="0" t="n">
        <f aca="false">E2634*F2634</f>
        <v>-0.328125</v>
      </c>
      <c r="N2634" s="0" t="n">
        <f aca="false">D2634*D2634</f>
        <v>0.015625</v>
      </c>
      <c r="O2634" s="0" t="n">
        <f aca="false">E2634*E2634</f>
        <v>0.765625</v>
      </c>
      <c r="P2634" s="0" t="n">
        <f aca="false">F2634*F2634</f>
        <v>0.140625</v>
      </c>
      <c r="Q2634" s="0" t="n">
        <f aca="false">SUMPRODUCT(G2634:P2634,_XtX!$B$71:$K$71)</f>
        <v>45.3695951704546</v>
      </c>
      <c r="R2634" s="0" t="n">
        <f aca="false">SUMPRODUCT(MMULT(G2634:P2634,_XtX!$B$58:$K$67),G2634:P2634)</f>
        <v>0.32900224165483</v>
      </c>
      <c r="S2634" s="0" t="n">
        <f aca="false">04_回帰ANOVA!$K$19*04_回帰ANOVA!$K$14*SQRT(1+R2634)</f>
        <v>1.07183884583628</v>
      </c>
      <c r="T2634" s="0" t="n">
        <f aca="false">Q2634-S2634</f>
        <v>44.2977563246183</v>
      </c>
      <c r="U2634" s="0" t="n">
        <f aca="false">Q2634+S2634</f>
        <v>46.4414340162908</v>
      </c>
      <c r="V2634" s="54" t="b">
        <f aca="false">AND(D2634&gt;=01_因子設定!$L$5-0.000000001,D2634&lt;=01_因子設定!$M$5+0.000000001,E2634&gt;=01_因子設定!$L$6-0.000000001,E2634&lt;=01_因子設定!$M$6+0.000000001,F2634&gt;=01_因子設定!$L$7-0.000000001,F2634&lt;=01_因子設定!$M$7+0.000000001,IF(01_因子設定!$B$20="Box-Behnken",D2634^2+E2634^2+F2634^2&lt;=2+0.000000001,TRUE()))</f>
        <v>1</v>
      </c>
      <c r="W2634" s="55" t="n">
        <f aca="false">IF(V2634,IF(01_因子設定!$B$13="最大化",T2634-01_因子設定!$B$14,IF(01_因子設定!$B$13="最小化",01_因子設定!$B$15-U2634,MIN(T2634-01_因子設定!$B$14,01_因子設定!$B$15-U2634))),-1E+030)</f>
        <v>-4.20224367538172</v>
      </c>
      <c r="X2634" s="55" t="n">
        <f aca="false">IF(V2634,IF(01_因子設定!$B$13="最大化",Q2634,IF(01_因子設定!$B$13="最小化",-Q2634,-ABS(Q2634-01_因子設定!$B$16))),-1E+030)</f>
        <v>45.3695951704546</v>
      </c>
      <c r="Y2634" s="55" t="n">
        <f aca="false">W2634+ROW()*0.000000001</f>
        <v>-4.20224104138172</v>
      </c>
      <c r="Z2634" s="55" t="n">
        <f aca="false">X2634+ROW()*0.000000001</f>
        <v>45.3695978044546</v>
      </c>
    </row>
    <row r="2635" customFormat="false" ht="15" hidden="false" customHeight="false" outlineLevel="0" collapsed="false">
      <c r="A2635" s="0" t="n">
        <v>9</v>
      </c>
      <c r="B2635" s="0" t="n">
        <v>1</v>
      </c>
      <c r="C2635" s="0" t="n">
        <v>12</v>
      </c>
      <c r="D2635" s="0" t="n">
        <f aca="false">-1+A2635*0.125</f>
        <v>0.125</v>
      </c>
      <c r="E2635" s="0" t="n">
        <f aca="false">-1+B2635*0.125</f>
        <v>-0.875</v>
      </c>
      <c r="F2635" s="0" t="n">
        <f aca="false">-1+C2635*0.125</f>
        <v>0.5</v>
      </c>
      <c r="G2635" s="0" t="n">
        <f aca="false">1</f>
        <v>1</v>
      </c>
      <c r="H2635" s="0" t="n">
        <f aca="false">D2635</f>
        <v>0.125</v>
      </c>
      <c r="I2635" s="0" t="n">
        <f aca="false">E2635</f>
        <v>-0.875</v>
      </c>
      <c r="J2635" s="0" t="n">
        <f aca="false">F2635</f>
        <v>0.5</v>
      </c>
      <c r="K2635" s="0" t="n">
        <f aca="false">D2635*E2635</f>
        <v>-0.109375</v>
      </c>
      <c r="L2635" s="0" t="n">
        <f aca="false">D2635*F2635</f>
        <v>0.0625</v>
      </c>
      <c r="M2635" s="0" t="n">
        <f aca="false">E2635*F2635</f>
        <v>-0.4375</v>
      </c>
      <c r="N2635" s="0" t="n">
        <f aca="false">D2635*D2635</f>
        <v>0.015625</v>
      </c>
      <c r="O2635" s="0" t="n">
        <f aca="false">E2635*E2635</f>
        <v>0.765625</v>
      </c>
      <c r="P2635" s="0" t="n">
        <f aca="false">F2635*F2635</f>
        <v>0.25</v>
      </c>
      <c r="Q2635" s="0" t="n">
        <f aca="false">SUMPRODUCT(G2635:P2635,_XtX!$B$71:$K$71)</f>
        <v>45.3617684659091</v>
      </c>
      <c r="R2635" s="0" t="n">
        <f aca="false">SUMPRODUCT(MMULT(G2635:P2635,_XtX!$B$58:$K$67),G2635:P2635)</f>
        <v>0.332909601384943</v>
      </c>
      <c r="S2635" s="0" t="n">
        <f aca="false">04_回帰ANOVA!$K$19*04_回帰ANOVA!$K$14*SQRT(1+R2635)</f>
        <v>1.07341333007404</v>
      </c>
      <c r="T2635" s="0" t="n">
        <f aca="false">Q2635-S2635</f>
        <v>44.2883551358351</v>
      </c>
      <c r="U2635" s="0" t="n">
        <f aca="false">Q2635+S2635</f>
        <v>46.4351817959832</v>
      </c>
      <c r="V2635" s="54" t="b">
        <f aca="false">AND(D2635&gt;=01_因子設定!$L$5-0.000000001,D2635&lt;=01_因子設定!$M$5+0.000000001,E2635&gt;=01_因子設定!$L$6-0.000000001,E2635&lt;=01_因子設定!$M$6+0.000000001,F2635&gt;=01_因子設定!$L$7-0.000000001,F2635&lt;=01_因子設定!$M$7+0.000000001,IF(01_因子設定!$B$20="Box-Behnken",D2635^2+E2635^2+F2635^2&lt;=2+0.000000001,TRUE()))</f>
        <v>1</v>
      </c>
      <c r="W2635" s="55" t="n">
        <f aca="false">IF(V2635,IF(01_因子設定!$B$13="最大化",T2635-01_因子設定!$B$14,IF(01_因子設定!$B$13="最小化",01_因子設定!$B$15-U2635,MIN(T2635-01_因子設定!$B$14,01_因子設定!$B$15-U2635))),-1E+030)</f>
        <v>-4.21164486416493</v>
      </c>
      <c r="X2635" s="55" t="n">
        <f aca="false">IF(V2635,IF(01_因子設定!$B$13="最大化",Q2635,IF(01_因子設定!$B$13="最小化",-Q2635,-ABS(Q2635-01_因子設定!$B$16))),-1E+030)</f>
        <v>45.3617684659091</v>
      </c>
      <c r="Y2635" s="55" t="n">
        <f aca="false">W2635+ROW()*0.000000001</f>
        <v>-4.21164222916493</v>
      </c>
      <c r="Z2635" s="55" t="n">
        <f aca="false">X2635+ROW()*0.000000001</f>
        <v>45.3617711009091</v>
      </c>
    </row>
    <row r="2636" customFormat="false" ht="15" hidden="false" customHeight="false" outlineLevel="0" collapsed="false">
      <c r="A2636" s="0" t="n">
        <v>9</v>
      </c>
      <c r="B2636" s="0" t="n">
        <v>1</v>
      </c>
      <c r="C2636" s="0" t="n">
        <v>13</v>
      </c>
      <c r="D2636" s="0" t="n">
        <f aca="false">-1+A2636*0.125</f>
        <v>0.125</v>
      </c>
      <c r="E2636" s="0" t="n">
        <f aca="false">-1+B2636*0.125</f>
        <v>-0.875</v>
      </c>
      <c r="F2636" s="0" t="n">
        <f aca="false">-1+C2636*0.125</f>
        <v>0.625</v>
      </c>
      <c r="G2636" s="0" t="n">
        <f aca="false">1</f>
        <v>1</v>
      </c>
      <c r="H2636" s="0" t="n">
        <f aca="false">D2636</f>
        <v>0.125</v>
      </c>
      <c r="I2636" s="0" t="n">
        <f aca="false">E2636</f>
        <v>-0.875</v>
      </c>
      <c r="J2636" s="0" t="n">
        <f aca="false">F2636</f>
        <v>0.625</v>
      </c>
      <c r="K2636" s="0" t="n">
        <f aca="false">D2636*E2636</f>
        <v>-0.109375</v>
      </c>
      <c r="L2636" s="0" t="n">
        <f aca="false">D2636*F2636</f>
        <v>0.078125</v>
      </c>
      <c r="M2636" s="0" t="n">
        <f aca="false">E2636*F2636</f>
        <v>-0.546875</v>
      </c>
      <c r="N2636" s="0" t="n">
        <f aca="false">D2636*D2636</f>
        <v>0.015625</v>
      </c>
      <c r="O2636" s="0" t="n">
        <f aca="false">E2636*E2636</f>
        <v>0.765625</v>
      </c>
      <c r="P2636" s="0" t="n">
        <f aca="false">F2636*F2636</f>
        <v>0.390625</v>
      </c>
      <c r="Q2636" s="0" t="n">
        <f aca="false">SUMPRODUCT(G2636:P2636,_XtX!$B$71:$K$71)</f>
        <v>45.3171519886364</v>
      </c>
      <c r="R2636" s="0" t="n">
        <f aca="false">SUMPRODUCT(MMULT(G2636:P2636,_XtX!$B$58:$K$67),G2636:P2636)</f>
        <v>0.350717440518466</v>
      </c>
      <c r="S2636" s="0" t="n">
        <f aca="false">04_回帰ANOVA!$K$19*04_回帰ANOVA!$K$14*SQRT(1+R2636)</f>
        <v>1.08056000737898</v>
      </c>
      <c r="T2636" s="0" t="n">
        <f aca="false">Q2636-S2636</f>
        <v>44.2365919812574</v>
      </c>
      <c r="U2636" s="0" t="n">
        <f aca="false">Q2636+S2636</f>
        <v>46.3977119960154</v>
      </c>
      <c r="V2636" s="54" t="b">
        <f aca="false">AND(D2636&gt;=01_因子設定!$L$5-0.000000001,D2636&lt;=01_因子設定!$M$5+0.000000001,E2636&gt;=01_因子設定!$L$6-0.000000001,E2636&lt;=01_因子設定!$M$6+0.000000001,F2636&gt;=01_因子設定!$L$7-0.000000001,F2636&lt;=01_因子設定!$M$7+0.000000001,IF(01_因子設定!$B$20="Box-Behnken",D2636^2+E2636^2+F2636^2&lt;=2+0.000000001,TRUE()))</f>
        <v>1</v>
      </c>
      <c r="W2636" s="55" t="n">
        <f aca="false">IF(V2636,IF(01_因子設定!$B$13="最大化",T2636-01_因子設定!$B$14,IF(01_因子設定!$B$13="最小化",01_因子設定!$B$15-U2636,MIN(T2636-01_因子設定!$B$14,01_因子設定!$B$15-U2636))),-1E+030)</f>
        <v>-4.2634080187426</v>
      </c>
      <c r="X2636" s="55" t="n">
        <f aca="false">IF(V2636,IF(01_因子設定!$B$13="最大化",Q2636,IF(01_因子設定!$B$13="最小化",-Q2636,-ABS(Q2636-01_因子設定!$B$16))),-1E+030)</f>
        <v>45.3171519886364</v>
      </c>
      <c r="Y2636" s="55" t="n">
        <f aca="false">W2636+ROW()*0.000000001</f>
        <v>-4.2634053827426</v>
      </c>
      <c r="Z2636" s="55" t="n">
        <f aca="false">X2636+ROW()*0.000000001</f>
        <v>45.3171546246364</v>
      </c>
    </row>
    <row r="2637" customFormat="false" ht="15" hidden="false" customHeight="false" outlineLevel="0" collapsed="false">
      <c r="A2637" s="0" t="n">
        <v>9</v>
      </c>
      <c r="B2637" s="0" t="n">
        <v>1</v>
      </c>
      <c r="C2637" s="0" t="n">
        <v>14</v>
      </c>
      <c r="D2637" s="0" t="n">
        <f aca="false">-1+A2637*0.125</f>
        <v>0.125</v>
      </c>
      <c r="E2637" s="0" t="n">
        <f aca="false">-1+B2637*0.125</f>
        <v>-0.875</v>
      </c>
      <c r="F2637" s="0" t="n">
        <f aca="false">-1+C2637*0.125</f>
        <v>0.75</v>
      </c>
      <c r="G2637" s="0" t="n">
        <f aca="false">1</f>
        <v>1</v>
      </c>
      <c r="H2637" s="0" t="n">
        <f aca="false">D2637</f>
        <v>0.125</v>
      </c>
      <c r="I2637" s="0" t="n">
        <f aca="false">E2637</f>
        <v>-0.875</v>
      </c>
      <c r="J2637" s="0" t="n">
        <f aca="false">F2637</f>
        <v>0.75</v>
      </c>
      <c r="K2637" s="0" t="n">
        <f aca="false">D2637*E2637</f>
        <v>-0.109375</v>
      </c>
      <c r="L2637" s="0" t="n">
        <f aca="false">D2637*F2637</f>
        <v>0.09375</v>
      </c>
      <c r="M2637" s="0" t="n">
        <f aca="false">E2637*F2637</f>
        <v>-0.65625</v>
      </c>
      <c r="N2637" s="0" t="n">
        <f aca="false">D2637*D2637</f>
        <v>0.015625</v>
      </c>
      <c r="O2637" s="0" t="n">
        <f aca="false">E2637*E2637</f>
        <v>0.765625</v>
      </c>
      <c r="P2637" s="0" t="n">
        <f aca="false">F2637*F2637</f>
        <v>0.5625</v>
      </c>
      <c r="Q2637" s="0" t="n">
        <f aca="false">SUMPRODUCT(G2637:P2637,_XtX!$B$71:$K$71)</f>
        <v>45.2357457386364</v>
      </c>
      <c r="R2637" s="0" t="n">
        <f aca="false">SUMPRODUCT(MMULT(G2637:P2637,_XtX!$B$58:$K$67),G2637:P2637)</f>
        <v>0.392013827237216</v>
      </c>
      <c r="S2637" s="0" t="n">
        <f aca="false">04_回帰ANOVA!$K$19*04_回帰ANOVA!$K$14*SQRT(1+R2637)</f>
        <v>1.09695398627251</v>
      </c>
      <c r="T2637" s="0" t="n">
        <f aca="false">Q2637-S2637</f>
        <v>44.1387917523639</v>
      </c>
      <c r="U2637" s="0" t="n">
        <f aca="false">Q2637+S2637</f>
        <v>46.3326997249089</v>
      </c>
      <c r="V2637" s="54" t="b">
        <f aca="false">AND(D2637&gt;=01_因子設定!$L$5-0.000000001,D2637&lt;=01_因子設定!$M$5+0.000000001,E2637&gt;=01_因子設定!$L$6-0.000000001,E2637&lt;=01_因子設定!$M$6+0.000000001,F2637&gt;=01_因子設定!$L$7-0.000000001,F2637&lt;=01_因子設定!$M$7+0.000000001,IF(01_因子設定!$B$20="Box-Behnken",D2637^2+E2637^2+F2637^2&lt;=2+0.000000001,TRUE()))</f>
        <v>1</v>
      </c>
      <c r="W2637" s="55" t="n">
        <f aca="false">IF(V2637,IF(01_因子設定!$B$13="最大化",T2637-01_因子設定!$B$14,IF(01_因子設定!$B$13="最小化",01_因子設定!$B$15-U2637,MIN(T2637-01_因子設定!$B$14,01_因子設定!$B$15-U2637))),-1E+030)</f>
        <v>-4.36120824763612</v>
      </c>
      <c r="X2637" s="55" t="n">
        <f aca="false">IF(V2637,IF(01_因子設定!$B$13="最大化",Q2637,IF(01_因子設定!$B$13="最小化",-Q2637,-ABS(Q2637-01_因子設定!$B$16))),-1E+030)</f>
        <v>45.2357457386364</v>
      </c>
      <c r="Y2637" s="55" t="n">
        <f aca="false">W2637+ROW()*0.000000001</f>
        <v>-4.36120561063612</v>
      </c>
      <c r="Z2637" s="55" t="n">
        <f aca="false">X2637+ROW()*0.000000001</f>
        <v>45.2357483756364</v>
      </c>
    </row>
    <row r="2638" customFormat="false" ht="15" hidden="false" customHeight="false" outlineLevel="0" collapsed="false">
      <c r="A2638" s="0" t="n">
        <v>9</v>
      </c>
      <c r="B2638" s="0" t="n">
        <v>1</v>
      </c>
      <c r="C2638" s="0" t="n">
        <v>15</v>
      </c>
      <c r="D2638" s="0" t="n">
        <f aca="false">-1+A2638*0.125</f>
        <v>0.125</v>
      </c>
      <c r="E2638" s="0" t="n">
        <f aca="false">-1+B2638*0.125</f>
        <v>-0.875</v>
      </c>
      <c r="F2638" s="0" t="n">
        <f aca="false">-1+C2638*0.125</f>
        <v>0.875</v>
      </c>
      <c r="G2638" s="0" t="n">
        <f aca="false">1</f>
        <v>1</v>
      </c>
      <c r="H2638" s="0" t="n">
        <f aca="false">D2638</f>
        <v>0.125</v>
      </c>
      <c r="I2638" s="0" t="n">
        <f aca="false">E2638</f>
        <v>-0.875</v>
      </c>
      <c r="J2638" s="0" t="n">
        <f aca="false">F2638</f>
        <v>0.875</v>
      </c>
      <c r="K2638" s="0" t="n">
        <f aca="false">D2638*E2638</f>
        <v>-0.109375</v>
      </c>
      <c r="L2638" s="0" t="n">
        <f aca="false">D2638*F2638</f>
        <v>0.109375</v>
      </c>
      <c r="M2638" s="0" t="n">
        <f aca="false">E2638*F2638</f>
        <v>-0.765625</v>
      </c>
      <c r="N2638" s="0" t="n">
        <f aca="false">D2638*D2638</f>
        <v>0.015625</v>
      </c>
      <c r="O2638" s="0" t="n">
        <f aca="false">E2638*E2638</f>
        <v>0.765625</v>
      </c>
      <c r="P2638" s="0" t="n">
        <f aca="false">F2638*F2638</f>
        <v>0.765625</v>
      </c>
      <c r="Q2638" s="0" t="n">
        <f aca="false">SUMPRODUCT(G2638:P2638,_XtX!$B$71:$K$71)</f>
        <v>45.1175497159091</v>
      </c>
      <c r="R2638" s="0" t="n">
        <f aca="false">SUMPRODUCT(MMULT(G2638:P2638,_XtX!$B$58:$K$67),G2638:P2638)</f>
        <v>0.468517511541193</v>
      </c>
      <c r="S2638" s="0" t="n">
        <f aca="false">04_回帰ANOVA!$K$19*04_回帰ANOVA!$K$14*SQRT(1+R2638)</f>
        <v>1.12669456902645</v>
      </c>
      <c r="T2638" s="0" t="n">
        <f aca="false">Q2638-S2638</f>
        <v>43.9908551468827</v>
      </c>
      <c r="U2638" s="0" t="n">
        <f aca="false">Q2638+S2638</f>
        <v>46.2442442849356</v>
      </c>
      <c r="V2638" s="54" t="b">
        <f aca="false">AND(D2638&gt;=01_因子設定!$L$5-0.000000001,D2638&lt;=01_因子設定!$M$5+0.000000001,E2638&gt;=01_因子設定!$L$6-0.000000001,E2638&lt;=01_因子設定!$M$6+0.000000001,F2638&gt;=01_因子設定!$L$7-0.000000001,F2638&lt;=01_因子設定!$M$7+0.000000001,IF(01_因子設定!$B$20="Box-Behnken",D2638^2+E2638^2+F2638^2&lt;=2+0.000000001,TRUE()))</f>
        <v>1</v>
      </c>
      <c r="W2638" s="55" t="n">
        <f aca="false">IF(V2638,IF(01_因子設定!$B$13="最大化",T2638-01_因子設定!$B$14,IF(01_因子設定!$B$13="最小化",01_因子設定!$B$15-U2638,MIN(T2638-01_因子設定!$B$14,01_因子設定!$B$15-U2638))),-1E+030)</f>
        <v>-4.50914485311733</v>
      </c>
      <c r="X2638" s="55" t="n">
        <f aca="false">IF(V2638,IF(01_因子設定!$B$13="最大化",Q2638,IF(01_因子設定!$B$13="最小化",-Q2638,-ABS(Q2638-01_因子設定!$B$16))),-1E+030)</f>
        <v>45.1175497159091</v>
      </c>
      <c r="Y2638" s="55" t="n">
        <f aca="false">W2638+ROW()*0.000000001</f>
        <v>-4.50914221511733</v>
      </c>
      <c r="Z2638" s="55" t="n">
        <f aca="false">X2638+ROW()*0.000000001</f>
        <v>45.1175523539091</v>
      </c>
    </row>
    <row r="2639" customFormat="false" ht="15" hidden="false" customHeight="false" outlineLevel="0" collapsed="false">
      <c r="A2639" s="0" t="n">
        <v>9</v>
      </c>
      <c r="B2639" s="0" t="n">
        <v>1</v>
      </c>
      <c r="C2639" s="0" t="n">
        <v>16</v>
      </c>
      <c r="D2639" s="0" t="n">
        <f aca="false">-1+A2639*0.125</f>
        <v>0.125</v>
      </c>
      <c r="E2639" s="0" t="n">
        <f aca="false">-1+B2639*0.125</f>
        <v>-0.875</v>
      </c>
      <c r="F2639" s="0" t="n">
        <f aca="false">-1+C2639*0.125</f>
        <v>1</v>
      </c>
      <c r="G2639" s="0" t="n">
        <f aca="false">1</f>
        <v>1</v>
      </c>
      <c r="H2639" s="0" t="n">
        <f aca="false">D2639</f>
        <v>0.125</v>
      </c>
      <c r="I2639" s="0" t="n">
        <f aca="false">E2639</f>
        <v>-0.875</v>
      </c>
      <c r="J2639" s="0" t="n">
        <f aca="false">F2639</f>
        <v>1</v>
      </c>
      <c r="K2639" s="0" t="n">
        <f aca="false">D2639*E2639</f>
        <v>-0.109375</v>
      </c>
      <c r="L2639" s="0" t="n">
        <f aca="false">D2639*F2639</f>
        <v>0.125</v>
      </c>
      <c r="M2639" s="0" t="n">
        <f aca="false">E2639*F2639</f>
        <v>-0.875</v>
      </c>
      <c r="N2639" s="0" t="n">
        <f aca="false">D2639*D2639</f>
        <v>0.015625</v>
      </c>
      <c r="O2639" s="0" t="n">
        <f aca="false">E2639*E2639</f>
        <v>0.765625</v>
      </c>
      <c r="P2639" s="0" t="n">
        <f aca="false">F2639*F2639</f>
        <v>1</v>
      </c>
      <c r="Q2639" s="0" t="n">
        <f aca="false">SUMPRODUCT(G2639:P2639,_XtX!$B$71:$K$71)</f>
        <v>44.9625639204546</v>
      </c>
      <c r="R2639" s="0" t="n">
        <f aca="false">SUMPRODUCT(MMULT(G2639:P2639,_XtX!$B$58:$K$67),G2639:P2639)</f>
        <v>0.59407792524858</v>
      </c>
      <c r="S2639" s="0" t="n">
        <f aca="false">04_回帰ANOVA!$K$19*04_回帰ANOVA!$K$14*SQRT(1+R2639)</f>
        <v>1.17387380087722</v>
      </c>
      <c r="T2639" s="0" t="n">
        <f aca="false">Q2639-S2639</f>
        <v>43.7886901195774</v>
      </c>
      <c r="U2639" s="0" t="n">
        <f aca="false">Q2639+S2639</f>
        <v>46.1364377213318</v>
      </c>
      <c r="V2639" s="54" t="b">
        <f aca="false">AND(D2639&gt;=01_因子設定!$L$5-0.000000001,D2639&lt;=01_因子設定!$M$5+0.000000001,E2639&gt;=01_因子設定!$L$6-0.000000001,E2639&lt;=01_因子設定!$M$6+0.000000001,F2639&gt;=01_因子設定!$L$7-0.000000001,F2639&lt;=01_因子設定!$M$7+0.000000001,IF(01_因子設定!$B$20="Box-Behnken",D2639^2+E2639^2+F2639^2&lt;=2+0.000000001,TRUE()))</f>
        <v>1</v>
      </c>
      <c r="W2639" s="55" t="n">
        <f aca="false">IF(V2639,IF(01_因子設定!$B$13="最大化",T2639-01_因子設定!$B$14,IF(01_因子設定!$B$13="最小化",01_因子設定!$B$15-U2639,MIN(T2639-01_因子設定!$B$14,01_因子設定!$B$15-U2639))),-1E+030)</f>
        <v>-4.71130988042264</v>
      </c>
      <c r="X2639" s="55" t="n">
        <f aca="false">IF(V2639,IF(01_因子設定!$B$13="最大化",Q2639,IF(01_因子設定!$B$13="最小化",-Q2639,-ABS(Q2639-01_因子設定!$B$16))),-1E+030)</f>
        <v>44.9625639204546</v>
      </c>
      <c r="Y2639" s="55" t="n">
        <f aca="false">W2639+ROW()*0.000000001</f>
        <v>-4.71130724142264</v>
      </c>
      <c r="Z2639" s="55" t="n">
        <f aca="false">X2639+ROW()*0.000000001</f>
        <v>44.9625665594546</v>
      </c>
    </row>
    <row r="2640" customFormat="false" ht="15" hidden="false" customHeight="false" outlineLevel="0" collapsed="false">
      <c r="A2640" s="0" t="n">
        <v>9</v>
      </c>
      <c r="B2640" s="0" t="n">
        <v>2</v>
      </c>
      <c r="C2640" s="0" t="n">
        <v>0</v>
      </c>
      <c r="D2640" s="0" t="n">
        <f aca="false">-1+A2640*0.125</f>
        <v>0.125</v>
      </c>
      <c r="E2640" s="0" t="n">
        <f aca="false">-1+B2640*0.125</f>
        <v>-0.75</v>
      </c>
      <c r="F2640" s="0" t="n">
        <f aca="false">-1+C2640*0.125</f>
        <v>-1</v>
      </c>
      <c r="G2640" s="0" t="n">
        <f aca="false">1</f>
        <v>1</v>
      </c>
      <c r="H2640" s="0" t="n">
        <f aca="false">D2640</f>
        <v>0.125</v>
      </c>
      <c r="I2640" s="0" t="n">
        <f aca="false">E2640</f>
        <v>-0.75</v>
      </c>
      <c r="J2640" s="0" t="n">
        <f aca="false">F2640</f>
        <v>-1</v>
      </c>
      <c r="K2640" s="0" t="n">
        <f aca="false">D2640*E2640</f>
        <v>-0.09375</v>
      </c>
      <c r="L2640" s="0" t="n">
        <f aca="false">D2640*F2640</f>
        <v>-0.125</v>
      </c>
      <c r="M2640" s="0" t="n">
        <f aca="false">E2640*F2640</f>
        <v>0.75</v>
      </c>
      <c r="N2640" s="0" t="n">
        <f aca="false">D2640*D2640</f>
        <v>0.015625</v>
      </c>
      <c r="O2640" s="0" t="n">
        <f aca="false">E2640*E2640</f>
        <v>0.5625</v>
      </c>
      <c r="P2640" s="0" t="n">
        <f aca="false">F2640*F2640</f>
        <v>1</v>
      </c>
      <c r="Q2640" s="0" t="n">
        <f aca="false">SUMPRODUCT(G2640:P2640,_XtX!$B$71:$K$71)</f>
        <v>43.6609943181819</v>
      </c>
      <c r="R2640" s="0" t="n">
        <f aca="false">SUMPRODUCT(MMULT(G2640:P2640,_XtX!$B$58:$K$67),G2640:P2640)</f>
        <v>0.524607155539773</v>
      </c>
      <c r="S2640" s="0" t="n">
        <f aca="false">04_回帰ANOVA!$K$19*04_回帰ANOVA!$K$14*SQRT(1+R2640)</f>
        <v>1.14800984623412</v>
      </c>
      <c r="T2640" s="0" t="n">
        <f aca="false">Q2640-S2640</f>
        <v>42.5129844719477</v>
      </c>
      <c r="U2640" s="0" t="n">
        <f aca="false">Q2640+S2640</f>
        <v>44.809004164416</v>
      </c>
      <c r="V2640" s="54" t="b">
        <f aca="false">AND(D2640&gt;=01_因子設定!$L$5-0.000000001,D2640&lt;=01_因子設定!$M$5+0.000000001,E2640&gt;=01_因子設定!$L$6-0.000000001,E2640&lt;=01_因子設定!$M$6+0.000000001,F2640&gt;=01_因子設定!$L$7-0.000000001,F2640&lt;=01_因子設定!$M$7+0.000000001,IF(01_因子設定!$B$20="Box-Behnken",D2640^2+E2640^2+F2640^2&lt;=2+0.000000001,TRUE()))</f>
        <v>1</v>
      </c>
      <c r="W2640" s="55" t="n">
        <f aca="false">IF(V2640,IF(01_因子設定!$B$13="最大化",T2640-01_因子設定!$B$14,IF(01_因子設定!$B$13="最小化",01_因子設定!$B$15-U2640,MIN(T2640-01_因子設定!$B$14,01_因子設定!$B$15-U2640))),-1E+030)</f>
        <v>-5.98701552805227</v>
      </c>
      <c r="X2640" s="55" t="n">
        <f aca="false">IF(V2640,IF(01_因子設定!$B$13="最大化",Q2640,IF(01_因子設定!$B$13="最小化",-Q2640,-ABS(Q2640-01_因子設定!$B$16))),-1E+030)</f>
        <v>43.6609943181819</v>
      </c>
      <c r="Y2640" s="55" t="n">
        <f aca="false">W2640+ROW()*0.000000001</f>
        <v>-5.98701288805227</v>
      </c>
      <c r="Z2640" s="55" t="n">
        <f aca="false">X2640+ROW()*0.000000001</f>
        <v>43.6609969581819</v>
      </c>
    </row>
    <row r="2641" customFormat="false" ht="15" hidden="false" customHeight="false" outlineLevel="0" collapsed="false">
      <c r="A2641" s="0" t="n">
        <v>9</v>
      </c>
      <c r="B2641" s="0" t="n">
        <v>2</v>
      </c>
      <c r="C2641" s="0" t="n">
        <v>1</v>
      </c>
      <c r="D2641" s="0" t="n">
        <f aca="false">-1+A2641*0.125</f>
        <v>0.125</v>
      </c>
      <c r="E2641" s="0" t="n">
        <f aca="false">-1+B2641*0.125</f>
        <v>-0.75</v>
      </c>
      <c r="F2641" s="0" t="n">
        <f aca="false">-1+C2641*0.125</f>
        <v>-0.875</v>
      </c>
      <c r="G2641" s="0" t="n">
        <f aca="false">1</f>
        <v>1</v>
      </c>
      <c r="H2641" s="0" t="n">
        <f aca="false">D2641</f>
        <v>0.125</v>
      </c>
      <c r="I2641" s="0" t="n">
        <f aca="false">E2641</f>
        <v>-0.75</v>
      </c>
      <c r="J2641" s="0" t="n">
        <f aca="false">F2641</f>
        <v>-0.875</v>
      </c>
      <c r="K2641" s="0" t="n">
        <f aca="false">D2641*E2641</f>
        <v>-0.09375</v>
      </c>
      <c r="L2641" s="0" t="n">
        <f aca="false">D2641*F2641</f>
        <v>-0.109375</v>
      </c>
      <c r="M2641" s="0" t="n">
        <f aca="false">E2641*F2641</f>
        <v>0.65625</v>
      </c>
      <c r="N2641" s="0" t="n">
        <f aca="false">D2641*D2641</f>
        <v>0.015625</v>
      </c>
      <c r="O2641" s="0" t="n">
        <f aca="false">E2641*E2641</f>
        <v>0.5625</v>
      </c>
      <c r="P2641" s="0" t="n">
        <f aca="false">F2641*F2641</f>
        <v>0.765625</v>
      </c>
      <c r="Q2641" s="0" t="n">
        <f aca="false">SUMPRODUCT(G2641:P2641,_XtX!$B$71:$K$71)</f>
        <v>44.0648863636364</v>
      </c>
      <c r="R2641" s="0" t="n">
        <f aca="false">SUMPRODUCT(MMULT(G2641:P2641,_XtX!$B$58:$K$67),G2641:P2641)</f>
        <v>0.392013827237216</v>
      </c>
      <c r="S2641" s="0" t="n">
        <f aca="false">04_回帰ANOVA!$K$19*04_回帰ANOVA!$K$14*SQRT(1+R2641)</f>
        <v>1.09695398627251</v>
      </c>
      <c r="T2641" s="0" t="n">
        <f aca="false">Q2641-S2641</f>
        <v>42.9679323773639</v>
      </c>
      <c r="U2641" s="0" t="n">
        <f aca="false">Q2641+S2641</f>
        <v>45.1618403499089</v>
      </c>
      <c r="V2641" s="54" t="b">
        <f aca="false">AND(D2641&gt;=01_因子設定!$L$5-0.000000001,D2641&lt;=01_因子設定!$M$5+0.000000001,E2641&gt;=01_因子設定!$L$6-0.000000001,E2641&lt;=01_因子設定!$M$6+0.000000001,F2641&gt;=01_因子設定!$L$7-0.000000001,F2641&lt;=01_因子設定!$M$7+0.000000001,IF(01_因子設定!$B$20="Box-Behnken",D2641^2+E2641^2+F2641^2&lt;=2+0.000000001,TRUE()))</f>
        <v>1</v>
      </c>
      <c r="W2641" s="55" t="n">
        <f aca="false">IF(V2641,IF(01_因子設定!$B$13="最大化",T2641-01_因子設定!$B$14,IF(01_因子設定!$B$13="最小化",01_因子設定!$B$15-U2641,MIN(T2641-01_因子設定!$B$14,01_因子設定!$B$15-U2641))),-1E+030)</f>
        <v>-5.53206762263612</v>
      </c>
      <c r="X2641" s="55" t="n">
        <f aca="false">IF(V2641,IF(01_因子設定!$B$13="最大化",Q2641,IF(01_因子設定!$B$13="最小化",-Q2641,-ABS(Q2641-01_因子設定!$B$16))),-1E+030)</f>
        <v>44.0648863636364</v>
      </c>
      <c r="Y2641" s="55" t="n">
        <f aca="false">W2641+ROW()*0.000000001</f>
        <v>-5.53206498163612</v>
      </c>
      <c r="Z2641" s="55" t="n">
        <f aca="false">X2641+ROW()*0.000000001</f>
        <v>44.0648890046364</v>
      </c>
    </row>
    <row r="2642" customFormat="false" ht="15" hidden="false" customHeight="false" outlineLevel="0" collapsed="false">
      <c r="A2642" s="0" t="n">
        <v>9</v>
      </c>
      <c r="B2642" s="0" t="n">
        <v>2</v>
      </c>
      <c r="C2642" s="0" t="n">
        <v>2</v>
      </c>
      <c r="D2642" s="0" t="n">
        <f aca="false">-1+A2642*0.125</f>
        <v>0.125</v>
      </c>
      <c r="E2642" s="0" t="n">
        <f aca="false">-1+B2642*0.125</f>
        <v>-0.75</v>
      </c>
      <c r="F2642" s="0" t="n">
        <f aca="false">-1+C2642*0.125</f>
        <v>-0.75</v>
      </c>
      <c r="G2642" s="0" t="n">
        <f aca="false">1</f>
        <v>1</v>
      </c>
      <c r="H2642" s="0" t="n">
        <f aca="false">D2642</f>
        <v>0.125</v>
      </c>
      <c r="I2642" s="0" t="n">
        <f aca="false">E2642</f>
        <v>-0.75</v>
      </c>
      <c r="J2642" s="0" t="n">
        <f aca="false">F2642</f>
        <v>-0.75</v>
      </c>
      <c r="K2642" s="0" t="n">
        <f aca="false">D2642*E2642</f>
        <v>-0.09375</v>
      </c>
      <c r="L2642" s="0" t="n">
        <f aca="false">D2642*F2642</f>
        <v>-0.09375</v>
      </c>
      <c r="M2642" s="0" t="n">
        <f aca="false">E2642*F2642</f>
        <v>0.5625</v>
      </c>
      <c r="N2642" s="0" t="n">
        <f aca="false">D2642*D2642</f>
        <v>0.015625</v>
      </c>
      <c r="O2642" s="0" t="n">
        <f aca="false">E2642*E2642</f>
        <v>0.5625</v>
      </c>
      <c r="P2642" s="0" t="n">
        <f aca="false">F2642*F2642</f>
        <v>0.5625</v>
      </c>
      <c r="Q2642" s="0" t="n">
        <f aca="false">SUMPRODUCT(G2642:P2642,_XtX!$B$71:$K$71)</f>
        <v>44.4319886363637</v>
      </c>
      <c r="R2642" s="0" t="n">
        <f aca="false">SUMPRODUCT(MMULT(G2642:P2642,_XtX!$B$58:$K$67),G2642:P2642)</f>
        <v>0.309414950284091</v>
      </c>
      <c r="S2642" s="0" t="n">
        <f aca="false">04_回帰ANOVA!$K$19*04_回帰ANOVA!$K$14*SQRT(1+R2642)</f>
        <v>1.06391096196568</v>
      </c>
      <c r="T2642" s="0" t="n">
        <f aca="false">Q2642-S2642</f>
        <v>43.368077674398</v>
      </c>
      <c r="U2642" s="0" t="n">
        <f aca="false">Q2642+S2642</f>
        <v>45.4958995983293</v>
      </c>
      <c r="V2642" s="54" t="b">
        <f aca="false">AND(D2642&gt;=01_因子設定!$L$5-0.000000001,D2642&lt;=01_因子設定!$M$5+0.000000001,E2642&gt;=01_因子設定!$L$6-0.000000001,E2642&lt;=01_因子設定!$M$6+0.000000001,F2642&gt;=01_因子設定!$L$7-0.000000001,F2642&lt;=01_因子設定!$M$7+0.000000001,IF(01_因子設定!$B$20="Box-Behnken",D2642^2+E2642^2+F2642^2&lt;=2+0.000000001,TRUE()))</f>
        <v>1</v>
      </c>
      <c r="W2642" s="55" t="n">
        <f aca="false">IF(V2642,IF(01_因子設定!$B$13="最大化",T2642-01_因子設定!$B$14,IF(01_因子設定!$B$13="最小化",01_因子設定!$B$15-U2642,MIN(T2642-01_因子設定!$B$14,01_因子設定!$B$15-U2642))),-1E+030)</f>
        <v>-5.13192232560202</v>
      </c>
      <c r="X2642" s="55" t="n">
        <f aca="false">IF(V2642,IF(01_因子設定!$B$13="最大化",Q2642,IF(01_因子設定!$B$13="最小化",-Q2642,-ABS(Q2642-01_因子設定!$B$16))),-1E+030)</f>
        <v>44.4319886363637</v>
      </c>
      <c r="Y2642" s="55" t="n">
        <f aca="false">W2642+ROW()*0.000000001</f>
        <v>-5.13191968360202</v>
      </c>
      <c r="Z2642" s="55" t="n">
        <f aca="false">X2642+ROW()*0.000000001</f>
        <v>44.4319912783637</v>
      </c>
    </row>
    <row r="2643" customFormat="false" ht="15" hidden="false" customHeight="false" outlineLevel="0" collapsed="false">
      <c r="A2643" s="0" t="n">
        <v>9</v>
      </c>
      <c r="B2643" s="0" t="n">
        <v>2</v>
      </c>
      <c r="C2643" s="0" t="n">
        <v>3</v>
      </c>
      <c r="D2643" s="0" t="n">
        <f aca="false">-1+A2643*0.125</f>
        <v>0.125</v>
      </c>
      <c r="E2643" s="0" t="n">
        <f aca="false">-1+B2643*0.125</f>
        <v>-0.75</v>
      </c>
      <c r="F2643" s="0" t="n">
        <f aca="false">-1+C2643*0.125</f>
        <v>-0.625</v>
      </c>
      <c r="G2643" s="0" t="n">
        <f aca="false">1</f>
        <v>1</v>
      </c>
      <c r="H2643" s="0" t="n">
        <f aca="false">D2643</f>
        <v>0.125</v>
      </c>
      <c r="I2643" s="0" t="n">
        <f aca="false">E2643</f>
        <v>-0.75</v>
      </c>
      <c r="J2643" s="0" t="n">
        <f aca="false">F2643</f>
        <v>-0.625</v>
      </c>
      <c r="K2643" s="0" t="n">
        <f aca="false">D2643*E2643</f>
        <v>-0.09375</v>
      </c>
      <c r="L2643" s="0" t="n">
        <f aca="false">D2643*F2643</f>
        <v>-0.078125</v>
      </c>
      <c r="M2643" s="0" t="n">
        <f aca="false">E2643*F2643</f>
        <v>0.46875</v>
      </c>
      <c r="N2643" s="0" t="n">
        <f aca="false">D2643*D2643</f>
        <v>0.015625</v>
      </c>
      <c r="O2643" s="0" t="n">
        <f aca="false">E2643*E2643</f>
        <v>0.5625</v>
      </c>
      <c r="P2643" s="0" t="n">
        <f aca="false">F2643*F2643</f>
        <v>0.390625</v>
      </c>
      <c r="Q2643" s="0" t="n">
        <f aca="false">SUMPRODUCT(G2643:P2643,_XtX!$B$71:$K$71)</f>
        <v>44.7623011363637</v>
      </c>
      <c r="R2643" s="0" t="n">
        <f aca="false">SUMPRODUCT(MMULT(G2643:P2643,_XtX!$B$58:$K$67),G2643:P2643)</f>
        <v>0.262961092862216</v>
      </c>
      <c r="S2643" s="0" t="n">
        <f aca="false">04_回帰ANOVA!$K$19*04_回帰ANOVA!$K$14*SQRT(1+R2643)</f>
        <v>1.04486846483649</v>
      </c>
      <c r="T2643" s="0" t="n">
        <f aca="false">Q2643-S2643</f>
        <v>43.7174326715272</v>
      </c>
      <c r="U2643" s="0" t="n">
        <f aca="false">Q2643+S2643</f>
        <v>45.8071696012001</v>
      </c>
      <c r="V2643" s="54" t="b">
        <f aca="false">AND(D2643&gt;=01_因子設定!$L$5-0.000000001,D2643&lt;=01_因子設定!$M$5+0.000000001,E2643&gt;=01_因子設定!$L$6-0.000000001,E2643&lt;=01_因子設定!$M$6+0.000000001,F2643&gt;=01_因子設定!$L$7-0.000000001,F2643&lt;=01_因子設定!$M$7+0.000000001,IF(01_因子設定!$B$20="Box-Behnken",D2643^2+E2643^2+F2643^2&lt;=2+0.000000001,TRUE()))</f>
        <v>1</v>
      </c>
      <c r="W2643" s="55" t="n">
        <f aca="false">IF(V2643,IF(01_因子設定!$B$13="最大化",T2643-01_因子設定!$B$14,IF(01_因子設定!$B$13="最小化",01_因子設定!$B$15-U2643,MIN(T2643-01_因子設定!$B$14,01_因子設定!$B$15-U2643))),-1E+030)</f>
        <v>-4.78256732847283</v>
      </c>
      <c r="X2643" s="55" t="n">
        <f aca="false">IF(V2643,IF(01_因子設定!$B$13="最大化",Q2643,IF(01_因子設定!$B$13="最小化",-Q2643,-ABS(Q2643-01_因子設定!$B$16))),-1E+030)</f>
        <v>44.7623011363637</v>
      </c>
      <c r="Y2643" s="55" t="n">
        <f aca="false">W2643+ROW()*0.000000001</f>
        <v>-4.78256468547283</v>
      </c>
      <c r="Z2643" s="55" t="n">
        <f aca="false">X2643+ROW()*0.000000001</f>
        <v>44.7623037793637</v>
      </c>
    </row>
    <row r="2644" customFormat="false" ht="15" hidden="false" customHeight="false" outlineLevel="0" collapsed="false">
      <c r="A2644" s="0" t="n">
        <v>9</v>
      </c>
      <c r="B2644" s="0" t="n">
        <v>2</v>
      </c>
      <c r="C2644" s="0" t="n">
        <v>4</v>
      </c>
      <c r="D2644" s="0" t="n">
        <f aca="false">-1+A2644*0.125</f>
        <v>0.125</v>
      </c>
      <c r="E2644" s="0" t="n">
        <f aca="false">-1+B2644*0.125</f>
        <v>-0.75</v>
      </c>
      <c r="F2644" s="0" t="n">
        <f aca="false">-1+C2644*0.125</f>
        <v>-0.5</v>
      </c>
      <c r="G2644" s="0" t="n">
        <f aca="false">1</f>
        <v>1</v>
      </c>
      <c r="H2644" s="0" t="n">
        <f aca="false">D2644</f>
        <v>0.125</v>
      </c>
      <c r="I2644" s="0" t="n">
        <f aca="false">E2644</f>
        <v>-0.75</v>
      </c>
      <c r="J2644" s="0" t="n">
        <f aca="false">F2644</f>
        <v>-0.5</v>
      </c>
      <c r="K2644" s="0" t="n">
        <f aca="false">D2644*E2644</f>
        <v>-0.09375</v>
      </c>
      <c r="L2644" s="0" t="n">
        <f aca="false">D2644*F2644</f>
        <v>-0.0625</v>
      </c>
      <c r="M2644" s="0" t="n">
        <f aca="false">E2644*F2644</f>
        <v>0.375</v>
      </c>
      <c r="N2644" s="0" t="n">
        <f aca="false">D2644*D2644</f>
        <v>0.015625</v>
      </c>
      <c r="O2644" s="0" t="n">
        <f aca="false">E2644*E2644</f>
        <v>0.5625</v>
      </c>
      <c r="P2644" s="0" t="n">
        <f aca="false">F2644*F2644</f>
        <v>0.25</v>
      </c>
      <c r="Q2644" s="0" t="n">
        <f aca="false">SUMPRODUCT(G2644:P2644,_XtX!$B$71:$K$71)</f>
        <v>45.0558238636364</v>
      </c>
      <c r="R2644" s="0" t="n">
        <f aca="false">SUMPRODUCT(MMULT(G2644:P2644,_XtX!$B$58:$K$67),G2644:P2644)</f>
        <v>0.240933504971591</v>
      </c>
      <c r="S2644" s="0" t="n">
        <f aca="false">04_回帰ANOVA!$K$19*04_回帰ANOVA!$K$14*SQRT(1+R2644)</f>
        <v>1.03571649118863</v>
      </c>
      <c r="T2644" s="0" t="n">
        <f aca="false">Q2644-S2644</f>
        <v>44.0201073724478</v>
      </c>
      <c r="U2644" s="0" t="n">
        <f aca="false">Q2644+S2644</f>
        <v>46.091540354825</v>
      </c>
      <c r="V2644" s="54" t="b">
        <f aca="false">AND(D2644&gt;=01_因子設定!$L$5-0.000000001,D2644&lt;=01_因子設定!$M$5+0.000000001,E2644&gt;=01_因子設定!$L$6-0.000000001,E2644&lt;=01_因子設定!$M$6+0.000000001,F2644&gt;=01_因子設定!$L$7-0.000000001,F2644&lt;=01_因子設定!$M$7+0.000000001,IF(01_因子設定!$B$20="Box-Behnken",D2644^2+E2644^2+F2644^2&lt;=2+0.000000001,TRUE()))</f>
        <v>1</v>
      </c>
      <c r="W2644" s="55" t="n">
        <f aca="false">IF(V2644,IF(01_因子設定!$B$13="最大化",T2644-01_因子設定!$B$14,IF(01_因子設定!$B$13="最小化",01_因子設定!$B$15-U2644,MIN(T2644-01_因子設定!$B$14,01_因子設定!$B$15-U2644))),-1E+030)</f>
        <v>-4.47989262755225</v>
      </c>
      <c r="X2644" s="55" t="n">
        <f aca="false">IF(V2644,IF(01_因子設定!$B$13="最大化",Q2644,IF(01_因子設定!$B$13="最小化",-Q2644,-ABS(Q2644-01_因子設定!$B$16))),-1E+030)</f>
        <v>45.0558238636364</v>
      </c>
      <c r="Y2644" s="55" t="n">
        <f aca="false">W2644+ROW()*0.000000001</f>
        <v>-4.47988998355225</v>
      </c>
      <c r="Z2644" s="55" t="n">
        <f aca="false">X2644+ROW()*0.000000001</f>
        <v>45.0558265076364</v>
      </c>
    </row>
    <row r="2645" customFormat="false" ht="15" hidden="false" customHeight="false" outlineLevel="0" collapsed="false">
      <c r="A2645" s="0" t="n">
        <v>9</v>
      </c>
      <c r="B2645" s="0" t="n">
        <v>2</v>
      </c>
      <c r="C2645" s="0" t="n">
        <v>5</v>
      </c>
      <c r="D2645" s="0" t="n">
        <f aca="false">-1+A2645*0.125</f>
        <v>0.125</v>
      </c>
      <c r="E2645" s="0" t="n">
        <f aca="false">-1+B2645*0.125</f>
        <v>-0.75</v>
      </c>
      <c r="F2645" s="0" t="n">
        <f aca="false">-1+C2645*0.125</f>
        <v>-0.375</v>
      </c>
      <c r="G2645" s="0" t="n">
        <f aca="false">1</f>
        <v>1</v>
      </c>
      <c r="H2645" s="0" t="n">
        <f aca="false">D2645</f>
        <v>0.125</v>
      </c>
      <c r="I2645" s="0" t="n">
        <f aca="false">E2645</f>
        <v>-0.75</v>
      </c>
      <c r="J2645" s="0" t="n">
        <f aca="false">F2645</f>
        <v>-0.375</v>
      </c>
      <c r="K2645" s="0" t="n">
        <f aca="false">D2645*E2645</f>
        <v>-0.09375</v>
      </c>
      <c r="L2645" s="0" t="n">
        <f aca="false">D2645*F2645</f>
        <v>-0.046875</v>
      </c>
      <c r="M2645" s="0" t="n">
        <f aca="false">E2645*F2645</f>
        <v>0.28125</v>
      </c>
      <c r="N2645" s="0" t="n">
        <f aca="false">D2645*D2645</f>
        <v>0.015625</v>
      </c>
      <c r="O2645" s="0" t="n">
        <f aca="false">E2645*E2645</f>
        <v>0.5625</v>
      </c>
      <c r="P2645" s="0" t="n">
        <f aca="false">F2645*F2645</f>
        <v>0.140625</v>
      </c>
      <c r="Q2645" s="0" t="n">
        <f aca="false">SUMPRODUCT(G2645:P2645,_XtX!$B$71:$K$71)</f>
        <v>45.3125568181818</v>
      </c>
      <c r="R2645" s="0" t="n">
        <f aca="false">SUMPRODUCT(MMULT(G2645:P2645,_XtX!$B$58:$K$67),G2645:P2645)</f>
        <v>0.233744118430398</v>
      </c>
      <c r="S2645" s="0" t="n">
        <f aca="false">04_回帰ANOVA!$K$19*04_回帰ANOVA!$K$14*SQRT(1+R2645)</f>
        <v>1.0327119053564</v>
      </c>
      <c r="T2645" s="0" t="n">
        <f aca="false">Q2645-S2645</f>
        <v>44.2798449128254</v>
      </c>
      <c r="U2645" s="0" t="n">
        <f aca="false">Q2645+S2645</f>
        <v>46.3452687235382</v>
      </c>
      <c r="V2645" s="54" t="b">
        <f aca="false">AND(D2645&gt;=01_因子設定!$L$5-0.000000001,D2645&lt;=01_因子設定!$M$5+0.000000001,E2645&gt;=01_因子設定!$L$6-0.000000001,E2645&lt;=01_因子設定!$M$6+0.000000001,F2645&gt;=01_因子設定!$L$7-0.000000001,F2645&lt;=01_因子設定!$M$7+0.000000001,IF(01_因子設定!$B$20="Box-Behnken",D2645^2+E2645^2+F2645^2&lt;=2+0.000000001,TRUE()))</f>
        <v>1</v>
      </c>
      <c r="W2645" s="55" t="n">
        <f aca="false">IF(V2645,IF(01_因子設定!$B$13="最大化",T2645-01_因子設定!$B$14,IF(01_因子設定!$B$13="最小化",01_因子設定!$B$15-U2645,MIN(T2645-01_因子設定!$B$14,01_因子設定!$B$15-U2645))),-1E+030)</f>
        <v>-4.22015508717457</v>
      </c>
      <c r="X2645" s="55" t="n">
        <f aca="false">IF(V2645,IF(01_因子設定!$B$13="最大化",Q2645,IF(01_因子設定!$B$13="最小化",-Q2645,-ABS(Q2645-01_因子設定!$B$16))),-1E+030)</f>
        <v>45.3125568181818</v>
      </c>
      <c r="Y2645" s="55" t="n">
        <f aca="false">W2645+ROW()*0.000000001</f>
        <v>-4.22015244217457</v>
      </c>
      <c r="Z2645" s="55" t="n">
        <f aca="false">X2645+ROW()*0.000000001</f>
        <v>45.3125594631818</v>
      </c>
    </row>
    <row r="2646" customFormat="false" ht="15" hidden="false" customHeight="false" outlineLevel="0" collapsed="false">
      <c r="A2646" s="0" t="n">
        <v>9</v>
      </c>
      <c r="B2646" s="0" t="n">
        <v>2</v>
      </c>
      <c r="C2646" s="0" t="n">
        <v>6</v>
      </c>
      <c r="D2646" s="0" t="n">
        <f aca="false">-1+A2646*0.125</f>
        <v>0.125</v>
      </c>
      <c r="E2646" s="0" t="n">
        <f aca="false">-1+B2646*0.125</f>
        <v>-0.75</v>
      </c>
      <c r="F2646" s="0" t="n">
        <f aca="false">-1+C2646*0.125</f>
        <v>-0.25</v>
      </c>
      <c r="G2646" s="0" t="n">
        <f aca="false">1</f>
        <v>1</v>
      </c>
      <c r="H2646" s="0" t="n">
        <f aca="false">D2646</f>
        <v>0.125</v>
      </c>
      <c r="I2646" s="0" t="n">
        <f aca="false">E2646</f>
        <v>-0.75</v>
      </c>
      <c r="J2646" s="0" t="n">
        <f aca="false">F2646</f>
        <v>-0.25</v>
      </c>
      <c r="K2646" s="0" t="n">
        <f aca="false">D2646*E2646</f>
        <v>-0.09375</v>
      </c>
      <c r="L2646" s="0" t="n">
        <f aca="false">D2646*F2646</f>
        <v>-0.03125</v>
      </c>
      <c r="M2646" s="0" t="n">
        <f aca="false">E2646*F2646</f>
        <v>0.1875</v>
      </c>
      <c r="N2646" s="0" t="n">
        <f aca="false">D2646*D2646</f>
        <v>0.015625</v>
      </c>
      <c r="O2646" s="0" t="n">
        <f aca="false">E2646*E2646</f>
        <v>0.5625</v>
      </c>
      <c r="P2646" s="0" t="n">
        <f aca="false">F2646*F2646</f>
        <v>0.0625</v>
      </c>
      <c r="Q2646" s="0" t="n">
        <f aca="false">SUMPRODUCT(G2646:P2646,_XtX!$B$71:$K$71)</f>
        <v>45.5325</v>
      </c>
      <c r="R2646" s="0" t="n">
        <f aca="false">SUMPRODUCT(MMULT(G2646:P2646,_XtX!$B$58:$K$67),G2646:P2646)</f>
        <v>0.233935546875</v>
      </c>
      <c r="S2646" s="0" t="n">
        <f aca="false">04_回帰ANOVA!$K$19*04_回帰ANOVA!$K$14*SQRT(1+R2646)</f>
        <v>1.03279202033444</v>
      </c>
      <c r="T2646" s="0" t="n">
        <f aca="false">Q2646-S2646</f>
        <v>44.4997079796656</v>
      </c>
      <c r="U2646" s="0" t="n">
        <f aca="false">Q2646+S2646</f>
        <v>46.5652920203345</v>
      </c>
      <c r="V2646" s="54" t="b">
        <f aca="false">AND(D2646&gt;=01_因子設定!$L$5-0.000000001,D2646&lt;=01_因子設定!$M$5+0.000000001,E2646&gt;=01_因子設定!$L$6-0.000000001,E2646&lt;=01_因子設定!$M$6+0.000000001,F2646&gt;=01_因子設定!$L$7-0.000000001,F2646&lt;=01_因子設定!$M$7+0.000000001,IF(01_因子設定!$B$20="Box-Behnken",D2646^2+E2646^2+F2646^2&lt;=2+0.000000001,TRUE()))</f>
        <v>1</v>
      </c>
      <c r="W2646" s="55" t="n">
        <f aca="false">IF(V2646,IF(01_因子設定!$B$13="最大化",T2646-01_因子設定!$B$14,IF(01_因子設定!$B$13="最小化",01_因子設定!$B$15-U2646,MIN(T2646-01_因子設定!$B$14,01_因子設定!$B$15-U2646))),-1E+030)</f>
        <v>-4.00029202033443</v>
      </c>
      <c r="X2646" s="55" t="n">
        <f aca="false">IF(V2646,IF(01_因子設定!$B$13="最大化",Q2646,IF(01_因子設定!$B$13="最小化",-Q2646,-ABS(Q2646-01_因子設定!$B$16))),-1E+030)</f>
        <v>45.5325</v>
      </c>
      <c r="Y2646" s="55" t="n">
        <f aca="false">W2646+ROW()*0.000000001</f>
        <v>-4.00028937433443</v>
      </c>
      <c r="Z2646" s="55" t="n">
        <f aca="false">X2646+ROW()*0.000000001</f>
        <v>45.532502646</v>
      </c>
    </row>
    <row r="2647" customFormat="false" ht="15" hidden="false" customHeight="false" outlineLevel="0" collapsed="false">
      <c r="A2647" s="0" t="n">
        <v>9</v>
      </c>
      <c r="B2647" s="0" t="n">
        <v>2</v>
      </c>
      <c r="C2647" s="0" t="n">
        <v>7</v>
      </c>
      <c r="D2647" s="0" t="n">
        <f aca="false">-1+A2647*0.125</f>
        <v>0.125</v>
      </c>
      <c r="E2647" s="0" t="n">
        <f aca="false">-1+B2647*0.125</f>
        <v>-0.75</v>
      </c>
      <c r="F2647" s="0" t="n">
        <f aca="false">-1+C2647*0.125</f>
        <v>-0.125</v>
      </c>
      <c r="G2647" s="0" t="n">
        <f aca="false">1</f>
        <v>1</v>
      </c>
      <c r="H2647" s="0" t="n">
        <f aca="false">D2647</f>
        <v>0.125</v>
      </c>
      <c r="I2647" s="0" t="n">
        <f aca="false">E2647</f>
        <v>-0.75</v>
      </c>
      <c r="J2647" s="0" t="n">
        <f aca="false">F2647</f>
        <v>-0.125</v>
      </c>
      <c r="K2647" s="0" t="n">
        <f aca="false">D2647*E2647</f>
        <v>-0.09375</v>
      </c>
      <c r="L2647" s="0" t="n">
        <f aca="false">D2647*F2647</f>
        <v>-0.015625</v>
      </c>
      <c r="M2647" s="0" t="n">
        <f aca="false">E2647*F2647</f>
        <v>0.09375</v>
      </c>
      <c r="N2647" s="0" t="n">
        <f aca="false">D2647*D2647</f>
        <v>0.015625</v>
      </c>
      <c r="O2647" s="0" t="n">
        <f aca="false">E2647*E2647</f>
        <v>0.5625</v>
      </c>
      <c r="P2647" s="0" t="n">
        <f aca="false">F2647*F2647</f>
        <v>0.015625</v>
      </c>
      <c r="Q2647" s="0" t="n">
        <f aca="false">SUMPRODUCT(G2647:P2647,_XtX!$B$71:$K$71)</f>
        <v>45.7156534090909</v>
      </c>
      <c r="R2647" s="0" t="n">
        <f aca="false">SUMPRODUCT(MMULT(G2647:P2647,_XtX!$B$58:$K$67),G2647:P2647)</f>
        <v>0.236181085759943</v>
      </c>
      <c r="S2647" s="0" t="n">
        <f aca="false">04_回帰ANOVA!$K$19*04_回帰ANOVA!$K$14*SQRT(1+R2647)</f>
        <v>1.03373134025567</v>
      </c>
      <c r="T2647" s="0" t="n">
        <f aca="false">Q2647-S2647</f>
        <v>44.6819220688352</v>
      </c>
      <c r="U2647" s="0" t="n">
        <f aca="false">Q2647+S2647</f>
        <v>46.7493847493466</v>
      </c>
      <c r="V2647" s="54" t="b">
        <f aca="false">AND(D2647&gt;=01_因子設定!$L$5-0.000000001,D2647&lt;=01_因子設定!$M$5+0.000000001,E2647&gt;=01_因子設定!$L$6-0.000000001,E2647&lt;=01_因子設定!$M$6+0.000000001,F2647&gt;=01_因子設定!$L$7-0.000000001,F2647&lt;=01_因子設定!$M$7+0.000000001,IF(01_因子設定!$B$20="Box-Behnken",D2647^2+E2647^2+F2647^2&lt;=2+0.000000001,TRUE()))</f>
        <v>1</v>
      </c>
      <c r="W2647" s="55" t="n">
        <f aca="false">IF(V2647,IF(01_因子設定!$B$13="最大化",T2647-01_因子設定!$B$14,IF(01_因子設定!$B$13="最小化",01_因子設定!$B$15-U2647,MIN(T2647-01_因子設定!$B$14,01_因子設定!$B$15-U2647))),-1E+030)</f>
        <v>-3.81807793116476</v>
      </c>
      <c r="X2647" s="55" t="n">
        <f aca="false">IF(V2647,IF(01_因子設定!$B$13="最大化",Q2647,IF(01_因子設定!$B$13="最小化",-Q2647,-ABS(Q2647-01_因子設定!$B$16))),-1E+030)</f>
        <v>45.7156534090909</v>
      </c>
      <c r="Y2647" s="55" t="n">
        <f aca="false">W2647+ROW()*0.000000001</f>
        <v>-3.81807528416476</v>
      </c>
      <c r="Z2647" s="55" t="n">
        <f aca="false">X2647+ROW()*0.000000001</f>
        <v>45.7156560560909</v>
      </c>
    </row>
    <row r="2648" customFormat="false" ht="15" hidden="false" customHeight="false" outlineLevel="0" collapsed="false">
      <c r="A2648" s="0" t="n">
        <v>9</v>
      </c>
      <c r="B2648" s="0" t="n">
        <v>2</v>
      </c>
      <c r="C2648" s="0" t="n">
        <v>8</v>
      </c>
      <c r="D2648" s="0" t="n">
        <f aca="false">-1+A2648*0.125</f>
        <v>0.125</v>
      </c>
      <c r="E2648" s="0" t="n">
        <f aca="false">-1+B2648*0.125</f>
        <v>-0.75</v>
      </c>
      <c r="F2648" s="0" t="n">
        <f aca="false">-1+C2648*0.125</f>
        <v>0</v>
      </c>
      <c r="G2648" s="0" t="n">
        <f aca="false">1</f>
        <v>1</v>
      </c>
      <c r="H2648" s="0" t="n">
        <f aca="false">D2648</f>
        <v>0.125</v>
      </c>
      <c r="I2648" s="0" t="n">
        <f aca="false">E2648</f>
        <v>-0.75</v>
      </c>
      <c r="J2648" s="0" t="n">
        <f aca="false">F2648</f>
        <v>0</v>
      </c>
      <c r="K2648" s="0" t="n">
        <f aca="false">D2648*E2648</f>
        <v>-0.09375</v>
      </c>
      <c r="L2648" s="0" t="n">
        <f aca="false">D2648*F2648</f>
        <v>0</v>
      </c>
      <c r="M2648" s="0" t="n">
        <f aca="false">E2648*F2648</f>
        <v>-0</v>
      </c>
      <c r="N2648" s="0" t="n">
        <f aca="false">D2648*D2648</f>
        <v>0.015625</v>
      </c>
      <c r="O2648" s="0" t="n">
        <f aca="false">E2648*E2648</f>
        <v>0.5625</v>
      </c>
      <c r="P2648" s="0" t="n">
        <f aca="false">F2648*F2648</f>
        <v>0</v>
      </c>
      <c r="Q2648" s="0" t="n">
        <f aca="false">SUMPRODUCT(G2648:P2648,_XtX!$B$71:$K$71)</f>
        <v>45.8620170454546</v>
      </c>
      <c r="R2648" s="0" t="n">
        <f aca="false">SUMPRODUCT(MMULT(G2648:P2648,_XtX!$B$58:$K$67),G2648:P2648)</f>
        <v>0.237284712357955</v>
      </c>
      <c r="S2648" s="0" t="n">
        <f aca="false">04_回帰ANOVA!$K$19*04_回帰ANOVA!$K$14*SQRT(1+R2648)</f>
        <v>1.03419267998124</v>
      </c>
      <c r="T2648" s="0" t="n">
        <f aca="false">Q2648-S2648</f>
        <v>44.8278243654733</v>
      </c>
      <c r="U2648" s="0" t="n">
        <f aca="false">Q2648+S2648</f>
        <v>46.8962097254358</v>
      </c>
      <c r="V2648" s="54" t="b">
        <f aca="false">AND(D2648&gt;=01_因子設定!$L$5-0.000000001,D2648&lt;=01_因子設定!$M$5+0.000000001,E2648&gt;=01_因子設定!$L$6-0.000000001,E2648&lt;=01_因子設定!$M$6+0.000000001,F2648&gt;=01_因子設定!$L$7-0.000000001,F2648&lt;=01_因子設定!$M$7+0.000000001,IF(01_因子設定!$B$20="Box-Behnken",D2648^2+E2648^2+F2648^2&lt;=2+0.000000001,TRUE()))</f>
        <v>1</v>
      </c>
      <c r="W2648" s="55" t="n">
        <f aca="false">IF(V2648,IF(01_因子設定!$B$13="最大化",T2648-01_因子設定!$B$14,IF(01_因子設定!$B$13="最小化",01_因子設定!$B$15-U2648,MIN(T2648-01_因子設定!$B$14,01_因子設定!$B$15-U2648))),-1E+030)</f>
        <v>-3.67217563452668</v>
      </c>
      <c r="X2648" s="55" t="n">
        <f aca="false">IF(V2648,IF(01_因子設定!$B$13="最大化",Q2648,IF(01_因子設定!$B$13="最小化",-Q2648,-ABS(Q2648-01_因子設定!$B$16))),-1E+030)</f>
        <v>45.8620170454546</v>
      </c>
      <c r="Y2648" s="55" t="n">
        <f aca="false">W2648+ROW()*0.000000001</f>
        <v>-3.67217298652668</v>
      </c>
      <c r="Z2648" s="55" t="n">
        <f aca="false">X2648+ROW()*0.000000001</f>
        <v>45.8620196934546</v>
      </c>
    </row>
    <row r="2649" customFormat="false" ht="15" hidden="false" customHeight="false" outlineLevel="0" collapsed="false">
      <c r="A2649" s="0" t="n">
        <v>9</v>
      </c>
      <c r="B2649" s="0" t="n">
        <v>2</v>
      </c>
      <c r="C2649" s="0" t="n">
        <v>9</v>
      </c>
      <c r="D2649" s="0" t="n">
        <f aca="false">-1+A2649*0.125</f>
        <v>0.125</v>
      </c>
      <c r="E2649" s="0" t="n">
        <f aca="false">-1+B2649*0.125</f>
        <v>-0.75</v>
      </c>
      <c r="F2649" s="0" t="n">
        <f aca="false">-1+C2649*0.125</f>
        <v>0.125</v>
      </c>
      <c r="G2649" s="0" t="n">
        <f aca="false">1</f>
        <v>1</v>
      </c>
      <c r="H2649" s="0" t="n">
        <f aca="false">D2649</f>
        <v>0.125</v>
      </c>
      <c r="I2649" s="0" t="n">
        <f aca="false">E2649</f>
        <v>-0.75</v>
      </c>
      <c r="J2649" s="0" t="n">
        <f aca="false">F2649</f>
        <v>0.125</v>
      </c>
      <c r="K2649" s="0" t="n">
        <f aca="false">D2649*E2649</f>
        <v>-0.09375</v>
      </c>
      <c r="L2649" s="0" t="n">
        <f aca="false">D2649*F2649</f>
        <v>0.015625</v>
      </c>
      <c r="M2649" s="0" t="n">
        <f aca="false">E2649*F2649</f>
        <v>-0.09375</v>
      </c>
      <c r="N2649" s="0" t="n">
        <f aca="false">D2649*D2649</f>
        <v>0.015625</v>
      </c>
      <c r="O2649" s="0" t="n">
        <f aca="false">E2649*E2649</f>
        <v>0.5625</v>
      </c>
      <c r="P2649" s="0" t="n">
        <f aca="false">F2649*F2649</f>
        <v>0.015625</v>
      </c>
      <c r="Q2649" s="0" t="n">
        <f aca="false">SUMPRODUCT(G2649:P2649,_XtX!$B$71:$K$71)</f>
        <v>45.9715909090909</v>
      </c>
      <c r="R2649" s="0" t="n">
        <f aca="false">SUMPRODUCT(MMULT(G2649:P2649,_XtX!$B$58:$K$67),G2649:P2649)</f>
        <v>0.236181085759943</v>
      </c>
      <c r="S2649" s="0" t="n">
        <f aca="false">04_回帰ANOVA!$K$19*04_回帰ANOVA!$K$14*SQRT(1+R2649)</f>
        <v>1.03373134025567</v>
      </c>
      <c r="T2649" s="0" t="n">
        <f aca="false">Q2649-S2649</f>
        <v>44.9378595688352</v>
      </c>
      <c r="U2649" s="0" t="n">
        <f aca="false">Q2649+S2649</f>
        <v>47.0053222493466</v>
      </c>
      <c r="V2649" s="54" t="b">
        <f aca="false">AND(D2649&gt;=01_因子設定!$L$5-0.000000001,D2649&lt;=01_因子設定!$M$5+0.000000001,E2649&gt;=01_因子設定!$L$6-0.000000001,E2649&lt;=01_因子設定!$M$6+0.000000001,F2649&gt;=01_因子設定!$L$7-0.000000001,F2649&lt;=01_因子設定!$M$7+0.000000001,IF(01_因子設定!$B$20="Box-Behnken",D2649^2+E2649^2+F2649^2&lt;=2+0.000000001,TRUE()))</f>
        <v>1</v>
      </c>
      <c r="W2649" s="55" t="n">
        <f aca="false">IF(V2649,IF(01_因子設定!$B$13="最大化",T2649-01_因子設定!$B$14,IF(01_因子設定!$B$13="最小化",01_因子設定!$B$15-U2649,MIN(T2649-01_因子設定!$B$14,01_因子設定!$B$15-U2649))),-1E+030)</f>
        <v>-3.56214043116476</v>
      </c>
      <c r="X2649" s="55" t="n">
        <f aca="false">IF(V2649,IF(01_因子設定!$B$13="最大化",Q2649,IF(01_因子設定!$B$13="最小化",-Q2649,-ABS(Q2649-01_因子設定!$B$16))),-1E+030)</f>
        <v>45.9715909090909</v>
      </c>
      <c r="Y2649" s="55" t="n">
        <f aca="false">W2649+ROW()*0.000000001</f>
        <v>-3.56213778216476</v>
      </c>
      <c r="Z2649" s="55" t="n">
        <f aca="false">X2649+ROW()*0.000000001</f>
        <v>45.9715935580909</v>
      </c>
    </row>
    <row r="2650" customFormat="false" ht="15" hidden="false" customHeight="false" outlineLevel="0" collapsed="false">
      <c r="A2650" s="0" t="n">
        <v>9</v>
      </c>
      <c r="B2650" s="0" t="n">
        <v>2</v>
      </c>
      <c r="C2650" s="0" t="n">
        <v>10</v>
      </c>
      <c r="D2650" s="0" t="n">
        <f aca="false">-1+A2650*0.125</f>
        <v>0.125</v>
      </c>
      <c r="E2650" s="0" t="n">
        <f aca="false">-1+B2650*0.125</f>
        <v>-0.75</v>
      </c>
      <c r="F2650" s="0" t="n">
        <f aca="false">-1+C2650*0.125</f>
        <v>0.25</v>
      </c>
      <c r="G2650" s="0" t="n">
        <f aca="false">1</f>
        <v>1</v>
      </c>
      <c r="H2650" s="0" t="n">
        <f aca="false">D2650</f>
        <v>0.125</v>
      </c>
      <c r="I2650" s="0" t="n">
        <f aca="false">E2650</f>
        <v>-0.75</v>
      </c>
      <c r="J2650" s="0" t="n">
        <f aca="false">F2650</f>
        <v>0.25</v>
      </c>
      <c r="K2650" s="0" t="n">
        <f aca="false">D2650*E2650</f>
        <v>-0.09375</v>
      </c>
      <c r="L2650" s="0" t="n">
        <f aca="false">D2650*F2650</f>
        <v>0.03125</v>
      </c>
      <c r="M2650" s="0" t="n">
        <f aca="false">E2650*F2650</f>
        <v>-0.1875</v>
      </c>
      <c r="N2650" s="0" t="n">
        <f aca="false">D2650*D2650</f>
        <v>0.015625</v>
      </c>
      <c r="O2650" s="0" t="n">
        <f aca="false">E2650*E2650</f>
        <v>0.5625</v>
      </c>
      <c r="P2650" s="0" t="n">
        <f aca="false">F2650*F2650</f>
        <v>0.0625</v>
      </c>
      <c r="Q2650" s="0" t="n">
        <f aca="false">SUMPRODUCT(G2650:P2650,_XtX!$B$71:$K$71)</f>
        <v>46.044375</v>
      </c>
      <c r="R2650" s="0" t="n">
        <f aca="false">SUMPRODUCT(MMULT(G2650:P2650,_XtX!$B$58:$K$67),G2650:P2650)</f>
        <v>0.233935546875</v>
      </c>
      <c r="S2650" s="0" t="n">
        <f aca="false">04_回帰ANOVA!$K$19*04_回帰ANOVA!$K$14*SQRT(1+R2650)</f>
        <v>1.03279202033444</v>
      </c>
      <c r="T2650" s="0" t="n">
        <f aca="false">Q2650-S2650</f>
        <v>45.0115829796656</v>
      </c>
      <c r="U2650" s="0" t="n">
        <f aca="false">Q2650+S2650</f>
        <v>47.0771670203345</v>
      </c>
      <c r="V2650" s="54" t="b">
        <f aca="false">AND(D2650&gt;=01_因子設定!$L$5-0.000000001,D2650&lt;=01_因子設定!$M$5+0.000000001,E2650&gt;=01_因子設定!$L$6-0.000000001,E2650&lt;=01_因子設定!$M$6+0.000000001,F2650&gt;=01_因子設定!$L$7-0.000000001,F2650&lt;=01_因子設定!$M$7+0.000000001,IF(01_因子設定!$B$20="Box-Behnken",D2650^2+E2650^2+F2650^2&lt;=2+0.000000001,TRUE()))</f>
        <v>1</v>
      </c>
      <c r="W2650" s="55" t="n">
        <f aca="false">IF(V2650,IF(01_因子設定!$B$13="最大化",T2650-01_因子設定!$B$14,IF(01_因子設定!$B$13="最小化",01_因子設定!$B$15-U2650,MIN(T2650-01_因子設定!$B$14,01_因子設定!$B$15-U2650))),-1E+030)</f>
        <v>-3.48841702033443</v>
      </c>
      <c r="X2650" s="55" t="n">
        <f aca="false">IF(V2650,IF(01_因子設定!$B$13="最大化",Q2650,IF(01_因子設定!$B$13="最小化",-Q2650,-ABS(Q2650-01_因子設定!$B$16))),-1E+030)</f>
        <v>46.044375</v>
      </c>
      <c r="Y2650" s="55" t="n">
        <f aca="false">W2650+ROW()*0.000000001</f>
        <v>-3.48841437033443</v>
      </c>
      <c r="Z2650" s="55" t="n">
        <f aca="false">X2650+ROW()*0.000000001</f>
        <v>46.04437765</v>
      </c>
    </row>
    <row r="2651" customFormat="false" ht="15" hidden="false" customHeight="false" outlineLevel="0" collapsed="false">
      <c r="A2651" s="0" t="n">
        <v>9</v>
      </c>
      <c r="B2651" s="0" t="n">
        <v>2</v>
      </c>
      <c r="C2651" s="0" t="n">
        <v>11</v>
      </c>
      <c r="D2651" s="0" t="n">
        <f aca="false">-1+A2651*0.125</f>
        <v>0.125</v>
      </c>
      <c r="E2651" s="0" t="n">
        <f aca="false">-1+B2651*0.125</f>
        <v>-0.75</v>
      </c>
      <c r="F2651" s="0" t="n">
        <f aca="false">-1+C2651*0.125</f>
        <v>0.375</v>
      </c>
      <c r="G2651" s="0" t="n">
        <f aca="false">1</f>
        <v>1</v>
      </c>
      <c r="H2651" s="0" t="n">
        <f aca="false">D2651</f>
        <v>0.125</v>
      </c>
      <c r="I2651" s="0" t="n">
        <f aca="false">E2651</f>
        <v>-0.75</v>
      </c>
      <c r="J2651" s="0" t="n">
        <f aca="false">F2651</f>
        <v>0.375</v>
      </c>
      <c r="K2651" s="0" t="n">
        <f aca="false">D2651*E2651</f>
        <v>-0.09375</v>
      </c>
      <c r="L2651" s="0" t="n">
        <f aca="false">D2651*F2651</f>
        <v>0.046875</v>
      </c>
      <c r="M2651" s="0" t="n">
        <f aca="false">E2651*F2651</f>
        <v>-0.28125</v>
      </c>
      <c r="N2651" s="0" t="n">
        <f aca="false">D2651*D2651</f>
        <v>0.015625</v>
      </c>
      <c r="O2651" s="0" t="n">
        <f aca="false">E2651*E2651</f>
        <v>0.5625</v>
      </c>
      <c r="P2651" s="0" t="n">
        <f aca="false">F2651*F2651</f>
        <v>0.140625</v>
      </c>
      <c r="Q2651" s="0" t="n">
        <f aca="false">SUMPRODUCT(G2651:P2651,_XtX!$B$71:$K$71)</f>
        <v>46.0803693181818</v>
      </c>
      <c r="R2651" s="0" t="n">
        <f aca="false">SUMPRODUCT(MMULT(G2651:P2651,_XtX!$B$58:$K$67),G2651:P2651)</f>
        <v>0.233744118430398</v>
      </c>
      <c r="S2651" s="0" t="n">
        <f aca="false">04_回帰ANOVA!$K$19*04_回帰ANOVA!$K$14*SQRT(1+R2651)</f>
        <v>1.0327119053564</v>
      </c>
      <c r="T2651" s="0" t="n">
        <f aca="false">Q2651-S2651</f>
        <v>45.0476574128254</v>
      </c>
      <c r="U2651" s="0" t="n">
        <f aca="false">Q2651+S2651</f>
        <v>47.1130812235382</v>
      </c>
      <c r="V2651" s="54" t="b">
        <f aca="false">AND(D2651&gt;=01_因子設定!$L$5-0.000000001,D2651&lt;=01_因子設定!$M$5+0.000000001,E2651&gt;=01_因子設定!$L$6-0.000000001,E2651&lt;=01_因子設定!$M$6+0.000000001,F2651&gt;=01_因子設定!$L$7-0.000000001,F2651&lt;=01_因子設定!$M$7+0.000000001,IF(01_因子設定!$B$20="Box-Behnken",D2651^2+E2651^2+F2651^2&lt;=2+0.000000001,TRUE()))</f>
        <v>1</v>
      </c>
      <c r="W2651" s="55" t="n">
        <f aca="false">IF(V2651,IF(01_因子設定!$B$13="最大化",T2651-01_因子設定!$B$14,IF(01_因子設定!$B$13="最小化",01_因子設定!$B$15-U2651,MIN(T2651-01_因子設定!$B$14,01_因子設定!$B$15-U2651))),-1E+030)</f>
        <v>-3.45234258717457</v>
      </c>
      <c r="X2651" s="55" t="n">
        <f aca="false">IF(V2651,IF(01_因子設定!$B$13="最大化",Q2651,IF(01_因子設定!$B$13="最小化",-Q2651,-ABS(Q2651-01_因子設定!$B$16))),-1E+030)</f>
        <v>46.0803693181818</v>
      </c>
      <c r="Y2651" s="55" t="n">
        <f aca="false">W2651+ROW()*0.000000001</f>
        <v>-3.45233993617457</v>
      </c>
      <c r="Z2651" s="55" t="n">
        <f aca="false">X2651+ROW()*0.000000001</f>
        <v>46.0803719691818</v>
      </c>
    </row>
    <row r="2652" customFormat="false" ht="15" hidden="false" customHeight="false" outlineLevel="0" collapsed="false">
      <c r="A2652" s="0" t="n">
        <v>9</v>
      </c>
      <c r="B2652" s="0" t="n">
        <v>2</v>
      </c>
      <c r="C2652" s="0" t="n">
        <v>12</v>
      </c>
      <c r="D2652" s="0" t="n">
        <f aca="false">-1+A2652*0.125</f>
        <v>0.125</v>
      </c>
      <c r="E2652" s="0" t="n">
        <f aca="false">-1+B2652*0.125</f>
        <v>-0.75</v>
      </c>
      <c r="F2652" s="0" t="n">
        <f aca="false">-1+C2652*0.125</f>
        <v>0.5</v>
      </c>
      <c r="G2652" s="0" t="n">
        <f aca="false">1</f>
        <v>1</v>
      </c>
      <c r="H2652" s="0" t="n">
        <f aca="false">D2652</f>
        <v>0.125</v>
      </c>
      <c r="I2652" s="0" t="n">
        <f aca="false">E2652</f>
        <v>-0.75</v>
      </c>
      <c r="J2652" s="0" t="n">
        <f aca="false">F2652</f>
        <v>0.5</v>
      </c>
      <c r="K2652" s="0" t="n">
        <f aca="false">D2652*E2652</f>
        <v>-0.09375</v>
      </c>
      <c r="L2652" s="0" t="n">
        <f aca="false">D2652*F2652</f>
        <v>0.0625</v>
      </c>
      <c r="M2652" s="0" t="n">
        <f aca="false">E2652*F2652</f>
        <v>-0.375</v>
      </c>
      <c r="N2652" s="0" t="n">
        <f aca="false">D2652*D2652</f>
        <v>0.015625</v>
      </c>
      <c r="O2652" s="0" t="n">
        <f aca="false">E2652*E2652</f>
        <v>0.5625</v>
      </c>
      <c r="P2652" s="0" t="n">
        <f aca="false">F2652*F2652</f>
        <v>0.25</v>
      </c>
      <c r="Q2652" s="0" t="n">
        <f aca="false">SUMPRODUCT(G2652:P2652,_XtX!$B$71:$K$71)</f>
        <v>46.0795738636364</v>
      </c>
      <c r="R2652" s="0" t="n">
        <f aca="false">SUMPRODUCT(MMULT(G2652:P2652,_XtX!$B$58:$K$67),G2652:P2652)</f>
        <v>0.240933504971591</v>
      </c>
      <c r="S2652" s="0" t="n">
        <f aca="false">04_回帰ANOVA!$K$19*04_回帰ANOVA!$K$14*SQRT(1+R2652)</f>
        <v>1.03571649118863</v>
      </c>
      <c r="T2652" s="0" t="n">
        <f aca="false">Q2652-S2652</f>
        <v>45.0438573724478</v>
      </c>
      <c r="U2652" s="0" t="n">
        <f aca="false">Q2652+S2652</f>
        <v>47.115290354825</v>
      </c>
      <c r="V2652" s="54" t="b">
        <f aca="false">AND(D2652&gt;=01_因子設定!$L$5-0.000000001,D2652&lt;=01_因子設定!$M$5+0.000000001,E2652&gt;=01_因子設定!$L$6-0.000000001,E2652&lt;=01_因子設定!$M$6+0.000000001,F2652&gt;=01_因子設定!$L$7-0.000000001,F2652&lt;=01_因子設定!$M$7+0.000000001,IF(01_因子設定!$B$20="Box-Behnken",D2652^2+E2652^2+F2652^2&lt;=2+0.000000001,TRUE()))</f>
        <v>1</v>
      </c>
      <c r="W2652" s="55" t="n">
        <f aca="false">IF(V2652,IF(01_因子設定!$B$13="最大化",T2652-01_因子設定!$B$14,IF(01_因子設定!$B$13="最小化",01_因子設定!$B$15-U2652,MIN(T2652-01_因子設定!$B$14,01_因子設定!$B$15-U2652))),-1E+030)</f>
        <v>-3.45614262755225</v>
      </c>
      <c r="X2652" s="55" t="n">
        <f aca="false">IF(V2652,IF(01_因子設定!$B$13="最大化",Q2652,IF(01_因子設定!$B$13="最小化",-Q2652,-ABS(Q2652-01_因子設定!$B$16))),-1E+030)</f>
        <v>46.0795738636364</v>
      </c>
      <c r="Y2652" s="55" t="n">
        <f aca="false">W2652+ROW()*0.000000001</f>
        <v>-3.45613997555225</v>
      </c>
      <c r="Z2652" s="55" t="n">
        <f aca="false">X2652+ROW()*0.000000001</f>
        <v>46.0795765156364</v>
      </c>
    </row>
    <row r="2653" customFormat="false" ht="15" hidden="false" customHeight="false" outlineLevel="0" collapsed="false">
      <c r="A2653" s="0" t="n">
        <v>9</v>
      </c>
      <c r="B2653" s="0" t="n">
        <v>2</v>
      </c>
      <c r="C2653" s="0" t="n">
        <v>13</v>
      </c>
      <c r="D2653" s="0" t="n">
        <f aca="false">-1+A2653*0.125</f>
        <v>0.125</v>
      </c>
      <c r="E2653" s="0" t="n">
        <f aca="false">-1+B2653*0.125</f>
        <v>-0.75</v>
      </c>
      <c r="F2653" s="0" t="n">
        <f aca="false">-1+C2653*0.125</f>
        <v>0.625</v>
      </c>
      <c r="G2653" s="0" t="n">
        <f aca="false">1</f>
        <v>1</v>
      </c>
      <c r="H2653" s="0" t="n">
        <f aca="false">D2653</f>
        <v>0.125</v>
      </c>
      <c r="I2653" s="0" t="n">
        <f aca="false">E2653</f>
        <v>-0.75</v>
      </c>
      <c r="J2653" s="0" t="n">
        <f aca="false">F2653</f>
        <v>0.625</v>
      </c>
      <c r="K2653" s="0" t="n">
        <f aca="false">D2653*E2653</f>
        <v>-0.09375</v>
      </c>
      <c r="L2653" s="0" t="n">
        <f aca="false">D2653*F2653</f>
        <v>0.078125</v>
      </c>
      <c r="M2653" s="0" t="n">
        <f aca="false">E2653*F2653</f>
        <v>-0.46875</v>
      </c>
      <c r="N2653" s="0" t="n">
        <f aca="false">D2653*D2653</f>
        <v>0.015625</v>
      </c>
      <c r="O2653" s="0" t="n">
        <f aca="false">E2653*E2653</f>
        <v>0.5625</v>
      </c>
      <c r="P2653" s="0" t="n">
        <f aca="false">F2653*F2653</f>
        <v>0.390625</v>
      </c>
      <c r="Q2653" s="0" t="n">
        <f aca="false">SUMPRODUCT(G2653:P2653,_XtX!$B$71:$K$71)</f>
        <v>46.0419886363637</v>
      </c>
      <c r="R2653" s="0" t="n">
        <f aca="false">SUMPRODUCT(MMULT(G2653:P2653,_XtX!$B$58:$K$67),G2653:P2653)</f>
        <v>0.262961092862216</v>
      </c>
      <c r="S2653" s="0" t="n">
        <f aca="false">04_回帰ANOVA!$K$19*04_回帰ANOVA!$K$14*SQRT(1+R2653)</f>
        <v>1.04486846483649</v>
      </c>
      <c r="T2653" s="0" t="n">
        <f aca="false">Q2653-S2653</f>
        <v>44.9971201715272</v>
      </c>
      <c r="U2653" s="0" t="n">
        <f aca="false">Q2653+S2653</f>
        <v>47.0868571012001</v>
      </c>
      <c r="V2653" s="54" t="b">
        <f aca="false">AND(D2653&gt;=01_因子設定!$L$5-0.000000001,D2653&lt;=01_因子設定!$M$5+0.000000001,E2653&gt;=01_因子設定!$L$6-0.000000001,E2653&lt;=01_因子設定!$M$6+0.000000001,F2653&gt;=01_因子設定!$L$7-0.000000001,F2653&lt;=01_因子設定!$M$7+0.000000001,IF(01_因子設定!$B$20="Box-Behnken",D2653^2+E2653^2+F2653^2&lt;=2+0.000000001,TRUE()))</f>
        <v>1</v>
      </c>
      <c r="W2653" s="55" t="n">
        <f aca="false">IF(V2653,IF(01_因子設定!$B$13="最大化",T2653-01_因子設定!$B$14,IF(01_因子設定!$B$13="最小化",01_因子設定!$B$15-U2653,MIN(T2653-01_因子設定!$B$14,01_因子設定!$B$15-U2653))),-1E+030)</f>
        <v>-3.50287982847283</v>
      </c>
      <c r="X2653" s="55" t="n">
        <f aca="false">IF(V2653,IF(01_因子設定!$B$13="最大化",Q2653,IF(01_因子設定!$B$13="最小化",-Q2653,-ABS(Q2653-01_因子設定!$B$16))),-1E+030)</f>
        <v>46.0419886363637</v>
      </c>
      <c r="Y2653" s="55" t="n">
        <f aca="false">W2653+ROW()*0.000000001</f>
        <v>-3.50287717547283</v>
      </c>
      <c r="Z2653" s="55" t="n">
        <f aca="false">X2653+ROW()*0.000000001</f>
        <v>46.0419912893637</v>
      </c>
    </row>
    <row r="2654" customFormat="false" ht="15" hidden="false" customHeight="false" outlineLevel="0" collapsed="false">
      <c r="A2654" s="0" t="n">
        <v>9</v>
      </c>
      <c r="B2654" s="0" t="n">
        <v>2</v>
      </c>
      <c r="C2654" s="0" t="n">
        <v>14</v>
      </c>
      <c r="D2654" s="0" t="n">
        <f aca="false">-1+A2654*0.125</f>
        <v>0.125</v>
      </c>
      <c r="E2654" s="0" t="n">
        <f aca="false">-1+B2654*0.125</f>
        <v>-0.75</v>
      </c>
      <c r="F2654" s="0" t="n">
        <f aca="false">-1+C2654*0.125</f>
        <v>0.75</v>
      </c>
      <c r="G2654" s="0" t="n">
        <f aca="false">1</f>
        <v>1</v>
      </c>
      <c r="H2654" s="0" t="n">
        <f aca="false">D2654</f>
        <v>0.125</v>
      </c>
      <c r="I2654" s="0" t="n">
        <f aca="false">E2654</f>
        <v>-0.75</v>
      </c>
      <c r="J2654" s="0" t="n">
        <f aca="false">F2654</f>
        <v>0.75</v>
      </c>
      <c r="K2654" s="0" t="n">
        <f aca="false">D2654*E2654</f>
        <v>-0.09375</v>
      </c>
      <c r="L2654" s="0" t="n">
        <f aca="false">D2654*F2654</f>
        <v>0.09375</v>
      </c>
      <c r="M2654" s="0" t="n">
        <f aca="false">E2654*F2654</f>
        <v>-0.5625</v>
      </c>
      <c r="N2654" s="0" t="n">
        <f aca="false">D2654*D2654</f>
        <v>0.015625</v>
      </c>
      <c r="O2654" s="0" t="n">
        <f aca="false">E2654*E2654</f>
        <v>0.5625</v>
      </c>
      <c r="P2654" s="0" t="n">
        <f aca="false">F2654*F2654</f>
        <v>0.5625</v>
      </c>
      <c r="Q2654" s="0" t="n">
        <f aca="false">SUMPRODUCT(G2654:P2654,_XtX!$B$71:$K$71)</f>
        <v>45.9676136363637</v>
      </c>
      <c r="R2654" s="0" t="n">
        <f aca="false">SUMPRODUCT(MMULT(G2654:P2654,_XtX!$B$58:$K$67),G2654:P2654)</f>
        <v>0.309414950284091</v>
      </c>
      <c r="S2654" s="0" t="n">
        <f aca="false">04_回帰ANOVA!$K$19*04_回帰ANOVA!$K$14*SQRT(1+R2654)</f>
        <v>1.06391096196568</v>
      </c>
      <c r="T2654" s="0" t="n">
        <f aca="false">Q2654-S2654</f>
        <v>44.903702674398</v>
      </c>
      <c r="U2654" s="0" t="n">
        <f aca="false">Q2654+S2654</f>
        <v>47.0315245983293</v>
      </c>
      <c r="V2654" s="54" t="b">
        <f aca="false">AND(D2654&gt;=01_因子設定!$L$5-0.000000001,D2654&lt;=01_因子設定!$M$5+0.000000001,E2654&gt;=01_因子設定!$L$6-0.000000001,E2654&lt;=01_因子設定!$M$6+0.000000001,F2654&gt;=01_因子設定!$L$7-0.000000001,F2654&lt;=01_因子設定!$M$7+0.000000001,IF(01_因子設定!$B$20="Box-Behnken",D2654^2+E2654^2+F2654^2&lt;=2+0.000000001,TRUE()))</f>
        <v>1</v>
      </c>
      <c r="W2654" s="55" t="n">
        <f aca="false">IF(V2654,IF(01_因子設定!$B$13="最大化",T2654-01_因子設定!$B$14,IF(01_因子設定!$B$13="最小化",01_因子設定!$B$15-U2654,MIN(T2654-01_因子設定!$B$14,01_因子設定!$B$15-U2654))),-1E+030)</f>
        <v>-3.59629732560202</v>
      </c>
      <c r="X2654" s="55" t="n">
        <f aca="false">IF(V2654,IF(01_因子設定!$B$13="最大化",Q2654,IF(01_因子設定!$B$13="最小化",-Q2654,-ABS(Q2654-01_因子設定!$B$16))),-1E+030)</f>
        <v>45.9676136363637</v>
      </c>
      <c r="Y2654" s="55" t="n">
        <f aca="false">W2654+ROW()*0.000000001</f>
        <v>-3.59629467160202</v>
      </c>
      <c r="Z2654" s="55" t="n">
        <f aca="false">X2654+ROW()*0.000000001</f>
        <v>45.9676162903637</v>
      </c>
    </row>
    <row r="2655" customFormat="false" ht="15" hidden="false" customHeight="false" outlineLevel="0" collapsed="false">
      <c r="A2655" s="0" t="n">
        <v>9</v>
      </c>
      <c r="B2655" s="0" t="n">
        <v>2</v>
      </c>
      <c r="C2655" s="0" t="n">
        <v>15</v>
      </c>
      <c r="D2655" s="0" t="n">
        <f aca="false">-1+A2655*0.125</f>
        <v>0.125</v>
      </c>
      <c r="E2655" s="0" t="n">
        <f aca="false">-1+B2655*0.125</f>
        <v>-0.75</v>
      </c>
      <c r="F2655" s="0" t="n">
        <f aca="false">-1+C2655*0.125</f>
        <v>0.875</v>
      </c>
      <c r="G2655" s="0" t="n">
        <f aca="false">1</f>
        <v>1</v>
      </c>
      <c r="H2655" s="0" t="n">
        <f aca="false">D2655</f>
        <v>0.125</v>
      </c>
      <c r="I2655" s="0" t="n">
        <f aca="false">E2655</f>
        <v>-0.75</v>
      </c>
      <c r="J2655" s="0" t="n">
        <f aca="false">F2655</f>
        <v>0.875</v>
      </c>
      <c r="K2655" s="0" t="n">
        <f aca="false">D2655*E2655</f>
        <v>-0.09375</v>
      </c>
      <c r="L2655" s="0" t="n">
        <f aca="false">D2655*F2655</f>
        <v>0.109375</v>
      </c>
      <c r="M2655" s="0" t="n">
        <f aca="false">E2655*F2655</f>
        <v>-0.65625</v>
      </c>
      <c r="N2655" s="0" t="n">
        <f aca="false">D2655*D2655</f>
        <v>0.015625</v>
      </c>
      <c r="O2655" s="0" t="n">
        <f aca="false">E2655*E2655</f>
        <v>0.5625</v>
      </c>
      <c r="P2655" s="0" t="n">
        <f aca="false">F2655*F2655</f>
        <v>0.765625</v>
      </c>
      <c r="Q2655" s="0" t="n">
        <f aca="false">SUMPRODUCT(G2655:P2655,_XtX!$B$71:$K$71)</f>
        <v>45.8564488636364</v>
      </c>
      <c r="R2655" s="0" t="n">
        <f aca="false">SUMPRODUCT(MMULT(G2655:P2655,_XtX!$B$58:$K$67),G2655:P2655)</f>
        <v>0.392013827237216</v>
      </c>
      <c r="S2655" s="0" t="n">
        <f aca="false">04_回帰ANOVA!$K$19*04_回帰ANOVA!$K$14*SQRT(1+R2655)</f>
        <v>1.09695398627251</v>
      </c>
      <c r="T2655" s="0" t="n">
        <f aca="false">Q2655-S2655</f>
        <v>44.7594948773639</v>
      </c>
      <c r="U2655" s="0" t="n">
        <f aca="false">Q2655+S2655</f>
        <v>46.9534028499089</v>
      </c>
      <c r="V2655" s="54" t="b">
        <f aca="false">AND(D2655&gt;=01_因子設定!$L$5-0.000000001,D2655&lt;=01_因子設定!$M$5+0.000000001,E2655&gt;=01_因子設定!$L$6-0.000000001,E2655&lt;=01_因子設定!$M$6+0.000000001,F2655&gt;=01_因子設定!$L$7-0.000000001,F2655&lt;=01_因子設定!$M$7+0.000000001,IF(01_因子設定!$B$20="Box-Behnken",D2655^2+E2655^2+F2655^2&lt;=2+0.000000001,TRUE()))</f>
        <v>1</v>
      </c>
      <c r="W2655" s="55" t="n">
        <f aca="false">IF(V2655,IF(01_因子設定!$B$13="最大化",T2655-01_因子設定!$B$14,IF(01_因子設定!$B$13="最小化",01_因子設定!$B$15-U2655,MIN(T2655-01_因子設定!$B$14,01_因子設定!$B$15-U2655))),-1E+030)</f>
        <v>-3.74050512263612</v>
      </c>
      <c r="X2655" s="55" t="n">
        <f aca="false">IF(V2655,IF(01_因子設定!$B$13="最大化",Q2655,IF(01_因子設定!$B$13="最小化",-Q2655,-ABS(Q2655-01_因子設定!$B$16))),-1E+030)</f>
        <v>45.8564488636364</v>
      </c>
      <c r="Y2655" s="55" t="n">
        <f aca="false">W2655+ROW()*0.000000001</f>
        <v>-3.74050246763612</v>
      </c>
      <c r="Z2655" s="55" t="n">
        <f aca="false">X2655+ROW()*0.000000001</f>
        <v>45.8564515186364</v>
      </c>
    </row>
    <row r="2656" customFormat="false" ht="15" hidden="false" customHeight="false" outlineLevel="0" collapsed="false">
      <c r="A2656" s="0" t="n">
        <v>9</v>
      </c>
      <c r="B2656" s="0" t="n">
        <v>2</v>
      </c>
      <c r="C2656" s="0" t="n">
        <v>16</v>
      </c>
      <c r="D2656" s="0" t="n">
        <f aca="false">-1+A2656*0.125</f>
        <v>0.125</v>
      </c>
      <c r="E2656" s="0" t="n">
        <f aca="false">-1+B2656*0.125</f>
        <v>-0.75</v>
      </c>
      <c r="F2656" s="0" t="n">
        <f aca="false">-1+C2656*0.125</f>
        <v>1</v>
      </c>
      <c r="G2656" s="0" t="n">
        <f aca="false">1</f>
        <v>1</v>
      </c>
      <c r="H2656" s="0" t="n">
        <f aca="false">D2656</f>
        <v>0.125</v>
      </c>
      <c r="I2656" s="0" t="n">
        <f aca="false">E2656</f>
        <v>-0.75</v>
      </c>
      <c r="J2656" s="0" t="n">
        <f aca="false">F2656</f>
        <v>1</v>
      </c>
      <c r="K2656" s="0" t="n">
        <f aca="false">D2656*E2656</f>
        <v>-0.09375</v>
      </c>
      <c r="L2656" s="0" t="n">
        <f aca="false">D2656*F2656</f>
        <v>0.125</v>
      </c>
      <c r="M2656" s="0" t="n">
        <f aca="false">E2656*F2656</f>
        <v>-0.75</v>
      </c>
      <c r="N2656" s="0" t="n">
        <f aca="false">D2656*D2656</f>
        <v>0.015625</v>
      </c>
      <c r="O2656" s="0" t="n">
        <f aca="false">E2656*E2656</f>
        <v>0.5625</v>
      </c>
      <c r="P2656" s="0" t="n">
        <f aca="false">F2656*F2656</f>
        <v>1</v>
      </c>
      <c r="Q2656" s="0" t="n">
        <f aca="false">SUMPRODUCT(G2656:P2656,_XtX!$B$71:$K$71)</f>
        <v>45.7084943181819</v>
      </c>
      <c r="R2656" s="0" t="n">
        <f aca="false">SUMPRODUCT(MMULT(G2656:P2656,_XtX!$B$58:$K$67),G2656:P2656)</f>
        <v>0.524607155539773</v>
      </c>
      <c r="S2656" s="0" t="n">
        <f aca="false">04_回帰ANOVA!$K$19*04_回帰ANOVA!$K$14*SQRT(1+R2656)</f>
        <v>1.14800984623412</v>
      </c>
      <c r="T2656" s="0" t="n">
        <f aca="false">Q2656-S2656</f>
        <v>44.5604844719477</v>
      </c>
      <c r="U2656" s="0" t="n">
        <f aca="false">Q2656+S2656</f>
        <v>46.856504164416</v>
      </c>
      <c r="V2656" s="54" t="b">
        <f aca="false">AND(D2656&gt;=01_因子設定!$L$5-0.000000001,D2656&lt;=01_因子設定!$M$5+0.000000001,E2656&gt;=01_因子設定!$L$6-0.000000001,E2656&lt;=01_因子設定!$M$6+0.000000001,F2656&gt;=01_因子設定!$L$7-0.000000001,F2656&lt;=01_因子設定!$M$7+0.000000001,IF(01_因子設定!$B$20="Box-Behnken",D2656^2+E2656^2+F2656^2&lt;=2+0.000000001,TRUE()))</f>
        <v>1</v>
      </c>
      <c r="W2656" s="55" t="n">
        <f aca="false">IF(V2656,IF(01_因子設定!$B$13="最大化",T2656-01_因子設定!$B$14,IF(01_因子設定!$B$13="最小化",01_因子設定!$B$15-U2656,MIN(T2656-01_因子設定!$B$14,01_因子設定!$B$15-U2656))),-1E+030)</f>
        <v>-3.93951552805227</v>
      </c>
      <c r="X2656" s="55" t="n">
        <f aca="false">IF(V2656,IF(01_因子設定!$B$13="最大化",Q2656,IF(01_因子設定!$B$13="最小化",-Q2656,-ABS(Q2656-01_因子設定!$B$16))),-1E+030)</f>
        <v>45.7084943181819</v>
      </c>
      <c r="Y2656" s="55" t="n">
        <f aca="false">W2656+ROW()*0.000000001</f>
        <v>-3.93951287205227</v>
      </c>
      <c r="Z2656" s="55" t="n">
        <f aca="false">X2656+ROW()*0.000000001</f>
        <v>45.7084969741819</v>
      </c>
    </row>
    <row r="2657" customFormat="false" ht="15" hidden="false" customHeight="false" outlineLevel="0" collapsed="false">
      <c r="A2657" s="0" t="n">
        <v>9</v>
      </c>
      <c r="B2657" s="0" t="n">
        <v>3</v>
      </c>
      <c r="C2657" s="0" t="n">
        <v>0</v>
      </c>
      <c r="D2657" s="0" t="n">
        <f aca="false">-1+A2657*0.125</f>
        <v>0.125</v>
      </c>
      <c r="E2657" s="0" t="n">
        <f aca="false">-1+B2657*0.125</f>
        <v>-0.625</v>
      </c>
      <c r="F2657" s="0" t="n">
        <f aca="false">-1+C2657*0.125</f>
        <v>-1</v>
      </c>
      <c r="G2657" s="0" t="n">
        <f aca="false">1</f>
        <v>1</v>
      </c>
      <c r="H2657" s="0" t="n">
        <f aca="false">D2657</f>
        <v>0.125</v>
      </c>
      <c r="I2657" s="0" t="n">
        <f aca="false">E2657</f>
        <v>-0.625</v>
      </c>
      <c r="J2657" s="0" t="n">
        <f aca="false">F2657</f>
        <v>-1</v>
      </c>
      <c r="K2657" s="0" t="n">
        <f aca="false">D2657*E2657</f>
        <v>-0.078125</v>
      </c>
      <c r="L2657" s="0" t="n">
        <f aca="false">D2657*F2657</f>
        <v>-0.125</v>
      </c>
      <c r="M2657" s="0" t="n">
        <f aca="false">E2657*F2657</f>
        <v>0.625</v>
      </c>
      <c r="N2657" s="0" t="n">
        <f aca="false">D2657*D2657</f>
        <v>0.015625</v>
      </c>
      <c r="O2657" s="0" t="n">
        <f aca="false">E2657*E2657</f>
        <v>0.390625</v>
      </c>
      <c r="P2657" s="0" t="n">
        <f aca="false">F2657*F2657</f>
        <v>1</v>
      </c>
      <c r="Q2657" s="0" t="n">
        <f aca="false">SUMPRODUCT(G2657:P2657,_XtX!$B$71:$K$71)</f>
        <v>44.2310724431818</v>
      </c>
      <c r="R2657" s="0" t="n">
        <f aca="false">SUMPRODUCT(MMULT(G2657:P2657,_XtX!$B$58:$K$67),G2657:P2657)</f>
        <v>0.489261696555398</v>
      </c>
      <c r="S2657" s="0" t="n">
        <f aca="false">04_回帰ANOVA!$K$19*04_回帰ANOVA!$K$14*SQRT(1+R2657)</f>
        <v>1.13462447083763</v>
      </c>
      <c r="T2657" s="0" t="n">
        <f aca="false">Q2657-S2657</f>
        <v>43.0964479723442</v>
      </c>
      <c r="U2657" s="0" t="n">
        <f aca="false">Q2657+S2657</f>
        <v>45.3656969140195</v>
      </c>
      <c r="V2657" s="54" t="b">
        <f aca="false">AND(D2657&gt;=01_因子設定!$L$5-0.000000001,D2657&lt;=01_因子設定!$M$5+0.000000001,E2657&gt;=01_因子設定!$L$6-0.000000001,E2657&lt;=01_因子設定!$M$6+0.000000001,F2657&gt;=01_因子設定!$L$7-0.000000001,F2657&lt;=01_因子設定!$M$7+0.000000001,IF(01_因子設定!$B$20="Box-Behnken",D2657^2+E2657^2+F2657^2&lt;=2+0.000000001,TRUE()))</f>
        <v>1</v>
      </c>
      <c r="W2657" s="55" t="n">
        <f aca="false">IF(V2657,IF(01_因子設定!$B$13="最大化",T2657-01_因子設定!$B$14,IF(01_因子設定!$B$13="最小化",01_因子設定!$B$15-U2657,MIN(T2657-01_因子設定!$B$14,01_因子設定!$B$15-U2657))),-1E+030)</f>
        <v>-5.40355202765579</v>
      </c>
      <c r="X2657" s="55" t="n">
        <f aca="false">IF(V2657,IF(01_因子設定!$B$13="最大化",Q2657,IF(01_因子設定!$B$13="最小化",-Q2657,-ABS(Q2657-01_因子設定!$B$16))),-1E+030)</f>
        <v>44.2310724431818</v>
      </c>
      <c r="Y2657" s="55" t="n">
        <f aca="false">W2657+ROW()*0.000000001</f>
        <v>-5.40354937065579</v>
      </c>
      <c r="Z2657" s="55" t="n">
        <f aca="false">X2657+ROW()*0.000000001</f>
        <v>44.2310751001819</v>
      </c>
    </row>
    <row r="2658" customFormat="false" ht="15" hidden="false" customHeight="false" outlineLevel="0" collapsed="false">
      <c r="A2658" s="0" t="n">
        <v>9</v>
      </c>
      <c r="B2658" s="0" t="n">
        <v>3</v>
      </c>
      <c r="C2658" s="0" t="n">
        <v>1</v>
      </c>
      <c r="D2658" s="0" t="n">
        <f aca="false">-1+A2658*0.125</f>
        <v>0.125</v>
      </c>
      <c r="E2658" s="0" t="n">
        <f aca="false">-1+B2658*0.125</f>
        <v>-0.625</v>
      </c>
      <c r="F2658" s="0" t="n">
        <f aca="false">-1+C2658*0.125</f>
        <v>-0.875</v>
      </c>
      <c r="G2658" s="0" t="n">
        <f aca="false">1</f>
        <v>1</v>
      </c>
      <c r="H2658" s="0" t="n">
        <f aca="false">D2658</f>
        <v>0.125</v>
      </c>
      <c r="I2658" s="0" t="n">
        <f aca="false">E2658</f>
        <v>-0.625</v>
      </c>
      <c r="J2658" s="0" t="n">
        <f aca="false">F2658</f>
        <v>-0.875</v>
      </c>
      <c r="K2658" s="0" t="n">
        <f aca="false">D2658*E2658</f>
        <v>-0.078125</v>
      </c>
      <c r="L2658" s="0" t="n">
        <f aca="false">D2658*F2658</f>
        <v>-0.109375</v>
      </c>
      <c r="M2658" s="0" t="n">
        <f aca="false">E2658*F2658</f>
        <v>0.546875</v>
      </c>
      <c r="N2658" s="0" t="n">
        <f aca="false">D2658*D2658</f>
        <v>0.015625</v>
      </c>
      <c r="O2658" s="0" t="n">
        <f aca="false">E2658*E2658</f>
        <v>0.390625</v>
      </c>
      <c r="P2658" s="0" t="n">
        <f aca="false">F2658*F2658</f>
        <v>0.765625</v>
      </c>
      <c r="Q2658" s="0" t="n">
        <f aca="false">SUMPRODUCT(G2658:P2658,_XtX!$B$71:$K$71)</f>
        <v>44.6419957386364</v>
      </c>
      <c r="R2658" s="0" t="n">
        <f aca="false">SUMPRODUCT(MMULT(G2658:P2658,_XtX!$B$58:$K$67),G2658:P2658)</f>
        <v>0.350717440518466</v>
      </c>
      <c r="S2658" s="0" t="n">
        <f aca="false">04_回帰ANOVA!$K$19*04_回帰ANOVA!$K$14*SQRT(1+R2658)</f>
        <v>1.08056000737898</v>
      </c>
      <c r="T2658" s="0" t="n">
        <f aca="false">Q2658-S2658</f>
        <v>43.5614357312574</v>
      </c>
      <c r="U2658" s="0" t="n">
        <f aca="false">Q2658+S2658</f>
        <v>45.7225557460154</v>
      </c>
      <c r="V2658" s="54" t="b">
        <f aca="false">AND(D2658&gt;=01_因子設定!$L$5-0.000000001,D2658&lt;=01_因子設定!$M$5+0.000000001,E2658&gt;=01_因子設定!$L$6-0.000000001,E2658&lt;=01_因子設定!$M$6+0.000000001,F2658&gt;=01_因子設定!$L$7-0.000000001,F2658&lt;=01_因子設定!$M$7+0.000000001,IF(01_因子設定!$B$20="Box-Behnken",D2658^2+E2658^2+F2658^2&lt;=2+0.000000001,TRUE()))</f>
        <v>1</v>
      </c>
      <c r="W2658" s="55" t="n">
        <f aca="false">IF(V2658,IF(01_因子設定!$B$13="最大化",T2658-01_因子設定!$B$14,IF(01_因子設定!$B$13="最小化",01_因子設定!$B$15-U2658,MIN(T2658-01_因子設定!$B$14,01_因子設定!$B$15-U2658))),-1E+030)</f>
        <v>-4.93856426874259</v>
      </c>
      <c r="X2658" s="55" t="n">
        <f aca="false">IF(V2658,IF(01_因子設定!$B$13="最大化",Q2658,IF(01_因子設定!$B$13="最小化",-Q2658,-ABS(Q2658-01_因子設定!$B$16))),-1E+030)</f>
        <v>44.6419957386364</v>
      </c>
      <c r="Y2658" s="55" t="n">
        <f aca="false">W2658+ROW()*0.000000001</f>
        <v>-4.93856161074259</v>
      </c>
      <c r="Z2658" s="55" t="n">
        <f aca="false">X2658+ROW()*0.000000001</f>
        <v>44.6419983966364</v>
      </c>
    </row>
    <row r="2659" customFormat="false" ht="15" hidden="false" customHeight="false" outlineLevel="0" collapsed="false">
      <c r="A2659" s="0" t="n">
        <v>9</v>
      </c>
      <c r="B2659" s="0" t="n">
        <v>3</v>
      </c>
      <c r="C2659" s="0" t="n">
        <v>2</v>
      </c>
      <c r="D2659" s="0" t="n">
        <f aca="false">-1+A2659*0.125</f>
        <v>0.125</v>
      </c>
      <c r="E2659" s="0" t="n">
        <f aca="false">-1+B2659*0.125</f>
        <v>-0.625</v>
      </c>
      <c r="F2659" s="0" t="n">
        <f aca="false">-1+C2659*0.125</f>
        <v>-0.75</v>
      </c>
      <c r="G2659" s="0" t="n">
        <f aca="false">1</f>
        <v>1</v>
      </c>
      <c r="H2659" s="0" t="n">
        <f aca="false">D2659</f>
        <v>0.125</v>
      </c>
      <c r="I2659" s="0" t="n">
        <f aca="false">E2659</f>
        <v>-0.625</v>
      </c>
      <c r="J2659" s="0" t="n">
        <f aca="false">F2659</f>
        <v>-0.75</v>
      </c>
      <c r="K2659" s="0" t="n">
        <f aca="false">D2659*E2659</f>
        <v>-0.078125</v>
      </c>
      <c r="L2659" s="0" t="n">
        <f aca="false">D2659*F2659</f>
        <v>-0.09375</v>
      </c>
      <c r="M2659" s="0" t="n">
        <f aca="false">E2659*F2659</f>
        <v>0.46875</v>
      </c>
      <c r="N2659" s="0" t="n">
        <f aca="false">D2659*D2659</f>
        <v>0.015625</v>
      </c>
      <c r="O2659" s="0" t="n">
        <f aca="false">E2659*E2659</f>
        <v>0.390625</v>
      </c>
      <c r="P2659" s="0" t="n">
        <f aca="false">F2659*F2659</f>
        <v>0.5625</v>
      </c>
      <c r="Q2659" s="0" t="n">
        <f aca="false">SUMPRODUCT(G2659:P2659,_XtX!$B$71:$K$71)</f>
        <v>45.0161292613637</v>
      </c>
      <c r="R2659" s="0" t="n">
        <f aca="false">SUMPRODUCT(MMULT(G2659:P2659,_XtX!$B$58:$K$67),G2659:P2659)</f>
        <v>0.262961092862216</v>
      </c>
      <c r="S2659" s="0" t="n">
        <f aca="false">04_回帰ANOVA!$K$19*04_回帰ANOVA!$K$14*SQRT(1+R2659)</f>
        <v>1.04486846483649</v>
      </c>
      <c r="T2659" s="0" t="n">
        <f aca="false">Q2659-S2659</f>
        <v>43.9712607965272</v>
      </c>
      <c r="U2659" s="0" t="n">
        <f aca="false">Q2659+S2659</f>
        <v>46.0609977262001</v>
      </c>
      <c r="V2659" s="54" t="b">
        <f aca="false">AND(D2659&gt;=01_因子設定!$L$5-0.000000001,D2659&lt;=01_因子設定!$M$5+0.000000001,E2659&gt;=01_因子設定!$L$6-0.000000001,E2659&lt;=01_因子設定!$M$6+0.000000001,F2659&gt;=01_因子設定!$L$7-0.000000001,F2659&lt;=01_因子設定!$M$7+0.000000001,IF(01_因子設定!$B$20="Box-Behnken",D2659^2+E2659^2+F2659^2&lt;=2+0.000000001,TRUE()))</f>
        <v>1</v>
      </c>
      <c r="W2659" s="55" t="n">
        <f aca="false">IF(V2659,IF(01_因子設定!$B$13="最大化",T2659-01_因子設定!$B$14,IF(01_因子設定!$B$13="最小化",01_因子設定!$B$15-U2659,MIN(T2659-01_因子設定!$B$14,01_因子設定!$B$15-U2659))),-1E+030)</f>
        <v>-4.52873920347282</v>
      </c>
      <c r="X2659" s="55" t="n">
        <f aca="false">IF(V2659,IF(01_因子設定!$B$13="最大化",Q2659,IF(01_因子設定!$B$13="最小化",-Q2659,-ABS(Q2659-01_因子設定!$B$16))),-1E+030)</f>
        <v>45.0161292613637</v>
      </c>
      <c r="Y2659" s="55" t="n">
        <f aca="false">W2659+ROW()*0.000000001</f>
        <v>-4.52873654447282</v>
      </c>
      <c r="Z2659" s="55" t="n">
        <f aca="false">X2659+ROW()*0.000000001</f>
        <v>45.0161319203637</v>
      </c>
    </row>
    <row r="2660" customFormat="false" ht="15" hidden="false" customHeight="false" outlineLevel="0" collapsed="false">
      <c r="A2660" s="0" t="n">
        <v>9</v>
      </c>
      <c r="B2660" s="0" t="n">
        <v>3</v>
      </c>
      <c r="C2660" s="0" t="n">
        <v>3</v>
      </c>
      <c r="D2660" s="0" t="n">
        <f aca="false">-1+A2660*0.125</f>
        <v>0.125</v>
      </c>
      <c r="E2660" s="0" t="n">
        <f aca="false">-1+B2660*0.125</f>
        <v>-0.625</v>
      </c>
      <c r="F2660" s="0" t="n">
        <f aca="false">-1+C2660*0.125</f>
        <v>-0.625</v>
      </c>
      <c r="G2660" s="0" t="n">
        <f aca="false">1</f>
        <v>1</v>
      </c>
      <c r="H2660" s="0" t="n">
        <f aca="false">D2660</f>
        <v>0.125</v>
      </c>
      <c r="I2660" s="0" t="n">
        <f aca="false">E2660</f>
        <v>-0.625</v>
      </c>
      <c r="J2660" s="0" t="n">
        <f aca="false">F2660</f>
        <v>-0.625</v>
      </c>
      <c r="K2660" s="0" t="n">
        <f aca="false">D2660*E2660</f>
        <v>-0.078125</v>
      </c>
      <c r="L2660" s="0" t="n">
        <f aca="false">D2660*F2660</f>
        <v>-0.078125</v>
      </c>
      <c r="M2660" s="0" t="n">
        <f aca="false">E2660*F2660</f>
        <v>0.390625</v>
      </c>
      <c r="N2660" s="0" t="n">
        <f aca="false">D2660*D2660</f>
        <v>0.015625</v>
      </c>
      <c r="O2660" s="0" t="n">
        <f aca="false">E2660*E2660</f>
        <v>0.390625</v>
      </c>
      <c r="P2660" s="0" t="n">
        <f aca="false">F2660*F2660</f>
        <v>0.390625</v>
      </c>
      <c r="Q2660" s="0" t="n">
        <f aca="false">SUMPRODUCT(G2660:P2660,_XtX!$B$71:$K$71)</f>
        <v>45.3534730113637</v>
      </c>
      <c r="R2660" s="0" t="n">
        <f aca="false">SUMPRODUCT(MMULT(G2660:P2660,_XtX!$B$58:$K$67),G2660:P2660)</f>
        <v>0.212143221768466</v>
      </c>
      <c r="S2660" s="0" t="n">
        <f aca="false">04_回帰ANOVA!$K$19*04_回帰ANOVA!$K$14*SQRT(1+R2660)</f>
        <v>1.02363141237304</v>
      </c>
      <c r="T2660" s="0" t="n">
        <f aca="false">Q2660-S2660</f>
        <v>44.3298415989906</v>
      </c>
      <c r="U2660" s="0" t="n">
        <f aca="false">Q2660+S2660</f>
        <v>46.3771044237367</v>
      </c>
      <c r="V2660" s="54" t="b">
        <f aca="false">AND(D2660&gt;=01_因子設定!$L$5-0.000000001,D2660&lt;=01_因子設定!$M$5+0.000000001,E2660&gt;=01_因子設定!$L$6-0.000000001,E2660&lt;=01_因子設定!$M$6+0.000000001,F2660&gt;=01_因子設定!$L$7-0.000000001,F2660&lt;=01_因子設定!$M$7+0.000000001,IF(01_因子設定!$B$20="Box-Behnken",D2660^2+E2660^2+F2660^2&lt;=2+0.000000001,TRUE()))</f>
        <v>1</v>
      </c>
      <c r="W2660" s="55" t="n">
        <f aca="false">IF(V2660,IF(01_因子設定!$B$13="最大化",T2660-01_因子設定!$B$14,IF(01_因子設定!$B$13="最小化",01_因子設定!$B$15-U2660,MIN(T2660-01_因子設定!$B$14,01_因子設定!$B$15-U2660))),-1E+030)</f>
        <v>-4.17015840100939</v>
      </c>
      <c r="X2660" s="55" t="n">
        <f aca="false">IF(V2660,IF(01_因子設定!$B$13="最大化",Q2660,IF(01_因子設定!$B$13="最小化",-Q2660,-ABS(Q2660-01_因子設定!$B$16))),-1E+030)</f>
        <v>45.3534730113637</v>
      </c>
      <c r="Y2660" s="55" t="n">
        <f aca="false">W2660+ROW()*0.000000001</f>
        <v>-4.17015574100939</v>
      </c>
      <c r="Z2660" s="55" t="n">
        <f aca="false">X2660+ROW()*0.000000001</f>
        <v>45.3534756713637</v>
      </c>
    </row>
    <row r="2661" customFormat="false" ht="15" hidden="false" customHeight="false" outlineLevel="0" collapsed="false">
      <c r="A2661" s="0" t="n">
        <v>9</v>
      </c>
      <c r="B2661" s="0" t="n">
        <v>3</v>
      </c>
      <c r="C2661" s="0" t="n">
        <v>4</v>
      </c>
      <c r="D2661" s="0" t="n">
        <f aca="false">-1+A2661*0.125</f>
        <v>0.125</v>
      </c>
      <c r="E2661" s="0" t="n">
        <f aca="false">-1+B2661*0.125</f>
        <v>-0.625</v>
      </c>
      <c r="F2661" s="0" t="n">
        <f aca="false">-1+C2661*0.125</f>
        <v>-0.5</v>
      </c>
      <c r="G2661" s="0" t="n">
        <f aca="false">1</f>
        <v>1</v>
      </c>
      <c r="H2661" s="0" t="n">
        <f aca="false">D2661</f>
        <v>0.125</v>
      </c>
      <c r="I2661" s="0" t="n">
        <f aca="false">E2661</f>
        <v>-0.625</v>
      </c>
      <c r="J2661" s="0" t="n">
        <f aca="false">F2661</f>
        <v>-0.5</v>
      </c>
      <c r="K2661" s="0" t="n">
        <f aca="false">D2661*E2661</f>
        <v>-0.078125</v>
      </c>
      <c r="L2661" s="0" t="n">
        <f aca="false">D2661*F2661</f>
        <v>-0.0625</v>
      </c>
      <c r="M2661" s="0" t="n">
        <f aca="false">E2661*F2661</f>
        <v>0.3125</v>
      </c>
      <c r="N2661" s="0" t="n">
        <f aca="false">D2661*D2661</f>
        <v>0.015625</v>
      </c>
      <c r="O2661" s="0" t="n">
        <f aca="false">E2661*E2661</f>
        <v>0.390625</v>
      </c>
      <c r="P2661" s="0" t="n">
        <f aca="false">F2661*F2661</f>
        <v>0.25</v>
      </c>
      <c r="Q2661" s="0" t="n">
        <f aca="false">SUMPRODUCT(G2661:P2661,_XtX!$B$71:$K$71)</f>
        <v>45.6540269886364</v>
      </c>
      <c r="R2661" s="0" t="n">
        <f aca="false">SUMPRODUCT(MMULT(G2661:P2661,_XtX!$B$58:$K$67),G2661:P2661)</f>
        <v>0.186545077237216</v>
      </c>
      <c r="S2661" s="0" t="n">
        <f aca="false">04_回帰ANOVA!$K$19*04_回帰ANOVA!$K$14*SQRT(1+R2661)</f>
        <v>1.01276516970713</v>
      </c>
      <c r="T2661" s="0" t="n">
        <f aca="false">Q2661-S2661</f>
        <v>44.6412618189293</v>
      </c>
      <c r="U2661" s="0" t="n">
        <f aca="false">Q2661+S2661</f>
        <v>46.6667921583435</v>
      </c>
      <c r="V2661" s="54" t="b">
        <f aca="false">AND(D2661&gt;=01_因子設定!$L$5-0.000000001,D2661&lt;=01_因子設定!$M$5+0.000000001,E2661&gt;=01_因子設定!$L$6-0.000000001,E2661&lt;=01_因子設定!$M$6+0.000000001,F2661&gt;=01_因子設定!$L$7-0.000000001,F2661&lt;=01_因子設定!$M$7+0.000000001,IF(01_因子設定!$B$20="Box-Behnken",D2661^2+E2661^2+F2661^2&lt;=2+0.000000001,TRUE()))</f>
        <v>1</v>
      </c>
      <c r="W2661" s="55" t="n">
        <f aca="false">IF(V2661,IF(01_因子設定!$B$13="最大化",T2661-01_因子設定!$B$14,IF(01_因子設定!$B$13="最小化",01_因子設定!$B$15-U2661,MIN(T2661-01_因子設定!$B$14,01_因子設定!$B$15-U2661))),-1E+030)</f>
        <v>-3.85873818107075</v>
      </c>
      <c r="X2661" s="55" t="n">
        <f aca="false">IF(V2661,IF(01_因子設定!$B$13="最大化",Q2661,IF(01_因子設定!$B$13="最小化",-Q2661,-ABS(Q2661-01_因子設定!$B$16))),-1E+030)</f>
        <v>45.6540269886364</v>
      </c>
      <c r="Y2661" s="55" t="n">
        <f aca="false">W2661+ROW()*0.000000001</f>
        <v>-3.85873552007075</v>
      </c>
      <c r="Z2661" s="55" t="n">
        <f aca="false">X2661+ROW()*0.000000001</f>
        <v>45.6540296496364</v>
      </c>
    </row>
    <row r="2662" customFormat="false" ht="15" hidden="false" customHeight="false" outlineLevel="0" collapsed="false">
      <c r="A2662" s="0" t="n">
        <v>9</v>
      </c>
      <c r="B2662" s="0" t="n">
        <v>3</v>
      </c>
      <c r="C2662" s="0" t="n">
        <v>5</v>
      </c>
      <c r="D2662" s="0" t="n">
        <f aca="false">-1+A2662*0.125</f>
        <v>0.125</v>
      </c>
      <c r="E2662" s="0" t="n">
        <f aca="false">-1+B2662*0.125</f>
        <v>-0.625</v>
      </c>
      <c r="F2662" s="0" t="n">
        <f aca="false">-1+C2662*0.125</f>
        <v>-0.375</v>
      </c>
      <c r="G2662" s="0" t="n">
        <f aca="false">1</f>
        <v>1</v>
      </c>
      <c r="H2662" s="0" t="n">
        <f aca="false">D2662</f>
        <v>0.125</v>
      </c>
      <c r="I2662" s="0" t="n">
        <f aca="false">E2662</f>
        <v>-0.625</v>
      </c>
      <c r="J2662" s="0" t="n">
        <f aca="false">F2662</f>
        <v>-0.375</v>
      </c>
      <c r="K2662" s="0" t="n">
        <f aca="false">D2662*E2662</f>
        <v>-0.078125</v>
      </c>
      <c r="L2662" s="0" t="n">
        <f aca="false">D2662*F2662</f>
        <v>-0.046875</v>
      </c>
      <c r="M2662" s="0" t="n">
        <f aca="false">E2662*F2662</f>
        <v>0.234375</v>
      </c>
      <c r="N2662" s="0" t="n">
        <f aca="false">D2662*D2662</f>
        <v>0.015625</v>
      </c>
      <c r="O2662" s="0" t="n">
        <f aca="false">E2662*E2662</f>
        <v>0.390625</v>
      </c>
      <c r="P2662" s="0" t="n">
        <f aca="false">F2662*F2662</f>
        <v>0.140625</v>
      </c>
      <c r="Q2662" s="0" t="n">
        <f aca="false">SUMPRODUCT(G2662:P2662,_XtX!$B$71:$K$71)</f>
        <v>45.9177911931818</v>
      </c>
      <c r="R2662" s="0" t="n">
        <f aca="false">SUMPRODUCT(MMULT(G2662:P2662,_XtX!$B$58:$K$67),G2662:P2662)</f>
        <v>0.176578591086648</v>
      </c>
      <c r="S2662" s="0" t="n">
        <f aca="false">04_回帰ANOVA!$K$19*04_回帰ANOVA!$K$14*SQRT(1+R2662)</f>
        <v>1.00850279676269</v>
      </c>
      <c r="T2662" s="0" t="n">
        <f aca="false">Q2662-S2662</f>
        <v>44.9092883964191</v>
      </c>
      <c r="U2662" s="0" t="n">
        <f aca="false">Q2662+S2662</f>
        <v>46.9262939899445</v>
      </c>
      <c r="V2662" s="54" t="b">
        <f aca="false">AND(D2662&gt;=01_因子設定!$L$5-0.000000001,D2662&lt;=01_因子設定!$M$5+0.000000001,E2662&gt;=01_因子設定!$L$6-0.000000001,E2662&lt;=01_因子設定!$M$6+0.000000001,F2662&gt;=01_因子設定!$L$7-0.000000001,F2662&lt;=01_因子設定!$M$7+0.000000001,IF(01_因子設定!$B$20="Box-Behnken",D2662^2+E2662^2+F2662^2&lt;=2+0.000000001,TRUE()))</f>
        <v>1</v>
      </c>
      <c r="W2662" s="55" t="n">
        <f aca="false">IF(V2662,IF(01_因子設定!$B$13="最大化",T2662-01_因子設定!$B$14,IF(01_因子設定!$B$13="最小化",01_因子設定!$B$15-U2662,MIN(T2662-01_因子設定!$B$14,01_因子設定!$B$15-U2662))),-1E+030)</f>
        <v>-3.59071160358086</v>
      </c>
      <c r="X2662" s="55" t="n">
        <f aca="false">IF(V2662,IF(01_因子設定!$B$13="最大化",Q2662,IF(01_因子設定!$B$13="最小化",-Q2662,-ABS(Q2662-01_因子設定!$B$16))),-1E+030)</f>
        <v>45.9177911931818</v>
      </c>
      <c r="Y2662" s="55" t="n">
        <f aca="false">W2662+ROW()*0.000000001</f>
        <v>-3.59070894158086</v>
      </c>
      <c r="Z2662" s="55" t="n">
        <f aca="false">X2662+ROW()*0.000000001</f>
        <v>45.9177938551818</v>
      </c>
    </row>
    <row r="2663" customFormat="false" ht="15" hidden="false" customHeight="false" outlineLevel="0" collapsed="false">
      <c r="A2663" s="0" t="n">
        <v>9</v>
      </c>
      <c r="B2663" s="0" t="n">
        <v>3</v>
      </c>
      <c r="C2663" s="0" t="n">
        <v>6</v>
      </c>
      <c r="D2663" s="0" t="n">
        <f aca="false">-1+A2663*0.125</f>
        <v>0.125</v>
      </c>
      <c r="E2663" s="0" t="n">
        <f aca="false">-1+B2663*0.125</f>
        <v>-0.625</v>
      </c>
      <c r="F2663" s="0" t="n">
        <f aca="false">-1+C2663*0.125</f>
        <v>-0.25</v>
      </c>
      <c r="G2663" s="0" t="n">
        <f aca="false">1</f>
        <v>1</v>
      </c>
      <c r="H2663" s="0" t="n">
        <f aca="false">D2663</f>
        <v>0.125</v>
      </c>
      <c r="I2663" s="0" t="n">
        <f aca="false">E2663</f>
        <v>-0.625</v>
      </c>
      <c r="J2663" s="0" t="n">
        <f aca="false">F2663</f>
        <v>-0.25</v>
      </c>
      <c r="K2663" s="0" t="n">
        <f aca="false">D2663*E2663</f>
        <v>-0.078125</v>
      </c>
      <c r="L2663" s="0" t="n">
        <f aca="false">D2663*F2663</f>
        <v>-0.03125</v>
      </c>
      <c r="M2663" s="0" t="n">
        <f aca="false">E2663*F2663</f>
        <v>0.15625</v>
      </c>
      <c r="N2663" s="0" t="n">
        <f aca="false">D2663*D2663</f>
        <v>0.015625</v>
      </c>
      <c r="O2663" s="0" t="n">
        <f aca="false">E2663*E2663</f>
        <v>0.390625</v>
      </c>
      <c r="P2663" s="0" t="n">
        <f aca="false">F2663*F2663</f>
        <v>0.0625</v>
      </c>
      <c r="Q2663" s="0" t="n">
        <f aca="false">SUMPRODUCT(G2663:P2663,_XtX!$B$71:$K$71)</f>
        <v>46.144765625</v>
      </c>
      <c r="R2663" s="0" t="n">
        <f aca="false">SUMPRODUCT(MMULT(G2663:P2663,_XtX!$B$58:$K$67),G2663:P2663)</f>
        <v>0.174786376953125</v>
      </c>
      <c r="S2663" s="0" t="n">
        <f aca="false">04_回帰ANOVA!$K$19*04_回帰ANOVA!$K$14*SQRT(1+R2663)</f>
        <v>1.00773440704286</v>
      </c>
      <c r="T2663" s="0" t="n">
        <f aca="false">Q2663-S2663</f>
        <v>45.1370312179572</v>
      </c>
      <c r="U2663" s="0" t="n">
        <f aca="false">Q2663+S2663</f>
        <v>47.1525000320429</v>
      </c>
      <c r="V2663" s="54" t="b">
        <f aca="false">AND(D2663&gt;=01_因子設定!$L$5-0.000000001,D2663&lt;=01_因子設定!$M$5+0.000000001,E2663&gt;=01_因子設定!$L$6-0.000000001,E2663&lt;=01_因子設定!$M$6+0.000000001,F2663&gt;=01_因子設定!$L$7-0.000000001,F2663&lt;=01_因子設定!$M$7+0.000000001,IF(01_因子設定!$B$20="Box-Behnken",D2663^2+E2663^2+F2663^2&lt;=2+0.000000001,TRUE()))</f>
        <v>1</v>
      </c>
      <c r="W2663" s="55" t="n">
        <f aca="false">IF(V2663,IF(01_因子設定!$B$13="最大化",T2663-01_因子設定!$B$14,IF(01_因子設定!$B$13="最小化",01_因子設定!$B$15-U2663,MIN(T2663-01_因子設定!$B$14,01_因子設定!$B$15-U2663))),-1E+030)</f>
        <v>-3.36296878204285</v>
      </c>
      <c r="X2663" s="55" t="n">
        <f aca="false">IF(V2663,IF(01_因子設定!$B$13="最大化",Q2663,IF(01_因子設定!$B$13="最小化",-Q2663,-ABS(Q2663-01_因子設定!$B$16))),-1E+030)</f>
        <v>46.144765625</v>
      </c>
      <c r="Y2663" s="55" t="n">
        <f aca="false">W2663+ROW()*0.000000001</f>
        <v>-3.36296611904285</v>
      </c>
      <c r="Z2663" s="55" t="n">
        <f aca="false">X2663+ROW()*0.000000001</f>
        <v>46.144768288</v>
      </c>
    </row>
    <row r="2664" customFormat="false" ht="15" hidden="false" customHeight="false" outlineLevel="0" collapsed="false">
      <c r="A2664" s="0" t="n">
        <v>9</v>
      </c>
      <c r="B2664" s="0" t="n">
        <v>3</v>
      </c>
      <c r="C2664" s="0" t="n">
        <v>7</v>
      </c>
      <c r="D2664" s="0" t="n">
        <f aca="false">-1+A2664*0.125</f>
        <v>0.125</v>
      </c>
      <c r="E2664" s="0" t="n">
        <f aca="false">-1+B2664*0.125</f>
        <v>-0.625</v>
      </c>
      <c r="F2664" s="0" t="n">
        <f aca="false">-1+C2664*0.125</f>
        <v>-0.125</v>
      </c>
      <c r="G2664" s="0" t="n">
        <f aca="false">1</f>
        <v>1</v>
      </c>
      <c r="H2664" s="0" t="n">
        <f aca="false">D2664</f>
        <v>0.125</v>
      </c>
      <c r="I2664" s="0" t="n">
        <f aca="false">E2664</f>
        <v>-0.625</v>
      </c>
      <c r="J2664" s="0" t="n">
        <f aca="false">F2664</f>
        <v>-0.125</v>
      </c>
      <c r="K2664" s="0" t="n">
        <f aca="false">D2664*E2664</f>
        <v>-0.078125</v>
      </c>
      <c r="L2664" s="0" t="n">
        <f aca="false">D2664*F2664</f>
        <v>-0.015625</v>
      </c>
      <c r="M2664" s="0" t="n">
        <f aca="false">E2664*F2664</f>
        <v>0.078125</v>
      </c>
      <c r="N2664" s="0" t="n">
        <f aca="false">D2664*D2664</f>
        <v>0.015625</v>
      </c>
      <c r="O2664" s="0" t="n">
        <f aca="false">E2664*E2664</f>
        <v>0.390625</v>
      </c>
      <c r="P2664" s="0" t="n">
        <f aca="false">F2664*F2664</f>
        <v>0.015625</v>
      </c>
      <c r="Q2664" s="0" t="n">
        <f aca="false">SUMPRODUCT(G2664:P2664,_XtX!$B$71:$K$71)</f>
        <v>46.3349502840909</v>
      </c>
      <c r="R2664" s="0" t="n">
        <f aca="false">SUMPRODUCT(MMULT(G2664:P2664,_XtX!$B$58:$K$67),G2664:P2664)</f>
        <v>0.175841730291193</v>
      </c>
      <c r="S2664" s="0" t="n">
        <f aca="false">04_回帰ANOVA!$K$19*04_回帰ANOVA!$K$14*SQRT(1+R2664)</f>
        <v>1.00818694767054</v>
      </c>
      <c r="T2664" s="0" t="n">
        <f aca="false">Q2664-S2664</f>
        <v>45.3267633364204</v>
      </c>
      <c r="U2664" s="0" t="n">
        <f aca="false">Q2664+S2664</f>
        <v>47.3431372317615</v>
      </c>
      <c r="V2664" s="54" t="b">
        <f aca="false">AND(D2664&gt;=01_因子設定!$L$5-0.000000001,D2664&lt;=01_因子設定!$M$5+0.000000001,E2664&gt;=01_因子設定!$L$6-0.000000001,E2664&lt;=01_因子設定!$M$6+0.000000001,F2664&gt;=01_因子設定!$L$7-0.000000001,F2664&lt;=01_因子設定!$M$7+0.000000001,IF(01_因子設定!$B$20="Box-Behnken",D2664^2+E2664^2+F2664^2&lt;=2+0.000000001,TRUE()))</f>
        <v>1</v>
      </c>
      <c r="W2664" s="55" t="n">
        <f aca="false">IF(V2664,IF(01_因子設定!$B$13="最大化",T2664-01_因子設定!$B$14,IF(01_因子設定!$B$13="最小化",01_因子設定!$B$15-U2664,MIN(T2664-01_因子設定!$B$14,01_因子設定!$B$15-U2664))),-1E+030)</f>
        <v>-3.17323666357962</v>
      </c>
      <c r="X2664" s="55" t="n">
        <f aca="false">IF(V2664,IF(01_因子設定!$B$13="最大化",Q2664,IF(01_因子設定!$B$13="最小化",-Q2664,-ABS(Q2664-01_因子設定!$B$16))),-1E+030)</f>
        <v>46.3349502840909</v>
      </c>
      <c r="Y2664" s="55" t="n">
        <f aca="false">W2664+ROW()*0.000000001</f>
        <v>-3.17323399957962</v>
      </c>
      <c r="Z2664" s="55" t="n">
        <f aca="false">X2664+ROW()*0.000000001</f>
        <v>46.3349529480909</v>
      </c>
    </row>
    <row r="2665" customFormat="false" ht="15" hidden="false" customHeight="false" outlineLevel="0" collapsed="false">
      <c r="A2665" s="0" t="n">
        <v>9</v>
      </c>
      <c r="B2665" s="0" t="n">
        <v>3</v>
      </c>
      <c r="C2665" s="0" t="n">
        <v>8</v>
      </c>
      <c r="D2665" s="0" t="n">
        <f aca="false">-1+A2665*0.125</f>
        <v>0.125</v>
      </c>
      <c r="E2665" s="0" t="n">
        <f aca="false">-1+B2665*0.125</f>
        <v>-0.625</v>
      </c>
      <c r="F2665" s="0" t="n">
        <f aca="false">-1+C2665*0.125</f>
        <v>0</v>
      </c>
      <c r="G2665" s="0" t="n">
        <f aca="false">1</f>
        <v>1</v>
      </c>
      <c r="H2665" s="0" t="n">
        <f aca="false">D2665</f>
        <v>0.125</v>
      </c>
      <c r="I2665" s="0" t="n">
        <f aca="false">E2665</f>
        <v>-0.625</v>
      </c>
      <c r="J2665" s="0" t="n">
        <f aca="false">F2665</f>
        <v>0</v>
      </c>
      <c r="K2665" s="0" t="n">
        <f aca="false">D2665*E2665</f>
        <v>-0.078125</v>
      </c>
      <c r="L2665" s="0" t="n">
        <f aca="false">D2665*F2665</f>
        <v>0</v>
      </c>
      <c r="M2665" s="0" t="n">
        <f aca="false">E2665*F2665</f>
        <v>-0</v>
      </c>
      <c r="N2665" s="0" t="n">
        <f aca="false">D2665*D2665</f>
        <v>0.015625</v>
      </c>
      <c r="O2665" s="0" t="n">
        <f aca="false">E2665*E2665</f>
        <v>0.390625</v>
      </c>
      <c r="P2665" s="0" t="n">
        <f aca="false">F2665*F2665</f>
        <v>0</v>
      </c>
      <c r="Q2665" s="0" t="n">
        <f aca="false">SUMPRODUCT(G2665:P2665,_XtX!$B$71:$K$71)</f>
        <v>46.4883451704546</v>
      </c>
      <c r="R2665" s="0" t="n">
        <f aca="false">SUMPRODUCT(MMULT(G2665:P2665,_XtX!$B$58:$K$67),G2665:P2665)</f>
        <v>0.17654862837358</v>
      </c>
      <c r="S2665" s="0" t="n">
        <f aca="false">04_回帰ANOVA!$K$19*04_回帰ANOVA!$K$14*SQRT(1+R2665)</f>
        <v>1.00848995543082</v>
      </c>
      <c r="T2665" s="0" t="n">
        <f aca="false">Q2665-S2665</f>
        <v>45.4798552150237</v>
      </c>
      <c r="U2665" s="0" t="n">
        <f aca="false">Q2665+S2665</f>
        <v>47.4968351258854</v>
      </c>
      <c r="V2665" s="54" t="b">
        <f aca="false">AND(D2665&gt;=01_因子設定!$L$5-0.000000001,D2665&lt;=01_因子設定!$M$5+0.000000001,E2665&gt;=01_因子設定!$L$6-0.000000001,E2665&lt;=01_因子設定!$M$6+0.000000001,F2665&gt;=01_因子設定!$L$7-0.000000001,F2665&lt;=01_因子設定!$M$7+0.000000001,IF(01_因子設定!$B$20="Box-Behnken",D2665^2+E2665^2+F2665^2&lt;=2+0.000000001,TRUE()))</f>
        <v>1</v>
      </c>
      <c r="W2665" s="55" t="n">
        <f aca="false">IF(V2665,IF(01_因子設定!$B$13="最大化",T2665-01_因子設定!$B$14,IF(01_因子設定!$B$13="最小化",01_因子設定!$B$15-U2665,MIN(T2665-01_因子設定!$B$14,01_因子設定!$B$15-U2665))),-1E+030)</f>
        <v>-3.02014478497627</v>
      </c>
      <c r="X2665" s="55" t="n">
        <f aca="false">IF(V2665,IF(01_因子設定!$B$13="最大化",Q2665,IF(01_因子設定!$B$13="最小化",-Q2665,-ABS(Q2665-01_因子設定!$B$16))),-1E+030)</f>
        <v>46.4883451704546</v>
      </c>
      <c r="Y2665" s="55" t="n">
        <f aca="false">W2665+ROW()*0.000000001</f>
        <v>-3.02014211997627</v>
      </c>
      <c r="Z2665" s="55" t="n">
        <f aca="false">X2665+ROW()*0.000000001</f>
        <v>46.4883478354546</v>
      </c>
    </row>
    <row r="2666" customFormat="false" ht="15" hidden="false" customHeight="false" outlineLevel="0" collapsed="false">
      <c r="A2666" s="0" t="n">
        <v>9</v>
      </c>
      <c r="B2666" s="0" t="n">
        <v>3</v>
      </c>
      <c r="C2666" s="0" t="n">
        <v>9</v>
      </c>
      <c r="D2666" s="0" t="n">
        <f aca="false">-1+A2666*0.125</f>
        <v>0.125</v>
      </c>
      <c r="E2666" s="0" t="n">
        <f aca="false">-1+B2666*0.125</f>
        <v>-0.625</v>
      </c>
      <c r="F2666" s="0" t="n">
        <f aca="false">-1+C2666*0.125</f>
        <v>0.125</v>
      </c>
      <c r="G2666" s="0" t="n">
        <f aca="false">1</f>
        <v>1</v>
      </c>
      <c r="H2666" s="0" t="n">
        <f aca="false">D2666</f>
        <v>0.125</v>
      </c>
      <c r="I2666" s="0" t="n">
        <f aca="false">E2666</f>
        <v>-0.625</v>
      </c>
      <c r="J2666" s="0" t="n">
        <f aca="false">F2666</f>
        <v>0.125</v>
      </c>
      <c r="K2666" s="0" t="n">
        <f aca="false">D2666*E2666</f>
        <v>-0.078125</v>
      </c>
      <c r="L2666" s="0" t="n">
        <f aca="false">D2666*F2666</f>
        <v>0.015625</v>
      </c>
      <c r="M2666" s="0" t="n">
        <f aca="false">E2666*F2666</f>
        <v>-0.078125</v>
      </c>
      <c r="N2666" s="0" t="n">
        <f aca="false">D2666*D2666</f>
        <v>0.015625</v>
      </c>
      <c r="O2666" s="0" t="n">
        <f aca="false">E2666*E2666</f>
        <v>0.390625</v>
      </c>
      <c r="P2666" s="0" t="n">
        <f aca="false">F2666*F2666</f>
        <v>0.015625</v>
      </c>
      <c r="Q2666" s="0" t="n">
        <f aca="false">SUMPRODUCT(G2666:P2666,_XtX!$B$71:$K$71)</f>
        <v>46.6049502840909</v>
      </c>
      <c r="R2666" s="0" t="n">
        <f aca="false">SUMPRODUCT(MMULT(G2666:P2666,_XtX!$B$58:$K$67),G2666:P2666)</f>
        <v>0.175841730291193</v>
      </c>
      <c r="S2666" s="0" t="n">
        <f aca="false">04_回帰ANOVA!$K$19*04_回帰ANOVA!$K$14*SQRT(1+R2666)</f>
        <v>1.00818694767054</v>
      </c>
      <c r="T2666" s="0" t="n">
        <f aca="false">Q2666-S2666</f>
        <v>45.5967633364204</v>
      </c>
      <c r="U2666" s="0" t="n">
        <f aca="false">Q2666+S2666</f>
        <v>47.6131372317615</v>
      </c>
      <c r="V2666" s="54" t="b">
        <f aca="false">AND(D2666&gt;=01_因子設定!$L$5-0.000000001,D2666&lt;=01_因子設定!$M$5+0.000000001,E2666&gt;=01_因子設定!$L$6-0.000000001,E2666&lt;=01_因子設定!$M$6+0.000000001,F2666&gt;=01_因子設定!$L$7-0.000000001,F2666&lt;=01_因子設定!$M$7+0.000000001,IF(01_因子設定!$B$20="Box-Behnken",D2666^2+E2666^2+F2666^2&lt;=2+0.000000001,TRUE()))</f>
        <v>1</v>
      </c>
      <c r="W2666" s="55" t="n">
        <f aca="false">IF(V2666,IF(01_因子設定!$B$13="最大化",T2666-01_因子設定!$B$14,IF(01_因子設定!$B$13="最小化",01_因子設定!$B$15-U2666,MIN(T2666-01_因子設定!$B$14,01_因子設定!$B$15-U2666))),-1E+030)</f>
        <v>-2.90323666357962</v>
      </c>
      <c r="X2666" s="55" t="n">
        <f aca="false">IF(V2666,IF(01_因子設定!$B$13="最大化",Q2666,IF(01_因子設定!$B$13="最小化",-Q2666,-ABS(Q2666-01_因子設定!$B$16))),-1E+030)</f>
        <v>46.6049502840909</v>
      </c>
      <c r="Y2666" s="55" t="n">
        <f aca="false">W2666+ROW()*0.000000001</f>
        <v>-2.90323399757962</v>
      </c>
      <c r="Z2666" s="55" t="n">
        <f aca="false">X2666+ROW()*0.000000001</f>
        <v>46.6049529500909</v>
      </c>
    </row>
    <row r="2667" customFormat="false" ht="15" hidden="false" customHeight="false" outlineLevel="0" collapsed="false">
      <c r="A2667" s="0" t="n">
        <v>9</v>
      </c>
      <c r="B2667" s="0" t="n">
        <v>3</v>
      </c>
      <c r="C2667" s="0" t="n">
        <v>10</v>
      </c>
      <c r="D2667" s="0" t="n">
        <f aca="false">-1+A2667*0.125</f>
        <v>0.125</v>
      </c>
      <c r="E2667" s="0" t="n">
        <f aca="false">-1+B2667*0.125</f>
        <v>-0.625</v>
      </c>
      <c r="F2667" s="0" t="n">
        <f aca="false">-1+C2667*0.125</f>
        <v>0.25</v>
      </c>
      <c r="G2667" s="0" t="n">
        <f aca="false">1</f>
        <v>1</v>
      </c>
      <c r="H2667" s="0" t="n">
        <f aca="false">D2667</f>
        <v>0.125</v>
      </c>
      <c r="I2667" s="0" t="n">
        <f aca="false">E2667</f>
        <v>-0.625</v>
      </c>
      <c r="J2667" s="0" t="n">
        <f aca="false">F2667</f>
        <v>0.25</v>
      </c>
      <c r="K2667" s="0" t="n">
        <f aca="false">D2667*E2667</f>
        <v>-0.078125</v>
      </c>
      <c r="L2667" s="0" t="n">
        <f aca="false">D2667*F2667</f>
        <v>0.03125</v>
      </c>
      <c r="M2667" s="0" t="n">
        <f aca="false">E2667*F2667</f>
        <v>-0.15625</v>
      </c>
      <c r="N2667" s="0" t="n">
        <f aca="false">D2667*D2667</f>
        <v>0.015625</v>
      </c>
      <c r="O2667" s="0" t="n">
        <f aca="false">E2667*E2667</f>
        <v>0.390625</v>
      </c>
      <c r="P2667" s="0" t="n">
        <f aca="false">F2667*F2667</f>
        <v>0.0625</v>
      </c>
      <c r="Q2667" s="0" t="n">
        <f aca="false">SUMPRODUCT(G2667:P2667,_XtX!$B$71:$K$71)</f>
        <v>46.684765625</v>
      </c>
      <c r="R2667" s="0" t="n">
        <f aca="false">SUMPRODUCT(MMULT(G2667:P2667,_XtX!$B$58:$K$67),G2667:P2667)</f>
        <v>0.174786376953125</v>
      </c>
      <c r="S2667" s="0" t="n">
        <f aca="false">04_回帰ANOVA!$K$19*04_回帰ANOVA!$K$14*SQRT(1+R2667)</f>
        <v>1.00773440704286</v>
      </c>
      <c r="T2667" s="0" t="n">
        <f aca="false">Q2667-S2667</f>
        <v>45.6770312179572</v>
      </c>
      <c r="U2667" s="0" t="n">
        <f aca="false">Q2667+S2667</f>
        <v>47.6925000320429</v>
      </c>
      <c r="V2667" s="54" t="b">
        <f aca="false">AND(D2667&gt;=01_因子設定!$L$5-0.000000001,D2667&lt;=01_因子設定!$M$5+0.000000001,E2667&gt;=01_因子設定!$L$6-0.000000001,E2667&lt;=01_因子設定!$M$6+0.000000001,F2667&gt;=01_因子設定!$L$7-0.000000001,F2667&lt;=01_因子設定!$M$7+0.000000001,IF(01_因子設定!$B$20="Box-Behnken",D2667^2+E2667^2+F2667^2&lt;=2+0.000000001,TRUE()))</f>
        <v>1</v>
      </c>
      <c r="W2667" s="55" t="n">
        <f aca="false">IF(V2667,IF(01_因子設定!$B$13="最大化",T2667-01_因子設定!$B$14,IF(01_因子設定!$B$13="最小化",01_因子設定!$B$15-U2667,MIN(T2667-01_因子設定!$B$14,01_因子設定!$B$15-U2667))),-1E+030)</f>
        <v>-2.82296878204285</v>
      </c>
      <c r="X2667" s="55" t="n">
        <f aca="false">IF(V2667,IF(01_因子設定!$B$13="最大化",Q2667,IF(01_因子設定!$B$13="最小化",-Q2667,-ABS(Q2667-01_因子設定!$B$16))),-1E+030)</f>
        <v>46.684765625</v>
      </c>
      <c r="Y2667" s="55" t="n">
        <f aca="false">W2667+ROW()*0.000000001</f>
        <v>-2.82296611504285</v>
      </c>
      <c r="Z2667" s="55" t="n">
        <f aca="false">X2667+ROW()*0.000000001</f>
        <v>46.684768292</v>
      </c>
    </row>
    <row r="2668" customFormat="false" ht="15" hidden="false" customHeight="false" outlineLevel="0" collapsed="false">
      <c r="A2668" s="0" t="n">
        <v>9</v>
      </c>
      <c r="B2668" s="0" t="n">
        <v>3</v>
      </c>
      <c r="C2668" s="0" t="n">
        <v>11</v>
      </c>
      <c r="D2668" s="0" t="n">
        <f aca="false">-1+A2668*0.125</f>
        <v>0.125</v>
      </c>
      <c r="E2668" s="0" t="n">
        <f aca="false">-1+B2668*0.125</f>
        <v>-0.625</v>
      </c>
      <c r="F2668" s="0" t="n">
        <f aca="false">-1+C2668*0.125</f>
        <v>0.375</v>
      </c>
      <c r="G2668" s="0" t="n">
        <f aca="false">1</f>
        <v>1</v>
      </c>
      <c r="H2668" s="0" t="n">
        <f aca="false">D2668</f>
        <v>0.125</v>
      </c>
      <c r="I2668" s="0" t="n">
        <f aca="false">E2668</f>
        <v>-0.625</v>
      </c>
      <c r="J2668" s="0" t="n">
        <f aca="false">F2668</f>
        <v>0.375</v>
      </c>
      <c r="K2668" s="0" t="n">
        <f aca="false">D2668*E2668</f>
        <v>-0.078125</v>
      </c>
      <c r="L2668" s="0" t="n">
        <f aca="false">D2668*F2668</f>
        <v>0.046875</v>
      </c>
      <c r="M2668" s="0" t="n">
        <f aca="false">E2668*F2668</f>
        <v>-0.234375</v>
      </c>
      <c r="N2668" s="0" t="n">
        <f aca="false">D2668*D2668</f>
        <v>0.015625</v>
      </c>
      <c r="O2668" s="0" t="n">
        <f aca="false">E2668*E2668</f>
        <v>0.390625</v>
      </c>
      <c r="P2668" s="0" t="n">
        <f aca="false">F2668*F2668</f>
        <v>0.140625</v>
      </c>
      <c r="Q2668" s="0" t="n">
        <f aca="false">SUMPRODUCT(G2668:P2668,_XtX!$B$71:$K$71)</f>
        <v>46.7277911931818</v>
      </c>
      <c r="R2668" s="0" t="n">
        <f aca="false">SUMPRODUCT(MMULT(G2668:P2668,_XtX!$B$58:$K$67),G2668:P2668)</f>
        <v>0.176578591086648</v>
      </c>
      <c r="S2668" s="0" t="n">
        <f aca="false">04_回帰ANOVA!$K$19*04_回帰ANOVA!$K$14*SQRT(1+R2668)</f>
        <v>1.00850279676269</v>
      </c>
      <c r="T2668" s="0" t="n">
        <f aca="false">Q2668-S2668</f>
        <v>45.7192883964191</v>
      </c>
      <c r="U2668" s="0" t="n">
        <f aca="false">Q2668+S2668</f>
        <v>47.7362939899445</v>
      </c>
      <c r="V2668" s="54" t="b">
        <f aca="false">AND(D2668&gt;=01_因子設定!$L$5-0.000000001,D2668&lt;=01_因子設定!$M$5+0.000000001,E2668&gt;=01_因子設定!$L$6-0.000000001,E2668&lt;=01_因子設定!$M$6+0.000000001,F2668&gt;=01_因子設定!$L$7-0.000000001,F2668&lt;=01_因子設定!$M$7+0.000000001,IF(01_因子設定!$B$20="Box-Behnken",D2668^2+E2668^2+F2668^2&lt;=2+0.000000001,TRUE()))</f>
        <v>1</v>
      </c>
      <c r="W2668" s="55" t="n">
        <f aca="false">IF(V2668,IF(01_因子設定!$B$13="最大化",T2668-01_因子設定!$B$14,IF(01_因子設定!$B$13="最小化",01_因子設定!$B$15-U2668,MIN(T2668-01_因子設定!$B$14,01_因子設定!$B$15-U2668))),-1E+030)</f>
        <v>-2.78071160358086</v>
      </c>
      <c r="X2668" s="55" t="n">
        <f aca="false">IF(V2668,IF(01_因子設定!$B$13="最大化",Q2668,IF(01_因子設定!$B$13="最小化",-Q2668,-ABS(Q2668-01_因子設定!$B$16))),-1E+030)</f>
        <v>46.7277911931818</v>
      </c>
      <c r="Y2668" s="55" t="n">
        <f aca="false">W2668+ROW()*0.000000001</f>
        <v>-2.78070893558086</v>
      </c>
      <c r="Z2668" s="55" t="n">
        <f aca="false">X2668+ROW()*0.000000001</f>
        <v>46.7277938611818</v>
      </c>
    </row>
    <row r="2669" customFormat="false" ht="15" hidden="false" customHeight="false" outlineLevel="0" collapsed="false">
      <c r="A2669" s="0" t="n">
        <v>9</v>
      </c>
      <c r="B2669" s="0" t="n">
        <v>3</v>
      </c>
      <c r="C2669" s="0" t="n">
        <v>12</v>
      </c>
      <c r="D2669" s="0" t="n">
        <f aca="false">-1+A2669*0.125</f>
        <v>0.125</v>
      </c>
      <c r="E2669" s="0" t="n">
        <f aca="false">-1+B2669*0.125</f>
        <v>-0.625</v>
      </c>
      <c r="F2669" s="0" t="n">
        <f aca="false">-1+C2669*0.125</f>
        <v>0.5</v>
      </c>
      <c r="G2669" s="0" t="n">
        <f aca="false">1</f>
        <v>1</v>
      </c>
      <c r="H2669" s="0" t="n">
        <f aca="false">D2669</f>
        <v>0.125</v>
      </c>
      <c r="I2669" s="0" t="n">
        <f aca="false">E2669</f>
        <v>-0.625</v>
      </c>
      <c r="J2669" s="0" t="n">
        <f aca="false">F2669</f>
        <v>0.5</v>
      </c>
      <c r="K2669" s="0" t="n">
        <f aca="false">D2669*E2669</f>
        <v>-0.078125</v>
      </c>
      <c r="L2669" s="0" t="n">
        <f aca="false">D2669*F2669</f>
        <v>0.0625</v>
      </c>
      <c r="M2669" s="0" t="n">
        <f aca="false">E2669*F2669</f>
        <v>-0.3125</v>
      </c>
      <c r="N2669" s="0" t="n">
        <f aca="false">D2669*D2669</f>
        <v>0.015625</v>
      </c>
      <c r="O2669" s="0" t="n">
        <f aca="false">E2669*E2669</f>
        <v>0.390625</v>
      </c>
      <c r="P2669" s="0" t="n">
        <f aca="false">F2669*F2669</f>
        <v>0.25</v>
      </c>
      <c r="Q2669" s="0" t="n">
        <f aca="false">SUMPRODUCT(G2669:P2669,_XtX!$B$71:$K$71)</f>
        <v>46.7340269886364</v>
      </c>
      <c r="R2669" s="0" t="n">
        <f aca="false">SUMPRODUCT(MMULT(G2669:P2669,_XtX!$B$58:$K$67),G2669:P2669)</f>
        <v>0.186545077237216</v>
      </c>
      <c r="S2669" s="0" t="n">
        <f aca="false">04_回帰ANOVA!$K$19*04_回帰ANOVA!$K$14*SQRT(1+R2669)</f>
        <v>1.01276516970713</v>
      </c>
      <c r="T2669" s="0" t="n">
        <f aca="false">Q2669-S2669</f>
        <v>45.7212618189293</v>
      </c>
      <c r="U2669" s="0" t="n">
        <f aca="false">Q2669+S2669</f>
        <v>47.7467921583435</v>
      </c>
      <c r="V2669" s="54" t="b">
        <f aca="false">AND(D2669&gt;=01_因子設定!$L$5-0.000000001,D2669&lt;=01_因子設定!$M$5+0.000000001,E2669&gt;=01_因子設定!$L$6-0.000000001,E2669&lt;=01_因子設定!$M$6+0.000000001,F2669&gt;=01_因子設定!$L$7-0.000000001,F2669&lt;=01_因子設定!$M$7+0.000000001,IF(01_因子設定!$B$20="Box-Behnken",D2669^2+E2669^2+F2669^2&lt;=2+0.000000001,TRUE()))</f>
        <v>1</v>
      </c>
      <c r="W2669" s="55" t="n">
        <f aca="false">IF(V2669,IF(01_因子設定!$B$13="最大化",T2669-01_因子設定!$B$14,IF(01_因子設定!$B$13="最小化",01_因子設定!$B$15-U2669,MIN(T2669-01_因子設定!$B$14,01_因子設定!$B$15-U2669))),-1E+030)</f>
        <v>-2.77873818107075</v>
      </c>
      <c r="X2669" s="55" t="n">
        <f aca="false">IF(V2669,IF(01_因子設定!$B$13="最大化",Q2669,IF(01_因子設定!$B$13="最小化",-Q2669,-ABS(Q2669-01_因子設定!$B$16))),-1E+030)</f>
        <v>46.7340269886364</v>
      </c>
      <c r="Y2669" s="55" t="n">
        <f aca="false">W2669+ROW()*0.000000001</f>
        <v>-2.77873551207075</v>
      </c>
      <c r="Z2669" s="55" t="n">
        <f aca="false">X2669+ROW()*0.000000001</f>
        <v>46.7340296576364</v>
      </c>
    </row>
    <row r="2670" customFormat="false" ht="15" hidden="false" customHeight="false" outlineLevel="0" collapsed="false">
      <c r="A2670" s="0" t="n">
        <v>9</v>
      </c>
      <c r="B2670" s="0" t="n">
        <v>3</v>
      </c>
      <c r="C2670" s="0" t="n">
        <v>13</v>
      </c>
      <c r="D2670" s="0" t="n">
        <f aca="false">-1+A2670*0.125</f>
        <v>0.125</v>
      </c>
      <c r="E2670" s="0" t="n">
        <f aca="false">-1+B2670*0.125</f>
        <v>-0.625</v>
      </c>
      <c r="F2670" s="0" t="n">
        <f aca="false">-1+C2670*0.125</f>
        <v>0.625</v>
      </c>
      <c r="G2670" s="0" t="n">
        <f aca="false">1</f>
        <v>1</v>
      </c>
      <c r="H2670" s="0" t="n">
        <f aca="false">D2670</f>
        <v>0.125</v>
      </c>
      <c r="I2670" s="0" t="n">
        <f aca="false">E2670</f>
        <v>-0.625</v>
      </c>
      <c r="J2670" s="0" t="n">
        <f aca="false">F2670</f>
        <v>0.625</v>
      </c>
      <c r="K2670" s="0" t="n">
        <f aca="false">D2670*E2670</f>
        <v>-0.078125</v>
      </c>
      <c r="L2670" s="0" t="n">
        <f aca="false">D2670*F2670</f>
        <v>0.078125</v>
      </c>
      <c r="M2670" s="0" t="n">
        <f aca="false">E2670*F2670</f>
        <v>-0.390625</v>
      </c>
      <c r="N2670" s="0" t="n">
        <f aca="false">D2670*D2670</f>
        <v>0.015625</v>
      </c>
      <c r="O2670" s="0" t="n">
        <f aca="false">E2670*E2670</f>
        <v>0.390625</v>
      </c>
      <c r="P2670" s="0" t="n">
        <f aca="false">F2670*F2670</f>
        <v>0.390625</v>
      </c>
      <c r="Q2670" s="0" t="n">
        <f aca="false">SUMPRODUCT(G2670:P2670,_XtX!$B$71:$K$71)</f>
        <v>46.7034730113637</v>
      </c>
      <c r="R2670" s="0" t="n">
        <f aca="false">SUMPRODUCT(MMULT(G2670:P2670,_XtX!$B$58:$K$67),G2670:P2670)</f>
        <v>0.212143221768466</v>
      </c>
      <c r="S2670" s="0" t="n">
        <f aca="false">04_回帰ANOVA!$K$19*04_回帰ANOVA!$K$14*SQRT(1+R2670)</f>
        <v>1.02363141237304</v>
      </c>
      <c r="T2670" s="0" t="n">
        <f aca="false">Q2670-S2670</f>
        <v>45.6798415989906</v>
      </c>
      <c r="U2670" s="0" t="n">
        <f aca="false">Q2670+S2670</f>
        <v>47.7271044237367</v>
      </c>
      <c r="V2670" s="54" t="b">
        <f aca="false">AND(D2670&gt;=01_因子設定!$L$5-0.000000001,D2670&lt;=01_因子設定!$M$5+0.000000001,E2670&gt;=01_因子設定!$L$6-0.000000001,E2670&lt;=01_因子設定!$M$6+0.000000001,F2670&gt;=01_因子設定!$L$7-0.000000001,F2670&lt;=01_因子設定!$M$7+0.000000001,IF(01_因子設定!$B$20="Box-Behnken",D2670^2+E2670^2+F2670^2&lt;=2+0.000000001,TRUE()))</f>
        <v>1</v>
      </c>
      <c r="W2670" s="55" t="n">
        <f aca="false">IF(V2670,IF(01_因子設定!$B$13="最大化",T2670-01_因子設定!$B$14,IF(01_因子設定!$B$13="最小化",01_因子設定!$B$15-U2670,MIN(T2670-01_因子設定!$B$14,01_因子設定!$B$15-U2670))),-1E+030)</f>
        <v>-2.82015840100939</v>
      </c>
      <c r="X2670" s="55" t="n">
        <f aca="false">IF(V2670,IF(01_因子設定!$B$13="最大化",Q2670,IF(01_因子設定!$B$13="最小化",-Q2670,-ABS(Q2670-01_因子設定!$B$16))),-1E+030)</f>
        <v>46.7034730113637</v>
      </c>
      <c r="Y2670" s="55" t="n">
        <f aca="false">W2670+ROW()*0.000000001</f>
        <v>-2.82015573100939</v>
      </c>
      <c r="Z2670" s="55" t="n">
        <f aca="false">X2670+ROW()*0.000000001</f>
        <v>46.7034756813637</v>
      </c>
    </row>
    <row r="2671" customFormat="false" ht="15" hidden="false" customHeight="false" outlineLevel="0" collapsed="false">
      <c r="A2671" s="0" t="n">
        <v>9</v>
      </c>
      <c r="B2671" s="0" t="n">
        <v>3</v>
      </c>
      <c r="C2671" s="0" t="n">
        <v>14</v>
      </c>
      <c r="D2671" s="0" t="n">
        <f aca="false">-1+A2671*0.125</f>
        <v>0.125</v>
      </c>
      <c r="E2671" s="0" t="n">
        <f aca="false">-1+B2671*0.125</f>
        <v>-0.625</v>
      </c>
      <c r="F2671" s="0" t="n">
        <f aca="false">-1+C2671*0.125</f>
        <v>0.75</v>
      </c>
      <c r="G2671" s="0" t="n">
        <f aca="false">1</f>
        <v>1</v>
      </c>
      <c r="H2671" s="0" t="n">
        <f aca="false">D2671</f>
        <v>0.125</v>
      </c>
      <c r="I2671" s="0" t="n">
        <f aca="false">E2671</f>
        <v>-0.625</v>
      </c>
      <c r="J2671" s="0" t="n">
        <f aca="false">F2671</f>
        <v>0.75</v>
      </c>
      <c r="K2671" s="0" t="n">
        <f aca="false">D2671*E2671</f>
        <v>-0.078125</v>
      </c>
      <c r="L2671" s="0" t="n">
        <f aca="false">D2671*F2671</f>
        <v>0.09375</v>
      </c>
      <c r="M2671" s="0" t="n">
        <f aca="false">E2671*F2671</f>
        <v>-0.46875</v>
      </c>
      <c r="N2671" s="0" t="n">
        <f aca="false">D2671*D2671</f>
        <v>0.015625</v>
      </c>
      <c r="O2671" s="0" t="n">
        <f aca="false">E2671*E2671</f>
        <v>0.390625</v>
      </c>
      <c r="P2671" s="0" t="n">
        <f aca="false">F2671*F2671</f>
        <v>0.5625</v>
      </c>
      <c r="Q2671" s="0" t="n">
        <f aca="false">SUMPRODUCT(G2671:P2671,_XtX!$B$71:$K$71)</f>
        <v>46.6361292613637</v>
      </c>
      <c r="R2671" s="0" t="n">
        <f aca="false">SUMPRODUCT(MMULT(G2671:P2671,_XtX!$B$58:$K$67),G2671:P2671)</f>
        <v>0.262961092862216</v>
      </c>
      <c r="S2671" s="0" t="n">
        <f aca="false">04_回帰ANOVA!$K$19*04_回帰ANOVA!$K$14*SQRT(1+R2671)</f>
        <v>1.04486846483649</v>
      </c>
      <c r="T2671" s="0" t="n">
        <f aca="false">Q2671-S2671</f>
        <v>45.5912607965272</v>
      </c>
      <c r="U2671" s="0" t="n">
        <f aca="false">Q2671+S2671</f>
        <v>47.6809977262001</v>
      </c>
      <c r="V2671" s="54" t="b">
        <f aca="false">AND(D2671&gt;=01_因子設定!$L$5-0.000000001,D2671&lt;=01_因子設定!$M$5+0.000000001,E2671&gt;=01_因子設定!$L$6-0.000000001,E2671&lt;=01_因子設定!$M$6+0.000000001,F2671&gt;=01_因子設定!$L$7-0.000000001,F2671&lt;=01_因子設定!$M$7+0.000000001,IF(01_因子設定!$B$20="Box-Behnken",D2671^2+E2671^2+F2671^2&lt;=2+0.000000001,TRUE()))</f>
        <v>1</v>
      </c>
      <c r="W2671" s="55" t="n">
        <f aca="false">IF(V2671,IF(01_因子設定!$B$13="最大化",T2671-01_因子設定!$B$14,IF(01_因子設定!$B$13="最小化",01_因子設定!$B$15-U2671,MIN(T2671-01_因子設定!$B$14,01_因子設定!$B$15-U2671))),-1E+030)</f>
        <v>-2.90873920347283</v>
      </c>
      <c r="X2671" s="55" t="n">
        <f aca="false">IF(V2671,IF(01_因子設定!$B$13="最大化",Q2671,IF(01_因子設定!$B$13="最小化",-Q2671,-ABS(Q2671-01_因子設定!$B$16))),-1E+030)</f>
        <v>46.6361292613637</v>
      </c>
      <c r="Y2671" s="55" t="n">
        <f aca="false">W2671+ROW()*0.000000001</f>
        <v>-2.90873653247283</v>
      </c>
      <c r="Z2671" s="55" t="n">
        <f aca="false">X2671+ROW()*0.000000001</f>
        <v>46.6361319323637</v>
      </c>
    </row>
    <row r="2672" customFormat="false" ht="15" hidden="false" customHeight="false" outlineLevel="0" collapsed="false">
      <c r="A2672" s="0" t="n">
        <v>9</v>
      </c>
      <c r="B2672" s="0" t="n">
        <v>3</v>
      </c>
      <c r="C2672" s="0" t="n">
        <v>15</v>
      </c>
      <c r="D2672" s="0" t="n">
        <f aca="false">-1+A2672*0.125</f>
        <v>0.125</v>
      </c>
      <c r="E2672" s="0" t="n">
        <f aca="false">-1+B2672*0.125</f>
        <v>-0.625</v>
      </c>
      <c r="F2672" s="0" t="n">
        <f aca="false">-1+C2672*0.125</f>
        <v>0.875</v>
      </c>
      <c r="G2672" s="0" t="n">
        <f aca="false">1</f>
        <v>1</v>
      </c>
      <c r="H2672" s="0" t="n">
        <f aca="false">D2672</f>
        <v>0.125</v>
      </c>
      <c r="I2672" s="0" t="n">
        <f aca="false">E2672</f>
        <v>-0.625</v>
      </c>
      <c r="J2672" s="0" t="n">
        <f aca="false">F2672</f>
        <v>0.875</v>
      </c>
      <c r="K2672" s="0" t="n">
        <f aca="false">D2672*E2672</f>
        <v>-0.078125</v>
      </c>
      <c r="L2672" s="0" t="n">
        <f aca="false">D2672*F2672</f>
        <v>0.109375</v>
      </c>
      <c r="M2672" s="0" t="n">
        <f aca="false">E2672*F2672</f>
        <v>-0.546875</v>
      </c>
      <c r="N2672" s="0" t="n">
        <f aca="false">D2672*D2672</f>
        <v>0.015625</v>
      </c>
      <c r="O2672" s="0" t="n">
        <f aca="false">E2672*E2672</f>
        <v>0.390625</v>
      </c>
      <c r="P2672" s="0" t="n">
        <f aca="false">F2672*F2672</f>
        <v>0.765625</v>
      </c>
      <c r="Q2672" s="0" t="n">
        <f aca="false">SUMPRODUCT(G2672:P2672,_XtX!$B$71:$K$71)</f>
        <v>46.5319957386364</v>
      </c>
      <c r="R2672" s="0" t="n">
        <f aca="false">SUMPRODUCT(MMULT(G2672:P2672,_XtX!$B$58:$K$67),G2672:P2672)</f>
        <v>0.350717440518466</v>
      </c>
      <c r="S2672" s="0" t="n">
        <f aca="false">04_回帰ANOVA!$K$19*04_回帰ANOVA!$K$14*SQRT(1+R2672)</f>
        <v>1.08056000737898</v>
      </c>
      <c r="T2672" s="0" t="n">
        <f aca="false">Q2672-S2672</f>
        <v>45.4514357312574</v>
      </c>
      <c r="U2672" s="0" t="n">
        <f aca="false">Q2672+S2672</f>
        <v>47.6125557460154</v>
      </c>
      <c r="V2672" s="54" t="b">
        <f aca="false">AND(D2672&gt;=01_因子設定!$L$5-0.000000001,D2672&lt;=01_因子設定!$M$5+0.000000001,E2672&gt;=01_因子設定!$L$6-0.000000001,E2672&lt;=01_因子設定!$M$6+0.000000001,F2672&gt;=01_因子設定!$L$7-0.000000001,F2672&lt;=01_因子設定!$M$7+0.000000001,IF(01_因子設定!$B$20="Box-Behnken",D2672^2+E2672^2+F2672^2&lt;=2+0.000000001,TRUE()))</f>
        <v>1</v>
      </c>
      <c r="W2672" s="55" t="n">
        <f aca="false">IF(V2672,IF(01_因子設定!$B$13="最大化",T2672-01_因子設定!$B$14,IF(01_因子設定!$B$13="最小化",01_因子設定!$B$15-U2672,MIN(T2672-01_因子設定!$B$14,01_因子設定!$B$15-U2672))),-1E+030)</f>
        <v>-3.04856426874259</v>
      </c>
      <c r="X2672" s="55" t="n">
        <f aca="false">IF(V2672,IF(01_因子設定!$B$13="最大化",Q2672,IF(01_因子設定!$B$13="最小化",-Q2672,-ABS(Q2672-01_因子設定!$B$16))),-1E+030)</f>
        <v>46.5319957386364</v>
      </c>
      <c r="Y2672" s="55" t="n">
        <f aca="false">W2672+ROW()*0.000000001</f>
        <v>-3.04856159674259</v>
      </c>
      <c r="Z2672" s="55" t="n">
        <f aca="false">X2672+ROW()*0.000000001</f>
        <v>46.5319984106364</v>
      </c>
    </row>
    <row r="2673" customFormat="false" ht="15" hidden="false" customHeight="false" outlineLevel="0" collapsed="false">
      <c r="A2673" s="0" t="n">
        <v>9</v>
      </c>
      <c r="B2673" s="0" t="n">
        <v>3</v>
      </c>
      <c r="C2673" s="0" t="n">
        <v>16</v>
      </c>
      <c r="D2673" s="0" t="n">
        <f aca="false">-1+A2673*0.125</f>
        <v>0.125</v>
      </c>
      <c r="E2673" s="0" t="n">
        <f aca="false">-1+B2673*0.125</f>
        <v>-0.625</v>
      </c>
      <c r="F2673" s="0" t="n">
        <f aca="false">-1+C2673*0.125</f>
        <v>1</v>
      </c>
      <c r="G2673" s="0" t="n">
        <f aca="false">1</f>
        <v>1</v>
      </c>
      <c r="H2673" s="0" t="n">
        <f aca="false">D2673</f>
        <v>0.125</v>
      </c>
      <c r="I2673" s="0" t="n">
        <f aca="false">E2673</f>
        <v>-0.625</v>
      </c>
      <c r="J2673" s="0" t="n">
        <f aca="false">F2673</f>
        <v>1</v>
      </c>
      <c r="K2673" s="0" t="n">
        <f aca="false">D2673*E2673</f>
        <v>-0.078125</v>
      </c>
      <c r="L2673" s="0" t="n">
        <f aca="false">D2673*F2673</f>
        <v>0.125</v>
      </c>
      <c r="M2673" s="0" t="n">
        <f aca="false">E2673*F2673</f>
        <v>-0.625</v>
      </c>
      <c r="N2673" s="0" t="n">
        <f aca="false">D2673*D2673</f>
        <v>0.015625</v>
      </c>
      <c r="O2673" s="0" t="n">
        <f aca="false">E2673*E2673</f>
        <v>0.390625</v>
      </c>
      <c r="P2673" s="0" t="n">
        <f aca="false">F2673*F2673</f>
        <v>1</v>
      </c>
      <c r="Q2673" s="0" t="n">
        <f aca="false">SUMPRODUCT(G2673:P2673,_XtX!$B$71:$K$71)</f>
        <v>46.3910724431819</v>
      </c>
      <c r="R2673" s="0" t="n">
        <f aca="false">SUMPRODUCT(MMULT(G2673:P2673,_XtX!$B$58:$K$67),G2673:P2673)</f>
        <v>0.489261696555398</v>
      </c>
      <c r="S2673" s="0" t="n">
        <f aca="false">04_回帰ANOVA!$K$19*04_回帰ANOVA!$K$14*SQRT(1+R2673)</f>
        <v>1.13462447083763</v>
      </c>
      <c r="T2673" s="0" t="n">
        <f aca="false">Q2673-S2673</f>
        <v>45.2564479723442</v>
      </c>
      <c r="U2673" s="0" t="n">
        <f aca="false">Q2673+S2673</f>
        <v>47.5256969140195</v>
      </c>
      <c r="V2673" s="54" t="b">
        <f aca="false">AND(D2673&gt;=01_因子設定!$L$5-0.000000001,D2673&lt;=01_因子設定!$M$5+0.000000001,E2673&gt;=01_因子設定!$L$6-0.000000001,E2673&lt;=01_因子設定!$M$6+0.000000001,F2673&gt;=01_因子設定!$L$7-0.000000001,F2673&lt;=01_因子設定!$M$7+0.000000001,IF(01_因子設定!$B$20="Box-Behnken",D2673^2+E2673^2+F2673^2&lt;=2+0.000000001,TRUE()))</f>
        <v>1</v>
      </c>
      <c r="W2673" s="55" t="n">
        <f aca="false">IF(V2673,IF(01_因子設定!$B$13="最大化",T2673-01_因子設定!$B$14,IF(01_因子設定!$B$13="最小化",01_因子設定!$B$15-U2673,MIN(T2673-01_因子設定!$B$14,01_因子設定!$B$15-U2673))),-1E+030)</f>
        <v>-3.24355202765579</v>
      </c>
      <c r="X2673" s="55" t="n">
        <f aca="false">IF(V2673,IF(01_因子設定!$B$13="最大化",Q2673,IF(01_因子設定!$B$13="最小化",-Q2673,-ABS(Q2673-01_因子設定!$B$16))),-1E+030)</f>
        <v>46.3910724431819</v>
      </c>
      <c r="Y2673" s="55" t="n">
        <f aca="false">W2673+ROW()*0.000000001</f>
        <v>-3.24354935465579</v>
      </c>
      <c r="Z2673" s="55" t="n">
        <f aca="false">X2673+ROW()*0.000000001</f>
        <v>46.3910751161818</v>
      </c>
    </row>
    <row r="2674" customFormat="false" ht="15" hidden="false" customHeight="false" outlineLevel="0" collapsed="false">
      <c r="A2674" s="0" t="n">
        <v>9</v>
      </c>
      <c r="B2674" s="0" t="n">
        <v>4</v>
      </c>
      <c r="C2674" s="0" t="n">
        <v>0</v>
      </c>
      <c r="D2674" s="0" t="n">
        <f aca="false">-1+A2674*0.125</f>
        <v>0.125</v>
      </c>
      <c r="E2674" s="0" t="n">
        <f aca="false">-1+B2674*0.125</f>
        <v>-0.5</v>
      </c>
      <c r="F2674" s="0" t="n">
        <f aca="false">-1+C2674*0.125</f>
        <v>-1</v>
      </c>
      <c r="G2674" s="0" t="n">
        <f aca="false">1</f>
        <v>1</v>
      </c>
      <c r="H2674" s="0" t="n">
        <f aca="false">D2674</f>
        <v>0.125</v>
      </c>
      <c r="I2674" s="0" t="n">
        <f aca="false">E2674</f>
        <v>-0.5</v>
      </c>
      <c r="J2674" s="0" t="n">
        <f aca="false">F2674</f>
        <v>-1</v>
      </c>
      <c r="K2674" s="0" t="n">
        <f aca="false">D2674*E2674</f>
        <v>-0.0625</v>
      </c>
      <c r="L2674" s="0" t="n">
        <f aca="false">D2674*F2674</f>
        <v>-0.125</v>
      </c>
      <c r="M2674" s="0" t="n">
        <f aca="false">E2674*F2674</f>
        <v>0.5</v>
      </c>
      <c r="N2674" s="0" t="n">
        <f aca="false">D2674*D2674</f>
        <v>0.015625</v>
      </c>
      <c r="O2674" s="0" t="n">
        <f aca="false">E2674*E2674</f>
        <v>0.25</v>
      </c>
      <c r="P2674" s="0" t="n">
        <f aca="false">F2674*F2674</f>
        <v>1</v>
      </c>
      <c r="Q2674" s="0" t="n">
        <f aca="false">SUMPRODUCT(G2674:P2674,_XtX!$B$71:$K$71)</f>
        <v>44.7377982954546</v>
      </c>
      <c r="R2674" s="0" t="n">
        <f aca="false">SUMPRODUCT(MMULT(G2674:P2674,_XtX!$B$58:$K$67),G2674:P2674)</f>
        <v>0.476322798295455</v>
      </c>
      <c r="S2674" s="0" t="n">
        <f aca="false">04_回帰ANOVA!$K$19*04_回帰ANOVA!$K$14*SQRT(1+R2674)</f>
        <v>1.12968483630128</v>
      </c>
      <c r="T2674" s="0" t="n">
        <f aca="false">Q2674-S2674</f>
        <v>43.6081134591533</v>
      </c>
      <c r="U2674" s="0" t="n">
        <f aca="false">Q2674+S2674</f>
        <v>45.8674831317559</v>
      </c>
      <c r="V2674" s="54" t="b">
        <f aca="false">AND(D2674&gt;=01_因子設定!$L$5-0.000000001,D2674&lt;=01_因子設定!$M$5+0.000000001,E2674&gt;=01_因子設定!$L$6-0.000000001,E2674&lt;=01_因子設定!$M$6+0.000000001,F2674&gt;=01_因子設定!$L$7-0.000000001,F2674&lt;=01_因子設定!$M$7+0.000000001,IF(01_因子設定!$B$20="Box-Behnken",D2674^2+E2674^2+F2674^2&lt;=2+0.000000001,TRUE()))</f>
        <v>1</v>
      </c>
      <c r="W2674" s="55" t="n">
        <f aca="false">IF(V2674,IF(01_因子設定!$B$13="最大化",T2674-01_因子設定!$B$14,IF(01_因子設定!$B$13="最小化",01_因子設定!$B$15-U2674,MIN(T2674-01_因子設定!$B$14,01_因子設定!$B$15-U2674))),-1E+030)</f>
        <v>-4.89188654084671</v>
      </c>
      <c r="X2674" s="55" t="n">
        <f aca="false">IF(V2674,IF(01_因子設定!$B$13="最大化",Q2674,IF(01_因子設定!$B$13="最小化",-Q2674,-ABS(Q2674-01_因子設定!$B$16))),-1E+030)</f>
        <v>44.7377982954546</v>
      </c>
      <c r="Y2674" s="55" t="n">
        <f aca="false">W2674+ROW()*0.000000001</f>
        <v>-4.89188386684671</v>
      </c>
      <c r="Z2674" s="55" t="n">
        <f aca="false">X2674+ROW()*0.000000001</f>
        <v>44.7378009694546</v>
      </c>
    </row>
    <row r="2675" customFormat="false" ht="15" hidden="false" customHeight="false" outlineLevel="0" collapsed="false">
      <c r="A2675" s="0" t="n">
        <v>9</v>
      </c>
      <c r="B2675" s="0" t="n">
        <v>4</v>
      </c>
      <c r="C2675" s="0" t="n">
        <v>1</v>
      </c>
      <c r="D2675" s="0" t="n">
        <f aca="false">-1+A2675*0.125</f>
        <v>0.125</v>
      </c>
      <c r="E2675" s="0" t="n">
        <f aca="false">-1+B2675*0.125</f>
        <v>-0.5</v>
      </c>
      <c r="F2675" s="0" t="n">
        <f aca="false">-1+C2675*0.125</f>
        <v>-0.875</v>
      </c>
      <c r="G2675" s="0" t="n">
        <f aca="false">1</f>
        <v>1</v>
      </c>
      <c r="H2675" s="0" t="n">
        <f aca="false">D2675</f>
        <v>0.125</v>
      </c>
      <c r="I2675" s="0" t="n">
        <f aca="false">E2675</f>
        <v>-0.5</v>
      </c>
      <c r="J2675" s="0" t="n">
        <f aca="false">F2675</f>
        <v>-0.875</v>
      </c>
      <c r="K2675" s="0" t="n">
        <f aca="false">D2675*E2675</f>
        <v>-0.0625</v>
      </c>
      <c r="L2675" s="0" t="n">
        <f aca="false">D2675*F2675</f>
        <v>-0.109375</v>
      </c>
      <c r="M2675" s="0" t="n">
        <f aca="false">E2675*F2675</f>
        <v>0.4375</v>
      </c>
      <c r="N2675" s="0" t="n">
        <f aca="false">D2675*D2675</f>
        <v>0.015625</v>
      </c>
      <c r="O2675" s="0" t="n">
        <f aca="false">E2675*E2675</f>
        <v>0.25</v>
      </c>
      <c r="P2675" s="0" t="n">
        <f aca="false">F2675*F2675</f>
        <v>0.765625</v>
      </c>
      <c r="Q2675" s="0" t="n">
        <f aca="false">SUMPRODUCT(G2675:P2675,_XtX!$B$71:$K$71)</f>
        <v>45.1557528409091</v>
      </c>
      <c r="R2675" s="0" t="n">
        <f aca="false">SUMPRODUCT(MMULT(G2675:P2675,_XtX!$B$58:$K$67),G2675:P2675)</f>
        <v>0.332909601384943</v>
      </c>
      <c r="S2675" s="0" t="n">
        <f aca="false">04_回帰ANOVA!$K$19*04_回帰ANOVA!$K$14*SQRT(1+R2675)</f>
        <v>1.07341333007404</v>
      </c>
      <c r="T2675" s="0" t="n">
        <f aca="false">Q2675-S2675</f>
        <v>44.0823395108351</v>
      </c>
      <c r="U2675" s="0" t="n">
        <f aca="false">Q2675+S2675</f>
        <v>46.2291661709832</v>
      </c>
      <c r="V2675" s="54" t="b">
        <f aca="false">AND(D2675&gt;=01_因子設定!$L$5-0.000000001,D2675&lt;=01_因子設定!$M$5+0.000000001,E2675&gt;=01_因子設定!$L$6-0.000000001,E2675&lt;=01_因子設定!$M$6+0.000000001,F2675&gt;=01_因子設定!$L$7-0.000000001,F2675&lt;=01_因子設定!$M$7+0.000000001,IF(01_因子設定!$B$20="Box-Behnken",D2675^2+E2675^2+F2675^2&lt;=2+0.000000001,TRUE()))</f>
        <v>1</v>
      </c>
      <c r="W2675" s="55" t="n">
        <f aca="false">IF(V2675,IF(01_因子設定!$B$13="最大化",T2675-01_因子設定!$B$14,IF(01_因子設定!$B$13="最小化",01_因子設定!$B$15-U2675,MIN(T2675-01_因子設定!$B$14,01_因子設定!$B$15-U2675))),-1E+030)</f>
        <v>-4.41766048916492</v>
      </c>
      <c r="X2675" s="55" t="n">
        <f aca="false">IF(V2675,IF(01_因子設定!$B$13="最大化",Q2675,IF(01_因子設定!$B$13="最小化",-Q2675,-ABS(Q2675-01_因子設定!$B$16))),-1E+030)</f>
        <v>45.1557528409091</v>
      </c>
      <c r="Y2675" s="55" t="n">
        <f aca="false">W2675+ROW()*0.000000001</f>
        <v>-4.41765781416492</v>
      </c>
      <c r="Z2675" s="55" t="n">
        <f aca="false">X2675+ROW()*0.000000001</f>
        <v>45.1557555159091</v>
      </c>
    </row>
    <row r="2676" customFormat="false" ht="15" hidden="false" customHeight="false" outlineLevel="0" collapsed="false">
      <c r="A2676" s="0" t="n">
        <v>9</v>
      </c>
      <c r="B2676" s="0" t="n">
        <v>4</v>
      </c>
      <c r="C2676" s="0" t="n">
        <v>2</v>
      </c>
      <c r="D2676" s="0" t="n">
        <f aca="false">-1+A2676*0.125</f>
        <v>0.125</v>
      </c>
      <c r="E2676" s="0" t="n">
        <f aca="false">-1+B2676*0.125</f>
        <v>-0.5</v>
      </c>
      <c r="F2676" s="0" t="n">
        <f aca="false">-1+C2676*0.125</f>
        <v>-0.75</v>
      </c>
      <c r="G2676" s="0" t="n">
        <f aca="false">1</f>
        <v>1</v>
      </c>
      <c r="H2676" s="0" t="n">
        <f aca="false">D2676</f>
        <v>0.125</v>
      </c>
      <c r="I2676" s="0" t="n">
        <f aca="false">E2676</f>
        <v>-0.5</v>
      </c>
      <c r="J2676" s="0" t="n">
        <f aca="false">F2676</f>
        <v>-0.75</v>
      </c>
      <c r="K2676" s="0" t="n">
        <f aca="false">D2676*E2676</f>
        <v>-0.0625</v>
      </c>
      <c r="L2676" s="0" t="n">
        <f aca="false">D2676*F2676</f>
        <v>-0.09375</v>
      </c>
      <c r="M2676" s="0" t="n">
        <f aca="false">E2676*F2676</f>
        <v>0.375</v>
      </c>
      <c r="N2676" s="0" t="n">
        <f aca="false">D2676*D2676</f>
        <v>0.015625</v>
      </c>
      <c r="O2676" s="0" t="n">
        <f aca="false">E2676*E2676</f>
        <v>0.25</v>
      </c>
      <c r="P2676" s="0" t="n">
        <f aca="false">F2676*F2676</f>
        <v>0.5625</v>
      </c>
      <c r="Q2676" s="0" t="n">
        <f aca="false">SUMPRODUCT(G2676:P2676,_XtX!$B$71:$K$71)</f>
        <v>45.5369176136364</v>
      </c>
      <c r="R2676" s="0" t="n">
        <f aca="false">SUMPRODUCT(MMULT(G2676:P2676,_XtX!$B$58:$K$67),G2676:P2676)</f>
        <v>0.240933504971591</v>
      </c>
      <c r="S2676" s="0" t="n">
        <f aca="false">04_回帰ANOVA!$K$19*04_回帰ANOVA!$K$14*SQRT(1+R2676)</f>
        <v>1.03571649118863</v>
      </c>
      <c r="T2676" s="0" t="n">
        <f aca="false">Q2676-S2676</f>
        <v>44.5012011224478</v>
      </c>
      <c r="U2676" s="0" t="n">
        <f aca="false">Q2676+S2676</f>
        <v>46.572634104825</v>
      </c>
      <c r="V2676" s="54" t="b">
        <f aca="false">AND(D2676&gt;=01_因子設定!$L$5-0.000000001,D2676&lt;=01_因子設定!$M$5+0.000000001,E2676&gt;=01_因子設定!$L$6-0.000000001,E2676&lt;=01_因子設定!$M$6+0.000000001,F2676&gt;=01_因子設定!$L$7-0.000000001,F2676&lt;=01_因子設定!$M$7+0.000000001,IF(01_因子設定!$B$20="Box-Behnken",D2676^2+E2676^2+F2676^2&lt;=2+0.000000001,TRUE()))</f>
        <v>1</v>
      </c>
      <c r="W2676" s="55" t="n">
        <f aca="false">IF(V2676,IF(01_因子設定!$B$13="最大化",T2676-01_因子設定!$B$14,IF(01_因子設定!$B$13="最小化",01_因子設定!$B$15-U2676,MIN(T2676-01_因子設定!$B$14,01_因子設定!$B$15-U2676))),-1E+030)</f>
        <v>-3.99879887755224</v>
      </c>
      <c r="X2676" s="55" t="n">
        <f aca="false">IF(V2676,IF(01_因子設定!$B$13="最大化",Q2676,IF(01_因子設定!$B$13="最小化",-Q2676,-ABS(Q2676-01_因子設定!$B$16))),-1E+030)</f>
        <v>45.5369176136364</v>
      </c>
      <c r="Y2676" s="55" t="n">
        <f aca="false">W2676+ROW()*0.000000001</f>
        <v>-3.99879620155224</v>
      </c>
      <c r="Z2676" s="55" t="n">
        <f aca="false">X2676+ROW()*0.000000001</f>
        <v>45.5369202896364</v>
      </c>
    </row>
    <row r="2677" customFormat="false" ht="15" hidden="false" customHeight="false" outlineLevel="0" collapsed="false">
      <c r="A2677" s="0" t="n">
        <v>9</v>
      </c>
      <c r="B2677" s="0" t="n">
        <v>4</v>
      </c>
      <c r="C2677" s="0" t="n">
        <v>3</v>
      </c>
      <c r="D2677" s="0" t="n">
        <f aca="false">-1+A2677*0.125</f>
        <v>0.125</v>
      </c>
      <c r="E2677" s="0" t="n">
        <f aca="false">-1+B2677*0.125</f>
        <v>-0.5</v>
      </c>
      <c r="F2677" s="0" t="n">
        <f aca="false">-1+C2677*0.125</f>
        <v>-0.625</v>
      </c>
      <c r="G2677" s="0" t="n">
        <f aca="false">1</f>
        <v>1</v>
      </c>
      <c r="H2677" s="0" t="n">
        <f aca="false">D2677</f>
        <v>0.125</v>
      </c>
      <c r="I2677" s="0" t="n">
        <f aca="false">E2677</f>
        <v>-0.5</v>
      </c>
      <c r="J2677" s="0" t="n">
        <f aca="false">F2677</f>
        <v>-0.625</v>
      </c>
      <c r="K2677" s="0" t="n">
        <f aca="false">D2677*E2677</f>
        <v>-0.0625</v>
      </c>
      <c r="L2677" s="0" t="n">
        <f aca="false">D2677*F2677</f>
        <v>-0.078125</v>
      </c>
      <c r="M2677" s="0" t="n">
        <f aca="false">E2677*F2677</f>
        <v>0.3125</v>
      </c>
      <c r="N2677" s="0" t="n">
        <f aca="false">D2677*D2677</f>
        <v>0.015625</v>
      </c>
      <c r="O2677" s="0" t="n">
        <f aca="false">E2677*E2677</f>
        <v>0.25</v>
      </c>
      <c r="P2677" s="0" t="n">
        <f aca="false">F2677*F2677</f>
        <v>0.390625</v>
      </c>
      <c r="Q2677" s="0" t="n">
        <f aca="false">SUMPRODUCT(G2677:P2677,_XtX!$B$71:$K$71)</f>
        <v>45.8812926136364</v>
      </c>
      <c r="R2677" s="0" t="n">
        <f aca="false">SUMPRODUCT(MMULT(G2677:P2677,_XtX!$B$58:$K$67),G2677:P2677)</f>
        <v>0.186545077237216</v>
      </c>
      <c r="S2677" s="0" t="n">
        <f aca="false">04_回帰ANOVA!$K$19*04_回帰ANOVA!$K$14*SQRT(1+R2677)</f>
        <v>1.01276516970713</v>
      </c>
      <c r="T2677" s="0" t="n">
        <f aca="false">Q2677-S2677</f>
        <v>44.8685274439293</v>
      </c>
      <c r="U2677" s="0" t="n">
        <f aca="false">Q2677+S2677</f>
        <v>46.8940577833435</v>
      </c>
      <c r="V2677" s="54" t="b">
        <f aca="false">AND(D2677&gt;=01_因子設定!$L$5-0.000000001,D2677&lt;=01_因子設定!$M$5+0.000000001,E2677&gt;=01_因子設定!$L$6-0.000000001,E2677&lt;=01_因子設定!$M$6+0.000000001,F2677&gt;=01_因子設定!$L$7-0.000000001,F2677&lt;=01_因子設定!$M$7+0.000000001,IF(01_因子設定!$B$20="Box-Behnken",D2677^2+E2677^2+F2677^2&lt;=2+0.000000001,TRUE()))</f>
        <v>1</v>
      </c>
      <c r="W2677" s="55" t="n">
        <f aca="false">IF(V2677,IF(01_因子設定!$B$13="最大化",T2677-01_因子設定!$B$14,IF(01_因子設定!$B$13="最小化",01_因子設定!$B$15-U2677,MIN(T2677-01_因子設定!$B$14,01_因子設定!$B$15-U2677))),-1E+030)</f>
        <v>-3.63147255607075</v>
      </c>
      <c r="X2677" s="55" t="n">
        <f aca="false">IF(V2677,IF(01_因子設定!$B$13="最大化",Q2677,IF(01_因子設定!$B$13="最小化",-Q2677,-ABS(Q2677-01_因子設定!$B$16))),-1E+030)</f>
        <v>45.8812926136364</v>
      </c>
      <c r="Y2677" s="55" t="n">
        <f aca="false">W2677+ROW()*0.000000001</f>
        <v>-3.63146987907075</v>
      </c>
      <c r="Z2677" s="55" t="n">
        <f aca="false">X2677+ROW()*0.000000001</f>
        <v>45.8812952906364</v>
      </c>
    </row>
    <row r="2678" customFormat="false" ht="15" hidden="false" customHeight="false" outlineLevel="0" collapsed="false">
      <c r="A2678" s="0" t="n">
        <v>9</v>
      </c>
      <c r="B2678" s="0" t="n">
        <v>4</v>
      </c>
      <c r="C2678" s="0" t="n">
        <v>4</v>
      </c>
      <c r="D2678" s="0" t="n">
        <f aca="false">-1+A2678*0.125</f>
        <v>0.125</v>
      </c>
      <c r="E2678" s="0" t="n">
        <f aca="false">-1+B2678*0.125</f>
        <v>-0.5</v>
      </c>
      <c r="F2678" s="0" t="n">
        <f aca="false">-1+C2678*0.125</f>
        <v>-0.5</v>
      </c>
      <c r="G2678" s="0" t="n">
        <f aca="false">1</f>
        <v>1</v>
      </c>
      <c r="H2678" s="0" t="n">
        <f aca="false">D2678</f>
        <v>0.125</v>
      </c>
      <c r="I2678" s="0" t="n">
        <f aca="false">E2678</f>
        <v>-0.5</v>
      </c>
      <c r="J2678" s="0" t="n">
        <f aca="false">F2678</f>
        <v>-0.5</v>
      </c>
      <c r="K2678" s="0" t="n">
        <f aca="false">D2678*E2678</f>
        <v>-0.0625</v>
      </c>
      <c r="L2678" s="0" t="n">
        <f aca="false">D2678*F2678</f>
        <v>-0.0625</v>
      </c>
      <c r="M2678" s="0" t="n">
        <f aca="false">E2678*F2678</f>
        <v>0.25</v>
      </c>
      <c r="N2678" s="0" t="n">
        <f aca="false">D2678*D2678</f>
        <v>0.015625</v>
      </c>
      <c r="O2678" s="0" t="n">
        <f aca="false">E2678*E2678</f>
        <v>0.25</v>
      </c>
      <c r="P2678" s="0" t="n">
        <f aca="false">F2678*F2678</f>
        <v>0.25</v>
      </c>
      <c r="Q2678" s="0" t="n">
        <f aca="false">SUMPRODUCT(G2678:P2678,_XtX!$B$71:$K$71)</f>
        <v>46.1888778409091</v>
      </c>
      <c r="R2678" s="0" t="n">
        <f aca="false">SUMPRODUCT(MMULT(G2678:P2678,_XtX!$B$58:$K$67),G2678:P2678)</f>
        <v>0.158025568181818</v>
      </c>
      <c r="S2678" s="0" t="n">
        <f aca="false">04_回帰ANOVA!$K$19*04_回帰ANOVA!$K$14*SQRT(1+R2678)</f>
        <v>1.00051985207691</v>
      </c>
      <c r="T2678" s="0" t="n">
        <f aca="false">Q2678-S2678</f>
        <v>45.1883579888322</v>
      </c>
      <c r="U2678" s="0" t="n">
        <f aca="false">Q2678+S2678</f>
        <v>47.189397692986</v>
      </c>
      <c r="V2678" s="54" t="b">
        <f aca="false">AND(D2678&gt;=01_因子設定!$L$5-0.000000001,D2678&lt;=01_因子設定!$M$5+0.000000001,E2678&gt;=01_因子設定!$L$6-0.000000001,E2678&lt;=01_因子設定!$M$6+0.000000001,F2678&gt;=01_因子設定!$L$7-0.000000001,F2678&lt;=01_因子設定!$M$7+0.000000001,IF(01_因子設定!$B$20="Box-Behnken",D2678^2+E2678^2+F2678^2&lt;=2+0.000000001,TRUE()))</f>
        <v>1</v>
      </c>
      <c r="W2678" s="55" t="n">
        <f aca="false">IF(V2678,IF(01_因子設定!$B$13="最大化",T2678-01_因子設定!$B$14,IF(01_因子設定!$B$13="最小化",01_因子設定!$B$15-U2678,MIN(T2678-01_因子設定!$B$14,01_因子設定!$B$15-U2678))),-1E+030)</f>
        <v>-3.3116420111678</v>
      </c>
      <c r="X2678" s="55" t="n">
        <f aca="false">IF(V2678,IF(01_因子設定!$B$13="最大化",Q2678,IF(01_因子設定!$B$13="最小化",-Q2678,-ABS(Q2678-01_因子設定!$B$16))),-1E+030)</f>
        <v>46.1888778409091</v>
      </c>
      <c r="Y2678" s="55" t="n">
        <f aca="false">W2678+ROW()*0.000000001</f>
        <v>-3.3116393331678</v>
      </c>
      <c r="Z2678" s="55" t="n">
        <f aca="false">X2678+ROW()*0.000000001</f>
        <v>46.1888805189091</v>
      </c>
    </row>
    <row r="2679" customFormat="false" ht="15" hidden="false" customHeight="false" outlineLevel="0" collapsed="false">
      <c r="A2679" s="0" t="n">
        <v>9</v>
      </c>
      <c r="B2679" s="0" t="n">
        <v>4</v>
      </c>
      <c r="C2679" s="0" t="n">
        <v>5</v>
      </c>
      <c r="D2679" s="0" t="n">
        <f aca="false">-1+A2679*0.125</f>
        <v>0.125</v>
      </c>
      <c r="E2679" s="0" t="n">
        <f aca="false">-1+B2679*0.125</f>
        <v>-0.5</v>
      </c>
      <c r="F2679" s="0" t="n">
        <f aca="false">-1+C2679*0.125</f>
        <v>-0.375</v>
      </c>
      <c r="G2679" s="0" t="n">
        <f aca="false">1</f>
        <v>1</v>
      </c>
      <c r="H2679" s="0" t="n">
        <f aca="false">D2679</f>
        <v>0.125</v>
      </c>
      <c r="I2679" s="0" t="n">
        <f aca="false">E2679</f>
        <v>-0.5</v>
      </c>
      <c r="J2679" s="0" t="n">
        <f aca="false">F2679</f>
        <v>-0.375</v>
      </c>
      <c r="K2679" s="0" t="n">
        <f aca="false">D2679*E2679</f>
        <v>-0.0625</v>
      </c>
      <c r="L2679" s="0" t="n">
        <f aca="false">D2679*F2679</f>
        <v>-0.046875</v>
      </c>
      <c r="M2679" s="0" t="n">
        <f aca="false">E2679*F2679</f>
        <v>0.1875</v>
      </c>
      <c r="N2679" s="0" t="n">
        <f aca="false">D2679*D2679</f>
        <v>0.015625</v>
      </c>
      <c r="O2679" s="0" t="n">
        <f aca="false">E2679*E2679</f>
        <v>0.25</v>
      </c>
      <c r="P2679" s="0" t="n">
        <f aca="false">F2679*F2679</f>
        <v>0.140625</v>
      </c>
      <c r="Q2679" s="0" t="n">
        <f aca="false">SUMPRODUCT(G2679:P2679,_XtX!$B$71:$K$71)</f>
        <v>46.4596732954546</v>
      </c>
      <c r="R2679" s="0" t="n">
        <f aca="false">SUMPRODUCT(MMULT(G2679:P2679,_XtX!$B$58:$K$67),G2679:P2679)</f>
        <v>0.14578690962358</v>
      </c>
      <c r="S2679" s="0" t="n">
        <f aca="false">04_回帰ANOVA!$K$19*04_回帰ANOVA!$K$14*SQRT(1+R2679)</f>
        <v>0.995218783457917</v>
      </c>
      <c r="T2679" s="0" t="n">
        <f aca="false">Q2679-S2679</f>
        <v>45.4644545119966</v>
      </c>
      <c r="U2679" s="0" t="n">
        <f aca="false">Q2679+S2679</f>
        <v>47.4548920789125</v>
      </c>
      <c r="V2679" s="54" t="b">
        <f aca="false">AND(D2679&gt;=01_因子設定!$L$5-0.000000001,D2679&lt;=01_因子設定!$M$5+0.000000001,E2679&gt;=01_因子設定!$L$6-0.000000001,E2679&lt;=01_因子設定!$M$6+0.000000001,F2679&gt;=01_因子設定!$L$7-0.000000001,F2679&lt;=01_因子設定!$M$7+0.000000001,IF(01_因子設定!$B$20="Box-Behnken",D2679^2+E2679^2+F2679^2&lt;=2+0.000000001,TRUE()))</f>
        <v>1</v>
      </c>
      <c r="W2679" s="55" t="n">
        <f aca="false">IF(V2679,IF(01_因子設定!$B$13="最大化",T2679-01_因子設定!$B$14,IF(01_因子設定!$B$13="最小化",01_因子設定!$B$15-U2679,MIN(T2679-01_因子設定!$B$14,01_因子設定!$B$15-U2679))),-1E+030)</f>
        <v>-3.03554548800336</v>
      </c>
      <c r="X2679" s="55" t="n">
        <f aca="false">IF(V2679,IF(01_因子設定!$B$13="最大化",Q2679,IF(01_因子設定!$B$13="最小化",-Q2679,-ABS(Q2679-01_因子設定!$B$16))),-1E+030)</f>
        <v>46.4596732954546</v>
      </c>
      <c r="Y2679" s="55" t="n">
        <f aca="false">W2679+ROW()*0.000000001</f>
        <v>-3.03554280900336</v>
      </c>
      <c r="Z2679" s="55" t="n">
        <f aca="false">X2679+ROW()*0.000000001</f>
        <v>46.4596759744546</v>
      </c>
    </row>
    <row r="2680" customFormat="false" ht="15" hidden="false" customHeight="false" outlineLevel="0" collapsed="false">
      <c r="A2680" s="0" t="n">
        <v>9</v>
      </c>
      <c r="B2680" s="0" t="n">
        <v>4</v>
      </c>
      <c r="C2680" s="0" t="n">
        <v>6</v>
      </c>
      <c r="D2680" s="0" t="n">
        <f aca="false">-1+A2680*0.125</f>
        <v>0.125</v>
      </c>
      <c r="E2680" s="0" t="n">
        <f aca="false">-1+B2680*0.125</f>
        <v>-0.5</v>
      </c>
      <c r="F2680" s="0" t="n">
        <f aca="false">-1+C2680*0.125</f>
        <v>-0.25</v>
      </c>
      <c r="G2680" s="0" t="n">
        <f aca="false">1</f>
        <v>1</v>
      </c>
      <c r="H2680" s="0" t="n">
        <f aca="false">D2680</f>
        <v>0.125</v>
      </c>
      <c r="I2680" s="0" t="n">
        <f aca="false">E2680</f>
        <v>-0.5</v>
      </c>
      <c r="J2680" s="0" t="n">
        <f aca="false">F2680</f>
        <v>-0.25</v>
      </c>
      <c r="K2680" s="0" t="n">
        <f aca="false">D2680*E2680</f>
        <v>-0.0625</v>
      </c>
      <c r="L2680" s="0" t="n">
        <f aca="false">D2680*F2680</f>
        <v>-0.03125</v>
      </c>
      <c r="M2680" s="0" t="n">
        <f aca="false">E2680*F2680</f>
        <v>0.125</v>
      </c>
      <c r="N2680" s="0" t="n">
        <f aca="false">D2680*D2680</f>
        <v>0.015625</v>
      </c>
      <c r="O2680" s="0" t="n">
        <f aca="false">E2680*E2680</f>
        <v>0.25</v>
      </c>
      <c r="P2680" s="0" t="n">
        <f aca="false">F2680*F2680</f>
        <v>0.0625</v>
      </c>
      <c r="Q2680" s="0" t="n">
        <f aca="false">SUMPRODUCT(G2680:P2680,_XtX!$B$71:$K$71)</f>
        <v>46.6936789772727</v>
      </c>
      <c r="R2680" s="0" t="n">
        <f aca="false">SUMPRODUCT(MMULT(G2680:P2680,_XtX!$B$58:$K$67),G2680:P2680)</f>
        <v>0.142371715198864</v>
      </c>
      <c r="S2680" s="0" t="n">
        <f aca="false">04_回帰ANOVA!$K$19*04_回帰ANOVA!$K$14*SQRT(1+R2680)</f>
        <v>0.99373447511735</v>
      </c>
      <c r="T2680" s="0" t="n">
        <f aca="false">Q2680-S2680</f>
        <v>45.6999445021554</v>
      </c>
      <c r="U2680" s="0" t="n">
        <f aca="false">Q2680+S2680</f>
        <v>47.6874134523901</v>
      </c>
      <c r="V2680" s="54" t="b">
        <f aca="false">AND(D2680&gt;=01_因子設定!$L$5-0.000000001,D2680&lt;=01_因子設定!$M$5+0.000000001,E2680&gt;=01_因子設定!$L$6-0.000000001,E2680&lt;=01_因子設定!$M$6+0.000000001,F2680&gt;=01_因子設定!$L$7-0.000000001,F2680&lt;=01_因子設定!$M$7+0.000000001,IF(01_因子設定!$B$20="Box-Behnken",D2680^2+E2680^2+F2680^2&lt;=2+0.000000001,TRUE()))</f>
        <v>1</v>
      </c>
      <c r="W2680" s="55" t="n">
        <f aca="false">IF(V2680,IF(01_因子設定!$B$13="最大化",T2680-01_因子設定!$B$14,IF(01_因子設定!$B$13="最小化",01_因子設定!$B$15-U2680,MIN(T2680-01_因子設定!$B$14,01_因子設定!$B$15-U2680))),-1E+030)</f>
        <v>-2.80005549784461</v>
      </c>
      <c r="X2680" s="55" t="n">
        <f aca="false">IF(V2680,IF(01_因子設定!$B$13="最大化",Q2680,IF(01_因子設定!$B$13="最小化",-Q2680,-ABS(Q2680-01_因子設定!$B$16))),-1E+030)</f>
        <v>46.6936789772727</v>
      </c>
      <c r="Y2680" s="55" t="n">
        <f aca="false">W2680+ROW()*0.000000001</f>
        <v>-2.80005281784461</v>
      </c>
      <c r="Z2680" s="55" t="n">
        <f aca="false">X2680+ROW()*0.000000001</f>
        <v>46.6936816572727</v>
      </c>
    </row>
    <row r="2681" customFormat="false" ht="15" hidden="false" customHeight="false" outlineLevel="0" collapsed="false">
      <c r="A2681" s="0" t="n">
        <v>9</v>
      </c>
      <c r="B2681" s="0" t="n">
        <v>4</v>
      </c>
      <c r="C2681" s="0" t="n">
        <v>7</v>
      </c>
      <c r="D2681" s="0" t="n">
        <f aca="false">-1+A2681*0.125</f>
        <v>0.125</v>
      </c>
      <c r="E2681" s="0" t="n">
        <f aca="false">-1+B2681*0.125</f>
        <v>-0.5</v>
      </c>
      <c r="F2681" s="0" t="n">
        <f aca="false">-1+C2681*0.125</f>
        <v>-0.125</v>
      </c>
      <c r="G2681" s="0" t="n">
        <f aca="false">1</f>
        <v>1</v>
      </c>
      <c r="H2681" s="0" t="n">
        <f aca="false">D2681</f>
        <v>0.125</v>
      </c>
      <c r="I2681" s="0" t="n">
        <f aca="false">E2681</f>
        <v>-0.5</v>
      </c>
      <c r="J2681" s="0" t="n">
        <f aca="false">F2681</f>
        <v>-0.125</v>
      </c>
      <c r="K2681" s="0" t="n">
        <f aca="false">D2681*E2681</f>
        <v>-0.0625</v>
      </c>
      <c r="L2681" s="0" t="n">
        <f aca="false">D2681*F2681</f>
        <v>-0.015625</v>
      </c>
      <c r="M2681" s="0" t="n">
        <f aca="false">E2681*F2681</f>
        <v>0.0625</v>
      </c>
      <c r="N2681" s="0" t="n">
        <f aca="false">D2681*D2681</f>
        <v>0.015625</v>
      </c>
      <c r="O2681" s="0" t="n">
        <f aca="false">E2681*E2681</f>
        <v>0.25</v>
      </c>
      <c r="P2681" s="0" t="n">
        <f aca="false">F2681*F2681</f>
        <v>0.015625</v>
      </c>
      <c r="Q2681" s="0" t="n">
        <f aca="false">SUMPRODUCT(G2681:P2681,_XtX!$B$71:$K$71)</f>
        <v>46.8908948863637</v>
      </c>
      <c r="R2681" s="0" t="n">
        <f aca="false">SUMPRODUCT(MMULT(G2681:P2681,_XtX!$B$58:$K$67),G2681:P2681)</f>
        <v>0.142453280362216</v>
      </c>
      <c r="S2681" s="0" t="n">
        <f aca="false">04_回帰ANOVA!$K$19*04_回帰ANOVA!$K$14*SQRT(1+R2681)</f>
        <v>0.99376995072785</v>
      </c>
      <c r="T2681" s="0" t="n">
        <f aca="false">Q2681-S2681</f>
        <v>45.8971249356358</v>
      </c>
      <c r="U2681" s="0" t="n">
        <f aca="false">Q2681+S2681</f>
        <v>47.8846648370915</v>
      </c>
      <c r="V2681" s="54" t="b">
        <f aca="false">AND(D2681&gt;=01_因子設定!$L$5-0.000000001,D2681&lt;=01_因子設定!$M$5+0.000000001,E2681&gt;=01_因子設定!$L$6-0.000000001,E2681&lt;=01_因子設定!$M$6+0.000000001,F2681&gt;=01_因子設定!$L$7-0.000000001,F2681&lt;=01_因子設定!$M$7+0.000000001,IF(01_因子設定!$B$20="Box-Behnken",D2681^2+E2681^2+F2681^2&lt;=2+0.000000001,TRUE()))</f>
        <v>1</v>
      </c>
      <c r="W2681" s="55" t="n">
        <f aca="false">IF(V2681,IF(01_因子設定!$B$13="最大化",T2681-01_因子設定!$B$14,IF(01_因子設定!$B$13="最小化",01_因子設定!$B$15-U2681,MIN(T2681-01_因子設定!$B$14,01_因子設定!$B$15-U2681))),-1E+030)</f>
        <v>-2.60287506436421</v>
      </c>
      <c r="X2681" s="55" t="n">
        <f aca="false">IF(V2681,IF(01_因子設定!$B$13="最大化",Q2681,IF(01_因子設定!$B$13="最小化",-Q2681,-ABS(Q2681-01_因子設定!$B$16))),-1E+030)</f>
        <v>46.8908948863637</v>
      </c>
      <c r="Y2681" s="55" t="n">
        <f aca="false">W2681+ROW()*0.000000001</f>
        <v>-2.60287238336421</v>
      </c>
      <c r="Z2681" s="55" t="n">
        <f aca="false">X2681+ROW()*0.000000001</f>
        <v>46.8908975673636</v>
      </c>
    </row>
    <row r="2682" customFormat="false" ht="15" hidden="false" customHeight="false" outlineLevel="0" collapsed="false">
      <c r="A2682" s="0" t="n">
        <v>9</v>
      </c>
      <c r="B2682" s="0" t="n">
        <v>4</v>
      </c>
      <c r="C2682" s="0" t="n">
        <v>8</v>
      </c>
      <c r="D2682" s="0" t="n">
        <f aca="false">-1+A2682*0.125</f>
        <v>0.125</v>
      </c>
      <c r="E2682" s="0" t="n">
        <f aca="false">-1+B2682*0.125</f>
        <v>-0.5</v>
      </c>
      <c r="F2682" s="0" t="n">
        <f aca="false">-1+C2682*0.125</f>
        <v>0</v>
      </c>
      <c r="G2682" s="0" t="n">
        <f aca="false">1</f>
        <v>1</v>
      </c>
      <c r="H2682" s="0" t="n">
        <f aca="false">D2682</f>
        <v>0.125</v>
      </c>
      <c r="I2682" s="0" t="n">
        <f aca="false">E2682</f>
        <v>-0.5</v>
      </c>
      <c r="J2682" s="0" t="n">
        <f aca="false">F2682</f>
        <v>0</v>
      </c>
      <c r="K2682" s="0" t="n">
        <f aca="false">D2682*E2682</f>
        <v>-0.0625</v>
      </c>
      <c r="L2682" s="0" t="n">
        <f aca="false">D2682*F2682</f>
        <v>0</v>
      </c>
      <c r="M2682" s="0" t="n">
        <f aca="false">E2682*F2682</f>
        <v>-0</v>
      </c>
      <c r="N2682" s="0" t="n">
        <f aca="false">D2682*D2682</f>
        <v>0.015625</v>
      </c>
      <c r="O2682" s="0" t="n">
        <f aca="false">E2682*E2682</f>
        <v>0.25</v>
      </c>
      <c r="P2682" s="0" t="n">
        <f aca="false">F2682*F2682</f>
        <v>0</v>
      </c>
      <c r="Q2682" s="0" t="n">
        <f aca="false">SUMPRODUCT(G2682:P2682,_XtX!$B$71:$K$71)</f>
        <v>47.0513210227273</v>
      </c>
      <c r="R2682" s="0" t="n">
        <f aca="false">SUMPRODUCT(MMULT(G2682:P2682,_XtX!$B$58:$K$67),G2682:P2682)</f>
        <v>0.142835582386364</v>
      </c>
      <c r="S2682" s="0" t="n">
        <f aca="false">04_回帰ANOVA!$K$19*04_回帰ANOVA!$K$14*SQRT(1+R2682)</f>
        <v>0.993936210693193</v>
      </c>
      <c r="T2682" s="0" t="n">
        <f aca="false">Q2682-S2682</f>
        <v>46.0573848120341</v>
      </c>
      <c r="U2682" s="0" t="n">
        <f aca="false">Q2682+S2682</f>
        <v>48.0452572334205</v>
      </c>
      <c r="V2682" s="54" t="b">
        <f aca="false">AND(D2682&gt;=01_因子設定!$L$5-0.000000001,D2682&lt;=01_因子設定!$M$5+0.000000001,E2682&gt;=01_因子設定!$L$6-0.000000001,E2682&lt;=01_因子設定!$M$6+0.000000001,F2682&gt;=01_因子設定!$L$7-0.000000001,F2682&lt;=01_因子設定!$M$7+0.000000001,IF(01_因子設定!$B$20="Box-Behnken",D2682^2+E2682^2+F2682^2&lt;=2+0.000000001,TRUE()))</f>
        <v>1</v>
      </c>
      <c r="W2682" s="55" t="n">
        <f aca="false">IF(V2682,IF(01_因子設定!$B$13="最大化",T2682-01_因子設定!$B$14,IF(01_因子設定!$B$13="最小化",01_因子設定!$B$15-U2682,MIN(T2682-01_因子設定!$B$14,01_因子設定!$B$15-U2682))),-1E+030)</f>
        <v>-2.44261518796591</v>
      </c>
      <c r="X2682" s="55" t="n">
        <f aca="false">IF(V2682,IF(01_因子設定!$B$13="最大化",Q2682,IF(01_因子設定!$B$13="最小化",-Q2682,-ABS(Q2682-01_因子設定!$B$16))),-1E+030)</f>
        <v>47.0513210227273</v>
      </c>
      <c r="Y2682" s="55" t="n">
        <f aca="false">W2682+ROW()*0.000000001</f>
        <v>-2.44261250596591</v>
      </c>
      <c r="Z2682" s="55" t="n">
        <f aca="false">X2682+ROW()*0.000000001</f>
        <v>47.0513237047273</v>
      </c>
    </row>
    <row r="2683" customFormat="false" ht="15" hidden="false" customHeight="false" outlineLevel="0" collapsed="false">
      <c r="A2683" s="0" t="n">
        <v>9</v>
      </c>
      <c r="B2683" s="0" t="n">
        <v>4</v>
      </c>
      <c r="C2683" s="0" t="n">
        <v>9</v>
      </c>
      <c r="D2683" s="0" t="n">
        <f aca="false">-1+A2683*0.125</f>
        <v>0.125</v>
      </c>
      <c r="E2683" s="0" t="n">
        <f aca="false">-1+B2683*0.125</f>
        <v>-0.5</v>
      </c>
      <c r="F2683" s="0" t="n">
        <f aca="false">-1+C2683*0.125</f>
        <v>0.125</v>
      </c>
      <c r="G2683" s="0" t="n">
        <f aca="false">1</f>
        <v>1</v>
      </c>
      <c r="H2683" s="0" t="n">
        <f aca="false">D2683</f>
        <v>0.125</v>
      </c>
      <c r="I2683" s="0" t="n">
        <f aca="false">E2683</f>
        <v>-0.5</v>
      </c>
      <c r="J2683" s="0" t="n">
        <f aca="false">F2683</f>
        <v>0.125</v>
      </c>
      <c r="K2683" s="0" t="n">
        <f aca="false">D2683*E2683</f>
        <v>-0.0625</v>
      </c>
      <c r="L2683" s="0" t="n">
        <f aca="false">D2683*F2683</f>
        <v>0.015625</v>
      </c>
      <c r="M2683" s="0" t="n">
        <f aca="false">E2683*F2683</f>
        <v>-0.0625</v>
      </c>
      <c r="N2683" s="0" t="n">
        <f aca="false">D2683*D2683</f>
        <v>0.015625</v>
      </c>
      <c r="O2683" s="0" t="n">
        <f aca="false">E2683*E2683</f>
        <v>0.25</v>
      </c>
      <c r="P2683" s="0" t="n">
        <f aca="false">F2683*F2683</f>
        <v>0.015625</v>
      </c>
      <c r="Q2683" s="0" t="n">
        <f aca="false">SUMPRODUCT(G2683:P2683,_XtX!$B$71:$K$71)</f>
        <v>47.1749573863636</v>
      </c>
      <c r="R2683" s="0" t="n">
        <f aca="false">SUMPRODUCT(MMULT(G2683:P2683,_XtX!$B$58:$K$67),G2683:P2683)</f>
        <v>0.142453280362216</v>
      </c>
      <c r="S2683" s="0" t="n">
        <f aca="false">04_回帰ANOVA!$K$19*04_回帰ANOVA!$K$14*SQRT(1+R2683)</f>
        <v>0.99376995072785</v>
      </c>
      <c r="T2683" s="0" t="n">
        <f aca="false">Q2683-S2683</f>
        <v>46.1811874356358</v>
      </c>
      <c r="U2683" s="0" t="n">
        <f aca="false">Q2683+S2683</f>
        <v>48.1687273370915</v>
      </c>
      <c r="V2683" s="54" t="b">
        <f aca="false">AND(D2683&gt;=01_因子設定!$L$5-0.000000001,D2683&lt;=01_因子設定!$M$5+0.000000001,E2683&gt;=01_因子設定!$L$6-0.000000001,E2683&lt;=01_因子設定!$M$6+0.000000001,F2683&gt;=01_因子設定!$L$7-0.000000001,F2683&lt;=01_因子設定!$M$7+0.000000001,IF(01_因子設定!$B$20="Box-Behnken",D2683^2+E2683^2+F2683^2&lt;=2+0.000000001,TRUE()))</f>
        <v>1</v>
      </c>
      <c r="W2683" s="55" t="n">
        <f aca="false">IF(V2683,IF(01_因子設定!$B$13="最大化",T2683-01_因子設定!$B$14,IF(01_因子設定!$B$13="最小化",01_因子設定!$B$15-U2683,MIN(T2683-01_因子設定!$B$14,01_因子設定!$B$15-U2683))),-1E+030)</f>
        <v>-2.31881256436421</v>
      </c>
      <c r="X2683" s="55" t="n">
        <f aca="false">IF(V2683,IF(01_因子設定!$B$13="最大化",Q2683,IF(01_因子設定!$B$13="最小化",-Q2683,-ABS(Q2683-01_因子設定!$B$16))),-1E+030)</f>
        <v>47.1749573863636</v>
      </c>
      <c r="Y2683" s="55" t="n">
        <f aca="false">W2683+ROW()*0.000000001</f>
        <v>-2.31880988136421</v>
      </c>
      <c r="Z2683" s="55" t="n">
        <f aca="false">X2683+ROW()*0.000000001</f>
        <v>47.1749600693636</v>
      </c>
    </row>
    <row r="2684" customFormat="false" ht="15" hidden="false" customHeight="false" outlineLevel="0" collapsed="false">
      <c r="A2684" s="0" t="n">
        <v>9</v>
      </c>
      <c r="B2684" s="0" t="n">
        <v>4</v>
      </c>
      <c r="C2684" s="0" t="n">
        <v>10</v>
      </c>
      <c r="D2684" s="0" t="n">
        <f aca="false">-1+A2684*0.125</f>
        <v>0.125</v>
      </c>
      <c r="E2684" s="0" t="n">
        <f aca="false">-1+B2684*0.125</f>
        <v>-0.5</v>
      </c>
      <c r="F2684" s="0" t="n">
        <f aca="false">-1+C2684*0.125</f>
        <v>0.25</v>
      </c>
      <c r="G2684" s="0" t="n">
        <f aca="false">1</f>
        <v>1</v>
      </c>
      <c r="H2684" s="0" t="n">
        <f aca="false">D2684</f>
        <v>0.125</v>
      </c>
      <c r="I2684" s="0" t="n">
        <f aca="false">E2684</f>
        <v>-0.5</v>
      </c>
      <c r="J2684" s="0" t="n">
        <f aca="false">F2684</f>
        <v>0.25</v>
      </c>
      <c r="K2684" s="0" t="n">
        <f aca="false">D2684*E2684</f>
        <v>-0.0625</v>
      </c>
      <c r="L2684" s="0" t="n">
        <f aca="false">D2684*F2684</f>
        <v>0.03125</v>
      </c>
      <c r="M2684" s="0" t="n">
        <f aca="false">E2684*F2684</f>
        <v>-0.125</v>
      </c>
      <c r="N2684" s="0" t="n">
        <f aca="false">D2684*D2684</f>
        <v>0.015625</v>
      </c>
      <c r="O2684" s="0" t="n">
        <f aca="false">E2684*E2684</f>
        <v>0.25</v>
      </c>
      <c r="P2684" s="0" t="n">
        <f aca="false">F2684*F2684</f>
        <v>0.0625</v>
      </c>
      <c r="Q2684" s="0" t="n">
        <f aca="false">SUMPRODUCT(G2684:P2684,_XtX!$B$71:$K$71)</f>
        <v>47.2618039772727</v>
      </c>
      <c r="R2684" s="0" t="n">
        <f aca="false">SUMPRODUCT(MMULT(G2684:P2684,_XtX!$B$58:$K$67),G2684:P2684)</f>
        <v>0.142371715198864</v>
      </c>
      <c r="S2684" s="0" t="n">
        <f aca="false">04_回帰ANOVA!$K$19*04_回帰ANOVA!$K$14*SQRT(1+R2684)</f>
        <v>0.99373447511735</v>
      </c>
      <c r="T2684" s="0" t="n">
        <f aca="false">Q2684-S2684</f>
        <v>46.2680695021554</v>
      </c>
      <c r="U2684" s="0" t="n">
        <f aca="false">Q2684+S2684</f>
        <v>48.2555384523901</v>
      </c>
      <c r="V2684" s="54" t="b">
        <f aca="false">AND(D2684&gt;=01_因子設定!$L$5-0.000000001,D2684&lt;=01_因子設定!$M$5+0.000000001,E2684&gt;=01_因子設定!$L$6-0.000000001,E2684&lt;=01_因子設定!$M$6+0.000000001,F2684&gt;=01_因子設定!$L$7-0.000000001,F2684&lt;=01_因子設定!$M$7+0.000000001,IF(01_因子設定!$B$20="Box-Behnken",D2684^2+E2684^2+F2684^2&lt;=2+0.000000001,TRUE()))</f>
        <v>1</v>
      </c>
      <c r="W2684" s="55" t="n">
        <f aca="false">IF(V2684,IF(01_因子設定!$B$13="最大化",T2684-01_因子設定!$B$14,IF(01_因子設定!$B$13="最小化",01_因子設定!$B$15-U2684,MIN(T2684-01_因子設定!$B$14,01_因子設定!$B$15-U2684))),-1E+030)</f>
        <v>-2.23193049784461</v>
      </c>
      <c r="X2684" s="55" t="n">
        <f aca="false">IF(V2684,IF(01_因子設定!$B$13="最大化",Q2684,IF(01_因子設定!$B$13="最小化",-Q2684,-ABS(Q2684-01_因子設定!$B$16))),-1E+030)</f>
        <v>47.2618039772727</v>
      </c>
      <c r="Y2684" s="55" t="n">
        <f aca="false">W2684+ROW()*0.000000001</f>
        <v>-2.23192781384461</v>
      </c>
      <c r="Z2684" s="55" t="n">
        <f aca="false">X2684+ROW()*0.000000001</f>
        <v>47.2618066612727</v>
      </c>
    </row>
    <row r="2685" customFormat="false" ht="15" hidden="false" customHeight="false" outlineLevel="0" collapsed="false">
      <c r="A2685" s="0" t="n">
        <v>9</v>
      </c>
      <c r="B2685" s="0" t="n">
        <v>4</v>
      </c>
      <c r="C2685" s="0" t="n">
        <v>11</v>
      </c>
      <c r="D2685" s="0" t="n">
        <f aca="false">-1+A2685*0.125</f>
        <v>0.125</v>
      </c>
      <c r="E2685" s="0" t="n">
        <f aca="false">-1+B2685*0.125</f>
        <v>-0.5</v>
      </c>
      <c r="F2685" s="0" t="n">
        <f aca="false">-1+C2685*0.125</f>
        <v>0.375</v>
      </c>
      <c r="G2685" s="0" t="n">
        <f aca="false">1</f>
        <v>1</v>
      </c>
      <c r="H2685" s="0" t="n">
        <f aca="false">D2685</f>
        <v>0.125</v>
      </c>
      <c r="I2685" s="0" t="n">
        <f aca="false">E2685</f>
        <v>-0.5</v>
      </c>
      <c r="J2685" s="0" t="n">
        <f aca="false">F2685</f>
        <v>0.375</v>
      </c>
      <c r="K2685" s="0" t="n">
        <f aca="false">D2685*E2685</f>
        <v>-0.0625</v>
      </c>
      <c r="L2685" s="0" t="n">
        <f aca="false">D2685*F2685</f>
        <v>0.046875</v>
      </c>
      <c r="M2685" s="0" t="n">
        <f aca="false">E2685*F2685</f>
        <v>-0.1875</v>
      </c>
      <c r="N2685" s="0" t="n">
        <f aca="false">D2685*D2685</f>
        <v>0.015625</v>
      </c>
      <c r="O2685" s="0" t="n">
        <f aca="false">E2685*E2685</f>
        <v>0.25</v>
      </c>
      <c r="P2685" s="0" t="n">
        <f aca="false">F2685*F2685</f>
        <v>0.140625</v>
      </c>
      <c r="Q2685" s="0" t="n">
        <f aca="false">SUMPRODUCT(G2685:P2685,_XtX!$B$71:$K$71)</f>
        <v>47.3118607954546</v>
      </c>
      <c r="R2685" s="0" t="n">
        <f aca="false">SUMPRODUCT(MMULT(G2685:P2685,_XtX!$B$58:$K$67),G2685:P2685)</f>
        <v>0.14578690962358</v>
      </c>
      <c r="S2685" s="0" t="n">
        <f aca="false">04_回帰ANOVA!$K$19*04_回帰ANOVA!$K$14*SQRT(1+R2685)</f>
        <v>0.995218783457917</v>
      </c>
      <c r="T2685" s="0" t="n">
        <f aca="false">Q2685-S2685</f>
        <v>46.3166420119966</v>
      </c>
      <c r="U2685" s="0" t="n">
        <f aca="false">Q2685+S2685</f>
        <v>48.3070795789125</v>
      </c>
      <c r="V2685" s="54" t="b">
        <f aca="false">AND(D2685&gt;=01_因子設定!$L$5-0.000000001,D2685&lt;=01_因子設定!$M$5+0.000000001,E2685&gt;=01_因子設定!$L$6-0.000000001,E2685&lt;=01_因子設定!$M$6+0.000000001,F2685&gt;=01_因子設定!$L$7-0.000000001,F2685&lt;=01_因子設定!$M$7+0.000000001,IF(01_因子設定!$B$20="Box-Behnken",D2685^2+E2685^2+F2685^2&lt;=2+0.000000001,TRUE()))</f>
        <v>1</v>
      </c>
      <c r="W2685" s="55" t="n">
        <f aca="false">IF(V2685,IF(01_因子設定!$B$13="最大化",T2685-01_因子設定!$B$14,IF(01_因子設定!$B$13="最小化",01_因子設定!$B$15-U2685,MIN(T2685-01_因子設定!$B$14,01_因子設定!$B$15-U2685))),-1E+030)</f>
        <v>-2.18335798800336</v>
      </c>
      <c r="X2685" s="55" t="n">
        <f aca="false">IF(V2685,IF(01_因子設定!$B$13="最大化",Q2685,IF(01_因子設定!$B$13="最小化",-Q2685,-ABS(Q2685-01_因子設定!$B$16))),-1E+030)</f>
        <v>47.3118607954546</v>
      </c>
      <c r="Y2685" s="55" t="n">
        <f aca="false">W2685+ROW()*0.000000001</f>
        <v>-2.18335530300336</v>
      </c>
      <c r="Z2685" s="55" t="n">
        <f aca="false">X2685+ROW()*0.000000001</f>
        <v>47.3118634804546</v>
      </c>
    </row>
    <row r="2686" customFormat="false" ht="15" hidden="false" customHeight="false" outlineLevel="0" collapsed="false">
      <c r="A2686" s="0" t="n">
        <v>9</v>
      </c>
      <c r="B2686" s="0" t="n">
        <v>4</v>
      </c>
      <c r="C2686" s="0" t="n">
        <v>12</v>
      </c>
      <c r="D2686" s="0" t="n">
        <f aca="false">-1+A2686*0.125</f>
        <v>0.125</v>
      </c>
      <c r="E2686" s="0" t="n">
        <f aca="false">-1+B2686*0.125</f>
        <v>-0.5</v>
      </c>
      <c r="F2686" s="0" t="n">
        <f aca="false">-1+C2686*0.125</f>
        <v>0.5</v>
      </c>
      <c r="G2686" s="0" t="n">
        <f aca="false">1</f>
        <v>1</v>
      </c>
      <c r="H2686" s="0" t="n">
        <f aca="false">D2686</f>
        <v>0.125</v>
      </c>
      <c r="I2686" s="0" t="n">
        <f aca="false">E2686</f>
        <v>-0.5</v>
      </c>
      <c r="J2686" s="0" t="n">
        <f aca="false">F2686</f>
        <v>0.5</v>
      </c>
      <c r="K2686" s="0" t="n">
        <f aca="false">D2686*E2686</f>
        <v>-0.0625</v>
      </c>
      <c r="L2686" s="0" t="n">
        <f aca="false">D2686*F2686</f>
        <v>0.0625</v>
      </c>
      <c r="M2686" s="0" t="n">
        <f aca="false">E2686*F2686</f>
        <v>-0.25</v>
      </c>
      <c r="N2686" s="0" t="n">
        <f aca="false">D2686*D2686</f>
        <v>0.015625</v>
      </c>
      <c r="O2686" s="0" t="n">
        <f aca="false">E2686*E2686</f>
        <v>0.25</v>
      </c>
      <c r="P2686" s="0" t="n">
        <f aca="false">F2686*F2686</f>
        <v>0.25</v>
      </c>
      <c r="Q2686" s="0" t="n">
        <f aca="false">SUMPRODUCT(G2686:P2686,_XtX!$B$71:$K$71)</f>
        <v>47.3251278409091</v>
      </c>
      <c r="R2686" s="0" t="n">
        <f aca="false">SUMPRODUCT(MMULT(G2686:P2686,_XtX!$B$58:$K$67),G2686:P2686)</f>
        <v>0.158025568181818</v>
      </c>
      <c r="S2686" s="0" t="n">
        <f aca="false">04_回帰ANOVA!$K$19*04_回帰ANOVA!$K$14*SQRT(1+R2686)</f>
        <v>1.00051985207691</v>
      </c>
      <c r="T2686" s="0" t="n">
        <f aca="false">Q2686-S2686</f>
        <v>46.3246079888322</v>
      </c>
      <c r="U2686" s="0" t="n">
        <f aca="false">Q2686+S2686</f>
        <v>48.325647692986</v>
      </c>
      <c r="V2686" s="54" t="b">
        <f aca="false">AND(D2686&gt;=01_因子設定!$L$5-0.000000001,D2686&lt;=01_因子設定!$M$5+0.000000001,E2686&gt;=01_因子設定!$L$6-0.000000001,E2686&lt;=01_因子設定!$M$6+0.000000001,F2686&gt;=01_因子設定!$L$7-0.000000001,F2686&lt;=01_因子設定!$M$7+0.000000001,IF(01_因子設定!$B$20="Box-Behnken",D2686^2+E2686^2+F2686^2&lt;=2+0.000000001,TRUE()))</f>
        <v>1</v>
      </c>
      <c r="W2686" s="55" t="n">
        <f aca="false">IF(V2686,IF(01_因子設定!$B$13="最大化",T2686-01_因子設定!$B$14,IF(01_因子設定!$B$13="最小化",01_因子設定!$B$15-U2686,MIN(T2686-01_因子設定!$B$14,01_因子設定!$B$15-U2686))),-1E+030)</f>
        <v>-2.1753920111678</v>
      </c>
      <c r="X2686" s="55" t="n">
        <f aca="false">IF(V2686,IF(01_因子設定!$B$13="最大化",Q2686,IF(01_因子設定!$B$13="最小化",-Q2686,-ABS(Q2686-01_因子設定!$B$16))),-1E+030)</f>
        <v>47.3251278409091</v>
      </c>
      <c r="Y2686" s="55" t="n">
        <f aca="false">W2686+ROW()*0.000000001</f>
        <v>-2.1753893251678</v>
      </c>
      <c r="Z2686" s="55" t="n">
        <f aca="false">X2686+ROW()*0.000000001</f>
        <v>47.3251305269091</v>
      </c>
    </row>
    <row r="2687" customFormat="false" ht="15" hidden="false" customHeight="false" outlineLevel="0" collapsed="false">
      <c r="A2687" s="0" t="n">
        <v>9</v>
      </c>
      <c r="B2687" s="0" t="n">
        <v>4</v>
      </c>
      <c r="C2687" s="0" t="n">
        <v>13</v>
      </c>
      <c r="D2687" s="0" t="n">
        <f aca="false">-1+A2687*0.125</f>
        <v>0.125</v>
      </c>
      <c r="E2687" s="0" t="n">
        <f aca="false">-1+B2687*0.125</f>
        <v>-0.5</v>
      </c>
      <c r="F2687" s="0" t="n">
        <f aca="false">-1+C2687*0.125</f>
        <v>0.625</v>
      </c>
      <c r="G2687" s="0" t="n">
        <f aca="false">1</f>
        <v>1</v>
      </c>
      <c r="H2687" s="0" t="n">
        <f aca="false">D2687</f>
        <v>0.125</v>
      </c>
      <c r="I2687" s="0" t="n">
        <f aca="false">E2687</f>
        <v>-0.5</v>
      </c>
      <c r="J2687" s="0" t="n">
        <f aca="false">F2687</f>
        <v>0.625</v>
      </c>
      <c r="K2687" s="0" t="n">
        <f aca="false">D2687*E2687</f>
        <v>-0.0625</v>
      </c>
      <c r="L2687" s="0" t="n">
        <f aca="false">D2687*F2687</f>
        <v>0.078125</v>
      </c>
      <c r="M2687" s="0" t="n">
        <f aca="false">E2687*F2687</f>
        <v>-0.3125</v>
      </c>
      <c r="N2687" s="0" t="n">
        <f aca="false">D2687*D2687</f>
        <v>0.015625</v>
      </c>
      <c r="O2687" s="0" t="n">
        <f aca="false">E2687*E2687</f>
        <v>0.25</v>
      </c>
      <c r="P2687" s="0" t="n">
        <f aca="false">F2687*F2687</f>
        <v>0.390625</v>
      </c>
      <c r="Q2687" s="0" t="n">
        <f aca="false">SUMPRODUCT(G2687:P2687,_XtX!$B$71:$K$71)</f>
        <v>47.3016051136364</v>
      </c>
      <c r="R2687" s="0" t="n">
        <f aca="false">SUMPRODUCT(MMULT(G2687:P2687,_XtX!$B$58:$K$67),G2687:P2687)</f>
        <v>0.186545077237216</v>
      </c>
      <c r="S2687" s="0" t="n">
        <f aca="false">04_回帰ANOVA!$K$19*04_回帰ANOVA!$K$14*SQRT(1+R2687)</f>
        <v>1.01276516970713</v>
      </c>
      <c r="T2687" s="0" t="n">
        <f aca="false">Q2687-S2687</f>
        <v>46.2888399439293</v>
      </c>
      <c r="U2687" s="0" t="n">
        <f aca="false">Q2687+S2687</f>
        <v>48.3143702833435</v>
      </c>
      <c r="V2687" s="54" t="b">
        <f aca="false">AND(D2687&gt;=01_因子設定!$L$5-0.000000001,D2687&lt;=01_因子設定!$M$5+0.000000001,E2687&gt;=01_因子設定!$L$6-0.000000001,E2687&lt;=01_因子設定!$M$6+0.000000001,F2687&gt;=01_因子設定!$L$7-0.000000001,F2687&lt;=01_因子設定!$M$7+0.000000001,IF(01_因子設定!$B$20="Box-Behnken",D2687^2+E2687^2+F2687^2&lt;=2+0.000000001,TRUE()))</f>
        <v>1</v>
      </c>
      <c r="W2687" s="55" t="n">
        <f aca="false">IF(V2687,IF(01_因子設定!$B$13="最大化",T2687-01_因子設定!$B$14,IF(01_因子設定!$B$13="最小化",01_因子設定!$B$15-U2687,MIN(T2687-01_因子設定!$B$14,01_因子設定!$B$15-U2687))),-1E+030)</f>
        <v>-2.21116005607075</v>
      </c>
      <c r="X2687" s="55" t="n">
        <f aca="false">IF(V2687,IF(01_因子設定!$B$13="最大化",Q2687,IF(01_因子設定!$B$13="最小化",-Q2687,-ABS(Q2687-01_因子設定!$B$16))),-1E+030)</f>
        <v>47.3016051136364</v>
      </c>
      <c r="Y2687" s="55" t="n">
        <f aca="false">W2687+ROW()*0.000000001</f>
        <v>-2.21115736907075</v>
      </c>
      <c r="Z2687" s="55" t="n">
        <f aca="false">X2687+ROW()*0.000000001</f>
        <v>47.3016078006364</v>
      </c>
    </row>
    <row r="2688" customFormat="false" ht="15" hidden="false" customHeight="false" outlineLevel="0" collapsed="false">
      <c r="A2688" s="0" t="n">
        <v>9</v>
      </c>
      <c r="B2688" s="0" t="n">
        <v>4</v>
      </c>
      <c r="C2688" s="0" t="n">
        <v>14</v>
      </c>
      <c r="D2688" s="0" t="n">
        <f aca="false">-1+A2688*0.125</f>
        <v>0.125</v>
      </c>
      <c r="E2688" s="0" t="n">
        <f aca="false">-1+B2688*0.125</f>
        <v>-0.5</v>
      </c>
      <c r="F2688" s="0" t="n">
        <f aca="false">-1+C2688*0.125</f>
        <v>0.75</v>
      </c>
      <c r="G2688" s="0" t="n">
        <f aca="false">1</f>
        <v>1</v>
      </c>
      <c r="H2688" s="0" t="n">
        <f aca="false">D2688</f>
        <v>0.125</v>
      </c>
      <c r="I2688" s="0" t="n">
        <f aca="false">E2688</f>
        <v>-0.5</v>
      </c>
      <c r="J2688" s="0" t="n">
        <f aca="false">F2688</f>
        <v>0.75</v>
      </c>
      <c r="K2688" s="0" t="n">
        <f aca="false">D2688*E2688</f>
        <v>-0.0625</v>
      </c>
      <c r="L2688" s="0" t="n">
        <f aca="false">D2688*F2688</f>
        <v>0.09375</v>
      </c>
      <c r="M2688" s="0" t="n">
        <f aca="false">E2688*F2688</f>
        <v>-0.375</v>
      </c>
      <c r="N2688" s="0" t="n">
        <f aca="false">D2688*D2688</f>
        <v>0.015625</v>
      </c>
      <c r="O2688" s="0" t="n">
        <f aca="false">E2688*E2688</f>
        <v>0.25</v>
      </c>
      <c r="P2688" s="0" t="n">
        <f aca="false">F2688*F2688</f>
        <v>0.5625</v>
      </c>
      <c r="Q2688" s="0" t="n">
        <f aca="false">SUMPRODUCT(G2688:P2688,_XtX!$B$71:$K$71)</f>
        <v>47.2412926136364</v>
      </c>
      <c r="R2688" s="0" t="n">
        <f aca="false">SUMPRODUCT(MMULT(G2688:P2688,_XtX!$B$58:$K$67),G2688:P2688)</f>
        <v>0.240933504971591</v>
      </c>
      <c r="S2688" s="0" t="n">
        <f aca="false">04_回帰ANOVA!$K$19*04_回帰ANOVA!$K$14*SQRT(1+R2688)</f>
        <v>1.03571649118863</v>
      </c>
      <c r="T2688" s="0" t="n">
        <f aca="false">Q2688-S2688</f>
        <v>46.2055761224478</v>
      </c>
      <c r="U2688" s="0" t="n">
        <f aca="false">Q2688+S2688</f>
        <v>48.277009104825</v>
      </c>
      <c r="V2688" s="54" t="b">
        <f aca="false">AND(D2688&gt;=01_因子設定!$L$5-0.000000001,D2688&lt;=01_因子設定!$M$5+0.000000001,E2688&gt;=01_因子設定!$L$6-0.000000001,E2688&lt;=01_因子設定!$M$6+0.000000001,F2688&gt;=01_因子設定!$L$7-0.000000001,F2688&lt;=01_因子設定!$M$7+0.000000001,IF(01_因子設定!$B$20="Box-Behnken",D2688^2+E2688^2+F2688^2&lt;=2+0.000000001,TRUE()))</f>
        <v>1</v>
      </c>
      <c r="W2688" s="55" t="n">
        <f aca="false">IF(V2688,IF(01_因子設定!$B$13="最大化",T2688-01_因子設定!$B$14,IF(01_因子設定!$B$13="最小化",01_因子設定!$B$15-U2688,MIN(T2688-01_因子設定!$B$14,01_因子設定!$B$15-U2688))),-1E+030)</f>
        <v>-2.29442387755224</v>
      </c>
      <c r="X2688" s="55" t="n">
        <f aca="false">IF(V2688,IF(01_因子設定!$B$13="最大化",Q2688,IF(01_因子設定!$B$13="最小化",-Q2688,-ABS(Q2688-01_因子設定!$B$16))),-1E+030)</f>
        <v>47.2412926136364</v>
      </c>
      <c r="Y2688" s="55" t="n">
        <f aca="false">W2688+ROW()*0.000000001</f>
        <v>-2.29442118955224</v>
      </c>
      <c r="Z2688" s="55" t="n">
        <f aca="false">X2688+ROW()*0.000000001</f>
        <v>47.2412953016364</v>
      </c>
    </row>
    <row r="2689" customFormat="false" ht="15" hidden="false" customHeight="false" outlineLevel="0" collapsed="false">
      <c r="A2689" s="0" t="n">
        <v>9</v>
      </c>
      <c r="B2689" s="0" t="n">
        <v>4</v>
      </c>
      <c r="C2689" s="0" t="n">
        <v>15</v>
      </c>
      <c r="D2689" s="0" t="n">
        <f aca="false">-1+A2689*0.125</f>
        <v>0.125</v>
      </c>
      <c r="E2689" s="0" t="n">
        <f aca="false">-1+B2689*0.125</f>
        <v>-0.5</v>
      </c>
      <c r="F2689" s="0" t="n">
        <f aca="false">-1+C2689*0.125</f>
        <v>0.875</v>
      </c>
      <c r="G2689" s="0" t="n">
        <f aca="false">1</f>
        <v>1</v>
      </c>
      <c r="H2689" s="0" t="n">
        <f aca="false">D2689</f>
        <v>0.125</v>
      </c>
      <c r="I2689" s="0" t="n">
        <f aca="false">E2689</f>
        <v>-0.5</v>
      </c>
      <c r="J2689" s="0" t="n">
        <f aca="false">F2689</f>
        <v>0.875</v>
      </c>
      <c r="K2689" s="0" t="n">
        <f aca="false">D2689*E2689</f>
        <v>-0.0625</v>
      </c>
      <c r="L2689" s="0" t="n">
        <f aca="false">D2689*F2689</f>
        <v>0.109375</v>
      </c>
      <c r="M2689" s="0" t="n">
        <f aca="false">E2689*F2689</f>
        <v>-0.4375</v>
      </c>
      <c r="N2689" s="0" t="n">
        <f aca="false">D2689*D2689</f>
        <v>0.015625</v>
      </c>
      <c r="O2689" s="0" t="n">
        <f aca="false">E2689*E2689</f>
        <v>0.25</v>
      </c>
      <c r="P2689" s="0" t="n">
        <f aca="false">F2689*F2689</f>
        <v>0.765625</v>
      </c>
      <c r="Q2689" s="0" t="n">
        <f aca="false">SUMPRODUCT(G2689:P2689,_XtX!$B$71:$K$71)</f>
        <v>47.1441903409091</v>
      </c>
      <c r="R2689" s="0" t="n">
        <f aca="false">SUMPRODUCT(MMULT(G2689:P2689,_XtX!$B$58:$K$67),G2689:P2689)</f>
        <v>0.332909601384943</v>
      </c>
      <c r="S2689" s="0" t="n">
        <f aca="false">04_回帰ANOVA!$K$19*04_回帰ANOVA!$K$14*SQRT(1+R2689)</f>
        <v>1.07341333007404</v>
      </c>
      <c r="T2689" s="0" t="n">
        <f aca="false">Q2689-S2689</f>
        <v>46.0707770108351</v>
      </c>
      <c r="U2689" s="0" t="n">
        <f aca="false">Q2689+S2689</f>
        <v>48.2176036709832</v>
      </c>
      <c r="V2689" s="54" t="b">
        <f aca="false">AND(D2689&gt;=01_因子設定!$L$5-0.000000001,D2689&lt;=01_因子設定!$M$5+0.000000001,E2689&gt;=01_因子設定!$L$6-0.000000001,E2689&lt;=01_因子設定!$M$6+0.000000001,F2689&gt;=01_因子設定!$L$7-0.000000001,F2689&lt;=01_因子設定!$M$7+0.000000001,IF(01_因子設定!$B$20="Box-Behnken",D2689^2+E2689^2+F2689^2&lt;=2+0.000000001,TRUE()))</f>
        <v>1</v>
      </c>
      <c r="W2689" s="55" t="n">
        <f aca="false">IF(V2689,IF(01_因子設定!$B$13="最大化",T2689-01_因子設定!$B$14,IF(01_因子設定!$B$13="最小化",01_因子設定!$B$15-U2689,MIN(T2689-01_因子設定!$B$14,01_因子設定!$B$15-U2689))),-1E+030)</f>
        <v>-2.42922298916493</v>
      </c>
      <c r="X2689" s="55" t="n">
        <f aca="false">IF(V2689,IF(01_因子設定!$B$13="最大化",Q2689,IF(01_因子設定!$B$13="最小化",-Q2689,-ABS(Q2689-01_因子設定!$B$16))),-1E+030)</f>
        <v>47.1441903409091</v>
      </c>
      <c r="Y2689" s="55" t="n">
        <f aca="false">W2689+ROW()*0.000000001</f>
        <v>-2.42922030016493</v>
      </c>
      <c r="Z2689" s="55" t="n">
        <f aca="false">X2689+ROW()*0.000000001</f>
        <v>47.1441930299091</v>
      </c>
    </row>
    <row r="2690" customFormat="false" ht="15" hidden="false" customHeight="false" outlineLevel="0" collapsed="false">
      <c r="A2690" s="0" t="n">
        <v>9</v>
      </c>
      <c r="B2690" s="0" t="n">
        <v>4</v>
      </c>
      <c r="C2690" s="0" t="n">
        <v>16</v>
      </c>
      <c r="D2690" s="0" t="n">
        <f aca="false">-1+A2690*0.125</f>
        <v>0.125</v>
      </c>
      <c r="E2690" s="0" t="n">
        <f aca="false">-1+B2690*0.125</f>
        <v>-0.5</v>
      </c>
      <c r="F2690" s="0" t="n">
        <f aca="false">-1+C2690*0.125</f>
        <v>1</v>
      </c>
      <c r="G2690" s="0" t="n">
        <f aca="false">1</f>
        <v>1</v>
      </c>
      <c r="H2690" s="0" t="n">
        <f aca="false">D2690</f>
        <v>0.125</v>
      </c>
      <c r="I2690" s="0" t="n">
        <f aca="false">E2690</f>
        <v>-0.5</v>
      </c>
      <c r="J2690" s="0" t="n">
        <f aca="false">F2690</f>
        <v>1</v>
      </c>
      <c r="K2690" s="0" t="n">
        <f aca="false">D2690*E2690</f>
        <v>-0.0625</v>
      </c>
      <c r="L2690" s="0" t="n">
        <f aca="false">D2690*F2690</f>
        <v>0.125</v>
      </c>
      <c r="M2690" s="0" t="n">
        <f aca="false">E2690*F2690</f>
        <v>-0.5</v>
      </c>
      <c r="N2690" s="0" t="n">
        <f aca="false">D2690*D2690</f>
        <v>0.015625</v>
      </c>
      <c r="O2690" s="0" t="n">
        <f aca="false">E2690*E2690</f>
        <v>0.25</v>
      </c>
      <c r="P2690" s="0" t="n">
        <f aca="false">F2690*F2690</f>
        <v>1</v>
      </c>
      <c r="Q2690" s="0" t="n">
        <f aca="false">SUMPRODUCT(G2690:P2690,_XtX!$B$71:$K$71)</f>
        <v>47.0102982954546</v>
      </c>
      <c r="R2690" s="0" t="n">
        <f aca="false">SUMPRODUCT(MMULT(G2690:P2690,_XtX!$B$58:$K$67),G2690:P2690)</f>
        <v>0.476322798295455</v>
      </c>
      <c r="S2690" s="0" t="n">
        <f aca="false">04_回帰ANOVA!$K$19*04_回帰ANOVA!$K$14*SQRT(1+R2690)</f>
        <v>1.12968483630128</v>
      </c>
      <c r="T2690" s="0" t="n">
        <f aca="false">Q2690-S2690</f>
        <v>45.8806134591533</v>
      </c>
      <c r="U2690" s="0" t="n">
        <f aca="false">Q2690+S2690</f>
        <v>48.1399831317559</v>
      </c>
      <c r="V2690" s="54" t="b">
        <f aca="false">AND(D2690&gt;=01_因子設定!$L$5-0.000000001,D2690&lt;=01_因子設定!$M$5+0.000000001,E2690&gt;=01_因子設定!$L$6-0.000000001,E2690&lt;=01_因子設定!$M$6+0.000000001,F2690&gt;=01_因子設定!$L$7-0.000000001,F2690&lt;=01_因子設定!$M$7+0.000000001,IF(01_因子設定!$B$20="Box-Behnken",D2690^2+E2690^2+F2690^2&lt;=2+0.000000001,TRUE()))</f>
        <v>1</v>
      </c>
      <c r="W2690" s="55" t="n">
        <f aca="false">IF(V2690,IF(01_因子設定!$B$13="最大化",T2690-01_因子設定!$B$14,IF(01_因子設定!$B$13="最小化",01_因子設定!$B$15-U2690,MIN(T2690-01_因子設定!$B$14,01_因子設定!$B$15-U2690))),-1E+030)</f>
        <v>-2.6193865408467</v>
      </c>
      <c r="X2690" s="55" t="n">
        <f aca="false">IF(V2690,IF(01_因子設定!$B$13="最大化",Q2690,IF(01_因子設定!$B$13="最小化",-Q2690,-ABS(Q2690-01_因子設定!$B$16))),-1E+030)</f>
        <v>47.0102982954546</v>
      </c>
      <c r="Y2690" s="55" t="n">
        <f aca="false">W2690+ROW()*0.000000001</f>
        <v>-2.6193838508467</v>
      </c>
      <c r="Z2690" s="55" t="n">
        <f aca="false">X2690+ROW()*0.000000001</f>
        <v>47.0103009854546</v>
      </c>
    </row>
    <row r="2691" customFormat="false" ht="15" hidden="false" customHeight="false" outlineLevel="0" collapsed="false">
      <c r="A2691" s="0" t="n">
        <v>9</v>
      </c>
      <c r="B2691" s="0" t="n">
        <v>5</v>
      </c>
      <c r="C2691" s="0" t="n">
        <v>0</v>
      </c>
      <c r="D2691" s="0" t="n">
        <f aca="false">-1+A2691*0.125</f>
        <v>0.125</v>
      </c>
      <c r="E2691" s="0" t="n">
        <f aca="false">-1+B2691*0.125</f>
        <v>-0.375</v>
      </c>
      <c r="F2691" s="0" t="n">
        <f aca="false">-1+C2691*0.125</f>
        <v>-1</v>
      </c>
      <c r="G2691" s="0" t="n">
        <f aca="false">1</f>
        <v>1</v>
      </c>
      <c r="H2691" s="0" t="n">
        <f aca="false">D2691</f>
        <v>0.125</v>
      </c>
      <c r="I2691" s="0" t="n">
        <f aca="false">E2691</f>
        <v>-0.375</v>
      </c>
      <c r="J2691" s="0" t="n">
        <f aca="false">F2691</f>
        <v>-1</v>
      </c>
      <c r="K2691" s="0" t="n">
        <f aca="false">D2691*E2691</f>
        <v>-0.046875</v>
      </c>
      <c r="L2691" s="0" t="n">
        <f aca="false">D2691*F2691</f>
        <v>-0.125</v>
      </c>
      <c r="M2691" s="0" t="n">
        <f aca="false">E2691*F2691</f>
        <v>0.375</v>
      </c>
      <c r="N2691" s="0" t="n">
        <f aca="false">D2691*D2691</f>
        <v>0.015625</v>
      </c>
      <c r="O2691" s="0" t="n">
        <f aca="false">E2691*E2691</f>
        <v>0.140625</v>
      </c>
      <c r="P2691" s="0" t="n">
        <f aca="false">F2691*F2691</f>
        <v>1</v>
      </c>
      <c r="Q2691" s="0" t="n">
        <f aca="false">SUMPRODUCT(G2691:P2691,_XtX!$B$71:$K$71)</f>
        <v>45.181171875</v>
      </c>
      <c r="R2691" s="0" t="n">
        <f aca="false">SUMPRODUCT(MMULT(G2691:P2691,_XtX!$B$58:$K$67),G2691:P2691)</f>
        <v>0.476202392578125</v>
      </c>
      <c r="S2691" s="0" t="n">
        <f aca="false">04_回帰ANOVA!$K$19*04_回帰ANOVA!$K$14*SQRT(1+R2691)</f>
        <v>1.12963876802721</v>
      </c>
      <c r="T2691" s="0" t="n">
        <f aca="false">Q2691-S2691</f>
        <v>44.0515331069728</v>
      </c>
      <c r="U2691" s="0" t="n">
        <f aca="false">Q2691+S2691</f>
        <v>46.3108106430272</v>
      </c>
      <c r="V2691" s="54" t="b">
        <f aca="false">AND(D2691&gt;=01_因子設定!$L$5-0.000000001,D2691&lt;=01_因子設定!$M$5+0.000000001,E2691&gt;=01_因子設定!$L$6-0.000000001,E2691&lt;=01_因子設定!$M$6+0.000000001,F2691&gt;=01_因子設定!$L$7-0.000000001,F2691&lt;=01_因子設定!$M$7+0.000000001,IF(01_因子設定!$B$20="Box-Behnken",D2691^2+E2691^2+F2691^2&lt;=2+0.000000001,TRUE()))</f>
        <v>1</v>
      </c>
      <c r="W2691" s="55" t="n">
        <f aca="false">IF(V2691,IF(01_因子設定!$B$13="最大化",T2691-01_因子設定!$B$14,IF(01_因子設定!$B$13="最小化",01_因子設定!$B$15-U2691,MIN(T2691-01_因子設定!$B$14,01_因子設定!$B$15-U2691))),-1E+030)</f>
        <v>-4.44846689302718</v>
      </c>
      <c r="X2691" s="55" t="n">
        <f aca="false">IF(V2691,IF(01_因子設定!$B$13="最大化",Q2691,IF(01_因子設定!$B$13="最小化",-Q2691,-ABS(Q2691-01_因子設定!$B$16))),-1E+030)</f>
        <v>45.181171875</v>
      </c>
      <c r="Y2691" s="55" t="n">
        <f aca="false">W2691+ROW()*0.000000001</f>
        <v>-4.44846420202718</v>
      </c>
      <c r="Z2691" s="55" t="n">
        <f aca="false">X2691+ROW()*0.000000001</f>
        <v>45.181174566</v>
      </c>
    </row>
    <row r="2692" customFormat="false" ht="15" hidden="false" customHeight="false" outlineLevel="0" collapsed="false">
      <c r="A2692" s="0" t="n">
        <v>9</v>
      </c>
      <c r="B2692" s="0" t="n">
        <v>5</v>
      </c>
      <c r="C2692" s="0" t="n">
        <v>1</v>
      </c>
      <c r="D2692" s="0" t="n">
        <f aca="false">-1+A2692*0.125</f>
        <v>0.125</v>
      </c>
      <c r="E2692" s="0" t="n">
        <f aca="false">-1+B2692*0.125</f>
        <v>-0.375</v>
      </c>
      <c r="F2692" s="0" t="n">
        <f aca="false">-1+C2692*0.125</f>
        <v>-0.875</v>
      </c>
      <c r="G2692" s="0" t="n">
        <f aca="false">1</f>
        <v>1</v>
      </c>
      <c r="H2692" s="0" t="n">
        <f aca="false">D2692</f>
        <v>0.125</v>
      </c>
      <c r="I2692" s="0" t="n">
        <f aca="false">E2692</f>
        <v>-0.375</v>
      </c>
      <c r="J2692" s="0" t="n">
        <f aca="false">F2692</f>
        <v>-0.875</v>
      </c>
      <c r="K2692" s="0" t="n">
        <f aca="false">D2692*E2692</f>
        <v>-0.046875</v>
      </c>
      <c r="L2692" s="0" t="n">
        <f aca="false">D2692*F2692</f>
        <v>-0.109375</v>
      </c>
      <c r="M2692" s="0" t="n">
        <f aca="false">E2692*F2692</f>
        <v>0.328125</v>
      </c>
      <c r="N2692" s="0" t="n">
        <f aca="false">D2692*D2692</f>
        <v>0.015625</v>
      </c>
      <c r="O2692" s="0" t="n">
        <f aca="false">E2692*E2692</f>
        <v>0.140625</v>
      </c>
      <c r="P2692" s="0" t="n">
        <f aca="false">F2692*F2692</f>
        <v>0.765625</v>
      </c>
      <c r="Q2692" s="0" t="n">
        <f aca="false">SUMPRODUCT(G2692:P2692,_XtX!$B$71:$K$71)</f>
        <v>45.6061576704546</v>
      </c>
      <c r="R2692" s="0" t="n">
        <f aca="false">SUMPRODUCT(MMULT(G2692:P2692,_XtX!$B$58:$K$67),G2692:P2692)</f>
        <v>0.32900224165483</v>
      </c>
      <c r="S2692" s="0" t="n">
        <f aca="false">04_回帰ANOVA!$K$19*04_回帰ANOVA!$K$14*SQRT(1+R2692)</f>
        <v>1.07183884583628</v>
      </c>
      <c r="T2692" s="0" t="n">
        <f aca="false">Q2692-S2692</f>
        <v>44.5343188246183</v>
      </c>
      <c r="U2692" s="0" t="n">
        <f aca="false">Q2692+S2692</f>
        <v>46.6779965162909</v>
      </c>
      <c r="V2692" s="54" t="b">
        <f aca="false">AND(D2692&gt;=01_因子設定!$L$5-0.000000001,D2692&lt;=01_因子設定!$M$5+0.000000001,E2692&gt;=01_因子設定!$L$6-0.000000001,E2692&lt;=01_因子設定!$M$6+0.000000001,F2692&gt;=01_因子設定!$L$7-0.000000001,F2692&lt;=01_因子設定!$M$7+0.000000001,IF(01_因子設定!$B$20="Box-Behnken",D2692^2+E2692^2+F2692^2&lt;=2+0.000000001,TRUE()))</f>
        <v>1</v>
      </c>
      <c r="W2692" s="55" t="n">
        <f aca="false">IF(V2692,IF(01_因子設定!$B$13="最大化",T2692-01_因子設定!$B$14,IF(01_因子設定!$B$13="最小化",01_因子設定!$B$15-U2692,MIN(T2692-01_因子設定!$B$14,01_因子設定!$B$15-U2692))),-1E+030)</f>
        <v>-3.9656811753817</v>
      </c>
      <c r="X2692" s="55" t="n">
        <f aca="false">IF(V2692,IF(01_因子設定!$B$13="最大化",Q2692,IF(01_因子設定!$B$13="最小化",-Q2692,-ABS(Q2692-01_因子設定!$B$16))),-1E+030)</f>
        <v>45.6061576704546</v>
      </c>
      <c r="Y2692" s="55" t="n">
        <f aca="false">W2692+ROW()*0.000000001</f>
        <v>-3.9656784833817</v>
      </c>
      <c r="Z2692" s="55" t="n">
        <f aca="false">X2692+ROW()*0.000000001</f>
        <v>45.6061603624546</v>
      </c>
    </row>
    <row r="2693" customFormat="false" ht="15" hidden="false" customHeight="false" outlineLevel="0" collapsed="false">
      <c r="A2693" s="0" t="n">
        <v>9</v>
      </c>
      <c r="B2693" s="0" t="n">
        <v>5</v>
      </c>
      <c r="C2693" s="0" t="n">
        <v>2</v>
      </c>
      <c r="D2693" s="0" t="n">
        <f aca="false">-1+A2693*0.125</f>
        <v>0.125</v>
      </c>
      <c r="E2693" s="0" t="n">
        <f aca="false">-1+B2693*0.125</f>
        <v>-0.375</v>
      </c>
      <c r="F2693" s="0" t="n">
        <f aca="false">-1+C2693*0.125</f>
        <v>-0.75</v>
      </c>
      <c r="G2693" s="0" t="n">
        <f aca="false">1</f>
        <v>1</v>
      </c>
      <c r="H2693" s="0" t="n">
        <f aca="false">D2693</f>
        <v>0.125</v>
      </c>
      <c r="I2693" s="0" t="n">
        <f aca="false">E2693</f>
        <v>-0.375</v>
      </c>
      <c r="J2693" s="0" t="n">
        <f aca="false">F2693</f>
        <v>-0.75</v>
      </c>
      <c r="K2693" s="0" t="n">
        <f aca="false">D2693*E2693</f>
        <v>-0.046875</v>
      </c>
      <c r="L2693" s="0" t="n">
        <f aca="false">D2693*F2693</f>
        <v>-0.09375</v>
      </c>
      <c r="M2693" s="0" t="n">
        <f aca="false">E2693*F2693</f>
        <v>0.28125</v>
      </c>
      <c r="N2693" s="0" t="n">
        <f aca="false">D2693*D2693</f>
        <v>0.015625</v>
      </c>
      <c r="O2693" s="0" t="n">
        <f aca="false">E2693*E2693</f>
        <v>0.140625</v>
      </c>
      <c r="P2693" s="0" t="n">
        <f aca="false">F2693*F2693</f>
        <v>0.5625</v>
      </c>
      <c r="Q2693" s="0" t="n">
        <f aca="false">SUMPRODUCT(G2693:P2693,_XtX!$B$71:$K$71)</f>
        <v>45.9943536931818</v>
      </c>
      <c r="R2693" s="0" t="n">
        <f aca="false">SUMPRODUCT(MMULT(G2693:P2693,_XtX!$B$58:$K$67),G2693:P2693)</f>
        <v>0.233744118430398</v>
      </c>
      <c r="S2693" s="0" t="n">
        <f aca="false">04_回帰ANOVA!$K$19*04_回帰ANOVA!$K$14*SQRT(1+R2693)</f>
        <v>1.0327119053564</v>
      </c>
      <c r="T2693" s="0" t="n">
        <f aca="false">Q2693-S2693</f>
        <v>44.9616417878254</v>
      </c>
      <c r="U2693" s="0" t="n">
        <f aca="false">Q2693+S2693</f>
        <v>47.0270655985382</v>
      </c>
      <c r="V2693" s="54" t="b">
        <f aca="false">AND(D2693&gt;=01_因子設定!$L$5-0.000000001,D2693&lt;=01_因子設定!$M$5+0.000000001,E2693&gt;=01_因子設定!$L$6-0.000000001,E2693&lt;=01_因子設定!$M$6+0.000000001,F2693&gt;=01_因子設定!$L$7-0.000000001,F2693&lt;=01_因子設定!$M$7+0.000000001,IF(01_因子設定!$B$20="Box-Behnken",D2693^2+E2693^2+F2693^2&lt;=2+0.000000001,TRUE()))</f>
        <v>1</v>
      </c>
      <c r="W2693" s="55" t="n">
        <f aca="false">IF(V2693,IF(01_因子設定!$B$13="最大化",T2693-01_因子設定!$B$14,IF(01_因子設定!$B$13="最小化",01_因子設定!$B$15-U2693,MIN(T2693-01_因子設定!$B$14,01_因子設定!$B$15-U2693))),-1E+030)</f>
        <v>-3.53835821217456</v>
      </c>
      <c r="X2693" s="55" t="n">
        <f aca="false">IF(V2693,IF(01_因子設定!$B$13="最大化",Q2693,IF(01_因子設定!$B$13="最小化",-Q2693,-ABS(Q2693-01_因子設定!$B$16))),-1E+030)</f>
        <v>45.9943536931818</v>
      </c>
      <c r="Y2693" s="55" t="n">
        <f aca="false">W2693+ROW()*0.000000001</f>
        <v>-3.53835551917457</v>
      </c>
      <c r="Z2693" s="55" t="n">
        <f aca="false">X2693+ROW()*0.000000001</f>
        <v>45.9943563861818</v>
      </c>
    </row>
    <row r="2694" customFormat="false" ht="15" hidden="false" customHeight="false" outlineLevel="0" collapsed="false">
      <c r="A2694" s="0" t="n">
        <v>9</v>
      </c>
      <c r="B2694" s="0" t="n">
        <v>5</v>
      </c>
      <c r="C2694" s="0" t="n">
        <v>3</v>
      </c>
      <c r="D2694" s="0" t="n">
        <f aca="false">-1+A2694*0.125</f>
        <v>0.125</v>
      </c>
      <c r="E2694" s="0" t="n">
        <f aca="false">-1+B2694*0.125</f>
        <v>-0.375</v>
      </c>
      <c r="F2694" s="0" t="n">
        <f aca="false">-1+C2694*0.125</f>
        <v>-0.625</v>
      </c>
      <c r="G2694" s="0" t="n">
        <f aca="false">1</f>
        <v>1</v>
      </c>
      <c r="H2694" s="0" t="n">
        <f aca="false">D2694</f>
        <v>0.125</v>
      </c>
      <c r="I2694" s="0" t="n">
        <f aca="false">E2694</f>
        <v>-0.375</v>
      </c>
      <c r="J2694" s="0" t="n">
        <f aca="false">F2694</f>
        <v>-0.625</v>
      </c>
      <c r="K2694" s="0" t="n">
        <f aca="false">D2694*E2694</f>
        <v>-0.046875</v>
      </c>
      <c r="L2694" s="0" t="n">
        <f aca="false">D2694*F2694</f>
        <v>-0.078125</v>
      </c>
      <c r="M2694" s="0" t="n">
        <f aca="false">E2694*F2694</f>
        <v>0.234375</v>
      </c>
      <c r="N2694" s="0" t="n">
        <f aca="false">D2694*D2694</f>
        <v>0.015625</v>
      </c>
      <c r="O2694" s="0" t="n">
        <f aca="false">E2694*E2694</f>
        <v>0.140625</v>
      </c>
      <c r="P2694" s="0" t="n">
        <f aca="false">F2694*F2694</f>
        <v>0.390625</v>
      </c>
      <c r="Q2694" s="0" t="n">
        <f aca="false">SUMPRODUCT(G2694:P2694,_XtX!$B$71:$K$71)</f>
        <v>46.3457599431818</v>
      </c>
      <c r="R2694" s="0" t="n">
        <f aca="false">SUMPRODUCT(MMULT(G2694:P2694,_XtX!$B$58:$K$67),G2694:P2694)</f>
        <v>0.176578591086648</v>
      </c>
      <c r="S2694" s="0" t="n">
        <f aca="false">04_回帰ANOVA!$K$19*04_回帰ANOVA!$K$14*SQRT(1+R2694)</f>
        <v>1.00850279676269</v>
      </c>
      <c r="T2694" s="0" t="n">
        <f aca="false">Q2694-S2694</f>
        <v>45.3372571464191</v>
      </c>
      <c r="U2694" s="0" t="n">
        <f aca="false">Q2694+S2694</f>
        <v>47.3542627399445</v>
      </c>
      <c r="V2694" s="54" t="b">
        <f aca="false">AND(D2694&gt;=01_因子設定!$L$5-0.000000001,D2694&lt;=01_因子設定!$M$5+0.000000001,E2694&gt;=01_因子設定!$L$6-0.000000001,E2694&lt;=01_因子設定!$M$6+0.000000001,F2694&gt;=01_因子設定!$L$7-0.000000001,F2694&lt;=01_因子設定!$M$7+0.000000001,IF(01_因子設定!$B$20="Box-Behnken",D2694^2+E2694^2+F2694^2&lt;=2+0.000000001,TRUE()))</f>
        <v>1</v>
      </c>
      <c r="W2694" s="55" t="n">
        <f aca="false">IF(V2694,IF(01_因子設定!$B$13="最大化",T2694-01_因子設定!$B$14,IF(01_因子設定!$B$13="最小化",01_因子設定!$B$15-U2694,MIN(T2694-01_因子設定!$B$14,01_因子設定!$B$15-U2694))),-1E+030)</f>
        <v>-3.16274285358086</v>
      </c>
      <c r="X2694" s="55" t="n">
        <f aca="false">IF(V2694,IF(01_因子設定!$B$13="最大化",Q2694,IF(01_因子設定!$B$13="最小化",-Q2694,-ABS(Q2694-01_因子設定!$B$16))),-1E+030)</f>
        <v>46.3457599431818</v>
      </c>
      <c r="Y2694" s="55" t="n">
        <f aca="false">W2694+ROW()*0.000000001</f>
        <v>-3.16274015958086</v>
      </c>
      <c r="Z2694" s="55" t="n">
        <f aca="false">X2694+ROW()*0.000000001</f>
        <v>46.3457626371818</v>
      </c>
    </row>
    <row r="2695" customFormat="false" ht="15" hidden="false" customHeight="false" outlineLevel="0" collapsed="false">
      <c r="A2695" s="0" t="n">
        <v>9</v>
      </c>
      <c r="B2695" s="0" t="n">
        <v>5</v>
      </c>
      <c r="C2695" s="0" t="n">
        <v>4</v>
      </c>
      <c r="D2695" s="0" t="n">
        <f aca="false">-1+A2695*0.125</f>
        <v>0.125</v>
      </c>
      <c r="E2695" s="0" t="n">
        <f aca="false">-1+B2695*0.125</f>
        <v>-0.375</v>
      </c>
      <c r="F2695" s="0" t="n">
        <f aca="false">-1+C2695*0.125</f>
        <v>-0.5</v>
      </c>
      <c r="G2695" s="0" t="n">
        <f aca="false">1</f>
        <v>1</v>
      </c>
      <c r="H2695" s="0" t="n">
        <f aca="false">D2695</f>
        <v>0.125</v>
      </c>
      <c r="I2695" s="0" t="n">
        <f aca="false">E2695</f>
        <v>-0.375</v>
      </c>
      <c r="J2695" s="0" t="n">
        <f aca="false">F2695</f>
        <v>-0.5</v>
      </c>
      <c r="K2695" s="0" t="n">
        <f aca="false">D2695*E2695</f>
        <v>-0.046875</v>
      </c>
      <c r="L2695" s="0" t="n">
        <f aca="false">D2695*F2695</f>
        <v>-0.0625</v>
      </c>
      <c r="M2695" s="0" t="n">
        <f aca="false">E2695*F2695</f>
        <v>0.1875</v>
      </c>
      <c r="N2695" s="0" t="n">
        <f aca="false">D2695*D2695</f>
        <v>0.015625</v>
      </c>
      <c r="O2695" s="0" t="n">
        <f aca="false">E2695*E2695</f>
        <v>0.140625</v>
      </c>
      <c r="P2695" s="0" t="n">
        <f aca="false">F2695*F2695</f>
        <v>0.25</v>
      </c>
      <c r="Q2695" s="0" t="n">
        <f aca="false">SUMPRODUCT(G2695:P2695,_XtX!$B$71:$K$71)</f>
        <v>46.6603764204546</v>
      </c>
      <c r="R2695" s="0" t="n">
        <f aca="false">SUMPRODUCT(MMULT(G2695:P2695,_XtX!$B$58:$K$67),G2695:P2695)</f>
        <v>0.14578690962358</v>
      </c>
      <c r="S2695" s="0" t="n">
        <f aca="false">04_回帰ANOVA!$K$19*04_回帰ANOVA!$K$14*SQRT(1+R2695)</f>
        <v>0.995218783457917</v>
      </c>
      <c r="T2695" s="0" t="n">
        <f aca="false">Q2695-S2695</f>
        <v>45.6651576369966</v>
      </c>
      <c r="U2695" s="0" t="n">
        <f aca="false">Q2695+S2695</f>
        <v>47.6555952039125</v>
      </c>
      <c r="V2695" s="54" t="b">
        <f aca="false">AND(D2695&gt;=01_因子設定!$L$5-0.000000001,D2695&lt;=01_因子設定!$M$5+0.000000001,E2695&gt;=01_因子設定!$L$6-0.000000001,E2695&lt;=01_因子設定!$M$6+0.000000001,F2695&gt;=01_因子設定!$L$7-0.000000001,F2695&lt;=01_因子設定!$M$7+0.000000001,IF(01_因子設定!$B$20="Box-Behnken",D2695^2+E2695^2+F2695^2&lt;=2+0.000000001,TRUE()))</f>
        <v>1</v>
      </c>
      <c r="W2695" s="55" t="n">
        <f aca="false">IF(V2695,IF(01_因子設定!$B$13="最大化",T2695-01_因子設定!$B$14,IF(01_因子設定!$B$13="最小化",01_因子設定!$B$15-U2695,MIN(T2695-01_因子設定!$B$14,01_因子設定!$B$15-U2695))),-1E+030)</f>
        <v>-2.83484236300335</v>
      </c>
      <c r="X2695" s="55" t="n">
        <f aca="false">IF(V2695,IF(01_因子設定!$B$13="最大化",Q2695,IF(01_因子設定!$B$13="最小化",-Q2695,-ABS(Q2695-01_因子設定!$B$16))),-1E+030)</f>
        <v>46.6603764204546</v>
      </c>
      <c r="Y2695" s="55" t="n">
        <f aca="false">W2695+ROW()*0.000000001</f>
        <v>-2.83483966800335</v>
      </c>
      <c r="Z2695" s="55" t="n">
        <f aca="false">X2695+ROW()*0.000000001</f>
        <v>46.6603791154546</v>
      </c>
    </row>
    <row r="2696" customFormat="false" ht="15" hidden="false" customHeight="false" outlineLevel="0" collapsed="false">
      <c r="A2696" s="0" t="n">
        <v>9</v>
      </c>
      <c r="B2696" s="0" t="n">
        <v>5</v>
      </c>
      <c r="C2696" s="0" t="n">
        <v>5</v>
      </c>
      <c r="D2696" s="0" t="n">
        <f aca="false">-1+A2696*0.125</f>
        <v>0.125</v>
      </c>
      <c r="E2696" s="0" t="n">
        <f aca="false">-1+B2696*0.125</f>
        <v>-0.375</v>
      </c>
      <c r="F2696" s="0" t="n">
        <f aca="false">-1+C2696*0.125</f>
        <v>-0.375</v>
      </c>
      <c r="G2696" s="0" t="n">
        <f aca="false">1</f>
        <v>1</v>
      </c>
      <c r="H2696" s="0" t="n">
        <f aca="false">D2696</f>
        <v>0.125</v>
      </c>
      <c r="I2696" s="0" t="n">
        <f aca="false">E2696</f>
        <v>-0.375</v>
      </c>
      <c r="J2696" s="0" t="n">
        <f aca="false">F2696</f>
        <v>-0.375</v>
      </c>
      <c r="K2696" s="0" t="n">
        <f aca="false">D2696*E2696</f>
        <v>-0.046875</v>
      </c>
      <c r="L2696" s="0" t="n">
        <f aca="false">D2696*F2696</f>
        <v>-0.046875</v>
      </c>
      <c r="M2696" s="0" t="n">
        <f aca="false">E2696*F2696</f>
        <v>0.140625</v>
      </c>
      <c r="N2696" s="0" t="n">
        <f aca="false">D2696*D2696</f>
        <v>0.015625</v>
      </c>
      <c r="O2696" s="0" t="n">
        <f aca="false">E2696*E2696</f>
        <v>0.140625</v>
      </c>
      <c r="P2696" s="0" t="n">
        <f aca="false">F2696*F2696</f>
        <v>0.140625</v>
      </c>
      <c r="Q2696" s="0" t="n">
        <f aca="false">SUMPRODUCT(G2696:P2696,_XtX!$B$71:$K$71)</f>
        <v>46.938203125</v>
      </c>
      <c r="R2696" s="0" t="n">
        <f aca="false">SUMPRODUCT(MMULT(G2696:P2696,_XtX!$B$58:$K$67),G2696:P2696)</f>
        <v>0.131781005859375</v>
      </c>
      <c r="S2696" s="0" t="n">
        <f aca="false">04_回帰ANOVA!$K$19*04_回帰ANOVA!$K$14*SQRT(1+R2696)</f>
        <v>0.989117388188007</v>
      </c>
      <c r="T2696" s="0" t="n">
        <f aca="false">Q2696-S2696</f>
        <v>45.949085736812</v>
      </c>
      <c r="U2696" s="0" t="n">
        <f aca="false">Q2696+S2696</f>
        <v>47.927320513188</v>
      </c>
      <c r="V2696" s="54" t="b">
        <f aca="false">AND(D2696&gt;=01_因子設定!$L$5-0.000000001,D2696&lt;=01_因子設定!$M$5+0.000000001,E2696&gt;=01_因子設定!$L$6-0.000000001,E2696&lt;=01_因子設定!$M$6+0.000000001,F2696&gt;=01_因子設定!$L$7-0.000000001,F2696&lt;=01_因子設定!$M$7+0.000000001,IF(01_因子設定!$B$20="Box-Behnken",D2696^2+E2696^2+F2696^2&lt;=2+0.000000001,TRUE()))</f>
        <v>1</v>
      </c>
      <c r="W2696" s="55" t="n">
        <f aca="false">IF(V2696,IF(01_因子設定!$B$13="最大化",T2696-01_因子設定!$B$14,IF(01_因子設定!$B$13="最小化",01_因子設定!$B$15-U2696,MIN(T2696-01_因子設定!$B$14,01_因子設定!$B$15-U2696))),-1E+030)</f>
        <v>-2.55091426318799</v>
      </c>
      <c r="X2696" s="55" t="n">
        <f aca="false">IF(V2696,IF(01_因子設定!$B$13="最大化",Q2696,IF(01_因子設定!$B$13="最小化",-Q2696,-ABS(Q2696-01_因子設定!$B$16))),-1E+030)</f>
        <v>46.938203125</v>
      </c>
      <c r="Y2696" s="55" t="n">
        <f aca="false">W2696+ROW()*0.000000001</f>
        <v>-2.55091156718799</v>
      </c>
      <c r="Z2696" s="55" t="n">
        <f aca="false">X2696+ROW()*0.000000001</f>
        <v>46.938205821</v>
      </c>
    </row>
    <row r="2697" customFormat="false" ht="15" hidden="false" customHeight="false" outlineLevel="0" collapsed="false">
      <c r="A2697" s="0" t="n">
        <v>9</v>
      </c>
      <c r="B2697" s="0" t="n">
        <v>5</v>
      </c>
      <c r="C2697" s="0" t="n">
        <v>6</v>
      </c>
      <c r="D2697" s="0" t="n">
        <f aca="false">-1+A2697*0.125</f>
        <v>0.125</v>
      </c>
      <c r="E2697" s="0" t="n">
        <f aca="false">-1+B2697*0.125</f>
        <v>-0.375</v>
      </c>
      <c r="F2697" s="0" t="n">
        <f aca="false">-1+C2697*0.125</f>
        <v>-0.25</v>
      </c>
      <c r="G2697" s="0" t="n">
        <f aca="false">1</f>
        <v>1</v>
      </c>
      <c r="H2697" s="0" t="n">
        <f aca="false">D2697</f>
        <v>0.125</v>
      </c>
      <c r="I2697" s="0" t="n">
        <f aca="false">E2697</f>
        <v>-0.375</v>
      </c>
      <c r="J2697" s="0" t="n">
        <f aca="false">F2697</f>
        <v>-0.25</v>
      </c>
      <c r="K2697" s="0" t="n">
        <f aca="false">D2697*E2697</f>
        <v>-0.046875</v>
      </c>
      <c r="L2697" s="0" t="n">
        <f aca="false">D2697*F2697</f>
        <v>-0.03125</v>
      </c>
      <c r="M2697" s="0" t="n">
        <f aca="false">E2697*F2697</f>
        <v>0.09375</v>
      </c>
      <c r="N2697" s="0" t="n">
        <f aca="false">D2697*D2697</f>
        <v>0.015625</v>
      </c>
      <c r="O2697" s="0" t="n">
        <f aca="false">E2697*E2697</f>
        <v>0.140625</v>
      </c>
      <c r="P2697" s="0" t="n">
        <f aca="false">F2697*F2697</f>
        <v>0.0625</v>
      </c>
      <c r="Q2697" s="0" t="n">
        <f aca="false">SUMPRODUCT(G2697:P2697,_XtX!$B$71:$K$71)</f>
        <v>47.1792400568182</v>
      </c>
      <c r="R2697" s="0" t="n">
        <f aca="false">SUMPRODUCT(MMULT(G2697:P2697,_XtX!$B$58:$K$67),G2697:P2697)</f>
        <v>0.127103493430398</v>
      </c>
      <c r="S2697" s="0" t="n">
        <f aca="false">04_回帰ANOVA!$K$19*04_回帰ANOVA!$K$14*SQRT(1+R2697)</f>
        <v>0.987071321387587</v>
      </c>
      <c r="T2697" s="0" t="n">
        <f aca="false">Q2697-S2697</f>
        <v>46.1921687354306</v>
      </c>
      <c r="U2697" s="0" t="n">
        <f aca="false">Q2697+S2697</f>
        <v>48.1663113782058</v>
      </c>
      <c r="V2697" s="54" t="b">
        <f aca="false">AND(D2697&gt;=01_因子設定!$L$5-0.000000001,D2697&lt;=01_因子設定!$M$5+0.000000001,E2697&gt;=01_因子設定!$L$6-0.000000001,E2697&lt;=01_因子設定!$M$6+0.000000001,F2697&gt;=01_因子設定!$L$7-0.000000001,F2697&lt;=01_因子設定!$M$7+0.000000001,IF(01_因子設定!$B$20="Box-Behnken",D2697^2+E2697^2+F2697^2&lt;=2+0.000000001,TRUE()))</f>
        <v>1</v>
      </c>
      <c r="W2697" s="55" t="n">
        <f aca="false">IF(V2697,IF(01_因子設定!$B$13="最大化",T2697-01_因子設定!$B$14,IF(01_因子設定!$B$13="最小化",01_因子設定!$B$15-U2697,MIN(T2697-01_因子設定!$B$14,01_因子設定!$B$15-U2697))),-1E+030)</f>
        <v>-2.30783126456939</v>
      </c>
      <c r="X2697" s="55" t="n">
        <f aca="false">IF(V2697,IF(01_因子設定!$B$13="最大化",Q2697,IF(01_因子設定!$B$13="最小化",-Q2697,-ABS(Q2697-01_因子設定!$B$16))),-1E+030)</f>
        <v>47.1792400568182</v>
      </c>
      <c r="Y2697" s="55" t="n">
        <f aca="false">W2697+ROW()*0.000000001</f>
        <v>-2.30782856756939</v>
      </c>
      <c r="Z2697" s="55" t="n">
        <f aca="false">X2697+ROW()*0.000000001</f>
        <v>47.1792427538182</v>
      </c>
    </row>
    <row r="2698" customFormat="false" ht="15" hidden="false" customHeight="false" outlineLevel="0" collapsed="false">
      <c r="A2698" s="0" t="n">
        <v>9</v>
      </c>
      <c r="B2698" s="0" t="n">
        <v>5</v>
      </c>
      <c r="C2698" s="0" t="n">
        <v>7</v>
      </c>
      <c r="D2698" s="0" t="n">
        <f aca="false">-1+A2698*0.125</f>
        <v>0.125</v>
      </c>
      <c r="E2698" s="0" t="n">
        <f aca="false">-1+B2698*0.125</f>
        <v>-0.375</v>
      </c>
      <c r="F2698" s="0" t="n">
        <f aca="false">-1+C2698*0.125</f>
        <v>-0.125</v>
      </c>
      <c r="G2698" s="0" t="n">
        <f aca="false">1</f>
        <v>1</v>
      </c>
      <c r="H2698" s="0" t="n">
        <f aca="false">D2698</f>
        <v>0.125</v>
      </c>
      <c r="I2698" s="0" t="n">
        <f aca="false">E2698</f>
        <v>-0.375</v>
      </c>
      <c r="J2698" s="0" t="n">
        <f aca="false">F2698</f>
        <v>-0.125</v>
      </c>
      <c r="K2698" s="0" t="n">
        <f aca="false">D2698*E2698</f>
        <v>-0.046875</v>
      </c>
      <c r="L2698" s="0" t="n">
        <f aca="false">D2698*F2698</f>
        <v>-0.015625</v>
      </c>
      <c r="M2698" s="0" t="n">
        <f aca="false">E2698*F2698</f>
        <v>0.046875</v>
      </c>
      <c r="N2698" s="0" t="n">
        <f aca="false">D2698*D2698</f>
        <v>0.015625</v>
      </c>
      <c r="O2698" s="0" t="n">
        <f aca="false">E2698*E2698</f>
        <v>0.140625</v>
      </c>
      <c r="P2698" s="0" t="n">
        <f aca="false">F2698*F2698</f>
        <v>0.015625</v>
      </c>
      <c r="Q2698" s="0" t="n">
        <f aca="false">SUMPRODUCT(G2698:P2698,_XtX!$B$71:$K$71)</f>
        <v>47.3834872159091</v>
      </c>
      <c r="R2698" s="0" t="n">
        <f aca="false">SUMPRODUCT(MMULT(G2698:P2698,_XtX!$B$58:$K$67),G2698:P2698)</f>
        <v>0.126427667791193</v>
      </c>
      <c r="S2698" s="0" t="n">
        <f aca="false">04_回帰ANOVA!$K$19*04_回帰ANOVA!$K$14*SQRT(1+R2698)</f>
        <v>0.986775346732538</v>
      </c>
      <c r="T2698" s="0" t="n">
        <f aca="false">Q2698-S2698</f>
        <v>46.3967118691766</v>
      </c>
      <c r="U2698" s="0" t="n">
        <f aca="false">Q2698+S2698</f>
        <v>48.3702625626416</v>
      </c>
      <c r="V2698" s="54" t="b">
        <f aca="false">AND(D2698&gt;=01_因子設定!$L$5-0.000000001,D2698&lt;=01_因子設定!$M$5+0.000000001,E2698&gt;=01_因子設定!$L$6-0.000000001,E2698&lt;=01_因子設定!$M$6+0.000000001,F2698&gt;=01_因子設定!$L$7-0.000000001,F2698&lt;=01_因子設定!$M$7+0.000000001,IF(01_因子設定!$B$20="Box-Behnken",D2698^2+E2698^2+F2698^2&lt;=2+0.000000001,TRUE()))</f>
        <v>1</v>
      </c>
      <c r="W2698" s="55" t="n">
        <f aca="false">IF(V2698,IF(01_因子設定!$B$13="最大化",T2698-01_因子設定!$B$14,IF(01_因子設定!$B$13="最小化",01_因子設定!$B$15-U2698,MIN(T2698-01_因子設定!$B$14,01_因子設定!$B$15-U2698))),-1E+030)</f>
        <v>-2.10328813082344</v>
      </c>
      <c r="X2698" s="55" t="n">
        <f aca="false">IF(V2698,IF(01_因子設定!$B$13="最大化",Q2698,IF(01_因子設定!$B$13="最小化",-Q2698,-ABS(Q2698-01_因子設定!$B$16))),-1E+030)</f>
        <v>47.3834872159091</v>
      </c>
      <c r="Y2698" s="55" t="n">
        <f aca="false">W2698+ROW()*0.000000001</f>
        <v>-2.10328543282344</v>
      </c>
      <c r="Z2698" s="55" t="n">
        <f aca="false">X2698+ROW()*0.000000001</f>
        <v>47.3834899139091</v>
      </c>
    </row>
    <row r="2699" customFormat="false" ht="15" hidden="false" customHeight="false" outlineLevel="0" collapsed="false">
      <c r="A2699" s="0" t="n">
        <v>9</v>
      </c>
      <c r="B2699" s="0" t="n">
        <v>5</v>
      </c>
      <c r="C2699" s="0" t="n">
        <v>8</v>
      </c>
      <c r="D2699" s="0" t="n">
        <f aca="false">-1+A2699*0.125</f>
        <v>0.125</v>
      </c>
      <c r="E2699" s="0" t="n">
        <f aca="false">-1+B2699*0.125</f>
        <v>-0.375</v>
      </c>
      <c r="F2699" s="0" t="n">
        <f aca="false">-1+C2699*0.125</f>
        <v>0</v>
      </c>
      <c r="G2699" s="0" t="n">
        <f aca="false">1</f>
        <v>1</v>
      </c>
      <c r="H2699" s="0" t="n">
        <f aca="false">D2699</f>
        <v>0.125</v>
      </c>
      <c r="I2699" s="0" t="n">
        <f aca="false">E2699</f>
        <v>-0.375</v>
      </c>
      <c r="J2699" s="0" t="n">
        <f aca="false">F2699</f>
        <v>0</v>
      </c>
      <c r="K2699" s="0" t="n">
        <f aca="false">D2699*E2699</f>
        <v>-0.046875</v>
      </c>
      <c r="L2699" s="0" t="n">
        <f aca="false">D2699*F2699</f>
        <v>0</v>
      </c>
      <c r="M2699" s="0" t="n">
        <f aca="false">E2699*F2699</f>
        <v>-0</v>
      </c>
      <c r="N2699" s="0" t="n">
        <f aca="false">D2699*D2699</f>
        <v>0.015625</v>
      </c>
      <c r="O2699" s="0" t="n">
        <f aca="false">E2699*E2699</f>
        <v>0.140625</v>
      </c>
      <c r="P2699" s="0" t="n">
        <f aca="false">F2699*F2699</f>
        <v>0</v>
      </c>
      <c r="Q2699" s="0" t="n">
        <f aca="false">SUMPRODUCT(G2699:P2699,_XtX!$B$71:$K$71)</f>
        <v>47.5509446022727</v>
      </c>
      <c r="R2699" s="0" t="n">
        <f aca="false">SUMPRODUCT(MMULT(G2699:P2699,_XtX!$B$58:$K$67),G2699:P2699)</f>
        <v>0.126557506214489</v>
      </c>
      <c r="S2699" s="0" t="n">
        <f aca="false">04_回帰ANOVA!$K$19*04_回帰ANOVA!$K$14*SQRT(1+R2699)</f>
        <v>0.986832215747321</v>
      </c>
      <c r="T2699" s="0" t="n">
        <f aca="false">Q2699-S2699</f>
        <v>46.5641123865254</v>
      </c>
      <c r="U2699" s="0" t="n">
        <f aca="false">Q2699+S2699</f>
        <v>48.5377768180201</v>
      </c>
      <c r="V2699" s="54" t="b">
        <f aca="false">AND(D2699&gt;=01_因子設定!$L$5-0.000000001,D2699&lt;=01_因子設定!$M$5+0.000000001,E2699&gt;=01_因子設定!$L$6-0.000000001,E2699&lt;=01_因子設定!$M$6+0.000000001,F2699&gt;=01_因子設定!$L$7-0.000000001,F2699&lt;=01_因子設定!$M$7+0.000000001,IF(01_因子設定!$B$20="Box-Behnken",D2699^2+E2699^2+F2699^2&lt;=2+0.000000001,TRUE()))</f>
        <v>1</v>
      </c>
      <c r="W2699" s="55" t="n">
        <f aca="false">IF(V2699,IF(01_因子設定!$B$13="最大化",T2699-01_因子設定!$B$14,IF(01_因子設定!$B$13="最小化",01_因子設定!$B$15-U2699,MIN(T2699-01_因子設定!$B$14,01_因子設定!$B$15-U2699))),-1E+030)</f>
        <v>-1.93588761347458</v>
      </c>
      <c r="X2699" s="55" t="n">
        <f aca="false">IF(V2699,IF(01_因子設定!$B$13="最大化",Q2699,IF(01_因子設定!$B$13="最小化",-Q2699,-ABS(Q2699-01_因子設定!$B$16))),-1E+030)</f>
        <v>47.5509446022727</v>
      </c>
      <c r="Y2699" s="55" t="n">
        <f aca="false">W2699+ROW()*0.000000001</f>
        <v>-1.93588491447458</v>
      </c>
      <c r="Z2699" s="55" t="n">
        <f aca="false">X2699+ROW()*0.000000001</f>
        <v>47.5509473012727</v>
      </c>
    </row>
    <row r="2700" customFormat="false" ht="15" hidden="false" customHeight="false" outlineLevel="0" collapsed="false">
      <c r="A2700" s="0" t="n">
        <v>9</v>
      </c>
      <c r="B2700" s="0" t="n">
        <v>5</v>
      </c>
      <c r="C2700" s="0" t="n">
        <v>9</v>
      </c>
      <c r="D2700" s="0" t="n">
        <f aca="false">-1+A2700*0.125</f>
        <v>0.125</v>
      </c>
      <c r="E2700" s="0" t="n">
        <f aca="false">-1+B2700*0.125</f>
        <v>-0.375</v>
      </c>
      <c r="F2700" s="0" t="n">
        <f aca="false">-1+C2700*0.125</f>
        <v>0.125</v>
      </c>
      <c r="G2700" s="0" t="n">
        <f aca="false">1</f>
        <v>1</v>
      </c>
      <c r="H2700" s="0" t="n">
        <f aca="false">D2700</f>
        <v>0.125</v>
      </c>
      <c r="I2700" s="0" t="n">
        <f aca="false">E2700</f>
        <v>-0.375</v>
      </c>
      <c r="J2700" s="0" t="n">
        <f aca="false">F2700</f>
        <v>0.125</v>
      </c>
      <c r="K2700" s="0" t="n">
        <f aca="false">D2700*E2700</f>
        <v>-0.046875</v>
      </c>
      <c r="L2700" s="0" t="n">
        <f aca="false">D2700*F2700</f>
        <v>0.015625</v>
      </c>
      <c r="M2700" s="0" t="n">
        <f aca="false">E2700*F2700</f>
        <v>-0.046875</v>
      </c>
      <c r="N2700" s="0" t="n">
        <f aca="false">D2700*D2700</f>
        <v>0.015625</v>
      </c>
      <c r="O2700" s="0" t="n">
        <f aca="false">E2700*E2700</f>
        <v>0.140625</v>
      </c>
      <c r="P2700" s="0" t="n">
        <f aca="false">F2700*F2700</f>
        <v>0.015625</v>
      </c>
      <c r="Q2700" s="0" t="n">
        <f aca="false">SUMPRODUCT(G2700:P2700,_XtX!$B$71:$K$71)</f>
        <v>47.6816122159091</v>
      </c>
      <c r="R2700" s="0" t="n">
        <f aca="false">SUMPRODUCT(MMULT(G2700:P2700,_XtX!$B$58:$K$67),G2700:P2700)</f>
        <v>0.126427667791193</v>
      </c>
      <c r="S2700" s="0" t="n">
        <f aca="false">04_回帰ANOVA!$K$19*04_回帰ANOVA!$K$14*SQRT(1+R2700)</f>
        <v>0.986775346732538</v>
      </c>
      <c r="T2700" s="0" t="n">
        <f aca="false">Q2700-S2700</f>
        <v>46.6948368691766</v>
      </c>
      <c r="U2700" s="0" t="n">
        <f aca="false">Q2700+S2700</f>
        <v>48.6683875626416</v>
      </c>
      <c r="V2700" s="54" t="b">
        <f aca="false">AND(D2700&gt;=01_因子設定!$L$5-0.000000001,D2700&lt;=01_因子設定!$M$5+0.000000001,E2700&gt;=01_因子設定!$L$6-0.000000001,E2700&lt;=01_因子設定!$M$6+0.000000001,F2700&gt;=01_因子設定!$L$7-0.000000001,F2700&lt;=01_因子設定!$M$7+0.000000001,IF(01_因子設定!$B$20="Box-Behnken",D2700^2+E2700^2+F2700^2&lt;=2+0.000000001,TRUE()))</f>
        <v>1</v>
      </c>
      <c r="W2700" s="55" t="n">
        <f aca="false">IF(V2700,IF(01_因子設定!$B$13="最大化",T2700-01_因子設定!$B$14,IF(01_因子設定!$B$13="最小化",01_因子設定!$B$15-U2700,MIN(T2700-01_因子設定!$B$14,01_因子設定!$B$15-U2700))),-1E+030)</f>
        <v>-1.80516313082344</v>
      </c>
      <c r="X2700" s="55" t="n">
        <f aca="false">IF(V2700,IF(01_因子設定!$B$13="最大化",Q2700,IF(01_因子設定!$B$13="最小化",-Q2700,-ABS(Q2700-01_因子設定!$B$16))),-1E+030)</f>
        <v>47.6816122159091</v>
      </c>
      <c r="Y2700" s="55" t="n">
        <f aca="false">W2700+ROW()*0.000000001</f>
        <v>-1.80516043082344</v>
      </c>
      <c r="Z2700" s="55" t="n">
        <f aca="false">X2700+ROW()*0.000000001</f>
        <v>47.6816149159091</v>
      </c>
    </row>
    <row r="2701" customFormat="false" ht="15" hidden="false" customHeight="false" outlineLevel="0" collapsed="false">
      <c r="A2701" s="0" t="n">
        <v>9</v>
      </c>
      <c r="B2701" s="0" t="n">
        <v>5</v>
      </c>
      <c r="C2701" s="0" t="n">
        <v>10</v>
      </c>
      <c r="D2701" s="0" t="n">
        <f aca="false">-1+A2701*0.125</f>
        <v>0.125</v>
      </c>
      <c r="E2701" s="0" t="n">
        <f aca="false">-1+B2701*0.125</f>
        <v>-0.375</v>
      </c>
      <c r="F2701" s="0" t="n">
        <f aca="false">-1+C2701*0.125</f>
        <v>0.25</v>
      </c>
      <c r="G2701" s="0" t="n">
        <f aca="false">1</f>
        <v>1</v>
      </c>
      <c r="H2701" s="0" t="n">
        <f aca="false">D2701</f>
        <v>0.125</v>
      </c>
      <c r="I2701" s="0" t="n">
        <f aca="false">E2701</f>
        <v>-0.375</v>
      </c>
      <c r="J2701" s="0" t="n">
        <f aca="false">F2701</f>
        <v>0.25</v>
      </c>
      <c r="K2701" s="0" t="n">
        <f aca="false">D2701*E2701</f>
        <v>-0.046875</v>
      </c>
      <c r="L2701" s="0" t="n">
        <f aca="false">D2701*F2701</f>
        <v>0.03125</v>
      </c>
      <c r="M2701" s="0" t="n">
        <f aca="false">E2701*F2701</f>
        <v>-0.09375</v>
      </c>
      <c r="N2701" s="0" t="n">
        <f aca="false">D2701*D2701</f>
        <v>0.015625</v>
      </c>
      <c r="O2701" s="0" t="n">
        <f aca="false">E2701*E2701</f>
        <v>0.140625</v>
      </c>
      <c r="P2701" s="0" t="n">
        <f aca="false">F2701*F2701</f>
        <v>0.0625</v>
      </c>
      <c r="Q2701" s="0" t="n">
        <f aca="false">SUMPRODUCT(G2701:P2701,_XtX!$B$71:$K$71)</f>
        <v>47.7754900568182</v>
      </c>
      <c r="R2701" s="0" t="n">
        <f aca="false">SUMPRODUCT(MMULT(G2701:P2701,_XtX!$B$58:$K$67),G2701:P2701)</f>
        <v>0.127103493430398</v>
      </c>
      <c r="S2701" s="0" t="n">
        <f aca="false">04_回帰ANOVA!$K$19*04_回帰ANOVA!$K$14*SQRT(1+R2701)</f>
        <v>0.987071321387587</v>
      </c>
      <c r="T2701" s="0" t="n">
        <f aca="false">Q2701-S2701</f>
        <v>46.7884187354306</v>
      </c>
      <c r="U2701" s="0" t="n">
        <f aca="false">Q2701+S2701</f>
        <v>48.7625613782058</v>
      </c>
      <c r="V2701" s="54" t="b">
        <f aca="false">AND(D2701&gt;=01_因子設定!$L$5-0.000000001,D2701&lt;=01_因子設定!$M$5+0.000000001,E2701&gt;=01_因子設定!$L$6-0.000000001,E2701&lt;=01_因子設定!$M$6+0.000000001,F2701&gt;=01_因子設定!$L$7-0.000000001,F2701&lt;=01_因子設定!$M$7+0.000000001,IF(01_因子設定!$B$20="Box-Behnken",D2701^2+E2701^2+F2701^2&lt;=2+0.000000001,TRUE()))</f>
        <v>1</v>
      </c>
      <c r="W2701" s="55" t="n">
        <f aca="false">IF(V2701,IF(01_因子設定!$B$13="最大化",T2701-01_因子設定!$B$14,IF(01_因子設定!$B$13="最小化",01_因子設定!$B$15-U2701,MIN(T2701-01_因子設定!$B$14,01_因子設定!$B$15-U2701))),-1E+030)</f>
        <v>-1.7115812645694</v>
      </c>
      <c r="X2701" s="55" t="n">
        <f aca="false">IF(V2701,IF(01_因子設定!$B$13="最大化",Q2701,IF(01_因子設定!$B$13="最小化",-Q2701,-ABS(Q2701-01_因子設定!$B$16))),-1E+030)</f>
        <v>47.7754900568182</v>
      </c>
      <c r="Y2701" s="55" t="n">
        <f aca="false">W2701+ROW()*0.000000001</f>
        <v>-1.7115785635694</v>
      </c>
      <c r="Z2701" s="55" t="n">
        <f aca="false">X2701+ROW()*0.000000001</f>
        <v>47.7754927578182</v>
      </c>
    </row>
    <row r="2702" customFormat="false" ht="15" hidden="false" customHeight="false" outlineLevel="0" collapsed="false">
      <c r="A2702" s="0" t="n">
        <v>9</v>
      </c>
      <c r="B2702" s="0" t="n">
        <v>5</v>
      </c>
      <c r="C2702" s="0" t="n">
        <v>11</v>
      </c>
      <c r="D2702" s="0" t="n">
        <f aca="false">-1+A2702*0.125</f>
        <v>0.125</v>
      </c>
      <c r="E2702" s="0" t="n">
        <f aca="false">-1+B2702*0.125</f>
        <v>-0.375</v>
      </c>
      <c r="F2702" s="0" t="n">
        <f aca="false">-1+C2702*0.125</f>
        <v>0.375</v>
      </c>
      <c r="G2702" s="0" t="n">
        <f aca="false">1</f>
        <v>1</v>
      </c>
      <c r="H2702" s="0" t="n">
        <f aca="false">D2702</f>
        <v>0.125</v>
      </c>
      <c r="I2702" s="0" t="n">
        <f aca="false">E2702</f>
        <v>-0.375</v>
      </c>
      <c r="J2702" s="0" t="n">
        <f aca="false">F2702</f>
        <v>0.375</v>
      </c>
      <c r="K2702" s="0" t="n">
        <f aca="false">D2702*E2702</f>
        <v>-0.046875</v>
      </c>
      <c r="L2702" s="0" t="n">
        <f aca="false">D2702*F2702</f>
        <v>0.046875</v>
      </c>
      <c r="M2702" s="0" t="n">
        <f aca="false">E2702*F2702</f>
        <v>-0.140625</v>
      </c>
      <c r="N2702" s="0" t="n">
        <f aca="false">D2702*D2702</f>
        <v>0.015625</v>
      </c>
      <c r="O2702" s="0" t="n">
        <f aca="false">E2702*E2702</f>
        <v>0.140625</v>
      </c>
      <c r="P2702" s="0" t="n">
        <f aca="false">F2702*F2702</f>
        <v>0.140625</v>
      </c>
      <c r="Q2702" s="0" t="n">
        <f aca="false">SUMPRODUCT(G2702:P2702,_XtX!$B$71:$K$71)</f>
        <v>47.832578125</v>
      </c>
      <c r="R2702" s="0" t="n">
        <f aca="false">SUMPRODUCT(MMULT(G2702:P2702,_XtX!$B$58:$K$67),G2702:P2702)</f>
        <v>0.131781005859375</v>
      </c>
      <c r="S2702" s="0" t="n">
        <f aca="false">04_回帰ANOVA!$K$19*04_回帰ANOVA!$K$14*SQRT(1+R2702)</f>
        <v>0.989117388188007</v>
      </c>
      <c r="T2702" s="0" t="n">
        <f aca="false">Q2702-S2702</f>
        <v>46.843460736812</v>
      </c>
      <c r="U2702" s="0" t="n">
        <f aca="false">Q2702+S2702</f>
        <v>48.821695513188</v>
      </c>
      <c r="V2702" s="54" t="b">
        <f aca="false">AND(D2702&gt;=01_因子設定!$L$5-0.000000001,D2702&lt;=01_因子設定!$M$5+0.000000001,E2702&gt;=01_因子設定!$L$6-0.000000001,E2702&lt;=01_因子設定!$M$6+0.000000001,F2702&gt;=01_因子設定!$L$7-0.000000001,F2702&lt;=01_因子設定!$M$7+0.000000001,IF(01_因子設定!$B$20="Box-Behnken",D2702^2+E2702^2+F2702^2&lt;=2+0.000000001,TRUE()))</f>
        <v>1</v>
      </c>
      <c r="W2702" s="55" t="n">
        <f aca="false">IF(V2702,IF(01_因子設定!$B$13="最大化",T2702-01_因子設定!$B$14,IF(01_因子設定!$B$13="最小化",01_因子設定!$B$15-U2702,MIN(T2702-01_因子設定!$B$14,01_因子設定!$B$15-U2702))),-1E+030)</f>
        <v>-1.65653926318799</v>
      </c>
      <c r="X2702" s="55" t="n">
        <f aca="false">IF(V2702,IF(01_因子設定!$B$13="最大化",Q2702,IF(01_因子設定!$B$13="最小化",-Q2702,-ABS(Q2702-01_因子設定!$B$16))),-1E+030)</f>
        <v>47.832578125</v>
      </c>
      <c r="Y2702" s="55" t="n">
        <f aca="false">W2702+ROW()*0.000000001</f>
        <v>-1.65653656118799</v>
      </c>
      <c r="Z2702" s="55" t="n">
        <f aca="false">X2702+ROW()*0.000000001</f>
        <v>47.832580827</v>
      </c>
    </row>
    <row r="2703" customFormat="false" ht="15" hidden="false" customHeight="false" outlineLevel="0" collapsed="false">
      <c r="A2703" s="0" t="n">
        <v>9</v>
      </c>
      <c r="B2703" s="0" t="n">
        <v>5</v>
      </c>
      <c r="C2703" s="0" t="n">
        <v>12</v>
      </c>
      <c r="D2703" s="0" t="n">
        <f aca="false">-1+A2703*0.125</f>
        <v>0.125</v>
      </c>
      <c r="E2703" s="0" t="n">
        <f aca="false">-1+B2703*0.125</f>
        <v>-0.375</v>
      </c>
      <c r="F2703" s="0" t="n">
        <f aca="false">-1+C2703*0.125</f>
        <v>0.5</v>
      </c>
      <c r="G2703" s="0" t="n">
        <f aca="false">1</f>
        <v>1</v>
      </c>
      <c r="H2703" s="0" t="n">
        <f aca="false">D2703</f>
        <v>0.125</v>
      </c>
      <c r="I2703" s="0" t="n">
        <f aca="false">E2703</f>
        <v>-0.375</v>
      </c>
      <c r="J2703" s="0" t="n">
        <f aca="false">F2703</f>
        <v>0.5</v>
      </c>
      <c r="K2703" s="0" t="n">
        <f aca="false">D2703*E2703</f>
        <v>-0.046875</v>
      </c>
      <c r="L2703" s="0" t="n">
        <f aca="false">D2703*F2703</f>
        <v>0.0625</v>
      </c>
      <c r="M2703" s="0" t="n">
        <f aca="false">E2703*F2703</f>
        <v>-0.1875</v>
      </c>
      <c r="N2703" s="0" t="n">
        <f aca="false">D2703*D2703</f>
        <v>0.015625</v>
      </c>
      <c r="O2703" s="0" t="n">
        <f aca="false">E2703*E2703</f>
        <v>0.140625</v>
      </c>
      <c r="P2703" s="0" t="n">
        <f aca="false">F2703*F2703</f>
        <v>0.25</v>
      </c>
      <c r="Q2703" s="0" t="n">
        <f aca="false">SUMPRODUCT(G2703:P2703,_XtX!$B$71:$K$71)</f>
        <v>47.8528764204546</v>
      </c>
      <c r="R2703" s="0" t="n">
        <f aca="false">SUMPRODUCT(MMULT(G2703:P2703,_XtX!$B$58:$K$67),G2703:P2703)</f>
        <v>0.14578690962358</v>
      </c>
      <c r="S2703" s="0" t="n">
        <f aca="false">04_回帰ANOVA!$K$19*04_回帰ANOVA!$K$14*SQRT(1+R2703)</f>
        <v>0.995218783457917</v>
      </c>
      <c r="T2703" s="0" t="n">
        <f aca="false">Q2703-S2703</f>
        <v>46.8576576369966</v>
      </c>
      <c r="U2703" s="0" t="n">
        <f aca="false">Q2703+S2703</f>
        <v>48.8480952039125</v>
      </c>
      <c r="V2703" s="54" t="b">
        <f aca="false">AND(D2703&gt;=01_因子設定!$L$5-0.000000001,D2703&lt;=01_因子設定!$M$5+0.000000001,E2703&gt;=01_因子設定!$L$6-0.000000001,E2703&lt;=01_因子設定!$M$6+0.000000001,F2703&gt;=01_因子設定!$L$7-0.000000001,F2703&lt;=01_因子設定!$M$7+0.000000001,IF(01_因子設定!$B$20="Box-Behnken",D2703^2+E2703^2+F2703^2&lt;=2+0.000000001,TRUE()))</f>
        <v>1</v>
      </c>
      <c r="W2703" s="55" t="n">
        <f aca="false">IF(V2703,IF(01_因子設定!$B$13="最大化",T2703-01_因子設定!$B$14,IF(01_因子設定!$B$13="最小化",01_因子設定!$B$15-U2703,MIN(T2703-01_因子設定!$B$14,01_因子設定!$B$15-U2703))),-1E+030)</f>
        <v>-1.64234236300336</v>
      </c>
      <c r="X2703" s="55" t="n">
        <f aca="false">IF(V2703,IF(01_因子設定!$B$13="最大化",Q2703,IF(01_因子設定!$B$13="最小化",-Q2703,-ABS(Q2703-01_因子設定!$B$16))),-1E+030)</f>
        <v>47.8528764204546</v>
      </c>
      <c r="Y2703" s="55" t="n">
        <f aca="false">W2703+ROW()*0.000000001</f>
        <v>-1.64233966000336</v>
      </c>
      <c r="Z2703" s="55" t="n">
        <f aca="false">X2703+ROW()*0.000000001</f>
        <v>47.8528791234546</v>
      </c>
    </row>
    <row r="2704" customFormat="false" ht="15" hidden="false" customHeight="false" outlineLevel="0" collapsed="false">
      <c r="A2704" s="0" t="n">
        <v>9</v>
      </c>
      <c r="B2704" s="0" t="n">
        <v>5</v>
      </c>
      <c r="C2704" s="0" t="n">
        <v>13</v>
      </c>
      <c r="D2704" s="0" t="n">
        <f aca="false">-1+A2704*0.125</f>
        <v>0.125</v>
      </c>
      <c r="E2704" s="0" t="n">
        <f aca="false">-1+B2704*0.125</f>
        <v>-0.375</v>
      </c>
      <c r="F2704" s="0" t="n">
        <f aca="false">-1+C2704*0.125</f>
        <v>0.625</v>
      </c>
      <c r="G2704" s="0" t="n">
        <f aca="false">1</f>
        <v>1</v>
      </c>
      <c r="H2704" s="0" t="n">
        <f aca="false">D2704</f>
        <v>0.125</v>
      </c>
      <c r="I2704" s="0" t="n">
        <f aca="false">E2704</f>
        <v>-0.375</v>
      </c>
      <c r="J2704" s="0" t="n">
        <f aca="false">F2704</f>
        <v>0.625</v>
      </c>
      <c r="K2704" s="0" t="n">
        <f aca="false">D2704*E2704</f>
        <v>-0.046875</v>
      </c>
      <c r="L2704" s="0" t="n">
        <f aca="false">D2704*F2704</f>
        <v>0.078125</v>
      </c>
      <c r="M2704" s="0" t="n">
        <f aca="false">E2704*F2704</f>
        <v>-0.234375</v>
      </c>
      <c r="N2704" s="0" t="n">
        <f aca="false">D2704*D2704</f>
        <v>0.015625</v>
      </c>
      <c r="O2704" s="0" t="n">
        <f aca="false">E2704*E2704</f>
        <v>0.140625</v>
      </c>
      <c r="P2704" s="0" t="n">
        <f aca="false">F2704*F2704</f>
        <v>0.390625</v>
      </c>
      <c r="Q2704" s="0" t="n">
        <f aca="false">SUMPRODUCT(G2704:P2704,_XtX!$B$71:$K$71)</f>
        <v>47.8363849431818</v>
      </c>
      <c r="R2704" s="0" t="n">
        <f aca="false">SUMPRODUCT(MMULT(G2704:P2704,_XtX!$B$58:$K$67),G2704:P2704)</f>
        <v>0.176578591086648</v>
      </c>
      <c r="S2704" s="0" t="n">
        <f aca="false">04_回帰ANOVA!$K$19*04_回帰ANOVA!$K$14*SQRT(1+R2704)</f>
        <v>1.00850279676269</v>
      </c>
      <c r="T2704" s="0" t="n">
        <f aca="false">Q2704-S2704</f>
        <v>46.8278821464191</v>
      </c>
      <c r="U2704" s="0" t="n">
        <f aca="false">Q2704+S2704</f>
        <v>48.8448877399445</v>
      </c>
      <c r="V2704" s="54" t="b">
        <f aca="false">AND(D2704&gt;=01_因子設定!$L$5-0.000000001,D2704&lt;=01_因子設定!$M$5+0.000000001,E2704&gt;=01_因子設定!$L$6-0.000000001,E2704&lt;=01_因子設定!$M$6+0.000000001,F2704&gt;=01_因子設定!$L$7-0.000000001,F2704&lt;=01_因子設定!$M$7+0.000000001,IF(01_因子設定!$B$20="Box-Behnken",D2704^2+E2704^2+F2704^2&lt;=2+0.000000001,TRUE()))</f>
        <v>1</v>
      </c>
      <c r="W2704" s="55" t="n">
        <f aca="false">IF(V2704,IF(01_因子設定!$B$13="最大化",T2704-01_因子設定!$B$14,IF(01_因子設定!$B$13="最小化",01_因子設定!$B$15-U2704,MIN(T2704-01_因子設定!$B$14,01_因子設定!$B$15-U2704))),-1E+030)</f>
        <v>-1.67211785358086</v>
      </c>
      <c r="X2704" s="55" t="n">
        <f aca="false">IF(V2704,IF(01_因子設定!$B$13="最大化",Q2704,IF(01_因子設定!$B$13="最小化",-Q2704,-ABS(Q2704-01_因子設定!$B$16))),-1E+030)</f>
        <v>47.8363849431818</v>
      </c>
      <c r="Y2704" s="55" t="n">
        <f aca="false">W2704+ROW()*0.000000001</f>
        <v>-1.67211514958086</v>
      </c>
      <c r="Z2704" s="55" t="n">
        <f aca="false">X2704+ROW()*0.000000001</f>
        <v>47.8363876471818</v>
      </c>
    </row>
    <row r="2705" customFormat="false" ht="15" hidden="false" customHeight="false" outlineLevel="0" collapsed="false">
      <c r="A2705" s="0" t="n">
        <v>9</v>
      </c>
      <c r="B2705" s="0" t="n">
        <v>5</v>
      </c>
      <c r="C2705" s="0" t="n">
        <v>14</v>
      </c>
      <c r="D2705" s="0" t="n">
        <f aca="false">-1+A2705*0.125</f>
        <v>0.125</v>
      </c>
      <c r="E2705" s="0" t="n">
        <f aca="false">-1+B2705*0.125</f>
        <v>-0.375</v>
      </c>
      <c r="F2705" s="0" t="n">
        <f aca="false">-1+C2705*0.125</f>
        <v>0.75</v>
      </c>
      <c r="G2705" s="0" t="n">
        <f aca="false">1</f>
        <v>1</v>
      </c>
      <c r="H2705" s="0" t="n">
        <f aca="false">D2705</f>
        <v>0.125</v>
      </c>
      <c r="I2705" s="0" t="n">
        <f aca="false">E2705</f>
        <v>-0.375</v>
      </c>
      <c r="J2705" s="0" t="n">
        <f aca="false">F2705</f>
        <v>0.75</v>
      </c>
      <c r="K2705" s="0" t="n">
        <f aca="false">D2705*E2705</f>
        <v>-0.046875</v>
      </c>
      <c r="L2705" s="0" t="n">
        <f aca="false">D2705*F2705</f>
        <v>0.09375</v>
      </c>
      <c r="M2705" s="0" t="n">
        <f aca="false">E2705*F2705</f>
        <v>-0.28125</v>
      </c>
      <c r="N2705" s="0" t="n">
        <f aca="false">D2705*D2705</f>
        <v>0.015625</v>
      </c>
      <c r="O2705" s="0" t="n">
        <f aca="false">E2705*E2705</f>
        <v>0.140625</v>
      </c>
      <c r="P2705" s="0" t="n">
        <f aca="false">F2705*F2705</f>
        <v>0.5625</v>
      </c>
      <c r="Q2705" s="0" t="n">
        <f aca="false">SUMPRODUCT(G2705:P2705,_XtX!$B$71:$K$71)</f>
        <v>47.7831036931818</v>
      </c>
      <c r="R2705" s="0" t="n">
        <f aca="false">SUMPRODUCT(MMULT(G2705:P2705,_XtX!$B$58:$K$67),G2705:P2705)</f>
        <v>0.233744118430398</v>
      </c>
      <c r="S2705" s="0" t="n">
        <f aca="false">04_回帰ANOVA!$K$19*04_回帰ANOVA!$K$14*SQRT(1+R2705)</f>
        <v>1.0327119053564</v>
      </c>
      <c r="T2705" s="0" t="n">
        <f aca="false">Q2705-S2705</f>
        <v>46.7503917878254</v>
      </c>
      <c r="U2705" s="0" t="n">
        <f aca="false">Q2705+S2705</f>
        <v>48.8158155985382</v>
      </c>
      <c r="V2705" s="54" t="b">
        <f aca="false">AND(D2705&gt;=01_因子設定!$L$5-0.000000001,D2705&lt;=01_因子設定!$M$5+0.000000001,E2705&gt;=01_因子設定!$L$6-0.000000001,E2705&lt;=01_因子設定!$M$6+0.000000001,F2705&gt;=01_因子設定!$L$7-0.000000001,F2705&lt;=01_因子設定!$M$7+0.000000001,IF(01_因子設定!$B$20="Box-Behnken",D2705^2+E2705^2+F2705^2&lt;=2+0.000000001,TRUE()))</f>
        <v>1</v>
      </c>
      <c r="W2705" s="55" t="n">
        <f aca="false">IF(V2705,IF(01_因子設定!$B$13="最大化",T2705-01_因子設定!$B$14,IF(01_因子設定!$B$13="最小化",01_因子設定!$B$15-U2705,MIN(T2705-01_因子設定!$B$14,01_因子設定!$B$15-U2705))),-1E+030)</f>
        <v>-1.74960821217456</v>
      </c>
      <c r="X2705" s="55" t="n">
        <f aca="false">IF(V2705,IF(01_因子設定!$B$13="最大化",Q2705,IF(01_因子設定!$B$13="最小化",-Q2705,-ABS(Q2705-01_因子設定!$B$16))),-1E+030)</f>
        <v>47.7831036931818</v>
      </c>
      <c r="Y2705" s="55" t="n">
        <f aca="false">W2705+ROW()*0.000000001</f>
        <v>-1.74960550717456</v>
      </c>
      <c r="Z2705" s="55" t="n">
        <f aca="false">X2705+ROW()*0.000000001</f>
        <v>47.7831063981818</v>
      </c>
    </row>
    <row r="2706" customFormat="false" ht="15" hidden="false" customHeight="false" outlineLevel="0" collapsed="false">
      <c r="A2706" s="0" t="n">
        <v>9</v>
      </c>
      <c r="B2706" s="0" t="n">
        <v>5</v>
      </c>
      <c r="C2706" s="0" t="n">
        <v>15</v>
      </c>
      <c r="D2706" s="0" t="n">
        <f aca="false">-1+A2706*0.125</f>
        <v>0.125</v>
      </c>
      <c r="E2706" s="0" t="n">
        <f aca="false">-1+B2706*0.125</f>
        <v>-0.375</v>
      </c>
      <c r="F2706" s="0" t="n">
        <f aca="false">-1+C2706*0.125</f>
        <v>0.875</v>
      </c>
      <c r="G2706" s="0" t="n">
        <f aca="false">1</f>
        <v>1</v>
      </c>
      <c r="H2706" s="0" t="n">
        <f aca="false">D2706</f>
        <v>0.125</v>
      </c>
      <c r="I2706" s="0" t="n">
        <f aca="false">E2706</f>
        <v>-0.375</v>
      </c>
      <c r="J2706" s="0" t="n">
        <f aca="false">F2706</f>
        <v>0.875</v>
      </c>
      <c r="K2706" s="0" t="n">
        <f aca="false">D2706*E2706</f>
        <v>-0.046875</v>
      </c>
      <c r="L2706" s="0" t="n">
        <f aca="false">D2706*F2706</f>
        <v>0.109375</v>
      </c>
      <c r="M2706" s="0" t="n">
        <f aca="false">E2706*F2706</f>
        <v>-0.328125</v>
      </c>
      <c r="N2706" s="0" t="n">
        <f aca="false">D2706*D2706</f>
        <v>0.015625</v>
      </c>
      <c r="O2706" s="0" t="n">
        <f aca="false">E2706*E2706</f>
        <v>0.140625</v>
      </c>
      <c r="P2706" s="0" t="n">
        <f aca="false">F2706*F2706</f>
        <v>0.765625</v>
      </c>
      <c r="Q2706" s="0" t="n">
        <f aca="false">SUMPRODUCT(G2706:P2706,_XtX!$B$71:$K$71)</f>
        <v>47.6930326704546</v>
      </c>
      <c r="R2706" s="0" t="n">
        <f aca="false">SUMPRODUCT(MMULT(G2706:P2706,_XtX!$B$58:$K$67),G2706:P2706)</f>
        <v>0.32900224165483</v>
      </c>
      <c r="S2706" s="0" t="n">
        <f aca="false">04_回帰ANOVA!$K$19*04_回帰ANOVA!$K$14*SQRT(1+R2706)</f>
        <v>1.07183884583628</v>
      </c>
      <c r="T2706" s="0" t="n">
        <f aca="false">Q2706-S2706</f>
        <v>46.6211938246183</v>
      </c>
      <c r="U2706" s="0" t="n">
        <f aca="false">Q2706+S2706</f>
        <v>48.7648715162909</v>
      </c>
      <c r="V2706" s="54" t="b">
        <f aca="false">AND(D2706&gt;=01_因子設定!$L$5-0.000000001,D2706&lt;=01_因子設定!$M$5+0.000000001,E2706&gt;=01_因子設定!$L$6-0.000000001,E2706&lt;=01_因子設定!$M$6+0.000000001,F2706&gt;=01_因子設定!$L$7-0.000000001,F2706&lt;=01_因子設定!$M$7+0.000000001,IF(01_因子設定!$B$20="Box-Behnken",D2706^2+E2706^2+F2706^2&lt;=2+0.000000001,TRUE()))</f>
        <v>1</v>
      </c>
      <c r="W2706" s="55" t="n">
        <f aca="false">IF(V2706,IF(01_因子設定!$B$13="最大化",T2706-01_因子設定!$B$14,IF(01_因子設定!$B$13="最小化",01_因子設定!$B$15-U2706,MIN(T2706-01_因子設定!$B$14,01_因子設定!$B$15-U2706))),-1E+030)</f>
        <v>-1.87880617538171</v>
      </c>
      <c r="X2706" s="55" t="n">
        <f aca="false">IF(V2706,IF(01_因子設定!$B$13="最大化",Q2706,IF(01_因子設定!$B$13="最小化",-Q2706,-ABS(Q2706-01_因子設定!$B$16))),-1E+030)</f>
        <v>47.6930326704546</v>
      </c>
      <c r="Y2706" s="55" t="n">
        <f aca="false">W2706+ROW()*0.000000001</f>
        <v>-1.87880346938171</v>
      </c>
      <c r="Z2706" s="55" t="n">
        <f aca="false">X2706+ROW()*0.000000001</f>
        <v>47.6930353764546</v>
      </c>
    </row>
    <row r="2707" customFormat="false" ht="15" hidden="false" customHeight="false" outlineLevel="0" collapsed="false">
      <c r="A2707" s="0" t="n">
        <v>9</v>
      </c>
      <c r="B2707" s="0" t="n">
        <v>5</v>
      </c>
      <c r="C2707" s="0" t="n">
        <v>16</v>
      </c>
      <c r="D2707" s="0" t="n">
        <f aca="false">-1+A2707*0.125</f>
        <v>0.125</v>
      </c>
      <c r="E2707" s="0" t="n">
        <f aca="false">-1+B2707*0.125</f>
        <v>-0.375</v>
      </c>
      <c r="F2707" s="0" t="n">
        <f aca="false">-1+C2707*0.125</f>
        <v>1</v>
      </c>
      <c r="G2707" s="0" t="n">
        <f aca="false">1</f>
        <v>1</v>
      </c>
      <c r="H2707" s="0" t="n">
        <f aca="false">D2707</f>
        <v>0.125</v>
      </c>
      <c r="I2707" s="0" t="n">
        <f aca="false">E2707</f>
        <v>-0.375</v>
      </c>
      <c r="J2707" s="0" t="n">
        <f aca="false">F2707</f>
        <v>1</v>
      </c>
      <c r="K2707" s="0" t="n">
        <f aca="false">D2707*E2707</f>
        <v>-0.046875</v>
      </c>
      <c r="L2707" s="0" t="n">
        <f aca="false">D2707*F2707</f>
        <v>0.125</v>
      </c>
      <c r="M2707" s="0" t="n">
        <f aca="false">E2707*F2707</f>
        <v>-0.375</v>
      </c>
      <c r="N2707" s="0" t="n">
        <f aca="false">D2707*D2707</f>
        <v>0.015625</v>
      </c>
      <c r="O2707" s="0" t="n">
        <f aca="false">E2707*E2707</f>
        <v>0.140625</v>
      </c>
      <c r="P2707" s="0" t="n">
        <f aca="false">F2707*F2707</f>
        <v>1</v>
      </c>
      <c r="Q2707" s="0" t="n">
        <f aca="false">SUMPRODUCT(G2707:P2707,_XtX!$B$71:$K$71)</f>
        <v>47.566171875</v>
      </c>
      <c r="R2707" s="0" t="n">
        <f aca="false">SUMPRODUCT(MMULT(G2707:P2707,_XtX!$B$58:$K$67),G2707:P2707)</f>
        <v>0.476202392578125</v>
      </c>
      <c r="S2707" s="0" t="n">
        <f aca="false">04_回帰ANOVA!$K$19*04_回帰ANOVA!$K$14*SQRT(1+R2707)</f>
        <v>1.12963876802721</v>
      </c>
      <c r="T2707" s="0" t="n">
        <f aca="false">Q2707-S2707</f>
        <v>46.4365331069728</v>
      </c>
      <c r="U2707" s="0" t="n">
        <f aca="false">Q2707+S2707</f>
        <v>48.6958106430272</v>
      </c>
      <c r="V2707" s="54" t="b">
        <f aca="false">AND(D2707&gt;=01_因子設定!$L$5-0.000000001,D2707&lt;=01_因子設定!$M$5+0.000000001,E2707&gt;=01_因子設定!$L$6-0.000000001,E2707&lt;=01_因子設定!$M$6+0.000000001,F2707&gt;=01_因子設定!$L$7-0.000000001,F2707&lt;=01_因子設定!$M$7+0.000000001,IF(01_因子設定!$B$20="Box-Behnken",D2707^2+E2707^2+F2707^2&lt;=2+0.000000001,TRUE()))</f>
        <v>1</v>
      </c>
      <c r="W2707" s="55" t="n">
        <f aca="false">IF(V2707,IF(01_因子設定!$B$13="最大化",T2707-01_因子設定!$B$14,IF(01_因子設定!$B$13="最小化",01_因子設定!$B$15-U2707,MIN(T2707-01_因子設定!$B$14,01_因子設定!$B$15-U2707))),-1E+030)</f>
        <v>-2.06346689302718</v>
      </c>
      <c r="X2707" s="55" t="n">
        <f aca="false">IF(V2707,IF(01_因子設定!$B$13="最大化",Q2707,IF(01_因子設定!$B$13="最小化",-Q2707,-ABS(Q2707-01_因子設定!$B$16))),-1E+030)</f>
        <v>47.566171875</v>
      </c>
      <c r="Y2707" s="55" t="n">
        <f aca="false">W2707+ROW()*0.000000001</f>
        <v>-2.06346418602718</v>
      </c>
      <c r="Z2707" s="55" t="n">
        <f aca="false">X2707+ROW()*0.000000001</f>
        <v>47.566174582</v>
      </c>
    </row>
    <row r="2708" customFormat="false" ht="15" hidden="false" customHeight="false" outlineLevel="0" collapsed="false">
      <c r="A2708" s="0" t="n">
        <v>9</v>
      </c>
      <c r="B2708" s="0" t="n">
        <v>6</v>
      </c>
      <c r="C2708" s="0" t="n">
        <v>0</v>
      </c>
      <c r="D2708" s="0" t="n">
        <f aca="false">-1+A2708*0.125</f>
        <v>0.125</v>
      </c>
      <c r="E2708" s="0" t="n">
        <f aca="false">-1+B2708*0.125</f>
        <v>-0.25</v>
      </c>
      <c r="F2708" s="0" t="n">
        <f aca="false">-1+C2708*0.125</f>
        <v>-1</v>
      </c>
      <c r="G2708" s="0" t="n">
        <f aca="false">1</f>
        <v>1</v>
      </c>
      <c r="H2708" s="0" t="n">
        <f aca="false">D2708</f>
        <v>0.125</v>
      </c>
      <c r="I2708" s="0" t="n">
        <f aca="false">E2708</f>
        <v>-0.25</v>
      </c>
      <c r="J2708" s="0" t="n">
        <f aca="false">F2708</f>
        <v>-1</v>
      </c>
      <c r="K2708" s="0" t="n">
        <f aca="false">D2708*E2708</f>
        <v>-0.03125</v>
      </c>
      <c r="L2708" s="0" t="n">
        <f aca="false">D2708*F2708</f>
        <v>-0.125</v>
      </c>
      <c r="M2708" s="0" t="n">
        <f aca="false">E2708*F2708</f>
        <v>0.25</v>
      </c>
      <c r="N2708" s="0" t="n">
        <f aca="false">D2708*D2708</f>
        <v>0.015625</v>
      </c>
      <c r="O2708" s="0" t="n">
        <f aca="false">E2708*E2708</f>
        <v>0.0625</v>
      </c>
      <c r="P2708" s="0" t="n">
        <f aca="false">F2708*F2708</f>
        <v>1</v>
      </c>
      <c r="Q2708" s="0" t="n">
        <f aca="false">SUMPRODUCT(G2708:P2708,_XtX!$B$71:$K$71)</f>
        <v>45.5611931818182</v>
      </c>
      <c r="R2708" s="0" t="n">
        <f aca="false">SUMPRODUCT(MMULT(G2708:P2708,_XtX!$B$58:$K$67),G2708:P2708)</f>
        <v>0.481443093039773</v>
      </c>
      <c r="S2708" s="0" t="n">
        <f aca="false">04_回帰ANOVA!$K$19*04_回帰ANOVA!$K$14*SQRT(1+R2708)</f>
        <v>1.13164216995877</v>
      </c>
      <c r="T2708" s="0" t="n">
        <f aca="false">Q2708-S2708</f>
        <v>44.4295510118594</v>
      </c>
      <c r="U2708" s="0" t="n">
        <f aca="false">Q2708+S2708</f>
        <v>46.692835351777</v>
      </c>
      <c r="V2708" s="54" t="b">
        <f aca="false">AND(D2708&gt;=01_因子設定!$L$5-0.000000001,D2708&lt;=01_因子設定!$M$5+0.000000001,E2708&gt;=01_因子設定!$L$6-0.000000001,E2708&lt;=01_因子設定!$M$6+0.000000001,F2708&gt;=01_因子設定!$L$7-0.000000001,F2708&lt;=01_因子設定!$M$7+0.000000001,IF(01_因子設定!$B$20="Box-Behnken",D2708^2+E2708^2+F2708^2&lt;=2+0.000000001,TRUE()))</f>
        <v>1</v>
      </c>
      <c r="W2708" s="55" t="n">
        <f aca="false">IF(V2708,IF(01_因子設定!$B$13="最大化",T2708-01_因子設定!$B$14,IF(01_因子設定!$B$13="最小化",01_因子設定!$B$15-U2708,MIN(T2708-01_因子設定!$B$14,01_因子設定!$B$15-U2708))),-1E+030)</f>
        <v>-4.07044898814056</v>
      </c>
      <c r="X2708" s="55" t="n">
        <f aca="false">IF(V2708,IF(01_因子設定!$B$13="最大化",Q2708,IF(01_因子設定!$B$13="最小化",-Q2708,-ABS(Q2708-01_因子設定!$B$16))),-1E+030)</f>
        <v>45.5611931818182</v>
      </c>
      <c r="Y2708" s="55" t="n">
        <f aca="false">W2708+ROW()*0.000000001</f>
        <v>-4.07044628014056</v>
      </c>
      <c r="Z2708" s="55" t="n">
        <f aca="false">X2708+ROW()*0.000000001</f>
        <v>45.5611958898182</v>
      </c>
    </row>
    <row r="2709" customFormat="false" ht="15" hidden="false" customHeight="false" outlineLevel="0" collapsed="false">
      <c r="A2709" s="0" t="n">
        <v>9</v>
      </c>
      <c r="B2709" s="0" t="n">
        <v>6</v>
      </c>
      <c r="C2709" s="0" t="n">
        <v>1</v>
      </c>
      <c r="D2709" s="0" t="n">
        <f aca="false">-1+A2709*0.125</f>
        <v>0.125</v>
      </c>
      <c r="E2709" s="0" t="n">
        <f aca="false">-1+B2709*0.125</f>
        <v>-0.25</v>
      </c>
      <c r="F2709" s="0" t="n">
        <f aca="false">-1+C2709*0.125</f>
        <v>-0.875</v>
      </c>
      <c r="G2709" s="0" t="n">
        <f aca="false">1</f>
        <v>1</v>
      </c>
      <c r="H2709" s="0" t="n">
        <f aca="false">D2709</f>
        <v>0.125</v>
      </c>
      <c r="I2709" s="0" t="n">
        <f aca="false">E2709</f>
        <v>-0.25</v>
      </c>
      <c r="J2709" s="0" t="n">
        <f aca="false">F2709</f>
        <v>-0.875</v>
      </c>
      <c r="K2709" s="0" t="n">
        <f aca="false">D2709*E2709</f>
        <v>-0.03125</v>
      </c>
      <c r="L2709" s="0" t="n">
        <f aca="false">D2709*F2709</f>
        <v>-0.109375</v>
      </c>
      <c r="M2709" s="0" t="n">
        <f aca="false">E2709*F2709</f>
        <v>0.21875</v>
      </c>
      <c r="N2709" s="0" t="n">
        <f aca="false">D2709*D2709</f>
        <v>0.015625</v>
      </c>
      <c r="O2709" s="0" t="n">
        <f aca="false">E2709*E2709</f>
        <v>0.0625</v>
      </c>
      <c r="P2709" s="0" t="n">
        <f aca="false">F2709*F2709</f>
        <v>0.765625</v>
      </c>
      <c r="Q2709" s="0" t="n">
        <f aca="false">SUMPRODUCT(G2709:P2709,_XtX!$B$71:$K$71)</f>
        <v>45.9932102272728</v>
      </c>
      <c r="R2709" s="0" t="n">
        <f aca="false">SUMPRODUCT(MMULT(G2709:P2709,_XtX!$B$58:$K$67),G2709:P2709)</f>
        <v>0.331537974964489</v>
      </c>
      <c r="S2709" s="0" t="n">
        <f aca="false">04_回帰ANOVA!$K$19*04_回帰ANOVA!$K$14*SQRT(1+R2709)</f>
        <v>1.07286089161565</v>
      </c>
      <c r="T2709" s="0" t="n">
        <f aca="false">Q2709-S2709</f>
        <v>44.9203493356571</v>
      </c>
      <c r="U2709" s="0" t="n">
        <f aca="false">Q2709+S2709</f>
        <v>47.0660711188884</v>
      </c>
      <c r="V2709" s="54" t="b">
        <f aca="false">AND(D2709&gt;=01_因子設定!$L$5-0.000000001,D2709&lt;=01_因子設定!$M$5+0.000000001,E2709&gt;=01_因子設定!$L$6-0.000000001,E2709&lt;=01_因子設定!$M$6+0.000000001,F2709&gt;=01_因子設定!$L$7-0.000000001,F2709&lt;=01_因子設定!$M$7+0.000000001,IF(01_因子設定!$B$20="Box-Behnken",D2709^2+E2709^2+F2709^2&lt;=2+0.000000001,TRUE()))</f>
        <v>1</v>
      </c>
      <c r="W2709" s="55" t="n">
        <f aca="false">IF(V2709,IF(01_因子設定!$B$13="最大化",T2709-01_因子設定!$B$14,IF(01_因子設定!$B$13="最小化",01_因子設定!$B$15-U2709,MIN(T2709-01_因子設定!$B$14,01_因子設定!$B$15-U2709))),-1E+030)</f>
        <v>-3.57965066434291</v>
      </c>
      <c r="X2709" s="55" t="n">
        <f aca="false">IF(V2709,IF(01_因子設定!$B$13="最大化",Q2709,IF(01_因子設定!$B$13="最小化",-Q2709,-ABS(Q2709-01_因子設定!$B$16))),-1E+030)</f>
        <v>45.9932102272728</v>
      </c>
      <c r="Y2709" s="55" t="n">
        <f aca="false">W2709+ROW()*0.000000001</f>
        <v>-3.57964795534291</v>
      </c>
      <c r="Z2709" s="55" t="n">
        <f aca="false">X2709+ROW()*0.000000001</f>
        <v>45.9932129362728</v>
      </c>
    </row>
    <row r="2710" customFormat="false" ht="15" hidden="false" customHeight="false" outlineLevel="0" collapsed="false">
      <c r="A2710" s="0" t="n">
        <v>9</v>
      </c>
      <c r="B2710" s="0" t="n">
        <v>6</v>
      </c>
      <c r="C2710" s="0" t="n">
        <v>2</v>
      </c>
      <c r="D2710" s="0" t="n">
        <f aca="false">-1+A2710*0.125</f>
        <v>0.125</v>
      </c>
      <c r="E2710" s="0" t="n">
        <f aca="false">-1+B2710*0.125</f>
        <v>-0.25</v>
      </c>
      <c r="F2710" s="0" t="n">
        <f aca="false">-1+C2710*0.125</f>
        <v>-0.75</v>
      </c>
      <c r="G2710" s="0" t="n">
        <f aca="false">1</f>
        <v>1</v>
      </c>
      <c r="H2710" s="0" t="n">
        <f aca="false">D2710</f>
        <v>0.125</v>
      </c>
      <c r="I2710" s="0" t="n">
        <f aca="false">E2710</f>
        <v>-0.25</v>
      </c>
      <c r="J2710" s="0" t="n">
        <f aca="false">F2710</f>
        <v>-0.75</v>
      </c>
      <c r="K2710" s="0" t="n">
        <f aca="false">D2710*E2710</f>
        <v>-0.03125</v>
      </c>
      <c r="L2710" s="0" t="n">
        <f aca="false">D2710*F2710</f>
        <v>-0.09375</v>
      </c>
      <c r="M2710" s="0" t="n">
        <f aca="false">E2710*F2710</f>
        <v>0.1875</v>
      </c>
      <c r="N2710" s="0" t="n">
        <f aca="false">D2710*D2710</f>
        <v>0.015625</v>
      </c>
      <c r="O2710" s="0" t="n">
        <f aca="false">E2710*E2710</f>
        <v>0.0625</v>
      </c>
      <c r="P2710" s="0" t="n">
        <f aca="false">F2710*F2710</f>
        <v>0.5625</v>
      </c>
      <c r="Q2710" s="0" t="n">
        <f aca="false">SUMPRODUCT(G2710:P2710,_XtX!$B$71:$K$71)</f>
        <v>46.3884375</v>
      </c>
      <c r="R2710" s="0" t="n">
        <f aca="false">SUMPRODUCT(MMULT(G2710:P2710,_XtX!$B$58:$K$67),G2710:P2710)</f>
        <v>0.233935546875</v>
      </c>
      <c r="S2710" s="0" t="n">
        <f aca="false">04_回帰ANOVA!$K$19*04_回帰ANOVA!$K$14*SQRT(1+R2710)</f>
        <v>1.03279202033444</v>
      </c>
      <c r="T2710" s="0" t="n">
        <f aca="false">Q2710-S2710</f>
        <v>45.3556454796656</v>
      </c>
      <c r="U2710" s="0" t="n">
        <f aca="false">Q2710+S2710</f>
        <v>47.4212295203345</v>
      </c>
      <c r="V2710" s="54" t="b">
        <f aca="false">AND(D2710&gt;=01_因子設定!$L$5-0.000000001,D2710&lt;=01_因子設定!$M$5+0.000000001,E2710&gt;=01_因子設定!$L$6-0.000000001,E2710&lt;=01_因子設定!$M$6+0.000000001,F2710&gt;=01_因子設定!$L$7-0.000000001,F2710&lt;=01_因子設定!$M$7+0.000000001,IF(01_因子設定!$B$20="Box-Behnken",D2710^2+E2710^2+F2710^2&lt;=2+0.000000001,TRUE()))</f>
        <v>1</v>
      </c>
      <c r="W2710" s="55" t="n">
        <f aca="false">IF(V2710,IF(01_因子設定!$B$13="最大化",T2710-01_因子設定!$B$14,IF(01_因子設定!$B$13="最小化",01_因子設定!$B$15-U2710,MIN(T2710-01_因子設定!$B$14,01_因子設定!$B$15-U2710))),-1E+030)</f>
        <v>-3.14435452033442</v>
      </c>
      <c r="X2710" s="55" t="n">
        <f aca="false">IF(V2710,IF(01_因子設定!$B$13="最大化",Q2710,IF(01_因子設定!$B$13="最小化",-Q2710,-ABS(Q2710-01_因子設定!$B$16))),-1E+030)</f>
        <v>46.3884375</v>
      </c>
      <c r="Y2710" s="55" t="n">
        <f aca="false">W2710+ROW()*0.000000001</f>
        <v>-3.14435181033442</v>
      </c>
      <c r="Z2710" s="55" t="n">
        <f aca="false">X2710+ROW()*0.000000001</f>
        <v>46.38844021</v>
      </c>
    </row>
    <row r="2711" customFormat="false" ht="15" hidden="false" customHeight="false" outlineLevel="0" collapsed="false">
      <c r="A2711" s="0" t="n">
        <v>9</v>
      </c>
      <c r="B2711" s="0" t="n">
        <v>6</v>
      </c>
      <c r="C2711" s="0" t="n">
        <v>3</v>
      </c>
      <c r="D2711" s="0" t="n">
        <f aca="false">-1+A2711*0.125</f>
        <v>0.125</v>
      </c>
      <c r="E2711" s="0" t="n">
        <f aca="false">-1+B2711*0.125</f>
        <v>-0.25</v>
      </c>
      <c r="F2711" s="0" t="n">
        <f aca="false">-1+C2711*0.125</f>
        <v>-0.625</v>
      </c>
      <c r="G2711" s="0" t="n">
        <f aca="false">1</f>
        <v>1</v>
      </c>
      <c r="H2711" s="0" t="n">
        <f aca="false">D2711</f>
        <v>0.125</v>
      </c>
      <c r="I2711" s="0" t="n">
        <f aca="false">E2711</f>
        <v>-0.25</v>
      </c>
      <c r="J2711" s="0" t="n">
        <f aca="false">F2711</f>
        <v>-0.625</v>
      </c>
      <c r="K2711" s="0" t="n">
        <f aca="false">D2711*E2711</f>
        <v>-0.03125</v>
      </c>
      <c r="L2711" s="0" t="n">
        <f aca="false">D2711*F2711</f>
        <v>-0.078125</v>
      </c>
      <c r="M2711" s="0" t="n">
        <f aca="false">E2711*F2711</f>
        <v>0.15625</v>
      </c>
      <c r="N2711" s="0" t="n">
        <f aca="false">D2711*D2711</f>
        <v>0.015625</v>
      </c>
      <c r="O2711" s="0" t="n">
        <f aca="false">E2711*E2711</f>
        <v>0.0625</v>
      </c>
      <c r="P2711" s="0" t="n">
        <f aca="false">F2711*F2711</f>
        <v>0.390625</v>
      </c>
      <c r="Q2711" s="0" t="n">
        <f aca="false">SUMPRODUCT(G2711:P2711,_XtX!$B$71:$K$71)</f>
        <v>46.746875</v>
      </c>
      <c r="R2711" s="0" t="n">
        <f aca="false">SUMPRODUCT(MMULT(G2711:P2711,_XtX!$B$58:$K$67),G2711:P2711)</f>
        <v>0.174786376953125</v>
      </c>
      <c r="S2711" s="0" t="n">
        <f aca="false">04_回帰ANOVA!$K$19*04_回帰ANOVA!$K$14*SQRT(1+R2711)</f>
        <v>1.00773440704286</v>
      </c>
      <c r="T2711" s="0" t="n">
        <f aca="false">Q2711-S2711</f>
        <v>45.7391405929572</v>
      </c>
      <c r="U2711" s="0" t="n">
        <f aca="false">Q2711+S2711</f>
        <v>47.7546094070429</v>
      </c>
      <c r="V2711" s="54" t="b">
        <f aca="false">AND(D2711&gt;=01_因子設定!$L$5-0.000000001,D2711&lt;=01_因子設定!$M$5+0.000000001,E2711&gt;=01_因子設定!$L$6-0.000000001,E2711&lt;=01_因子設定!$M$6+0.000000001,F2711&gt;=01_因子設定!$L$7-0.000000001,F2711&lt;=01_因子設定!$M$7+0.000000001,IF(01_因子設定!$B$20="Box-Behnken",D2711^2+E2711^2+F2711^2&lt;=2+0.000000001,TRUE()))</f>
        <v>1</v>
      </c>
      <c r="W2711" s="55" t="n">
        <f aca="false">IF(V2711,IF(01_因子設定!$B$13="最大化",T2711-01_因子設定!$B$14,IF(01_因子設定!$B$13="最小化",01_因子設定!$B$15-U2711,MIN(T2711-01_因子設定!$B$14,01_因子設定!$B$15-U2711))),-1E+030)</f>
        <v>-2.76085940704284</v>
      </c>
      <c r="X2711" s="55" t="n">
        <f aca="false">IF(V2711,IF(01_因子設定!$B$13="最大化",Q2711,IF(01_因子設定!$B$13="最小化",-Q2711,-ABS(Q2711-01_因子設定!$B$16))),-1E+030)</f>
        <v>46.746875</v>
      </c>
      <c r="Y2711" s="55" t="n">
        <f aca="false">W2711+ROW()*0.000000001</f>
        <v>-2.76085669604284</v>
      </c>
      <c r="Z2711" s="55" t="n">
        <f aca="false">X2711+ROW()*0.000000001</f>
        <v>46.746877711</v>
      </c>
    </row>
    <row r="2712" customFormat="false" ht="15" hidden="false" customHeight="false" outlineLevel="0" collapsed="false">
      <c r="A2712" s="0" t="n">
        <v>9</v>
      </c>
      <c r="B2712" s="0" t="n">
        <v>6</v>
      </c>
      <c r="C2712" s="0" t="n">
        <v>4</v>
      </c>
      <c r="D2712" s="0" t="n">
        <f aca="false">-1+A2712*0.125</f>
        <v>0.125</v>
      </c>
      <c r="E2712" s="0" t="n">
        <f aca="false">-1+B2712*0.125</f>
        <v>-0.25</v>
      </c>
      <c r="F2712" s="0" t="n">
        <f aca="false">-1+C2712*0.125</f>
        <v>-0.5</v>
      </c>
      <c r="G2712" s="0" t="n">
        <f aca="false">1</f>
        <v>1</v>
      </c>
      <c r="H2712" s="0" t="n">
        <f aca="false">D2712</f>
        <v>0.125</v>
      </c>
      <c r="I2712" s="0" t="n">
        <f aca="false">E2712</f>
        <v>-0.25</v>
      </c>
      <c r="J2712" s="0" t="n">
        <f aca="false">F2712</f>
        <v>-0.5</v>
      </c>
      <c r="K2712" s="0" t="n">
        <f aca="false">D2712*E2712</f>
        <v>-0.03125</v>
      </c>
      <c r="L2712" s="0" t="n">
        <f aca="false">D2712*F2712</f>
        <v>-0.0625</v>
      </c>
      <c r="M2712" s="0" t="n">
        <f aca="false">E2712*F2712</f>
        <v>0.125</v>
      </c>
      <c r="N2712" s="0" t="n">
        <f aca="false">D2712*D2712</f>
        <v>0.015625</v>
      </c>
      <c r="O2712" s="0" t="n">
        <f aca="false">E2712*E2712</f>
        <v>0.0625</v>
      </c>
      <c r="P2712" s="0" t="n">
        <f aca="false">F2712*F2712</f>
        <v>0.25</v>
      </c>
      <c r="Q2712" s="0" t="n">
        <f aca="false">SUMPRODUCT(G2712:P2712,_XtX!$B$71:$K$71)</f>
        <v>47.0685227272727</v>
      </c>
      <c r="R2712" s="0" t="n">
        <f aca="false">SUMPRODUCT(MMULT(G2712:P2712,_XtX!$B$58:$K$67),G2712:P2712)</f>
        <v>0.142371715198864</v>
      </c>
      <c r="S2712" s="0" t="n">
        <f aca="false">04_回帰ANOVA!$K$19*04_回帰ANOVA!$K$14*SQRT(1+R2712)</f>
        <v>0.99373447511735</v>
      </c>
      <c r="T2712" s="0" t="n">
        <f aca="false">Q2712-S2712</f>
        <v>46.0747882521554</v>
      </c>
      <c r="U2712" s="0" t="n">
        <f aca="false">Q2712+S2712</f>
        <v>48.0622572023901</v>
      </c>
      <c r="V2712" s="54" t="b">
        <f aca="false">AND(D2712&gt;=01_因子設定!$L$5-0.000000001,D2712&lt;=01_因子設定!$M$5+0.000000001,E2712&gt;=01_因子設定!$L$6-0.000000001,E2712&lt;=01_因子設定!$M$6+0.000000001,F2712&gt;=01_因子設定!$L$7-0.000000001,F2712&lt;=01_因子設定!$M$7+0.000000001,IF(01_因子設定!$B$20="Box-Behnken",D2712^2+E2712^2+F2712^2&lt;=2+0.000000001,TRUE()))</f>
        <v>1</v>
      </c>
      <c r="W2712" s="55" t="n">
        <f aca="false">IF(V2712,IF(01_因子設定!$B$13="最大化",T2712-01_因子設定!$B$14,IF(01_因子設定!$B$13="最小化",01_因子設定!$B$15-U2712,MIN(T2712-01_因子設定!$B$14,01_因子設定!$B$15-U2712))),-1E+030)</f>
        <v>-2.42521174784461</v>
      </c>
      <c r="X2712" s="55" t="n">
        <f aca="false">IF(V2712,IF(01_因子設定!$B$13="最大化",Q2712,IF(01_因子設定!$B$13="最小化",-Q2712,-ABS(Q2712-01_因子設定!$B$16))),-1E+030)</f>
        <v>47.0685227272727</v>
      </c>
      <c r="Y2712" s="55" t="n">
        <f aca="false">W2712+ROW()*0.000000001</f>
        <v>-2.42520903584461</v>
      </c>
      <c r="Z2712" s="55" t="n">
        <f aca="false">X2712+ROW()*0.000000001</f>
        <v>47.0685254392727</v>
      </c>
    </row>
    <row r="2713" customFormat="false" ht="15" hidden="false" customHeight="false" outlineLevel="0" collapsed="false">
      <c r="A2713" s="0" t="n">
        <v>9</v>
      </c>
      <c r="B2713" s="0" t="n">
        <v>6</v>
      </c>
      <c r="C2713" s="0" t="n">
        <v>5</v>
      </c>
      <c r="D2713" s="0" t="n">
        <f aca="false">-1+A2713*0.125</f>
        <v>0.125</v>
      </c>
      <c r="E2713" s="0" t="n">
        <f aca="false">-1+B2713*0.125</f>
        <v>-0.25</v>
      </c>
      <c r="F2713" s="0" t="n">
        <f aca="false">-1+C2713*0.125</f>
        <v>-0.375</v>
      </c>
      <c r="G2713" s="0" t="n">
        <f aca="false">1</f>
        <v>1</v>
      </c>
      <c r="H2713" s="0" t="n">
        <f aca="false">D2713</f>
        <v>0.125</v>
      </c>
      <c r="I2713" s="0" t="n">
        <f aca="false">E2713</f>
        <v>-0.25</v>
      </c>
      <c r="J2713" s="0" t="n">
        <f aca="false">F2713</f>
        <v>-0.375</v>
      </c>
      <c r="K2713" s="0" t="n">
        <f aca="false">D2713*E2713</f>
        <v>-0.03125</v>
      </c>
      <c r="L2713" s="0" t="n">
        <f aca="false">D2713*F2713</f>
        <v>-0.046875</v>
      </c>
      <c r="M2713" s="0" t="n">
        <f aca="false">E2713*F2713</f>
        <v>0.09375</v>
      </c>
      <c r="N2713" s="0" t="n">
        <f aca="false">D2713*D2713</f>
        <v>0.015625</v>
      </c>
      <c r="O2713" s="0" t="n">
        <f aca="false">E2713*E2713</f>
        <v>0.0625</v>
      </c>
      <c r="P2713" s="0" t="n">
        <f aca="false">F2713*F2713</f>
        <v>0.140625</v>
      </c>
      <c r="Q2713" s="0" t="n">
        <f aca="false">SUMPRODUCT(G2713:P2713,_XtX!$B$71:$K$71)</f>
        <v>47.3533806818182</v>
      </c>
      <c r="R2713" s="0" t="n">
        <f aca="false">SUMPRODUCT(MMULT(G2713:P2713,_XtX!$B$58:$K$67),G2713:P2713)</f>
        <v>0.127103493430398</v>
      </c>
      <c r="S2713" s="0" t="n">
        <f aca="false">04_回帰ANOVA!$K$19*04_回帰ANOVA!$K$14*SQRT(1+R2713)</f>
        <v>0.987071321387587</v>
      </c>
      <c r="T2713" s="0" t="n">
        <f aca="false">Q2713-S2713</f>
        <v>46.3663093604306</v>
      </c>
      <c r="U2713" s="0" t="n">
        <f aca="false">Q2713+S2713</f>
        <v>48.3404520032058</v>
      </c>
      <c r="V2713" s="54" t="b">
        <f aca="false">AND(D2713&gt;=01_因子設定!$L$5-0.000000001,D2713&lt;=01_因子設定!$M$5+0.000000001,E2713&gt;=01_因子設定!$L$6-0.000000001,E2713&lt;=01_因子設定!$M$6+0.000000001,F2713&gt;=01_因子設定!$L$7-0.000000001,F2713&lt;=01_因子設定!$M$7+0.000000001,IF(01_因子設定!$B$20="Box-Behnken",D2713^2+E2713^2+F2713^2&lt;=2+0.000000001,TRUE()))</f>
        <v>1</v>
      </c>
      <c r="W2713" s="55" t="n">
        <f aca="false">IF(V2713,IF(01_因子設定!$B$13="最大化",T2713-01_因子設定!$B$14,IF(01_因子設定!$B$13="最小化",01_因子設定!$B$15-U2713,MIN(T2713-01_因子設定!$B$14,01_因子設定!$B$15-U2713))),-1E+030)</f>
        <v>-2.13369063956939</v>
      </c>
      <c r="X2713" s="55" t="n">
        <f aca="false">IF(V2713,IF(01_因子設定!$B$13="最大化",Q2713,IF(01_因子設定!$B$13="最小化",-Q2713,-ABS(Q2713-01_因子設定!$B$16))),-1E+030)</f>
        <v>47.3533806818182</v>
      </c>
      <c r="Y2713" s="55" t="n">
        <f aca="false">W2713+ROW()*0.000000001</f>
        <v>-2.13368792656939</v>
      </c>
      <c r="Z2713" s="55" t="n">
        <f aca="false">X2713+ROW()*0.000000001</f>
        <v>47.3533833948182</v>
      </c>
    </row>
    <row r="2714" customFormat="false" ht="15" hidden="false" customHeight="false" outlineLevel="0" collapsed="false">
      <c r="A2714" s="0" t="n">
        <v>9</v>
      </c>
      <c r="B2714" s="0" t="n">
        <v>6</v>
      </c>
      <c r="C2714" s="0" t="n">
        <v>6</v>
      </c>
      <c r="D2714" s="0" t="n">
        <f aca="false">-1+A2714*0.125</f>
        <v>0.125</v>
      </c>
      <c r="E2714" s="0" t="n">
        <f aca="false">-1+B2714*0.125</f>
        <v>-0.25</v>
      </c>
      <c r="F2714" s="0" t="n">
        <f aca="false">-1+C2714*0.125</f>
        <v>-0.25</v>
      </c>
      <c r="G2714" s="0" t="n">
        <f aca="false">1</f>
        <v>1</v>
      </c>
      <c r="H2714" s="0" t="n">
        <f aca="false">D2714</f>
        <v>0.125</v>
      </c>
      <c r="I2714" s="0" t="n">
        <f aca="false">E2714</f>
        <v>-0.25</v>
      </c>
      <c r="J2714" s="0" t="n">
        <f aca="false">F2714</f>
        <v>-0.25</v>
      </c>
      <c r="K2714" s="0" t="n">
        <f aca="false">D2714*E2714</f>
        <v>-0.03125</v>
      </c>
      <c r="L2714" s="0" t="n">
        <f aca="false">D2714*F2714</f>
        <v>-0.03125</v>
      </c>
      <c r="M2714" s="0" t="n">
        <f aca="false">E2714*F2714</f>
        <v>0.0625</v>
      </c>
      <c r="N2714" s="0" t="n">
        <f aca="false">D2714*D2714</f>
        <v>0.015625</v>
      </c>
      <c r="O2714" s="0" t="n">
        <f aca="false">E2714*E2714</f>
        <v>0.0625</v>
      </c>
      <c r="P2714" s="0" t="n">
        <f aca="false">F2714*F2714</f>
        <v>0.0625</v>
      </c>
      <c r="Q2714" s="0" t="n">
        <f aca="false">SUMPRODUCT(G2714:P2714,_XtX!$B$71:$K$71)</f>
        <v>47.6014488636364</v>
      </c>
      <c r="R2714" s="0" t="n">
        <f aca="false">SUMPRODUCT(MMULT(G2714:P2714,_XtX!$B$58:$K$67),G2714:P2714)</f>
        <v>0.121524325284091</v>
      </c>
      <c r="S2714" s="0" t="n">
        <f aca="false">04_回帰ANOVA!$K$19*04_回帰ANOVA!$K$14*SQRT(1+R2714)</f>
        <v>0.984625286577447</v>
      </c>
      <c r="T2714" s="0" t="n">
        <f aca="false">Q2714-S2714</f>
        <v>46.6168235770589</v>
      </c>
      <c r="U2714" s="0" t="n">
        <f aca="false">Q2714+S2714</f>
        <v>48.5860741502138</v>
      </c>
      <c r="V2714" s="54" t="b">
        <f aca="false">AND(D2714&gt;=01_因子設定!$L$5-0.000000001,D2714&lt;=01_因子設定!$M$5+0.000000001,E2714&gt;=01_因子設定!$L$6-0.000000001,E2714&lt;=01_因子設定!$M$6+0.000000001,F2714&gt;=01_因子設定!$L$7-0.000000001,F2714&lt;=01_因子設定!$M$7+0.000000001,IF(01_因子設定!$B$20="Box-Behnken",D2714^2+E2714^2+F2714^2&lt;=2+0.000000001,TRUE()))</f>
        <v>1</v>
      </c>
      <c r="W2714" s="55" t="n">
        <f aca="false">IF(V2714,IF(01_因子設定!$B$13="最大化",T2714-01_因子設定!$B$14,IF(01_因子設定!$B$13="最小化",01_因子設定!$B$15-U2714,MIN(T2714-01_因子設定!$B$14,01_因子設定!$B$15-U2714))),-1E+030)</f>
        <v>-1.88317642294108</v>
      </c>
      <c r="X2714" s="55" t="n">
        <f aca="false">IF(V2714,IF(01_因子設定!$B$13="最大化",Q2714,IF(01_因子設定!$B$13="最小化",-Q2714,-ABS(Q2714-01_因子設定!$B$16))),-1E+030)</f>
        <v>47.6014488636364</v>
      </c>
      <c r="Y2714" s="55" t="n">
        <f aca="false">W2714+ROW()*0.000000001</f>
        <v>-1.88317370894108</v>
      </c>
      <c r="Z2714" s="55" t="n">
        <f aca="false">X2714+ROW()*0.000000001</f>
        <v>47.6014515776364</v>
      </c>
    </row>
    <row r="2715" customFormat="false" ht="15" hidden="false" customHeight="false" outlineLevel="0" collapsed="false">
      <c r="A2715" s="0" t="n">
        <v>9</v>
      </c>
      <c r="B2715" s="0" t="n">
        <v>6</v>
      </c>
      <c r="C2715" s="0" t="n">
        <v>7</v>
      </c>
      <c r="D2715" s="0" t="n">
        <f aca="false">-1+A2715*0.125</f>
        <v>0.125</v>
      </c>
      <c r="E2715" s="0" t="n">
        <f aca="false">-1+B2715*0.125</f>
        <v>-0.25</v>
      </c>
      <c r="F2715" s="0" t="n">
        <f aca="false">-1+C2715*0.125</f>
        <v>-0.125</v>
      </c>
      <c r="G2715" s="0" t="n">
        <f aca="false">1</f>
        <v>1</v>
      </c>
      <c r="H2715" s="0" t="n">
        <f aca="false">D2715</f>
        <v>0.125</v>
      </c>
      <c r="I2715" s="0" t="n">
        <f aca="false">E2715</f>
        <v>-0.25</v>
      </c>
      <c r="J2715" s="0" t="n">
        <f aca="false">F2715</f>
        <v>-0.125</v>
      </c>
      <c r="K2715" s="0" t="n">
        <f aca="false">D2715*E2715</f>
        <v>-0.03125</v>
      </c>
      <c r="L2715" s="0" t="n">
        <f aca="false">D2715*F2715</f>
        <v>-0.015625</v>
      </c>
      <c r="M2715" s="0" t="n">
        <f aca="false">E2715*F2715</f>
        <v>0.03125</v>
      </c>
      <c r="N2715" s="0" t="n">
        <f aca="false">D2715*D2715</f>
        <v>0.015625</v>
      </c>
      <c r="O2715" s="0" t="n">
        <f aca="false">E2715*E2715</f>
        <v>0.0625</v>
      </c>
      <c r="P2715" s="0" t="n">
        <f aca="false">F2715*F2715</f>
        <v>0.015625</v>
      </c>
      <c r="Q2715" s="0" t="n">
        <f aca="false">SUMPRODUCT(G2715:P2715,_XtX!$B$71:$K$71)</f>
        <v>47.8127272727273</v>
      </c>
      <c r="R2715" s="0" t="n">
        <f aca="false">SUMPRODUCT(MMULT(G2715:P2715,_XtX!$B$58:$K$67),G2715:P2715)</f>
        <v>0.120307506214489</v>
      </c>
      <c r="S2715" s="0" t="n">
        <f aca="false">04_回帰ANOVA!$K$19*04_回帰ANOVA!$K$14*SQRT(1+R2715)</f>
        <v>0.984090997684742</v>
      </c>
      <c r="T2715" s="0" t="n">
        <f aca="false">Q2715-S2715</f>
        <v>46.8286362750425</v>
      </c>
      <c r="U2715" s="0" t="n">
        <f aca="false">Q2715+S2715</f>
        <v>48.796818270412</v>
      </c>
      <c r="V2715" s="54" t="b">
        <f aca="false">AND(D2715&gt;=01_因子設定!$L$5-0.000000001,D2715&lt;=01_因子設定!$M$5+0.000000001,E2715&gt;=01_因子設定!$L$6-0.000000001,E2715&lt;=01_因子設定!$M$6+0.000000001,F2715&gt;=01_因子設定!$L$7-0.000000001,F2715&lt;=01_因子設定!$M$7+0.000000001,IF(01_因子設定!$B$20="Box-Behnken",D2715^2+E2715^2+F2715^2&lt;=2+0.000000001,TRUE()))</f>
        <v>1</v>
      </c>
      <c r="W2715" s="55" t="n">
        <f aca="false">IF(V2715,IF(01_因子設定!$B$13="最大化",T2715-01_因子設定!$B$14,IF(01_因子設定!$B$13="最小化",01_因子設定!$B$15-U2715,MIN(T2715-01_因子設定!$B$14,01_因子設定!$B$15-U2715))),-1E+030)</f>
        <v>-1.67136372495746</v>
      </c>
      <c r="X2715" s="55" t="n">
        <f aca="false">IF(V2715,IF(01_因子設定!$B$13="最大化",Q2715,IF(01_因子設定!$B$13="最小化",-Q2715,-ABS(Q2715-01_因子設定!$B$16))),-1E+030)</f>
        <v>47.8127272727273</v>
      </c>
      <c r="Y2715" s="55" t="n">
        <f aca="false">W2715+ROW()*0.000000001</f>
        <v>-1.67136100995746</v>
      </c>
      <c r="Z2715" s="55" t="n">
        <f aca="false">X2715+ROW()*0.000000001</f>
        <v>47.8127299877273</v>
      </c>
    </row>
    <row r="2716" customFormat="false" ht="15" hidden="false" customHeight="false" outlineLevel="0" collapsed="false">
      <c r="A2716" s="0" t="n">
        <v>9</v>
      </c>
      <c r="B2716" s="0" t="n">
        <v>6</v>
      </c>
      <c r="C2716" s="0" t="n">
        <v>8</v>
      </c>
      <c r="D2716" s="0" t="n">
        <f aca="false">-1+A2716*0.125</f>
        <v>0.125</v>
      </c>
      <c r="E2716" s="0" t="n">
        <f aca="false">-1+B2716*0.125</f>
        <v>-0.25</v>
      </c>
      <c r="F2716" s="0" t="n">
        <f aca="false">-1+C2716*0.125</f>
        <v>0</v>
      </c>
      <c r="G2716" s="0" t="n">
        <f aca="false">1</f>
        <v>1</v>
      </c>
      <c r="H2716" s="0" t="n">
        <f aca="false">D2716</f>
        <v>0.125</v>
      </c>
      <c r="I2716" s="0" t="n">
        <f aca="false">E2716</f>
        <v>-0.25</v>
      </c>
      <c r="J2716" s="0" t="n">
        <f aca="false">F2716</f>
        <v>0</v>
      </c>
      <c r="K2716" s="0" t="n">
        <f aca="false">D2716*E2716</f>
        <v>-0.03125</v>
      </c>
      <c r="L2716" s="0" t="n">
        <f aca="false">D2716*F2716</f>
        <v>0</v>
      </c>
      <c r="M2716" s="0" t="n">
        <f aca="false">E2716*F2716</f>
        <v>-0</v>
      </c>
      <c r="N2716" s="0" t="n">
        <f aca="false">D2716*D2716</f>
        <v>0.015625</v>
      </c>
      <c r="O2716" s="0" t="n">
        <f aca="false">E2716*E2716</f>
        <v>0.0625</v>
      </c>
      <c r="P2716" s="0" t="n">
        <f aca="false">F2716*F2716</f>
        <v>0</v>
      </c>
      <c r="Q2716" s="0" t="n">
        <f aca="false">SUMPRODUCT(G2716:P2716,_XtX!$B$71:$K$71)</f>
        <v>47.9872159090909</v>
      </c>
      <c r="R2716" s="0" t="n">
        <f aca="false">SUMPRODUCT(MMULT(G2716:P2716,_XtX!$B$58:$K$67),G2716:P2716)</f>
        <v>0.120257013494318</v>
      </c>
      <c r="S2716" s="0" t="n">
        <f aca="false">04_回帰ANOVA!$K$19*04_回帰ANOVA!$K$14*SQRT(1+R2716)</f>
        <v>0.984068820741811</v>
      </c>
      <c r="T2716" s="0" t="n">
        <f aca="false">Q2716-S2716</f>
        <v>47.0031470883491</v>
      </c>
      <c r="U2716" s="0" t="n">
        <f aca="false">Q2716+S2716</f>
        <v>48.9712847298327</v>
      </c>
      <c r="V2716" s="54" t="b">
        <f aca="false">AND(D2716&gt;=01_因子設定!$L$5-0.000000001,D2716&lt;=01_因子設定!$M$5+0.000000001,E2716&gt;=01_因子設定!$L$6-0.000000001,E2716&lt;=01_因子設定!$M$6+0.000000001,F2716&gt;=01_因子設定!$L$7-0.000000001,F2716&lt;=01_因子設定!$M$7+0.000000001,IF(01_因子設定!$B$20="Box-Behnken",D2716^2+E2716^2+F2716^2&lt;=2+0.000000001,TRUE()))</f>
        <v>1</v>
      </c>
      <c r="W2716" s="55" t="n">
        <f aca="false">IF(V2716,IF(01_因子設定!$B$13="最大化",T2716-01_因子設定!$B$14,IF(01_因子設定!$B$13="最小化",01_因子設定!$B$15-U2716,MIN(T2716-01_因子設定!$B$14,01_因子設定!$B$15-U2716))),-1E+030)</f>
        <v>-1.49685291165089</v>
      </c>
      <c r="X2716" s="55" t="n">
        <f aca="false">IF(V2716,IF(01_因子設定!$B$13="最大化",Q2716,IF(01_因子設定!$B$13="最小化",-Q2716,-ABS(Q2716-01_因子設定!$B$16))),-1E+030)</f>
        <v>47.9872159090909</v>
      </c>
      <c r="Y2716" s="55" t="n">
        <f aca="false">W2716+ROW()*0.000000001</f>
        <v>-1.49685019565089</v>
      </c>
      <c r="Z2716" s="55" t="n">
        <f aca="false">X2716+ROW()*0.000000001</f>
        <v>47.9872186250909</v>
      </c>
    </row>
    <row r="2717" customFormat="false" ht="15" hidden="false" customHeight="false" outlineLevel="0" collapsed="false">
      <c r="A2717" s="0" t="n">
        <v>9</v>
      </c>
      <c r="B2717" s="0" t="n">
        <v>6</v>
      </c>
      <c r="C2717" s="0" t="n">
        <v>9</v>
      </c>
      <c r="D2717" s="0" t="n">
        <f aca="false">-1+A2717*0.125</f>
        <v>0.125</v>
      </c>
      <c r="E2717" s="0" t="n">
        <f aca="false">-1+B2717*0.125</f>
        <v>-0.25</v>
      </c>
      <c r="F2717" s="0" t="n">
        <f aca="false">-1+C2717*0.125</f>
        <v>0.125</v>
      </c>
      <c r="G2717" s="0" t="n">
        <f aca="false">1</f>
        <v>1</v>
      </c>
      <c r="H2717" s="0" t="n">
        <f aca="false">D2717</f>
        <v>0.125</v>
      </c>
      <c r="I2717" s="0" t="n">
        <f aca="false">E2717</f>
        <v>-0.25</v>
      </c>
      <c r="J2717" s="0" t="n">
        <f aca="false">F2717</f>
        <v>0.125</v>
      </c>
      <c r="K2717" s="0" t="n">
        <f aca="false">D2717*E2717</f>
        <v>-0.03125</v>
      </c>
      <c r="L2717" s="0" t="n">
        <f aca="false">D2717*F2717</f>
        <v>0.015625</v>
      </c>
      <c r="M2717" s="0" t="n">
        <f aca="false">E2717*F2717</f>
        <v>-0.03125</v>
      </c>
      <c r="N2717" s="0" t="n">
        <f aca="false">D2717*D2717</f>
        <v>0.015625</v>
      </c>
      <c r="O2717" s="0" t="n">
        <f aca="false">E2717*E2717</f>
        <v>0.0625</v>
      </c>
      <c r="P2717" s="0" t="n">
        <f aca="false">F2717*F2717</f>
        <v>0.015625</v>
      </c>
      <c r="Q2717" s="0" t="n">
        <f aca="false">SUMPRODUCT(G2717:P2717,_XtX!$B$71:$K$71)</f>
        <v>48.1249147727273</v>
      </c>
      <c r="R2717" s="0" t="n">
        <f aca="false">SUMPRODUCT(MMULT(G2717:P2717,_XtX!$B$58:$K$67),G2717:P2717)</f>
        <v>0.120307506214489</v>
      </c>
      <c r="S2717" s="0" t="n">
        <f aca="false">04_回帰ANOVA!$K$19*04_回帰ANOVA!$K$14*SQRT(1+R2717)</f>
        <v>0.984090997684742</v>
      </c>
      <c r="T2717" s="0" t="n">
        <f aca="false">Q2717-S2717</f>
        <v>47.1408237750425</v>
      </c>
      <c r="U2717" s="0" t="n">
        <f aca="false">Q2717+S2717</f>
        <v>49.109005770412</v>
      </c>
      <c r="V2717" s="54" t="b">
        <f aca="false">AND(D2717&gt;=01_因子設定!$L$5-0.000000001,D2717&lt;=01_因子設定!$M$5+0.000000001,E2717&gt;=01_因子設定!$L$6-0.000000001,E2717&lt;=01_因子設定!$M$6+0.000000001,F2717&gt;=01_因子設定!$L$7-0.000000001,F2717&lt;=01_因子設定!$M$7+0.000000001,IF(01_因子設定!$B$20="Box-Behnken",D2717^2+E2717^2+F2717^2&lt;=2+0.000000001,TRUE()))</f>
        <v>1</v>
      </c>
      <c r="W2717" s="55" t="n">
        <f aca="false">IF(V2717,IF(01_因子設定!$B$13="最大化",T2717-01_因子設定!$B$14,IF(01_因子設定!$B$13="最小化",01_因子設定!$B$15-U2717,MIN(T2717-01_因子設定!$B$14,01_因子設定!$B$15-U2717))),-1E+030)</f>
        <v>-1.35917622495746</v>
      </c>
      <c r="X2717" s="55" t="n">
        <f aca="false">IF(V2717,IF(01_因子設定!$B$13="最大化",Q2717,IF(01_因子設定!$B$13="最小化",-Q2717,-ABS(Q2717-01_因子設定!$B$16))),-1E+030)</f>
        <v>48.1249147727273</v>
      </c>
      <c r="Y2717" s="55" t="n">
        <f aca="false">W2717+ROW()*0.000000001</f>
        <v>-1.35917350795746</v>
      </c>
      <c r="Z2717" s="55" t="n">
        <f aca="false">X2717+ROW()*0.000000001</f>
        <v>48.1249174897273</v>
      </c>
    </row>
    <row r="2718" customFormat="false" ht="15" hidden="false" customHeight="false" outlineLevel="0" collapsed="false">
      <c r="A2718" s="0" t="n">
        <v>9</v>
      </c>
      <c r="B2718" s="0" t="n">
        <v>6</v>
      </c>
      <c r="C2718" s="0" t="n">
        <v>10</v>
      </c>
      <c r="D2718" s="0" t="n">
        <f aca="false">-1+A2718*0.125</f>
        <v>0.125</v>
      </c>
      <c r="E2718" s="0" t="n">
        <f aca="false">-1+B2718*0.125</f>
        <v>-0.25</v>
      </c>
      <c r="F2718" s="0" t="n">
        <f aca="false">-1+C2718*0.125</f>
        <v>0.25</v>
      </c>
      <c r="G2718" s="0" t="n">
        <f aca="false">1</f>
        <v>1</v>
      </c>
      <c r="H2718" s="0" t="n">
        <f aca="false">D2718</f>
        <v>0.125</v>
      </c>
      <c r="I2718" s="0" t="n">
        <f aca="false">E2718</f>
        <v>-0.25</v>
      </c>
      <c r="J2718" s="0" t="n">
        <f aca="false">F2718</f>
        <v>0.25</v>
      </c>
      <c r="K2718" s="0" t="n">
        <f aca="false">D2718*E2718</f>
        <v>-0.03125</v>
      </c>
      <c r="L2718" s="0" t="n">
        <f aca="false">D2718*F2718</f>
        <v>0.03125</v>
      </c>
      <c r="M2718" s="0" t="n">
        <f aca="false">E2718*F2718</f>
        <v>-0.0625</v>
      </c>
      <c r="N2718" s="0" t="n">
        <f aca="false">D2718*D2718</f>
        <v>0.015625</v>
      </c>
      <c r="O2718" s="0" t="n">
        <f aca="false">E2718*E2718</f>
        <v>0.0625</v>
      </c>
      <c r="P2718" s="0" t="n">
        <f aca="false">F2718*F2718</f>
        <v>0.0625</v>
      </c>
      <c r="Q2718" s="0" t="n">
        <f aca="false">SUMPRODUCT(G2718:P2718,_XtX!$B$71:$K$71)</f>
        <v>48.2258238636364</v>
      </c>
      <c r="R2718" s="0" t="n">
        <f aca="false">SUMPRODUCT(MMULT(G2718:P2718,_XtX!$B$58:$K$67),G2718:P2718)</f>
        <v>0.121524325284091</v>
      </c>
      <c r="S2718" s="0" t="n">
        <f aca="false">04_回帰ANOVA!$K$19*04_回帰ANOVA!$K$14*SQRT(1+R2718)</f>
        <v>0.984625286577447</v>
      </c>
      <c r="T2718" s="0" t="n">
        <f aca="false">Q2718-S2718</f>
        <v>47.2411985770589</v>
      </c>
      <c r="U2718" s="0" t="n">
        <f aca="false">Q2718+S2718</f>
        <v>49.2104491502138</v>
      </c>
      <c r="V2718" s="54" t="b">
        <f aca="false">AND(D2718&gt;=01_因子設定!$L$5-0.000000001,D2718&lt;=01_因子設定!$M$5+0.000000001,E2718&gt;=01_因子設定!$L$6-0.000000001,E2718&lt;=01_因子設定!$M$6+0.000000001,F2718&gt;=01_因子設定!$L$7-0.000000001,F2718&lt;=01_因子設定!$M$7+0.000000001,IF(01_因子設定!$B$20="Box-Behnken",D2718^2+E2718^2+F2718^2&lt;=2+0.000000001,TRUE()))</f>
        <v>1</v>
      </c>
      <c r="W2718" s="55" t="n">
        <f aca="false">IF(V2718,IF(01_因子設定!$B$13="最大化",T2718-01_因子設定!$B$14,IF(01_因子設定!$B$13="最小化",01_因子設定!$B$15-U2718,MIN(T2718-01_因子設定!$B$14,01_因子設定!$B$15-U2718))),-1E+030)</f>
        <v>-1.25880142294108</v>
      </c>
      <c r="X2718" s="55" t="n">
        <f aca="false">IF(V2718,IF(01_因子設定!$B$13="最大化",Q2718,IF(01_因子設定!$B$13="最小化",-Q2718,-ABS(Q2718-01_因子設定!$B$16))),-1E+030)</f>
        <v>48.2258238636364</v>
      </c>
      <c r="Y2718" s="55" t="n">
        <f aca="false">W2718+ROW()*0.000000001</f>
        <v>-1.25879870494108</v>
      </c>
      <c r="Z2718" s="55" t="n">
        <f aca="false">X2718+ROW()*0.000000001</f>
        <v>48.2258265816364</v>
      </c>
    </row>
    <row r="2719" customFormat="false" ht="15" hidden="false" customHeight="false" outlineLevel="0" collapsed="false">
      <c r="A2719" s="0" t="n">
        <v>9</v>
      </c>
      <c r="B2719" s="0" t="n">
        <v>6</v>
      </c>
      <c r="C2719" s="0" t="n">
        <v>11</v>
      </c>
      <c r="D2719" s="0" t="n">
        <f aca="false">-1+A2719*0.125</f>
        <v>0.125</v>
      </c>
      <c r="E2719" s="0" t="n">
        <f aca="false">-1+B2719*0.125</f>
        <v>-0.25</v>
      </c>
      <c r="F2719" s="0" t="n">
        <f aca="false">-1+C2719*0.125</f>
        <v>0.375</v>
      </c>
      <c r="G2719" s="0" t="n">
        <f aca="false">1</f>
        <v>1</v>
      </c>
      <c r="H2719" s="0" t="n">
        <f aca="false">D2719</f>
        <v>0.125</v>
      </c>
      <c r="I2719" s="0" t="n">
        <f aca="false">E2719</f>
        <v>-0.25</v>
      </c>
      <c r="J2719" s="0" t="n">
        <f aca="false">F2719</f>
        <v>0.375</v>
      </c>
      <c r="K2719" s="0" t="n">
        <f aca="false">D2719*E2719</f>
        <v>-0.03125</v>
      </c>
      <c r="L2719" s="0" t="n">
        <f aca="false">D2719*F2719</f>
        <v>0.046875</v>
      </c>
      <c r="M2719" s="0" t="n">
        <f aca="false">E2719*F2719</f>
        <v>-0.09375</v>
      </c>
      <c r="N2719" s="0" t="n">
        <f aca="false">D2719*D2719</f>
        <v>0.015625</v>
      </c>
      <c r="O2719" s="0" t="n">
        <f aca="false">E2719*E2719</f>
        <v>0.0625</v>
      </c>
      <c r="P2719" s="0" t="n">
        <f aca="false">F2719*F2719</f>
        <v>0.140625</v>
      </c>
      <c r="Q2719" s="0" t="n">
        <f aca="false">SUMPRODUCT(G2719:P2719,_XtX!$B$71:$K$71)</f>
        <v>48.2899431818182</v>
      </c>
      <c r="R2719" s="0" t="n">
        <f aca="false">SUMPRODUCT(MMULT(G2719:P2719,_XtX!$B$58:$K$67),G2719:P2719)</f>
        <v>0.127103493430398</v>
      </c>
      <c r="S2719" s="0" t="n">
        <f aca="false">04_回帰ANOVA!$K$19*04_回帰ANOVA!$K$14*SQRT(1+R2719)</f>
        <v>0.987071321387587</v>
      </c>
      <c r="T2719" s="0" t="n">
        <f aca="false">Q2719-S2719</f>
        <v>47.3028718604306</v>
      </c>
      <c r="U2719" s="0" t="n">
        <f aca="false">Q2719+S2719</f>
        <v>49.2770145032058</v>
      </c>
      <c r="V2719" s="54" t="b">
        <f aca="false">AND(D2719&gt;=01_因子設定!$L$5-0.000000001,D2719&lt;=01_因子設定!$M$5+0.000000001,E2719&gt;=01_因子設定!$L$6-0.000000001,E2719&lt;=01_因子設定!$M$6+0.000000001,F2719&gt;=01_因子設定!$L$7-0.000000001,F2719&lt;=01_因子設定!$M$7+0.000000001,IF(01_因子設定!$B$20="Box-Behnken",D2719^2+E2719^2+F2719^2&lt;=2+0.000000001,TRUE()))</f>
        <v>1</v>
      </c>
      <c r="W2719" s="55" t="n">
        <f aca="false">IF(V2719,IF(01_因子設定!$B$13="最大化",T2719-01_因子設定!$B$14,IF(01_因子設定!$B$13="最小化",01_因子設定!$B$15-U2719,MIN(T2719-01_因子設定!$B$14,01_因子設定!$B$15-U2719))),-1E+030)</f>
        <v>-1.19712813956939</v>
      </c>
      <c r="X2719" s="55" t="n">
        <f aca="false">IF(V2719,IF(01_因子設定!$B$13="最大化",Q2719,IF(01_因子設定!$B$13="最小化",-Q2719,-ABS(Q2719-01_因子設定!$B$16))),-1E+030)</f>
        <v>48.2899431818182</v>
      </c>
      <c r="Y2719" s="55" t="n">
        <f aca="false">W2719+ROW()*0.000000001</f>
        <v>-1.19712542056939</v>
      </c>
      <c r="Z2719" s="55" t="n">
        <f aca="false">X2719+ROW()*0.000000001</f>
        <v>48.2899459008182</v>
      </c>
    </row>
    <row r="2720" customFormat="false" ht="15" hidden="false" customHeight="false" outlineLevel="0" collapsed="false">
      <c r="A2720" s="0" t="n">
        <v>9</v>
      </c>
      <c r="B2720" s="0" t="n">
        <v>6</v>
      </c>
      <c r="C2720" s="0" t="n">
        <v>12</v>
      </c>
      <c r="D2720" s="0" t="n">
        <f aca="false">-1+A2720*0.125</f>
        <v>0.125</v>
      </c>
      <c r="E2720" s="0" t="n">
        <f aca="false">-1+B2720*0.125</f>
        <v>-0.25</v>
      </c>
      <c r="F2720" s="0" t="n">
        <f aca="false">-1+C2720*0.125</f>
        <v>0.5</v>
      </c>
      <c r="G2720" s="0" t="n">
        <f aca="false">1</f>
        <v>1</v>
      </c>
      <c r="H2720" s="0" t="n">
        <f aca="false">D2720</f>
        <v>0.125</v>
      </c>
      <c r="I2720" s="0" t="n">
        <f aca="false">E2720</f>
        <v>-0.25</v>
      </c>
      <c r="J2720" s="0" t="n">
        <f aca="false">F2720</f>
        <v>0.5</v>
      </c>
      <c r="K2720" s="0" t="n">
        <f aca="false">D2720*E2720</f>
        <v>-0.03125</v>
      </c>
      <c r="L2720" s="0" t="n">
        <f aca="false">D2720*F2720</f>
        <v>0.0625</v>
      </c>
      <c r="M2720" s="0" t="n">
        <f aca="false">E2720*F2720</f>
        <v>-0.125</v>
      </c>
      <c r="N2720" s="0" t="n">
        <f aca="false">D2720*D2720</f>
        <v>0.015625</v>
      </c>
      <c r="O2720" s="0" t="n">
        <f aca="false">E2720*E2720</f>
        <v>0.0625</v>
      </c>
      <c r="P2720" s="0" t="n">
        <f aca="false">F2720*F2720</f>
        <v>0.25</v>
      </c>
      <c r="Q2720" s="0" t="n">
        <f aca="false">SUMPRODUCT(G2720:P2720,_XtX!$B$71:$K$71)</f>
        <v>48.3172727272727</v>
      </c>
      <c r="R2720" s="0" t="n">
        <f aca="false">SUMPRODUCT(MMULT(G2720:P2720,_XtX!$B$58:$K$67),G2720:P2720)</f>
        <v>0.142371715198864</v>
      </c>
      <c r="S2720" s="0" t="n">
        <f aca="false">04_回帰ANOVA!$K$19*04_回帰ANOVA!$K$14*SQRT(1+R2720)</f>
        <v>0.99373447511735</v>
      </c>
      <c r="T2720" s="0" t="n">
        <f aca="false">Q2720-S2720</f>
        <v>47.3235382521554</v>
      </c>
      <c r="U2720" s="0" t="n">
        <f aca="false">Q2720+S2720</f>
        <v>49.3110072023901</v>
      </c>
      <c r="V2720" s="54" t="b">
        <f aca="false">AND(D2720&gt;=01_因子設定!$L$5-0.000000001,D2720&lt;=01_因子設定!$M$5+0.000000001,E2720&gt;=01_因子設定!$L$6-0.000000001,E2720&lt;=01_因子設定!$M$6+0.000000001,F2720&gt;=01_因子設定!$L$7-0.000000001,F2720&lt;=01_因子設定!$M$7+0.000000001,IF(01_因子設定!$B$20="Box-Behnken",D2720^2+E2720^2+F2720^2&lt;=2+0.000000001,TRUE()))</f>
        <v>1</v>
      </c>
      <c r="W2720" s="55" t="n">
        <f aca="false">IF(V2720,IF(01_因子設定!$B$13="最大化",T2720-01_因子設定!$B$14,IF(01_因子設定!$B$13="最小化",01_因子設定!$B$15-U2720,MIN(T2720-01_因子設定!$B$14,01_因子設定!$B$15-U2720))),-1E+030)</f>
        <v>-1.17646174784461</v>
      </c>
      <c r="X2720" s="55" t="n">
        <f aca="false">IF(V2720,IF(01_因子設定!$B$13="最大化",Q2720,IF(01_因子設定!$B$13="最小化",-Q2720,-ABS(Q2720-01_因子設定!$B$16))),-1E+030)</f>
        <v>48.3172727272727</v>
      </c>
      <c r="Y2720" s="55" t="n">
        <f aca="false">W2720+ROW()*0.000000001</f>
        <v>-1.17645902784461</v>
      </c>
      <c r="Z2720" s="55" t="n">
        <f aca="false">X2720+ROW()*0.000000001</f>
        <v>48.3172754472727</v>
      </c>
    </row>
    <row r="2721" customFormat="false" ht="15" hidden="false" customHeight="false" outlineLevel="0" collapsed="false">
      <c r="A2721" s="0" t="n">
        <v>9</v>
      </c>
      <c r="B2721" s="0" t="n">
        <v>6</v>
      </c>
      <c r="C2721" s="0" t="n">
        <v>13</v>
      </c>
      <c r="D2721" s="0" t="n">
        <f aca="false">-1+A2721*0.125</f>
        <v>0.125</v>
      </c>
      <c r="E2721" s="0" t="n">
        <f aca="false">-1+B2721*0.125</f>
        <v>-0.25</v>
      </c>
      <c r="F2721" s="0" t="n">
        <f aca="false">-1+C2721*0.125</f>
        <v>0.625</v>
      </c>
      <c r="G2721" s="0" t="n">
        <f aca="false">1</f>
        <v>1</v>
      </c>
      <c r="H2721" s="0" t="n">
        <f aca="false">D2721</f>
        <v>0.125</v>
      </c>
      <c r="I2721" s="0" t="n">
        <f aca="false">E2721</f>
        <v>-0.25</v>
      </c>
      <c r="J2721" s="0" t="n">
        <f aca="false">F2721</f>
        <v>0.625</v>
      </c>
      <c r="K2721" s="0" t="n">
        <f aca="false">D2721*E2721</f>
        <v>-0.03125</v>
      </c>
      <c r="L2721" s="0" t="n">
        <f aca="false">D2721*F2721</f>
        <v>0.078125</v>
      </c>
      <c r="M2721" s="0" t="n">
        <f aca="false">E2721*F2721</f>
        <v>-0.15625</v>
      </c>
      <c r="N2721" s="0" t="n">
        <f aca="false">D2721*D2721</f>
        <v>0.015625</v>
      </c>
      <c r="O2721" s="0" t="n">
        <f aca="false">E2721*E2721</f>
        <v>0.0625</v>
      </c>
      <c r="P2721" s="0" t="n">
        <f aca="false">F2721*F2721</f>
        <v>0.390625</v>
      </c>
      <c r="Q2721" s="0" t="n">
        <f aca="false">SUMPRODUCT(G2721:P2721,_XtX!$B$71:$K$71)</f>
        <v>48.3078125</v>
      </c>
      <c r="R2721" s="0" t="n">
        <f aca="false">SUMPRODUCT(MMULT(G2721:P2721,_XtX!$B$58:$K$67),G2721:P2721)</f>
        <v>0.174786376953125</v>
      </c>
      <c r="S2721" s="0" t="n">
        <f aca="false">04_回帰ANOVA!$K$19*04_回帰ANOVA!$K$14*SQRT(1+R2721)</f>
        <v>1.00773440704286</v>
      </c>
      <c r="T2721" s="0" t="n">
        <f aca="false">Q2721-S2721</f>
        <v>47.3000780929572</v>
      </c>
      <c r="U2721" s="0" t="n">
        <f aca="false">Q2721+S2721</f>
        <v>49.3155469070429</v>
      </c>
      <c r="V2721" s="54" t="b">
        <f aca="false">AND(D2721&gt;=01_因子設定!$L$5-0.000000001,D2721&lt;=01_因子設定!$M$5+0.000000001,E2721&gt;=01_因子設定!$L$6-0.000000001,E2721&lt;=01_因子設定!$M$6+0.000000001,F2721&gt;=01_因子設定!$L$7-0.000000001,F2721&lt;=01_因子設定!$M$7+0.000000001,IF(01_因子設定!$B$20="Box-Behnken",D2721^2+E2721^2+F2721^2&lt;=2+0.000000001,TRUE()))</f>
        <v>1</v>
      </c>
      <c r="W2721" s="55" t="n">
        <f aca="false">IF(V2721,IF(01_因子設定!$B$13="最大化",T2721-01_因子設定!$B$14,IF(01_因子設定!$B$13="最小化",01_因子設定!$B$15-U2721,MIN(T2721-01_因子設定!$B$14,01_因子設定!$B$15-U2721))),-1E+030)</f>
        <v>-1.19992190704284</v>
      </c>
      <c r="X2721" s="55" t="n">
        <f aca="false">IF(V2721,IF(01_因子設定!$B$13="最大化",Q2721,IF(01_因子設定!$B$13="最小化",-Q2721,-ABS(Q2721-01_因子設定!$B$16))),-1E+030)</f>
        <v>48.3078125</v>
      </c>
      <c r="Y2721" s="55" t="n">
        <f aca="false">W2721+ROW()*0.000000001</f>
        <v>-1.19991918604284</v>
      </c>
      <c r="Z2721" s="55" t="n">
        <f aca="false">X2721+ROW()*0.000000001</f>
        <v>48.307815221</v>
      </c>
    </row>
    <row r="2722" customFormat="false" ht="15" hidden="false" customHeight="false" outlineLevel="0" collapsed="false">
      <c r="A2722" s="0" t="n">
        <v>9</v>
      </c>
      <c r="B2722" s="0" t="n">
        <v>6</v>
      </c>
      <c r="C2722" s="0" t="n">
        <v>14</v>
      </c>
      <c r="D2722" s="0" t="n">
        <f aca="false">-1+A2722*0.125</f>
        <v>0.125</v>
      </c>
      <c r="E2722" s="0" t="n">
        <f aca="false">-1+B2722*0.125</f>
        <v>-0.25</v>
      </c>
      <c r="F2722" s="0" t="n">
        <f aca="false">-1+C2722*0.125</f>
        <v>0.75</v>
      </c>
      <c r="G2722" s="0" t="n">
        <f aca="false">1</f>
        <v>1</v>
      </c>
      <c r="H2722" s="0" t="n">
        <f aca="false">D2722</f>
        <v>0.125</v>
      </c>
      <c r="I2722" s="0" t="n">
        <f aca="false">E2722</f>
        <v>-0.25</v>
      </c>
      <c r="J2722" s="0" t="n">
        <f aca="false">F2722</f>
        <v>0.75</v>
      </c>
      <c r="K2722" s="0" t="n">
        <f aca="false">D2722*E2722</f>
        <v>-0.03125</v>
      </c>
      <c r="L2722" s="0" t="n">
        <f aca="false">D2722*F2722</f>
        <v>0.09375</v>
      </c>
      <c r="M2722" s="0" t="n">
        <f aca="false">E2722*F2722</f>
        <v>-0.1875</v>
      </c>
      <c r="N2722" s="0" t="n">
        <f aca="false">D2722*D2722</f>
        <v>0.015625</v>
      </c>
      <c r="O2722" s="0" t="n">
        <f aca="false">E2722*E2722</f>
        <v>0.0625</v>
      </c>
      <c r="P2722" s="0" t="n">
        <f aca="false">F2722*F2722</f>
        <v>0.5625</v>
      </c>
      <c r="Q2722" s="0" t="n">
        <f aca="false">SUMPRODUCT(G2722:P2722,_XtX!$B$71:$K$71)</f>
        <v>48.2615625</v>
      </c>
      <c r="R2722" s="0" t="n">
        <f aca="false">SUMPRODUCT(MMULT(G2722:P2722,_XtX!$B$58:$K$67),G2722:P2722)</f>
        <v>0.233935546875</v>
      </c>
      <c r="S2722" s="0" t="n">
        <f aca="false">04_回帰ANOVA!$K$19*04_回帰ANOVA!$K$14*SQRT(1+R2722)</f>
        <v>1.03279202033444</v>
      </c>
      <c r="T2722" s="0" t="n">
        <f aca="false">Q2722-S2722</f>
        <v>47.2287704796656</v>
      </c>
      <c r="U2722" s="0" t="n">
        <f aca="false">Q2722+S2722</f>
        <v>49.2943545203345</v>
      </c>
      <c r="V2722" s="54" t="b">
        <f aca="false">AND(D2722&gt;=01_因子設定!$L$5-0.000000001,D2722&lt;=01_因子設定!$M$5+0.000000001,E2722&gt;=01_因子設定!$L$6-0.000000001,E2722&lt;=01_因子設定!$M$6+0.000000001,F2722&gt;=01_因子設定!$L$7-0.000000001,F2722&lt;=01_因子設定!$M$7+0.000000001,IF(01_因子設定!$B$20="Box-Behnken",D2722^2+E2722^2+F2722^2&lt;=2+0.000000001,TRUE()))</f>
        <v>1</v>
      </c>
      <c r="W2722" s="55" t="n">
        <f aca="false">IF(V2722,IF(01_因子設定!$B$13="最大化",T2722-01_因子設定!$B$14,IF(01_因子設定!$B$13="最小化",01_因子設定!$B$15-U2722,MIN(T2722-01_因子設定!$B$14,01_因子設定!$B$15-U2722))),-1E+030)</f>
        <v>-1.27122952033442</v>
      </c>
      <c r="X2722" s="55" t="n">
        <f aca="false">IF(V2722,IF(01_因子設定!$B$13="最大化",Q2722,IF(01_因子設定!$B$13="最小化",-Q2722,-ABS(Q2722-01_因子設定!$B$16))),-1E+030)</f>
        <v>48.2615625</v>
      </c>
      <c r="Y2722" s="55" t="n">
        <f aca="false">W2722+ROW()*0.000000001</f>
        <v>-1.27122679833442</v>
      </c>
      <c r="Z2722" s="55" t="n">
        <f aca="false">X2722+ROW()*0.000000001</f>
        <v>48.261565222</v>
      </c>
    </row>
    <row r="2723" customFormat="false" ht="15" hidden="false" customHeight="false" outlineLevel="0" collapsed="false">
      <c r="A2723" s="0" t="n">
        <v>9</v>
      </c>
      <c r="B2723" s="0" t="n">
        <v>6</v>
      </c>
      <c r="C2723" s="0" t="n">
        <v>15</v>
      </c>
      <c r="D2723" s="0" t="n">
        <f aca="false">-1+A2723*0.125</f>
        <v>0.125</v>
      </c>
      <c r="E2723" s="0" t="n">
        <f aca="false">-1+B2723*0.125</f>
        <v>-0.25</v>
      </c>
      <c r="F2723" s="0" t="n">
        <f aca="false">-1+C2723*0.125</f>
        <v>0.875</v>
      </c>
      <c r="G2723" s="0" t="n">
        <f aca="false">1</f>
        <v>1</v>
      </c>
      <c r="H2723" s="0" t="n">
        <f aca="false">D2723</f>
        <v>0.125</v>
      </c>
      <c r="I2723" s="0" t="n">
        <f aca="false">E2723</f>
        <v>-0.25</v>
      </c>
      <c r="J2723" s="0" t="n">
        <f aca="false">F2723</f>
        <v>0.875</v>
      </c>
      <c r="K2723" s="0" t="n">
        <f aca="false">D2723*E2723</f>
        <v>-0.03125</v>
      </c>
      <c r="L2723" s="0" t="n">
        <f aca="false">D2723*F2723</f>
        <v>0.109375</v>
      </c>
      <c r="M2723" s="0" t="n">
        <f aca="false">E2723*F2723</f>
        <v>-0.21875</v>
      </c>
      <c r="N2723" s="0" t="n">
        <f aca="false">D2723*D2723</f>
        <v>0.015625</v>
      </c>
      <c r="O2723" s="0" t="n">
        <f aca="false">E2723*E2723</f>
        <v>0.0625</v>
      </c>
      <c r="P2723" s="0" t="n">
        <f aca="false">F2723*F2723</f>
        <v>0.765625</v>
      </c>
      <c r="Q2723" s="0" t="n">
        <f aca="false">SUMPRODUCT(G2723:P2723,_XtX!$B$71:$K$71)</f>
        <v>48.1785227272728</v>
      </c>
      <c r="R2723" s="0" t="n">
        <f aca="false">SUMPRODUCT(MMULT(G2723:P2723,_XtX!$B$58:$K$67),G2723:P2723)</f>
        <v>0.331537974964489</v>
      </c>
      <c r="S2723" s="0" t="n">
        <f aca="false">04_回帰ANOVA!$K$19*04_回帰ANOVA!$K$14*SQRT(1+R2723)</f>
        <v>1.07286089161565</v>
      </c>
      <c r="T2723" s="0" t="n">
        <f aca="false">Q2723-S2723</f>
        <v>47.1056618356571</v>
      </c>
      <c r="U2723" s="0" t="n">
        <f aca="false">Q2723+S2723</f>
        <v>49.2513836188884</v>
      </c>
      <c r="V2723" s="54" t="b">
        <f aca="false">AND(D2723&gt;=01_因子設定!$L$5-0.000000001,D2723&lt;=01_因子設定!$M$5+0.000000001,E2723&gt;=01_因子設定!$L$6-0.000000001,E2723&lt;=01_因子設定!$M$6+0.000000001,F2723&gt;=01_因子設定!$L$7-0.000000001,F2723&lt;=01_因子設定!$M$7+0.000000001,IF(01_因子設定!$B$20="Box-Behnken",D2723^2+E2723^2+F2723^2&lt;=2+0.000000001,TRUE()))</f>
        <v>1</v>
      </c>
      <c r="W2723" s="55" t="n">
        <f aca="false">IF(V2723,IF(01_因子設定!$B$13="最大化",T2723-01_因子設定!$B$14,IF(01_因子設定!$B$13="最小化",01_因子設定!$B$15-U2723,MIN(T2723-01_因子設定!$B$14,01_因子設定!$B$15-U2723))),-1E+030)</f>
        <v>-1.39433816434291</v>
      </c>
      <c r="X2723" s="55" t="n">
        <f aca="false">IF(V2723,IF(01_因子設定!$B$13="最大化",Q2723,IF(01_因子設定!$B$13="最小化",-Q2723,-ABS(Q2723-01_因子設定!$B$16))),-1E+030)</f>
        <v>48.1785227272728</v>
      </c>
      <c r="Y2723" s="55" t="n">
        <f aca="false">W2723+ROW()*0.000000001</f>
        <v>-1.39433544134291</v>
      </c>
      <c r="Z2723" s="55" t="n">
        <f aca="false">X2723+ROW()*0.000000001</f>
        <v>48.1785254502728</v>
      </c>
    </row>
    <row r="2724" customFormat="false" ht="15" hidden="false" customHeight="false" outlineLevel="0" collapsed="false">
      <c r="A2724" s="0" t="n">
        <v>9</v>
      </c>
      <c r="B2724" s="0" t="n">
        <v>6</v>
      </c>
      <c r="C2724" s="0" t="n">
        <v>16</v>
      </c>
      <c r="D2724" s="0" t="n">
        <f aca="false">-1+A2724*0.125</f>
        <v>0.125</v>
      </c>
      <c r="E2724" s="0" t="n">
        <f aca="false">-1+B2724*0.125</f>
        <v>-0.25</v>
      </c>
      <c r="F2724" s="0" t="n">
        <f aca="false">-1+C2724*0.125</f>
        <v>1</v>
      </c>
      <c r="G2724" s="0" t="n">
        <f aca="false">1</f>
        <v>1</v>
      </c>
      <c r="H2724" s="0" t="n">
        <f aca="false">D2724</f>
        <v>0.125</v>
      </c>
      <c r="I2724" s="0" t="n">
        <f aca="false">E2724</f>
        <v>-0.25</v>
      </c>
      <c r="J2724" s="0" t="n">
        <f aca="false">F2724</f>
        <v>1</v>
      </c>
      <c r="K2724" s="0" t="n">
        <f aca="false">D2724*E2724</f>
        <v>-0.03125</v>
      </c>
      <c r="L2724" s="0" t="n">
        <f aca="false">D2724*F2724</f>
        <v>0.125</v>
      </c>
      <c r="M2724" s="0" t="n">
        <f aca="false">E2724*F2724</f>
        <v>-0.25</v>
      </c>
      <c r="N2724" s="0" t="n">
        <f aca="false">D2724*D2724</f>
        <v>0.015625</v>
      </c>
      <c r="O2724" s="0" t="n">
        <f aca="false">E2724*E2724</f>
        <v>0.0625</v>
      </c>
      <c r="P2724" s="0" t="n">
        <f aca="false">F2724*F2724</f>
        <v>1</v>
      </c>
      <c r="Q2724" s="0" t="n">
        <f aca="false">SUMPRODUCT(G2724:P2724,_XtX!$B$71:$K$71)</f>
        <v>48.0586931818182</v>
      </c>
      <c r="R2724" s="0" t="n">
        <f aca="false">SUMPRODUCT(MMULT(G2724:P2724,_XtX!$B$58:$K$67),G2724:P2724)</f>
        <v>0.481443093039773</v>
      </c>
      <c r="S2724" s="0" t="n">
        <f aca="false">04_回帰ANOVA!$K$19*04_回帰ANOVA!$K$14*SQRT(1+R2724)</f>
        <v>1.13164216995877</v>
      </c>
      <c r="T2724" s="0" t="n">
        <f aca="false">Q2724-S2724</f>
        <v>46.9270510118594</v>
      </c>
      <c r="U2724" s="0" t="n">
        <f aca="false">Q2724+S2724</f>
        <v>49.190335351777</v>
      </c>
      <c r="V2724" s="54" t="b">
        <f aca="false">AND(D2724&gt;=01_因子設定!$L$5-0.000000001,D2724&lt;=01_因子設定!$M$5+0.000000001,E2724&gt;=01_因子設定!$L$6-0.000000001,E2724&lt;=01_因子設定!$M$6+0.000000001,F2724&gt;=01_因子設定!$L$7-0.000000001,F2724&lt;=01_因子設定!$M$7+0.000000001,IF(01_因子設定!$B$20="Box-Behnken",D2724^2+E2724^2+F2724^2&lt;=2+0.000000001,TRUE()))</f>
        <v>1</v>
      </c>
      <c r="W2724" s="55" t="n">
        <f aca="false">IF(V2724,IF(01_因子設定!$B$13="最大化",T2724-01_因子設定!$B$14,IF(01_因子設定!$B$13="最小化",01_因子設定!$B$15-U2724,MIN(T2724-01_因子設定!$B$14,01_因子設定!$B$15-U2724))),-1E+030)</f>
        <v>-1.57294898814056</v>
      </c>
      <c r="X2724" s="55" t="n">
        <f aca="false">IF(V2724,IF(01_因子設定!$B$13="最大化",Q2724,IF(01_因子設定!$B$13="最小化",-Q2724,-ABS(Q2724-01_因子設定!$B$16))),-1E+030)</f>
        <v>48.0586931818182</v>
      </c>
      <c r="Y2724" s="55" t="n">
        <f aca="false">W2724+ROW()*0.000000001</f>
        <v>-1.57294626414056</v>
      </c>
      <c r="Z2724" s="55" t="n">
        <f aca="false">X2724+ROW()*0.000000001</f>
        <v>48.0586959058182</v>
      </c>
    </row>
    <row r="2725" customFormat="false" ht="15" hidden="false" customHeight="false" outlineLevel="0" collapsed="false">
      <c r="A2725" s="0" t="n">
        <v>9</v>
      </c>
      <c r="B2725" s="0" t="n">
        <v>7</v>
      </c>
      <c r="C2725" s="0" t="n">
        <v>0</v>
      </c>
      <c r="D2725" s="0" t="n">
        <f aca="false">-1+A2725*0.125</f>
        <v>0.125</v>
      </c>
      <c r="E2725" s="0" t="n">
        <f aca="false">-1+B2725*0.125</f>
        <v>-0.125</v>
      </c>
      <c r="F2725" s="0" t="n">
        <f aca="false">-1+C2725*0.125</f>
        <v>-1</v>
      </c>
      <c r="G2725" s="0" t="n">
        <f aca="false">1</f>
        <v>1</v>
      </c>
      <c r="H2725" s="0" t="n">
        <f aca="false">D2725</f>
        <v>0.125</v>
      </c>
      <c r="I2725" s="0" t="n">
        <f aca="false">E2725</f>
        <v>-0.125</v>
      </c>
      <c r="J2725" s="0" t="n">
        <f aca="false">F2725</f>
        <v>-1</v>
      </c>
      <c r="K2725" s="0" t="n">
        <f aca="false">D2725*E2725</f>
        <v>-0.015625</v>
      </c>
      <c r="L2725" s="0" t="n">
        <f aca="false">D2725*F2725</f>
        <v>-0.125</v>
      </c>
      <c r="M2725" s="0" t="n">
        <f aca="false">E2725*F2725</f>
        <v>0.125</v>
      </c>
      <c r="N2725" s="0" t="n">
        <f aca="false">D2725*D2725</f>
        <v>0.015625</v>
      </c>
      <c r="O2725" s="0" t="n">
        <f aca="false">E2725*E2725</f>
        <v>0.015625</v>
      </c>
      <c r="P2725" s="0" t="n">
        <f aca="false">F2725*F2725</f>
        <v>1</v>
      </c>
      <c r="Q2725" s="0" t="n">
        <f aca="false">SUMPRODUCT(G2725:P2725,_XtX!$B$71:$K$71)</f>
        <v>45.8778622159091</v>
      </c>
      <c r="R2725" s="0" t="n">
        <f aca="false">SUMPRODUCT(MMULT(G2725:P2725,_XtX!$B$58:$K$67),G2725:P2725)</f>
        <v>0.486718195134943</v>
      </c>
      <c r="S2725" s="0" t="n">
        <f aca="false">04_回帰ANOVA!$K$19*04_回帰ANOVA!$K$14*SQRT(1+R2725)</f>
        <v>1.13365514750636</v>
      </c>
      <c r="T2725" s="0" t="n">
        <f aca="false">Q2725-S2725</f>
        <v>44.7442070684028</v>
      </c>
      <c r="U2725" s="0" t="n">
        <f aca="false">Q2725+S2725</f>
        <v>47.0115173634155</v>
      </c>
      <c r="V2725" s="54" t="b">
        <f aca="false">AND(D2725&gt;=01_因子設定!$L$5-0.000000001,D2725&lt;=01_因子設定!$M$5+0.000000001,E2725&gt;=01_因子設定!$L$6-0.000000001,E2725&lt;=01_因子設定!$M$6+0.000000001,F2725&gt;=01_因子設定!$L$7-0.000000001,F2725&lt;=01_因子設定!$M$7+0.000000001,IF(01_因子設定!$B$20="Box-Behnken",D2725^2+E2725^2+F2725^2&lt;=2+0.000000001,TRUE()))</f>
        <v>1</v>
      </c>
      <c r="W2725" s="55" t="n">
        <f aca="false">IF(V2725,IF(01_因子設定!$B$13="最大化",T2725-01_因子設定!$B$14,IF(01_因子設定!$B$13="最小化",01_因子設定!$B$15-U2725,MIN(T2725-01_因子設定!$B$14,01_因子設定!$B$15-U2725))),-1E+030)</f>
        <v>-3.75579293159724</v>
      </c>
      <c r="X2725" s="55" t="n">
        <f aca="false">IF(V2725,IF(01_因子設定!$B$13="最大化",Q2725,IF(01_因子設定!$B$13="最小化",-Q2725,-ABS(Q2725-01_因子設定!$B$16))),-1E+030)</f>
        <v>45.8778622159091</v>
      </c>
      <c r="Y2725" s="55" t="n">
        <f aca="false">W2725+ROW()*0.000000001</f>
        <v>-3.75579020659724</v>
      </c>
      <c r="Z2725" s="55" t="n">
        <f aca="false">X2725+ROW()*0.000000001</f>
        <v>45.8778649409091</v>
      </c>
    </row>
    <row r="2726" customFormat="false" ht="15" hidden="false" customHeight="false" outlineLevel="0" collapsed="false">
      <c r="A2726" s="0" t="n">
        <v>9</v>
      </c>
      <c r="B2726" s="0" t="n">
        <v>7</v>
      </c>
      <c r="C2726" s="0" t="n">
        <v>1</v>
      </c>
      <c r="D2726" s="0" t="n">
        <f aca="false">-1+A2726*0.125</f>
        <v>0.125</v>
      </c>
      <c r="E2726" s="0" t="n">
        <f aca="false">-1+B2726*0.125</f>
        <v>-0.125</v>
      </c>
      <c r="F2726" s="0" t="n">
        <f aca="false">-1+C2726*0.125</f>
        <v>-0.875</v>
      </c>
      <c r="G2726" s="0" t="n">
        <f aca="false">1</f>
        <v>1</v>
      </c>
      <c r="H2726" s="0" t="n">
        <f aca="false">D2726</f>
        <v>0.125</v>
      </c>
      <c r="I2726" s="0" t="n">
        <f aca="false">E2726</f>
        <v>-0.125</v>
      </c>
      <c r="J2726" s="0" t="n">
        <f aca="false">F2726</f>
        <v>-0.875</v>
      </c>
      <c r="K2726" s="0" t="n">
        <f aca="false">D2726*E2726</f>
        <v>-0.015625</v>
      </c>
      <c r="L2726" s="0" t="n">
        <f aca="false">D2726*F2726</f>
        <v>-0.109375</v>
      </c>
      <c r="M2726" s="0" t="n">
        <f aca="false">E2726*F2726</f>
        <v>0.109375</v>
      </c>
      <c r="N2726" s="0" t="n">
        <f aca="false">D2726*D2726</f>
        <v>0.015625</v>
      </c>
      <c r="O2726" s="0" t="n">
        <f aca="false">E2726*E2726</f>
        <v>0.015625</v>
      </c>
      <c r="P2726" s="0" t="n">
        <f aca="false">F2726*F2726</f>
        <v>0.765625</v>
      </c>
      <c r="Q2726" s="0" t="n">
        <f aca="false">SUMPRODUCT(G2726:P2726,_XtX!$B$71:$K$71)</f>
        <v>46.3169105113637</v>
      </c>
      <c r="R2726" s="0" t="n">
        <f aca="false">SUMPRODUCT(MMULT(G2726:P2726,_XtX!$B$58:$K$67),G2726:P2726)</f>
        <v>0.335190096768466</v>
      </c>
      <c r="S2726" s="0" t="n">
        <f aca="false">04_回帰ANOVA!$K$19*04_回帰ANOVA!$K$14*SQRT(1+R2726)</f>
        <v>1.07433119726947</v>
      </c>
      <c r="T2726" s="0" t="n">
        <f aca="false">Q2726-S2726</f>
        <v>45.2425793140942</v>
      </c>
      <c r="U2726" s="0" t="n">
        <f aca="false">Q2726+S2726</f>
        <v>47.3912417086331</v>
      </c>
      <c r="V2726" s="54" t="b">
        <f aca="false">AND(D2726&gt;=01_因子設定!$L$5-0.000000001,D2726&lt;=01_因子設定!$M$5+0.000000001,E2726&gt;=01_因子設定!$L$6-0.000000001,E2726&lt;=01_因子設定!$M$6+0.000000001,F2726&gt;=01_因子設定!$L$7-0.000000001,F2726&lt;=01_因子設定!$M$7+0.000000001,IF(01_因子設定!$B$20="Box-Behnken",D2726^2+E2726^2+F2726^2&lt;=2+0.000000001,TRUE()))</f>
        <v>1</v>
      </c>
      <c r="W2726" s="55" t="n">
        <f aca="false">IF(V2726,IF(01_因子設定!$B$13="最大化",T2726-01_因子設定!$B$14,IF(01_因子設定!$B$13="最小化",01_因子設定!$B$15-U2726,MIN(T2726-01_因子設定!$B$14,01_因子設定!$B$15-U2726))),-1E+030)</f>
        <v>-3.25742068590581</v>
      </c>
      <c r="X2726" s="55" t="n">
        <f aca="false">IF(V2726,IF(01_因子設定!$B$13="最大化",Q2726,IF(01_因子設定!$B$13="最小化",-Q2726,-ABS(Q2726-01_因子設定!$B$16))),-1E+030)</f>
        <v>46.3169105113637</v>
      </c>
      <c r="Y2726" s="55" t="n">
        <f aca="false">W2726+ROW()*0.000000001</f>
        <v>-3.25741795990581</v>
      </c>
      <c r="Z2726" s="55" t="n">
        <f aca="false">X2726+ROW()*0.000000001</f>
        <v>46.3169132373637</v>
      </c>
    </row>
    <row r="2727" customFormat="false" ht="15" hidden="false" customHeight="false" outlineLevel="0" collapsed="false">
      <c r="A2727" s="0" t="n">
        <v>9</v>
      </c>
      <c r="B2727" s="0" t="n">
        <v>7</v>
      </c>
      <c r="C2727" s="0" t="n">
        <v>2</v>
      </c>
      <c r="D2727" s="0" t="n">
        <f aca="false">-1+A2727*0.125</f>
        <v>0.125</v>
      </c>
      <c r="E2727" s="0" t="n">
        <f aca="false">-1+B2727*0.125</f>
        <v>-0.125</v>
      </c>
      <c r="F2727" s="0" t="n">
        <f aca="false">-1+C2727*0.125</f>
        <v>-0.75</v>
      </c>
      <c r="G2727" s="0" t="n">
        <f aca="false">1</f>
        <v>1</v>
      </c>
      <c r="H2727" s="0" t="n">
        <f aca="false">D2727</f>
        <v>0.125</v>
      </c>
      <c r="I2727" s="0" t="n">
        <f aca="false">E2727</f>
        <v>-0.125</v>
      </c>
      <c r="J2727" s="0" t="n">
        <f aca="false">F2727</f>
        <v>-0.75</v>
      </c>
      <c r="K2727" s="0" t="n">
        <f aca="false">D2727*E2727</f>
        <v>-0.015625</v>
      </c>
      <c r="L2727" s="0" t="n">
        <f aca="false">D2727*F2727</f>
        <v>-0.09375</v>
      </c>
      <c r="M2727" s="0" t="n">
        <f aca="false">E2727*F2727</f>
        <v>0.09375</v>
      </c>
      <c r="N2727" s="0" t="n">
        <f aca="false">D2727*D2727</f>
        <v>0.015625</v>
      </c>
      <c r="O2727" s="0" t="n">
        <f aca="false">E2727*E2727</f>
        <v>0.015625</v>
      </c>
      <c r="P2727" s="0" t="n">
        <f aca="false">F2727*F2727</f>
        <v>0.5625</v>
      </c>
      <c r="Q2727" s="0" t="n">
        <f aca="false">SUMPRODUCT(G2727:P2727,_XtX!$B$71:$K$71)</f>
        <v>46.7191690340909</v>
      </c>
      <c r="R2727" s="0" t="n">
        <f aca="false">SUMPRODUCT(MMULT(G2727:P2727,_XtX!$B$58:$K$67),G2727:P2727)</f>
        <v>0.236181085759943</v>
      </c>
      <c r="S2727" s="0" t="n">
        <f aca="false">04_回帰ANOVA!$K$19*04_回帰ANOVA!$K$14*SQRT(1+R2727)</f>
        <v>1.03373134025567</v>
      </c>
      <c r="T2727" s="0" t="n">
        <f aca="false">Q2727-S2727</f>
        <v>45.6854376938353</v>
      </c>
      <c r="U2727" s="0" t="n">
        <f aca="false">Q2727+S2727</f>
        <v>47.7529003743466</v>
      </c>
      <c r="V2727" s="54" t="b">
        <f aca="false">AND(D2727&gt;=01_因子設定!$L$5-0.000000001,D2727&lt;=01_因子設定!$M$5+0.000000001,E2727&gt;=01_因子設定!$L$6-0.000000001,E2727&lt;=01_因子設定!$M$6+0.000000001,F2727&gt;=01_因子設定!$L$7-0.000000001,F2727&lt;=01_因子設定!$M$7+0.000000001,IF(01_因子設定!$B$20="Box-Behnken",D2727^2+E2727^2+F2727^2&lt;=2+0.000000001,TRUE()))</f>
        <v>1</v>
      </c>
      <c r="W2727" s="55" t="n">
        <f aca="false">IF(V2727,IF(01_因子設定!$B$13="最大化",T2727-01_因子設定!$B$14,IF(01_因子設定!$B$13="最小化",01_因子設定!$B$15-U2727,MIN(T2727-01_因子設定!$B$14,01_因子設定!$B$15-U2727))),-1E+030)</f>
        <v>-2.81456230616475</v>
      </c>
      <c r="X2727" s="55" t="n">
        <f aca="false">IF(V2727,IF(01_因子設定!$B$13="最大化",Q2727,IF(01_因子設定!$B$13="最小化",-Q2727,-ABS(Q2727-01_因子設定!$B$16))),-1E+030)</f>
        <v>46.7191690340909</v>
      </c>
      <c r="Y2727" s="55" t="n">
        <f aca="false">W2727+ROW()*0.000000001</f>
        <v>-2.81455957916475</v>
      </c>
      <c r="Z2727" s="55" t="n">
        <f aca="false">X2727+ROW()*0.000000001</f>
        <v>46.7191717610909</v>
      </c>
    </row>
    <row r="2728" customFormat="false" ht="15" hidden="false" customHeight="false" outlineLevel="0" collapsed="false">
      <c r="A2728" s="0" t="n">
        <v>9</v>
      </c>
      <c r="B2728" s="0" t="n">
        <v>7</v>
      </c>
      <c r="C2728" s="0" t="n">
        <v>3</v>
      </c>
      <c r="D2728" s="0" t="n">
        <f aca="false">-1+A2728*0.125</f>
        <v>0.125</v>
      </c>
      <c r="E2728" s="0" t="n">
        <f aca="false">-1+B2728*0.125</f>
        <v>-0.125</v>
      </c>
      <c r="F2728" s="0" t="n">
        <f aca="false">-1+C2728*0.125</f>
        <v>-0.625</v>
      </c>
      <c r="G2728" s="0" t="n">
        <f aca="false">1</f>
        <v>1</v>
      </c>
      <c r="H2728" s="0" t="n">
        <f aca="false">D2728</f>
        <v>0.125</v>
      </c>
      <c r="I2728" s="0" t="n">
        <f aca="false">E2728</f>
        <v>-0.125</v>
      </c>
      <c r="J2728" s="0" t="n">
        <f aca="false">F2728</f>
        <v>-0.625</v>
      </c>
      <c r="K2728" s="0" t="n">
        <f aca="false">D2728*E2728</f>
        <v>-0.015625</v>
      </c>
      <c r="L2728" s="0" t="n">
        <f aca="false">D2728*F2728</f>
        <v>-0.078125</v>
      </c>
      <c r="M2728" s="0" t="n">
        <f aca="false">E2728*F2728</f>
        <v>0.078125</v>
      </c>
      <c r="N2728" s="0" t="n">
        <f aca="false">D2728*D2728</f>
        <v>0.015625</v>
      </c>
      <c r="O2728" s="0" t="n">
        <f aca="false">E2728*E2728</f>
        <v>0.015625</v>
      </c>
      <c r="P2728" s="0" t="n">
        <f aca="false">F2728*F2728</f>
        <v>0.390625</v>
      </c>
      <c r="Q2728" s="0" t="n">
        <f aca="false">SUMPRODUCT(G2728:P2728,_XtX!$B$71:$K$71)</f>
        <v>47.0846377840909</v>
      </c>
      <c r="R2728" s="0" t="n">
        <f aca="false">SUMPRODUCT(MMULT(G2728:P2728,_XtX!$B$58:$K$67),G2728:P2728)</f>
        <v>0.175841730291193</v>
      </c>
      <c r="S2728" s="0" t="n">
        <f aca="false">04_回帰ANOVA!$K$19*04_回帰ANOVA!$K$14*SQRT(1+R2728)</f>
        <v>1.00818694767054</v>
      </c>
      <c r="T2728" s="0" t="n">
        <f aca="false">Q2728-S2728</f>
        <v>46.0764508364204</v>
      </c>
      <c r="U2728" s="0" t="n">
        <f aca="false">Q2728+S2728</f>
        <v>48.0928247317615</v>
      </c>
      <c r="V2728" s="54" t="b">
        <f aca="false">AND(D2728&gt;=01_因子設定!$L$5-0.000000001,D2728&lt;=01_因子設定!$M$5+0.000000001,E2728&gt;=01_因子設定!$L$6-0.000000001,E2728&lt;=01_因子設定!$M$6+0.000000001,F2728&gt;=01_因子設定!$L$7-0.000000001,F2728&lt;=01_因子設定!$M$7+0.000000001,IF(01_因子設定!$B$20="Box-Behnken",D2728^2+E2728^2+F2728^2&lt;=2+0.000000001,TRUE()))</f>
        <v>1</v>
      </c>
      <c r="W2728" s="55" t="n">
        <f aca="false">IF(V2728,IF(01_因子設定!$B$13="最大化",T2728-01_因子設定!$B$14,IF(01_因子設定!$B$13="最小化",01_因子設定!$B$15-U2728,MIN(T2728-01_因子設定!$B$14,01_因子設定!$B$15-U2728))),-1E+030)</f>
        <v>-2.42354916357962</v>
      </c>
      <c r="X2728" s="55" t="n">
        <f aca="false">IF(V2728,IF(01_因子設定!$B$13="最大化",Q2728,IF(01_因子設定!$B$13="最小化",-Q2728,-ABS(Q2728-01_因子設定!$B$16))),-1E+030)</f>
        <v>47.0846377840909</v>
      </c>
      <c r="Y2728" s="55" t="n">
        <f aca="false">W2728+ROW()*0.000000001</f>
        <v>-2.42354643557962</v>
      </c>
      <c r="Z2728" s="55" t="n">
        <f aca="false">X2728+ROW()*0.000000001</f>
        <v>47.0846405120909</v>
      </c>
    </row>
    <row r="2729" customFormat="false" ht="15" hidden="false" customHeight="false" outlineLevel="0" collapsed="false">
      <c r="A2729" s="0" t="n">
        <v>9</v>
      </c>
      <c r="B2729" s="0" t="n">
        <v>7</v>
      </c>
      <c r="C2729" s="0" t="n">
        <v>4</v>
      </c>
      <c r="D2729" s="0" t="n">
        <f aca="false">-1+A2729*0.125</f>
        <v>0.125</v>
      </c>
      <c r="E2729" s="0" t="n">
        <f aca="false">-1+B2729*0.125</f>
        <v>-0.125</v>
      </c>
      <c r="F2729" s="0" t="n">
        <f aca="false">-1+C2729*0.125</f>
        <v>-0.5</v>
      </c>
      <c r="G2729" s="0" t="n">
        <f aca="false">1</f>
        <v>1</v>
      </c>
      <c r="H2729" s="0" t="n">
        <f aca="false">D2729</f>
        <v>0.125</v>
      </c>
      <c r="I2729" s="0" t="n">
        <f aca="false">E2729</f>
        <v>-0.125</v>
      </c>
      <c r="J2729" s="0" t="n">
        <f aca="false">F2729</f>
        <v>-0.5</v>
      </c>
      <c r="K2729" s="0" t="n">
        <f aca="false">D2729*E2729</f>
        <v>-0.015625</v>
      </c>
      <c r="L2729" s="0" t="n">
        <f aca="false">D2729*F2729</f>
        <v>-0.0625</v>
      </c>
      <c r="M2729" s="0" t="n">
        <f aca="false">E2729*F2729</f>
        <v>0.0625</v>
      </c>
      <c r="N2729" s="0" t="n">
        <f aca="false">D2729*D2729</f>
        <v>0.015625</v>
      </c>
      <c r="O2729" s="0" t="n">
        <f aca="false">E2729*E2729</f>
        <v>0.015625</v>
      </c>
      <c r="P2729" s="0" t="n">
        <f aca="false">F2729*F2729</f>
        <v>0.25</v>
      </c>
      <c r="Q2729" s="0" t="n">
        <f aca="false">SUMPRODUCT(G2729:P2729,_XtX!$B$71:$K$71)</f>
        <v>47.4133167613637</v>
      </c>
      <c r="R2729" s="0" t="n">
        <f aca="false">SUMPRODUCT(MMULT(G2729:P2729,_XtX!$B$58:$K$67),G2729:P2729)</f>
        <v>0.142453280362216</v>
      </c>
      <c r="S2729" s="0" t="n">
        <f aca="false">04_回帰ANOVA!$K$19*04_回帰ANOVA!$K$14*SQRT(1+R2729)</f>
        <v>0.99376995072785</v>
      </c>
      <c r="T2729" s="0" t="n">
        <f aca="false">Q2729-S2729</f>
        <v>46.4195468106358</v>
      </c>
      <c r="U2729" s="0" t="n">
        <f aca="false">Q2729+S2729</f>
        <v>48.4070867120915</v>
      </c>
      <c r="V2729" s="54" t="b">
        <f aca="false">AND(D2729&gt;=01_因子設定!$L$5-0.000000001,D2729&lt;=01_因子設定!$M$5+0.000000001,E2729&gt;=01_因子設定!$L$6-0.000000001,E2729&lt;=01_因子設定!$M$6+0.000000001,F2729&gt;=01_因子設定!$L$7-0.000000001,F2729&lt;=01_因子設定!$M$7+0.000000001,IF(01_因子設定!$B$20="Box-Behnken",D2729^2+E2729^2+F2729^2&lt;=2+0.000000001,TRUE()))</f>
        <v>1</v>
      </c>
      <c r="W2729" s="55" t="n">
        <f aca="false">IF(V2729,IF(01_因子設定!$B$13="最大化",T2729-01_因子設定!$B$14,IF(01_因子設定!$B$13="最小化",01_因子設定!$B$15-U2729,MIN(T2729-01_因子設定!$B$14,01_因子設定!$B$15-U2729))),-1E+030)</f>
        <v>-2.0804531893642</v>
      </c>
      <c r="X2729" s="55" t="n">
        <f aca="false">IF(V2729,IF(01_因子設定!$B$13="最大化",Q2729,IF(01_因子設定!$B$13="最小化",-Q2729,-ABS(Q2729-01_因子設定!$B$16))),-1E+030)</f>
        <v>47.4133167613637</v>
      </c>
      <c r="Y2729" s="55" t="n">
        <f aca="false">W2729+ROW()*0.000000001</f>
        <v>-2.0804504603642</v>
      </c>
      <c r="Z2729" s="55" t="n">
        <f aca="false">X2729+ROW()*0.000000001</f>
        <v>47.4133194903637</v>
      </c>
    </row>
    <row r="2730" customFormat="false" ht="15" hidden="false" customHeight="false" outlineLevel="0" collapsed="false">
      <c r="A2730" s="0" t="n">
        <v>9</v>
      </c>
      <c r="B2730" s="0" t="n">
        <v>7</v>
      </c>
      <c r="C2730" s="0" t="n">
        <v>5</v>
      </c>
      <c r="D2730" s="0" t="n">
        <f aca="false">-1+A2730*0.125</f>
        <v>0.125</v>
      </c>
      <c r="E2730" s="0" t="n">
        <f aca="false">-1+B2730*0.125</f>
        <v>-0.125</v>
      </c>
      <c r="F2730" s="0" t="n">
        <f aca="false">-1+C2730*0.125</f>
        <v>-0.375</v>
      </c>
      <c r="G2730" s="0" t="n">
        <f aca="false">1</f>
        <v>1</v>
      </c>
      <c r="H2730" s="0" t="n">
        <f aca="false">D2730</f>
        <v>0.125</v>
      </c>
      <c r="I2730" s="0" t="n">
        <f aca="false">E2730</f>
        <v>-0.125</v>
      </c>
      <c r="J2730" s="0" t="n">
        <f aca="false">F2730</f>
        <v>-0.375</v>
      </c>
      <c r="K2730" s="0" t="n">
        <f aca="false">D2730*E2730</f>
        <v>-0.015625</v>
      </c>
      <c r="L2730" s="0" t="n">
        <f aca="false">D2730*F2730</f>
        <v>-0.046875</v>
      </c>
      <c r="M2730" s="0" t="n">
        <f aca="false">E2730*F2730</f>
        <v>0.046875</v>
      </c>
      <c r="N2730" s="0" t="n">
        <f aca="false">D2730*D2730</f>
        <v>0.015625</v>
      </c>
      <c r="O2730" s="0" t="n">
        <f aca="false">E2730*E2730</f>
        <v>0.015625</v>
      </c>
      <c r="P2730" s="0" t="n">
        <f aca="false">F2730*F2730</f>
        <v>0.140625</v>
      </c>
      <c r="Q2730" s="0" t="n">
        <f aca="false">SUMPRODUCT(G2730:P2730,_XtX!$B$71:$K$71)</f>
        <v>47.7052059659091</v>
      </c>
      <c r="R2730" s="0" t="n">
        <f aca="false">SUMPRODUCT(MMULT(G2730:P2730,_XtX!$B$58:$K$67),G2730:P2730)</f>
        <v>0.126427667791193</v>
      </c>
      <c r="S2730" s="0" t="n">
        <f aca="false">04_回帰ANOVA!$K$19*04_回帰ANOVA!$K$14*SQRT(1+R2730)</f>
        <v>0.986775346732538</v>
      </c>
      <c r="T2730" s="0" t="n">
        <f aca="false">Q2730-S2730</f>
        <v>46.7184306191766</v>
      </c>
      <c r="U2730" s="0" t="n">
        <f aca="false">Q2730+S2730</f>
        <v>48.6919813126416</v>
      </c>
      <c r="V2730" s="54" t="b">
        <f aca="false">AND(D2730&gt;=01_因子設定!$L$5-0.000000001,D2730&lt;=01_因子設定!$M$5+0.000000001,E2730&gt;=01_因子設定!$L$6-0.000000001,E2730&lt;=01_因子設定!$M$6+0.000000001,F2730&gt;=01_因子設定!$L$7-0.000000001,F2730&lt;=01_因子設定!$M$7+0.000000001,IF(01_因子設定!$B$20="Box-Behnken",D2730^2+E2730^2+F2730^2&lt;=2+0.000000001,TRUE()))</f>
        <v>1</v>
      </c>
      <c r="W2730" s="55" t="n">
        <f aca="false">IF(V2730,IF(01_因子設定!$B$13="最大化",T2730-01_因子設定!$B$14,IF(01_因子設定!$B$13="最小化",01_因子設定!$B$15-U2730,MIN(T2730-01_因子設定!$B$14,01_因子設定!$B$15-U2730))),-1E+030)</f>
        <v>-1.78156938082343</v>
      </c>
      <c r="X2730" s="55" t="n">
        <f aca="false">IF(V2730,IF(01_因子設定!$B$13="最大化",Q2730,IF(01_因子設定!$B$13="最小化",-Q2730,-ABS(Q2730-01_因子設定!$B$16))),-1E+030)</f>
        <v>47.7052059659091</v>
      </c>
      <c r="Y2730" s="55" t="n">
        <f aca="false">W2730+ROW()*0.000000001</f>
        <v>-1.78156665082343</v>
      </c>
      <c r="Z2730" s="55" t="n">
        <f aca="false">X2730+ROW()*0.000000001</f>
        <v>47.7052086959091</v>
      </c>
    </row>
    <row r="2731" customFormat="false" ht="15" hidden="false" customHeight="false" outlineLevel="0" collapsed="false">
      <c r="A2731" s="0" t="n">
        <v>9</v>
      </c>
      <c r="B2731" s="0" t="n">
        <v>7</v>
      </c>
      <c r="C2731" s="0" t="n">
        <v>6</v>
      </c>
      <c r="D2731" s="0" t="n">
        <f aca="false">-1+A2731*0.125</f>
        <v>0.125</v>
      </c>
      <c r="E2731" s="0" t="n">
        <f aca="false">-1+B2731*0.125</f>
        <v>-0.125</v>
      </c>
      <c r="F2731" s="0" t="n">
        <f aca="false">-1+C2731*0.125</f>
        <v>-0.25</v>
      </c>
      <c r="G2731" s="0" t="n">
        <f aca="false">1</f>
        <v>1</v>
      </c>
      <c r="H2731" s="0" t="n">
        <f aca="false">D2731</f>
        <v>0.125</v>
      </c>
      <c r="I2731" s="0" t="n">
        <f aca="false">E2731</f>
        <v>-0.125</v>
      </c>
      <c r="J2731" s="0" t="n">
        <f aca="false">F2731</f>
        <v>-0.25</v>
      </c>
      <c r="K2731" s="0" t="n">
        <f aca="false">D2731*E2731</f>
        <v>-0.015625</v>
      </c>
      <c r="L2731" s="0" t="n">
        <f aca="false">D2731*F2731</f>
        <v>-0.03125</v>
      </c>
      <c r="M2731" s="0" t="n">
        <f aca="false">E2731*F2731</f>
        <v>0.03125</v>
      </c>
      <c r="N2731" s="0" t="n">
        <f aca="false">D2731*D2731</f>
        <v>0.015625</v>
      </c>
      <c r="O2731" s="0" t="n">
        <f aca="false">E2731*E2731</f>
        <v>0.015625</v>
      </c>
      <c r="P2731" s="0" t="n">
        <f aca="false">F2731*F2731</f>
        <v>0.0625</v>
      </c>
      <c r="Q2731" s="0" t="n">
        <f aca="false">SUMPRODUCT(G2731:P2731,_XtX!$B$71:$K$71)</f>
        <v>47.9603053977273</v>
      </c>
      <c r="R2731" s="0" t="n">
        <f aca="false">SUMPRODUCT(MMULT(G2731:P2731,_XtX!$B$58:$K$67),G2731:P2731)</f>
        <v>0.120307506214489</v>
      </c>
      <c r="S2731" s="0" t="n">
        <f aca="false">04_回帰ANOVA!$K$19*04_回帰ANOVA!$K$14*SQRT(1+R2731)</f>
        <v>0.984090997684742</v>
      </c>
      <c r="T2731" s="0" t="n">
        <f aca="false">Q2731-S2731</f>
        <v>46.9762144000425</v>
      </c>
      <c r="U2731" s="0" t="n">
        <f aca="false">Q2731+S2731</f>
        <v>48.944396395412</v>
      </c>
      <c r="V2731" s="54" t="b">
        <f aca="false">AND(D2731&gt;=01_因子設定!$L$5-0.000000001,D2731&lt;=01_因子設定!$M$5+0.000000001,E2731&gt;=01_因子設定!$L$6-0.000000001,E2731&lt;=01_因子設定!$M$6+0.000000001,F2731&gt;=01_因子設定!$L$7-0.000000001,F2731&lt;=01_因子設定!$M$7+0.000000001,IF(01_因子設定!$B$20="Box-Behnken",D2731^2+E2731^2+F2731^2&lt;=2+0.000000001,TRUE()))</f>
        <v>1</v>
      </c>
      <c r="W2731" s="55" t="n">
        <f aca="false">IF(V2731,IF(01_因子設定!$B$13="最大化",T2731-01_因子設定!$B$14,IF(01_因子設定!$B$13="最小化",01_因子設定!$B$15-U2731,MIN(T2731-01_因子設定!$B$14,01_因子設定!$B$15-U2731))),-1E+030)</f>
        <v>-1.52378559995746</v>
      </c>
      <c r="X2731" s="55" t="n">
        <f aca="false">IF(V2731,IF(01_因子設定!$B$13="最大化",Q2731,IF(01_因子設定!$B$13="最小化",-Q2731,-ABS(Q2731-01_因子設定!$B$16))),-1E+030)</f>
        <v>47.9603053977273</v>
      </c>
      <c r="Y2731" s="55" t="n">
        <f aca="false">W2731+ROW()*0.000000001</f>
        <v>-1.52378286895746</v>
      </c>
      <c r="Z2731" s="55" t="n">
        <f aca="false">X2731+ROW()*0.000000001</f>
        <v>47.9603081287273</v>
      </c>
    </row>
    <row r="2732" customFormat="false" ht="15" hidden="false" customHeight="false" outlineLevel="0" collapsed="false">
      <c r="A2732" s="0" t="n">
        <v>9</v>
      </c>
      <c r="B2732" s="0" t="n">
        <v>7</v>
      </c>
      <c r="C2732" s="0" t="n">
        <v>7</v>
      </c>
      <c r="D2732" s="0" t="n">
        <f aca="false">-1+A2732*0.125</f>
        <v>0.125</v>
      </c>
      <c r="E2732" s="0" t="n">
        <f aca="false">-1+B2732*0.125</f>
        <v>-0.125</v>
      </c>
      <c r="F2732" s="0" t="n">
        <f aca="false">-1+C2732*0.125</f>
        <v>-0.125</v>
      </c>
      <c r="G2732" s="0" t="n">
        <f aca="false">1</f>
        <v>1</v>
      </c>
      <c r="H2732" s="0" t="n">
        <f aca="false">D2732</f>
        <v>0.125</v>
      </c>
      <c r="I2732" s="0" t="n">
        <f aca="false">E2732</f>
        <v>-0.125</v>
      </c>
      <c r="J2732" s="0" t="n">
        <f aca="false">F2732</f>
        <v>-0.125</v>
      </c>
      <c r="K2732" s="0" t="n">
        <f aca="false">D2732*E2732</f>
        <v>-0.015625</v>
      </c>
      <c r="L2732" s="0" t="n">
        <f aca="false">D2732*F2732</f>
        <v>-0.015625</v>
      </c>
      <c r="M2732" s="0" t="n">
        <f aca="false">E2732*F2732</f>
        <v>0.015625</v>
      </c>
      <c r="N2732" s="0" t="n">
        <f aca="false">D2732*D2732</f>
        <v>0.015625</v>
      </c>
      <c r="O2732" s="0" t="n">
        <f aca="false">E2732*E2732</f>
        <v>0.015625</v>
      </c>
      <c r="P2732" s="0" t="n">
        <f aca="false">F2732*F2732</f>
        <v>0.015625</v>
      </c>
      <c r="Q2732" s="0" t="n">
        <f aca="false">SUMPRODUCT(G2732:P2732,_XtX!$B$71:$K$71)</f>
        <v>48.1786150568182</v>
      </c>
      <c r="R2732" s="0" t="n">
        <f aca="false">SUMPRODUCT(MMULT(G2732:P2732,_XtX!$B$58:$K$67),G2732:P2732)</f>
        <v>0.118766091086648</v>
      </c>
      <c r="S2732" s="0" t="n">
        <f aca="false">04_回帰ANOVA!$K$19*04_回帰ANOVA!$K$14*SQRT(1+R2732)</f>
        <v>0.983413766268537</v>
      </c>
      <c r="T2732" s="0" t="n">
        <f aca="false">Q2732-S2732</f>
        <v>47.1952012905497</v>
      </c>
      <c r="U2732" s="0" t="n">
        <f aca="false">Q2732+S2732</f>
        <v>49.1620288230867</v>
      </c>
      <c r="V2732" s="54" t="b">
        <f aca="false">AND(D2732&gt;=01_因子設定!$L$5-0.000000001,D2732&lt;=01_因子設定!$M$5+0.000000001,E2732&gt;=01_因子設定!$L$6-0.000000001,E2732&lt;=01_因子設定!$M$6+0.000000001,F2732&gt;=01_因子設定!$L$7-0.000000001,F2732&lt;=01_因子設定!$M$7+0.000000001,IF(01_因子設定!$B$20="Box-Behnken",D2732^2+E2732^2+F2732^2&lt;=2+0.000000001,TRUE()))</f>
        <v>1</v>
      </c>
      <c r="W2732" s="55" t="n">
        <f aca="false">IF(V2732,IF(01_因子設定!$B$13="最大化",T2732-01_因子設定!$B$14,IF(01_因子設定!$B$13="最小化",01_因子設定!$B$15-U2732,MIN(T2732-01_因子設定!$B$14,01_因子設定!$B$15-U2732))),-1E+030)</f>
        <v>-1.30479870945035</v>
      </c>
      <c r="X2732" s="55" t="n">
        <f aca="false">IF(V2732,IF(01_因子設定!$B$13="最大化",Q2732,IF(01_因子設定!$B$13="最小化",-Q2732,-ABS(Q2732-01_因子設定!$B$16))),-1E+030)</f>
        <v>48.1786150568182</v>
      </c>
      <c r="Y2732" s="55" t="n">
        <f aca="false">W2732+ROW()*0.000000001</f>
        <v>-1.30479597745035</v>
      </c>
      <c r="Z2732" s="55" t="n">
        <f aca="false">X2732+ROW()*0.000000001</f>
        <v>48.1786177888182</v>
      </c>
    </row>
    <row r="2733" customFormat="false" ht="15" hidden="false" customHeight="false" outlineLevel="0" collapsed="false">
      <c r="A2733" s="0" t="n">
        <v>9</v>
      </c>
      <c r="B2733" s="0" t="n">
        <v>7</v>
      </c>
      <c r="C2733" s="0" t="n">
        <v>8</v>
      </c>
      <c r="D2733" s="0" t="n">
        <f aca="false">-1+A2733*0.125</f>
        <v>0.125</v>
      </c>
      <c r="E2733" s="0" t="n">
        <f aca="false">-1+B2733*0.125</f>
        <v>-0.125</v>
      </c>
      <c r="F2733" s="0" t="n">
        <f aca="false">-1+C2733*0.125</f>
        <v>0</v>
      </c>
      <c r="G2733" s="0" t="n">
        <f aca="false">1</f>
        <v>1</v>
      </c>
      <c r="H2733" s="0" t="n">
        <f aca="false">D2733</f>
        <v>0.125</v>
      </c>
      <c r="I2733" s="0" t="n">
        <f aca="false">E2733</f>
        <v>-0.125</v>
      </c>
      <c r="J2733" s="0" t="n">
        <f aca="false">F2733</f>
        <v>0</v>
      </c>
      <c r="K2733" s="0" t="n">
        <f aca="false">D2733*E2733</f>
        <v>-0.015625</v>
      </c>
      <c r="L2733" s="0" t="n">
        <f aca="false">D2733*F2733</f>
        <v>0</v>
      </c>
      <c r="M2733" s="0" t="n">
        <f aca="false">E2733*F2733</f>
        <v>-0</v>
      </c>
      <c r="N2733" s="0" t="n">
        <f aca="false">D2733*D2733</f>
        <v>0.015625</v>
      </c>
      <c r="O2733" s="0" t="n">
        <f aca="false">E2733*E2733</f>
        <v>0.015625</v>
      </c>
      <c r="P2733" s="0" t="n">
        <f aca="false">F2733*F2733</f>
        <v>0</v>
      </c>
      <c r="Q2733" s="0" t="n">
        <f aca="false">SUMPRODUCT(G2733:P2733,_XtX!$B$71:$K$71)</f>
        <v>48.3601349431818</v>
      </c>
      <c r="R2733" s="0" t="n">
        <f aca="false">SUMPRODUCT(MMULT(G2733:P2733,_XtX!$B$58:$K$67),G2733:P2733)</f>
        <v>0.118607399680398</v>
      </c>
      <c r="S2733" s="0" t="n">
        <f aca="false">04_回帰ANOVA!$K$19*04_回帰ANOVA!$K$14*SQRT(1+R2733)</f>
        <v>0.983344017619025</v>
      </c>
      <c r="T2733" s="0" t="n">
        <f aca="false">Q2733-S2733</f>
        <v>47.3767909255628</v>
      </c>
      <c r="U2733" s="0" t="n">
        <f aca="false">Q2733+S2733</f>
        <v>49.3434789608009</v>
      </c>
      <c r="V2733" s="54" t="b">
        <f aca="false">AND(D2733&gt;=01_因子設定!$L$5-0.000000001,D2733&lt;=01_因子設定!$M$5+0.000000001,E2733&gt;=01_因子設定!$L$6-0.000000001,E2733&lt;=01_因子設定!$M$6+0.000000001,F2733&gt;=01_因子設定!$L$7-0.000000001,F2733&lt;=01_因子設定!$M$7+0.000000001,IF(01_因子設定!$B$20="Box-Behnken",D2733^2+E2733^2+F2733^2&lt;=2+0.000000001,TRUE()))</f>
        <v>1</v>
      </c>
      <c r="W2733" s="55" t="n">
        <f aca="false">IF(V2733,IF(01_因子設定!$B$13="最大化",T2733-01_因子設定!$B$14,IF(01_因子設定!$B$13="最小化",01_因子設定!$B$15-U2733,MIN(T2733-01_因子設定!$B$14,01_因子設定!$B$15-U2733))),-1E+030)</f>
        <v>-1.1232090744372</v>
      </c>
      <c r="X2733" s="55" t="n">
        <f aca="false">IF(V2733,IF(01_因子設定!$B$13="最大化",Q2733,IF(01_因子設定!$B$13="最小化",-Q2733,-ABS(Q2733-01_因子設定!$B$16))),-1E+030)</f>
        <v>48.3601349431818</v>
      </c>
      <c r="Y2733" s="55" t="n">
        <f aca="false">W2733+ROW()*0.000000001</f>
        <v>-1.1232063414372</v>
      </c>
      <c r="Z2733" s="55" t="n">
        <f aca="false">X2733+ROW()*0.000000001</f>
        <v>48.3601376761818</v>
      </c>
    </row>
    <row r="2734" customFormat="false" ht="15" hidden="false" customHeight="false" outlineLevel="0" collapsed="false">
      <c r="A2734" s="0" t="n">
        <v>9</v>
      </c>
      <c r="B2734" s="0" t="n">
        <v>7</v>
      </c>
      <c r="C2734" s="0" t="n">
        <v>9</v>
      </c>
      <c r="D2734" s="0" t="n">
        <f aca="false">-1+A2734*0.125</f>
        <v>0.125</v>
      </c>
      <c r="E2734" s="0" t="n">
        <f aca="false">-1+B2734*0.125</f>
        <v>-0.125</v>
      </c>
      <c r="F2734" s="0" t="n">
        <f aca="false">-1+C2734*0.125</f>
        <v>0.125</v>
      </c>
      <c r="G2734" s="0" t="n">
        <f aca="false">1</f>
        <v>1</v>
      </c>
      <c r="H2734" s="0" t="n">
        <f aca="false">D2734</f>
        <v>0.125</v>
      </c>
      <c r="I2734" s="0" t="n">
        <f aca="false">E2734</f>
        <v>-0.125</v>
      </c>
      <c r="J2734" s="0" t="n">
        <f aca="false">F2734</f>
        <v>0.125</v>
      </c>
      <c r="K2734" s="0" t="n">
        <f aca="false">D2734*E2734</f>
        <v>-0.015625</v>
      </c>
      <c r="L2734" s="0" t="n">
        <f aca="false">D2734*F2734</f>
        <v>0.015625</v>
      </c>
      <c r="M2734" s="0" t="n">
        <f aca="false">E2734*F2734</f>
        <v>-0.015625</v>
      </c>
      <c r="N2734" s="0" t="n">
        <f aca="false">D2734*D2734</f>
        <v>0.015625</v>
      </c>
      <c r="O2734" s="0" t="n">
        <f aca="false">E2734*E2734</f>
        <v>0.015625</v>
      </c>
      <c r="P2734" s="0" t="n">
        <f aca="false">F2734*F2734</f>
        <v>0.015625</v>
      </c>
      <c r="Q2734" s="0" t="n">
        <f aca="false">SUMPRODUCT(G2734:P2734,_XtX!$B$71:$K$71)</f>
        <v>48.5048650568182</v>
      </c>
      <c r="R2734" s="0" t="n">
        <f aca="false">SUMPRODUCT(MMULT(G2734:P2734,_XtX!$B$58:$K$67),G2734:P2734)</f>
        <v>0.118766091086648</v>
      </c>
      <c r="S2734" s="0" t="n">
        <f aca="false">04_回帰ANOVA!$K$19*04_回帰ANOVA!$K$14*SQRT(1+R2734)</f>
        <v>0.983413766268537</v>
      </c>
      <c r="T2734" s="0" t="n">
        <f aca="false">Q2734-S2734</f>
        <v>47.5214512905497</v>
      </c>
      <c r="U2734" s="0" t="n">
        <f aca="false">Q2734+S2734</f>
        <v>49.4882788230867</v>
      </c>
      <c r="V2734" s="54" t="b">
        <f aca="false">AND(D2734&gt;=01_因子設定!$L$5-0.000000001,D2734&lt;=01_因子設定!$M$5+0.000000001,E2734&gt;=01_因子設定!$L$6-0.000000001,E2734&lt;=01_因子設定!$M$6+0.000000001,F2734&gt;=01_因子設定!$L$7-0.000000001,F2734&lt;=01_因子設定!$M$7+0.000000001,IF(01_因子設定!$B$20="Box-Behnken",D2734^2+E2734^2+F2734^2&lt;=2+0.000000001,TRUE()))</f>
        <v>1</v>
      </c>
      <c r="W2734" s="55" t="n">
        <f aca="false">IF(V2734,IF(01_因子設定!$B$13="最大化",T2734-01_因子設定!$B$14,IF(01_因子設定!$B$13="最小化",01_因子設定!$B$15-U2734,MIN(T2734-01_因子設定!$B$14,01_因子設定!$B$15-U2734))),-1E+030)</f>
        <v>-0.978548709450344</v>
      </c>
      <c r="X2734" s="55" t="n">
        <f aca="false">IF(V2734,IF(01_因子設定!$B$13="最大化",Q2734,IF(01_因子設定!$B$13="最小化",-Q2734,-ABS(Q2734-01_因子設定!$B$16))),-1E+030)</f>
        <v>48.5048650568182</v>
      </c>
      <c r="Y2734" s="55" t="n">
        <f aca="false">W2734+ROW()*0.000000001</f>
        <v>-0.978545975450344</v>
      </c>
      <c r="Z2734" s="55" t="n">
        <f aca="false">X2734+ROW()*0.000000001</f>
        <v>48.5048677908182</v>
      </c>
    </row>
    <row r="2735" customFormat="false" ht="15" hidden="false" customHeight="false" outlineLevel="0" collapsed="false">
      <c r="A2735" s="0" t="n">
        <v>9</v>
      </c>
      <c r="B2735" s="0" t="n">
        <v>7</v>
      </c>
      <c r="C2735" s="0" t="n">
        <v>10</v>
      </c>
      <c r="D2735" s="0" t="n">
        <f aca="false">-1+A2735*0.125</f>
        <v>0.125</v>
      </c>
      <c r="E2735" s="0" t="n">
        <f aca="false">-1+B2735*0.125</f>
        <v>-0.125</v>
      </c>
      <c r="F2735" s="0" t="n">
        <f aca="false">-1+C2735*0.125</f>
        <v>0.25</v>
      </c>
      <c r="G2735" s="0" t="n">
        <f aca="false">1</f>
        <v>1</v>
      </c>
      <c r="H2735" s="0" t="n">
        <f aca="false">D2735</f>
        <v>0.125</v>
      </c>
      <c r="I2735" s="0" t="n">
        <f aca="false">E2735</f>
        <v>-0.125</v>
      </c>
      <c r="J2735" s="0" t="n">
        <f aca="false">F2735</f>
        <v>0.25</v>
      </c>
      <c r="K2735" s="0" t="n">
        <f aca="false">D2735*E2735</f>
        <v>-0.015625</v>
      </c>
      <c r="L2735" s="0" t="n">
        <f aca="false">D2735*F2735</f>
        <v>0.03125</v>
      </c>
      <c r="M2735" s="0" t="n">
        <f aca="false">E2735*F2735</f>
        <v>-0.03125</v>
      </c>
      <c r="N2735" s="0" t="n">
        <f aca="false">D2735*D2735</f>
        <v>0.015625</v>
      </c>
      <c r="O2735" s="0" t="n">
        <f aca="false">E2735*E2735</f>
        <v>0.015625</v>
      </c>
      <c r="P2735" s="0" t="n">
        <f aca="false">F2735*F2735</f>
        <v>0.0625</v>
      </c>
      <c r="Q2735" s="0" t="n">
        <f aca="false">SUMPRODUCT(G2735:P2735,_XtX!$B$71:$K$71)</f>
        <v>48.6128053977273</v>
      </c>
      <c r="R2735" s="0" t="n">
        <f aca="false">SUMPRODUCT(MMULT(G2735:P2735,_XtX!$B$58:$K$67),G2735:P2735)</f>
        <v>0.120307506214489</v>
      </c>
      <c r="S2735" s="0" t="n">
        <f aca="false">04_回帰ANOVA!$K$19*04_回帰ANOVA!$K$14*SQRT(1+R2735)</f>
        <v>0.984090997684742</v>
      </c>
      <c r="T2735" s="0" t="n">
        <f aca="false">Q2735-S2735</f>
        <v>47.6287144000426</v>
      </c>
      <c r="U2735" s="0" t="n">
        <f aca="false">Q2735+S2735</f>
        <v>49.596896395412</v>
      </c>
      <c r="V2735" s="54" t="b">
        <f aca="false">AND(D2735&gt;=01_因子設定!$L$5-0.000000001,D2735&lt;=01_因子設定!$M$5+0.000000001,E2735&gt;=01_因子設定!$L$6-0.000000001,E2735&lt;=01_因子設定!$M$6+0.000000001,F2735&gt;=01_因子設定!$L$7-0.000000001,F2735&lt;=01_因子設定!$M$7+0.000000001,IF(01_因子設定!$B$20="Box-Behnken",D2735^2+E2735^2+F2735^2&lt;=2+0.000000001,TRUE()))</f>
        <v>1</v>
      </c>
      <c r="W2735" s="55" t="n">
        <f aca="false">IF(V2735,IF(01_因子設定!$B$13="最大化",T2735-01_因子設定!$B$14,IF(01_因子設定!$B$13="最小化",01_因子設定!$B$15-U2735,MIN(T2735-01_因子設定!$B$14,01_因子設定!$B$15-U2735))),-1E+030)</f>
        <v>-0.871285599957453</v>
      </c>
      <c r="X2735" s="55" t="n">
        <f aca="false">IF(V2735,IF(01_因子設定!$B$13="最大化",Q2735,IF(01_因子設定!$B$13="最小化",-Q2735,-ABS(Q2735-01_因子設定!$B$16))),-1E+030)</f>
        <v>48.6128053977273</v>
      </c>
      <c r="Y2735" s="55" t="n">
        <f aca="false">W2735+ROW()*0.000000001</f>
        <v>-0.871282864957453</v>
      </c>
      <c r="Z2735" s="55" t="n">
        <f aca="false">X2735+ROW()*0.000000001</f>
        <v>48.6128081327273</v>
      </c>
    </row>
    <row r="2736" customFormat="false" ht="15" hidden="false" customHeight="false" outlineLevel="0" collapsed="false">
      <c r="A2736" s="0" t="n">
        <v>9</v>
      </c>
      <c r="B2736" s="0" t="n">
        <v>7</v>
      </c>
      <c r="C2736" s="0" t="n">
        <v>11</v>
      </c>
      <c r="D2736" s="0" t="n">
        <f aca="false">-1+A2736*0.125</f>
        <v>0.125</v>
      </c>
      <c r="E2736" s="0" t="n">
        <f aca="false">-1+B2736*0.125</f>
        <v>-0.125</v>
      </c>
      <c r="F2736" s="0" t="n">
        <f aca="false">-1+C2736*0.125</f>
        <v>0.375</v>
      </c>
      <c r="G2736" s="0" t="n">
        <f aca="false">1</f>
        <v>1</v>
      </c>
      <c r="H2736" s="0" t="n">
        <f aca="false">D2736</f>
        <v>0.125</v>
      </c>
      <c r="I2736" s="0" t="n">
        <f aca="false">E2736</f>
        <v>-0.125</v>
      </c>
      <c r="J2736" s="0" t="n">
        <f aca="false">F2736</f>
        <v>0.375</v>
      </c>
      <c r="K2736" s="0" t="n">
        <f aca="false">D2736*E2736</f>
        <v>-0.015625</v>
      </c>
      <c r="L2736" s="0" t="n">
        <f aca="false">D2736*F2736</f>
        <v>0.046875</v>
      </c>
      <c r="M2736" s="0" t="n">
        <f aca="false">E2736*F2736</f>
        <v>-0.046875</v>
      </c>
      <c r="N2736" s="0" t="n">
        <f aca="false">D2736*D2736</f>
        <v>0.015625</v>
      </c>
      <c r="O2736" s="0" t="n">
        <f aca="false">E2736*E2736</f>
        <v>0.015625</v>
      </c>
      <c r="P2736" s="0" t="n">
        <f aca="false">F2736*F2736</f>
        <v>0.140625</v>
      </c>
      <c r="Q2736" s="0" t="n">
        <f aca="false">SUMPRODUCT(G2736:P2736,_XtX!$B$71:$K$71)</f>
        <v>48.6839559659091</v>
      </c>
      <c r="R2736" s="0" t="n">
        <f aca="false">SUMPRODUCT(MMULT(G2736:P2736,_XtX!$B$58:$K$67),G2736:P2736)</f>
        <v>0.126427667791193</v>
      </c>
      <c r="S2736" s="0" t="n">
        <f aca="false">04_回帰ANOVA!$K$19*04_回帰ANOVA!$K$14*SQRT(1+R2736)</f>
        <v>0.986775346732538</v>
      </c>
      <c r="T2736" s="0" t="n">
        <f aca="false">Q2736-S2736</f>
        <v>47.6971806191766</v>
      </c>
      <c r="U2736" s="0" t="n">
        <f aca="false">Q2736+S2736</f>
        <v>49.6707313126416</v>
      </c>
      <c r="V2736" s="54" t="b">
        <f aca="false">AND(D2736&gt;=01_因子設定!$L$5-0.000000001,D2736&lt;=01_因子設定!$M$5+0.000000001,E2736&gt;=01_因子設定!$L$6-0.000000001,E2736&lt;=01_因子設定!$M$6+0.000000001,F2736&gt;=01_因子設定!$L$7-0.000000001,F2736&lt;=01_因子設定!$M$7+0.000000001,IF(01_因子設定!$B$20="Box-Behnken",D2736^2+E2736^2+F2736^2&lt;=2+0.000000001,TRUE()))</f>
        <v>1</v>
      </c>
      <c r="W2736" s="55" t="n">
        <f aca="false">IF(V2736,IF(01_因子設定!$B$13="最大化",T2736-01_因子設定!$B$14,IF(01_因子設定!$B$13="最小化",01_因子設定!$B$15-U2736,MIN(T2736-01_因子設定!$B$14,01_因子設定!$B$15-U2736))),-1E+030)</f>
        <v>-0.802819380823436</v>
      </c>
      <c r="X2736" s="55" t="n">
        <f aca="false">IF(V2736,IF(01_因子設定!$B$13="最大化",Q2736,IF(01_因子設定!$B$13="最小化",-Q2736,-ABS(Q2736-01_因子設定!$B$16))),-1E+030)</f>
        <v>48.6839559659091</v>
      </c>
      <c r="Y2736" s="55" t="n">
        <f aca="false">W2736+ROW()*0.000000001</f>
        <v>-0.802816644823436</v>
      </c>
      <c r="Z2736" s="55" t="n">
        <f aca="false">X2736+ROW()*0.000000001</f>
        <v>48.6839587019091</v>
      </c>
    </row>
    <row r="2737" customFormat="false" ht="15" hidden="false" customHeight="false" outlineLevel="0" collapsed="false">
      <c r="A2737" s="0" t="n">
        <v>9</v>
      </c>
      <c r="B2737" s="0" t="n">
        <v>7</v>
      </c>
      <c r="C2737" s="0" t="n">
        <v>12</v>
      </c>
      <c r="D2737" s="0" t="n">
        <f aca="false">-1+A2737*0.125</f>
        <v>0.125</v>
      </c>
      <c r="E2737" s="0" t="n">
        <f aca="false">-1+B2737*0.125</f>
        <v>-0.125</v>
      </c>
      <c r="F2737" s="0" t="n">
        <f aca="false">-1+C2737*0.125</f>
        <v>0.5</v>
      </c>
      <c r="G2737" s="0" t="n">
        <f aca="false">1</f>
        <v>1</v>
      </c>
      <c r="H2737" s="0" t="n">
        <f aca="false">D2737</f>
        <v>0.125</v>
      </c>
      <c r="I2737" s="0" t="n">
        <f aca="false">E2737</f>
        <v>-0.125</v>
      </c>
      <c r="J2737" s="0" t="n">
        <f aca="false">F2737</f>
        <v>0.5</v>
      </c>
      <c r="K2737" s="0" t="n">
        <f aca="false">D2737*E2737</f>
        <v>-0.015625</v>
      </c>
      <c r="L2737" s="0" t="n">
        <f aca="false">D2737*F2737</f>
        <v>0.0625</v>
      </c>
      <c r="M2737" s="0" t="n">
        <f aca="false">E2737*F2737</f>
        <v>-0.0625</v>
      </c>
      <c r="N2737" s="0" t="n">
        <f aca="false">D2737*D2737</f>
        <v>0.015625</v>
      </c>
      <c r="O2737" s="0" t="n">
        <f aca="false">E2737*E2737</f>
        <v>0.015625</v>
      </c>
      <c r="P2737" s="0" t="n">
        <f aca="false">F2737*F2737</f>
        <v>0.25</v>
      </c>
      <c r="Q2737" s="0" t="n">
        <f aca="false">SUMPRODUCT(G2737:P2737,_XtX!$B$71:$K$71)</f>
        <v>48.7183167613637</v>
      </c>
      <c r="R2737" s="0" t="n">
        <f aca="false">SUMPRODUCT(MMULT(G2737:P2737,_XtX!$B$58:$K$67),G2737:P2737)</f>
        <v>0.142453280362216</v>
      </c>
      <c r="S2737" s="0" t="n">
        <f aca="false">04_回帰ANOVA!$K$19*04_回帰ANOVA!$K$14*SQRT(1+R2737)</f>
        <v>0.99376995072785</v>
      </c>
      <c r="T2737" s="0" t="n">
        <f aca="false">Q2737-S2737</f>
        <v>47.7245468106358</v>
      </c>
      <c r="U2737" s="0" t="n">
        <f aca="false">Q2737+S2737</f>
        <v>49.7120867120915</v>
      </c>
      <c r="V2737" s="54" t="b">
        <f aca="false">AND(D2737&gt;=01_因子設定!$L$5-0.000000001,D2737&lt;=01_因子設定!$M$5+0.000000001,E2737&gt;=01_因子設定!$L$6-0.000000001,E2737&lt;=01_因子設定!$M$6+0.000000001,F2737&gt;=01_因子設定!$L$7-0.000000001,F2737&lt;=01_因子設定!$M$7+0.000000001,IF(01_因子設定!$B$20="Box-Behnken",D2737^2+E2737^2+F2737^2&lt;=2+0.000000001,TRUE()))</f>
        <v>1</v>
      </c>
      <c r="W2737" s="55" t="n">
        <f aca="false">IF(V2737,IF(01_因子設定!$B$13="最大化",T2737-01_因子設定!$B$14,IF(01_因子設定!$B$13="最小化",01_因子設定!$B$15-U2737,MIN(T2737-01_因子設定!$B$14,01_因子設定!$B$15-U2737))),-1E+030)</f>
        <v>-0.7754531893642</v>
      </c>
      <c r="X2737" s="55" t="n">
        <f aca="false">IF(V2737,IF(01_因子設定!$B$13="最大化",Q2737,IF(01_因子設定!$B$13="最小化",-Q2737,-ABS(Q2737-01_因子設定!$B$16))),-1E+030)</f>
        <v>48.7183167613637</v>
      </c>
      <c r="Y2737" s="55" t="n">
        <f aca="false">W2737+ROW()*0.000000001</f>
        <v>-0.7754504523642</v>
      </c>
      <c r="Z2737" s="55" t="n">
        <f aca="false">X2737+ROW()*0.000000001</f>
        <v>48.7183194983637</v>
      </c>
    </row>
    <row r="2738" customFormat="false" ht="15" hidden="false" customHeight="false" outlineLevel="0" collapsed="false">
      <c r="A2738" s="0" t="n">
        <v>9</v>
      </c>
      <c r="B2738" s="0" t="n">
        <v>7</v>
      </c>
      <c r="C2738" s="0" t="n">
        <v>13</v>
      </c>
      <c r="D2738" s="0" t="n">
        <f aca="false">-1+A2738*0.125</f>
        <v>0.125</v>
      </c>
      <c r="E2738" s="0" t="n">
        <f aca="false">-1+B2738*0.125</f>
        <v>-0.125</v>
      </c>
      <c r="F2738" s="0" t="n">
        <f aca="false">-1+C2738*0.125</f>
        <v>0.625</v>
      </c>
      <c r="G2738" s="0" t="n">
        <f aca="false">1</f>
        <v>1</v>
      </c>
      <c r="H2738" s="0" t="n">
        <f aca="false">D2738</f>
        <v>0.125</v>
      </c>
      <c r="I2738" s="0" t="n">
        <f aca="false">E2738</f>
        <v>-0.125</v>
      </c>
      <c r="J2738" s="0" t="n">
        <f aca="false">F2738</f>
        <v>0.625</v>
      </c>
      <c r="K2738" s="0" t="n">
        <f aca="false">D2738*E2738</f>
        <v>-0.015625</v>
      </c>
      <c r="L2738" s="0" t="n">
        <f aca="false">D2738*F2738</f>
        <v>0.078125</v>
      </c>
      <c r="M2738" s="0" t="n">
        <f aca="false">E2738*F2738</f>
        <v>-0.078125</v>
      </c>
      <c r="N2738" s="0" t="n">
        <f aca="false">D2738*D2738</f>
        <v>0.015625</v>
      </c>
      <c r="O2738" s="0" t="n">
        <f aca="false">E2738*E2738</f>
        <v>0.015625</v>
      </c>
      <c r="P2738" s="0" t="n">
        <f aca="false">F2738*F2738</f>
        <v>0.390625</v>
      </c>
      <c r="Q2738" s="0" t="n">
        <f aca="false">SUMPRODUCT(G2738:P2738,_XtX!$B$71:$K$71)</f>
        <v>48.7158877840909</v>
      </c>
      <c r="R2738" s="0" t="n">
        <f aca="false">SUMPRODUCT(MMULT(G2738:P2738,_XtX!$B$58:$K$67),G2738:P2738)</f>
        <v>0.175841730291193</v>
      </c>
      <c r="S2738" s="0" t="n">
        <f aca="false">04_回帰ANOVA!$K$19*04_回帰ANOVA!$K$14*SQRT(1+R2738)</f>
        <v>1.00818694767054</v>
      </c>
      <c r="T2738" s="0" t="n">
        <f aca="false">Q2738-S2738</f>
        <v>47.7077008364204</v>
      </c>
      <c r="U2738" s="0" t="n">
        <f aca="false">Q2738+S2738</f>
        <v>49.7240747317615</v>
      </c>
      <c r="V2738" s="54" t="b">
        <f aca="false">AND(D2738&gt;=01_因子設定!$L$5-0.000000001,D2738&lt;=01_因子設定!$M$5+0.000000001,E2738&gt;=01_因子設定!$L$6-0.000000001,E2738&lt;=01_因子設定!$M$6+0.000000001,F2738&gt;=01_因子設定!$L$7-0.000000001,F2738&lt;=01_因子設定!$M$7+0.000000001,IF(01_因子設定!$B$20="Box-Behnken",D2738^2+E2738^2+F2738^2&lt;=2+0.000000001,TRUE()))</f>
        <v>1</v>
      </c>
      <c r="W2738" s="55" t="n">
        <f aca="false">IF(V2738,IF(01_因子設定!$B$13="最大化",T2738-01_因子設定!$B$14,IF(01_因子設定!$B$13="最小化",01_因子設定!$B$15-U2738,MIN(T2738-01_因子設定!$B$14,01_因子設定!$B$15-U2738))),-1E+030)</f>
        <v>-0.792299163579614</v>
      </c>
      <c r="X2738" s="55" t="n">
        <f aca="false">IF(V2738,IF(01_因子設定!$B$13="最大化",Q2738,IF(01_因子設定!$B$13="最小化",-Q2738,-ABS(Q2738-01_因子設定!$B$16))),-1E+030)</f>
        <v>48.7158877840909</v>
      </c>
      <c r="Y2738" s="55" t="n">
        <f aca="false">W2738+ROW()*0.000000001</f>
        <v>-0.792296425579614</v>
      </c>
      <c r="Z2738" s="55" t="n">
        <f aca="false">X2738+ROW()*0.000000001</f>
        <v>48.7158905220909</v>
      </c>
    </row>
    <row r="2739" customFormat="false" ht="15" hidden="false" customHeight="false" outlineLevel="0" collapsed="false">
      <c r="A2739" s="0" t="n">
        <v>9</v>
      </c>
      <c r="B2739" s="0" t="n">
        <v>7</v>
      </c>
      <c r="C2739" s="0" t="n">
        <v>14</v>
      </c>
      <c r="D2739" s="0" t="n">
        <f aca="false">-1+A2739*0.125</f>
        <v>0.125</v>
      </c>
      <c r="E2739" s="0" t="n">
        <f aca="false">-1+B2739*0.125</f>
        <v>-0.125</v>
      </c>
      <c r="F2739" s="0" t="n">
        <f aca="false">-1+C2739*0.125</f>
        <v>0.75</v>
      </c>
      <c r="G2739" s="0" t="n">
        <f aca="false">1</f>
        <v>1</v>
      </c>
      <c r="H2739" s="0" t="n">
        <f aca="false">D2739</f>
        <v>0.125</v>
      </c>
      <c r="I2739" s="0" t="n">
        <f aca="false">E2739</f>
        <v>-0.125</v>
      </c>
      <c r="J2739" s="0" t="n">
        <f aca="false">F2739</f>
        <v>0.75</v>
      </c>
      <c r="K2739" s="0" t="n">
        <f aca="false">D2739*E2739</f>
        <v>-0.015625</v>
      </c>
      <c r="L2739" s="0" t="n">
        <f aca="false">D2739*F2739</f>
        <v>0.09375</v>
      </c>
      <c r="M2739" s="0" t="n">
        <f aca="false">E2739*F2739</f>
        <v>-0.09375</v>
      </c>
      <c r="N2739" s="0" t="n">
        <f aca="false">D2739*D2739</f>
        <v>0.015625</v>
      </c>
      <c r="O2739" s="0" t="n">
        <f aca="false">E2739*E2739</f>
        <v>0.015625</v>
      </c>
      <c r="P2739" s="0" t="n">
        <f aca="false">F2739*F2739</f>
        <v>0.5625</v>
      </c>
      <c r="Q2739" s="0" t="n">
        <f aca="false">SUMPRODUCT(G2739:P2739,_XtX!$B$71:$K$71)</f>
        <v>48.6766690340909</v>
      </c>
      <c r="R2739" s="0" t="n">
        <f aca="false">SUMPRODUCT(MMULT(G2739:P2739,_XtX!$B$58:$K$67),G2739:P2739)</f>
        <v>0.236181085759943</v>
      </c>
      <c r="S2739" s="0" t="n">
        <f aca="false">04_回帰ANOVA!$K$19*04_回帰ANOVA!$K$14*SQRT(1+R2739)</f>
        <v>1.03373134025567</v>
      </c>
      <c r="T2739" s="0" t="n">
        <f aca="false">Q2739-S2739</f>
        <v>47.6429376938353</v>
      </c>
      <c r="U2739" s="0" t="n">
        <f aca="false">Q2739+S2739</f>
        <v>49.7104003743466</v>
      </c>
      <c r="V2739" s="54" t="b">
        <f aca="false">AND(D2739&gt;=01_因子設定!$L$5-0.000000001,D2739&lt;=01_因子設定!$M$5+0.000000001,E2739&gt;=01_因子設定!$L$6-0.000000001,E2739&lt;=01_因子設定!$M$6+0.000000001,F2739&gt;=01_因子設定!$L$7-0.000000001,F2739&lt;=01_因子設定!$M$7+0.000000001,IF(01_因子設定!$B$20="Box-Behnken",D2739^2+E2739^2+F2739^2&lt;=2+0.000000001,TRUE()))</f>
        <v>1</v>
      </c>
      <c r="W2739" s="55" t="n">
        <f aca="false">IF(V2739,IF(01_因子設定!$B$13="最大化",T2739-01_因子設定!$B$14,IF(01_因子設定!$B$13="最小化",01_因子設定!$B$15-U2739,MIN(T2739-01_因子設定!$B$14,01_因子設定!$B$15-U2739))),-1E+030)</f>
        <v>-0.85706230616475</v>
      </c>
      <c r="X2739" s="55" t="n">
        <f aca="false">IF(V2739,IF(01_因子設定!$B$13="最大化",Q2739,IF(01_因子設定!$B$13="最小化",-Q2739,-ABS(Q2739-01_因子設定!$B$16))),-1E+030)</f>
        <v>48.6766690340909</v>
      </c>
      <c r="Y2739" s="55" t="n">
        <f aca="false">W2739+ROW()*0.000000001</f>
        <v>-0.85705956716475</v>
      </c>
      <c r="Z2739" s="55" t="n">
        <f aca="false">X2739+ROW()*0.000000001</f>
        <v>48.6766717730909</v>
      </c>
    </row>
    <row r="2740" customFormat="false" ht="15" hidden="false" customHeight="false" outlineLevel="0" collapsed="false">
      <c r="A2740" s="0" t="n">
        <v>9</v>
      </c>
      <c r="B2740" s="0" t="n">
        <v>7</v>
      </c>
      <c r="C2740" s="0" t="n">
        <v>15</v>
      </c>
      <c r="D2740" s="0" t="n">
        <f aca="false">-1+A2740*0.125</f>
        <v>0.125</v>
      </c>
      <c r="E2740" s="0" t="n">
        <f aca="false">-1+B2740*0.125</f>
        <v>-0.125</v>
      </c>
      <c r="F2740" s="0" t="n">
        <f aca="false">-1+C2740*0.125</f>
        <v>0.875</v>
      </c>
      <c r="G2740" s="0" t="n">
        <f aca="false">1</f>
        <v>1</v>
      </c>
      <c r="H2740" s="0" t="n">
        <f aca="false">D2740</f>
        <v>0.125</v>
      </c>
      <c r="I2740" s="0" t="n">
        <f aca="false">E2740</f>
        <v>-0.125</v>
      </c>
      <c r="J2740" s="0" t="n">
        <f aca="false">F2740</f>
        <v>0.875</v>
      </c>
      <c r="K2740" s="0" t="n">
        <f aca="false">D2740*E2740</f>
        <v>-0.015625</v>
      </c>
      <c r="L2740" s="0" t="n">
        <f aca="false">D2740*F2740</f>
        <v>0.109375</v>
      </c>
      <c r="M2740" s="0" t="n">
        <f aca="false">E2740*F2740</f>
        <v>-0.109375</v>
      </c>
      <c r="N2740" s="0" t="n">
        <f aca="false">D2740*D2740</f>
        <v>0.015625</v>
      </c>
      <c r="O2740" s="0" t="n">
        <f aca="false">E2740*E2740</f>
        <v>0.015625</v>
      </c>
      <c r="P2740" s="0" t="n">
        <f aca="false">F2740*F2740</f>
        <v>0.765625</v>
      </c>
      <c r="Q2740" s="0" t="n">
        <f aca="false">SUMPRODUCT(G2740:P2740,_XtX!$B$71:$K$71)</f>
        <v>48.6006605113637</v>
      </c>
      <c r="R2740" s="0" t="n">
        <f aca="false">SUMPRODUCT(MMULT(G2740:P2740,_XtX!$B$58:$K$67),G2740:P2740)</f>
        <v>0.335190096768466</v>
      </c>
      <c r="S2740" s="0" t="n">
        <f aca="false">04_回帰ANOVA!$K$19*04_回帰ANOVA!$K$14*SQRT(1+R2740)</f>
        <v>1.07433119726947</v>
      </c>
      <c r="T2740" s="0" t="n">
        <f aca="false">Q2740-S2740</f>
        <v>47.5263293140942</v>
      </c>
      <c r="U2740" s="0" t="n">
        <f aca="false">Q2740+S2740</f>
        <v>49.6749917086331</v>
      </c>
      <c r="V2740" s="54" t="b">
        <f aca="false">AND(D2740&gt;=01_因子設定!$L$5-0.000000001,D2740&lt;=01_因子設定!$M$5+0.000000001,E2740&gt;=01_因子設定!$L$6-0.000000001,E2740&lt;=01_因子設定!$M$6+0.000000001,F2740&gt;=01_因子設定!$L$7-0.000000001,F2740&lt;=01_因子設定!$M$7+0.000000001,IF(01_因子設定!$B$20="Box-Behnken",D2740^2+E2740^2+F2740^2&lt;=2+0.000000001,TRUE()))</f>
        <v>1</v>
      </c>
      <c r="W2740" s="55" t="n">
        <f aca="false">IF(V2740,IF(01_因子設定!$B$13="最大化",T2740-01_因子設定!$B$14,IF(01_因子設定!$B$13="最小化",01_因子設定!$B$15-U2740,MIN(T2740-01_因子設定!$B$14,01_因子設定!$B$15-U2740))),-1E+030)</f>
        <v>-0.973670685905809</v>
      </c>
      <c r="X2740" s="55" t="n">
        <f aca="false">IF(V2740,IF(01_因子設定!$B$13="最大化",Q2740,IF(01_因子設定!$B$13="最小化",-Q2740,-ABS(Q2740-01_因子設定!$B$16))),-1E+030)</f>
        <v>48.6006605113637</v>
      </c>
      <c r="Y2740" s="55" t="n">
        <f aca="false">W2740+ROW()*0.000000001</f>
        <v>-0.973667945905809</v>
      </c>
      <c r="Z2740" s="55" t="n">
        <f aca="false">X2740+ROW()*0.000000001</f>
        <v>48.6006632513637</v>
      </c>
    </row>
    <row r="2741" customFormat="false" ht="15" hidden="false" customHeight="false" outlineLevel="0" collapsed="false">
      <c r="A2741" s="0" t="n">
        <v>9</v>
      </c>
      <c r="B2741" s="0" t="n">
        <v>7</v>
      </c>
      <c r="C2741" s="0" t="n">
        <v>16</v>
      </c>
      <c r="D2741" s="0" t="n">
        <f aca="false">-1+A2741*0.125</f>
        <v>0.125</v>
      </c>
      <c r="E2741" s="0" t="n">
        <f aca="false">-1+B2741*0.125</f>
        <v>-0.125</v>
      </c>
      <c r="F2741" s="0" t="n">
        <f aca="false">-1+C2741*0.125</f>
        <v>1</v>
      </c>
      <c r="G2741" s="0" t="n">
        <f aca="false">1</f>
        <v>1</v>
      </c>
      <c r="H2741" s="0" t="n">
        <f aca="false">D2741</f>
        <v>0.125</v>
      </c>
      <c r="I2741" s="0" t="n">
        <f aca="false">E2741</f>
        <v>-0.125</v>
      </c>
      <c r="J2741" s="0" t="n">
        <f aca="false">F2741</f>
        <v>1</v>
      </c>
      <c r="K2741" s="0" t="n">
        <f aca="false">D2741*E2741</f>
        <v>-0.015625</v>
      </c>
      <c r="L2741" s="0" t="n">
        <f aca="false">D2741*F2741</f>
        <v>0.125</v>
      </c>
      <c r="M2741" s="0" t="n">
        <f aca="false">E2741*F2741</f>
        <v>-0.125</v>
      </c>
      <c r="N2741" s="0" t="n">
        <f aca="false">D2741*D2741</f>
        <v>0.015625</v>
      </c>
      <c r="O2741" s="0" t="n">
        <f aca="false">E2741*E2741</f>
        <v>0.015625</v>
      </c>
      <c r="P2741" s="0" t="n">
        <f aca="false">F2741*F2741</f>
        <v>1</v>
      </c>
      <c r="Q2741" s="0" t="n">
        <f aca="false">SUMPRODUCT(G2741:P2741,_XtX!$B$71:$K$71)</f>
        <v>48.4878622159091</v>
      </c>
      <c r="R2741" s="0" t="n">
        <f aca="false">SUMPRODUCT(MMULT(G2741:P2741,_XtX!$B$58:$K$67),G2741:P2741)</f>
        <v>0.486718195134943</v>
      </c>
      <c r="S2741" s="0" t="n">
        <f aca="false">04_回帰ANOVA!$K$19*04_回帰ANOVA!$K$14*SQRT(1+R2741)</f>
        <v>1.13365514750636</v>
      </c>
      <c r="T2741" s="0" t="n">
        <f aca="false">Q2741-S2741</f>
        <v>47.3542070684028</v>
      </c>
      <c r="U2741" s="0" t="n">
        <f aca="false">Q2741+S2741</f>
        <v>49.6215173634155</v>
      </c>
      <c r="V2741" s="54" t="b">
        <f aca="false">AND(D2741&gt;=01_因子設定!$L$5-0.000000001,D2741&lt;=01_因子設定!$M$5+0.000000001,E2741&gt;=01_因子設定!$L$6-0.000000001,E2741&lt;=01_因子設定!$M$6+0.000000001,F2741&gt;=01_因子設定!$L$7-0.000000001,F2741&lt;=01_因子設定!$M$7+0.000000001,IF(01_因子設定!$B$20="Box-Behnken",D2741^2+E2741^2+F2741^2&lt;=2+0.000000001,TRUE()))</f>
        <v>1</v>
      </c>
      <c r="W2741" s="55" t="n">
        <f aca="false">IF(V2741,IF(01_因子設定!$B$13="最大化",T2741-01_因子設定!$B$14,IF(01_因子設定!$B$13="最小化",01_因子設定!$B$15-U2741,MIN(T2741-01_因子設定!$B$14,01_因子設定!$B$15-U2741))),-1E+030)</f>
        <v>-1.14579293159724</v>
      </c>
      <c r="X2741" s="55" t="n">
        <f aca="false">IF(V2741,IF(01_因子設定!$B$13="最大化",Q2741,IF(01_因子設定!$B$13="最小化",-Q2741,-ABS(Q2741-01_因子設定!$B$16))),-1E+030)</f>
        <v>48.4878622159091</v>
      </c>
      <c r="Y2741" s="55" t="n">
        <f aca="false">W2741+ROW()*0.000000001</f>
        <v>-1.14579019059724</v>
      </c>
      <c r="Z2741" s="55" t="n">
        <f aca="false">X2741+ROW()*0.000000001</f>
        <v>48.4878649569091</v>
      </c>
    </row>
    <row r="2742" customFormat="false" ht="15" hidden="false" customHeight="false" outlineLevel="0" collapsed="false">
      <c r="A2742" s="0" t="n">
        <v>9</v>
      </c>
      <c r="B2742" s="0" t="n">
        <v>8</v>
      </c>
      <c r="C2742" s="0" t="n">
        <v>0</v>
      </c>
      <c r="D2742" s="0" t="n">
        <f aca="false">-1+A2742*0.125</f>
        <v>0.125</v>
      </c>
      <c r="E2742" s="0" t="n">
        <f aca="false">-1+B2742*0.125</f>
        <v>0</v>
      </c>
      <c r="F2742" s="0" t="n">
        <f aca="false">-1+C2742*0.125</f>
        <v>-1</v>
      </c>
      <c r="G2742" s="0" t="n">
        <f aca="false">1</f>
        <v>1</v>
      </c>
      <c r="H2742" s="0" t="n">
        <f aca="false">D2742</f>
        <v>0.125</v>
      </c>
      <c r="I2742" s="0" t="n">
        <f aca="false">E2742</f>
        <v>0</v>
      </c>
      <c r="J2742" s="0" t="n">
        <f aca="false">F2742</f>
        <v>-1</v>
      </c>
      <c r="K2742" s="0" t="n">
        <f aca="false">D2742*E2742</f>
        <v>0</v>
      </c>
      <c r="L2742" s="0" t="n">
        <f aca="false">D2742*F2742</f>
        <v>-0.125</v>
      </c>
      <c r="M2742" s="0" t="n">
        <f aca="false">E2742*F2742</f>
        <v>-0</v>
      </c>
      <c r="N2742" s="0" t="n">
        <f aca="false">D2742*D2742</f>
        <v>0.015625</v>
      </c>
      <c r="O2742" s="0" t="n">
        <f aca="false">E2742*E2742</f>
        <v>0</v>
      </c>
      <c r="P2742" s="0" t="n">
        <f aca="false">F2742*F2742</f>
        <v>1</v>
      </c>
      <c r="Q2742" s="0" t="n">
        <f aca="false">SUMPRODUCT(G2742:P2742,_XtX!$B$71:$K$71)</f>
        <v>46.1311789772728</v>
      </c>
      <c r="R2742" s="0" t="n">
        <f aca="false">SUMPRODUCT(MMULT(G2742:P2742,_XtX!$B$58:$K$67),G2742:P2742)</f>
        <v>0.488831676136364</v>
      </c>
      <c r="S2742" s="0" t="n">
        <f aca="false">04_回帰ANOVA!$K$19*04_回帰ANOVA!$K$14*SQRT(1+R2742)</f>
        <v>1.13446064908709</v>
      </c>
      <c r="T2742" s="0" t="n">
        <f aca="false">Q2742-S2742</f>
        <v>44.9967183281857</v>
      </c>
      <c r="U2742" s="0" t="n">
        <f aca="false">Q2742+S2742</f>
        <v>47.2656396263598</v>
      </c>
      <c r="V2742" s="54" t="b">
        <f aca="false">AND(D2742&gt;=01_因子設定!$L$5-0.000000001,D2742&lt;=01_因子設定!$M$5+0.000000001,E2742&gt;=01_因子設定!$L$6-0.000000001,E2742&lt;=01_因子設定!$M$6+0.000000001,F2742&gt;=01_因子設定!$L$7-0.000000001,F2742&lt;=01_因子設定!$M$7+0.000000001,IF(01_因子設定!$B$20="Box-Behnken",D2742^2+E2742^2+F2742^2&lt;=2+0.000000001,TRUE()))</f>
        <v>1</v>
      </c>
      <c r="W2742" s="55" t="n">
        <f aca="false">IF(V2742,IF(01_因子設定!$B$13="最大化",T2742-01_因子設定!$B$14,IF(01_因子設定!$B$13="最小化",01_因子設定!$B$15-U2742,MIN(T2742-01_因子設定!$B$14,01_因子設定!$B$15-U2742))),-1E+030)</f>
        <v>-3.50328167181434</v>
      </c>
      <c r="X2742" s="55" t="n">
        <f aca="false">IF(V2742,IF(01_因子設定!$B$13="最大化",Q2742,IF(01_因子設定!$B$13="最小化",-Q2742,-ABS(Q2742-01_因子設定!$B$16))),-1E+030)</f>
        <v>46.1311789772728</v>
      </c>
      <c r="Y2742" s="55" t="n">
        <f aca="false">W2742+ROW()*0.000000001</f>
        <v>-3.50327892981434</v>
      </c>
      <c r="Z2742" s="55" t="n">
        <f aca="false">X2742+ROW()*0.000000001</f>
        <v>46.1311817192728</v>
      </c>
    </row>
    <row r="2743" customFormat="false" ht="15" hidden="false" customHeight="false" outlineLevel="0" collapsed="false">
      <c r="A2743" s="0" t="n">
        <v>9</v>
      </c>
      <c r="B2743" s="0" t="n">
        <v>8</v>
      </c>
      <c r="C2743" s="0" t="n">
        <v>1</v>
      </c>
      <c r="D2743" s="0" t="n">
        <f aca="false">-1+A2743*0.125</f>
        <v>0.125</v>
      </c>
      <c r="E2743" s="0" t="n">
        <f aca="false">-1+B2743*0.125</f>
        <v>0</v>
      </c>
      <c r="F2743" s="0" t="n">
        <f aca="false">-1+C2743*0.125</f>
        <v>-0.875</v>
      </c>
      <c r="G2743" s="0" t="n">
        <f aca="false">1</f>
        <v>1</v>
      </c>
      <c r="H2743" s="0" t="n">
        <f aca="false">D2743</f>
        <v>0.125</v>
      </c>
      <c r="I2743" s="0" t="n">
        <f aca="false">E2743</f>
        <v>0</v>
      </c>
      <c r="J2743" s="0" t="n">
        <f aca="false">F2743</f>
        <v>-0.875</v>
      </c>
      <c r="K2743" s="0" t="n">
        <f aca="false">D2743*E2743</f>
        <v>0</v>
      </c>
      <c r="L2743" s="0" t="n">
        <f aca="false">D2743*F2743</f>
        <v>-0.109375</v>
      </c>
      <c r="M2743" s="0" t="n">
        <f aca="false">E2743*F2743</f>
        <v>-0</v>
      </c>
      <c r="N2743" s="0" t="n">
        <f aca="false">D2743*D2743</f>
        <v>0.015625</v>
      </c>
      <c r="O2743" s="0" t="n">
        <f aca="false">E2743*E2743</f>
        <v>0</v>
      </c>
      <c r="P2743" s="0" t="n">
        <f aca="false">F2743*F2743</f>
        <v>0.765625</v>
      </c>
      <c r="Q2743" s="0" t="n">
        <f aca="false">SUMPRODUCT(G2743:P2743,_XtX!$B$71:$K$71)</f>
        <v>46.5772585227273</v>
      </c>
      <c r="R2743" s="0" t="n">
        <f aca="false">SUMPRODUCT(MMULT(G2743:P2743,_XtX!$B$58:$K$67),G2743:P2743)</f>
        <v>0.336762584339489</v>
      </c>
      <c r="S2743" s="0" t="n">
        <f aca="false">04_回帰ANOVA!$K$19*04_回帰ANOVA!$K$14*SQRT(1+R2743)</f>
        <v>1.07496364479411</v>
      </c>
      <c r="T2743" s="0" t="n">
        <f aca="false">Q2743-S2743</f>
        <v>45.5022948779332</v>
      </c>
      <c r="U2743" s="0" t="n">
        <f aca="false">Q2743+S2743</f>
        <v>47.6522221675214</v>
      </c>
      <c r="V2743" s="54" t="b">
        <f aca="false">AND(D2743&gt;=01_因子設定!$L$5-0.000000001,D2743&lt;=01_因子設定!$M$5+0.000000001,E2743&gt;=01_因子設定!$L$6-0.000000001,E2743&lt;=01_因子設定!$M$6+0.000000001,F2743&gt;=01_因子設定!$L$7-0.000000001,F2743&lt;=01_因子設定!$M$7+0.000000001,IF(01_因子設定!$B$20="Box-Behnken",D2743^2+E2743^2+F2743^2&lt;=2+0.000000001,TRUE()))</f>
        <v>1</v>
      </c>
      <c r="W2743" s="55" t="n">
        <f aca="false">IF(V2743,IF(01_因子設定!$B$13="最大化",T2743-01_因子設定!$B$14,IF(01_因子設定!$B$13="最小化",01_因子設定!$B$15-U2743,MIN(T2743-01_因子設定!$B$14,01_因子設定!$B$15-U2743))),-1E+030)</f>
        <v>-2.99770512206681</v>
      </c>
      <c r="X2743" s="55" t="n">
        <f aca="false">IF(V2743,IF(01_因子設定!$B$13="最大化",Q2743,IF(01_因子設定!$B$13="最小化",-Q2743,-ABS(Q2743-01_因子設定!$B$16))),-1E+030)</f>
        <v>46.5772585227273</v>
      </c>
      <c r="Y2743" s="55" t="n">
        <f aca="false">W2743+ROW()*0.000000001</f>
        <v>-2.99770237906681</v>
      </c>
      <c r="Z2743" s="55" t="n">
        <f aca="false">X2743+ROW()*0.000000001</f>
        <v>46.5772612657273</v>
      </c>
    </row>
    <row r="2744" customFormat="false" ht="15" hidden="false" customHeight="false" outlineLevel="0" collapsed="false">
      <c r="A2744" s="0" t="n">
        <v>9</v>
      </c>
      <c r="B2744" s="0" t="n">
        <v>8</v>
      </c>
      <c r="C2744" s="0" t="n">
        <v>2</v>
      </c>
      <c r="D2744" s="0" t="n">
        <f aca="false">-1+A2744*0.125</f>
        <v>0.125</v>
      </c>
      <c r="E2744" s="0" t="n">
        <f aca="false">-1+B2744*0.125</f>
        <v>0</v>
      </c>
      <c r="F2744" s="0" t="n">
        <f aca="false">-1+C2744*0.125</f>
        <v>-0.75</v>
      </c>
      <c r="G2744" s="0" t="n">
        <f aca="false">1</f>
        <v>1</v>
      </c>
      <c r="H2744" s="0" t="n">
        <f aca="false">D2744</f>
        <v>0.125</v>
      </c>
      <c r="I2744" s="0" t="n">
        <f aca="false">E2744</f>
        <v>0</v>
      </c>
      <c r="J2744" s="0" t="n">
        <f aca="false">F2744</f>
        <v>-0.75</v>
      </c>
      <c r="K2744" s="0" t="n">
        <f aca="false">D2744*E2744</f>
        <v>0</v>
      </c>
      <c r="L2744" s="0" t="n">
        <f aca="false">D2744*F2744</f>
        <v>-0.09375</v>
      </c>
      <c r="M2744" s="0" t="n">
        <f aca="false">E2744*F2744</f>
        <v>-0</v>
      </c>
      <c r="N2744" s="0" t="n">
        <f aca="false">D2744*D2744</f>
        <v>0.015625</v>
      </c>
      <c r="O2744" s="0" t="n">
        <f aca="false">E2744*E2744</f>
        <v>0</v>
      </c>
      <c r="P2744" s="0" t="n">
        <f aca="false">F2744*F2744</f>
        <v>0.5625</v>
      </c>
      <c r="Q2744" s="0" t="n">
        <f aca="false">SUMPRODUCT(G2744:P2744,_XtX!$B$71:$K$71)</f>
        <v>46.9865482954546</v>
      </c>
      <c r="R2744" s="0" t="n">
        <f aca="false">SUMPRODUCT(MMULT(G2744:P2744,_XtX!$B$58:$K$67),G2744:P2744)</f>
        <v>0.237284712357955</v>
      </c>
      <c r="S2744" s="0" t="n">
        <f aca="false">04_回帰ANOVA!$K$19*04_回帰ANOVA!$K$14*SQRT(1+R2744)</f>
        <v>1.03419267998124</v>
      </c>
      <c r="T2744" s="0" t="n">
        <f aca="false">Q2744-S2744</f>
        <v>45.9523556154733</v>
      </c>
      <c r="U2744" s="0" t="n">
        <f aca="false">Q2744+S2744</f>
        <v>48.0207409754358</v>
      </c>
      <c r="V2744" s="54" t="b">
        <f aca="false">AND(D2744&gt;=01_因子設定!$L$5-0.000000001,D2744&lt;=01_因子設定!$M$5+0.000000001,E2744&gt;=01_因子設定!$L$6-0.000000001,E2744&lt;=01_因子設定!$M$6+0.000000001,F2744&gt;=01_因子設定!$L$7-0.000000001,F2744&lt;=01_因子設定!$M$7+0.000000001,IF(01_因子設定!$B$20="Box-Behnken",D2744^2+E2744^2+F2744^2&lt;=2+0.000000001,TRUE()))</f>
        <v>1</v>
      </c>
      <c r="W2744" s="55" t="n">
        <f aca="false">IF(V2744,IF(01_因子設定!$B$13="最大化",T2744-01_因子設定!$B$14,IF(01_因子設定!$B$13="最小化",01_因子設定!$B$15-U2744,MIN(T2744-01_因子設定!$B$14,01_因子設定!$B$15-U2744))),-1E+030)</f>
        <v>-2.54764438452667</v>
      </c>
      <c r="X2744" s="55" t="n">
        <f aca="false">IF(V2744,IF(01_因子設定!$B$13="最大化",Q2744,IF(01_因子設定!$B$13="最小化",-Q2744,-ABS(Q2744-01_因子設定!$B$16))),-1E+030)</f>
        <v>46.9865482954546</v>
      </c>
      <c r="Y2744" s="55" t="n">
        <f aca="false">W2744+ROW()*0.000000001</f>
        <v>-2.54764164052667</v>
      </c>
      <c r="Z2744" s="55" t="n">
        <f aca="false">X2744+ROW()*0.000000001</f>
        <v>46.9865510394546</v>
      </c>
    </row>
    <row r="2745" customFormat="false" ht="15" hidden="false" customHeight="false" outlineLevel="0" collapsed="false">
      <c r="A2745" s="0" t="n">
        <v>9</v>
      </c>
      <c r="B2745" s="0" t="n">
        <v>8</v>
      </c>
      <c r="C2745" s="0" t="n">
        <v>3</v>
      </c>
      <c r="D2745" s="0" t="n">
        <f aca="false">-1+A2745*0.125</f>
        <v>0.125</v>
      </c>
      <c r="E2745" s="0" t="n">
        <f aca="false">-1+B2745*0.125</f>
        <v>0</v>
      </c>
      <c r="F2745" s="0" t="n">
        <f aca="false">-1+C2745*0.125</f>
        <v>-0.625</v>
      </c>
      <c r="G2745" s="0" t="n">
        <f aca="false">1</f>
        <v>1</v>
      </c>
      <c r="H2745" s="0" t="n">
        <f aca="false">D2745</f>
        <v>0.125</v>
      </c>
      <c r="I2745" s="0" t="n">
        <f aca="false">E2745</f>
        <v>0</v>
      </c>
      <c r="J2745" s="0" t="n">
        <f aca="false">F2745</f>
        <v>-0.625</v>
      </c>
      <c r="K2745" s="0" t="n">
        <f aca="false">D2745*E2745</f>
        <v>0</v>
      </c>
      <c r="L2745" s="0" t="n">
        <f aca="false">D2745*F2745</f>
        <v>-0.078125</v>
      </c>
      <c r="M2745" s="0" t="n">
        <f aca="false">E2745*F2745</f>
        <v>-0</v>
      </c>
      <c r="N2745" s="0" t="n">
        <f aca="false">D2745*D2745</f>
        <v>0.015625</v>
      </c>
      <c r="O2745" s="0" t="n">
        <f aca="false">E2745*E2745</f>
        <v>0</v>
      </c>
      <c r="P2745" s="0" t="n">
        <f aca="false">F2745*F2745</f>
        <v>0.390625</v>
      </c>
      <c r="Q2745" s="0" t="n">
        <f aca="false">SUMPRODUCT(G2745:P2745,_XtX!$B$71:$K$71)</f>
        <v>47.3590482954546</v>
      </c>
      <c r="R2745" s="0" t="n">
        <f aca="false">SUMPRODUCT(MMULT(G2745:P2745,_XtX!$B$58:$K$67),G2745:P2745)</f>
        <v>0.17654862837358</v>
      </c>
      <c r="S2745" s="0" t="n">
        <f aca="false">04_回帰ANOVA!$K$19*04_回帰ANOVA!$K$14*SQRT(1+R2745)</f>
        <v>1.00848995543082</v>
      </c>
      <c r="T2745" s="0" t="n">
        <f aca="false">Q2745-S2745</f>
        <v>46.3505583400237</v>
      </c>
      <c r="U2745" s="0" t="n">
        <f aca="false">Q2745+S2745</f>
        <v>48.3675382508854</v>
      </c>
      <c r="V2745" s="54" t="b">
        <f aca="false">AND(D2745&gt;=01_因子設定!$L$5-0.000000001,D2745&lt;=01_因子設定!$M$5+0.000000001,E2745&gt;=01_因子設定!$L$6-0.000000001,E2745&lt;=01_因子設定!$M$6+0.000000001,F2745&gt;=01_因子設定!$L$7-0.000000001,F2745&lt;=01_因子設定!$M$7+0.000000001,IF(01_因子設定!$B$20="Box-Behnken",D2745^2+E2745^2+F2745^2&lt;=2+0.000000001,TRUE()))</f>
        <v>1</v>
      </c>
      <c r="W2745" s="55" t="n">
        <f aca="false">IF(V2745,IF(01_因子設定!$B$13="最大化",T2745-01_因子設定!$B$14,IF(01_因子設定!$B$13="最小化",01_因子設定!$B$15-U2745,MIN(T2745-01_因子設定!$B$14,01_因子設定!$B$15-U2745))),-1E+030)</f>
        <v>-2.14944165997626</v>
      </c>
      <c r="X2745" s="55" t="n">
        <f aca="false">IF(V2745,IF(01_因子設定!$B$13="最大化",Q2745,IF(01_因子設定!$B$13="最小化",-Q2745,-ABS(Q2745-01_因子設定!$B$16))),-1E+030)</f>
        <v>47.3590482954546</v>
      </c>
      <c r="Y2745" s="55" t="n">
        <f aca="false">W2745+ROW()*0.000000001</f>
        <v>-2.14943891497626</v>
      </c>
      <c r="Z2745" s="55" t="n">
        <f aca="false">X2745+ROW()*0.000000001</f>
        <v>47.3590510404546</v>
      </c>
    </row>
    <row r="2746" customFormat="false" ht="15" hidden="false" customHeight="false" outlineLevel="0" collapsed="false">
      <c r="A2746" s="0" t="n">
        <v>9</v>
      </c>
      <c r="B2746" s="0" t="n">
        <v>8</v>
      </c>
      <c r="C2746" s="0" t="n">
        <v>4</v>
      </c>
      <c r="D2746" s="0" t="n">
        <f aca="false">-1+A2746*0.125</f>
        <v>0.125</v>
      </c>
      <c r="E2746" s="0" t="n">
        <f aca="false">-1+B2746*0.125</f>
        <v>0</v>
      </c>
      <c r="F2746" s="0" t="n">
        <f aca="false">-1+C2746*0.125</f>
        <v>-0.5</v>
      </c>
      <c r="G2746" s="0" t="n">
        <f aca="false">1</f>
        <v>1</v>
      </c>
      <c r="H2746" s="0" t="n">
        <f aca="false">D2746</f>
        <v>0.125</v>
      </c>
      <c r="I2746" s="0" t="n">
        <f aca="false">E2746</f>
        <v>0</v>
      </c>
      <c r="J2746" s="0" t="n">
        <f aca="false">F2746</f>
        <v>-0.5</v>
      </c>
      <c r="K2746" s="0" t="n">
        <f aca="false">D2746*E2746</f>
        <v>0</v>
      </c>
      <c r="L2746" s="0" t="n">
        <f aca="false">D2746*F2746</f>
        <v>-0.0625</v>
      </c>
      <c r="M2746" s="0" t="n">
        <f aca="false">E2746*F2746</f>
        <v>-0</v>
      </c>
      <c r="N2746" s="0" t="n">
        <f aca="false">D2746*D2746</f>
        <v>0.015625</v>
      </c>
      <c r="O2746" s="0" t="n">
        <f aca="false">E2746*E2746</f>
        <v>0</v>
      </c>
      <c r="P2746" s="0" t="n">
        <f aca="false">F2746*F2746</f>
        <v>0.25</v>
      </c>
      <c r="Q2746" s="0" t="n">
        <f aca="false">SUMPRODUCT(G2746:P2746,_XtX!$B$71:$K$71)</f>
        <v>47.6947585227273</v>
      </c>
      <c r="R2746" s="0" t="n">
        <f aca="false">SUMPRODUCT(MMULT(G2746:P2746,_XtX!$B$58:$K$67),G2746:P2746)</f>
        <v>0.142835582386364</v>
      </c>
      <c r="S2746" s="0" t="n">
        <f aca="false">04_回帰ANOVA!$K$19*04_回帰ANOVA!$K$14*SQRT(1+R2746)</f>
        <v>0.993936210693193</v>
      </c>
      <c r="T2746" s="0" t="n">
        <f aca="false">Q2746-S2746</f>
        <v>46.7008223120341</v>
      </c>
      <c r="U2746" s="0" t="n">
        <f aca="false">Q2746+S2746</f>
        <v>48.6886947334205</v>
      </c>
      <c r="V2746" s="54" t="b">
        <f aca="false">AND(D2746&gt;=01_因子設定!$L$5-0.000000001,D2746&lt;=01_因子設定!$M$5+0.000000001,E2746&gt;=01_因子設定!$L$6-0.000000001,E2746&lt;=01_因子設定!$M$6+0.000000001,F2746&gt;=01_因子設定!$L$7-0.000000001,F2746&lt;=01_因子設定!$M$7+0.000000001,IF(01_因子設定!$B$20="Box-Behnken",D2746^2+E2746^2+F2746^2&lt;=2+0.000000001,TRUE()))</f>
        <v>1</v>
      </c>
      <c r="W2746" s="55" t="n">
        <f aca="false">IF(V2746,IF(01_因子設定!$B$13="最大化",T2746-01_因子設定!$B$14,IF(01_因子設定!$B$13="最小化",01_因子設定!$B$15-U2746,MIN(T2746-01_因子設定!$B$14,01_因子設定!$B$15-U2746))),-1E+030)</f>
        <v>-1.79917768796591</v>
      </c>
      <c r="X2746" s="55" t="n">
        <f aca="false">IF(V2746,IF(01_因子設定!$B$13="最大化",Q2746,IF(01_因子設定!$B$13="最小化",-Q2746,-ABS(Q2746-01_因子設定!$B$16))),-1E+030)</f>
        <v>47.6947585227273</v>
      </c>
      <c r="Y2746" s="55" t="n">
        <f aca="false">W2746+ROW()*0.000000001</f>
        <v>-1.79917494196591</v>
      </c>
      <c r="Z2746" s="55" t="n">
        <f aca="false">X2746+ROW()*0.000000001</f>
        <v>47.6947612687273</v>
      </c>
    </row>
    <row r="2747" customFormat="false" ht="15" hidden="false" customHeight="false" outlineLevel="0" collapsed="false">
      <c r="A2747" s="0" t="n">
        <v>9</v>
      </c>
      <c r="B2747" s="0" t="n">
        <v>8</v>
      </c>
      <c r="C2747" s="0" t="n">
        <v>5</v>
      </c>
      <c r="D2747" s="0" t="n">
        <f aca="false">-1+A2747*0.125</f>
        <v>0.125</v>
      </c>
      <c r="E2747" s="0" t="n">
        <f aca="false">-1+B2747*0.125</f>
        <v>0</v>
      </c>
      <c r="F2747" s="0" t="n">
        <f aca="false">-1+C2747*0.125</f>
        <v>-0.375</v>
      </c>
      <c r="G2747" s="0" t="n">
        <f aca="false">1</f>
        <v>1</v>
      </c>
      <c r="H2747" s="0" t="n">
        <f aca="false">D2747</f>
        <v>0.125</v>
      </c>
      <c r="I2747" s="0" t="n">
        <f aca="false">E2747</f>
        <v>0</v>
      </c>
      <c r="J2747" s="0" t="n">
        <f aca="false">F2747</f>
        <v>-0.375</v>
      </c>
      <c r="K2747" s="0" t="n">
        <f aca="false">D2747*E2747</f>
        <v>0</v>
      </c>
      <c r="L2747" s="0" t="n">
        <f aca="false">D2747*F2747</f>
        <v>-0.046875</v>
      </c>
      <c r="M2747" s="0" t="n">
        <f aca="false">E2747*F2747</f>
        <v>-0</v>
      </c>
      <c r="N2747" s="0" t="n">
        <f aca="false">D2747*D2747</f>
        <v>0.015625</v>
      </c>
      <c r="O2747" s="0" t="n">
        <f aca="false">E2747*E2747</f>
        <v>0</v>
      </c>
      <c r="P2747" s="0" t="n">
        <f aca="false">F2747*F2747</f>
        <v>0.140625</v>
      </c>
      <c r="Q2747" s="0" t="n">
        <f aca="false">SUMPRODUCT(G2747:P2747,_XtX!$B$71:$K$71)</f>
        <v>47.9936789772727</v>
      </c>
      <c r="R2747" s="0" t="n">
        <f aca="false">SUMPRODUCT(MMULT(G2747:P2747,_XtX!$B$58:$K$67),G2747:P2747)</f>
        <v>0.126557506214489</v>
      </c>
      <c r="S2747" s="0" t="n">
        <f aca="false">04_回帰ANOVA!$K$19*04_回帰ANOVA!$K$14*SQRT(1+R2747)</f>
        <v>0.986832215747321</v>
      </c>
      <c r="T2747" s="0" t="n">
        <f aca="false">Q2747-S2747</f>
        <v>47.0068467615254</v>
      </c>
      <c r="U2747" s="0" t="n">
        <f aca="false">Q2747+S2747</f>
        <v>48.9805111930201</v>
      </c>
      <c r="V2747" s="54" t="b">
        <f aca="false">AND(D2747&gt;=01_因子設定!$L$5-0.000000001,D2747&lt;=01_因子設定!$M$5+0.000000001,E2747&gt;=01_因子設定!$L$6-0.000000001,E2747&lt;=01_因子設定!$M$6+0.000000001,F2747&gt;=01_因子設定!$L$7-0.000000001,F2747&lt;=01_因子設定!$M$7+0.000000001,IF(01_因子設定!$B$20="Box-Behnken",D2747^2+E2747^2+F2747^2&lt;=2+0.000000001,TRUE()))</f>
        <v>1</v>
      </c>
      <c r="W2747" s="55" t="n">
        <f aca="false">IF(V2747,IF(01_因子設定!$B$13="最大化",T2747-01_因子設定!$B$14,IF(01_因子設定!$B$13="最小化",01_因子設定!$B$15-U2747,MIN(T2747-01_因子設定!$B$14,01_因子設定!$B$15-U2747))),-1E+030)</f>
        <v>-1.49315323847458</v>
      </c>
      <c r="X2747" s="55" t="n">
        <f aca="false">IF(V2747,IF(01_因子設定!$B$13="最大化",Q2747,IF(01_因子設定!$B$13="最小化",-Q2747,-ABS(Q2747-01_因子設定!$B$16))),-1E+030)</f>
        <v>47.9936789772727</v>
      </c>
      <c r="Y2747" s="55" t="n">
        <f aca="false">W2747+ROW()*0.000000001</f>
        <v>-1.49315049147458</v>
      </c>
      <c r="Z2747" s="55" t="n">
        <f aca="false">X2747+ROW()*0.000000001</f>
        <v>47.9936817242727</v>
      </c>
    </row>
    <row r="2748" customFormat="false" ht="15" hidden="false" customHeight="false" outlineLevel="0" collapsed="false">
      <c r="A2748" s="0" t="n">
        <v>9</v>
      </c>
      <c r="B2748" s="0" t="n">
        <v>8</v>
      </c>
      <c r="C2748" s="0" t="n">
        <v>6</v>
      </c>
      <c r="D2748" s="0" t="n">
        <f aca="false">-1+A2748*0.125</f>
        <v>0.125</v>
      </c>
      <c r="E2748" s="0" t="n">
        <f aca="false">-1+B2748*0.125</f>
        <v>0</v>
      </c>
      <c r="F2748" s="0" t="n">
        <f aca="false">-1+C2748*0.125</f>
        <v>-0.25</v>
      </c>
      <c r="G2748" s="0" t="n">
        <f aca="false">1</f>
        <v>1</v>
      </c>
      <c r="H2748" s="0" t="n">
        <f aca="false">D2748</f>
        <v>0.125</v>
      </c>
      <c r="I2748" s="0" t="n">
        <f aca="false">E2748</f>
        <v>0</v>
      </c>
      <c r="J2748" s="0" t="n">
        <f aca="false">F2748</f>
        <v>-0.25</v>
      </c>
      <c r="K2748" s="0" t="n">
        <f aca="false">D2748*E2748</f>
        <v>0</v>
      </c>
      <c r="L2748" s="0" t="n">
        <f aca="false">D2748*F2748</f>
        <v>-0.03125</v>
      </c>
      <c r="M2748" s="0" t="n">
        <f aca="false">E2748*F2748</f>
        <v>-0</v>
      </c>
      <c r="N2748" s="0" t="n">
        <f aca="false">D2748*D2748</f>
        <v>0.015625</v>
      </c>
      <c r="O2748" s="0" t="n">
        <f aca="false">E2748*E2748</f>
        <v>0</v>
      </c>
      <c r="P2748" s="0" t="n">
        <f aca="false">F2748*F2748</f>
        <v>0.0625</v>
      </c>
      <c r="Q2748" s="0" t="n">
        <f aca="false">SUMPRODUCT(G2748:P2748,_XtX!$B$71:$K$71)</f>
        <v>48.2558096590909</v>
      </c>
      <c r="R2748" s="0" t="n">
        <f aca="false">SUMPRODUCT(MMULT(G2748:P2748,_XtX!$B$58:$K$67),G2748:P2748)</f>
        <v>0.120257013494318</v>
      </c>
      <c r="S2748" s="0" t="n">
        <f aca="false">04_回帰ANOVA!$K$19*04_回帰ANOVA!$K$14*SQRT(1+R2748)</f>
        <v>0.984068820741811</v>
      </c>
      <c r="T2748" s="0" t="n">
        <f aca="false">Q2748-S2748</f>
        <v>47.2717408383491</v>
      </c>
      <c r="U2748" s="0" t="n">
        <f aca="false">Q2748+S2748</f>
        <v>49.2398784798327</v>
      </c>
      <c r="V2748" s="54" t="b">
        <f aca="false">AND(D2748&gt;=01_因子設定!$L$5-0.000000001,D2748&lt;=01_因子設定!$M$5+0.000000001,E2748&gt;=01_因子設定!$L$6-0.000000001,E2748&lt;=01_因子設定!$M$6+0.000000001,F2748&gt;=01_因子設定!$L$7-0.000000001,F2748&lt;=01_因子設定!$M$7+0.000000001,IF(01_因子設定!$B$20="Box-Behnken",D2748^2+E2748^2+F2748^2&lt;=2+0.000000001,TRUE()))</f>
        <v>1</v>
      </c>
      <c r="W2748" s="55" t="n">
        <f aca="false">IF(V2748,IF(01_因子設定!$B$13="最大化",T2748-01_因子設定!$B$14,IF(01_因子設定!$B$13="最小化",01_因子設定!$B$15-U2748,MIN(T2748-01_因子設定!$B$14,01_因子設定!$B$15-U2748))),-1E+030)</f>
        <v>-1.22825916165089</v>
      </c>
      <c r="X2748" s="55" t="n">
        <f aca="false">IF(V2748,IF(01_因子設定!$B$13="最大化",Q2748,IF(01_因子設定!$B$13="最小化",-Q2748,-ABS(Q2748-01_因子設定!$B$16))),-1E+030)</f>
        <v>48.2558096590909</v>
      </c>
      <c r="Y2748" s="55" t="n">
        <f aca="false">W2748+ROW()*0.000000001</f>
        <v>-1.22825641365089</v>
      </c>
      <c r="Z2748" s="55" t="n">
        <f aca="false">X2748+ROW()*0.000000001</f>
        <v>48.2558124070909</v>
      </c>
    </row>
    <row r="2749" customFormat="false" ht="15" hidden="false" customHeight="false" outlineLevel="0" collapsed="false">
      <c r="A2749" s="0" t="n">
        <v>9</v>
      </c>
      <c r="B2749" s="0" t="n">
        <v>8</v>
      </c>
      <c r="C2749" s="0" t="n">
        <v>7</v>
      </c>
      <c r="D2749" s="0" t="n">
        <f aca="false">-1+A2749*0.125</f>
        <v>0.125</v>
      </c>
      <c r="E2749" s="0" t="n">
        <f aca="false">-1+B2749*0.125</f>
        <v>0</v>
      </c>
      <c r="F2749" s="0" t="n">
        <f aca="false">-1+C2749*0.125</f>
        <v>-0.125</v>
      </c>
      <c r="G2749" s="0" t="n">
        <f aca="false">1</f>
        <v>1</v>
      </c>
      <c r="H2749" s="0" t="n">
        <f aca="false">D2749</f>
        <v>0.125</v>
      </c>
      <c r="I2749" s="0" t="n">
        <f aca="false">E2749</f>
        <v>0</v>
      </c>
      <c r="J2749" s="0" t="n">
        <f aca="false">F2749</f>
        <v>-0.125</v>
      </c>
      <c r="K2749" s="0" t="n">
        <f aca="false">D2749*E2749</f>
        <v>0</v>
      </c>
      <c r="L2749" s="0" t="n">
        <f aca="false">D2749*F2749</f>
        <v>-0.015625</v>
      </c>
      <c r="M2749" s="0" t="n">
        <f aca="false">E2749*F2749</f>
        <v>-0</v>
      </c>
      <c r="N2749" s="0" t="n">
        <f aca="false">D2749*D2749</f>
        <v>0.015625</v>
      </c>
      <c r="O2749" s="0" t="n">
        <f aca="false">E2749*E2749</f>
        <v>0</v>
      </c>
      <c r="P2749" s="0" t="n">
        <f aca="false">F2749*F2749</f>
        <v>0.015625</v>
      </c>
      <c r="Q2749" s="0" t="n">
        <f aca="false">SUMPRODUCT(G2749:P2749,_XtX!$B$71:$K$71)</f>
        <v>48.4811505681818</v>
      </c>
      <c r="R2749" s="0" t="n">
        <f aca="false">SUMPRODUCT(MMULT(G2749:P2749,_XtX!$B$58:$K$67),G2749:P2749)</f>
        <v>0.118607399680398</v>
      </c>
      <c r="S2749" s="0" t="n">
        <f aca="false">04_回帰ANOVA!$K$19*04_回帰ANOVA!$K$14*SQRT(1+R2749)</f>
        <v>0.983344017619025</v>
      </c>
      <c r="T2749" s="0" t="n">
        <f aca="false">Q2749-S2749</f>
        <v>47.4978065505628</v>
      </c>
      <c r="U2749" s="0" t="n">
        <f aca="false">Q2749+S2749</f>
        <v>49.4644945858009</v>
      </c>
      <c r="V2749" s="54" t="b">
        <f aca="false">AND(D2749&gt;=01_因子設定!$L$5-0.000000001,D2749&lt;=01_因子設定!$M$5+0.000000001,E2749&gt;=01_因子設定!$L$6-0.000000001,E2749&lt;=01_因子設定!$M$6+0.000000001,F2749&gt;=01_因子設定!$L$7-0.000000001,F2749&lt;=01_因子設定!$M$7+0.000000001,IF(01_因子設定!$B$20="Box-Behnken",D2749^2+E2749^2+F2749^2&lt;=2+0.000000001,TRUE()))</f>
        <v>1</v>
      </c>
      <c r="W2749" s="55" t="n">
        <f aca="false">IF(V2749,IF(01_因子設定!$B$13="最大化",T2749-01_因子設定!$B$14,IF(01_因子設定!$B$13="最小化",01_因子設定!$B$15-U2749,MIN(T2749-01_因子設定!$B$14,01_因子設定!$B$15-U2749))),-1E+030)</f>
        <v>-1.0021934494372</v>
      </c>
      <c r="X2749" s="55" t="n">
        <f aca="false">IF(V2749,IF(01_因子設定!$B$13="最大化",Q2749,IF(01_因子設定!$B$13="最小化",-Q2749,-ABS(Q2749-01_因子設定!$B$16))),-1E+030)</f>
        <v>48.4811505681818</v>
      </c>
      <c r="Y2749" s="55" t="n">
        <f aca="false">W2749+ROW()*0.000000001</f>
        <v>-1.0021907004372</v>
      </c>
      <c r="Z2749" s="55" t="n">
        <f aca="false">X2749+ROW()*0.000000001</f>
        <v>48.4811533171818</v>
      </c>
    </row>
    <row r="2750" customFormat="false" ht="15" hidden="false" customHeight="false" outlineLevel="0" collapsed="false">
      <c r="A2750" s="0" t="n">
        <v>9</v>
      </c>
      <c r="B2750" s="0" t="n">
        <v>8</v>
      </c>
      <c r="C2750" s="0" t="n">
        <v>8</v>
      </c>
      <c r="D2750" s="0" t="n">
        <f aca="false">-1+A2750*0.125</f>
        <v>0.125</v>
      </c>
      <c r="E2750" s="0" t="n">
        <f aca="false">-1+B2750*0.125</f>
        <v>0</v>
      </c>
      <c r="F2750" s="0" t="n">
        <f aca="false">-1+C2750*0.125</f>
        <v>0</v>
      </c>
      <c r="G2750" s="0" t="n">
        <f aca="false">1</f>
        <v>1</v>
      </c>
      <c r="H2750" s="0" t="n">
        <f aca="false">D2750</f>
        <v>0.125</v>
      </c>
      <c r="I2750" s="0" t="n">
        <f aca="false">E2750</f>
        <v>0</v>
      </c>
      <c r="J2750" s="0" t="n">
        <f aca="false">F2750</f>
        <v>0</v>
      </c>
      <c r="K2750" s="0" t="n">
        <f aca="false">D2750*E2750</f>
        <v>0</v>
      </c>
      <c r="L2750" s="0" t="n">
        <f aca="false">D2750*F2750</f>
        <v>0</v>
      </c>
      <c r="M2750" s="0" t="n">
        <f aca="false">E2750*F2750</f>
        <v>0</v>
      </c>
      <c r="N2750" s="0" t="n">
        <f aca="false">D2750*D2750</f>
        <v>0.015625</v>
      </c>
      <c r="O2750" s="0" t="n">
        <f aca="false">E2750*E2750</f>
        <v>0</v>
      </c>
      <c r="P2750" s="0" t="n">
        <f aca="false">F2750*F2750</f>
        <v>0</v>
      </c>
      <c r="Q2750" s="0" t="n">
        <f aca="false">SUMPRODUCT(G2750:P2750,_XtX!$B$71:$K$71)</f>
        <v>48.6697017045455</v>
      </c>
      <c r="R2750" s="0" t="n">
        <f aca="false">SUMPRODUCT(MMULT(G2750:P2750,_XtX!$B$58:$K$67),G2750:P2750)</f>
        <v>0.118412642045455</v>
      </c>
      <c r="S2750" s="0" t="n">
        <f aca="false">04_回帰ANOVA!$K$19*04_回帰ANOVA!$K$14*SQRT(1+R2750)</f>
        <v>0.983258410241508</v>
      </c>
      <c r="T2750" s="0" t="n">
        <f aca="false">Q2750-S2750</f>
        <v>47.686443294304</v>
      </c>
      <c r="U2750" s="0" t="n">
        <f aca="false">Q2750+S2750</f>
        <v>49.652960114787</v>
      </c>
      <c r="V2750" s="54" t="b">
        <f aca="false">AND(D2750&gt;=01_因子設定!$L$5-0.000000001,D2750&lt;=01_因子設定!$M$5+0.000000001,E2750&gt;=01_因子設定!$L$6-0.000000001,E2750&lt;=01_因子設定!$M$6+0.000000001,F2750&gt;=01_因子設定!$L$7-0.000000001,F2750&lt;=01_因子設定!$M$7+0.000000001,IF(01_因子設定!$B$20="Box-Behnken",D2750^2+E2750^2+F2750^2&lt;=2+0.000000001,TRUE()))</f>
        <v>1</v>
      </c>
      <c r="W2750" s="55" t="n">
        <f aca="false">IF(V2750,IF(01_因子設定!$B$13="最大化",T2750-01_因子設定!$B$14,IF(01_因子設定!$B$13="最小化",01_因子設定!$B$15-U2750,MIN(T2750-01_因子設定!$B$14,01_因子設定!$B$15-U2750))),-1E+030)</f>
        <v>-0.813556705696051</v>
      </c>
      <c r="X2750" s="55" t="n">
        <f aca="false">IF(V2750,IF(01_因子設定!$B$13="最大化",Q2750,IF(01_因子設定!$B$13="最小化",-Q2750,-ABS(Q2750-01_因子設定!$B$16))),-1E+030)</f>
        <v>48.6697017045455</v>
      </c>
      <c r="Y2750" s="55" t="n">
        <f aca="false">W2750+ROW()*0.000000001</f>
        <v>-0.813553955696051</v>
      </c>
      <c r="Z2750" s="55" t="n">
        <f aca="false">X2750+ROW()*0.000000001</f>
        <v>48.6697044545455</v>
      </c>
    </row>
    <row r="2751" customFormat="false" ht="15" hidden="false" customHeight="false" outlineLevel="0" collapsed="false">
      <c r="A2751" s="0" t="n">
        <v>9</v>
      </c>
      <c r="B2751" s="0" t="n">
        <v>8</v>
      </c>
      <c r="C2751" s="0" t="n">
        <v>9</v>
      </c>
      <c r="D2751" s="0" t="n">
        <f aca="false">-1+A2751*0.125</f>
        <v>0.125</v>
      </c>
      <c r="E2751" s="0" t="n">
        <f aca="false">-1+B2751*0.125</f>
        <v>0</v>
      </c>
      <c r="F2751" s="0" t="n">
        <f aca="false">-1+C2751*0.125</f>
        <v>0.125</v>
      </c>
      <c r="G2751" s="0" t="n">
        <f aca="false">1</f>
        <v>1</v>
      </c>
      <c r="H2751" s="0" t="n">
        <f aca="false">D2751</f>
        <v>0.125</v>
      </c>
      <c r="I2751" s="0" t="n">
        <f aca="false">E2751</f>
        <v>0</v>
      </c>
      <c r="J2751" s="0" t="n">
        <f aca="false">F2751</f>
        <v>0.125</v>
      </c>
      <c r="K2751" s="0" t="n">
        <f aca="false">D2751*E2751</f>
        <v>0</v>
      </c>
      <c r="L2751" s="0" t="n">
        <f aca="false">D2751*F2751</f>
        <v>0.015625</v>
      </c>
      <c r="M2751" s="0" t="n">
        <f aca="false">E2751*F2751</f>
        <v>0</v>
      </c>
      <c r="N2751" s="0" t="n">
        <f aca="false">D2751*D2751</f>
        <v>0.015625</v>
      </c>
      <c r="O2751" s="0" t="n">
        <f aca="false">E2751*E2751</f>
        <v>0</v>
      </c>
      <c r="P2751" s="0" t="n">
        <f aca="false">F2751*F2751</f>
        <v>0.015625</v>
      </c>
      <c r="Q2751" s="0" t="n">
        <f aca="false">SUMPRODUCT(G2751:P2751,_XtX!$B$71:$K$71)</f>
        <v>48.8214630681818</v>
      </c>
      <c r="R2751" s="0" t="n">
        <f aca="false">SUMPRODUCT(MMULT(G2751:P2751,_XtX!$B$58:$K$67),G2751:P2751)</f>
        <v>0.118607399680398</v>
      </c>
      <c r="S2751" s="0" t="n">
        <f aca="false">04_回帰ANOVA!$K$19*04_回帰ANOVA!$K$14*SQRT(1+R2751)</f>
        <v>0.983344017619025</v>
      </c>
      <c r="T2751" s="0" t="n">
        <f aca="false">Q2751-S2751</f>
        <v>47.8381190505628</v>
      </c>
      <c r="U2751" s="0" t="n">
        <f aca="false">Q2751+S2751</f>
        <v>49.8048070858009</v>
      </c>
      <c r="V2751" s="54" t="b">
        <f aca="false">AND(D2751&gt;=01_因子設定!$L$5-0.000000001,D2751&lt;=01_因子設定!$M$5+0.000000001,E2751&gt;=01_因子設定!$L$6-0.000000001,E2751&lt;=01_因子設定!$M$6+0.000000001,F2751&gt;=01_因子設定!$L$7-0.000000001,F2751&lt;=01_因子設定!$M$7+0.000000001,IF(01_因子設定!$B$20="Box-Behnken",D2751^2+E2751^2+F2751^2&lt;=2+0.000000001,TRUE()))</f>
        <v>1</v>
      </c>
      <c r="W2751" s="55" t="n">
        <f aca="false">IF(V2751,IF(01_因子設定!$B$13="最大化",T2751-01_因子設定!$B$14,IF(01_因子設定!$B$13="最小化",01_因子設定!$B$15-U2751,MIN(T2751-01_因子設定!$B$14,01_因子設定!$B$15-U2751))),-1E+030)</f>
        <v>-0.661880949437197</v>
      </c>
      <c r="X2751" s="55" t="n">
        <f aca="false">IF(V2751,IF(01_因子設定!$B$13="最大化",Q2751,IF(01_因子設定!$B$13="最小化",-Q2751,-ABS(Q2751-01_因子設定!$B$16))),-1E+030)</f>
        <v>48.8214630681818</v>
      </c>
      <c r="Y2751" s="55" t="n">
        <f aca="false">W2751+ROW()*0.000000001</f>
        <v>-0.661878198437197</v>
      </c>
      <c r="Z2751" s="55" t="n">
        <f aca="false">X2751+ROW()*0.000000001</f>
        <v>48.8214658191818</v>
      </c>
    </row>
    <row r="2752" customFormat="false" ht="15" hidden="false" customHeight="false" outlineLevel="0" collapsed="false">
      <c r="A2752" s="0" t="n">
        <v>9</v>
      </c>
      <c r="B2752" s="0" t="n">
        <v>8</v>
      </c>
      <c r="C2752" s="0" t="n">
        <v>10</v>
      </c>
      <c r="D2752" s="0" t="n">
        <f aca="false">-1+A2752*0.125</f>
        <v>0.125</v>
      </c>
      <c r="E2752" s="0" t="n">
        <f aca="false">-1+B2752*0.125</f>
        <v>0</v>
      </c>
      <c r="F2752" s="0" t="n">
        <f aca="false">-1+C2752*0.125</f>
        <v>0.25</v>
      </c>
      <c r="G2752" s="0" t="n">
        <f aca="false">1</f>
        <v>1</v>
      </c>
      <c r="H2752" s="0" t="n">
        <f aca="false">D2752</f>
        <v>0.125</v>
      </c>
      <c r="I2752" s="0" t="n">
        <f aca="false">E2752</f>
        <v>0</v>
      </c>
      <c r="J2752" s="0" t="n">
        <f aca="false">F2752</f>
        <v>0.25</v>
      </c>
      <c r="K2752" s="0" t="n">
        <f aca="false">D2752*E2752</f>
        <v>0</v>
      </c>
      <c r="L2752" s="0" t="n">
        <f aca="false">D2752*F2752</f>
        <v>0.03125</v>
      </c>
      <c r="M2752" s="0" t="n">
        <f aca="false">E2752*F2752</f>
        <v>0</v>
      </c>
      <c r="N2752" s="0" t="n">
        <f aca="false">D2752*D2752</f>
        <v>0.015625</v>
      </c>
      <c r="O2752" s="0" t="n">
        <f aca="false">E2752*E2752</f>
        <v>0</v>
      </c>
      <c r="P2752" s="0" t="n">
        <f aca="false">F2752*F2752</f>
        <v>0.0625</v>
      </c>
      <c r="Q2752" s="0" t="n">
        <f aca="false">SUMPRODUCT(G2752:P2752,_XtX!$B$71:$K$71)</f>
        <v>48.9364346590909</v>
      </c>
      <c r="R2752" s="0" t="n">
        <f aca="false">SUMPRODUCT(MMULT(G2752:P2752,_XtX!$B$58:$K$67),G2752:P2752)</f>
        <v>0.120257013494318</v>
      </c>
      <c r="S2752" s="0" t="n">
        <f aca="false">04_回帰ANOVA!$K$19*04_回帰ANOVA!$K$14*SQRT(1+R2752)</f>
        <v>0.984068820741811</v>
      </c>
      <c r="T2752" s="0" t="n">
        <f aca="false">Q2752-S2752</f>
        <v>47.9523658383491</v>
      </c>
      <c r="U2752" s="0" t="n">
        <f aca="false">Q2752+S2752</f>
        <v>49.9205034798327</v>
      </c>
      <c r="V2752" s="54" t="b">
        <f aca="false">AND(D2752&gt;=01_因子設定!$L$5-0.000000001,D2752&lt;=01_因子設定!$M$5+0.000000001,E2752&gt;=01_因子設定!$L$6-0.000000001,E2752&lt;=01_因子設定!$M$6+0.000000001,F2752&gt;=01_因子設定!$L$7-0.000000001,F2752&lt;=01_因子設定!$M$7+0.000000001,IF(01_因子設定!$B$20="Box-Behnken",D2752^2+E2752^2+F2752^2&lt;=2+0.000000001,TRUE()))</f>
        <v>1</v>
      </c>
      <c r="W2752" s="55" t="n">
        <f aca="false">IF(V2752,IF(01_因子設定!$B$13="最大化",T2752-01_因子設定!$B$14,IF(01_因子設定!$B$13="最小化",01_因子設定!$B$15-U2752,MIN(T2752-01_因子設定!$B$14,01_因子設定!$B$15-U2752))),-1E+030)</f>
        <v>-0.54763416165089</v>
      </c>
      <c r="X2752" s="55" t="n">
        <f aca="false">IF(V2752,IF(01_因子設定!$B$13="最大化",Q2752,IF(01_因子設定!$B$13="最小化",-Q2752,-ABS(Q2752-01_因子設定!$B$16))),-1E+030)</f>
        <v>48.9364346590909</v>
      </c>
      <c r="Y2752" s="55" t="n">
        <f aca="false">W2752+ROW()*0.000000001</f>
        <v>-0.54763140965089</v>
      </c>
      <c r="Z2752" s="55" t="n">
        <f aca="false">X2752+ROW()*0.000000001</f>
        <v>48.9364374110909</v>
      </c>
    </row>
    <row r="2753" customFormat="false" ht="15" hidden="false" customHeight="false" outlineLevel="0" collapsed="false">
      <c r="A2753" s="0" t="n">
        <v>9</v>
      </c>
      <c r="B2753" s="0" t="n">
        <v>8</v>
      </c>
      <c r="C2753" s="0" t="n">
        <v>11</v>
      </c>
      <c r="D2753" s="0" t="n">
        <f aca="false">-1+A2753*0.125</f>
        <v>0.125</v>
      </c>
      <c r="E2753" s="0" t="n">
        <f aca="false">-1+B2753*0.125</f>
        <v>0</v>
      </c>
      <c r="F2753" s="0" t="n">
        <f aca="false">-1+C2753*0.125</f>
        <v>0.375</v>
      </c>
      <c r="G2753" s="0" t="n">
        <f aca="false">1</f>
        <v>1</v>
      </c>
      <c r="H2753" s="0" t="n">
        <f aca="false">D2753</f>
        <v>0.125</v>
      </c>
      <c r="I2753" s="0" t="n">
        <f aca="false">E2753</f>
        <v>0</v>
      </c>
      <c r="J2753" s="0" t="n">
        <f aca="false">F2753</f>
        <v>0.375</v>
      </c>
      <c r="K2753" s="0" t="n">
        <f aca="false">D2753*E2753</f>
        <v>0</v>
      </c>
      <c r="L2753" s="0" t="n">
        <f aca="false">D2753*F2753</f>
        <v>0.046875</v>
      </c>
      <c r="M2753" s="0" t="n">
        <f aca="false">E2753*F2753</f>
        <v>0</v>
      </c>
      <c r="N2753" s="0" t="n">
        <f aca="false">D2753*D2753</f>
        <v>0.015625</v>
      </c>
      <c r="O2753" s="0" t="n">
        <f aca="false">E2753*E2753</f>
        <v>0</v>
      </c>
      <c r="P2753" s="0" t="n">
        <f aca="false">F2753*F2753</f>
        <v>0.140625</v>
      </c>
      <c r="Q2753" s="0" t="n">
        <f aca="false">SUMPRODUCT(G2753:P2753,_XtX!$B$71:$K$71)</f>
        <v>49.0146164772727</v>
      </c>
      <c r="R2753" s="0" t="n">
        <f aca="false">SUMPRODUCT(MMULT(G2753:P2753,_XtX!$B$58:$K$67),G2753:P2753)</f>
        <v>0.126557506214489</v>
      </c>
      <c r="S2753" s="0" t="n">
        <f aca="false">04_回帰ANOVA!$K$19*04_回帰ANOVA!$K$14*SQRT(1+R2753)</f>
        <v>0.986832215747321</v>
      </c>
      <c r="T2753" s="0" t="n">
        <f aca="false">Q2753-S2753</f>
        <v>48.0277842615254</v>
      </c>
      <c r="U2753" s="0" t="n">
        <f aca="false">Q2753+S2753</f>
        <v>50.0014486930201</v>
      </c>
      <c r="V2753" s="54" t="b">
        <f aca="false">AND(D2753&gt;=01_因子設定!$L$5-0.000000001,D2753&lt;=01_因子設定!$M$5+0.000000001,E2753&gt;=01_因子設定!$L$6-0.000000001,E2753&lt;=01_因子設定!$M$6+0.000000001,F2753&gt;=01_因子設定!$L$7-0.000000001,F2753&lt;=01_因子設定!$M$7+0.000000001,IF(01_因子設定!$B$20="Box-Behnken",D2753^2+E2753^2+F2753^2&lt;=2+0.000000001,TRUE()))</f>
        <v>1</v>
      </c>
      <c r="W2753" s="55" t="n">
        <f aca="false">IF(V2753,IF(01_因子設定!$B$13="最大化",T2753-01_因子設定!$B$14,IF(01_因子設定!$B$13="最小化",01_因子設定!$B$15-U2753,MIN(T2753-01_因子設定!$B$14,01_因子設定!$B$15-U2753))),-1E+030)</f>
        <v>-0.472215738474581</v>
      </c>
      <c r="X2753" s="55" t="n">
        <f aca="false">IF(V2753,IF(01_因子設定!$B$13="最大化",Q2753,IF(01_因子設定!$B$13="最小化",-Q2753,-ABS(Q2753-01_因子設定!$B$16))),-1E+030)</f>
        <v>49.0146164772727</v>
      </c>
      <c r="Y2753" s="55" t="n">
        <f aca="false">W2753+ROW()*0.000000001</f>
        <v>-0.472212985474581</v>
      </c>
      <c r="Z2753" s="55" t="n">
        <f aca="false">X2753+ROW()*0.000000001</f>
        <v>49.0146192302727</v>
      </c>
    </row>
    <row r="2754" customFormat="false" ht="15" hidden="false" customHeight="false" outlineLevel="0" collapsed="false">
      <c r="A2754" s="0" t="n">
        <v>9</v>
      </c>
      <c r="B2754" s="0" t="n">
        <v>8</v>
      </c>
      <c r="C2754" s="0" t="n">
        <v>12</v>
      </c>
      <c r="D2754" s="0" t="n">
        <f aca="false">-1+A2754*0.125</f>
        <v>0.125</v>
      </c>
      <c r="E2754" s="0" t="n">
        <f aca="false">-1+B2754*0.125</f>
        <v>0</v>
      </c>
      <c r="F2754" s="0" t="n">
        <f aca="false">-1+C2754*0.125</f>
        <v>0.5</v>
      </c>
      <c r="G2754" s="0" t="n">
        <f aca="false">1</f>
        <v>1</v>
      </c>
      <c r="H2754" s="0" t="n">
        <f aca="false">D2754</f>
        <v>0.125</v>
      </c>
      <c r="I2754" s="0" t="n">
        <f aca="false">E2754</f>
        <v>0</v>
      </c>
      <c r="J2754" s="0" t="n">
        <f aca="false">F2754</f>
        <v>0.5</v>
      </c>
      <c r="K2754" s="0" t="n">
        <f aca="false">D2754*E2754</f>
        <v>0</v>
      </c>
      <c r="L2754" s="0" t="n">
        <f aca="false">D2754*F2754</f>
        <v>0.0625</v>
      </c>
      <c r="M2754" s="0" t="n">
        <f aca="false">E2754*F2754</f>
        <v>0</v>
      </c>
      <c r="N2754" s="0" t="n">
        <f aca="false">D2754*D2754</f>
        <v>0.015625</v>
      </c>
      <c r="O2754" s="0" t="n">
        <f aca="false">E2754*E2754</f>
        <v>0</v>
      </c>
      <c r="P2754" s="0" t="n">
        <f aca="false">F2754*F2754</f>
        <v>0.25</v>
      </c>
      <c r="Q2754" s="0" t="n">
        <f aca="false">SUMPRODUCT(G2754:P2754,_XtX!$B$71:$K$71)</f>
        <v>49.0560085227273</v>
      </c>
      <c r="R2754" s="0" t="n">
        <f aca="false">SUMPRODUCT(MMULT(G2754:P2754,_XtX!$B$58:$K$67),G2754:P2754)</f>
        <v>0.142835582386364</v>
      </c>
      <c r="S2754" s="0" t="n">
        <f aca="false">04_回帰ANOVA!$K$19*04_回帰ANOVA!$K$14*SQRT(1+R2754)</f>
        <v>0.993936210693193</v>
      </c>
      <c r="T2754" s="0" t="n">
        <f aca="false">Q2754-S2754</f>
        <v>48.0620723120341</v>
      </c>
      <c r="U2754" s="0" t="n">
        <f aca="false">Q2754+S2754</f>
        <v>50.0499447334205</v>
      </c>
      <c r="V2754" s="54" t="b">
        <f aca="false">AND(D2754&gt;=01_因子設定!$L$5-0.000000001,D2754&lt;=01_因子設定!$M$5+0.000000001,E2754&gt;=01_因子設定!$L$6-0.000000001,E2754&lt;=01_因子設定!$M$6+0.000000001,F2754&gt;=01_因子設定!$L$7-0.000000001,F2754&lt;=01_因子設定!$M$7+0.000000001,IF(01_因子設定!$B$20="Box-Behnken",D2754^2+E2754^2+F2754^2&lt;=2+0.000000001,TRUE()))</f>
        <v>1</v>
      </c>
      <c r="W2754" s="55" t="n">
        <f aca="false">IF(V2754,IF(01_因子設定!$B$13="最大化",T2754-01_因子設定!$B$14,IF(01_因子設定!$B$13="最小化",01_因子設定!$B$15-U2754,MIN(T2754-01_因子設定!$B$14,01_因子設定!$B$15-U2754))),-1E+030)</f>
        <v>-0.437927687965903</v>
      </c>
      <c r="X2754" s="55" t="n">
        <f aca="false">IF(V2754,IF(01_因子設定!$B$13="最大化",Q2754,IF(01_因子設定!$B$13="最小化",-Q2754,-ABS(Q2754-01_因子設定!$B$16))),-1E+030)</f>
        <v>49.0560085227273</v>
      </c>
      <c r="Y2754" s="55" t="n">
        <f aca="false">W2754+ROW()*0.000000001</f>
        <v>-0.437924933965903</v>
      </c>
      <c r="Z2754" s="55" t="n">
        <f aca="false">X2754+ROW()*0.000000001</f>
        <v>49.0560112767273</v>
      </c>
    </row>
    <row r="2755" customFormat="false" ht="15" hidden="false" customHeight="false" outlineLevel="0" collapsed="false">
      <c r="A2755" s="0" t="n">
        <v>9</v>
      </c>
      <c r="B2755" s="0" t="n">
        <v>8</v>
      </c>
      <c r="C2755" s="0" t="n">
        <v>13</v>
      </c>
      <c r="D2755" s="0" t="n">
        <f aca="false">-1+A2755*0.125</f>
        <v>0.125</v>
      </c>
      <c r="E2755" s="0" t="n">
        <f aca="false">-1+B2755*0.125</f>
        <v>0</v>
      </c>
      <c r="F2755" s="0" t="n">
        <f aca="false">-1+C2755*0.125</f>
        <v>0.625</v>
      </c>
      <c r="G2755" s="0" t="n">
        <f aca="false">1</f>
        <v>1</v>
      </c>
      <c r="H2755" s="0" t="n">
        <f aca="false">D2755</f>
        <v>0.125</v>
      </c>
      <c r="I2755" s="0" t="n">
        <f aca="false">E2755</f>
        <v>0</v>
      </c>
      <c r="J2755" s="0" t="n">
        <f aca="false">F2755</f>
        <v>0.625</v>
      </c>
      <c r="K2755" s="0" t="n">
        <f aca="false">D2755*E2755</f>
        <v>0</v>
      </c>
      <c r="L2755" s="0" t="n">
        <f aca="false">D2755*F2755</f>
        <v>0.078125</v>
      </c>
      <c r="M2755" s="0" t="n">
        <f aca="false">E2755*F2755</f>
        <v>0</v>
      </c>
      <c r="N2755" s="0" t="n">
        <f aca="false">D2755*D2755</f>
        <v>0.015625</v>
      </c>
      <c r="O2755" s="0" t="n">
        <f aca="false">E2755*E2755</f>
        <v>0</v>
      </c>
      <c r="P2755" s="0" t="n">
        <f aca="false">F2755*F2755</f>
        <v>0.390625</v>
      </c>
      <c r="Q2755" s="0" t="n">
        <f aca="false">SUMPRODUCT(G2755:P2755,_XtX!$B$71:$K$71)</f>
        <v>49.0606107954546</v>
      </c>
      <c r="R2755" s="0" t="n">
        <f aca="false">SUMPRODUCT(MMULT(G2755:P2755,_XtX!$B$58:$K$67),G2755:P2755)</f>
        <v>0.17654862837358</v>
      </c>
      <c r="S2755" s="0" t="n">
        <f aca="false">04_回帰ANOVA!$K$19*04_回帰ANOVA!$K$14*SQRT(1+R2755)</f>
        <v>1.00848995543082</v>
      </c>
      <c r="T2755" s="0" t="n">
        <f aca="false">Q2755-S2755</f>
        <v>48.0521208400237</v>
      </c>
      <c r="U2755" s="0" t="n">
        <f aca="false">Q2755+S2755</f>
        <v>50.0691007508854</v>
      </c>
      <c r="V2755" s="54" t="b">
        <f aca="false">AND(D2755&gt;=01_因子設定!$L$5-0.000000001,D2755&lt;=01_因子設定!$M$5+0.000000001,E2755&gt;=01_因子設定!$L$6-0.000000001,E2755&lt;=01_因子設定!$M$6+0.000000001,F2755&gt;=01_因子設定!$L$7-0.000000001,F2755&lt;=01_因子設定!$M$7+0.000000001,IF(01_因子設定!$B$20="Box-Behnken",D2755^2+E2755^2+F2755^2&lt;=2+0.000000001,TRUE()))</f>
        <v>1</v>
      </c>
      <c r="W2755" s="55" t="n">
        <f aca="false">IF(V2755,IF(01_因子設定!$B$13="最大化",T2755-01_因子設定!$B$14,IF(01_因子設定!$B$13="最小化",01_因子設定!$B$15-U2755,MIN(T2755-01_因子設定!$B$14,01_因子設定!$B$15-U2755))),-1E+030)</f>
        <v>-0.44787915997626</v>
      </c>
      <c r="X2755" s="55" t="n">
        <f aca="false">IF(V2755,IF(01_因子設定!$B$13="最大化",Q2755,IF(01_因子設定!$B$13="最小化",-Q2755,-ABS(Q2755-01_因子設定!$B$16))),-1E+030)</f>
        <v>49.0606107954546</v>
      </c>
      <c r="Y2755" s="55" t="n">
        <f aca="false">W2755+ROW()*0.000000001</f>
        <v>-0.44787640497626</v>
      </c>
      <c r="Z2755" s="55" t="n">
        <f aca="false">X2755+ROW()*0.000000001</f>
        <v>49.0606135504546</v>
      </c>
    </row>
    <row r="2756" customFormat="false" ht="15" hidden="false" customHeight="false" outlineLevel="0" collapsed="false">
      <c r="A2756" s="0" t="n">
        <v>9</v>
      </c>
      <c r="B2756" s="0" t="n">
        <v>8</v>
      </c>
      <c r="C2756" s="0" t="n">
        <v>14</v>
      </c>
      <c r="D2756" s="0" t="n">
        <f aca="false">-1+A2756*0.125</f>
        <v>0.125</v>
      </c>
      <c r="E2756" s="0" t="n">
        <f aca="false">-1+B2756*0.125</f>
        <v>0</v>
      </c>
      <c r="F2756" s="0" t="n">
        <f aca="false">-1+C2756*0.125</f>
        <v>0.75</v>
      </c>
      <c r="G2756" s="0" t="n">
        <f aca="false">1</f>
        <v>1</v>
      </c>
      <c r="H2756" s="0" t="n">
        <f aca="false">D2756</f>
        <v>0.125</v>
      </c>
      <c r="I2756" s="0" t="n">
        <f aca="false">E2756</f>
        <v>0</v>
      </c>
      <c r="J2756" s="0" t="n">
        <f aca="false">F2756</f>
        <v>0.75</v>
      </c>
      <c r="K2756" s="0" t="n">
        <f aca="false">D2756*E2756</f>
        <v>0</v>
      </c>
      <c r="L2756" s="0" t="n">
        <f aca="false">D2756*F2756</f>
        <v>0.09375</v>
      </c>
      <c r="M2756" s="0" t="n">
        <f aca="false">E2756*F2756</f>
        <v>0</v>
      </c>
      <c r="N2756" s="0" t="n">
        <f aca="false">D2756*D2756</f>
        <v>0.015625</v>
      </c>
      <c r="O2756" s="0" t="n">
        <f aca="false">E2756*E2756</f>
        <v>0</v>
      </c>
      <c r="P2756" s="0" t="n">
        <f aca="false">F2756*F2756</f>
        <v>0.5625</v>
      </c>
      <c r="Q2756" s="0" t="n">
        <f aca="false">SUMPRODUCT(G2756:P2756,_XtX!$B$71:$K$71)</f>
        <v>49.0284232954546</v>
      </c>
      <c r="R2756" s="0" t="n">
        <f aca="false">SUMPRODUCT(MMULT(G2756:P2756,_XtX!$B$58:$K$67),G2756:P2756)</f>
        <v>0.237284712357955</v>
      </c>
      <c r="S2756" s="0" t="n">
        <f aca="false">04_回帰ANOVA!$K$19*04_回帰ANOVA!$K$14*SQRT(1+R2756)</f>
        <v>1.03419267998124</v>
      </c>
      <c r="T2756" s="0" t="n">
        <f aca="false">Q2756-S2756</f>
        <v>47.9942306154733</v>
      </c>
      <c r="U2756" s="0" t="n">
        <f aca="false">Q2756+S2756</f>
        <v>50.0626159754358</v>
      </c>
      <c r="V2756" s="54" t="b">
        <f aca="false">AND(D2756&gt;=01_因子設定!$L$5-0.000000001,D2756&lt;=01_因子設定!$M$5+0.000000001,E2756&gt;=01_因子設定!$L$6-0.000000001,E2756&lt;=01_因子設定!$M$6+0.000000001,F2756&gt;=01_因子設定!$L$7-0.000000001,F2756&lt;=01_因子設定!$M$7+0.000000001,IF(01_因子設定!$B$20="Box-Behnken",D2756^2+E2756^2+F2756^2&lt;=2+0.000000001,TRUE()))</f>
        <v>1</v>
      </c>
      <c r="W2756" s="55" t="n">
        <f aca="false">IF(V2756,IF(01_因子設定!$B$13="最大化",T2756-01_因子設定!$B$14,IF(01_因子設定!$B$13="最小化",01_因子設定!$B$15-U2756,MIN(T2756-01_因子設定!$B$14,01_因子設定!$B$15-U2756))),-1E+030)</f>
        <v>-0.505769384526673</v>
      </c>
      <c r="X2756" s="55" t="n">
        <f aca="false">IF(V2756,IF(01_因子設定!$B$13="最大化",Q2756,IF(01_因子設定!$B$13="最小化",-Q2756,-ABS(Q2756-01_因子設定!$B$16))),-1E+030)</f>
        <v>49.0284232954546</v>
      </c>
      <c r="Y2756" s="55" t="n">
        <f aca="false">W2756+ROW()*0.000000001</f>
        <v>-0.505766628526673</v>
      </c>
      <c r="Z2756" s="55" t="n">
        <f aca="false">X2756+ROW()*0.000000001</f>
        <v>49.0284260514546</v>
      </c>
    </row>
    <row r="2757" customFormat="false" ht="15" hidden="false" customHeight="false" outlineLevel="0" collapsed="false">
      <c r="A2757" s="0" t="n">
        <v>9</v>
      </c>
      <c r="B2757" s="0" t="n">
        <v>8</v>
      </c>
      <c r="C2757" s="0" t="n">
        <v>15</v>
      </c>
      <c r="D2757" s="0" t="n">
        <f aca="false">-1+A2757*0.125</f>
        <v>0.125</v>
      </c>
      <c r="E2757" s="0" t="n">
        <f aca="false">-1+B2757*0.125</f>
        <v>0</v>
      </c>
      <c r="F2757" s="0" t="n">
        <f aca="false">-1+C2757*0.125</f>
        <v>0.875</v>
      </c>
      <c r="G2757" s="0" t="n">
        <f aca="false">1</f>
        <v>1</v>
      </c>
      <c r="H2757" s="0" t="n">
        <f aca="false">D2757</f>
        <v>0.125</v>
      </c>
      <c r="I2757" s="0" t="n">
        <f aca="false">E2757</f>
        <v>0</v>
      </c>
      <c r="J2757" s="0" t="n">
        <f aca="false">F2757</f>
        <v>0.875</v>
      </c>
      <c r="K2757" s="0" t="n">
        <f aca="false">D2757*E2757</f>
        <v>0</v>
      </c>
      <c r="L2757" s="0" t="n">
        <f aca="false">D2757*F2757</f>
        <v>0.109375</v>
      </c>
      <c r="M2757" s="0" t="n">
        <f aca="false">E2757*F2757</f>
        <v>0</v>
      </c>
      <c r="N2757" s="0" t="n">
        <f aca="false">D2757*D2757</f>
        <v>0.015625</v>
      </c>
      <c r="O2757" s="0" t="n">
        <f aca="false">E2757*E2757</f>
        <v>0</v>
      </c>
      <c r="P2757" s="0" t="n">
        <f aca="false">F2757*F2757</f>
        <v>0.765625</v>
      </c>
      <c r="Q2757" s="0" t="n">
        <f aca="false">SUMPRODUCT(G2757:P2757,_XtX!$B$71:$K$71)</f>
        <v>48.9594460227273</v>
      </c>
      <c r="R2757" s="0" t="n">
        <f aca="false">SUMPRODUCT(MMULT(G2757:P2757,_XtX!$B$58:$K$67),G2757:P2757)</f>
        <v>0.336762584339489</v>
      </c>
      <c r="S2757" s="0" t="n">
        <f aca="false">04_回帰ANOVA!$K$19*04_回帰ANOVA!$K$14*SQRT(1+R2757)</f>
        <v>1.07496364479411</v>
      </c>
      <c r="T2757" s="0" t="n">
        <f aca="false">Q2757-S2757</f>
        <v>47.8844823779332</v>
      </c>
      <c r="U2757" s="0" t="n">
        <f aca="false">Q2757+S2757</f>
        <v>50.0344096675214</v>
      </c>
      <c r="V2757" s="54" t="b">
        <f aca="false">AND(D2757&gt;=01_因子設定!$L$5-0.000000001,D2757&lt;=01_因子設定!$M$5+0.000000001,E2757&gt;=01_因子設定!$L$6-0.000000001,E2757&lt;=01_因子設定!$M$6+0.000000001,F2757&gt;=01_因子設定!$L$7-0.000000001,F2757&lt;=01_因子設定!$M$7+0.000000001,IF(01_因子設定!$B$20="Box-Behnken",D2757^2+E2757^2+F2757^2&lt;=2+0.000000001,TRUE()))</f>
        <v>1</v>
      </c>
      <c r="W2757" s="55" t="n">
        <f aca="false">IF(V2757,IF(01_因子設定!$B$13="最大化",T2757-01_因子設定!$B$14,IF(01_因子設定!$B$13="最小化",01_因子設定!$B$15-U2757,MIN(T2757-01_因子設定!$B$14,01_因子設定!$B$15-U2757))),-1E+030)</f>
        <v>-0.615517622066811</v>
      </c>
      <c r="X2757" s="55" t="n">
        <f aca="false">IF(V2757,IF(01_因子設定!$B$13="最大化",Q2757,IF(01_因子設定!$B$13="最小化",-Q2757,-ABS(Q2757-01_因子設定!$B$16))),-1E+030)</f>
        <v>48.9594460227273</v>
      </c>
      <c r="Y2757" s="55" t="n">
        <f aca="false">W2757+ROW()*0.000000001</f>
        <v>-0.615514865066811</v>
      </c>
      <c r="Z2757" s="55" t="n">
        <f aca="false">X2757+ROW()*0.000000001</f>
        <v>48.9594487797273</v>
      </c>
    </row>
    <row r="2758" customFormat="false" ht="15" hidden="false" customHeight="false" outlineLevel="0" collapsed="false">
      <c r="A2758" s="0" t="n">
        <v>9</v>
      </c>
      <c r="B2758" s="0" t="n">
        <v>8</v>
      </c>
      <c r="C2758" s="0" t="n">
        <v>16</v>
      </c>
      <c r="D2758" s="0" t="n">
        <f aca="false">-1+A2758*0.125</f>
        <v>0.125</v>
      </c>
      <c r="E2758" s="0" t="n">
        <f aca="false">-1+B2758*0.125</f>
        <v>0</v>
      </c>
      <c r="F2758" s="0" t="n">
        <f aca="false">-1+C2758*0.125</f>
        <v>1</v>
      </c>
      <c r="G2758" s="0" t="n">
        <f aca="false">1</f>
        <v>1</v>
      </c>
      <c r="H2758" s="0" t="n">
        <f aca="false">D2758</f>
        <v>0.125</v>
      </c>
      <c r="I2758" s="0" t="n">
        <f aca="false">E2758</f>
        <v>0</v>
      </c>
      <c r="J2758" s="0" t="n">
        <f aca="false">F2758</f>
        <v>1</v>
      </c>
      <c r="K2758" s="0" t="n">
        <f aca="false">D2758*E2758</f>
        <v>0</v>
      </c>
      <c r="L2758" s="0" t="n">
        <f aca="false">D2758*F2758</f>
        <v>0.125</v>
      </c>
      <c r="M2758" s="0" t="n">
        <f aca="false">E2758*F2758</f>
        <v>0</v>
      </c>
      <c r="N2758" s="0" t="n">
        <f aca="false">D2758*D2758</f>
        <v>0.015625</v>
      </c>
      <c r="O2758" s="0" t="n">
        <f aca="false">E2758*E2758</f>
        <v>0</v>
      </c>
      <c r="P2758" s="0" t="n">
        <f aca="false">F2758*F2758</f>
        <v>1</v>
      </c>
      <c r="Q2758" s="0" t="n">
        <f aca="false">SUMPRODUCT(G2758:P2758,_XtX!$B$71:$K$71)</f>
        <v>48.8536789772728</v>
      </c>
      <c r="R2758" s="0" t="n">
        <f aca="false">SUMPRODUCT(MMULT(G2758:P2758,_XtX!$B$58:$K$67),G2758:P2758)</f>
        <v>0.488831676136364</v>
      </c>
      <c r="S2758" s="0" t="n">
        <f aca="false">04_回帰ANOVA!$K$19*04_回帰ANOVA!$K$14*SQRT(1+R2758)</f>
        <v>1.13446064908709</v>
      </c>
      <c r="T2758" s="0" t="n">
        <f aca="false">Q2758-S2758</f>
        <v>47.7192183281857</v>
      </c>
      <c r="U2758" s="0" t="n">
        <f aca="false">Q2758+S2758</f>
        <v>49.9881396263598</v>
      </c>
      <c r="V2758" s="54" t="b">
        <f aca="false">AND(D2758&gt;=01_因子設定!$L$5-0.000000001,D2758&lt;=01_因子設定!$M$5+0.000000001,E2758&gt;=01_因子設定!$L$6-0.000000001,E2758&lt;=01_因子設定!$M$6+0.000000001,F2758&gt;=01_因子設定!$L$7-0.000000001,F2758&lt;=01_因子設定!$M$7+0.000000001,IF(01_因子設定!$B$20="Box-Behnken",D2758^2+E2758^2+F2758^2&lt;=2+0.000000001,TRUE()))</f>
        <v>1</v>
      </c>
      <c r="W2758" s="55" t="n">
        <f aca="false">IF(V2758,IF(01_因子設定!$B$13="最大化",T2758-01_因子設定!$B$14,IF(01_因子設定!$B$13="最小化",01_因子設定!$B$15-U2758,MIN(T2758-01_因子設定!$B$14,01_因子設定!$B$15-U2758))),-1E+030)</f>
        <v>-0.780781671814331</v>
      </c>
      <c r="X2758" s="55" t="n">
        <f aca="false">IF(V2758,IF(01_因子設定!$B$13="最大化",Q2758,IF(01_因子設定!$B$13="最小化",-Q2758,-ABS(Q2758-01_因子設定!$B$16))),-1E+030)</f>
        <v>48.8536789772728</v>
      </c>
      <c r="Y2758" s="55" t="n">
        <f aca="false">W2758+ROW()*0.000000001</f>
        <v>-0.780778913814331</v>
      </c>
      <c r="Z2758" s="55" t="n">
        <f aca="false">X2758+ROW()*0.000000001</f>
        <v>48.8536817352728</v>
      </c>
    </row>
    <row r="2759" customFormat="false" ht="15" hidden="false" customHeight="false" outlineLevel="0" collapsed="false">
      <c r="A2759" s="0" t="n">
        <v>9</v>
      </c>
      <c r="B2759" s="0" t="n">
        <v>9</v>
      </c>
      <c r="C2759" s="0" t="n">
        <v>0</v>
      </c>
      <c r="D2759" s="0" t="n">
        <f aca="false">-1+A2759*0.125</f>
        <v>0.125</v>
      </c>
      <c r="E2759" s="0" t="n">
        <f aca="false">-1+B2759*0.125</f>
        <v>0.125</v>
      </c>
      <c r="F2759" s="0" t="n">
        <f aca="false">-1+C2759*0.125</f>
        <v>-1</v>
      </c>
      <c r="G2759" s="0" t="n">
        <f aca="false">1</f>
        <v>1</v>
      </c>
      <c r="H2759" s="0" t="n">
        <f aca="false">D2759</f>
        <v>0.125</v>
      </c>
      <c r="I2759" s="0" t="n">
        <f aca="false">E2759</f>
        <v>0.125</v>
      </c>
      <c r="J2759" s="0" t="n">
        <f aca="false">F2759</f>
        <v>-1</v>
      </c>
      <c r="K2759" s="0" t="n">
        <f aca="false">D2759*E2759</f>
        <v>0.015625</v>
      </c>
      <c r="L2759" s="0" t="n">
        <f aca="false">D2759*F2759</f>
        <v>-0.125</v>
      </c>
      <c r="M2759" s="0" t="n">
        <f aca="false">E2759*F2759</f>
        <v>-0.125</v>
      </c>
      <c r="N2759" s="0" t="n">
        <f aca="false">D2759*D2759</f>
        <v>0.015625</v>
      </c>
      <c r="O2759" s="0" t="n">
        <f aca="false">E2759*E2759</f>
        <v>0.015625</v>
      </c>
      <c r="P2759" s="0" t="n">
        <f aca="false">F2759*F2759</f>
        <v>1</v>
      </c>
      <c r="Q2759" s="0" t="n">
        <f aca="false">SUMPRODUCT(G2759:P2759,_XtX!$B$71:$K$71)</f>
        <v>46.3211434659091</v>
      </c>
      <c r="R2759" s="0" t="n">
        <f aca="false">SUMPRODUCT(MMULT(G2759:P2759,_XtX!$B$58:$K$67),G2759:P2759)</f>
        <v>0.486718195134943</v>
      </c>
      <c r="S2759" s="0" t="n">
        <f aca="false">04_回帰ANOVA!$K$19*04_回帰ANOVA!$K$14*SQRT(1+R2759)</f>
        <v>1.13365514750636</v>
      </c>
      <c r="T2759" s="0" t="n">
        <f aca="false">Q2759-S2759</f>
        <v>45.1874883184028</v>
      </c>
      <c r="U2759" s="0" t="n">
        <f aca="false">Q2759+S2759</f>
        <v>47.4547986134155</v>
      </c>
      <c r="V2759" s="54" t="b">
        <f aca="false">AND(D2759&gt;=01_因子設定!$L$5-0.000000001,D2759&lt;=01_因子設定!$M$5+0.000000001,E2759&gt;=01_因子設定!$L$6-0.000000001,E2759&lt;=01_因子設定!$M$6+0.000000001,F2759&gt;=01_因子設定!$L$7-0.000000001,F2759&lt;=01_因子設定!$M$7+0.000000001,IF(01_因子設定!$B$20="Box-Behnken",D2759^2+E2759^2+F2759^2&lt;=2+0.000000001,TRUE()))</f>
        <v>1</v>
      </c>
      <c r="W2759" s="55" t="n">
        <f aca="false">IF(V2759,IF(01_因子設定!$B$13="最大化",T2759-01_因子設定!$B$14,IF(01_因子設定!$B$13="最小化",01_因子設定!$B$15-U2759,MIN(T2759-01_因子設定!$B$14,01_因子設定!$B$15-U2759))),-1E+030)</f>
        <v>-3.31251168159724</v>
      </c>
      <c r="X2759" s="55" t="n">
        <f aca="false">IF(V2759,IF(01_因子設定!$B$13="最大化",Q2759,IF(01_因子設定!$B$13="最小化",-Q2759,-ABS(Q2759-01_因子設定!$B$16))),-1E+030)</f>
        <v>46.3211434659091</v>
      </c>
      <c r="Y2759" s="55" t="n">
        <f aca="false">W2759+ROW()*0.000000001</f>
        <v>-3.31250892259724</v>
      </c>
      <c r="Z2759" s="55" t="n">
        <f aca="false">X2759+ROW()*0.000000001</f>
        <v>46.3211462249091</v>
      </c>
    </row>
    <row r="2760" customFormat="false" ht="15" hidden="false" customHeight="false" outlineLevel="0" collapsed="false">
      <c r="A2760" s="0" t="n">
        <v>9</v>
      </c>
      <c r="B2760" s="0" t="n">
        <v>9</v>
      </c>
      <c r="C2760" s="0" t="n">
        <v>1</v>
      </c>
      <c r="D2760" s="0" t="n">
        <f aca="false">-1+A2760*0.125</f>
        <v>0.125</v>
      </c>
      <c r="E2760" s="0" t="n">
        <f aca="false">-1+B2760*0.125</f>
        <v>0.125</v>
      </c>
      <c r="F2760" s="0" t="n">
        <f aca="false">-1+C2760*0.125</f>
        <v>-0.875</v>
      </c>
      <c r="G2760" s="0" t="n">
        <f aca="false">1</f>
        <v>1</v>
      </c>
      <c r="H2760" s="0" t="n">
        <f aca="false">D2760</f>
        <v>0.125</v>
      </c>
      <c r="I2760" s="0" t="n">
        <f aca="false">E2760</f>
        <v>0.125</v>
      </c>
      <c r="J2760" s="0" t="n">
        <f aca="false">F2760</f>
        <v>-0.875</v>
      </c>
      <c r="K2760" s="0" t="n">
        <f aca="false">D2760*E2760</f>
        <v>0.015625</v>
      </c>
      <c r="L2760" s="0" t="n">
        <f aca="false">D2760*F2760</f>
        <v>-0.109375</v>
      </c>
      <c r="M2760" s="0" t="n">
        <f aca="false">E2760*F2760</f>
        <v>-0.109375</v>
      </c>
      <c r="N2760" s="0" t="n">
        <f aca="false">D2760*D2760</f>
        <v>0.015625</v>
      </c>
      <c r="O2760" s="0" t="n">
        <f aca="false">E2760*E2760</f>
        <v>0.015625</v>
      </c>
      <c r="P2760" s="0" t="n">
        <f aca="false">F2760*F2760</f>
        <v>0.765625</v>
      </c>
      <c r="Q2760" s="0" t="n">
        <f aca="false">SUMPRODUCT(G2760:P2760,_XtX!$B$71:$K$71)</f>
        <v>46.7742542613637</v>
      </c>
      <c r="R2760" s="0" t="n">
        <f aca="false">SUMPRODUCT(MMULT(G2760:P2760,_XtX!$B$58:$K$67),G2760:P2760)</f>
        <v>0.335190096768466</v>
      </c>
      <c r="S2760" s="0" t="n">
        <f aca="false">04_回帰ANOVA!$K$19*04_回帰ANOVA!$K$14*SQRT(1+R2760)</f>
        <v>1.07433119726947</v>
      </c>
      <c r="T2760" s="0" t="n">
        <f aca="false">Q2760-S2760</f>
        <v>45.6999230640942</v>
      </c>
      <c r="U2760" s="0" t="n">
        <f aca="false">Q2760+S2760</f>
        <v>47.8485854586331</v>
      </c>
      <c r="V2760" s="54" t="b">
        <f aca="false">AND(D2760&gt;=01_因子設定!$L$5-0.000000001,D2760&lt;=01_因子設定!$M$5+0.000000001,E2760&gt;=01_因子設定!$L$6-0.000000001,E2760&lt;=01_因子設定!$M$6+0.000000001,F2760&gt;=01_因子設定!$L$7-0.000000001,F2760&lt;=01_因子設定!$M$7+0.000000001,IF(01_因子設定!$B$20="Box-Behnken",D2760^2+E2760^2+F2760^2&lt;=2+0.000000001,TRUE()))</f>
        <v>1</v>
      </c>
      <c r="W2760" s="55" t="n">
        <f aca="false">IF(V2760,IF(01_因子設定!$B$13="最大化",T2760-01_因子設定!$B$14,IF(01_因子設定!$B$13="最小化",01_因子設定!$B$15-U2760,MIN(T2760-01_因子設定!$B$14,01_因子設定!$B$15-U2760))),-1E+030)</f>
        <v>-2.80007693590581</v>
      </c>
      <c r="X2760" s="55" t="n">
        <f aca="false">IF(V2760,IF(01_因子設定!$B$13="最大化",Q2760,IF(01_因子設定!$B$13="最小化",-Q2760,-ABS(Q2760-01_因子設定!$B$16))),-1E+030)</f>
        <v>46.7742542613637</v>
      </c>
      <c r="Y2760" s="55" t="n">
        <f aca="false">W2760+ROW()*0.000000001</f>
        <v>-2.80007417590581</v>
      </c>
      <c r="Z2760" s="55" t="n">
        <f aca="false">X2760+ROW()*0.000000001</f>
        <v>46.7742570213637</v>
      </c>
    </row>
    <row r="2761" customFormat="false" ht="15" hidden="false" customHeight="false" outlineLevel="0" collapsed="false">
      <c r="A2761" s="0" t="n">
        <v>9</v>
      </c>
      <c r="B2761" s="0" t="n">
        <v>9</v>
      </c>
      <c r="C2761" s="0" t="n">
        <v>2</v>
      </c>
      <c r="D2761" s="0" t="n">
        <f aca="false">-1+A2761*0.125</f>
        <v>0.125</v>
      </c>
      <c r="E2761" s="0" t="n">
        <f aca="false">-1+B2761*0.125</f>
        <v>0.125</v>
      </c>
      <c r="F2761" s="0" t="n">
        <f aca="false">-1+C2761*0.125</f>
        <v>-0.75</v>
      </c>
      <c r="G2761" s="0" t="n">
        <f aca="false">1</f>
        <v>1</v>
      </c>
      <c r="H2761" s="0" t="n">
        <f aca="false">D2761</f>
        <v>0.125</v>
      </c>
      <c r="I2761" s="0" t="n">
        <f aca="false">E2761</f>
        <v>0.125</v>
      </c>
      <c r="J2761" s="0" t="n">
        <f aca="false">F2761</f>
        <v>-0.75</v>
      </c>
      <c r="K2761" s="0" t="n">
        <f aca="false">D2761*E2761</f>
        <v>0.015625</v>
      </c>
      <c r="L2761" s="0" t="n">
        <f aca="false">D2761*F2761</f>
        <v>-0.09375</v>
      </c>
      <c r="M2761" s="0" t="n">
        <f aca="false">E2761*F2761</f>
        <v>-0.09375</v>
      </c>
      <c r="N2761" s="0" t="n">
        <f aca="false">D2761*D2761</f>
        <v>0.015625</v>
      </c>
      <c r="O2761" s="0" t="n">
        <f aca="false">E2761*E2761</f>
        <v>0.015625</v>
      </c>
      <c r="P2761" s="0" t="n">
        <f aca="false">F2761*F2761</f>
        <v>0.5625</v>
      </c>
      <c r="Q2761" s="0" t="n">
        <f aca="false">SUMPRODUCT(G2761:P2761,_XtX!$B$71:$K$71)</f>
        <v>47.1905752840909</v>
      </c>
      <c r="R2761" s="0" t="n">
        <f aca="false">SUMPRODUCT(MMULT(G2761:P2761,_XtX!$B$58:$K$67),G2761:P2761)</f>
        <v>0.236181085759943</v>
      </c>
      <c r="S2761" s="0" t="n">
        <f aca="false">04_回帰ANOVA!$K$19*04_回帰ANOVA!$K$14*SQRT(1+R2761)</f>
        <v>1.03373134025567</v>
      </c>
      <c r="T2761" s="0" t="n">
        <f aca="false">Q2761-S2761</f>
        <v>46.1568439438353</v>
      </c>
      <c r="U2761" s="0" t="n">
        <f aca="false">Q2761+S2761</f>
        <v>48.2243066243466</v>
      </c>
      <c r="V2761" s="54" t="b">
        <f aca="false">AND(D2761&gt;=01_因子設定!$L$5-0.000000001,D2761&lt;=01_因子設定!$M$5+0.000000001,E2761&gt;=01_因子設定!$L$6-0.000000001,E2761&lt;=01_因子設定!$M$6+0.000000001,F2761&gt;=01_因子設定!$L$7-0.000000001,F2761&lt;=01_因子設定!$M$7+0.000000001,IF(01_因子設定!$B$20="Box-Behnken",D2761^2+E2761^2+F2761^2&lt;=2+0.000000001,TRUE()))</f>
        <v>1</v>
      </c>
      <c r="W2761" s="55" t="n">
        <f aca="false">IF(V2761,IF(01_因子設定!$B$13="最大化",T2761-01_因子設定!$B$14,IF(01_因子設定!$B$13="最小化",01_因子設定!$B$15-U2761,MIN(T2761-01_因子設定!$B$14,01_因子設定!$B$15-U2761))),-1E+030)</f>
        <v>-2.34315605616475</v>
      </c>
      <c r="X2761" s="55" t="n">
        <f aca="false">IF(V2761,IF(01_因子設定!$B$13="最大化",Q2761,IF(01_因子設定!$B$13="最小化",-Q2761,-ABS(Q2761-01_因子設定!$B$16))),-1E+030)</f>
        <v>47.1905752840909</v>
      </c>
      <c r="Y2761" s="55" t="n">
        <f aca="false">W2761+ROW()*0.000000001</f>
        <v>-2.34315329516475</v>
      </c>
      <c r="Z2761" s="55" t="n">
        <f aca="false">X2761+ROW()*0.000000001</f>
        <v>47.1905780450909</v>
      </c>
    </row>
    <row r="2762" customFormat="false" ht="15" hidden="false" customHeight="false" outlineLevel="0" collapsed="false">
      <c r="A2762" s="0" t="n">
        <v>9</v>
      </c>
      <c r="B2762" s="0" t="n">
        <v>9</v>
      </c>
      <c r="C2762" s="0" t="n">
        <v>3</v>
      </c>
      <c r="D2762" s="0" t="n">
        <f aca="false">-1+A2762*0.125</f>
        <v>0.125</v>
      </c>
      <c r="E2762" s="0" t="n">
        <f aca="false">-1+B2762*0.125</f>
        <v>0.125</v>
      </c>
      <c r="F2762" s="0" t="n">
        <f aca="false">-1+C2762*0.125</f>
        <v>-0.625</v>
      </c>
      <c r="G2762" s="0" t="n">
        <f aca="false">1</f>
        <v>1</v>
      </c>
      <c r="H2762" s="0" t="n">
        <f aca="false">D2762</f>
        <v>0.125</v>
      </c>
      <c r="I2762" s="0" t="n">
        <f aca="false">E2762</f>
        <v>0.125</v>
      </c>
      <c r="J2762" s="0" t="n">
        <f aca="false">F2762</f>
        <v>-0.625</v>
      </c>
      <c r="K2762" s="0" t="n">
        <f aca="false">D2762*E2762</f>
        <v>0.015625</v>
      </c>
      <c r="L2762" s="0" t="n">
        <f aca="false">D2762*F2762</f>
        <v>-0.078125</v>
      </c>
      <c r="M2762" s="0" t="n">
        <f aca="false">E2762*F2762</f>
        <v>-0.078125</v>
      </c>
      <c r="N2762" s="0" t="n">
        <f aca="false">D2762*D2762</f>
        <v>0.015625</v>
      </c>
      <c r="O2762" s="0" t="n">
        <f aca="false">E2762*E2762</f>
        <v>0.015625</v>
      </c>
      <c r="P2762" s="0" t="n">
        <f aca="false">F2762*F2762</f>
        <v>0.390625</v>
      </c>
      <c r="Q2762" s="0" t="n">
        <f aca="false">SUMPRODUCT(G2762:P2762,_XtX!$B$71:$K$71)</f>
        <v>47.5701065340909</v>
      </c>
      <c r="R2762" s="0" t="n">
        <f aca="false">SUMPRODUCT(MMULT(G2762:P2762,_XtX!$B$58:$K$67),G2762:P2762)</f>
        <v>0.175841730291193</v>
      </c>
      <c r="S2762" s="0" t="n">
        <f aca="false">04_回帰ANOVA!$K$19*04_回帰ANOVA!$K$14*SQRT(1+R2762)</f>
        <v>1.00818694767054</v>
      </c>
      <c r="T2762" s="0" t="n">
        <f aca="false">Q2762-S2762</f>
        <v>46.5619195864204</v>
      </c>
      <c r="U2762" s="0" t="n">
        <f aca="false">Q2762+S2762</f>
        <v>48.5782934817615</v>
      </c>
      <c r="V2762" s="54" t="b">
        <f aca="false">AND(D2762&gt;=01_因子設定!$L$5-0.000000001,D2762&lt;=01_因子設定!$M$5+0.000000001,E2762&gt;=01_因子設定!$L$6-0.000000001,E2762&lt;=01_因子設定!$M$6+0.000000001,F2762&gt;=01_因子設定!$L$7-0.000000001,F2762&lt;=01_因子設定!$M$7+0.000000001,IF(01_因子設定!$B$20="Box-Behnken",D2762^2+E2762^2+F2762^2&lt;=2+0.000000001,TRUE()))</f>
        <v>1</v>
      </c>
      <c r="W2762" s="55" t="n">
        <f aca="false">IF(V2762,IF(01_因子設定!$B$13="最大化",T2762-01_因子設定!$B$14,IF(01_因子設定!$B$13="最小化",01_因子設定!$B$15-U2762,MIN(T2762-01_因子設定!$B$14,01_因子設定!$B$15-U2762))),-1E+030)</f>
        <v>-1.93808041357961</v>
      </c>
      <c r="X2762" s="55" t="n">
        <f aca="false">IF(V2762,IF(01_因子設定!$B$13="最大化",Q2762,IF(01_因子設定!$B$13="最小化",-Q2762,-ABS(Q2762-01_因子設定!$B$16))),-1E+030)</f>
        <v>47.5701065340909</v>
      </c>
      <c r="Y2762" s="55" t="n">
        <f aca="false">W2762+ROW()*0.000000001</f>
        <v>-1.93807765157961</v>
      </c>
      <c r="Z2762" s="55" t="n">
        <f aca="false">X2762+ROW()*0.000000001</f>
        <v>47.5701092960909</v>
      </c>
    </row>
    <row r="2763" customFormat="false" ht="15" hidden="false" customHeight="false" outlineLevel="0" collapsed="false">
      <c r="A2763" s="0" t="n">
        <v>9</v>
      </c>
      <c r="B2763" s="0" t="n">
        <v>9</v>
      </c>
      <c r="C2763" s="0" t="n">
        <v>4</v>
      </c>
      <c r="D2763" s="0" t="n">
        <f aca="false">-1+A2763*0.125</f>
        <v>0.125</v>
      </c>
      <c r="E2763" s="0" t="n">
        <f aca="false">-1+B2763*0.125</f>
        <v>0.125</v>
      </c>
      <c r="F2763" s="0" t="n">
        <f aca="false">-1+C2763*0.125</f>
        <v>-0.5</v>
      </c>
      <c r="G2763" s="0" t="n">
        <f aca="false">1</f>
        <v>1</v>
      </c>
      <c r="H2763" s="0" t="n">
        <f aca="false">D2763</f>
        <v>0.125</v>
      </c>
      <c r="I2763" s="0" t="n">
        <f aca="false">E2763</f>
        <v>0.125</v>
      </c>
      <c r="J2763" s="0" t="n">
        <f aca="false">F2763</f>
        <v>-0.5</v>
      </c>
      <c r="K2763" s="0" t="n">
        <f aca="false">D2763*E2763</f>
        <v>0.015625</v>
      </c>
      <c r="L2763" s="0" t="n">
        <f aca="false">D2763*F2763</f>
        <v>-0.0625</v>
      </c>
      <c r="M2763" s="0" t="n">
        <f aca="false">E2763*F2763</f>
        <v>-0.0625</v>
      </c>
      <c r="N2763" s="0" t="n">
        <f aca="false">D2763*D2763</f>
        <v>0.015625</v>
      </c>
      <c r="O2763" s="0" t="n">
        <f aca="false">E2763*E2763</f>
        <v>0.015625</v>
      </c>
      <c r="P2763" s="0" t="n">
        <f aca="false">F2763*F2763</f>
        <v>0.25</v>
      </c>
      <c r="Q2763" s="0" t="n">
        <f aca="false">SUMPRODUCT(G2763:P2763,_XtX!$B$71:$K$71)</f>
        <v>47.9128480113637</v>
      </c>
      <c r="R2763" s="0" t="n">
        <f aca="false">SUMPRODUCT(MMULT(G2763:P2763,_XtX!$B$58:$K$67),G2763:P2763)</f>
        <v>0.142453280362216</v>
      </c>
      <c r="S2763" s="0" t="n">
        <f aca="false">04_回帰ANOVA!$K$19*04_回帰ANOVA!$K$14*SQRT(1+R2763)</f>
        <v>0.99376995072785</v>
      </c>
      <c r="T2763" s="0" t="n">
        <f aca="false">Q2763-S2763</f>
        <v>46.9190780606358</v>
      </c>
      <c r="U2763" s="0" t="n">
        <f aca="false">Q2763+S2763</f>
        <v>48.9066179620915</v>
      </c>
      <c r="V2763" s="54" t="b">
        <f aca="false">AND(D2763&gt;=01_因子設定!$L$5-0.000000001,D2763&lt;=01_因子設定!$M$5+0.000000001,E2763&gt;=01_因子設定!$L$6-0.000000001,E2763&lt;=01_因子設定!$M$6+0.000000001,F2763&gt;=01_因子設定!$L$7-0.000000001,F2763&lt;=01_因子設定!$M$7+0.000000001,IF(01_因子設定!$B$20="Box-Behnken",D2763^2+E2763^2+F2763^2&lt;=2+0.000000001,TRUE()))</f>
        <v>1</v>
      </c>
      <c r="W2763" s="55" t="n">
        <f aca="false">IF(V2763,IF(01_因子設定!$B$13="最大化",T2763-01_因子設定!$B$14,IF(01_因子設定!$B$13="最小化",01_因子設定!$B$15-U2763,MIN(T2763-01_因子設定!$B$14,01_因子設定!$B$15-U2763))),-1E+030)</f>
        <v>-1.5809219393642</v>
      </c>
      <c r="X2763" s="55" t="n">
        <f aca="false">IF(V2763,IF(01_因子設定!$B$13="最大化",Q2763,IF(01_因子設定!$B$13="最小化",-Q2763,-ABS(Q2763-01_因子設定!$B$16))),-1E+030)</f>
        <v>47.9128480113637</v>
      </c>
      <c r="Y2763" s="55" t="n">
        <f aca="false">W2763+ROW()*0.000000001</f>
        <v>-1.5809191763642</v>
      </c>
      <c r="Z2763" s="55" t="n">
        <f aca="false">X2763+ROW()*0.000000001</f>
        <v>47.9128507743637</v>
      </c>
    </row>
    <row r="2764" customFormat="false" ht="15" hidden="false" customHeight="false" outlineLevel="0" collapsed="false">
      <c r="A2764" s="0" t="n">
        <v>9</v>
      </c>
      <c r="B2764" s="0" t="n">
        <v>9</v>
      </c>
      <c r="C2764" s="0" t="n">
        <v>5</v>
      </c>
      <c r="D2764" s="0" t="n">
        <f aca="false">-1+A2764*0.125</f>
        <v>0.125</v>
      </c>
      <c r="E2764" s="0" t="n">
        <f aca="false">-1+B2764*0.125</f>
        <v>0.125</v>
      </c>
      <c r="F2764" s="0" t="n">
        <f aca="false">-1+C2764*0.125</f>
        <v>-0.375</v>
      </c>
      <c r="G2764" s="0" t="n">
        <f aca="false">1</f>
        <v>1</v>
      </c>
      <c r="H2764" s="0" t="n">
        <f aca="false">D2764</f>
        <v>0.125</v>
      </c>
      <c r="I2764" s="0" t="n">
        <f aca="false">E2764</f>
        <v>0.125</v>
      </c>
      <c r="J2764" s="0" t="n">
        <f aca="false">F2764</f>
        <v>-0.375</v>
      </c>
      <c r="K2764" s="0" t="n">
        <f aca="false">D2764*E2764</f>
        <v>0.015625</v>
      </c>
      <c r="L2764" s="0" t="n">
        <f aca="false">D2764*F2764</f>
        <v>-0.046875</v>
      </c>
      <c r="M2764" s="0" t="n">
        <f aca="false">E2764*F2764</f>
        <v>-0.046875</v>
      </c>
      <c r="N2764" s="0" t="n">
        <f aca="false">D2764*D2764</f>
        <v>0.015625</v>
      </c>
      <c r="O2764" s="0" t="n">
        <f aca="false">E2764*E2764</f>
        <v>0.015625</v>
      </c>
      <c r="P2764" s="0" t="n">
        <f aca="false">F2764*F2764</f>
        <v>0.140625</v>
      </c>
      <c r="Q2764" s="0" t="n">
        <f aca="false">SUMPRODUCT(G2764:P2764,_XtX!$B$71:$K$71)</f>
        <v>48.2187997159091</v>
      </c>
      <c r="R2764" s="0" t="n">
        <f aca="false">SUMPRODUCT(MMULT(G2764:P2764,_XtX!$B$58:$K$67),G2764:P2764)</f>
        <v>0.126427667791193</v>
      </c>
      <c r="S2764" s="0" t="n">
        <f aca="false">04_回帰ANOVA!$K$19*04_回帰ANOVA!$K$14*SQRT(1+R2764)</f>
        <v>0.986775346732538</v>
      </c>
      <c r="T2764" s="0" t="n">
        <f aca="false">Q2764-S2764</f>
        <v>47.2320243691766</v>
      </c>
      <c r="U2764" s="0" t="n">
        <f aca="false">Q2764+S2764</f>
        <v>49.2055750626416</v>
      </c>
      <c r="V2764" s="54" t="b">
        <f aca="false">AND(D2764&gt;=01_因子設定!$L$5-0.000000001,D2764&lt;=01_因子設定!$M$5+0.000000001,E2764&gt;=01_因子設定!$L$6-0.000000001,E2764&lt;=01_因子設定!$M$6+0.000000001,F2764&gt;=01_因子設定!$L$7-0.000000001,F2764&lt;=01_因子設定!$M$7+0.000000001,IF(01_因子設定!$B$20="Box-Behnken",D2764^2+E2764^2+F2764^2&lt;=2+0.000000001,TRUE()))</f>
        <v>1</v>
      </c>
      <c r="W2764" s="55" t="n">
        <f aca="false">IF(V2764,IF(01_因子設定!$B$13="最大化",T2764-01_因子設定!$B$14,IF(01_因子設定!$B$13="最小化",01_因子設定!$B$15-U2764,MIN(T2764-01_因子設定!$B$14,01_因子設定!$B$15-U2764))),-1E+030)</f>
        <v>-1.26797563082344</v>
      </c>
      <c r="X2764" s="55" t="n">
        <f aca="false">IF(V2764,IF(01_因子設定!$B$13="最大化",Q2764,IF(01_因子設定!$B$13="最小化",-Q2764,-ABS(Q2764-01_因子設定!$B$16))),-1E+030)</f>
        <v>48.2187997159091</v>
      </c>
      <c r="Y2764" s="55" t="n">
        <f aca="false">W2764+ROW()*0.000000001</f>
        <v>-1.26797286682344</v>
      </c>
      <c r="Z2764" s="55" t="n">
        <f aca="false">X2764+ROW()*0.000000001</f>
        <v>48.2188024799091</v>
      </c>
    </row>
    <row r="2765" customFormat="false" ht="15" hidden="false" customHeight="false" outlineLevel="0" collapsed="false">
      <c r="A2765" s="0" t="n">
        <v>9</v>
      </c>
      <c r="B2765" s="0" t="n">
        <v>9</v>
      </c>
      <c r="C2765" s="0" t="n">
        <v>6</v>
      </c>
      <c r="D2765" s="0" t="n">
        <f aca="false">-1+A2765*0.125</f>
        <v>0.125</v>
      </c>
      <c r="E2765" s="0" t="n">
        <f aca="false">-1+B2765*0.125</f>
        <v>0.125</v>
      </c>
      <c r="F2765" s="0" t="n">
        <f aca="false">-1+C2765*0.125</f>
        <v>-0.25</v>
      </c>
      <c r="G2765" s="0" t="n">
        <f aca="false">1</f>
        <v>1</v>
      </c>
      <c r="H2765" s="0" t="n">
        <f aca="false">D2765</f>
        <v>0.125</v>
      </c>
      <c r="I2765" s="0" t="n">
        <f aca="false">E2765</f>
        <v>0.125</v>
      </c>
      <c r="J2765" s="0" t="n">
        <f aca="false">F2765</f>
        <v>-0.25</v>
      </c>
      <c r="K2765" s="0" t="n">
        <f aca="false">D2765*E2765</f>
        <v>0.015625</v>
      </c>
      <c r="L2765" s="0" t="n">
        <f aca="false">D2765*F2765</f>
        <v>-0.03125</v>
      </c>
      <c r="M2765" s="0" t="n">
        <f aca="false">E2765*F2765</f>
        <v>-0.03125</v>
      </c>
      <c r="N2765" s="0" t="n">
        <f aca="false">D2765*D2765</f>
        <v>0.015625</v>
      </c>
      <c r="O2765" s="0" t="n">
        <f aca="false">E2765*E2765</f>
        <v>0.015625</v>
      </c>
      <c r="P2765" s="0" t="n">
        <f aca="false">F2765*F2765</f>
        <v>0.0625</v>
      </c>
      <c r="Q2765" s="0" t="n">
        <f aca="false">SUMPRODUCT(G2765:P2765,_XtX!$B$71:$K$71)</f>
        <v>48.4879616477273</v>
      </c>
      <c r="R2765" s="0" t="n">
        <f aca="false">SUMPRODUCT(MMULT(G2765:P2765,_XtX!$B$58:$K$67),G2765:P2765)</f>
        <v>0.120307506214489</v>
      </c>
      <c r="S2765" s="0" t="n">
        <f aca="false">04_回帰ANOVA!$K$19*04_回帰ANOVA!$K$14*SQRT(1+R2765)</f>
        <v>0.984090997684742</v>
      </c>
      <c r="T2765" s="0" t="n">
        <f aca="false">Q2765-S2765</f>
        <v>47.5038706500425</v>
      </c>
      <c r="U2765" s="0" t="n">
        <f aca="false">Q2765+S2765</f>
        <v>49.472052645412</v>
      </c>
      <c r="V2765" s="54" t="b">
        <f aca="false">AND(D2765&gt;=01_因子設定!$L$5-0.000000001,D2765&lt;=01_因子設定!$M$5+0.000000001,E2765&gt;=01_因子設定!$L$6-0.000000001,E2765&lt;=01_因子設定!$M$6+0.000000001,F2765&gt;=01_因子設定!$L$7-0.000000001,F2765&lt;=01_因子設定!$M$7+0.000000001,IF(01_因子設定!$B$20="Box-Behnken",D2765^2+E2765^2+F2765^2&lt;=2+0.000000001,TRUE()))</f>
        <v>1</v>
      </c>
      <c r="W2765" s="55" t="n">
        <f aca="false">IF(V2765,IF(01_因子設定!$B$13="最大化",T2765-01_因子設定!$B$14,IF(01_因子設定!$B$13="最小化",01_因子設定!$B$15-U2765,MIN(T2765-01_因子設定!$B$14,01_因子設定!$B$15-U2765))),-1E+030)</f>
        <v>-0.996129349957457</v>
      </c>
      <c r="X2765" s="55" t="n">
        <f aca="false">IF(V2765,IF(01_因子設定!$B$13="最大化",Q2765,IF(01_因子設定!$B$13="最小化",-Q2765,-ABS(Q2765-01_因子設定!$B$16))),-1E+030)</f>
        <v>48.4879616477273</v>
      </c>
      <c r="Y2765" s="55" t="n">
        <f aca="false">W2765+ROW()*0.000000001</f>
        <v>-0.996126584957457</v>
      </c>
      <c r="Z2765" s="55" t="n">
        <f aca="false">X2765+ROW()*0.000000001</f>
        <v>48.4879644127273</v>
      </c>
    </row>
    <row r="2766" customFormat="false" ht="15" hidden="false" customHeight="false" outlineLevel="0" collapsed="false">
      <c r="A2766" s="0" t="n">
        <v>9</v>
      </c>
      <c r="B2766" s="0" t="n">
        <v>9</v>
      </c>
      <c r="C2766" s="0" t="n">
        <v>7</v>
      </c>
      <c r="D2766" s="0" t="n">
        <f aca="false">-1+A2766*0.125</f>
        <v>0.125</v>
      </c>
      <c r="E2766" s="0" t="n">
        <f aca="false">-1+B2766*0.125</f>
        <v>0.125</v>
      </c>
      <c r="F2766" s="0" t="n">
        <f aca="false">-1+C2766*0.125</f>
        <v>-0.125</v>
      </c>
      <c r="G2766" s="0" t="n">
        <f aca="false">1</f>
        <v>1</v>
      </c>
      <c r="H2766" s="0" t="n">
        <f aca="false">D2766</f>
        <v>0.125</v>
      </c>
      <c r="I2766" s="0" t="n">
        <f aca="false">E2766</f>
        <v>0.125</v>
      </c>
      <c r="J2766" s="0" t="n">
        <f aca="false">F2766</f>
        <v>-0.125</v>
      </c>
      <c r="K2766" s="0" t="n">
        <f aca="false">D2766*E2766</f>
        <v>0.015625</v>
      </c>
      <c r="L2766" s="0" t="n">
        <f aca="false">D2766*F2766</f>
        <v>-0.015625</v>
      </c>
      <c r="M2766" s="0" t="n">
        <f aca="false">E2766*F2766</f>
        <v>-0.015625</v>
      </c>
      <c r="N2766" s="0" t="n">
        <f aca="false">D2766*D2766</f>
        <v>0.015625</v>
      </c>
      <c r="O2766" s="0" t="n">
        <f aca="false">E2766*E2766</f>
        <v>0.015625</v>
      </c>
      <c r="P2766" s="0" t="n">
        <f aca="false">F2766*F2766</f>
        <v>0.015625</v>
      </c>
      <c r="Q2766" s="0" t="n">
        <f aca="false">SUMPRODUCT(G2766:P2766,_XtX!$B$71:$K$71)</f>
        <v>48.7203338068182</v>
      </c>
      <c r="R2766" s="0" t="n">
        <f aca="false">SUMPRODUCT(MMULT(G2766:P2766,_XtX!$B$58:$K$67),G2766:P2766)</f>
        <v>0.118766091086648</v>
      </c>
      <c r="S2766" s="0" t="n">
        <f aca="false">04_回帰ANOVA!$K$19*04_回帰ANOVA!$K$14*SQRT(1+R2766)</f>
        <v>0.983413766268537</v>
      </c>
      <c r="T2766" s="0" t="n">
        <f aca="false">Q2766-S2766</f>
        <v>47.7369200405497</v>
      </c>
      <c r="U2766" s="0" t="n">
        <f aca="false">Q2766+S2766</f>
        <v>49.7037475730867</v>
      </c>
      <c r="V2766" s="54" t="b">
        <f aca="false">AND(D2766&gt;=01_因子設定!$L$5-0.000000001,D2766&lt;=01_因子設定!$M$5+0.000000001,E2766&gt;=01_因子設定!$L$6-0.000000001,E2766&lt;=01_因子設定!$M$6+0.000000001,F2766&gt;=01_因子設定!$L$7-0.000000001,F2766&lt;=01_因子設定!$M$7+0.000000001,IF(01_因子設定!$B$20="Box-Behnken",D2766^2+E2766^2+F2766^2&lt;=2+0.000000001,TRUE()))</f>
        <v>1</v>
      </c>
      <c r="W2766" s="55" t="n">
        <f aca="false">IF(V2766,IF(01_因子設定!$B$13="最大化",T2766-01_因子設定!$B$14,IF(01_因子設定!$B$13="最小化",01_因子設定!$B$15-U2766,MIN(T2766-01_因子設定!$B$14,01_因子設定!$B$15-U2766))),-1E+030)</f>
        <v>-0.763079959450344</v>
      </c>
      <c r="X2766" s="55" t="n">
        <f aca="false">IF(V2766,IF(01_因子設定!$B$13="最大化",Q2766,IF(01_因子設定!$B$13="最小化",-Q2766,-ABS(Q2766-01_因子設定!$B$16))),-1E+030)</f>
        <v>48.7203338068182</v>
      </c>
      <c r="Y2766" s="55" t="n">
        <f aca="false">W2766+ROW()*0.000000001</f>
        <v>-0.763077193450344</v>
      </c>
      <c r="Z2766" s="55" t="n">
        <f aca="false">X2766+ROW()*0.000000001</f>
        <v>48.7203365728182</v>
      </c>
    </row>
    <row r="2767" customFormat="false" ht="15" hidden="false" customHeight="false" outlineLevel="0" collapsed="false">
      <c r="A2767" s="0" t="n">
        <v>9</v>
      </c>
      <c r="B2767" s="0" t="n">
        <v>9</v>
      </c>
      <c r="C2767" s="0" t="n">
        <v>8</v>
      </c>
      <c r="D2767" s="0" t="n">
        <f aca="false">-1+A2767*0.125</f>
        <v>0.125</v>
      </c>
      <c r="E2767" s="0" t="n">
        <f aca="false">-1+B2767*0.125</f>
        <v>0.125</v>
      </c>
      <c r="F2767" s="0" t="n">
        <f aca="false">-1+C2767*0.125</f>
        <v>0</v>
      </c>
      <c r="G2767" s="0" t="n">
        <f aca="false">1</f>
        <v>1</v>
      </c>
      <c r="H2767" s="0" t="n">
        <f aca="false">D2767</f>
        <v>0.125</v>
      </c>
      <c r="I2767" s="0" t="n">
        <f aca="false">E2767</f>
        <v>0.125</v>
      </c>
      <c r="J2767" s="0" t="n">
        <f aca="false">F2767</f>
        <v>0</v>
      </c>
      <c r="K2767" s="0" t="n">
        <f aca="false">D2767*E2767</f>
        <v>0.015625</v>
      </c>
      <c r="L2767" s="0" t="n">
        <f aca="false">D2767*F2767</f>
        <v>0</v>
      </c>
      <c r="M2767" s="0" t="n">
        <f aca="false">E2767*F2767</f>
        <v>0</v>
      </c>
      <c r="N2767" s="0" t="n">
        <f aca="false">D2767*D2767</f>
        <v>0.015625</v>
      </c>
      <c r="O2767" s="0" t="n">
        <f aca="false">E2767*E2767</f>
        <v>0.015625</v>
      </c>
      <c r="P2767" s="0" t="n">
        <f aca="false">F2767*F2767</f>
        <v>0</v>
      </c>
      <c r="Q2767" s="0" t="n">
        <f aca="false">SUMPRODUCT(G2767:P2767,_XtX!$B$71:$K$71)</f>
        <v>48.9159161931818</v>
      </c>
      <c r="R2767" s="0" t="n">
        <f aca="false">SUMPRODUCT(MMULT(G2767:P2767,_XtX!$B$58:$K$67),G2767:P2767)</f>
        <v>0.118607399680398</v>
      </c>
      <c r="S2767" s="0" t="n">
        <f aca="false">04_回帰ANOVA!$K$19*04_回帰ANOVA!$K$14*SQRT(1+R2767)</f>
        <v>0.983344017619025</v>
      </c>
      <c r="T2767" s="0" t="n">
        <f aca="false">Q2767-S2767</f>
        <v>47.9325721755628</v>
      </c>
      <c r="U2767" s="0" t="n">
        <f aca="false">Q2767+S2767</f>
        <v>49.8992602108009</v>
      </c>
      <c r="V2767" s="54" t="b">
        <f aca="false">AND(D2767&gt;=01_因子設定!$L$5-0.000000001,D2767&lt;=01_因子設定!$M$5+0.000000001,E2767&gt;=01_因子設定!$L$6-0.000000001,E2767&lt;=01_因子設定!$M$6+0.000000001,F2767&gt;=01_因子設定!$L$7-0.000000001,F2767&lt;=01_因子設定!$M$7+0.000000001,IF(01_因子設定!$B$20="Box-Behnken",D2767^2+E2767^2+F2767^2&lt;=2+0.000000001,TRUE()))</f>
        <v>1</v>
      </c>
      <c r="W2767" s="55" t="n">
        <f aca="false">IF(V2767,IF(01_因子設定!$B$13="最大化",T2767-01_因子設定!$B$14,IF(01_因子設定!$B$13="最小化",01_因子設定!$B$15-U2767,MIN(T2767-01_因子設定!$B$14,01_因子設定!$B$15-U2767))),-1E+030)</f>
        <v>-0.567427824437196</v>
      </c>
      <c r="X2767" s="55" t="n">
        <f aca="false">IF(V2767,IF(01_因子設定!$B$13="最大化",Q2767,IF(01_因子設定!$B$13="最小化",-Q2767,-ABS(Q2767-01_因子設定!$B$16))),-1E+030)</f>
        <v>48.9159161931818</v>
      </c>
      <c r="Y2767" s="55" t="n">
        <f aca="false">W2767+ROW()*0.000000001</f>
        <v>-0.567425057437196</v>
      </c>
      <c r="Z2767" s="55" t="n">
        <f aca="false">X2767+ROW()*0.000000001</f>
        <v>48.9159189601818</v>
      </c>
    </row>
    <row r="2768" customFormat="false" ht="15" hidden="false" customHeight="false" outlineLevel="0" collapsed="false">
      <c r="A2768" s="0" t="n">
        <v>9</v>
      </c>
      <c r="B2768" s="0" t="n">
        <v>9</v>
      </c>
      <c r="C2768" s="0" t="n">
        <v>9</v>
      </c>
      <c r="D2768" s="0" t="n">
        <f aca="false">-1+A2768*0.125</f>
        <v>0.125</v>
      </c>
      <c r="E2768" s="0" t="n">
        <f aca="false">-1+B2768*0.125</f>
        <v>0.125</v>
      </c>
      <c r="F2768" s="0" t="n">
        <f aca="false">-1+C2768*0.125</f>
        <v>0.125</v>
      </c>
      <c r="G2768" s="0" t="n">
        <f aca="false">1</f>
        <v>1</v>
      </c>
      <c r="H2768" s="0" t="n">
        <f aca="false">D2768</f>
        <v>0.125</v>
      </c>
      <c r="I2768" s="0" t="n">
        <f aca="false">E2768</f>
        <v>0.125</v>
      </c>
      <c r="J2768" s="0" t="n">
        <f aca="false">F2768</f>
        <v>0.125</v>
      </c>
      <c r="K2768" s="0" t="n">
        <f aca="false">D2768*E2768</f>
        <v>0.015625</v>
      </c>
      <c r="L2768" s="0" t="n">
        <f aca="false">D2768*F2768</f>
        <v>0.015625</v>
      </c>
      <c r="M2768" s="0" t="n">
        <f aca="false">E2768*F2768</f>
        <v>0.015625</v>
      </c>
      <c r="N2768" s="0" t="n">
        <f aca="false">D2768*D2768</f>
        <v>0.015625</v>
      </c>
      <c r="O2768" s="0" t="n">
        <f aca="false">E2768*E2768</f>
        <v>0.015625</v>
      </c>
      <c r="P2768" s="0" t="n">
        <f aca="false">F2768*F2768</f>
        <v>0.015625</v>
      </c>
      <c r="Q2768" s="0" t="n">
        <f aca="false">SUMPRODUCT(G2768:P2768,_XtX!$B$71:$K$71)</f>
        <v>49.0747088068182</v>
      </c>
      <c r="R2768" s="0" t="n">
        <f aca="false">SUMPRODUCT(MMULT(G2768:P2768,_XtX!$B$58:$K$67),G2768:P2768)</f>
        <v>0.118766091086648</v>
      </c>
      <c r="S2768" s="0" t="n">
        <f aca="false">04_回帰ANOVA!$K$19*04_回帰ANOVA!$K$14*SQRT(1+R2768)</f>
        <v>0.983413766268537</v>
      </c>
      <c r="T2768" s="0" t="n">
        <f aca="false">Q2768-S2768</f>
        <v>48.0912950405497</v>
      </c>
      <c r="U2768" s="0" t="n">
        <f aca="false">Q2768+S2768</f>
        <v>50.0581225730867</v>
      </c>
      <c r="V2768" s="54" t="b">
        <f aca="false">AND(D2768&gt;=01_因子設定!$L$5-0.000000001,D2768&lt;=01_因子設定!$M$5+0.000000001,E2768&gt;=01_因子設定!$L$6-0.000000001,E2768&lt;=01_因子設定!$M$6+0.000000001,F2768&gt;=01_因子設定!$L$7-0.000000001,F2768&lt;=01_因子設定!$M$7+0.000000001,IF(01_因子設定!$B$20="Box-Behnken",D2768^2+E2768^2+F2768^2&lt;=2+0.000000001,TRUE()))</f>
        <v>1</v>
      </c>
      <c r="W2768" s="55" t="n">
        <f aca="false">IF(V2768,IF(01_因子設定!$B$13="最大化",T2768-01_因子設定!$B$14,IF(01_因子設定!$B$13="最小化",01_因子設定!$B$15-U2768,MIN(T2768-01_因子設定!$B$14,01_因子設定!$B$15-U2768))),-1E+030)</f>
        <v>-0.40870495945034</v>
      </c>
      <c r="X2768" s="55" t="n">
        <f aca="false">IF(V2768,IF(01_因子設定!$B$13="最大化",Q2768,IF(01_因子設定!$B$13="最小化",-Q2768,-ABS(Q2768-01_因子設定!$B$16))),-1E+030)</f>
        <v>49.0747088068182</v>
      </c>
      <c r="Y2768" s="55" t="n">
        <f aca="false">W2768+ROW()*0.000000001</f>
        <v>-0.40870219145034</v>
      </c>
      <c r="Z2768" s="55" t="n">
        <f aca="false">X2768+ROW()*0.000000001</f>
        <v>49.0747115748182</v>
      </c>
    </row>
    <row r="2769" customFormat="false" ht="15" hidden="false" customHeight="false" outlineLevel="0" collapsed="false">
      <c r="A2769" s="0" t="n">
        <v>9</v>
      </c>
      <c r="B2769" s="0" t="n">
        <v>9</v>
      </c>
      <c r="C2769" s="0" t="n">
        <v>10</v>
      </c>
      <c r="D2769" s="0" t="n">
        <f aca="false">-1+A2769*0.125</f>
        <v>0.125</v>
      </c>
      <c r="E2769" s="0" t="n">
        <f aca="false">-1+B2769*0.125</f>
        <v>0.125</v>
      </c>
      <c r="F2769" s="0" t="n">
        <f aca="false">-1+C2769*0.125</f>
        <v>0.25</v>
      </c>
      <c r="G2769" s="0" t="n">
        <f aca="false">1</f>
        <v>1</v>
      </c>
      <c r="H2769" s="0" t="n">
        <f aca="false">D2769</f>
        <v>0.125</v>
      </c>
      <c r="I2769" s="0" t="n">
        <f aca="false">E2769</f>
        <v>0.125</v>
      </c>
      <c r="J2769" s="0" t="n">
        <f aca="false">F2769</f>
        <v>0.25</v>
      </c>
      <c r="K2769" s="0" t="n">
        <f aca="false">D2769*E2769</f>
        <v>0.015625</v>
      </c>
      <c r="L2769" s="0" t="n">
        <f aca="false">D2769*F2769</f>
        <v>0.03125</v>
      </c>
      <c r="M2769" s="0" t="n">
        <f aca="false">E2769*F2769</f>
        <v>0.03125</v>
      </c>
      <c r="N2769" s="0" t="n">
        <f aca="false">D2769*D2769</f>
        <v>0.015625</v>
      </c>
      <c r="O2769" s="0" t="n">
        <f aca="false">E2769*E2769</f>
        <v>0.015625</v>
      </c>
      <c r="P2769" s="0" t="n">
        <f aca="false">F2769*F2769</f>
        <v>0.0625</v>
      </c>
      <c r="Q2769" s="0" t="n">
        <f aca="false">SUMPRODUCT(G2769:P2769,_XtX!$B$71:$K$71)</f>
        <v>49.1967116477273</v>
      </c>
      <c r="R2769" s="0" t="n">
        <f aca="false">SUMPRODUCT(MMULT(G2769:P2769,_XtX!$B$58:$K$67),G2769:P2769)</f>
        <v>0.120307506214489</v>
      </c>
      <c r="S2769" s="0" t="n">
        <f aca="false">04_回帰ANOVA!$K$19*04_回帰ANOVA!$K$14*SQRT(1+R2769)</f>
        <v>0.984090997684742</v>
      </c>
      <c r="T2769" s="0" t="n">
        <f aca="false">Q2769-S2769</f>
        <v>48.2126206500425</v>
      </c>
      <c r="U2769" s="0" t="n">
        <f aca="false">Q2769+S2769</f>
        <v>50.180802645412</v>
      </c>
      <c r="V2769" s="54" t="b">
        <f aca="false">AND(D2769&gt;=01_因子設定!$L$5-0.000000001,D2769&lt;=01_因子設定!$M$5+0.000000001,E2769&gt;=01_因子設定!$L$6-0.000000001,E2769&lt;=01_因子設定!$M$6+0.000000001,F2769&gt;=01_因子設定!$L$7-0.000000001,F2769&lt;=01_因子設定!$M$7+0.000000001,IF(01_因子設定!$B$20="Box-Behnken",D2769^2+E2769^2+F2769^2&lt;=2+0.000000001,TRUE()))</f>
        <v>1</v>
      </c>
      <c r="W2769" s="55" t="n">
        <f aca="false">IF(V2769,IF(01_因子設定!$B$13="最大化",T2769-01_因子設定!$B$14,IF(01_因子設定!$B$13="最小化",01_因子設定!$B$15-U2769,MIN(T2769-01_因子設定!$B$14,01_因子設定!$B$15-U2769))),-1E+030)</f>
        <v>-0.287379349957455</v>
      </c>
      <c r="X2769" s="55" t="n">
        <f aca="false">IF(V2769,IF(01_因子設定!$B$13="最大化",Q2769,IF(01_因子設定!$B$13="最小化",-Q2769,-ABS(Q2769-01_因子設定!$B$16))),-1E+030)</f>
        <v>49.1967116477273</v>
      </c>
      <c r="Y2769" s="55" t="n">
        <f aca="false">W2769+ROW()*0.000000001</f>
        <v>-0.287376580957455</v>
      </c>
      <c r="Z2769" s="55" t="n">
        <f aca="false">X2769+ROW()*0.000000001</f>
        <v>49.1967144167273</v>
      </c>
    </row>
    <row r="2770" customFormat="false" ht="15" hidden="false" customHeight="false" outlineLevel="0" collapsed="false">
      <c r="A2770" s="0" t="n">
        <v>9</v>
      </c>
      <c r="B2770" s="0" t="n">
        <v>9</v>
      </c>
      <c r="C2770" s="0" t="n">
        <v>11</v>
      </c>
      <c r="D2770" s="0" t="n">
        <f aca="false">-1+A2770*0.125</f>
        <v>0.125</v>
      </c>
      <c r="E2770" s="0" t="n">
        <f aca="false">-1+B2770*0.125</f>
        <v>0.125</v>
      </c>
      <c r="F2770" s="0" t="n">
        <f aca="false">-1+C2770*0.125</f>
        <v>0.375</v>
      </c>
      <c r="G2770" s="0" t="n">
        <f aca="false">1</f>
        <v>1</v>
      </c>
      <c r="H2770" s="0" t="n">
        <f aca="false">D2770</f>
        <v>0.125</v>
      </c>
      <c r="I2770" s="0" t="n">
        <f aca="false">E2770</f>
        <v>0.125</v>
      </c>
      <c r="J2770" s="0" t="n">
        <f aca="false">F2770</f>
        <v>0.375</v>
      </c>
      <c r="K2770" s="0" t="n">
        <f aca="false">D2770*E2770</f>
        <v>0.015625</v>
      </c>
      <c r="L2770" s="0" t="n">
        <f aca="false">D2770*F2770</f>
        <v>0.046875</v>
      </c>
      <c r="M2770" s="0" t="n">
        <f aca="false">E2770*F2770</f>
        <v>0.046875</v>
      </c>
      <c r="N2770" s="0" t="n">
        <f aca="false">D2770*D2770</f>
        <v>0.015625</v>
      </c>
      <c r="O2770" s="0" t="n">
        <f aca="false">E2770*E2770</f>
        <v>0.015625</v>
      </c>
      <c r="P2770" s="0" t="n">
        <f aca="false">F2770*F2770</f>
        <v>0.140625</v>
      </c>
      <c r="Q2770" s="0" t="n">
        <f aca="false">SUMPRODUCT(G2770:P2770,_XtX!$B$71:$K$71)</f>
        <v>49.2819247159091</v>
      </c>
      <c r="R2770" s="0" t="n">
        <f aca="false">SUMPRODUCT(MMULT(G2770:P2770,_XtX!$B$58:$K$67),G2770:P2770)</f>
        <v>0.126427667791193</v>
      </c>
      <c r="S2770" s="0" t="n">
        <f aca="false">04_回帰ANOVA!$K$19*04_回帰ANOVA!$K$14*SQRT(1+R2770)</f>
        <v>0.986775346732538</v>
      </c>
      <c r="T2770" s="0" t="n">
        <f aca="false">Q2770-S2770</f>
        <v>48.2951493691766</v>
      </c>
      <c r="U2770" s="0" t="n">
        <f aca="false">Q2770+S2770</f>
        <v>50.2687000626416</v>
      </c>
      <c r="V2770" s="54" t="b">
        <f aca="false">AND(D2770&gt;=01_因子設定!$L$5-0.000000001,D2770&lt;=01_因子設定!$M$5+0.000000001,E2770&gt;=01_因子設定!$L$6-0.000000001,E2770&lt;=01_因子設定!$M$6+0.000000001,F2770&gt;=01_因子設定!$L$7-0.000000001,F2770&lt;=01_因子設定!$M$7+0.000000001,IF(01_因子設定!$B$20="Box-Behnken",D2770^2+E2770^2+F2770^2&lt;=2+0.000000001,TRUE()))</f>
        <v>1</v>
      </c>
      <c r="W2770" s="55" t="n">
        <f aca="false">IF(V2770,IF(01_因子設定!$B$13="最大化",T2770-01_因子設定!$B$14,IF(01_因子設定!$B$13="最小化",01_因子設定!$B$15-U2770,MIN(T2770-01_因子設定!$B$14,01_因子設定!$B$15-U2770))),-1E+030)</f>
        <v>-0.204850630823437</v>
      </c>
      <c r="X2770" s="55" t="n">
        <f aca="false">IF(V2770,IF(01_因子設定!$B$13="最大化",Q2770,IF(01_因子設定!$B$13="最小化",-Q2770,-ABS(Q2770-01_因子設定!$B$16))),-1E+030)</f>
        <v>49.2819247159091</v>
      </c>
      <c r="Y2770" s="55" t="n">
        <f aca="false">W2770+ROW()*0.000000001</f>
        <v>-0.204847860823437</v>
      </c>
      <c r="Z2770" s="55" t="n">
        <f aca="false">X2770+ROW()*0.000000001</f>
        <v>49.2819274859091</v>
      </c>
    </row>
    <row r="2771" customFormat="false" ht="15" hidden="false" customHeight="false" outlineLevel="0" collapsed="false">
      <c r="A2771" s="0" t="n">
        <v>9</v>
      </c>
      <c r="B2771" s="0" t="n">
        <v>9</v>
      </c>
      <c r="C2771" s="0" t="n">
        <v>12</v>
      </c>
      <c r="D2771" s="0" t="n">
        <f aca="false">-1+A2771*0.125</f>
        <v>0.125</v>
      </c>
      <c r="E2771" s="0" t="n">
        <f aca="false">-1+B2771*0.125</f>
        <v>0.125</v>
      </c>
      <c r="F2771" s="0" t="n">
        <f aca="false">-1+C2771*0.125</f>
        <v>0.5</v>
      </c>
      <c r="G2771" s="0" t="n">
        <f aca="false">1</f>
        <v>1</v>
      </c>
      <c r="H2771" s="0" t="n">
        <f aca="false">D2771</f>
        <v>0.125</v>
      </c>
      <c r="I2771" s="0" t="n">
        <f aca="false">E2771</f>
        <v>0.125</v>
      </c>
      <c r="J2771" s="0" t="n">
        <f aca="false">F2771</f>
        <v>0.5</v>
      </c>
      <c r="K2771" s="0" t="n">
        <f aca="false">D2771*E2771</f>
        <v>0.015625</v>
      </c>
      <c r="L2771" s="0" t="n">
        <f aca="false">D2771*F2771</f>
        <v>0.0625</v>
      </c>
      <c r="M2771" s="0" t="n">
        <f aca="false">E2771*F2771</f>
        <v>0.0625</v>
      </c>
      <c r="N2771" s="0" t="n">
        <f aca="false">D2771*D2771</f>
        <v>0.015625</v>
      </c>
      <c r="O2771" s="0" t="n">
        <f aca="false">E2771*E2771</f>
        <v>0.015625</v>
      </c>
      <c r="P2771" s="0" t="n">
        <f aca="false">F2771*F2771</f>
        <v>0.25</v>
      </c>
      <c r="Q2771" s="0" t="n">
        <f aca="false">SUMPRODUCT(G2771:P2771,_XtX!$B$71:$K$71)</f>
        <v>49.3303480113637</v>
      </c>
      <c r="R2771" s="0" t="n">
        <f aca="false">SUMPRODUCT(MMULT(G2771:P2771,_XtX!$B$58:$K$67),G2771:P2771)</f>
        <v>0.142453280362216</v>
      </c>
      <c r="S2771" s="0" t="n">
        <f aca="false">04_回帰ANOVA!$K$19*04_回帰ANOVA!$K$14*SQRT(1+R2771)</f>
        <v>0.99376995072785</v>
      </c>
      <c r="T2771" s="0" t="n">
        <f aca="false">Q2771-S2771</f>
        <v>48.3365780606358</v>
      </c>
      <c r="U2771" s="0" t="n">
        <f aca="false">Q2771+S2771</f>
        <v>50.3241179620915</v>
      </c>
      <c r="V2771" s="54" t="b">
        <f aca="false">AND(D2771&gt;=01_因子設定!$L$5-0.000000001,D2771&lt;=01_因子設定!$M$5+0.000000001,E2771&gt;=01_因子設定!$L$6-0.000000001,E2771&lt;=01_因子設定!$M$6+0.000000001,F2771&gt;=01_因子設定!$L$7-0.000000001,F2771&lt;=01_因子設定!$M$7+0.000000001,IF(01_因子設定!$B$20="Box-Behnken",D2771^2+E2771^2+F2771^2&lt;=2+0.000000001,TRUE()))</f>
        <v>1</v>
      </c>
      <c r="W2771" s="55" t="n">
        <f aca="false">IF(V2771,IF(01_因子設定!$B$13="最大化",T2771-01_因子設定!$B$14,IF(01_因子設定!$B$13="最小化",01_因子設定!$B$15-U2771,MIN(T2771-01_因子設定!$B$14,01_因子設定!$B$15-U2771))),-1E+030)</f>
        <v>-0.163421939364206</v>
      </c>
      <c r="X2771" s="55" t="n">
        <f aca="false">IF(V2771,IF(01_因子設定!$B$13="最大化",Q2771,IF(01_因子設定!$B$13="最小化",-Q2771,-ABS(Q2771-01_因子設定!$B$16))),-1E+030)</f>
        <v>49.3303480113637</v>
      </c>
      <c r="Y2771" s="55" t="n">
        <f aca="false">W2771+ROW()*0.000000001</f>
        <v>-0.163419168364206</v>
      </c>
      <c r="Z2771" s="55" t="n">
        <f aca="false">X2771+ROW()*0.000000001</f>
        <v>49.3303507823636</v>
      </c>
    </row>
    <row r="2772" customFormat="false" ht="15" hidden="false" customHeight="false" outlineLevel="0" collapsed="false">
      <c r="A2772" s="0" t="n">
        <v>9</v>
      </c>
      <c r="B2772" s="0" t="n">
        <v>9</v>
      </c>
      <c r="C2772" s="0" t="n">
        <v>13</v>
      </c>
      <c r="D2772" s="0" t="n">
        <f aca="false">-1+A2772*0.125</f>
        <v>0.125</v>
      </c>
      <c r="E2772" s="0" t="n">
        <f aca="false">-1+B2772*0.125</f>
        <v>0.125</v>
      </c>
      <c r="F2772" s="0" t="n">
        <f aca="false">-1+C2772*0.125</f>
        <v>0.625</v>
      </c>
      <c r="G2772" s="0" t="n">
        <f aca="false">1</f>
        <v>1</v>
      </c>
      <c r="H2772" s="0" t="n">
        <f aca="false">D2772</f>
        <v>0.125</v>
      </c>
      <c r="I2772" s="0" t="n">
        <f aca="false">E2772</f>
        <v>0.125</v>
      </c>
      <c r="J2772" s="0" t="n">
        <f aca="false">F2772</f>
        <v>0.625</v>
      </c>
      <c r="K2772" s="0" t="n">
        <f aca="false">D2772*E2772</f>
        <v>0.015625</v>
      </c>
      <c r="L2772" s="0" t="n">
        <f aca="false">D2772*F2772</f>
        <v>0.078125</v>
      </c>
      <c r="M2772" s="0" t="n">
        <f aca="false">E2772*F2772</f>
        <v>0.078125</v>
      </c>
      <c r="N2772" s="0" t="n">
        <f aca="false">D2772*D2772</f>
        <v>0.015625</v>
      </c>
      <c r="O2772" s="0" t="n">
        <f aca="false">E2772*E2772</f>
        <v>0.015625</v>
      </c>
      <c r="P2772" s="0" t="n">
        <f aca="false">F2772*F2772</f>
        <v>0.390625</v>
      </c>
      <c r="Q2772" s="0" t="n">
        <f aca="false">SUMPRODUCT(G2772:P2772,_XtX!$B$71:$K$71)</f>
        <v>49.3419815340909</v>
      </c>
      <c r="R2772" s="0" t="n">
        <f aca="false">SUMPRODUCT(MMULT(G2772:P2772,_XtX!$B$58:$K$67),G2772:P2772)</f>
        <v>0.175841730291193</v>
      </c>
      <c r="S2772" s="0" t="n">
        <f aca="false">04_回帰ANOVA!$K$19*04_回帰ANOVA!$K$14*SQRT(1+R2772)</f>
        <v>1.00818694767054</v>
      </c>
      <c r="T2772" s="0" t="n">
        <f aca="false">Q2772-S2772</f>
        <v>48.3337945864204</v>
      </c>
      <c r="U2772" s="0" t="n">
        <f aca="false">Q2772+S2772</f>
        <v>50.3501684817615</v>
      </c>
      <c r="V2772" s="54" t="b">
        <f aca="false">AND(D2772&gt;=01_因子設定!$L$5-0.000000001,D2772&lt;=01_因子設定!$M$5+0.000000001,E2772&gt;=01_因子設定!$L$6-0.000000001,E2772&lt;=01_因子設定!$M$6+0.000000001,F2772&gt;=01_因子設定!$L$7-0.000000001,F2772&lt;=01_因子設定!$M$7+0.000000001,IF(01_因子設定!$B$20="Box-Behnken",D2772^2+E2772^2+F2772^2&lt;=2+0.000000001,TRUE()))</f>
        <v>1</v>
      </c>
      <c r="W2772" s="55" t="n">
        <f aca="false">IF(V2772,IF(01_因子設定!$B$13="最大化",T2772-01_因子設定!$B$14,IF(01_因子設定!$B$13="最小化",01_因子設定!$B$15-U2772,MIN(T2772-01_因子設定!$B$14,01_因子設定!$B$15-U2772))),-1E+030)</f>
        <v>-0.166205413579611</v>
      </c>
      <c r="X2772" s="55" t="n">
        <f aca="false">IF(V2772,IF(01_因子設定!$B$13="最大化",Q2772,IF(01_因子設定!$B$13="最小化",-Q2772,-ABS(Q2772-01_因子設定!$B$16))),-1E+030)</f>
        <v>49.3419815340909</v>
      </c>
      <c r="Y2772" s="55" t="n">
        <f aca="false">W2772+ROW()*0.000000001</f>
        <v>-0.166202641579611</v>
      </c>
      <c r="Z2772" s="55" t="n">
        <f aca="false">X2772+ROW()*0.000000001</f>
        <v>49.3419843060909</v>
      </c>
    </row>
    <row r="2773" customFormat="false" ht="15" hidden="false" customHeight="false" outlineLevel="0" collapsed="false">
      <c r="A2773" s="0" t="n">
        <v>9</v>
      </c>
      <c r="B2773" s="0" t="n">
        <v>9</v>
      </c>
      <c r="C2773" s="0" t="n">
        <v>14</v>
      </c>
      <c r="D2773" s="0" t="n">
        <f aca="false">-1+A2773*0.125</f>
        <v>0.125</v>
      </c>
      <c r="E2773" s="0" t="n">
        <f aca="false">-1+B2773*0.125</f>
        <v>0.125</v>
      </c>
      <c r="F2773" s="0" t="n">
        <f aca="false">-1+C2773*0.125</f>
        <v>0.75</v>
      </c>
      <c r="G2773" s="0" t="n">
        <f aca="false">1</f>
        <v>1</v>
      </c>
      <c r="H2773" s="0" t="n">
        <f aca="false">D2773</f>
        <v>0.125</v>
      </c>
      <c r="I2773" s="0" t="n">
        <f aca="false">E2773</f>
        <v>0.125</v>
      </c>
      <c r="J2773" s="0" t="n">
        <f aca="false">F2773</f>
        <v>0.75</v>
      </c>
      <c r="K2773" s="0" t="n">
        <f aca="false">D2773*E2773</f>
        <v>0.015625</v>
      </c>
      <c r="L2773" s="0" t="n">
        <f aca="false">D2773*F2773</f>
        <v>0.09375</v>
      </c>
      <c r="M2773" s="0" t="n">
        <f aca="false">E2773*F2773</f>
        <v>0.09375</v>
      </c>
      <c r="N2773" s="0" t="n">
        <f aca="false">D2773*D2773</f>
        <v>0.015625</v>
      </c>
      <c r="O2773" s="0" t="n">
        <f aca="false">E2773*E2773</f>
        <v>0.015625</v>
      </c>
      <c r="P2773" s="0" t="n">
        <f aca="false">F2773*F2773</f>
        <v>0.5625</v>
      </c>
      <c r="Q2773" s="0" t="n">
        <f aca="false">SUMPRODUCT(G2773:P2773,_XtX!$B$71:$K$71)</f>
        <v>49.3168252840909</v>
      </c>
      <c r="R2773" s="0" t="n">
        <f aca="false">SUMPRODUCT(MMULT(G2773:P2773,_XtX!$B$58:$K$67),G2773:P2773)</f>
        <v>0.236181085759943</v>
      </c>
      <c r="S2773" s="0" t="n">
        <f aca="false">04_回帰ANOVA!$K$19*04_回帰ANOVA!$K$14*SQRT(1+R2773)</f>
        <v>1.03373134025567</v>
      </c>
      <c r="T2773" s="0" t="n">
        <f aca="false">Q2773-S2773</f>
        <v>48.2830939438353</v>
      </c>
      <c r="U2773" s="0" t="n">
        <f aca="false">Q2773+S2773</f>
        <v>50.3505566243466</v>
      </c>
      <c r="V2773" s="54" t="b">
        <f aca="false">AND(D2773&gt;=01_因子設定!$L$5-0.000000001,D2773&lt;=01_因子設定!$M$5+0.000000001,E2773&gt;=01_因子設定!$L$6-0.000000001,E2773&lt;=01_因子設定!$M$6+0.000000001,F2773&gt;=01_因子設定!$L$7-0.000000001,F2773&lt;=01_因子設定!$M$7+0.000000001,IF(01_因子設定!$B$20="Box-Behnken",D2773^2+E2773^2+F2773^2&lt;=2+0.000000001,TRUE()))</f>
        <v>1</v>
      </c>
      <c r="W2773" s="55" t="n">
        <f aca="false">IF(V2773,IF(01_因子設定!$B$13="最大化",T2773-01_因子設定!$B$14,IF(01_因子設定!$B$13="最小化",01_因子設定!$B$15-U2773,MIN(T2773-01_因子設定!$B$14,01_因子設定!$B$15-U2773))),-1E+030)</f>
        <v>-0.216906056164746</v>
      </c>
      <c r="X2773" s="55" t="n">
        <f aca="false">IF(V2773,IF(01_因子設定!$B$13="最大化",Q2773,IF(01_因子設定!$B$13="最小化",-Q2773,-ABS(Q2773-01_因子設定!$B$16))),-1E+030)</f>
        <v>49.3168252840909</v>
      </c>
      <c r="Y2773" s="55" t="n">
        <f aca="false">W2773+ROW()*0.000000001</f>
        <v>-0.216903283164746</v>
      </c>
      <c r="Z2773" s="55" t="n">
        <f aca="false">X2773+ROW()*0.000000001</f>
        <v>49.3168280570909</v>
      </c>
    </row>
    <row r="2774" customFormat="false" ht="15" hidden="false" customHeight="false" outlineLevel="0" collapsed="false">
      <c r="A2774" s="0" t="n">
        <v>9</v>
      </c>
      <c r="B2774" s="0" t="n">
        <v>9</v>
      </c>
      <c r="C2774" s="0" t="n">
        <v>15</v>
      </c>
      <c r="D2774" s="0" t="n">
        <f aca="false">-1+A2774*0.125</f>
        <v>0.125</v>
      </c>
      <c r="E2774" s="0" t="n">
        <f aca="false">-1+B2774*0.125</f>
        <v>0.125</v>
      </c>
      <c r="F2774" s="0" t="n">
        <f aca="false">-1+C2774*0.125</f>
        <v>0.875</v>
      </c>
      <c r="G2774" s="0" t="n">
        <f aca="false">1</f>
        <v>1</v>
      </c>
      <c r="H2774" s="0" t="n">
        <f aca="false">D2774</f>
        <v>0.125</v>
      </c>
      <c r="I2774" s="0" t="n">
        <f aca="false">E2774</f>
        <v>0.125</v>
      </c>
      <c r="J2774" s="0" t="n">
        <f aca="false">F2774</f>
        <v>0.875</v>
      </c>
      <c r="K2774" s="0" t="n">
        <f aca="false">D2774*E2774</f>
        <v>0.015625</v>
      </c>
      <c r="L2774" s="0" t="n">
        <f aca="false">D2774*F2774</f>
        <v>0.109375</v>
      </c>
      <c r="M2774" s="0" t="n">
        <f aca="false">E2774*F2774</f>
        <v>0.109375</v>
      </c>
      <c r="N2774" s="0" t="n">
        <f aca="false">D2774*D2774</f>
        <v>0.015625</v>
      </c>
      <c r="O2774" s="0" t="n">
        <f aca="false">E2774*E2774</f>
        <v>0.015625</v>
      </c>
      <c r="P2774" s="0" t="n">
        <f aca="false">F2774*F2774</f>
        <v>0.765625</v>
      </c>
      <c r="Q2774" s="0" t="n">
        <f aca="false">SUMPRODUCT(G2774:P2774,_XtX!$B$71:$K$71)</f>
        <v>49.2548792613637</v>
      </c>
      <c r="R2774" s="0" t="n">
        <f aca="false">SUMPRODUCT(MMULT(G2774:P2774,_XtX!$B$58:$K$67),G2774:P2774)</f>
        <v>0.335190096768466</v>
      </c>
      <c r="S2774" s="0" t="n">
        <f aca="false">04_回帰ANOVA!$K$19*04_回帰ANOVA!$K$14*SQRT(1+R2774)</f>
        <v>1.07433119726947</v>
      </c>
      <c r="T2774" s="0" t="n">
        <f aca="false">Q2774-S2774</f>
        <v>48.1805480640942</v>
      </c>
      <c r="U2774" s="0" t="n">
        <f aca="false">Q2774+S2774</f>
        <v>50.3292104586331</v>
      </c>
      <c r="V2774" s="54" t="b">
        <f aca="false">AND(D2774&gt;=01_因子設定!$L$5-0.000000001,D2774&lt;=01_因子設定!$M$5+0.000000001,E2774&gt;=01_因子設定!$L$6-0.000000001,E2774&lt;=01_因子設定!$M$6+0.000000001,F2774&gt;=01_因子設定!$L$7-0.000000001,F2774&lt;=01_因子設定!$M$7+0.000000001,IF(01_因子設定!$B$20="Box-Behnken",D2774^2+E2774^2+F2774^2&lt;=2+0.000000001,TRUE()))</f>
        <v>1</v>
      </c>
      <c r="W2774" s="55" t="n">
        <f aca="false">IF(V2774,IF(01_因子設定!$B$13="最大化",T2774-01_因子設定!$B$14,IF(01_因子設定!$B$13="最小化",01_因子設定!$B$15-U2774,MIN(T2774-01_因子設定!$B$14,01_因子設定!$B$15-U2774))),-1E+030)</f>
        <v>-0.319451935905803</v>
      </c>
      <c r="X2774" s="55" t="n">
        <f aca="false">IF(V2774,IF(01_因子設定!$B$13="最大化",Q2774,IF(01_因子設定!$B$13="最小化",-Q2774,-ABS(Q2774-01_因子設定!$B$16))),-1E+030)</f>
        <v>49.2548792613637</v>
      </c>
      <c r="Y2774" s="55" t="n">
        <f aca="false">W2774+ROW()*0.000000001</f>
        <v>-0.319449161905803</v>
      </c>
      <c r="Z2774" s="55" t="n">
        <f aca="false">X2774+ROW()*0.000000001</f>
        <v>49.2548820353637</v>
      </c>
    </row>
    <row r="2775" customFormat="false" ht="15" hidden="false" customHeight="false" outlineLevel="0" collapsed="false">
      <c r="A2775" s="0" t="n">
        <v>9</v>
      </c>
      <c r="B2775" s="0" t="n">
        <v>9</v>
      </c>
      <c r="C2775" s="0" t="n">
        <v>16</v>
      </c>
      <c r="D2775" s="0" t="n">
        <f aca="false">-1+A2775*0.125</f>
        <v>0.125</v>
      </c>
      <c r="E2775" s="0" t="n">
        <f aca="false">-1+B2775*0.125</f>
        <v>0.125</v>
      </c>
      <c r="F2775" s="0" t="n">
        <f aca="false">-1+C2775*0.125</f>
        <v>1</v>
      </c>
      <c r="G2775" s="0" t="n">
        <f aca="false">1</f>
        <v>1</v>
      </c>
      <c r="H2775" s="0" t="n">
        <f aca="false">D2775</f>
        <v>0.125</v>
      </c>
      <c r="I2775" s="0" t="n">
        <f aca="false">E2775</f>
        <v>0.125</v>
      </c>
      <c r="J2775" s="0" t="n">
        <f aca="false">F2775</f>
        <v>1</v>
      </c>
      <c r="K2775" s="0" t="n">
        <f aca="false">D2775*E2775</f>
        <v>0.015625</v>
      </c>
      <c r="L2775" s="0" t="n">
        <f aca="false">D2775*F2775</f>
        <v>0.125</v>
      </c>
      <c r="M2775" s="0" t="n">
        <f aca="false">E2775*F2775</f>
        <v>0.125</v>
      </c>
      <c r="N2775" s="0" t="n">
        <f aca="false">D2775*D2775</f>
        <v>0.015625</v>
      </c>
      <c r="O2775" s="0" t="n">
        <f aca="false">E2775*E2775</f>
        <v>0.015625</v>
      </c>
      <c r="P2775" s="0" t="n">
        <f aca="false">F2775*F2775</f>
        <v>1</v>
      </c>
      <c r="Q2775" s="0" t="n">
        <f aca="false">SUMPRODUCT(G2775:P2775,_XtX!$B$71:$K$71)</f>
        <v>49.1561434659091</v>
      </c>
      <c r="R2775" s="0" t="n">
        <f aca="false">SUMPRODUCT(MMULT(G2775:P2775,_XtX!$B$58:$K$67),G2775:P2775)</f>
        <v>0.486718195134943</v>
      </c>
      <c r="S2775" s="0" t="n">
        <f aca="false">04_回帰ANOVA!$K$19*04_回帰ANOVA!$K$14*SQRT(1+R2775)</f>
        <v>1.13365514750636</v>
      </c>
      <c r="T2775" s="0" t="n">
        <f aca="false">Q2775-S2775</f>
        <v>48.0224883184028</v>
      </c>
      <c r="U2775" s="0" t="n">
        <f aca="false">Q2775+S2775</f>
        <v>50.2897986134155</v>
      </c>
      <c r="V2775" s="54" t="b">
        <f aca="false">AND(D2775&gt;=01_因子設定!$L$5-0.000000001,D2775&lt;=01_因子設定!$M$5+0.000000001,E2775&gt;=01_因子設定!$L$6-0.000000001,E2775&lt;=01_因子設定!$M$6+0.000000001,F2775&gt;=01_因子設定!$L$7-0.000000001,F2775&lt;=01_因子設定!$M$7+0.000000001,IF(01_因子設定!$B$20="Box-Behnken",D2775^2+E2775^2+F2775^2&lt;=2+0.000000001,TRUE()))</f>
        <v>1</v>
      </c>
      <c r="W2775" s="55" t="n">
        <f aca="false">IF(V2775,IF(01_因子設定!$B$13="最大化",T2775-01_因子設定!$B$14,IF(01_因子設定!$B$13="最小化",01_因子設定!$B$15-U2775,MIN(T2775-01_因子設定!$B$14,01_因子設定!$B$15-U2775))),-1E+030)</f>
        <v>-0.477511681597242</v>
      </c>
      <c r="X2775" s="55" t="n">
        <f aca="false">IF(V2775,IF(01_因子設定!$B$13="最大化",Q2775,IF(01_因子設定!$B$13="最小化",-Q2775,-ABS(Q2775-01_因子設定!$B$16))),-1E+030)</f>
        <v>49.1561434659091</v>
      </c>
      <c r="Y2775" s="55" t="n">
        <f aca="false">W2775+ROW()*0.000000001</f>
        <v>-0.477508906597242</v>
      </c>
      <c r="Z2775" s="55" t="n">
        <f aca="false">X2775+ROW()*0.000000001</f>
        <v>49.1561462409091</v>
      </c>
    </row>
    <row r="2776" customFormat="false" ht="15" hidden="false" customHeight="false" outlineLevel="0" collapsed="false">
      <c r="A2776" s="0" t="n">
        <v>9</v>
      </c>
      <c r="B2776" s="0" t="n">
        <v>10</v>
      </c>
      <c r="C2776" s="0" t="n">
        <v>0</v>
      </c>
      <c r="D2776" s="0" t="n">
        <f aca="false">-1+A2776*0.125</f>
        <v>0.125</v>
      </c>
      <c r="E2776" s="0" t="n">
        <f aca="false">-1+B2776*0.125</f>
        <v>0.25</v>
      </c>
      <c r="F2776" s="0" t="n">
        <f aca="false">-1+C2776*0.125</f>
        <v>-1</v>
      </c>
      <c r="G2776" s="0" t="n">
        <f aca="false">1</f>
        <v>1</v>
      </c>
      <c r="H2776" s="0" t="n">
        <f aca="false">D2776</f>
        <v>0.125</v>
      </c>
      <c r="I2776" s="0" t="n">
        <f aca="false">E2776</f>
        <v>0.25</v>
      </c>
      <c r="J2776" s="0" t="n">
        <f aca="false">F2776</f>
        <v>-1</v>
      </c>
      <c r="K2776" s="0" t="n">
        <f aca="false">D2776*E2776</f>
        <v>0.03125</v>
      </c>
      <c r="L2776" s="0" t="n">
        <f aca="false">D2776*F2776</f>
        <v>-0.125</v>
      </c>
      <c r="M2776" s="0" t="n">
        <f aca="false">E2776*F2776</f>
        <v>-0.25</v>
      </c>
      <c r="N2776" s="0" t="n">
        <f aca="false">D2776*D2776</f>
        <v>0.015625</v>
      </c>
      <c r="O2776" s="0" t="n">
        <f aca="false">E2776*E2776</f>
        <v>0.0625</v>
      </c>
      <c r="P2776" s="0" t="n">
        <f aca="false">F2776*F2776</f>
        <v>1</v>
      </c>
      <c r="Q2776" s="0" t="n">
        <f aca="false">SUMPRODUCT(G2776:P2776,_XtX!$B$71:$K$71)</f>
        <v>46.4477556818182</v>
      </c>
      <c r="R2776" s="0" t="n">
        <f aca="false">SUMPRODUCT(MMULT(G2776:P2776,_XtX!$B$58:$K$67),G2776:P2776)</f>
        <v>0.481443093039773</v>
      </c>
      <c r="S2776" s="0" t="n">
        <f aca="false">04_回帰ANOVA!$K$19*04_回帰ANOVA!$K$14*SQRT(1+R2776)</f>
        <v>1.13164216995877</v>
      </c>
      <c r="T2776" s="0" t="n">
        <f aca="false">Q2776-S2776</f>
        <v>45.3161135118594</v>
      </c>
      <c r="U2776" s="0" t="n">
        <f aca="false">Q2776+S2776</f>
        <v>47.579397851777</v>
      </c>
      <c r="V2776" s="54" t="b">
        <f aca="false">AND(D2776&gt;=01_因子設定!$L$5-0.000000001,D2776&lt;=01_因子設定!$M$5+0.000000001,E2776&gt;=01_因子設定!$L$6-0.000000001,E2776&lt;=01_因子設定!$M$6+0.000000001,F2776&gt;=01_因子設定!$L$7-0.000000001,F2776&lt;=01_因子設定!$M$7+0.000000001,IF(01_因子設定!$B$20="Box-Behnken",D2776^2+E2776^2+F2776^2&lt;=2+0.000000001,TRUE()))</f>
        <v>1</v>
      </c>
      <c r="W2776" s="55" t="n">
        <f aca="false">IF(V2776,IF(01_因子設定!$B$13="最大化",T2776-01_因子設定!$B$14,IF(01_因子設定!$B$13="最小化",01_因子設定!$B$15-U2776,MIN(T2776-01_因子設定!$B$14,01_因子設定!$B$15-U2776))),-1E+030)</f>
        <v>-3.18388648814056</v>
      </c>
      <c r="X2776" s="55" t="n">
        <f aca="false">IF(V2776,IF(01_因子設定!$B$13="最大化",Q2776,IF(01_因子設定!$B$13="最小化",-Q2776,-ABS(Q2776-01_因子設定!$B$16))),-1E+030)</f>
        <v>46.4477556818182</v>
      </c>
      <c r="Y2776" s="55" t="n">
        <f aca="false">W2776+ROW()*0.000000001</f>
        <v>-3.18388371214056</v>
      </c>
      <c r="Z2776" s="55" t="n">
        <f aca="false">X2776+ROW()*0.000000001</f>
        <v>46.4477584578182</v>
      </c>
    </row>
    <row r="2777" customFormat="false" ht="15" hidden="false" customHeight="false" outlineLevel="0" collapsed="false">
      <c r="A2777" s="0" t="n">
        <v>9</v>
      </c>
      <c r="B2777" s="0" t="n">
        <v>10</v>
      </c>
      <c r="C2777" s="0" t="n">
        <v>1</v>
      </c>
      <c r="D2777" s="0" t="n">
        <f aca="false">-1+A2777*0.125</f>
        <v>0.125</v>
      </c>
      <c r="E2777" s="0" t="n">
        <f aca="false">-1+B2777*0.125</f>
        <v>0.25</v>
      </c>
      <c r="F2777" s="0" t="n">
        <f aca="false">-1+C2777*0.125</f>
        <v>-0.875</v>
      </c>
      <c r="G2777" s="0" t="n">
        <f aca="false">1</f>
        <v>1</v>
      </c>
      <c r="H2777" s="0" t="n">
        <f aca="false">D2777</f>
        <v>0.125</v>
      </c>
      <c r="I2777" s="0" t="n">
        <f aca="false">E2777</f>
        <v>0.25</v>
      </c>
      <c r="J2777" s="0" t="n">
        <f aca="false">F2777</f>
        <v>-0.875</v>
      </c>
      <c r="K2777" s="0" t="n">
        <f aca="false">D2777*E2777</f>
        <v>0.03125</v>
      </c>
      <c r="L2777" s="0" t="n">
        <f aca="false">D2777*F2777</f>
        <v>-0.109375</v>
      </c>
      <c r="M2777" s="0" t="n">
        <f aca="false">E2777*F2777</f>
        <v>-0.21875</v>
      </c>
      <c r="N2777" s="0" t="n">
        <f aca="false">D2777*D2777</f>
        <v>0.015625</v>
      </c>
      <c r="O2777" s="0" t="n">
        <f aca="false">E2777*E2777</f>
        <v>0.0625</v>
      </c>
      <c r="P2777" s="0" t="n">
        <f aca="false">F2777*F2777</f>
        <v>0.765625</v>
      </c>
      <c r="Q2777" s="0" t="n">
        <f aca="false">SUMPRODUCT(G2777:P2777,_XtX!$B$71:$K$71)</f>
        <v>46.9078977272728</v>
      </c>
      <c r="R2777" s="0" t="n">
        <f aca="false">SUMPRODUCT(MMULT(G2777:P2777,_XtX!$B$58:$K$67),G2777:P2777)</f>
        <v>0.331537974964489</v>
      </c>
      <c r="S2777" s="0" t="n">
        <f aca="false">04_回帰ANOVA!$K$19*04_回帰ANOVA!$K$14*SQRT(1+R2777)</f>
        <v>1.07286089161565</v>
      </c>
      <c r="T2777" s="0" t="n">
        <f aca="false">Q2777-S2777</f>
        <v>45.8350368356571</v>
      </c>
      <c r="U2777" s="0" t="n">
        <f aca="false">Q2777+S2777</f>
        <v>47.9807586188884</v>
      </c>
      <c r="V2777" s="54" t="b">
        <f aca="false">AND(D2777&gt;=01_因子設定!$L$5-0.000000001,D2777&lt;=01_因子設定!$M$5+0.000000001,E2777&gt;=01_因子設定!$L$6-0.000000001,E2777&lt;=01_因子設定!$M$6+0.000000001,F2777&gt;=01_因子設定!$L$7-0.000000001,F2777&lt;=01_因子設定!$M$7+0.000000001,IF(01_因子設定!$B$20="Box-Behnken",D2777^2+E2777^2+F2777^2&lt;=2+0.000000001,TRUE()))</f>
        <v>1</v>
      </c>
      <c r="W2777" s="55" t="n">
        <f aca="false">IF(V2777,IF(01_因子設定!$B$13="最大化",T2777-01_因子設定!$B$14,IF(01_因子設定!$B$13="最小化",01_因子設定!$B$15-U2777,MIN(T2777-01_因子設定!$B$14,01_因子設定!$B$15-U2777))),-1E+030)</f>
        <v>-2.66496316434291</v>
      </c>
      <c r="X2777" s="55" t="n">
        <f aca="false">IF(V2777,IF(01_因子設定!$B$13="最大化",Q2777,IF(01_因子設定!$B$13="最小化",-Q2777,-ABS(Q2777-01_因子設定!$B$16))),-1E+030)</f>
        <v>46.9078977272728</v>
      </c>
      <c r="Y2777" s="55" t="n">
        <f aca="false">W2777+ROW()*0.000000001</f>
        <v>-2.66496038734291</v>
      </c>
      <c r="Z2777" s="55" t="n">
        <f aca="false">X2777+ROW()*0.000000001</f>
        <v>46.9079005042727</v>
      </c>
    </row>
    <row r="2778" customFormat="false" ht="15" hidden="false" customHeight="false" outlineLevel="0" collapsed="false">
      <c r="A2778" s="0" t="n">
        <v>9</v>
      </c>
      <c r="B2778" s="0" t="n">
        <v>10</v>
      </c>
      <c r="C2778" s="0" t="n">
        <v>2</v>
      </c>
      <c r="D2778" s="0" t="n">
        <f aca="false">-1+A2778*0.125</f>
        <v>0.125</v>
      </c>
      <c r="E2778" s="0" t="n">
        <f aca="false">-1+B2778*0.125</f>
        <v>0.25</v>
      </c>
      <c r="F2778" s="0" t="n">
        <f aca="false">-1+C2778*0.125</f>
        <v>-0.75</v>
      </c>
      <c r="G2778" s="0" t="n">
        <f aca="false">1</f>
        <v>1</v>
      </c>
      <c r="H2778" s="0" t="n">
        <f aca="false">D2778</f>
        <v>0.125</v>
      </c>
      <c r="I2778" s="0" t="n">
        <f aca="false">E2778</f>
        <v>0.25</v>
      </c>
      <c r="J2778" s="0" t="n">
        <f aca="false">F2778</f>
        <v>-0.75</v>
      </c>
      <c r="K2778" s="0" t="n">
        <f aca="false">D2778*E2778</f>
        <v>0.03125</v>
      </c>
      <c r="L2778" s="0" t="n">
        <f aca="false">D2778*F2778</f>
        <v>-0.09375</v>
      </c>
      <c r="M2778" s="0" t="n">
        <f aca="false">E2778*F2778</f>
        <v>-0.1875</v>
      </c>
      <c r="N2778" s="0" t="n">
        <f aca="false">D2778*D2778</f>
        <v>0.015625</v>
      </c>
      <c r="O2778" s="0" t="n">
        <f aca="false">E2778*E2778</f>
        <v>0.0625</v>
      </c>
      <c r="P2778" s="0" t="n">
        <f aca="false">F2778*F2778</f>
        <v>0.5625</v>
      </c>
      <c r="Q2778" s="0" t="n">
        <f aca="false">SUMPRODUCT(G2778:P2778,_XtX!$B$71:$K$71)</f>
        <v>47.33125</v>
      </c>
      <c r="R2778" s="0" t="n">
        <f aca="false">SUMPRODUCT(MMULT(G2778:P2778,_XtX!$B$58:$K$67),G2778:P2778)</f>
        <v>0.233935546875</v>
      </c>
      <c r="S2778" s="0" t="n">
        <f aca="false">04_回帰ANOVA!$K$19*04_回帰ANOVA!$K$14*SQRT(1+R2778)</f>
        <v>1.03279202033444</v>
      </c>
      <c r="T2778" s="0" t="n">
        <f aca="false">Q2778-S2778</f>
        <v>46.2984579796656</v>
      </c>
      <c r="U2778" s="0" t="n">
        <f aca="false">Q2778+S2778</f>
        <v>48.3640420203345</v>
      </c>
      <c r="V2778" s="54" t="b">
        <f aca="false">AND(D2778&gt;=01_因子設定!$L$5-0.000000001,D2778&lt;=01_因子設定!$M$5+0.000000001,E2778&gt;=01_因子設定!$L$6-0.000000001,E2778&lt;=01_因子設定!$M$6+0.000000001,F2778&gt;=01_因子設定!$L$7-0.000000001,F2778&lt;=01_因子設定!$M$7+0.000000001,IF(01_因子設定!$B$20="Box-Behnken",D2778^2+E2778^2+F2778^2&lt;=2+0.000000001,TRUE()))</f>
        <v>1</v>
      </c>
      <c r="W2778" s="55" t="n">
        <f aca="false">IF(V2778,IF(01_因子設定!$B$13="最大化",T2778-01_因子設定!$B$14,IF(01_因子設定!$B$13="最小化",01_因子設定!$B$15-U2778,MIN(T2778-01_因子設定!$B$14,01_因子設定!$B$15-U2778))),-1E+030)</f>
        <v>-2.20154202033442</v>
      </c>
      <c r="X2778" s="55" t="n">
        <f aca="false">IF(V2778,IF(01_因子設定!$B$13="最大化",Q2778,IF(01_因子設定!$B$13="最小化",-Q2778,-ABS(Q2778-01_因子設定!$B$16))),-1E+030)</f>
        <v>47.33125</v>
      </c>
      <c r="Y2778" s="55" t="n">
        <f aca="false">W2778+ROW()*0.000000001</f>
        <v>-2.20153924233442</v>
      </c>
      <c r="Z2778" s="55" t="n">
        <f aca="false">X2778+ROW()*0.000000001</f>
        <v>47.331252778</v>
      </c>
    </row>
    <row r="2779" customFormat="false" ht="15" hidden="false" customHeight="false" outlineLevel="0" collapsed="false">
      <c r="A2779" s="0" t="n">
        <v>9</v>
      </c>
      <c r="B2779" s="0" t="n">
        <v>10</v>
      </c>
      <c r="C2779" s="0" t="n">
        <v>3</v>
      </c>
      <c r="D2779" s="0" t="n">
        <f aca="false">-1+A2779*0.125</f>
        <v>0.125</v>
      </c>
      <c r="E2779" s="0" t="n">
        <f aca="false">-1+B2779*0.125</f>
        <v>0.25</v>
      </c>
      <c r="F2779" s="0" t="n">
        <f aca="false">-1+C2779*0.125</f>
        <v>-0.625</v>
      </c>
      <c r="G2779" s="0" t="n">
        <f aca="false">1</f>
        <v>1</v>
      </c>
      <c r="H2779" s="0" t="n">
        <f aca="false">D2779</f>
        <v>0.125</v>
      </c>
      <c r="I2779" s="0" t="n">
        <f aca="false">E2779</f>
        <v>0.25</v>
      </c>
      <c r="J2779" s="0" t="n">
        <f aca="false">F2779</f>
        <v>-0.625</v>
      </c>
      <c r="K2779" s="0" t="n">
        <f aca="false">D2779*E2779</f>
        <v>0.03125</v>
      </c>
      <c r="L2779" s="0" t="n">
        <f aca="false">D2779*F2779</f>
        <v>-0.078125</v>
      </c>
      <c r="M2779" s="0" t="n">
        <f aca="false">E2779*F2779</f>
        <v>-0.15625</v>
      </c>
      <c r="N2779" s="0" t="n">
        <f aca="false">D2779*D2779</f>
        <v>0.015625</v>
      </c>
      <c r="O2779" s="0" t="n">
        <f aca="false">E2779*E2779</f>
        <v>0.0625</v>
      </c>
      <c r="P2779" s="0" t="n">
        <f aca="false">F2779*F2779</f>
        <v>0.390625</v>
      </c>
      <c r="Q2779" s="0" t="n">
        <f aca="false">SUMPRODUCT(G2779:P2779,_XtX!$B$71:$K$71)</f>
        <v>47.7178125</v>
      </c>
      <c r="R2779" s="0" t="n">
        <f aca="false">SUMPRODUCT(MMULT(G2779:P2779,_XtX!$B$58:$K$67),G2779:P2779)</f>
        <v>0.174786376953125</v>
      </c>
      <c r="S2779" s="0" t="n">
        <f aca="false">04_回帰ANOVA!$K$19*04_回帰ANOVA!$K$14*SQRT(1+R2779)</f>
        <v>1.00773440704286</v>
      </c>
      <c r="T2779" s="0" t="n">
        <f aca="false">Q2779-S2779</f>
        <v>46.7100780929572</v>
      </c>
      <c r="U2779" s="0" t="n">
        <f aca="false">Q2779+S2779</f>
        <v>48.7255469070429</v>
      </c>
      <c r="V2779" s="54" t="b">
        <f aca="false">AND(D2779&gt;=01_因子設定!$L$5-0.000000001,D2779&lt;=01_因子設定!$M$5+0.000000001,E2779&gt;=01_因子設定!$L$6-0.000000001,E2779&lt;=01_因子設定!$M$6+0.000000001,F2779&gt;=01_因子設定!$L$7-0.000000001,F2779&lt;=01_因子設定!$M$7+0.000000001,IF(01_因子設定!$B$20="Box-Behnken",D2779^2+E2779^2+F2779^2&lt;=2+0.000000001,TRUE()))</f>
        <v>1</v>
      </c>
      <c r="W2779" s="55" t="n">
        <f aca="false">IF(V2779,IF(01_因子設定!$B$13="最大化",T2779-01_因子設定!$B$14,IF(01_因子設定!$B$13="最小化",01_因子設定!$B$15-U2779,MIN(T2779-01_因子設定!$B$14,01_因子設定!$B$15-U2779))),-1E+030)</f>
        <v>-1.78992190704285</v>
      </c>
      <c r="X2779" s="55" t="n">
        <f aca="false">IF(V2779,IF(01_因子設定!$B$13="最大化",Q2779,IF(01_因子設定!$B$13="最小化",-Q2779,-ABS(Q2779-01_因子設定!$B$16))),-1E+030)</f>
        <v>47.7178125</v>
      </c>
      <c r="Y2779" s="55" t="n">
        <f aca="false">W2779+ROW()*0.000000001</f>
        <v>-1.78991912804285</v>
      </c>
      <c r="Z2779" s="55" t="n">
        <f aca="false">X2779+ROW()*0.000000001</f>
        <v>47.717815279</v>
      </c>
    </row>
    <row r="2780" customFormat="false" ht="15" hidden="false" customHeight="false" outlineLevel="0" collapsed="false">
      <c r="A2780" s="0" t="n">
        <v>9</v>
      </c>
      <c r="B2780" s="0" t="n">
        <v>10</v>
      </c>
      <c r="C2780" s="0" t="n">
        <v>4</v>
      </c>
      <c r="D2780" s="0" t="n">
        <f aca="false">-1+A2780*0.125</f>
        <v>0.125</v>
      </c>
      <c r="E2780" s="0" t="n">
        <f aca="false">-1+B2780*0.125</f>
        <v>0.25</v>
      </c>
      <c r="F2780" s="0" t="n">
        <f aca="false">-1+C2780*0.125</f>
        <v>-0.5</v>
      </c>
      <c r="G2780" s="0" t="n">
        <f aca="false">1</f>
        <v>1</v>
      </c>
      <c r="H2780" s="0" t="n">
        <f aca="false">D2780</f>
        <v>0.125</v>
      </c>
      <c r="I2780" s="0" t="n">
        <f aca="false">E2780</f>
        <v>0.25</v>
      </c>
      <c r="J2780" s="0" t="n">
        <f aca="false">F2780</f>
        <v>-0.5</v>
      </c>
      <c r="K2780" s="0" t="n">
        <f aca="false">D2780*E2780</f>
        <v>0.03125</v>
      </c>
      <c r="L2780" s="0" t="n">
        <f aca="false">D2780*F2780</f>
        <v>-0.0625</v>
      </c>
      <c r="M2780" s="0" t="n">
        <f aca="false">E2780*F2780</f>
        <v>-0.125</v>
      </c>
      <c r="N2780" s="0" t="n">
        <f aca="false">D2780*D2780</f>
        <v>0.015625</v>
      </c>
      <c r="O2780" s="0" t="n">
        <f aca="false">E2780*E2780</f>
        <v>0.0625</v>
      </c>
      <c r="P2780" s="0" t="n">
        <f aca="false">F2780*F2780</f>
        <v>0.25</v>
      </c>
      <c r="Q2780" s="0" t="n">
        <f aca="false">SUMPRODUCT(G2780:P2780,_XtX!$B$71:$K$71)</f>
        <v>48.0675852272727</v>
      </c>
      <c r="R2780" s="0" t="n">
        <f aca="false">SUMPRODUCT(MMULT(G2780:P2780,_XtX!$B$58:$K$67),G2780:P2780)</f>
        <v>0.142371715198864</v>
      </c>
      <c r="S2780" s="0" t="n">
        <f aca="false">04_回帰ANOVA!$K$19*04_回帰ANOVA!$K$14*SQRT(1+R2780)</f>
        <v>0.99373447511735</v>
      </c>
      <c r="T2780" s="0" t="n">
        <f aca="false">Q2780-S2780</f>
        <v>47.0738507521554</v>
      </c>
      <c r="U2780" s="0" t="n">
        <f aca="false">Q2780+S2780</f>
        <v>49.0613197023901</v>
      </c>
      <c r="V2780" s="54" t="b">
        <f aca="false">AND(D2780&gt;=01_因子設定!$L$5-0.000000001,D2780&lt;=01_因子設定!$M$5+0.000000001,E2780&gt;=01_因子設定!$L$6-0.000000001,E2780&lt;=01_因子設定!$M$6+0.000000001,F2780&gt;=01_因子設定!$L$7-0.000000001,F2780&lt;=01_因子設定!$M$7+0.000000001,IF(01_因子設定!$B$20="Box-Behnken",D2780^2+E2780^2+F2780^2&lt;=2+0.000000001,TRUE()))</f>
        <v>1</v>
      </c>
      <c r="W2780" s="55" t="n">
        <f aca="false">IF(V2780,IF(01_因子設定!$B$13="最大化",T2780-01_因子設定!$B$14,IF(01_因子設定!$B$13="最小化",01_因子設定!$B$15-U2780,MIN(T2780-01_因子設定!$B$14,01_因子設定!$B$15-U2780))),-1E+030)</f>
        <v>-1.42614924784461</v>
      </c>
      <c r="X2780" s="55" t="n">
        <f aca="false">IF(V2780,IF(01_因子設定!$B$13="最大化",Q2780,IF(01_因子設定!$B$13="最小化",-Q2780,-ABS(Q2780-01_因子設定!$B$16))),-1E+030)</f>
        <v>48.0675852272727</v>
      </c>
      <c r="Y2780" s="55" t="n">
        <f aca="false">W2780+ROW()*0.000000001</f>
        <v>-1.42614646784461</v>
      </c>
      <c r="Z2780" s="55" t="n">
        <f aca="false">X2780+ROW()*0.000000001</f>
        <v>48.0675880072728</v>
      </c>
    </row>
    <row r="2781" customFormat="false" ht="15" hidden="false" customHeight="false" outlineLevel="0" collapsed="false">
      <c r="A2781" s="0" t="n">
        <v>9</v>
      </c>
      <c r="B2781" s="0" t="n">
        <v>10</v>
      </c>
      <c r="C2781" s="0" t="n">
        <v>5</v>
      </c>
      <c r="D2781" s="0" t="n">
        <f aca="false">-1+A2781*0.125</f>
        <v>0.125</v>
      </c>
      <c r="E2781" s="0" t="n">
        <f aca="false">-1+B2781*0.125</f>
        <v>0.25</v>
      </c>
      <c r="F2781" s="0" t="n">
        <f aca="false">-1+C2781*0.125</f>
        <v>-0.375</v>
      </c>
      <c r="G2781" s="0" t="n">
        <f aca="false">1</f>
        <v>1</v>
      </c>
      <c r="H2781" s="0" t="n">
        <f aca="false">D2781</f>
        <v>0.125</v>
      </c>
      <c r="I2781" s="0" t="n">
        <f aca="false">E2781</f>
        <v>0.25</v>
      </c>
      <c r="J2781" s="0" t="n">
        <f aca="false">F2781</f>
        <v>-0.375</v>
      </c>
      <c r="K2781" s="0" t="n">
        <f aca="false">D2781*E2781</f>
        <v>0.03125</v>
      </c>
      <c r="L2781" s="0" t="n">
        <f aca="false">D2781*F2781</f>
        <v>-0.046875</v>
      </c>
      <c r="M2781" s="0" t="n">
        <f aca="false">E2781*F2781</f>
        <v>-0.09375</v>
      </c>
      <c r="N2781" s="0" t="n">
        <f aca="false">D2781*D2781</f>
        <v>0.015625</v>
      </c>
      <c r="O2781" s="0" t="n">
        <f aca="false">E2781*E2781</f>
        <v>0.0625</v>
      </c>
      <c r="P2781" s="0" t="n">
        <f aca="false">F2781*F2781</f>
        <v>0.140625</v>
      </c>
      <c r="Q2781" s="0" t="n">
        <f aca="false">SUMPRODUCT(G2781:P2781,_XtX!$B$71:$K$71)</f>
        <v>48.3805681818182</v>
      </c>
      <c r="R2781" s="0" t="n">
        <f aca="false">SUMPRODUCT(MMULT(G2781:P2781,_XtX!$B$58:$K$67),G2781:P2781)</f>
        <v>0.127103493430398</v>
      </c>
      <c r="S2781" s="0" t="n">
        <f aca="false">04_回帰ANOVA!$K$19*04_回帰ANOVA!$K$14*SQRT(1+R2781)</f>
        <v>0.987071321387587</v>
      </c>
      <c r="T2781" s="0" t="n">
        <f aca="false">Q2781-S2781</f>
        <v>47.3934968604306</v>
      </c>
      <c r="U2781" s="0" t="n">
        <f aca="false">Q2781+S2781</f>
        <v>49.3676395032058</v>
      </c>
      <c r="V2781" s="54" t="b">
        <f aca="false">AND(D2781&gt;=01_因子設定!$L$5-0.000000001,D2781&lt;=01_因子設定!$M$5+0.000000001,E2781&gt;=01_因子設定!$L$6-0.000000001,E2781&lt;=01_因子設定!$M$6+0.000000001,F2781&gt;=01_因子設定!$L$7-0.000000001,F2781&lt;=01_因子設定!$M$7+0.000000001,IF(01_因子設定!$B$20="Box-Behnken",D2781^2+E2781^2+F2781^2&lt;=2+0.000000001,TRUE()))</f>
        <v>1</v>
      </c>
      <c r="W2781" s="55" t="n">
        <f aca="false">IF(V2781,IF(01_因子設定!$B$13="最大化",T2781-01_因子設定!$B$14,IF(01_因子設定!$B$13="最小化",01_因子設定!$B$15-U2781,MIN(T2781-01_因子設定!$B$14,01_因子設定!$B$15-U2781))),-1E+030)</f>
        <v>-1.1065031395694</v>
      </c>
      <c r="X2781" s="55" t="n">
        <f aca="false">IF(V2781,IF(01_因子設定!$B$13="最大化",Q2781,IF(01_因子設定!$B$13="最小化",-Q2781,-ABS(Q2781-01_因子設定!$B$16))),-1E+030)</f>
        <v>48.3805681818182</v>
      </c>
      <c r="Y2781" s="55" t="n">
        <f aca="false">W2781+ROW()*0.000000001</f>
        <v>-1.1065003585694</v>
      </c>
      <c r="Z2781" s="55" t="n">
        <f aca="false">X2781+ROW()*0.000000001</f>
        <v>48.3805709628182</v>
      </c>
    </row>
    <row r="2782" customFormat="false" ht="15" hidden="false" customHeight="false" outlineLevel="0" collapsed="false">
      <c r="A2782" s="0" t="n">
        <v>9</v>
      </c>
      <c r="B2782" s="0" t="n">
        <v>10</v>
      </c>
      <c r="C2782" s="0" t="n">
        <v>6</v>
      </c>
      <c r="D2782" s="0" t="n">
        <f aca="false">-1+A2782*0.125</f>
        <v>0.125</v>
      </c>
      <c r="E2782" s="0" t="n">
        <f aca="false">-1+B2782*0.125</f>
        <v>0.25</v>
      </c>
      <c r="F2782" s="0" t="n">
        <f aca="false">-1+C2782*0.125</f>
        <v>-0.25</v>
      </c>
      <c r="G2782" s="0" t="n">
        <f aca="false">1</f>
        <v>1</v>
      </c>
      <c r="H2782" s="0" t="n">
        <f aca="false">D2782</f>
        <v>0.125</v>
      </c>
      <c r="I2782" s="0" t="n">
        <f aca="false">E2782</f>
        <v>0.25</v>
      </c>
      <c r="J2782" s="0" t="n">
        <f aca="false">F2782</f>
        <v>-0.25</v>
      </c>
      <c r="K2782" s="0" t="n">
        <f aca="false">D2782*E2782</f>
        <v>0.03125</v>
      </c>
      <c r="L2782" s="0" t="n">
        <f aca="false">D2782*F2782</f>
        <v>-0.03125</v>
      </c>
      <c r="M2782" s="0" t="n">
        <f aca="false">E2782*F2782</f>
        <v>-0.0625</v>
      </c>
      <c r="N2782" s="0" t="n">
        <f aca="false">D2782*D2782</f>
        <v>0.015625</v>
      </c>
      <c r="O2782" s="0" t="n">
        <f aca="false">E2782*E2782</f>
        <v>0.0625</v>
      </c>
      <c r="P2782" s="0" t="n">
        <f aca="false">F2782*F2782</f>
        <v>0.0625</v>
      </c>
      <c r="Q2782" s="0" t="n">
        <f aca="false">SUMPRODUCT(G2782:P2782,_XtX!$B$71:$K$71)</f>
        <v>48.6567613636364</v>
      </c>
      <c r="R2782" s="0" t="n">
        <f aca="false">SUMPRODUCT(MMULT(G2782:P2782,_XtX!$B$58:$K$67),G2782:P2782)</f>
        <v>0.121524325284091</v>
      </c>
      <c r="S2782" s="0" t="n">
        <f aca="false">04_回帰ANOVA!$K$19*04_回帰ANOVA!$K$14*SQRT(1+R2782)</f>
        <v>0.984625286577447</v>
      </c>
      <c r="T2782" s="0" t="n">
        <f aca="false">Q2782-S2782</f>
        <v>47.6721360770589</v>
      </c>
      <c r="U2782" s="0" t="n">
        <f aca="false">Q2782+S2782</f>
        <v>49.6413866502138</v>
      </c>
      <c r="V2782" s="54" t="b">
        <f aca="false">AND(D2782&gt;=01_因子設定!$L$5-0.000000001,D2782&lt;=01_因子設定!$M$5+0.000000001,E2782&gt;=01_因子設定!$L$6-0.000000001,E2782&lt;=01_因子設定!$M$6+0.000000001,F2782&gt;=01_因子設定!$L$7-0.000000001,F2782&lt;=01_因子設定!$M$7+0.000000001,IF(01_因子設定!$B$20="Box-Behnken",D2782^2+E2782^2+F2782^2&lt;=2+0.000000001,TRUE()))</f>
        <v>1</v>
      </c>
      <c r="W2782" s="55" t="n">
        <f aca="false">IF(V2782,IF(01_因子設定!$B$13="最大化",T2782-01_因子設定!$B$14,IF(01_因子設定!$B$13="最小化",01_因子設定!$B$15-U2782,MIN(T2782-01_因子設定!$B$14,01_因子設定!$B$15-U2782))),-1E+030)</f>
        <v>-0.827863922941077</v>
      </c>
      <c r="X2782" s="55" t="n">
        <f aca="false">IF(V2782,IF(01_因子設定!$B$13="最大化",Q2782,IF(01_因子設定!$B$13="最小化",-Q2782,-ABS(Q2782-01_因子設定!$B$16))),-1E+030)</f>
        <v>48.6567613636364</v>
      </c>
      <c r="Y2782" s="55" t="n">
        <f aca="false">W2782+ROW()*0.000000001</f>
        <v>-0.827861140941077</v>
      </c>
      <c r="Z2782" s="55" t="n">
        <f aca="false">X2782+ROW()*0.000000001</f>
        <v>48.6567641456364</v>
      </c>
    </row>
    <row r="2783" customFormat="false" ht="15" hidden="false" customHeight="false" outlineLevel="0" collapsed="false">
      <c r="A2783" s="0" t="n">
        <v>9</v>
      </c>
      <c r="B2783" s="0" t="n">
        <v>10</v>
      </c>
      <c r="C2783" s="0" t="n">
        <v>7</v>
      </c>
      <c r="D2783" s="0" t="n">
        <f aca="false">-1+A2783*0.125</f>
        <v>0.125</v>
      </c>
      <c r="E2783" s="0" t="n">
        <f aca="false">-1+B2783*0.125</f>
        <v>0.25</v>
      </c>
      <c r="F2783" s="0" t="n">
        <f aca="false">-1+C2783*0.125</f>
        <v>-0.125</v>
      </c>
      <c r="G2783" s="0" t="n">
        <f aca="false">1</f>
        <v>1</v>
      </c>
      <c r="H2783" s="0" t="n">
        <f aca="false">D2783</f>
        <v>0.125</v>
      </c>
      <c r="I2783" s="0" t="n">
        <f aca="false">E2783</f>
        <v>0.25</v>
      </c>
      <c r="J2783" s="0" t="n">
        <f aca="false">F2783</f>
        <v>-0.125</v>
      </c>
      <c r="K2783" s="0" t="n">
        <f aca="false">D2783*E2783</f>
        <v>0.03125</v>
      </c>
      <c r="L2783" s="0" t="n">
        <f aca="false">D2783*F2783</f>
        <v>-0.015625</v>
      </c>
      <c r="M2783" s="0" t="n">
        <f aca="false">E2783*F2783</f>
        <v>-0.03125</v>
      </c>
      <c r="N2783" s="0" t="n">
        <f aca="false">D2783*D2783</f>
        <v>0.015625</v>
      </c>
      <c r="O2783" s="0" t="n">
        <f aca="false">E2783*E2783</f>
        <v>0.0625</v>
      </c>
      <c r="P2783" s="0" t="n">
        <f aca="false">F2783*F2783</f>
        <v>0.015625</v>
      </c>
      <c r="Q2783" s="0" t="n">
        <f aca="false">SUMPRODUCT(G2783:P2783,_XtX!$B$71:$K$71)</f>
        <v>48.8961647727273</v>
      </c>
      <c r="R2783" s="0" t="n">
        <f aca="false">SUMPRODUCT(MMULT(G2783:P2783,_XtX!$B$58:$K$67),G2783:P2783)</f>
        <v>0.120307506214489</v>
      </c>
      <c r="S2783" s="0" t="n">
        <f aca="false">04_回帰ANOVA!$K$19*04_回帰ANOVA!$K$14*SQRT(1+R2783)</f>
        <v>0.984090997684742</v>
      </c>
      <c r="T2783" s="0" t="n">
        <f aca="false">Q2783-S2783</f>
        <v>47.9120737750425</v>
      </c>
      <c r="U2783" s="0" t="n">
        <f aca="false">Q2783+S2783</f>
        <v>49.880255770412</v>
      </c>
      <c r="V2783" s="54" t="b">
        <f aca="false">AND(D2783&gt;=01_因子設定!$L$5-0.000000001,D2783&lt;=01_因子設定!$M$5+0.000000001,E2783&gt;=01_因子設定!$L$6-0.000000001,E2783&lt;=01_因子設定!$M$6+0.000000001,F2783&gt;=01_因子設定!$L$7-0.000000001,F2783&lt;=01_因子設定!$M$7+0.000000001,IF(01_因子設定!$B$20="Box-Behnken",D2783^2+E2783^2+F2783^2&lt;=2+0.000000001,TRUE()))</f>
        <v>1</v>
      </c>
      <c r="W2783" s="55" t="n">
        <f aca="false">IF(V2783,IF(01_因子設定!$B$13="最大化",T2783-01_因子設定!$B$14,IF(01_因子設定!$B$13="最小化",01_因子設定!$B$15-U2783,MIN(T2783-01_因子設定!$B$14,01_因子設定!$B$15-U2783))),-1E+030)</f>
        <v>-0.587926224957457</v>
      </c>
      <c r="X2783" s="55" t="n">
        <f aca="false">IF(V2783,IF(01_因子設定!$B$13="最大化",Q2783,IF(01_因子設定!$B$13="最小化",-Q2783,-ABS(Q2783-01_因子設定!$B$16))),-1E+030)</f>
        <v>48.8961647727273</v>
      </c>
      <c r="Y2783" s="55" t="n">
        <f aca="false">W2783+ROW()*0.000000001</f>
        <v>-0.587923441957457</v>
      </c>
      <c r="Z2783" s="55" t="n">
        <f aca="false">X2783+ROW()*0.000000001</f>
        <v>48.8961675557273</v>
      </c>
    </row>
    <row r="2784" customFormat="false" ht="15" hidden="false" customHeight="false" outlineLevel="0" collapsed="false">
      <c r="A2784" s="0" t="n">
        <v>9</v>
      </c>
      <c r="B2784" s="0" t="n">
        <v>10</v>
      </c>
      <c r="C2784" s="0" t="n">
        <v>8</v>
      </c>
      <c r="D2784" s="0" t="n">
        <f aca="false">-1+A2784*0.125</f>
        <v>0.125</v>
      </c>
      <c r="E2784" s="0" t="n">
        <f aca="false">-1+B2784*0.125</f>
        <v>0.25</v>
      </c>
      <c r="F2784" s="0" t="n">
        <f aca="false">-1+C2784*0.125</f>
        <v>0</v>
      </c>
      <c r="G2784" s="0" t="n">
        <f aca="false">1</f>
        <v>1</v>
      </c>
      <c r="H2784" s="0" t="n">
        <f aca="false">D2784</f>
        <v>0.125</v>
      </c>
      <c r="I2784" s="0" t="n">
        <f aca="false">E2784</f>
        <v>0.25</v>
      </c>
      <c r="J2784" s="0" t="n">
        <f aca="false">F2784</f>
        <v>0</v>
      </c>
      <c r="K2784" s="0" t="n">
        <f aca="false">D2784*E2784</f>
        <v>0.03125</v>
      </c>
      <c r="L2784" s="0" t="n">
        <f aca="false">D2784*F2784</f>
        <v>0</v>
      </c>
      <c r="M2784" s="0" t="n">
        <f aca="false">E2784*F2784</f>
        <v>0</v>
      </c>
      <c r="N2784" s="0" t="n">
        <f aca="false">D2784*D2784</f>
        <v>0.015625</v>
      </c>
      <c r="O2784" s="0" t="n">
        <f aca="false">E2784*E2784</f>
        <v>0.0625</v>
      </c>
      <c r="P2784" s="0" t="n">
        <f aca="false">F2784*F2784</f>
        <v>0</v>
      </c>
      <c r="Q2784" s="0" t="n">
        <f aca="false">SUMPRODUCT(G2784:P2784,_XtX!$B$71:$K$71)</f>
        <v>49.0987784090909</v>
      </c>
      <c r="R2784" s="0" t="n">
        <f aca="false">SUMPRODUCT(MMULT(G2784:P2784,_XtX!$B$58:$K$67),G2784:P2784)</f>
        <v>0.120257013494318</v>
      </c>
      <c r="S2784" s="0" t="n">
        <f aca="false">04_回帰ANOVA!$K$19*04_回帰ANOVA!$K$14*SQRT(1+R2784)</f>
        <v>0.984068820741811</v>
      </c>
      <c r="T2784" s="0" t="n">
        <f aca="false">Q2784-S2784</f>
        <v>48.1147095883491</v>
      </c>
      <c r="U2784" s="0" t="n">
        <f aca="false">Q2784+S2784</f>
        <v>50.0828472298327</v>
      </c>
      <c r="V2784" s="54" t="b">
        <f aca="false">AND(D2784&gt;=01_因子設定!$L$5-0.000000001,D2784&lt;=01_因子設定!$M$5+0.000000001,E2784&gt;=01_因子設定!$L$6-0.000000001,E2784&lt;=01_因子設定!$M$6+0.000000001,F2784&gt;=01_因子設定!$L$7-0.000000001,F2784&lt;=01_因子設定!$M$7+0.000000001,IF(01_因子設定!$B$20="Box-Behnken",D2784^2+E2784^2+F2784^2&lt;=2+0.000000001,TRUE()))</f>
        <v>1</v>
      </c>
      <c r="W2784" s="55" t="n">
        <f aca="false">IF(V2784,IF(01_因子設定!$B$13="最大化",T2784-01_因子設定!$B$14,IF(01_因子設定!$B$13="最小化",01_因子設定!$B$15-U2784,MIN(T2784-01_因子設定!$B$14,01_因子設定!$B$15-U2784))),-1E+030)</f>
        <v>-0.385290411650892</v>
      </c>
      <c r="X2784" s="55" t="n">
        <f aca="false">IF(V2784,IF(01_因子設定!$B$13="最大化",Q2784,IF(01_因子設定!$B$13="最小化",-Q2784,-ABS(Q2784-01_因子設定!$B$16))),-1E+030)</f>
        <v>49.0987784090909</v>
      </c>
      <c r="Y2784" s="55" t="n">
        <f aca="false">W2784+ROW()*0.000000001</f>
        <v>-0.385287627650892</v>
      </c>
      <c r="Z2784" s="55" t="n">
        <f aca="false">X2784+ROW()*0.000000001</f>
        <v>49.0987811930909</v>
      </c>
    </row>
    <row r="2785" customFormat="false" ht="15" hidden="false" customHeight="false" outlineLevel="0" collapsed="false">
      <c r="A2785" s="0" t="n">
        <v>9</v>
      </c>
      <c r="B2785" s="0" t="n">
        <v>10</v>
      </c>
      <c r="C2785" s="0" t="n">
        <v>9</v>
      </c>
      <c r="D2785" s="0" t="n">
        <f aca="false">-1+A2785*0.125</f>
        <v>0.125</v>
      </c>
      <c r="E2785" s="0" t="n">
        <f aca="false">-1+B2785*0.125</f>
        <v>0.25</v>
      </c>
      <c r="F2785" s="0" t="n">
        <f aca="false">-1+C2785*0.125</f>
        <v>0.125</v>
      </c>
      <c r="G2785" s="0" t="n">
        <f aca="false">1</f>
        <v>1</v>
      </c>
      <c r="H2785" s="0" t="n">
        <f aca="false">D2785</f>
        <v>0.125</v>
      </c>
      <c r="I2785" s="0" t="n">
        <f aca="false">E2785</f>
        <v>0.25</v>
      </c>
      <c r="J2785" s="0" t="n">
        <f aca="false">F2785</f>
        <v>0.125</v>
      </c>
      <c r="K2785" s="0" t="n">
        <f aca="false">D2785*E2785</f>
        <v>0.03125</v>
      </c>
      <c r="L2785" s="0" t="n">
        <f aca="false">D2785*F2785</f>
        <v>0.015625</v>
      </c>
      <c r="M2785" s="0" t="n">
        <f aca="false">E2785*F2785</f>
        <v>0.03125</v>
      </c>
      <c r="N2785" s="0" t="n">
        <f aca="false">D2785*D2785</f>
        <v>0.015625</v>
      </c>
      <c r="O2785" s="0" t="n">
        <f aca="false">E2785*E2785</f>
        <v>0.0625</v>
      </c>
      <c r="P2785" s="0" t="n">
        <f aca="false">F2785*F2785</f>
        <v>0.015625</v>
      </c>
      <c r="Q2785" s="0" t="n">
        <f aca="false">SUMPRODUCT(G2785:P2785,_XtX!$B$71:$K$71)</f>
        <v>49.2646022727273</v>
      </c>
      <c r="R2785" s="0" t="n">
        <f aca="false">SUMPRODUCT(MMULT(G2785:P2785,_XtX!$B$58:$K$67),G2785:P2785)</f>
        <v>0.120307506214489</v>
      </c>
      <c r="S2785" s="0" t="n">
        <f aca="false">04_回帰ANOVA!$K$19*04_回帰ANOVA!$K$14*SQRT(1+R2785)</f>
        <v>0.984090997684742</v>
      </c>
      <c r="T2785" s="0" t="n">
        <f aca="false">Q2785-S2785</f>
        <v>48.2805112750425</v>
      </c>
      <c r="U2785" s="0" t="n">
        <f aca="false">Q2785+S2785</f>
        <v>50.248693270412</v>
      </c>
      <c r="V2785" s="54" t="b">
        <f aca="false">AND(D2785&gt;=01_因子設定!$L$5-0.000000001,D2785&lt;=01_因子設定!$M$5+0.000000001,E2785&gt;=01_因子設定!$L$6-0.000000001,E2785&lt;=01_因子設定!$M$6+0.000000001,F2785&gt;=01_因子設定!$L$7-0.000000001,F2785&lt;=01_因子設定!$M$7+0.000000001,IF(01_因子設定!$B$20="Box-Behnken",D2785^2+E2785^2+F2785^2&lt;=2+0.000000001,TRUE()))</f>
        <v>1</v>
      </c>
      <c r="W2785" s="55" t="n">
        <f aca="false">IF(V2785,IF(01_因子設定!$B$13="最大化",T2785-01_因子設定!$B$14,IF(01_因子設定!$B$13="最小化",01_因子設定!$B$15-U2785,MIN(T2785-01_因子設定!$B$14,01_因子設定!$B$15-U2785))),-1E+030)</f>
        <v>-0.219488724957458</v>
      </c>
      <c r="X2785" s="55" t="n">
        <f aca="false">IF(V2785,IF(01_因子設定!$B$13="最大化",Q2785,IF(01_因子設定!$B$13="最小化",-Q2785,-ABS(Q2785-01_因子設定!$B$16))),-1E+030)</f>
        <v>49.2646022727273</v>
      </c>
      <c r="Y2785" s="55" t="n">
        <f aca="false">W2785+ROW()*0.000000001</f>
        <v>-0.219485939957458</v>
      </c>
      <c r="Z2785" s="55" t="n">
        <f aca="false">X2785+ROW()*0.000000001</f>
        <v>49.2646050577273</v>
      </c>
    </row>
    <row r="2786" customFormat="false" ht="15" hidden="false" customHeight="false" outlineLevel="0" collapsed="false">
      <c r="A2786" s="0" t="n">
        <v>9</v>
      </c>
      <c r="B2786" s="0" t="n">
        <v>10</v>
      </c>
      <c r="C2786" s="0" t="n">
        <v>10</v>
      </c>
      <c r="D2786" s="0" t="n">
        <f aca="false">-1+A2786*0.125</f>
        <v>0.125</v>
      </c>
      <c r="E2786" s="0" t="n">
        <f aca="false">-1+B2786*0.125</f>
        <v>0.25</v>
      </c>
      <c r="F2786" s="0" t="n">
        <f aca="false">-1+C2786*0.125</f>
        <v>0.25</v>
      </c>
      <c r="G2786" s="0" t="n">
        <f aca="false">1</f>
        <v>1</v>
      </c>
      <c r="H2786" s="0" t="n">
        <f aca="false">D2786</f>
        <v>0.125</v>
      </c>
      <c r="I2786" s="0" t="n">
        <f aca="false">E2786</f>
        <v>0.25</v>
      </c>
      <c r="J2786" s="0" t="n">
        <f aca="false">F2786</f>
        <v>0.25</v>
      </c>
      <c r="K2786" s="0" t="n">
        <f aca="false">D2786*E2786</f>
        <v>0.03125</v>
      </c>
      <c r="L2786" s="0" t="n">
        <f aca="false">D2786*F2786</f>
        <v>0.03125</v>
      </c>
      <c r="M2786" s="0" t="n">
        <f aca="false">E2786*F2786</f>
        <v>0.0625</v>
      </c>
      <c r="N2786" s="0" t="n">
        <f aca="false">D2786*D2786</f>
        <v>0.015625</v>
      </c>
      <c r="O2786" s="0" t="n">
        <f aca="false">E2786*E2786</f>
        <v>0.0625</v>
      </c>
      <c r="P2786" s="0" t="n">
        <f aca="false">F2786*F2786</f>
        <v>0.0625</v>
      </c>
      <c r="Q2786" s="0" t="n">
        <f aca="false">SUMPRODUCT(G2786:P2786,_XtX!$B$71:$K$71)</f>
        <v>49.3936363636364</v>
      </c>
      <c r="R2786" s="0" t="n">
        <f aca="false">SUMPRODUCT(MMULT(G2786:P2786,_XtX!$B$58:$K$67),G2786:P2786)</f>
        <v>0.121524325284091</v>
      </c>
      <c r="S2786" s="0" t="n">
        <f aca="false">04_回帰ANOVA!$K$19*04_回帰ANOVA!$K$14*SQRT(1+R2786)</f>
        <v>0.984625286577447</v>
      </c>
      <c r="T2786" s="0" t="n">
        <f aca="false">Q2786-S2786</f>
        <v>48.4090110770589</v>
      </c>
      <c r="U2786" s="0" t="n">
        <f aca="false">Q2786+S2786</f>
        <v>50.3782616502138</v>
      </c>
      <c r="V2786" s="54" t="b">
        <f aca="false">AND(D2786&gt;=01_因子設定!$L$5-0.000000001,D2786&lt;=01_因子設定!$M$5+0.000000001,E2786&gt;=01_因子設定!$L$6-0.000000001,E2786&lt;=01_因子設定!$M$6+0.000000001,F2786&gt;=01_因子設定!$L$7-0.000000001,F2786&lt;=01_因子設定!$M$7+0.000000001,IF(01_因子設定!$B$20="Box-Behnken",D2786^2+E2786^2+F2786^2&lt;=2+0.000000001,TRUE()))</f>
        <v>1</v>
      </c>
      <c r="W2786" s="55" t="n">
        <f aca="false">IF(V2786,IF(01_因子設定!$B$13="最大化",T2786-01_因子設定!$B$14,IF(01_因子設定!$B$13="最小化",01_因子設定!$B$15-U2786,MIN(T2786-01_因子設定!$B$14,01_因子設定!$B$15-U2786))),-1E+030)</f>
        <v>-0.0909889229410723</v>
      </c>
      <c r="X2786" s="55" t="n">
        <f aca="false">IF(V2786,IF(01_因子設定!$B$13="最大化",Q2786,IF(01_因子設定!$B$13="最小化",-Q2786,-ABS(Q2786-01_因子設定!$B$16))),-1E+030)</f>
        <v>49.3936363636364</v>
      </c>
      <c r="Y2786" s="55" t="n">
        <f aca="false">W2786+ROW()*0.000000001</f>
        <v>-0.0909861369410723</v>
      </c>
      <c r="Z2786" s="55" t="n">
        <f aca="false">X2786+ROW()*0.000000001</f>
        <v>49.3936391496364</v>
      </c>
    </row>
    <row r="2787" customFormat="false" ht="15" hidden="false" customHeight="false" outlineLevel="0" collapsed="false">
      <c r="A2787" s="0" t="n">
        <v>9</v>
      </c>
      <c r="B2787" s="0" t="n">
        <v>10</v>
      </c>
      <c r="C2787" s="0" t="n">
        <v>11</v>
      </c>
      <c r="D2787" s="0" t="n">
        <f aca="false">-1+A2787*0.125</f>
        <v>0.125</v>
      </c>
      <c r="E2787" s="0" t="n">
        <f aca="false">-1+B2787*0.125</f>
        <v>0.25</v>
      </c>
      <c r="F2787" s="0" t="n">
        <f aca="false">-1+C2787*0.125</f>
        <v>0.375</v>
      </c>
      <c r="G2787" s="0" t="n">
        <f aca="false">1</f>
        <v>1</v>
      </c>
      <c r="H2787" s="0" t="n">
        <f aca="false">D2787</f>
        <v>0.125</v>
      </c>
      <c r="I2787" s="0" t="n">
        <f aca="false">E2787</f>
        <v>0.25</v>
      </c>
      <c r="J2787" s="0" t="n">
        <f aca="false">F2787</f>
        <v>0.375</v>
      </c>
      <c r="K2787" s="0" t="n">
        <f aca="false">D2787*E2787</f>
        <v>0.03125</v>
      </c>
      <c r="L2787" s="0" t="n">
        <f aca="false">D2787*F2787</f>
        <v>0.046875</v>
      </c>
      <c r="M2787" s="0" t="n">
        <f aca="false">E2787*F2787</f>
        <v>0.09375</v>
      </c>
      <c r="N2787" s="0" t="n">
        <f aca="false">D2787*D2787</f>
        <v>0.015625</v>
      </c>
      <c r="O2787" s="0" t="n">
        <f aca="false">E2787*E2787</f>
        <v>0.0625</v>
      </c>
      <c r="P2787" s="0" t="n">
        <f aca="false">F2787*F2787</f>
        <v>0.140625</v>
      </c>
      <c r="Q2787" s="0" t="n">
        <f aca="false">SUMPRODUCT(G2787:P2787,_XtX!$B$71:$K$71)</f>
        <v>49.4858806818182</v>
      </c>
      <c r="R2787" s="0" t="n">
        <f aca="false">SUMPRODUCT(MMULT(G2787:P2787,_XtX!$B$58:$K$67),G2787:P2787)</f>
        <v>0.127103493430398</v>
      </c>
      <c r="S2787" s="0" t="n">
        <f aca="false">04_回帰ANOVA!$K$19*04_回帰ANOVA!$K$14*SQRT(1+R2787)</f>
        <v>0.987071321387587</v>
      </c>
      <c r="T2787" s="0" t="n">
        <f aca="false">Q2787-S2787</f>
        <v>48.4988093604306</v>
      </c>
      <c r="U2787" s="0" t="n">
        <f aca="false">Q2787+S2787</f>
        <v>50.4729520032058</v>
      </c>
      <c r="V2787" s="54" t="b">
        <f aca="false">AND(D2787&gt;=01_因子設定!$L$5-0.000000001,D2787&lt;=01_因子設定!$M$5+0.000000001,E2787&gt;=01_因子設定!$L$6-0.000000001,E2787&lt;=01_因子設定!$M$6+0.000000001,F2787&gt;=01_因子設定!$L$7-0.000000001,F2787&lt;=01_因子設定!$M$7+0.000000001,IF(01_因子設定!$B$20="Box-Behnken",D2787^2+E2787^2+F2787^2&lt;=2+0.000000001,TRUE()))</f>
        <v>1</v>
      </c>
      <c r="W2787" s="55" t="n">
        <f aca="false">IF(V2787,IF(01_因子設定!$B$13="最大化",T2787-01_因子設定!$B$14,IF(01_因子設定!$B$13="最小化",01_因子設定!$B$15-U2787,MIN(T2787-01_因子設定!$B$14,01_因子設定!$B$15-U2787))),-1E+030)</f>
        <v>-0.00119063956939414</v>
      </c>
      <c r="X2787" s="55" t="n">
        <f aca="false">IF(V2787,IF(01_因子設定!$B$13="最大化",Q2787,IF(01_因子設定!$B$13="最小化",-Q2787,-ABS(Q2787-01_因子設定!$B$16))),-1E+030)</f>
        <v>49.4858806818182</v>
      </c>
      <c r="Y2787" s="55" t="n">
        <f aca="false">W2787+ROW()*0.000000001</f>
        <v>-0.00118785256939414</v>
      </c>
      <c r="Z2787" s="55" t="n">
        <f aca="false">X2787+ROW()*0.000000001</f>
        <v>49.4858834688182</v>
      </c>
    </row>
    <row r="2788" customFormat="false" ht="15" hidden="false" customHeight="false" outlineLevel="0" collapsed="false">
      <c r="A2788" s="0" t="n">
        <v>9</v>
      </c>
      <c r="B2788" s="0" t="n">
        <v>10</v>
      </c>
      <c r="C2788" s="0" t="n">
        <v>12</v>
      </c>
      <c r="D2788" s="0" t="n">
        <f aca="false">-1+A2788*0.125</f>
        <v>0.125</v>
      </c>
      <c r="E2788" s="0" t="n">
        <f aca="false">-1+B2788*0.125</f>
        <v>0.25</v>
      </c>
      <c r="F2788" s="0" t="n">
        <f aca="false">-1+C2788*0.125</f>
        <v>0.5</v>
      </c>
      <c r="G2788" s="0" t="n">
        <f aca="false">1</f>
        <v>1</v>
      </c>
      <c r="H2788" s="0" t="n">
        <f aca="false">D2788</f>
        <v>0.125</v>
      </c>
      <c r="I2788" s="0" t="n">
        <f aca="false">E2788</f>
        <v>0.25</v>
      </c>
      <c r="J2788" s="0" t="n">
        <f aca="false">F2788</f>
        <v>0.5</v>
      </c>
      <c r="K2788" s="0" t="n">
        <f aca="false">D2788*E2788</f>
        <v>0.03125</v>
      </c>
      <c r="L2788" s="0" t="n">
        <f aca="false">D2788*F2788</f>
        <v>0.0625</v>
      </c>
      <c r="M2788" s="0" t="n">
        <f aca="false">E2788*F2788</f>
        <v>0.125</v>
      </c>
      <c r="N2788" s="0" t="n">
        <f aca="false">D2788*D2788</f>
        <v>0.015625</v>
      </c>
      <c r="O2788" s="0" t="n">
        <f aca="false">E2788*E2788</f>
        <v>0.0625</v>
      </c>
      <c r="P2788" s="0" t="n">
        <f aca="false">F2788*F2788</f>
        <v>0.25</v>
      </c>
      <c r="Q2788" s="0" t="n">
        <f aca="false">SUMPRODUCT(G2788:P2788,_XtX!$B$71:$K$71)</f>
        <v>49.5413352272727</v>
      </c>
      <c r="R2788" s="0" t="n">
        <f aca="false">SUMPRODUCT(MMULT(G2788:P2788,_XtX!$B$58:$K$67),G2788:P2788)</f>
        <v>0.142371715198864</v>
      </c>
      <c r="S2788" s="0" t="n">
        <f aca="false">04_回帰ANOVA!$K$19*04_回帰ANOVA!$K$14*SQRT(1+R2788)</f>
        <v>0.99373447511735</v>
      </c>
      <c r="T2788" s="0" t="n">
        <f aca="false">Q2788-S2788</f>
        <v>48.5476007521554</v>
      </c>
      <c r="U2788" s="0" t="n">
        <f aca="false">Q2788+S2788</f>
        <v>50.5350697023901</v>
      </c>
      <c r="V2788" s="54" t="b">
        <f aca="false">AND(D2788&gt;=01_因子設定!$L$5-0.000000001,D2788&lt;=01_因子設定!$M$5+0.000000001,E2788&gt;=01_因子設定!$L$6-0.000000001,E2788&lt;=01_因子設定!$M$6+0.000000001,F2788&gt;=01_因子設定!$L$7-0.000000001,F2788&lt;=01_因子設定!$M$7+0.000000001,IF(01_因子設定!$B$20="Box-Behnken",D2788^2+E2788^2+F2788^2&lt;=2+0.000000001,TRUE()))</f>
        <v>1</v>
      </c>
      <c r="W2788" s="55" t="n">
        <f aca="false">IF(V2788,IF(01_因子設定!$B$13="最大化",T2788-01_因子設定!$B$14,IF(01_因子設定!$B$13="最小化",01_因子設定!$B$15-U2788,MIN(T2788-01_因子設定!$B$14,01_因子設定!$B$15-U2788))),-1E+030)</f>
        <v>0.0476007521553896</v>
      </c>
      <c r="X2788" s="55" t="n">
        <f aca="false">IF(V2788,IF(01_因子設定!$B$13="最大化",Q2788,IF(01_因子設定!$B$13="最小化",-Q2788,-ABS(Q2788-01_因子設定!$B$16))),-1E+030)</f>
        <v>49.5413352272727</v>
      </c>
      <c r="Y2788" s="55" t="n">
        <f aca="false">W2788+ROW()*0.000000001</f>
        <v>0.0476035401553896</v>
      </c>
      <c r="Z2788" s="55" t="n">
        <f aca="false">X2788+ROW()*0.000000001</f>
        <v>49.5413380152727</v>
      </c>
    </row>
    <row r="2789" customFormat="false" ht="15" hidden="false" customHeight="false" outlineLevel="0" collapsed="false">
      <c r="A2789" s="0" t="n">
        <v>9</v>
      </c>
      <c r="B2789" s="0" t="n">
        <v>10</v>
      </c>
      <c r="C2789" s="0" t="n">
        <v>13</v>
      </c>
      <c r="D2789" s="0" t="n">
        <f aca="false">-1+A2789*0.125</f>
        <v>0.125</v>
      </c>
      <c r="E2789" s="0" t="n">
        <f aca="false">-1+B2789*0.125</f>
        <v>0.25</v>
      </c>
      <c r="F2789" s="0" t="n">
        <f aca="false">-1+C2789*0.125</f>
        <v>0.625</v>
      </c>
      <c r="G2789" s="0" t="n">
        <f aca="false">1</f>
        <v>1</v>
      </c>
      <c r="H2789" s="0" t="n">
        <f aca="false">D2789</f>
        <v>0.125</v>
      </c>
      <c r="I2789" s="0" t="n">
        <f aca="false">E2789</f>
        <v>0.25</v>
      </c>
      <c r="J2789" s="0" t="n">
        <f aca="false">F2789</f>
        <v>0.625</v>
      </c>
      <c r="K2789" s="0" t="n">
        <f aca="false">D2789*E2789</f>
        <v>0.03125</v>
      </c>
      <c r="L2789" s="0" t="n">
        <f aca="false">D2789*F2789</f>
        <v>0.078125</v>
      </c>
      <c r="M2789" s="0" t="n">
        <f aca="false">E2789*F2789</f>
        <v>0.15625</v>
      </c>
      <c r="N2789" s="0" t="n">
        <f aca="false">D2789*D2789</f>
        <v>0.015625</v>
      </c>
      <c r="O2789" s="0" t="n">
        <f aca="false">E2789*E2789</f>
        <v>0.0625</v>
      </c>
      <c r="P2789" s="0" t="n">
        <f aca="false">F2789*F2789</f>
        <v>0.390625</v>
      </c>
      <c r="Q2789" s="0" t="n">
        <f aca="false">SUMPRODUCT(G2789:P2789,_XtX!$B$71:$K$71)</f>
        <v>49.56</v>
      </c>
      <c r="R2789" s="0" t="n">
        <f aca="false">SUMPRODUCT(MMULT(G2789:P2789,_XtX!$B$58:$K$67),G2789:P2789)</f>
        <v>0.174786376953125</v>
      </c>
      <c r="S2789" s="0" t="n">
        <f aca="false">04_回帰ANOVA!$K$19*04_回帰ANOVA!$K$14*SQRT(1+R2789)</f>
        <v>1.00773440704286</v>
      </c>
      <c r="T2789" s="0" t="n">
        <f aca="false">Q2789-S2789</f>
        <v>48.5522655929572</v>
      </c>
      <c r="U2789" s="0" t="n">
        <f aca="false">Q2789+S2789</f>
        <v>50.5677344070429</v>
      </c>
      <c r="V2789" s="54" t="b">
        <f aca="false">AND(D2789&gt;=01_因子設定!$L$5-0.000000001,D2789&lt;=01_因子設定!$M$5+0.000000001,E2789&gt;=01_因子設定!$L$6-0.000000001,E2789&lt;=01_因子設定!$M$6+0.000000001,F2789&gt;=01_因子設定!$L$7-0.000000001,F2789&lt;=01_因子設定!$M$7+0.000000001,IF(01_因子設定!$B$20="Box-Behnken",D2789^2+E2789^2+F2789^2&lt;=2+0.000000001,TRUE()))</f>
        <v>1</v>
      </c>
      <c r="W2789" s="55" t="n">
        <f aca="false">IF(V2789,IF(01_因子設定!$B$13="最大化",T2789-01_因子設定!$B$14,IF(01_因子設定!$B$13="最小化",01_因子設定!$B$15-U2789,MIN(T2789-01_因子設定!$B$14,01_因子設定!$B$15-U2789))),-1E+030)</f>
        <v>0.0522655929571556</v>
      </c>
      <c r="X2789" s="55" t="n">
        <f aca="false">IF(V2789,IF(01_因子設定!$B$13="最大化",Q2789,IF(01_因子設定!$B$13="最小化",-Q2789,-ABS(Q2789-01_因子設定!$B$16))),-1E+030)</f>
        <v>49.56</v>
      </c>
      <c r="Y2789" s="55" t="n">
        <f aca="false">W2789+ROW()*0.000000001</f>
        <v>0.0522683819571556</v>
      </c>
      <c r="Z2789" s="55" t="n">
        <f aca="false">X2789+ROW()*0.000000001</f>
        <v>49.560002789</v>
      </c>
    </row>
    <row r="2790" customFormat="false" ht="15" hidden="false" customHeight="false" outlineLevel="0" collapsed="false">
      <c r="A2790" s="0" t="n">
        <v>9</v>
      </c>
      <c r="B2790" s="0" t="n">
        <v>10</v>
      </c>
      <c r="C2790" s="0" t="n">
        <v>14</v>
      </c>
      <c r="D2790" s="0" t="n">
        <f aca="false">-1+A2790*0.125</f>
        <v>0.125</v>
      </c>
      <c r="E2790" s="0" t="n">
        <f aca="false">-1+B2790*0.125</f>
        <v>0.25</v>
      </c>
      <c r="F2790" s="0" t="n">
        <f aca="false">-1+C2790*0.125</f>
        <v>0.75</v>
      </c>
      <c r="G2790" s="0" t="n">
        <f aca="false">1</f>
        <v>1</v>
      </c>
      <c r="H2790" s="0" t="n">
        <f aca="false">D2790</f>
        <v>0.125</v>
      </c>
      <c r="I2790" s="0" t="n">
        <f aca="false">E2790</f>
        <v>0.25</v>
      </c>
      <c r="J2790" s="0" t="n">
        <f aca="false">F2790</f>
        <v>0.75</v>
      </c>
      <c r="K2790" s="0" t="n">
        <f aca="false">D2790*E2790</f>
        <v>0.03125</v>
      </c>
      <c r="L2790" s="0" t="n">
        <f aca="false">D2790*F2790</f>
        <v>0.09375</v>
      </c>
      <c r="M2790" s="0" t="n">
        <f aca="false">E2790*F2790</f>
        <v>0.1875</v>
      </c>
      <c r="N2790" s="0" t="n">
        <f aca="false">D2790*D2790</f>
        <v>0.015625</v>
      </c>
      <c r="O2790" s="0" t="n">
        <f aca="false">E2790*E2790</f>
        <v>0.0625</v>
      </c>
      <c r="P2790" s="0" t="n">
        <f aca="false">F2790*F2790</f>
        <v>0.5625</v>
      </c>
      <c r="Q2790" s="0" t="n">
        <f aca="false">SUMPRODUCT(G2790:P2790,_XtX!$B$71:$K$71)</f>
        <v>49.541875</v>
      </c>
      <c r="R2790" s="0" t="n">
        <f aca="false">SUMPRODUCT(MMULT(G2790:P2790,_XtX!$B$58:$K$67),G2790:P2790)</f>
        <v>0.233935546875</v>
      </c>
      <c r="S2790" s="0" t="n">
        <f aca="false">04_回帰ANOVA!$K$19*04_回帰ANOVA!$K$14*SQRT(1+R2790)</f>
        <v>1.03279202033444</v>
      </c>
      <c r="T2790" s="0" t="n">
        <f aca="false">Q2790-S2790</f>
        <v>48.5090829796656</v>
      </c>
      <c r="U2790" s="0" t="n">
        <f aca="false">Q2790+S2790</f>
        <v>50.5746670203345</v>
      </c>
      <c r="V2790" s="54" t="b">
        <f aca="false">AND(D2790&gt;=01_因子設定!$L$5-0.000000001,D2790&lt;=01_因子設定!$M$5+0.000000001,E2790&gt;=01_因子設定!$L$6-0.000000001,E2790&lt;=01_因子設定!$M$6+0.000000001,F2790&gt;=01_因子設定!$L$7-0.000000001,F2790&lt;=01_因子設定!$M$7+0.000000001,IF(01_因子設定!$B$20="Box-Behnken",D2790^2+E2790^2+F2790^2&lt;=2+0.000000001,TRUE()))</f>
        <v>1</v>
      </c>
      <c r="W2790" s="55" t="n">
        <f aca="false">IF(V2790,IF(01_因子設定!$B$13="最大化",T2790-01_因子設定!$B$14,IF(01_因子設定!$B$13="最小化",01_因子設定!$B$15-U2790,MIN(T2790-01_因子設定!$B$14,01_因子設定!$B$15-U2790))),-1E+030)</f>
        <v>0.00908297966557825</v>
      </c>
      <c r="X2790" s="55" t="n">
        <f aca="false">IF(V2790,IF(01_因子設定!$B$13="最大化",Q2790,IF(01_因子設定!$B$13="最小化",-Q2790,-ABS(Q2790-01_因子設定!$B$16))),-1E+030)</f>
        <v>49.541875</v>
      </c>
      <c r="Y2790" s="55" t="n">
        <f aca="false">W2790+ROW()*0.000000001</f>
        <v>0.00908576966557825</v>
      </c>
      <c r="Z2790" s="55" t="n">
        <f aca="false">X2790+ROW()*0.000000001</f>
        <v>49.54187779</v>
      </c>
    </row>
    <row r="2791" customFormat="false" ht="15" hidden="false" customHeight="false" outlineLevel="0" collapsed="false">
      <c r="A2791" s="0" t="n">
        <v>9</v>
      </c>
      <c r="B2791" s="0" t="n">
        <v>10</v>
      </c>
      <c r="C2791" s="0" t="n">
        <v>15</v>
      </c>
      <c r="D2791" s="0" t="n">
        <f aca="false">-1+A2791*0.125</f>
        <v>0.125</v>
      </c>
      <c r="E2791" s="0" t="n">
        <f aca="false">-1+B2791*0.125</f>
        <v>0.25</v>
      </c>
      <c r="F2791" s="0" t="n">
        <f aca="false">-1+C2791*0.125</f>
        <v>0.875</v>
      </c>
      <c r="G2791" s="0" t="n">
        <f aca="false">1</f>
        <v>1</v>
      </c>
      <c r="H2791" s="0" t="n">
        <f aca="false">D2791</f>
        <v>0.125</v>
      </c>
      <c r="I2791" s="0" t="n">
        <f aca="false">E2791</f>
        <v>0.25</v>
      </c>
      <c r="J2791" s="0" t="n">
        <f aca="false">F2791</f>
        <v>0.875</v>
      </c>
      <c r="K2791" s="0" t="n">
        <f aca="false">D2791*E2791</f>
        <v>0.03125</v>
      </c>
      <c r="L2791" s="0" t="n">
        <f aca="false">D2791*F2791</f>
        <v>0.109375</v>
      </c>
      <c r="M2791" s="0" t="n">
        <f aca="false">E2791*F2791</f>
        <v>0.21875</v>
      </c>
      <c r="N2791" s="0" t="n">
        <f aca="false">D2791*D2791</f>
        <v>0.015625</v>
      </c>
      <c r="O2791" s="0" t="n">
        <f aca="false">E2791*E2791</f>
        <v>0.0625</v>
      </c>
      <c r="P2791" s="0" t="n">
        <f aca="false">F2791*F2791</f>
        <v>0.765625</v>
      </c>
      <c r="Q2791" s="0" t="n">
        <f aca="false">SUMPRODUCT(G2791:P2791,_XtX!$B$71:$K$71)</f>
        <v>49.4869602272728</v>
      </c>
      <c r="R2791" s="0" t="n">
        <f aca="false">SUMPRODUCT(MMULT(G2791:P2791,_XtX!$B$58:$K$67),G2791:P2791)</f>
        <v>0.331537974964489</v>
      </c>
      <c r="S2791" s="0" t="n">
        <f aca="false">04_回帰ANOVA!$K$19*04_回帰ANOVA!$K$14*SQRT(1+R2791)</f>
        <v>1.07286089161565</v>
      </c>
      <c r="T2791" s="0" t="n">
        <f aca="false">Q2791-S2791</f>
        <v>48.4140993356571</v>
      </c>
      <c r="U2791" s="0" t="n">
        <f aca="false">Q2791+S2791</f>
        <v>50.5598211188884</v>
      </c>
      <c r="V2791" s="54" t="b">
        <f aca="false">AND(D2791&gt;=01_因子設定!$L$5-0.000000001,D2791&lt;=01_因子設定!$M$5+0.000000001,E2791&gt;=01_因子設定!$L$6-0.000000001,E2791&lt;=01_因子設定!$M$6+0.000000001,F2791&gt;=01_因子設定!$L$7-0.000000001,F2791&lt;=01_因子設定!$M$7+0.000000001,IF(01_因子設定!$B$20="Box-Behnken",D2791^2+E2791^2+F2791^2&lt;=2+0.000000001,TRUE()))</f>
        <v>1</v>
      </c>
      <c r="W2791" s="55" t="n">
        <f aca="false">IF(V2791,IF(01_因子設定!$B$13="最大化",T2791-01_因子設定!$B$14,IF(01_因子設定!$B$13="最小化",01_因子設定!$B$15-U2791,MIN(T2791-01_因子設定!$B$14,01_因子設定!$B$15-U2791))),-1E+030)</f>
        <v>-0.0859006643429012</v>
      </c>
      <c r="X2791" s="55" t="n">
        <f aca="false">IF(V2791,IF(01_因子設定!$B$13="最大化",Q2791,IF(01_因子設定!$B$13="最小化",-Q2791,-ABS(Q2791-01_因子設定!$B$16))),-1E+030)</f>
        <v>49.4869602272728</v>
      </c>
      <c r="Y2791" s="55" t="n">
        <f aca="false">W2791+ROW()*0.000000001</f>
        <v>-0.0858978733429012</v>
      </c>
      <c r="Z2791" s="55" t="n">
        <f aca="false">X2791+ROW()*0.000000001</f>
        <v>49.4869630182728</v>
      </c>
    </row>
    <row r="2792" customFormat="false" ht="15" hidden="false" customHeight="false" outlineLevel="0" collapsed="false">
      <c r="A2792" s="0" t="n">
        <v>9</v>
      </c>
      <c r="B2792" s="0" t="n">
        <v>10</v>
      </c>
      <c r="C2792" s="0" t="n">
        <v>16</v>
      </c>
      <c r="D2792" s="0" t="n">
        <f aca="false">-1+A2792*0.125</f>
        <v>0.125</v>
      </c>
      <c r="E2792" s="0" t="n">
        <f aca="false">-1+B2792*0.125</f>
        <v>0.25</v>
      </c>
      <c r="F2792" s="0" t="n">
        <f aca="false">-1+C2792*0.125</f>
        <v>1</v>
      </c>
      <c r="G2792" s="0" t="n">
        <f aca="false">1</f>
        <v>1</v>
      </c>
      <c r="H2792" s="0" t="n">
        <f aca="false">D2792</f>
        <v>0.125</v>
      </c>
      <c r="I2792" s="0" t="n">
        <f aca="false">E2792</f>
        <v>0.25</v>
      </c>
      <c r="J2792" s="0" t="n">
        <f aca="false">F2792</f>
        <v>1</v>
      </c>
      <c r="K2792" s="0" t="n">
        <f aca="false">D2792*E2792</f>
        <v>0.03125</v>
      </c>
      <c r="L2792" s="0" t="n">
        <f aca="false">D2792*F2792</f>
        <v>0.125</v>
      </c>
      <c r="M2792" s="0" t="n">
        <f aca="false">E2792*F2792</f>
        <v>0.25</v>
      </c>
      <c r="N2792" s="0" t="n">
        <f aca="false">D2792*D2792</f>
        <v>0.015625</v>
      </c>
      <c r="O2792" s="0" t="n">
        <f aca="false">E2792*E2792</f>
        <v>0.0625</v>
      </c>
      <c r="P2792" s="0" t="n">
        <f aca="false">F2792*F2792</f>
        <v>1</v>
      </c>
      <c r="Q2792" s="0" t="n">
        <f aca="false">SUMPRODUCT(G2792:P2792,_XtX!$B$71:$K$71)</f>
        <v>49.3952556818182</v>
      </c>
      <c r="R2792" s="0" t="n">
        <f aca="false">SUMPRODUCT(MMULT(G2792:P2792,_XtX!$B$58:$K$67),G2792:P2792)</f>
        <v>0.481443093039773</v>
      </c>
      <c r="S2792" s="0" t="n">
        <f aca="false">04_回帰ANOVA!$K$19*04_回帰ANOVA!$K$14*SQRT(1+R2792)</f>
        <v>1.13164216995877</v>
      </c>
      <c r="T2792" s="0" t="n">
        <f aca="false">Q2792-S2792</f>
        <v>48.2636135118595</v>
      </c>
      <c r="U2792" s="0" t="n">
        <f aca="false">Q2792+S2792</f>
        <v>50.526897851777</v>
      </c>
      <c r="V2792" s="54" t="b">
        <f aca="false">AND(D2792&gt;=01_因子設定!$L$5-0.000000001,D2792&lt;=01_因子設定!$M$5+0.000000001,E2792&gt;=01_因子設定!$L$6-0.000000001,E2792&lt;=01_因子設定!$M$6+0.000000001,F2792&gt;=01_因子設定!$L$7-0.000000001,F2792&lt;=01_因子設定!$M$7+0.000000001,IF(01_因子設定!$B$20="Box-Behnken",D2792^2+E2792^2+F2792^2&lt;=2+0.000000001,TRUE()))</f>
        <v>1</v>
      </c>
      <c r="W2792" s="55" t="n">
        <f aca="false">IF(V2792,IF(01_因子設定!$B$13="最大化",T2792-01_因子設定!$B$14,IF(01_因子設定!$B$13="最小化",01_因子設定!$B$15-U2792,MIN(T2792-01_因子設定!$B$14,01_因子設定!$B$15-U2792))),-1E+030)</f>
        <v>-0.236386488140553</v>
      </c>
      <c r="X2792" s="55" t="n">
        <f aca="false">IF(V2792,IF(01_因子設定!$B$13="最大化",Q2792,IF(01_因子設定!$B$13="最小化",-Q2792,-ABS(Q2792-01_因子設定!$B$16))),-1E+030)</f>
        <v>49.3952556818182</v>
      </c>
      <c r="Y2792" s="55" t="n">
        <f aca="false">W2792+ROW()*0.000000001</f>
        <v>-0.236383696140553</v>
      </c>
      <c r="Z2792" s="55" t="n">
        <f aca="false">X2792+ROW()*0.000000001</f>
        <v>49.3952584738182</v>
      </c>
    </row>
    <row r="2793" customFormat="false" ht="15" hidden="false" customHeight="false" outlineLevel="0" collapsed="false">
      <c r="A2793" s="0" t="n">
        <v>9</v>
      </c>
      <c r="B2793" s="0" t="n">
        <v>11</v>
      </c>
      <c r="C2793" s="0" t="n">
        <v>0</v>
      </c>
      <c r="D2793" s="0" t="n">
        <f aca="false">-1+A2793*0.125</f>
        <v>0.125</v>
      </c>
      <c r="E2793" s="0" t="n">
        <f aca="false">-1+B2793*0.125</f>
        <v>0.375</v>
      </c>
      <c r="F2793" s="0" t="n">
        <f aca="false">-1+C2793*0.125</f>
        <v>-1</v>
      </c>
      <c r="G2793" s="0" t="n">
        <f aca="false">1</f>
        <v>1</v>
      </c>
      <c r="H2793" s="0" t="n">
        <f aca="false">D2793</f>
        <v>0.125</v>
      </c>
      <c r="I2793" s="0" t="n">
        <f aca="false">E2793</f>
        <v>0.375</v>
      </c>
      <c r="J2793" s="0" t="n">
        <f aca="false">F2793</f>
        <v>-1</v>
      </c>
      <c r="K2793" s="0" t="n">
        <f aca="false">D2793*E2793</f>
        <v>0.046875</v>
      </c>
      <c r="L2793" s="0" t="n">
        <f aca="false">D2793*F2793</f>
        <v>-0.125</v>
      </c>
      <c r="M2793" s="0" t="n">
        <f aca="false">E2793*F2793</f>
        <v>-0.375</v>
      </c>
      <c r="N2793" s="0" t="n">
        <f aca="false">D2793*D2793</f>
        <v>0.015625</v>
      </c>
      <c r="O2793" s="0" t="n">
        <f aca="false">E2793*E2793</f>
        <v>0.140625</v>
      </c>
      <c r="P2793" s="0" t="n">
        <f aca="false">F2793*F2793</f>
        <v>1</v>
      </c>
      <c r="Q2793" s="0" t="n">
        <f aca="false">SUMPRODUCT(G2793:P2793,_XtX!$B$71:$K$71)</f>
        <v>46.511015625</v>
      </c>
      <c r="R2793" s="0" t="n">
        <f aca="false">SUMPRODUCT(MMULT(G2793:P2793,_XtX!$B$58:$K$67),G2793:P2793)</f>
        <v>0.476202392578125</v>
      </c>
      <c r="S2793" s="0" t="n">
        <f aca="false">04_回帰ANOVA!$K$19*04_回帰ANOVA!$K$14*SQRT(1+R2793)</f>
        <v>1.12963876802721</v>
      </c>
      <c r="T2793" s="0" t="n">
        <f aca="false">Q2793-S2793</f>
        <v>45.3813768569728</v>
      </c>
      <c r="U2793" s="0" t="n">
        <f aca="false">Q2793+S2793</f>
        <v>47.6406543930272</v>
      </c>
      <c r="V2793" s="54" t="b">
        <f aca="false">AND(D2793&gt;=01_因子設定!$L$5-0.000000001,D2793&lt;=01_因子設定!$M$5+0.000000001,E2793&gt;=01_因子設定!$L$6-0.000000001,E2793&lt;=01_因子設定!$M$6+0.000000001,F2793&gt;=01_因子設定!$L$7-0.000000001,F2793&lt;=01_因子設定!$M$7+0.000000001,IF(01_因子設定!$B$20="Box-Behnken",D2793^2+E2793^2+F2793^2&lt;=2+0.000000001,TRUE()))</f>
        <v>1</v>
      </c>
      <c r="W2793" s="55" t="n">
        <f aca="false">IF(V2793,IF(01_因子設定!$B$13="最大化",T2793-01_因子設定!$B$14,IF(01_因子設定!$B$13="最小化",01_因子設定!$B$15-U2793,MIN(T2793-01_因子設定!$B$14,01_因子設定!$B$15-U2793))),-1E+030)</f>
        <v>-3.11862314302718</v>
      </c>
      <c r="X2793" s="55" t="n">
        <f aca="false">IF(V2793,IF(01_因子設定!$B$13="最大化",Q2793,IF(01_因子設定!$B$13="最小化",-Q2793,-ABS(Q2793-01_因子設定!$B$16))),-1E+030)</f>
        <v>46.511015625</v>
      </c>
      <c r="Y2793" s="55" t="n">
        <f aca="false">W2793+ROW()*0.000000001</f>
        <v>-3.11862035002718</v>
      </c>
      <c r="Z2793" s="55" t="n">
        <f aca="false">X2793+ROW()*0.000000001</f>
        <v>46.511018418</v>
      </c>
    </row>
    <row r="2794" customFormat="false" ht="15" hidden="false" customHeight="false" outlineLevel="0" collapsed="false">
      <c r="A2794" s="0" t="n">
        <v>9</v>
      </c>
      <c r="B2794" s="0" t="n">
        <v>11</v>
      </c>
      <c r="C2794" s="0" t="n">
        <v>1</v>
      </c>
      <c r="D2794" s="0" t="n">
        <f aca="false">-1+A2794*0.125</f>
        <v>0.125</v>
      </c>
      <c r="E2794" s="0" t="n">
        <f aca="false">-1+B2794*0.125</f>
        <v>0.375</v>
      </c>
      <c r="F2794" s="0" t="n">
        <f aca="false">-1+C2794*0.125</f>
        <v>-0.875</v>
      </c>
      <c r="G2794" s="0" t="n">
        <f aca="false">1</f>
        <v>1</v>
      </c>
      <c r="H2794" s="0" t="n">
        <f aca="false">D2794</f>
        <v>0.125</v>
      </c>
      <c r="I2794" s="0" t="n">
        <f aca="false">E2794</f>
        <v>0.375</v>
      </c>
      <c r="J2794" s="0" t="n">
        <f aca="false">F2794</f>
        <v>-0.875</v>
      </c>
      <c r="K2794" s="0" t="n">
        <f aca="false">D2794*E2794</f>
        <v>0.046875</v>
      </c>
      <c r="L2794" s="0" t="n">
        <f aca="false">D2794*F2794</f>
        <v>-0.109375</v>
      </c>
      <c r="M2794" s="0" t="n">
        <f aca="false">E2794*F2794</f>
        <v>-0.328125</v>
      </c>
      <c r="N2794" s="0" t="n">
        <f aca="false">D2794*D2794</f>
        <v>0.015625</v>
      </c>
      <c r="O2794" s="0" t="n">
        <f aca="false">E2794*E2794</f>
        <v>0.140625</v>
      </c>
      <c r="P2794" s="0" t="n">
        <f aca="false">F2794*F2794</f>
        <v>0.765625</v>
      </c>
      <c r="Q2794" s="0" t="n">
        <f aca="false">SUMPRODUCT(G2794:P2794,_XtX!$B$71:$K$71)</f>
        <v>46.9781889204546</v>
      </c>
      <c r="R2794" s="0" t="n">
        <f aca="false">SUMPRODUCT(MMULT(G2794:P2794,_XtX!$B$58:$K$67),G2794:P2794)</f>
        <v>0.32900224165483</v>
      </c>
      <c r="S2794" s="0" t="n">
        <f aca="false">04_回帰ANOVA!$K$19*04_回帰ANOVA!$K$14*SQRT(1+R2794)</f>
        <v>1.07183884583628</v>
      </c>
      <c r="T2794" s="0" t="n">
        <f aca="false">Q2794-S2794</f>
        <v>45.9063500746183</v>
      </c>
      <c r="U2794" s="0" t="n">
        <f aca="false">Q2794+S2794</f>
        <v>48.0500277662909</v>
      </c>
      <c r="V2794" s="54" t="b">
        <f aca="false">AND(D2794&gt;=01_因子設定!$L$5-0.000000001,D2794&lt;=01_因子設定!$M$5+0.000000001,E2794&gt;=01_因子設定!$L$6-0.000000001,E2794&lt;=01_因子設定!$M$6+0.000000001,F2794&gt;=01_因子設定!$L$7-0.000000001,F2794&lt;=01_因子設定!$M$7+0.000000001,IF(01_因子設定!$B$20="Box-Behnken",D2794^2+E2794^2+F2794^2&lt;=2+0.000000001,TRUE()))</f>
        <v>1</v>
      </c>
      <c r="W2794" s="55" t="n">
        <f aca="false">IF(V2794,IF(01_因子設定!$B$13="最大化",T2794-01_因子設定!$B$14,IF(01_因子設定!$B$13="最小化",01_因子設定!$B$15-U2794,MIN(T2794-01_因子設定!$B$14,01_因子設定!$B$15-U2794))),-1E+030)</f>
        <v>-2.59364992538171</v>
      </c>
      <c r="X2794" s="55" t="n">
        <f aca="false">IF(V2794,IF(01_因子設定!$B$13="最大化",Q2794,IF(01_因子設定!$B$13="最小化",-Q2794,-ABS(Q2794-01_因子設定!$B$16))),-1E+030)</f>
        <v>46.9781889204546</v>
      </c>
      <c r="Y2794" s="55" t="n">
        <f aca="false">W2794+ROW()*0.000000001</f>
        <v>-2.59364713138171</v>
      </c>
      <c r="Z2794" s="55" t="n">
        <f aca="false">X2794+ROW()*0.000000001</f>
        <v>46.9781917144546</v>
      </c>
    </row>
    <row r="2795" customFormat="false" ht="15" hidden="false" customHeight="false" outlineLevel="0" collapsed="false">
      <c r="A2795" s="0" t="n">
        <v>9</v>
      </c>
      <c r="B2795" s="0" t="n">
        <v>11</v>
      </c>
      <c r="C2795" s="0" t="n">
        <v>2</v>
      </c>
      <c r="D2795" s="0" t="n">
        <f aca="false">-1+A2795*0.125</f>
        <v>0.125</v>
      </c>
      <c r="E2795" s="0" t="n">
        <f aca="false">-1+B2795*0.125</f>
        <v>0.375</v>
      </c>
      <c r="F2795" s="0" t="n">
        <f aca="false">-1+C2795*0.125</f>
        <v>-0.75</v>
      </c>
      <c r="G2795" s="0" t="n">
        <f aca="false">1</f>
        <v>1</v>
      </c>
      <c r="H2795" s="0" t="n">
        <f aca="false">D2795</f>
        <v>0.125</v>
      </c>
      <c r="I2795" s="0" t="n">
        <f aca="false">E2795</f>
        <v>0.375</v>
      </c>
      <c r="J2795" s="0" t="n">
        <f aca="false">F2795</f>
        <v>-0.75</v>
      </c>
      <c r="K2795" s="0" t="n">
        <f aca="false">D2795*E2795</f>
        <v>0.046875</v>
      </c>
      <c r="L2795" s="0" t="n">
        <f aca="false">D2795*F2795</f>
        <v>-0.09375</v>
      </c>
      <c r="M2795" s="0" t="n">
        <f aca="false">E2795*F2795</f>
        <v>-0.28125</v>
      </c>
      <c r="N2795" s="0" t="n">
        <f aca="false">D2795*D2795</f>
        <v>0.015625</v>
      </c>
      <c r="O2795" s="0" t="n">
        <f aca="false">E2795*E2795</f>
        <v>0.140625</v>
      </c>
      <c r="P2795" s="0" t="n">
        <f aca="false">F2795*F2795</f>
        <v>0.5625</v>
      </c>
      <c r="Q2795" s="0" t="n">
        <f aca="false">SUMPRODUCT(G2795:P2795,_XtX!$B$71:$K$71)</f>
        <v>47.4085724431818</v>
      </c>
      <c r="R2795" s="0" t="n">
        <f aca="false">SUMPRODUCT(MMULT(G2795:P2795,_XtX!$B$58:$K$67),G2795:P2795)</f>
        <v>0.233744118430398</v>
      </c>
      <c r="S2795" s="0" t="n">
        <f aca="false">04_回帰ANOVA!$K$19*04_回帰ANOVA!$K$14*SQRT(1+R2795)</f>
        <v>1.0327119053564</v>
      </c>
      <c r="T2795" s="0" t="n">
        <f aca="false">Q2795-S2795</f>
        <v>46.3758605378254</v>
      </c>
      <c r="U2795" s="0" t="n">
        <f aca="false">Q2795+S2795</f>
        <v>48.4412843485382</v>
      </c>
      <c r="V2795" s="54" t="b">
        <f aca="false">AND(D2795&gt;=01_因子設定!$L$5-0.000000001,D2795&lt;=01_因子設定!$M$5+0.000000001,E2795&gt;=01_因子設定!$L$6-0.000000001,E2795&lt;=01_因子設定!$M$6+0.000000001,F2795&gt;=01_因子設定!$L$7-0.000000001,F2795&lt;=01_因子設定!$M$7+0.000000001,IF(01_因子設定!$B$20="Box-Behnken",D2795^2+E2795^2+F2795^2&lt;=2+0.000000001,TRUE()))</f>
        <v>1</v>
      </c>
      <c r="W2795" s="55" t="n">
        <f aca="false">IF(V2795,IF(01_因子設定!$B$13="最大化",T2795-01_因子設定!$B$14,IF(01_因子設定!$B$13="最小化",01_因子設定!$B$15-U2795,MIN(T2795-01_因子設定!$B$14,01_因子設定!$B$15-U2795))),-1E+030)</f>
        <v>-2.12413946217456</v>
      </c>
      <c r="X2795" s="55" t="n">
        <f aca="false">IF(V2795,IF(01_因子設定!$B$13="最大化",Q2795,IF(01_因子設定!$B$13="最小化",-Q2795,-ABS(Q2795-01_因子設定!$B$16))),-1E+030)</f>
        <v>47.4085724431818</v>
      </c>
      <c r="Y2795" s="55" t="n">
        <f aca="false">W2795+ROW()*0.000000001</f>
        <v>-2.12413666717456</v>
      </c>
      <c r="Z2795" s="55" t="n">
        <f aca="false">X2795+ROW()*0.000000001</f>
        <v>47.4085752381818</v>
      </c>
    </row>
    <row r="2796" customFormat="false" ht="15" hidden="false" customHeight="false" outlineLevel="0" collapsed="false">
      <c r="A2796" s="0" t="n">
        <v>9</v>
      </c>
      <c r="B2796" s="0" t="n">
        <v>11</v>
      </c>
      <c r="C2796" s="0" t="n">
        <v>3</v>
      </c>
      <c r="D2796" s="0" t="n">
        <f aca="false">-1+A2796*0.125</f>
        <v>0.125</v>
      </c>
      <c r="E2796" s="0" t="n">
        <f aca="false">-1+B2796*0.125</f>
        <v>0.375</v>
      </c>
      <c r="F2796" s="0" t="n">
        <f aca="false">-1+C2796*0.125</f>
        <v>-0.625</v>
      </c>
      <c r="G2796" s="0" t="n">
        <f aca="false">1</f>
        <v>1</v>
      </c>
      <c r="H2796" s="0" t="n">
        <f aca="false">D2796</f>
        <v>0.125</v>
      </c>
      <c r="I2796" s="0" t="n">
        <f aca="false">E2796</f>
        <v>0.375</v>
      </c>
      <c r="J2796" s="0" t="n">
        <f aca="false">F2796</f>
        <v>-0.625</v>
      </c>
      <c r="K2796" s="0" t="n">
        <f aca="false">D2796*E2796</f>
        <v>0.046875</v>
      </c>
      <c r="L2796" s="0" t="n">
        <f aca="false">D2796*F2796</f>
        <v>-0.078125</v>
      </c>
      <c r="M2796" s="0" t="n">
        <f aca="false">E2796*F2796</f>
        <v>-0.234375</v>
      </c>
      <c r="N2796" s="0" t="n">
        <f aca="false">D2796*D2796</f>
        <v>0.015625</v>
      </c>
      <c r="O2796" s="0" t="n">
        <f aca="false">E2796*E2796</f>
        <v>0.140625</v>
      </c>
      <c r="P2796" s="0" t="n">
        <f aca="false">F2796*F2796</f>
        <v>0.390625</v>
      </c>
      <c r="Q2796" s="0" t="n">
        <f aca="false">SUMPRODUCT(G2796:P2796,_XtX!$B$71:$K$71)</f>
        <v>47.8021661931818</v>
      </c>
      <c r="R2796" s="0" t="n">
        <f aca="false">SUMPRODUCT(MMULT(G2796:P2796,_XtX!$B$58:$K$67),G2796:P2796)</f>
        <v>0.176578591086648</v>
      </c>
      <c r="S2796" s="0" t="n">
        <f aca="false">04_回帰ANOVA!$K$19*04_回帰ANOVA!$K$14*SQRT(1+R2796)</f>
        <v>1.00850279676269</v>
      </c>
      <c r="T2796" s="0" t="n">
        <f aca="false">Q2796-S2796</f>
        <v>46.7936633964191</v>
      </c>
      <c r="U2796" s="0" t="n">
        <f aca="false">Q2796+S2796</f>
        <v>48.8106689899445</v>
      </c>
      <c r="V2796" s="54" t="b">
        <f aca="false">AND(D2796&gt;=01_因子設定!$L$5-0.000000001,D2796&lt;=01_因子設定!$M$5+0.000000001,E2796&gt;=01_因子設定!$L$6-0.000000001,E2796&lt;=01_因子設定!$M$6+0.000000001,F2796&gt;=01_因子設定!$L$7-0.000000001,F2796&lt;=01_因子設定!$M$7+0.000000001,IF(01_因子設定!$B$20="Box-Behnken",D2796^2+E2796^2+F2796^2&lt;=2+0.000000001,TRUE()))</f>
        <v>1</v>
      </c>
      <c r="W2796" s="55" t="n">
        <f aca="false">IF(V2796,IF(01_因子設定!$B$13="最大化",T2796-01_因子設定!$B$14,IF(01_因子設定!$B$13="最小化",01_因子設定!$B$15-U2796,MIN(T2796-01_因子設定!$B$14,01_因子設定!$B$15-U2796))),-1E+030)</f>
        <v>-1.70633660358086</v>
      </c>
      <c r="X2796" s="55" t="n">
        <f aca="false">IF(V2796,IF(01_因子設定!$B$13="最大化",Q2796,IF(01_因子設定!$B$13="最小化",-Q2796,-ABS(Q2796-01_因子設定!$B$16))),-1E+030)</f>
        <v>47.8021661931818</v>
      </c>
      <c r="Y2796" s="55" t="n">
        <f aca="false">W2796+ROW()*0.000000001</f>
        <v>-1.70633380758086</v>
      </c>
      <c r="Z2796" s="55" t="n">
        <f aca="false">X2796+ROW()*0.000000001</f>
        <v>47.8021689891818</v>
      </c>
    </row>
    <row r="2797" customFormat="false" ht="15" hidden="false" customHeight="false" outlineLevel="0" collapsed="false">
      <c r="A2797" s="0" t="n">
        <v>9</v>
      </c>
      <c r="B2797" s="0" t="n">
        <v>11</v>
      </c>
      <c r="C2797" s="0" t="n">
        <v>4</v>
      </c>
      <c r="D2797" s="0" t="n">
        <f aca="false">-1+A2797*0.125</f>
        <v>0.125</v>
      </c>
      <c r="E2797" s="0" t="n">
        <f aca="false">-1+B2797*0.125</f>
        <v>0.375</v>
      </c>
      <c r="F2797" s="0" t="n">
        <f aca="false">-1+C2797*0.125</f>
        <v>-0.5</v>
      </c>
      <c r="G2797" s="0" t="n">
        <f aca="false">1</f>
        <v>1</v>
      </c>
      <c r="H2797" s="0" t="n">
        <f aca="false">D2797</f>
        <v>0.125</v>
      </c>
      <c r="I2797" s="0" t="n">
        <f aca="false">E2797</f>
        <v>0.375</v>
      </c>
      <c r="J2797" s="0" t="n">
        <f aca="false">F2797</f>
        <v>-0.5</v>
      </c>
      <c r="K2797" s="0" t="n">
        <f aca="false">D2797*E2797</f>
        <v>0.046875</v>
      </c>
      <c r="L2797" s="0" t="n">
        <f aca="false">D2797*F2797</f>
        <v>-0.0625</v>
      </c>
      <c r="M2797" s="0" t="n">
        <f aca="false">E2797*F2797</f>
        <v>-0.1875</v>
      </c>
      <c r="N2797" s="0" t="n">
        <f aca="false">D2797*D2797</f>
        <v>0.015625</v>
      </c>
      <c r="O2797" s="0" t="n">
        <f aca="false">E2797*E2797</f>
        <v>0.140625</v>
      </c>
      <c r="P2797" s="0" t="n">
        <f aca="false">F2797*F2797</f>
        <v>0.25</v>
      </c>
      <c r="Q2797" s="0" t="n">
        <f aca="false">SUMPRODUCT(G2797:P2797,_XtX!$B$71:$K$71)</f>
        <v>48.1589701704546</v>
      </c>
      <c r="R2797" s="0" t="n">
        <f aca="false">SUMPRODUCT(MMULT(G2797:P2797,_XtX!$B$58:$K$67),G2797:P2797)</f>
        <v>0.14578690962358</v>
      </c>
      <c r="S2797" s="0" t="n">
        <f aca="false">04_回帰ANOVA!$K$19*04_回帰ANOVA!$K$14*SQRT(1+R2797)</f>
        <v>0.995218783457917</v>
      </c>
      <c r="T2797" s="0" t="n">
        <f aca="false">Q2797-S2797</f>
        <v>47.1637513869966</v>
      </c>
      <c r="U2797" s="0" t="n">
        <f aca="false">Q2797+S2797</f>
        <v>49.1541889539125</v>
      </c>
      <c r="V2797" s="54" t="b">
        <f aca="false">AND(D2797&gt;=01_因子設定!$L$5-0.000000001,D2797&lt;=01_因子設定!$M$5+0.000000001,E2797&gt;=01_因子設定!$L$6-0.000000001,E2797&lt;=01_因子設定!$M$6+0.000000001,F2797&gt;=01_因子設定!$L$7-0.000000001,F2797&lt;=01_因子設定!$M$7+0.000000001,IF(01_因子設定!$B$20="Box-Behnken",D2797^2+E2797^2+F2797^2&lt;=2+0.000000001,TRUE()))</f>
        <v>1</v>
      </c>
      <c r="W2797" s="55" t="n">
        <f aca="false">IF(V2797,IF(01_因子設定!$B$13="最大化",T2797-01_因子設定!$B$14,IF(01_因子設定!$B$13="最小化",01_因子設定!$B$15-U2797,MIN(T2797-01_因子設定!$B$14,01_因子設定!$B$15-U2797))),-1E+030)</f>
        <v>-1.33624861300336</v>
      </c>
      <c r="X2797" s="55" t="n">
        <f aca="false">IF(V2797,IF(01_因子設定!$B$13="最大化",Q2797,IF(01_因子設定!$B$13="最小化",-Q2797,-ABS(Q2797-01_因子設定!$B$16))),-1E+030)</f>
        <v>48.1589701704546</v>
      </c>
      <c r="Y2797" s="55" t="n">
        <f aca="false">W2797+ROW()*0.000000001</f>
        <v>-1.33624581600336</v>
      </c>
      <c r="Z2797" s="55" t="n">
        <f aca="false">X2797+ROW()*0.000000001</f>
        <v>48.1589729674546</v>
      </c>
    </row>
    <row r="2798" customFormat="false" ht="15" hidden="false" customHeight="false" outlineLevel="0" collapsed="false">
      <c r="A2798" s="0" t="n">
        <v>9</v>
      </c>
      <c r="B2798" s="0" t="n">
        <v>11</v>
      </c>
      <c r="C2798" s="0" t="n">
        <v>5</v>
      </c>
      <c r="D2798" s="0" t="n">
        <f aca="false">-1+A2798*0.125</f>
        <v>0.125</v>
      </c>
      <c r="E2798" s="0" t="n">
        <f aca="false">-1+B2798*0.125</f>
        <v>0.375</v>
      </c>
      <c r="F2798" s="0" t="n">
        <f aca="false">-1+C2798*0.125</f>
        <v>-0.375</v>
      </c>
      <c r="G2798" s="0" t="n">
        <f aca="false">1</f>
        <v>1</v>
      </c>
      <c r="H2798" s="0" t="n">
        <f aca="false">D2798</f>
        <v>0.125</v>
      </c>
      <c r="I2798" s="0" t="n">
        <f aca="false">E2798</f>
        <v>0.375</v>
      </c>
      <c r="J2798" s="0" t="n">
        <f aca="false">F2798</f>
        <v>-0.375</v>
      </c>
      <c r="K2798" s="0" t="n">
        <f aca="false">D2798*E2798</f>
        <v>0.046875</v>
      </c>
      <c r="L2798" s="0" t="n">
        <f aca="false">D2798*F2798</f>
        <v>-0.046875</v>
      </c>
      <c r="M2798" s="0" t="n">
        <f aca="false">E2798*F2798</f>
        <v>-0.140625</v>
      </c>
      <c r="N2798" s="0" t="n">
        <f aca="false">D2798*D2798</f>
        <v>0.015625</v>
      </c>
      <c r="O2798" s="0" t="n">
        <f aca="false">E2798*E2798</f>
        <v>0.140625</v>
      </c>
      <c r="P2798" s="0" t="n">
        <f aca="false">F2798*F2798</f>
        <v>0.140625</v>
      </c>
      <c r="Q2798" s="0" t="n">
        <f aca="false">SUMPRODUCT(G2798:P2798,_XtX!$B$71:$K$71)</f>
        <v>48.478984375</v>
      </c>
      <c r="R2798" s="0" t="n">
        <f aca="false">SUMPRODUCT(MMULT(G2798:P2798,_XtX!$B$58:$K$67),G2798:P2798)</f>
        <v>0.131781005859375</v>
      </c>
      <c r="S2798" s="0" t="n">
        <f aca="false">04_回帰ANOVA!$K$19*04_回帰ANOVA!$K$14*SQRT(1+R2798)</f>
        <v>0.989117388188007</v>
      </c>
      <c r="T2798" s="0" t="n">
        <f aca="false">Q2798-S2798</f>
        <v>47.489866986812</v>
      </c>
      <c r="U2798" s="0" t="n">
        <f aca="false">Q2798+S2798</f>
        <v>49.468101763188</v>
      </c>
      <c r="V2798" s="54" t="b">
        <f aca="false">AND(D2798&gt;=01_因子設定!$L$5-0.000000001,D2798&lt;=01_因子設定!$M$5+0.000000001,E2798&gt;=01_因子設定!$L$6-0.000000001,E2798&lt;=01_因子設定!$M$6+0.000000001,F2798&gt;=01_因子設定!$L$7-0.000000001,F2798&lt;=01_因子設定!$M$7+0.000000001,IF(01_因子設定!$B$20="Box-Behnken",D2798^2+E2798^2+F2798^2&lt;=2+0.000000001,TRUE()))</f>
        <v>1</v>
      </c>
      <c r="W2798" s="55" t="n">
        <f aca="false">IF(V2798,IF(01_因子設定!$B$13="最大化",T2798-01_因子設定!$B$14,IF(01_因子設定!$B$13="最小化",01_因子設定!$B$15-U2798,MIN(T2798-01_因子設定!$B$14,01_因子設定!$B$15-U2798))),-1E+030)</f>
        <v>-1.010133013188</v>
      </c>
      <c r="X2798" s="55" t="n">
        <f aca="false">IF(V2798,IF(01_因子設定!$B$13="最大化",Q2798,IF(01_因子設定!$B$13="最小化",-Q2798,-ABS(Q2798-01_因子設定!$B$16))),-1E+030)</f>
        <v>48.478984375</v>
      </c>
      <c r="Y2798" s="55" t="n">
        <f aca="false">W2798+ROW()*0.000000001</f>
        <v>-1.010130215188</v>
      </c>
      <c r="Z2798" s="55" t="n">
        <f aca="false">X2798+ROW()*0.000000001</f>
        <v>48.478987173</v>
      </c>
    </row>
    <row r="2799" customFormat="false" ht="15" hidden="false" customHeight="false" outlineLevel="0" collapsed="false">
      <c r="A2799" s="0" t="n">
        <v>9</v>
      </c>
      <c r="B2799" s="0" t="n">
        <v>11</v>
      </c>
      <c r="C2799" s="0" t="n">
        <v>6</v>
      </c>
      <c r="D2799" s="0" t="n">
        <f aca="false">-1+A2799*0.125</f>
        <v>0.125</v>
      </c>
      <c r="E2799" s="0" t="n">
        <f aca="false">-1+B2799*0.125</f>
        <v>0.375</v>
      </c>
      <c r="F2799" s="0" t="n">
        <f aca="false">-1+C2799*0.125</f>
        <v>-0.25</v>
      </c>
      <c r="G2799" s="0" t="n">
        <f aca="false">1</f>
        <v>1</v>
      </c>
      <c r="H2799" s="0" t="n">
        <f aca="false">D2799</f>
        <v>0.125</v>
      </c>
      <c r="I2799" s="0" t="n">
        <f aca="false">E2799</f>
        <v>0.375</v>
      </c>
      <c r="J2799" s="0" t="n">
        <f aca="false">F2799</f>
        <v>-0.25</v>
      </c>
      <c r="K2799" s="0" t="n">
        <f aca="false">D2799*E2799</f>
        <v>0.046875</v>
      </c>
      <c r="L2799" s="0" t="n">
        <f aca="false">D2799*F2799</f>
        <v>-0.03125</v>
      </c>
      <c r="M2799" s="0" t="n">
        <f aca="false">E2799*F2799</f>
        <v>-0.09375</v>
      </c>
      <c r="N2799" s="0" t="n">
        <f aca="false">D2799*D2799</f>
        <v>0.015625</v>
      </c>
      <c r="O2799" s="0" t="n">
        <f aca="false">E2799*E2799</f>
        <v>0.140625</v>
      </c>
      <c r="P2799" s="0" t="n">
        <f aca="false">F2799*F2799</f>
        <v>0.0625</v>
      </c>
      <c r="Q2799" s="0" t="n">
        <f aca="false">SUMPRODUCT(G2799:P2799,_XtX!$B$71:$K$71)</f>
        <v>48.7622088068182</v>
      </c>
      <c r="R2799" s="0" t="n">
        <f aca="false">SUMPRODUCT(MMULT(G2799:P2799,_XtX!$B$58:$K$67),G2799:P2799)</f>
        <v>0.127103493430398</v>
      </c>
      <c r="S2799" s="0" t="n">
        <f aca="false">04_回帰ANOVA!$K$19*04_回帰ANOVA!$K$14*SQRT(1+R2799)</f>
        <v>0.987071321387587</v>
      </c>
      <c r="T2799" s="0" t="n">
        <f aca="false">Q2799-S2799</f>
        <v>47.7751374854306</v>
      </c>
      <c r="U2799" s="0" t="n">
        <f aca="false">Q2799+S2799</f>
        <v>49.7492801282058</v>
      </c>
      <c r="V2799" s="54" t="b">
        <f aca="false">AND(D2799&gt;=01_因子設定!$L$5-0.000000001,D2799&lt;=01_因子設定!$M$5+0.000000001,E2799&gt;=01_因子設定!$L$6-0.000000001,E2799&lt;=01_因子設定!$M$6+0.000000001,F2799&gt;=01_因子設定!$L$7-0.000000001,F2799&lt;=01_因子設定!$M$7+0.000000001,IF(01_因子設定!$B$20="Box-Behnken",D2799^2+E2799^2+F2799^2&lt;=2+0.000000001,TRUE()))</f>
        <v>1</v>
      </c>
      <c r="W2799" s="55" t="n">
        <f aca="false">IF(V2799,IF(01_因子設定!$B$13="最大化",T2799-01_因子設定!$B$14,IF(01_因子設定!$B$13="最小化",01_因子設定!$B$15-U2799,MIN(T2799-01_因子設定!$B$14,01_因子設定!$B$15-U2799))),-1E+030)</f>
        <v>-0.724862514569395</v>
      </c>
      <c r="X2799" s="55" t="n">
        <f aca="false">IF(V2799,IF(01_因子設定!$B$13="最大化",Q2799,IF(01_因子設定!$B$13="最小化",-Q2799,-ABS(Q2799-01_因子設定!$B$16))),-1E+030)</f>
        <v>48.7622088068182</v>
      </c>
      <c r="Y2799" s="55" t="n">
        <f aca="false">W2799+ROW()*0.000000001</f>
        <v>-0.724859715569395</v>
      </c>
      <c r="Z2799" s="55" t="n">
        <f aca="false">X2799+ROW()*0.000000001</f>
        <v>48.7622116058182</v>
      </c>
    </row>
    <row r="2800" customFormat="false" ht="15" hidden="false" customHeight="false" outlineLevel="0" collapsed="false">
      <c r="A2800" s="0" t="n">
        <v>9</v>
      </c>
      <c r="B2800" s="0" t="n">
        <v>11</v>
      </c>
      <c r="C2800" s="0" t="n">
        <v>7</v>
      </c>
      <c r="D2800" s="0" t="n">
        <f aca="false">-1+A2800*0.125</f>
        <v>0.125</v>
      </c>
      <c r="E2800" s="0" t="n">
        <f aca="false">-1+B2800*0.125</f>
        <v>0.375</v>
      </c>
      <c r="F2800" s="0" t="n">
        <f aca="false">-1+C2800*0.125</f>
        <v>-0.125</v>
      </c>
      <c r="G2800" s="0" t="n">
        <f aca="false">1</f>
        <v>1</v>
      </c>
      <c r="H2800" s="0" t="n">
        <f aca="false">D2800</f>
        <v>0.125</v>
      </c>
      <c r="I2800" s="0" t="n">
        <f aca="false">E2800</f>
        <v>0.375</v>
      </c>
      <c r="J2800" s="0" t="n">
        <f aca="false">F2800</f>
        <v>-0.125</v>
      </c>
      <c r="K2800" s="0" t="n">
        <f aca="false">D2800*E2800</f>
        <v>0.046875</v>
      </c>
      <c r="L2800" s="0" t="n">
        <f aca="false">D2800*F2800</f>
        <v>-0.015625</v>
      </c>
      <c r="M2800" s="0" t="n">
        <f aca="false">E2800*F2800</f>
        <v>-0.046875</v>
      </c>
      <c r="N2800" s="0" t="n">
        <f aca="false">D2800*D2800</f>
        <v>0.015625</v>
      </c>
      <c r="O2800" s="0" t="n">
        <f aca="false">E2800*E2800</f>
        <v>0.140625</v>
      </c>
      <c r="P2800" s="0" t="n">
        <f aca="false">F2800*F2800</f>
        <v>0.015625</v>
      </c>
      <c r="Q2800" s="0" t="n">
        <f aca="false">SUMPRODUCT(G2800:P2800,_XtX!$B$71:$K$71)</f>
        <v>49.0086434659091</v>
      </c>
      <c r="R2800" s="0" t="n">
        <f aca="false">SUMPRODUCT(MMULT(G2800:P2800,_XtX!$B$58:$K$67),G2800:P2800)</f>
        <v>0.126427667791193</v>
      </c>
      <c r="S2800" s="0" t="n">
        <f aca="false">04_回帰ANOVA!$K$19*04_回帰ANOVA!$K$14*SQRT(1+R2800)</f>
        <v>0.986775346732538</v>
      </c>
      <c r="T2800" s="0" t="n">
        <f aca="false">Q2800-S2800</f>
        <v>48.0218681191766</v>
      </c>
      <c r="U2800" s="0" t="n">
        <f aca="false">Q2800+S2800</f>
        <v>49.9954188126416</v>
      </c>
      <c r="V2800" s="54" t="b">
        <f aca="false">AND(D2800&gt;=01_因子設定!$L$5-0.000000001,D2800&lt;=01_因子設定!$M$5+0.000000001,E2800&gt;=01_因子設定!$L$6-0.000000001,E2800&lt;=01_因子設定!$M$6+0.000000001,F2800&gt;=01_因子設定!$L$7-0.000000001,F2800&lt;=01_因子設定!$M$7+0.000000001,IF(01_因子設定!$B$20="Box-Behnken",D2800^2+E2800^2+F2800^2&lt;=2+0.000000001,TRUE()))</f>
        <v>1</v>
      </c>
      <c r="W2800" s="55" t="n">
        <f aca="false">IF(V2800,IF(01_因子設定!$B$13="最大化",T2800-01_因子設定!$B$14,IF(01_因子設定!$B$13="最小化",01_因子設定!$B$15-U2800,MIN(T2800-01_因子設定!$B$14,01_因子設定!$B$15-U2800))),-1E+030)</f>
        <v>-0.478131880823433</v>
      </c>
      <c r="X2800" s="55" t="n">
        <f aca="false">IF(V2800,IF(01_因子設定!$B$13="最大化",Q2800,IF(01_因子設定!$B$13="最小化",-Q2800,-ABS(Q2800-01_因子設定!$B$16))),-1E+030)</f>
        <v>49.0086434659091</v>
      </c>
      <c r="Y2800" s="55" t="n">
        <f aca="false">W2800+ROW()*0.000000001</f>
        <v>-0.478129080823433</v>
      </c>
      <c r="Z2800" s="55" t="n">
        <f aca="false">X2800+ROW()*0.000000001</f>
        <v>49.0086462659091</v>
      </c>
    </row>
    <row r="2801" customFormat="false" ht="15" hidden="false" customHeight="false" outlineLevel="0" collapsed="false">
      <c r="A2801" s="0" t="n">
        <v>9</v>
      </c>
      <c r="B2801" s="0" t="n">
        <v>11</v>
      </c>
      <c r="C2801" s="0" t="n">
        <v>8</v>
      </c>
      <c r="D2801" s="0" t="n">
        <f aca="false">-1+A2801*0.125</f>
        <v>0.125</v>
      </c>
      <c r="E2801" s="0" t="n">
        <f aca="false">-1+B2801*0.125</f>
        <v>0.375</v>
      </c>
      <c r="F2801" s="0" t="n">
        <f aca="false">-1+C2801*0.125</f>
        <v>0</v>
      </c>
      <c r="G2801" s="0" t="n">
        <f aca="false">1</f>
        <v>1</v>
      </c>
      <c r="H2801" s="0" t="n">
        <f aca="false">D2801</f>
        <v>0.125</v>
      </c>
      <c r="I2801" s="0" t="n">
        <f aca="false">E2801</f>
        <v>0.375</v>
      </c>
      <c r="J2801" s="0" t="n">
        <f aca="false">F2801</f>
        <v>0</v>
      </c>
      <c r="K2801" s="0" t="n">
        <f aca="false">D2801*E2801</f>
        <v>0.046875</v>
      </c>
      <c r="L2801" s="0" t="n">
        <f aca="false">D2801*F2801</f>
        <v>0</v>
      </c>
      <c r="M2801" s="0" t="n">
        <f aca="false">E2801*F2801</f>
        <v>0</v>
      </c>
      <c r="N2801" s="0" t="n">
        <f aca="false">D2801*D2801</f>
        <v>0.015625</v>
      </c>
      <c r="O2801" s="0" t="n">
        <f aca="false">E2801*E2801</f>
        <v>0.140625</v>
      </c>
      <c r="P2801" s="0" t="n">
        <f aca="false">F2801*F2801</f>
        <v>0</v>
      </c>
      <c r="Q2801" s="0" t="n">
        <f aca="false">SUMPRODUCT(G2801:P2801,_XtX!$B$71:$K$71)</f>
        <v>49.2182883522727</v>
      </c>
      <c r="R2801" s="0" t="n">
        <f aca="false">SUMPRODUCT(MMULT(G2801:P2801,_XtX!$B$58:$K$67),G2801:P2801)</f>
        <v>0.126557506214489</v>
      </c>
      <c r="S2801" s="0" t="n">
        <f aca="false">04_回帰ANOVA!$K$19*04_回帰ANOVA!$K$14*SQRT(1+R2801)</f>
        <v>0.986832215747321</v>
      </c>
      <c r="T2801" s="0" t="n">
        <f aca="false">Q2801-S2801</f>
        <v>48.2314561365254</v>
      </c>
      <c r="U2801" s="0" t="n">
        <f aca="false">Q2801+S2801</f>
        <v>50.2051205680201</v>
      </c>
      <c r="V2801" s="54" t="b">
        <f aca="false">AND(D2801&gt;=01_因子設定!$L$5-0.000000001,D2801&lt;=01_因子設定!$M$5+0.000000001,E2801&gt;=01_因子設定!$L$6-0.000000001,E2801&lt;=01_因子設定!$M$6+0.000000001,F2801&gt;=01_因子設定!$L$7-0.000000001,F2801&lt;=01_因子設定!$M$7+0.000000001,IF(01_因子設定!$B$20="Box-Behnken",D2801^2+E2801^2+F2801^2&lt;=2+0.000000001,TRUE()))</f>
        <v>1</v>
      </c>
      <c r="W2801" s="55" t="n">
        <f aca="false">IF(V2801,IF(01_因子設定!$B$13="最大化",T2801-01_因子設定!$B$14,IF(01_因子設定!$B$13="最小化",01_因子設定!$B$15-U2801,MIN(T2801-01_因子設定!$B$14,01_因子設定!$B$15-U2801))),-1E+030)</f>
        <v>-0.268543863474584</v>
      </c>
      <c r="X2801" s="55" t="n">
        <f aca="false">IF(V2801,IF(01_因子設定!$B$13="最大化",Q2801,IF(01_因子設定!$B$13="最小化",-Q2801,-ABS(Q2801-01_因子設定!$B$16))),-1E+030)</f>
        <v>49.2182883522727</v>
      </c>
      <c r="Y2801" s="55" t="n">
        <f aca="false">W2801+ROW()*0.000000001</f>
        <v>-0.268541062474584</v>
      </c>
      <c r="Z2801" s="55" t="n">
        <f aca="false">X2801+ROW()*0.000000001</f>
        <v>49.2182911532727</v>
      </c>
    </row>
    <row r="2802" customFormat="false" ht="15" hidden="false" customHeight="false" outlineLevel="0" collapsed="false">
      <c r="A2802" s="0" t="n">
        <v>9</v>
      </c>
      <c r="B2802" s="0" t="n">
        <v>11</v>
      </c>
      <c r="C2802" s="0" t="n">
        <v>9</v>
      </c>
      <c r="D2802" s="0" t="n">
        <f aca="false">-1+A2802*0.125</f>
        <v>0.125</v>
      </c>
      <c r="E2802" s="0" t="n">
        <f aca="false">-1+B2802*0.125</f>
        <v>0.375</v>
      </c>
      <c r="F2802" s="0" t="n">
        <f aca="false">-1+C2802*0.125</f>
        <v>0.125</v>
      </c>
      <c r="G2802" s="0" t="n">
        <f aca="false">1</f>
        <v>1</v>
      </c>
      <c r="H2802" s="0" t="n">
        <f aca="false">D2802</f>
        <v>0.125</v>
      </c>
      <c r="I2802" s="0" t="n">
        <f aca="false">E2802</f>
        <v>0.375</v>
      </c>
      <c r="J2802" s="0" t="n">
        <f aca="false">F2802</f>
        <v>0.125</v>
      </c>
      <c r="K2802" s="0" t="n">
        <f aca="false">D2802*E2802</f>
        <v>0.046875</v>
      </c>
      <c r="L2802" s="0" t="n">
        <f aca="false">D2802*F2802</f>
        <v>0.015625</v>
      </c>
      <c r="M2802" s="0" t="n">
        <f aca="false">E2802*F2802</f>
        <v>0.046875</v>
      </c>
      <c r="N2802" s="0" t="n">
        <f aca="false">D2802*D2802</f>
        <v>0.015625</v>
      </c>
      <c r="O2802" s="0" t="n">
        <f aca="false">E2802*E2802</f>
        <v>0.140625</v>
      </c>
      <c r="P2802" s="0" t="n">
        <f aca="false">F2802*F2802</f>
        <v>0.015625</v>
      </c>
      <c r="Q2802" s="0" t="n">
        <f aca="false">SUMPRODUCT(G2802:P2802,_XtX!$B$71:$K$71)</f>
        <v>49.3911434659091</v>
      </c>
      <c r="R2802" s="0" t="n">
        <f aca="false">SUMPRODUCT(MMULT(G2802:P2802,_XtX!$B$58:$K$67),G2802:P2802)</f>
        <v>0.126427667791193</v>
      </c>
      <c r="S2802" s="0" t="n">
        <f aca="false">04_回帰ANOVA!$K$19*04_回帰ANOVA!$K$14*SQRT(1+R2802)</f>
        <v>0.986775346732538</v>
      </c>
      <c r="T2802" s="0" t="n">
        <f aca="false">Q2802-S2802</f>
        <v>48.4043681191766</v>
      </c>
      <c r="U2802" s="0" t="n">
        <f aca="false">Q2802+S2802</f>
        <v>50.3779188126416</v>
      </c>
      <c r="V2802" s="54" t="b">
        <f aca="false">AND(D2802&gt;=01_因子設定!$L$5-0.000000001,D2802&lt;=01_因子設定!$M$5+0.000000001,E2802&gt;=01_因子設定!$L$6-0.000000001,E2802&lt;=01_因子設定!$M$6+0.000000001,F2802&gt;=01_因子設定!$L$7-0.000000001,F2802&lt;=01_因子設定!$M$7+0.000000001,IF(01_因子設定!$B$20="Box-Behnken",D2802^2+E2802^2+F2802^2&lt;=2+0.000000001,TRUE()))</f>
        <v>1</v>
      </c>
      <c r="W2802" s="55" t="n">
        <f aca="false">IF(V2802,IF(01_因子設定!$B$13="最大化",T2802-01_因子設定!$B$14,IF(01_因子設定!$B$13="最小化",01_因子設定!$B$15-U2802,MIN(T2802-01_因子設定!$B$14,01_因子設定!$B$15-U2802))),-1E+030)</f>
        <v>-0.0956318808234329</v>
      </c>
      <c r="X2802" s="55" t="n">
        <f aca="false">IF(V2802,IF(01_因子設定!$B$13="最大化",Q2802,IF(01_因子設定!$B$13="最小化",-Q2802,-ABS(Q2802-01_因子設定!$B$16))),-1E+030)</f>
        <v>49.3911434659091</v>
      </c>
      <c r="Y2802" s="55" t="n">
        <f aca="false">W2802+ROW()*0.000000001</f>
        <v>-0.0956290788234329</v>
      </c>
      <c r="Z2802" s="55" t="n">
        <f aca="false">X2802+ROW()*0.000000001</f>
        <v>49.3911462679091</v>
      </c>
    </row>
    <row r="2803" customFormat="false" ht="15" hidden="false" customHeight="false" outlineLevel="0" collapsed="false">
      <c r="A2803" s="0" t="n">
        <v>9</v>
      </c>
      <c r="B2803" s="0" t="n">
        <v>11</v>
      </c>
      <c r="C2803" s="0" t="n">
        <v>10</v>
      </c>
      <c r="D2803" s="0" t="n">
        <f aca="false">-1+A2803*0.125</f>
        <v>0.125</v>
      </c>
      <c r="E2803" s="0" t="n">
        <f aca="false">-1+B2803*0.125</f>
        <v>0.375</v>
      </c>
      <c r="F2803" s="0" t="n">
        <f aca="false">-1+C2803*0.125</f>
        <v>0.25</v>
      </c>
      <c r="G2803" s="0" t="n">
        <f aca="false">1</f>
        <v>1</v>
      </c>
      <c r="H2803" s="0" t="n">
        <f aca="false">D2803</f>
        <v>0.125</v>
      </c>
      <c r="I2803" s="0" t="n">
        <f aca="false">E2803</f>
        <v>0.375</v>
      </c>
      <c r="J2803" s="0" t="n">
        <f aca="false">F2803</f>
        <v>0.25</v>
      </c>
      <c r="K2803" s="0" t="n">
        <f aca="false">D2803*E2803</f>
        <v>0.046875</v>
      </c>
      <c r="L2803" s="0" t="n">
        <f aca="false">D2803*F2803</f>
        <v>0.03125</v>
      </c>
      <c r="M2803" s="0" t="n">
        <f aca="false">E2803*F2803</f>
        <v>0.09375</v>
      </c>
      <c r="N2803" s="0" t="n">
        <f aca="false">D2803*D2803</f>
        <v>0.015625</v>
      </c>
      <c r="O2803" s="0" t="n">
        <f aca="false">E2803*E2803</f>
        <v>0.140625</v>
      </c>
      <c r="P2803" s="0" t="n">
        <f aca="false">F2803*F2803</f>
        <v>0.0625</v>
      </c>
      <c r="Q2803" s="0" t="n">
        <f aca="false">SUMPRODUCT(G2803:P2803,_XtX!$B$71:$K$71)</f>
        <v>49.5272088068182</v>
      </c>
      <c r="R2803" s="0" t="n">
        <f aca="false">SUMPRODUCT(MMULT(G2803:P2803,_XtX!$B$58:$K$67),G2803:P2803)</f>
        <v>0.127103493430398</v>
      </c>
      <c r="S2803" s="0" t="n">
        <f aca="false">04_回帰ANOVA!$K$19*04_回帰ANOVA!$K$14*SQRT(1+R2803)</f>
        <v>0.987071321387587</v>
      </c>
      <c r="T2803" s="0" t="n">
        <f aca="false">Q2803-S2803</f>
        <v>48.5401374854306</v>
      </c>
      <c r="U2803" s="0" t="n">
        <f aca="false">Q2803+S2803</f>
        <v>50.5142801282058</v>
      </c>
      <c r="V2803" s="54" t="b">
        <f aca="false">AND(D2803&gt;=01_因子設定!$L$5-0.000000001,D2803&lt;=01_因子設定!$M$5+0.000000001,E2803&gt;=01_因子設定!$L$6-0.000000001,E2803&lt;=01_因子設定!$M$6+0.000000001,F2803&gt;=01_因子設定!$L$7-0.000000001,F2803&lt;=01_因子設定!$M$7+0.000000001,IF(01_因子設定!$B$20="Box-Behnken",D2803^2+E2803^2+F2803^2&lt;=2+0.000000001,TRUE()))</f>
        <v>1</v>
      </c>
      <c r="W2803" s="55" t="n">
        <f aca="false">IF(V2803,IF(01_因子設定!$B$13="最大化",T2803-01_因子設定!$B$14,IF(01_因子設定!$B$13="最小化",01_因子設定!$B$15-U2803,MIN(T2803-01_因子設定!$B$14,01_因子設定!$B$15-U2803))),-1E+030)</f>
        <v>0.0401374854306056</v>
      </c>
      <c r="X2803" s="55" t="n">
        <f aca="false">IF(V2803,IF(01_因子設定!$B$13="最大化",Q2803,IF(01_因子設定!$B$13="最小化",-Q2803,-ABS(Q2803-01_因子設定!$B$16))),-1E+030)</f>
        <v>49.5272088068182</v>
      </c>
      <c r="Y2803" s="55" t="n">
        <f aca="false">W2803+ROW()*0.000000001</f>
        <v>0.0401402884306056</v>
      </c>
      <c r="Z2803" s="55" t="n">
        <f aca="false">X2803+ROW()*0.000000001</f>
        <v>49.5272116098182</v>
      </c>
    </row>
    <row r="2804" customFormat="false" ht="15" hidden="false" customHeight="false" outlineLevel="0" collapsed="false">
      <c r="A2804" s="0" t="n">
        <v>9</v>
      </c>
      <c r="B2804" s="0" t="n">
        <v>11</v>
      </c>
      <c r="C2804" s="0" t="n">
        <v>11</v>
      </c>
      <c r="D2804" s="0" t="n">
        <f aca="false">-1+A2804*0.125</f>
        <v>0.125</v>
      </c>
      <c r="E2804" s="0" t="n">
        <f aca="false">-1+B2804*0.125</f>
        <v>0.375</v>
      </c>
      <c r="F2804" s="0" t="n">
        <f aca="false">-1+C2804*0.125</f>
        <v>0.375</v>
      </c>
      <c r="G2804" s="0" t="n">
        <f aca="false">1</f>
        <v>1</v>
      </c>
      <c r="H2804" s="0" t="n">
        <f aca="false">D2804</f>
        <v>0.125</v>
      </c>
      <c r="I2804" s="0" t="n">
        <f aca="false">E2804</f>
        <v>0.375</v>
      </c>
      <c r="J2804" s="0" t="n">
        <f aca="false">F2804</f>
        <v>0.375</v>
      </c>
      <c r="K2804" s="0" t="n">
        <f aca="false">D2804*E2804</f>
        <v>0.046875</v>
      </c>
      <c r="L2804" s="0" t="n">
        <f aca="false">D2804*F2804</f>
        <v>0.046875</v>
      </c>
      <c r="M2804" s="0" t="n">
        <f aca="false">E2804*F2804</f>
        <v>0.140625</v>
      </c>
      <c r="N2804" s="0" t="n">
        <f aca="false">D2804*D2804</f>
        <v>0.015625</v>
      </c>
      <c r="O2804" s="0" t="n">
        <f aca="false">E2804*E2804</f>
        <v>0.140625</v>
      </c>
      <c r="P2804" s="0" t="n">
        <f aca="false">F2804*F2804</f>
        <v>0.140625</v>
      </c>
      <c r="Q2804" s="0" t="n">
        <f aca="false">SUMPRODUCT(G2804:P2804,_XtX!$B$71:$K$71)</f>
        <v>49.626484375</v>
      </c>
      <c r="R2804" s="0" t="n">
        <f aca="false">SUMPRODUCT(MMULT(G2804:P2804,_XtX!$B$58:$K$67),G2804:P2804)</f>
        <v>0.131781005859375</v>
      </c>
      <c r="S2804" s="0" t="n">
        <f aca="false">04_回帰ANOVA!$K$19*04_回帰ANOVA!$K$14*SQRT(1+R2804)</f>
        <v>0.989117388188007</v>
      </c>
      <c r="T2804" s="0" t="n">
        <f aca="false">Q2804-S2804</f>
        <v>48.637366986812</v>
      </c>
      <c r="U2804" s="0" t="n">
        <f aca="false">Q2804+S2804</f>
        <v>50.615601763188</v>
      </c>
      <c r="V2804" s="54" t="b">
        <f aca="false">AND(D2804&gt;=01_因子設定!$L$5-0.000000001,D2804&lt;=01_因子設定!$M$5+0.000000001,E2804&gt;=01_因子設定!$L$6-0.000000001,E2804&lt;=01_因子設定!$M$6+0.000000001,F2804&gt;=01_因子設定!$L$7-0.000000001,F2804&lt;=01_因子設定!$M$7+0.000000001,IF(01_因子設定!$B$20="Box-Behnken",D2804^2+E2804^2+F2804^2&lt;=2+0.000000001,TRUE()))</f>
        <v>1</v>
      </c>
      <c r="W2804" s="55" t="n">
        <f aca="false">IF(V2804,IF(01_因子設定!$B$13="最大化",T2804-01_因子設定!$B$14,IF(01_因子設定!$B$13="最小化",01_因子設定!$B$15-U2804,MIN(T2804-01_因子設定!$B$14,01_因子設定!$B$15-U2804))),-1E+030)</f>
        <v>0.137366986812005</v>
      </c>
      <c r="X2804" s="55" t="n">
        <f aca="false">IF(V2804,IF(01_因子設定!$B$13="最大化",Q2804,IF(01_因子設定!$B$13="最小化",-Q2804,-ABS(Q2804-01_因子設定!$B$16))),-1E+030)</f>
        <v>49.626484375</v>
      </c>
      <c r="Y2804" s="55" t="n">
        <f aca="false">W2804+ROW()*0.000000001</f>
        <v>0.137369790812005</v>
      </c>
      <c r="Z2804" s="55" t="n">
        <f aca="false">X2804+ROW()*0.000000001</f>
        <v>49.626487179</v>
      </c>
    </row>
    <row r="2805" customFormat="false" ht="15" hidden="false" customHeight="false" outlineLevel="0" collapsed="false">
      <c r="A2805" s="0" t="n">
        <v>9</v>
      </c>
      <c r="B2805" s="0" t="n">
        <v>11</v>
      </c>
      <c r="C2805" s="0" t="n">
        <v>12</v>
      </c>
      <c r="D2805" s="0" t="n">
        <f aca="false">-1+A2805*0.125</f>
        <v>0.125</v>
      </c>
      <c r="E2805" s="0" t="n">
        <f aca="false">-1+B2805*0.125</f>
        <v>0.375</v>
      </c>
      <c r="F2805" s="0" t="n">
        <f aca="false">-1+C2805*0.125</f>
        <v>0.5</v>
      </c>
      <c r="G2805" s="0" t="n">
        <f aca="false">1</f>
        <v>1</v>
      </c>
      <c r="H2805" s="0" t="n">
        <f aca="false">D2805</f>
        <v>0.125</v>
      </c>
      <c r="I2805" s="0" t="n">
        <f aca="false">E2805</f>
        <v>0.375</v>
      </c>
      <c r="J2805" s="0" t="n">
        <f aca="false">F2805</f>
        <v>0.5</v>
      </c>
      <c r="K2805" s="0" t="n">
        <f aca="false">D2805*E2805</f>
        <v>0.046875</v>
      </c>
      <c r="L2805" s="0" t="n">
        <f aca="false">D2805*F2805</f>
        <v>0.0625</v>
      </c>
      <c r="M2805" s="0" t="n">
        <f aca="false">E2805*F2805</f>
        <v>0.1875</v>
      </c>
      <c r="N2805" s="0" t="n">
        <f aca="false">D2805*D2805</f>
        <v>0.015625</v>
      </c>
      <c r="O2805" s="0" t="n">
        <f aca="false">E2805*E2805</f>
        <v>0.140625</v>
      </c>
      <c r="P2805" s="0" t="n">
        <f aca="false">F2805*F2805</f>
        <v>0.25</v>
      </c>
      <c r="Q2805" s="0" t="n">
        <f aca="false">SUMPRODUCT(G2805:P2805,_XtX!$B$71:$K$71)</f>
        <v>49.6889701704546</v>
      </c>
      <c r="R2805" s="0" t="n">
        <f aca="false">SUMPRODUCT(MMULT(G2805:P2805,_XtX!$B$58:$K$67),G2805:P2805)</f>
        <v>0.14578690962358</v>
      </c>
      <c r="S2805" s="0" t="n">
        <f aca="false">04_回帰ANOVA!$K$19*04_回帰ANOVA!$K$14*SQRT(1+R2805)</f>
        <v>0.995218783457917</v>
      </c>
      <c r="T2805" s="0" t="n">
        <f aca="false">Q2805-S2805</f>
        <v>48.6937513869966</v>
      </c>
      <c r="U2805" s="0" t="n">
        <f aca="false">Q2805+S2805</f>
        <v>50.6841889539125</v>
      </c>
      <c r="V2805" s="54" t="b">
        <f aca="false">AND(D2805&gt;=01_因子設定!$L$5-0.000000001,D2805&lt;=01_因子設定!$M$5+0.000000001,E2805&gt;=01_因子設定!$L$6-0.000000001,E2805&lt;=01_因子設定!$M$6+0.000000001,F2805&gt;=01_因子設定!$L$7-0.000000001,F2805&lt;=01_因子設定!$M$7+0.000000001,IF(01_因子設定!$B$20="Box-Behnken",D2805^2+E2805^2+F2805^2&lt;=2+0.000000001,TRUE()))</f>
        <v>1</v>
      </c>
      <c r="W2805" s="55" t="n">
        <f aca="false">IF(V2805,IF(01_因子設定!$B$13="最大化",T2805-01_因子設定!$B$14,IF(01_因子設定!$B$13="最小化",01_因子設定!$B$15-U2805,MIN(T2805-01_因子設定!$B$14,01_因子設定!$B$15-U2805))),-1E+030)</f>
        <v>0.193751386996645</v>
      </c>
      <c r="X2805" s="55" t="n">
        <f aca="false">IF(V2805,IF(01_因子設定!$B$13="最大化",Q2805,IF(01_因子設定!$B$13="最小化",-Q2805,-ABS(Q2805-01_因子設定!$B$16))),-1E+030)</f>
        <v>49.6889701704546</v>
      </c>
      <c r="Y2805" s="55" t="n">
        <f aca="false">W2805+ROW()*0.000000001</f>
        <v>0.193754191996645</v>
      </c>
      <c r="Z2805" s="55" t="n">
        <f aca="false">X2805+ROW()*0.000000001</f>
        <v>49.6889729754546</v>
      </c>
    </row>
    <row r="2806" customFormat="false" ht="15" hidden="false" customHeight="false" outlineLevel="0" collapsed="false">
      <c r="A2806" s="0" t="n">
        <v>9</v>
      </c>
      <c r="B2806" s="0" t="n">
        <v>11</v>
      </c>
      <c r="C2806" s="0" t="n">
        <v>13</v>
      </c>
      <c r="D2806" s="0" t="n">
        <f aca="false">-1+A2806*0.125</f>
        <v>0.125</v>
      </c>
      <c r="E2806" s="0" t="n">
        <f aca="false">-1+B2806*0.125</f>
        <v>0.375</v>
      </c>
      <c r="F2806" s="0" t="n">
        <f aca="false">-1+C2806*0.125</f>
        <v>0.625</v>
      </c>
      <c r="G2806" s="0" t="n">
        <f aca="false">1</f>
        <v>1</v>
      </c>
      <c r="H2806" s="0" t="n">
        <f aca="false">D2806</f>
        <v>0.125</v>
      </c>
      <c r="I2806" s="0" t="n">
        <f aca="false">E2806</f>
        <v>0.375</v>
      </c>
      <c r="J2806" s="0" t="n">
        <f aca="false">F2806</f>
        <v>0.625</v>
      </c>
      <c r="K2806" s="0" t="n">
        <f aca="false">D2806*E2806</f>
        <v>0.046875</v>
      </c>
      <c r="L2806" s="0" t="n">
        <f aca="false">D2806*F2806</f>
        <v>0.078125</v>
      </c>
      <c r="M2806" s="0" t="n">
        <f aca="false">E2806*F2806</f>
        <v>0.234375</v>
      </c>
      <c r="N2806" s="0" t="n">
        <f aca="false">D2806*D2806</f>
        <v>0.015625</v>
      </c>
      <c r="O2806" s="0" t="n">
        <f aca="false">E2806*E2806</f>
        <v>0.140625</v>
      </c>
      <c r="P2806" s="0" t="n">
        <f aca="false">F2806*F2806</f>
        <v>0.390625</v>
      </c>
      <c r="Q2806" s="0" t="n">
        <f aca="false">SUMPRODUCT(G2806:P2806,_XtX!$B$71:$K$71)</f>
        <v>49.7146661931818</v>
      </c>
      <c r="R2806" s="0" t="n">
        <f aca="false">SUMPRODUCT(MMULT(G2806:P2806,_XtX!$B$58:$K$67),G2806:P2806)</f>
        <v>0.176578591086648</v>
      </c>
      <c r="S2806" s="0" t="n">
        <f aca="false">04_回帰ANOVA!$K$19*04_回帰ANOVA!$K$14*SQRT(1+R2806)</f>
        <v>1.00850279676269</v>
      </c>
      <c r="T2806" s="0" t="n">
        <f aca="false">Q2806-S2806</f>
        <v>48.7061633964191</v>
      </c>
      <c r="U2806" s="0" t="n">
        <f aca="false">Q2806+S2806</f>
        <v>50.7231689899445</v>
      </c>
      <c r="V2806" s="54" t="b">
        <f aca="false">AND(D2806&gt;=01_因子設定!$L$5-0.000000001,D2806&lt;=01_因子設定!$M$5+0.000000001,E2806&gt;=01_因子設定!$L$6-0.000000001,E2806&lt;=01_因子設定!$M$6+0.000000001,F2806&gt;=01_因子設定!$L$7-0.000000001,F2806&lt;=01_因子設定!$M$7+0.000000001,IF(01_因子設定!$B$20="Box-Behnken",D2806^2+E2806^2+F2806^2&lt;=2+0.000000001,TRUE()))</f>
        <v>1</v>
      </c>
      <c r="W2806" s="55" t="n">
        <f aca="false">IF(V2806,IF(01_因子設定!$B$13="最大化",T2806-01_因子設定!$B$14,IF(01_因子設定!$B$13="最小化",01_因子設定!$B$15-U2806,MIN(T2806-01_因子設定!$B$14,01_因子設定!$B$15-U2806))),-1E+030)</f>
        <v>0.206163396419143</v>
      </c>
      <c r="X2806" s="55" t="n">
        <f aca="false">IF(V2806,IF(01_因子設定!$B$13="最大化",Q2806,IF(01_因子設定!$B$13="最小化",-Q2806,-ABS(Q2806-01_因子設定!$B$16))),-1E+030)</f>
        <v>49.7146661931818</v>
      </c>
      <c r="Y2806" s="55" t="n">
        <f aca="false">W2806+ROW()*0.000000001</f>
        <v>0.206166202419143</v>
      </c>
      <c r="Z2806" s="55" t="n">
        <f aca="false">X2806+ROW()*0.000000001</f>
        <v>49.7146689991818</v>
      </c>
    </row>
    <row r="2807" customFormat="false" ht="15" hidden="false" customHeight="false" outlineLevel="0" collapsed="false">
      <c r="A2807" s="0" t="n">
        <v>9</v>
      </c>
      <c r="B2807" s="0" t="n">
        <v>11</v>
      </c>
      <c r="C2807" s="0" t="n">
        <v>14</v>
      </c>
      <c r="D2807" s="0" t="n">
        <f aca="false">-1+A2807*0.125</f>
        <v>0.125</v>
      </c>
      <c r="E2807" s="0" t="n">
        <f aca="false">-1+B2807*0.125</f>
        <v>0.375</v>
      </c>
      <c r="F2807" s="0" t="n">
        <f aca="false">-1+C2807*0.125</f>
        <v>0.75</v>
      </c>
      <c r="G2807" s="0" t="n">
        <f aca="false">1</f>
        <v>1</v>
      </c>
      <c r="H2807" s="0" t="n">
        <f aca="false">D2807</f>
        <v>0.125</v>
      </c>
      <c r="I2807" s="0" t="n">
        <f aca="false">E2807</f>
        <v>0.375</v>
      </c>
      <c r="J2807" s="0" t="n">
        <f aca="false">F2807</f>
        <v>0.75</v>
      </c>
      <c r="K2807" s="0" t="n">
        <f aca="false">D2807*E2807</f>
        <v>0.046875</v>
      </c>
      <c r="L2807" s="0" t="n">
        <f aca="false">D2807*F2807</f>
        <v>0.09375</v>
      </c>
      <c r="M2807" s="0" t="n">
        <f aca="false">E2807*F2807</f>
        <v>0.28125</v>
      </c>
      <c r="N2807" s="0" t="n">
        <f aca="false">D2807*D2807</f>
        <v>0.015625</v>
      </c>
      <c r="O2807" s="0" t="n">
        <f aca="false">E2807*E2807</f>
        <v>0.140625</v>
      </c>
      <c r="P2807" s="0" t="n">
        <f aca="false">F2807*F2807</f>
        <v>0.5625</v>
      </c>
      <c r="Q2807" s="0" t="n">
        <f aca="false">SUMPRODUCT(G2807:P2807,_XtX!$B$71:$K$71)</f>
        <v>49.7035724431818</v>
      </c>
      <c r="R2807" s="0" t="n">
        <f aca="false">SUMPRODUCT(MMULT(G2807:P2807,_XtX!$B$58:$K$67),G2807:P2807)</f>
        <v>0.233744118430398</v>
      </c>
      <c r="S2807" s="0" t="n">
        <f aca="false">04_回帰ANOVA!$K$19*04_回帰ANOVA!$K$14*SQRT(1+R2807)</f>
        <v>1.0327119053564</v>
      </c>
      <c r="T2807" s="0" t="n">
        <f aca="false">Q2807-S2807</f>
        <v>48.6708605378254</v>
      </c>
      <c r="U2807" s="0" t="n">
        <f aca="false">Q2807+S2807</f>
        <v>50.7362843485382</v>
      </c>
      <c r="V2807" s="54" t="b">
        <f aca="false">AND(D2807&gt;=01_因子設定!$L$5-0.000000001,D2807&lt;=01_因子設定!$M$5+0.000000001,E2807&gt;=01_因子設定!$L$6-0.000000001,E2807&lt;=01_因子設定!$M$6+0.000000001,F2807&gt;=01_因子設定!$L$7-0.000000001,F2807&lt;=01_因子設定!$M$7+0.000000001,IF(01_因子設定!$B$20="Box-Behnken",D2807^2+E2807^2+F2807^2&lt;=2+0.000000001,TRUE()))</f>
        <v>1</v>
      </c>
      <c r="W2807" s="55" t="n">
        <f aca="false">IF(V2807,IF(01_因子設定!$B$13="最大化",T2807-01_因子設定!$B$14,IF(01_因子設定!$B$13="最小化",01_因子設定!$B$15-U2807,MIN(T2807-01_因子設定!$B$14,01_因子設定!$B$15-U2807))),-1E+030)</f>
        <v>0.17086053782544</v>
      </c>
      <c r="X2807" s="55" t="n">
        <f aca="false">IF(V2807,IF(01_因子設定!$B$13="最大化",Q2807,IF(01_因子設定!$B$13="最小化",-Q2807,-ABS(Q2807-01_因子設定!$B$16))),-1E+030)</f>
        <v>49.7035724431818</v>
      </c>
      <c r="Y2807" s="55" t="n">
        <f aca="false">W2807+ROW()*0.000000001</f>
        <v>0.17086334482544</v>
      </c>
      <c r="Z2807" s="55" t="n">
        <f aca="false">X2807+ROW()*0.000000001</f>
        <v>49.7035752501818</v>
      </c>
    </row>
    <row r="2808" customFormat="false" ht="15" hidden="false" customHeight="false" outlineLevel="0" collapsed="false">
      <c r="A2808" s="0" t="n">
        <v>9</v>
      </c>
      <c r="B2808" s="0" t="n">
        <v>11</v>
      </c>
      <c r="C2808" s="0" t="n">
        <v>15</v>
      </c>
      <c r="D2808" s="0" t="n">
        <f aca="false">-1+A2808*0.125</f>
        <v>0.125</v>
      </c>
      <c r="E2808" s="0" t="n">
        <f aca="false">-1+B2808*0.125</f>
        <v>0.375</v>
      </c>
      <c r="F2808" s="0" t="n">
        <f aca="false">-1+C2808*0.125</f>
        <v>0.875</v>
      </c>
      <c r="G2808" s="0" t="n">
        <f aca="false">1</f>
        <v>1</v>
      </c>
      <c r="H2808" s="0" t="n">
        <f aca="false">D2808</f>
        <v>0.125</v>
      </c>
      <c r="I2808" s="0" t="n">
        <f aca="false">E2808</f>
        <v>0.375</v>
      </c>
      <c r="J2808" s="0" t="n">
        <f aca="false">F2808</f>
        <v>0.875</v>
      </c>
      <c r="K2808" s="0" t="n">
        <f aca="false">D2808*E2808</f>
        <v>0.046875</v>
      </c>
      <c r="L2808" s="0" t="n">
        <f aca="false">D2808*F2808</f>
        <v>0.109375</v>
      </c>
      <c r="M2808" s="0" t="n">
        <f aca="false">E2808*F2808</f>
        <v>0.328125</v>
      </c>
      <c r="N2808" s="0" t="n">
        <f aca="false">D2808*D2808</f>
        <v>0.015625</v>
      </c>
      <c r="O2808" s="0" t="n">
        <f aca="false">E2808*E2808</f>
        <v>0.140625</v>
      </c>
      <c r="P2808" s="0" t="n">
        <f aca="false">F2808*F2808</f>
        <v>0.765625</v>
      </c>
      <c r="Q2808" s="0" t="n">
        <f aca="false">SUMPRODUCT(G2808:P2808,_XtX!$B$71:$K$71)</f>
        <v>49.6556889204546</v>
      </c>
      <c r="R2808" s="0" t="n">
        <f aca="false">SUMPRODUCT(MMULT(G2808:P2808,_XtX!$B$58:$K$67),G2808:P2808)</f>
        <v>0.32900224165483</v>
      </c>
      <c r="S2808" s="0" t="n">
        <f aca="false">04_回帰ANOVA!$K$19*04_回帰ANOVA!$K$14*SQRT(1+R2808)</f>
        <v>1.07183884583628</v>
      </c>
      <c r="T2808" s="0" t="n">
        <f aca="false">Q2808-S2808</f>
        <v>48.5838500746183</v>
      </c>
      <c r="U2808" s="0" t="n">
        <f aca="false">Q2808+S2808</f>
        <v>50.7275277662909</v>
      </c>
      <c r="V2808" s="54" t="b">
        <f aca="false">AND(D2808&gt;=01_因子設定!$L$5-0.000000001,D2808&lt;=01_因子設定!$M$5+0.000000001,E2808&gt;=01_因子設定!$L$6-0.000000001,E2808&lt;=01_因子設定!$M$6+0.000000001,F2808&gt;=01_因子設定!$L$7-0.000000001,F2808&lt;=01_因子設定!$M$7+0.000000001,IF(01_因子設定!$B$20="Box-Behnken",D2808^2+E2808^2+F2808^2&lt;=2+0.000000001,TRUE()))</f>
        <v>1</v>
      </c>
      <c r="W2808" s="55" t="n">
        <f aca="false">IF(V2808,IF(01_因子設定!$B$13="最大化",T2808-01_因子設定!$B$14,IF(01_因子設定!$B$13="最小化",01_因子設定!$B$15-U2808,MIN(T2808-01_因子設定!$B$14,01_因子設定!$B$15-U2808))),-1E+030)</f>
        <v>0.0838500746182973</v>
      </c>
      <c r="X2808" s="55" t="n">
        <f aca="false">IF(V2808,IF(01_因子設定!$B$13="最大化",Q2808,IF(01_因子設定!$B$13="最小化",-Q2808,-ABS(Q2808-01_因子設定!$B$16))),-1E+030)</f>
        <v>49.6556889204546</v>
      </c>
      <c r="Y2808" s="55" t="n">
        <f aca="false">W2808+ROW()*0.000000001</f>
        <v>0.0838528826182973</v>
      </c>
      <c r="Z2808" s="55" t="n">
        <f aca="false">X2808+ROW()*0.000000001</f>
        <v>49.6556917284546</v>
      </c>
    </row>
    <row r="2809" customFormat="false" ht="15" hidden="false" customHeight="false" outlineLevel="0" collapsed="false">
      <c r="A2809" s="0" t="n">
        <v>9</v>
      </c>
      <c r="B2809" s="0" t="n">
        <v>11</v>
      </c>
      <c r="C2809" s="0" t="n">
        <v>16</v>
      </c>
      <c r="D2809" s="0" t="n">
        <f aca="false">-1+A2809*0.125</f>
        <v>0.125</v>
      </c>
      <c r="E2809" s="0" t="n">
        <f aca="false">-1+B2809*0.125</f>
        <v>0.375</v>
      </c>
      <c r="F2809" s="0" t="n">
        <f aca="false">-1+C2809*0.125</f>
        <v>1</v>
      </c>
      <c r="G2809" s="0" t="n">
        <f aca="false">1</f>
        <v>1</v>
      </c>
      <c r="H2809" s="0" t="n">
        <f aca="false">D2809</f>
        <v>0.125</v>
      </c>
      <c r="I2809" s="0" t="n">
        <f aca="false">E2809</f>
        <v>0.375</v>
      </c>
      <c r="J2809" s="0" t="n">
        <f aca="false">F2809</f>
        <v>1</v>
      </c>
      <c r="K2809" s="0" t="n">
        <f aca="false">D2809*E2809</f>
        <v>0.046875</v>
      </c>
      <c r="L2809" s="0" t="n">
        <f aca="false">D2809*F2809</f>
        <v>0.125</v>
      </c>
      <c r="M2809" s="0" t="n">
        <f aca="false">E2809*F2809</f>
        <v>0.375</v>
      </c>
      <c r="N2809" s="0" t="n">
        <f aca="false">D2809*D2809</f>
        <v>0.015625</v>
      </c>
      <c r="O2809" s="0" t="n">
        <f aca="false">E2809*E2809</f>
        <v>0.140625</v>
      </c>
      <c r="P2809" s="0" t="n">
        <f aca="false">F2809*F2809</f>
        <v>1</v>
      </c>
      <c r="Q2809" s="0" t="n">
        <f aca="false">SUMPRODUCT(G2809:P2809,_XtX!$B$71:$K$71)</f>
        <v>49.571015625</v>
      </c>
      <c r="R2809" s="0" t="n">
        <f aca="false">SUMPRODUCT(MMULT(G2809:P2809,_XtX!$B$58:$K$67),G2809:P2809)</f>
        <v>0.476202392578125</v>
      </c>
      <c r="S2809" s="0" t="n">
        <f aca="false">04_回帰ANOVA!$K$19*04_回帰ANOVA!$K$14*SQRT(1+R2809)</f>
        <v>1.12963876802721</v>
      </c>
      <c r="T2809" s="0" t="n">
        <f aca="false">Q2809-S2809</f>
        <v>48.4413768569728</v>
      </c>
      <c r="U2809" s="0" t="n">
        <f aca="false">Q2809+S2809</f>
        <v>50.7006543930272</v>
      </c>
      <c r="V2809" s="54" t="b">
        <f aca="false">AND(D2809&gt;=01_因子設定!$L$5-0.000000001,D2809&lt;=01_因子設定!$M$5+0.000000001,E2809&gt;=01_因子設定!$L$6-0.000000001,E2809&lt;=01_因子設定!$M$6+0.000000001,F2809&gt;=01_因子設定!$L$7-0.000000001,F2809&lt;=01_因子設定!$M$7+0.000000001,IF(01_因子設定!$B$20="Box-Behnken",D2809^2+E2809^2+F2809^2&lt;=2+0.000000001,TRUE()))</f>
        <v>1</v>
      </c>
      <c r="W2809" s="55" t="n">
        <f aca="false">IF(V2809,IF(01_因子設定!$B$13="最大化",T2809-01_因子設定!$B$14,IF(01_因子設定!$B$13="最小化",01_因子設定!$B$15-U2809,MIN(T2809-01_因子設定!$B$14,01_因子設定!$B$15-U2809))),-1E+030)</f>
        <v>-0.0586231430271766</v>
      </c>
      <c r="X2809" s="55" t="n">
        <f aca="false">IF(V2809,IF(01_因子設定!$B$13="最大化",Q2809,IF(01_因子設定!$B$13="最小化",-Q2809,-ABS(Q2809-01_因子設定!$B$16))),-1E+030)</f>
        <v>49.571015625</v>
      </c>
      <c r="Y2809" s="55" t="n">
        <f aca="false">W2809+ROW()*0.000000001</f>
        <v>-0.0586203340271766</v>
      </c>
      <c r="Z2809" s="55" t="n">
        <f aca="false">X2809+ROW()*0.000000001</f>
        <v>49.571018434</v>
      </c>
    </row>
    <row r="2810" customFormat="false" ht="15" hidden="false" customHeight="false" outlineLevel="0" collapsed="false">
      <c r="A2810" s="0" t="n">
        <v>9</v>
      </c>
      <c r="B2810" s="0" t="n">
        <v>12</v>
      </c>
      <c r="C2810" s="0" t="n">
        <v>0</v>
      </c>
      <c r="D2810" s="0" t="n">
        <f aca="false">-1+A2810*0.125</f>
        <v>0.125</v>
      </c>
      <c r="E2810" s="0" t="n">
        <f aca="false">-1+B2810*0.125</f>
        <v>0.5</v>
      </c>
      <c r="F2810" s="0" t="n">
        <f aca="false">-1+C2810*0.125</f>
        <v>-1</v>
      </c>
      <c r="G2810" s="0" t="n">
        <f aca="false">1</f>
        <v>1</v>
      </c>
      <c r="H2810" s="0" t="n">
        <f aca="false">D2810</f>
        <v>0.125</v>
      </c>
      <c r="I2810" s="0" t="n">
        <f aca="false">E2810</f>
        <v>0.5</v>
      </c>
      <c r="J2810" s="0" t="n">
        <f aca="false">F2810</f>
        <v>-1</v>
      </c>
      <c r="K2810" s="0" t="n">
        <f aca="false">D2810*E2810</f>
        <v>0.0625</v>
      </c>
      <c r="L2810" s="0" t="n">
        <f aca="false">D2810*F2810</f>
        <v>-0.125</v>
      </c>
      <c r="M2810" s="0" t="n">
        <f aca="false">E2810*F2810</f>
        <v>-0.5</v>
      </c>
      <c r="N2810" s="0" t="n">
        <f aca="false">D2810*D2810</f>
        <v>0.015625</v>
      </c>
      <c r="O2810" s="0" t="n">
        <f aca="false">E2810*E2810</f>
        <v>0.25</v>
      </c>
      <c r="P2810" s="0" t="n">
        <f aca="false">F2810*F2810</f>
        <v>1</v>
      </c>
      <c r="Q2810" s="0" t="n">
        <f aca="false">SUMPRODUCT(G2810:P2810,_XtX!$B$71:$K$71)</f>
        <v>46.5109232954546</v>
      </c>
      <c r="R2810" s="0" t="n">
        <f aca="false">SUMPRODUCT(MMULT(G2810:P2810,_XtX!$B$58:$K$67),G2810:P2810)</f>
        <v>0.476322798295455</v>
      </c>
      <c r="S2810" s="0" t="n">
        <f aca="false">04_回帰ANOVA!$K$19*04_回帰ANOVA!$K$14*SQRT(1+R2810)</f>
        <v>1.12968483630128</v>
      </c>
      <c r="T2810" s="0" t="n">
        <f aca="false">Q2810-S2810</f>
        <v>45.3812384591533</v>
      </c>
      <c r="U2810" s="0" t="n">
        <f aca="false">Q2810+S2810</f>
        <v>47.6406081317559</v>
      </c>
      <c r="V2810" s="54" t="b">
        <f aca="false">AND(D2810&gt;=01_因子設定!$L$5-0.000000001,D2810&lt;=01_因子設定!$M$5+0.000000001,E2810&gt;=01_因子設定!$L$6-0.000000001,E2810&lt;=01_因子設定!$M$6+0.000000001,F2810&gt;=01_因子設定!$L$7-0.000000001,F2810&lt;=01_因子設定!$M$7+0.000000001,IF(01_因子設定!$B$20="Box-Behnken",D2810^2+E2810^2+F2810^2&lt;=2+0.000000001,TRUE()))</f>
        <v>1</v>
      </c>
      <c r="W2810" s="55" t="n">
        <f aca="false">IF(V2810,IF(01_因子設定!$B$13="最大化",T2810-01_因子設定!$B$14,IF(01_因子設定!$B$13="最小化",01_因子設定!$B$15-U2810,MIN(T2810-01_因子設定!$B$14,01_因子設定!$B$15-U2810))),-1E+030)</f>
        <v>-3.11876154084671</v>
      </c>
      <c r="X2810" s="55" t="n">
        <f aca="false">IF(V2810,IF(01_因子設定!$B$13="最大化",Q2810,IF(01_因子設定!$B$13="最小化",-Q2810,-ABS(Q2810-01_因子設定!$B$16))),-1E+030)</f>
        <v>46.5109232954546</v>
      </c>
      <c r="Y2810" s="55" t="n">
        <f aca="false">W2810+ROW()*0.000000001</f>
        <v>-3.11875873084671</v>
      </c>
      <c r="Z2810" s="55" t="n">
        <f aca="false">X2810+ROW()*0.000000001</f>
        <v>46.5109261054546</v>
      </c>
    </row>
    <row r="2811" customFormat="false" ht="15" hidden="false" customHeight="false" outlineLevel="0" collapsed="false">
      <c r="A2811" s="0" t="n">
        <v>9</v>
      </c>
      <c r="B2811" s="0" t="n">
        <v>12</v>
      </c>
      <c r="C2811" s="0" t="n">
        <v>1</v>
      </c>
      <c r="D2811" s="0" t="n">
        <f aca="false">-1+A2811*0.125</f>
        <v>0.125</v>
      </c>
      <c r="E2811" s="0" t="n">
        <f aca="false">-1+B2811*0.125</f>
        <v>0.5</v>
      </c>
      <c r="F2811" s="0" t="n">
        <f aca="false">-1+C2811*0.125</f>
        <v>-0.875</v>
      </c>
      <c r="G2811" s="0" t="n">
        <f aca="false">1</f>
        <v>1</v>
      </c>
      <c r="H2811" s="0" t="n">
        <f aca="false">D2811</f>
        <v>0.125</v>
      </c>
      <c r="I2811" s="0" t="n">
        <f aca="false">E2811</f>
        <v>0.5</v>
      </c>
      <c r="J2811" s="0" t="n">
        <f aca="false">F2811</f>
        <v>-0.875</v>
      </c>
      <c r="K2811" s="0" t="n">
        <f aca="false">D2811*E2811</f>
        <v>0.0625</v>
      </c>
      <c r="L2811" s="0" t="n">
        <f aca="false">D2811*F2811</f>
        <v>-0.109375</v>
      </c>
      <c r="M2811" s="0" t="n">
        <f aca="false">E2811*F2811</f>
        <v>-0.4375</v>
      </c>
      <c r="N2811" s="0" t="n">
        <f aca="false">D2811*D2811</f>
        <v>0.015625</v>
      </c>
      <c r="O2811" s="0" t="n">
        <f aca="false">E2811*E2811</f>
        <v>0.25</v>
      </c>
      <c r="P2811" s="0" t="n">
        <f aca="false">F2811*F2811</f>
        <v>0.765625</v>
      </c>
      <c r="Q2811" s="0" t="n">
        <f aca="false">SUMPRODUCT(G2811:P2811,_XtX!$B$71:$K$71)</f>
        <v>46.9851278409091</v>
      </c>
      <c r="R2811" s="0" t="n">
        <f aca="false">SUMPRODUCT(MMULT(G2811:P2811,_XtX!$B$58:$K$67),G2811:P2811)</f>
        <v>0.332909601384943</v>
      </c>
      <c r="S2811" s="0" t="n">
        <f aca="false">04_回帰ANOVA!$K$19*04_回帰ANOVA!$K$14*SQRT(1+R2811)</f>
        <v>1.07341333007404</v>
      </c>
      <c r="T2811" s="0" t="n">
        <f aca="false">Q2811-S2811</f>
        <v>45.9117145108351</v>
      </c>
      <c r="U2811" s="0" t="n">
        <f aca="false">Q2811+S2811</f>
        <v>48.0585411709832</v>
      </c>
      <c r="V2811" s="54" t="b">
        <f aca="false">AND(D2811&gt;=01_因子設定!$L$5-0.000000001,D2811&lt;=01_因子設定!$M$5+0.000000001,E2811&gt;=01_因子設定!$L$6-0.000000001,E2811&lt;=01_因子設定!$M$6+0.000000001,F2811&gt;=01_因子設定!$L$7-0.000000001,F2811&lt;=01_因子設定!$M$7+0.000000001,IF(01_因子設定!$B$20="Box-Behnken",D2811^2+E2811^2+F2811^2&lt;=2+0.000000001,TRUE()))</f>
        <v>1</v>
      </c>
      <c r="W2811" s="55" t="n">
        <f aca="false">IF(V2811,IF(01_因子設定!$B$13="最大化",T2811-01_因子設定!$B$14,IF(01_因子設定!$B$13="最小化",01_因子設定!$B$15-U2811,MIN(T2811-01_因子設定!$B$14,01_因子設定!$B$15-U2811))),-1E+030)</f>
        <v>-2.58828548916492</v>
      </c>
      <c r="X2811" s="55" t="n">
        <f aca="false">IF(V2811,IF(01_因子設定!$B$13="最大化",Q2811,IF(01_因子設定!$B$13="最小化",-Q2811,-ABS(Q2811-01_因子設定!$B$16))),-1E+030)</f>
        <v>46.9851278409091</v>
      </c>
      <c r="Y2811" s="55" t="n">
        <f aca="false">W2811+ROW()*0.000000001</f>
        <v>-2.58828267816492</v>
      </c>
      <c r="Z2811" s="55" t="n">
        <f aca="false">X2811+ROW()*0.000000001</f>
        <v>46.9851306519091</v>
      </c>
    </row>
    <row r="2812" customFormat="false" ht="15" hidden="false" customHeight="false" outlineLevel="0" collapsed="false">
      <c r="A2812" s="0" t="n">
        <v>9</v>
      </c>
      <c r="B2812" s="0" t="n">
        <v>12</v>
      </c>
      <c r="C2812" s="0" t="n">
        <v>2</v>
      </c>
      <c r="D2812" s="0" t="n">
        <f aca="false">-1+A2812*0.125</f>
        <v>0.125</v>
      </c>
      <c r="E2812" s="0" t="n">
        <f aca="false">-1+B2812*0.125</f>
        <v>0.5</v>
      </c>
      <c r="F2812" s="0" t="n">
        <f aca="false">-1+C2812*0.125</f>
        <v>-0.75</v>
      </c>
      <c r="G2812" s="0" t="n">
        <f aca="false">1</f>
        <v>1</v>
      </c>
      <c r="H2812" s="0" t="n">
        <f aca="false">D2812</f>
        <v>0.125</v>
      </c>
      <c r="I2812" s="0" t="n">
        <f aca="false">E2812</f>
        <v>0.5</v>
      </c>
      <c r="J2812" s="0" t="n">
        <f aca="false">F2812</f>
        <v>-0.75</v>
      </c>
      <c r="K2812" s="0" t="n">
        <f aca="false">D2812*E2812</f>
        <v>0.0625</v>
      </c>
      <c r="L2812" s="0" t="n">
        <f aca="false">D2812*F2812</f>
        <v>-0.09375</v>
      </c>
      <c r="M2812" s="0" t="n">
        <f aca="false">E2812*F2812</f>
        <v>-0.375</v>
      </c>
      <c r="N2812" s="0" t="n">
        <f aca="false">D2812*D2812</f>
        <v>0.015625</v>
      </c>
      <c r="O2812" s="0" t="n">
        <f aca="false">E2812*E2812</f>
        <v>0.25</v>
      </c>
      <c r="P2812" s="0" t="n">
        <f aca="false">F2812*F2812</f>
        <v>0.5625</v>
      </c>
      <c r="Q2812" s="0" t="n">
        <f aca="false">SUMPRODUCT(G2812:P2812,_XtX!$B$71:$K$71)</f>
        <v>47.4225426136364</v>
      </c>
      <c r="R2812" s="0" t="n">
        <f aca="false">SUMPRODUCT(MMULT(G2812:P2812,_XtX!$B$58:$K$67),G2812:P2812)</f>
        <v>0.240933504971591</v>
      </c>
      <c r="S2812" s="0" t="n">
        <f aca="false">04_回帰ANOVA!$K$19*04_回帰ANOVA!$K$14*SQRT(1+R2812)</f>
        <v>1.03571649118863</v>
      </c>
      <c r="T2812" s="0" t="n">
        <f aca="false">Q2812-S2812</f>
        <v>46.3868261224478</v>
      </c>
      <c r="U2812" s="0" t="n">
        <f aca="false">Q2812+S2812</f>
        <v>48.458259104825</v>
      </c>
      <c r="V2812" s="54" t="b">
        <f aca="false">AND(D2812&gt;=01_因子設定!$L$5-0.000000001,D2812&lt;=01_因子設定!$M$5+0.000000001,E2812&gt;=01_因子設定!$L$6-0.000000001,E2812&lt;=01_因子設定!$M$6+0.000000001,F2812&gt;=01_因子設定!$L$7-0.000000001,F2812&lt;=01_因子設定!$M$7+0.000000001,IF(01_因子設定!$B$20="Box-Behnken",D2812^2+E2812^2+F2812^2&lt;=2+0.000000001,TRUE()))</f>
        <v>1</v>
      </c>
      <c r="W2812" s="55" t="n">
        <f aca="false">IF(V2812,IF(01_因子設定!$B$13="最大化",T2812-01_因子設定!$B$14,IF(01_因子設定!$B$13="最小化",01_因子設定!$B$15-U2812,MIN(T2812-01_因子設定!$B$14,01_因子設定!$B$15-U2812))),-1E+030)</f>
        <v>-2.11317387755224</v>
      </c>
      <c r="X2812" s="55" t="n">
        <f aca="false">IF(V2812,IF(01_因子設定!$B$13="最大化",Q2812,IF(01_因子設定!$B$13="最小化",-Q2812,-ABS(Q2812-01_因子設定!$B$16))),-1E+030)</f>
        <v>47.4225426136364</v>
      </c>
      <c r="Y2812" s="55" t="n">
        <f aca="false">W2812+ROW()*0.000000001</f>
        <v>-2.11317106555224</v>
      </c>
      <c r="Z2812" s="55" t="n">
        <f aca="false">X2812+ROW()*0.000000001</f>
        <v>47.4225454256364</v>
      </c>
    </row>
    <row r="2813" customFormat="false" ht="15" hidden="false" customHeight="false" outlineLevel="0" collapsed="false">
      <c r="A2813" s="0" t="n">
        <v>9</v>
      </c>
      <c r="B2813" s="0" t="n">
        <v>12</v>
      </c>
      <c r="C2813" s="0" t="n">
        <v>3</v>
      </c>
      <c r="D2813" s="0" t="n">
        <f aca="false">-1+A2813*0.125</f>
        <v>0.125</v>
      </c>
      <c r="E2813" s="0" t="n">
        <f aca="false">-1+B2813*0.125</f>
        <v>0.5</v>
      </c>
      <c r="F2813" s="0" t="n">
        <f aca="false">-1+C2813*0.125</f>
        <v>-0.625</v>
      </c>
      <c r="G2813" s="0" t="n">
        <f aca="false">1</f>
        <v>1</v>
      </c>
      <c r="H2813" s="0" t="n">
        <f aca="false">D2813</f>
        <v>0.125</v>
      </c>
      <c r="I2813" s="0" t="n">
        <f aca="false">E2813</f>
        <v>0.5</v>
      </c>
      <c r="J2813" s="0" t="n">
        <f aca="false">F2813</f>
        <v>-0.625</v>
      </c>
      <c r="K2813" s="0" t="n">
        <f aca="false">D2813*E2813</f>
        <v>0.0625</v>
      </c>
      <c r="L2813" s="0" t="n">
        <f aca="false">D2813*F2813</f>
        <v>-0.078125</v>
      </c>
      <c r="M2813" s="0" t="n">
        <f aca="false">E2813*F2813</f>
        <v>-0.3125</v>
      </c>
      <c r="N2813" s="0" t="n">
        <f aca="false">D2813*D2813</f>
        <v>0.015625</v>
      </c>
      <c r="O2813" s="0" t="n">
        <f aca="false">E2813*E2813</f>
        <v>0.25</v>
      </c>
      <c r="P2813" s="0" t="n">
        <f aca="false">F2813*F2813</f>
        <v>0.390625</v>
      </c>
      <c r="Q2813" s="0" t="n">
        <f aca="false">SUMPRODUCT(G2813:P2813,_XtX!$B$71:$K$71)</f>
        <v>47.8231676136364</v>
      </c>
      <c r="R2813" s="0" t="n">
        <f aca="false">SUMPRODUCT(MMULT(G2813:P2813,_XtX!$B$58:$K$67),G2813:P2813)</f>
        <v>0.186545077237216</v>
      </c>
      <c r="S2813" s="0" t="n">
        <f aca="false">04_回帰ANOVA!$K$19*04_回帰ANOVA!$K$14*SQRT(1+R2813)</f>
        <v>1.01276516970713</v>
      </c>
      <c r="T2813" s="0" t="n">
        <f aca="false">Q2813-S2813</f>
        <v>46.8104024439293</v>
      </c>
      <c r="U2813" s="0" t="n">
        <f aca="false">Q2813+S2813</f>
        <v>48.8359327833435</v>
      </c>
      <c r="V2813" s="54" t="b">
        <f aca="false">AND(D2813&gt;=01_因子設定!$L$5-0.000000001,D2813&lt;=01_因子設定!$M$5+0.000000001,E2813&gt;=01_因子設定!$L$6-0.000000001,E2813&lt;=01_因子設定!$M$6+0.000000001,F2813&gt;=01_因子設定!$L$7-0.000000001,F2813&lt;=01_因子設定!$M$7+0.000000001,IF(01_因子設定!$B$20="Box-Behnken",D2813^2+E2813^2+F2813^2&lt;=2+0.000000001,TRUE()))</f>
        <v>1</v>
      </c>
      <c r="W2813" s="55" t="n">
        <f aca="false">IF(V2813,IF(01_因子設定!$B$13="最大化",T2813-01_因子設定!$B$14,IF(01_因子設定!$B$13="最小化",01_因子設定!$B$15-U2813,MIN(T2813-01_因子設定!$B$14,01_因子設定!$B$15-U2813))),-1E+030)</f>
        <v>-1.68959755607075</v>
      </c>
      <c r="X2813" s="55" t="n">
        <f aca="false">IF(V2813,IF(01_因子設定!$B$13="最大化",Q2813,IF(01_因子設定!$B$13="最小化",-Q2813,-ABS(Q2813-01_因子設定!$B$16))),-1E+030)</f>
        <v>47.8231676136364</v>
      </c>
      <c r="Y2813" s="55" t="n">
        <f aca="false">W2813+ROW()*0.000000001</f>
        <v>-1.68959474307075</v>
      </c>
      <c r="Z2813" s="55" t="n">
        <f aca="false">X2813+ROW()*0.000000001</f>
        <v>47.8231704266364</v>
      </c>
    </row>
    <row r="2814" customFormat="false" ht="15" hidden="false" customHeight="false" outlineLevel="0" collapsed="false">
      <c r="A2814" s="0" t="n">
        <v>9</v>
      </c>
      <c r="B2814" s="0" t="n">
        <v>12</v>
      </c>
      <c r="C2814" s="0" t="n">
        <v>4</v>
      </c>
      <c r="D2814" s="0" t="n">
        <f aca="false">-1+A2814*0.125</f>
        <v>0.125</v>
      </c>
      <c r="E2814" s="0" t="n">
        <f aca="false">-1+B2814*0.125</f>
        <v>0.5</v>
      </c>
      <c r="F2814" s="0" t="n">
        <f aca="false">-1+C2814*0.125</f>
        <v>-0.5</v>
      </c>
      <c r="G2814" s="0" t="n">
        <f aca="false">1</f>
        <v>1</v>
      </c>
      <c r="H2814" s="0" t="n">
        <f aca="false">D2814</f>
        <v>0.125</v>
      </c>
      <c r="I2814" s="0" t="n">
        <f aca="false">E2814</f>
        <v>0.5</v>
      </c>
      <c r="J2814" s="0" t="n">
        <f aca="false">F2814</f>
        <v>-0.5</v>
      </c>
      <c r="K2814" s="0" t="n">
        <f aca="false">D2814*E2814</f>
        <v>0.0625</v>
      </c>
      <c r="L2814" s="0" t="n">
        <f aca="false">D2814*F2814</f>
        <v>-0.0625</v>
      </c>
      <c r="M2814" s="0" t="n">
        <f aca="false">E2814*F2814</f>
        <v>-0.25</v>
      </c>
      <c r="N2814" s="0" t="n">
        <f aca="false">D2814*D2814</f>
        <v>0.015625</v>
      </c>
      <c r="O2814" s="0" t="n">
        <f aca="false">E2814*E2814</f>
        <v>0.25</v>
      </c>
      <c r="P2814" s="0" t="n">
        <f aca="false">F2814*F2814</f>
        <v>0.25</v>
      </c>
      <c r="Q2814" s="0" t="n">
        <f aca="false">SUMPRODUCT(G2814:P2814,_XtX!$B$71:$K$71)</f>
        <v>48.1870028409091</v>
      </c>
      <c r="R2814" s="0" t="n">
        <f aca="false">SUMPRODUCT(MMULT(G2814:P2814,_XtX!$B$58:$K$67),G2814:P2814)</f>
        <v>0.158025568181818</v>
      </c>
      <c r="S2814" s="0" t="n">
        <f aca="false">04_回帰ANOVA!$K$19*04_回帰ANOVA!$K$14*SQRT(1+R2814)</f>
        <v>1.00051985207691</v>
      </c>
      <c r="T2814" s="0" t="n">
        <f aca="false">Q2814-S2814</f>
        <v>47.1864829888322</v>
      </c>
      <c r="U2814" s="0" t="n">
        <f aca="false">Q2814+S2814</f>
        <v>49.187522692986</v>
      </c>
      <c r="V2814" s="54" t="b">
        <f aca="false">AND(D2814&gt;=01_因子設定!$L$5-0.000000001,D2814&lt;=01_因子設定!$M$5+0.000000001,E2814&gt;=01_因子設定!$L$6-0.000000001,E2814&lt;=01_因子設定!$M$6+0.000000001,F2814&gt;=01_因子設定!$L$7-0.000000001,F2814&lt;=01_因子設定!$M$7+0.000000001,IF(01_因子設定!$B$20="Box-Behnken",D2814^2+E2814^2+F2814^2&lt;=2+0.000000001,TRUE()))</f>
        <v>1</v>
      </c>
      <c r="W2814" s="55" t="n">
        <f aca="false">IF(V2814,IF(01_因子設定!$B$13="最大化",T2814-01_因子設定!$B$14,IF(01_因子設定!$B$13="最小化",01_因子設定!$B$15-U2814,MIN(T2814-01_因子設定!$B$14,01_因子設定!$B$15-U2814))),-1E+030)</f>
        <v>-1.3135170111678</v>
      </c>
      <c r="X2814" s="55" t="n">
        <f aca="false">IF(V2814,IF(01_因子設定!$B$13="最大化",Q2814,IF(01_因子設定!$B$13="最小化",-Q2814,-ABS(Q2814-01_因子設定!$B$16))),-1E+030)</f>
        <v>48.1870028409091</v>
      </c>
      <c r="Y2814" s="55" t="n">
        <f aca="false">W2814+ROW()*0.000000001</f>
        <v>-1.3135141971678</v>
      </c>
      <c r="Z2814" s="55" t="n">
        <f aca="false">X2814+ROW()*0.000000001</f>
        <v>48.1870056549091</v>
      </c>
    </row>
    <row r="2815" customFormat="false" ht="15" hidden="false" customHeight="false" outlineLevel="0" collapsed="false">
      <c r="A2815" s="0" t="n">
        <v>9</v>
      </c>
      <c r="B2815" s="0" t="n">
        <v>12</v>
      </c>
      <c r="C2815" s="0" t="n">
        <v>5</v>
      </c>
      <c r="D2815" s="0" t="n">
        <f aca="false">-1+A2815*0.125</f>
        <v>0.125</v>
      </c>
      <c r="E2815" s="0" t="n">
        <f aca="false">-1+B2815*0.125</f>
        <v>0.5</v>
      </c>
      <c r="F2815" s="0" t="n">
        <f aca="false">-1+C2815*0.125</f>
        <v>-0.375</v>
      </c>
      <c r="G2815" s="0" t="n">
        <f aca="false">1</f>
        <v>1</v>
      </c>
      <c r="H2815" s="0" t="n">
        <f aca="false">D2815</f>
        <v>0.125</v>
      </c>
      <c r="I2815" s="0" t="n">
        <f aca="false">E2815</f>
        <v>0.5</v>
      </c>
      <c r="J2815" s="0" t="n">
        <f aca="false">F2815</f>
        <v>-0.375</v>
      </c>
      <c r="K2815" s="0" t="n">
        <f aca="false">D2815*E2815</f>
        <v>0.0625</v>
      </c>
      <c r="L2815" s="0" t="n">
        <f aca="false">D2815*F2815</f>
        <v>-0.046875</v>
      </c>
      <c r="M2815" s="0" t="n">
        <f aca="false">E2815*F2815</f>
        <v>-0.1875</v>
      </c>
      <c r="N2815" s="0" t="n">
        <f aca="false">D2815*D2815</f>
        <v>0.015625</v>
      </c>
      <c r="O2815" s="0" t="n">
        <f aca="false">E2815*E2815</f>
        <v>0.25</v>
      </c>
      <c r="P2815" s="0" t="n">
        <f aca="false">F2815*F2815</f>
        <v>0.140625</v>
      </c>
      <c r="Q2815" s="0" t="n">
        <f aca="false">SUMPRODUCT(G2815:P2815,_XtX!$B$71:$K$71)</f>
        <v>48.5140482954546</v>
      </c>
      <c r="R2815" s="0" t="n">
        <f aca="false">SUMPRODUCT(MMULT(G2815:P2815,_XtX!$B$58:$K$67),G2815:P2815)</f>
        <v>0.14578690962358</v>
      </c>
      <c r="S2815" s="0" t="n">
        <f aca="false">04_回帰ANOVA!$K$19*04_回帰ANOVA!$K$14*SQRT(1+R2815)</f>
        <v>0.995218783457917</v>
      </c>
      <c r="T2815" s="0" t="n">
        <f aca="false">Q2815-S2815</f>
        <v>47.5188295119966</v>
      </c>
      <c r="U2815" s="0" t="n">
        <f aca="false">Q2815+S2815</f>
        <v>49.5092670789125</v>
      </c>
      <c r="V2815" s="54" t="b">
        <f aca="false">AND(D2815&gt;=01_因子設定!$L$5-0.000000001,D2815&lt;=01_因子設定!$M$5+0.000000001,E2815&gt;=01_因子設定!$L$6-0.000000001,E2815&lt;=01_因子設定!$M$6+0.000000001,F2815&gt;=01_因子設定!$L$7-0.000000001,F2815&lt;=01_因子設定!$M$7+0.000000001,IF(01_因子設定!$B$20="Box-Behnken",D2815^2+E2815^2+F2815^2&lt;=2+0.000000001,TRUE()))</f>
        <v>1</v>
      </c>
      <c r="W2815" s="55" t="n">
        <f aca="false">IF(V2815,IF(01_因子設定!$B$13="最大化",T2815-01_因子設定!$B$14,IF(01_因子設定!$B$13="最小化",01_因子設定!$B$15-U2815,MIN(T2815-01_因子設定!$B$14,01_因子設定!$B$15-U2815))),-1E+030)</f>
        <v>-0.981170488003357</v>
      </c>
      <c r="X2815" s="55" t="n">
        <f aca="false">IF(V2815,IF(01_因子設定!$B$13="最大化",Q2815,IF(01_因子設定!$B$13="最小化",-Q2815,-ABS(Q2815-01_因子設定!$B$16))),-1E+030)</f>
        <v>48.5140482954546</v>
      </c>
      <c r="Y2815" s="55" t="n">
        <f aca="false">W2815+ROW()*0.000000001</f>
        <v>-0.981167673003357</v>
      </c>
      <c r="Z2815" s="55" t="n">
        <f aca="false">X2815+ROW()*0.000000001</f>
        <v>48.5140511104546</v>
      </c>
    </row>
    <row r="2816" customFormat="false" ht="15" hidden="false" customHeight="false" outlineLevel="0" collapsed="false">
      <c r="A2816" s="0" t="n">
        <v>9</v>
      </c>
      <c r="B2816" s="0" t="n">
        <v>12</v>
      </c>
      <c r="C2816" s="0" t="n">
        <v>6</v>
      </c>
      <c r="D2816" s="0" t="n">
        <f aca="false">-1+A2816*0.125</f>
        <v>0.125</v>
      </c>
      <c r="E2816" s="0" t="n">
        <f aca="false">-1+B2816*0.125</f>
        <v>0.5</v>
      </c>
      <c r="F2816" s="0" t="n">
        <f aca="false">-1+C2816*0.125</f>
        <v>-0.25</v>
      </c>
      <c r="G2816" s="0" t="n">
        <f aca="false">1</f>
        <v>1</v>
      </c>
      <c r="H2816" s="0" t="n">
        <f aca="false">D2816</f>
        <v>0.125</v>
      </c>
      <c r="I2816" s="0" t="n">
        <f aca="false">E2816</f>
        <v>0.5</v>
      </c>
      <c r="J2816" s="0" t="n">
        <f aca="false">F2816</f>
        <v>-0.25</v>
      </c>
      <c r="K2816" s="0" t="n">
        <f aca="false">D2816*E2816</f>
        <v>0.0625</v>
      </c>
      <c r="L2816" s="0" t="n">
        <f aca="false">D2816*F2816</f>
        <v>-0.03125</v>
      </c>
      <c r="M2816" s="0" t="n">
        <f aca="false">E2816*F2816</f>
        <v>-0.125</v>
      </c>
      <c r="N2816" s="0" t="n">
        <f aca="false">D2816*D2816</f>
        <v>0.015625</v>
      </c>
      <c r="O2816" s="0" t="n">
        <f aca="false">E2816*E2816</f>
        <v>0.25</v>
      </c>
      <c r="P2816" s="0" t="n">
        <f aca="false">F2816*F2816</f>
        <v>0.0625</v>
      </c>
      <c r="Q2816" s="0" t="n">
        <f aca="false">SUMPRODUCT(G2816:P2816,_XtX!$B$71:$K$71)</f>
        <v>48.8043039772727</v>
      </c>
      <c r="R2816" s="0" t="n">
        <f aca="false">SUMPRODUCT(MMULT(G2816:P2816,_XtX!$B$58:$K$67),G2816:P2816)</f>
        <v>0.142371715198864</v>
      </c>
      <c r="S2816" s="0" t="n">
        <f aca="false">04_回帰ANOVA!$K$19*04_回帰ANOVA!$K$14*SQRT(1+R2816)</f>
        <v>0.99373447511735</v>
      </c>
      <c r="T2816" s="0" t="n">
        <f aca="false">Q2816-S2816</f>
        <v>47.8105695021554</v>
      </c>
      <c r="U2816" s="0" t="n">
        <f aca="false">Q2816+S2816</f>
        <v>49.7980384523901</v>
      </c>
      <c r="V2816" s="54" t="b">
        <f aca="false">AND(D2816&gt;=01_因子設定!$L$5-0.000000001,D2816&lt;=01_因子設定!$M$5+0.000000001,E2816&gt;=01_因子設定!$L$6-0.000000001,E2816&lt;=01_因子設定!$M$6+0.000000001,F2816&gt;=01_因子設定!$L$7-0.000000001,F2816&lt;=01_因子設定!$M$7+0.000000001,IF(01_因子設定!$B$20="Box-Behnken",D2816^2+E2816^2+F2816^2&lt;=2+0.000000001,TRUE()))</f>
        <v>1</v>
      </c>
      <c r="W2816" s="55" t="n">
        <f aca="false">IF(V2816,IF(01_因子設定!$B$13="最大化",T2816-01_因子設定!$B$14,IF(01_因子設定!$B$13="最小化",01_因子設定!$B$15-U2816,MIN(T2816-01_因子設定!$B$14,01_因子設定!$B$15-U2816))),-1E+030)</f>
        <v>-0.689430497844612</v>
      </c>
      <c r="X2816" s="55" t="n">
        <f aca="false">IF(V2816,IF(01_因子設定!$B$13="最大化",Q2816,IF(01_因子設定!$B$13="最小化",-Q2816,-ABS(Q2816-01_因子設定!$B$16))),-1E+030)</f>
        <v>48.8043039772727</v>
      </c>
      <c r="Y2816" s="55" t="n">
        <f aca="false">W2816+ROW()*0.000000001</f>
        <v>-0.689427681844612</v>
      </c>
      <c r="Z2816" s="55" t="n">
        <f aca="false">X2816+ROW()*0.000000001</f>
        <v>48.8043067932727</v>
      </c>
    </row>
    <row r="2817" customFormat="false" ht="15" hidden="false" customHeight="false" outlineLevel="0" collapsed="false">
      <c r="A2817" s="0" t="n">
        <v>9</v>
      </c>
      <c r="B2817" s="0" t="n">
        <v>12</v>
      </c>
      <c r="C2817" s="0" t="n">
        <v>7</v>
      </c>
      <c r="D2817" s="0" t="n">
        <f aca="false">-1+A2817*0.125</f>
        <v>0.125</v>
      </c>
      <c r="E2817" s="0" t="n">
        <f aca="false">-1+B2817*0.125</f>
        <v>0.5</v>
      </c>
      <c r="F2817" s="0" t="n">
        <f aca="false">-1+C2817*0.125</f>
        <v>-0.125</v>
      </c>
      <c r="G2817" s="0" t="n">
        <f aca="false">1</f>
        <v>1</v>
      </c>
      <c r="H2817" s="0" t="n">
        <f aca="false">D2817</f>
        <v>0.125</v>
      </c>
      <c r="I2817" s="0" t="n">
        <f aca="false">E2817</f>
        <v>0.5</v>
      </c>
      <c r="J2817" s="0" t="n">
        <f aca="false">F2817</f>
        <v>-0.125</v>
      </c>
      <c r="K2817" s="0" t="n">
        <f aca="false">D2817*E2817</f>
        <v>0.0625</v>
      </c>
      <c r="L2817" s="0" t="n">
        <f aca="false">D2817*F2817</f>
        <v>-0.015625</v>
      </c>
      <c r="M2817" s="0" t="n">
        <f aca="false">E2817*F2817</f>
        <v>-0.0625</v>
      </c>
      <c r="N2817" s="0" t="n">
        <f aca="false">D2817*D2817</f>
        <v>0.015625</v>
      </c>
      <c r="O2817" s="0" t="n">
        <f aca="false">E2817*E2817</f>
        <v>0.25</v>
      </c>
      <c r="P2817" s="0" t="n">
        <f aca="false">F2817*F2817</f>
        <v>0.015625</v>
      </c>
      <c r="Q2817" s="0" t="n">
        <f aca="false">SUMPRODUCT(G2817:P2817,_XtX!$B$71:$K$71)</f>
        <v>49.0577698863636</v>
      </c>
      <c r="R2817" s="0" t="n">
        <f aca="false">SUMPRODUCT(MMULT(G2817:P2817,_XtX!$B$58:$K$67),G2817:P2817)</f>
        <v>0.142453280362216</v>
      </c>
      <c r="S2817" s="0" t="n">
        <f aca="false">04_回帰ANOVA!$K$19*04_回帰ANOVA!$K$14*SQRT(1+R2817)</f>
        <v>0.99376995072785</v>
      </c>
      <c r="T2817" s="0" t="n">
        <f aca="false">Q2817-S2817</f>
        <v>48.0639999356358</v>
      </c>
      <c r="U2817" s="0" t="n">
        <f aca="false">Q2817+S2817</f>
        <v>50.0515398370915</v>
      </c>
      <c r="V2817" s="54" t="b">
        <f aca="false">AND(D2817&gt;=01_因子設定!$L$5-0.000000001,D2817&lt;=01_因子設定!$M$5+0.000000001,E2817&gt;=01_因子設定!$L$6-0.000000001,E2817&lt;=01_因子設定!$M$6+0.000000001,F2817&gt;=01_因子設定!$L$7-0.000000001,F2817&lt;=01_因子設定!$M$7+0.000000001,IF(01_因子設定!$B$20="Box-Behnken",D2817^2+E2817^2+F2817^2&lt;=2+0.000000001,TRUE()))</f>
        <v>1</v>
      </c>
      <c r="W2817" s="55" t="n">
        <f aca="false">IF(V2817,IF(01_因子設定!$B$13="最大化",T2817-01_因子設定!$B$14,IF(01_因子設定!$B$13="最小化",01_因子設定!$B$15-U2817,MIN(T2817-01_因子設定!$B$14,01_因子設定!$B$15-U2817))),-1E+030)</f>
        <v>-0.436000064364208</v>
      </c>
      <c r="X2817" s="55" t="n">
        <f aca="false">IF(V2817,IF(01_因子設定!$B$13="最大化",Q2817,IF(01_因子設定!$B$13="最小化",-Q2817,-ABS(Q2817-01_因子設定!$B$16))),-1E+030)</f>
        <v>49.0577698863636</v>
      </c>
      <c r="Y2817" s="55" t="n">
        <f aca="false">W2817+ROW()*0.000000001</f>
        <v>-0.435997247364208</v>
      </c>
      <c r="Z2817" s="55" t="n">
        <f aca="false">X2817+ROW()*0.000000001</f>
        <v>49.0577727033636</v>
      </c>
    </row>
    <row r="2818" customFormat="false" ht="15" hidden="false" customHeight="false" outlineLevel="0" collapsed="false">
      <c r="A2818" s="0" t="n">
        <v>9</v>
      </c>
      <c r="B2818" s="0" t="n">
        <v>12</v>
      </c>
      <c r="C2818" s="0" t="n">
        <v>8</v>
      </c>
      <c r="D2818" s="0" t="n">
        <f aca="false">-1+A2818*0.125</f>
        <v>0.125</v>
      </c>
      <c r="E2818" s="0" t="n">
        <f aca="false">-1+B2818*0.125</f>
        <v>0.5</v>
      </c>
      <c r="F2818" s="0" t="n">
        <f aca="false">-1+C2818*0.125</f>
        <v>0</v>
      </c>
      <c r="G2818" s="0" t="n">
        <f aca="false">1</f>
        <v>1</v>
      </c>
      <c r="H2818" s="0" t="n">
        <f aca="false">D2818</f>
        <v>0.125</v>
      </c>
      <c r="I2818" s="0" t="n">
        <f aca="false">E2818</f>
        <v>0.5</v>
      </c>
      <c r="J2818" s="0" t="n">
        <f aca="false">F2818</f>
        <v>0</v>
      </c>
      <c r="K2818" s="0" t="n">
        <f aca="false">D2818*E2818</f>
        <v>0.0625</v>
      </c>
      <c r="L2818" s="0" t="n">
        <f aca="false">D2818*F2818</f>
        <v>0</v>
      </c>
      <c r="M2818" s="0" t="n">
        <f aca="false">E2818*F2818</f>
        <v>0</v>
      </c>
      <c r="N2818" s="0" t="n">
        <f aca="false">D2818*D2818</f>
        <v>0.015625</v>
      </c>
      <c r="O2818" s="0" t="n">
        <f aca="false">E2818*E2818</f>
        <v>0.25</v>
      </c>
      <c r="P2818" s="0" t="n">
        <f aca="false">F2818*F2818</f>
        <v>0</v>
      </c>
      <c r="Q2818" s="0" t="n">
        <f aca="false">SUMPRODUCT(G2818:P2818,_XtX!$B$71:$K$71)</f>
        <v>49.2744460227273</v>
      </c>
      <c r="R2818" s="0" t="n">
        <f aca="false">SUMPRODUCT(MMULT(G2818:P2818,_XtX!$B$58:$K$67),G2818:P2818)</f>
        <v>0.142835582386364</v>
      </c>
      <c r="S2818" s="0" t="n">
        <f aca="false">04_回帰ANOVA!$K$19*04_回帰ANOVA!$K$14*SQRT(1+R2818)</f>
        <v>0.993936210693193</v>
      </c>
      <c r="T2818" s="0" t="n">
        <f aca="false">Q2818-S2818</f>
        <v>48.2805098120341</v>
      </c>
      <c r="U2818" s="0" t="n">
        <f aca="false">Q2818+S2818</f>
        <v>50.2683822334205</v>
      </c>
      <c r="V2818" s="54" t="b">
        <f aca="false">AND(D2818&gt;=01_因子設定!$L$5-0.000000001,D2818&lt;=01_因子設定!$M$5+0.000000001,E2818&gt;=01_因子設定!$L$6-0.000000001,E2818&lt;=01_因子設定!$M$6+0.000000001,F2818&gt;=01_因子設定!$L$7-0.000000001,F2818&lt;=01_因子設定!$M$7+0.000000001,IF(01_因子設定!$B$20="Box-Behnken",D2818^2+E2818^2+F2818^2&lt;=2+0.000000001,TRUE()))</f>
        <v>1</v>
      </c>
      <c r="W2818" s="55" t="n">
        <f aca="false">IF(V2818,IF(01_因子設定!$B$13="最大化",T2818-01_因子設定!$B$14,IF(01_因子設定!$B$13="最小化",01_因子設定!$B$15-U2818,MIN(T2818-01_因子設定!$B$14,01_因子設定!$B$15-U2818))),-1E+030)</f>
        <v>-0.21949018796591</v>
      </c>
      <c r="X2818" s="55" t="n">
        <f aca="false">IF(V2818,IF(01_因子設定!$B$13="最大化",Q2818,IF(01_因子設定!$B$13="最小化",-Q2818,-ABS(Q2818-01_因子設定!$B$16))),-1E+030)</f>
        <v>49.2744460227273</v>
      </c>
      <c r="Y2818" s="55" t="n">
        <f aca="false">W2818+ROW()*0.000000001</f>
        <v>-0.21948736996591</v>
      </c>
      <c r="Z2818" s="55" t="n">
        <f aca="false">X2818+ROW()*0.000000001</f>
        <v>49.2744488407273</v>
      </c>
    </row>
    <row r="2819" customFormat="false" ht="15" hidden="false" customHeight="false" outlineLevel="0" collapsed="false">
      <c r="A2819" s="0" t="n">
        <v>9</v>
      </c>
      <c r="B2819" s="0" t="n">
        <v>12</v>
      </c>
      <c r="C2819" s="0" t="n">
        <v>9</v>
      </c>
      <c r="D2819" s="0" t="n">
        <f aca="false">-1+A2819*0.125</f>
        <v>0.125</v>
      </c>
      <c r="E2819" s="0" t="n">
        <f aca="false">-1+B2819*0.125</f>
        <v>0.5</v>
      </c>
      <c r="F2819" s="0" t="n">
        <f aca="false">-1+C2819*0.125</f>
        <v>0.125</v>
      </c>
      <c r="G2819" s="0" t="n">
        <f aca="false">1</f>
        <v>1</v>
      </c>
      <c r="H2819" s="0" t="n">
        <f aca="false">D2819</f>
        <v>0.125</v>
      </c>
      <c r="I2819" s="0" t="n">
        <f aca="false">E2819</f>
        <v>0.5</v>
      </c>
      <c r="J2819" s="0" t="n">
        <f aca="false">F2819</f>
        <v>0.125</v>
      </c>
      <c r="K2819" s="0" t="n">
        <f aca="false">D2819*E2819</f>
        <v>0.0625</v>
      </c>
      <c r="L2819" s="0" t="n">
        <f aca="false">D2819*F2819</f>
        <v>0.015625</v>
      </c>
      <c r="M2819" s="0" t="n">
        <f aca="false">E2819*F2819</f>
        <v>0.0625</v>
      </c>
      <c r="N2819" s="0" t="n">
        <f aca="false">D2819*D2819</f>
        <v>0.015625</v>
      </c>
      <c r="O2819" s="0" t="n">
        <f aca="false">E2819*E2819</f>
        <v>0.25</v>
      </c>
      <c r="P2819" s="0" t="n">
        <f aca="false">F2819*F2819</f>
        <v>0.015625</v>
      </c>
      <c r="Q2819" s="0" t="n">
        <f aca="false">SUMPRODUCT(G2819:P2819,_XtX!$B$71:$K$71)</f>
        <v>49.4543323863636</v>
      </c>
      <c r="R2819" s="0" t="n">
        <f aca="false">SUMPRODUCT(MMULT(G2819:P2819,_XtX!$B$58:$K$67),G2819:P2819)</f>
        <v>0.142453280362216</v>
      </c>
      <c r="S2819" s="0" t="n">
        <f aca="false">04_回帰ANOVA!$K$19*04_回帰ANOVA!$K$14*SQRT(1+R2819)</f>
        <v>0.99376995072785</v>
      </c>
      <c r="T2819" s="0" t="n">
        <f aca="false">Q2819-S2819</f>
        <v>48.4605624356358</v>
      </c>
      <c r="U2819" s="0" t="n">
        <f aca="false">Q2819+S2819</f>
        <v>50.4481023370915</v>
      </c>
      <c r="V2819" s="54" t="b">
        <f aca="false">AND(D2819&gt;=01_因子設定!$L$5-0.000000001,D2819&lt;=01_因子設定!$M$5+0.000000001,E2819&gt;=01_因子設定!$L$6-0.000000001,E2819&lt;=01_因子設定!$M$6+0.000000001,F2819&gt;=01_因子設定!$L$7-0.000000001,F2819&lt;=01_因子設定!$M$7+0.000000001,IF(01_因子設定!$B$20="Box-Behnken",D2819^2+E2819^2+F2819^2&lt;=2+0.000000001,TRUE()))</f>
        <v>1</v>
      </c>
      <c r="W2819" s="55" t="n">
        <f aca="false">IF(V2819,IF(01_因子設定!$B$13="最大化",T2819-01_因子設定!$B$14,IF(01_因子設定!$B$13="最小化",01_因子設定!$B$15-U2819,MIN(T2819-01_因子設定!$B$14,01_因子設定!$B$15-U2819))),-1E+030)</f>
        <v>-0.0394375643642064</v>
      </c>
      <c r="X2819" s="55" t="n">
        <f aca="false">IF(V2819,IF(01_因子設定!$B$13="最大化",Q2819,IF(01_因子設定!$B$13="最小化",-Q2819,-ABS(Q2819-01_因子設定!$B$16))),-1E+030)</f>
        <v>49.4543323863636</v>
      </c>
      <c r="Y2819" s="55" t="n">
        <f aca="false">W2819+ROW()*0.000000001</f>
        <v>-0.0394347453642064</v>
      </c>
      <c r="Z2819" s="55" t="n">
        <f aca="false">X2819+ROW()*0.000000001</f>
        <v>49.4543352053637</v>
      </c>
    </row>
    <row r="2820" customFormat="false" ht="15" hidden="false" customHeight="false" outlineLevel="0" collapsed="false">
      <c r="A2820" s="0" t="n">
        <v>9</v>
      </c>
      <c r="B2820" s="0" t="n">
        <v>12</v>
      </c>
      <c r="C2820" s="0" t="n">
        <v>10</v>
      </c>
      <c r="D2820" s="0" t="n">
        <f aca="false">-1+A2820*0.125</f>
        <v>0.125</v>
      </c>
      <c r="E2820" s="0" t="n">
        <f aca="false">-1+B2820*0.125</f>
        <v>0.5</v>
      </c>
      <c r="F2820" s="0" t="n">
        <f aca="false">-1+C2820*0.125</f>
        <v>0.25</v>
      </c>
      <c r="G2820" s="0" t="n">
        <f aca="false">1</f>
        <v>1</v>
      </c>
      <c r="H2820" s="0" t="n">
        <f aca="false">D2820</f>
        <v>0.125</v>
      </c>
      <c r="I2820" s="0" t="n">
        <f aca="false">E2820</f>
        <v>0.5</v>
      </c>
      <c r="J2820" s="0" t="n">
        <f aca="false">F2820</f>
        <v>0.25</v>
      </c>
      <c r="K2820" s="0" t="n">
        <f aca="false">D2820*E2820</f>
        <v>0.0625</v>
      </c>
      <c r="L2820" s="0" t="n">
        <f aca="false">D2820*F2820</f>
        <v>0.03125</v>
      </c>
      <c r="M2820" s="0" t="n">
        <f aca="false">E2820*F2820</f>
        <v>0.125</v>
      </c>
      <c r="N2820" s="0" t="n">
        <f aca="false">D2820*D2820</f>
        <v>0.015625</v>
      </c>
      <c r="O2820" s="0" t="n">
        <f aca="false">E2820*E2820</f>
        <v>0.25</v>
      </c>
      <c r="P2820" s="0" t="n">
        <f aca="false">F2820*F2820</f>
        <v>0.0625</v>
      </c>
      <c r="Q2820" s="0" t="n">
        <f aca="false">SUMPRODUCT(G2820:P2820,_XtX!$B$71:$K$71)</f>
        <v>49.5974289772727</v>
      </c>
      <c r="R2820" s="0" t="n">
        <f aca="false">SUMPRODUCT(MMULT(G2820:P2820,_XtX!$B$58:$K$67),G2820:P2820)</f>
        <v>0.142371715198864</v>
      </c>
      <c r="S2820" s="0" t="n">
        <f aca="false">04_回帰ANOVA!$K$19*04_回帰ANOVA!$K$14*SQRT(1+R2820)</f>
        <v>0.99373447511735</v>
      </c>
      <c r="T2820" s="0" t="n">
        <f aca="false">Q2820-S2820</f>
        <v>48.6036945021554</v>
      </c>
      <c r="U2820" s="0" t="n">
        <f aca="false">Q2820+S2820</f>
        <v>50.5911634523901</v>
      </c>
      <c r="V2820" s="54" t="b">
        <f aca="false">AND(D2820&gt;=01_因子設定!$L$5-0.000000001,D2820&lt;=01_因子設定!$M$5+0.000000001,E2820&gt;=01_因子設定!$L$6-0.000000001,E2820&lt;=01_因子設定!$M$6+0.000000001,F2820&gt;=01_因子設定!$L$7-0.000000001,F2820&lt;=01_因子設定!$M$7+0.000000001,IF(01_因子設定!$B$20="Box-Behnken",D2820^2+E2820^2+F2820^2&lt;=2+0.000000001,TRUE()))</f>
        <v>1</v>
      </c>
      <c r="W2820" s="55" t="n">
        <f aca="false">IF(V2820,IF(01_因子設定!$B$13="最大化",T2820-01_因子設定!$B$14,IF(01_因子設定!$B$13="最小化",01_因子設定!$B$15-U2820,MIN(T2820-01_因子設定!$B$14,01_因子設定!$B$15-U2820))),-1E+030)</f>
        <v>0.103694502155385</v>
      </c>
      <c r="X2820" s="55" t="n">
        <f aca="false">IF(V2820,IF(01_因子設定!$B$13="最大化",Q2820,IF(01_因子設定!$B$13="最小化",-Q2820,-ABS(Q2820-01_因子設定!$B$16))),-1E+030)</f>
        <v>49.5974289772727</v>
      </c>
      <c r="Y2820" s="55" t="n">
        <f aca="false">W2820+ROW()*0.000000001</f>
        <v>0.103697322155385</v>
      </c>
      <c r="Z2820" s="55" t="n">
        <f aca="false">X2820+ROW()*0.000000001</f>
        <v>49.5974317972727</v>
      </c>
    </row>
    <row r="2821" customFormat="false" ht="15" hidden="false" customHeight="false" outlineLevel="0" collapsed="false">
      <c r="A2821" s="0" t="n">
        <v>9</v>
      </c>
      <c r="B2821" s="0" t="n">
        <v>12</v>
      </c>
      <c r="C2821" s="0" t="n">
        <v>11</v>
      </c>
      <c r="D2821" s="0" t="n">
        <f aca="false">-1+A2821*0.125</f>
        <v>0.125</v>
      </c>
      <c r="E2821" s="0" t="n">
        <f aca="false">-1+B2821*0.125</f>
        <v>0.5</v>
      </c>
      <c r="F2821" s="0" t="n">
        <f aca="false">-1+C2821*0.125</f>
        <v>0.375</v>
      </c>
      <c r="G2821" s="0" t="n">
        <f aca="false">1</f>
        <v>1</v>
      </c>
      <c r="H2821" s="0" t="n">
        <f aca="false">D2821</f>
        <v>0.125</v>
      </c>
      <c r="I2821" s="0" t="n">
        <f aca="false">E2821</f>
        <v>0.5</v>
      </c>
      <c r="J2821" s="0" t="n">
        <f aca="false">F2821</f>
        <v>0.375</v>
      </c>
      <c r="K2821" s="0" t="n">
        <f aca="false">D2821*E2821</f>
        <v>0.0625</v>
      </c>
      <c r="L2821" s="0" t="n">
        <f aca="false">D2821*F2821</f>
        <v>0.046875</v>
      </c>
      <c r="M2821" s="0" t="n">
        <f aca="false">E2821*F2821</f>
        <v>0.1875</v>
      </c>
      <c r="N2821" s="0" t="n">
        <f aca="false">D2821*D2821</f>
        <v>0.015625</v>
      </c>
      <c r="O2821" s="0" t="n">
        <f aca="false">E2821*E2821</f>
        <v>0.25</v>
      </c>
      <c r="P2821" s="0" t="n">
        <f aca="false">F2821*F2821</f>
        <v>0.140625</v>
      </c>
      <c r="Q2821" s="0" t="n">
        <f aca="false">SUMPRODUCT(G2821:P2821,_XtX!$B$71:$K$71)</f>
        <v>49.7037357954546</v>
      </c>
      <c r="R2821" s="0" t="n">
        <f aca="false">SUMPRODUCT(MMULT(G2821:P2821,_XtX!$B$58:$K$67),G2821:P2821)</f>
        <v>0.14578690962358</v>
      </c>
      <c r="S2821" s="0" t="n">
        <f aca="false">04_回帰ANOVA!$K$19*04_回帰ANOVA!$K$14*SQRT(1+R2821)</f>
        <v>0.995218783457917</v>
      </c>
      <c r="T2821" s="0" t="n">
        <f aca="false">Q2821-S2821</f>
        <v>48.7085170119966</v>
      </c>
      <c r="U2821" s="0" t="n">
        <f aca="false">Q2821+S2821</f>
        <v>50.6989545789125</v>
      </c>
      <c r="V2821" s="54" t="b">
        <f aca="false">AND(D2821&gt;=01_因子設定!$L$5-0.000000001,D2821&lt;=01_因子設定!$M$5+0.000000001,E2821&gt;=01_因子設定!$L$6-0.000000001,E2821&lt;=01_因子設定!$M$6+0.000000001,F2821&gt;=01_因子設定!$L$7-0.000000001,F2821&lt;=01_因子設定!$M$7+0.000000001,IF(01_因子設定!$B$20="Box-Behnken",D2821^2+E2821^2+F2821^2&lt;=2+0.000000001,TRUE()))</f>
        <v>1</v>
      </c>
      <c r="W2821" s="55" t="n">
        <f aca="false">IF(V2821,IF(01_因子設定!$B$13="最大化",T2821-01_因子設定!$B$14,IF(01_因子設定!$B$13="最小化",01_因子設定!$B$15-U2821,MIN(T2821-01_因子設定!$B$14,01_因子設定!$B$15-U2821))),-1E+030)</f>
        <v>0.208517011996641</v>
      </c>
      <c r="X2821" s="55" t="n">
        <f aca="false">IF(V2821,IF(01_因子設定!$B$13="最大化",Q2821,IF(01_因子設定!$B$13="最小化",-Q2821,-ABS(Q2821-01_因子設定!$B$16))),-1E+030)</f>
        <v>49.7037357954546</v>
      </c>
      <c r="Y2821" s="55" t="n">
        <f aca="false">W2821+ROW()*0.000000001</f>
        <v>0.208519832996641</v>
      </c>
      <c r="Z2821" s="55" t="n">
        <f aca="false">X2821+ROW()*0.000000001</f>
        <v>49.7037386164546</v>
      </c>
    </row>
    <row r="2822" customFormat="false" ht="15" hidden="false" customHeight="false" outlineLevel="0" collapsed="false">
      <c r="A2822" s="0" t="n">
        <v>9</v>
      </c>
      <c r="B2822" s="0" t="n">
        <v>12</v>
      </c>
      <c r="C2822" s="0" t="n">
        <v>12</v>
      </c>
      <c r="D2822" s="0" t="n">
        <f aca="false">-1+A2822*0.125</f>
        <v>0.125</v>
      </c>
      <c r="E2822" s="0" t="n">
        <f aca="false">-1+B2822*0.125</f>
        <v>0.5</v>
      </c>
      <c r="F2822" s="0" t="n">
        <f aca="false">-1+C2822*0.125</f>
        <v>0.5</v>
      </c>
      <c r="G2822" s="0" t="n">
        <f aca="false">1</f>
        <v>1</v>
      </c>
      <c r="H2822" s="0" t="n">
        <f aca="false">D2822</f>
        <v>0.125</v>
      </c>
      <c r="I2822" s="0" t="n">
        <f aca="false">E2822</f>
        <v>0.5</v>
      </c>
      <c r="J2822" s="0" t="n">
        <f aca="false">F2822</f>
        <v>0.5</v>
      </c>
      <c r="K2822" s="0" t="n">
        <f aca="false">D2822*E2822</f>
        <v>0.0625</v>
      </c>
      <c r="L2822" s="0" t="n">
        <f aca="false">D2822*F2822</f>
        <v>0.0625</v>
      </c>
      <c r="M2822" s="0" t="n">
        <f aca="false">E2822*F2822</f>
        <v>0.25</v>
      </c>
      <c r="N2822" s="0" t="n">
        <f aca="false">D2822*D2822</f>
        <v>0.015625</v>
      </c>
      <c r="O2822" s="0" t="n">
        <f aca="false">E2822*E2822</f>
        <v>0.25</v>
      </c>
      <c r="P2822" s="0" t="n">
        <f aca="false">F2822*F2822</f>
        <v>0.25</v>
      </c>
      <c r="Q2822" s="0" t="n">
        <f aca="false">SUMPRODUCT(G2822:P2822,_XtX!$B$71:$K$71)</f>
        <v>49.7732528409091</v>
      </c>
      <c r="R2822" s="0" t="n">
        <f aca="false">SUMPRODUCT(MMULT(G2822:P2822,_XtX!$B$58:$K$67),G2822:P2822)</f>
        <v>0.158025568181818</v>
      </c>
      <c r="S2822" s="0" t="n">
        <f aca="false">04_回帰ANOVA!$K$19*04_回帰ANOVA!$K$14*SQRT(1+R2822)</f>
        <v>1.00051985207691</v>
      </c>
      <c r="T2822" s="0" t="n">
        <f aca="false">Q2822-S2822</f>
        <v>48.7727329888322</v>
      </c>
      <c r="U2822" s="0" t="n">
        <f aca="false">Q2822+S2822</f>
        <v>50.773772692986</v>
      </c>
      <c r="V2822" s="54" t="b">
        <f aca="false">AND(D2822&gt;=01_因子設定!$L$5-0.000000001,D2822&lt;=01_因子設定!$M$5+0.000000001,E2822&gt;=01_因子設定!$L$6-0.000000001,E2822&lt;=01_因子設定!$M$6+0.000000001,F2822&gt;=01_因子設定!$L$7-0.000000001,F2822&lt;=01_因子設定!$M$7+0.000000001,IF(01_因子設定!$B$20="Box-Behnken",D2822^2+E2822^2+F2822^2&lt;=2+0.000000001,TRUE()))</f>
        <v>1</v>
      </c>
      <c r="W2822" s="55" t="n">
        <f aca="false">IF(V2822,IF(01_因子設定!$B$13="最大化",T2822-01_因子設定!$B$14,IF(01_因子設定!$B$13="最小化",01_因子設定!$B$15-U2822,MIN(T2822-01_因子設定!$B$14,01_因子設定!$B$15-U2822))),-1E+030)</f>
        <v>0.272732988832196</v>
      </c>
      <c r="X2822" s="55" t="n">
        <f aca="false">IF(V2822,IF(01_因子設定!$B$13="最大化",Q2822,IF(01_因子設定!$B$13="最小化",-Q2822,-ABS(Q2822-01_因子設定!$B$16))),-1E+030)</f>
        <v>49.7732528409091</v>
      </c>
      <c r="Y2822" s="55" t="n">
        <f aca="false">W2822+ROW()*0.000000001</f>
        <v>0.272735810832196</v>
      </c>
      <c r="Z2822" s="55" t="n">
        <f aca="false">X2822+ROW()*0.000000001</f>
        <v>49.7732556629091</v>
      </c>
    </row>
    <row r="2823" customFormat="false" ht="15" hidden="false" customHeight="false" outlineLevel="0" collapsed="false">
      <c r="A2823" s="0" t="n">
        <v>9</v>
      </c>
      <c r="B2823" s="0" t="n">
        <v>12</v>
      </c>
      <c r="C2823" s="0" t="n">
        <v>13</v>
      </c>
      <c r="D2823" s="0" t="n">
        <f aca="false">-1+A2823*0.125</f>
        <v>0.125</v>
      </c>
      <c r="E2823" s="0" t="n">
        <f aca="false">-1+B2823*0.125</f>
        <v>0.5</v>
      </c>
      <c r="F2823" s="0" t="n">
        <f aca="false">-1+C2823*0.125</f>
        <v>0.625</v>
      </c>
      <c r="G2823" s="0" t="n">
        <f aca="false">1</f>
        <v>1</v>
      </c>
      <c r="H2823" s="0" t="n">
        <f aca="false">D2823</f>
        <v>0.125</v>
      </c>
      <c r="I2823" s="0" t="n">
        <f aca="false">E2823</f>
        <v>0.5</v>
      </c>
      <c r="J2823" s="0" t="n">
        <f aca="false">F2823</f>
        <v>0.625</v>
      </c>
      <c r="K2823" s="0" t="n">
        <f aca="false">D2823*E2823</f>
        <v>0.0625</v>
      </c>
      <c r="L2823" s="0" t="n">
        <f aca="false">D2823*F2823</f>
        <v>0.078125</v>
      </c>
      <c r="M2823" s="0" t="n">
        <f aca="false">E2823*F2823</f>
        <v>0.3125</v>
      </c>
      <c r="N2823" s="0" t="n">
        <f aca="false">D2823*D2823</f>
        <v>0.015625</v>
      </c>
      <c r="O2823" s="0" t="n">
        <f aca="false">E2823*E2823</f>
        <v>0.25</v>
      </c>
      <c r="P2823" s="0" t="n">
        <f aca="false">F2823*F2823</f>
        <v>0.390625</v>
      </c>
      <c r="Q2823" s="0" t="n">
        <f aca="false">SUMPRODUCT(G2823:P2823,_XtX!$B$71:$K$71)</f>
        <v>49.8059801136364</v>
      </c>
      <c r="R2823" s="0" t="n">
        <f aca="false">SUMPRODUCT(MMULT(G2823:P2823,_XtX!$B$58:$K$67),G2823:P2823)</f>
        <v>0.186545077237216</v>
      </c>
      <c r="S2823" s="0" t="n">
        <f aca="false">04_回帰ANOVA!$K$19*04_回帰ANOVA!$K$14*SQRT(1+R2823)</f>
        <v>1.01276516970713</v>
      </c>
      <c r="T2823" s="0" t="n">
        <f aca="false">Q2823-S2823</f>
        <v>48.7932149439293</v>
      </c>
      <c r="U2823" s="0" t="n">
        <f aca="false">Q2823+S2823</f>
        <v>50.8187452833435</v>
      </c>
      <c r="V2823" s="54" t="b">
        <f aca="false">AND(D2823&gt;=01_因子設定!$L$5-0.000000001,D2823&lt;=01_因子設定!$M$5+0.000000001,E2823&gt;=01_因子設定!$L$6-0.000000001,E2823&lt;=01_因子設定!$M$6+0.000000001,F2823&gt;=01_因子設定!$L$7-0.000000001,F2823&lt;=01_因子設定!$M$7+0.000000001,IF(01_因子設定!$B$20="Box-Behnken",D2823^2+E2823^2+F2823^2&lt;=2+0.000000001,TRUE()))</f>
        <v>1</v>
      </c>
      <c r="W2823" s="55" t="n">
        <f aca="false">IF(V2823,IF(01_因子設定!$B$13="最大化",T2823-01_因子設定!$B$14,IF(01_因子設定!$B$13="最小化",01_因子設定!$B$15-U2823,MIN(T2823-01_因子設定!$B$14,01_因子設定!$B$15-U2823))),-1E+030)</f>
        <v>0.29321494392925</v>
      </c>
      <c r="X2823" s="55" t="n">
        <f aca="false">IF(V2823,IF(01_因子設定!$B$13="最大化",Q2823,IF(01_因子設定!$B$13="最小化",-Q2823,-ABS(Q2823-01_因子設定!$B$16))),-1E+030)</f>
        <v>49.8059801136364</v>
      </c>
      <c r="Y2823" s="55" t="n">
        <f aca="false">W2823+ROW()*0.000000001</f>
        <v>0.29321776692925</v>
      </c>
      <c r="Z2823" s="55" t="n">
        <f aca="false">X2823+ROW()*0.000000001</f>
        <v>49.8059829366364</v>
      </c>
    </row>
    <row r="2824" customFormat="false" ht="15" hidden="false" customHeight="false" outlineLevel="0" collapsed="false">
      <c r="A2824" s="0" t="n">
        <v>9</v>
      </c>
      <c r="B2824" s="0" t="n">
        <v>12</v>
      </c>
      <c r="C2824" s="0" t="n">
        <v>14</v>
      </c>
      <c r="D2824" s="0" t="n">
        <f aca="false">-1+A2824*0.125</f>
        <v>0.125</v>
      </c>
      <c r="E2824" s="0" t="n">
        <f aca="false">-1+B2824*0.125</f>
        <v>0.5</v>
      </c>
      <c r="F2824" s="0" t="n">
        <f aca="false">-1+C2824*0.125</f>
        <v>0.75</v>
      </c>
      <c r="G2824" s="0" t="n">
        <f aca="false">1</f>
        <v>1</v>
      </c>
      <c r="H2824" s="0" t="n">
        <f aca="false">D2824</f>
        <v>0.125</v>
      </c>
      <c r="I2824" s="0" t="n">
        <f aca="false">E2824</f>
        <v>0.5</v>
      </c>
      <c r="J2824" s="0" t="n">
        <f aca="false">F2824</f>
        <v>0.75</v>
      </c>
      <c r="K2824" s="0" t="n">
        <f aca="false">D2824*E2824</f>
        <v>0.0625</v>
      </c>
      <c r="L2824" s="0" t="n">
        <f aca="false">D2824*F2824</f>
        <v>0.09375</v>
      </c>
      <c r="M2824" s="0" t="n">
        <f aca="false">E2824*F2824</f>
        <v>0.375</v>
      </c>
      <c r="N2824" s="0" t="n">
        <f aca="false">D2824*D2824</f>
        <v>0.015625</v>
      </c>
      <c r="O2824" s="0" t="n">
        <f aca="false">E2824*E2824</f>
        <v>0.25</v>
      </c>
      <c r="P2824" s="0" t="n">
        <f aca="false">F2824*F2824</f>
        <v>0.5625</v>
      </c>
      <c r="Q2824" s="0" t="n">
        <f aca="false">SUMPRODUCT(G2824:P2824,_XtX!$B$71:$K$71)</f>
        <v>49.8019176136364</v>
      </c>
      <c r="R2824" s="0" t="n">
        <f aca="false">SUMPRODUCT(MMULT(G2824:P2824,_XtX!$B$58:$K$67),G2824:P2824)</f>
        <v>0.240933504971591</v>
      </c>
      <c r="S2824" s="0" t="n">
        <f aca="false">04_回帰ANOVA!$K$19*04_回帰ANOVA!$K$14*SQRT(1+R2824)</f>
        <v>1.03571649118863</v>
      </c>
      <c r="T2824" s="0" t="n">
        <f aca="false">Q2824-S2824</f>
        <v>48.7662011224478</v>
      </c>
      <c r="U2824" s="0" t="n">
        <f aca="false">Q2824+S2824</f>
        <v>50.837634104825</v>
      </c>
      <c r="V2824" s="54" t="b">
        <f aca="false">AND(D2824&gt;=01_因子設定!$L$5-0.000000001,D2824&lt;=01_因子設定!$M$5+0.000000001,E2824&gt;=01_因子設定!$L$6-0.000000001,E2824&lt;=01_因子設定!$M$6+0.000000001,F2824&gt;=01_因子設定!$L$7-0.000000001,F2824&lt;=01_因子設定!$M$7+0.000000001,IF(01_因子設定!$B$20="Box-Behnken",D2824^2+E2824^2+F2824^2&lt;=2+0.000000001,TRUE()))</f>
        <v>1</v>
      </c>
      <c r="W2824" s="55" t="n">
        <f aca="false">IF(V2824,IF(01_因子設定!$B$13="最大化",T2824-01_因子設定!$B$14,IF(01_因子設定!$B$13="最小化",01_因子設定!$B$15-U2824,MIN(T2824-01_因子設定!$B$14,01_因子設定!$B$15-U2824))),-1E+030)</f>
        <v>0.266201122447761</v>
      </c>
      <c r="X2824" s="55" t="n">
        <f aca="false">IF(V2824,IF(01_因子設定!$B$13="最大化",Q2824,IF(01_因子設定!$B$13="最小化",-Q2824,-ABS(Q2824-01_因子設定!$B$16))),-1E+030)</f>
        <v>49.8019176136364</v>
      </c>
      <c r="Y2824" s="55" t="n">
        <f aca="false">W2824+ROW()*0.000000001</f>
        <v>0.266203946447761</v>
      </c>
      <c r="Z2824" s="55" t="n">
        <f aca="false">X2824+ROW()*0.000000001</f>
        <v>49.8019204376364</v>
      </c>
    </row>
    <row r="2825" customFormat="false" ht="15" hidden="false" customHeight="false" outlineLevel="0" collapsed="false">
      <c r="A2825" s="0" t="n">
        <v>9</v>
      </c>
      <c r="B2825" s="0" t="n">
        <v>12</v>
      </c>
      <c r="C2825" s="0" t="n">
        <v>15</v>
      </c>
      <c r="D2825" s="0" t="n">
        <f aca="false">-1+A2825*0.125</f>
        <v>0.125</v>
      </c>
      <c r="E2825" s="0" t="n">
        <f aca="false">-1+B2825*0.125</f>
        <v>0.5</v>
      </c>
      <c r="F2825" s="0" t="n">
        <f aca="false">-1+C2825*0.125</f>
        <v>0.875</v>
      </c>
      <c r="G2825" s="0" t="n">
        <f aca="false">1</f>
        <v>1</v>
      </c>
      <c r="H2825" s="0" t="n">
        <f aca="false">D2825</f>
        <v>0.125</v>
      </c>
      <c r="I2825" s="0" t="n">
        <f aca="false">E2825</f>
        <v>0.5</v>
      </c>
      <c r="J2825" s="0" t="n">
        <f aca="false">F2825</f>
        <v>0.875</v>
      </c>
      <c r="K2825" s="0" t="n">
        <f aca="false">D2825*E2825</f>
        <v>0.0625</v>
      </c>
      <c r="L2825" s="0" t="n">
        <f aca="false">D2825*F2825</f>
        <v>0.109375</v>
      </c>
      <c r="M2825" s="0" t="n">
        <f aca="false">E2825*F2825</f>
        <v>0.4375</v>
      </c>
      <c r="N2825" s="0" t="n">
        <f aca="false">D2825*D2825</f>
        <v>0.015625</v>
      </c>
      <c r="O2825" s="0" t="n">
        <f aca="false">E2825*E2825</f>
        <v>0.25</v>
      </c>
      <c r="P2825" s="0" t="n">
        <f aca="false">F2825*F2825</f>
        <v>0.765625</v>
      </c>
      <c r="Q2825" s="0" t="n">
        <f aca="false">SUMPRODUCT(G2825:P2825,_XtX!$B$71:$K$71)</f>
        <v>49.7610653409091</v>
      </c>
      <c r="R2825" s="0" t="n">
        <f aca="false">SUMPRODUCT(MMULT(G2825:P2825,_XtX!$B$58:$K$67),G2825:P2825)</f>
        <v>0.332909601384943</v>
      </c>
      <c r="S2825" s="0" t="n">
        <f aca="false">04_回帰ANOVA!$K$19*04_回帰ANOVA!$K$14*SQRT(1+R2825)</f>
        <v>1.07341333007404</v>
      </c>
      <c r="T2825" s="0" t="n">
        <f aca="false">Q2825-S2825</f>
        <v>48.6876520108351</v>
      </c>
      <c r="U2825" s="0" t="n">
        <f aca="false">Q2825+S2825</f>
        <v>50.8344786709832</v>
      </c>
      <c r="V2825" s="54" t="b">
        <f aca="false">AND(D2825&gt;=01_因子設定!$L$5-0.000000001,D2825&lt;=01_因子設定!$M$5+0.000000001,E2825&gt;=01_因子設定!$L$6-0.000000001,E2825&lt;=01_因子設定!$M$6+0.000000001,F2825&gt;=01_因子設定!$L$7-0.000000001,F2825&lt;=01_因子設定!$M$7+0.000000001,IF(01_因子設定!$B$20="Box-Behnken",D2825^2+E2825^2+F2825^2&lt;=2+0.000000001,TRUE()))</f>
        <v>1</v>
      </c>
      <c r="W2825" s="55" t="n">
        <f aca="false">IF(V2825,IF(01_因子設定!$B$13="最大化",T2825-01_因子設定!$B$14,IF(01_因子設定!$B$13="最小化",01_因子設定!$B$15-U2825,MIN(T2825-01_因子設定!$B$14,01_因子設定!$B$15-U2825))),-1E+030)</f>
        <v>0.187652010835073</v>
      </c>
      <c r="X2825" s="55" t="n">
        <f aca="false">IF(V2825,IF(01_因子設定!$B$13="最大化",Q2825,IF(01_因子設定!$B$13="最小化",-Q2825,-ABS(Q2825-01_因子設定!$B$16))),-1E+030)</f>
        <v>49.7610653409091</v>
      </c>
      <c r="Y2825" s="55" t="n">
        <f aca="false">W2825+ROW()*0.000000001</f>
        <v>0.187654835835073</v>
      </c>
      <c r="Z2825" s="55" t="n">
        <f aca="false">X2825+ROW()*0.000000001</f>
        <v>49.7610681659091</v>
      </c>
    </row>
    <row r="2826" customFormat="false" ht="15" hidden="false" customHeight="false" outlineLevel="0" collapsed="false">
      <c r="A2826" s="0" t="n">
        <v>9</v>
      </c>
      <c r="B2826" s="0" t="n">
        <v>12</v>
      </c>
      <c r="C2826" s="0" t="n">
        <v>16</v>
      </c>
      <c r="D2826" s="0" t="n">
        <f aca="false">-1+A2826*0.125</f>
        <v>0.125</v>
      </c>
      <c r="E2826" s="0" t="n">
        <f aca="false">-1+B2826*0.125</f>
        <v>0.5</v>
      </c>
      <c r="F2826" s="0" t="n">
        <f aca="false">-1+C2826*0.125</f>
        <v>1</v>
      </c>
      <c r="G2826" s="0" t="n">
        <f aca="false">1</f>
        <v>1</v>
      </c>
      <c r="H2826" s="0" t="n">
        <f aca="false">D2826</f>
        <v>0.125</v>
      </c>
      <c r="I2826" s="0" t="n">
        <f aca="false">E2826</f>
        <v>0.5</v>
      </c>
      <c r="J2826" s="0" t="n">
        <f aca="false">F2826</f>
        <v>1</v>
      </c>
      <c r="K2826" s="0" t="n">
        <f aca="false">D2826*E2826</f>
        <v>0.0625</v>
      </c>
      <c r="L2826" s="0" t="n">
        <f aca="false">D2826*F2826</f>
        <v>0.125</v>
      </c>
      <c r="M2826" s="0" t="n">
        <f aca="false">E2826*F2826</f>
        <v>0.5</v>
      </c>
      <c r="N2826" s="0" t="n">
        <f aca="false">D2826*D2826</f>
        <v>0.015625</v>
      </c>
      <c r="O2826" s="0" t="n">
        <f aca="false">E2826*E2826</f>
        <v>0.25</v>
      </c>
      <c r="P2826" s="0" t="n">
        <f aca="false">F2826*F2826</f>
        <v>1</v>
      </c>
      <c r="Q2826" s="0" t="n">
        <f aca="false">SUMPRODUCT(G2826:P2826,_XtX!$B$71:$K$71)</f>
        <v>49.6834232954546</v>
      </c>
      <c r="R2826" s="0" t="n">
        <f aca="false">SUMPRODUCT(MMULT(G2826:P2826,_XtX!$B$58:$K$67),G2826:P2826)</f>
        <v>0.476322798295455</v>
      </c>
      <c r="S2826" s="0" t="n">
        <f aca="false">04_回帰ANOVA!$K$19*04_回帰ANOVA!$K$14*SQRT(1+R2826)</f>
        <v>1.12968483630128</v>
      </c>
      <c r="T2826" s="0" t="n">
        <f aca="false">Q2826-S2826</f>
        <v>48.5537384591533</v>
      </c>
      <c r="U2826" s="0" t="n">
        <f aca="false">Q2826+S2826</f>
        <v>50.8131081317559</v>
      </c>
      <c r="V2826" s="54" t="b">
        <f aca="false">AND(D2826&gt;=01_因子設定!$L$5-0.000000001,D2826&lt;=01_因子設定!$M$5+0.000000001,E2826&gt;=01_因子設定!$L$6-0.000000001,E2826&lt;=01_因子設定!$M$6+0.000000001,F2826&gt;=01_因子設定!$L$7-0.000000001,F2826&lt;=01_因子設定!$M$7+0.000000001,IF(01_因子設定!$B$20="Box-Behnken",D2826^2+E2826^2+F2826^2&lt;=2+0.000000001,TRUE()))</f>
        <v>1</v>
      </c>
      <c r="W2826" s="55" t="n">
        <f aca="false">IF(V2826,IF(01_因子設定!$B$13="最大化",T2826-01_因子設定!$B$14,IF(01_因子設定!$B$13="最小化",01_因子設定!$B$15-U2826,MIN(T2826-01_因子設定!$B$14,01_因子設定!$B$15-U2826))),-1E+030)</f>
        <v>0.0537384591532941</v>
      </c>
      <c r="X2826" s="55" t="n">
        <f aca="false">IF(V2826,IF(01_因子設定!$B$13="最大化",Q2826,IF(01_因子設定!$B$13="最小化",-Q2826,-ABS(Q2826-01_因子設定!$B$16))),-1E+030)</f>
        <v>49.6834232954546</v>
      </c>
      <c r="Y2826" s="55" t="n">
        <f aca="false">W2826+ROW()*0.000000001</f>
        <v>0.0537412851532941</v>
      </c>
      <c r="Z2826" s="55" t="n">
        <f aca="false">X2826+ROW()*0.000000001</f>
        <v>49.6834261214546</v>
      </c>
    </row>
    <row r="2827" customFormat="false" ht="15" hidden="false" customHeight="false" outlineLevel="0" collapsed="false">
      <c r="A2827" s="0" t="n">
        <v>9</v>
      </c>
      <c r="B2827" s="0" t="n">
        <v>13</v>
      </c>
      <c r="C2827" s="0" t="n">
        <v>0</v>
      </c>
      <c r="D2827" s="0" t="n">
        <f aca="false">-1+A2827*0.125</f>
        <v>0.125</v>
      </c>
      <c r="E2827" s="0" t="n">
        <f aca="false">-1+B2827*0.125</f>
        <v>0.625</v>
      </c>
      <c r="F2827" s="0" t="n">
        <f aca="false">-1+C2827*0.125</f>
        <v>-1</v>
      </c>
      <c r="G2827" s="0" t="n">
        <f aca="false">1</f>
        <v>1</v>
      </c>
      <c r="H2827" s="0" t="n">
        <f aca="false">D2827</f>
        <v>0.125</v>
      </c>
      <c r="I2827" s="0" t="n">
        <f aca="false">E2827</f>
        <v>0.625</v>
      </c>
      <c r="J2827" s="0" t="n">
        <f aca="false">F2827</f>
        <v>-1</v>
      </c>
      <c r="K2827" s="0" t="n">
        <f aca="false">D2827*E2827</f>
        <v>0.078125</v>
      </c>
      <c r="L2827" s="0" t="n">
        <f aca="false">D2827*F2827</f>
        <v>-0.125</v>
      </c>
      <c r="M2827" s="0" t="n">
        <f aca="false">E2827*F2827</f>
        <v>-0.625</v>
      </c>
      <c r="N2827" s="0" t="n">
        <f aca="false">D2827*D2827</f>
        <v>0.015625</v>
      </c>
      <c r="O2827" s="0" t="n">
        <f aca="false">E2827*E2827</f>
        <v>0.390625</v>
      </c>
      <c r="P2827" s="0" t="n">
        <f aca="false">F2827*F2827</f>
        <v>1</v>
      </c>
      <c r="Q2827" s="0" t="n">
        <f aca="false">SUMPRODUCT(G2827:P2827,_XtX!$B$71:$K$71)</f>
        <v>46.4474786931819</v>
      </c>
      <c r="R2827" s="0" t="n">
        <f aca="false">SUMPRODUCT(MMULT(G2827:P2827,_XtX!$B$58:$K$67),G2827:P2827)</f>
        <v>0.489261696555398</v>
      </c>
      <c r="S2827" s="0" t="n">
        <f aca="false">04_回帰ANOVA!$K$19*04_回帰ANOVA!$K$14*SQRT(1+R2827)</f>
        <v>1.13462447083763</v>
      </c>
      <c r="T2827" s="0" t="n">
        <f aca="false">Q2827-S2827</f>
        <v>45.3128542223442</v>
      </c>
      <c r="U2827" s="0" t="n">
        <f aca="false">Q2827+S2827</f>
        <v>47.5821031640195</v>
      </c>
      <c r="V2827" s="54" t="b">
        <f aca="false">AND(D2827&gt;=01_因子設定!$L$5-0.000000001,D2827&lt;=01_因子設定!$M$5+0.000000001,E2827&gt;=01_因子設定!$L$6-0.000000001,E2827&lt;=01_因子設定!$M$6+0.000000001,F2827&gt;=01_因子設定!$L$7-0.000000001,F2827&lt;=01_因子設定!$M$7+0.000000001,IF(01_因子設定!$B$20="Box-Behnken",D2827^2+E2827^2+F2827^2&lt;=2+0.000000001,TRUE()))</f>
        <v>1</v>
      </c>
      <c r="W2827" s="55" t="n">
        <f aca="false">IF(V2827,IF(01_因子設定!$B$13="最大化",T2827-01_因子設定!$B$14,IF(01_因子設定!$B$13="最小化",01_因子設定!$B$15-U2827,MIN(T2827-01_因子設定!$B$14,01_因子設定!$B$15-U2827))),-1E+030)</f>
        <v>-3.18714577765579</v>
      </c>
      <c r="X2827" s="55" t="n">
        <f aca="false">IF(V2827,IF(01_因子設定!$B$13="最大化",Q2827,IF(01_因子設定!$B$13="最小化",-Q2827,-ABS(Q2827-01_因子設定!$B$16))),-1E+030)</f>
        <v>46.4474786931819</v>
      </c>
      <c r="Y2827" s="55" t="n">
        <f aca="false">W2827+ROW()*0.000000001</f>
        <v>-3.18714295065579</v>
      </c>
      <c r="Z2827" s="55" t="n">
        <f aca="false">X2827+ROW()*0.000000001</f>
        <v>46.4474815201819</v>
      </c>
    </row>
    <row r="2828" customFormat="false" ht="15" hidden="false" customHeight="false" outlineLevel="0" collapsed="false">
      <c r="A2828" s="0" t="n">
        <v>9</v>
      </c>
      <c r="B2828" s="0" t="n">
        <v>13</v>
      </c>
      <c r="C2828" s="0" t="n">
        <v>1</v>
      </c>
      <c r="D2828" s="0" t="n">
        <f aca="false">-1+A2828*0.125</f>
        <v>0.125</v>
      </c>
      <c r="E2828" s="0" t="n">
        <f aca="false">-1+B2828*0.125</f>
        <v>0.625</v>
      </c>
      <c r="F2828" s="0" t="n">
        <f aca="false">-1+C2828*0.125</f>
        <v>-0.875</v>
      </c>
      <c r="G2828" s="0" t="n">
        <f aca="false">1</f>
        <v>1</v>
      </c>
      <c r="H2828" s="0" t="n">
        <f aca="false">D2828</f>
        <v>0.125</v>
      </c>
      <c r="I2828" s="0" t="n">
        <f aca="false">E2828</f>
        <v>0.625</v>
      </c>
      <c r="J2828" s="0" t="n">
        <f aca="false">F2828</f>
        <v>-0.875</v>
      </c>
      <c r="K2828" s="0" t="n">
        <f aca="false">D2828*E2828</f>
        <v>0.078125</v>
      </c>
      <c r="L2828" s="0" t="n">
        <f aca="false">D2828*F2828</f>
        <v>-0.109375</v>
      </c>
      <c r="M2828" s="0" t="n">
        <f aca="false">E2828*F2828</f>
        <v>-0.546875</v>
      </c>
      <c r="N2828" s="0" t="n">
        <f aca="false">D2828*D2828</f>
        <v>0.015625</v>
      </c>
      <c r="O2828" s="0" t="n">
        <f aca="false">E2828*E2828</f>
        <v>0.390625</v>
      </c>
      <c r="P2828" s="0" t="n">
        <f aca="false">F2828*F2828</f>
        <v>0.765625</v>
      </c>
      <c r="Q2828" s="0" t="n">
        <f aca="false">SUMPRODUCT(G2828:P2828,_XtX!$B$71:$K$71)</f>
        <v>46.9287144886364</v>
      </c>
      <c r="R2828" s="0" t="n">
        <f aca="false">SUMPRODUCT(MMULT(G2828:P2828,_XtX!$B$58:$K$67),G2828:P2828)</f>
        <v>0.350717440518466</v>
      </c>
      <c r="S2828" s="0" t="n">
        <f aca="false">04_回帰ANOVA!$K$19*04_回帰ANOVA!$K$14*SQRT(1+R2828)</f>
        <v>1.08056000737898</v>
      </c>
      <c r="T2828" s="0" t="n">
        <f aca="false">Q2828-S2828</f>
        <v>45.8481544812574</v>
      </c>
      <c r="U2828" s="0" t="n">
        <f aca="false">Q2828+S2828</f>
        <v>48.0092744960154</v>
      </c>
      <c r="V2828" s="54" t="b">
        <f aca="false">AND(D2828&gt;=01_因子設定!$L$5-0.000000001,D2828&lt;=01_因子設定!$M$5+0.000000001,E2828&gt;=01_因子設定!$L$6-0.000000001,E2828&lt;=01_因子設定!$M$6+0.000000001,F2828&gt;=01_因子設定!$L$7-0.000000001,F2828&lt;=01_因子設定!$M$7+0.000000001,IF(01_因子設定!$B$20="Box-Behnken",D2828^2+E2828^2+F2828^2&lt;=2+0.000000001,TRUE()))</f>
        <v>1</v>
      </c>
      <c r="W2828" s="55" t="n">
        <f aca="false">IF(V2828,IF(01_因子設定!$B$13="最大化",T2828-01_因子設定!$B$14,IF(01_因子設定!$B$13="最小化",01_因子設定!$B$15-U2828,MIN(T2828-01_因子設定!$B$14,01_因子設定!$B$15-U2828))),-1E+030)</f>
        <v>-2.65184551874259</v>
      </c>
      <c r="X2828" s="55" t="n">
        <f aca="false">IF(V2828,IF(01_因子設定!$B$13="最大化",Q2828,IF(01_因子設定!$B$13="最小化",-Q2828,-ABS(Q2828-01_因子設定!$B$16))),-1E+030)</f>
        <v>46.9287144886364</v>
      </c>
      <c r="Y2828" s="55" t="n">
        <f aca="false">W2828+ROW()*0.000000001</f>
        <v>-2.65184269074259</v>
      </c>
      <c r="Z2828" s="55" t="n">
        <f aca="false">X2828+ROW()*0.000000001</f>
        <v>46.9287173166364</v>
      </c>
    </row>
    <row r="2829" customFormat="false" ht="15" hidden="false" customHeight="false" outlineLevel="0" collapsed="false">
      <c r="A2829" s="0" t="n">
        <v>9</v>
      </c>
      <c r="B2829" s="0" t="n">
        <v>13</v>
      </c>
      <c r="C2829" s="0" t="n">
        <v>2</v>
      </c>
      <c r="D2829" s="0" t="n">
        <f aca="false">-1+A2829*0.125</f>
        <v>0.125</v>
      </c>
      <c r="E2829" s="0" t="n">
        <f aca="false">-1+B2829*0.125</f>
        <v>0.625</v>
      </c>
      <c r="F2829" s="0" t="n">
        <f aca="false">-1+C2829*0.125</f>
        <v>-0.75</v>
      </c>
      <c r="G2829" s="0" t="n">
        <f aca="false">1</f>
        <v>1</v>
      </c>
      <c r="H2829" s="0" t="n">
        <f aca="false">D2829</f>
        <v>0.125</v>
      </c>
      <c r="I2829" s="0" t="n">
        <f aca="false">E2829</f>
        <v>0.625</v>
      </c>
      <c r="J2829" s="0" t="n">
        <f aca="false">F2829</f>
        <v>-0.75</v>
      </c>
      <c r="K2829" s="0" t="n">
        <f aca="false">D2829*E2829</f>
        <v>0.078125</v>
      </c>
      <c r="L2829" s="0" t="n">
        <f aca="false">D2829*F2829</f>
        <v>-0.09375</v>
      </c>
      <c r="M2829" s="0" t="n">
        <f aca="false">E2829*F2829</f>
        <v>-0.46875</v>
      </c>
      <c r="N2829" s="0" t="n">
        <f aca="false">D2829*D2829</f>
        <v>0.015625</v>
      </c>
      <c r="O2829" s="0" t="n">
        <f aca="false">E2829*E2829</f>
        <v>0.390625</v>
      </c>
      <c r="P2829" s="0" t="n">
        <f aca="false">F2829*F2829</f>
        <v>0.5625</v>
      </c>
      <c r="Q2829" s="0" t="n">
        <f aca="false">SUMPRODUCT(G2829:P2829,_XtX!$B$71:$K$71)</f>
        <v>47.3731605113637</v>
      </c>
      <c r="R2829" s="0" t="n">
        <f aca="false">SUMPRODUCT(MMULT(G2829:P2829,_XtX!$B$58:$K$67),G2829:P2829)</f>
        <v>0.262961092862216</v>
      </c>
      <c r="S2829" s="0" t="n">
        <f aca="false">04_回帰ANOVA!$K$19*04_回帰ANOVA!$K$14*SQRT(1+R2829)</f>
        <v>1.04486846483649</v>
      </c>
      <c r="T2829" s="0" t="n">
        <f aca="false">Q2829-S2829</f>
        <v>46.3282920465272</v>
      </c>
      <c r="U2829" s="0" t="n">
        <f aca="false">Q2829+S2829</f>
        <v>48.4180289762001</v>
      </c>
      <c r="V2829" s="54" t="b">
        <f aca="false">AND(D2829&gt;=01_因子設定!$L$5-0.000000001,D2829&lt;=01_因子設定!$M$5+0.000000001,E2829&gt;=01_因子設定!$L$6-0.000000001,E2829&lt;=01_因子設定!$M$6+0.000000001,F2829&gt;=01_因子設定!$L$7-0.000000001,F2829&lt;=01_因子設定!$M$7+0.000000001,IF(01_因子設定!$B$20="Box-Behnken",D2829^2+E2829^2+F2829^2&lt;=2+0.000000001,TRUE()))</f>
        <v>1</v>
      </c>
      <c r="W2829" s="55" t="n">
        <f aca="false">IF(V2829,IF(01_因子設定!$B$13="最大化",T2829-01_因子設定!$B$14,IF(01_因子設定!$B$13="最小化",01_因子設定!$B$15-U2829,MIN(T2829-01_因子設定!$B$14,01_因子設定!$B$15-U2829))),-1E+030)</f>
        <v>-2.17170795347283</v>
      </c>
      <c r="X2829" s="55" t="n">
        <f aca="false">IF(V2829,IF(01_因子設定!$B$13="最大化",Q2829,IF(01_因子設定!$B$13="最小化",-Q2829,-ABS(Q2829-01_因子設定!$B$16))),-1E+030)</f>
        <v>47.3731605113637</v>
      </c>
      <c r="Y2829" s="55" t="n">
        <f aca="false">W2829+ROW()*0.000000001</f>
        <v>-2.17170512447283</v>
      </c>
      <c r="Z2829" s="55" t="n">
        <f aca="false">X2829+ROW()*0.000000001</f>
        <v>47.3731633403637</v>
      </c>
    </row>
    <row r="2830" customFormat="false" ht="15" hidden="false" customHeight="false" outlineLevel="0" collapsed="false">
      <c r="A2830" s="0" t="n">
        <v>9</v>
      </c>
      <c r="B2830" s="0" t="n">
        <v>13</v>
      </c>
      <c r="C2830" s="0" t="n">
        <v>3</v>
      </c>
      <c r="D2830" s="0" t="n">
        <f aca="false">-1+A2830*0.125</f>
        <v>0.125</v>
      </c>
      <c r="E2830" s="0" t="n">
        <f aca="false">-1+B2830*0.125</f>
        <v>0.625</v>
      </c>
      <c r="F2830" s="0" t="n">
        <f aca="false">-1+C2830*0.125</f>
        <v>-0.625</v>
      </c>
      <c r="G2830" s="0" t="n">
        <f aca="false">1</f>
        <v>1</v>
      </c>
      <c r="H2830" s="0" t="n">
        <f aca="false">D2830</f>
        <v>0.125</v>
      </c>
      <c r="I2830" s="0" t="n">
        <f aca="false">E2830</f>
        <v>0.625</v>
      </c>
      <c r="J2830" s="0" t="n">
        <f aca="false">F2830</f>
        <v>-0.625</v>
      </c>
      <c r="K2830" s="0" t="n">
        <f aca="false">D2830*E2830</f>
        <v>0.078125</v>
      </c>
      <c r="L2830" s="0" t="n">
        <f aca="false">D2830*F2830</f>
        <v>-0.078125</v>
      </c>
      <c r="M2830" s="0" t="n">
        <f aca="false">E2830*F2830</f>
        <v>-0.390625</v>
      </c>
      <c r="N2830" s="0" t="n">
        <f aca="false">D2830*D2830</f>
        <v>0.015625</v>
      </c>
      <c r="O2830" s="0" t="n">
        <f aca="false">E2830*E2830</f>
        <v>0.390625</v>
      </c>
      <c r="P2830" s="0" t="n">
        <f aca="false">F2830*F2830</f>
        <v>0.390625</v>
      </c>
      <c r="Q2830" s="0" t="n">
        <f aca="false">SUMPRODUCT(G2830:P2830,_XtX!$B$71:$K$71)</f>
        <v>47.7808167613637</v>
      </c>
      <c r="R2830" s="0" t="n">
        <f aca="false">SUMPRODUCT(MMULT(G2830:P2830,_XtX!$B$58:$K$67),G2830:P2830)</f>
        <v>0.212143221768466</v>
      </c>
      <c r="S2830" s="0" t="n">
        <f aca="false">04_回帰ANOVA!$K$19*04_回帰ANOVA!$K$14*SQRT(1+R2830)</f>
        <v>1.02363141237304</v>
      </c>
      <c r="T2830" s="0" t="n">
        <f aca="false">Q2830-S2830</f>
        <v>46.7571853489906</v>
      </c>
      <c r="U2830" s="0" t="n">
        <f aca="false">Q2830+S2830</f>
        <v>48.8044481737367</v>
      </c>
      <c r="V2830" s="54" t="b">
        <f aca="false">AND(D2830&gt;=01_因子設定!$L$5-0.000000001,D2830&lt;=01_因子設定!$M$5+0.000000001,E2830&gt;=01_因子設定!$L$6-0.000000001,E2830&lt;=01_因子設定!$M$6+0.000000001,F2830&gt;=01_因子設定!$L$7-0.000000001,F2830&lt;=01_因子設定!$M$7+0.000000001,IF(01_因子設定!$B$20="Box-Behnken",D2830^2+E2830^2+F2830^2&lt;=2+0.000000001,TRUE()))</f>
        <v>1</v>
      </c>
      <c r="W2830" s="55" t="n">
        <f aca="false">IF(V2830,IF(01_因子設定!$B$13="最大化",T2830-01_因子設定!$B$14,IF(01_因子設定!$B$13="最小化",01_因子設定!$B$15-U2830,MIN(T2830-01_因子設定!$B$14,01_因子設定!$B$15-U2830))),-1E+030)</f>
        <v>-1.74281465100939</v>
      </c>
      <c r="X2830" s="55" t="n">
        <f aca="false">IF(V2830,IF(01_因子設定!$B$13="最大化",Q2830,IF(01_因子設定!$B$13="最小化",-Q2830,-ABS(Q2830-01_因子設定!$B$16))),-1E+030)</f>
        <v>47.7808167613637</v>
      </c>
      <c r="Y2830" s="55" t="n">
        <f aca="false">W2830+ROW()*0.000000001</f>
        <v>-1.74281182100939</v>
      </c>
      <c r="Z2830" s="55" t="n">
        <f aca="false">X2830+ROW()*0.000000001</f>
        <v>47.7808195913637</v>
      </c>
    </row>
    <row r="2831" customFormat="false" ht="15" hidden="false" customHeight="false" outlineLevel="0" collapsed="false">
      <c r="A2831" s="0" t="n">
        <v>9</v>
      </c>
      <c r="B2831" s="0" t="n">
        <v>13</v>
      </c>
      <c r="C2831" s="0" t="n">
        <v>4</v>
      </c>
      <c r="D2831" s="0" t="n">
        <f aca="false">-1+A2831*0.125</f>
        <v>0.125</v>
      </c>
      <c r="E2831" s="0" t="n">
        <f aca="false">-1+B2831*0.125</f>
        <v>0.625</v>
      </c>
      <c r="F2831" s="0" t="n">
        <f aca="false">-1+C2831*0.125</f>
        <v>-0.5</v>
      </c>
      <c r="G2831" s="0" t="n">
        <f aca="false">1</f>
        <v>1</v>
      </c>
      <c r="H2831" s="0" t="n">
        <f aca="false">D2831</f>
        <v>0.125</v>
      </c>
      <c r="I2831" s="0" t="n">
        <f aca="false">E2831</f>
        <v>0.625</v>
      </c>
      <c r="J2831" s="0" t="n">
        <f aca="false">F2831</f>
        <v>-0.5</v>
      </c>
      <c r="K2831" s="0" t="n">
        <f aca="false">D2831*E2831</f>
        <v>0.078125</v>
      </c>
      <c r="L2831" s="0" t="n">
        <f aca="false">D2831*F2831</f>
        <v>-0.0625</v>
      </c>
      <c r="M2831" s="0" t="n">
        <f aca="false">E2831*F2831</f>
        <v>-0.3125</v>
      </c>
      <c r="N2831" s="0" t="n">
        <f aca="false">D2831*D2831</f>
        <v>0.015625</v>
      </c>
      <c r="O2831" s="0" t="n">
        <f aca="false">E2831*E2831</f>
        <v>0.390625</v>
      </c>
      <c r="P2831" s="0" t="n">
        <f aca="false">F2831*F2831</f>
        <v>0.25</v>
      </c>
      <c r="Q2831" s="0" t="n">
        <f aca="false">SUMPRODUCT(G2831:P2831,_XtX!$B$71:$K$71)</f>
        <v>48.1516832386364</v>
      </c>
      <c r="R2831" s="0" t="n">
        <f aca="false">SUMPRODUCT(MMULT(G2831:P2831,_XtX!$B$58:$K$67),G2831:P2831)</f>
        <v>0.186545077237216</v>
      </c>
      <c r="S2831" s="0" t="n">
        <f aca="false">04_回帰ANOVA!$K$19*04_回帰ANOVA!$K$14*SQRT(1+R2831)</f>
        <v>1.01276516970713</v>
      </c>
      <c r="T2831" s="0" t="n">
        <f aca="false">Q2831-S2831</f>
        <v>47.1389180689293</v>
      </c>
      <c r="U2831" s="0" t="n">
        <f aca="false">Q2831+S2831</f>
        <v>49.1644484083435</v>
      </c>
      <c r="V2831" s="54" t="b">
        <f aca="false">AND(D2831&gt;=01_因子設定!$L$5-0.000000001,D2831&lt;=01_因子設定!$M$5+0.000000001,E2831&gt;=01_因子設定!$L$6-0.000000001,E2831&lt;=01_因子設定!$M$6+0.000000001,F2831&gt;=01_因子設定!$L$7-0.000000001,F2831&lt;=01_因子設定!$M$7+0.000000001,IF(01_因子設定!$B$20="Box-Behnken",D2831^2+E2831^2+F2831^2&lt;=2+0.000000001,TRUE()))</f>
        <v>1</v>
      </c>
      <c r="W2831" s="55" t="n">
        <f aca="false">IF(V2831,IF(01_因子設定!$B$13="最大化",T2831-01_因子設定!$B$14,IF(01_因子設定!$B$13="最小化",01_因子設定!$B$15-U2831,MIN(T2831-01_因子設定!$B$14,01_因子設定!$B$15-U2831))),-1E+030)</f>
        <v>-1.36108193107075</v>
      </c>
      <c r="X2831" s="55" t="n">
        <f aca="false">IF(V2831,IF(01_因子設定!$B$13="最大化",Q2831,IF(01_因子設定!$B$13="最小化",-Q2831,-ABS(Q2831-01_因子設定!$B$16))),-1E+030)</f>
        <v>48.1516832386364</v>
      </c>
      <c r="Y2831" s="55" t="n">
        <f aca="false">W2831+ROW()*0.000000001</f>
        <v>-1.36107910007075</v>
      </c>
      <c r="Z2831" s="55" t="n">
        <f aca="false">X2831+ROW()*0.000000001</f>
        <v>48.1516860696364</v>
      </c>
    </row>
    <row r="2832" customFormat="false" ht="15" hidden="false" customHeight="false" outlineLevel="0" collapsed="false">
      <c r="A2832" s="0" t="n">
        <v>9</v>
      </c>
      <c r="B2832" s="0" t="n">
        <v>13</v>
      </c>
      <c r="C2832" s="0" t="n">
        <v>5</v>
      </c>
      <c r="D2832" s="0" t="n">
        <f aca="false">-1+A2832*0.125</f>
        <v>0.125</v>
      </c>
      <c r="E2832" s="0" t="n">
        <f aca="false">-1+B2832*0.125</f>
        <v>0.625</v>
      </c>
      <c r="F2832" s="0" t="n">
        <f aca="false">-1+C2832*0.125</f>
        <v>-0.375</v>
      </c>
      <c r="G2832" s="0" t="n">
        <f aca="false">1</f>
        <v>1</v>
      </c>
      <c r="H2832" s="0" t="n">
        <f aca="false">D2832</f>
        <v>0.125</v>
      </c>
      <c r="I2832" s="0" t="n">
        <f aca="false">E2832</f>
        <v>0.625</v>
      </c>
      <c r="J2832" s="0" t="n">
        <f aca="false">F2832</f>
        <v>-0.375</v>
      </c>
      <c r="K2832" s="0" t="n">
        <f aca="false">D2832*E2832</f>
        <v>0.078125</v>
      </c>
      <c r="L2832" s="0" t="n">
        <f aca="false">D2832*F2832</f>
        <v>-0.046875</v>
      </c>
      <c r="M2832" s="0" t="n">
        <f aca="false">E2832*F2832</f>
        <v>-0.234375</v>
      </c>
      <c r="N2832" s="0" t="n">
        <f aca="false">D2832*D2832</f>
        <v>0.015625</v>
      </c>
      <c r="O2832" s="0" t="n">
        <f aca="false">E2832*E2832</f>
        <v>0.390625</v>
      </c>
      <c r="P2832" s="0" t="n">
        <f aca="false">F2832*F2832</f>
        <v>0.140625</v>
      </c>
      <c r="Q2832" s="0" t="n">
        <f aca="false">SUMPRODUCT(G2832:P2832,_XtX!$B$71:$K$71)</f>
        <v>48.4857599431818</v>
      </c>
      <c r="R2832" s="0" t="n">
        <f aca="false">SUMPRODUCT(MMULT(G2832:P2832,_XtX!$B$58:$K$67),G2832:P2832)</f>
        <v>0.176578591086648</v>
      </c>
      <c r="S2832" s="0" t="n">
        <f aca="false">04_回帰ANOVA!$K$19*04_回帰ANOVA!$K$14*SQRT(1+R2832)</f>
        <v>1.00850279676269</v>
      </c>
      <c r="T2832" s="0" t="n">
        <f aca="false">Q2832-S2832</f>
        <v>47.4772571464191</v>
      </c>
      <c r="U2832" s="0" t="n">
        <f aca="false">Q2832+S2832</f>
        <v>49.4942627399445</v>
      </c>
      <c r="V2832" s="54" t="b">
        <f aca="false">AND(D2832&gt;=01_因子設定!$L$5-0.000000001,D2832&lt;=01_因子設定!$M$5+0.000000001,E2832&gt;=01_因子設定!$L$6-0.000000001,E2832&lt;=01_因子設定!$M$6+0.000000001,F2832&gt;=01_因子設定!$L$7-0.000000001,F2832&lt;=01_因子設定!$M$7+0.000000001,IF(01_因子設定!$B$20="Box-Behnken",D2832^2+E2832^2+F2832^2&lt;=2+0.000000001,TRUE()))</f>
        <v>1</v>
      </c>
      <c r="W2832" s="55" t="n">
        <f aca="false">IF(V2832,IF(01_因子設定!$B$13="最大化",T2832-01_因子設定!$B$14,IF(01_因子設定!$B$13="最小化",01_因子設定!$B$15-U2832,MIN(T2832-01_因子設定!$B$14,01_因子設定!$B$15-U2832))),-1E+030)</f>
        <v>-1.02274285358086</v>
      </c>
      <c r="X2832" s="55" t="n">
        <f aca="false">IF(V2832,IF(01_因子設定!$B$13="最大化",Q2832,IF(01_因子設定!$B$13="最小化",-Q2832,-ABS(Q2832-01_因子設定!$B$16))),-1E+030)</f>
        <v>48.4857599431818</v>
      </c>
      <c r="Y2832" s="55" t="n">
        <f aca="false">W2832+ROW()*0.000000001</f>
        <v>-1.02274002158086</v>
      </c>
      <c r="Z2832" s="55" t="n">
        <f aca="false">X2832+ROW()*0.000000001</f>
        <v>48.4857627751818</v>
      </c>
    </row>
    <row r="2833" customFormat="false" ht="15" hidden="false" customHeight="false" outlineLevel="0" collapsed="false">
      <c r="A2833" s="0" t="n">
        <v>9</v>
      </c>
      <c r="B2833" s="0" t="n">
        <v>13</v>
      </c>
      <c r="C2833" s="0" t="n">
        <v>6</v>
      </c>
      <c r="D2833" s="0" t="n">
        <f aca="false">-1+A2833*0.125</f>
        <v>0.125</v>
      </c>
      <c r="E2833" s="0" t="n">
        <f aca="false">-1+B2833*0.125</f>
        <v>0.625</v>
      </c>
      <c r="F2833" s="0" t="n">
        <f aca="false">-1+C2833*0.125</f>
        <v>-0.25</v>
      </c>
      <c r="G2833" s="0" t="n">
        <f aca="false">1</f>
        <v>1</v>
      </c>
      <c r="H2833" s="0" t="n">
        <f aca="false">D2833</f>
        <v>0.125</v>
      </c>
      <c r="I2833" s="0" t="n">
        <f aca="false">E2833</f>
        <v>0.625</v>
      </c>
      <c r="J2833" s="0" t="n">
        <f aca="false">F2833</f>
        <v>-0.25</v>
      </c>
      <c r="K2833" s="0" t="n">
        <f aca="false">D2833*E2833</f>
        <v>0.078125</v>
      </c>
      <c r="L2833" s="0" t="n">
        <f aca="false">D2833*F2833</f>
        <v>-0.03125</v>
      </c>
      <c r="M2833" s="0" t="n">
        <f aca="false">E2833*F2833</f>
        <v>-0.15625</v>
      </c>
      <c r="N2833" s="0" t="n">
        <f aca="false">D2833*D2833</f>
        <v>0.015625</v>
      </c>
      <c r="O2833" s="0" t="n">
        <f aca="false">E2833*E2833</f>
        <v>0.390625</v>
      </c>
      <c r="P2833" s="0" t="n">
        <f aca="false">F2833*F2833</f>
        <v>0.0625</v>
      </c>
      <c r="Q2833" s="0" t="n">
        <f aca="false">SUMPRODUCT(G2833:P2833,_XtX!$B$71:$K$71)</f>
        <v>48.783046875</v>
      </c>
      <c r="R2833" s="0" t="n">
        <f aca="false">SUMPRODUCT(MMULT(G2833:P2833,_XtX!$B$58:$K$67),G2833:P2833)</f>
        <v>0.174786376953125</v>
      </c>
      <c r="S2833" s="0" t="n">
        <f aca="false">04_回帰ANOVA!$K$19*04_回帰ANOVA!$K$14*SQRT(1+R2833)</f>
        <v>1.00773440704286</v>
      </c>
      <c r="T2833" s="0" t="n">
        <f aca="false">Q2833-S2833</f>
        <v>47.7753124679572</v>
      </c>
      <c r="U2833" s="0" t="n">
        <f aca="false">Q2833+S2833</f>
        <v>49.7907812820429</v>
      </c>
      <c r="V2833" s="54" t="b">
        <f aca="false">AND(D2833&gt;=01_因子設定!$L$5-0.000000001,D2833&lt;=01_因子設定!$M$5+0.000000001,E2833&gt;=01_因子設定!$L$6-0.000000001,E2833&lt;=01_因子設定!$M$6+0.000000001,F2833&gt;=01_因子設定!$L$7-0.000000001,F2833&lt;=01_因子設定!$M$7+0.000000001,IF(01_因子設定!$B$20="Box-Behnken",D2833^2+E2833^2+F2833^2&lt;=2+0.000000001,TRUE()))</f>
        <v>1</v>
      </c>
      <c r="W2833" s="55" t="n">
        <f aca="false">IF(V2833,IF(01_因子設定!$B$13="最大化",T2833-01_因子設定!$B$14,IF(01_因子設定!$B$13="最小化",01_因子設定!$B$15-U2833,MIN(T2833-01_因子設定!$B$14,01_因子設定!$B$15-U2833))),-1E+030)</f>
        <v>-0.72468753204285</v>
      </c>
      <c r="X2833" s="55" t="n">
        <f aca="false">IF(V2833,IF(01_因子設定!$B$13="最大化",Q2833,IF(01_因子設定!$B$13="最小化",-Q2833,-ABS(Q2833-01_因子設定!$B$16))),-1E+030)</f>
        <v>48.783046875</v>
      </c>
      <c r="Y2833" s="55" t="n">
        <f aca="false">W2833+ROW()*0.000000001</f>
        <v>-0.72468469904285</v>
      </c>
      <c r="Z2833" s="55" t="n">
        <f aca="false">X2833+ROW()*0.000000001</f>
        <v>48.783049708</v>
      </c>
    </row>
    <row r="2834" customFormat="false" ht="15" hidden="false" customHeight="false" outlineLevel="0" collapsed="false">
      <c r="A2834" s="0" t="n">
        <v>9</v>
      </c>
      <c r="B2834" s="0" t="n">
        <v>13</v>
      </c>
      <c r="C2834" s="0" t="n">
        <v>7</v>
      </c>
      <c r="D2834" s="0" t="n">
        <f aca="false">-1+A2834*0.125</f>
        <v>0.125</v>
      </c>
      <c r="E2834" s="0" t="n">
        <f aca="false">-1+B2834*0.125</f>
        <v>0.625</v>
      </c>
      <c r="F2834" s="0" t="n">
        <f aca="false">-1+C2834*0.125</f>
        <v>-0.125</v>
      </c>
      <c r="G2834" s="0" t="n">
        <f aca="false">1</f>
        <v>1</v>
      </c>
      <c r="H2834" s="0" t="n">
        <f aca="false">D2834</f>
        <v>0.125</v>
      </c>
      <c r="I2834" s="0" t="n">
        <f aca="false">E2834</f>
        <v>0.625</v>
      </c>
      <c r="J2834" s="0" t="n">
        <f aca="false">F2834</f>
        <v>-0.125</v>
      </c>
      <c r="K2834" s="0" t="n">
        <f aca="false">D2834*E2834</f>
        <v>0.078125</v>
      </c>
      <c r="L2834" s="0" t="n">
        <f aca="false">D2834*F2834</f>
        <v>-0.015625</v>
      </c>
      <c r="M2834" s="0" t="n">
        <f aca="false">E2834*F2834</f>
        <v>-0.078125</v>
      </c>
      <c r="N2834" s="0" t="n">
        <f aca="false">D2834*D2834</f>
        <v>0.015625</v>
      </c>
      <c r="O2834" s="0" t="n">
        <f aca="false">E2834*E2834</f>
        <v>0.390625</v>
      </c>
      <c r="P2834" s="0" t="n">
        <f aca="false">F2834*F2834</f>
        <v>0.015625</v>
      </c>
      <c r="Q2834" s="0" t="n">
        <f aca="false">SUMPRODUCT(G2834:P2834,_XtX!$B$71:$K$71)</f>
        <v>49.0435440340909</v>
      </c>
      <c r="R2834" s="0" t="n">
        <f aca="false">SUMPRODUCT(MMULT(G2834:P2834,_XtX!$B$58:$K$67),G2834:P2834)</f>
        <v>0.175841730291193</v>
      </c>
      <c r="S2834" s="0" t="n">
        <f aca="false">04_回帰ANOVA!$K$19*04_回帰ANOVA!$K$14*SQRT(1+R2834)</f>
        <v>1.00818694767054</v>
      </c>
      <c r="T2834" s="0" t="n">
        <f aca="false">Q2834-S2834</f>
        <v>48.0353570864204</v>
      </c>
      <c r="U2834" s="0" t="n">
        <f aca="false">Q2834+S2834</f>
        <v>50.0517309817615</v>
      </c>
      <c r="V2834" s="54" t="b">
        <f aca="false">AND(D2834&gt;=01_因子設定!$L$5-0.000000001,D2834&lt;=01_因子設定!$M$5+0.000000001,E2834&gt;=01_因子設定!$L$6-0.000000001,E2834&lt;=01_因子設定!$M$6+0.000000001,F2834&gt;=01_因子設定!$L$7-0.000000001,F2834&lt;=01_因子設定!$M$7+0.000000001,IF(01_因子設定!$B$20="Box-Behnken",D2834^2+E2834^2+F2834^2&lt;=2+0.000000001,TRUE()))</f>
        <v>1</v>
      </c>
      <c r="W2834" s="55" t="n">
        <f aca="false">IF(V2834,IF(01_因子設定!$B$13="最大化",T2834-01_因子設定!$B$14,IF(01_因子設定!$B$13="最小化",01_因子設定!$B$15-U2834,MIN(T2834-01_因子設定!$B$14,01_因子設定!$B$15-U2834))),-1E+030)</f>
        <v>-0.464642913579617</v>
      </c>
      <c r="X2834" s="55" t="n">
        <f aca="false">IF(V2834,IF(01_因子設定!$B$13="最大化",Q2834,IF(01_因子設定!$B$13="最小化",-Q2834,-ABS(Q2834-01_因子設定!$B$16))),-1E+030)</f>
        <v>49.0435440340909</v>
      </c>
      <c r="Y2834" s="55" t="n">
        <f aca="false">W2834+ROW()*0.000000001</f>
        <v>-0.464640079579617</v>
      </c>
      <c r="Z2834" s="55" t="n">
        <f aca="false">X2834+ROW()*0.000000001</f>
        <v>49.0435468680909</v>
      </c>
    </row>
    <row r="2835" customFormat="false" ht="15" hidden="false" customHeight="false" outlineLevel="0" collapsed="false">
      <c r="A2835" s="0" t="n">
        <v>9</v>
      </c>
      <c r="B2835" s="0" t="n">
        <v>13</v>
      </c>
      <c r="C2835" s="0" t="n">
        <v>8</v>
      </c>
      <c r="D2835" s="0" t="n">
        <f aca="false">-1+A2835*0.125</f>
        <v>0.125</v>
      </c>
      <c r="E2835" s="0" t="n">
        <f aca="false">-1+B2835*0.125</f>
        <v>0.625</v>
      </c>
      <c r="F2835" s="0" t="n">
        <f aca="false">-1+C2835*0.125</f>
        <v>0</v>
      </c>
      <c r="G2835" s="0" t="n">
        <f aca="false">1</f>
        <v>1</v>
      </c>
      <c r="H2835" s="0" t="n">
        <f aca="false">D2835</f>
        <v>0.125</v>
      </c>
      <c r="I2835" s="0" t="n">
        <f aca="false">E2835</f>
        <v>0.625</v>
      </c>
      <c r="J2835" s="0" t="n">
        <f aca="false">F2835</f>
        <v>0</v>
      </c>
      <c r="K2835" s="0" t="n">
        <f aca="false">D2835*E2835</f>
        <v>0.078125</v>
      </c>
      <c r="L2835" s="0" t="n">
        <f aca="false">D2835*F2835</f>
        <v>0</v>
      </c>
      <c r="M2835" s="0" t="n">
        <f aca="false">E2835*F2835</f>
        <v>0</v>
      </c>
      <c r="N2835" s="0" t="n">
        <f aca="false">D2835*D2835</f>
        <v>0.015625</v>
      </c>
      <c r="O2835" s="0" t="n">
        <f aca="false">E2835*E2835</f>
        <v>0.390625</v>
      </c>
      <c r="P2835" s="0" t="n">
        <f aca="false">F2835*F2835</f>
        <v>0</v>
      </c>
      <c r="Q2835" s="0" t="n">
        <f aca="false">SUMPRODUCT(G2835:P2835,_XtX!$B$71:$K$71)</f>
        <v>49.2672514204546</v>
      </c>
      <c r="R2835" s="0" t="n">
        <f aca="false">SUMPRODUCT(MMULT(G2835:P2835,_XtX!$B$58:$K$67),G2835:P2835)</f>
        <v>0.17654862837358</v>
      </c>
      <c r="S2835" s="0" t="n">
        <f aca="false">04_回帰ANOVA!$K$19*04_回帰ANOVA!$K$14*SQRT(1+R2835)</f>
        <v>1.00848995543082</v>
      </c>
      <c r="T2835" s="0" t="n">
        <f aca="false">Q2835-S2835</f>
        <v>48.2587614650237</v>
      </c>
      <c r="U2835" s="0" t="n">
        <f aca="false">Q2835+S2835</f>
        <v>50.2757413758854</v>
      </c>
      <c r="V2835" s="54" t="b">
        <f aca="false">AND(D2835&gt;=01_因子設定!$L$5-0.000000001,D2835&lt;=01_因子設定!$M$5+0.000000001,E2835&gt;=01_因子設定!$L$6-0.000000001,E2835&lt;=01_因子設定!$M$6+0.000000001,F2835&gt;=01_因子設定!$L$7-0.000000001,F2835&lt;=01_因子設定!$M$7+0.000000001,IF(01_因子設定!$B$20="Box-Behnken",D2835^2+E2835^2+F2835^2&lt;=2+0.000000001,TRUE()))</f>
        <v>1</v>
      </c>
      <c r="W2835" s="55" t="n">
        <f aca="false">IF(V2835,IF(01_因子設定!$B$13="最大化",T2835-01_因子設定!$B$14,IF(01_因子設定!$B$13="最小化",01_因子設定!$B$15-U2835,MIN(T2835-01_因子設定!$B$14,01_因子設定!$B$15-U2835))),-1E+030)</f>
        <v>-0.241238534976269</v>
      </c>
      <c r="X2835" s="55" t="n">
        <f aca="false">IF(V2835,IF(01_因子設定!$B$13="最大化",Q2835,IF(01_因子設定!$B$13="最小化",-Q2835,-ABS(Q2835-01_因子設定!$B$16))),-1E+030)</f>
        <v>49.2672514204546</v>
      </c>
      <c r="Y2835" s="55" t="n">
        <f aca="false">W2835+ROW()*0.000000001</f>
        <v>-0.241235699976269</v>
      </c>
      <c r="Z2835" s="55" t="n">
        <f aca="false">X2835+ROW()*0.000000001</f>
        <v>49.2672542554546</v>
      </c>
    </row>
    <row r="2836" customFormat="false" ht="15" hidden="false" customHeight="false" outlineLevel="0" collapsed="false">
      <c r="A2836" s="0" t="n">
        <v>9</v>
      </c>
      <c r="B2836" s="0" t="n">
        <v>13</v>
      </c>
      <c r="C2836" s="0" t="n">
        <v>9</v>
      </c>
      <c r="D2836" s="0" t="n">
        <f aca="false">-1+A2836*0.125</f>
        <v>0.125</v>
      </c>
      <c r="E2836" s="0" t="n">
        <f aca="false">-1+B2836*0.125</f>
        <v>0.625</v>
      </c>
      <c r="F2836" s="0" t="n">
        <f aca="false">-1+C2836*0.125</f>
        <v>0.125</v>
      </c>
      <c r="G2836" s="0" t="n">
        <f aca="false">1</f>
        <v>1</v>
      </c>
      <c r="H2836" s="0" t="n">
        <f aca="false">D2836</f>
        <v>0.125</v>
      </c>
      <c r="I2836" s="0" t="n">
        <f aca="false">E2836</f>
        <v>0.625</v>
      </c>
      <c r="J2836" s="0" t="n">
        <f aca="false">F2836</f>
        <v>0.125</v>
      </c>
      <c r="K2836" s="0" t="n">
        <f aca="false">D2836*E2836</f>
        <v>0.078125</v>
      </c>
      <c r="L2836" s="0" t="n">
        <f aca="false">D2836*F2836</f>
        <v>0.015625</v>
      </c>
      <c r="M2836" s="0" t="n">
        <f aca="false">E2836*F2836</f>
        <v>0.078125</v>
      </c>
      <c r="N2836" s="0" t="n">
        <f aca="false">D2836*D2836</f>
        <v>0.015625</v>
      </c>
      <c r="O2836" s="0" t="n">
        <f aca="false">E2836*E2836</f>
        <v>0.390625</v>
      </c>
      <c r="P2836" s="0" t="n">
        <f aca="false">F2836*F2836</f>
        <v>0.015625</v>
      </c>
      <c r="Q2836" s="0" t="n">
        <f aca="false">SUMPRODUCT(G2836:P2836,_XtX!$B$71:$K$71)</f>
        <v>49.4541690340909</v>
      </c>
      <c r="R2836" s="0" t="n">
        <f aca="false">SUMPRODUCT(MMULT(G2836:P2836,_XtX!$B$58:$K$67),G2836:P2836)</f>
        <v>0.175841730291193</v>
      </c>
      <c r="S2836" s="0" t="n">
        <f aca="false">04_回帰ANOVA!$K$19*04_回帰ANOVA!$K$14*SQRT(1+R2836)</f>
        <v>1.00818694767054</v>
      </c>
      <c r="T2836" s="0" t="n">
        <f aca="false">Q2836-S2836</f>
        <v>48.4459820864204</v>
      </c>
      <c r="U2836" s="0" t="n">
        <f aca="false">Q2836+S2836</f>
        <v>50.4623559817615</v>
      </c>
      <c r="V2836" s="54" t="b">
        <f aca="false">AND(D2836&gt;=01_因子設定!$L$5-0.000000001,D2836&lt;=01_因子設定!$M$5+0.000000001,E2836&gt;=01_因子設定!$L$6-0.000000001,E2836&lt;=01_因子設定!$M$6+0.000000001,F2836&gt;=01_因子設定!$L$7-0.000000001,F2836&lt;=01_因子設定!$M$7+0.000000001,IF(01_因子設定!$B$20="Box-Behnken",D2836^2+E2836^2+F2836^2&lt;=2+0.000000001,TRUE()))</f>
        <v>1</v>
      </c>
      <c r="W2836" s="55" t="n">
        <f aca="false">IF(V2836,IF(01_因子設定!$B$13="最大化",T2836-01_因子設定!$B$14,IF(01_因子設定!$B$13="最小化",01_因子設定!$B$15-U2836,MIN(T2836-01_因子設定!$B$14,01_因子設定!$B$15-U2836))),-1E+030)</f>
        <v>-0.0540179135796208</v>
      </c>
      <c r="X2836" s="55" t="n">
        <f aca="false">IF(V2836,IF(01_因子設定!$B$13="最大化",Q2836,IF(01_因子設定!$B$13="最小化",-Q2836,-ABS(Q2836-01_因子設定!$B$16))),-1E+030)</f>
        <v>49.4541690340909</v>
      </c>
      <c r="Y2836" s="55" t="n">
        <f aca="false">W2836+ROW()*0.000000001</f>
        <v>-0.0540150775796208</v>
      </c>
      <c r="Z2836" s="55" t="n">
        <f aca="false">X2836+ROW()*0.000000001</f>
        <v>49.4541718700909</v>
      </c>
    </row>
    <row r="2837" customFormat="false" ht="15" hidden="false" customHeight="false" outlineLevel="0" collapsed="false">
      <c r="A2837" s="0" t="n">
        <v>9</v>
      </c>
      <c r="B2837" s="0" t="n">
        <v>13</v>
      </c>
      <c r="C2837" s="0" t="n">
        <v>10</v>
      </c>
      <c r="D2837" s="0" t="n">
        <f aca="false">-1+A2837*0.125</f>
        <v>0.125</v>
      </c>
      <c r="E2837" s="0" t="n">
        <f aca="false">-1+B2837*0.125</f>
        <v>0.625</v>
      </c>
      <c r="F2837" s="0" t="n">
        <f aca="false">-1+C2837*0.125</f>
        <v>0.25</v>
      </c>
      <c r="G2837" s="0" t="n">
        <f aca="false">1</f>
        <v>1</v>
      </c>
      <c r="H2837" s="0" t="n">
        <f aca="false">D2837</f>
        <v>0.125</v>
      </c>
      <c r="I2837" s="0" t="n">
        <f aca="false">E2837</f>
        <v>0.625</v>
      </c>
      <c r="J2837" s="0" t="n">
        <f aca="false">F2837</f>
        <v>0.25</v>
      </c>
      <c r="K2837" s="0" t="n">
        <f aca="false">D2837*E2837</f>
        <v>0.078125</v>
      </c>
      <c r="L2837" s="0" t="n">
        <f aca="false">D2837*F2837</f>
        <v>0.03125</v>
      </c>
      <c r="M2837" s="0" t="n">
        <f aca="false">E2837*F2837</f>
        <v>0.15625</v>
      </c>
      <c r="N2837" s="0" t="n">
        <f aca="false">D2837*D2837</f>
        <v>0.015625</v>
      </c>
      <c r="O2837" s="0" t="n">
        <f aca="false">E2837*E2837</f>
        <v>0.390625</v>
      </c>
      <c r="P2837" s="0" t="n">
        <f aca="false">F2837*F2837</f>
        <v>0.0625</v>
      </c>
      <c r="Q2837" s="0" t="n">
        <f aca="false">SUMPRODUCT(G2837:P2837,_XtX!$B$71:$K$71)</f>
        <v>49.604296875</v>
      </c>
      <c r="R2837" s="0" t="n">
        <f aca="false">SUMPRODUCT(MMULT(G2837:P2837,_XtX!$B$58:$K$67),G2837:P2837)</f>
        <v>0.174786376953125</v>
      </c>
      <c r="S2837" s="0" t="n">
        <f aca="false">04_回帰ANOVA!$K$19*04_回帰ANOVA!$K$14*SQRT(1+R2837)</f>
        <v>1.00773440704286</v>
      </c>
      <c r="T2837" s="0" t="n">
        <f aca="false">Q2837-S2837</f>
        <v>48.5965624679572</v>
      </c>
      <c r="U2837" s="0" t="n">
        <f aca="false">Q2837+S2837</f>
        <v>50.6120312820429</v>
      </c>
      <c r="V2837" s="54" t="b">
        <f aca="false">AND(D2837&gt;=01_因子設定!$L$5-0.000000001,D2837&lt;=01_因子設定!$M$5+0.000000001,E2837&gt;=01_因子設定!$L$6-0.000000001,E2837&lt;=01_因子設定!$M$6+0.000000001,F2837&gt;=01_因子設定!$L$7-0.000000001,F2837&lt;=01_因子設定!$M$7+0.000000001,IF(01_因子設定!$B$20="Box-Behnken",D2837^2+E2837^2+F2837^2&lt;=2+0.000000001,TRUE()))</f>
        <v>1</v>
      </c>
      <c r="W2837" s="55" t="n">
        <f aca="false">IF(V2837,IF(01_因子設定!$B$13="最大化",T2837-01_因子設定!$B$14,IF(01_因子設定!$B$13="最小化",01_因子設定!$B$15-U2837,MIN(T2837-01_因子設定!$B$14,01_因子設定!$B$15-U2837))),-1E+030)</f>
        <v>0.0965624679571491</v>
      </c>
      <c r="X2837" s="55" t="n">
        <f aca="false">IF(V2837,IF(01_因子設定!$B$13="最大化",Q2837,IF(01_因子設定!$B$13="最小化",-Q2837,-ABS(Q2837-01_因子設定!$B$16))),-1E+030)</f>
        <v>49.604296875</v>
      </c>
      <c r="Y2837" s="55" t="n">
        <f aca="false">W2837+ROW()*0.000000001</f>
        <v>0.0965653049571491</v>
      </c>
      <c r="Z2837" s="55" t="n">
        <f aca="false">X2837+ROW()*0.000000001</f>
        <v>49.604299712</v>
      </c>
    </row>
    <row r="2838" customFormat="false" ht="15" hidden="false" customHeight="false" outlineLevel="0" collapsed="false">
      <c r="A2838" s="0" t="n">
        <v>9</v>
      </c>
      <c r="B2838" s="0" t="n">
        <v>13</v>
      </c>
      <c r="C2838" s="0" t="n">
        <v>11</v>
      </c>
      <c r="D2838" s="0" t="n">
        <f aca="false">-1+A2838*0.125</f>
        <v>0.125</v>
      </c>
      <c r="E2838" s="0" t="n">
        <f aca="false">-1+B2838*0.125</f>
        <v>0.625</v>
      </c>
      <c r="F2838" s="0" t="n">
        <f aca="false">-1+C2838*0.125</f>
        <v>0.375</v>
      </c>
      <c r="G2838" s="0" t="n">
        <f aca="false">1</f>
        <v>1</v>
      </c>
      <c r="H2838" s="0" t="n">
        <f aca="false">D2838</f>
        <v>0.125</v>
      </c>
      <c r="I2838" s="0" t="n">
        <f aca="false">E2838</f>
        <v>0.625</v>
      </c>
      <c r="J2838" s="0" t="n">
        <f aca="false">F2838</f>
        <v>0.375</v>
      </c>
      <c r="K2838" s="0" t="n">
        <f aca="false">D2838*E2838</f>
        <v>0.078125</v>
      </c>
      <c r="L2838" s="0" t="n">
        <f aca="false">D2838*F2838</f>
        <v>0.046875</v>
      </c>
      <c r="M2838" s="0" t="n">
        <f aca="false">E2838*F2838</f>
        <v>0.234375</v>
      </c>
      <c r="N2838" s="0" t="n">
        <f aca="false">D2838*D2838</f>
        <v>0.015625</v>
      </c>
      <c r="O2838" s="0" t="n">
        <f aca="false">E2838*E2838</f>
        <v>0.390625</v>
      </c>
      <c r="P2838" s="0" t="n">
        <f aca="false">F2838*F2838</f>
        <v>0.140625</v>
      </c>
      <c r="Q2838" s="0" t="n">
        <f aca="false">SUMPRODUCT(G2838:P2838,_XtX!$B$71:$K$71)</f>
        <v>49.7176349431818</v>
      </c>
      <c r="R2838" s="0" t="n">
        <f aca="false">SUMPRODUCT(MMULT(G2838:P2838,_XtX!$B$58:$K$67),G2838:P2838)</f>
        <v>0.176578591086648</v>
      </c>
      <c r="S2838" s="0" t="n">
        <f aca="false">04_回帰ANOVA!$K$19*04_回帰ANOVA!$K$14*SQRT(1+R2838)</f>
        <v>1.00850279676269</v>
      </c>
      <c r="T2838" s="0" t="n">
        <f aca="false">Q2838-S2838</f>
        <v>48.7091321464191</v>
      </c>
      <c r="U2838" s="0" t="n">
        <f aca="false">Q2838+S2838</f>
        <v>50.7261377399445</v>
      </c>
      <c r="V2838" s="54" t="b">
        <f aca="false">AND(D2838&gt;=01_因子設定!$L$5-0.000000001,D2838&lt;=01_因子設定!$M$5+0.000000001,E2838&gt;=01_因子設定!$L$6-0.000000001,E2838&lt;=01_因子設定!$M$6+0.000000001,F2838&gt;=01_因子設定!$L$7-0.000000001,F2838&lt;=01_因子設定!$M$7+0.000000001,IF(01_因子設定!$B$20="Box-Behnken",D2838^2+E2838^2+F2838^2&lt;=2+0.000000001,TRUE()))</f>
        <v>1</v>
      </c>
      <c r="W2838" s="55" t="n">
        <f aca="false">IF(V2838,IF(01_因子設定!$B$13="最大化",T2838-01_因子設定!$B$14,IF(01_因子設定!$B$13="最小化",01_因子設定!$B$15-U2838,MIN(T2838-01_因子設定!$B$14,01_因子設定!$B$15-U2838))),-1E+030)</f>
        <v>0.209132146419137</v>
      </c>
      <c r="X2838" s="55" t="n">
        <f aca="false">IF(V2838,IF(01_因子設定!$B$13="最大化",Q2838,IF(01_因子設定!$B$13="最小化",-Q2838,-ABS(Q2838-01_因子設定!$B$16))),-1E+030)</f>
        <v>49.7176349431818</v>
      </c>
      <c r="Y2838" s="55" t="n">
        <f aca="false">W2838+ROW()*0.000000001</f>
        <v>0.209134984419137</v>
      </c>
      <c r="Z2838" s="55" t="n">
        <f aca="false">X2838+ROW()*0.000000001</f>
        <v>49.7176377811818</v>
      </c>
    </row>
    <row r="2839" customFormat="false" ht="15" hidden="false" customHeight="false" outlineLevel="0" collapsed="false">
      <c r="A2839" s="0" t="n">
        <v>9</v>
      </c>
      <c r="B2839" s="0" t="n">
        <v>13</v>
      </c>
      <c r="C2839" s="0" t="n">
        <v>12</v>
      </c>
      <c r="D2839" s="0" t="n">
        <f aca="false">-1+A2839*0.125</f>
        <v>0.125</v>
      </c>
      <c r="E2839" s="0" t="n">
        <f aca="false">-1+B2839*0.125</f>
        <v>0.625</v>
      </c>
      <c r="F2839" s="0" t="n">
        <f aca="false">-1+C2839*0.125</f>
        <v>0.5</v>
      </c>
      <c r="G2839" s="0" t="n">
        <f aca="false">1</f>
        <v>1</v>
      </c>
      <c r="H2839" s="0" t="n">
        <f aca="false">D2839</f>
        <v>0.125</v>
      </c>
      <c r="I2839" s="0" t="n">
        <f aca="false">E2839</f>
        <v>0.625</v>
      </c>
      <c r="J2839" s="0" t="n">
        <f aca="false">F2839</f>
        <v>0.5</v>
      </c>
      <c r="K2839" s="0" t="n">
        <f aca="false">D2839*E2839</f>
        <v>0.078125</v>
      </c>
      <c r="L2839" s="0" t="n">
        <f aca="false">D2839*F2839</f>
        <v>0.0625</v>
      </c>
      <c r="M2839" s="0" t="n">
        <f aca="false">E2839*F2839</f>
        <v>0.3125</v>
      </c>
      <c r="N2839" s="0" t="n">
        <f aca="false">D2839*D2839</f>
        <v>0.015625</v>
      </c>
      <c r="O2839" s="0" t="n">
        <f aca="false">E2839*E2839</f>
        <v>0.390625</v>
      </c>
      <c r="P2839" s="0" t="n">
        <f aca="false">F2839*F2839</f>
        <v>0.25</v>
      </c>
      <c r="Q2839" s="0" t="n">
        <f aca="false">SUMPRODUCT(G2839:P2839,_XtX!$B$71:$K$71)</f>
        <v>49.7941832386364</v>
      </c>
      <c r="R2839" s="0" t="n">
        <f aca="false">SUMPRODUCT(MMULT(G2839:P2839,_XtX!$B$58:$K$67),G2839:P2839)</f>
        <v>0.186545077237216</v>
      </c>
      <c r="S2839" s="0" t="n">
        <f aca="false">04_回帰ANOVA!$K$19*04_回帰ANOVA!$K$14*SQRT(1+R2839)</f>
        <v>1.01276516970713</v>
      </c>
      <c r="T2839" s="0" t="n">
        <f aca="false">Q2839-S2839</f>
        <v>48.7814180689293</v>
      </c>
      <c r="U2839" s="0" t="n">
        <f aca="false">Q2839+S2839</f>
        <v>50.8069484083435</v>
      </c>
      <c r="V2839" s="54" t="b">
        <f aca="false">AND(D2839&gt;=01_因子設定!$L$5-0.000000001,D2839&lt;=01_因子設定!$M$5+0.000000001,E2839&gt;=01_因子設定!$L$6-0.000000001,E2839&lt;=01_因子設定!$M$6+0.000000001,F2839&gt;=01_因子設定!$L$7-0.000000001,F2839&lt;=01_因子設定!$M$7+0.000000001,IF(01_因子設定!$B$20="Box-Behnken",D2839^2+E2839^2+F2839^2&lt;=2+0.000000001,TRUE()))</f>
        <v>1</v>
      </c>
      <c r="W2839" s="55" t="n">
        <f aca="false">IF(V2839,IF(01_因子設定!$B$13="最大化",T2839-01_因子設定!$B$14,IF(01_因子設定!$B$13="最小化",01_因子設定!$B$15-U2839,MIN(T2839-01_因子設定!$B$14,01_因子設定!$B$15-U2839))),-1E+030)</f>
        <v>0.281418068929249</v>
      </c>
      <c r="X2839" s="55" t="n">
        <f aca="false">IF(V2839,IF(01_因子設定!$B$13="最大化",Q2839,IF(01_因子設定!$B$13="最小化",-Q2839,-ABS(Q2839-01_因子設定!$B$16))),-1E+030)</f>
        <v>49.7941832386364</v>
      </c>
      <c r="Y2839" s="55" t="n">
        <f aca="false">W2839+ROW()*0.000000001</f>
        <v>0.281420907929248</v>
      </c>
      <c r="Z2839" s="55" t="n">
        <f aca="false">X2839+ROW()*0.000000001</f>
        <v>49.7941860776364</v>
      </c>
    </row>
    <row r="2840" customFormat="false" ht="15" hidden="false" customHeight="false" outlineLevel="0" collapsed="false">
      <c r="A2840" s="0" t="n">
        <v>9</v>
      </c>
      <c r="B2840" s="0" t="n">
        <v>13</v>
      </c>
      <c r="C2840" s="0" t="n">
        <v>13</v>
      </c>
      <c r="D2840" s="0" t="n">
        <f aca="false">-1+A2840*0.125</f>
        <v>0.125</v>
      </c>
      <c r="E2840" s="0" t="n">
        <f aca="false">-1+B2840*0.125</f>
        <v>0.625</v>
      </c>
      <c r="F2840" s="0" t="n">
        <f aca="false">-1+C2840*0.125</f>
        <v>0.625</v>
      </c>
      <c r="G2840" s="0" t="n">
        <f aca="false">1</f>
        <v>1</v>
      </c>
      <c r="H2840" s="0" t="n">
        <f aca="false">D2840</f>
        <v>0.125</v>
      </c>
      <c r="I2840" s="0" t="n">
        <f aca="false">E2840</f>
        <v>0.625</v>
      </c>
      <c r="J2840" s="0" t="n">
        <f aca="false">F2840</f>
        <v>0.625</v>
      </c>
      <c r="K2840" s="0" t="n">
        <f aca="false">D2840*E2840</f>
        <v>0.078125</v>
      </c>
      <c r="L2840" s="0" t="n">
        <f aca="false">D2840*F2840</f>
        <v>0.078125</v>
      </c>
      <c r="M2840" s="0" t="n">
        <f aca="false">E2840*F2840</f>
        <v>0.390625</v>
      </c>
      <c r="N2840" s="0" t="n">
        <f aca="false">D2840*D2840</f>
        <v>0.015625</v>
      </c>
      <c r="O2840" s="0" t="n">
        <f aca="false">E2840*E2840</f>
        <v>0.390625</v>
      </c>
      <c r="P2840" s="0" t="n">
        <f aca="false">F2840*F2840</f>
        <v>0.390625</v>
      </c>
      <c r="Q2840" s="0" t="n">
        <f aca="false">SUMPRODUCT(G2840:P2840,_XtX!$B$71:$K$71)</f>
        <v>49.8339417613637</v>
      </c>
      <c r="R2840" s="0" t="n">
        <f aca="false">SUMPRODUCT(MMULT(G2840:P2840,_XtX!$B$58:$K$67),G2840:P2840)</f>
        <v>0.212143221768466</v>
      </c>
      <c r="S2840" s="0" t="n">
        <f aca="false">04_回帰ANOVA!$K$19*04_回帰ANOVA!$K$14*SQRT(1+R2840)</f>
        <v>1.02363141237304</v>
      </c>
      <c r="T2840" s="0" t="n">
        <f aca="false">Q2840-S2840</f>
        <v>48.8103103489906</v>
      </c>
      <c r="U2840" s="0" t="n">
        <f aca="false">Q2840+S2840</f>
        <v>50.8575731737367</v>
      </c>
      <c r="V2840" s="54" t="b">
        <f aca="false">AND(D2840&gt;=01_因子設定!$L$5-0.000000001,D2840&lt;=01_因子設定!$M$5+0.000000001,E2840&gt;=01_因子設定!$L$6-0.000000001,E2840&lt;=01_因子設定!$M$6+0.000000001,F2840&gt;=01_因子設定!$L$7-0.000000001,F2840&lt;=01_因子設定!$M$7+0.000000001,IF(01_因子設定!$B$20="Box-Behnken",D2840^2+E2840^2+F2840^2&lt;=2+0.000000001,TRUE()))</f>
        <v>1</v>
      </c>
      <c r="W2840" s="55" t="n">
        <f aca="false">IF(V2840,IF(01_因子設定!$B$13="最大化",T2840-01_因子設定!$B$14,IF(01_因子設定!$B$13="最小化",01_因子設定!$B$15-U2840,MIN(T2840-01_因子設定!$B$14,01_因子設定!$B$15-U2840))),-1E+030)</f>
        <v>0.310310348990612</v>
      </c>
      <c r="X2840" s="55" t="n">
        <f aca="false">IF(V2840,IF(01_因子設定!$B$13="最大化",Q2840,IF(01_因子設定!$B$13="最小化",-Q2840,-ABS(Q2840-01_因子設定!$B$16))),-1E+030)</f>
        <v>49.8339417613637</v>
      </c>
      <c r="Y2840" s="55" t="n">
        <f aca="false">W2840+ROW()*0.000000001</f>
        <v>0.310313188990612</v>
      </c>
      <c r="Z2840" s="55" t="n">
        <f aca="false">X2840+ROW()*0.000000001</f>
        <v>49.8339446013637</v>
      </c>
    </row>
    <row r="2841" customFormat="false" ht="15" hidden="false" customHeight="false" outlineLevel="0" collapsed="false">
      <c r="A2841" s="0" t="n">
        <v>9</v>
      </c>
      <c r="B2841" s="0" t="n">
        <v>13</v>
      </c>
      <c r="C2841" s="0" t="n">
        <v>14</v>
      </c>
      <c r="D2841" s="0" t="n">
        <f aca="false">-1+A2841*0.125</f>
        <v>0.125</v>
      </c>
      <c r="E2841" s="0" t="n">
        <f aca="false">-1+B2841*0.125</f>
        <v>0.625</v>
      </c>
      <c r="F2841" s="0" t="n">
        <f aca="false">-1+C2841*0.125</f>
        <v>0.75</v>
      </c>
      <c r="G2841" s="0" t="n">
        <f aca="false">1</f>
        <v>1</v>
      </c>
      <c r="H2841" s="0" t="n">
        <f aca="false">D2841</f>
        <v>0.125</v>
      </c>
      <c r="I2841" s="0" t="n">
        <f aca="false">E2841</f>
        <v>0.625</v>
      </c>
      <c r="J2841" s="0" t="n">
        <f aca="false">F2841</f>
        <v>0.75</v>
      </c>
      <c r="K2841" s="0" t="n">
        <f aca="false">D2841*E2841</f>
        <v>0.078125</v>
      </c>
      <c r="L2841" s="0" t="n">
        <f aca="false">D2841*F2841</f>
        <v>0.09375</v>
      </c>
      <c r="M2841" s="0" t="n">
        <f aca="false">E2841*F2841</f>
        <v>0.46875</v>
      </c>
      <c r="N2841" s="0" t="n">
        <f aca="false">D2841*D2841</f>
        <v>0.015625</v>
      </c>
      <c r="O2841" s="0" t="n">
        <f aca="false">E2841*E2841</f>
        <v>0.390625</v>
      </c>
      <c r="P2841" s="0" t="n">
        <f aca="false">F2841*F2841</f>
        <v>0.5625</v>
      </c>
      <c r="Q2841" s="0" t="n">
        <f aca="false">SUMPRODUCT(G2841:P2841,_XtX!$B$71:$K$71)</f>
        <v>49.8369105113637</v>
      </c>
      <c r="R2841" s="0" t="n">
        <f aca="false">SUMPRODUCT(MMULT(G2841:P2841,_XtX!$B$58:$K$67),G2841:P2841)</f>
        <v>0.262961092862216</v>
      </c>
      <c r="S2841" s="0" t="n">
        <f aca="false">04_回帰ANOVA!$K$19*04_回帰ANOVA!$K$14*SQRT(1+R2841)</f>
        <v>1.04486846483649</v>
      </c>
      <c r="T2841" s="0" t="n">
        <f aca="false">Q2841-S2841</f>
        <v>48.7920420465272</v>
      </c>
      <c r="U2841" s="0" t="n">
        <f aca="false">Q2841+S2841</f>
        <v>50.8817789762001</v>
      </c>
      <c r="V2841" s="54" t="b">
        <f aca="false">AND(D2841&gt;=01_因子設定!$L$5-0.000000001,D2841&lt;=01_因子設定!$M$5+0.000000001,E2841&gt;=01_因子設定!$L$6-0.000000001,E2841&lt;=01_因子設定!$M$6+0.000000001,F2841&gt;=01_因子設定!$L$7-0.000000001,F2841&lt;=01_因子設定!$M$7+0.000000001,IF(01_因子設定!$B$20="Box-Behnken",D2841^2+E2841^2+F2841^2&lt;=2+0.000000001,TRUE()))</f>
        <v>1</v>
      </c>
      <c r="W2841" s="55" t="n">
        <f aca="false">IF(V2841,IF(01_因子設定!$B$13="最大化",T2841-01_因子設定!$B$14,IF(01_因子設定!$B$13="最小化",01_因子設定!$B$15-U2841,MIN(T2841-01_因子設定!$B$14,01_因子設定!$B$15-U2841))),-1E+030)</f>
        <v>0.292042046527172</v>
      </c>
      <c r="X2841" s="55" t="n">
        <f aca="false">IF(V2841,IF(01_因子設定!$B$13="最大化",Q2841,IF(01_因子設定!$B$13="最小化",-Q2841,-ABS(Q2841-01_因子設定!$B$16))),-1E+030)</f>
        <v>49.8369105113637</v>
      </c>
      <c r="Y2841" s="55" t="n">
        <f aca="false">W2841+ROW()*0.000000001</f>
        <v>0.292044887527172</v>
      </c>
      <c r="Z2841" s="55" t="n">
        <f aca="false">X2841+ROW()*0.000000001</f>
        <v>49.8369133523637</v>
      </c>
    </row>
    <row r="2842" customFormat="false" ht="15" hidden="false" customHeight="false" outlineLevel="0" collapsed="false">
      <c r="A2842" s="0" t="n">
        <v>9</v>
      </c>
      <c r="B2842" s="0" t="n">
        <v>13</v>
      </c>
      <c r="C2842" s="0" t="n">
        <v>15</v>
      </c>
      <c r="D2842" s="0" t="n">
        <f aca="false">-1+A2842*0.125</f>
        <v>0.125</v>
      </c>
      <c r="E2842" s="0" t="n">
        <f aca="false">-1+B2842*0.125</f>
        <v>0.625</v>
      </c>
      <c r="F2842" s="0" t="n">
        <f aca="false">-1+C2842*0.125</f>
        <v>0.875</v>
      </c>
      <c r="G2842" s="0" t="n">
        <f aca="false">1</f>
        <v>1</v>
      </c>
      <c r="H2842" s="0" t="n">
        <f aca="false">D2842</f>
        <v>0.125</v>
      </c>
      <c r="I2842" s="0" t="n">
        <f aca="false">E2842</f>
        <v>0.625</v>
      </c>
      <c r="J2842" s="0" t="n">
        <f aca="false">F2842</f>
        <v>0.875</v>
      </c>
      <c r="K2842" s="0" t="n">
        <f aca="false">D2842*E2842</f>
        <v>0.078125</v>
      </c>
      <c r="L2842" s="0" t="n">
        <f aca="false">D2842*F2842</f>
        <v>0.109375</v>
      </c>
      <c r="M2842" s="0" t="n">
        <f aca="false">E2842*F2842</f>
        <v>0.546875</v>
      </c>
      <c r="N2842" s="0" t="n">
        <f aca="false">D2842*D2842</f>
        <v>0.015625</v>
      </c>
      <c r="O2842" s="0" t="n">
        <f aca="false">E2842*E2842</f>
        <v>0.390625</v>
      </c>
      <c r="P2842" s="0" t="n">
        <f aca="false">F2842*F2842</f>
        <v>0.765625</v>
      </c>
      <c r="Q2842" s="0" t="n">
        <f aca="false">SUMPRODUCT(G2842:P2842,_XtX!$B$71:$K$71)</f>
        <v>49.8030894886364</v>
      </c>
      <c r="R2842" s="0" t="n">
        <f aca="false">SUMPRODUCT(MMULT(G2842:P2842,_XtX!$B$58:$K$67),G2842:P2842)</f>
        <v>0.350717440518466</v>
      </c>
      <c r="S2842" s="0" t="n">
        <f aca="false">04_回帰ANOVA!$K$19*04_回帰ANOVA!$K$14*SQRT(1+R2842)</f>
        <v>1.08056000737898</v>
      </c>
      <c r="T2842" s="0" t="n">
        <f aca="false">Q2842-S2842</f>
        <v>48.7225294812574</v>
      </c>
      <c r="U2842" s="0" t="n">
        <f aca="false">Q2842+S2842</f>
        <v>50.8836494960154</v>
      </c>
      <c r="V2842" s="54" t="b">
        <f aca="false">AND(D2842&gt;=01_因子設定!$L$5-0.000000001,D2842&lt;=01_因子設定!$M$5+0.000000001,E2842&gt;=01_因子設定!$L$6-0.000000001,E2842&lt;=01_因子設定!$M$6+0.000000001,F2842&gt;=01_因子設定!$L$7-0.000000001,F2842&lt;=01_因子設定!$M$7+0.000000001,IF(01_因子設定!$B$20="Box-Behnken",D2842^2+E2842^2+F2842^2&lt;=2+0.000000001,TRUE()))</f>
        <v>1</v>
      </c>
      <c r="W2842" s="55" t="n">
        <f aca="false">IF(V2842,IF(01_因子設定!$B$13="最大化",T2842-01_因子設定!$B$14,IF(01_因子設定!$B$13="最小化",01_因子設定!$B$15-U2842,MIN(T2842-01_因子設定!$B$14,01_因子設定!$B$15-U2842))),-1E+030)</f>
        <v>0.222529481257411</v>
      </c>
      <c r="X2842" s="55" t="n">
        <f aca="false">IF(V2842,IF(01_因子設定!$B$13="最大化",Q2842,IF(01_因子設定!$B$13="最小化",-Q2842,-ABS(Q2842-01_因子設定!$B$16))),-1E+030)</f>
        <v>49.8030894886364</v>
      </c>
      <c r="Y2842" s="55" t="n">
        <f aca="false">W2842+ROW()*0.000000001</f>
        <v>0.222532323257411</v>
      </c>
      <c r="Z2842" s="55" t="n">
        <f aca="false">X2842+ROW()*0.000000001</f>
        <v>49.8030923306364</v>
      </c>
    </row>
    <row r="2843" customFormat="false" ht="15" hidden="false" customHeight="false" outlineLevel="0" collapsed="false">
      <c r="A2843" s="0" t="n">
        <v>9</v>
      </c>
      <c r="B2843" s="0" t="n">
        <v>13</v>
      </c>
      <c r="C2843" s="0" t="n">
        <v>16</v>
      </c>
      <c r="D2843" s="0" t="n">
        <f aca="false">-1+A2843*0.125</f>
        <v>0.125</v>
      </c>
      <c r="E2843" s="0" t="n">
        <f aca="false">-1+B2843*0.125</f>
        <v>0.625</v>
      </c>
      <c r="F2843" s="0" t="n">
        <f aca="false">-1+C2843*0.125</f>
        <v>1</v>
      </c>
      <c r="G2843" s="0" t="n">
        <f aca="false">1</f>
        <v>1</v>
      </c>
      <c r="H2843" s="0" t="n">
        <f aca="false">D2843</f>
        <v>0.125</v>
      </c>
      <c r="I2843" s="0" t="n">
        <f aca="false">E2843</f>
        <v>0.625</v>
      </c>
      <c r="J2843" s="0" t="n">
        <f aca="false">F2843</f>
        <v>1</v>
      </c>
      <c r="K2843" s="0" t="n">
        <f aca="false">D2843*E2843</f>
        <v>0.078125</v>
      </c>
      <c r="L2843" s="0" t="n">
        <f aca="false">D2843*F2843</f>
        <v>0.125</v>
      </c>
      <c r="M2843" s="0" t="n">
        <f aca="false">E2843*F2843</f>
        <v>0.625</v>
      </c>
      <c r="N2843" s="0" t="n">
        <f aca="false">D2843*D2843</f>
        <v>0.015625</v>
      </c>
      <c r="O2843" s="0" t="n">
        <f aca="false">E2843*E2843</f>
        <v>0.390625</v>
      </c>
      <c r="P2843" s="0" t="n">
        <f aca="false">F2843*F2843</f>
        <v>1</v>
      </c>
      <c r="Q2843" s="0" t="n">
        <f aca="false">SUMPRODUCT(G2843:P2843,_XtX!$B$71:$K$71)</f>
        <v>49.7324786931819</v>
      </c>
      <c r="R2843" s="0" t="n">
        <f aca="false">SUMPRODUCT(MMULT(G2843:P2843,_XtX!$B$58:$K$67),G2843:P2843)</f>
        <v>0.489261696555398</v>
      </c>
      <c r="S2843" s="0" t="n">
        <f aca="false">04_回帰ANOVA!$K$19*04_回帰ANOVA!$K$14*SQRT(1+R2843)</f>
        <v>1.13462447083763</v>
      </c>
      <c r="T2843" s="0" t="n">
        <f aca="false">Q2843-S2843</f>
        <v>48.5978542223442</v>
      </c>
      <c r="U2843" s="0" t="n">
        <f aca="false">Q2843+S2843</f>
        <v>50.8671031640195</v>
      </c>
      <c r="V2843" s="54" t="b">
        <f aca="false">AND(D2843&gt;=01_因子設定!$L$5-0.000000001,D2843&lt;=01_因子設定!$M$5+0.000000001,E2843&gt;=01_因子設定!$L$6-0.000000001,E2843&lt;=01_因子設定!$M$6+0.000000001,F2843&gt;=01_因子設定!$L$7-0.000000001,F2843&lt;=01_因子設定!$M$7+0.000000001,IF(01_因子設定!$B$20="Box-Behnken",D2843^2+E2843^2+F2843^2&lt;=2+0.000000001,TRUE()))</f>
        <v>1</v>
      </c>
      <c r="W2843" s="55" t="n">
        <f aca="false">IF(V2843,IF(01_因子設定!$B$13="最大化",T2843-01_因子設定!$B$14,IF(01_因子設定!$B$13="最小化",01_因子設定!$B$15-U2843,MIN(T2843-01_因子設定!$B$14,01_因子設定!$B$15-U2843))),-1E+030)</f>
        <v>0.0978542223442105</v>
      </c>
      <c r="X2843" s="55" t="n">
        <f aca="false">IF(V2843,IF(01_因子設定!$B$13="最大化",Q2843,IF(01_因子設定!$B$13="最小化",-Q2843,-ABS(Q2843-01_因子設定!$B$16))),-1E+030)</f>
        <v>49.7324786931819</v>
      </c>
      <c r="Y2843" s="55" t="n">
        <f aca="false">W2843+ROW()*0.000000001</f>
        <v>0.0978570653442105</v>
      </c>
      <c r="Z2843" s="55" t="n">
        <f aca="false">X2843+ROW()*0.000000001</f>
        <v>49.7324815361818</v>
      </c>
    </row>
    <row r="2844" customFormat="false" ht="15" hidden="false" customHeight="false" outlineLevel="0" collapsed="false">
      <c r="A2844" s="0" t="n">
        <v>9</v>
      </c>
      <c r="B2844" s="0" t="n">
        <v>14</v>
      </c>
      <c r="C2844" s="0" t="n">
        <v>0</v>
      </c>
      <c r="D2844" s="0" t="n">
        <f aca="false">-1+A2844*0.125</f>
        <v>0.125</v>
      </c>
      <c r="E2844" s="0" t="n">
        <f aca="false">-1+B2844*0.125</f>
        <v>0.75</v>
      </c>
      <c r="F2844" s="0" t="n">
        <f aca="false">-1+C2844*0.125</f>
        <v>-1</v>
      </c>
      <c r="G2844" s="0" t="n">
        <f aca="false">1</f>
        <v>1</v>
      </c>
      <c r="H2844" s="0" t="n">
        <f aca="false">D2844</f>
        <v>0.125</v>
      </c>
      <c r="I2844" s="0" t="n">
        <f aca="false">E2844</f>
        <v>0.75</v>
      </c>
      <c r="J2844" s="0" t="n">
        <f aca="false">F2844</f>
        <v>-1</v>
      </c>
      <c r="K2844" s="0" t="n">
        <f aca="false">D2844*E2844</f>
        <v>0.09375</v>
      </c>
      <c r="L2844" s="0" t="n">
        <f aca="false">D2844*F2844</f>
        <v>-0.125</v>
      </c>
      <c r="M2844" s="0" t="n">
        <f aca="false">E2844*F2844</f>
        <v>-0.75</v>
      </c>
      <c r="N2844" s="0" t="n">
        <f aca="false">D2844*D2844</f>
        <v>0.015625</v>
      </c>
      <c r="O2844" s="0" t="n">
        <f aca="false">E2844*E2844</f>
        <v>0.5625</v>
      </c>
      <c r="P2844" s="0" t="n">
        <f aca="false">F2844*F2844</f>
        <v>1</v>
      </c>
      <c r="Q2844" s="0" t="n">
        <f aca="false">SUMPRODUCT(G2844:P2844,_XtX!$B$71:$K$71)</f>
        <v>46.3206818181818</v>
      </c>
      <c r="R2844" s="0" t="n">
        <f aca="false">SUMPRODUCT(MMULT(G2844:P2844,_XtX!$B$58:$K$67),G2844:P2844)</f>
        <v>0.524607155539773</v>
      </c>
      <c r="S2844" s="0" t="n">
        <f aca="false">04_回帰ANOVA!$K$19*04_回帰ANOVA!$K$14*SQRT(1+R2844)</f>
        <v>1.14800984623412</v>
      </c>
      <c r="T2844" s="0" t="n">
        <f aca="false">Q2844-S2844</f>
        <v>45.1726719719477</v>
      </c>
      <c r="U2844" s="0" t="n">
        <f aca="false">Q2844+S2844</f>
        <v>47.468691664416</v>
      </c>
      <c r="V2844" s="54" t="b">
        <f aca="false">AND(D2844&gt;=01_因子設定!$L$5-0.000000001,D2844&lt;=01_因子設定!$M$5+0.000000001,E2844&gt;=01_因子設定!$L$6-0.000000001,E2844&lt;=01_因子設定!$M$6+0.000000001,F2844&gt;=01_因子設定!$L$7-0.000000001,F2844&lt;=01_因子設定!$M$7+0.000000001,IF(01_因子設定!$B$20="Box-Behnken",D2844^2+E2844^2+F2844^2&lt;=2+0.000000001,TRUE()))</f>
        <v>1</v>
      </c>
      <c r="W2844" s="55" t="n">
        <f aca="false">IF(V2844,IF(01_因子設定!$B$13="最大化",T2844-01_因子設定!$B$14,IF(01_因子設定!$B$13="最小化",01_因子設定!$B$15-U2844,MIN(T2844-01_因子設定!$B$14,01_因子設定!$B$15-U2844))),-1E+030)</f>
        <v>-3.32732802805227</v>
      </c>
      <c r="X2844" s="55" t="n">
        <f aca="false">IF(V2844,IF(01_因子設定!$B$13="最大化",Q2844,IF(01_因子設定!$B$13="最小化",-Q2844,-ABS(Q2844-01_因子設定!$B$16))),-1E+030)</f>
        <v>46.3206818181818</v>
      </c>
      <c r="Y2844" s="55" t="n">
        <f aca="false">W2844+ROW()*0.000000001</f>
        <v>-3.32732518405227</v>
      </c>
      <c r="Z2844" s="55" t="n">
        <f aca="false">X2844+ROW()*0.000000001</f>
        <v>46.3206846621819</v>
      </c>
    </row>
    <row r="2845" customFormat="false" ht="15" hidden="false" customHeight="false" outlineLevel="0" collapsed="false">
      <c r="A2845" s="0" t="n">
        <v>9</v>
      </c>
      <c r="B2845" s="0" t="n">
        <v>14</v>
      </c>
      <c r="C2845" s="0" t="n">
        <v>1</v>
      </c>
      <c r="D2845" s="0" t="n">
        <f aca="false">-1+A2845*0.125</f>
        <v>0.125</v>
      </c>
      <c r="E2845" s="0" t="n">
        <f aca="false">-1+B2845*0.125</f>
        <v>0.75</v>
      </c>
      <c r="F2845" s="0" t="n">
        <f aca="false">-1+C2845*0.125</f>
        <v>-0.875</v>
      </c>
      <c r="G2845" s="0" t="n">
        <f aca="false">1</f>
        <v>1</v>
      </c>
      <c r="H2845" s="0" t="n">
        <f aca="false">D2845</f>
        <v>0.125</v>
      </c>
      <c r="I2845" s="0" t="n">
        <f aca="false">E2845</f>
        <v>0.75</v>
      </c>
      <c r="J2845" s="0" t="n">
        <f aca="false">F2845</f>
        <v>-0.875</v>
      </c>
      <c r="K2845" s="0" t="n">
        <f aca="false">D2845*E2845</f>
        <v>0.09375</v>
      </c>
      <c r="L2845" s="0" t="n">
        <f aca="false">D2845*F2845</f>
        <v>-0.109375</v>
      </c>
      <c r="M2845" s="0" t="n">
        <f aca="false">E2845*F2845</f>
        <v>-0.65625</v>
      </c>
      <c r="N2845" s="0" t="n">
        <f aca="false">D2845*D2845</f>
        <v>0.015625</v>
      </c>
      <c r="O2845" s="0" t="n">
        <f aca="false">E2845*E2845</f>
        <v>0.5625</v>
      </c>
      <c r="P2845" s="0" t="n">
        <f aca="false">F2845*F2845</f>
        <v>0.765625</v>
      </c>
      <c r="Q2845" s="0" t="n">
        <f aca="false">SUMPRODUCT(G2845:P2845,_XtX!$B$71:$K$71)</f>
        <v>46.8089488636364</v>
      </c>
      <c r="R2845" s="0" t="n">
        <f aca="false">SUMPRODUCT(MMULT(G2845:P2845,_XtX!$B$58:$K$67),G2845:P2845)</f>
        <v>0.392013827237216</v>
      </c>
      <c r="S2845" s="0" t="n">
        <f aca="false">04_回帰ANOVA!$K$19*04_回帰ANOVA!$K$14*SQRT(1+R2845)</f>
        <v>1.09695398627251</v>
      </c>
      <c r="T2845" s="0" t="n">
        <f aca="false">Q2845-S2845</f>
        <v>45.7119948773639</v>
      </c>
      <c r="U2845" s="0" t="n">
        <f aca="false">Q2845+S2845</f>
        <v>47.9059028499089</v>
      </c>
      <c r="V2845" s="54" t="b">
        <f aca="false">AND(D2845&gt;=01_因子設定!$L$5-0.000000001,D2845&lt;=01_因子設定!$M$5+0.000000001,E2845&gt;=01_因子設定!$L$6-0.000000001,E2845&lt;=01_因子設定!$M$6+0.000000001,F2845&gt;=01_因子設定!$L$7-0.000000001,F2845&lt;=01_因子設定!$M$7+0.000000001,IF(01_因子設定!$B$20="Box-Behnken",D2845^2+E2845^2+F2845^2&lt;=2+0.000000001,TRUE()))</f>
        <v>1</v>
      </c>
      <c r="W2845" s="55" t="n">
        <f aca="false">IF(V2845,IF(01_因子設定!$B$13="最大化",T2845-01_因子設定!$B$14,IF(01_因子設定!$B$13="最小化",01_因子設定!$B$15-U2845,MIN(T2845-01_因子設定!$B$14,01_因子設定!$B$15-U2845))),-1E+030)</f>
        <v>-2.78800512263612</v>
      </c>
      <c r="X2845" s="55" t="n">
        <f aca="false">IF(V2845,IF(01_因子設定!$B$13="最大化",Q2845,IF(01_因子設定!$B$13="最小化",-Q2845,-ABS(Q2845-01_因子設定!$B$16))),-1E+030)</f>
        <v>46.8089488636364</v>
      </c>
      <c r="Y2845" s="55" t="n">
        <f aca="false">W2845+ROW()*0.000000001</f>
        <v>-2.78800227763612</v>
      </c>
      <c r="Z2845" s="55" t="n">
        <f aca="false">X2845+ROW()*0.000000001</f>
        <v>46.8089517086364</v>
      </c>
    </row>
    <row r="2846" customFormat="false" ht="15" hidden="false" customHeight="false" outlineLevel="0" collapsed="false">
      <c r="A2846" s="0" t="n">
        <v>9</v>
      </c>
      <c r="B2846" s="0" t="n">
        <v>14</v>
      </c>
      <c r="C2846" s="0" t="n">
        <v>2</v>
      </c>
      <c r="D2846" s="0" t="n">
        <f aca="false">-1+A2846*0.125</f>
        <v>0.125</v>
      </c>
      <c r="E2846" s="0" t="n">
        <f aca="false">-1+B2846*0.125</f>
        <v>0.75</v>
      </c>
      <c r="F2846" s="0" t="n">
        <f aca="false">-1+C2846*0.125</f>
        <v>-0.75</v>
      </c>
      <c r="G2846" s="0" t="n">
        <f aca="false">1</f>
        <v>1</v>
      </c>
      <c r="H2846" s="0" t="n">
        <f aca="false">D2846</f>
        <v>0.125</v>
      </c>
      <c r="I2846" s="0" t="n">
        <f aca="false">E2846</f>
        <v>0.75</v>
      </c>
      <c r="J2846" s="0" t="n">
        <f aca="false">F2846</f>
        <v>-0.75</v>
      </c>
      <c r="K2846" s="0" t="n">
        <f aca="false">D2846*E2846</f>
        <v>0.09375</v>
      </c>
      <c r="L2846" s="0" t="n">
        <f aca="false">D2846*F2846</f>
        <v>-0.09375</v>
      </c>
      <c r="M2846" s="0" t="n">
        <f aca="false">E2846*F2846</f>
        <v>-0.5625</v>
      </c>
      <c r="N2846" s="0" t="n">
        <f aca="false">D2846*D2846</f>
        <v>0.015625</v>
      </c>
      <c r="O2846" s="0" t="n">
        <f aca="false">E2846*E2846</f>
        <v>0.5625</v>
      </c>
      <c r="P2846" s="0" t="n">
        <f aca="false">F2846*F2846</f>
        <v>0.5625</v>
      </c>
      <c r="Q2846" s="0" t="n">
        <f aca="false">SUMPRODUCT(G2846:P2846,_XtX!$B$71:$K$71)</f>
        <v>47.2604261363637</v>
      </c>
      <c r="R2846" s="0" t="n">
        <f aca="false">SUMPRODUCT(MMULT(G2846:P2846,_XtX!$B$58:$K$67),G2846:P2846)</f>
        <v>0.309414950284091</v>
      </c>
      <c r="S2846" s="0" t="n">
        <f aca="false">04_回帰ANOVA!$K$19*04_回帰ANOVA!$K$14*SQRT(1+R2846)</f>
        <v>1.06391096196568</v>
      </c>
      <c r="T2846" s="0" t="n">
        <f aca="false">Q2846-S2846</f>
        <v>46.196515174398</v>
      </c>
      <c r="U2846" s="0" t="n">
        <f aca="false">Q2846+S2846</f>
        <v>48.3243370983293</v>
      </c>
      <c r="V2846" s="54" t="b">
        <f aca="false">AND(D2846&gt;=01_因子設定!$L$5-0.000000001,D2846&lt;=01_因子設定!$M$5+0.000000001,E2846&gt;=01_因子設定!$L$6-0.000000001,E2846&lt;=01_因子設定!$M$6+0.000000001,F2846&gt;=01_因子設定!$L$7-0.000000001,F2846&lt;=01_因子設定!$M$7+0.000000001,IF(01_因子設定!$B$20="Box-Behnken",D2846^2+E2846^2+F2846^2&lt;=2+0.000000001,TRUE()))</f>
        <v>1</v>
      </c>
      <c r="W2846" s="55" t="n">
        <f aca="false">IF(V2846,IF(01_因子設定!$B$13="最大化",T2846-01_因子設定!$B$14,IF(01_因子設定!$B$13="最小化",01_因子設定!$B$15-U2846,MIN(T2846-01_因子設定!$B$14,01_因子設定!$B$15-U2846))),-1E+030)</f>
        <v>-2.30348482560202</v>
      </c>
      <c r="X2846" s="55" t="n">
        <f aca="false">IF(V2846,IF(01_因子設定!$B$13="最大化",Q2846,IF(01_因子設定!$B$13="最小化",-Q2846,-ABS(Q2846-01_因子設定!$B$16))),-1E+030)</f>
        <v>47.2604261363637</v>
      </c>
      <c r="Y2846" s="55" t="n">
        <f aca="false">W2846+ROW()*0.000000001</f>
        <v>-2.30348197960202</v>
      </c>
      <c r="Z2846" s="55" t="n">
        <f aca="false">X2846+ROW()*0.000000001</f>
        <v>47.2604289823637</v>
      </c>
    </row>
    <row r="2847" customFormat="false" ht="15" hidden="false" customHeight="false" outlineLevel="0" collapsed="false">
      <c r="A2847" s="0" t="n">
        <v>9</v>
      </c>
      <c r="B2847" s="0" t="n">
        <v>14</v>
      </c>
      <c r="C2847" s="0" t="n">
        <v>3</v>
      </c>
      <c r="D2847" s="0" t="n">
        <f aca="false">-1+A2847*0.125</f>
        <v>0.125</v>
      </c>
      <c r="E2847" s="0" t="n">
        <f aca="false">-1+B2847*0.125</f>
        <v>0.75</v>
      </c>
      <c r="F2847" s="0" t="n">
        <f aca="false">-1+C2847*0.125</f>
        <v>-0.625</v>
      </c>
      <c r="G2847" s="0" t="n">
        <f aca="false">1</f>
        <v>1</v>
      </c>
      <c r="H2847" s="0" t="n">
        <f aca="false">D2847</f>
        <v>0.125</v>
      </c>
      <c r="I2847" s="0" t="n">
        <f aca="false">E2847</f>
        <v>0.75</v>
      </c>
      <c r="J2847" s="0" t="n">
        <f aca="false">F2847</f>
        <v>-0.625</v>
      </c>
      <c r="K2847" s="0" t="n">
        <f aca="false">D2847*E2847</f>
        <v>0.09375</v>
      </c>
      <c r="L2847" s="0" t="n">
        <f aca="false">D2847*F2847</f>
        <v>-0.078125</v>
      </c>
      <c r="M2847" s="0" t="n">
        <f aca="false">E2847*F2847</f>
        <v>-0.46875</v>
      </c>
      <c r="N2847" s="0" t="n">
        <f aca="false">D2847*D2847</f>
        <v>0.015625</v>
      </c>
      <c r="O2847" s="0" t="n">
        <f aca="false">E2847*E2847</f>
        <v>0.5625</v>
      </c>
      <c r="P2847" s="0" t="n">
        <f aca="false">F2847*F2847</f>
        <v>0.390625</v>
      </c>
      <c r="Q2847" s="0" t="n">
        <f aca="false">SUMPRODUCT(G2847:P2847,_XtX!$B$71:$K$71)</f>
        <v>47.6751136363637</v>
      </c>
      <c r="R2847" s="0" t="n">
        <f aca="false">SUMPRODUCT(MMULT(G2847:P2847,_XtX!$B$58:$K$67),G2847:P2847)</f>
        <v>0.262961092862216</v>
      </c>
      <c r="S2847" s="0" t="n">
        <f aca="false">04_回帰ANOVA!$K$19*04_回帰ANOVA!$K$14*SQRT(1+R2847)</f>
        <v>1.04486846483649</v>
      </c>
      <c r="T2847" s="0" t="n">
        <f aca="false">Q2847-S2847</f>
        <v>46.6302451715272</v>
      </c>
      <c r="U2847" s="0" t="n">
        <f aca="false">Q2847+S2847</f>
        <v>48.7199821012001</v>
      </c>
      <c r="V2847" s="54" t="b">
        <f aca="false">AND(D2847&gt;=01_因子設定!$L$5-0.000000001,D2847&lt;=01_因子設定!$M$5+0.000000001,E2847&gt;=01_因子設定!$L$6-0.000000001,E2847&lt;=01_因子設定!$M$6+0.000000001,F2847&gt;=01_因子設定!$L$7-0.000000001,F2847&lt;=01_因子設定!$M$7+0.000000001,IF(01_因子設定!$B$20="Box-Behnken",D2847^2+E2847^2+F2847^2&lt;=2+0.000000001,TRUE()))</f>
        <v>1</v>
      </c>
      <c r="W2847" s="55" t="n">
        <f aca="false">IF(V2847,IF(01_因子設定!$B$13="最大化",T2847-01_因子設定!$B$14,IF(01_因子設定!$B$13="最小化",01_因子設定!$B$15-U2847,MIN(T2847-01_因子設定!$B$14,01_因子設定!$B$15-U2847))),-1E+030)</f>
        <v>-1.86975482847283</v>
      </c>
      <c r="X2847" s="55" t="n">
        <f aca="false">IF(V2847,IF(01_因子設定!$B$13="最大化",Q2847,IF(01_因子設定!$B$13="最小化",-Q2847,-ABS(Q2847-01_因子設定!$B$16))),-1E+030)</f>
        <v>47.6751136363637</v>
      </c>
      <c r="Y2847" s="55" t="n">
        <f aca="false">W2847+ROW()*0.000000001</f>
        <v>-1.86975198147283</v>
      </c>
      <c r="Z2847" s="55" t="n">
        <f aca="false">X2847+ROW()*0.000000001</f>
        <v>47.6751164833637</v>
      </c>
    </row>
    <row r="2848" customFormat="false" ht="15" hidden="false" customHeight="false" outlineLevel="0" collapsed="false">
      <c r="A2848" s="0" t="n">
        <v>9</v>
      </c>
      <c r="B2848" s="0" t="n">
        <v>14</v>
      </c>
      <c r="C2848" s="0" t="n">
        <v>4</v>
      </c>
      <c r="D2848" s="0" t="n">
        <f aca="false">-1+A2848*0.125</f>
        <v>0.125</v>
      </c>
      <c r="E2848" s="0" t="n">
        <f aca="false">-1+B2848*0.125</f>
        <v>0.75</v>
      </c>
      <c r="F2848" s="0" t="n">
        <f aca="false">-1+C2848*0.125</f>
        <v>-0.5</v>
      </c>
      <c r="G2848" s="0" t="n">
        <f aca="false">1</f>
        <v>1</v>
      </c>
      <c r="H2848" s="0" t="n">
        <f aca="false">D2848</f>
        <v>0.125</v>
      </c>
      <c r="I2848" s="0" t="n">
        <f aca="false">E2848</f>
        <v>0.75</v>
      </c>
      <c r="J2848" s="0" t="n">
        <f aca="false">F2848</f>
        <v>-0.5</v>
      </c>
      <c r="K2848" s="0" t="n">
        <f aca="false">D2848*E2848</f>
        <v>0.09375</v>
      </c>
      <c r="L2848" s="0" t="n">
        <f aca="false">D2848*F2848</f>
        <v>-0.0625</v>
      </c>
      <c r="M2848" s="0" t="n">
        <f aca="false">E2848*F2848</f>
        <v>-0.375</v>
      </c>
      <c r="N2848" s="0" t="n">
        <f aca="false">D2848*D2848</f>
        <v>0.015625</v>
      </c>
      <c r="O2848" s="0" t="n">
        <f aca="false">E2848*E2848</f>
        <v>0.5625</v>
      </c>
      <c r="P2848" s="0" t="n">
        <f aca="false">F2848*F2848</f>
        <v>0.25</v>
      </c>
      <c r="Q2848" s="0" t="n">
        <f aca="false">SUMPRODUCT(G2848:P2848,_XtX!$B$71:$K$71)</f>
        <v>48.0530113636364</v>
      </c>
      <c r="R2848" s="0" t="n">
        <f aca="false">SUMPRODUCT(MMULT(G2848:P2848,_XtX!$B$58:$K$67),G2848:P2848)</f>
        <v>0.240933504971591</v>
      </c>
      <c r="S2848" s="0" t="n">
        <f aca="false">04_回帰ANOVA!$K$19*04_回帰ANOVA!$K$14*SQRT(1+R2848)</f>
        <v>1.03571649118863</v>
      </c>
      <c r="T2848" s="0" t="n">
        <f aca="false">Q2848-S2848</f>
        <v>47.0172948724478</v>
      </c>
      <c r="U2848" s="0" t="n">
        <f aca="false">Q2848+S2848</f>
        <v>49.088727854825</v>
      </c>
      <c r="V2848" s="54" t="b">
        <f aca="false">AND(D2848&gt;=01_因子設定!$L$5-0.000000001,D2848&lt;=01_因子設定!$M$5+0.000000001,E2848&gt;=01_因子設定!$L$6-0.000000001,E2848&lt;=01_因子設定!$M$6+0.000000001,F2848&gt;=01_因子設定!$L$7-0.000000001,F2848&lt;=01_因子設定!$M$7+0.000000001,IF(01_因子設定!$B$20="Box-Behnken",D2848^2+E2848^2+F2848^2&lt;=2+0.000000001,TRUE()))</f>
        <v>1</v>
      </c>
      <c r="W2848" s="55" t="n">
        <f aca="false">IF(V2848,IF(01_因子設定!$B$13="最大化",T2848-01_因子設定!$B$14,IF(01_因子設定!$B$13="最小化",01_因子設定!$B$15-U2848,MIN(T2848-01_因子設定!$B$14,01_因子設定!$B$15-U2848))),-1E+030)</f>
        <v>-1.48270512755224</v>
      </c>
      <c r="X2848" s="55" t="n">
        <f aca="false">IF(V2848,IF(01_因子設定!$B$13="最大化",Q2848,IF(01_因子設定!$B$13="最小化",-Q2848,-ABS(Q2848-01_因子設定!$B$16))),-1E+030)</f>
        <v>48.0530113636364</v>
      </c>
      <c r="Y2848" s="55" t="n">
        <f aca="false">W2848+ROW()*0.000000001</f>
        <v>-1.48270227955224</v>
      </c>
      <c r="Z2848" s="55" t="n">
        <f aca="false">X2848+ROW()*0.000000001</f>
        <v>48.0530142116364</v>
      </c>
    </row>
    <row r="2849" customFormat="false" ht="15" hidden="false" customHeight="false" outlineLevel="0" collapsed="false">
      <c r="A2849" s="0" t="n">
        <v>9</v>
      </c>
      <c r="B2849" s="0" t="n">
        <v>14</v>
      </c>
      <c r="C2849" s="0" t="n">
        <v>5</v>
      </c>
      <c r="D2849" s="0" t="n">
        <f aca="false">-1+A2849*0.125</f>
        <v>0.125</v>
      </c>
      <c r="E2849" s="0" t="n">
        <f aca="false">-1+B2849*0.125</f>
        <v>0.75</v>
      </c>
      <c r="F2849" s="0" t="n">
        <f aca="false">-1+C2849*0.125</f>
        <v>-0.375</v>
      </c>
      <c r="G2849" s="0" t="n">
        <f aca="false">1</f>
        <v>1</v>
      </c>
      <c r="H2849" s="0" t="n">
        <f aca="false">D2849</f>
        <v>0.125</v>
      </c>
      <c r="I2849" s="0" t="n">
        <f aca="false">E2849</f>
        <v>0.75</v>
      </c>
      <c r="J2849" s="0" t="n">
        <f aca="false">F2849</f>
        <v>-0.375</v>
      </c>
      <c r="K2849" s="0" t="n">
        <f aca="false">D2849*E2849</f>
        <v>0.09375</v>
      </c>
      <c r="L2849" s="0" t="n">
        <f aca="false">D2849*F2849</f>
        <v>-0.046875</v>
      </c>
      <c r="M2849" s="0" t="n">
        <f aca="false">E2849*F2849</f>
        <v>-0.28125</v>
      </c>
      <c r="N2849" s="0" t="n">
        <f aca="false">D2849*D2849</f>
        <v>0.015625</v>
      </c>
      <c r="O2849" s="0" t="n">
        <f aca="false">E2849*E2849</f>
        <v>0.5625</v>
      </c>
      <c r="P2849" s="0" t="n">
        <f aca="false">F2849*F2849</f>
        <v>0.140625</v>
      </c>
      <c r="Q2849" s="0" t="n">
        <f aca="false">SUMPRODUCT(G2849:P2849,_XtX!$B$71:$K$71)</f>
        <v>48.3941193181818</v>
      </c>
      <c r="R2849" s="0" t="n">
        <f aca="false">SUMPRODUCT(MMULT(G2849:P2849,_XtX!$B$58:$K$67),G2849:P2849)</f>
        <v>0.233744118430398</v>
      </c>
      <c r="S2849" s="0" t="n">
        <f aca="false">04_回帰ANOVA!$K$19*04_回帰ANOVA!$K$14*SQRT(1+R2849)</f>
        <v>1.0327119053564</v>
      </c>
      <c r="T2849" s="0" t="n">
        <f aca="false">Q2849-S2849</f>
        <v>47.3614074128254</v>
      </c>
      <c r="U2849" s="0" t="n">
        <f aca="false">Q2849+S2849</f>
        <v>49.4268312235382</v>
      </c>
      <c r="V2849" s="54" t="b">
        <f aca="false">AND(D2849&gt;=01_因子設定!$L$5-0.000000001,D2849&lt;=01_因子設定!$M$5+0.000000001,E2849&gt;=01_因子設定!$L$6-0.000000001,E2849&lt;=01_因子設定!$M$6+0.000000001,F2849&gt;=01_因子設定!$L$7-0.000000001,F2849&lt;=01_因子設定!$M$7+0.000000001,IF(01_因子設定!$B$20="Box-Behnken",D2849^2+E2849^2+F2849^2&lt;=2+0.000000001,TRUE()))</f>
        <v>1</v>
      </c>
      <c r="W2849" s="55" t="n">
        <f aca="false">IF(V2849,IF(01_因子設定!$B$13="最大化",T2849-01_因子設定!$B$14,IF(01_因子設定!$B$13="最小化",01_因子設定!$B$15-U2849,MIN(T2849-01_因子設定!$B$14,01_因子設定!$B$15-U2849))),-1E+030)</f>
        <v>-1.13859258717457</v>
      </c>
      <c r="X2849" s="55" t="n">
        <f aca="false">IF(V2849,IF(01_因子設定!$B$13="最大化",Q2849,IF(01_因子設定!$B$13="最小化",-Q2849,-ABS(Q2849-01_因子設定!$B$16))),-1E+030)</f>
        <v>48.3941193181818</v>
      </c>
      <c r="Y2849" s="55" t="n">
        <f aca="false">W2849+ROW()*0.000000001</f>
        <v>-1.13858973817457</v>
      </c>
      <c r="Z2849" s="55" t="n">
        <f aca="false">X2849+ROW()*0.000000001</f>
        <v>48.3941221671818</v>
      </c>
    </row>
    <row r="2850" customFormat="false" ht="15" hidden="false" customHeight="false" outlineLevel="0" collapsed="false">
      <c r="A2850" s="0" t="n">
        <v>9</v>
      </c>
      <c r="B2850" s="0" t="n">
        <v>14</v>
      </c>
      <c r="C2850" s="0" t="n">
        <v>6</v>
      </c>
      <c r="D2850" s="0" t="n">
        <f aca="false">-1+A2850*0.125</f>
        <v>0.125</v>
      </c>
      <c r="E2850" s="0" t="n">
        <f aca="false">-1+B2850*0.125</f>
        <v>0.75</v>
      </c>
      <c r="F2850" s="0" t="n">
        <f aca="false">-1+C2850*0.125</f>
        <v>-0.25</v>
      </c>
      <c r="G2850" s="0" t="n">
        <f aca="false">1</f>
        <v>1</v>
      </c>
      <c r="H2850" s="0" t="n">
        <f aca="false">D2850</f>
        <v>0.125</v>
      </c>
      <c r="I2850" s="0" t="n">
        <f aca="false">E2850</f>
        <v>0.75</v>
      </c>
      <c r="J2850" s="0" t="n">
        <f aca="false">F2850</f>
        <v>-0.25</v>
      </c>
      <c r="K2850" s="0" t="n">
        <f aca="false">D2850*E2850</f>
        <v>0.09375</v>
      </c>
      <c r="L2850" s="0" t="n">
        <f aca="false">D2850*F2850</f>
        <v>-0.03125</v>
      </c>
      <c r="M2850" s="0" t="n">
        <f aca="false">E2850*F2850</f>
        <v>-0.1875</v>
      </c>
      <c r="N2850" s="0" t="n">
        <f aca="false">D2850*D2850</f>
        <v>0.015625</v>
      </c>
      <c r="O2850" s="0" t="n">
        <f aca="false">E2850*E2850</f>
        <v>0.5625</v>
      </c>
      <c r="P2850" s="0" t="n">
        <f aca="false">F2850*F2850</f>
        <v>0.0625</v>
      </c>
      <c r="Q2850" s="0" t="n">
        <f aca="false">SUMPRODUCT(G2850:P2850,_XtX!$B$71:$K$71)</f>
        <v>48.6984375</v>
      </c>
      <c r="R2850" s="0" t="n">
        <f aca="false">SUMPRODUCT(MMULT(G2850:P2850,_XtX!$B$58:$K$67),G2850:P2850)</f>
        <v>0.233935546875</v>
      </c>
      <c r="S2850" s="0" t="n">
        <f aca="false">04_回帰ANOVA!$K$19*04_回帰ANOVA!$K$14*SQRT(1+R2850)</f>
        <v>1.03279202033444</v>
      </c>
      <c r="T2850" s="0" t="n">
        <f aca="false">Q2850-S2850</f>
        <v>47.6656454796656</v>
      </c>
      <c r="U2850" s="0" t="n">
        <f aca="false">Q2850+S2850</f>
        <v>49.7312295203345</v>
      </c>
      <c r="V2850" s="54" t="b">
        <f aca="false">AND(D2850&gt;=01_因子設定!$L$5-0.000000001,D2850&lt;=01_因子設定!$M$5+0.000000001,E2850&gt;=01_因子設定!$L$6-0.000000001,E2850&lt;=01_因子設定!$M$6+0.000000001,F2850&gt;=01_因子設定!$L$7-0.000000001,F2850&lt;=01_因子設定!$M$7+0.000000001,IF(01_因子設定!$B$20="Box-Behnken",D2850^2+E2850^2+F2850^2&lt;=2+0.000000001,TRUE()))</f>
        <v>1</v>
      </c>
      <c r="W2850" s="55" t="n">
        <f aca="false">IF(V2850,IF(01_因子設定!$B$13="最大化",T2850-01_因子設定!$B$14,IF(01_因子設定!$B$13="最小化",01_因子設定!$B$15-U2850,MIN(T2850-01_因子設定!$B$14,01_因子設定!$B$15-U2850))),-1E+030)</f>
        <v>-0.834354520334429</v>
      </c>
      <c r="X2850" s="55" t="n">
        <f aca="false">IF(V2850,IF(01_因子設定!$B$13="最大化",Q2850,IF(01_因子設定!$B$13="最小化",-Q2850,-ABS(Q2850-01_因子設定!$B$16))),-1E+030)</f>
        <v>48.6984375</v>
      </c>
      <c r="Y2850" s="55" t="n">
        <f aca="false">W2850+ROW()*0.000000001</f>
        <v>-0.834351670334429</v>
      </c>
      <c r="Z2850" s="55" t="n">
        <f aca="false">X2850+ROW()*0.000000001</f>
        <v>48.69844035</v>
      </c>
    </row>
    <row r="2851" customFormat="false" ht="15" hidden="false" customHeight="false" outlineLevel="0" collapsed="false">
      <c r="A2851" s="0" t="n">
        <v>9</v>
      </c>
      <c r="B2851" s="0" t="n">
        <v>14</v>
      </c>
      <c r="C2851" s="0" t="n">
        <v>7</v>
      </c>
      <c r="D2851" s="0" t="n">
        <f aca="false">-1+A2851*0.125</f>
        <v>0.125</v>
      </c>
      <c r="E2851" s="0" t="n">
        <f aca="false">-1+B2851*0.125</f>
        <v>0.75</v>
      </c>
      <c r="F2851" s="0" t="n">
        <f aca="false">-1+C2851*0.125</f>
        <v>-0.125</v>
      </c>
      <c r="G2851" s="0" t="n">
        <f aca="false">1</f>
        <v>1</v>
      </c>
      <c r="H2851" s="0" t="n">
        <f aca="false">D2851</f>
        <v>0.125</v>
      </c>
      <c r="I2851" s="0" t="n">
        <f aca="false">E2851</f>
        <v>0.75</v>
      </c>
      <c r="J2851" s="0" t="n">
        <f aca="false">F2851</f>
        <v>-0.125</v>
      </c>
      <c r="K2851" s="0" t="n">
        <f aca="false">D2851*E2851</f>
        <v>0.09375</v>
      </c>
      <c r="L2851" s="0" t="n">
        <f aca="false">D2851*F2851</f>
        <v>-0.015625</v>
      </c>
      <c r="M2851" s="0" t="n">
        <f aca="false">E2851*F2851</f>
        <v>-0.09375</v>
      </c>
      <c r="N2851" s="0" t="n">
        <f aca="false">D2851*D2851</f>
        <v>0.015625</v>
      </c>
      <c r="O2851" s="0" t="n">
        <f aca="false">E2851*E2851</f>
        <v>0.5625</v>
      </c>
      <c r="P2851" s="0" t="n">
        <f aca="false">F2851*F2851</f>
        <v>0.015625</v>
      </c>
      <c r="Q2851" s="0" t="n">
        <f aca="false">SUMPRODUCT(G2851:P2851,_XtX!$B$71:$K$71)</f>
        <v>48.9659659090909</v>
      </c>
      <c r="R2851" s="0" t="n">
        <f aca="false">SUMPRODUCT(MMULT(G2851:P2851,_XtX!$B$58:$K$67),G2851:P2851)</f>
        <v>0.236181085759943</v>
      </c>
      <c r="S2851" s="0" t="n">
        <f aca="false">04_回帰ANOVA!$K$19*04_回帰ANOVA!$K$14*SQRT(1+R2851)</f>
        <v>1.03373134025567</v>
      </c>
      <c r="T2851" s="0" t="n">
        <f aca="false">Q2851-S2851</f>
        <v>47.9322345688352</v>
      </c>
      <c r="U2851" s="0" t="n">
        <f aca="false">Q2851+S2851</f>
        <v>49.9996972493466</v>
      </c>
      <c r="V2851" s="54" t="b">
        <f aca="false">AND(D2851&gt;=01_因子設定!$L$5-0.000000001,D2851&lt;=01_因子設定!$M$5+0.000000001,E2851&gt;=01_因子設定!$L$6-0.000000001,E2851&lt;=01_因子設定!$M$6+0.000000001,F2851&gt;=01_因子設定!$L$7-0.000000001,F2851&lt;=01_因子設定!$M$7+0.000000001,IF(01_因子設定!$B$20="Box-Behnken",D2851^2+E2851^2+F2851^2&lt;=2+0.000000001,TRUE()))</f>
        <v>1</v>
      </c>
      <c r="W2851" s="55" t="n">
        <f aca="false">IF(V2851,IF(01_因子設定!$B$13="最大化",T2851-01_因子設定!$B$14,IF(01_因子設定!$B$13="最小化",01_因子設定!$B$15-U2851,MIN(T2851-01_因子設定!$B$14,01_因子設定!$B$15-U2851))),-1E+030)</f>
        <v>-0.567765431164759</v>
      </c>
      <c r="X2851" s="55" t="n">
        <f aca="false">IF(V2851,IF(01_因子設定!$B$13="最大化",Q2851,IF(01_因子設定!$B$13="最小化",-Q2851,-ABS(Q2851-01_因子設定!$B$16))),-1E+030)</f>
        <v>48.9659659090909</v>
      </c>
      <c r="Y2851" s="55" t="n">
        <f aca="false">W2851+ROW()*0.000000001</f>
        <v>-0.567762580164759</v>
      </c>
      <c r="Z2851" s="55" t="n">
        <f aca="false">X2851+ROW()*0.000000001</f>
        <v>48.9659687600909</v>
      </c>
    </row>
    <row r="2852" customFormat="false" ht="15" hidden="false" customHeight="false" outlineLevel="0" collapsed="false">
      <c r="A2852" s="0" t="n">
        <v>9</v>
      </c>
      <c r="B2852" s="0" t="n">
        <v>14</v>
      </c>
      <c r="C2852" s="0" t="n">
        <v>8</v>
      </c>
      <c r="D2852" s="0" t="n">
        <f aca="false">-1+A2852*0.125</f>
        <v>0.125</v>
      </c>
      <c r="E2852" s="0" t="n">
        <f aca="false">-1+B2852*0.125</f>
        <v>0.75</v>
      </c>
      <c r="F2852" s="0" t="n">
        <f aca="false">-1+C2852*0.125</f>
        <v>0</v>
      </c>
      <c r="G2852" s="0" t="n">
        <f aca="false">1</f>
        <v>1</v>
      </c>
      <c r="H2852" s="0" t="n">
        <f aca="false">D2852</f>
        <v>0.125</v>
      </c>
      <c r="I2852" s="0" t="n">
        <f aca="false">E2852</f>
        <v>0.75</v>
      </c>
      <c r="J2852" s="0" t="n">
        <f aca="false">F2852</f>
        <v>0</v>
      </c>
      <c r="K2852" s="0" t="n">
        <f aca="false">D2852*E2852</f>
        <v>0.09375</v>
      </c>
      <c r="L2852" s="0" t="n">
        <f aca="false">D2852*F2852</f>
        <v>0</v>
      </c>
      <c r="M2852" s="0" t="n">
        <f aca="false">E2852*F2852</f>
        <v>0</v>
      </c>
      <c r="N2852" s="0" t="n">
        <f aca="false">D2852*D2852</f>
        <v>0.015625</v>
      </c>
      <c r="O2852" s="0" t="n">
        <f aca="false">E2852*E2852</f>
        <v>0.5625</v>
      </c>
      <c r="P2852" s="0" t="n">
        <f aca="false">F2852*F2852</f>
        <v>0</v>
      </c>
      <c r="Q2852" s="0" t="n">
        <f aca="false">SUMPRODUCT(G2852:P2852,_XtX!$B$71:$K$71)</f>
        <v>49.1967045454546</v>
      </c>
      <c r="R2852" s="0" t="n">
        <f aca="false">SUMPRODUCT(MMULT(G2852:P2852,_XtX!$B$58:$K$67),G2852:P2852)</f>
        <v>0.237284712357955</v>
      </c>
      <c r="S2852" s="0" t="n">
        <f aca="false">04_回帰ANOVA!$K$19*04_回帰ANOVA!$K$14*SQRT(1+R2852)</f>
        <v>1.03419267998124</v>
      </c>
      <c r="T2852" s="0" t="n">
        <f aca="false">Q2852-S2852</f>
        <v>48.1625118654733</v>
      </c>
      <c r="U2852" s="0" t="n">
        <f aca="false">Q2852+S2852</f>
        <v>50.2308972254358</v>
      </c>
      <c r="V2852" s="54" t="b">
        <f aca="false">AND(D2852&gt;=01_因子設定!$L$5-0.000000001,D2852&lt;=01_因子設定!$M$5+0.000000001,E2852&gt;=01_因子設定!$L$6-0.000000001,E2852&lt;=01_因子設定!$M$6+0.000000001,F2852&gt;=01_因子設定!$L$7-0.000000001,F2852&lt;=01_因子設定!$M$7+0.000000001,IF(01_因子設定!$B$20="Box-Behnken",D2852^2+E2852^2+F2852^2&lt;=2+0.000000001,TRUE()))</f>
        <v>1</v>
      </c>
      <c r="W2852" s="55" t="n">
        <f aca="false">IF(V2852,IF(01_因子設定!$B$13="最大化",T2852-01_因子設定!$B$14,IF(01_因子設定!$B$13="最小化",01_因子設定!$B$15-U2852,MIN(T2852-01_因子設定!$B$14,01_因子設定!$B$15-U2852))),-1E+030)</f>
        <v>-0.33748813452668</v>
      </c>
      <c r="X2852" s="55" t="n">
        <f aca="false">IF(V2852,IF(01_因子設定!$B$13="最大化",Q2852,IF(01_因子設定!$B$13="最小化",-Q2852,-ABS(Q2852-01_因子設定!$B$16))),-1E+030)</f>
        <v>49.1967045454546</v>
      </c>
      <c r="Y2852" s="55" t="n">
        <f aca="false">W2852+ROW()*0.000000001</f>
        <v>-0.33748528252668</v>
      </c>
      <c r="Z2852" s="55" t="n">
        <f aca="false">X2852+ROW()*0.000000001</f>
        <v>49.1967073974546</v>
      </c>
    </row>
    <row r="2853" customFormat="false" ht="15" hidden="false" customHeight="false" outlineLevel="0" collapsed="false">
      <c r="A2853" s="0" t="n">
        <v>9</v>
      </c>
      <c r="B2853" s="0" t="n">
        <v>14</v>
      </c>
      <c r="C2853" s="0" t="n">
        <v>9</v>
      </c>
      <c r="D2853" s="0" t="n">
        <f aca="false">-1+A2853*0.125</f>
        <v>0.125</v>
      </c>
      <c r="E2853" s="0" t="n">
        <f aca="false">-1+B2853*0.125</f>
        <v>0.75</v>
      </c>
      <c r="F2853" s="0" t="n">
        <f aca="false">-1+C2853*0.125</f>
        <v>0.125</v>
      </c>
      <c r="G2853" s="0" t="n">
        <f aca="false">1</f>
        <v>1</v>
      </c>
      <c r="H2853" s="0" t="n">
        <f aca="false">D2853</f>
        <v>0.125</v>
      </c>
      <c r="I2853" s="0" t="n">
        <f aca="false">E2853</f>
        <v>0.75</v>
      </c>
      <c r="J2853" s="0" t="n">
        <f aca="false">F2853</f>
        <v>0.125</v>
      </c>
      <c r="K2853" s="0" t="n">
        <f aca="false">D2853*E2853</f>
        <v>0.09375</v>
      </c>
      <c r="L2853" s="0" t="n">
        <f aca="false">D2853*F2853</f>
        <v>0.015625</v>
      </c>
      <c r="M2853" s="0" t="n">
        <f aca="false">E2853*F2853</f>
        <v>0.09375</v>
      </c>
      <c r="N2853" s="0" t="n">
        <f aca="false">D2853*D2853</f>
        <v>0.015625</v>
      </c>
      <c r="O2853" s="0" t="n">
        <f aca="false">E2853*E2853</f>
        <v>0.5625</v>
      </c>
      <c r="P2853" s="0" t="n">
        <f aca="false">F2853*F2853</f>
        <v>0.015625</v>
      </c>
      <c r="Q2853" s="0" t="n">
        <f aca="false">SUMPRODUCT(G2853:P2853,_XtX!$B$71:$K$71)</f>
        <v>49.3906534090909</v>
      </c>
      <c r="R2853" s="0" t="n">
        <f aca="false">SUMPRODUCT(MMULT(G2853:P2853,_XtX!$B$58:$K$67),G2853:P2853)</f>
        <v>0.236181085759943</v>
      </c>
      <c r="S2853" s="0" t="n">
        <f aca="false">04_回帰ANOVA!$K$19*04_回帰ANOVA!$K$14*SQRT(1+R2853)</f>
        <v>1.03373134025567</v>
      </c>
      <c r="T2853" s="0" t="n">
        <f aca="false">Q2853-S2853</f>
        <v>48.3569220688352</v>
      </c>
      <c r="U2853" s="0" t="n">
        <f aca="false">Q2853+S2853</f>
        <v>50.4243847493466</v>
      </c>
      <c r="V2853" s="54" t="b">
        <f aca="false">AND(D2853&gt;=01_因子設定!$L$5-0.000000001,D2853&lt;=01_因子設定!$M$5+0.000000001,E2853&gt;=01_因子設定!$L$6-0.000000001,E2853&lt;=01_因子設定!$M$6+0.000000001,F2853&gt;=01_因子設定!$L$7-0.000000001,F2853&lt;=01_因子設定!$M$7+0.000000001,IF(01_因子設定!$B$20="Box-Behnken",D2853^2+E2853^2+F2853^2&lt;=2+0.000000001,TRUE()))</f>
        <v>1</v>
      </c>
      <c r="W2853" s="55" t="n">
        <f aca="false">IF(V2853,IF(01_因子設定!$B$13="最大化",T2853-01_因子設定!$B$14,IF(01_因子設定!$B$13="最小化",01_因子設定!$B$15-U2853,MIN(T2853-01_因子設定!$B$14,01_因子設定!$B$15-U2853))),-1E+030)</f>
        <v>-0.143077931164761</v>
      </c>
      <c r="X2853" s="55" t="n">
        <f aca="false">IF(V2853,IF(01_因子設定!$B$13="最大化",Q2853,IF(01_因子設定!$B$13="最小化",-Q2853,-ABS(Q2853-01_因子設定!$B$16))),-1E+030)</f>
        <v>49.3906534090909</v>
      </c>
      <c r="Y2853" s="55" t="n">
        <f aca="false">W2853+ROW()*0.000000001</f>
        <v>-0.143075078164761</v>
      </c>
      <c r="Z2853" s="55" t="n">
        <f aca="false">X2853+ROW()*0.000000001</f>
        <v>49.3906562620909</v>
      </c>
    </row>
    <row r="2854" customFormat="false" ht="15" hidden="false" customHeight="false" outlineLevel="0" collapsed="false">
      <c r="A2854" s="0" t="n">
        <v>9</v>
      </c>
      <c r="B2854" s="0" t="n">
        <v>14</v>
      </c>
      <c r="C2854" s="0" t="n">
        <v>10</v>
      </c>
      <c r="D2854" s="0" t="n">
        <f aca="false">-1+A2854*0.125</f>
        <v>0.125</v>
      </c>
      <c r="E2854" s="0" t="n">
        <f aca="false">-1+B2854*0.125</f>
        <v>0.75</v>
      </c>
      <c r="F2854" s="0" t="n">
        <f aca="false">-1+C2854*0.125</f>
        <v>0.25</v>
      </c>
      <c r="G2854" s="0" t="n">
        <f aca="false">1</f>
        <v>1</v>
      </c>
      <c r="H2854" s="0" t="n">
        <f aca="false">D2854</f>
        <v>0.125</v>
      </c>
      <c r="I2854" s="0" t="n">
        <f aca="false">E2854</f>
        <v>0.75</v>
      </c>
      <c r="J2854" s="0" t="n">
        <f aca="false">F2854</f>
        <v>0.25</v>
      </c>
      <c r="K2854" s="0" t="n">
        <f aca="false">D2854*E2854</f>
        <v>0.09375</v>
      </c>
      <c r="L2854" s="0" t="n">
        <f aca="false">D2854*F2854</f>
        <v>0.03125</v>
      </c>
      <c r="M2854" s="0" t="n">
        <f aca="false">E2854*F2854</f>
        <v>0.1875</v>
      </c>
      <c r="N2854" s="0" t="n">
        <f aca="false">D2854*D2854</f>
        <v>0.015625</v>
      </c>
      <c r="O2854" s="0" t="n">
        <f aca="false">E2854*E2854</f>
        <v>0.5625</v>
      </c>
      <c r="P2854" s="0" t="n">
        <f aca="false">F2854*F2854</f>
        <v>0.0625</v>
      </c>
      <c r="Q2854" s="0" t="n">
        <f aca="false">SUMPRODUCT(G2854:P2854,_XtX!$B$71:$K$71)</f>
        <v>49.5478125</v>
      </c>
      <c r="R2854" s="0" t="n">
        <f aca="false">SUMPRODUCT(MMULT(G2854:P2854,_XtX!$B$58:$K$67),G2854:P2854)</f>
        <v>0.233935546875</v>
      </c>
      <c r="S2854" s="0" t="n">
        <f aca="false">04_回帰ANOVA!$K$19*04_回帰ANOVA!$K$14*SQRT(1+R2854)</f>
        <v>1.03279202033444</v>
      </c>
      <c r="T2854" s="0" t="n">
        <f aca="false">Q2854-S2854</f>
        <v>48.5150204796656</v>
      </c>
      <c r="U2854" s="0" t="n">
        <f aca="false">Q2854+S2854</f>
        <v>50.5806045203345</v>
      </c>
      <c r="V2854" s="54" t="b">
        <f aca="false">AND(D2854&gt;=01_因子設定!$L$5-0.000000001,D2854&lt;=01_因子設定!$M$5+0.000000001,E2854&gt;=01_因子設定!$L$6-0.000000001,E2854&lt;=01_因子設定!$M$6+0.000000001,F2854&gt;=01_因子設定!$L$7-0.000000001,F2854&lt;=01_因子設定!$M$7+0.000000001,IF(01_因子設定!$B$20="Box-Behnken",D2854^2+E2854^2+F2854^2&lt;=2+0.000000001,TRUE()))</f>
        <v>1</v>
      </c>
      <c r="W2854" s="55" t="n">
        <f aca="false">IF(V2854,IF(01_因子設定!$B$13="最大化",T2854-01_因子設定!$B$14,IF(01_因子設定!$B$13="最小化",01_因子設定!$B$15-U2854,MIN(T2854-01_因子設定!$B$14,01_因子設定!$B$15-U2854))),-1E+030)</f>
        <v>0.0150204796655729</v>
      </c>
      <c r="X2854" s="55" t="n">
        <f aca="false">IF(V2854,IF(01_因子設定!$B$13="最大化",Q2854,IF(01_因子設定!$B$13="最小化",-Q2854,-ABS(Q2854-01_因子設定!$B$16))),-1E+030)</f>
        <v>49.5478125</v>
      </c>
      <c r="Y2854" s="55" t="n">
        <f aca="false">W2854+ROW()*0.000000001</f>
        <v>0.0150233336655729</v>
      </c>
      <c r="Z2854" s="55" t="n">
        <f aca="false">X2854+ROW()*0.000000001</f>
        <v>49.547815354</v>
      </c>
    </row>
    <row r="2855" customFormat="false" ht="15" hidden="false" customHeight="false" outlineLevel="0" collapsed="false">
      <c r="A2855" s="0" t="n">
        <v>9</v>
      </c>
      <c r="B2855" s="0" t="n">
        <v>14</v>
      </c>
      <c r="C2855" s="0" t="n">
        <v>11</v>
      </c>
      <c r="D2855" s="0" t="n">
        <f aca="false">-1+A2855*0.125</f>
        <v>0.125</v>
      </c>
      <c r="E2855" s="0" t="n">
        <f aca="false">-1+B2855*0.125</f>
        <v>0.75</v>
      </c>
      <c r="F2855" s="0" t="n">
        <f aca="false">-1+C2855*0.125</f>
        <v>0.375</v>
      </c>
      <c r="G2855" s="0" t="n">
        <f aca="false">1</f>
        <v>1</v>
      </c>
      <c r="H2855" s="0" t="n">
        <f aca="false">D2855</f>
        <v>0.125</v>
      </c>
      <c r="I2855" s="0" t="n">
        <f aca="false">E2855</f>
        <v>0.75</v>
      </c>
      <c r="J2855" s="0" t="n">
        <f aca="false">F2855</f>
        <v>0.375</v>
      </c>
      <c r="K2855" s="0" t="n">
        <f aca="false">D2855*E2855</f>
        <v>0.09375</v>
      </c>
      <c r="L2855" s="0" t="n">
        <f aca="false">D2855*F2855</f>
        <v>0.046875</v>
      </c>
      <c r="M2855" s="0" t="n">
        <f aca="false">E2855*F2855</f>
        <v>0.28125</v>
      </c>
      <c r="N2855" s="0" t="n">
        <f aca="false">D2855*D2855</f>
        <v>0.015625</v>
      </c>
      <c r="O2855" s="0" t="n">
        <f aca="false">E2855*E2855</f>
        <v>0.5625</v>
      </c>
      <c r="P2855" s="0" t="n">
        <f aca="false">F2855*F2855</f>
        <v>0.140625</v>
      </c>
      <c r="Q2855" s="0" t="n">
        <f aca="false">SUMPRODUCT(G2855:P2855,_XtX!$B$71:$K$71)</f>
        <v>49.6681818181818</v>
      </c>
      <c r="R2855" s="0" t="n">
        <f aca="false">SUMPRODUCT(MMULT(G2855:P2855,_XtX!$B$58:$K$67),G2855:P2855)</f>
        <v>0.233744118430398</v>
      </c>
      <c r="S2855" s="0" t="n">
        <f aca="false">04_回帰ANOVA!$K$19*04_回帰ANOVA!$K$14*SQRT(1+R2855)</f>
        <v>1.0327119053564</v>
      </c>
      <c r="T2855" s="0" t="n">
        <f aca="false">Q2855-S2855</f>
        <v>48.6354699128254</v>
      </c>
      <c r="U2855" s="0" t="n">
        <f aca="false">Q2855+S2855</f>
        <v>50.7008937235382</v>
      </c>
      <c r="V2855" s="54" t="b">
        <f aca="false">AND(D2855&gt;=01_因子設定!$L$5-0.000000001,D2855&lt;=01_因子設定!$M$5+0.000000001,E2855&gt;=01_因子設定!$L$6-0.000000001,E2855&lt;=01_因子設定!$M$6+0.000000001,F2855&gt;=01_因子設定!$L$7-0.000000001,F2855&lt;=01_因子設定!$M$7+0.000000001,IF(01_因子設定!$B$20="Box-Behnken",D2855^2+E2855^2+F2855^2&lt;=2+0.000000001,TRUE()))</f>
        <v>1</v>
      </c>
      <c r="W2855" s="55" t="n">
        <f aca="false">IF(V2855,IF(01_因子設定!$B$13="最大化",T2855-01_因子設定!$B$14,IF(01_因子設定!$B$13="最小化",01_因子設定!$B$15-U2855,MIN(T2855-01_因子設定!$B$14,01_因子設定!$B$15-U2855))),-1E+030)</f>
        <v>0.135469912825428</v>
      </c>
      <c r="X2855" s="55" t="n">
        <f aca="false">IF(V2855,IF(01_因子設定!$B$13="最大化",Q2855,IF(01_因子設定!$B$13="最小化",-Q2855,-ABS(Q2855-01_因子設定!$B$16))),-1E+030)</f>
        <v>49.6681818181818</v>
      </c>
      <c r="Y2855" s="55" t="n">
        <f aca="false">W2855+ROW()*0.000000001</f>
        <v>0.135472767825428</v>
      </c>
      <c r="Z2855" s="55" t="n">
        <f aca="false">X2855+ROW()*0.000000001</f>
        <v>49.6681846731818</v>
      </c>
    </row>
    <row r="2856" customFormat="false" ht="15" hidden="false" customHeight="false" outlineLevel="0" collapsed="false">
      <c r="A2856" s="0" t="n">
        <v>9</v>
      </c>
      <c r="B2856" s="0" t="n">
        <v>14</v>
      </c>
      <c r="C2856" s="0" t="n">
        <v>12</v>
      </c>
      <c r="D2856" s="0" t="n">
        <f aca="false">-1+A2856*0.125</f>
        <v>0.125</v>
      </c>
      <c r="E2856" s="0" t="n">
        <f aca="false">-1+B2856*0.125</f>
        <v>0.75</v>
      </c>
      <c r="F2856" s="0" t="n">
        <f aca="false">-1+C2856*0.125</f>
        <v>0.5</v>
      </c>
      <c r="G2856" s="0" t="n">
        <f aca="false">1</f>
        <v>1</v>
      </c>
      <c r="H2856" s="0" t="n">
        <f aca="false">D2856</f>
        <v>0.125</v>
      </c>
      <c r="I2856" s="0" t="n">
        <f aca="false">E2856</f>
        <v>0.75</v>
      </c>
      <c r="J2856" s="0" t="n">
        <f aca="false">F2856</f>
        <v>0.5</v>
      </c>
      <c r="K2856" s="0" t="n">
        <f aca="false">D2856*E2856</f>
        <v>0.09375</v>
      </c>
      <c r="L2856" s="0" t="n">
        <f aca="false">D2856*F2856</f>
        <v>0.0625</v>
      </c>
      <c r="M2856" s="0" t="n">
        <f aca="false">E2856*F2856</f>
        <v>0.375</v>
      </c>
      <c r="N2856" s="0" t="n">
        <f aca="false">D2856*D2856</f>
        <v>0.015625</v>
      </c>
      <c r="O2856" s="0" t="n">
        <f aca="false">E2856*E2856</f>
        <v>0.5625</v>
      </c>
      <c r="P2856" s="0" t="n">
        <f aca="false">F2856*F2856</f>
        <v>0.25</v>
      </c>
      <c r="Q2856" s="0" t="n">
        <f aca="false">SUMPRODUCT(G2856:P2856,_XtX!$B$71:$K$71)</f>
        <v>49.7517613636364</v>
      </c>
      <c r="R2856" s="0" t="n">
        <f aca="false">SUMPRODUCT(MMULT(G2856:P2856,_XtX!$B$58:$K$67),G2856:P2856)</f>
        <v>0.240933504971591</v>
      </c>
      <c r="S2856" s="0" t="n">
        <f aca="false">04_回帰ANOVA!$K$19*04_回帰ANOVA!$K$14*SQRT(1+R2856)</f>
        <v>1.03571649118863</v>
      </c>
      <c r="T2856" s="0" t="n">
        <f aca="false">Q2856-S2856</f>
        <v>48.7160448724478</v>
      </c>
      <c r="U2856" s="0" t="n">
        <f aca="false">Q2856+S2856</f>
        <v>50.787477854825</v>
      </c>
      <c r="V2856" s="54" t="b">
        <f aca="false">AND(D2856&gt;=01_因子設定!$L$5-0.000000001,D2856&lt;=01_因子設定!$M$5+0.000000001,E2856&gt;=01_因子設定!$L$6-0.000000001,E2856&lt;=01_因子設定!$M$6+0.000000001,F2856&gt;=01_因子設定!$L$7-0.000000001,F2856&lt;=01_因子設定!$M$7+0.000000001,IF(01_因子設定!$B$20="Box-Behnken",D2856^2+E2856^2+F2856^2&lt;=2+0.000000001,TRUE()))</f>
        <v>1</v>
      </c>
      <c r="W2856" s="55" t="n">
        <f aca="false">IF(V2856,IF(01_因子設定!$B$13="最大化",T2856-01_因子設定!$B$14,IF(01_因子設定!$B$13="最小化",01_因子設定!$B$15-U2856,MIN(T2856-01_因子設定!$B$14,01_因子設定!$B$15-U2856))),-1E+030)</f>
        <v>0.216044872447753</v>
      </c>
      <c r="X2856" s="55" t="n">
        <f aca="false">IF(V2856,IF(01_因子設定!$B$13="最大化",Q2856,IF(01_因子設定!$B$13="最小化",-Q2856,-ABS(Q2856-01_因子設定!$B$16))),-1E+030)</f>
        <v>49.7517613636364</v>
      </c>
      <c r="Y2856" s="55" t="n">
        <f aca="false">W2856+ROW()*0.000000001</f>
        <v>0.216047728447753</v>
      </c>
      <c r="Z2856" s="55" t="n">
        <f aca="false">X2856+ROW()*0.000000001</f>
        <v>49.7517642196364</v>
      </c>
    </row>
    <row r="2857" customFormat="false" ht="15" hidden="false" customHeight="false" outlineLevel="0" collapsed="false">
      <c r="A2857" s="0" t="n">
        <v>9</v>
      </c>
      <c r="B2857" s="0" t="n">
        <v>14</v>
      </c>
      <c r="C2857" s="0" t="n">
        <v>13</v>
      </c>
      <c r="D2857" s="0" t="n">
        <f aca="false">-1+A2857*0.125</f>
        <v>0.125</v>
      </c>
      <c r="E2857" s="0" t="n">
        <f aca="false">-1+B2857*0.125</f>
        <v>0.75</v>
      </c>
      <c r="F2857" s="0" t="n">
        <f aca="false">-1+C2857*0.125</f>
        <v>0.625</v>
      </c>
      <c r="G2857" s="0" t="n">
        <f aca="false">1</f>
        <v>1</v>
      </c>
      <c r="H2857" s="0" t="n">
        <f aca="false">D2857</f>
        <v>0.125</v>
      </c>
      <c r="I2857" s="0" t="n">
        <f aca="false">E2857</f>
        <v>0.75</v>
      </c>
      <c r="J2857" s="0" t="n">
        <f aca="false">F2857</f>
        <v>0.625</v>
      </c>
      <c r="K2857" s="0" t="n">
        <f aca="false">D2857*E2857</f>
        <v>0.09375</v>
      </c>
      <c r="L2857" s="0" t="n">
        <f aca="false">D2857*F2857</f>
        <v>0.078125</v>
      </c>
      <c r="M2857" s="0" t="n">
        <f aca="false">E2857*F2857</f>
        <v>0.46875</v>
      </c>
      <c r="N2857" s="0" t="n">
        <f aca="false">D2857*D2857</f>
        <v>0.015625</v>
      </c>
      <c r="O2857" s="0" t="n">
        <f aca="false">E2857*E2857</f>
        <v>0.5625</v>
      </c>
      <c r="P2857" s="0" t="n">
        <f aca="false">F2857*F2857</f>
        <v>0.390625</v>
      </c>
      <c r="Q2857" s="0" t="n">
        <f aca="false">SUMPRODUCT(G2857:P2857,_XtX!$B$71:$K$71)</f>
        <v>49.7985511363637</v>
      </c>
      <c r="R2857" s="0" t="n">
        <f aca="false">SUMPRODUCT(MMULT(G2857:P2857,_XtX!$B$58:$K$67),G2857:P2857)</f>
        <v>0.262961092862216</v>
      </c>
      <c r="S2857" s="0" t="n">
        <f aca="false">04_回帰ANOVA!$K$19*04_回帰ANOVA!$K$14*SQRT(1+R2857)</f>
        <v>1.04486846483649</v>
      </c>
      <c r="T2857" s="0" t="n">
        <f aca="false">Q2857-S2857</f>
        <v>48.7536826715272</v>
      </c>
      <c r="U2857" s="0" t="n">
        <f aca="false">Q2857+S2857</f>
        <v>50.8434196012001</v>
      </c>
      <c r="V2857" s="54" t="b">
        <f aca="false">AND(D2857&gt;=01_因子設定!$L$5-0.000000001,D2857&lt;=01_因子設定!$M$5+0.000000001,E2857&gt;=01_因子設定!$L$6-0.000000001,E2857&lt;=01_因子設定!$M$6+0.000000001,F2857&gt;=01_因子設定!$L$7-0.000000001,F2857&lt;=01_因子設定!$M$7+0.000000001,IF(01_因子設定!$B$20="Box-Behnken",D2857^2+E2857^2+F2857^2&lt;=2+0.000000001,TRUE()))</f>
        <v>1</v>
      </c>
      <c r="W2857" s="55" t="n">
        <f aca="false">IF(V2857,IF(01_因子設定!$B$13="最大化",T2857-01_因子設定!$B$14,IF(01_因子設定!$B$13="最小化",01_因子設定!$B$15-U2857,MIN(T2857-01_因子設定!$B$14,01_因子設定!$B$15-U2857))),-1E+030)</f>
        <v>0.253682671527173</v>
      </c>
      <c r="X2857" s="55" t="n">
        <f aca="false">IF(V2857,IF(01_因子設定!$B$13="最大化",Q2857,IF(01_因子設定!$B$13="最小化",-Q2857,-ABS(Q2857-01_因子設定!$B$16))),-1E+030)</f>
        <v>49.7985511363637</v>
      </c>
      <c r="Y2857" s="55" t="n">
        <f aca="false">W2857+ROW()*0.000000001</f>
        <v>0.253685528527173</v>
      </c>
      <c r="Z2857" s="55" t="n">
        <f aca="false">X2857+ROW()*0.000000001</f>
        <v>49.7985539933637</v>
      </c>
    </row>
    <row r="2858" customFormat="false" ht="15" hidden="false" customHeight="false" outlineLevel="0" collapsed="false">
      <c r="A2858" s="0" t="n">
        <v>9</v>
      </c>
      <c r="B2858" s="0" t="n">
        <v>14</v>
      </c>
      <c r="C2858" s="0" t="n">
        <v>14</v>
      </c>
      <c r="D2858" s="0" t="n">
        <f aca="false">-1+A2858*0.125</f>
        <v>0.125</v>
      </c>
      <c r="E2858" s="0" t="n">
        <f aca="false">-1+B2858*0.125</f>
        <v>0.75</v>
      </c>
      <c r="F2858" s="0" t="n">
        <f aca="false">-1+C2858*0.125</f>
        <v>0.75</v>
      </c>
      <c r="G2858" s="0" t="n">
        <f aca="false">1</f>
        <v>1</v>
      </c>
      <c r="H2858" s="0" t="n">
        <f aca="false">D2858</f>
        <v>0.125</v>
      </c>
      <c r="I2858" s="0" t="n">
        <f aca="false">E2858</f>
        <v>0.75</v>
      </c>
      <c r="J2858" s="0" t="n">
        <f aca="false">F2858</f>
        <v>0.75</v>
      </c>
      <c r="K2858" s="0" t="n">
        <f aca="false">D2858*E2858</f>
        <v>0.09375</v>
      </c>
      <c r="L2858" s="0" t="n">
        <f aca="false">D2858*F2858</f>
        <v>0.09375</v>
      </c>
      <c r="M2858" s="0" t="n">
        <f aca="false">E2858*F2858</f>
        <v>0.5625</v>
      </c>
      <c r="N2858" s="0" t="n">
        <f aca="false">D2858*D2858</f>
        <v>0.015625</v>
      </c>
      <c r="O2858" s="0" t="n">
        <f aca="false">E2858*E2858</f>
        <v>0.5625</v>
      </c>
      <c r="P2858" s="0" t="n">
        <f aca="false">F2858*F2858</f>
        <v>0.5625</v>
      </c>
      <c r="Q2858" s="0" t="n">
        <f aca="false">SUMPRODUCT(G2858:P2858,_XtX!$B$71:$K$71)</f>
        <v>49.8085511363637</v>
      </c>
      <c r="R2858" s="0" t="n">
        <f aca="false">SUMPRODUCT(MMULT(G2858:P2858,_XtX!$B$58:$K$67),G2858:P2858)</f>
        <v>0.309414950284091</v>
      </c>
      <c r="S2858" s="0" t="n">
        <f aca="false">04_回帰ANOVA!$K$19*04_回帰ANOVA!$K$14*SQRT(1+R2858)</f>
        <v>1.06391096196568</v>
      </c>
      <c r="T2858" s="0" t="n">
        <f aca="false">Q2858-S2858</f>
        <v>48.744640174398</v>
      </c>
      <c r="U2858" s="0" t="n">
        <f aca="false">Q2858+S2858</f>
        <v>50.8724620983293</v>
      </c>
      <c r="V2858" s="54" t="b">
        <f aca="false">AND(D2858&gt;=01_因子設定!$L$5-0.000000001,D2858&lt;=01_因子設定!$M$5+0.000000001,E2858&gt;=01_因子設定!$L$6-0.000000001,E2858&lt;=01_因子設定!$M$6+0.000000001,F2858&gt;=01_因子設定!$L$7-0.000000001,F2858&lt;=01_因子設定!$M$7+0.000000001,IF(01_因子設定!$B$20="Box-Behnken",D2858^2+E2858^2+F2858^2&lt;=2+0.000000001,TRUE()))</f>
        <v>1</v>
      </c>
      <c r="W2858" s="55" t="n">
        <f aca="false">IF(V2858,IF(01_因子設定!$B$13="最大化",T2858-01_因子設定!$B$14,IF(01_因子設定!$B$13="最小化",01_因子設定!$B$15-U2858,MIN(T2858-01_因子設定!$B$14,01_因子設定!$B$15-U2858))),-1E+030)</f>
        <v>0.244640174397979</v>
      </c>
      <c r="X2858" s="55" t="n">
        <f aca="false">IF(V2858,IF(01_因子設定!$B$13="最大化",Q2858,IF(01_因子設定!$B$13="最小化",-Q2858,-ABS(Q2858-01_因子設定!$B$16))),-1E+030)</f>
        <v>49.8085511363637</v>
      </c>
      <c r="Y2858" s="55" t="n">
        <f aca="false">W2858+ROW()*0.000000001</f>
        <v>0.244643032397979</v>
      </c>
      <c r="Z2858" s="55" t="n">
        <f aca="false">X2858+ROW()*0.000000001</f>
        <v>49.8085539943637</v>
      </c>
    </row>
    <row r="2859" customFormat="false" ht="15" hidden="false" customHeight="false" outlineLevel="0" collapsed="false">
      <c r="A2859" s="0" t="n">
        <v>9</v>
      </c>
      <c r="B2859" s="0" t="n">
        <v>14</v>
      </c>
      <c r="C2859" s="0" t="n">
        <v>15</v>
      </c>
      <c r="D2859" s="0" t="n">
        <f aca="false">-1+A2859*0.125</f>
        <v>0.125</v>
      </c>
      <c r="E2859" s="0" t="n">
        <f aca="false">-1+B2859*0.125</f>
        <v>0.75</v>
      </c>
      <c r="F2859" s="0" t="n">
        <f aca="false">-1+C2859*0.125</f>
        <v>0.875</v>
      </c>
      <c r="G2859" s="0" t="n">
        <f aca="false">1</f>
        <v>1</v>
      </c>
      <c r="H2859" s="0" t="n">
        <f aca="false">D2859</f>
        <v>0.125</v>
      </c>
      <c r="I2859" s="0" t="n">
        <f aca="false">E2859</f>
        <v>0.75</v>
      </c>
      <c r="J2859" s="0" t="n">
        <f aca="false">F2859</f>
        <v>0.875</v>
      </c>
      <c r="K2859" s="0" t="n">
        <f aca="false">D2859*E2859</f>
        <v>0.09375</v>
      </c>
      <c r="L2859" s="0" t="n">
        <f aca="false">D2859*F2859</f>
        <v>0.109375</v>
      </c>
      <c r="M2859" s="0" t="n">
        <f aca="false">E2859*F2859</f>
        <v>0.65625</v>
      </c>
      <c r="N2859" s="0" t="n">
        <f aca="false">D2859*D2859</f>
        <v>0.015625</v>
      </c>
      <c r="O2859" s="0" t="n">
        <f aca="false">E2859*E2859</f>
        <v>0.5625</v>
      </c>
      <c r="P2859" s="0" t="n">
        <f aca="false">F2859*F2859</f>
        <v>0.765625</v>
      </c>
      <c r="Q2859" s="0" t="n">
        <f aca="false">SUMPRODUCT(G2859:P2859,_XtX!$B$71:$K$71)</f>
        <v>49.7817613636364</v>
      </c>
      <c r="R2859" s="0" t="n">
        <f aca="false">SUMPRODUCT(MMULT(G2859:P2859,_XtX!$B$58:$K$67),G2859:P2859)</f>
        <v>0.392013827237216</v>
      </c>
      <c r="S2859" s="0" t="n">
        <f aca="false">04_回帰ANOVA!$K$19*04_回帰ANOVA!$K$14*SQRT(1+R2859)</f>
        <v>1.09695398627251</v>
      </c>
      <c r="T2859" s="0" t="n">
        <f aca="false">Q2859-S2859</f>
        <v>48.6848073773639</v>
      </c>
      <c r="U2859" s="0" t="n">
        <f aca="false">Q2859+S2859</f>
        <v>50.8787153499089</v>
      </c>
      <c r="V2859" s="54" t="b">
        <f aca="false">AND(D2859&gt;=01_因子設定!$L$5-0.000000001,D2859&lt;=01_因子設定!$M$5+0.000000001,E2859&gt;=01_因子設定!$L$6-0.000000001,E2859&lt;=01_因子設定!$M$6+0.000000001,F2859&gt;=01_因子設定!$L$7-0.000000001,F2859&lt;=01_因子設定!$M$7+0.000000001,IF(01_因子設定!$B$20="Box-Behnken",D2859^2+E2859^2+F2859^2&lt;=2+0.000000001,TRUE()))</f>
        <v>1</v>
      </c>
      <c r="W2859" s="55" t="n">
        <f aca="false">IF(V2859,IF(01_因子設定!$B$13="最大化",T2859-01_因子設定!$B$14,IF(01_因子設定!$B$13="最小化",01_因子設定!$B$15-U2859,MIN(T2859-01_因子設定!$B$14,01_因子設定!$B$15-U2859))),-1E+030)</f>
        <v>0.184807377363882</v>
      </c>
      <c r="X2859" s="55" t="n">
        <f aca="false">IF(V2859,IF(01_因子設定!$B$13="最大化",Q2859,IF(01_因子設定!$B$13="最小化",-Q2859,-ABS(Q2859-01_因子設定!$B$16))),-1E+030)</f>
        <v>49.7817613636364</v>
      </c>
      <c r="Y2859" s="55" t="n">
        <f aca="false">W2859+ROW()*0.000000001</f>
        <v>0.184810236363882</v>
      </c>
      <c r="Z2859" s="55" t="n">
        <f aca="false">X2859+ROW()*0.000000001</f>
        <v>49.7817642226364</v>
      </c>
    </row>
    <row r="2860" customFormat="false" ht="15" hidden="false" customHeight="false" outlineLevel="0" collapsed="false">
      <c r="A2860" s="0" t="n">
        <v>9</v>
      </c>
      <c r="B2860" s="0" t="n">
        <v>14</v>
      </c>
      <c r="C2860" s="0" t="n">
        <v>16</v>
      </c>
      <c r="D2860" s="0" t="n">
        <f aca="false">-1+A2860*0.125</f>
        <v>0.125</v>
      </c>
      <c r="E2860" s="0" t="n">
        <f aca="false">-1+B2860*0.125</f>
        <v>0.75</v>
      </c>
      <c r="F2860" s="0" t="n">
        <f aca="false">-1+C2860*0.125</f>
        <v>1</v>
      </c>
      <c r="G2860" s="0" t="n">
        <f aca="false">1</f>
        <v>1</v>
      </c>
      <c r="H2860" s="0" t="n">
        <f aca="false">D2860</f>
        <v>0.125</v>
      </c>
      <c r="I2860" s="0" t="n">
        <f aca="false">E2860</f>
        <v>0.75</v>
      </c>
      <c r="J2860" s="0" t="n">
        <f aca="false">F2860</f>
        <v>1</v>
      </c>
      <c r="K2860" s="0" t="n">
        <f aca="false">D2860*E2860</f>
        <v>0.09375</v>
      </c>
      <c r="L2860" s="0" t="n">
        <f aca="false">D2860*F2860</f>
        <v>0.125</v>
      </c>
      <c r="M2860" s="0" t="n">
        <f aca="false">E2860*F2860</f>
        <v>0.75</v>
      </c>
      <c r="N2860" s="0" t="n">
        <f aca="false">D2860*D2860</f>
        <v>0.015625</v>
      </c>
      <c r="O2860" s="0" t="n">
        <f aca="false">E2860*E2860</f>
        <v>0.5625</v>
      </c>
      <c r="P2860" s="0" t="n">
        <f aca="false">F2860*F2860</f>
        <v>1</v>
      </c>
      <c r="Q2860" s="0" t="n">
        <f aca="false">SUMPRODUCT(G2860:P2860,_XtX!$B$71:$K$71)</f>
        <v>49.7181818181819</v>
      </c>
      <c r="R2860" s="0" t="n">
        <f aca="false">SUMPRODUCT(MMULT(G2860:P2860,_XtX!$B$58:$K$67),G2860:P2860)</f>
        <v>0.524607155539773</v>
      </c>
      <c r="S2860" s="0" t="n">
        <f aca="false">04_回帰ANOVA!$K$19*04_回帰ANOVA!$K$14*SQRT(1+R2860)</f>
        <v>1.14800984623412</v>
      </c>
      <c r="T2860" s="0" t="n">
        <f aca="false">Q2860-S2860</f>
        <v>48.5701719719477</v>
      </c>
      <c r="U2860" s="0" t="n">
        <f aca="false">Q2860+S2860</f>
        <v>50.866191664416</v>
      </c>
      <c r="V2860" s="54" t="b">
        <f aca="false">AND(D2860&gt;=01_因子設定!$L$5-0.000000001,D2860&lt;=01_因子設定!$M$5+0.000000001,E2860&gt;=01_因子設定!$L$6-0.000000001,E2860&lt;=01_因子設定!$M$6+0.000000001,F2860&gt;=01_因子設定!$L$7-0.000000001,F2860&lt;=01_因子設定!$M$7+0.000000001,IF(01_因子設定!$B$20="Box-Behnken",D2860^2+E2860^2+F2860^2&lt;=2+0.000000001,TRUE()))</f>
        <v>1</v>
      </c>
      <c r="W2860" s="55" t="n">
        <f aca="false">IF(V2860,IF(01_因子設定!$B$13="最大化",T2860-01_因子設定!$B$14,IF(01_因子設定!$B$13="最小化",01_因子設定!$B$15-U2860,MIN(T2860-01_因子設定!$B$14,01_因子設定!$B$15-U2860))),-1E+030)</f>
        <v>0.0701719719477296</v>
      </c>
      <c r="X2860" s="55" t="n">
        <f aca="false">IF(V2860,IF(01_因子設定!$B$13="最大化",Q2860,IF(01_因子設定!$B$13="最小化",-Q2860,-ABS(Q2860-01_因子設定!$B$16))),-1E+030)</f>
        <v>49.7181818181819</v>
      </c>
      <c r="Y2860" s="55" t="n">
        <f aca="false">W2860+ROW()*0.000000001</f>
        <v>0.0701748319477296</v>
      </c>
      <c r="Z2860" s="55" t="n">
        <f aca="false">X2860+ROW()*0.000000001</f>
        <v>49.7181846781819</v>
      </c>
    </row>
    <row r="2861" customFormat="false" ht="15" hidden="false" customHeight="false" outlineLevel="0" collapsed="false">
      <c r="A2861" s="0" t="n">
        <v>9</v>
      </c>
      <c r="B2861" s="0" t="n">
        <v>15</v>
      </c>
      <c r="C2861" s="0" t="n">
        <v>0</v>
      </c>
      <c r="D2861" s="0" t="n">
        <f aca="false">-1+A2861*0.125</f>
        <v>0.125</v>
      </c>
      <c r="E2861" s="0" t="n">
        <f aca="false">-1+B2861*0.125</f>
        <v>0.875</v>
      </c>
      <c r="F2861" s="0" t="n">
        <f aca="false">-1+C2861*0.125</f>
        <v>-1</v>
      </c>
      <c r="G2861" s="0" t="n">
        <f aca="false">1</f>
        <v>1</v>
      </c>
      <c r="H2861" s="0" t="n">
        <f aca="false">D2861</f>
        <v>0.125</v>
      </c>
      <c r="I2861" s="0" t="n">
        <f aca="false">E2861</f>
        <v>0.875</v>
      </c>
      <c r="J2861" s="0" t="n">
        <f aca="false">F2861</f>
        <v>-1</v>
      </c>
      <c r="K2861" s="0" t="n">
        <f aca="false">D2861*E2861</f>
        <v>0.109375</v>
      </c>
      <c r="L2861" s="0" t="n">
        <f aca="false">D2861*F2861</f>
        <v>-0.125</v>
      </c>
      <c r="M2861" s="0" t="n">
        <f aca="false">E2861*F2861</f>
        <v>-0.875</v>
      </c>
      <c r="N2861" s="0" t="n">
        <f aca="false">D2861*D2861</f>
        <v>0.015625</v>
      </c>
      <c r="O2861" s="0" t="n">
        <f aca="false">E2861*E2861</f>
        <v>0.765625</v>
      </c>
      <c r="P2861" s="0" t="n">
        <f aca="false">F2861*F2861</f>
        <v>1</v>
      </c>
      <c r="Q2861" s="0" t="n">
        <f aca="false">SUMPRODUCT(G2861:P2861,_XtX!$B$71:$K$71)</f>
        <v>46.1305326704546</v>
      </c>
      <c r="R2861" s="0" t="n">
        <f aca="false">SUMPRODUCT(MMULT(G2861:P2861,_XtX!$B$58:$K$67),G2861:P2861)</f>
        <v>0.59407792524858</v>
      </c>
      <c r="S2861" s="0" t="n">
        <f aca="false">04_回帰ANOVA!$K$19*04_回帰ANOVA!$K$14*SQRT(1+R2861)</f>
        <v>1.17387380087722</v>
      </c>
      <c r="T2861" s="0" t="n">
        <f aca="false">Q2861-S2861</f>
        <v>44.9566588695774</v>
      </c>
      <c r="U2861" s="0" t="n">
        <f aca="false">Q2861+S2861</f>
        <v>47.3044064713318</v>
      </c>
      <c r="V2861" s="54" t="b">
        <f aca="false">AND(D2861&gt;=01_因子設定!$L$5-0.000000001,D2861&lt;=01_因子設定!$M$5+0.000000001,E2861&gt;=01_因子設定!$L$6-0.000000001,E2861&lt;=01_因子設定!$M$6+0.000000001,F2861&gt;=01_因子設定!$L$7-0.000000001,F2861&lt;=01_因子設定!$M$7+0.000000001,IF(01_因子設定!$B$20="Box-Behnken",D2861^2+E2861^2+F2861^2&lt;=2+0.000000001,TRUE()))</f>
        <v>1</v>
      </c>
      <c r="W2861" s="55" t="n">
        <f aca="false">IF(V2861,IF(01_因子設定!$B$13="最大化",T2861-01_因子設定!$B$14,IF(01_因子設定!$B$13="最小化",01_因子設定!$B$15-U2861,MIN(T2861-01_因子設定!$B$14,01_因子設定!$B$15-U2861))),-1E+030)</f>
        <v>-3.54334113042264</v>
      </c>
      <c r="X2861" s="55" t="n">
        <f aca="false">IF(V2861,IF(01_因子設定!$B$13="最大化",Q2861,IF(01_因子設定!$B$13="最小化",-Q2861,-ABS(Q2861-01_因子設定!$B$16))),-1E+030)</f>
        <v>46.1305326704546</v>
      </c>
      <c r="Y2861" s="55" t="n">
        <f aca="false">W2861+ROW()*0.000000001</f>
        <v>-3.54333826942264</v>
      </c>
      <c r="Z2861" s="55" t="n">
        <f aca="false">X2861+ROW()*0.000000001</f>
        <v>46.1305355314546</v>
      </c>
    </row>
    <row r="2862" customFormat="false" ht="15" hidden="false" customHeight="false" outlineLevel="0" collapsed="false">
      <c r="A2862" s="0" t="n">
        <v>9</v>
      </c>
      <c r="B2862" s="0" t="n">
        <v>15</v>
      </c>
      <c r="C2862" s="0" t="n">
        <v>1</v>
      </c>
      <c r="D2862" s="0" t="n">
        <f aca="false">-1+A2862*0.125</f>
        <v>0.125</v>
      </c>
      <c r="E2862" s="0" t="n">
        <f aca="false">-1+B2862*0.125</f>
        <v>0.875</v>
      </c>
      <c r="F2862" s="0" t="n">
        <f aca="false">-1+C2862*0.125</f>
        <v>-0.875</v>
      </c>
      <c r="G2862" s="0" t="n">
        <f aca="false">1</f>
        <v>1</v>
      </c>
      <c r="H2862" s="0" t="n">
        <f aca="false">D2862</f>
        <v>0.125</v>
      </c>
      <c r="I2862" s="0" t="n">
        <f aca="false">E2862</f>
        <v>0.875</v>
      </c>
      <c r="J2862" s="0" t="n">
        <f aca="false">F2862</f>
        <v>-0.875</v>
      </c>
      <c r="K2862" s="0" t="n">
        <f aca="false">D2862*E2862</f>
        <v>0.109375</v>
      </c>
      <c r="L2862" s="0" t="n">
        <f aca="false">D2862*F2862</f>
        <v>-0.109375</v>
      </c>
      <c r="M2862" s="0" t="n">
        <f aca="false">E2862*F2862</f>
        <v>-0.765625</v>
      </c>
      <c r="N2862" s="0" t="n">
        <f aca="false">D2862*D2862</f>
        <v>0.015625</v>
      </c>
      <c r="O2862" s="0" t="n">
        <f aca="false">E2862*E2862</f>
        <v>0.765625</v>
      </c>
      <c r="P2862" s="0" t="n">
        <f aca="false">F2862*F2862</f>
        <v>0.765625</v>
      </c>
      <c r="Q2862" s="0" t="n">
        <f aca="false">SUMPRODUCT(G2862:P2862,_XtX!$B$71:$K$71)</f>
        <v>46.6258309659091</v>
      </c>
      <c r="R2862" s="0" t="n">
        <f aca="false">SUMPRODUCT(MMULT(G2862:P2862,_XtX!$B$58:$K$67),G2862:P2862)</f>
        <v>0.468517511541193</v>
      </c>
      <c r="S2862" s="0" t="n">
        <f aca="false">04_回帰ANOVA!$K$19*04_回帰ANOVA!$K$14*SQRT(1+R2862)</f>
        <v>1.12669456902645</v>
      </c>
      <c r="T2862" s="0" t="n">
        <f aca="false">Q2862-S2862</f>
        <v>45.4991363968827</v>
      </c>
      <c r="U2862" s="0" t="n">
        <f aca="false">Q2862+S2862</f>
        <v>47.7525255349356</v>
      </c>
      <c r="V2862" s="54" t="b">
        <f aca="false">AND(D2862&gt;=01_因子設定!$L$5-0.000000001,D2862&lt;=01_因子設定!$M$5+0.000000001,E2862&gt;=01_因子設定!$L$6-0.000000001,E2862&lt;=01_因子設定!$M$6+0.000000001,F2862&gt;=01_因子設定!$L$7-0.000000001,F2862&lt;=01_因子設定!$M$7+0.000000001,IF(01_因子設定!$B$20="Box-Behnken",D2862^2+E2862^2+F2862^2&lt;=2+0.000000001,TRUE()))</f>
        <v>1</v>
      </c>
      <c r="W2862" s="55" t="n">
        <f aca="false">IF(V2862,IF(01_因子設定!$B$13="最大化",T2862-01_因子設定!$B$14,IF(01_因子設定!$B$13="最小化",01_因子設定!$B$15-U2862,MIN(T2862-01_因子設定!$B$14,01_因子設定!$B$15-U2862))),-1E+030)</f>
        <v>-3.00086360311733</v>
      </c>
      <c r="X2862" s="55" t="n">
        <f aca="false">IF(V2862,IF(01_因子設定!$B$13="最大化",Q2862,IF(01_因子設定!$B$13="最小化",-Q2862,-ABS(Q2862-01_因子設定!$B$16))),-1E+030)</f>
        <v>46.6258309659091</v>
      </c>
      <c r="Y2862" s="55" t="n">
        <f aca="false">W2862+ROW()*0.000000001</f>
        <v>-3.00086074111733</v>
      </c>
      <c r="Z2862" s="55" t="n">
        <f aca="false">X2862+ROW()*0.000000001</f>
        <v>46.6258338279091</v>
      </c>
    </row>
    <row r="2863" customFormat="false" ht="15" hidden="false" customHeight="false" outlineLevel="0" collapsed="false">
      <c r="A2863" s="0" t="n">
        <v>9</v>
      </c>
      <c r="B2863" s="0" t="n">
        <v>15</v>
      </c>
      <c r="C2863" s="0" t="n">
        <v>2</v>
      </c>
      <c r="D2863" s="0" t="n">
        <f aca="false">-1+A2863*0.125</f>
        <v>0.125</v>
      </c>
      <c r="E2863" s="0" t="n">
        <f aca="false">-1+B2863*0.125</f>
        <v>0.875</v>
      </c>
      <c r="F2863" s="0" t="n">
        <f aca="false">-1+C2863*0.125</f>
        <v>-0.75</v>
      </c>
      <c r="G2863" s="0" t="n">
        <f aca="false">1</f>
        <v>1</v>
      </c>
      <c r="H2863" s="0" t="n">
        <f aca="false">D2863</f>
        <v>0.125</v>
      </c>
      <c r="I2863" s="0" t="n">
        <f aca="false">E2863</f>
        <v>0.875</v>
      </c>
      <c r="J2863" s="0" t="n">
        <f aca="false">F2863</f>
        <v>-0.75</v>
      </c>
      <c r="K2863" s="0" t="n">
        <f aca="false">D2863*E2863</f>
        <v>0.109375</v>
      </c>
      <c r="L2863" s="0" t="n">
        <f aca="false">D2863*F2863</f>
        <v>-0.09375</v>
      </c>
      <c r="M2863" s="0" t="n">
        <f aca="false">E2863*F2863</f>
        <v>-0.65625</v>
      </c>
      <c r="N2863" s="0" t="n">
        <f aca="false">D2863*D2863</f>
        <v>0.015625</v>
      </c>
      <c r="O2863" s="0" t="n">
        <f aca="false">E2863*E2863</f>
        <v>0.765625</v>
      </c>
      <c r="P2863" s="0" t="n">
        <f aca="false">F2863*F2863</f>
        <v>0.5625</v>
      </c>
      <c r="Q2863" s="0" t="n">
        <f aca="false">SUMPRODUCT(G2863:P2863,_XtX!$B$71:$K$71)</f>
        <v>47.0843394886364</v>
      </c>
      <c r="R2863" s="0" t="n">
        <f aca="false">SUMPRODUCT(MMULT(G2863:P2863,_XtX!$B$58:$K$67),G2863:P2863)</f>
        <v>0.392013827237216</v>
      </c>
      <c r="S2863" s="0" t="n">
        <f aca="false">04_回帰ANOVA!$K$19*04_回帰ANOVA!$K$14*SQRT(1+R2863)</f>
        <v>1.09695398627251</v>
      </c>
      <c r="T2863" s="0" t="n">
        <f aca="false">Q2863-S2863</f>
        <v>45.9873855023639</v>
      </c>
      <c r="U2863" s="0" t="n">
        <f aca="false">Q2863+S2863</f>
        <v>48.1812934749089</v>
      </c>
      <c r="V2863" s="54" t="b">
        <f aca="false">AND(D2863&gt;=01_因子設定!$L$5-0.000000001,D2863&lt;=01_因子設定!$M$5+0.000000001,E2863&gt;=01_因子設定!$L$6-0.000000001,E2863&lt;=01_因子設定!$M$6+0.000000001,F2863&gt;=01_因子設定!$L$7-0.000000001,F2863&lt;=01_因子設定!$M$7+0.000000001,IF(01_因子設定!$B$20="Box-Behnken",D2863^2+E2863^2+F2863^2&lt;=2+0.000000001,TRUE()))</f>
        <v>1</v>
      </c>
      <c r="W2863" s="55" t="n">
        <f aca="false">IF(V2863,IF(01_因子設定!$B$13="最大化",T2863-01_因子設定!$B$14,IF(01_因子設定!$B$13="最小化",01_因子設定!$B$15-U2863,MIN(T2863-01_因子設定!$B$14,01_因子設定!$B$15-U2863))),-1E+030)</f>
        <v>-2.51261449763612</v>
      </c>
      <c r="X2863" s="55" t="n">
        <f aca="false">IF(V2863,IF(01_因子設定!$B$13="最大化",Q2863,IF(01_因子設定!$B$13="最小化",-Q2863,-ABS(Q2863-01_因子設定!$B$16))),-1E+030)</f>
        <v>47.0843394886364</v>
      </c>
      <c r="Y2863" s="55" t="n">
        <f aca="false">W2863+ROW()*0.000000001</f>
        <v>-2.51261163463612</v>
      </c>
      <c r="Z2863" s="55" t="n">
        <f aca="false">X2863+ROW()*0.000000001</f>
        <v>47.0843423516364</v>
      </c>
    </row>
    <row r="2864" customFormat="false" ht="15" hidden="false" customHeight="false" outlineLevel="0" collapsed="false">
      <c r="A2864" s="0" t="n">
        <v>9</v>
      </c>
      <c r="B2864" s="0" t="n">
        <v>15</v>
      </c>
      <c r="C2864" s="0" t="n">
        <v>3</v>
      </c>
      <c r="D2864" s="0" t="n">
        <f aca="false">-1+A2864*0.125</f>
        <v>0.125</v>
      </c>
      <c r="E2864" s="0" t="n">
        <f aca="false">-1+B2864*0.125</f>
        <v>0.875</v>
      </c>
      <c r="F2864" s="0" t="n">
        <f aca="false">-1+C2864*0.125</f>
        <v>-0.625</v>
      </c>
      <c r="G2864" s="0" t="n">
        <f aca="false">1</f>
        <v>1</v>
      </c>
      <c r="H2864" s="0" t="n">
        <f aca="false">D2864</f>
        <v>0.125</v>
      </c>
      <c r="I2864" s="0" t="n">
        <f aca="false">E2864</f>
        <v>0.875</v>
      </c>
      <c r="J2864" s="0" t="n">
        <f aca="false">F2864</f>
        <v>-0.625</v>
      </c>
      <c r="K2864" s="0" t="n">
        <f aca="false">D2864*E2864</f>
        <v>0.109375</v>
      </c>
      <c r="L2864" s="0" t="n">
        <f aca="false">D2864*F2864</f>
        <v>-0.078125</v>
      </c>
      <c r="M2864" s="0" t="n">
        <f aca="false">E2864*F2864</f>
        <v>-0.546875</v>
      </c>
      <c r="N2864" s="0" t="n">
        <f aca="false">D2864*D2864</f>
        <v>0.015625</v>
      </c>
      <c r="O2864" s="0" t="n">
        <f aca="false">E2864*E2864</f>
        <v>0.765625</v>
      </c>
      <c r="P2864" s="0" t="n">
        <f aca="false">F2864*F2864</f>
        <v>0.390625</v>
      </c>
      <c r="Q2864" s="0" t="n">
        <f aca="false">SUMPRODUCT(G2864:P2864,_XtX!$B$71:$K$71)</f>
        <v>47.5060582386364</v>
      </c>
      <c r="R2864" s="0" t="n">
        <f aca="false">SUMPRODUCT(MMULT(G2864:P2864,_XtX!$B$58:$K$67),G2864:P2864)</f>
        <v>0.350717440518466</v>
      </c>
      <c r="S2864" s="0" t="n">
        <f aca="false">04_回帰ANOVA!$K$19*04_回帰ANOVA!$K$14*SQRT(1+R2864)</f>
        <v>1.08056000737898</v>
      </c>
      <c r="T2864" s="0" t="n">
        <f aca="false">Q2864-S2864</f>
        <v>46.4254982312574</v>
      </c>
      <c r="U2864" s="0" t="n">
        <f aca="false">Q2864+S2864</f>
        <v>48.5866182460154</v>
      </c>
      <c r="V2864" s="54" t="b">
        <f aca="false">AND(D2864&gt;=01_因子設定!$L$5-0.000000001,D2864&lt;=01_因子設定!$M$5+0.000000001,E2864&gt;=01_因子設定!$L$6-0.000000001,E2864&lt;=01_因子設定!$M$6+0.000000001,F2864&gt;=01_因子設定!$L$7-0.000000001,F2864&lt;=01_因子設定!$M$7+0.000000001,IF(01_因子設定!$B$20="Box-Behnken",D2864^2+E2864^2+F2864^2&lt;=2+0.000000001,TRUE()))</f>
        <v>1</v>
      </c>
      <c r="W2864" s="55" t="n">
        <f aca="false">IF(V2864,IF(01_因子設定!$B$13="最大化",T2864-01_因子設定!$B$14,IF(01_因子設定!$B$13="最小化",01_因子設定!$B$15-U2864,MIN(T2864-01_因子設定!$B$14,01_因子設定!$B$15-U2864))),-1E+030)</f>
        <v>-2.07450176874259</v>
      </c>
      <c r="X2864" s="55" t="n">
        <f aca="false">IF(V2864,IF(01_因子設定!$B$13="最大化",Q2864,IF(01_因子設定!$B$13="最小化",-Q2864,-ABS(Q2864-01_因子設定!$B$16))),-1E+030)</f>
        <v>47.5060582386364</v>
      </c>
      <c r="Y2864" s="55" t="n">
        <f aca="false">W2864+ROW()*0.000000001</f>
        <v>-2.07449890474259</v>
      </c>
      <c r="Z2864" s="55" t="n">
        <f aca="false">X2864+ROW()*0.000000001</f>
        <v>47.5060611026364</v>
      </c>
    </row>
    <row r="2865" customFormat="false" ht="15" hidden="false" customHeight="false" outlineLevel="0" collapsed="false">
      <c r="A2865" s="0" t="n">
        <v>9</v>
      </c>
      <c r="B2865" s="0" t="n">
        <v>15</v>
      </c>
      <c r="C2865" s="0" t="n">
        <v>4</v>
      </c>
      <c r="D2865" s="0" t="n">
        <f aca="false">-1+A2865*0.125</f>
        <v>0.125</v>
      </c>
      <c r="E2865" s="0" t="n">
        <f aca="false">-1+B2865*0.125</f>
        <v>0.875</v>
      </c>
      <c r="F2865" s="0" t="n">
        <f aca="false">-1+C2865*0.125</f>
        <v>-0.5</v>
      </c>
      <c r="G2865" s="0" t="n">
        <f aca="false">1</f>
        <v>1</v>
      </c>
      <c r="H2865" s="0" t="n">
        <f aca="false">D2865</f>
        <v>0.125</v>
      </c>
      <c r="I2865" s="0" t="n">
        <f aca="false">E2865</f>
        <v>0.875</v>
      </c>
      <c r="J2865" s="0" t="n">
        <f aca="false">F2865</f>
        <v>-0.5</v>
      </c>
      <c r="K2865" s="0" t="n">
        <f aca="false">D2865*E2865</f>
        <v>0.109375</v>
      </c>
      <c r="L2865" s="0" t="n">
        <f aca="false">D2865*F2865</f>
        <v>-0.0625</v>
      </c>
      <c r="M2865" s="0" t="n">
        <f aca="false">E2865*F2865</f>
        <v>-0.4375</v>
      </c>
      <c r="N2865" s="0" t="n">
        <f aca="false">D2865*D2865</f>
        <v>0.015625</v>
      </c>
      <c r="O2865" s="0" t="n">
        <f aca="false">E2865*E2865</f>
        <v>0.765625</v>
      </c>
      <c r="P2865" s="0" t="n">
        <f aca="false">F2865*F2865</f>
        <v>0.25</v>
      </c>
      <c r="Q2865" s="0" t="n">
        <f aca="false">SUMPRODUCT(G2865:P2865,_XtX!$B$71:$K$71)</f>
        <v>47.8909872159091</v>
      </c>
      <c r="R2865" s="0" t="n">
        <f aca="false">SUMPRODUCT(MMULT(G2865:P2865,_XtX!$B$58:$K$67),G2865:P2865)</f>
        <v>0.332909601384943</v>
      </c>
      <c r="S2865" s="0" t="n">
        <f aca="false">04_回帰ANOVA!$K$19*04_回帰ANOVA!$K$14*SQRT(1+R2865)</f>
        <v>1.07341333007404</v>
      </c>
      <c r="T2865" s="0" t="n">
        <f aca="false">Q2865-S2865</f>
        <v>46.8175738858351</v>
      </c>
      <c r="U2865" s="0" t="n">
        <f aca="false">Q2865+S2865</f>
        <v>48.9644005459831</v>
      </c>
      <c r="V2865" s="54" t="b">
        <f aca="false">AND(D2865&gt;=01_因子設定!$L$5-0.000000001,D2865&lt;=01_因子設定!$M$5+0.000000001,E2865&gt;=01_因子設定!$L$6-0.000000001,E2865&lt;=01_因子設定!$M$6+0.000000001,F2865&gt;=01_因子設定!$L$7-0.000000001,F2865&lt;=01_因子設定!$M$7+0.000000001,IF(01_因子設定!$B$20="Box-Behnken",D2865^2+E2865^2+F2865^2&lt;=2+0.000000001,TRUE()))</f>
        <v>1</v>
      </c>
      <c r="W2865" s="55" t="n">
        <f aca="false">IF(V2865,IF(01_因子設定!$B$13="最大化",T2865-01_因子設定!$B$14,IF(01_因子設定!$B$13="最小化",01_因子設定!$B$15-U2865,MIN(T2865-01_因子設定!$B$14,01_因子設定!$B$15-U2865))),-1E+030)</f>
        <v>-1.68242611416493</v>
      </c>
      <c r="X2865" s="55" t="n">
        <f aca="false">IF(V2865,IF(01_因子設定!$B$13="最大化",Q2865,IF(01_因子設定!$B$13="最小化",-Q2865,-ABS(Q2865-01_因子設定!$B$16))),-1E+030)</f>
        <v>47.8909872159091</v>
      </c>
      <c r="Y2865" s="55" t="n">
        <f aca="false">W2865+ROW()*0.000000001</f>
        <v>-1.68242324916493</v>
      </c>
      <c r="Z2865" s="55" t="n">
        <f aca="false">X2865+ROW()*0.000000001</f>
        <v>47.8909900809091</v>
      </c>
    </row>
    <row r="2866" customFormat="false" ht="15" hidden="false" customHeight="false" outlineLevel="0" collapsed="false">
      <c r="A2866" s="0" t="n">
        <v>9</v>
      </c>
      <c r="B2866" s="0" t="n">
        <v>15</v>
      </c>
      <c r="C2866" s="0" t="n">
        <v>5</v>
      </c>
      <c r="D2866" s="0" t="n">
        <f aca="false">-1+A2866*0.125</f>
        <v>0.125</v>
      </c>
      <c r="E2866" s="0" t="n">
        <f aca="false">-1+B2866*0.125</f>
        <v>0.875</v>
      </c>
      <c r="F2866" s="0" t="n">
        <f aca="false">-1+C2866*0.125</f>
        <v>-0.375</v>
      </c>
      <c r="G2866" s="0" t="n">
        <f aca="false">1</f>
        <v>1</v>
      </c>
      <c r="H2866" s="0" t="n">
        <f aca="false">D2866</f>
        <v>0.125</v>
      </c>
      <c r="I2866" s="0" t="n">
        <f aca="false">E2866</f>
        <v>0.875</v>
      </c>
      <c r="J2866" s="0" t="n">
        <f aca="false">F2866</f>
        <v>-0.375</v>
      </c>
      <c r="K2866" s="0" t="n">
        <f aca="false">D2866*E2866</f>
        <v>0.109375</v>
      </c>
      <c r="L2866" s="0" t="n">
        <f aca="false">D2866*F2866</f>
        <v>-0.046875</v>
      </c>
      <c r="M2866" s="0" t="n">
        <f aca="false">E2866*F2866</f>
        <v>-0.328125</v>
      </c>
      <c r="N2866" s="0" t="n">
        <f aca="false">D2866*D2866</f>
        <v>0.015625</v>
      </c>
      <c r="O2866" s="0" t="n">
        <f aca="false">E2866*E2866</f>
        <v>0.765625</v>
      </c>
      <c r="P2866" s="0" t="n">
        <f aca="false">F2866*F2866</f>
        <v>0.140625</v>
      </c>
      <c r="Q2866" s="0" t="n">
        <f aca="false">SUMPRODUCT(G2866:P2866,_XtX!$B$71:$K$71)</f>
        <v>48.2391264204546</v>
      </c>
      <c r="R2866" s="0" t="n">
        <f aca="false">SUMPRODUCT(MMULT(G2866:P2866,_XtX!$B$58:$K$67),G2866:P2866)</f>
        <v>0.32900224165483</v>
      </c>
      <c r="S2866" s="0" t="n">
        <f aca="false">04_回帰ANOVA!$K$19*04_回帰ANOVA!$K$14*SQRT(1+R2866)</f>
        <v>1.07183884583628</v>
      </c>
      <c r="T2866" s="0" t="n">
        <f aca="false">Q2866-S2866</f>
        <v>47.1672875746183</v>
      </c>
      <c r="U2866" s="0" t="n">
        <f aca="false">Q2866+S2866</f>
        <v>49.3109652662908</v>
      </c>
      <c r="V2866" s="54" t="b">
        <f aca="false">AND(D2866&gt;=01_因子設定!$L$5-0.000000001,D2866&lt;=01_因子設定!$M$5+0.000000001,E2866&gt;=01_因子設定!$L$6-0.000000001,E2866&lt;=01_因子設定!$M$6+0.000000001,F2866&gt;=01_因子設定!$L$7-0.000000001,F2866&lt;=01_因子設定!$M$7+0.000000001,IF(01_因子設定!$B$20="Box-Behnken",D2866^2+E2866^2+F2866^2&lt;=2+0.000000001,TRUE()))</f>
        <v>1</v>
      </c>
      <c r="W2866" s="55" t="n">
        <f aca="false">IF(V2866,IF(01_因子設定!$B$13="最大化",T2866-01_因子設定!$B$14,IF(01_因子設定!$B$13="最小化",01_因子設定!$B$15-U2866,MIN(T2866-01_因子設定!$B$14,01_因子設定!$B$15-U2866))),-1E+030)</f>
        <v>-1.33271242538171</v>
      </c>
      <c r="X2866" s="55" t="n">
        <f aca="false">IF(V2866,IF(01_因子設定!$B$13="最大化",Q2866,IF(01_因子設定!$B$13="最小化",-Q2866,-ABS(Q2866-01_因子設定!$B$16))),-1E+030)</f>
        <v>48.2391264204546</v>
      </c>
      <c r="Y2866" s="55" t="n">
        <f aca="false">W2866+ROW()*0.000000001</f>
        <v>-1.33270955938171</v>
      </c>
      <c r="Z2866" s="55" t="n">
        <f aca="false">X2866+ROW()*0.000000001</f>
        <v>48.2391292864546</v>
      </c>
    </row>
    <row r="2867" customFormat="false" ht="15" hidden="false" customHeight="false" outlineLevel="0" collapsed="false">
      <c r="A2867" s="0" t="n">
        <v>9</v>
      </c>
      <c r="B2867" s="0" t="n">
        <v>15</v>
      </c>
      <c r="C2867" s="0" t="n">
        <v>6</v>
      </c>
      <c r="D2867" s="0" t="n">
        <f aca="false">-1+A2867*0.125</f>
        <v>0.125</v>
      </c>
      <c r="E2867" s="0" t="n">
        <f aca="false">-1+B2867*0.125</f>
        <v>0.875</v>
      </c>
      <c r="F2867" s="0" t="n">
        <f aca="false">-1+C2867*0.125</f>
        <v>-0.25</v>
      </c>
      <c r="G2867" s="0" t="n">
        <f aca="false">1</f>
        <v>1</v>
      </c>
      <c r="H2867" s="0" t="n">
        <f aca="false">D2867</f>
        <v>0.125</v>
      </c>
      <c r="I2867" s="0" t="n">
        <f aca="false">E2867</f>
        <v>0.875</v>
      </c>
      <c r="J2867" s="0" t="n">
        <f aca="false">F2867</f>
        <v>-0.25</v>
      </c>
      <c r="K2867" s="0" t="n">
        <f aca="false">D2867*E2867</f>
        <v>0.109375</v>
      </c>
      <c r="L2867" s="0" t="n">
        <f aca="false">D2867*F2867</f>
        <v>-0.03125</v>
      </c>
      <c r="M2867" s="0" t="n">
        <f aca="false">E2867*F2867</f>
        <v>-0.21875</v>
      </c>
      <c r="N2867" s="0" t="n">
        <f aca="false">D2867*D2867</f>
        <v>0.015625</v>
      </c>
      <c r="O2867" s="0" t="n">
        <f aca="false">E2867*E2867</f>
        <v>0.765625</v>
      </c>
      <c r="P2867" s="0" t="n">
        <f aca="false">F2867*F2867</f>
        <v>0.0625</v>
      </c>
      <c r="Q2867" s="0" t="n">
        <f aca="false">SUMPRODUCT(G2867:P2867,_XtX!$B$71:$K$71)</f>
        <v>48.5504758522727</v>
      </c>
      <c r="R2867" s="0" t="n">
        <f aca="false">SUMPRODUCT(MMULT(G2867:P2867,_XtX!$B$58:$K$67),G2867:P2867)</f>
        <v>0.331537974964489</v>
      </c>
      <c r="S2867" s="0" t="n">
        <f aca="false">04_回帰ANOVA!$K$19*04_回帰ANOVA!$K$14*SQRT(1+R2867)</f>
        <v>1.07286089161565</v>
      </c>
      <c r="T2867" s="0" t="n">
        <f aca="false">Q2867-S2867</f>
        <v>47.4776149606571</v>
      </c>
      <c r="U2867" s="0" t="n">
        <f aca="false">Q2867+S2867</f>
        <v>49.6233367438884</v>
      </c>
      <c r="V2867" s="54" t="b">
        <f aca="false">AND(D2867&gt;=01_因子設定!$L$5-0.000000001,D2867&lt;=01_因子設定!$M$5+0.000000001,E2867&gt;=01_因子設定!$L$6-0.000000001,E2867&lt;=01_因子設定!$M$6+0.000000001,F2867&gt;=01_因子設定!$L$7-0.000000001,F2867&lt;=01_因子設定!$M$7+0.000000001,IF(01_因子設定!$B$20="Box-Behnken",D2867^2+E2867^2+F2867^2&lt;=2+0.000000001,TRUE()))</f>
        <v>1</v>
      </c>
      <c r="W2867" s="55" t="n">
        <f aca="false">IF(V2867,IF(01_因子設定!$B$13="最大化",T2867-01_因子設定!$B$14,IF(01_因子設定!$B$13="最小化",01_因子設定!$B$15-U2867,MIN(T2867-01_因子設定!$B$14,01_因子設定!$B$15-U2867))),-1E+030)</f>
        <v>-1.02238503934291</v>
      </c>
      <c r="X2867" s="55" t="n">
        <f aca="false">IF(V2867,IF(01_因子設定!$B$13="最大化",Q2867,IF(01_因子設定!$B$13="最小化",-Q2867,-ABS(Q2867-01_因子設定!$B$16))),-1E+030)</f>
        <v>48.5504758522727</v>
      </c>
      <c r="Y2867" s="55" t="n">
        <f aca="false">W2867+ROW()*0.000000001</f>
        <v>-1.02238217234291</v>
      </c>
      <c r="Z2867" s="55" t="n">
        <f aca="false">X2867+ROW()*0.000000001</f>
        <v>48.5504787192727</v>
      </c>
    </row>
    <row r="2868" customFormat="false" ht="15" hidden="false" customHeight="false" outlineLevel="0" collapsed="false">
      <c r="A2868" s="0" t="n">
        <v>9</v>
      </c>
      <c r="B2868" s="0" t="n">
        <v>15</v>
      </c>
      <c r="C2868" s="0" t="n">
        <v>7</v>
      </c>
      <c r="D2868" s="0" t="n">
        <f aca="false">-1+A2868*0.125</f>
        <v>0.125</v>
      </c>
      <c r="E2868" s="0" t="n">
        <f aca="false">-1+B2868*0.125</f>
        <v>0.875</v>
      </c>
      <c r="F2868" s="0" t="n">
        <f aca="false">-1+C2868*0.125</f>
        <v>-0.125</v>
      </c>
      <c r="G2868" s="0" t="n">
        <f aca="false">1</f>
        <v>1</v>
      </c>
      <c r="H2868" s="0" t="n">
        <f aca="false">D2868</f>
        <v>0.125</v>
      </c>
      <c r="I2868" s="0" t="n">
        <f aca="false">E2868</f>
        <v>0.875</v>
      </c>
      <c r="J2868" s="0" t="n">
        <f aca="false">F2868</f>
        <v>-0.125</v>
      </c>
      <c r="K2868" s="0" t="n">
        <f aca="false">D2868*E2868</f>
        <v>0.109375</v>
      </c>
      <c r="L2868" s="0" t="n">
        <f aca="false">D2868*F2868</f>
        <v>-0.015625</v>
      </c>
      <c r="M2868" s="0" t="n">
        <f aca="false">E2868*F2868</f>
        <v>-0.109375</v>
      </c>
      <c r="N2868" s="0" t="n">
        <f aca="false">D2868*D2868</f>
        <v>0.015625</v>
      </c>
      <c r="O2868" s="0" t="n">
        <f aca="false">E2868*E2868</f>
        <v>0.765625</v>
      </c>
      <c r="P2868" s="0" t="n">
        <f aca="false">F2868*F2868</f>
        <v>0.015625</v>
      </c>
      <c r="Q2868" s="0" t="n">
        <f aca="false">SUMPRODUCT(G2868:P2868,_XtX!$B$71:$K$71)</f>
        <v>48.8250355113636</v>
      </c>
      <c r="R2868" s="0" t="n">
        <f aca="false">SUMPRODUCT(MMULT(G2868:P2868,_XtX!$B$58:$K$67),G2868:P2868)</f>
        <v>0.335190096768466</v>
      </c>
      <c r="S2868" s="0" t="n">
        <f aca="false">04_回帰ANOVA!$K$19*04_回帰ANOVA!$K$14*SQRT(1+R2868)</f>
        <v>1.07433119726947</v>
      </c>
      <c r="T2868" s="0" t="n">
        <f aca="false">Q2868-S2868</f>
        <v>47.7507043140942</v>
      </c>
      <c r="U2868" s="0" t="n">
        <f aca="false">Q2868+S2868</f>
        <v>49.8993667086331</v>
      </c>
      <c r="V2868" s="54" t="b">
        <f aca="false">AND(D2868&gt;=01_因子設定!$L$5-0.000000001,D2868&lt;=01_因子設定!$M$5+0.000000001,E2868&gt;=01_因子設定!$L$6-0.000000001,E2868&lt;=01_因子設定!$M$6+0.000000001,F2868&gt;=01_因子設定!$L$7-0.000000001,F2868&lt;=01_因子設定!$M$7+0.000000001,IF(01_因子設定!$B$20="Box-Behnken",D2868^2+E2868^2+F2868^2&lt;=2+0.000000001,TRUE()))</f>
        <v>1</v>
      </c>
      <c r="W2868" s="55" t="n">
        <f aca="false">IF(V2868,IF(01_因子設定!$B$13="最大化",T2868-01_因子設定!$B$14,IF(01_因子設定!$B$13="最小化",01_因子設定!$B$15-U2868,MIN(T2868-01_因子設定!$B$14,01_因子設定!$B$15-U2868))),-1E+030)</f>
        <v>-0.749295685905821</v>
      </c>
      <c r="X2868" s="55" t="n">
        <f aca="false">IF(V2868,IF(01_因子設定!$B$13="最大化",Q2868,IF(01_因子設定!$B$13="最小化",-Q2868,-ABS(Q2868-01_因子設定!$B$16))),-1E+030)</f>
        <v>48.8250355113636</v>
      </c>
      <c r="Y2868" s="55" t="n">
        <f aca="false">W2868+ROW()*0.000000001</f>
        <v>-0.749292817905821</v>
      </c>
      <c r="Z2868" s="55" t="n">
        <f aca="false">X2868+ROW()*0.000000001</f>
        <v>48.8250383793637</v>
      </c>
    </row>
    <row r="2869" customFormat="false" ht="15" hidden="false" customHeight="false" outlineLevel="0" collapsed="false">
      <c r="A2869" s="0" t="n">
        <v>9</v>
      </c>
      <c r="B2869" s="0" t="n">
        <v>15</v>
      </c>
      <c r="C2869" s="0" t="n">
        <v>8</v>
      </c>
      <c r="D2869" s="0" t="n">
        <f aca="false">-1+A2869*0.125</f>
        <v>0.125</v>
      </c>
      <c r="E2869" s="0" t="n">
        <f aca="false">-1+B2869*0.125</f>
        <v>0.875</v>
      </c>
      <c r="F2869" s="0" t="n">
        <f aca="false">-1+C2869*0.125</f>
        <v>0</v>
      </c>
      <c r="G2869" s="0" t="n">
        <f aca="false">1</f>
        <v>1</v>
      </c>
      <c r="H2869" s="0" t="n">
        <f aca="false">D2869</f>
        <v>0.125</v>
      </c>
      <c r="I2869" s="0" t="n">
        <f aca="false">E2869</f>
        <v>0.875</v>
      </c>
      <c r="J2869" s="0" t="n">
        <f aca="false">F2869</f>
        <v>0</v>
      </c>
      <c r="K2869" s="0" t="n">
        <f aca="false">D2869*E2869</f>
        <v>0.109375</v>
      </c>
      <c r="L2869" s="0" t="n">
        <f aca="false">D2869*F2869</f>
        <v>0</v>
      </c>
      <c r="M2869" s="0" t="n">
        <f aca="false">E2869*F2869</f>
        <v>0</v>
      </c>
      <c r="N2869" s="0" t="n">
        <f aca="false">D2869*D2869</f>
        <v>0.015625</v>
      </c>
      <c r="O2869" s="0" t="n">
        <f aca="false">E2869*E2869</f>
        <v>0.765625</v>
      </c>
      <c r="P2869" s="0" t="n">
        <f aca="false">F2869*F2869</f>
        <v>0</v>
      </c>
      <c r="Q2869" s="0" t="n">
        <f aca="false">SUMPRODUCT(G2869:P2869,_XtX!$B$71:$K$71)</f>
        <v>49.0628053977273</v>
      </c>
      <c r="R2869" s="0" t="n">
        <f aca="false">SUMPRODUCT(MMULT(G2869:P2869,_XtX!$B$58:$K$67),G2869:P2869)</f>
        <v>0.336762584339489</v>
      </c>
      <c r="S2869" s="0" t="n">
        <f aca="false">04_回帰ANOVA!$K$19*04_回帰ANOVA!$K$14*SQRT(1+R2869)</f>
        <v>1.07496364479411</v>
      </c>
      <c r="T2869" s="0" t="n">
        <f aca="false">Q2869-S2869</f>
        <v>47.9878417529332</v>
      </c>
      <c r="U2869" s="0" t="n">
        <f aca="false">Q2869+S2869</f>
        <v>50.1377690425214</v>
      </c>
      <c r="V2869" s="54" t="b">
        <f aca="false">AND(D2869&gt;=01_因子設定!$L$5-0.000000001,D2869&lt;=01_因子設定!$M$5+0.000000001,E2869&gt;=01_因子設定!$L$6-0.000000001,E2869&lt;=01_因子設定!$M$6+0.000000001,F2869&gt;=01_因子設定!$L$7-0.000000001,F2869&lt;=01_因子設定!$M$7+0.000000001,IF(01_因子設定!$B$20="Box-Behnken",D2869^2+E2869^2+F2869^2&lt;=2+0.000000001,TRUE()))</f>
        <v>1</v>
      </c>
      <c r="W2869" s="55" t="n">
        <f aca="false">IF(V2869,IF(01_因子設定!$B$13="最大化",T2869-01_因子設定!$B$14,IF(01_因子設定!$B$13="最小化",01_因子設定!$B$15-U2869,MIN(T2869-01_因子設定!$B$14,01_因子設定!$B$15-U2869))),-1E+030)</f>
        <v>-0.512158247066829</v>
      </c>
      <c r="X2869" s="55" t="n">
        <f aca="false">IF(V2869,IF(01_因子設定!$B$13="最大化",Q2869,IF(01_因子設定!$B$13="最小化",-Q2869,-ABS(Q2869-01_因子設定!$B$16))),-1E+030)</f>
        <v>49.0628053977273</v>
      </c>
      <c r="Y2869" s="55" t="n">
        <f aca="false">W2869+ROW()*0.000000001</f>
        <v>-0.512155378066829</v>
      </c>
      <c r="Z2869" s="55" t="n">
        <f aca="false">X2869+ROW()*0.000000001</f>
        <v>49.0628082667273</v>
      </c>
    </row>
    <row r="2870" customFormat="false" ht="15" hidden="false" customHeight="false" outlineLevel="0" collapsed="false">
      <c r="A2870" s="0" t="n">
        <v>9</v>
      </c>
      <c r="B2870" s="0" t="n">
        <v>15</v>
      </c>
      <c r="C2870" s="0" t="n">
        <v>9</v>
      </c>
      <c r="D2870" s="0" t="n">
        <f aca="false">-1+A2870*0.125</f>
        <v>0.125</v>
      </c>
      <c r="E2870" s="0" t="n">
        <f aca="false">-1+B2870*0.125</f>
        <v>0.875</v>
      </c>
      <c r="F2870" s="0" t="n">
        <f aca="false">-1+C2870*0.125</f>
        <v>0.125</v>
      </c>
      <c r="G2870" s="0" t="n">
        <f aca="false">1</f>
        <v>1</v>
      </c>
      <c r="H2870" s="0" t="n">
        <f aca="false">D2870</f>
        <v>0.125</v>
      </c>
      <c r="I2870" s="0" t="n">
        <f aca="false">E2870</f>
        <v>0.875</v>
      </c>
      <c r="J2870" s="0" t="n">
        <f aca="false">F2870</f>
        <v>0.125</v>
      </c>
      <c r="K2870" s="0" t="n">
        <f aca="false">D2870*E2870</f>
        <v>0.109375</v>
      </c>
      <c r="L2870" s="0" t="n">
        <f aca="false">D2870*F2870</f>
        <v>0.015625</v>
      </c>
      <c r="M2870" s="0" t="n">
        <f aca="false">E2870*F2870</f>
        <v>0.109375</v>
      </c>
      <c r="N2870" s="0" t="n">
        <f aca="false">D2870*D2870</f>
        <v>0.015625</v>
      </c>
      <c r="O2870" s="0" t="n">
        <f aca="false">E2870*E2870</f>
        <v>0.765625</v>
      </c>
      <c r="P2870" s="0" t="n">
        <f aca="false">F2870*F2870</f>
        <v>0.015625</v>
      </c>
      <c r="Q2870" s="0" t="n">
        <f aca="false">SUMPRODUCT(G2870:P2870,_XtX!$B$71:$K$71)</f>
        <v>49.2637855113637</v>
      </c>
      <c r="R2870" s="0" t="n">
        <f aca="false">SUMPRODUCT(MMULT(G2870:P2870,_XtX!$B$58:$K$67),G2870:P2870)</f>
        <v>0.335190096768466</v>
      </c>
      <c r="S2870" s="0" t="n">
        <f aca="false">04_回帰ANOVA!$K$19*04_回帰ANOVA!$K$14*SQRT(1+R2870)</f>
        <v>1.07433119726947</v>
      </c>
      <c r="T2870" s="0" t="n">
        <f aca="false">Q2870-S2870</f>
        <v>48.1894543140942</v>
      </c>
      <c r="U2870" s="0" t="n">
        <f aca="false">Q2870+S2870</f>
        <v>50.3381167086331</v>
      </c>
      <c r="V2870" s="54" t="b">
        <f aca="false">AND(D2870&gt;=01_因子設定!$L$5-0.000000001,D2870&lt;=01_因子設定!$M$5+0.000000001,E2870&gt;=01_因子設定!$L$6-0.000000001,E2870&lt;=01_因子設定!$M$6+0.000000001,F2870&gt;=01_因子設定!$L$7-0.000000001,F2870&lt;=01_因子設定!$M$7+0.000000001,IF(01_因子設定!$B$20="Box-Behnken",D2870^2+E2870^2+F2870^2&lt;=2+0.000000001,TRUE()))</f>
        <v>1</v>
      </c>
      <c r="W2870" s="55" t="n">
        <f aca="false">IF(V2870,IF(01_因子設定!$B$13="最大化",T2870-01_因子設定!$B$14,IF(01_因子設定!$B$13="最小化",01_因子設定!$B$15-U2870,MIN(T2870-01_因子設定!$B$14,01_因子設定!$B$15-U2870))),-1E+030)</f>
        <v>-0.310545685905815</v>
      </c>
      <c r="X2870" s="55" t="n">
        <f aca="false">IF(V2870,IF(01_因子設定!$B$13="最大化",Q2870,IF(01_因子設定!$B$13="最小化",-Q2870,-ABS(Q2870-01_因子設定!$B$16))),-1E+030)</f>
        <v>49.2637855113637</v>
      </c>
      <c r="Y2870" s="55" t="n">
        <f aca="false">W2870+ROW()*0.000000001</f>
        <v>-0.310542815905815</v>
      </c>
      <c r="Z2870" s="55" t="n">
        <f aca="false">X2870+ROW()*0.000000001</f>
        <v>49.2637883813637</v>
      </c>
    </row>
    <row r="2871" customFormat="false" ht="15" hidden="false" customHeight="false" outlineLevel="0" collapsed="false">
      <c r="A2871" s="0" t="n">
        <v>9</v>
      </c>
      <c r="B2871" s="0" t="n">
        <v>15</v>
      </c>
      <c r="C2871" s="0" t="n">
        <v>10</v>
      </c>
      <c r="D2871" s="0" t="n">
        <f aca="false">-1+A2871*0.125</f>
        <v>0.125</v>
      </c>
      <c r="E2871" s="0" t="n">
        <f aca="false">-1+B2871*0.125</f>
        <v>0.875</v>
      </c>
      <c r="F2871" s="0" t="n">
        <f aca="false">-1+C2871*0.125</f>
        <v>0.25</v>
      </c>
      <c r="G2871" s="0" t="n">
        <f aca="false">1</f>
        <v>1</v>
      </c>
      <c r="H2871" s="0" t="n">
        <f aca="false">D2871</f>
        <v>0.125</v>
      </c>
      <c r="I2871" s="0" t="n">
        <f aca="false">E2871</f>
        <v>0.875</v>
      </c>
      <c r="J2871" s="0" t="n">
        <f aca="false">F2871</f>
        <v>0.25</v>
      </c>
      <c r="K2871" s="0" t="n">
        <f aca="false">D2871*E2871</f>
        <v>0.109375</v>
      </c>
      <c r="L2871" s="0" t="n">
        <f aca="false">D2871*F2871</f>
        <v>0.03125</v>
      </c>
      <c r="M2871" s="0" t="n">
        <f aca="false">E2871*F2871</f>
        <v>0.21875</v>
      </c>
      <c r="N2871" s="0" t="n">
        <f aca="false">D2871*D2871</f>
        <v>0.015625</v>
      </c>
      <c r="O2871" s="0" t="n">
        <f aca="false">E2871*E2871</f>
        <v>0.765625</v>
      </c>
      <c r="P2871" s="0" t="n">
        <f aca="false">F2871*F2871</f>
        <v>0.0625</v>
      </c>
      <c r="Q2871" s="0" t="n">
        <f aca="false">SUMPRODUCT(G2871:P2871,_XtX!$B$71:$K$71)</f>
        <v>49.4279758522727</v>
      </c>
      <c r="R2871" s="0" t="n">
        <f aca="false">SUMPRODUCT(MMULT(G2871:P2871,_XtX!$B$58:$K$67),G2871:P2871)</f>
        <v>0.331537974964489</v>
      </c>
      <c r="S2871" s="0" t="n">
        <f aca="false">04_回帰ANOVA!$K$19*04_回帰ANOVA!$K$14*SQRT(1+R2871)</f>
        <v>1.07286089161565</v>
      </c>
      <c r="T2871" s="0" t="n">
        <f aca="false">Q2871-S2871</f>
        <v>48.3551149606571</v>
      </c>
      <c r="U2871" s="0" t="n">
        <f aca="false">Q2871+S2871</f>
        <v>50.5008367438884</v>
      </c>
      <c r="V2871" s="54" t="b">
        <f aca="false">AND(D2871&gt;=01_因子設定!$L$5-0.000000001,D2871&lt;=01_因子設定!$M$5+0.000000001,E2871&gt;=01_因子設定!$L$6-0.000000001,E2871&lt;=01_因子設定!$M$6+0.000000001,F2871&gt;=01_因子設定!$L$7-0.000000001,F2871&lt;=01_因子設定!$M$7+0.000000001,IF(01_因子設定!$B$20="Box-Behnken",D2871^2+E2871^2+F2871^2&lt;=2+0.000000001,TRUE()))</f>
        <v>1</v>
      </c>
      <c r="W2871" s="55" t="n">
        <f aca="false">IF(V2871,IF(01_因子設定!$B$13="最大化",T2871-01_因子設定!$B$14,IF(01_因子設定!$B$13="最小化",01_因子設定!$B$15-U2871,MIN(T2871-01_因子設定!$B$14,01_因子設定!$B$15-U2871))),-1E+030)</f>
        <v>-0.144885039342917</v>
      </c>
      <c r="X2871" s="55" t="n">
        <f aca="false">IF(V2871,IF(01_因子設定!$B$13="最大化",Q2871,IF(01_因子設定!$B$13="最小化",-Q2871,-ABS(Q2871-01_因子設定!$B$16))),-1E+030)</f>
        <v>49.4279758522727</v>
      </c>
      <c r="Y2871" s="55" t="n">
        <f aca="false">W2871+ROW()*0.000000001</f>
        <v>-0.144882168342917</v>
      </c>
      <c r="Z2871" s="55" t="n">
        <f aca="false">X2871+ROW()*0.000000001</f>
        <v>49.4279787232727</v>
      </c>
    </row>
    <row r="2872" customFormat="false" ht="15" hidden="false" customHeight="false" outlineLevel="0" collapsed="false">
      <c r="A2872" s="0" t="n">
        <v>9</v>
      </c>
      <c r="B2872" s="0" t="n">
        <v>15</v>
      </c>
      <c r="C2872" s="0" t="n">
        <v>11</v>
      </c>
      <c r="D2872" s="0" t="n">
        <f aca="false">-1+A2872*0.125</f>
        <v>0.125</v>
      </c>
      <c r="E2872" s="0" t="n">
        <f aca="false">-1+B2872*0.125</f>
        <v>0.875</v>
      </c>
      <c r="F2872" s="0" t="n">
        <f aca="false">-1+C2872*0.125</f>
        <v>0.375</v>
      </c>
      <c r="G2872" s="0" t="n">
        <f aca="false">1</f>
        <v>1</v>
      </c>
      <c r="H2872" s="0" t="n">
        <f aca="false">D2872</f>
        <v>0.125</v>
      </c>
      <c r="I2872" s="0" t="n">
        <f aca="false">E2872</f>
        <v>0.875</v>
      </c>
      <c r="J2872" s="0" t="n">
        <f aca="false">F2872</f>
        <v>0.375</v>
      </c>
      <c r="K2872" s="0" t="n">
        <f aca="false">D2872*E2872</f>
        <v>0.109375</v>
      </c>
      <c r="L2872" s="0" t="n">
        <f aca="false">D2872*F2872</f>
        <v>0.046875</v>
      </c>
      <c r="M2872" s="0" t="n">
        <f aca="false">E2872*F2872</f>
        <v>0.328125</v>
      </c>
      <c r="N2872" s="0" t="n">
        <f aca="false">D2872*D2872</f>
        <v>0.015625</v>
      </c>
      <c r="O2872" s="0" t="n">
        <f aca="false">E2872*E2872</f>
        <v>0.765625</v>
      </c>
      <c r="P2872" s="0" t="n">
        <f aca="false">F2872*F2872</f>
        <v>0.140625</v>
      </c>
      <c r="Q2872" s="0" t="n">
        <f aca="false">SUMPRODUCT(G2872:P2872,_XtX!$B$71:$K$71)</f>
        <v>49.5553764204546</v>
      </c>
      <c r="R2872" s="0" t="n">
        <f aca="false">SUMPRODUCT(MMULT(G2872:P2872,_XtX!$B$58:$K$67),G2872:P2872)</f>
        <v>0.32900224165483</v>
      </c>
      <c r="S2872" s="0" t="n">
        <f aca="false">04_回帰ANOVA!$K$19*04_回帰ANOVA!$K$14*SQRT(1+R2872)</f>
        <v>1.07183884583628</v>
      </c>
      <c r="T2872" s="0" t="n">
        <f aca="false">Q2872-S2872</f>
        <v>48.4835375746183</v>
      </c>
      <c r="U2872" s="0" t="n">
        <f aca="false">Q2872+S2872</f>
        <v>50.6272152662908</v>
      </c>
      <c r="V2872" s="54" t="b">
        <f aca="false">AND(D2872&gt;=01_因子設定!$L$5-0.000000001,D2872&lt;=01_因子設定!$M$5+0.000000001,E2872&gt;=01_因子設定!$L$6-0.000000001,E2872&lt;=01_因子設定!$M$6+0.000000001,F2872&gt;=01_因子設定!$L$7-0.000000001,F2872&lt;=01_因子設定!$M$7+0.000000001,IF(01_因子設定!$B$20="Box-Behnken",D2872^2+E2872^2+F2872^2&lt;=2+0.000000001,TRUE()))</f>
        <v>1</v>
      </c>
      <c r="W2872" s="55" t="n">
        <f aca="false">IF(V2872,IF(01_因子設定!$B$13="最大化",T2872-01_因子設定!$B$14,IF(01_因子設定!$B$13="最小化",01_因子設定!$B$15-U2872,MIN(T2872-01_因子設定!$B$14,01_因子設定!$B$15-U2872))),-1E+030)</f>
        <v>-0.0164624253817181</v>
      </c>
      <c r="X2872" s="55" t="n">
        <f aca="false">IF(V2872,IF(01_因子設定!$B$13="最大化",Q2872,IF(01_因子設定!$B$13="最小化",-Q2872,-ABS(Q2872-01_因子設定!$B$16))),-1E+030)</f>
        <v>49.5553764204546</v>
      </c>
      <c r="Y2872" s="55" t="n">
        <f aca="false">W2872+ROW()*0.000000001</f>
        <v>-0.016459553381718</v>
      </c>
      <c r="Z2872" s="55" t="n">
        <f aca="false">X2872+ROW()*0.000000001</f>
        <v>49.5553792924546</v>
      </c>
    </row>
    <row r="2873" customFormat="false" ht="15" hidden="false" customHeight="false" outlineLevel="0" collapsed="false">
      <c r="A2873" s="0" t="n">
        <v>9</v>
      </c>
      <c r="B2873" s="0" t="n">
        <v>15</v>
      </c>
      <c r="C2873" s="0" t="n">
        <v>12</v>
      </c>
      <c r="D2873" s="0" t="n">
        <f aca="false">-1+A2873*0.125</f>
        <v>0.125</v>
      </c>
      <c r="E2873" s="0" t="n">
        <f aca="false">-1+B2873*0.125</f>
        <v>0.875</v>
      </c>
      <c r="F2873" s="0" t="n">
        <f aca="false">-1+C2873*0.125</f>
        <v>0.5</v>
      </c>
      <c r="G2873" s="0" t="n">
        <f aca="false">1</f>
        <v>1</v>
      </c>
      <c r="H2873" s="0" t="n">
        <f aca="false">D2873</f>
        <v>0.125</v>
      </c>
      <c r="I2873" s="0" t="n">
        <f aca="false">E2873</f>
        <v>0.875</v>
      </c>
      <c r="J2873" s="0" t="n">
        <f aca="false">F2873</f>
        <v>0.5</v>
      </c>
      <c r="K2873" s="0" t="n">
        <f aca="false">D2873*E2873</f>
        <v>0.109375</v>
      </c>
      <c r="L2873" s="0" t="n">
        <f aca="false">D2873*F2873</f>
        <v>0.0625</v>
      </c>
      <c r="M2873" s="0" t="n">
        <f aca="false">E2873*F2873</f>
        <v>0.4375</v>
      </c>
      <c r="N2873" s="0" t="n">
        <f aca="false">D2873*D2873</f>
        <v>0.015625</v>
      </c>
      <c r="O2873" s="0" t="n">
        <f aca="false">E2873*E2873</f>
        <v>0.765625</v>
      </c>
      <c r="P2873" s="0" t="n">
        <f aca="false">F2873*F2873</f>
        <v>0.25</v>
      </c>
      <c r="Q2873" s="0" t="n">
        <f aca="false">SUMPRODUCT(G2873:P2873,_XtX!$B$71:$K$71)</f>
        <v>49.6459872159091</v>
      </c>
      <c r="R2873" s="0" t="n">
        <f aca="false">SUMPRODUCT(MMULT(G2873:P2873,_XtX!$B$58:$K$67),G2873:P2873)</f>
        <v>0.332909601384943</v>
      </c>
      <c r="S2873" s="0" t="n">
        <f aca="false">04_回帰ANOVA!$K$19*04_回帰ANOVA!$K$14*SQRT(1+R2873)</f>
        <v>1.07341333007404</v>
      </c>
      <c r="T2873" s="0" t="n">
        <f aca="false">Q2873-S2873</f>
        <v>48.5725738858351</v>
      </c>
      <c r="U2873" s="0" t="n">
        <f aca="false">Q2873+S2873</f>
        <v>50.7194005459832</v>
      </c>
      <c r="V2873" s="54" t="b">
        <f aca="false">AND(D2873&gt;=01_因子設定!$L$5-0.000000001,D2873&lt;=01_因子設定!$M$5+0.000000001,E2873&gt;=01_因子設定!$L$6-0.000000001,E2873&lt;=01_因子設定!$M$6+0.000000001,F2873&gt;=01_因子設定!$L$7-0.000000001,F2873&lt;=01_因子設定!$M$7+0.000000001,IF(01_因子設定!$B$20="Box-Behnken",D2873^2+E2873^2+F2873^2&lt;=2+0.000000001,TRUE()))</f>
        <v>1</v>
      </c>
      <c r="W2873" s="55" t="n">
        <f aca="false">IF(V2873,IF(01_因子設定!$B$13="最大化",T2873-01_因子設定!$B$14,IF(01_因子設定!$B$13="最小化",01_因子設定!$B$15-U2873,MIN(T2873-01_因子設定!$B$14,01_因子設定!$B$15-U2873))),-1E+030)</f>
        <v>0.0725738858350695</v>
      </c>
      <c r="X2873" s="55" t="n">
        <f aca="false">IF(V2873,IF(01_因子設定!$B$13="最大化",Q2873,IF(01_因子設定!$B$13="最小化",-Q2873,-ABS(Q2873-01_因子設定!$B$16))),-1E+030)</f>
        <v>49.6459872159091</v>
      </c>
      <c r="Y2873" s="55" t="n">
        <f aca="false">W2873+ROW()*0.000000001</f>
        <v>0.0725767588350695</v>
      </c>
      <c r="Z2873" s="55" t="n">
        <f aca="false">X2873+ROW()*0.000000001</f>
        <v>49.6459900889091</v>
      </c>
    </row>
    <row r="2874" customFormat="false" ht="15" hidden="false" customHeight="false" outlineLevel="0" collapsed="false">
      <c r="A2874" s="0" t="n">
        <v>9</v>
      </c>
      <c r="B2874" s="0" t="n">
        <v>15</v>
      </c>
      <c r="C2874" s="0" t="n">
        <v>13</v>
      </c>
      <c r="D2874" s="0" t="n">
        <f aca="false">-1+A2874*0.125</f>
        <v>0.125</v>
      </c>
      <c r="E2874" s="0" t="n">
        <f aca="false">-1+B2874*0.125</f>
        <v>0.875</v>
      </c>
      <c r="F2874" s="0" t="n">
        <f aca="false">-1+C2874*0.125</f>
        <v>0.625</v>
      </c>
      <c r="G2874" s="0" t="n">
        <f aca="false">1</f>
        <v>1</v>
      </c>
      <c r="H2874" s="0" t="n">
        <f aca="false">D2874</f>
        <v>0.125</v>
      </c>
      <c r="I2874" s="0" t="n">
        <f aca="false">E2874</f>
        <v>0.875</v>
      </c>
      <c r="J2874" s="0" t="n">
        <f aca="false">F2874</f>
        <v>0.625</v>
      </c>
      <c r="K2874" s="0" t="n">
        <f aca="false">D2874*E2874</f>
        <v>0.109375</v>
      </c>
      <c r="L2874" s="0" t="n">
        <f aca="false">D2874*F2874</f>
        <v>0.078125</v>
      </c>
      <c r="M2874" s="0" t="n">
        <f aca="false">E2874*F2874</f>
        <v>0.546875</v>
      </c>
      <c r="N2874" s="0" t="n">
        <f aca="false">D2874*D2874</f>
        <v>0.015625</v>
      </c>
      <c r="O2874" s="0" t="n">
        <f aca="false">E2874*E2874</f>
        <v>0.765625</v>
      </c>
      <c r="P2874" s="0" t="n">
        <f aca="false">F2874*F2874</f>
        <v>0.390625</v>
      </c>
      <c r="Q2874" s="0" t="n">
        <f aca="false">SUMPRODUCT(G2874:P2874,_XtX!$B$71:$K$71)</f>
        <v>49.6998082386364</v>
      </c>
      <c r="R2874" s="0" t="n">
        <f aca="false">SUMPRODUCT(MMULT(G2874:P2874,_XtX!$B$58:$K$67),G2874:P2874)</f>
        <v>0.350717440518466</v>
      </c>
      <c r="S2874" s="0" t="n">
        <f aca="false">04_回帰ANOVA!$K$19*04_回帰ANOVA!$K$14*SQRT(1+R2874)</f>
        <v>1.08056000737898</v>
      </c>
      <c r="T2874" s="0" t="n">
        <f aca="false">Q2874-S2874</f>
        <v>48.6192482312574</v>
      </c>
      <c r="U2874" s="0" t="n">
        <f aca="false">Q2874+S2874</f>
        <v>50.7803682460154</v>
      </c>
      <c r="V2874" s="54" t="b">
        <f aca="false">AND(D2874&gt;=01_因子設定!$L$5-0.000000001,D2874&lt;=01_因子設定!$M$5+0.000000001,E2874&gt;=01_因子設定!$L$6-0.000000001,E2874&lt;=01_因子設定!$M$6+0.000000001,F2874&gt;=01_因子設定!$L$7-0.000000001,F2874&lt;=01_因子設定!$M$7+0.000000001,IF(01_因子設定!$B$20="Box-Behnken",D2874^2+E2874^2+F2874^2&lt;=2+0.000000001,TRUE()))</f>
        <v>1</v>
      </c>
      <c r="W2874" s="55" t="n">
        <f aca="false">IF(V2874,IF(01_因子設定!$B$13="最大化",T2874-01_因子設定!$B$14,IF(01_因子設定!$B$13="最小化",01_因子設定!$B$15-U2874,MIN(T2874-01_因子設定!$B$14,01_因子設定!$B$15-U2874))),-1E+030)</f>
        <v>0.119248231257401</v>
      </c>
      <c r="X2874" s="55" t="n">
        <f aca="false">IF(V2874,IF(01_因子設定!$B$13="最大化",Q2874,IF(01_因子設定!$B$13="最小化",-Q2874,-ABS(Q2874-01_因子設定!$B$16))),-1E+030)</f>
        <v>49.6998082386364</v>
      </c>
      <c r="Y2874" s="55" t="n">
        <f aca="false">W2874+ROW()*0.000000001</f>
        <v>0.119251105257401</v>
      </c>
      <c r="Z2874" s="55" t="n">
        <f aca="false">X2874+ROW()*0.000000001</f>
        <v>49.6998111126364</v>
      </c>
    </row>
    <row r="2875" customFormat="false" ht="15" hidden="false" customHeight="false" outlineLevel="0" collapsed="false">
      <c r="A2875" s="0" t="n">
        <v>9</v>
      </c>
      <c r="B2875" s="0" t="n">
        <v>15</v>
      </c>
      <c r="C2875" s="0" t="n">
        <v>14</v>
      </c>
      <c r="D2875" s="0" t="n">
        <f aca="false">-1+A2875*0.125</f>
        <v>0.125</v>
      </c>
      <c r="E2875" s="0" t="n">
        <f aca="false">-1+B2875*0.125</f>
        <v>0.875</v>
      </c>
      <c r="F2875" s="0" t="n">
        <f aca="false">-1+C2875*0.125</f>
        <v>0.75</v>
      </c>
      <c r="G2875" s="0" t="n">
        <f aca="false">1</f>
        <v>1</v>
      </c>
      <c r="H2875" s="0" t="n">
        <f aca="false">D2875</f>
        <v>0.125</v>
      </c>
      <c r="I2875" s="0" t="n">
        <f aca="false">E2875</f>
        <v>0.875</v>
      </c>
      <c r="J2875" s="0" t="n">
        <f aca="false">F2875</f>
        <v>0.75</v>
      </c>
      <c r="K2875" s="0" t="n">
        <f aca="false">D2875*E2875</f>
        <v>0.109375</v>
      </c>
      <c r="L2875" s="0" t="n">
        <f aca="false">D2875*F2875</f>
        <v>0.09375</v>
      </c>
      <c r="M2875" s="0" t="n">
        <f aca="false">E2875*F2875</f>
        <v>0.65625</v>
      </c>
      <c r="N2875" s="0" t="n">
        <f aca="false">D2875*D2875</f>
        <v>0.015625</v>
      </c>
      <c r="O2875" s="0" t="n">
        <f aca="false">E2875*E2875</f>
        <v>0.765625</v>
      </c>
      <c r="P2875" s="0" t="n">
        <f aca="false">F2875*F2875</f>
        <v>0.5625</v>
      </c>
      <c r="Q2875" s="0" t="n">
        <f aca="false">SUMPRODUCT(G2875:P2875,_XtX!$B$71:$K$71)</f>
        <v>49.7168394886364</v>
      </c>
      <c r="R2875" s="0" t="n">
        <f aca="false">SUMPRODUCT(MMULT(G2875:P2875,_XtX!$B$58:$K$67),G2875:P2875)</f>
        <v>0.392013827237216</v>
      </c>
      <c r="S2875" s="0" t="n">
        <f aca="false">04_回帰ANOVA!$K$19*04_回帰ANOVA!$K$14*SQRT(1+R2875)</f>
        <v>1.09695398627251</v>
      </c>
      <c r="T2875" s="0" t="n">
        <f aca="false">Q2875-S2875</f>
        <v>48.6198855023639</v>
      </c>
      <c r="U2875" s="0" t="n">
        <f aca="false">Q2875+S2875</f>
        <v>50.8137934749089</v>
      </c>
      <c r="V2875" s="54" t="b">
        <f aca="false">AND(D2875&gt;=01_因子設定!$L$5-0.000000001,D2875&lt;=01_因子設定!$M$5+0.000000001,E2875&gt;=01_因子設定!$L$6-0.000000001,E2875&lt;=01_因子設定!$M$6+0.000000001,F2875&gt;=01_因子設定!$L$7-0.000000001,F2875&lt;=01_因子設定!$M$7+0.000000001,IF(01_因子設定!$B$20="Box-Behnken",D2875^2+E2875^2+F2875^2&lt;=2+0.000000001,TRUE()))</f>
        <v>1</v>
      </c>
      <c r="W2875" s="55" t="n">
        <f aca="false">IF(V2875,IF(01_因子設定!$B$13="最大化",T2875-01_因子設定!$B$14,IF(01_因子設定!$B$13="最小化",01_因子設定!$B$15-U2875,MIN(T2875-01_因子設定!$B$14,01_因子設定!$B$15-U2875))),-1E+030)</f>
        <v>0.119885502363879</v>
      </c>
      <c r="X2875" s="55" t="n">
        <f aca="false">IF(V2875,IF(01_因子設定!$B$13="最大化",Q2875,IF(01_因子設定!$B$13="最小化",-Q2875,-ABS(Q2875-01_因子設定!$B$16))),-1E+030)</f>
        <v>49.7168394886364</v>
      </c>
      <c r="Y2875" s="55" t="n">
        <f aca="false">W2875+ROW()*0.000000001</f>
        <v>0.119888377363879</v>
      </c>
      <c r="Z2875" s="55" t="n">
        <f aca="false">X2875+ROW()*0.000000001</f>
        <v>49.7168423636364</v>
      </c>
    </row>
    <row r="2876" customFormat="false" ht="15" hidden="false" customHeight="false" outlineLevel="0" collapsed="false">
      <c r="A2876" s="0" t="n">
        <v>9</v>
      </c>
      <c r="B2876" s="0" t="n">
        <v>15</v>
      </c>
      <c r="C2876" s="0" t="n">
        <v>15</v>
      </c>
      <c r="D2876" s="0" t="n">
        <f aca="false">-1+A2876*0.125</f>
        <v>0.125</v>
      </c>
      <c r="E2876" s="0" t="n">
        <f aca="false">-1+B2876*0.125</f>
        <v>0.875</v>
      </c>
      <c r="F2876" s="0" t="n">
        <f aca="false">-1+C2876*0.125</f>
        <v>0.875</v>
      </c>
      <c r="G2876" s="0" t="n">
        <f aca="false">1</f>
        <v>1</v>
      </c>
      <c r="H2876" s="0" t="n">
        <f aca="false">D2876</f>
        <v>0.125</v>
      </c>
      <c r="I2876" s="0" t="n">
        <f aca="false">E2876</f>
        <v>0.875</v>
      </c>
      <c r="J2876" s="0" t="n">
        <f aca="false">F2876</f>
        <v>0.875</v>
      </c>
      <c r="K2876" s="0" t="n">
        <f aca="false">D2876*E2876</f>
        <v>0.109375</v>
      </c>
      <c r="L2876" s="0" t="n">
        <f aca="false">D2876*F2876</f>
        <v>0.109375</v>
      </c>
      <c r="M2876" s="0" t="n">
        <f aca="false">E2876*F2876</f>
        <v>0.765625</v>
      </c>
      <c r="N2876" s="0" t="n">
        <f aca="false">D2876*D2876</f>
        <v>0.015625</v>
      </c>
      <c r="O2876" s="0" t="n">
        <f aca="false">E2876*E2876</f>
        <v>0.765625</v>
      </c>
      <c r="P2876" s="0" t="n">
        <f aca="false">F2876*F2876</f>
        <v>0.765625</v>
      </c>
      <c r="Q2876" s="0" t="n">
        <f aca="false">SUMPRODUCT(G2876:P2876,_XtX!$B$71:$K$71)</f>
        <v>49.6970809659091</v>
      </c>
      <c r="R2876" s="0" t="n">
        <f aca="false">SUMPRODUCT(MMULT(G2876:P2876,_XtX!$B$58:$K$67),G2876:P2876)</f>
        <v>0.468517511541193</v>
      </c>
      <c r="S2876" s="0" t="n">
        <f aca="false">04_回帰ANOVA!$K$19*04_回帰ANOVA!$K$14*SQRT(1+R2876)</f>
        <v>1.12669456902645</v>
      </c>
      <c r="T2876" s="0" t="n">
        <f aca="false">Q2876-S2876</f>
        <v>48.5703863968827</v>
      </c>
      <c r="U2876" s="0" t="n">
        <f aca="false">Q2876+S2876</f>
        <v>50.8237755349356</v>
      </c>
      <c r="V2876" s="54" t="b">
        <f aca="false">AND(D2876&gt;=01_因子設定!$L$5-0.000000001,D2876&lt;=01_因子設定!$M$5+0.000000001,E2876&gt;=01_因子設定!$L$6-0.000000001,E2876&lt;=01_因子設定!$M$6+0.000000001,F2876&gt;=01_因子設定!$L$7-0.000000001,F2876&lt;=01_因子設定!$M$7+0.000000001,IF(01_因子設定!$B$20="Box-Behnken",D2876^2+E2876^2+F2876^2&lt;=2+0.000000001,TRUE()))</f>
        <v>1</v>
      </c>
      <c r="W2876" s="55" t="n">
        <f aca="false">IF(V2876,IF(01_因子設定!$B$13="最大化",T2876-01_因子設定!$B$14,IF(01_因子設定!$B$13="最小化",01_因子設定!$B$15-U2876,MIN(T2876-01_因子設定!$B$14,01_因子設定!$B$15-U2876))),-1E+030)</f>
        <v>0.0703863968826681</v>
      </c>
      <c r="X2876" s="55" t="n">
        <f aca="false">IF(V2876,IF(01_因子設定!$B$13="最大化",Q2876,IF(01_因子設定!$B$13="最小化",-Q2876,-ABS(Q2876-01_因子設定!$B$16))),-1E+030)</f>
        <v>49.6970809659091</v>
      </c>
      <c r="Y2876" s="55" t="n">
        <f aca="false">W2876+ROW()*0.000000001</f>
        <v>0.0703892728826681</v>
      </c>
      <c r="Z2876" s="55" t="n">
        <f aca="false">X2876+ROW()*0.000000001</f>
        <v>49.6970838419091</v>
      </c>
    </row>
    <row r="2877" customFormat="false" ht="15" hidden="false" customHeight="false" outlineLevel="0" collapsed="false">
      <c r="A2877" s="0" t="n">
        <v>9</v>
      </c>
      <c r="B2877" s="0" t="n">
        <v>15</v>
      </c>
      <c r="C2877" s="0" t="n">
        <v>16</v>
      </c>
      <c r="D2877" s="0" t="n">
        <f aca="false">-1+A2877*0.125</f>
        <v>0.125</v>
      </c>
      <c r="E2877" s="0" t="n">
        <f aca="false">-1+B2877*0.125</f>
        <v>0.875</v>
      </c>
      <c r="F2877" s="0" t="n">
        <f aca="false">-1+C2877*0.125</f>
        <v>1</v>
      </c>
      <c r="G2877" s="0" t="n">
        <f aca="false">1</f>
        <v>1</v>
      </c>
      <c r="H2877" s="0" t="n">
        <f aca="false">D2877</f>
        <v>0.125</v>
      </c>
      <c r="I2877" s="0" t="n">
        <f aca="false">E2877</f>
        <v>0.875</v>
      </c>
      <c r="J2877" s="0" t="n">
        <f aca="false">F2877</f>
        <v>1</v>
      </c>
      <c r="K2877" s="0" t="n">
        <f aca="false">D2877*E2877</f>
        <v>0.109375</v>
      </c>
      <c r="L2877" s="0" t="n">
        <f aca="false">D2877*F2877</f>
        <v>0.125</v>
      </c>
      <c r="M2877" s="0" t="n">
        <f aca="false">E2877*F2877</f>
        <v>0.875</v>
      </c>
      <c r="N2877" s="0" t="n">
        <f aca="false">D2877*D2877</f>
        <v>0.015625</v>
      </c>
      <c r="O2877" s="0" t="n">
        <f aca="false">E2877*E2877</f>
        <v>0.765625</v>
      </c>
      <c r="P2877" s="0" t="n">
        <f aca="false">F2877*F2877</f>
        <v>1</v>
      </c>
      <c r="Q2877" s="0" t="n">
        <f aca="false">SUMPRODUCT(G2877:P2877,_XtX!$B$71:$K$71)</f>
        <v>49.6405326704546</v>
      </c>
      <c r="R2877" s="0" t="n">
        <f aca="false">SUMPRODUCT(MMULT(G2877:P2877,_XtX!$B$58:$K$67),G2877:P2877)</f>
        <v>0.59407792524858</v>
      </c>
      <c r="S2877" s="0" t="n">
        <f aca="false">04_回帰ANOVA!$K$19*04_回帰ANOVA!$K$14*SQRT(1+R2877)</f>
        <v>1.17387380087722</v>
      </c>
      <c r="T2877" s="0" t="n">
        <f aca="false">Q2877-S2877</f>
        <v>48.4666588695774</v>
      </c>
      <c r="U2877" s="0" t="n">
        <f aca="false">Q2877+S2877</f>
        <v>50.8144064713318</v>
      </c>
      <c r="V2877" s="54" t="b">
        <f aca="false">AND(D2877&gt;=01_因子設定!$L$5-0.000000001,D2877&lt;=01_因子設定!$M$5+0.000000001,E2877&gt;=01_因子設定!$L$6-0.000000001,E2877&lt;=01_因子設定!$M$6+0.000000001,F2877&gt;=01_因子設定!$L$7-0.000000001,F2877&lt;=01_因子設定!$M$7+0.000000001,IF(01_因子設定!$B$20="Box-Behnken",D2877^2+E2877^2+F2877^2&lt;=2+0.000000001,TRUE()))</f>
        <v>1</v>
      </c>
      <c r="W2877" s="55" t="n">
        <f aca="false">IF(V2877,IF(01_因子設定!$B$13="最大化",T2877-01_因子設定!$B$14,IF(01_因子設定!$B$13="最小化",01_因子設定!$B$15-U2877,MIN(T2877-01_因子設定!$B$14,01_因子設定!$B$15-U2877))),-1E+030)</f>
        <v>-0.0333411304226416</v>
      </c>
      <c r="X2877" s="55" t="n">
        <f aca="false">IF(V2877,IF(01_因子設定!$B$13="最大化",Q2877,IF(01_因子設定!$B$13="最小化",-Q2877,-ABS(Q2877-01_因子設定!$B$16))),-1E+030)</f>
        <v>49.6405326704546</v>
      </c>
      <c r="Y2877" s="55" t="n">
        <f aca="false">W2877+ROW()*0.000000001</f>
        <v>-0.0333382534226416</v>
      </c>
      <c r="Z2877" s="55" t="n">
        <f aca="false">X2877+ROW()*0.000000001</f>
        <v>49.6405355474546</v>
      </c>
    </row>
    <row r="2878" customFormat="false" ht="15" hidden="false" customHeight="false" outlineLevel="0" collapsed="false">
      <c r="A2878" s="0" t="n">
        <v>9</v>
      </c>
      <c r="B2878" s="0" t="n">
        <v>16</v>
      </c>
      <c r="C2878" s="0" t="n">
        <v>0</v>
      </c>
      <c r="D2878" s="0" t="n">
        <f aca="false">-1+A2878*0.125</f>
        <v>0.125</v>
      </c>
      <c r="E2878" s="0" t="n">
        <f aca="false">-1+B2878*0.125</f>
        <v>1</v>
      </c>
      <c r="F2878" s="0" t="n">
        <f aca="false">-1+C2878*0.125</f>
        <v>-1</v>
      </c>
      <c r="G2878" s="0" t="n">
        <f aca="false">1</f>
        <v>1</v>
      </c>
      <c r="H2878" s="0" t="n">
        <f aca="false">D2878</f>
        <v>0.125</v>
      </c>
      <c r="I2878" s="0" t="n">
        <f aca="false">E2878</f>
        <v>1</v>
      </c>
      <c r="J2878" s="0" t="n">
        <f aca="false">F2878</f>
        <v>-1</v>
      </c>
      <c r="K2878" s="0" t="n">
        <f aca="false">D2878*E2878</f>
        <v>0.125</v>
      </c>
      <c r="L2878" s="0" t="n">
        <f aca="false">D2878*F2878</f>
        <v>-0.125</v>
      </c>
      <c r="M2878" s="0" t="n">
        <f aca="false">E2878*F2878</f>
        <v>-1</v>
      </c>
      <c r="N2878" s="0" t="n">
        <f aca="false">D2878*D2878</f>
        <v>0.015625</v>
      </c>
      <c r="O2878" s="0" t="n">
        <f aca="false">E2878*E2878</f>
        <v>1</v>
      </c>
      <c r="P2878" s="0" t="n">
        <f aca="false">F2878*F2878</f>
        <v>1</v>
      </c>
      <c r="Q2878" s="0" t="n">
        <f aca="false">SUMPRODUCT(G2878:P2878,_XtX!$B$71:$K$71)</f>
        <v>45.87703125</v>
      </c>
      <c r="R2878" s="0" t="n">
        <f aca="false">SUMPRODUCT(MMULT(G2878:P2878,_XtX!$B$58:$K$67),G2878:P2878)</f>
        <v>0.7115234375</v>
      </c>
      <c r="S2878" s="0" t="n">
        <f aca="false">04_回帰ANOVA!$K$19*04_回帰ANOVA!$K$14*SQRT(1+R2878)</f>
        <v>1.21634860506574</v>
      </c>
      <c r="T2878" s="0" t="n">
        <f aca="false">Q2878-S2878</f>
        <v>44.6606826449343</v>
      </c>
      <c r="U2878" s="0" t="n">
        <f aca="false">Q2878+S2878</f>
        <v>47.0933798550658</v>
      </c>
      <c r="V2878" s="54" t="b">
        <f aca="false">AND(D2878&gt;=01_因子設定!$L$5-0.000000001,D2878&lt;=01_因子設定!$M$5+0.000000001,E2878&gt;=01_因子設定!$L$6-0.000000001,E2878&lt;=01_因子設定!$M$6+0.000000001,F2878&gt;=01_因子設定!$L$7-0.000000001,F2878&lt;=01_因子設定!$M$7+0.000000001,IF(01_因子設定!$B$20="Box-Behnken",D2878^2+E2878^2+F2878^2&lt;=2+0.000000001,TRUE()))</f>
        <v>1</v>
      </c>
      <c r="W2878" s="55" t="n">
        <f aca="false">IF(V2878,IF(01_因子設定!$B$13="最大化",T2878-01_因子設定!$B$14,IF(01_因子設定!$B$13="最小化",01_因子設定!$B$15-U2878,MIN(T2878-01_因子設定!$B$14,01_因子設定!$B$15-U2878))),-1E+030)</f>
        <v>-3.8393173550657</v>
      </c>
      <c r="X2878" s="55" t="n">
        <f aca="false">IF(V2878,IF(01_因子設定!$B$13="最大化",Q2878,IF(01_因子設定!$B$13="最小化",-Q2878,-ABS(Q2878-01_因子設定!$B$16))),-1E+030)</f>
        <v>45.87703125</v>
      </c>
      <c r="Y2878" s="55" t="n">
        <f aca="false">W2878+ROW()*0.000000001</f>
        <v>-3.8393144770657</v>
      </c>
      <c r="Z2878" s="55" t="n">
        <f aca="false">X2878+ROW()*0.000000001</f>
        <v>45.877034128</v>
      </c>
    </row>
    <row r="2879" customFormat="false" ht="15" hidden="false" customHeight="false" outlineLevel="0" collapsed="false">
      <c r="A2879" s="0" t="n">
        <v>9</v>
      </c>
      <c r="B2879" s="0" t="n">
        <v>16</v>
      </c>
      <c r="C2879" s="0" t="n">
        <v>1</v>
      </c>
      <c r="D2879" s="0" t="n">
        <f aca="false">-1+A2879*0.125</f>
        <v>0.125</v>
      </c>
      <c r="E2879" s="0" t="n">
        <f aca="false">-1+B2879*0.125</f>
        <v>1</v>
      </c>
      <c r="F2879" s="0" t="n">
        <f aca="false">-1+C2879*0.125</f>
        <v>-0.875</v>
      </c>
      <c r="G2879" s="0" t="n">
        <f aca="false">1</f>
        <v>1</v>
      </c>
      <c r="H2879" s="0" t="n">
        <f aca="false">D2879</f>
        <v>0.125</v>
      </c>
      <c r="I2879" s="0" t="n">
        <f aca="false">E2879</f>
        <v>1</v>
      </c>
      <c r="J2879" s="0" t="n">
        <f aca="false">F2879</f>
        <v>-0.875</v>
      </c>
      <c r="K2879" s="0" t="n">
        <f aca="false">D2879*E2879</f>
        <v>0.125</v>
      </c>
      <c r="L2879" s="0" t="n">
        <f aca="false">D2879*F2879</f>
        <v>-0.109375</v>
      </c>
      <c r="M2879" s="0" t="n">
        <f aca="false">E2879*F2879</f>
        <v>-0.875</v>
      </c>
      <c r="N2879" s="0" t="n">
        <f aca="false">D2879*D2879</f>
        <v>0.015625</v>
      </c>
      <c r="O2879" s="0" t="n">
        <f aca="false">E2879*E2879</f>
        <v>1</v>
      </c>
      <c r="P2879" s="0" t="n">
        <f aca="false">F2879*F2879</f>
        <v>0.765625</v>
      </c>
      <c r="Q2879" s="0" t="n">
        <f aca="false">SUMPRODUCT(G2879:P2879,_XtX!$B$71:$K$71)</f>
        <v>46.3793607954546</v>
      </c>
      <c r="R2879" s="0" t="n">
        <f aca="false">SUMPRODUCT(MMULT(G2879:P2879,_XtX!$B$58:$K$67),G2879:P2879)</f>
        <v>0.59407792524858</v>
      </c>
      <c r="S2879" s="0" t="n">
        <f aca="false">04_回帰ANOVA!$K$19*04_回帰ANOVA!$K$14*SQRT(1+R2879)</f>
        <v>1.17387380087722</v>
      </c>
      <c r="T2879" s="0" t="n">
        <f aca="false">Q2879-S2879</f>
        <v>45.2054869945774</v>
      </c>
      <c r="U2879" s="0" t="n">
        <f aca="false">Q2879+S2879</f>
        <v>47.5532345963318</v>
      </c>
      <c r="V2879" s="54" t="b">
        <f aca="false">AND(D2879&gt;=01_因子設定!$L$5-0.000000001,D2879&lt;=01_因子設定!$M$5+0.000000001,E2879&gt;=01_因子設定!$L$6-0.000000001,E2879&lt;=01_因子設定!$M$6+0.000000001,F2879&gt;=01_因子設定!$L$7-0.000000001,F2879&lt;=01_因子設定!$M$7+0.000000001,IF(01_因子設定!$B$20="Box-Behnken",D2879^2+E2879^2+F2879^2&lt;=2+0.000000001,TRUE()))</f>
        <v>1</v>
      </c>
      <c r="W2879" s="55" t="n">
        <f aca="false">IF(V2879,IF(01_因子設定!$B$13="最大化",T2879-01_因子設定!$B$14,IF(01_因子設定!$B$13="最小化",01_因子設定!$B$15-U2879,MIN(T2879-01_因子設定!$B$14,01_因子設定!$B$15-U2879))),-1E+030)</f>
        <v>-3.29451300542264</v>
      </c>
      <c r="X2879" s="55" t="n">
        <f aca="false">IF(V2879,IF(01_因子設定!$B$13="最大化",Q2879,IF(01_因子設定!$B$13="最小化",-Q2879,-ABS(Q2879-01_因子設定!$B$16))),-1E+030)</f>
        <v>46.3793607954546</v>
      </c>
      <c r="Y2879" s="55" t="n">
        <f aca="false">W2879+ROW()*0.000000001</f>
        <v>-3.29451012642264</v>
      </c>
      <c r="Z2879" s="55" t="n">
        <f aca="false">X2879+ROW()*0.000000001</f>
        <v>46.3793636744546</v>
      </c>
    </row>
    <row r="2880" customFormat="false" ht="15" hidden="false" customHeight="false" outlineLevel="0" collapsed="false">
      <c r="A2880" s="0" t="n">
        <v>9</v>
      </c>
      <c r="B2880" s="0" t="n">
        <v>16</v>
      </c>
      <c r="C2880" s="0" t="n">
        <v>2</v>
      </c>
      <c r="D2880" s="0" t="n">
        <f aca="false">-1+A2880*0.125</f>
        <v>0.125</v>
      </c>
      <c r="E2880" s="0" t="n">
        <f aca="false">-1+B2880*0.125</f>
        <v>1</v>
      </c>
      <c r="F2880" s="0" t="n">
        <f aca="false">-1+C2880*0.125</f>
        <v>-0.75</v>
      </c>
      <c r="G2880" s="0" t="n">
        <f aca="false">1</f>
        <v>1</v>
      </c>
      <c r="H2880" s="0" t="n">
        <f aca="false">D2880</f>
        <v>0.125</v>
      </c>
      <c r="I2880" s="0" t="n">
        <f aca="false">E2880</f>
        <v>1</v>
      </c>
      <c r="J2880" s="0" t="n">
        <f aca="false">F2880</f>
        <v>-0.75</v>
      </c>
      <c r="K2880" s="0" t="n">
        <f aca="false">D2880*E2880</f>
        <v>0.125</v>
      </c>
      <c r="L2880" s="0" t="n">
        <f aca="false">D2880*F2880</f>
        <v>-0.09375</v>
      </c>
      <c r="M2880" s="0" t="n">
        <f aca="false">E2880*F2880</f>
        <v>-0.75</v>
      </c>
      <c r="N2880" s="0" t="n">
        <f aca="false">D2880*D2880</f>
        <v>0.015625</v>
      </c>
      <c r="O2880" s="0" t="n">
        <f aca="false">E2880*E2880</f>
        <v>1</v>
      </c>
      <c r="P2880" s="0" t="n">
        <f aca="false">F2880*F2880</f>
        <v>0.5625</v>
      </c>
      <c r="Q2880" s="0" t="n">
        <f aca="false">SUMPRODUCT(G2880:P2880,_XtX!$B$71:$K$71)</f>
        <v>46.8449005681818</v>
      </c>
      <c r="R2880" s="0" t="n">
        <f aca="false">SUMPRODUCT(MMULT(G2880:P2880,_XtX!$B$58:$K$67),G2880:P2880)</f>
        <v>0.524607155539773</v>
      </c>
      <c r="S2880" s="0" t="n">
        <f aca="false">04_回帰ANOVA!$K$19*04_回帰ANOVA!$K$14*SQRT(1+R2880)</f>
        <v>1.14800984623412</v>
      </c>
      <c r="T2880" s="0" t="n">
        <f aca="false">Q2880-S2880</f>
        <v>45.6968907219477</v>
      </c>
      <c r="U2880" s="0" t="n">
        <f aca="false">Q2880+S2880</f>
        <v>47.992910414416</v>
      </c>
      <c r="V2880" s="54" t="b">
        <f aca="false">AND(D2880&gt;=01_因子設定!$L$5-0.000000001,D2880&lt;=01_因子設定!$M$5+0.000000001,E2880&gt;=01_因子設定!$L$6-0.000000001,E2880&lt;=01_因子設定!$M$6+0.000000001,F2880&gt;=01_因子設定!$L$7-0.000000001,F2880&lt;=01_因子設定!$M$7+0.000000001,IF(01_因子設定!$B$20="Box-Behnken",D2880^2+E2880^2+F2880^2&lt;=2+0.000000001,TRUE()))</f>
        <v>1</v>
      </c>
      <c r="W2880" s="55" t="n">
        <f aca="false">IF(V2880,IF(01_因子設定!$B$13="最大化",T2880-01_因子設定!$B$14,IF(01_因子設定!$B$13="最小化",01_因子設定!$B$15-U2880,MIN(T2880-01_因子設定!$B$14,01_因子設定!$B$15-U2880))),-1E+030)</f>
        <v>-2.80310927805228</v>
      </c>
      <c r="X2880" s="55" t="n">
        <f aca="false">IF(V2880,IF(01_因子設定!$B$13="最大化",Q2880,IF(01_因子設定!$B$13="最小化",-Q2880,-ABS(Q2880-01_因子設定!$B$16))),-1E+030)</f>
        <v>46.8449005681818</v>
      </c>
      <c r="Y2880" s="55" t="n">
        <f aca="false">W2880+ROW()*0.000000001</f>
        <v>-2.80310639805228</v>
      </c>
      <c r="Z2880" s="55" t="n">
        <f aca="false">X2880+ROW()*0.000000001</f>
        <v>46.8449034481818</v>
      </c>
    </row>
    <row r="2881" customFormat="false" ht="15" hidden="false" customHeight="false" outlineLevel="0" collapsed="false">
      <c r="A2881" s="0" t="n">
        <v>9</v>
      </c>
      <c r="B2881" s="0" t="n">
        <v>16</v>
      </c>
      <c r="C2881" s="0" t="n">
        <v>3</v>
      </c>
      <c r="D2881" s="0" t="n">
        <f aca="false">-1+A2881*0.125</f>
        <v>0.125</v>
      </c>
      <c r="E2881" s="0" t="n">
        <f aca="false">-1+B2881*0.125</f>
        <v>1</v>
      </c>
      <c r="F2881" s="0" t="n">
        <f aca="false">-1+C2881*0.125</f>
        <v>-0.625</v>
      </c>
      <c r="G2881" s="0" t="n">
        <f aca="false">1</f>
        <v>1</v>
      </c>
      <c r="H2881" s="0" t="n">
        <f aca="false">D2881</f>
        <v>0.125</v>
      </c>
      <c r="I2881" s="0" t="n">
        <f aca="false">E2881</f>
        <v>1</v>
      </c>
      <c r="J2881" s="0" t="n">
        <f aca="false">F2881</f>
        <v>-0.625</v>
      </c>
      <c r="K2881" s="0" t="n">
        <f aca="false">D2881*E2881</f>
        <v>0.125</v>
      </c>
      <c r="L2881" s="0" t="n">
        <f aca="false">D2881*F2881</f>
        <v>-0.078125</v>
      </c>
      <c r="M2881" s="0" t="n">
        <f aca="false">E2881*F2881</f>
        <v>-0.625</v>
      </c>
      <c r="N2881" s="0" t="n">
        <f aca="false">D2881*D2881</f>
        <v>0.015625</v>
      </c>
      <c r="O2881" s="0" t="n">
        <f aca="false">E2881*E2881</f>
        <v>1</v>
      </c>
      <c r="P2881" s="0" t="n">
        <f aca="false">F2881*F2881</f>
        <v>0.390625</v>
      </c>
      <c r="Q2881" s="0" t="n">
        <f aca="false">SUMPRODUCT(G2881:P2881,_XtX!$B$71:$K$71)</f>
        <v>47.2736505681818</v>
      </c>
      <c r="R2881" s="0" t="n">
        <f aca="false">SUMPRODUCT(MMULT(G2881:P2881,_XtX!$B$58:$K$67),G2881:P2881)</f>
        <v>0.489261696555398</v>
      </c>
      <c r="S2881" s="0" t="n">
        <f aca="false">04_回帰ANOVA!$K$19*04_回帰ANOVA!$K$14*SQRT(1+R2881)</f>
        <v>1.13462447083763</v>
      </c>
      <c r="T2881" s="0" t="n">
        <f aca="false">Q2881-S2881</f>
        <v>46.1390260973442</v>
      </c>
      <c r="U2881" s="0" t="n">
        <f aca="false">Q2881+S2881</f>
        <v>48.4082750390195</v>
      </c>
      <c r="V2881" s="54" t="b">
        <f aca="false">AND(D2881&gt;=01_因子設定!$L$5-0.000000001,D2881&lt;=01_因子設定!$M$5+0.000000001,E2881&gt;=01_因子設定!$L$6-0.000000001,E2881&lt;=01_因子設定!$M$6+0.000000001,F2881&gt;=01_因子設定!$L$7-0.000000001,F2881&lt;=01_因子設定!$M$7+0.000000001,IF(01_因子設定!$B$20="Box-Behnken",D2881^2+E2881^2+F2881^2&lt;=2+0.000000001,TRUE()))</f>
        <v>1</v>
      </c>
      <c r="W2881" s="55" t="n">
        <f aca="false">IF(V2881,IF(01_因子設定!$B$13="最大化",T2881-01_因子設定!$B$14,IF(01_因子設定!$B$13="最小化",01_因子設定!$B$15-U2881,MIN(T2881-01_因子設定!$B$14,01_因子設定!$B$15-U2881))),-1E+030)</f>
        <v>-2.3609739026558</v>
      </c>
      <c r="X2881" s="55" t="n">
        <f aca="false">IF(V2881,IF(01_因子設定!$B$13="最大化",Q2881,IF(01_因子設定!$B$13="最小化",-Q2881,-ABS(Q2881-01_因子設定!$B$16))),-1E+030)</f>
        <v>47.2736505681818</v>
      </c>
      <c r="Y2881" s="55" t="n">
        <f aca="false">W2881+ROW()*0.000000001</f>
        <v>-2.3609710216558</v>
      </c>
      <c r="Z2881" s="55" t="n">
        <f aca="false">X2881+ROW()*0.000000001</f>
        <v>47.2736534491818</v>
      </c>
    </row>
    <row r="2882" customFormat="false" ht="15" hidden="false" customHeight="false" outlineLevel="0" collapsed="false">
      <c r="A2882" s="0" t="n">
        <v>9</v>
      </c>
      <c r="B2882" s="0" t="n">
        <v>16</v>
      </c>
      <c r="C2882" s="0" t="n">
        <v>4</v>
      </c>
      <c r="D2882" s="0" t="n">
        <f aca="false">-1+A2882*0.125</f>
        <v>0.125</v>
      </c>
      <c r="E2882" s="0" t="n">
        <f aca="false">-1+B2882*0.125</f>
        <v>1</v>
      </c>
      <c r="F2882" s="0" t="n">
        <f aca="false">-1+C2882*0.125</f>
        <v>-0.5</v>
      </c>
      <c r="G2882" s="0" t="n">
        <f aca="false">1</f>
        <v>1</v>
      </c>
      <c r="H2882" s="0" t="n">
        <f aca="false">D2882</f>
        <v>0.125</v>
      </c>
      <c r="I2882" s="0" t="n">
        <f aca="false">E2882</f>
        <v>1</v>
      </c>
      <c r="J2882" s="0" t="n">
        <f aca="false">F2882</f>
        <v>-0.5</v>
      </c>
      <c r="K2882" s="0" t="n">
        <f aca="false">D2882*E2882</f>
        <v>0.125</v>
      </c>
      <c r="L2882" s="0" t="n">
        <f aca="false">D2882*F2882</f>
        <v>-0.0625</v>
      </c>
      <c r="M2882" s="0" t="n">
        <f aca="false">E2882*F2882</f>
        <v>-0.5</v>
      </c>
      <c r="N2882" s="0" t="n">
        <f aca="false">D2882*D2882</f>
        <v>0.015625</v>
      </c>
      <c r="O2882" s="0" t="n">
        <f aca="false">E2882*E2882</f>
        <v>1</v>
      </c>
      <c r="P2882" s="0" t="n">
        <f aca="false">F2882*F2882</f>
        <v>0.25</v>
      </c>
      <c r="Q2882" s="0" t="n">
        <f aca="false">SUMPRODUCT(G2882:P2882,_XtX!$B$71:$K$71)</f>
        <v>47.6656107954546</v>
      </c>
      <c r="R2882" s="0" t="n">
        <f aca="false">SUMPRODUCT(MMULT(G2882:P2882,_XtX!$B$58:$K$67),G2882:P2882)</f>
        <v>0.476322798295455</v>
      </c>
      <c r="S2882" s="0" t="n">
        <f aca="false">04_回帰ANOVA!$K$19*04_回帰ANOVA!$K$14*SQRT(1+R2882)</f>
        <v>1.12968483630128</v>
      </c>
      <c r="T2882" s="0" t="n">
        <f aca="false">Q2882-S2882</f>
        <v>46.5359259591533</v>
      </c>
      <c r="U2882" s="0" t="n">
        <f aca="false">Q2882+S2882</f>
        <v>48.7952956317558</v>
      </c>
      <c r="V2882" s="54" t="b">
        <f aca="false">AND(D2882&gt;=01_因子設定!$L$5-0.000000001,D2882&lt;=01_因子設定!$M$5+0.000000001,E2882&gt;=01_因子設定!$L$6-0.000000001,E2882&lt;=01_因子設定!$M$6+0.000000001,F2882&gt;=01_因子設定!$L$7-0.000000001,F2882&lt;=01_因子設定!$M$7+0.000000001,IF(01_因子設定!$B$20="Box-Behnken",D2882^2+E2882^2+F2882^2&lt;=2+0.000000001,TRUE()))</f>
        <v>1</v>
      </c>
      <c r="W2882" s="55" t="n">
        <f aca="false">IF(V2882,IF(01_因子設定!$B$13="最大化",T2882-01_因子設定!$B$14,IF(01_因子設定!$B$13="最小化",01_因子設定!$B$15-U2882,MIN(T2882-01_因子設定!$B$14,01_因子設定!$B$15-U2882))),-1E+030)</f>
        <v>-1.96407404084672</v>
      </c>
      <c r="X2882" s="55" t="n">
        <f aca="false">IF(V2882,IF(01_因子設定!$B$13="最大化",Q2882,IF(01_因子設定!$B$13="最小化",-Q2882,-ABS(Q2882-01_因子設定!$B$16))),-1E+030)</f>
        <v>47.6656107954546</v>
      </c>
      <c r="Y2882" s="55" t="n">
        <f aca="false">W2882+ROW()*0.000000001</f>
        <v>-1.96407115884672</v>
      </c>
      <c r="Z2882" s="55" t="n">
        <f aca="false">X2882+ROW()*0.000000001</f>
        <v>47.6656136774546</v>
      </c>
    </row>
    <row r="2883" customFormat="false" ht="15" hidden="false" customHeight="false" outlineLevel="0" collapsed="false">
      <c r="A2883" s="0" t="n">
        <v>9</v>
      </c>
      <c r="B2883" s="0" t="n">
        <v>16</v>
      </c>
      <c r="C2883" s="0" t="n">
        <v>5</v>
      </c>
      <c r="D2883" s="0" t="n">
        <f aca="false">-1+A2883*0.125</f>
        <v>0.125</v>
      </c>
      <c r="E2883" s="0" t="n">
        <f aca="false">-1+B2883*0.125</f>
        <v>1</v>
      </c>
      <c r="F2883" s="0" t="n">
        <f aca="false">-1+C2883*0.125</f>
        <v>-0.375</v>
      </c>
      <c r="G2883" s="0" t="n">
        <f aca="false">1</f>
        <v>1</v>
      </c>
      <c r="H2883" s="0" t="n">
        <f aca="false">D2883</f>
        <v>0.125</v>
      </c>
      <c r="I2883" s="0" t="n">
        <f aca="false">E2883</f>
        <v>1</v>
      </c>
      <c r="J2883" s="0" t="n">
        <f aca="false">F2883</f>
        <v>-0.375</v>
      </c>
      <c r="K2883" s="0" t="n">
        <f aca="false">D2883*E2883</f>
        <v>0.125</v>
      </c>
      <c r="L2883" s="0" t="n">
        <f aca="false">D2883*F2883</f>
        <v>-0.046875</v>
      </c>
      <c r="M2883" s="0" t="n">
        <f aca="false">E2883*F2883</f>
        <v>-0.375</v>
      </c>
      <c r="N2883" s="0" t="n">
        <f aca="false">D2883*D2883</f>
        <v>0.015625</v>
      </c>
      <c r="O2883" s="0" t="n">
        <f aca="false">E2883*E2883</f>
        <v>1</v>
      </c>
      <c r="P2883" s="0" t="n">
        <f aca="false">F2883*F2883</f>
        <v>0.140625</v>
      </c>
      <c r="Q2883" s="0" t="n">
        <f aca="false">SUMPRODUCT(G2883:P2883,_XtX!$B$71:$K$71)</f>
        <v>48.02078125</v>
      </c>
      <c r="R2883" s="0" t="n">
        <f aca="false">SUMPRODUCT(MMULT(G2883:P2883,_XtX!$B$58:$K$67),G2883:P2883)</f>
        <v>0.476202392578125</v>
      </c>
      <c r="S2883" s="0" t="n">
        <f aca="false">04_回帰ANOVA!$K$19*04_回帰ANOVA!$K$14*SQRT(1+R2883)</f>
        <v>1.12963876802721</v>
      </c>
      <c r="T2883" s="0" t="n">
        <f aca="false">Q2883-S2883</f>
        <v>46.8911424819728</v>
      </c>
      <c r="U2883" s="0" t="n">
        <f aca="false">Q2883+S2883</f>
        <v>49.1504200180272</v>
      </c>
      <c r="V2883" s="54" t="b">
        <f aca="false">AND(D2883&gt;=01_因子設定!$L$5-0.000000001,D2883&lt;=01_因子設定!$M$5+0.000000001,E2883&gt;=01_因子設定!$L$6-0.000000001,E2883&lt;=01_因子設定!$M$6+0.000000001,F2883&gt;=01_因子設定!$L$7-0.000000001,F2883&lt;=01_因子設定!$M$7+0.000000001,IF(01_因子設定!$B$20="Box-Behnken",D2883^2+E2883^2+F2883^2&lt;=2+0.000000001,TRUE()))</f>
        <v>1</v>
      </c>
      <c r="W2883" s="55" t="n">
        <f aca="false">IF(V2883,IF(01_因子設定!$B$13="最大化",T2883-01_因子設定!$B$14,IF(01_因子設定!$B$13="最小化",01_因子設定!$B$15-U2883,MIN(T2883-01_因子設定!$B$14,01_因子設定!$B$15-U2883))),-1E+030)</f>
        <v>-1.60885751802719</v>
      </c>
      <c r="X2883" s="55" t="n">
        <f aca="false">IF(V2883,IF(01_因子設定!$B$13="最大化",Q2883,IF(01_因子設定!$B$13="最小化",-Q2883,-ABS(Q2883-01_因子設定!$B$16))),-1E+030)</f>
        <v>48.02078125</v>
      </c>
      <c r="Y2883" s="55" t="n">
        <f aca="false">W2883+ROW()*0.000000001</f>
        <v>-1.60885463502719</v>
      </c>
      <c r="Z2883" s="55" t="n">
        <f aca="false">X2883+ROW()*0.000000001</f>
        <v>48.020784133</v>
      </c>
    </row>
    <row r="2884" customFormat="false" ht="15" hidden="false" customHeight="false" outlineLevel="0" collapsed="false">
      <c r="A2884" s="0" t="n">
        <v>9</v>
      </c>
      <c r="B2884" s="0" t="n">
        <v>16</v>
      </c>
      <c r="C2884" s="0" t="n">
        <v>6</v>
      </c>
      <c r="D2884" s="0" t="n">
        <f aca="false">-1+A2884*0.125</f>
        <v>0.125</v>
      </c>
      <c r="E2884" s="0" t="n">
        <f aca="false">-1+B2884*0.125</f>
        <v>1</v>
      </c>
      <c r="F2884" s="0" t="n">
        <f aca="false">-1+C2884*0.125</f>
        <v>-0.25</v>
      </c>
      <c r="G2884" s="0" t="n">
        <f aca="false">1</f>
        <v>1</v>
      </c>
      <c r="H2884" s="0" t="n">
        <f aca="false">D2884</f>
        <v>0.125</v>
      </c>
      <c r="I2884" s="0" t="n">
        <f aca="false">E2884</f>
        <v>1</v>
      </c>
      <c r="J2884" s="0" t="n">
        <f aca="false">F2884</f>
        <v>-0.25</v>
      </c>
      <c r="K2884" s="0" t="n">
        <f aca="false">D2884*E2884</f>
        <v>0.125</v>
      </c>
      <c r="L2884" s="0" t="n">
        <f aca="false">D2884*F2884</f>
        <v>-0.03125</v>
      </c>
      <c r="M2884" s="0" t="n">
        <f aca="false">E2884*F2884</f>
        <v>-0.25</v>
      </c>
      <c r="N2884" s="0" t="n">
        <f aca="false">D2884*D2884</f>
        <v>0.015625</v>
      </c>
      <c r="O2884" s="0" t="n">
        <f aca="false">E2884*E2884</f>
        <v>1</v>
      </c>
      <c r="P2884" s="0" t="n">
        <f aca="false">F2884*F2884</f>
        <v>0.0625</v>
      </c>
      <c r="Q2884" s="0" t="n">
        <f aca="false">SUMPRODUCT(G2884:P2884,_XtX!$B$71:$K$71)</f>
        <v>48.3391619318182</v>
      </c>
      <c r="R2884" s="0" t="n">
        <f aca="false">SUMPRODUCT(MMULT(G2884:P2884,_XtX!$B$58:$K$67),G2884:P2884)</f>
        <v>0.481443093039773</v>
      </c>
      <c r="S2884" s="0" t="n">
        <f aca="false">04_回帰ANOVA!$K$19*04_回帰ANOVA!$K$14*SQRT(1+R2884)</f>
        <v>1.13164216995877</v>
      </c>
      <c r="T2884" s="0" t="n">
        <f aca="false">Q2884-S2884</f>
        <v>47.2075197618594</v>
      </c>
      <c r="U2884" s="0" t="n">
        <f aca="false">Q2884+S2884</f>
        <v>49.470804101777</v>
      </c>
      <c r="V2884" s="54" t="b">
        <f aca="false">AND(D2884&gt;=01_因子設定!$L$5-0.000000001,D2884&lt;=01_因子設定!$M$5+0.000000001,E2884&gt;=01_因子設定!$L$6-0.000000001,E2884&lt;=01_因子設定!$M$6+0.000000001,F2884&gt;=01_因子設定!$L$7-0.000000001,F2884&lt;=01_因子設定!$M$7+0.000000001,IF(01_因子設定!$B$20="Box-Behnken",D2884^2+E2884^2+F2884^2&lt;=2+0.000000001,TRUE()))</f>
        <v>1</v>
      </c>
      <c r="W2884" s="55" t="n">
        <f aca="false">IF(V2884,IF(01_因子設定!$B$13="最大化",T2884-01_因子設定!$B$14,IF(01_因子設定!$B$13="最小化",01_因子設定!$B$15-U2884,MIN(T2884-01_因子設定!$B$14,01_因子設定!$B$15-U2884))),-1E+030)</f>
        <v>-1.29248023814057</v>
      </c>
      <c r="X2884" s="55" t="n">
        <f aca="false">IF(V2884,IF(01_因子設定!$B$13="最大化",Q2884,IF(01_因子設定!$B$13="最小化",-Q2884,-ABS(Q2884-01_因子設定!$B$16))),-1E+030)</f>
        <v>48.3391619318182</v>
      </c>
      <c r="Y2884" s="55" t="n">
        <f aca="false">W2884+ROW()*0.000000001</f>
        <v>-1.29247735414057</v>
      </c>
      <c r="Z2884" s="55" t="n">
        <f aca="false">X2884+ROW()*0.000000001</f>
        <v>48.3391648158182</v>
      </c>
    </row>
    <row r="2885" customFormat="false" ht="15" hidden="false" customHeight="false" outlineLevel="0" collapsed="false">
      <c r="A2885" s="0" t="n">
        <v>9</v>
      </c>
      <c r="B2885" s="0" t="n">
        <v>16</v>
      </c>
      <c r="C2885" s="0" t="n">
        <v>7</v>
      </c>
      <c r="D2885" s="0" t="n">
        <f aca="false">-1+A2885*0.125</f>
        <v>0.125</v>
      </c>
      <c r="E2885" s="0" t="n">
        <f aca="false">-1+B2885*0.125</f>
        <v>1</v>
      </c>
      <c r="F2885" s="0" t="n">
        <f aca="false">-1+C2885*0.125</f>
        <v>-0.125</v>
      </c>
      <c r="G2885" s="0" t="n">
        <f aca="false">1</f>
        <v>1</v>
      </c>
      <c r="H2885" s="0" t="n">
        <f aca="false">D2885</f>
        <v>0.125</v>
      </c>
      <c r="I2885" s="0" t="n">
        <f aca="false">E2885</f>
        <v>1</v>
      </c>
      <c r="J2885" s="0" t="n">
        <f aca="false">F2885</f>
        <v>-0.125</v>
      </c>
      <c r="K2885" s="0" t="n">
        <f aca="false">D2885*E2885</f>
        <v>0.125</v>
      </c>
      <c r="L2885" s="0" t="n">
        <f aca="false">D2885*F2885</f>
        <v>-0.015625</v>
      </c>
      <c r="M2885" s="0" t="n">
        <f aca="false">E2885*F2885</f>
        <v>-0.125</v>
      </c>
      <c r="N2885" s="0" t="n">
        <f aca="false">D2885*D2885</f>
        <v>0.015625</v>
      </c>
      <c r="O2885" s="0" t="n">
        <f aca="false">E2885*E2885</f>
        <v>1</v>
      </c>
      <c r="P2885" s="0" t="n">
        <f aca="false">F2885*F2885</f>
        <v>0.015625</v>
      </c>
      <c r="Q2885" s="0" t="n">
        <f aca="false">SUMPRODUCT(G2885:P2885,_XtX!$B$71:$K$71)</f>
        <v>48.6207528409091</v>
      </c>
      <c r="R2885" s="0" t="n">
        <f aca="false">SUMPRODUCT(MMULT(G2885:P2885,_XtX!$B$58:$K$67),G2885:P2885)</f>
        <v>0.486718195134943</v>
      </c>
      <c r="S2885" s="0" t="n">
        <f aca="false">04_回帰ANOVA!$K$19*04_回帰ANOVA!$K$14*SQRT(1+R2885)</f>
        <v>1.13365514750636</v>
      </c>
      <c r="T2885" s="0" t="n">
        <f aca="false">Q2885-S2885</f>
        <v>47.4870976934027</v>
      </c>
      <c r="U2885" s="0" t="n">
        <f aca="false">Q2885+S2885</f>
        <v>49.7544079884155</v>
      </c>
      <c r="V2885" s="54" t="b">
        <f aca="false">AND(D2885&gt;=01_因子設定!$L$5-0.000000001,D2885&lt;=01_因子設定!$M$5+0.000000001,E2885&gt;=01_因子設定!$L$6-0.000000001,E2885&lt;=01_因子設定!$M$6+0.000000001,F2885&gt;=01_因子設定!$L$7-0.000000001,F2885&lt;=01_因子設定!$M$7+0.000000001,IF(01_因子設定!$B$20="Box-Behnken",D2885^2+E2885^2+F2885^2&lt;=2+0.000000001,TRUE()))</f>
        <v>1</v>
      </c>
      <c r="W2885" s="55" t="n">
        <f aca="false">IF(V2885,IF(01_因子設定!$B$13="最大化",T2885-01_因子設定!$B$14,IF(01_因子設定!$B$13="最小化",01_因子設定!$B$15-U2885,MIN(T2885-01_因子設定!$B$14,01_因子設定!$B$15-U2885))),-1E+030)</f>
        <v>-1.01290230659725</v>
      </c>
      <c r="X2885" s="55" t="n">
        <f aca="false">IF(V2885,IF(01_因子設定!$B$13="最大化",Q2885,IF(01_因子設定!$B$13="最小化",-Q2885,-ABS(Q2885-01_因子設定!$B$16))),-1E+030)</f>
        <v>48.6207528409091</v>
      </c>
      <c r="Y2885" s="55" t="n">
        <f aca="false">W2885+ROW()*0.000000001</f>
        <v>-1.01289942159725</v>
      </c>
      <c r="Z2885" s="55" t="n">
        <f aca="false">X2885+ROW()*0.000000001</f>
        <v>48.6207557259091</v>
      </c>
    </row>
    <row r="2886" customFormat="false" ht="15" hidden="false" customHeight="false" outlineLevel="0" collapsed="false">
      <c r="A2886" s="0" t="n">
        <v>9</v>
      </c>
      <c r="B2886" s="0" t="n">
        <v>16</v>
      </c>
      <c r="C2886" s="0" t="n">
        <v>8</v>
      </c>
      <c r="D2886" s="0" t="n">
        <f aca="false">-1+A2886*0.125</f>
        <v>0.125</v>
      </c>
      <c r="E2886" s="0" t="n">
        <f aca="false">-1+B2886*0.125</f>
        <v>1</v>
      </c>
      <c r="F2886" s="0" t="n">
        <f aca="false">-1+C2886*0.125</f>
        <v>0</v>
      </c>
      <c r="G2886" s="0" t="n">
        <f aca="false">1</f>
        <v>1</v>
      </c>
      <c r="H2886" s="0" t="n">
        <f aca="false">D2886</f>
        <v>0.125</v>
      </c>
      <c r="I2886" s="0" t="n">
        <f aca="false">E2886</f>
        <v>1</v>
      </c>
      <c r="J2886" s="0" t="n">
        <f aca="false">F2886</f>
        <v>0</v>
      </c>
      <c r="K2886" s="0" t="n">
        <f aca="false">D2886*E2886</f>
        <v>0.125</v>
      </c>
      <c r="L2886" s="0" t="n">
        <f aca="false">D2886*F2886</f>
        <v>0</v>
      </c>
      <c r="M2886" s="0" t="n">
        <f aca="false">E2886*F2886</f>
        <v>0</v>
      </c>
      <c r="N2886" s="0" t="n">
        <f aca="false">D2886*D2886</f>
        <v>0.015625</v>
      </c>
      <c r="O2886" s="0" t="n">
        <f aca="false">E2886*E2886</f>
        <v>1</v>
      </c>
      <c r="P2886" s="0" t="n">
        <f aca="false">F2886*F2886</f>
        <v>0</v>
      </c>
      <c r="Q2886" s="0" t="n">
        <f aca="false">SUMPRODUCT(G2886:P2886,_XtX!$B$71:$K$71)</f>
        <v>48.8655539772727</v>
      </c>
      <c r="R2886" s="0" t="n">
        <f aca="false">SUMPRODUCT(MMULT(G2886:P2886,_XtX!$B$58:$K$67),G2886:P2886)</f>
        <v>0.488831676136364</v>
      </c>
      <c r="S2886" s="0" t="n">
        <f aca="false">04_回帰ANOVA!$K$19*04_回帰ANOVA!$K$14*SQRT(1+R2886)</f>
        <v>1.13446064908709</v>
      </c>
      <c r="T2886" s="0" t="n">
        <f aca="false">Q2886-S2886</f>
        <v>47.7310933281857</v>
      </c>
      <c r="U2886" s="0" t="n">
        <f aca="false">Q2886+S2886</f>
        <v>50.0000146263598</v>
      </c>
      <c r="V2886" s="54" t="b">
        <f aca="false">AND(D2886&gt;=01_因子設定!$L$5-0.000000001,D2886&lt;=01_因子設定!$M$5+0.000000001,E2886&gt;=01_因子設定!$L$6-0.000000001,E2886&lt;=01_因子設定!$M$6+0.000000001,F2886&gt;=01_因子設定!$L$7-0.000000001,F2886&lt;=01_因子設定!$M$7+0.000000001,IF(01_因子設定!$B$20="Box-Behnken",D2886^2+E2886^2+F2886^2&lt;=2+0.000000001,TRUE()))</f>
        <v>1</v>
      </c>
      <c r="W2886" s="55" t="n">
        <f aca="false">IF(V2886,IF(01_因子設定!$B$13="最大化",T2886-01_因子設定!$B$14,IF(01_因子設定!$B$13="最小化",01_因子設定!$B$15-U2886,MIN(T2886-01_因子設定!$B$14,01_因子設定!$B$15-U2886))),-1E+030)</f>
        <v>-0.768906671814349</v>
      </c>
      <c r="X2886" s="55" t="n">
        <f aca="false">IF(V2886,IF(01_因子設定!$B$13="最大化",Q2886,IF(01_因子設定!$B$13="最小化",-Q2886,-ABS(Q2886-01_因子設定!$B$16))),-1E+030)</f>
        <v>48.8655539772727</v>
      </c>
      <c r="Y2886" s="55" t="n">
        <f aca="false">W2886+ROW()*0.000000001</f>
        <v>-0.768903785814349</v>
      </c>
      <c r="Z2886" s="55" t="n">
        <f aca="false">X2886+ROW()*0.000000001</f>
        <v>48.8655568632727</v>
      </c>
    </row>
    <row r="2887" customFormat="false" ht="15" hidden="false" customHeight="false" outlineLevel="0" collapsed="false">
      <c r="A2887" s="0" t="n">
        <v>9</v>
      </c>
      <c r="B2887" s="0" t="n">
        <v>16</v>
      </c>
      <c r="C2887" s="0" t="n">
        <v>9</v>
      </c>
      <c r="D2887" s="0" t="n">
        <f aca="false">-1+A2887*0.125</f>
        <v>0.125</v>
      </c>
      <c r="E2887" s="0" t="n">
        <f aca="false">-1+B2887*0.125</f>
        <v>1</v>
      </c>
      <c r="F2887" s="0" t="n">
        <f aca="false">-1+C2887*0.125</f>
        <v>0.125</v>
      </c>
      <c r="G2887" s="0" t="n">
        <f aca="false">1</f>
        <v>1</v>
      </c>
      <c r="H2887" s="0" t="n">
        <f aca="false">D2887</f>
        <v>0.125</v>
      </c>
      <c r="I2887" s="0" t="n">
        <f aca="false">E2887</f>
        <v>1</v>
      </c>
      <c r="J2887" s="0" t="n">
        <f aca="false">F2887</f>
        <v>0.125</v>
      </c>
      <c r="K2887" s="0" t="n">
        <f aca="false">D2887*E2887</f>
        <v>0.125</v>
      </c>
      <c r="L2887" s="0" t="n">
        <f aca="false">D2887*F2887</f>
        <v>0.015625</v>
      </c>
      <c r="M2887" s="0" t="n">
        <f aca="false">E2887*F2887</f>
        <v>0.125</v>
      </c>
      <c r="N2887" s="0" t="n">
        <f aca="false">D2887*D2887</f>
        <v>0.015625</v>
      </c>
      <c r="O2887" s="0" t="n">
        <f aca="false">E2887*E2887</f>
        <v>1</v>
      </c>
      <c r="P2887" s="0" t="n">
        <f aca="false">F2887*F2887</f>
        <v>0.015625</v>
      </c>
      <c r="Q2887" s="0" t="n">
        <f aca="false">SUMPRODUCT(G2887:P2887,_XtX!$B$71:$K$71)</f>
        <v>49.0735653409091</v>
      </c>
      <c r="R2887" s="0" t="n">
        <f aca="false">SUMPRODUCT(MMULT(G2887:P2887,_XtX!$B$58:$K$67),G2887:P2887)</f>
        <v>0.486718195134943</v>
      </c>
      <c r="S2887" s="0" t="n">
        <f aca="false">04_回帰ANOVA!$K$19*04_回帰ANOVA!$K$14*SQRT(1+R2887)</f>
        <v>1.13365514750636</v>
      </c>
      <c r="T2887" s="0" t="n">
        <f aca="false">Q2887-S2887</f>
        <v>47.9399101934027</v>
      </c>
      <c r="U2887" s="0" t="n">
        <f aca="false">Q2887+S2887</f>
        <v>50.2072204884155</v>
      </c>
      <c r="V2887" s="54" t="b">
        <f aca="false">AND(D2887&gt;=01_因子設定!$L$5-0.000000001,D2887&lt;=01_因子設定!$M$5+0.000000001,E2887&gt;=01_因子設定!$L$6-0.000000001,E2887&lt;=01_因子設定!$M$6+0.000000001,F2887&gt;=01_因子設定!$L$7-0.000000001,F2887&lt;=01_因子設定!$M$7+0.000000001,IF(01_因子設定!$B$20="Box-Behnken",D2887^2+E2887^2+F2887^2&lt;=2+0.000000001,TRUE()))</f>
        <v>1</v>
      </c>
      <c r="W2887" s="55" t="n">
        <f aca="false">IF(V2887,IF(01_因子設定!$B$13="最大化",T2887-01_因子設定!$B$14,IF(01_因子設定!$B$13="最小化",01_因子設定!$B$15-U2887,MIN(T2887-01_因子設定!$B$14,01_因子設定!$B$15-U2887))),-1E+030)</f>
        <v>-0.560089806597254</v>
      </c>
      <c r="X2887" s="55" t="n">
        <f aca="false">IF(V2887,IF(01_因子設定!$B$13="最大化",Q2887,IF(01_因子設定!$B$13="最小化",-Q2887,-ABS(Q2887-01_因子設定!$B$16))),-1E+030)</f>
        <v>49.0735653409091</v>
      </c>
      <c r="Y2887" s="55" t="n">
        <f aca="false">W2887+ROW()*0.000000001</f>
        <v>-0.560086919597254</v>
      </c>
      <c r="Z2887" s="55" t="n">
        <f aca="false">X2887+ROW()*0.000000001</f>
        <v>49.0735682279091</v>
      </c>
    </row>
    <row r="2888" customFormat="false" ht="15" hidden="false" customHeight="false" outlineLevel="0" collapsed="false">
      <c r="A2888" s="0" t="n">
        <v>9</v>
      </c>
      <c r="B2888" s="0" t="n">
        <v>16</v>
      </c>
      <c r="C2888" s="0" t="n">
        <v>10</v>
      </c>
      <c r="D2888" s="0" t="n">
        <f aca="false">-1+A2888*0.125</f>
        <v>0.125</v>
      </c>
      <c r="E2888" s="0" t="n">
        <f aca="false">-1+B2888*0.125</f>
        <v>1</v>
      </c>
      <c r="F2888" s="0" t="n">
        <f aca="false">-1+C2888*0.125</f>
        <v>0.25</v>
      </c>
      <c r="G2888" s="0" t="n">
        <f aca="false">1</f>
        <v>1</v>
      </c>
      <c r="H2888" s="0" t="n">
        <f aca="false">D2888</f>
        <v>0.125</v>
      </c>
      <c r="I2888" s="0" t="n">
        <f aca="false">E2888</f>
        <v>1</v>
      </c>
      <c r="J2888" s="0" t="n">
        <f aca="false">F2888</f>
        <v>0.25</v>
      </c>
      <c r="K2888" s="0" t="n">
        <f aca="false">D2888*E2888</f>
        <v>0.125</v>
      </c>
      <c r="L2888" s="0" t="n">
        <f aca="false">D2888*F2888</f>
        <v>0.03125</v>
      </c>
      <c r="M2888" s="0" t="n">
        <f aca="false">E2888*F2888</f>
        <v>0.25</v>
      </c>
      <c r="N2888" s="0" t="n">
        <f aca="false">D2888*D2888</f>
        <v>0.015625</v>
      </c>
      <c r="O2888" s="0" t="n">
        <f aca="false">E2888*E2888</f>
        <v>1</v>
      </c>
      <c r="P2888" s="0" t="n">
        <f aca="false">F2888*F2888</f>
        <v>0.0625</v>
      </c>
      <c r="Q2888" s="0" t="n">
        <f aca="false">SUMPRODUCT(G2888:P2888,_XtX!$B$71:$K$71)</f>
        <v>49.2447869318182</v>
      </c>
      <c r="R2888" s="0" t="n">
        <f aca="false">SUMPRODUCT(MMULT(G2888:P2888,_XtX!$B$58:$K$67),G2888:P2888)</f>
        <v>0.481443093039773</v>
      </c>
      <c r="S2888" s="0" t="n">
        <f aca="false">04_回帰ANOVA!$K$19*04_回帰ANOVA!$K$14*SQRT(1+R2888)</f>
        <v>1.13164216995877</v>
      </c>
      <c r="T2888" s="0" t="n">
        <f aca="false">Q2888-S2888</f>
        <v>48.1131447618594</v>
      </c>
      <c r="U2888" s="0" t="n">
        <f aca="false">Q2888+S2888</f>
        <v>50.376429101777</v>
      </c>
      <c r="V2888" s="54" t="b">
        <f aca="false">AND(D2888&gt;=01_因子設定!$L$5-0.000000001,D2888&lt;=01_因子設定!$M$5+0.000000001,E2888&gt;=01_因子設定!$L$6-0.000000001,E2888&lt;=01_因子設定!$M$6+0.000000001,F2888&gt;=01_因子設定!$L$7-0.000000001,F2888&lt;=01_因子設定!$M$7+0.000000001,IF(01_因子設定!$B$20="Box-Behnken",D2888^2+E2888^2+F2888^2&lt;=2+0.000000001,TRUE()))</f>
        <v>1</v>
      </c>
      <c r="W2888" s="55" t="n">
        <f aca="false">IF(V2888,IF(01_因子設定!$B$13="最大化",T2888-01_因子設定!$B$14,IF(01_因子設定!$B$13="最小化",01_因子設定!$B$15-U2888,MIN(T2888-01_因子設定!$B$14,01_因子設定!$B$15-U2888))),-1E+030)</f>
        <v>-0.386855238140569</v>
      </c>
      <c r="X2888" s="55" t="n">
        <f aca="false">IF(V2888,IF(01_因子設定!$B$13="最大化",Q2888,IF(01_因子設定!$B$13="最小化",-Q2888,-ABS(Q2888-01_因子設定!$B$16))),-1E+030)</f>
        <v>49.2447869318182</v>
      </c>
      <c r="Y2888" s="55" t="n">
        <f aca="false">W2888+ROW()*0.000000001</f>
        <v>-0.386852350140569</v>
      </c>
      <c r="Z2888" s="55" t="n">
        <f aca="false">X2888+ROW()*0.000000001</f>
        <v>49.2447898198182</v>
      </c>
    </row>
    <row r="2889" customFormat="false" ht="15" hidden="false" customHeight="false" outlineLevel="0" collapsed="false">
      <c r="A2889" s="0" t="n">
        <v>9</v>
      </c>
      <c r="B2889" s="0" t="n">
        <v>16</v>
      </c>
      <c r="C2889" s="0" t="n">
        <v>11</v>
      </c>
      <c r="D2889" s="0" t="n">
        <f aca="false">-1+A2889*0.125</f>
        <v>0.125</v>
      </c>
      <c r="E2889" s="0" t="n">
        <f aca="false">-1+B2889*0.125</f>
        <v>1</v>
      </c>
      <c r="F2889" s="0" t="n">
        <f aca="false">-1+C2889*0.125</f>
        <v>0.375</v>
      </c>
      <c r="G2889" s="0" t="n">
        <f aca="false">1</f>
        <v>1</v>
      </c>
      <c r="H2889" s="0" t="n">
        <f aca="false">D2889</f>
        <v>0.125</v>
      </c>
      <c r="I2889" s="0" t="n">
        <f aca="false">E2889</f>
        <v>1</v>
      </c>
      <c r="J2889" s="0" t="n">
        <f aca="false">F2889</f>
        <v>0.375</v>
      </c>
      <c r="K2889" s="0" t="n">
        <f aca="false">D2889*E2889</f>
        <v>0.125</v>
      </c>
      <c r="L2889" s="0" t="n">
        <f aca="false">D2889*F2889</f>
        <v>0.046875</v>
      </c>
      <c r="M2889" s="0" t="n">
        <f aca="false">E2889*F2889</f>
        <v>0.375</v>
      </c>
      <c r="N2889" s="0" t="n">
        <f aca="false">D2889*D2889</f>
        <v>0.015625</v>
      </c>
      <c r="O2889" s="0" t="n">
        <f aca="false">E2889*E2889</f>
        <v>1</v>
      </c>
      <c r="P2889" s="0" t="n">
        <f aca="false">F2889*F2889</f>
        <v>0.140625</v>
      </c>
      <c r="Q2889" s="0" t="n">
        <f aca="false">SUMPRODUCT(G2889:P2889,_XtX!$B$71:$K$71)</f>
        <v>49.37921875</v>
      </c>
      <c r="R2889" s="0" t="n">
        <f aca="false">SUMPRODUCT(MMULT(G2889:P2889,_XtX!$B$58:$K$67),G2889:P2889)</f>
        <v>0.476202392578125</v>
      </c>
      <c r="S2889" s="0" t="n">
        <f aca="false">04_回帰ANOVA!$K$19*04_回帰ANOVA!$K$14*SQRT(1+R2889)</f>
        <v>1.12963876802721</v>
      </c>
      <c r="T2889" s="0" t="n">
        <f aca="false">Q2889-S2889</f>
        <v>48.2495799819728</v>
      </c>
      <c r="U2889" s="0" t="n">
        <f aca="false">Q2889+S2889</f>
        <v>50.5088575180272</v>
      </c>
      <c r="V2889" s="54" t="b">
        <f aca="false">AND(D2889&gt;=01_因子設定!$L$5-0.000000001,D2889&lt;=01_因子設定!$M$5+0.000000001,E2889&gt;=01_因子設定!$L$6-0.000000001,E2889&lt;=01_因子設定!$M$6+0.000000001,F2889&gt;=01_因子設定!$L$7-0.000000001,F2889&lt;=01_因子設定!$M$7+0.000000001,IF(01_因子設定!$B$20="Box-Behnken",D2889^2+E2889^2+F2889^2&lt;=2+0.000000001,TRUE()))</f>
        <v>1</v>
      </c>
      <c r="W2889" s="55" t="n">
        <f aca="false">IF(V2889,IF(01_因子設定!$B$13="最大化",T2889-01_因子設定!$B$14,IF(01_因子設定!$B$13="最小化",01_因子設定!$B$15-U2889,MIN(T2889-01_因子設定!$B$14,01_因子設定!$B$15-U2889))),-1E+030)</f>
        <v>-0.250420018027192</v>
      </c>
      <c r="X2889" s="55" t="n">
        <f aca="false">IF(V2889,IF(01_因子設定!$B$13="最大化",Q2889,IF(01_因子設定!$B$13="最小化",-Q2889,-ABS(Q2889-01_因子設定!$B$16))),-1E+030)</f>
        <v>49.37921875</v>
      </c>
      <c r="Y2889" s="55" t="n">
        <f aca="false">W2889+ROW()*0.000000001</f>
        <v>-0.250417129027192</v>
      </c>
      <c r="Z2889" s="55" t="n">
        <f aca="false">X2889+ROW()*0.000000001</f>
        <v>49.379221639</v>
      </c>
    </row>
    <row r="2890" customFormat="false" ht="15" hidden="false" customHeight="false" outlineLevel="0" collapsed="false">
      <c r="A2890" s="0" t="n">
        <v>9</v>
      </c>
      <c r="B2890" s="0" t="n">
        <v>16</v>
      </c>
      <c r="C2890" s="0" t="n">
        <v>12</v>
      </c>
      <c r="D2890" s="0" t="n">
        <f aca="false">-1+A2890*0.125</f>
        <v>0.125</v>
      </c>
      <c r="E2890" s="0" t="n">
        <f aca="false">-1+B2890*0.125</f>
        <v>1</v>
      </c>
      <c r="F2890" s="0" t="n">
        <f aca="false">-1+C2890*0.125</f>
        <v>0.5</v>
      </c>
      <c r="G2890" s="0" t="n">
        <f aca="false">1</f>
        <v>1</v>
      </c>
      <c r="H2890" s="0" t="n">
        <f aca="false">D2890</f>
        <v>0.125</v>
      </c>
      <c r="I2890" s="0" t="n">
        <f aca="false">E2890</f>
        <v>1</v>
      </c>
      <c r="J2890" s="0" t="n">
        <f aca="false">F2890</f>
        <v>0.5</v>
      </c>
      <c r="K2890" s="0" t="n">
        <f aca="false">D2890*E2890</f>
        <v>0.125</v>
      </c>
      <c r="L2890" s="0" t="n">
        <f aca="false">D2890*F2890</f>
        <v>0.0625</v>
      </c>
      <c r="M2890" s="0" t="n">
        <f aca="false">E2890*F2890</f>
        <v>0.5</v>
      </c>
      <c r="N2890" s="0" t="n">
        <f aca="false">D2890*D2890</f>
        <v>0.015625</v>
      </c>
      <c r="O2890" s="0" t="n">
        <f aca="false">E2890*E2890</f>
        <v>1</v>
      </c>
      <c r="P2890" s="0" t="n">
        <f aca="false">F2890*F2890</f>
        <v>0.25</v>
      </c>
      <c r="Q2890" s="0" t="n">
        <f aca="false">SUMPRODUCT(G2890:P2890,_XtX!$B$71:$K$71)</f>
        <v>49.4768607954546</v>
      </c>
      <c r="R2890" s="0" t="n">
        <f aca="false">SUMPRODUCT(MMULT(G2890:P2890,_XtX!$B$58:$K$67),G2890:P2890)</f>
        <v>0.476322798295455</v>
      </c>
      <c r="S2890" s="0" t="n">
        <f aca="false">04_回帰ANOVA!$K$19*04_回帰ANOVA!$K$14*SQRT(1+R2890)</f>
        <v>1.12968483630128</v>
      </c>
      <c r="T2890" s="0" t="n">
        <f aca="false">Q2890-S2890</f>
        <v>48.3471759591533</v>
      </c>
      <c r="U2890" s="0" t="n">
        <f aca="false">Q2890+S2890</f>
        <v>50.6065456317558</v>
      </c>
      <c r="V2890" s="54" t="b">
        <f aca="false">AND(D2890&gt;=01_因子設定!$L$5-0.000000001,D2890&lt;=01_因子設定!$M$5+0.000000001,E2890&gt;=01_因子設定!$L$6-0.000000001,E2890&lt;=01_因子設定!$M$6+0.000000001,F2890&gt;=01_因子設定!$L$7-0.000000001,F2890&lt;=01_因子設定!$M$7+0.000000001,IF(01_因子設定!$B$20="Box-Behnken",D2890^2+E2890^2+F2890^2&lt;=2+0.000000001,TRUE()))</f>
        <v>1</v>
      </c>
      <c r="W2890" s="55" t="n">
        <f aca="false">IF(V2890,IF(01_因子設定!$B$13="最大化",T2890-01_因子設定!$B$14,IF(01_因子設定!$B$13="最小化",01_因子設定!$B$15-U2890,MIN(T2890-01_因子設定!$B$14,01_因子設定!$B$15-U2890))),-1E+030)</f>
        <v>-0.152824040846717</v>
      </c>
      <c r="X2890" s="55" t="n">
        <f aca="false">IF(V2890,IF(01_因子設定!$B$13="最大化",Q2890,IF(01_因子設定!$B$13="最小化",-Q2890,-ABS(Q2890-01_因子設定!$B$16))),-1E+030)</f>
        <v>49.4768607954546</v>
      </c>
      <c r="Y2890" s="55" t="n">
        <f aca="false">W2890+ROW()*0.000000001</f>
        <v>-0.152821150846717</v>
      </c>
      <c r="Z2890" s="55" t="n">
        <f aca="false">X2890+ROW()*0.000000001</f>
        <v>49.4768636854546</v>
      </c>
    </row>
    <row r="2891" customFormat="false" ht="15" hidden="false" customHeight="false" outlineLevel="0" collapsed="false">
      <c r="A2891" s="0" t="n">
        <v>9</v>
      </c>
      <c r="B2891" s="0" t="n">
        <v>16</v>
      </c>
      <c r="C2891" s="0" t="n">
        <v>13</v>
      </c>
      <c r="D2891" s="0" t="n">
        <f aca="false">-1+A2891*0.125</f>
        <v>0.125</v>
      </c>
      <c r="E2891" s="0" t="n">
        <f aca="false">-1+B2891*0.125</f>
        <v>1</v>
      </c>
      <c r="F2891" s="0" t="n">
        <f aca="false">-1+C2891*0.125</f>
        <v>0.625</v>
      </c>
      <c r="G2891" s="0" t="n">
        <f aca="false">1</f>
        <v>1</v>
      </c>
      <c r="H2891" s="0" t="n">
        <f aca="false">D2891</f>
        <v>0.125</v>
      </c>
      <c r="I2891" s="0" t="n">
        <f aca="false">E2891</f>
        <v>1</v>
      </c>
      <c r="J2891" s="0" t="n">
        <f aca="false">F2891</f>
        <v>0.625</v>
      </c>
      <c r="K2891" s="0" t="n">
        <f aca="false">D2891*E2891</f>
        <v>0.125</v>
      </c>
      <c r="L2891" s="0" t="n">
        <f aca="false">D2891*F2891</f>
        <v>0.078125</v>
      </c>
      <c r="M2891" s="0" t="n">
        <f aca="false">E2891*F2891</f>
        <v>0.625</v>
      </c>
      <c r="N2891" s="0" t="n">
        <f aca="false">D2891*D2891</f>
        <v>0.015625</v>
      </c>
      <c r="O2891" s="0" t="n">
        <f aca="false">E2891*E2891</f>
        <v>1</v>
      </c>
      <c r="P2891" s="0" t="n">
        <f aca="false">F2891*F2891</f>
        <v>0.390625</v>
      </c>
      <c r="Q2891" s="0" t="n">
        <f aca="false">SUMPRODUCT(G2891:P2891,_XtX!$B$71:$K$71)</f>
        <v>49.5377130681818</v>
      </c>
      <c r="R2891" s="0" t="n">
        <f aca="false">SUMPRODUCT(MMULT(G2891:P2891,_XtX!$B$58:$K$67),G2891:P2891)</f>
        <v>0.489261696555398</v>
      </c>
      <c r="S2891" s="0" t="n">
        <f aca="false">04_回帰ANOVA!$K$19*04_回帰ANOVA!$K$14*SQRT(1+R2891)</f>
        <v>1.13462447083763</v>
      </c>
      <c r="T2891" s="0" t="n">
        <f aca="false">Q2891-S2891</f>
        <v>48.4030885973442</v>
      </c>
      <c r="U2891" s="0" t="n">
        <f aca="false">Q2891+S2891</f>
        <v>50.6723375390195</v>
      </c>
      <c r="V2891" s="54" t="b">
        <f aca="false">AND(D2891&gt;=01_因子設定!$L$5-0.000000001,D2891&lt;=01_因子設定!$M$5+0.000000001,E2891&gt;=01_因子設定!$L$6-0.000000001,E2891&lt;=01_因子設定!$M$6+0.000000001,F2891&gt;=01_因子設定!$L$7-0.000000001,F2891&lt;=01_因子設定!$M$7+0.000000001,IF(01_因子設定!$B$20="Box-Behnken",D2891^2+E2891^2+F2891^2&lt;=2+0.000000001,TRUE()))</f>
        <v>1</v>
      </c>
      <c r="W2891" s="55" t="n">
        <f aca="false">IF(V2891,IF(01_因子設定!$B$13="最大化",T2891-01_因子設定!$B$14,IF(01_因子設定!$B$13="最小化",01_因子設定!$B$15-U2891,MIN(T2891-01_因子設定!$B$14,01_因子設定!$B$15-U2891))),-1E+030)</f>
        <v>-0.0969114026557989</v>
      </c>
      <c r="X2891" s="55" t="n">
        <f aca="false">IF(V2891,IF(01_因子設定!$B$13="最大化",Q2891,IF(01_因子設定!$B$13="最小化",-Q2891,-ABS(Q2891-01_因子設定!$B$16))),-1E+030)</f>
        <v>49.5377130681818</v>
      </c>
      <c r="Y2891" s="55" t="n">
        <f aca="false">W2891+ROW()*0.000000001</f>
        <v>-0.0969085116557989</v>
      </c>
      <c r="Z2891" s="55" t="n">
        <f aca="false">X2891+ROW()*0.000000001</f>
        <v>49.5377159591818</v>
      </c>
    </row>
    <row r="2892" customFormat="false" ht="15" hidden="false" customHeight="false" outlineLevel="0" collapsed="false">
      <c r="A2892" s="0" t="n">
        <v>9</v>
      </c>
      <c r="B2892" s="0" t="n">
        <v>16</v>
      </c>
      <c r="C2892" s="0" t="n">
        <v>14</v>
      </c>
      <c r="D2892" s="0" t="n">
        <f aca="false">-1+A2892*0.125</f>
        <v>0.125</v>
      </c>
      <c r="E2892" s="0" t="n">
        <f aca="false">-1+B2892*0.125</f>
        <v>1</v>
      </c>
      <c r="F2892" s="0" t="n">
        <f aca="false">-1+C2892*0.125</f>
        <v>0.75</v>
      </c>
      <c r="G2892" s="0" t="n">
        <f aca="false">1</f>
        <v>1</v>
      </c>
      <c r="H2892" s="0" t="n">
        <f aca="false">D2892</f>
        <v>0.125</v>
      </c>
      <c r="I2892" s="0" t="n">
        <f aca="false">E2892</f>
        <v>1</v>
      </c>
      <c r="J2892" s="0" t="n">
        <f aca="false">F2892</f>
        <v>0.75</v>
      </c>
      <c r="K2892" s="0" t="n">
        <f aca="false">D2892*E2892</f>
        <v>0.125</v>
      </c>
      <c r="L2892" s="0" t="n">
        <f aca="false">D2892*F2892</f>
        <v>0.09375</v>
      </c>
      <c r="M2892" s="0" t="n">
        <f aca="false">E2892*F2892</f>
        <v>0.75</v>
      </c>
      <c r="N2892" s="0" t="n">
        <f aca="false">D2892*D2892</f>
        <v>0.015625</v>
      </c>
      <c r="O2892" s="0" t="n">
        <f aca="false">E2892*E2892</f>
        <v>1</v>
      </c>
      <c r="P2892" s="0" t="n">
        <f aca="false">F2892*F2892</f>
        <v>0.5625</v>
      </c>
      <c r="Q2892" s="0" t="n">
        <f aca="false">SUMPRODUCT(G2892:P2892,_XtX!$B$71:$K$71)</f>
        <v>49.5617755681818</v>
      </c>
      <c r="R2892" s="0" t="n">
        <f aca="false">SUMPRODUCT(MMULT(G2892:P2892,_XtX!$B$58:$K$67),G2892:P2892)</f>
        <v>0.524607155539773</v>
      </c>
      <c r="S2892" s="0" t="n">
        <f aca="false">04_回帰ANOVA!$K$19*04_回帰ANOVA!$K$14*SQRT(1+R2892)</f>
        <v>1.14800984623412</v>
      </c>
      <c r="T2892" s="0" t="n">
        <f aca="false">Q2892-S2892</f>
        <v>48.4137657219477</v>
      </c>
      <c r="U2892" s="0" t="n">
        <f aca="false">Q2892+S2892</f>
        <v>50.709785414416</v>
      </c>
      <c r="V2892" s="54" t="b">
        <f aca="false">AND(D2892&gt;=01_因子設定!$L$5-0.000000001,D2892&lt;=01_因子設定!$M$5+0.000000001,E2892&gt;=01_因子設定!$L$6-0.000000001,E2892&lt;=01_因子設定!$M$6+0.000000001,F2892&gt;=01_因子設定!$L$7-0.000000001,F2892&lt;=01_因子設定!$M$7+0.000000001,IF(01_因子設定!$B$20="Box-Behnken",D2892^2+E2892^2+F2892^2&lt;=2+0.000000001,TRUE()))</f>
        <v>1</v>
      </c>
      <c r="W2892" s="55" t="n">
        <f aca="false">IF(V2892,IF(01_因子設定!$B$13="最大化",T2892-01_因子設定!$B$14,IF(01_因子設定!$B$13="最小化",01_因子設定!$B$15-U2892,MIN(T2892-01_因子設定!$B$14,01_因子設定!$B$15-U2892))),-1E+030)</f>
        <v>-0.0862342780522738</v>
      </c>
      <c r="X2892" s="55" t="n">
        <f aca="false">IF(V2892,IF(01_因子設定!$B$13="最大化",Q2892,IF(01_因子設定!$B$13="最小化",-Q2892,-ABS(Q2892-01_因子設定!$B$16))),-1E+030)</f>
        <v>49.5617755681818</v>
      </c>
      <c r="Y2892" s="55" t="n">
        <f aca="false">W2892+ROW()*0.000000001</f>
        <v>-0.0862313860522738</v>
      </c>
      <c r="Z2892" s="55" t="n">
        <f aca="false">X2892+ROW()*0.000000001</f>
        <v>49.5617784601818</v>
      </c>
    </row>
    <row r="2893" customFormat="false" ht="15" hidden="false" customHeight="false" outlineLevel="0" collapsed="false">
      <c r="A2893" s="0" t="n">
        <v>9</v>
      </c>
      <c r="B2893" s="0" t="n">
        <v>16</v>
      </c>
      <c r="C2893" s="0" t="n">
        <v>15</v>
      </c>
      <c r="D2893" s="0" t="n">
        <f aca="false">-1+A2893*0.125</f>
        <v>0.125</v>
      </c>
      <c r="E2893" s="0" t="n">
        <f aca="false">-1+B2893*0.125</f>
        <v>1</v>
      </c>
      <c r="F2893" s="0" t="n">
        <f aca="false">-1+C2893*0.125</f>
        <v>0.875</v>
      </c>
      <c r="G2893" s="0" t="n">
        <f aca="false">1</f>
        <v>1</v>
      </c>
      <c r="H2893" s="0" t="n">
        <f aca="false">D2893</f>
        <v>0.125</v>
      </c>
      <c r="I2893" s="0" t="n">
        <f aca="false">E2893</f>
        <v>1</v>
      </c>
      <c r="J2893" s="0" t="n">
        <f aca="false">F2893</f>
        <v>0.875</v>
      </c>
      <c r="K2893" s="0" t="n">
        <f aca="false">D2893*E2893</f>
        <v>0.125</v>
      </c>
      <c r="L2893" s="0" t="n">
        <f aca="false">D2893*F2893</f>
        <v>0.109375</v>
      </c>
      <c r="M2893" s="0" t="n">
        <f aca="false">E2893*F2893</f>
        <v>0.875</v>
      </c>
      <c r="N2893" s="0" t="n">
        <f aca="false">D2893*D2893</f>
        <v>0.015625</v>
      </c>
      <c r="O2893" s="0" t="n">
        <f aca="false">E2893*E2893</f>
        <v>1</v>
      </c>
      <c r="P2893" s="0" t="n">
        <f aca="false">F2893*F2893</f>
        <v>0.765625</v>
      </c>
      <c r="Q2893" s="0" t="n">
        <f aca="false">SUMPRODUCT(G2893:P2893,_XtX!$B$71:$K$71)</f>
        <v>49.5490482954546</v>
      </c>
      <c r="R2893" s="0" t="n">
        <f aca="false">SUMPRODUCT(MMULT(G2893:P2893,_XtX!$B$58:$K$67),G2893:P2893)</f>
        <v>0.59407792524858</v>
      </c>
      <c r="S2893" s="0" t="n">
        <f aca="false">04_回帰ANOVA!$K$19*04_回帰ANOVA!$K$14*SQRT(1+R2893)</f>
        <v>1.17387380087722</v>
      </c>
      <c r="T2893" s="0" t="n">
        <f aca="false">Q2893-S2893</f>
        <v>48.3751744945774</v>
      </c>
      <c r="U2893" s="0" t="n">
        <f aca="false">Q2893+S2893</f>
        <v>50.7229220963318</v>
      </c>
      <c r="V2893" s="54" t="b">
        <f aca="false">AND(D2893&gt;=01_因子設定!$L$5-0.000000001,D2893&lt;=01_因子設定!$M$5+0.000000001,E2893&gt;=01_因子設定!$L$6-0.000000001,E2893&lt;=01_因子設定!$M$6+0.000000001,F2893&gt;=01_因子設定!$L$7-0.000000001,F2893&lt;=01_因子設定!$M$7+0.000000001,IF(01_因子設定!$B$20="Box-Behnken",D2893^2+E2893^2+F2893^2&lt;=2+0.000000001,TRUE()))</f>
        <v>1</v>
      </c>
      <c r="W2893" s="55" t="n">
        <f aca="false">IF(V2893,IF(01_因子設定!$B$13="最大化",T2893-01_因子設定!$B$14,IF(01_因子設定!$B$13="最小化",01_因子設定!$B$15-U2893,MIN(T2893-01_因子設定!$B$14,01_因子設定!$B$15-U2893))),-1E+030)</f>
        <v>-0.124825505422642</v>
      </c>
      <c r="X2893" s="55" t="n">
        <f aca="false">IF(V2893,IF(01_因子設定!$B$13="最大化",Q2893,IF(01_因子設定!$B$13="最小化",-Q2893,-ABS(Q2893-01_因子設定!$B$16))),-1E+030)</f>
        <v>49.5490482954546</v>
      </c>
      <c r="Y2893" s="55" t="n">
        <f aca="false">W2893+ROW()*0.000000001</f>
        <v>-0.124822612422642</v>
      </c>
      <c r="Z2893" s="55" t="n">
        <f aca="false">X2893+ROW()*0.000000001</f>
        <v>49.5490511884546</v>
      </c>
    </row>
    <row r="2894" customFormat="false" ht="15" hidden="false" customHeight="false" outlineLevel="0" collapsed="false">
      <c r="A2894" s="0" t="n">
        <v>9</v>
      </c>
      <c r="B2894" s="0" t="n">
        <v>16</v>
      </c>
      <c r="C2894" s="0" t="n">
        <v>16</v>
      </c>
      <c r="D2894" s="0" t="n">
        <f aca="false">-1+A2894*0.125</f>
        <v>0.125</v>
      </c>
      <c r="E2894" s="0" t="n">
        <f aca="false">-1+B2894*0.125</f>
        <v>1</v>
      </c>
      <c r="F2894" s="0" t="n">
        <f aca="false">-1+C2894*0.125</f>
        <v>1</v>
      </c>
      <c r="G2894" s="0" t="n">
        <f aca="false">1</f>
        <v>1</v>
      </c>
      <c r="H2894" s="0" t="n">
        <f aca="false">D2894</f>
        <v>0.125</v>
      </c>
      <c r="I2894" s="0" t="n">
        <f aca="false">E2894</f>
        <v>1</v>
      </c>
      <c r="J2894" s="0" t="n">
        <f aca="false">F2894</f>
        <v>1</v>
      </c>
      <c r="K2894" s="0" t="n">
        <f aca="false">D2894*E2894</f>
        <v>0.125</v>
      </c>
      <c r="L2894" s="0" t="n">
        <f aca="false">D2894*F2894</f>
        <v>0.125</v>
      </c>
      <c r="M2894" s="0" t="n">
        <f aca="false">E2894*F2894</f>
        <v>1</v>
      </c>
      <c r="N2894" s="0" t="n">
        <f aca="false">D2894*D2894</f>
        <v>0.015625</v>
      </c>
      <c r="O2894" s="0" t="n">
        <f aca="false">E2894*E2894</f>
        <v>1</v>
      </c>
      <c r="P2894" s="0" t="n">
        <f aca="false">F2894*F2894</f>
        <v>1</v>
      </c>
      <c r="Q2894" s="0" t="n">
        <f aca="false">SUMPRODUCT(G2894:P2894,_XtX!$B$71:$K$71)</f>
        <v>49.49953125</v>
      </c>
      <c r="R2894" s="0" t="n">
        <f aca="false">SUMPRODUCT(MMULT(G2894:P2894,_XtX!$B$58:$K$67),G2894:P2894)</f>
        <v>0.7115234375</v>
      </c>
      <c r="S2894" s="0" t="n">
        <f aca="false">04_回帰ANOVA!$K$19*04_回帰ANOVA!$K$14*SQRT(1+R2894)</f>
        <v>1.21634860506574</v>
      </c>
      <c r="T2894" s="0" t="n">
        <f aca="false">Q2894-S2894</f>
        <v>48.2831826449343</v>
      </c>
      <c r="U2894" s="0" t="n">
        <f aca="false">Q2894+S2894</f>
        <v>50.7158798550658</v>
      </c>
      <c r="V2894" s="54" t="b">
        <f aca="false">AND(D2894&gt;=01_因子設定!$L$5-0.000000001,D2894&lt;=01_因子設定!$M$5+0.000000001,E2894&gt;=01_因子設定!$L$6-0.000000001,E2894&lt;=01_因子設定!$M$6+0.000000001,F2894&gt;=01_因子設定!$L$7-0.000000001,F2894&lt;=01_因子設定!$M$7+0.000000001,IF(01_因子設定!$B$20="Box-Behnken",D2894^2+E2894^2+F2894^2&lt;=2+0.000000001,TRUE()))</f>
        <v>1</v>
      </c>
      <c r="W2894" s="55" t="n">
        <f aca="false">IF(V2894,IF(01_因子設定!$B$13="最大化",T2894-01_因子設定!$B$14,IF(01_因子設定!$B$13="最小化",01_因子設定!$B$15-U2894,MIN(T2894-01_因子設定!$B$14,01_因子設定!$B$15-U2894))),-1E+030)</f>
        <v>-0.2168173550657</v>
      </c>
      <c r="X2894" s="55" t="n">
        <f aca="false">IF(V2894,IF(01_因子設定!$B$13="最大化",Q2894,IF(01_因子設定!$B$13="最小化",-Q2894,-ABS(Q2894-01_因子設定!$B$16))),-1E+030)</f>
        <v>49.49953125</v>
      </c>
      <c r="Y2894" s="55" t="n">
        <f aca="false">W2894+ROW()*0.000000001</f>
        <v>-0.2168144610657</v>
      </c>
      <c r="Z2894" s="55" t="n">
        <f aca="false">X2894+ROW()*0.000000001</f>
        <v>49.499534144</v>
      </c>
    </row>
    <row r="2895" customFormat="false" ht="15" hidden="false" customHeight="false" outlineLevel="0" collapsed="false">
      <c r="A2895" s="0" t="n">
        <v>10</v>
      </c>
      <c r="B2895" s="0" t="n">
        <v>0</v>
      </c>
      <c r="C2895" s="0" t="n">
        <v>0</v>
      </c>
      <c r="D2895" s="0" t="n">
        <f aca="false">-1+A2895*0.125</f>
        <v>0.25</v>
      </c>
      <c r="E2895" s="0" t="n">
        <f aca="false">-1+B2895*0.125</f>
        <v>-1</v>
      </c>
      <c r="F2895" s="0" t="n">
        <f aca="false">-1+C2895*0.125</f>
        <v>-1</v>
      </c>
      <c r="G2895" s="0" t="n">
        <f aca="false">1</f>
        <v>1</v>
      </c>
      <c r="H2895" s="0" t="n">
        <f aca="false">D2895</f>
        <v>0.25</v>
      </c>
      <c r="I2895" s="0" t="n">
        <f aca="false">E2895</f>
        <v>-1</v>
      </c>
      <c r="J2895" s="0" t="n">
        <f aca="false">F2895</f>
        <v>-1</v>
      </c>
      <c r="K2895" s="0" t="n">
        <f aca="false">D2895*E2895</f>
        <v>-0.25</v>
      </c>
      <c r="L2895" s="0" t="n">
        <f aca="false">D2895*F2895</f>
        <v>-0.25</v>
      </c>
      <c r="M2895" s="0" t="n">
        <f aca="false">E2895*F2895</f>
        <v>1</v>
      </c>
      <c r="N2895" s="0" t="n">
        <f aca="false">D2895*D2895</f>
        <v>0.0625</v>
      </c>
      <c r="O2895" s="0" t="n">
        <f aca="false">E2895*E2895</f>
        <v>1</v>
      </c>
      <c r="P2895" s="0" t="n">
        <f aca="false">F2895*F2895</f>
        <v>1</v>
      </c>
      <c r="Q2895" s="0" t="n">
        <f aca="false">SUMPRODUCT(G2895:P2895,_XtX!$B$71:$K$71)</f>
        <v>42.4077840909091</v>
      </c>
      <c r="R2895" s="0" t="n">
        <f aca="false">SUMPRODUCT(MMULT(G2895:P2895,_XtX!$B$58:$K$67),G2895:P2895)</f>
        <v>0.699431818181818</v>
      </c>
      <c r="S2895" s="0" t="n">
        <f aca="false">04_回帰ANOVA!$K$19*04_回帰ANOVA!$K$14*SQRT(1+R2895)</f>
        <v>1.21204434231192</v>
      </c>
      <c r="T2895" s="0" t="n">
        <f aca="false">Q2895-S2895</f>
        <v>41.1957397485972</v>
      </c>
      <c r="U2895" s="0" t="n">
        <f aca="false">Q2895+S2895</f>
        <v>43.619828433221</v>
      </c>
      <c r="V2895" s="54" t="b">
        <f aca="false">AND(D2895&gt;=01_因子設定!$L$5-0.000000001,D2895&lt;=01_因子設定!$M$5+0.000000001,E2895&gt;=01_因子設定!$L$6-0.000000001,E2895&lt;=01_因子設定!$M$6+0.000000001,F2895&gt;=01_因子設定!$L$7-0.000000001,F2895&lt;=01_因子設定!$M$7+0.000000001,IF(01_因子設定!$B$20="Box-Behnken",D2895^2+E2895^2+F2895^2&lt;=2+0.000000001,TRUE()))</f>
        <v>1</v>
      </c>
      <c r="W2895" s="55" t="n">
        <f aca="false">IF(V2895,IF(01_因子設定!$B$13="最大化",T2895-01_因子設定!$B$14,IF(01_因子設定!$B$13="最小化",01_因子設定!$B$15-U2895,MIN(T2895-01_因子設定!$B$14,01_因子設定!$B$15-U2895))),-1E+030)</f>
        <v>-7.3042602514028</v>
      </c>
      <c r="X2895" s="55" t="n">
        <f aca="false">IF(V2895,IF(01_因子設定!$B$13="最大化",Q2895,IF(01_因子設定!$B$13="最小化",-Q2895,-ABS(Q2895-01_因子設定!$B$16))),-1E+030)</f>
        <v>42.4077840909091</v>
      </c>
      <c r="Y2895" s="55" t="n">
        <f aca="false">W2895+ROW()*0.000000001</f>
        <v>-7.3042573564028</v>
      </c>
      <c r="Z2895" s="55" t="n">
        <f aca="false">X2895+ROW()*0.000000001</f>
        <v>42.4077869859091</v>
      </c>
    </row>
    <row r="2896" customFormat="false" ht="15" hidden="false" customHeight="false" outlineLevel="0" collapsed="false">
      <c r="A2896" s="0" t="n">
        <v>10</v>
      </c>
      <c r="B2896" s="0" t="n">
        <v>0</v>
      </c>
      <c r="C2896" s="0" t="n">
        <v>1</v>
      </c>
      <c r="D2896" s="0" t="n">
        <f aca="false">-1+A2896*0.125</f>
        <v>0.25</v>
      </c>
      <c r="E2896" s="0" t="n">
        <f aca="false">-1+B2896*0.125</f>
        <v>-1</v>
      </c>
      <c r="F2896" s="0" t="n">
        <f aca="false">-1+C2896*0.125</f>
        <v>-0.875</v>
      </c>
      <c r="G2896" s="0" t="n">
        <f aca="false">1</f>
        <v>1</v>
      </c>
      <c r="H2896" s="0" t="n">
        <f aca="false">D2896</f>
        <v>0.25</v>
      </c>
      <c r="I2896" s="0" t="n">
        <f aca="false">E2896</f>
        <v>-1</v>
      </c>
      <c r="J2896" s="0" t="n">
        <f aca="false">F2896</f>
        <v>-0.875</v>
      </c>
      <c r="K2896" s="0" t="n">
        <f aca="false">D2896*E2896</f>
        <v>-0.25</v>
      </c>
      <c r="L2896" s="0" t="n">
        <f aca="false">D2896*F2896</f>
        <v>-0.21875</v>
      </c>
      <c r="M2896" s="0" t="n">
        <f aca="false">E2896*F2896</f>
        <v>0.875</v>
      </c>
      <c r="N2896" s="0" t="n">
        <f aca="false">D2896*D2896</f>
        <v>0.0625</v>
      </c>
      <c r="O2896" s="0" t="n">
        <f aca="false">E2896*E2896</f>
        <v>1</v>
      </c>
      <c r="P2896" s="0" t="n">
        <f aca="false">F2896*F2896</f>
        <v>0.765625</v>
      </c>
      <c r="Q2896" s="0" t="n">
        <f aca="false">SUMPRODUCT(G2896:P2896,_XtX!$B$71:$K$71)</f>
        <v>42.7952698863637</v>
      </c>
      <c r="R2896" s="0" t="n">
        <f aca="false">SUMPRODUCT(MMULT(G2896:P2896,_XtX!$B$58:$K$67),G2896:P2896)</f>
        <v>0.583609286221591</v>
      </c>
      <c r="S2896" s="0" t="n">
        <f aca="false">04_回帰ANOVA!$K$19*04_回帰ANOVA!$K$14*SQRT(1+R2896)</f>
        <v>1.1700129157584</v>
      </c>
      <c r="T2896" s="0" t="n">
        <f aca="false">Q2896-S2896</f>
        <v>41.6252569706053</v>
      </c>
      <c r="U2896" s="0" t="n">
        <f aca="false">Q2896+S2896</f>
        <v>43.9652828021221</v>
      </c>
      <c r="V2896" s="54" t="b">
        <f aca="false">AND(D2896&gt;=01_因子設定!$L$5-0.000000001,D2896&lt;=01_因子設定!$M$5+0.000000001,E2896&gt;=01_因子設定!$L$6-0.000000001,E2896&lt;=01_因子設定!$M$6+0.000000001,F2896&gt;=01_因子設定!$L$7-0.000000001,F2896&lt;=01_因子設定!$M$7+0.000000001,IF(01_因子設定!$B$20="Box-Behnken",D2896^2+E2896^2+F2896^2&lt;=2+0.000000001,TRUE()))</f>
        <v>1</v>
      </c>
      <c r="W2896" s="55" t="n">
        <f aca="false">IF(V2896,IF(01_因子設定!$B$13="最大化",T2896-01_因子設定!$B$14,IF(01_因子設定!$B$13="最小化",01_因子設定!$B$15-U2896,MIN(T2896-01_因子設定!$B$14,01_因子設定!$B$15-U2896))),-1E+030)</f>
        <v>-6.87474302939473</v>
      </c>
      <c r="X2896" s="55" t="n">
        <f aca="false">IF(V2896,IF(01_因子設定!$B$13="最大化",Q2896,IF(01_因子設定!$B$13="最小化",-Q2896,-ABS(Q2896-01_因子設定!$B$16))),-1E+030)</f>
        <v>42.7952698863637</v>
      </c>
      <c r="Y2896" s="55" t="n">
        <f aca="false">W2896+ROW()*0.000000001</f>
        <v>-6.87474013339473</v>
      </c>
      <c r="Z2896" s="55" t="n">
        <f aca="false">X2896+ROW()*0.000000001</f>
        <v>42.7952727823637</v>
      </c>
    </row>
    <row r="2897" customFormat="false" ht="15" hidden="false" customHeight="false" outlineLevel="0" collapsed="false">
      <c r="A2897" s="0" t="n">
        <v>10</v>
      </c>
      <c r="B2897" s="0" t="n">
        <v>0</v>
      </c>
      <c r="C2897" s="0" t="n">
        <v>2</v>
      </c>
      <c r="D2897" s="0" t="n">
        <f aca="false">-1+A2897*0.125</f>
        <v>0.25</v>
      </c>
      <c r="E2897" s="0" t="n">
        <f aca="false">-1+B2897*0.125</f>
        <v>-1</v>
      </c>
      <c r="F2897" s="0" t="n">
        <f aca="false">-1+C2897*0.125</f>
        <v>-0.75</v>
      </c>
      <c r="G2897" s="0" t="n">
        <f aca="false">1</f>
        <v>1</v>
      </c>
      <c r="H2897" s="0" t="n">
        <f aca="false">D2897</f>
        <v>0.25</v>
      </c>
      <c r="I2897" s="0" t="n">
        <f aca="false">E2897</f>
        <v>-1</v>
      </c>
      <c r="J2897" s="0" t="n">
        <f aca="false">F2897</f>
        <v>-0.75</v>
      </c>
      <c r="K2897" s="0" t="n">
        <f aca="false">D2897*E2897</f>
        <v>-0.25</v>
      </c>
      <c r="L2897" s="0" t="n">
        <f aca="false">D2897*F2897</f>
        <v>-0.1875</v>
      </c>
      <c r="M2897" s="0" t="n">
        <f aca="false">E2897*F2897</f>
        <v>0.75</v>
      </c>
      <c r="N2897" s="0" t="n">
        <f aca="false">D2897*D2897</f>
        <v>0.0625</v>
      </c>
      <c r="O2897" s="0" t="n">
        <f aca="false">E2897*E2897</f>
        <v>1</v>
      </c>
      <c r="P2897" s="0" t="n">
        <f aca="false">F2897*F2897</f>
        <v>0.5625</v>
      </c>
      <c r="Q2897" s="0" t="n">
        <f aca="false">SUMPRODUCT(G2897:P2897,_XtX!$B$71:$K$71)</f>
        <v>43.1459659090909</v>
      </c>
      <c r="R2897" s="0" t="n">
        <f aca="false">SUMPRODUCT(MMULT(G2897:P2897,_XtX!$B$58:$K$67),G2897:P2897)</f>
        <v>0.515545099431818</v>
      </c>
      <c r="S2897" s="0" t="n">
        <f aca="false">04_回帰ANOVA!$K$19*04_回帰ANOVA!$K$14*SQRT(1+R2897)</f>
        <v>1.14459295464101</v>
      </c>
      <c r="T2897" s="0" t="n">
        <f aca="false">Q2897-S2897</f>
        <v>42.0013729544499</v>
      </c>
      <c r="U2897" s="0" t="n">
        <f aca="false">Q2897+S2897</f>
        <v>44.2905588637319</v>
      </c>
      <c r="V2897" s="54" t="b">
        <f aca="false">AND(D2897&gt;=01_因子設定!$L$5-0.000000001,D2897&lt;=01_因子設定!$M$5+0.000000001,E2897&gt;=01_因子設定!$L$6-0.000000001,E2897&lt;=01_因子設定!$M$6+0.000000001,F2897&gt;=01_因子設定!$L$7-0.000000001,F2897&lt;=01_因子設定!$M$7+0.000000001,IF(01_因子設定!$B$20="Box-Behnken",D2897^2+E2897^2+F2897^2&lt;=2+0.000000001,TRUE()))</f>
        <v>1</v>
      </c>
      <c r="W2897" s="55" t="n">
        <f aca="false">IF(V2897,IF(01_因子設定!$B$13="最大化",T2897-01_因子設定!$B$14,IF(01_因子設定!$B$13="最小化",01_因子設定!$B$15-U2897,MIN(T2897-01_因子設定!$B$14,01_因子設定!$B$15-U2897))),-1E+030)</f>
        <v>-6.49862704555008</v>
      </c>
      <c r="X2897" s="55" t="n">
        <f aca="false">IF(V2897,IF(01_因子設定!$B$13="最大化",Q2897,IF(01_因子設定!$B$13="最小化",-Q2897,-ABS(Q2897-01_因子設定!$B$16))),-1E+030)</f>
        <v>43.1459659090909</v>
      </c>
      <c r="Y2897" s="55" t="n">
        <f aca="false">W2897+ROW()*0.000000001</f>
        <v>-6.49862414855008</v>
      </c>
      <c r="Z2897" s="55" t="n">
        <f aca="false">X2897+ROW()*0.000000001</f>
        <v>43.1459688060909</v>
      </c>
    </row>
    <row r="2898" customFormat="false" ht="15" hidden="false" customHeight="false" outlineLevel="0" collapsed="false">
      <c r="A2898" s="0" t="n">
        <v>10</v>
      </c>
      <c r="B2898" s="0" t="n">
        <v>0</v>
      </c>
      <c r="C2898" s="0" t="n">
        <v>3</v>
      </c>
      <c r="D2898" s="0" t="n">
        <f aca="false">-1+A2898*0.125</f>
        <v>0.25</v>
      </c>
      <c r="E2898" s="0" t="n">
        <f aca="false">-1+B2898*0.125</f>
        <v>-1</v>
      </c>
      <c r="F2898" s="0" t="n">
        <f aca="false">-1+C2898*0.125</f>
        <v>-0.625</v>
      </c>
      <c r="G2898" s="0" t="n">
        <f aca="false">1</f>
        <v>1</v>
      </c>
      <c r="H2898" s="0" t="n">
        <f aca="false">D2898</f>
        <v>0.25</v>
      </c>
      <c r="I2898" s="0" t="n">
        <f aca="false">E2898</f>
        <v>-1</v>
      </c>
      <c r="J2898" s="0" t="n">
        <f aca="false">F2898</f>
        <v>-0.625</v>
      </c>
      <c r="K2898" s="0" t="n">
        <f aca="false">D2898*E2898</f>
        <v>-0.25</v>
      </c>
      <c r="L2898" s="0" t="n">
        <f aca="false">D2898*F2898</f>
        <v>-0.15625</v>
      </c>
      <c r="M2898" s="0" t="n">
        <f aca="false">E2898*F2898</f>
        <v>0.625</v>
      </c>
      <c r="N2898" s="0" t="n">
        <f aca="false">D2898*D2898</f>
        <v>0.0625</v>
      </c>
      <c r="O2898" s="0" t="n">
        <f aca="false">E2898*E2898</f>
        <v>1</v>
      </c>
      <c r="P2898" s="0" t="n">
        <f aca="false">F2898*F2898</f>
        <v>0.390625</v>
      </c>
      <c r="Q2898" s="0" t="n">
        <f aca="false">SUMPRODUCT(G2898:P2898,_XtX!$B$71:$K$71)</f>
        <v>43.4598721590909</v>
      </c>
      <c r="R2898" s="0" t="n">
        <f aca="false">SUMPRODUCT(MMULT(G2898:P2898,_XtX!$B$58:$K$67),G2898:P2898)</f>
        <v>0.481389825994318</v>
      </c>
      <c r="S2898" s="0" t="n">
        <f aca="false">04_回帰ANOVA!$K$19*04_回帰ANOVA!$K$14*SQRT(1+R2898)</f>
        <v>1.13162182500693</v>
      </c>
      <c r="T2898" s="0" t="n">
        <f aca="false">Q2898-S2898</f>
        <v>42.328250334084</v>
      </c>
      <c r="U2898" s="0" t="n">
        <f aca="false">Q2898+S2898</f>
        <v>44.5914939840979</v>
      </c>
      <c r="V2898" s="54" t="b">
        <f aca="false">AND(D2898&gt;=01_因子設定!$L$5-0.000000001,D2898&lt;=01_因子設定!$M$5+0.000000001,E2898&gt;=01_因子設定!$L$6-0.000000001,E2898&lt;=01_因子設定!$M$6+0.000000001,F2898&gt;=01_因子設定!$L$7-0.000000001,F2898&lt;=01_因子設定!$M$7+0.000000001,IF(01_因子設定!$B$20="Box-Behnken",D2898^2+E2898^2+F2898^2&lt;=2+0.000000001,TRUE()))</f>
        <v>1</v>
      </c>
      <c r="W2898" s="55" t="n">
        <f aca="false">IF(V2898,IF(01_因子設定!$B$13="最大化",T2898-01_因子設定!$B$14,IF(01_因子設定!$B$13="最小化",01_因子設定!$B$15-U2898,MIN(T2898-01_因子設定!$B$14,01_因子設定!$B$15-U2898))),-1E+030)</f>
        <v>-6.171749665916</v>
      </c>
      <c r="X2898" s="55" t="n">
        <f aca="false">IF(V2898,IF(01_因子設定!$B$13="最大化",Q2898,IF(01_因子設定!$B$13="最小化",-Q2898,-ABS(Q2898-01_因子設定!$B$16))),-1E+030)</f>
        <v>43.4598721590909</v>
      </c>
      <c r="Y2898" s="55" t="n">
        <f aca="false">W2898+ROW()*0.000000001</f>
        <v>-6.171746767916</v>
      </c>
      <c r="Z2898" s="55" t="n">
        <f aca="false">X2898+ROW()*0.000000001</f>
        <v>43.4598750570909</v>
      </c>
    </row>
    <row r="2899" customFormat="false" ht="15" hidden="false" customHeight="false" outlineLevel="0" collapsed="false">
      <c r="A2899" s="0" t="n">
        <v>10</v>
      </c>
      <c r="B2899" s="0" t="n">
        <v>0</v>
      </c>
      <c r="C2899" s="0" t="n">
        <v>4</v>
      </c>
      <c r="D2899" s="0" t="n">
        <f aca="false">-1+A2899*0.125</f>
        <v>0.25</v>
      </c>
      <c r="E2899" s="0" t="n">
        <f aca="false">-1+B2899*0.125</f>
        <v>-1</v>
      </c>
      <c r="F2899" s="0" t="n">
        <f aca="false">-1+C2899*0.125</f>
        <v>-0.5</v>
      </c>
      <c r="G2899" s="0" t="n">
        <f aca="false">1</f>
        <v>1</v>
      </c>
      <c r="H2899" s="0" t="n">
        <f aca="false">D2899</f>
        <v>0.25</v>
      </c>
      <c r="I2899" s="0" t="n">
        <f aca="false">E2899</f>
        <v>-1</v>
      </c>
      <c r="J2899" s="0" t="n">
        <f aca="false">F2899</f>
        <v>-0.5</v>
      </c>
      <c r="K2899" s="0" t="n">
        <f aca="false">D2899*E2899</f>
        <v>-0.25</v>
      </c>
      <c r="L2899" s="0" t="n">
        <f aca="false">D2899*F2899</f>
        <v>-0.125</v>
      </c>
      <c r="M2899" s="0" t="n">
        <f aca="false">E2899*F2899</f>
        <v>0.5</v>
      </c>
      <c r="N2899" s="0" t="n">
        <f aca="false">D2899*D2899</f>
        <v>0.0625</v>
      </c>
      <c r="O2899" s="0" t="n">
        <f aca="false">E2899*E2899</f>
        <v>1</v>
      </c>
      <c r="P2899" s="0" t="n">
        <f aca="false">F2899*F2899</f>
        <v>0.25</v>
      </c>
      <c r="Q2899" s="0" t="n">
        <f aca="false">SUMPRODUCT(G2899:P2899,_XtX!$B$71:$K$71)</f>
        <v>43.7369886363637</v>
      </c>
      <c r="R2899" s="0" t="n">
        <f aca="false">SUMPRODUCT(MMULT(G2899:P2899,_XtX!$B$58:$K$67),G2899:P2899)</f>
        <v>0.469424715909091</v>
      </c>
      <c r="S2899" s="0" t="n">
        <f aca="false">04_回帰ANOVA!$K$19*04_回帰ANOVA!$K$14*SQRT(1+R2899)</f>
        <v>1.12704253369596</v>
      </c>
      <c r="T2899" s="0" t="n">
        <f aca="false">Q2899-S2899</f>
        <v>42.6099461026677</v>
      </c>
      <c r="U2899" s="0" t="n">
        <f aca="false">Q2899+S2899</f>
        <v>44.8640311700596</v>
      </c>
      <c r="V2899" s="54" t="b">
        <f aca="false">AND(D2899&gt;=01_因子設定!$L$5-0.000000001,D2899&lt;=01_因子設定!$M$5+0.000000001,E2899&gt;=01_因子設定!$L$6-0.000000001,E2899&lt;=01_因子設定!$M$6+0.000000001,F2899&gt;=01_因子設定!$L$7-0.000000001,F2899&lt;=01_因子設定!$M$7+0.000000001,IF(01_因子設定!$B$20="Box-Behnken",D2899^2+E2899^2+F2899^2&lt;=2+0.000000001,TRUE()))</f>
        <v>1</v>
      </c>
      <c r="W2899" s="55" t="n">
        <f aca="false">IF(V2899,IF(01_因子設定!$B$13="最大化",T2899-01_因子設定!$B$14,IF(01_因子設定!$B$13="最小化",01_因子設定!$B$15-U2899,MIN(T2899-01_因子設定!$B$14,01_因子設定!$B$15-U2899))),-1E+030)</f>
        <v>-5.8900538973323</v>
      </c>
      <c r="X2899" s="55" t="n">
        <f aca="false">IF(V2899,IF(01_因子設定!$B$13="最大化",Q2899,IF(01_因子設定!$B$13="最小化",-Q2899,-ABS(Q2899-01_因子設定!$B$16))),-1E+030)</f>
        <v>43.7369886363637</v>
      </c>
      <c r="Y2899" s="55" t="n">
        <f aca="false">W2899+ROW()*0.000000001</f>
        <v>-5.8900509983323</v>
      </c>
      <c r="Z2899" s="55" t="n">
        <f aca="false">X2899+ROW()*0.000000001</f>
        <v>43.7369915353637</v>
      </c>
    </row>
    <row r="2900" customFormat="false" ht="15" hidden="false" customHeight="false" outlineLevel="0" collapsed="false">
      <c r="A2900" s="0" t="n">
        <v>10</v>
      </c>
      <c r="B2900" s="0" t="n">
        <v>0</v>
      </c>
      <c r="C2900" s="0" t="n">
        <v>5</v>
      </c>
      <c r="D2900" s="0" t="n">
        <f aca="false">-1+A2900*0.125</f>
        <v>0.25</v>
      </c>
      <c r="E2900" s="0" t="n">
        <f aca="false">-1+B2900*0.125</f>
        <v>-1</v>
      </c>
      <c r="F2900" s="0" t="n">
        <f aca="false">-1+C2900*0.125</f>
        <v>-0.375</v>
      </c>
      <c r="G2900" s="0" t="n">
        <f aca="false">1</f>
        <v>1</v>
      </c>
      <c r="H2900" s="0" t="n">
        <f aca="false">D2900</f>
        <v>0.25</v>
      </c>
      <c r="I2900" s="0" t="n">
        <f aca="false">E2900</f>
        <v>-1</v>
      </c>
      <c r="J2900" s="0" t="n">
        <f aca="false">F2900</f>
        <v>-0.375</v>
      </c>
      <c r="K2900" s="0" t="n">
        <f aca="false">D2900*E2900</f>
        <v>-0.25</v>
      </c>
      <c r="L2900" s="0" t="n">
        <f aca="false">D2900*F2900</f>
        <v>-0.09375</v>
      </c>
      <c r="M2900" s="0" t="n">
        <f aca="false">E2900*F2900</f>
        <v>0.375</v>
      </c>
      <c r="N2900" s="0" t="n">
        <f aca="false">D2900*D2900</f>
        <v>0.0625</v>
      </c>
      <c r="O2900" s="0" t="n">
        <f aca="false">E2900*E2900</f>
        <v>1</v>
      </c>
      <c r="P2900" s="0" t="n">
        <f aca="false">F2900*F2900</f>
        <v>0.140625</v>
      </c>
      <c r="Q2900" s="0" t="n">
        <f aca="false">SUMPRODUCT(G2900:P2900,_XtX!$B$71:$K$71)</f>
        <v>43.9773153409091</v>
      </c>
      <c r="R2900" s="0" t="n">
        <f aca="false">SUMPRODUCT(MMULT(G2900:P2900,_XtX!$B$58:$K$67),G2900:P2900)</f>
        <v>0.470061700994318</v>
      </c>
      <c r="S2900" s="0" t="n">
        <f aca="false">04_回帰ANOVA!$K$19*04_回帰ANOVA!$K$14*SQRT(1+R2900)</f>
        <v>1.12728678965931</v>
      </c>
      <c r="T2900" s="0" t="n">
        <f aca="false">Q2900-S2900</f>
        <v>42.8500285512498</v>
      </c>
      <c r="U2900" s="0" t="n">
        <f aca="false">Q2900+S2900</f>
        <v>45.1046021305684</v>
      </c>
      <c r="V2900" s="54" t="b">
        <f aca="false">AND(D2900&gt;=01_因子設定!$L$5-0.000000001,D2900&lt;=01_因子設定!$M$5+0.000000001,E2900&gt;=01_因子設定!$L$6-0.000000001,E2900&lt;=01_因子設定!$M$6+0.000000001,F2900&gt;=01_因子設定!$L$7-0.000000001,F2900&lt;=01_因子設定!$M$7+0.000000001,IF(01_因子設定!$B$20="Box-Behnken",D2900^2+E2900^2+F2900^2&lt;=2+0.000000001,TRUE()))</f>
        <v>1</v>
      </c>
      <c r="W2900" s="55" t="n">
        <f aca="false">IF(V2900,IF(01_因子設定!$B$13="最大化",T2900-01_因子設定!$B$14,IF(01_因子設定!$B$13="最小化",01_因子設定!$B$15-U2900,MIN(T2900-01_因子設定!$B$14,01_因子設定!$B$15-U2900))),-1E+030)</f>
        <v>-5.6499714487502</v>
      </c>
      <c r="X2900" s="55" t="n">
        <f aca="false">IF(V2900,IF(01_因子設定!$B$13="最大化",Q2900,IF(01_因子設定!$B$13="最小化",-Q2900,-ABS(Q2900-01_因子設定!$B$16))),-1E+030)</f>
        <v>43.9773153409091</v>
      </c>
      <c r="Y2900" s="55" t="n">
        <f aca="false">W2900+ROW()*0.000000001</f>
        <v>-5.6499685487502</v>
      </c>
      <c r="Z2900" s="55" t="n">
        <f aca="false">X2900+ROW()*0.000000001</f>
        <v>43.9773182409091</v>
      </c>
    </row>
    <row r="2901" customFormat="false" ht="15" hidden="false" customHeight="false" outlineLevel="0" collapsed="false">
      <c r="A2901" s="0" t="n">
        <v>10</v>
      </c>
      <c r="B2901" s="0" t="n">
        <v>0</v>
      </c>
      <c r="C2901" s="0" t="n">
        <v>6</v>
      </c>
      <c r="D2901" s="0" t="n">
        <f aca="false">-1+A2901*0.125</f>
        <v>0.25</v>
      </c>
      <c r="E2901" s="0" t="n">
        <f aca="false">-1+B2901*0.125</f>
        <v>-1</v>
      </c>
      <c r="F2901" s="0" t="n">
        <f aca="false">-1+C2901*0.125</f>
        <v>-0.25</v>
      </c>
      <c r="G2901" s="0" t="n">
        <f aca="false">1</f>
        <v>1</v>
      </c>
      <c r="H2901" s="0" t="n">
        <f aca="false">D2901</f>
        <v>0.25</v>
      </c>
      <c r="I2901" s="0" t="n">
        <f aca="false">E2901</f>
        <v>-1</v>
      </c>
      <c r="J2901" s="0" t="n">
        <f aca="false">F2901</f>
        <v>-0.25</v>
      </c>
      <c r="K2901" s="0" t="n">
        <f aca="false">D2901*E2901</f>
        <v>-0.25</v>
      </c>
      <c r="L2901" s="0" t="n">
        <f aca="false">D2901*F2901</f>
        <v>-0.0625</v>
      </c>
      <c r="M2901" s="0" t="n">
        <f aca="false">E2901*F2901</f>
        <v>0.25</v>
      </c>
      <c r="N2901" s="0" t="n">
        <f aca="false">D2901*D2901</f>
        <v>0.0625</v>
      </c>
      <c r="O2901" s="0" t="n">
        <f aca="false">E2901*E2901</f>
        <v>1</v>
      </c>
      <c r="P2901" s="0" t="n">
        <f aca="false">F2901*F2901</f>
        <v>0.0625</v>
      </c>
      <c r="Q2901" s="0" t="n">
        <f aca="false">SUMPRODUCT(G2901:P2901,_XtX!$B$71:$K$71)</f>
        <v>44.1808522727273</v>
      </c>
      <c r="R2901" s="0" t="n">
        <f aca="false">SUMPRODUCT(MMULT(G2901:P2901,_XtX!$B$58:$K$67),G2901:P2901)</f>
        <v>0.475843394886364</v>
      </c>
      <c r="S2901" s="0" t="n">
        <f aca="false">04_回帰ANOVA!$K$19*04_回帰ANOVA!$K$14*SQRT(1+R2901)</f>
        <v>1.12950140123694</v>
      </c>
      <c r="T2901" s="0" t="n">
        <f aca="false">Q2901-S2901</f>
        <v>43.0513508714904</v>
      </c>
      <c r="U2901" s="0" t="n">
        <f aca="false">Q2901+S2901</f>
        <v>45.3103536739642</v>
      </c>
      <c r="V2901" s="54" t="b">
        <f aca="false">AND(D2901&gt;=01_因子設定!$L$5-0.000000001,D2901&lt;=01_因子設定!$M$5+0.000000001,E2901&gt;=01_因子設定!$L$6-0.000000001,E2901&lt;=01_因子設定!$M$6+0.000000001,F2901&gt;=01_因子設定!$L$7-0.000000001,F2901&lt;=01_因子設定!$M$7+0.000000001,IF(01_因子設定!$B$20="Box-Behnken",D2901^2+E2901^2+F2901^2&lt;=2+0.000000001,TRUE()))</f>
        <v>1</v>
      </c>
      <c r="W2901" s="55" t="n">
        <f aca="false">IF(V2901,IF(01_因子設定!$B$13="最大化",T2901-01_因子設定!$B$14,IF(01_因子設定!$B$13="最小化",01_因子設定!$B$15-U2901,MIN(T2901-01_因子設定!$B$14,01_因子設定!$B$15-U2901))),-1E+030)</f>
        <v>-5.44864912850965</v>
      </c>
      <c r="X2901" s="55" t="n">
        <f aca="false">IF(V2901,IF(01_因子設定!$B$13="最大化",Q2901,IF(01_因子設定!$B$13="最小化",-Q2901,-ABS(Q2901-01_因子設定!$B$16))),-1E+030)</f>
        <v>44.1808522727273</v>
      </c>
      <c r="Y2901" s="55" t="n">
        <f aca="false">W2901+ROW()*0.000000001</f>
        <v>-5.44864622750965</v>
      </c>
      <c r="Z2901" s="55" t="n">
        <f aca="false">X2901+ROW()*0.000000001</f>
        <v>44.1808551737273</v>
      </c>
    </row>
    <row r="2902" customFormat="false" ht="15" hidden="false" customHeight="false" outlineLevel="0" collapsed="false">
      <c r="A2902" s="0" t="n">
        <v>10</v>
      </c>
      <c r="B2902" s="0" t="n">
        <v>0</v>
      </c>
      <c r="C2902" s="0" t="n">
        <v>7</v>
      </c>
      <c r="D2902" s="0" t="n">
        <f aca="false">-1+A2902*0.125</f>
        <v>0.25</v>
      </c>
      <c r="E2902" s="0" t="n">
        <f aca="false">-1+B2902*0.125</f>
        <v>-1</v>
      </c>
      <c r="F2902" s="0" t="n">
        <f aca="false">-1+C2902*0.125</f>
        <v>-0.125</v>
      </c>
      <c r="G2902" s="0" t="n">
        <f aca="false">1</f>
        <v>1</v>
      </c>
      <c r="H2902" s="0" t="n">
        <f aca="false">D2902</f>
        <v>0.25</v>
      </c>
      <c r="I2902" s="0" t="n">
        <f aca="false">E2902</f>
        <v>-1</v>
      </c>
      <c r="J2902" s="0" t="n">
        <f aca="false">F2902</f>
        <v>-0.125</v>
      </c>
      <c r="K2902" s="0" t="n">
        <f aca="false">D2902*E2902</f>
        <v>-0.25</v>
      </c>
      <c r="L2902" s="0" t="n">
        <f aca="false">D2902*F2902</f>
        <v>-0.03125</v>
      </c>
      <c r="M2902" s="0" t="n">
        <f aca="false">E2902*F2902</f>
        <v>0.125</v>
      </c>
      <c r="N2902" s="0" t="n">
        <f aca="false">D2902*D2902</f>
        <v>0.0625</v>
      </c>
      <c r="O2902" s="0" t="n">
        <f aca="false">E2902*E2902</f>
        <v>1</v>
      </c>
      <c r="P2902" s="0" t="n">
        <f aca="false">F2902*F2902</f>
        <v>0.015625</v>
      </c>
      <c r="Q2902" s="0" t="n">
        <f aca="false">SUMPRODUCT(G2902:P2902,_XtX!$B$71:$K$71)</f>
        <v>44.3475994318182</v>
      </c>
      <c r="R2902" s="0" t="n">
        <f aca="false">SUMPRODUCT(MMULT(G2902:P2902,_XtX!$B$58:$K$67),G2902:P2902)</f>
        <v>0.481443093039773</v>
      </c>
      <c r="S2902" s="0" t="n">
        <f aca="false">04_回帰ANOVA!$K$19*04_回帰ANOVA!$K$14*SQRT(1+R2902)</f>
        <v>1.13164216995877</v>
      </c>
      <c r="T2902" s="0" t="n">
        <f aca="false">Q2902-S2902</f>
        <v>43.2159572618594</v>
      </c>
      <c r="U2902" s="0" t="n">
        <f aca="false">Q2902+S2902</f>
        <v>45.479241601777</v>
      </c>
      <c r="V2902" s="54" t="b">
        <f aca="false">AND(D2902&gt;=01_因子設定!$L$5-0.000000001,D2902&lt;=01_因子設定!$M$5+0.000000001,E2902&gt;=01_因子設定!$L$6-0.000000001,E2902&lt;=01_因子設定!$M$6+0.000000001,F2902&gt;=01_因子設定!$L$7-0.000000001,F2902&lt;=01_因子設定!$M$7+0.000000001,IF(01_因子設定!$B$20="Box-Behnken",D2902^2+E2902^2+F2902^2&lt;=2+0.000000001,TRUE()))</f>
        <v>1</v>
      </c>
      <c r="W2902" s="55" t="n">
        <f aca="false">IF(V2902,IF(01_因子設定!$B$13="最大化",T2902-01_因子設定!$B$14,IF(01_因子設定!$B$13="最小化",01_因子設定!$B$15-U2902,MIN(T2902-01_因子設定!$B$14,01_因子設定!$B$15-U2902))),-1E+030)</f>
        <v>-5.28404273814057</v>
      </c>
      <c r="X2902" s="55" t="n">
        <f aca="false">IF(V2902,IF(01_因子設定!$B$13="最大化",Q2902,IF(01_因子設定!$B$13="最小化",-Q2902,-ABS(Q2902-01_因子設定!$B$16))),-1E+030)</f>
        <v>44.3475994318182</v>
      </c>
      <c r="Y2902" s="55" t="n">
        <f aca="false">W2902+ROW()*0.000000001</f>
        <v>-5.28403983614057</v>
      </c>
      <c r="Z2902" s="55" t="n">
        <f aca="false">X2902+ROW()*0.000000001</f>
        <v>44.3476023338182</v>
      </c>
    </row>
    <row r="2903" customFormat="false" ht="15" hidden="false" customHeight="false" outlineLevel="0" collapsed="false">
      <c r="A2903" s="0" t="n">
        <v>10</v>
      </c>
      <c r="B2903" s="0" t="n">
        <v>0</v>
      </c>
      <c r="C2903" s="0" t="n">
        <v>8</v>
      </c>
      <c r="D2903" s="0" t="n">
        <f aca="false">-1+A2903*0.125</f>
        <v>0.25</v>
      </c>
      <c r="E2903" s="0" t="n">
        <f aca="false">-1+B2903*0.125</f>
        <v>-1</v>
      </c>
      <c r="F2903" s="0" t="n">
        <f aca="false">-1+C2903*0.125</f>
        <v>0</v>
      </c>
      <c r="G2903" s="0" t="n">
        <f aca="false">1</f>
        <v>1</v>
      </c>
      <c r="H2903" s="0" t="n">
        <f aca="false">D2903</f>
        <v>0.25</v>
      </c>
      <c r="I2903" s="0" t="n">
        <f aca="false">E2903</f>
        <v>-1</v>
      </c>
      <c r="J2903" s="0" t="n">
        <f aca="false">F2903</f>
        <v>0</v>
      </c>
      <c r="K2903" s="0" t="n">
        <f aca="false">D2903*E2903</f>
        <v>-0.25</v>
      </c>
      <c r="L2903" s="0" t="n">
        <f aca="false">D2903*F2903</f>
        <v>0</v>
      </c>
      <c r="M2903" s="0" t="n">
        <f aca="false">E2903*F2903</f>
        <v>-0</v>
      </c>
      <c r="N2903" s="0" t="n">
        <f aca="false">D2903*D2903</f>
        <v>0.0625</v>
      </c>
      <c r="O2903" s="0" t="n">
        <f aca="false">E2903*E2903</f>
        <v>1</v>
      </c>
      <c r="P2903" s="0" t="n">
        <f aca="false">F2903*F2903</f>
        <v>0</v>
      </c>
      <c r="Q2903" s="0" t="n">
        <f aca="false">SUMPRODUCT(G2903:P2903,_XtX!$B$71:$K$71)</f>
        <v>44.4775568181818</v>
      </c>
      <c r="R2903" s="0" t="n">
        <f aca="false">SUMPRODUCT(MMULT(G2903:P2903,_XtX!$B$58:$K$67),G2903:P2903)</f>
        <v>0.483664772727273</v>
      </c>
      <c r="S2903" s="0" t="n">
        <f aca="false">04_回帰ANOVA!$K$19*04_回帰ANOVA!$K$14*SQRT(1+R2903)</f>
        <v>1.13249039846694</v>
      </c>
      <c r="T2903" s="0" t="n">
        <f aca="false">Q2903-S2903</f>
        <v>43.3450664197149</v>
      </c>
      <c r="U2903" s="0" t="n">
        <f aca="false">Q2903+S2903</f>
        <v>45.6100472166488</v>
      </c>
      <c r="V2903" s="54" t="b">
        <f aca="false">AND(D2903&gt;=01_因子設定!$L$5-0.000000001,D2903&lt;=01_因子設定!$M$5+0.000000001,E2903&gt;=01_因子設定!$L$6-0.000000001,E2903&lt;=01_因子設定!$M$6+0.000000001,F2903&gt;=01_因子設定!$L$7-0.000000001,F2903&lt;=01_因子設定!$M$7+0.000000001,IF(01_因子設定!$B$20="Box-Behnken",D2903^2+E2903^2+F2903^2&lt;=2+0.000000001,TRUE()))</f>
        <v>1</v>
      </c>
      <c r="W2903" s="55" t="n">
        <f aca="false">IF(V2903,IF(01_因子設定!$B$13="最大化",T2903-01_因子設定!$B$14,IF(01_因子設定!$B$13="最小化",01_因子設定!$B$15-U2903,MIN(T2903-01_因子設定!$B$14,01_因子設定!$B$15-U2903))),-1E+030)</f>
        <v>-5.1549335802851</v>
      </c>
      <c r="X2903" s="55" t="n">
        <f aca="false">IF(V2903,IF(01_因子設定!$B$13="最大化",Q2903,IF(01_因子設定!$B$13="最小化",-Q2903,-ABS(Q2903-01_因子設定!$B$16))),-1E+030)</f>
        <v>44.4775568181818</v>
      </c>
      <c r="Y2903" s="55" t="n">
        <f aca="false">W2903+ROW()*0.000000001</f>
        <v>-5.1549306772851</v>
      </c>
      <c r="Z2903" s="55" t="n">
        <f aca="false">X2903+ROW()*0.000000001</f>
        <v>44.4775597211818</v>
      </c>
    </row>
    <row r="2904" customFormat="false" ht="15" hidden="false" customHeight="false" outlineLevel="0" collapsed="false">
      <c r="A2904" s="0" t="n">
        <v>10</v>
      </c>
      <c r="B2904" s="0" t="n">
        <v>0</v>
      </c>
      <c r="C2904" s="0" t="n">
        <v>9</v>
      </c>
      <c r="D2904" s="0" t="n">
        <f aca="false">-1+A2904*0.125</f>
        <v>0.25</v>
      </c>
      <c r="E2904" s="0" t="n">
        <f aca="false">-1+B2904*0.125</f>
        <v>-1</v>
      </c>
      <c r="F2904" s="0" t="n">
        <f aca="false">-1+C2904*0.125</f>
        <v>0.125</v>
      </c>
      <c r="G2904" s="0" t="n">
        <f aca="false">1</f>
        <v>1</v>
      </c>
      <c r="H2904" s="0" t="n">
        <f aca="false">D2904</f>
        <v>0.25</v>
      </c>
      <c r="I2904" s="0" t="n">
        <f aca="false">E2904</f>
        <v>-1</v>
      </c>
      <c r="J2904" s="0" t="n">
        <f aca="false">F2904</f>
        <v>0.125</v>
      </c>
      <c r="K2904" s="0" t="n">
        <f aca="false">D2904*E2904</f>
        <v>-0.25</v>
      </c>
      <c r="L2904" s="0" t="n">
        <f aca="false">D2904*F2904</f>
        <v>0.03125</v>
      </c>
      <c r="M2904" s="0" t="n">
        <f aca="false">E2904*F2904</f>
        <v>-0.125</v>
      </c>
      <c r="N2904" s="0" t="n">
        <f aca="false">D2904*D2904</f>
        <v>0.0625</v>
      </c>
      <c r="O2904" s="0" t="n">
        <f aca="false">E2904*E2904</f>
        <v>1</v>
      </c>
      <c r="P2904" s="0" t="n">
        <f aca="false">F2904*F2904</f>
        <v>0.015625</v>
      </c>
      <c r="Q2904" s="0" t="n">
        <f aca="false">SUMPRODUCT(G2904:P2904,_XtX!$B$71:$K$71)</f>
        <v>44.5707244318182</v>
      </c>
      <c r="R2904" s="0" t="n">
        <f aca="false">SUMPRODUCT(MMULT(G2904:P2904,_XtX!$B$58:$K$67),G2904:P2904)</f>
        <v>0.481443093039773</v>
      </c>
      <c r="S2904" s="0" t="n">
        <f aca="false">04_回帰ANOVA!$K$19*04_回帰ANOVA!$K$14*SQRT(1+R2904)</f>
        <v>1.13164216995877</v>
      </c>
      <c r="T2904" s="0" t="n">
        <f aca="false">Q2904-S2904</f>
        <v>43.4390822618594</v>
      </c>
      <c r="U2904" s="0" t="n">
        <f aca="false">Q2904+S2904</f>
        <v>45.702366601777</v>
      </c>
      <c r="V2904" s="54" t="b">
        <f aca="false">AND(D2904&gt;=01_因子設定!$L$5-0.000000001,D2904&lt;=01_因子設定!$M$5+0.000000001,E2904&gt;=01_因子設定!$L$6-0.000000001,E2904&lt;=01_因子設定!$M$6+0.000000001,F2904&gt;=01_因子設定!$L$7-0.000000001,F2904&lt;=01_因子設定!$M$7+0.000000001,IF(01_因子設定!$B$20="Box-Behnken",D2904^2+E2904^2+F2904^2&lt;=2+0.000000001,TRUE()))</f>
        <v>1</v>
      </c>
      <c r="W2904" s="55" t="n">
        <f aca="false">IF(V2904,IF(01_因子設定!$B$13="最大化",T2904-01_因子設定!$B$14,IF(01_因子設定!$B$13="最小化",01_因子設定!$B$15-U2904,MIN(T2904-01_因子設定!$B$14,01_因子設定!$B$15-U2904))),-1E+030)</f>
        <v>-5.06091773814057</v>
      </c>
      <c r="X2904" s="55" t="n">
        <f aca="false">IF(V2904,IF(01_因子設定!$B$13="最大化",Q2904,IF(01_因子設定!$B$13="最小化",-Q2904,-ABS(Q2904-01_因子設定!$B$16))),-1E+030)</f>
        <v>44.5707244318182</v>
      </c>
      <c r="Y2904" s="55" t="n">
        <f aca="false">W2904+ROW()*0.000000001</f>
        <v>-5.06091483414058</v>
      </c>
      <c r="Z2904" s="55" t="n">
        <f aca="false">X2904+ROW()*0.000000001</f>
        <v>44.5707273358182</v>
      </c>
    </row>
    <row r="2905" customFormat="false" ht="15" hidden="false" customHeight="false" outlineLevel="0" collapsed="false">
      <c r="A2905" s="0" t="n">
        <v>10</v>
      </c>
      <c r="B2905" s="0" t="n">
        <v>0</v>
      </c>
      <c r="C2905" s="0" t="n">
        <v>10</v>
      </c>
      <c r="D2905" s="0" t="n">
        <f aca="false">-1+A2905*0.125</f>
        <v>0.25</v>
      </c>
      <c r="E2905" s="0" t="n">
        <f aca="false">-1+B2905*0.125</f>
        <v>-1</v>
      </c>
      <c r="F2905" s="0" t="n">
        <f aca="false">-1+C2905*0.125</f>
        <v>0.25</v>
      </c>
      <c r="G2905" s="0" t="n">
        <f aca="false">1</f>
        <v>1</v>
      </c>
      <c r="H2905" s="0" t="n">
        <f aca="false">D2905</f>
        <v>0.25</v>
      </c>
      <c r="I2905" s="0" t="n">
        <f aca="false">E2905</f>
        <v>-1</v>
      </c>
      <c r="J2905" s="0" t="n">
        <f aca="false">F2905</f>
        <v>0.25</v>
      </c>
      <c r="K2905" s="0" t="n">
        <f aca="false">D2905*E2905</f>
        <v>-0.25</v>
      </c>
      <c r="L2905" s="0" t="n">
        <f aca="false">D2905*F2905</f>
        <v>0.0625</v>
      </c>
      <c r="M2905" s="0" t="n">
        <f aca="false">E2905*F2905</f>
        <v>-0.25</v>
      </c>
      <c r="N2905" s="0" t="n">
        <f aca="false">D2905*D2905</f>
        <v>0.0625</v>
      </c>
      <c r="O2905" s="0" t="n">
        <f aca="false">E2905*E2905</f>
        <v>1</v>
      </c>
      <c r="P2905" s="0" t="n">
        <f aca="false">F2905*F2905</f>
        <v>0.0625</v>
      </c>
      <c r="Q2905" s="0" t="n">
        <f aca="false">SUMPRODUCT(G2905:P2905,_XtX!$B$71:$K$71)</f>
        <v>44.6271022727273</v>
      </c>
      <c r="R2905" s="0" t="n">
        <f aca="false">SUMPRODUCT(MMULT(G2905:P2905,_XtX!$B$58:$K$67),G2905:P2905)</f>
        <v>0.475843394886364</v>
      </c>
      <c r="S2905" s="0" t="n">
        <f aca="false">04_回帰ANOVA!$K$19*04_回帰ANOVA!$K$14*SQRT(1+R2905)</f>
        <v>1.12950140123694</v>
      </c>
      <c r="T2905" s="0" t="n">
        <f aca="false">Q2905-S2905</f>
        <v>43.4976008714904</v>
      </c>
      <c r="U2905" s="0" t="n">
        <f aca="false">Q2905+S2905</f>
        <v>45.7566036739642</v>
      </c>
      <c r="V2905" s="54" t="b">
        <f aca="false">AND(D2905&gt;=01_因子設定!$L$5-0.000000001,D2905&lt;=01_因子設定!$M$5+0.000000001,E2905&gt;=01_因子設定!$L$6-0.000000001,E2905&lt;=01_因子設定!$M$6+0.000000001,F2905&gt;=01_因子設定!$L$7-0.000000001,F2905&lt;=01_因子設定!$M$7+0.000000001,IF(01_因子設定!$B$20="Box-Behnken",D2905^2+E2905^2+F2905^2&lt;=2+0.000000001,TRUE()))</f>
        <v>1</v>
      </c>
      <c r="W2905" s="55" t="n">
        <f aca="false">IF(V2905,IF(01_因子設定!$B$13="最大化",T2905-01_因子設定!$B$14,IF(01_因子設定!$B$13="最小化",01_因子設定!$B$15-U2905,MIN(T2905-01_因子設定!$B$14,01_因子設定!$B$15-U2905))),-1E+030)</f>
        <v>-5.00239912850965</v>
      </c>
      <c r="X2905" s="55" t="n">
        <f aca="false">IF(V2905,IF(01_因子設定!$B$13="最大化",Q2905,IF(01_因子設定!$B$13="最小化",-Q2905,-ABS(Q2905-01_因子設定!$B$16))),-1E+030)</f>
        <v>44.6271022727273</v>
      </c>
      <c r="Y2905" s="55" t="n">
        <f aca="false">W2905+ROW()*0.000000001</f>
        <v>-5.00239622350965</v>
      </c>
      <c r="Z2905" s="55" t="n">
        <f aca="false">X2905+ROW()*0.000000001</f>
        <v>44.6271051777273</v>
      </c>
    </row>
    <row r="2906" customFormat="false" ht="15" hidden="false" customHeight="false" outlineLevel="0" collapsed="false">
      <c r="A2906" s="0" t="n">
        <v>10</v>
      </c>
      <c r="B2906" s="0" t="n">
        <v>0</v>
      </c>
      <c r="C2906" s="0" t="n">
        <v>11</v>
      </c>
      <c r="D2906" s="0" t="n">
        <f aca="false">-1+A2906*0.125</f>
        <v>0.25</v>
      </c>
      <c r="E2906" s="0" t="n">
        <f aca="false">-1+B2906*0.125</f>
        <v>-1</v>
      </c>
      <c r="F2906" s="0" t="n">
        <f aca="false">-1+C2906*0.125</f>
        <v>0.375</v>
      </c>
      <c r="G2906" s="0" t="n">
        <f aca="false">1</f>
        <v>1</v>
      </c>
      <c r="H2906" s="0" t="n">
        <f aca="false">D2906</f>
        <v>0.25</v>
      </c>
      <c r="I2906" s="0" t="n">
        <f aca="false">E2906</f>
        <v>-1</v>
      </c>
      <c r="J2906" s="0" t="n">
        <f aca="false">F2906</f>
        <v>0.375</v>
      </c>
      <c r="K2906" s="0" t="n">
        <f aca="false">D2906*E2906</f>
        <v>-0.25</v>
      </c>
      <c r="L2906" s="0" t="n">
        <f aca="false">D2906*F2906</f>
        <v>0.09375</v>
      </c>
      <c r="M2906" s="0" t="n">
        <f aca="false">E2906*F2906</f>
        <v>-0.375</v>
      </c>
      <c r="N2906" s="0" t="n">
        <f aca="false">D2906*D2906</f>
        <v>0.0625</v>
      </c>
      <c r="O2906" s="0" t="n">
        <f aca="false">E2906*E2906</f>
        <v>1</v>
      </c>
      <c r="P2906" s="0" t="n">
        <f aca="false">F2906*F2906</f>
        <v>0.140625</v>
      </c>
      <c r="Q2906" s="0" t="n">
        <f aca="false">SUMPRODUCT(G2906:P2906,_XtX!$B$71:$K$71)</f>
        <v>44.6466903409091</v>
      </c>
      <c r="R2906" s="0" t="n">
        <f aca="false">SUMPRODUCT(MMULT(G2906:P2906,_XtX!$B$58:$K$67),G2906:P2906)</f>
        <v>0.470061700994318</v>
      </c>
      <c r="S2906" s="0" t="n">
        <f aca="false">04_回帰ANOVA!$K$19*04_回帰ANOVA!$K$14*SQRT(1+R2906)</f>
        <v>1.12728678965931</v>
      </c>
      <c r="T2906" s="0" t="n">
        <f aca="false">Q2906-S2906</f>
        <v>43.5194035512498</v>
      </c>
      <c r="U2906" s="0" t="n">
        <f aca="false">Q2906+S2906</f>
        <v>45.7739771305684</v>
      </c>
      <c r="V2906" s="54" t="b">
        <f aca="false">AND(D2906&gt;=01_因子設定!$L$5-0.000000001,D2906&lt;=01_因子設定!$M$5+0.000000001,E2906&gt;=01_因子設定!$L$6-0.000000001,E2906&lt;=01_因子設定!$M$6+0.000000001,F2906&gt;=01_因子設定!$L$7-0.000000001,F2906&lt;=01_因子設定!$M$7+0.000000001,IF(01_因子設定!$B$20="Box-Behnken",D2906^2+E2906^2+F2906^2&lt;=2+0.000000001,TRUE()))</f>
        <v>1</v>
      </c>
      <c r="W2906" s="55" t="n">
        <f aca="false">IF(V2906,IF(01_因子設定!$B$13="最大化",T2906-01_因子設定!$B$14,IF(01_因子設定!$B$13="最小化",01_因子設定!$B$15-U2906,MIN(T2906-01_因子設定!$B$14,01_因子設定!$B$15-U2906))),-1E+030)</f>
        <v>-4.98059644875021</v>
      </c>
      <c r="X2906" s="55" t="n">
        <f aca="false">IF(V2906,IF(01_因子設定!$B$13="最大化",Q2906,IF(01_因子設定!$B$13="最小化",-Q2906,-ABS(Q2906-01_因子設定!$B$16))),-1E+030)</f>
        <v>44.6466903409091</v>
      </c>
      <c r="Y2906" s="55" t="n">
        <f aca="false">W2906+ROW()*0.000000001</f>
        <v>-4.98059354275021</v>
      </c>
      <c r="Z2906" s="55" t="n">
        <f aca="false">X2906+ROW()*0.000000001</f>
        <v>44.6466932469091</v>
      </c>
    </row>
    <row r="2907" customFormat="false" ht="15" hidden="false" customHeight="false" outlineLevel="0" collapsed="false">
      <c r="A2907" s="0" t="n">
        <v>10</v>
      </c>
      <c r="B2907" s="0" t="n">
        <v>0</v>
      </c>
      <c r="C2907" s="0" t="n">
        <v>12</v>
      </c>
      <c r="D2907" s="0" t="n">
        <f aca="false">-1+A2907*0.125</f>
        <v>0.25</v>
      </c>
      <c r="E2907" s="0" t="n">
        <f aca="false">-1+B2907*0.125</f>
        <v>-1</v>
      </c>
      <c r="F2907" s="0" t="n">
        <f aca="false">-1+C2907*0.125</f>
        <v>0.5</v>
      </c>
      <c r="G2907" s="0" t="n">
        <f aca="false">1</f>
        <v>1</v>
      </c>
      <c r="H2907" s="0" t="n">
        <f aca="false">D2907</f>
        <v>0.25</v>
      </c>
      <c r="I2907" s="0" t="n">
        <f aca="false">E2907</f>
        <v>-1</v>
      </c>
      <c r="J2907" s="0" t="n">
        <f aca="false">F2907</f>
        <v>0.5</v>
      </c>
      <c r="K2907" s="0" t="n">
        <f aca="false">D2907*E2907</f>
        <v>-0.25</v>
      </c>
      <c r="L2907" s="0" t="n">
        <f aca="false">D2907*F2907</f>
        <v>0.125</v>
      </c>
      <c r="M2907" s="0" t="n">
        <f aca="false">E2907*F2907</f>
        <v>-0.5</v>
      </c>
      <c r="N2907" s="0" t="n">
        <f aca="false">D2907*D2907</f>
        <v>0.0625</v>
      </c>
      <c r="O2907" s="0" t="n">
        <f aca="false">E2907*E2907</f>
        <v>1</v>
      </c>
      <c r="P2907" s="0" t="n">
        <f aca="false">F2907*F2907</f>
        <v>0.25</v>
      </c>
      <c r="Q2907" s="0" t="n">
        <f aca="false">SUMPRODUCT(G2907:P2907,_XtX!$B$71:$K$71)</f>
        <v>44.6294886363637</v>
      </c>
      <c r="R2907" s="0" t="n">
        <f aca="false">SUMPRODUCT(MMULT(G2907:P2907,_XtX!$B$58:$K$67),G2907:P2907)</f>
        <v>0.469424715909091</v>
      </c>
      <c r="S2907" s="0" t="n">
        <f aca="false">04_回帰ANOVA!$K$19*04_回帰ANOVA!$K$14*SQRT(1+R2907)</f>
        <v>1.12704253369596</v>
      </c>
      <c r="T2907" s="0" t="n">
        <f aca="false">Q2907-S2907</f>
        <v>43.5024461026677</v>
      </c>
      <c r="U2907" s="0" t="n">
        <f aca="false">Q2907+S2907</f>
        <v>45.7565311700596</v>
      </c>
      <c r="V2907" s="54" t="b">
        <f aca="false">AND(D2907&gt;=01_因子設定!$L$5-0.000000001,D2907&lt;=01_因子設定!$M$5+0.000000001,E2907&gt;=01_因子設定!$L$6-0.000000001,E2907&lt;=01_因子設定!$M$6+0.000000001,F2907&gt;=01_因子設定!$L$7-0.000000001,F2907&lt;=01_因子設定!$M$7+0.000000001,IF(01_因子設定!$B$20="Box-Behnken",D2907^2+E2907^2+F2907^2&lt;=2+0.000000001,TRUE()))</f>
        <v>1</v>
      </c>
      <c r="W2907" s="55" t="n">
        <f aca="false">IF(V2907,IF(01_因子設定!$B$13="最大化",T2907-01_因子設定!$B$14,IF(01_因子設定!$B$13="最小化",01_因子設定!$B$15-U2907,MIN(T2907-01_因子設定!$B$14,01_因子設定!$B$15-U2907))),-1E+030)</f>
        <v>-4.9975538973323</v>
      </c>
      <c r="X2907" s="55" t="n">
        <f aca="false">IF(V2907,IF(01_因子設定!$B$13="最大化",Q2907,IF(01_因子設定!$B$13="最小化",-Q2907,-ABS(Q2907-01_因子設定!$B$16))),-1E+030)</f>
        <v>44.6294886363637</v>
      </c>
      <c r="Y2907" s="55" t="n">
        <f aca="false">W2907+ROW()*0.000000001</f>
        <v>-4.9975509903323</v>
      </c>
      <c r="Z2907" s="55" t="n">
        <f aca="false">X2907+ROW()*0.000000001</f>
        <v>44.6294915433637</v>
      </c>
    </row>
    <row r="2908" customFormat="false" ht="15" hidden="false" customHeight="false" outlineLevel="0" collapsed="false">
      <c r="A2908" s="0" t="n">
        <v>10</v>
      </c>
      <c r="B2908" s="0" t="n">
        <v>0</v>
      </c>
      <c r="C2908" s="0" t="n">
        <v>13</v>
      </c>
      <c r="D2908" s="0" t="n">
        <f aca="false">-1+A2908*0.125</f>
        <v>0.25</v>
      </c>
      <c r="E2908" s="0" t="n">
        <f aca="false">-1+B2908*0.125</f>
        <v>-1</v>
      </c>
      <c r="F2908" s="0" t="n">
        <f aca="false">-1+C2908*0.125</f>
        <v>0.625</v>
      </c>
      <c r="G2908" s="0" t="n">
        <f aca="false">1</f>
        <v>1</v>
      </c>
      <c r="H2908" s="0" t="n">
        <f aca="false">D2908</f>
        <v>0.25</v>
      </c>
      <c r="I2908" s="0" t="n">
        <f aca="false">E2908</f>
        <v>-1</v>
      </c>
      <c r="J2908" s="0" t="n">
        <f aca="false">F2908</f>
        <v>0.625</v>
      </c>
      <c r="K2908" s="0" t="n">
        <f aca="false">D2908*E2908</f>
        <v>-0.25</v>
      </c>
      <c r="L2908" s="0" t="n">
        <f aca="false">D2908*F2908</f>
        <v>0.15625</v>
      </c>
      <c r="M2908" s="0" t="n">
        <f aca="false">E2908*F2908</f>
        <v>-0.625</v>
      </c>
      <c r="N2908" s="0" t="n">
        <f aca="false">D2908*D2908</f>
        <v>0.0625</v>
      </c>
      <c r="O2908" s="0" t="n">
        <f aca="false">E2908*E2908</f>
        <v>1</v>
      </c>
      <c r="P2908" s="0" t="n">
        <f aca="false">F2908*F2908</f>
        <v>0.390625</v>
      </c>
      <c r="Q2908" s="0" t="n">
        <f aca="false">SUMPRODUCT(G2908:P2908,_XtX!$B$71:$K$71)</f>
        <v>44.5754971590909</v>
      </c>
      <c r="R2908" s="0" t="n">
        <f aca="false">SUMPRODUCT(MMULT(G2908:P2908,_XtX!$B$58:$K$67),G2908:P2908)</f>
        <v>0.481389825994318</v>
      </c>
      <c r="S2908" s="0" t="n">
        <f aca="false">04_回帰ANOVA!$K$19*04_回帰ANOVA!$K$14*SQRT(1+R2908)</f>
        <v>1.13162182500693</v>
      </c>
      <c r="T2908" s="0" t="n">
        <f aca="false">Q2908-S2908</f>
        <v>43.443875334084</v>
      </c>
      <c r="U2908" s="0" t="n">
        <f aca="false">Q2908+S2908</f>
        <v>45.7071189840979</v>
      </c>
      <c r="V2908" s="54" t="b">
        <f aca="false">AND(D2908&gt;=01_因子設定!$L$5-0.000000001,D2908&lt;=01_因子設定!$M$5+0.000000001,E2908&gt;=01_因子設定!$L$6-0.000000001,E2908&lt;=01_因子設定!$M$6+0.000000001,F2908&gt;=01_因子設定!$L$7-0.000000001,F2908&lt;=01_因子設定!$M$7+0.000000001,IF(01_因子設定!$B$20="Box-Behnken",D2908^2+E2908^2+F2908^2&lt;=2+0.000000001,TRUE()))</f>
        <v>1</v>
      </c>
      <c r="W2908" s="55" t="n">
        <f aca="false">IF(V2908,IF(01_因子設定!$B$13="最大化",T2908-01_因子設定!$B$14,IF(01_因子設定!$B$13="最小化",01_因子設定!$B$15-U2908,MIN(T2908-01_因子設定!$B$14,01_因子設定!$B$15-U2908))),-1E+030)</f>
        <v>-5.056124665916</v>
      </c>
      <c r="X2908" s="55" t="n">
        <f aca="false">IF(V2908,IF(01_因子設定!$B$13="最大化",Q2908,IF(01_因子設定!$B$13="最小化",-Q2908,-ABS(Q2908-01_因子設定!$B$16))),-1E+030)</f>
        <v>44.5754971590909</v>
      </c>
      <c r="Y2908" s="55" t="n">
        <f aca="false">W2908+ROW()*0.000000001</f>
        <v>-5.056121757916</v>
      </c>
      <c r="Z2908" s="55" t="n">
        <f aca="false">X2908+ROW()*0.000000001</f>
        <v>44.5755000670909</v>
      </c>
    </row>
    <row r="2909" customFormat="false" ht="15" hidden="false" customHeight="false" outlineLevel="0" collapsed="false">
      <c r="A2909" s="0" t="n">
        <v>10</v>
      </c>
      <c r="B2909" s="0" t="n">
        <v>0</v>
      </c>
      <c r="C2909" s="0" t="n">
        <v>14</v>
      </c>
      <c r="D2909" s="0" t="n">
        <f aca="false">-1+A2909*0.125</f>
        <v>0.25</v>
      </c>
      <c r="E2909" s="0" t="n">
        <f aca="false">-1+B2909*0.125</f>
        <v>-1</v>
      </c>
      <c r="F2909" s="0" t="n">
        <f aca="false">-1+C2909*0.125</f>
        <v>0.75</v>
      </c>
      <c r="G2909" s="0" t="n">
        <f aca="false">1</f>
        <v>1</v>
      </c>
      <c r="H2909" s="0" t="n">
        <f aca="false">D2909</f>
        <v>0.25</v>
      </c>
      <c r="I2909" s="0" t="n">
        <f aca="false">E2909</f>
        <v>-1</v>
      </c>
      <c r="J2909" s="0" t="n">
        <f aca="false">F2909</f>
        <v>0.75</v>
      </c>
      <c r="K2909" s="0" t="n">
        <f aca="false">D2909*E2909</f>
        <v>-0.25</v>
      </c>
      <c r="L2909" s="0" t="n">
        <f aca="false">D2909*F2909</f>
        <v>0.1875</v>
      </c>
      <c r="M2909" s="0" t="n">
        <f aca="false">E2909*F2909</f>
        <v>-0.75</v>
      </c>
      <c r="N2909" s="0" t="n">
        <f aca="false">D2909*D2909</f>
        <v>0.0625</v>
      </c>
      <c r="O2909" s="0" t="n">
        <f aca="false">E2909*E2909</f>
        <v>1</v>
      </c>
      <c r="P2909" s="0" t="n">
        <f aca="false">F2909*F2909</f>
        <v>0.5625</v>
      </c>
      <c r="Q2909" s="0" t="n">
        <f aca="false">SUMPRODUCT(G2909:P2909,_XtX!$B$71:$K$71)</f>
        <v>44.4847159090909</v>
      </c>
      <c r="R2909" s="0" t="n">
        <f aca="false">SUMPRODUCT(MMULT(G2909:P2909,_XtX!$B$58:$K$67),G2909:P2909)</f>
        <v>0.515545099431818</v>
      </c>
      <c r="S2909" s="0" t="n">
        <f aca="false">04_回帰ANOVA!$K$19*04_回帰ANOVA!$K$14*SQRT(1+R2909)</f>
        <v>1.14459295464101</v>
      </c>
      <c r="T2909" s="0" t="n">
        <f aca="false">Q2909-S2909</f>
        <v>43.3401229544499</v>
      </c>
      <c r="U2909" s="0" t="n">
        <f aca="false">Q2909+S2909</f>
        <v>45.6293088637319</v>
      </c>
      <c r="V2909" s="54" t="b">
        <f aca="false">AND(D2909&gt;=01_因子設定!$L$5-0.000000001,D2909&lt;=01_因子設定!$M$5+0.000000001,E2909&gt;=01_因子設定!$L$6-0.000000001,E2909&lt;=01_因子設定!$M$6+0.000000001,F2909&gt;=01_因子設定!$L$7-0.000000001,F2909&lt;=01_因子設定!$M$7+0.000000001,IF(01_因子設定!$B$20="Box-Behnken",D2909^2+E2909^2+F2909^2&lt;=2+0.000000001,TRUE()))</f>
        <v>1</v>
      </c>
      <c r="W2909" s="55" t="n">
        <f aca="false">IF(V2909,IF(01_因子設定!$B$13="最大化",T2909-01_因子設定!$B$14,IF(01_因子設定!$B$13="最小化",01_因子設定!$B$15-U2909,MIN(T2909-01_因子設定!$B$14,01_因子設定!$B$15-U2909))),-1E+030)</f>
        <v>-5.15987704555008</v>
      </c>
      <c r="X2909" s="55" t="n">
        <f aca="false">IF(V2909,IF(01_因子設定!$B$13="最大化",Q2909,IF(01_因子設定!$B$13="最小化",-Q2909,-ABS(Q2909-01_因子設定!$B$16))),-1E+030)</f>
        <v>44.4847159090909</v>
      </c>
      <c r="Y2909" s="55" t="n">
        <f aca="false">W2909+ROW()*0.000000001</f>
        <v>-5.15987413655008</v>
      </c>
      <c r="Z2909" s="55" t="n">
        <f aca="false">X2909+ROW()*0.000000001</f>
        <v>44.4847188180909</v>
      </c>
    </row>
    <row r="2910" customFormat="false" ht="15" hidden="false" customHeight="false" outlineLevel="0" collapsed="false">
      <c r="A2910" s="0" t="n">
        <v>10</v>
      </c>
      <c r="B2910" s="0" t="n">
        <v>0</v>
      </c>
      <c r="C2910" s="0" t="n">
        <v>15</v>
      </c>
      <c r="D2910" s="0" t="n">
        <f aca="false">-1+A2910*0.125</f>
        <v>0.25</v>
      </c>
      <c r="E2910" s="0" t="n">
        <f aca="false">-1+B2910*0.125</f>
        <v>-1</v>
      </c>
      <c r="F2910" s="0" t="n">
        <f aca="false">-1+C2910*0.125</f>
        <v>0.875</v>
      </c>
      <c r="G2910" s="0" t="n">
        <f aca="false">1</f>
        <v>1</v>
      </c>
      <c r="H2910" s="0" t="n">
        <f aca="false">D2910</f>
        <v>0.25</v>
      </c>
      <c r="I2910" s="0" t="n">
        <f aca="false">E2910</f>
        <v>-1</v>
      </c>
      <c r="J2910" s="0" t="n">
        <f aca="false">F2910</f>
        <v>0.875</v>
      </c>
      <c r="K2910" s="0" t="n">
        <f aca="false">D2910*E2910</f>
        <v>-0.25</v>
      </c>
      <c r="L2910" s="0" t="n">
        <f aca="false">D2910*F2910</f>
        <v>0.21875</v>
      </c>
      <c r="M2910" s="0" t="n">
        <f aca="false">E2910*F2910</f>
        <v>-0.875</v>
      </c>
      <c r="N2910" s="0" t="n">
        <f aca="false">D2910*D2910</f>
        <v>0.0625</v>
      </c>
      <c r="O2910" s="0" t="n">
        <f aca="false">E2910*E2910</f>
        <v>1</v>
      </c>
      <c r="P2910" s="0" t="n">
        <f aca="false">F2910*F2910</f>
        <v>0.765625</v>
      </c>
      <c r="Q2910" s="0" t="n">
        <f aca="false">SUMPRODUCT(G2910:P2910,_XtX!$B$71:$K$71)</f>
        <v>44.3571448863637</v>
      </c>
      <c r="R2910" s="0" t="n">
        <f aca="false">SUMPRODUCT(MMULT(G2910:P2910,_XtX!$B$58:$K$67),G2910:P2910)</f>
        <v>0.583609286221591</v>
      </c>
      <c r="S2910" s="0" t="n">
        <f aca="false">04_回帰ANOVA!$K$19*04_回帰ANOVA!$K$14*SQRT(1+R2910)</f>
        <v>1.1700129157584</v>
      </c>
      <c r="T2910" s="0" t="n">
        <f aca="false">Q2910-S2910</f>
        <v>43.1871319706053</v>
      </c>
      <c r="U2910" s="0" t="n">
        <f aca="false">Q2910+S2910</f>
        <v>45.5271578021221</v>
      </c>
      <c r="V2910" s="54" t="b">
        <f aca="false">AND(D2910&gt;=01_因子設定!$L$5-0.000000001,D2910&lt;=01_因子設定!$M$5+0.000000001,E2910&gt;=01_因子設定!$L$6-0.000000001,E2910&lt;=01_因子設定!$M$6+0.000000001,F2910&gt;=01_因子設定!$L$7-0.000000001,F2910&lt;=01_因子設定!$M$7+0.000000001,IF(01_因子設定!$B$20="Box-Behnken",D2910^2+E2910^2+F2910^2&lt;=2+0.000000001,TRUE()))</f>
        <v>1</v>
      </c>
      <c r="W2910" s="55" t="n">
        <f aca="false">IF(V2910,IF(01_因子設定!$B$13="最大化",T2910-01_因子設定!$B$14,IF(01_因子設定!$B$13="最小化",01_因子設定!$B$15-U2910,MIN(T2910-01_因子設定!$B$14,01_因子設定!$B$15-U2910))),-1E+030)</f>
        <v>-5.31286802939473</v>
      </c>
      <c r="X2910" s="55" t="n">
        <f aca="false">IF(V2910,IF(01_因子設定!$B$13="最大化",Q2910,IF(01_因子設定!$B$13="最小化",-Q2910,-ABS(Q2910-01_因子設定!$B$16))),-1E+030)</f>
        <v>44.3571448863637</v>
      </c>
      <c r="Y2910" s="55" t="n">
        <f aca="false">W2910+ROW()*0.000000001</f>
        <v>-5.31286511939473</v>
      </c>
      <c r="Z2910" s="55" t="n">
        <f aca="false">X2910+ROW()*0.000000001</f>
        <v>44.3571477963637</v>
      </c>
    </row>
    <row r="2911" customFormat="false" ht="15" hidden="false" customHeight="false" outlineLevel="0" collapsed="false">
      <c r="A2911" s="0" t="n">
        <v>10</v>
      </c>
      <c r="B2911" s="0" t="n">
        <v>0</v>
      </c>
      <c r="C2911" s="0" t="n">
        <v>16</v>
      </c>
      <c r="D2911" s="0" t="n">
        <f aca="false">-1+A2911*0.125</f>
        <v>0.25</v>
      </c>
      <c r="E2911" s="0" t="n">
        <f aca="false">-1+B2911*0.125</f>
        <v>-1</v>
      </c>
      <c r="F2911" s="0" t="n">
        <f aca="false">-1+C2911*0.125</f>
        <v>1</v>
      </c>
      <c r="G2911" s="0" t="n">
        <f aca="false">1</f>
        <v>1</v>
      </c>
      <c r="H2911" s="0" t="n">
        <f aca="false">D2911</f>
        <v>0.25</v>
      </c>
      <c r="I2911" s="0" t="n">
        <f aca="false">E2911</f>
        <v>-1</v>
      </c>
      <c r="J2911" s="0" t="n">
        <f aca="false">F2911</f>
        <v>1</v>
      </c>
      <c r="K2911" s="0" t="n">
        <f aca="false">D2911*E2911</f>
        <v>-0.25</v>
      </c>
      <c r="L2911" s="0" t="n">
        <f aca="false">D2911*F2911</f>
        <v>0.25</v>
      </c>
      <c r="M2911" s="0" t="n">
        <f aca="false">E2911*F2911</f>
        <v>-1</v>
      </c>
      <c r="N2911" s="0" t="n">
        <f aca="false">D2911*D2911</f>
        <v>0.0625</v>
      </c>
      <c r="O2911" s="0" t="n">
        <f aca="false">E2911*E2911</f>
        <v>1</v>
      </c>
      <c r="P2911" s="0" t="n">
        <f aca="false">F2911*F2911</f>
        <v>1</v>
      </c>
      <c r="Q2911" s="0" t="n">
        <f aca="false">SUMPRODUCT(G2911:P2911,_XtX!$B$71:$K$71)</f>
        <v>44.1927840909091</v>
      </c>
      <c r="R2911" s="0" t="n">
        <f aca="false">SUMPRODUCT(MMULT(G2911:P2911,_XtX!$B$58:$K$67),G2911:P2911)</f>
        <v>0.699431818181818</v>
      </c>
      <c r="S2911" s="0" t="n">
        <f aca="false">04_回帰ANOVA!$K$19*04_回帰ANOVA!$K$14*SQRT(1+R2911)</f>
        <v>1.21204434231192</v>
      </c>
      <c r="T2911" s="0" t="n">
        <f aca="false">Q2911-S2911</f>
        <v>42.9807397485972</v>
      </c>
      <c r="U2911" s="0" t="n">
        <f aca="false">Q2911+S2911</f>
        <v>45.404828433221</v>
      </c>
      <c r="V2911" s="54" t="b">
        <f aca="false">AND(D2911&gt;=01_因子設定!$L$5-0.000000001,D2911&lt;=01_因子設定!$M$5+0.000000001,E2911&gt;=01_因子設定!$L$6-0.000000001,E2911&lt;=01_因子設定!$M$6+0.000000001,F2911&gt;=01_因子設定!$L$7-0.000000001,F2911&lt;=01_因子設定!$M$7+0.000000001,IF(01_因子設定!$B$20="Box-Behnken",D2911^2+E2911^2+F2911^2&lt;=2+0.000000001,TRUE()))</f>
        <v>1</v>
      </c>
      <c r="W2911" s="55" t="n">
        <f aca="false">IF(V2911,IF(01_因子設定!$B$13="最大化",T2911-01_因子設定!$B$14,IF(01_因子設定!$B$13="最小化",01_因子設定!$B$15-U2911,MIN(T2911-01_因子設定!$B$14,01_因子設定!$B$15-U2911))),-1E+030)</f>
        <v>-5.5192602514028</v>
      </c>
      <c r="X2911" s="55" t="n">
        <f aca="false">IF(V2911,IF(01_因子設定!$B$13="最大化",Q2911,IF(01_因子設定!$B$13="最小化",-Q2911,-ABS(Q2911-01_因子設定!$B$16))),-1E+030)</f>
        <v>44.1927840909091</v>
      </c>
      <c r="Y2911" s="55" t="n">
        <f aca="false">W2911+ROW()*0.000000001</f>
        <v>-5.5192573404028</v>
      </c>
      <c r="Z2911" s="55" t="n">
        <f aca="false">X2911+ROW()*0.000000001</f>
        <v>44.1927870019091</v>
      </c>
    </row>
    <row r="2912" customFormat="false" ht="15" hidden="false" customHeight="false" outlineLevel="0" collapsed="false">
      <c r="A2912" s="0" t="n">
        <v>10</v>
      </c>
      <c r="B2912" s="0" t="n">
        <v>1</v>
      </c>
      <c r="C2912" s="0" t="n">
        <v>0</v>
      </c>
      <c r="D2912" s="0" t="n">
        <f aca="false">-1+A2912*0.125</f>
        <v>0.25</v>
      </c>
      <c r="E2912" s="0" t="n">
        <f aca="false">-1+B2912*0.125</f>
        <v>-0.875</v>
      </c>
      <c r="F2912" s="0" t="n">
        <f aca="false">-1+C2912*0.125</f>
        <v>-1</v>
      </c>
      <c r="G2912" s="0" t="n">
        <f aca="false">1</f>
        <v>1</v>
      </c>
      <c r="H2912" s="0" t="n">
        <f aca="false">D2912</f>
        <v>0.25</v>
      </c>
      <c r="I2912" s="0" t="n">
        <f aca="false">E2912</f>
        <v>-0.875</v>
      </c>
      <c r="J2912" s="0" t="n">
        <f aca="false">F2912</f>
        <v>-1</v>
      </c>
      <c r="K2912" s="0" t="n">
        <f aca="false">D2912*E2912</f>
        <v>-0.21875</v>
      </c>
      <c r="L2912" s="0" t="n">
        <f aca="false">D2912*F2912</f>
        <v>-0.25</v>
      </c>
      <c r="M2912" s="0" t="n">
        <f aca="false">E2912*F2912</f>
        <v>0.875</v>
      </c>
      <c r="N2912" s="0" t="n">
        <f aca="false">D2912*D2912</f>
        <v>0.0625</v>
      </c>
      <c r="O2912" s="0" t="n">
        <f aca="false">E2912*E2912</f>
        <v>0.765625</v>
      </c>
      <c r="P2912" s="0" t="n">
        <f aca="false">F2912*F2912</f>
        <v>1</v>
      </c>
      <c r="Q2912" s="0" t="n">
        <f aca="false">SUMPRODUCT(G2912:P2912,_XtX!$B$71:$K$71)</f>
        <v>43.1237073863637</v>
      </c>
      <c r="R2912" s="0" t="n">
        <f aca="false">SUMPRODUCT(MMULT(G2912:P2912,_XtX!$B$58:$K$67),G2912:P2912)</f>
        <v>0.583609286221591</v>
      </c>
      <c r="S2912" s="0" t="n">
        <f aca="false">04_回帰ANOVA!$K$19*04_回帰ANOVA!$K$14*SQRT(1+R2912)</f>
        <v>1.1700129157584</v>
      </c>
      <c r="T2912" s="0" t="n">
        <f aca="false">Q2912-S2912</f>
        <v>41.9536944706053</v>
      </c>
      <c r="U2912" s="0" t="n">
        <f aca="false">Q2912+S2912</f>
        <v>44.2937203021221</v>
      </c>
      <c r="V2912" s="54" t="b">
        <f aca="false">AND(D2912&gt;=01_因子設定!$L$5-0.000000001,D2912&lt;=01_因子設定!$M$5+0.000000001,E2912&gt;=01_因子設定!$L$6-0.000000001,E2912&lt;=01_因子設定!$M$6+0.000000001,F2912&gt;=01_因子設定!$L$7-0.000000001,F2912&lt;=01_因子設定!$M$7+0.000000001,IF(01_因子設定!$B$20="Box-Behnken",D2912^2+E2912^2+F2912^2&lt;=2+0.000000001,TRUE()))</f>
        <v>1</v>
      </c>
      <c r="W2912" s="55" t="n">
        <f aca="false">IF(V2912,IF(01_因子設定!$B$13="最大化",T2912-01_因子設定!$B$14,IF(01_因子設定!$B$13="最小化",01_因子設定!$B$15-U2912,MIN(T2912-01_因子設定!$B$14,01_因子設定!$B$15-U2912))),-1E+030)</f>
        <v>-6.54630552939472</v>
      </c>
      <c r="X2912" s="55" t="n">
        <f aca="false">IF(V2912,IF(01_因子設定!$B$13="最大化",Q2912,IF(01_因子設定!$B$13="最小化",-Q2912,-ABS(Q2912-01_因子設定!$B$16))),-1E+030)</f>
        <v>43.1237073863637</v>
      </c>
      <c r="Y2912" s="55" t="n">
        <f aca="false">W2912+ROW()*0.000000001</f>
        <v>-6.54630261739472</v>
      </c>
      <c r="Z2912" s="55" t="n">
        <f aca="false">X2912+ROW()*0.000000001</f>
        <v>43.1237102983637</v>
      </c>
    </row>
    <row r="2913" customFormat="false" ht="15" hidden="false" customHeight="false" outlineLevel="0" collapsed="false">
      <c r="A2913" s="0" t="n">
        <v>10</v>
      </c>
      <c r="B2913" s="0" t="n">
        <v>1</v>
      </c>
      <c r="C2913" s="0" t="n">
        <v>1</v>
      </c>
      <c r="D2913" s="0" t="n">
        <f aca="false">-1+A2913*0.125</f>
        <v>0.25</v>
      </c>
      <c r="E2913" s="0" t="n">
        <f aca="false">-1+B2913*0.125</f>
        <v>-0.875</v>
      </c>
      <c r="F2913" s="0" t="n">
        <f aca="false">-1+C2913*0.125</f>
        <v>-0.875</v>
      </c>
      <c r="G2913" s="0" t="n">
        <f aca="false">1</f>
        <v>1</v>
      </c>
      <c r="H2913" s="0" t="n">
        <f aca="false">D2913</f>
        <v>0.25</v>
      </c>
      <c r="I2913" s="0" t="n">
        <f aca="false">E2913</f>
        <v>-0.875</v>
      </c>
      <c r="J2913" s="0" t="n">
        <f aca="false">F2913</f>
        <v>-0.875</v>
      </c>
      <c r="K2913" s="0" t="n">
        <f aca="false">D2913*E2913</f>
        <v>-0.21875</v>
      </c>
      <c r="L2913" s="0" t="n">
        <f aca="false">D2913*F2913</f>
        <v>-0.21875</v>
      </c>
      <c r="M2913" s="0" t="n">
        <f aca="false">E2913*F2913</f>
        <v>0.765625</v>
      </c>
      <c r="N2913" s="0" t="n">
        <f aca="false">D2913*D2913</f>
        <v>0.0625</v>
      </c>
      <c r="O2913" s="0" t="n">
        <f aca="false">E2913*E2913</f>
        <v>0.765625</v>
      </c>
      <c r="P2913" s="0" t="n">
        <f aca="false">F2913*F2913</f>
        <v>0.765625</v>
      </c>
      <c r="Q2913" s="0" t="n">
        <f aca="false">SUMPRODUCT(G2913:P2913,_XtX!$B$71:$K$71)</f>
        <v>43.5182244318182</v>
      </c>
      <c r="R2913" s="0" t="n">
        <f aca="false">SUMPRODUCT(MMULT(G2913:P2913,_XtX!$B$58:$K$67),G2913:P2913)</f>
        <v>0.459671852805398</v>
      </c>
      <c r="S2913" s="0" t="n">
        <f aca="false">04_回帰ANOVA!$K$19*04_回帰ANOVA!$K$14*SQRT(1+R2913)</f>
        <v>1.12329610455115</v>
      </c>
      <c r="T2913" s="0" t="n">
        <f aca="false">Q2913-S2913</f>
        <v>42.3949283272671</v>
      </c>
      <c r="U2913" s="0" t="n">
        <f aca="false">Q2913+S2913</f>
        <v>44.6415205363694</v>
      </c>
      <c r="V2913" s="54" t="b">
        <f aca="false">AND(D2913&gt;=01_因子設定!$L$5-0.000000001,D2913&lt;=01_因子設定!$M$5+0.000000001,E2913&gt;=01_因子設定!$L$6-0.000000001,E2913&lt;=01_因子設定!$M$6+0.000000001,F2913&gt;=01_因子設定!$L$7-0.000000001,F2913&lt;=01_因子設定!$M$7+0.000000001,IF(01_因子設定!$B$20="Box-Behnken",D2913^2+E2913^2+F2913^2&lt;=2+0.000000001,TRUE()))</f>
        <v>1</v>
      </c>
      <c r="W2913" s="55" t="n">
        <f aca="false">IF(V2913,IF(01_因子設定!$B$13="最大化",T2913-01_因子設定!$B$14,IF(01_因子設定!$B$13="最小化",01_因子設定!$B$15-U2913,MIN(T2913-01_因子設定!$B$14,01_因子設定!$B$15-U2913))),-1E+030)</f>
        <v>-6.10507167273295</v>
      </c>
      <c r="X2913" s="55" t="n">
        <f aca="false">IF(V2913,IF(01_因子設定!$B$13="最大化",Q2913,IF(01_因子設定!$B$13="最小化",-Q2913,-ABS(Q2913-01_因子設定!$B$16))),-1E+030)</f>
        <v>43.5182244318182</v>
      </c>
      <c r="Y2913" s="55" t="n">
        <f aca="false">W2913+ROW()*0.000000001</f>
        <v>-6.10506875973295</v>
      </c>
      <c r="Z2913" s="55" t="n">
        <f aca="false">X2913+ROW()*0.000000001</f>
        <v>43.5182273448182</v>
      </c>
    </row>
    <row r="2914" customFormat="false" ht="15" hidden="false" customHeight="false" outlineLevel="0" collapsed="false">
      <c r="A2914" s="0" t="n">
        <v>10</v>
      </c>
      <c r="B2914" s="0" t="n">
        <v>1</v>
      </c>
      <c r="C2914" s="0" t="n">
        <v>2</v>
      </c>
      <c r="D2914" s="0" t="n">
        <f aca="false">-1+A2914*0.125</f>
        <v>0.25</v>
      </c>
      <c r="E2914" s="0" t="n">
        <f aca="false">-1+B2914*0.125</f>
        <v>-0.875</v>
      </c>
      <c r="F2914" s="0" t="n">
        <f aca="false">-1+C2914*0.125</f>
        <v>-0.75</v>
      </c>
      <c r="G2914" s="0" t="n">
        <f aca="false">1</f>
        <v>1</v>
      </c>
      <c r="H2914" s="0" t="n">
        <f aca="false">D2914</f>
        <v>0.25</v>
      </c>
      <c r="I2914" s="0" t="n">
        <f aca="false">E2914</f>
        <v>-0.875</v>
      </c>
      <c r="J2914" s="0" t="n">
        <f aca="false">F2914</f>
        <v>-0.75</v>
      </c>
      <c r="K2914" s="0" t="n">
        <f aca="false">D2914*E2914</f>
        <v>-0.21875</v>
      </c>
      <c r="L2914" s="0" t="n">
        <f aca="false">D2914*F2914</f>
        <v>-0.1875</v>
      </c>
      <c r="M2914" s="0" t="n">
        <f aca="false">E2914*F2914</f>
        <v>0.65625</v>
      </c>
      <c r="N2914" s="0" t="n">
        <f aca="false">D2914*D2914</f>
        <v>0.0625</v>
      </c>
      <c r="O2914" s="0" t="n">
        <f aca="false">E2914*E2914</f>
        <v>0.765625</v>
      </c>
      <c r="P2914" s="0" t="n">
        <f aca="false">F2914*F2914</f>
        <v>0.5625</v>
      </c>
      <c r="Q2914" s="0" t="n">
        <f aca="false">SUMPRODUCT(G2914:P2914,_XtX!$B$71:$K$71)</f>
        <v>43.8759517045455</v>
      </c>
      <c r="R2914" s="0" t="n">
        <f aca="false">SUMPRODUCT(MMULT(G2914:P2914,_XtX!$B$58:$K$67),G2914:P2914)</f>
        <v>0.384574751420455</v>
      </c>
      <c r="S2914" s="0" t="n">
        <f aca="false">04_回帰ANOVA!$K$19*04_回帰ANOVA!$K$14*SQRT(1+R2914)</f>
        <v>1.0940189380139</v>
      </c>
      <c r="T2914" s="0" t="n">
        <f aca="false">Q2914-S2914</f>
        <v>42.7819327665316</v>
      </c>
      <c r="U2914" s="0" t="n">
        <f aca="false">Q2914+S2914</f>
        <v>44.9699706425594</v>
      </c>
      <c r="V2914" s="54" t="b">
        <f aca="false">AND(D2914&gt;=01_因子設定!$L$5-0.000000001,D2914&lt;=01_因子設定!$M$5+0.000000001,E2914&gt;=01_因子設定!$L$6-0.000000001,E2914&lt;=01_因子設定!$M$6+0.000000001,F2914&gt;=01_因子設定!$L$7-0.000000001,F2914&lt;=01_因子設定!$M$7+0.000000001,IF(01_因子設定!$B$20="Box-Behnken",D2914^2+E2914^2+F2914^2&lt;=2+0.000000001,TRUE()))</f>
        <v>1</v>
      </c>
      <c r="W2914" s="55" t="n">
        <f aca="false">IF(V2914,IF(01_因子設定!$B$13="最大化",T2914-01_因子設定!$B$14,IF(01_因子設定!$B$13="最小化",01_因子設定!$B$15-U2914,MIN(T2914-01_因子設定!$B$14,01_因子設定!$B$15-U2914))),-1E+030)</f>
        <v>-5.71806723346843</v>
      </c>
      <c r="X2914" s="55" t="n">
        <f aca="false">IF(V2914,IF(01_因子設定!$B$13="最大化",Q2914,IF(01_因子設定!$B$13="最小化",-Q2914,-ABS(Q2914-01_因子設定!$B$16))),-1E+030)</f>
        <v>43.8759517045455</v>
      </c>
      <c r="Y2914" s="55" t="n">
        <f aca="false">W2914+ROW()*0.000000001</f>
        <v>-5.71806431946842</v>
      </c>
      <c r="Z2914" s="55" t="n">
        <f aca="false">X2914+ROW()*0.000000001</f>
        <v>43.8759546185455</v>
      </c>
    </row>
    <row r="2915" customFormat="false" ht="15" hidden="false" customHeight="false" outlineLevel="0" collapsed="false">
      <c r="A2915" s="0" t="n">
        <v>10</v>
      </c>
      <c r="B2915" s="0" t="n">
        <v>1</v>
      </c>
      <c r="C2915" s="0" t="n">
        <v>3</v>
      </c>
      <c r="D2915" s="0" t="n">
        <f aca="false">-1+A2915*0.125</f>
        <v>0.25</v>
      </c>
      <c r="E2915" s="0" t="n">
        <f aca="false">-1+B2915*0.125</f>
        <v>-0.875</v>
      </c>
      <c r="F2915" s="0" t="n">
        <f aca="false">-1+C2915*0.125</f>
        <v>-0.625</v>
      </c>
      <c r="G2915" s="0" t="n">
        <f aca="false">1</f>
        <v>1</v>
      </c>
      <c r="H2915" s="0" t="n">
        <f aca="false">D2915</f>
        <v>0.25</v>
      </c>
      <c r="I2915" s="0" t="n">
        <f aca="false">E2915</f>
        <v>-0.875</v>
      </c>
      <c r="J2915" s="0" t="n">
        <f aca="false">F2915</f>
        <v>-0.625</v>
      </c>
      <c r="K2915" s="0" t="n">
        <f aca="false">D2915*E2915</f>
        <v>-0.21875</v>
      </c>
      <c r="L2915" s="0" t="n">
        <f aca="false">D2915*F2915</f>
        <v>-0.15625</v>
      </c>
      <c r="M2915" s="0" t="n">
        <f aca="false">E2915*F2915</f>
        <v>0.546875</v>
      </c>
      <c r="N2915" s="0" t="n">
        <f aca="false">D2915*D2915</f>
        <v>0.0625</v>
      </c>
      <c r="O2915" s="0" t="n">
        <f aca="false">E2915*E2915</f>
        <v>0.765625</v>
      </c>
      <c r="P2915" s="0" t="n">
        <f aca="false">F2915*F2915</f>
        <v>0.390625</v>
      </c>
      <c r="Q2915" s="0" t="n">
        <f aca="false">SUMPRODUCT(G2915:P2915,_XtX!$B$71:$K$71)</f>
        <v>44.1968892045455</v>
      </c>
      <c r="R2915" s="0" t="n">
        <f aca="false">SUMPRODUCT(MMULT(G2915:P2915,_XtX!$B$58:$K$67),G2915:P2915)</f>
        <v>0.34446855024858</v>
      </c>
      <c r="S2915" s="0" t="n">
        <f aca="false">04_回帰ANOVA!$K$19*04_回帰ANOVA!$K$14*SQRT(1+R2915)</f>
        <v>1.07805758590432</v>
      </c>
      <c r="T2915" s="0" t="n">
        <f aca="false">Q2915-S2915</f>
        <v>43.1188316186412</v>
      </c>
      <c r="U2915" s="0" t="n">
        <f aca="false">Q2915+S2915</f>
        <v>45.2749467904498</v>
      </c>
      <c r="V2915" s="54" t="b">
        <f aca="false">AND(D2915&gt;=01_因子設定!$L$5-0.000000001,D2915&lt;=01_因子設定!$M$5+0.000000001,E2915&gt;=01_因子設定!$L$6-0.000000001,E2915&lt;=01_因子設定!$M$6+0.000000001,F2915&gt;=01_因子設定!$L$7-0.000000001,F2915&lt;=01_因子設定!$M$7+0.000000001,IF(01_因子設定!$B$20="Box-Behnken",D2915^2+E2915^2+F2915^2&lt;=2+0.000000001,TRUE()))</f>
        <v>1</v>
      </c>
      <c r="W2915" s="55" t="n">
        <f aca="false">IF(V2915,IF(01_因子設定!$B$13="最大化",T2915-01_因子設定!$B$14,IF(01_因子設定!$B$13="最小化",01_因子設定!$B$15-U2915,MIN(T2915-01_因子設定!$B$14,01_因子設定!$B$15-U2915))),-1E+030)</f>
        <v>-5.38116838135885</v>
      </c>
      <c r="X2915" s="55" t="n">
        <f aca="false">IF(V2915,IF(01_因子設定!$B$13="最大化",Q2915,IF(01_因子設定!$B$13="最小化",-Q2915,-ABS(Q2915-01_因子設定!$B$16))),-1E+030)</f>
        <v>44.1968892045455</v>
      </c>
      <c r="Y2915" s="55" t="n">
        <f aca="false">W2915+ROW()*0.000000001</f>
        <v>-5.38116546635885</v>
      </c>
      <c r="Z2915" s="55" t="n">
        <f aca="false">X2915+ROW()*0.000000001</f>
        <v>44.1968921195455</v>
      </c>
    </row>
    <row r="2916" customFormat="false" ht="15" hidden="false" customHeight="false" outlineLevel="0" collapsed="false">
      <c r="A2916" s="0" t="n">
        <v>10</v>
      </c>
      <c r="B2916" s="0" t="n">
        <v>1</v>
      </c>
      <c r="C2916" s="0" t="n">
        <v>4</v>
      </c>
      <c r="D2916" s="0" t="n">
        <f aca="false">-1+A2916*0.125</f>
        <v>0.25</v>
      </c>
      <c r="E2916" s="0" t="n">
        <f aca="false">-1+B2916*0.125</f>
        <v>-0.875</v>
      </c>
      <c r="F2916" s="0" t="n">
        <f aca="false">-1+C2916*0.125</f>
        <v>-0.5</v>
      </c>
      <c r="G2916" s="0" t="n">
        <f aca="false">1</f>
        <v>1</v>
      </c>
      <c r="H2916" s="0" t="n">
        <f aca="false">D2916</f>
        <v>0.25</v>
      </c>
      <c r="I2916" s="0" t="n">
        <f aca="false">E2916</f>
        <v>-0.875</v>
      </c>
      <c r="J2916" s="0" t="n">
        <f aca="false">F2916</f>
        <v>-0.5</v>
      </c>
      <c r="K2916" s="0" t="n">
        <f aca="false">D2916*E2916</f>
        <v>-0.21875</v>
      </c>
      <c r="L2916" s="0" t="n">
        <f aca="false">D2916*F2916</f>
        <v>-0.125</v>
      </c>
      <c r="M2916" s="0" t="n">
        <f aca="false">E2916*F2916</f>
        <v>0.4375</v>
      </c>
      <c r="N2916" s="0" t="n">
        <f aca="false">D2916*D2916</f>
        <v>0.0625</v>
      </c>
      <c r="O2916" s="0" t="n">
        <f aca="false">E2916*E2916</f>
        <v>0.765625</v>
      </c>
      <c r="P2916" s="0" t="n">
        <f aca="false">F2916*F2916</f>
        <v>0.25</v>
      </c>
      <c r="Q2916" s="0" t="n">
        <f aca="false">SUMPRODUCT(G2916:P2916,_XtX!$B$71:$K$71)</f>
        <v>44.4810369318182</v>
      </c>
      <c r="R2916" s="0" t="n">
        <f aca="false">SUMPRODUCT(MMULT(G2916:P2916,_XtX!$B$58:$K$67),G2916:P2916)</f>
        <v>0.327634499289773</v>
      </c>
      <c r="S2916" s="0" t="n">
        <f aca="false">04_回帰ANOVA!$K$19*04_回帰ANOVA!$K$14*SQRT(1+R2916)</f>
        <v>1.07128716250217</v>
      </c>
      <c r="T2916" s="0" t="n">
        <f aca="false">Q2916-S2916</f>
        <v>43.409749769316</v>
      </c>
      <c r="U2916" s="0" t="n">
        <f aca="false">Q2916+S2916</f>
        <v>45.5523240943204</v>
      </c>
      <c r="V2916" s="54" t="b">
        <f aca="false">AND(D2916&gt;=01_因子設定!$L$5-0.000000001,D2916&lt;=01_因子設定!$M$5+0.000000001,E2916&gt;=01_因子設定!$L$6-0.000000001,E2916&lt;=01_因子設定!$M$6+0.000000001,F2916&gt;=01_因子設定!$L$7-0.000000001,F2916&lt;=01_因子設定!$M$7+0.000000001,IF(01_因子設定!$B$20="Box-Behnken",D2916^2+E2916^2+F2916^2&lt;=2+0.000000001,TRUE()))</f>
        <v>1</v>
      </c>
      <c r="W2916" s="55" t="n">
        <f aca="false">IF(V2916,IF(01_因子設定!$B$13="最大化",T2916-01_因子設定!$B$14,IF(01_因子設定!$B$13="最小化",01_因子設定!$B$15-U2916,MIN(T2916-01_因子設定!$B$14,01_因子設定!$B$15-U2916))),-1E+030)</f>
        <v>-5.09025023068398</v>
      </c>
      <c r="X2916" s="55" t="n">
        <f aca="false">IF(V2916,IF(01_因子設定!$B$13="最大化",Q2916,IF(01_因子設定!$B$13="最小化",-Q2916,-ABS(Q2916-01_因子設定!$B$16))),-1E+030)</f>
        <v>44.4810369318182</v>
      </c>
      <c r="Y2916" s="55" t="n">
        <f aca="false">W2916+ROW()*0.000000001</f>
        <v>-5.09024731468398</v>
      </c>
      <c r="Z2916" s="55" t="n">
        <f aca="false">X2916+ROW()*0.000000001</f>
        <v>44.4810398478182</v>
      </c>
    </row>
    <row r="2917" customFormat="false" ht="15" hidden="false" customHeight="false" outlineLevel="0" collapsed="false">
      <c r="A2917" s="0" t="n">
        <v>10</v>
      </c>
      <c r="B2917" s="0" t="n">
        <v>1</v>
      </c>
      <c r="C2917" s="0" t="n">
        <v>5</v>
      </c>
      <c r="D2917" s="0" t="n">
        <f aca="false">-1+A2917*0.125</f>
        <v>0.25</v>
      </c>
      <c r="E2917" s="0" t="n">
        <f aca="false">-1+B2917*0.125</f>
        <v>-0.875</v>
      </c>
      <c r="F2917" s="0" t="n">
        <f aca="false">-1+C2917*0.125</f>
        <v>-0.375</v>
      </c>
      <c r="G2917" s="0" t="n">
        <f aca="false">1</f>
        <v>1</v>
      </c>
      <c r="H2917" s="0" t="n">
        <f aca="false">D2917</f>
        <v>0.25</v>
      </c>
      <c r="I2917" s="0" t="n">
        <f aca="false">E2917</f>
        <v>-0.875</v>
      </c>
      <c r="J2917" s="0" t="n">
        <f aca="false">F2917</f>
        <v>-0.375</v>
      </c>
      <c r="K2917" s="0" t="n">
        <f aca="false">D2917*E2917</f>
        <v>-0.21875</v>
      </c>
      <c r="L2917" s="0" t="n">
        <f aca="false">D2917*F2917</f>
        <v>-0.09375</v>
      </c>
      <c r="M2917" s="0" t="n">
        <f aca="false">E2917*F2917</f>
        <v>0.328125</v>
      </c>
      <c r="N2917" s="0" t="n">
        <f aca="false">D2917*D2917</f>
        <v>0.0625</v>
      </c>
      <c r="O2917" s="0" t="n">
        <f aca="false">E2917*E2917</f>
        <v>0.765625</v>
      </c>
      <c r="P2917" s="0" t="n">
        <f aca="false">F2917*F2917</f>
        <v>0.140625</v>
      </c>
      <c r="Q2917" s="0" t="n">
        <f aca="false">SUMPRODUCT(G2917:P2917,_XtX!$B$71:$K$71)</f>
        <v>44.7283948863637</v>
      </c>
      <c r="R2917" s="0" t="n">
        <f aca="false">SUMPRODUCT(MMULT(G2917:P2917,_XtX!$B$58:$K$67),G2917:P2917)</f>
        <v>0.324484530362216</v>
      </c>
      <c r="S2917" s="0" t="n">
        <f aca="false">04_回帰ANOVA!$K$19*04_回帰ANOVA!$K$14*SQRT(1+R2917)</f>
        <v>1.07001553041279</v>
      </c>
      <c r="T2917" s="0" t="n">
        <f aca="false">Q2917-S2917</f>
        <v>43.6583793559509</v>
      </c>
      <c r="U2917" s="0" t="n">
        <f aca="false">Q2917+S2917</f>
        <v>45.7984104167764</v>
      </c>
      <c r="V2917" s="54" t="b">
        <f aca="false">AND(D2917&gt;=01_因子設定!$L$5-0.000000001,D2917&lt;=01_因子設定!$M$5+0.000000001,E2917&gt;=01_因子設定!$L$6-0.000000001,E2917&lt;=01_因子設定!$M$6+0.000000001,F2917&gt;=01_因子設定!$L$7-0.000000001,F2917&lt;=01_因子設定!$M$7+0.000000001,IF(01_因子設定!$B$20="Box-Behnken",D2917^2+E2917^2+F2917^2&lt;=2+0.000000001,TRUE()))</f>
        <v>1</v>
      </c>
      <c r="W2917" s="55" t="n">
        <f aca="false">IF(V2917,IF(01_因子設定!$B$13="最大化",T2917-01_因子設定!$B$14,IF(01_因子設定!$B$13="最小化",01_因子設定!$B$15-U2917,MIN(T2917-01_因子設定!$B$14,01_因子設定!$B$15-U2917))),-1E+030)</f>
        <v>-4.84162064404914</v>
      </c>
      <c r="X2917" s="55" t="n">
        <f aca="false">IF(V2917,IF(01_因子設定!$B$13="最大化",Q2917,IF(01_因子設定!$B$13="最小化",-Q2917,-ABS(Q2917-01_因子設定!$B$16))),-1E+030)</f>
        <v>44.7283948863637</v>
      </c>
      <c r="Y2917" s="55" t="n">
        <f aca="false">W2917+ROW()*0.000000001</f>
        <v>-4.84161772704914</v>
      </c>
      <c r="Z2917" s="55" t="n">
        <f aca="false">X2917+ROW()*0.000000001</f>
        <v>44.7283978033637</v>
      </c>
    </row>
    <row r="2918" customFormat="false" ht="15" hidden="false" customHeight="false" outlineLevel="0" collapsed="false">
      <c r="A2918" s="0" t="n">
        <v>10</v>
      </c>
      <c r="B2918" s="0" t="n">
        <v>1</v>
      </c>
      <c r="C2918" s="0" t="n">
        <v>6</v>
      </c>
      <c r="D2918" s="0" t="n">
        <f aca="false">-1+A2918*0.125</f>
        <v>0.25</v>
      </c>
      <c r="E2918" s="0" t="n">
        <f aca="false">-1+B2918*0.125</f>
        <v>-0.875</v>
      </c>
      <c r="F2918" s="0" t="n">
        <f aca="false">-1+C2918*0.125</f>
        <v>-0.25</v>
      </c>
      <c r="G2918" s="0" t="n">
        <f aca="false">1</f>
        <v>1</v>
      </c>
      <c r="H2918" s="0" t="n">
        <f aca="false">D2918</f>
        <v>0.25</v>
      </c>
      <c r="I2918" s="0" t="n">
        <f aca="false">E2918</f>
        <v>-0.875</v>
      </c>
      <c r="J2918" s="0" t="n">
        <f aca="false">F2918</f>
        <v>-0.25</v>
      </c>
      <c r="K2918" s="0" t="n">
        <f aca="false">D2918*E2918</f>
        <v>-0.21875</v>
      </c>
      <c r="L2918" s="0" t="n">
        <f aca="false">D2918*F2918</f>
        <v>-0.0625</v>
      </c>
      <c r="M2918" s="0" t="n">
        <f aca="false">E2918*F2918</f>
        <v>0.21875</v>
      </c>
      <c r="N2918" s="0" t="n">
        <f aca="false">D2918*D2918</f>
        <v>0.0625</v>
      </c>
      <c r="O2918" s="0" t="n">
        <f aca="false">E2918*E2918</f>
        <v>0.765625</v>
      </c>
      <c r="P2918" s="0" t="n">
        <f aca="false">F2918*F2918</f>
        <v>0.0625</v>
      </c>
      <c r="Q2918" s="0" t="n">
        <f aca="false">SUMPRODUCT(G2918:P2918,_XtX!$B$71:$K$71)</f>
        <v>44.9389630681818</v>
      </c>
      <c r="R2918" s="0" t="n">
        <f aca="false">SUMPRODUCT(MMULT(G2918:P2918,_XtX!$B$58:$K$67),G2918:P2918)</f>
        <v>0.327561257102273</v>
      </c>
      <c r="S2918" s="0" t="n">
        <f aca="false">04_回帰ANOVA!$K$19*04_回帰ANOVA!$K$14*SQRT(1+R2918)</f>
        <v>1.07125761201315</v>
      </c>
      <c r="T2918" s="0" t="n">
        <f aca="false">Q2918-S2918</f>
        <v>43.8677054561687</v>
      </c>
      <c r="U2918" s="0" t="n">
        <f aca="false">Q2918+S2918</f>
        <v>46.010220680195</v>
      </c>
      <c r="V2918" s="54" t="b">
        <f aca="false">AND(D2918&gt;=01_因子設定!$L$5-0.000000001,D2918&lt;=01_因子設定!$M$5+0.000000001,E2918&gt;=01_因子設定!$L$6-0.000000001,E2918&lt;=01_因子設定!$M$6+0.000000001,F2918&gt;=01_因子設定!$L$7-0.000000001,F2918&lt;=01_因子設定!$M$7+0.000000001,IF(01_因子設定!$B$20="Box-Behnken",D2918^2+E2918^2+F2918^2&lt;=2+0.000000001,TRUE()))</f>
        <v>1</v>
      </c>
      <c r="W2918" s="55" t="n">
        <f aca="false">IF(V2918,IF(01_因子設定!$B$13="最大化",T2918-01_因子設定!$B$14,IF(01_因子設定!$B$13="最小化",01_因子設定!$B$15-U2918,MIN(T2918-01_因子設定!$B$14,01_因子設定!$B$15-U2918))),-1E+030)</f>
        <v>-4.63229454383132</v>
      </c>
      <c r="X2918" s="55" t="n">
        <f aca="false">IF(V2918,IF(01_因子設定!$B$13="最大化",Q2918,IF(01_因子設定!$B$13="最小化",-Q2918,-ABS(Q2918-01_因子設定!$B$16))),-1E+030)</f>
        <v>44.9389630681818</v>
      </c>
      <c r="Y2918" s="55" t="n">
        <f aca="false">W2918+ROW()*0.000000001</f>
        <v>-4.63229162583132</v>
      </c>
      <c r="Z2918" s="55" t="n">
        <f aca="false">X2918+ROW()*0.000000001</f>
        <v>44.9389659861818</v>
      </c>
    </row>
    <row r="2919" customFormat="false" ht="15" hidden="false" customHeight="false" outlineLevel="0" collapsed="false">
      <c r="A2919" s="0" t="n">
        <v>10</v>
      </c>
      <c r="B2919" s="0" t="n">
        <v>1</v>
      </c>
      <c r="C2919" s="0" t="n">
        <v>7</v>
      </c>
      <c r="D2919" s="0" t="n">
        <f aca="false">-1+A2919*0.125</f>
        <v>0.25</v>
      </c>
      <c r="E2919" s="0" t="n">
        <f aca="false">-1+B2919*0.125</f>
        <v>-0.875</v>
      </c>
      <c r="F2919" s="0" t="n">
        <f aca="false">-1+C2919*0.125</f>
        <v>-0.125</v>
      </c>
      <c r="G2919" s="0" t="n">
        <f aca="false">1</f>
        <v>1</v>
      </c>
      <c r="H2919" s="0" t="n">
        <f aca="false">D2919</f>
        <v>0.25</v>
      </c>
      <c r="I2919" s="0" t="n">
        <f aca="false">E2919</f>
        <v>-0.875</v>
      </c>
      <c r="J2919" s="0" t="n">
        <f aca="false">F2919</f>
        <v>-0.125</v>
      </c>
      <c r="K2919" s="0" t="n">
        <f aca="false">D2919*E2919</f>
        <v>-0.21875</v>
      </c>
      <c r="L2919" s="0" t="n">
        <f aca="false">D2919*F2919</f>
        <v>-0.03125</v>
      </c>
      <c r="M2919" s="0" t="n">
        <f aca="false">E2919*F2919</f>
        <v>0.109375</v>
      </c>
      <c r="N2919" s="0" t="n">
        <f aca="false">D2919*D2919</f>
        <v>0.0625</v>
      </c>
      <c r="O2919" s="0" t="n">
        <f aca="false">E2919*E2919</f>
        <v>0.765625</v>
      </c>
      <c r="P2919" s="0" t="n">
        <f aca="false">F2919*F2919</f>
        <v>0.015625</v>
      </c>
      <c r="Q2919" s="0" t="n">
        <f aca="false">SUMPRODUCT(G2919:P2919,_XtX!$B$71:$K$71)</f>
        <v>45.1127414772727</v>
      </c>
      <c r="R2919" s="0" t="n">
        <f aca="false">SUMPRODUCT(MMULT(G2919:P2919,_XtX!$B$58:$K$67),G2919:P2919)</f>
        <v>0.331537974964489</v>
      </c>
      <c r="S2919" s="0" t="n">
        <f aca="false">04_回帰ANOVA!$K$19*04_回帰ANOVA!$K$14*SQRT(1+R2919)</f>
        <v>1.07286089161565</v>
      </c>
      <c r="T2919" s="0" t="n">
        <f aca="false">Q2919-S2919</f>
        <v>44.0398805856571</v>
      </c>
      <c r="U2919" s="0" t="n">
        <f aca="false">Q2919+S2919</f>
        <v>46.1856023688884</v>
      </c>
      <c r="V2919" s="54" t="b">
        <f aca="false">AND(D2919&gt;=01_因子設定!$L$5-0.000000001,D2919&lt;=01_因子設定!$M$5+0.000000001,E2919&gt;=01_因子設定!$L$6-0.000000001,E2919&lt;=01_因子設定!$M$6+0.000000001,F2919&gt;=01_因子設定!$L$7-0.000000001,F2919&lt;=01_因子設定!$M$7+0.000000001,IF(01_因子設定!$B$20="Box-Behnken",D2919^2+E2919^2+F2919^2&lt;=2+0.000000001,TRUE()))</f>
        <v>1</v>
      </c>
      <c r="W2919" s="55" t="n">
        <f aca="false">IF(V2919,IF(01_因子設定!$B$13="最大化",T2919-01_因子設定!$B$14,IF(01_因子設定!$B$13="最小化",01_因子設定!$B$15-U2919,MIN(T2919-01_因子設定!$B$14,01_因子設定!$B$15-U2919))),-1E+030)</f>
        <v>-4.46011941434292</v>
      </c>
      <c r="X2919" s="55" t="n">
        <f aca="false">IF(V2919,IF(01_因子設定!$B$13="最大化",Q2919,IF(01_因子設定!$B$13="最小化",-Q2919,-ABS(Q2919-01_因子設定!$B$16))),-1E+030)</f>
        <v>45.1127414772727</v>
      </c>
      <c r="Y2919" s="55" t="n">
        <f aca="false">W2919+ROW()*0.000000001</f>
        <v>-4.46011649534292</v>
      </c>
      <c r="Z2919" s="55" t="n">
        <f aca="false">X2919+ROW()*0.000000001</f>
        <v>45.1127443962727</v>
      </c>
    </row>
    <row r="2920" customFormat="false" ht="15" hidden="false" customHeight="false" outlineLevel="0" collapsed="false">
      <c r="A2920" s="0" t="n">
        <v>10</v>
      </c>
      <c r="B2920" s="0" t="n">
        <v>1</v>
      </c>
      <c r="C2920" s="0" t="n">
        <v>8</v>
      </c>
      <c r="D2920" s="0" t="n">
        <f aca="false">-1+A2920*0.125</f>
        <v>0.25</v>
      </c>
      <c r="E2920" s="0" t="n">
        <f aca="false">-1+B2920*0.125</f>
        <v>-0.875</v>
      </c>
      <c r="F2920" s="0" t="n">
        <f aca="false">-1+C2920*0.125</f>
        <v>0</v>
      </c>
      <c r="G2920" s="0" t="n">
        <f aca="false">1</f>
        <v>1</v>
      </c>
      <c r="H2920" s="0" t="n">
        <f aca="false">D2920</f>
        <v>0.25</v>
      </c>
      <c r="I2920" s="0" t="n">
        <f aca="false">E2920</f>
        <v>-0.875</v>
      </c>
      <c r="J2920" s="0" t="n">
        <f aca="false">F2920</f>
        <v>0</v>
      </c>
      <c r="K2920" s="0" t="n">
        <f aca="false">D2920*E2920</f>
        <v>-0.21875</v>
      </c>
      <c r="L2920" s="0" t="n">
        <f aca="false">D2920*F2920</f>
        <v>0</v>
      </c>
      <c r="M2920" s="0" t="n">
        <f aca="false">E2920*F2920</f>
        <v>-0</v>
      </c>
      <c r="N2920" s="0" t="n">
        <f aca="false">D2920*D2920</f>
        <v>0.0625</v>
      </c>
      <c r="O2920" s="0" t="n">
        <f aca="false">E2920*E2920</f>
        <v>0.765625</v>
      </c>
      <c r="P2920" s="0" t="n">
        <f aca="false">F2920*F2920</f>
        <v>0</v>
      </c>
      <c r="Q2920" s="0" t="n">
        <f aca="false">SUMPRODUCT(G2920:P2920,_XtX!$B$71:$K$71)</f>
        <v>45.2497301136364</v>
      </c>
      <c r="R2920" s="0" t="n">
        <f aca="false">SUMPRODUCT(MMULT(G2920:P2920,_XtX!$B$58:$K$67),G2920:P2920)</f>
        <v>0.333218661221591</v>
      </c>
      <c r="S2920" s="0" t="n">
        <f aca="false">04_回帰ANOVA!$K$19*04_回帰ANOVA!$K$14*SQRT(1+R2920)</f>
        <v>1.07353776826542</v>
      </c>
      <c r="T2920" s="0" t="n">
        <f aca="false">Q2920-S2920</f>
        <v>44.176192345371</v>
      </c>
      <c r="U2920" s="0" t="n">
        <f aca="false">Q2920+S2920</f>
        <v>46.3232678819018</v>
      </c>
      <c r="V2920" s="54" t="b">
        <f aca="false">AND(D2920&gt;=01_因子設定!$L$5-0.000000001,D2920&lt;=01_因子設定!$M$5+0.000000001,E2920&gt;=01_因子設定!$L$6-0.000000001,E2920&lt;=01_因子設定!$M$6+0.000000001,F2920&gt;=01_因子設定!$L$7-0.000000001,F2920&lt;=01_因子設定!$M$7+0.000000001,IF(01_因子設定!$B$20="Box-Behnken",D2920^2+E2920^2+F2920^2&lt;=2+0.000000001,TRUE()))</f>
        <v>1</v>
      </c>
      <c r="W2920" s="55" t="n">
        <f aca="false">IF(V2920,IF(01_因子設定!$B$13="最大化",T2920-01_因子設定!$B$14,IF(01_因子設定!$B$13="最小化",01_因子設定!$B$15-U2920,MIN(T2920-01_因子設定!$B$14,01_因子設定!$B$15-U2920))),-1E+030)</f>
        <v>-4.32380765462904</v>
      </c>
      <c r="X2920" s="55" t="n">
        <f aca="false">IF(V2920,IF(01_因子設定!$B$13="最大化",Q2920,IF(01_因子設定!$B$13="最小化",-Q2920,-ABS(Q2920-01_因子設定!$B$16))),-1E+030)</f>
        <v>45.2497301136364</v>
      </c>
      <c r="Y2920" s="55" t="n">
        <f aca="false">W2920+ROW()*0.000000001</f>
        <v>-4.32380473462904</v>
      </c>
      <c r="Z2920" s="55" t="n">
        <f aca="false">X2920+ROW()*0.000000001</f>
        <v>45.2497330336364</v>
      </c>
    </row>
    <row r="2921" customFormat="false" ht="15" hidden="false" customHeight="false" outlineLevel="0" collapsed="false">
      <c r="A2921" s="0" t="n">
        <v>10</v>
      </c>
      <c r="B2921" s="0" t="n">
        <v>1</v>
      </c>
      <c r="C2921" s="0" t="n">
        <v>9</v>
      </c>
      <c r="D2921" s="0" t="n">
        <f aca="false">-1+A2921*0.125</f>
        <v>0.25</v>
      </c>
      <c r="E2921" s="0" t="n">
        <f aca="false">-1+B2921*0.125</f>
        <v>-0.875</v>
      </c>
      <c r="F2921" s="0" t="n">
        <f aca="false">-1+C2921*0.125</f>
        <v>0.125</v>
      </c>
      <c r="G2921" s="0" t="n">
        <f aca="false">1</f>
        <v>1</v>
      </c>
      <c r="H2921" s="0" t="n">
        <f aca="false">D2921</f>
        <v>0.25</v>
      </c>
      <c r="I2921" s="0" t="n">
        <f aca="false">E2921</f>
        <v>-0.875</v>
      </c>
      <c r="J2921" s="0" t="n">
        <f aca="false">F2921</f>
        <v>0.125</v>
      </c>
      <c r="K2921" s="0" t="n">
        <f aca="false">D2921*E2921</f>
        <v>-0.21875</v>
      </c>
      <c r="L2921" s="0" t="n">
        <f aca="false">D2921*F2921</f>
        <v>0.03125</v>
      </c>
      <c r="M2921" s="0" t="n">
        <f aca="false">E2921*F2921</f>
        <v>-0.109375</v>
      </c>
      <c r="N2921" s="0" t="n">
        <f aca="false">D2921*D2921</f>
        <v>0.0625</v>
      </c>
      <c r="O2921" s="0" t="n">
        <f aca="false">E2921*E2921</f>
        <v>0.765625</v>
      </c>
      <c r="P2921" s="0" t="n">
        <f aca="false">F2921*F2921</f>
        <v>0.015625</v>
      </c>
      <c r="Q2921" s="0" t="n">
        <f aca="false">SUMPRODUCT(G2921:P2921,_XtX!$B$71:$K$71)</f>
        <v>45.3499289772727</v>
      </c>
      <c r="R2921" s="0" t="n">
        <f aca="false">SUMPRODUCT(MMULT(G2921:P2921,_XtX!$B$58:$K$67),G2921:P2921)</f>
        <v>0.331537974964489</v>
      </c>
      <c r="S2921" s="0" t="n">
        <f aca="false">04_回帰ANOVA!$K$19*04_回帰ANOVA!$K$14*SQRT(1+R2921)</f>
        <v>1.07286089161565</v>
      </c>
      <c r="T2921" s="0" t="n">
        <f aca="false">Q2921-S2921</f>
        <v>44.2770680856571</v>
      </c>
      <c r="U2921" s="0" t="n">
        <f aca="false">Q2921+S2921</f>
        <v>46.4227898688884</v>
      </c>
      <c r="V2921" s="54" t="b">
        <f aca="false">AND(D2921&gt;=01_因子設定!$L$5-0.000000001,D2921&lt;=01_因子設定!$M$5+0.000000001,E2921&gt;=01_因子設定!$L$6-0.000000001,E2921&lt;=01_因子設定!$M$6+0.000000001,F2921&gt;=01_因子設定!$L$7-0.000000001,F2921&lt;=01_因子設定!$M$7+0.000000001,IF(01_因子設定!$B$20="Box-Behnken",D2921^2+E2921^2+F2921^2&lt;=2+0.000000001,TRUE()))</f>
        <v>1</v>
      </c>
      <c r="W2921" s="55" t="n">
        <f aca="false">IF(V2921,IF(01_因子設定!$B$13="最大化",T2921-01_因子設定!$B$14,IF(01_因子設定!$B$13="最小化",01_因子設定!$B$15-U2921,MIN(T2921-01_因子設定!$B$14,01_因子設定!$B$15-U2921))),-1E+030)</f>
        <v>-4.22293191434292</v>
      </c>
      <c r="X2921" s="55" t="n">
        <f aca="false">IF(V2921,IF(01_因子設定!$B$13="最大化",Q2921,IF(01_因子設定!$B$13="最小化",-Q2921,-ABS(Q2921-01_因子設定!$B$16))),-1E+030)</f>
        <v>45.3499289772727</v>
      </c>
      <c r="Y2921" s="55" t="n">
        <f aca="false">W2921+ROW()*0.000000001</f>
        <v>-4.22292899334292</v>
      </c>
      <c r="Z2921" s="55" t="n">
        <f aca="false">X2921+ROW()*0.000000001</f>
        <v>45.3499318982727</v>
      </c>
    </row>
    <row r="2922" customFormat="false" ht="15" hidden="false" customHeight="false" outlineLevel="0" collapsed="false">
      <c r="A2922" s="0" t="n">
        <v>10</v>
      </c>
      <c r="B2922" s="0" t="n">
        <v>1</v>
      </c>
      <c r="C2922" s="0" t="n">
        <v>10</v>
      </c>
      <c r="D2922" s="0" t="n">
        <f aca="false">-1+A2922*0.125</f>
        <v>0.25</v>
      </c>
      <c r="E2922" s="0" t="n">
        <f aca="false">-1+B2922*0.125</f>
        <v>-0.875</v>
      </c>
      <c r="F2922" s="0" t="n">
        <f aca="false">-1+C2922*0.125</f>
        <v>0.25</v>
      </c>
      <c r="G2922" s="0" t="n">
        <f aca="false">1</f>
        <v>1</v>
      </c>
      <c r="H2922" s="0" t="n">
        <f aca="false">D2922</f>
        <v>0.25</v>
      </c>
      <c r="I2922" s="0" t="n">
        <f aca="false">E2922</f>
        <v>-0.875</v>
      </c>
      <c r="J2922" s="0" t="n">
        <f aca="false">F2922</f>
        <v>0.25</v>
      </c>
      <c r="K2922" s="0" t="n">
        <f aca="false">D2922*E2922</f>
        <v>-0.21875</v>
      </c>
      <c r="L2922" s="0" t="n">
        <f aca="false">D2922*F2922</f>
        <v>0.0625</v>
      </c>
      <c r="M2922" s="0" t="n">
        <f aca="false">E2922*F2922</f>
        <v>-0.21875</v>
      </c>
      <c r="N2922" s="0" t="n">
        <f aca="false">D2922*D2922</f>
        <v>0.0625</v>
      </c>
      <c r="O2922" s="0" t="n">
        <f aca="false">E2922*E2922</f>
        <v>0.765625</v>
      </c>
      <c r="P2922" s="0" t="n">
        <f aca="false">F2922*F2922</f>
        <v>0.0625</v>
      </c>
      <c r="Q2922" s="0" t="n">
        <f aca="false">SUMPRODUCT(G2922:P2922,_XtX!$B$71:$K$71)</f>
        <v>45.4133380681818</v>
      </c>
      <c r="R2922" s="0" t="n">
        <f aca="false">SUMPRODUCT(MMULT(G2922:P2922,_XtX!$B$58:$K$67),G2922:P2922)</f>
        <v>0.327561257102273</v>
      </c>
      <c r="S2922" s="0" t="n">
        <f aca="false">04_回帰ANOVA!$K$19*04_回帰ANOVA!$K$14*SQRT(1+R2922)</f>
        <v>1.07125761201315</v>
      </c>
      <c r="T2922" s="0" t="n">
        <f aca="false">Q2922-S2922</f>
        <v>44.3420804561687</v>
      </c>
      <c r="U2922" s="0" t="n">
        <f aca="false">Q2922+S2922</f>
        <v>46.484595680195</v>
      </c>
      <c r="V2922" s="54" t="b">
        <f aca="false">AND(D2922&gt;=01_因子設定!$L$5-0.000000001,D2922&lt;=01_因子設定!$M$5+0.000000001,E2922&gt;=01_因子設定!$L$6-0.000000001,E2922&lt;=01_因子設定!$M$6+0.000000001,F2922&gt;=01_因子設定!$L$7-0.000000001,F2922&lt;=01_因子設定!$M$7+0.000000001,IF(01_因子設定!$B$20="Box-Behnken",D2922^2+E2922^2+F2922^2&lt;=2+0.000000001,TRUE()))</f>
        <v>1</v>
      </c>
      <c r="W2922" s="55" t="n">
        <f aca="false">IF(V2922,IF(01_因子設定!$B$13="最大化",T2922-01_因子設定!$B$14,IF(01_因子設定!$B$13="最小化",01_因子設定!$B$15-U2922,MIN(T2922-01_因子設定!$B$14,01_因子設定!$B$15-U2922))),-1E+030)</f>
        <v>-4.15791954383132</v>
      </c>
      <c r="X2922" s="55" t="n">
        <f aca="false">IF(V2922,IF(01_因子設定!$B$13="最大化",Q2922,IF(01_因子設定!$B$13="最小化",-Q2922,-ABS(Q2922-01_因子設定!$B$16))),-1E+030)</f>
        <v>45.4133380681818</v>
      </c>
      <c r="Y2922" s="55" t="n">
        <f aca="false">W2922+ROW()*0.000000001</f>
        <v>-4.15791662183132</v>
      </c>
      <c r="Z2922" s="55" t="n">
        <f aca="false">X2922+ROW()*0.000000001</f>
        <v>45.4133409901818</v>
      </c>
    </row>
    <row r="2923" customFormat="false" ht="15" hidden="false" customHeight="false" outlineLevel="0" collapsed="false">
      <c r="A2923" s="0" t="n">
        <v>10</v>
      </c>
      <c r="B2923" s="0" t="n">
        <v>1</v>
      </c>
      <c r="C2923" s="0" t="n">
        <v>11</v>
      </c>
      <c r="D2923" s="0" t="n">
        <f aca="false">-1+A2923*0.125</f>
        <v>0.25</v>
      </c>
      <c r="E2923" s="0" t="n">
        <f aca="false">-1+B2923*0.125</f>
        <v>-0.875</v>
      </c>
      <c r="F2923" s="0" t="n">
        <f aca="false">-1+C2923*0.125</f>
        <v>0.375</v>
      </c>
      <c r="G2923" s="0" t="n">
        <f aca="false">1</f>
        <v>1</v>
      </c>
      <c r="H2923" s="0" t="n">
        <f aca="false">D2923</f>
        <v>0.25</v>
      </c>
      <c r="I2923" s="0" t="n">
        <f aca="false">E2923</f>
        <v>-0.875</v>
      </c>
      <c r="J2923" s="0" t="n">
        <f aca="false">F2923</f>
        <v>0.375</v>
      </c>
      <c r="K2923" s="0" t="n">
        <f aca="false">D2923*E2923</f>
        <v>-0.21875</v>
      </c>
      <c r="L2923" s="0" t="n">
        <f aca="false">D2923*F2923</f>
        <v>0.09375</v>
      </c>
      <c r="M2923" s="0" t="n">
        <f aca="false">E2923*F2923</f>
        <v>-0.328125</v>
      </c>
      <c r="N2923" s="0" t="n">
        <f aca="false">D2923*D2923</f>
        <v>0.0625</v>
      </c>
      <c r="O2923" s="0" t="n">
        <f aca="false">E2923*E2923</f>
        <v>0.765625</v>
      </c>
      <c r="P2923" s="0" t="n">
        <f aca="false">F2923*F2923</f>
        <v>0.140625</v>
      </c>
      <c r="Q2923" s="0" t="n">
        <f aca="false">SUMPRODUCT(G2923:P2923,_XtX!$B$71:$K$71)</f>
        <v>45.4399573863637</v>
      </c>
      <c r="R2923" s="0" t="n">
        <f aca="false">SUMPRODUCT(MMULT(G2923:P2923,_XtX!$B$58:$K$67),G2923:P2923)</f>
        <v>0.324484530362216</v>
      </c>
      <c r="S2923" s="0" t="n">
        <f aca="false">04_回帰ANOVA!$K$19*04_回帰ANOVA!$K$14*SQRT(1+R2923)</f>
        <v>1.07001553041279</v>
      </c>
      <c r="T2923" s="0" t="n">
        <f aca="false">Q2923-S2923</f>
        <v>44.3699418559509</v>
      </c>
      <c r="U2923" s="0" t="n">
        <f aca="false">Q2923+S2923</f>
        <v>46.5099729167764</v>
      </c>
      <c r="V2923" s="54" t="b">
        <f aca="false">AND(D2923&gt;=01_因子設定!$L$5-0.000000001,D2923&lt;=01_因子設定!$M$5+0.000000001,E2923&gt;=01_因子設定!$L$6-0.000000001,E2923&lt;=01_因子設定!$M$6+0.000000001,F2923&gt;=01_因子設定!$L$7-0.000000001,F2923&lt;=01_因子設定!$M$7+0.000000001,IF(01_因子設定!$B$20="Box-Behnken",D2923^2+E2923^2+F2923^2&lt;=2+0.000000001,TRUE()))</f>
        <v>1</v>
      </c>
      <c r="W2923" s="55" t="n">
        <f aca="false">IF(V2923,IF(01_因子設定!$B$13="最大化",T2923-01_因子設定!$B$14,IF(01_因子設定!$B$13="最小化",01_因子設定!$B$15-U2923,MIN(T2923-01_因子設定!$B$14,01_因子設定!$B$15-U2923))),-1E+030)</f>
        <v>-4.13005814404914</v>
      </c>
      <c r="X2923" s="55" t="n">
        <f aca="false">IF(V2923,IF(01_因子設定!$B$13="最大化",Q2923,IF(01_因子設定!$B$13="最小化",-Q2923,-ABS(Q2923-01_因子設定!$B$16))),-1E+030)</f>
        <v>45.4399573863637</v>
      </c>
      <c r="Y2923" s="55" t="n">
        <f aca="false">W2923+ROW()*0.000000001</f>
        <v>-4.13005522104914</v>
      </c>
      <c r="Z2923" s="55" t="n">
        <f aca="false">X2923+ROW()*0.000000001</f>
        <v>45.4399603093637</v>
      </c>
    </row>
    <row r="2924" customFormat="false" ht="15" hidden="false" customHeight="false" outlineLevel="0" collapsed="false">
      <c r="A2924" s="0" t="n">
        <v>10</v>
      </c>
      <c r="B2924" s="0" t="n">
        <v>1</v>
      </c>
      <c r="C2924" s="0" t="n">
        <v>12</v>
      </c>
      <c r="D2924" s="0" t="n">
        <f aca="false">-1+A2924*0.125</f>
        <v>0.25</v>
      </c>
      <c r="E2924" s="0" t="n">
        <f aca="false">-1+B2924*0.125</f>
        <v>-0.875</v>
      </c>
      <c r="F2924" s="0" t="n">
        <f aca="false">-1+C2924*0.125</f>
        <v>0.5</v>
      </c>
      <c r="G2924" s="0" t="n">
        <f aca="false">1</f>
        <v>1</v>
      </c>
      <c r="H2924" s="0" t="n">
        <f aca="false">D2924</f>
        <v>0.25</v>
      </c>
      <c r="I2924" s="0" t="n">
        <f aca="false">E2924</f>
        <v>-0.875</v>
      </c>
      <c r="J2924" s="0" t="n">
        <f aca="false">F2924</f>
        <v>0.5</v>
      </c>
      <c r="K2924" s="0" t="n">
        <f aca="false">D2924*E2924</f>
        <v>-0.21875</v>
      </c>
      <c r="L2924" s="0" t="n">
        <f aca="false">D2924*F2924</f>
        <v>0.125</v>
      </c>
      <c r="M2924" s="0" t="n">
        <f aca="false">E2924*F2924</f>
        <v>-0.4375</v>
      </c>
      <c r="N2924" s="0" t="n">
        <f aca="false">D2924*D2924</f>
        <v>0.0625</v>
      </c>
      <c r="O2924" s="0" t="n">
        <f aca="false">E2924*E2924</f>
        <v>0.765625</v>
      </c>
      <c r="P2924" s="0" t="n">
        <f aca="false">F2924*F2924</f>
        <v>0.25</v>
      </c>
      <c r="Q2924" s="0" t="n">
        <f aca="false">SUMPRODUCT(G2924:P2924,_XtX!$B$71:$K$71)</f>
        <v>45.4297869318182</v>
      </c>
      <c r="R2924" s="0" t="n">
        <f aca="false">SUMPRODUCT(MMULT(G2924:P2924,_XtX!$B$58:$K$67),G2924:P2924)</f>
        <v>0.327634499289773</v>
      </c>
      <c r="S2924" s="0" t="n">
        <f aca="false">04_回帰ANOVA!$K$19*04_回帰ANOVA!$K$14*SQRT(1+R2924)</f>
        <v>1.07128716250217</v>
      </c>
      <c r="T2924" s="0" t="n">
        <f aca="false">Q2924-S2924</f>
        <v>44.358499769316</v>
      </c>
      <c r="U2924" s="0" t="n">
        <f aca="false">Q2924+S2924</f>
        <v>46.5010740943204</v>
      </c>
      <c r="V2924" s="54" t="b">
        <f aca="false">AND(D2924&gt;=01_因子設定!$L$5-0.000000001,D2924&lt;=01_因子設定!$M$5+0.000000001,E2924&gt;=01_因子設定!$L$6-0.000000001,E2924&lt;=01_因子設定!$M$6+0.000000001,F2924&gt;=01_因子設定!$L$7-0.000000001,F2924&lt;=01_因子設定!$M$7+0.000000001,IF(01_因子設定!$B$20="Box-Behnken",D2924^2+E2924^2+F2924^2&lt;=2+0.000000001,TRUE()))</f>
        <v>1</v>
      </c>
      <c r="W2924" s="55" t="n">
        <f aca="false">IF(V2924,IF(01_因子設定!$B$13="最大化",T2924-01_因子設定!$B$14,IF(01_因子設定!$B$13="最小化",01_因子設定!$B$15-U2924,MIN(T2924-01_因子設定!$B$14,01_因子設定!$B$15-U2924))),-1E+030)</f>
        <v>-4.14150023068397</v>
      </c>
      <c r="X2924" s="55" t="n">
        <f aca="false">IF(V2924,IF(01_因子設定!$B$13="最大化",Q2924,IF(01_因子設定!$B$13="最小化",-Q2924,-ABS(Q2924-01_因子設定!$B$16))),-1E+030)</f>
        <v>45.4297869318182</v>
      </c>
      <c r="Y2924" s="55" t="n">
        <f aca="false">W2924+ROW()*0.000000001</f>
        <v>-4.14149730668397</v>
      </c>
      <c r="Z2924" s="55" t="n">
        <f aca="false">X2924+ROW()*0.000000001</f>
        <v>45.4297898558182</v>
      </c>
    </row>
    <row r="2925" customFormat="false" ht="15" hidden="false" customHeight="false" outlineLevel="0" collapsed="false">
      <c r="A2925" s="0" t="n">
        <v>10</v>
      </c>
      <c r="B2925" s="0" t="n">
        <v>1</v>
      </c>
      <c r="C2925" s="0" t="n">
        <v>13</v>
      </c>
      <c r="D2925" s="0" t="n">
        <f aca="false">-1+A2925*0.125</f>
        <v>0.25</v>
      </c>
      <c r="E2925" s="0" t="n">
        <f aca="false">-1+B2925*0.125</f>
        <v>-0.875</v>
      </c>
      <c r="F2925" s="0" t="n">
        <f aca="false">-1+C2925*0.125</f>
        <v>0.625</v>
      </c>
      <c r="G2925" s="0" t="n">
        <f aca="false">1</f>
        <v>1</v>
      </c>
      <c r="H2925" s="0" t="n">
        <f aca="false">D2925</f>
        <v>0.25</v>
      </c>
      <c r="I2925" s="0" t="n">
        <f aca="false">E2925</f>
        <v>-0.875</v>
      </c>
      <c r="J2925" s="0" t="n">
        <f aca="false">F2925</f>
        <v>0.625</v>
      </c>
      <c r="K2925" s="0" t="n">
        <f aca="false">D2925*E2925</f>
        <v>-0.21875</v>
      </c>
      <c r="L2925" s="0" t="n">
        <f aca="false">D2925*F2925</f>
        <v>0.15625</v>
      </c>
      <c r="M2925" s="0" t="n">
        <f aca="false">E2925*F2925</f>
        <v>-0.546875</v>
      </c>
      <c r="N2925" s="0" t="n">
        <f aca="false">D2925*D2925</f>
        <v>0.0625</v>
      </c>
      <c r="O2925" s="0" t="n">
        <f aca="false">E2925*E2925</f>
        <v>0.765625</v>
      </c>
      <c r="P2925" s="0" t="n">
        <f aca="false">F2925*F2925</f>
        <v>0.390625</v>
      </c>
      <c r="Q2925" s="0" t="n">
        <f aca="false">SUMPRODUCT(G2925:P2925,_XtX!$B$71:$K$71)</f>
        <v>45.3828267045455</v>
      </c>
      <c r="R2925" s="0" t="n">
        <f aca="false">SUMPRODUCT(MMULT(G2925:P2925,_XtX!$B$58:$K$67),G2925:P2925)</f>
        <v>0.34446855024858</v>
      </c>
      <c r="S2925" s="0" t="n">
        <f aca="false">04_回帰ANOVA!$K$19*04_回帰ANOVA!$K$14*SQRT(1+R2925)</f>
        <v>1.07805758590432</v>
      </c>
      <c r="T2925" s="0" t="n">
        <f aca="false">Q2925-S2925</f>
        <v>44.3047691186412</v>
      </c>
      <c r="U2925" s="0" t="n">
        <f aca="false">Q2925+S2925</f>
        <v>46.4608842904498</v>
      </c>
      <c r="V2925" s="54" t="b">
        <f aca="false">AND(D2925&gt;=01_因子設定!$L$5-0.000000001,D2925&lt;=01_因子設定!$M$5+0.000000001,E2925&gt;=01_因子設定!$L$6-0.000000001,E2925&lt;=01_因子設定!$M$6+0.000000001,F2925&gt;=01_因子設定!$L$7-0.000000001,F2925&lt;=01_因子設定!$M$7+0.000000001,IF(01_因子設定!$B$20="Box-Behnken",D2925^2+E2925^2+F2925^2&lt;=2+0.000000001,TRUE()))</f>
        <v>1</v>
      </c>
      <c r="W2925" s="55" t="n">
        <f aca="false">IF(V2925,IF(01_因子設定!$B$13="最大化",T2925-01_因子設定!$B$14,IF(01_因子設定!$B$13="最小化",01_因子設定!$B$15-U2925,MIN(T2925-01_因子設定!$B$14,01_因子設定!$B$15-U2925))),-1E+030)</f>
        <v>-4.19523088135885</v>
      </c>
      <c r="X2925" s="55" t="n">
        <f aca="false">IF(V2925,IF(01_因子設定!$B$13="最大化",Q2925,IF(01_因子設定!$B$13="最小化",-Q2925,-ABS(Q2925-01_因子設定!$B$16))),-1E+030)</f>
        <v>45.3828267045455</v>
      </c>
      <c r="Y2925" s="55" t="n">
        <f aca="false">W2925+ROW()*0.000000001</f>
        <v>-4.19522795635885</v>
      </c>
      <c r="Z2925" s="55" t="n">
        <f aca="false">X2925+ROW()*0.000000001</f>
        <v>45.3828296295455</v>
      </c>
    </row>
    <row r="2926" customFormat="false" ht="15" hidden="false" customHeight="false" outlineLevel="0" collapsed="false">
      <c r="A2926" s="0" t="n">
        <v>10</v>
      </c>
      <c r="B2926" s="0" t="n">
        <v>1</v>
      </c>
      <c r="C2926" s="0" t="n">
        <v>14</v>
      </c>
      <c r="D2926" s="0" t="n">
        <f aca="false">-1+A2926*0.125</f>
        <v>0.25</v>
      </c>
      <c r="E2926" s="0" t="n">
        <f aca="false">-1+B2926*0.125</f>
        <v>-0.875</v>
      </c>
      <c r="F2926" s="0" t="n">
        <f aca="false">-1+C2926*0.125</f>
        <v>0.75</v>
      </c>
      <c r="G2926" s="0" t="n">
        <f aca="false">1</f>
        <v>1</v>
      </c>
      <c r="H2926" s="0" t="n">
        <f aca="false">D2926</f>
        <v>0.25</v>
      </c>
      <c r="I2926" s="0" t="n">
        <f aca="false">E2926</f>
        <v>-0.875</v>
      </c>
      <c r="J2926" s="0" t="n">
        <f aca="false">F2926</f>
        <v>0.75</v>
      </c>
      <c r="K2926" s="0" t="n">
        <f aca="false">D2926*E2926</f>
        <v>-0.21875</v>
      </c>
      <c r="L2926" s="0" t="n">
        <f aca="false">D2926*F2926</f>
        <v>0.1875</v>
      </c>
      <c r="M2926" s="0" t="n">
        <f aca="false">E2926*F2926</f>
        <v>-0.65625</v>
      </c>
      <c r="N2926" s="0" t="n">
        <f aca="false">D2926*D2926</f>
        <v>0.0625</v>
      </c>
      <c r="O2926" s="0" t="n">
        <f aca="false">E2926*E2926</f>
        <v>0.765625</v>
      </c>
      <c r="P2926" s="0" t="n">
        <f aca="false">F2926*F2926</f>
        <v>0.5625</v>
      </c>
      <c r="Q2926" s="0" t="n">
        <f aca="false">SUMPRODUCT(G2926:P2926,_XtX!$B$71:$K$71)</f>
        <v>45.2990767045455</v>
      </c>
      <c r="R2926" s="0" t="n">
        <f aca="false">SUMPRODUCT(MMULT(G2926:P2926,_XtX!$B$58:$K$67),G2926:P2926)</f>
        <v>0.384574751420455</v>
      </c>
      <c r="S2926" s="0" t="n">
        <f aca="false">04_回帰ANOVA!$K$19*04_回帰ANOVA!$K$14*SQRT(1+R2926)</f>
        <v>1.0940189380139</v>
      </c>
      <c r="T2926" s="0" t="n">
        <f aca="false">Q2926-S2926</f>
        <v>44.2050577665316</v>
      </c>
      <c r="U2926" s="0" t="n">
        <f aca="false">Q2926+S2926</f>
        <v>46.3930956425594</v>
      </c>
      <c r="V2926" s="54" t="b">
        <f aca="false">AND(D2926&gt;=01_因子設定!$L$5-0.000000001,D2926&lt;=01_因子設定!$M$5+0.000000001,E2926&gt;=01_因子設定!$L$6-0.000000001,E2926&lt;=01_因子設定!$M$6+0.000000001,F2926&gt;=01_因子設定!$L$7-0.000000001,F2926&lt;=01_因子設定!$M$7+0.000000001,IF(01_因子設定!$B$20="Box-Behnken",D2926^2+E2926^2+F2926^2&lt;=2+0.000000001,TRUE()))</f>
        <v>1</v>
      </c>
      <c r="W2926" s="55" t="n">
        <f aca="false">IF(V2926,IF(01_因子設定!$B$13="最大化",T2926-01_因子設定!$B$14,IF(01_因子設定!$B$13="最小化",01_因子設定!$B$15-U2926,MIN(T2926-01_因子設定!$B$14,01_因子設定!$B$15-U2926))),-1E+030)</f>
        <v>-4.29494223346843</v>
      </c>
      <c r="X2926" s="55" t="n">
        <f aca="false">IF(V2926,IF(01_因子設定!$B$13="最大化",Q2926,IF(01_因子設定!$B$13="最小化",-Q2926,-ABS(Q2926-01_因子設定!$B$16))),-1E+030)</f>
        <v>45.2990767045455</v>
      </c>
      <c r="Y2926" s="55" t="n">
        <f aca="false">W2926+ROW()*0.000000001</f>
        <v>-4.29493930746843</v>
      </c>
      <c r="Z2926" s="55" t="n">
        <f aca="false">X2926+ROW()*0.000000001</f>
        <v>45.2990796305455</v>
      </c>
    </row>
    <row r="2927" customFormat="false" ht="15" hidden="false" customHeight="false" outlineLevel="0" collapsed="false">
      <c r="A2927" s="0" t="n">
        <v>10</v>
      </c>
      <c r="B2927" s="0" t="n">
        <v>1</v>
      </c>
      <c r="C2927" s="0" t="n">
        <v>15</v>
      </c>
      <c r="D2927" s="0" t="n">
        <f aca="false">-1+A2927*0.125</f>
        <v>0.25</v>
      </c>
      <c r="E2927" s="0" t="n">
        <f aca="false">-1+B2927*0.125</f>
        <v>-0.875</v>
      </c>
      <c r="F2927" s="0" t="n">
        <f aca="false">-1+C2927*0.125</f>
        <v>0.875</v>
      </c>
      <c r="G2927" s="0" t="n">
        <f aca="false">1</f>
        <v>1</v>
      </c>
      <c r="H2927" s="0" t="n">
        <f aca="false">D2927</f>
        <v>0.25</v>
      </c>
      <c r="I2927" s="0" t="n">
        <f aca="false">E2927</f>
        <v>-0.875</v>
      </c>
      <c r="J2927" s="0" t="n">
        <f aca="false">F2927</f>
        <v>0.875</v>
      </c>
      <c r="K2927" s="0" t="n">
        <f aca="false">D2927*E2927</f>
        <v>-0.21875</v>
      </c>
      <c r="L2927" s="0" t="n">
        <f aca="false">D2927*F2927</f>
        <v>0.21875</v>
      </c>
      <c r="M2927" s="0" t="n">
        <f aca="false">E2927*F2927</f>
        <v>-0.765625</v>
      </c>
      <c r="N2927" s="0" t="n">
        <f aca="false">D2927*D2927</f>
        <v>0.0625</v>
      </c>
      <c r="O2927" s="0" t="n">
        <f aca="false">E2927*E2927</f>
        <v>0.765625</v>
      </c>
      <c r="P2927" s="0" t="n">
        <f aca="false">F2927*F2927</f>
        <v>0.765625</v>
      </c>
      <c r="Q2927" s="0" t="n">
        <f aca="false">SUMPRODUCT(G2927:P2927,_XtX!$B$71:$K$71)</f>
        <v>45.1785369318182</v>
      </c>
      <c r="R2927" s="0" t="n">
        <f aca="false">SUMPRODUCT(MMULT(G2927:P2927,_XtX!$B$58:$K$67),G2927:P2927)</f>
        <v>0.459671852805398</v>
      </c>
      <c r="S2927" s="0" t="n">
        <f aca="false">04_回帰ANOVA!$K$19*04_回帰ANOVA!$K$14*SQRT(1+R2927)</f>
        <v>1.12329610455115</v>
      </c>
      <c r="T2927" s="0" t="n">
        <f aca="false">Q2927-S2927</f>
        <v>44.0552408272671</v>
      </c>
      <c r="U2927" s="0" t="n">
        <f aca="false">Q2927+S2927</f>
        <v>46.3018330363694</v>
      </c>
      <c r="V2927" s="54" t="b">
        <f aca="false">AND(D2927&gt;=01_因子設定!$L$5-0.000000001,D2927&lt;=01_因子設定!$M$5+0.000000001,E2927&gt;=01_因子設定!$L$6-0.000000001,E2927&lt;=01_因子設定!$M$6+0.000000001,F2927&gt;=01_因子設定!$L$7-0.000000001,F2927&lt;=01_因子設定!$M$7+0.000000001,IF(01_因子設定!$B$20="Box-Behnken",D2927^2+E2927^2+F2927^2&lt;=2+0.000000001,TRUE()))</f>
        <v>1</v>
      </c>
      <c r="W2927" s="55" t="n">
        <f aca="false">IF(V2927,IF(01_因子設定!$B$13="最大化",T2927-01_因子設定!$B$14,IF(01_因子設定!$B$13="最小化",01_因子設定!$B$15-U2927,MIN(T2927-01_因子設定!$B$14,01_因子設定!$B$15-U2927))),-1E+030)</f>
        <v>-4.44475917273294</v>
      </c>
      <c r="X2927" s="55" t="n">
        <f aca="false">IF(V2927,IF(01_因子設定!$B$13="最大化",Q2927,IF(01_因子設定!$B$13="最小化",-Q2927,-ABS(Q2927-01_因子設定!$B$16))),-1E+030)</f>
        <v>45.1785369318182</v>
      </c>
      <c r="Y2927" s="55" t="n">
        <f aca="false">W2927+ROW()*0.000000001</f>
        <v>-4.44475624573294</v>
      </c>
      <c r="Z2927" s="55" t="n">
        <f aca="false">X2927+ROW()*0.000000001</f>
        <v>45.1785398588182</v>
      </c>
    </row>
    <row r="2928" customFormat="false" ht="15" hidden="false" customHeight="false" outlineLevel="0" collapsed="false">
      <c r="A2928" s="0" t="n">
        <v>10</v>
      </c>
      <c r="B2928" s="0" t="n">
        <v>1</v>
      </c>
      <c r="C2928" s="0" t="n">
        <v>16</v>
      </c>
      <c r="D2928" s="0" t="n">
        <f aca="false">-1+A2928*0.125</f>
        <v>0.25</v>
      </c>
      <c r="E2928" s="0" t="n">
        <f aca="false">-1+B2928*0.125</f>
        <v>-0.875</v>
      </c>
      <c r="F2928" s="0" t="n">
        <f aca="false">-1+C2928*0.125</f>
        <v>1</v>
      </c>
      <c r="G2928" s="0" t="n">
        <f aca="false">1</f>
        <v>1</v>
      </c>
      <c r="H2928" s="0" t="n">
        <f aca="false">D2928</f>
        <v>0.25</v>
      </c>
      <c r="I2928" s="0" t="n">
        <f aca="false">E2928</f>
        <v>-0.875</v>
      </c>
      <c r="J2928" s="0" t="n">
        <f aca="false">F2928</f>
        <v>1</v>
      </c>
      <c r="K2928" s="0" t="n">
        <f aca="false">D2928*E2928</f>
        <v>-0.21875</v>
      </c>
      <c r="L2928" s="0" t="n">
        <f aca="false">D2928*F2928</f>
        <v>0.25</v>
      </c>
      <c r="M2928" s="0" t="n">
        <f aca="false">E2928*F2928</f>
        <v>-0.875</v>
      </c>
      <c r="N2928" s="0" t="n">
        <f aca="false">D2928*D2928</f>
        <v>0.0625</v>
      </c>
      <c r="O2928" s="0" t="n">
        <f aca="false">E2928*E2928</f>
        <v>0.765625</v>
      </c>
      <c r="P2928" s="0" t="n">
        <f aca="false">F2928*F2928</f>
        <v>1</v>
      </c>
      <c r="Q2928" s="0" t="n">
        <f aca="false">SUMPRODUCT(G2928:P2928,_XtX!$B$71:$K$71)</f>
        <v>45.0212073863637</v>
      </c>
      <c r="R2928" s="0" t="n">
        <f aca="false">SUMPRODUCT(MMULT(G2928:P2928,_XtX!$B$58:$K$67),G2928:P2928)</f>
        <v>0.583609286221591</v>
      </c>
      <c r="S2928" s="0" t="n">
        <f aca="false">04_回帰ANOVA!$K$19*04_回帰ANOVA!$K$14*SQRT(1+R2928)</f>
        <v>1.1700129157584</v>
      </c>
      <c r="T2928" s="0" t="n">
        <f aca="false">Q2928-S2928</f>
        <v>43.8511944706053</v>
      </c>
      <c r="U2928" s="0" t="n">
        <f aca="false">Q2928+S2928</f>
        <v>46.1912203021221</v>
      </c>
      <c r="V2928" s="54" t="b">
        <f aca="false">AND(D2928&gt;=01_因子設定!$L$5-0.000000001,D2928&lt;=01_因子設定!$M$5+0.000000001,E2928&gt;=01_因子設定!$L$6-0.000000001,E2928&lt;=01_因子設定!$M$6+0.000000001,F2928&gt;=01_因子設定!$L$7-0.000000001,F2928&lt;=01_因子設定!$M$7+0.000000001,IF(01_因子設定!$B$20="Box-Behnken",D2928^2+E2928^2+F2928^2&lt;=2+0.000000001,TRUE()))</f>
        <v>1</v>
      </c>
      <c r="W2928" s="55" t="n">
        <f aca="false">IF(V2928,IF(01_因子設定!$B$13="最大化",T2928-01_因子設定!$B$14,IF(01_因子設定!$B$13="最小化",01_因子設定!$B$15-U2928,MIN(T2928-01_因子設定!$B$14,01_因子設定!$B$15-U2928))),-1E+030)</f>
        <v>-4.64880552939473</v>
      </c>
      <c r="X2928" s="55" t="n">
        <f aca="false">IF(V2928,IF(01_因子設定!$B$13="最大化",Q2928,IF(01_因子設定!$B$13="最小化",-Q2928,-ABS(Q2928-01_因子設定!$B$16))),-1E+030)</f>
        <v>45.0212073863637</v>
      </c>
      <c r="Y2928" s="55" t="n">
        <f aca="false">W2928+ROW()*0.000000001</f>
        <v>-4.64880260139473</v>
      </c>
      <c r="Z2928" s="55" t="n">
        <f aca="false">X2928+ROW()*0.000000001</f>
        <v>45.0212103143637</v>
      </c>
    </row>
    <row r="2929" customFormat="false" ht="15" hidden="false" customHeight="false" outlineLevel="0" collapsed="false">
      <c r="A2929" s="0" t="n">
        <v>10</v>
      </c>
      <c r="B2929" s="0" t="n">
        <v>2</v>
      </c>
      <c r="C2929" s="0" t="n">
        <v>0</v>
      </c>
      <c r="D2929" s="0" t="n">
        <f aca="false">-1+A2929*0.125</f>
        <v>0.25</v>
      </c>
      <c r="E2929" s="0" t="n">
        <f aca="false">-1+B2929*0.125</f>
        <v>-0.75</v>
      </c>
      <c r="F2929" s="0" t="n">
        <f aca="false">-1+C2929*0.125</f>
        <v>-1</v>
      </c>
      <c r="G2929" s="0" t="n">
        <f aca="false">1</f>
        <v>1</v>
      </c>
      <c r="H2929" s="0" t="n">
        <f aca="false">D2929</f>
        <v>0.25</v>
      </c>
      <c r="I2929" s="0" t="n">
        <f aca="false">E2929</f>
        <v>-0.75</v>
      </c>
      <c r="J2929" s="0" t="n">
        <f aca="false">F2929</f>
        <v>-1</v>
      </c>
      <c r="K2929" s="0" t="n">
        <f aca="false">D2929*E2929</f>
        <v>-0.1875</v>
      </c>
      <c r="L2929" s="0" t="n">
        <f aca="false">D2929*F2929</f>
        <v>-0.25</v>
      </c>
      <c r="M2929" s="0" t="n">
        <f aca="false">E2929*F2929</f>
        <v>0.75</v>
      </c>
      <c r="N2929" s="0" t="n">
        <f aca="false">D2929*D2929</f>
        <v>0.0625</v>
      </c>
      <c r="O2929" s="0" t="n">
        <f aca="false">E2929*E2929</f>
        <v>0.5625</v>
      </c>
      <c r="P2929" s="0" t="n">
        <f aca="false">F2929*F2929</f>
        <v>1</v>
      </c>
      <c r="Q2929" s="0" t="n">
        <f aca="false">SUMPRODUCT(G2929:P2929,_XtX!$B$71:$K$71)</f>
        <v>43.7762784090909</v>
      </c>
      <c r="R2929" s="0" t="n">
        <f aca="false">SUMPRODUCT(MMULT(G2929:P2929,_XtX!$B$58:$K$67),G2929:P2929)</f>
        <v>0.515545099431818</v>
      </c>
      <c r="S2929" s="0" t="n">
        <f aca="false">04_回帰ANOVA!$K$19*04_回帰ANOVA!$K$14*SQRT(1+R2929)</f>
        <v>1.14459295464101</v>
      </c>
      <c r="T2929" s="0" t="n">
        <f aca="false">Q2929-S2929</f>
        <v>42.6316854544499</v>
      </c>
      <c r="U2929" s="0" t="n">
        <f aca="false">Q2929+S2929</f>
        <v>44.920871363732</v>
      </c>
      <c r="V2929" s="54" t="b">
        <f aca="false">AND(D2929&gt;=01_因子設定!$L$5-0.000000001,D2929&lt;=01_因子設定!$M$5+0.000000001,E2929&gt;=01_因子設定!$L$6-0.000000001,E2929&lt;=01_因子設定!$M$6+0.000000001,F2929&gt;=01_因子設定!$L$7-0.000000001,F2929&lt;=01_因子設定!$M$7+0.000000001,IF(01_因子設定!$B$20="Box-Behnken",D2929^2+E2929^2+F2929^2&lt;=2+0.000000001,TRUE()))</f>
        <v>1</v>
      </c>
      <c r="W2929" s="55" t="n">
        <f aca="false">IF(V2929,IF(01_因子設定!$B$13="最大化",T2929-01_因子設定!$B$14,IF(01_因子設定!$B$13="最小化",01_因子設定!$B$15-U2929,MIN(T2929-01_因子設定!$B$14,01_因子設定!$B$15-U2929))),-1E+030)</f>
        <v>-5.86831454555007</v>
      </c>
      <c r="X2929" s="55" t="n">
        <f aca="false">IF(V2929,IF(01_因子設定!$B$13="最大化",Q2929,IF(01_因子設定!$B$13="最小化",-Q2929,-ABS(Q2929-01_因子設定!$B$16))),-1E+030)</f>
        <v>43.7762784090909</v>
      </c>
      <c r="Y2929" s="55" t="n">
        <f aca="false">W2929+ROW()*0.000000001</f>
        <v>-5.86831161655007</v>
      </c>
      <c r="Z2929" s="55" t="n">
        <f aca="false">X2929+ROW()*0.000000001</f>
        <v>43.7762813380909</v>
      </c>
    </row>
    <row r="2930" customFormat="false" ht="15" hidden="false" customHeight="false" outlineLevel="0" collapsed="false">
      <c r="A2930" s="0" t="n">
        <v>10</v>
      </c>
      <c r="B2930" s="0" t="n">
        <v>2</v>
      </c>
      <c r="C2930" s="0" t="n">
        <v>1</v>
      </c>
      <c r="D2930" s="0" t="n">
        <f aca="false">-1+A2930*0.125</f>
        <v>0.25</v>
      </c>
      <c r="E2930" s="0" t="n">
        <f aca="false">-1+B2930*0.125</f>
        <v>-0.75</v>
      </c>
      <c r="F2930" s="0" t="n">
        <f aca="false">-1+C2930*0.125</f>
        <v>-0.875</v>
      </c>
      <c r="G2930" s="0" t="n">
        <f aca="false">1</f>
        <v>1</v>
      </c>
      <c r="H2930" s="0" t="n">
        <f aca="false">D2930</f>
        <v>0.25</v>
      </c>
      <c r="I2930" s="0" t="n">
        <f aca="false">E2930</f>
        <v>-0.75</v>
      </c>
      <c r="J2930" s="0" t="n">
        <f aca="false">F2930</f>
        <v>-0.875</v>
      </c>
      <c r="K2930" s="0" t="n">
        <f aca="false">D2930*E2930</f>
        <v>-0.1875</v>
      </c>
      <c r="L2930" s="0" t="n">
        <f aca="false">D2930*F2930</f>
        <v>-0.21875</v>
      </c>
      <c r="M2930" s="0" t="n">
        <f aca="false">E2930*F2930</f>
        <v>0.65625</v>
      </c>
      <c r="N2930" s="0" t="n">
        <f aca="false">D2930*D2930</f>
        <v>0.0625</v>
      </c>
      <c r="O2930" s="0" t="n">
        <f aca="false">E2930*E2930</f>
        <v>0.5625</v>
      </c>
      <c r="P2930" s="0" t="n">
        <f aca="false">F2930*F2930</f>
        <v>0.765625</v>
      </c>
      <c r="Q2930" s="0" t="n">
        <f aca="false">SUMPRODUCT(G2930:P2930,_XtX!$B$71:$K$71)</f>
        <v>44.1778267045455</v>
      </c>
      <c r="R2930" s="0" t="n">
        <f aca="false">SUMPRODUCT(MMULT(G2930:P2930,_XtX!$B$58:$K$67),G2930:P2930)</f>
        <v>0.384574751420455</v>
      </c>
      <c r="S2930" s="0" t="n">
        <f aca="false">04_回帰ANOVA!$K$19*04_回帰ANOVA!$K$14*SQRT(1+R2930)</f>
        <v>1.0940189380139</v>
      </c>
      <c r="T2930" s="0" t="n">
        <f aca="false">Q2930-S2930</f>
        <v>43.0838077665316</v>
      </c>
      <c r="U2930" s="0" t="n">
        <f aca="false">Q2930+S2930</f>
        <v>45.2718456425594</v>
      </c>
      <c r="V2930" s="54" t="b">
        <f aca="false">AND(D2930&gt;=01_因子設定!$L$5-0.000000001,D2930&lt;=01_因子設定!$M$5+0.000000001,E2930&gt;=01_因子設定!$L$6-0.000000001,E2930&lt;=01_因子設定!$M$6+0.000000001,F2930&gt;=01_因子設定!$L$7-0.000000001,F2930&lt;=01_因子設定!$M$7+0.000000001,IF(01_因子設定!$B$20="Box-Behnken",D2930^2+E2930^2+F2930^2&lt;=2+0.000000001,TRUE()))</f>
        <v>1</v>
      </c>
      <c r="W2930" s="55" t="n">
        <f aca="false">IF(V2930,IF(01_因子設定!$B$13="最大化",T2930-01_因子設定!$B$14,IF(01_因子設定!$B$13="最小化",01_因子設定!$B$15-U2930,MIN(T2930-01_因子設定!$B$14,01_因子設定!$B$15-U2930))),-1E+030)</f>
        <v>-5.41619223346842</v>
      </c>
      <c r="X2930" s="55" t="n">
        <f aca="false">IF(V2930,IF(01_因子設定!$B$13="最大化",Q2930,IF(01_因子設定!$B$13="最小化",-Q2930,-ABS(Q2930-01_因子設定!$B$16))),-1E+030)</f>
        <v>44.1778267045455</v>
      </c>
      <c r="Y2930" s="55" t="n">
        <f aca="false">W2930+ROW()*0.000000001</f>
        <v>-5.41618930346842</v>
      </c>
      <c r="Z2930" s="55" t="n">
        <f aca="false">X2930+ROW()*0.000000001</f>
        <v>44.1778296345455</v>
      </c>
    </row>
    <row r="2931" customFormat="false" ht="15" hidden="false" customHeight="false" outlineLevel="0" collapsed="false">
      <c r="A2931" s="0" t="n">
        <v>10</v>
      </c>
      <c r="B2931" s="0" t="n">
        <v>2</v>
      </c>
      <c r="C2931" s="0" t="n">
        <v>2</v>
      </c>
      <c r="D2931" s="0" t="n">
        <f aca="false">-1+A2931*0.125</f>
        <v>0.25</v>
      </c>
      <c r="E2931" s="0" t="n">
        <f aca="false">-1+B2931*0.125</f>
        <v>-0.75</v>
      </c>
      <c r="F2931" s="0" t="n">
        <f aca="false">-1+C2931*0.125</f>
        <v>-0.75</v>
      </c>
      <c r="G2931" s="0" t="n">
        <f aca="false">1</f>
        <v>1</v>
      </c>
      <c r="H2931" s="0" t="n">
        <f aca="false">D2931</f>
        <v>0.25</v>
      </c>
      <c r="I2931" s="0" t="n">
        <f aca="false">E2931</f>
        <v>-0.75</v>
      </c>
      <c r="J2931" s="0" t="n">
        <f aca="false">F2931</f>
        <v>-0.75</v>
      </c>
      <c r="K2931" s="0" t="n">
        <f aca="false">D2931*E2931</f>
        <v>-0.1875</v>
      </c>
      <c r="L2931" s="0" t="n">
        <f aca="false">D2931*F2931</f>
        <v>-0.1875</v>
      </c>
      <c r="M2931" s="0" t="n">
        <f aca="false">E2931*F2931</f>
        <v>0.5625</v>
      </c>
      <c r="N2931" s="0" t="n">
        <f aca="false">D2931*D2931</f>
        <v>0.0625</v>
      </c>
      <c r="O2931" s="0" t="n">
        <f aca="false">E2931*E2931</f>
        <v>0.5625</v>
      </c>
      <c r="P2931" s="0" t="n">
        <f aca="false">F2931*F2931</f>
        <v>0.5625</v>
      </c>
      <c r="Q2931" s="0" t="n">
        <f aca="false">SUMPRODUCT(G2931:P2931,_XtX!$B$71:$K$71)</f>
        <v>44.5425852272727</v>
      </c>
      <c r="R2931" s="0" t="n">
        <f aca="false">SUMPRODUCT(MMULT(G2931:P2931,_XtX!$B$58:$K$67),G2931:P2931)</f>
        <v>0.303382457386364</v>
      </c>
      <c r="S2931" s="0" t="n">
        <f aca="false">04_回帰ANOVA!$K$19*04_回帰ANOVA!$K$14*SQRT(1+R2931)</f>
        <v>1.06145740650883</v>
      </c>
      <c r="T2931" s="0" t="n">
        <f aca="false">Q2931-S2931</f>
        <v>43.4811278207639</v>
      </c>
      <c r="U2931" s="0" t="n">
        <f aca="false">Q2931+S2931</f>
        <v>45.6040426337816</v>
      </c>
      <c r="V2931" s="54" t="b">
        <f aca="false">AND(D2931&gt;=01_因子設定!$L$5-0.000000001,D2931&lt;=01_因子設定!$M$5+0.000000001,E2931&gt;=01_因子設定!$L$6-0.000000001,E2931&lt;=01_因子設定!$M$6+0.000000001,F2931&gt;=01_因子設定!$L$7-0.000000001,F2931&lt;=01_因子設定!$M$7+0.000000001,IF(01_因子設定!$B$20="Box-Behnken",D2931^2+E2931^2+F2931^2&lt;=2+0.000000001,TRUE()))</f>
        <v>1</v>
      </c>
      <c r="W2931" s="55" t="n">
        <f aca="false">IF(V2931,IF(01_因子設定!$B$13="最大化",T2931-01_因子設定!$B$14,IF(01_因子設定!$B$13="最小化",01_因子設定!$B$15-U2931,MIN(T2931-01_因子設定!$B$14,01_因子設定!$B$15-U2931))),-1E+030)</f>
        <v>-5.01887217923609</v>
      </c>
      <c r="X2931" s="55" t="n">
        <f aca="false">IF(V2931,IF(01_因子設定!$B$13="最大化",Q2931,IF(01_因子設定!$B$13="最小化",-Q2931,-ABS(Q2931-01_因子設定!$B$16))),-1E+030)</f>
        <v>44.5425852272727</v>
      </c>
      <c r="Y2931" s="55" t="n">
        <f aca="false">W2931+ROW()*0.000000001</f>
        <v>-5.01886924823609</v>
      </c>
      <c r="Z2931" s="55" t="n">
        <f aca="false">X2931+ROW()*0.000000001</f>
        <v>44.5425881582727</v>
      </c>
    </row>
    <row r="2932" customFormat="false" ht="15" hidden="false" customHeight="false" outlineLevel="0" collapsed="false">
      <c r="A2932" s="0" t="n">
        <v>10</v>
      </c>
      <c r="B2932" s="0" t="n">
        <v>2</v>
      </c>
      <c r="C2932" s="0" t="n">
        <v>3</v>
      </c>
      <c r="D2932" s="0" t="n">
        <f aca="false">-1+A2932*0.125</f>
        <v>0.25</v>
      </c>
      <c r="E2932" s="0" t="n">
        <f aca="false">-1+B2932*0.125</f>
        <v>-0.75</v>
      </c>
      <c r="F2932" s="0" t="n">
        <f aca="false">-1+C2932*0.125</f>
        <v>-0.625</v>
      </c>
      <c r="G2932" s="0" t="n">
        <f aca="false">1</f>
        <v>1</v>
      </c>
      <c r="H2932" s="0" t="n">
        <f aca="false">D2932</f>
        <v>0.25</v>
      </c>
      <c r="I2932" s="0" t="n">
        <f aca="false">E2932</f>
        <v>-0.75</v>
      </c>
      <c r="J2932" s="0" t="n">
        <f aca="false">F2932</f>
        <v>-0.625</v>
      </c>
      <c r="K2932" s="0" t="n">
        <f aca="false">D2932*E2932</f>
        <v>-0.1875</v>
      </c>
      <c r="L2932" s="0" t="n">
        <f aca="false">D2932*F2932</f>
        <v>-0.15625</v>
      </c>
      <c r="M2932" s="0" t="n">
        <f aca="false">E2932*F2932</f>
        <v>0.46875</v>
      </c>
      <c r="N2932" s="0" t="n">
        <f aca="false">D2932*D2932</f>
        <v>0.0625</v>
      </c>
      <c r="O2932" s="0" t="n">
        <f aca="false">E2932*E2932</f>
        <v>0.5625</v>
      </c>
      <c r="P2932" s="0" t="n">
        <f aca="false">F2932*F2932</f>
        <v>0.390625</v>
      </c>
      <c r="Q2932" s="0" t="n">
        <f aca="false">SUMPRODUCT(G2932:P2932,_XtX!$B$71:$K$71)</f>
        <v>44.8705539772727</v>
      </c>
      <c r="R2932" s="0" t="n">
        <f aca="false">SUMPRODUCT(MMULT(G2932:P2932,_XtX!$B$58:$K$67),G2932:P2932)</f>
        <v>0.258118785511364</v>
      </c>
      <c r="S2932" s="0" t="n">
        <f aca="false">04_回帰ANOVA!$K$19*04_回帰ANOVA!$K$14*SQRT(1+R2932)</f>
        <v>1.04286348094876</v>
      </c>
      <c r="T2932" s="0" t="n">
        <f aca="false">Q2932-S2932</f>
        <v>43.827690496324</v>
      </c>
      <c r="U2932" s="0" t="n">
        <f aca="false">Q2932+S2932</f>
        <v>45.9134174582215</v>
      </c>
      <c r="V2932" s="54" t="b">
        <f aca="false">AND(D2932&gt;=01_因子設定!$L$5-0.000000001,D2932&lt;=01_因子設定!$M$5+0.000000001,E2932&gt;=01_因子設定!$L$6-0.000000001,E2932&lt;=01_因子設定!$M$6+0.000000001,F2932&gt;=01_因子設定!$L$7-0.000000001,F2932&lt;=01_因子設定!$M$7+0.000000001,IF(01_因子設定!$B$20="Box-Behnken",D2932^2+E2932^2+F2932^2&lt;=2+0.000000001,TRUE()))</f>
        <v>1</v>
      </c>
      <c r="W2932" s="55" t="n">
        <f aca="false">IF(V2932,IF(01_因子設定!$B$13="最大化",T2932-01_因子設定!$B$14,IF(01_因子設定!$B$13="最小化",01_因子設定!$B$15-U2932,MIN(T2932-01_因子設定!$B$14,01_因子設定!$B$15-U2932))),-1E+030)</f>
        <v>-4.67230950367602</v>
      </c>
      <c r="X2932" s="55" t="n">
        <f aca="false">IF(V2932,IF(01_因子設定!$B$13="最大化",Q2932,IF(01_因子設定!$B$13="最小化",-Q2932,-ABS(Q2932-01_因子設定!$B$16))),-1E+030)</f>
        <v>44.8705539772727</v>
      </c>
      <c r="Y2932" s="55" t="n">
        <f aca="false">W2932+ROW()*0.000000001</f>
        <v>-4.67230657167602</v>
      </c>
      <c r="Z2932" s="55" t="n">
        <f aca="false">X2932+ROW()*0.000000001</f>
        <v>44.8705569092727</v>
      </c>
    </row>
    <row r="2933" customFormat="false" ht="15" hidden="false" customHeight="false" outlineLevel="0" collapsed="false">
      <c r="A2933" s="0" t="n">
        <v>10</v>
      </c>
      <c r="B2933" s="0" t="n">
        <v>2</v>
      </c>
      <c r="C2933" s="0" t="n">
        <v>4</v>
      </c>
      <c r="D2933" s="0" t="n">
        <f aca="false">-1+A2933*0.125</f>
        <v>0.25</v>
      </c>
      <c r="E2933" s="0" t="n">
        <f aca="false">-1+B2933*0.125</f>
        <v>-0.75</v>
      </c>
      <c r="F2933" s="0" t="n">
        <f aca="false">-1+C2933*0.125</f>
        <v>-0.5</v>
      </c>
      <c r="G2933" s="0" t="n">
        <f aca="false">1</f>
        <v>1</v>
      </c>
      <c r="H2933" s="0" t="n">
        <f aca="false">D2933</f>
        <v>0.25</v>
      </c>
      <c r="I2933" s="0" t="n">
        <f aca="false">E2933</f>
        <v>-0.75</v>
      </c>
      <c r="J2933" s="0" t="n">
        <f aca="false">F2933</f>
        <v>-0.5</v>
      </c>
      <c r="K2933" s="0" t="n">
        <f aca="false">D2933*E2933</f>
        <v>-0.1875</v>
      </c>
      <c r="L2933" s="0" t="n">
        <f aca="false">D2933*F2933</f>
        <v>-0.125</v>
      </c>
      <c r="M2933" s="0" t="n">
        <f aca="false">E2933*F2933</f>
        <v>0.375</v>
      </c>
      <c r="N2933" s="0" t="n">
        <f aca="false">D2933*D2933</f>
        <v>0.0625</v>
      </c>
      <c r="O2933" s="0" t="n">
        <f aca="false">E2933*E2933</f>
        <v>0.5625</v>
      </c>
      <c r="P2933" s="0" t="n">
        <f aca="false">F2933*F2933</f>
        <v>0.25</v>
      </c>
      <c r="Q2933" s="0" t="n">
        <f aca="false">SUMPRODUCT(G2933:P2933,_XtX!$B$71:$K$71)</f>
        <v>45.1617329545455</v>
      </c>
      <c r="R2933" s="0" t="n">
        <f aca="false">SUMPRODUCT(MMULT(G2933:P2933,_XtX!$B$58:$K$67),G2933:P2933)</f>
        <v>0.237064985795455</v>
      </c>
      <c r="S2933" s="0" t="n">
        <f aca="false">04_回帰ANOVA!$K$19*04_回帰ANOVA!$K$14*SQRT(1+R2933)</f>
        <v>1.03410084594745</v>
      </c>
      <c r="T2933" s="0" t="n">
        <f aca="false">Q2933-S2933</f>
        <v>44.127632108598</v>
      </c>
      <c r="U2933" s="0" t="n">
        <f aca="false">Q2933+S2933</f>
        <v>46.1958338004929</v>
      </c>
      <c r="V2933" s="54" t="b">
        <f aca="false">AND(D2933&gt;=01_因子設定!$L$5-0.000000001,D2933&lt;=01_因子設定!$M$5+0.000000001,E2933&gt;=01_因子設定!$L$6-0.000000001,E2933&lt;=01_因子設定!$M$6+0.000000001,F2933&gt;=01_因子設定!$L$7-0.000000001,F2933&lt;=01_因子設定!$M$7+0.000000001,IF(01_因子設定!$B$20="Box-Behnken",D2933^2+E2933^2+F2933^2&lt;=2+0.000000001,TRUE()))</f>
        <v>1</v>
      </c>
      <c r="W2933" s="55" t="n">
        <f aca="false">IF(V2933,IF(01_因子設定!$B$13="最大化",T2933-01_因子設定!$B$14,IF(01_因子設定!$B$13="最小化",01_因子設定!$B$15-U2933,MIN(T2933-01_因子設定!$B$14,01_因子設定!$B$15-U2933))),-1E+030)</f>
        <v>-4.37236789140197</v>
      </c>
      <c r="X2933" s="55" t="n">
        <f aca="false">IF(V2933,IF(01_因子設定!$B$13="最大化",Q2933,IF(01_因子設定!$B$13="最小化",-Q2933,-ABS(Q2933-01_因子設定!$B$16))),-1E+030)</f>
        <v>45.1617329545455</v>
      </c>
      <c r="Y2933" s="55" t="n">
        <f aca="false">W2933+ROW()*0.000000001</f>
        <v>-4.37236495840197</v>
      </c>
      <c r="Z2933" s="55" t="n">
        <f aca="false">X2933+ROW()*0.000000001</f>
        <v>45.1617358875455</v>
      </c>
    </row>
    <row r="2934" customFormat="false" ht="15" hidden="false" customHeight="false" outlineLevel="0" collapsed="false">
      <c r="A2934" s="0" t="n">
        <v>10</v>
      </c>
      <c r="B2934" s="0" t="n">
        <v>2</v>
      </c>
      <c r="C2934" s="0" t="n">
        <v>5</v>
      </c>
      <c r="D2934" s="0" t="n">
        <f aca="false">-1+A2934*0.125</f>
        <v>0.25</v>
      </c>
      <c r="E2934" s="0" t="n">
        <f aca="false">-1+B2934*0.125</f>
        <v>-0.75</v>
      </c>
      <c r="F2934" s="0" t="n">
        <f aca="false">-1+C2934*0.125</f>
        <v>-0.375</v>
      </c>
      <c r="G2934" s="0" t="n">
        <f aca="false">1</f>
        <v>1</v>
      </c>
      <c r="H2934" s="0" t="n">
        <f aca="false">D2934</f>
        <v>0.25</v>
      </c>
      <c r="I2934" s="0" t="n">
        <f aca="false">E2934</f>
        <v>-0.75</v>
      </c>
      <c r="J2934" s="0" t="n">
        <f aca="false">F2934</f>
        <v>-0.375</v>
      </c>
      <c r="K2934" s="0" t="n">
        <f aca="false">D2934*E2934</f>
        <v>-0.1875</v>
      </c>
      <c r="L2934" s="0" t="n">
        <f aca="false">D2934*F2934</f>
        <v>-0.09375</v>
      </c>
      <c r="M2934" s="0" t="n">
        <f aca="false">E2934*F2934</f>
        <v>0.28125</v>
      </c>
      <c r="N2934" s="0" t="n">
        <f aca="false">D2934*D2934</f>
        <v>0.0625</v>
      </c>
      <c r="O2934" s="0" t="n">
        <f aca="false">E2934*E2934</f>
        <v>0.5625</v>
      </c>
      <c r="P2934" s="0" t="n">
        <f aca="false">F2934*F2934</f>
        <v>0.140625</v>
      </c>
      <c r="Q2934" s="0" t="n">
        <f aca="false">SUMPRODUCT(G2934:P2934,_XtX!$B$71:$K$71)</f>
        <v>45.4161221590909</v>
      </c>
      <c r="R2934" s="0" t="n">
        <f aca="false">SUMPRODUCT(MMULT(G2934:P2934,_XtX!$B$58:$K$67),G2934:P2934)</f>
        <v>0.230632990056818</v>
      </c>
      <c r="S2934" s="0" t="n">
        <f aca="false">04_回帰ANOVA!$K$19*04_回帰ANOVA!$K$14*SQRT(1+R2934)</f>
        <v>1.03140899038819</v>
      </c>
      <c r="T2934" s="0" t="n">
        <f aca="false">Q2934-S2934</f>
        <v>44.3847131687027</v>
      </c>
      <c r="U2934" s="0" t="n">
        <f aca="false">Q2934+S2934</f>
        <v>46.4475311494791</v>
      </c>
      <c r="V2934" s="54" t="b">
        <f aca="false">AND(D2934&gt;=01_因子設定!$L$5-0.000000001,D2934&lt;=01_因子設定!$M$5+0.000000001,E2934&gt;=01_因子設定!$L$6-0.000000001,E2934&lt;=01_因子設定!$M$6+0.000000001,F2934&gt;=01_因子設定!$L$7-0.000000001,F2934&lt;=01_因子設定!$M$7+0.000000001,IF(01_因子設定!$B$20="Box-Behnken",D2934^2+E2934^2+F2934^2&lt;=2+0.000000001,TRUE()))</f>
        <v>1</v>
      </c>
      <c r="W2934" s="55" t="n">
        <f aca="false">IF(V2934,IF(01_因子設定!$B$13="最大化",T2934-01_因子設定!$B$14,IF(01_因子設定!$B$13="最小化",01_因子設定!$B$15-U2934,MIN(T2934-01_因子設定!$B$14,01_因子設定!$B$15-U2934))),-1E+030)</f>
        <v>-4.11528683129726</v>
      </c>
      <c r="X2934" s="55" t="n">
        <f aca="false">IF(V2934,IF(01_因子設定!$B$13="最大化",Q2934,IF(01_因子設定!$B$13="最小化",-Q2934,-ABS(Q2934-01_因子設定!$B$16))),-1E+030)</f>
        <v>45.4161221590909</v>
      </c>
      <c r="Y2934" s="55" t="n">
        <f aca="false">W2934+ROW()*0.000000001</f>
        <v>-4.11528389729726</v>
      </c>
      <c r="Z2934" s="55" t="n">
        <f aca="false">X2934+ROW()*0.000000001</f>
        <v>45.4161250930909</v>
      </c>
    </row>
    <row r="2935" customFormat="false" ht="15" hidden="false" customHeight="false" outlineLevel="0" collapsed="false">
      <c r="A2935" s="0" t="n">
        <v>10</v>
      </c>
      <c r="B2935" s="0" t="n">
        <v>2</v>
      </c>
      <c r="C2935" s="0" t="n">
        <v>6</v>
      </c>
      <c r="D2935" s="0" t="n">
        <f aca="false">-1+A2935*0.125</f>
        <v>0.25</v>
      </c>
      <c r="E2935" s="0" t="n">
        <f aca="false">-1+B2935*0.125</f>
        <v>-0.75</v>
      </c>
      <c r="F2935" s="0" t="n">
        <f aca="false">-1+C2935*0.125</f>
        <v>-0.25</v>
      </c>
      <c r="G2935" s="0" t="n">
        <f aca="false">1</f>
        <v>1</v>
      </c>
      <c r="H2935" s="0" t="n">
        <f aca="false">D2935</f>
        <v>0.25</v>
      </c>
      <c r="I2935" s="0" t="n">
        <f aca="false">E2935</f>
        <v>-0.75</v>
      </c>
      <c r="J2935" s="0" t="n">
        <f aca="false">F2935</f>
        <v>-0.25</v>
      </c>
      <c r="K2935" s="0" t="n">
        <f aca="false">D2935*E2935</f>
        <v>-0.1875</v>
      </c>
      <c r="L2935" s="0" t="n">
        <f aca="false">D2935*F2935</f>
        <v>-0.0625</v>
      </c>
      <c r="M2935" s="0" t="n">
        <f aca="false">E2935*F2935</f>
        <v>0.1875</v>
      </c>
      <c r="N2935" s="0" t="n">
        <f aca="false">D2935*D2935</f>
        <v>0.0625</v>
      </c>
      <c r="O2935" s="0" t="n">
        <f aca="false">E2935*E2935</f>
        <v>0.5625</v>
      </c>
      <c r="P2935" s="0" t="n">
        <f aca="false">F2935*F2935</f>
        <v>0.0625</v>
      </c>
      <c r="Q2935" s="0" t="n">
        <f aca="false">SUMPRODUCT(G2935:P2935,_XtX!$B$71:$K$71)</f>
        <v>45.6337215909091</v>
      </c>
      <c r="R2935" s="0" t="n">
        <f aca="false">SUMPRODUCT(MMULT(G2935:P2935,_XtX!$B$58:$K$67),G2935:P2935)</f>
        <v>0.231365411931818</v>
      </c>
      <c r="S2935" s="0" t="n">
        <f aca="false">04_回帰ANOVA!$K$19*04_回帰ANOVA!$K$14*SQRT(1+R2935)</f>
        <v>1.03171587072803</v>
      </c>
      <c r="T2935" s="0" t="n">
        <f aca="false">Q2935-S2935</f>
        <v>44.6020057201811</v>
      </c>
      <c r="U2935" s="0" t="n">
        <f aca="false">Q2935+S2935</f>
        <v>46.6654374616371</v>
      </c>
      <c r="V2935" s="54" t="b">
        <f aca="false">AND(D2935&gt;=01_因子設定!$L$5-0.000000001,D2935&lt;=01_因子設定!$M$5+0.000000001,E2935&gt;=01_因子設定!$L$6-0.000000001,E2935&lt;=01_因子設定!$M$6+0.000000001,F2935&gt;=01_因子設定!$L$7-0.000000001,F2935&lt;=01_因子設定!$M$7+0.000000001,IF(01_因子設定!$B$20="Box-Behnken",D2935^2+E2935^2+F2935^2&lt;=2+0.000000001,TRUE()))</f>
        <v>1</v>
      </c>
      <c r="W2935" s="55" t="n">
        <f aca="false">IF(V2935,IF(01_因子設定!$B$13="最大化",T2935-01_因子設定!$B$14,IF(01_因子設定!$B$13="最小化",01_因子設定!$B$15-U2935,MIN(T2935-01_因子設定!$B$14,01_因子設定!$B$15-U2935))),-1E+030)</f>
        <v>-3.89799427981892</v>
      </c>
      <c r="X2935" s="55" t="n">
        <f aca="false">IF(V2935,IF(01_因子設定!$B$13="最大化",Q2935,IF(01_因子設定!$B$13="最小化",-Q2935,-ABS(Q2935-01_因子設定!$B$16))),-1E+030)</f>
        <v>45.6337215909091</v>
      </c>
      <c r="Y2935" s="55" t="n">
        <f aca="false">W2935+ROW()*0.000000001</f>
        <v>-3.89799134481892</v>
      </c>
      <c r="Z2935" s="55" t="n">
        <f aca="false">X2935+ROW()*0.000000001</f>
        <v>45.6337245259091</v>
      </c>
    </row>
    <row r="2936" customFormat="false" ht="15" hidden="false" customHeight="false" outlineLevel="0" collapsed="false">
      <c r="A2936" s="0" t="n">
        <v>10</v>
      </c>
      <c r="B2936" s="0" t="n">
        <v>2</v>
      </c>
      <c r="C2936" s="0" t="n">
        <v>7</v>
      </c>
      <c r="D2936" s="0" t="n">
        <f aca="false">-1+A2936*0.125</f>
        <v>0.25</v>
      </c>
      <c r="E2936" s="0" t="n">
        <f aca="false">-1+B2936*0.125</f>
        <v>-0.75</v>
      </c>
      <c r="F2936" s="0" t="n">
        <f aca="false">-1+C2936*0.125</f>
        <v>-0.125</v>
      </c>
      <c r="G2936" s="0" t="n">
        <f aca="false">1</f>
        <v>1</v>
      </c>
      <c r="H2936" s="0" t="n">
        <f aca="false">D2936</f>
        <v>0.25</v>
      </c>
      <c r="I2936" s="0" t="n">
        <f aca="false">E2936</f>
        <v>-0.75</v>
      </c>
      <c r="J2936" s="0" t="n">
        <f aca="false">F2936</f>
        <v>-0.125</v>
      </c>
      <c r="K2936" s="0" t="n">
        <f aca="false">D2936*E2936</f>
        <v>-0.1875</v>
      </c>
      <c r="L2936" s="0" t="n">
        <f aca="false">D2936*F2936</f>
        <v>-0.03125</v>
      </c>
      <c r="M2936" s="0" t="n">
        <f aca="false">E2936*F2936</f>
        <v>0.09375</v>
      </c>
      <c r="N2936" s="0" t="n">
        <f aca="false">D2936*D2936</f>
        <v>0.0625</v>
      </c>
      <c r="O2936" s="0" t="n">
        <f aca="false">E2936*E2936</f>
        <v>0.5625</v>
      </c>
      <c r="P2936" s="0" t="n">
        <f aca="false">F2936*F2936</f>
        <v>0.015625</v>
      </c>
      <c r="Q2936" s="0" t="n">
        <f aca="false">SUMPRODUCT(G2936:P2936,_XtX!$B$71:$K$71)</f>
        <v>45.81453125</v>
      </c>
      <c r="R2936" s="0" t="n">
        <f aca="false">SUMPRODUCT(MMULT(G2936:P2936,_XtX!$B$58:$K$67),G2936:P2936)</f>
        <v>0.233935546875</v>
      </c>
      <c r="S2936" s="0" t="n">
        <f aca="false">04_回帰ANOVA!$K$19*04_回帰ANOVA!$K$14*SQRT(1+R2936)</f>
        <v>1.03279202033444</v>
      </c>
      <c r="T2936" s="0" t="n">
        <f aca="false">Q2936-S2936</f>
        <v>44.7817392296656</v>
      </c>
      <c r="U2936" s="0" t="n">
        <f aca="false">Q2936+S2936</f>
        <v>46.8473232703345</v>
      </c>
      <c r="V2936" s="54" t="b">
        <f aca="false">AND(D2936&gt;=01_因子設定!$L$5-0.000000001,D2936&lt;=01_因子設定!$M$5+0.000000001,E2936&gt;=01_因子設定!$L$6-0.000000001,E2936&lt;=01_因子設定!$M$6+0.000000001,F2936&gt;=01_因子設定!$L$7-0.000000001,F2936&lt;=01_因子設定!$M$7+0.000000001,IF(01_因子設定!$B$20="Box-Behnken",D2936^2+E2936^2+F2936^2&lt;=2+0.000000001,TRUE()))</f>
        <v>1</v>
      </c>
      <c r="W2936" s="55" t="n">
        <f aca="false">IF(V2936,IF(01_因子設定!$B$13="最大化",T2936-01_因子設定!$B$14,IF(01_因子設定!$B$13="最小化",01_因子設定!$B$15-U2936,MIN(T2936-01_因子設定!$B$14,01_因子設定!$B$15-U2936))),-1E+030)</f>
        <v>-3.71826077033443</v>
      </c>
      <c r="X2936" s="55" t="n">
        <f aca="false">IF(V2936,IF(01_因子設定!$B$13="最大化",Q2936,IF(01_因子設定!$B$13="最小化",-Q2936,-ABS(Q2936-01_因子設定!$B$16))),-1E+030)</f>
        <v>45.81453125</v>
      </c>
      <c r="Y2936" s="55" t="n">
        <f aca="false">W2936+ROW()*0.000000001</f>
        <v>-3.71825783433443</v>
      </c>
      <c r="Z2936" s="55" t="n">
        <f aca="false">X2936+ROW()*0.000000001</f>
        <v>45.814534186</v>
      </c>
    </row>
    <row r="2937" customFormat="false" ht="15" hidden="false" customHeight="false" outlineLevel="0" collapsed="false">
      <c r="A2937" s="0" t="n">
        <v>10</v>
      </c>
      <c r="B2937" s="0" t="n">
        <v>2</v>
      </c>
      <c r="C2937" s="0" t="n">
        <v>8</v>
      </c>
      <c r="D2937" s="0" t="n">
        <f aca="false">-1+A2937*0.125</f>
        <v>0.25</v>
      </c>
      <c r="E2937" s="0" t="n">
        <f aca="false">-1+B2937*0.125</f>
        <v>-0.75</v>
      </c>
      <c r="F2937" s="0" t="n">
        <f aca="false">-1+C2937*0.125</f>
        <v>0</v>
      </c>
      <c r="G2937" s="0" t="n">
        <f aca="false">1</f>
        <v>1</v>
      </c>
      <c r="H2937" s="0" t="n">
        <f aca="false">D2937</f>
        <v>0.25</v>
      </c>
      <c r="I2937" s="0" t="n">
        <f aca="false">E2937</f>
        <v>-0.75</v>
      </c>
      <c r="J2937" s="0" t="n">
        <f aca="false">F2937</f>
        <v>0</v>
      </c>
      <c r="K2937" s="0" t="n">
        <f aca="false">D2937*E2937</f>
        <v>-0.1875</v>
      </c>
      <c r="L2937" s="0" t="n">
        <f aca="false">D2937*F2937</f>
        <v>0</v>
      </c>
      <c r="M2937" s="0" t="n">
        <f aca="false">E2937*F2937</f>
        <v>-0</v>
      </c>
      <c r="N2937" s="0" t="n">
        <f aca="false">D2937*D2937</f>
        <v>0.0625</v>
      </c>
      <c r="O2937" s="0" t="n">
        <f aca="false">E2937*E2937</f>
        <v>0.5625</v>
      </c>
      <c r="P2937" s="0" t="n">
        <f aca="false">F2937*F2937</f>
        <v>0</v>
      </c>
      <c r="Q2937" s="0" t="n">
        <f aca="false">SUMPRODUCT(G2937:P2937,_XtX!$B$71:$K$71)</f>
        <v>45.9585511363636</v>
      </c>
      <c r="R2937" s="0" t="n">
        <f aca="false">SUMPRODUCT(MMULT(G2937:P2937,_XtX!$B$58:$K$67),G2937:P2937)</f>
        <v>0.235147372159091</v>
      </c>
      <c r="S2937" s="0" t="n">
        <f aca="false">04_回帰ANOVA!$K$19*04_回帰ANOVA!$K$14*SQRT(1+R2937)</f>
        <v>1.03329903885461</v>
      </c>
      <c r="T2937" s="0" t="n">
        <f aca="false">Q2937-S2937</f>
        <v>44.925252097509</v>
      </c>
      <c r="U2937" s="0" t="n">
        <f aca="false">Q2937+S2937</f>
        <v>46.9918501752183</v>
      </c>
      <c r="V2937" s="54" t="b">
        <f aca="false">AND(D2937&gt;=01_因子設定!$L$5-0.000000001,D2937&lt;=01_因子設定!$M$5+0.000000001,E2937&gt;=01_因子設定!$L$6-0.000000001,E2937&lt;=01_因子設定!$M$6+0.000000001,F2937&gt;=01_因子設定!$L$7-0.000000001,F2937&lt;=01_因子設定!$M$7+0.000000001,IF(01_因子設定!$B$20="Box-Behnken",D2937^2+E2937^2+F2937^2&lt;=2+0.000000001,TRUE()))</f>
        <v>1</v>
      </c>
      <c r="W2937" s="55" t="n">
        <f aca="false">IF(V2937,IF(01_因子設定!$B$13="最大化",T2937-01_因子設定!$B$14,IF(01_因子設定!$B$13="最小化",01_因子設定!$B$15-U2937,MIN(T2937-01_因子設定!$B$14,01_因子設定!$B$15-U2937))),-1E+030)</f>
        <v>-3.57474790249096</v>
      </c>
      <c r="X2937" s="55" t="n">
        <f aca="false">IF(V2937,IF(01_因子設定!$B$13="最大化",Q2937,IF(01_因子設定!$B$13="最小化",-Q2937,-ABS(Q2937-01_因子設定!$B$16))),-1E+030)</f>
        <v>45.9585511363636</v>
      </c>
      <c r="Y2937" s="55" t="n">
        <f aca="false">W2937+ROW()*0.000000001</f>
        <v>-3.57474496549096</v>
      </c>
      <c r="Z2937" s="55" t="n">
        <f aca="false">X2937+ROW()*0.000000001</f>
        <v>45.9585540733636</v>
      </c>
    </row>
    <row r="2938" customFormat="false" ht="15" hidden="false" customHeight="false" outlineLevel="0" collapsed="false">
      <c r="A2938" s="0" t="n">
        <v>10</v>
      </c>
      <c r="B2938" s="0" t="n">
        <v>2</v>
      </c>
      <c r="C2938" s="0" t="n">
        <v>9</v>
      </c>
      <c r="D2938" s="0" t="n">
        <f aca="false">-1+A2938*0.125</f>
        <v>0.25</v>
      </c>
      <c r="E2938" s="0" t="n">
        <f aca="false">-1+B2938*0.125</f>
        <v>-0.75</v>
      </c>
      <c r="F2938" s="0" t="n">
        <f aca="false">-1+C2938*0.125</f>
        <v>0.125</v>
      </c>
      <c r="G2938" s="0" t="n">
        <f aca="false">1</f>
        <v>1</v>
      </c>
      <c r="H2938" s="0" t="n">
        <f aca="false">D2938</f>
        <v>0.25</v>
      </c>
      <c r="I2938" s="0" t="n">
        <f aca="false">E2938</f>
        <v>-0.75</v>
      </c>
      <c r="J2938" s="0" t="n">
        <f aca="false">F2938</f>
        <v>0.125</v>
      </c>
      <c r="K2938" s="0" t="n">
        <f aca="false">D2938*E2938</f>
        <v>-0.1875</v>
      </c>
      <c r="L2938" s="0" t="n">
        <f aca="false">D2938*F2938</f>
        <v>0.03125</v>
      </c>
      <c r="M2938" s="0" t="n">
        <f aca="false">E2938*F2938</f>
        <v>-0.09375</v>
      </c>
      <c r="N2938" s="0" t="n">
        <f aca="false">D2938*D2938</f>
        <v>0.0625</v>
      </c>
      <c r="O2938" s="0" t="n">
        <f aca="false">E2938*E2938</f>
        <v>0.5625</v>
      </c>
      <c r="P2938" s="0" t="n">
        <f aca="false">F2938*F2938</f>
        <v>0.015625</v>
      </c>
      <c r="Q2938" s="0" t="n">
        <f aca="false">SUMPRODUCT(G2938:P2938,_XtX!$B$71:$K$71)</f>
        <v>46.06578125</v>
      </c>
      <c r="R2938" s="0" t="n">
        <f aca="false">SUMPRODUCT(MMULT(G2938:P2938,_XtX!$B$58:$K$67),G2938:P2938)</f>
        <v>0.233935546875</v>
      </c>
      <c r="S2938" s="0" t="n">
        <f aca="false">04_回帰ANOVA!$K$19*04_回帰ANOVA!$K$14*SQRT(1+R2938)</f>
        <v>1.03279202033444</v>
      </c>
      <c r="T2938" s="0" t="n">
        <f aca="false">Q2938-S2938</f>
        <v>45.0329892296656</v>
      </c>
      <c r="U2938" s="0" t="n">
        <f aca="false">Q2938+S2938</f>
        <v>47.0985732703345</v>
      </c>
      <c r="V2938" s="54" t="b">
        <f aca="false">AND(D2938&gt;=01_因子設定!$L$5-0.000000001,D2938&lt;=01_因子設定!$M$5+0.000000001,E2938&gt;=01_因子設定!$L$6-0.000000001,E2938&lt;=01_因子設定!$M$6+0.000000001,F2938&gt;=01_因子設定!$L$7-0.000000001,F2938&lt;=01_因子設定!$M$7+0.000000001,IF(01_因子設定!$B$20="Box-Behnken",D2938^2+E2938^2+F2938^2&lt;=2+0.000000001,TRUE()))</f>
        <v>1</v>
      </c>
      <c r="W2938" s="55" t="n">
        <f aca="false">IF(V2938,IF(01_因子設定!$B$13="最大化",T2938-01_因子設定!$B$14,IF(01_因子設定!$B$13="最小化",01_因子設定!$B$15-U2938,MIN(T2938-01_因子設定!$B$14,01_因子設定!$B$15-U2938))),-1E+030)</f>
        <v>-3.46701077033443</v>
      </c>
      <c r="X2938" s="55" t="n">
        <f aca="false">IF(V2938,IF(01_因子設定!$B$13="最大化",Q2938,IF(01_因子設定!$B$13="最小化",-Q2938,-ABS(Q2938-01_因子設定!$B$16))),-1E+030)</f>
        <v>46.06578125</v>
      </c>
      <c r="Y2938" s="55" t="n">
        <f aca="false">W2938+ROW()*0.000000001</f>
        <v>-3.46700783233443</v>
      </c>
      <c r="Z2938" s="55" t="n">
        <f aca="false">X2938+ROW()*0.000000001</f>
        <v>46.065784188</v>
      </c>
    </row>
    <row r="2939" customFormat="false" ht="15" hidden="false" customHeight="false" outlineLevel="0" collapsed="false">
      <c r="A2939" s="0" t="n">
        <v>10</v>
      </c>
      <c r="B2939" s="0" t="n">
        <v>2</v>
      </c>
      <c r="C2939" s="0" t="n">
        <v>10</v>
      </c>
      <c r="D2939" s="0" t="n">
        <f aca="false">-1+A2939*0.125</f>
        <v>0.25</v>
      </c>
      <c r="E2939" s="0" t="n">
        <f aca="false">-1+B2939*0.125</f>
        <v>-0.75</v>
      </c>
      <c r="F2939" s="0" t="n">
        <f aca="false">-1+C2939*0.125</f>
        <v>0.25</v>
      </c>
      <c r="G2939" s="0" t="n">
        <f aca="false">1</f>
        <v>1</v>
      </c>
      <c r="H2939" s="0" t="n">
        <f aca="false">D2939</f>
        <v>0.25</v>
      </c>
      <c r="I2939" s="0" t="n">
        <f aca="false">E2939</f>
        <v>-0.75</v>
      </c>
      <c r="J2939" s="0" t="n">
        <f aca="false">F2939</f>
        <v>0.25</v>
      </c>
      <c r="K2939" s="0" t="n">
        <f aca="false">D2939*E2939</f>
        <v>-0.1875</v>
      </c>
      <c r="L2939" s="0" t="n">
        <f aca="false">D2939*F2939</f>
        <v>0.0625</v>
      </c>
      <c r="M2939" s="0" t="n">
        <f aca="false">E2939*F2939</f>
        <v>-0.1875</v>
      </c>
      <c r="N2939" s="0" t="n">
        <f aca="false">D2939*D2939</f>
        <v>0.0625</v>
      </c>
      <c r="O2939" s="0" t="n">
        <f aca="false">E2939*E2939</f>
        <v>0.5625</v>
      </c>
      <c r="P2939" s="0" t="n">
        <f aca="false">F2939*F2939</f>
        <v>0.0625</v>
      </c>
      <c r="Q2939" s="0" t="n">
        <f aca="false">SUMPRODUCT(G2939:P2939,_XtX!$B$71:$K$71)</f>
        <v>46.1362215909091</v>
      </c>
      <c r="R2939" s="0" t="n">
        <f aca="false">SUMPRODUCT(MMULT(G2939:P2939,_XtX!$B$58:$K$67),G2939:P2939)</f>
        <v>0.231365411931818</v>
      </c>
      <c r="S2939" s="0" t="n">
        <f aca="false">04_回帰ANOVA!$K$19*04_回帰ANOVA!$K$14*SQRT(1+R2939)</f>
        <v>1.03171587072803</v>
      </c>
      <c r="T2939" s="0" t="n">
        <f aca="false">Q2939-S2939</f>
        <v>45.1045057201811</v>
      </c>
      <c r="U2939" s="0" t="n">
        <f aca="false">Q2939+S2939</f>
        <v>47.1679374616371</v>
      </c>
      <c r="V2939" s="54" t="b">
        <f aca="false">AND(D2939&gt;=01_因子設定!$L$5-0.000000001,D2939&lt;=01_因子設定!$M$5+0.000000001,E2939&gt;=01_因子設定!$L$6-0.000000001,E2939&lt;=01_因子設定!$M$6+0.000000001,F2939&gt;=01_因子設定!$L$7-0.000000001,F2939&lt;=01_因子設定!$M$7+0.000000001,IF(01_因子設定!$B$20="Box-Behnken",D2939^2+E2939^2+F2939^2&lt;=2+0.000000001,TRUE()))</f>
        <v>1</v>
      </c>
      <c r="W2939" s="55" t="n">
        <f aca="false">IF(V2939,IF(01_因子設定!$B$13="最大化",T2939-01_因子設定!$B$14,IF(01_因子設定!$B$13="最小化",01_因子設定!$B$15-U2939,MIN(T2939-01_因子設定!$B$14,01_因子設定!$B$15-U2939))),-1E+030)</f>
        <v>-3.39549427981893</v>
      </c>
      <c r="X2939" s="55" t="n">
        <f aca="false">IF(V2939,IF(01_因子設定!$B$13="最大化",Q2939,IF(01_因子設定!$B$13="最小化",-Q2939,-ABS(Q2939-01_因子設定!$B$16))),-1E+030)</f>
        <v>46.1362215909091</v>
      </c>
      <c r="Y2939" s="55" t="n">
        <f aca="false">W2939+ROW()*0.000000001</f>
        <v>-3.39549134081893</v>
      </c>
      <c r="Z2939" s="55" t="n">
        <f aca="false">X2939+ROW()*0.000000001</f>
        <v>46.1362245299091</v>
      </c>
    </row>
    <row r="2940" customFormat="false" ht="15" hidden="false" customHeight="false" outlineLevel="0" collapsed="false">
      <c r="A2940" s="0" t="n">
        <v>10</v>
      </c>
      <c r="B2940" s="0" t="n">
        <v>2</v>
      </c>
      <c r="C2940" s="0" t="n">
        <v>11</v>
      </c>
      <c r="D2940" s="0" t="n">
        <f aca="false">-1+A2940*0.125</f>
        <v>0.25</v>
      </c>
      <c r="E2940" s="0" t="n">
        <f aca="false">-1+B2940*0.125</f>
        <v>-0.75</v>
      </c>
      <c r="F2940" s="0" t="n">
        <f aca="false">-1+C2940*0.125</f>
        <v>0.375</v>
      </c>
      <c r="G2940" s="0" t="n">
        <f aca="false">1</f>
        <v>1</v>
      </c>
      <c r="H2940" s="0" t="n">
        <f aca="false">D2940</f>
        <v>0.25</v>
      </c>
      <c r="I2940" s="0" t="n">
        <f aca="false">E2940</f>
        <v>-0.75</v>
      </c>
      <c r="J2940" s="0" t="n">
        <f aca="false">F2940</f>
        <v>0.375</v>
      </c>
      <c r="K2940" s="0" t="n">
        <f aca="false">D2940*E2940</f>
        <v>-0.1875</v>
      </c>
      <c r="L2940" s="0" t="n">
        <f aca="false">D2940*F2940</f>
        <v>0.09375</v>
      </c>
      <c r="M2940" s="0" t="n">
        <f aca="false">E2940*F2940</f>
        <v>-0.28125</v>
      </c>
      <c r="N2940" s="0" t="n">
        <f aca="false">D2940*D2940</f>
        <v>0.0625</v>
      </c>
      <c r="O2940" s="0" t="n">
        <f aca="false">E2940*E2940</f>
        <v>0.5625</v>
      </c>
      <c r="P2940" s="0" t="n">
        <f aca="false">F2940*F2940</f>
        <v>0.140625</v>
      </c>
      <c r="Q2940" s="0" t="n">
        <f aca="false">SUMPRODUCT(G2940:P2940,_XtX!$B$71:$K$71)</f>
        <v>46.1698721590909</v>
      </c>
      <c r="R2940" s="0" t="n">
        <f aca="false">SUMPRODUCT(MMULT(G2940:P2940,_XtX!$B$58:$K$67),G2940:P2940)</f>
        <v>0.230632990056818</v>
      </c>
      <c r="S2940" s="0" t="n">
        <f aca="false">04_回帰ANOVA!$K$19*04_回帰ANOVA!$K$14*SQRT(1+R2940)</f>
        <v>1.03140899038819</v>
      </c>
      <c r="T2940" s="0" t="n">
        <f aca="false">Q2940-S2940</f>
        <v>45.1384631687027</v>
      </c>
      <c r="U2940" s="0" t="n">
        <f aca="false">Q2940+S2940</f>
        <v>47.2012811494791</v>
      </c>
      <c r="V2940" s="54" t="b">
        <f aca="false">AND(D2940&gt;=01_因子設定!$L$5-0.000000001,D2940&lt;=01_因子設定!$M$5+0.000000001,E2940&gt;=01_因子設定!$L$6-0.000000001,E2940&lt;=01_因子設定!$M$6+0.000000001,F2940&gt;=01_因子設定!$L$7-0.000000001,F2940&lt;=01_因子設定!$M$7+0.000000001,IF(01_因子設定!$B$20="Box-Behnken",D2940^2+E2940^2+F2940^2&lt;=2+0.000000001,TRUE()))</f>
        <v>1</v>
      </c>
      <c r="W2940" s="55" t="n">
        <f aca="false">IF(V2940,IF(01_因子設定!$B$13="最大化",T2940-01_因子設定!$B$14,IF(01_因子設定!$B$13="最小化",01_因子設定!$B$15-U2940,MIN(T2940-01_因子設定!$B$14,01_因子設定!$B$15-U2940))),-1E+030)</f>
        <v>-3.36153683129727</v>
      </c>
      <c r="X2940" s="55" t="n">
        <f aca="false">IF(V2940,IF(01_因子設定!$B$13="最大化",Q2940,IF(01_因子設定!$B$13="最小化",-Q2940,-ABS(Q2940-01_因子設定!$B$16))),-1E+030)</f>
        <v>46.1698721590909</v>
      </c>
      <c r="Y2940" s="55" t="n">
        <f aca="false">W2940+ROW()*0.000000001</f>
        <v>-3.36153389129727</v>
      </c>
      <c r="Z2940" s="55" t="n">
        <f aca="false">X2940+ROW()*0.000000001</f>
        <v>46.1698750990909</v>
      </c>
    </row>
    <row r="2941" customFormat="false" ht="15" hidden="false" customHeight="false" outlineLevel="0" collapsed="false">
      <c r="A2941" s="0" t="n">
        <v>10</v>
      </c>
      <c r="B2941" s="0" t="n">
        <v>2</v>
      </c>
      <c r="C2941" s="0" t="n">
        <v>12</v>
      </c>
      <c r="D2941" s="0" t="n">
        <f aca="false">-1+A2941*0.125</f>
        <v>0.25</v>
      </c>
      <c r="E2941" s="0" t="n">
        <f aca="false">-1+B2941*0.125</f>
        <v>-0.75</v>
      </c>
      <c r="F2941" s="0" t="n">
        <f aca="false">-1+C2941*0.125</f>
        <v>0.5</v>
      </c>
      <c r="G2941" s="0" t="n">
        <f aca="false">1</f>
        <v>1</v>
      </c>
      <c r="H2941" s="0" t="n">
        <f aca="false">D2941</f>
        <v>0.25</v>
      </c>
      <c r="I2941" s="0" t="n">
        <f aca="false">E2941</f>
        <v>-0.75</v>
      </c>
      <c r="J2941" s="0" t="n">
        <f aca="false">F2941</f>
        <v>0.5</v>
      </c>
      <c r="K2941" s="0" t="n">
        <f aca="false">D2941*E2941</f>
        <v>-0.1875</v>
      </c>
      <c r="L2941" s="0" t="n">
        <f aca="false">D2941*F2941</f>
        <v>0.125</v>
      </c>
      <c r="M2941" s="0" t="n">
        <f aca="false">E2941*F2941</f>
        <v>-0.375</v>
      </c>
      <c r="N2941" s="0" t="n">
        <f aca="false">D2941*D2941</f>
        <v>0.0625</v>
      </c>
      <c r="O2941" s="0" t="n">
        <f aca="false">E2941*E2941</f>
        <v>0.5625</v>
      </c>
      <c r="P2941" s="0" t="n">
        <f aca="false">F2941*F2941</f>
        <v>0.25</v>
      </c>
      <c r="Q2941" s="0" t="n">
        <f aca="false">SUMPRODUCT(G2941:P2941,_XtX!$B$71:$K$71)</f>
        <v>46.1667329545455</v>
      </c>
      <c r="R2941" s="0" t="n">
        <f aca="false">SUMPRODUCT(MMULT(G2941:P2941,_XtX!$B$58:$K$67),G2941:P2941)</f>
        <v>0.237064985795455</v>
      </c>
      <c r="S2941" s="0" t="n">
        <f aca="false">04_回帰ANOVA!$K$19*04_回帰ANOVA!$K$14*SQRT(1+R2941)</f>
        <v>1.03410084594745</v>
      </c>
      <c r="T2941" s="0" t="n">
        <f aca="false">Q2941-S2941</f>
        <v>45.132632108598</v>
      </c>
      <c r="U2941" s="0" t="n">
        <f aca="false">Q2941+S2941</f>
        <v>47.2008338004929</v>
      </c>
      <c r="V2941" s="54" t="b">
        <f aca="false">AND(D2941&gt;=01_因子設定!$L$5-0.000000001,D2941&lt;=01_因子設定!$M$5+0.000000001,E2941&gt;=01_因子設定!$L$6-0.000000001,E2941&lt;=01_因子設定!$M$6+0.000000001,F2941&gt;=01_因子設定!$L$7-0.000000001,F2941&lt;=01_因子設定!$M$7+0.000000001,IF(01_因子設定!$B$20="Box-Behnken",D2941^2+E2941^2+F2941^2&lt;=2+0.000000001,TRUE()))</f>
        <v>1</v>
      </c>
      <c r="W2941" s="55" t="n">
        <f aca="false">IF(V2941,IF(01_因子設定!$B$13="最大化",T2941-01_因子設定!$B$14,IF(01_因子設定!$B$13="最小化",01_因子設定!$B$15-U2941,MIN(T2941-01_因子設定!$B$14,01_因子設定!$B$15-U2941))),-1E+030)</f>
        <v>-3.36736789140198</v>
      </c>
      <c r="X2941" s="55" t="n">
        <f aca="false">IF(V2941,IF(01_因子設定!$B$13="最大化",Q2941,IF(01_因子設定!$B$13="最小化",-Q2941,-ABS(Q2941-01_因子設定!$B$16))),-1E+030)</f>
        <v>46.1667329545455</v>
      </c>
      <c r="Y2941" s="55" t="n">
        <f aca="false">W2941+ROW()*0.000000001</f>
        <v>-3.36736495040198</v>
      </c>
      <c r="Z2941" s="55" t="n">
        <f aca="false">X2941+ROW()*0.000000001</f>
        <v>46.1667358955455</v>
      </c>
    </row>
    <row r="2942" customFormat="false" ht="15" hidden="false" customHeight="false" outlineLevel="0" collapsed="false">
      <c r="A2942" s="0" t="n">
        <v>10</v>
      </c>
      <c r="B2942" s="0" t="n">
        <v>2</v>
      </c>
      <c r="C2942" s="0" t="n">
        <v>13</v>
      </c>
      <c r="D2942" s="0" t="n">
        <f aca="false">-1+A2942*0.125</f>
        <v>0.25</v>
      </c>
      <c r="E2942" s="0" t="n">
        <f aca="false">-1+B2942*0.125</f>
        <v>-0.75</v>
      </c>
      <c r="F2942" s="0" t="n">
        <f aca="false">-1+C2942*0.125</f>
        <v>0.625</v>
      </c>
      <c r="G2942" s="0" t="n">
        <f aca="false">1</f>
        <v>1</v>
      </c>
      <c r="H2942" s="0" t="n">
        <f aca="false">D2942</f>
        <v>0.25</v>
      </c>
      <c r="I2942" s="0" t="n">
        <f aca="false">E2942</f>
        <v>-0.75</v>
      </c>
      <c r="J2942" s="0" t="n">
        <f aca="false">F2942</f>
        <v>0.625</v>
      </c>
      <c r="K2942" s="0" t="n">
        <f aca="false">D2942*E2942</f>
        <v>-0.1875</v>
      </c>
      <c r="L2942" s="0" t="n">
        <f aca="false">D2942*F2942</f>
        <v>0.15625</v>
      </c>
      <c r="M2942" s="0" t="n">
        <f aca="false">E2942*F2942</f>
        <v>-0.46875</v>
      </c>
      <c r="N2942" s="0" t="n">
        <f aca="false">D2942*D2942</f>
        <v>0.0625</v>
      </c>
      <c r="O2942" s="0" t="n">
        <f aca="false">E2942*E2942</f>
        <v>0.5625</v>
      </c>
      <c r="P2942" s="0" t="n">
        <f aca="false">F2942*F2942</f>
        <v>0.390625</v>
      </c>
      <c r="Q2942" s="0" t="n">
        <f aca="false">SUMPRODUCT(G2942:P2942,_XtX!$B$71:$K$71)</f>
        <v>46.1268039772727</v>
      </c>
      <c r="R2942" s="0" t="n">
        <f aca="false">SUMPRODUCT(MMULT(G2942:P2942,_XtX!$B$58:$K$67),G2942:P2942)</f>
        <v>0.258118785511364</v>
      </c>
      <c r="S2942" s="0" t="n">
        <f aca="false">04_回帰ANOVA!$K$19*04_回帰ANOVA!$K$14*SQRT(1+R2942)</f>
        <v>1.04286348094876</v>
      </c>
      <c r="T2942" s="0" t="n">
        <f aca="false">Q2942-S2942</f>
        <v>45.083940496324</v>
      </c>
      <c r="U2942" s="0" t="n">
        <f aca="false">Q2942+S2942</f>
        <v>47.1696674582215</v>
      </c>
      <c r="V2942" s="54" t="b">
        <f aca="false">AND(D2942&gt;=01_因子設定!$L$5-0.000000001,D2942&lt;=01_因子設定!$M$5+0.000000001,E2942&gt;=01_因子設定!$L$6-0.000000001,E2942&lt;=01_因子設定!$M$6+0.000000001,F2942&gt;=01_因子設定!$L$7-0.000000001,F2942&lt;=01_因子設定!$M$7+0.000000001,IF(01_因子設定!$B$20="Box-Behnken",D2942^2+E2942^2+F2942^2&lt;=2+0.000000001,TRUE()))</f>
        <v>1</v>
      </c>
      <c r="W2942" s="55" t="n">
        <f aca="false">IF(V2942,IF(01_因子設定!$B$13="最大化",T2942-01_因子設定!$B$14,IF(01_因子設定!$B$13="最小化",01_因子設定!$B$15-U2942,MIN(T2942-01_因子設定!$B$14,01_因子設定!$B$15-U2942))),-1E+030)</f>
        <v>-3.41605950367602</v>
      </c>
      <c r="X2942" s="55" t="n">
        <f aca="false">IF(V2942,IF(01_因子設定!$B$13="最大化",Q2942,IF(01_因子設定!$B$13="最小化",-Q2942,-ABS(Q2942-01_因子設定!$B$16))),-1E+030)</f>
        <v>46.1268039772727</v>
      </c>
      <c r="Y2942" s="55" t="n">
        <f aca="false">W2942+ROW()*0.000000001</f>
        <v>-3.41605656167602</v>
      </c>
      <c r="Z2942" s="55" t="n">
        <f aca="false">X2942+ROW()*0.000000001</f>
        <v>46.1268069192727</v>
      </c>
    </row>
    <row r="2943" customFormat="false" ht="15" hidden="false" customHeight="false" outlineLevel="0" collapsed="false">
      <c r="A2943" s="0" t="n">
        <v>10</v>
      </c>
      <c r="B2943" s="0" t="n">
        <v>2</v>
      </c>
      <c r="C2943" s="0" t="n">
        <v>14</v>
      </c>
      <c r="D2943" s="0" t="n">
        <f aca="false">-1+A2943*0.125</f>
        <v>0.25</v>
      </c>
      <c r="E2943" s="0" t="n">
        <f aca="false">-1+B2943*0.125</f>
        <v>-0.75</v>
      </c>
      <c r="F2943" s="0" t="n">
        <f aca="false">-1+C2943*0.125</f>
        <v>0.75</v>
      </c>
      <c r="G2943" s="0" t="n">
        <f aca="false">1</f>
        <v>1</v>
      </c>
      <c r="H2943" s="0" t="n">
        <f aca="false">D2943</f>
        <v>0.25</v>
      </c>
      <c r="I2943" s="0" t="n">
        <f aca="false">E2943</f>
        <v>-0.75</v>
      </c>
      <c r="J2943" s="0" t="n">
        <f aca="false">F2943</f>
        <v>0.75</v>
      </c>
      <c r="K2943" s="0" t="n">
        <f aca="false">D2943*E2943</f>
        <v>-0.1875</v>
      </c>
      <c r="L2943" s="0" t="n">
        <f aca="false">D2943*F2943</f>
        <v>0.1875</v>
      </c>
      <c r="M2943" s="0" t="n">
        <f aca="false">E2943*F2943</f>
        <v>-0.5625</v>
      </c>
      <c r="N2943" s="0" t="n">
        <f aca="false">D2943*D2943</f>
        <v>0.0625</v>
      </c>
      <c r="O2943" s="0" t="n">
        <f aca="false">E2943*E2943</f>
        <v>0.5625</v>
      </c>
      <c r="P2943" s="0" t="n">
        <f aca="false">F2943*F2943</f>
        <v>0.5625</v>
      </c>
      <c r="Q2943" s="0" t="n">
        <f aca="false">SUMPRODUCT(G2943:P2943,_XtX!$B$71:$K$71)</f>
        <v>46.0500852272727</v>
      </c>
      <c r="R2943" s="0" t="n">
        <f aca="false">SUMPRODUCT(MMULT(G2943:P2943,_XtX!$B$58:$K$67),G2943:P2943)</f>
        <v>0.303382457386364</v>
      </c>
      <c r="S2943" s="0" t="n">
        <f aca="false">04_回帰ANOVA!$K$19*04_回帰ANOVA!$K$14*SQRT(1+R2943)</f>
        <v>1.06145740650883</v>
      </c>
      <c r="T2943" s="0" t="n">
        <f aca="false">Q2943-S2943</f>
        <v>44.9886278207639</v>
      </c>
      <c r="U2943" s="0" t="n">
        <f aca="false">Q2943+S2943</f>
        <v>47.1115426337816</v>
      </c>
      <c r="V2943" s="54" t="b">
        <f aca="false">AND(D2943&gt;=01_因子設定!$L$5-0.000000001,D2943&lt;=01_因子設定!$M$5+0.000000001,E2943&gt;=01_因子設定!$L$6-0.000000001,E2943&lt;=01_因子設定!$M$6+0.000000001,F2943&gt;=01_因子設定!$L$7-0.000000001,F2943&lt;=01_因子設定!$M$7+0.000000001,IF(01_因子設定!$B$20="Box-Behnken",D2943^2+E2943^2+F2943^2&lt;=2+0.000000001,TRUE()))</f>
        <v>1</v>
      </c>
      <c r="W2943" s="55" t="n">
        <f aca="false">IF(V2943,IF(01_因子設定!$B$13="最大化",T2943-01_因子設定!$B$14,IF(01_因子設定!$B$13="最小化",01_因子設定!$B$15-U2943,MIN(T2943-01_因子設定!$B$14,01_因子設定!$B$15-U2943))),-1E+030)</f>
        <v>-3.51137217923609</v>
      </c>
      <c r="X2943" s="55" t="n">
        <f aca="false">IF(V2943,IF(01_因子設定!$B$13="最大化",Q2943,IF(01_因子設定!$B$13="最小化",-Q2943,-ABS(Q2943-01_因子設定!$B$16))),-1E+030)</f>
        <v>46.0500852272727</v>
      </c>
      <c r="Y2943" s="55" t="n">
        <f aca="false">W2943+ROW()*0.000000001</f>
        <v>-3.51136923623609</v>
      </c>
      <c r="Z2943" s="55" t="n">
        <f aca="false">X2943+ROW()*0.000000001</f>
        <v>46.0500881702727</v>
      </c>
    </row>
    <row r="2944" customFormat="false" ht="15" hidden="false" customHeight="false" outlineLevel="0" collapsed="false">
      <c r="A2944" s="0" t="n">
        <v>10</v>
      </c>
      <c r="B2944" s="0" t="n">
        <v>2</v>
      </c>
      <c r="C2944" s="0" t="n">
        <v>15</v>
      </c>
      <c r="D2944" s="0" t="n">
        <f aca="false">-1+A2944*0.125</f>
        <v>0.25</v>
      </c>
      <c r="E2944" s="0" t="n">
        <f aca="false">-1+B2944*0.125</f>
        <v>-0.75</v>
      </c>
      <c r="F2944" s="0" t="n">
        <f aca="false">-1+C2944*0.125</f>
        <v>0.875</v>
      </c>
      <c r="G2944" s="0" t="n">
        <f aca="false">1</f>
        <v>1</v>
      </c>
      <c r="H2944" s="0" t="n">
        <f aca="false">D2944</f>
        <v>0.25</v>
      </c>
      <c r="I2944" s="0" t="n">
        <f aca="false">E2944</f>
        <v>-0.75</v>
      </c>
      <c r="J2944" s="0" t="n">
        <f aca="false">F2944</f>
        <v>0.875</v>
      </c>
      <c r="K2944" s="0" t="n">
        <f aca="false">D2944*E2944</f>
        <v>-0.1875</v>
      </c>
      <c r="L2944" s="0" t="n">
        <f aca="false">D2944*F2944</f>
        <v>0.21875</v>
      </c>
      <c r="M2944" s="0" t="n">
        <f aca="false">E2944*F2944</f>
        <v>-0.65625</v>
      </c>
      <c r="N2944" s="0" t="n">
        <f aca="false">D2944*D2944</f>
        <v>0.0625</v>
      </c>
      <c r="O2944" s="0" t="n">
        <f aca="false">E2944*E2944</f>
        <v>0.5625</v>
      </c>
      <c r="P2944" s="0" t="n">
        <f aca="false">F2944*F2944</f>
        <v>0.765625</v>
      </c>
      <c r="Q2944" s="0" t="n">
        <f aca="false">SUMPRODUCT(G2944:P2944,_XtX!$B$71:$K$71)</f>
        <v>45.9365767045455</v>
      </c>
      <c r="R2944" s="0" t="n">
        <f aca="false">SUMPRODUCT(MMULT(G2944:P2944,_XtX!$B$58:$K$67),G2944:P2944)</f>
        <v>0.384574751420455</v>
      </c>
      <c r="S2944" s="0" t="n">
        <f aca="false">04_回帰ANOVA!$K$19*04_回帰ANOVA!$K$14*SQRT(1+R2944)</f>
        <v>1.0940189380139</v>
      </c>
      <c r="T2944" s="0" t="n">
        <f aca="false">Q2944-S2944</f>
        <v>44.8425577665316</v>
      </c>
      <c r="U2944" s="0" t="n">
        <f aca="false">Q2944+S2944</f>
        <v>47.0305956425594</v>
      </c>
      <c r="V2944" s="54" t="b">
        <f aca="false">AND(D2944&gt;=01_因子設定!$L$5-0.000000001,D2944&lt;=01_因子設定!$M$5+0.000000001,E2944&gt;=01_因子設定!$L$6-0.000000001,E2944&lt;=01_因子設定!$M$6+0.000000001,F2944&gt;=01_因子設定!$L$7-0.000000001,F2944&lt;=01_因子設定!$M$7+0.000000001,IF(01_因子設定!$B$20="Box-Behnken",D2944^2+E2944^2+F2944^2&lt;=2+0.000000001,TRUE()))</f>
        <v>1</v>
      </c>
      <c r="W2944" s="55" t="n">
        <f aca="false">IF(V2944,IF(01_因子設定!$B$13="最大化",T2944-01_因子設定!$B$14,IF(01_因子設定!$B$13="最小化",01_因子設定!$B$15-U2944,MIN(T2944-01_因子設定!$B$14,01_因子設定!$B$15-U2944))),-1E+030)</f>
        <v>-3.65744223346842</v>
      </c>
      <c r="X2944" s="55" t="n">
        <f aca="false">IF(V2944,IF(01_因子設定!$B$13="最大化",Q2944,IF(01_因子設定!$B$13="最小化",-Q2944,-ABS(Q2944-01_因子設定!$B$16))),-1E+030)</f>
        <v>45.9365767045455</v>
      </c>
      <c r="Y2944" s="55" t="n">
        <f aca="false">W2944+ROW()*0.000000001</f>
        <v>-3.65743928946842</v>
      </c>
      <c r="Z2944" s="55" t="n">
        <f aca="false">X2944+ROW()*0.000000001</f>
        <v>45.9365796485455</v>
      </c>
    </row>
    <row r="2945" customFormat="false" ht="15" hidden="false" customHeight="false" outlineLevel="0" collapsed="false">
      <c r="A2945" s="0" t="n">
        <v>10</v>
      </c>
      <c r="B2945" s="0" t="n">
        <v>2</v>
      </c>
      <c r="C2945" s="0" t="n">
        <v>16</v>
      </c>
      <c r="D2945" s="0" t="n">
        <f aca="false">-1+A2945*0.125</f>
        <v>0.25</v>
      </c>
      <c r="E2945" s="0" t="n">
        <f aca="false">-1+B2945*0.125</f>
        <v>-0.75</v>
      </c>
      <c r="F2945" s="0" t="n">
        <f aca="false">-1+C2945*0.125</f>
        <v>1</v>
      </c>
      <c r="G2945" s="0" t="n">
        <f aca="false">1</f>
        <v>1</v>
      </c>
      <c r="H2945" s="0" t="n">
        <f aca="false">D2945</f>
        <v>0.25</v>
      </c>
      <c r="I2945" s="0" t="n">
        <f aca="false">E2945</f>
        <v>-0.75</v>
      </c>
      <c r="J2945" s="0" t="n">
        <f aca="false">F2945</f>
        <v>1</v>
      </c>
      <c r="K2945" s="0" t="n">
        <f aca="false">D2945*E2945</f>
        <v>-0.1875</v>
      </c>
      <c r="L2945" s="0" t="n">
        <f aca="false">D2945*F2945</f>
        <v>0.25</v>
      </c>
      <c r="M2945" s="0" t="n">
        <f aca="false">E2945*F2945</f>
        <v>-0.75</v>
      </c>
      <c r="N2945" s="0" t="n">
        <f aca="false">D2945*D2945</f>
        <v>0.0625</v>
      </c>
      <c r="O2945" s="0" t="n">
        <f aca="false">E2945*E2945</f>
        <v>0.5625</v>
      </c>
      <c r="P2945" s="0" t="n">
        <f aca="false">F2945*F2945</f>
        <v>1</v>
      </c>
      <c r="Q2945" s="0" t="n">
        <f aca="false">SUMPRODUCT(G2945:P2945,_XtX!$B$71:$K$71)</f>
        <v>45.7862784090909</v>
      </c>
      <c r="R2945" s="0" t="n">
        <f aca="false">SUMPRODUCT(MMULT(G2945:P2945,_XtX!$B$58:$K$67),G2945:P2945)</f>
        <v>0.515545099431818</v>
      </c>
      <c r="S2945" s="0" t="n">
        <f aca="false">04_回帰ANOVA!$K$19*04_回帰ANOVA!$K$14*SQRT(1+R2945)</f>
        <v>1.14459295464101</v>
      </c>
      <c r="T2945" s="0" t="n">
        <f aca="false">Q2945-S2945</f>
        <v>44.6416854544499</v>
      </c>
      <c r="U2945" s="0" t="n">
        <f aca="false">Q2945+S2945</f>
        <v>46.930871363732</v>
      </c>
      <c r="V2945" s="54" t="b">
        <f aca="false">AND(D2945&gt;=01_因子設定!$L$5-0.000000001,D2945&lt;=01_因子設定!$M$5+0.000000001,E2945&gt;=01_因子設定!$L$6-0.000000001,E2945&lt;=01_因子設定!$M$6+0.000000001,F2945&gt;=01_因子設定!$L$7-0.000000001,F2945&lt;=01_因子設定!$M$7+0.000000001,IF(01_因子設定!$B$20="Box-Behnken",D2945^2+E2945^2+F2945^2&lt;=2+0.000000001,TRUE()))</f>
        <v>1</v>
      </c>
      <c r="W2945" s="55" t="n">
        <f aca="false">IF(V2945,IF(01_因子設定!$B$13="最大化",T2945-01_因子設定!$B$14,IF(01_因子設定!$B$13="最小化",01_因子設定!$B$15-U2945,MIN(T2945-01_因子設定!$B$14,01_因子設定!$B$15-U2945))),-1E+030)</f>
        <v>-3.85831454555007</v>
      </c>
      <c r="X2945" s="55" t="n">
        <f aca="false">IF(V2945,IF(01_因子設定!$B$13="最大化",Q2945,IF(01_因子設定!$B$13="最小化",-Q2945,-ABS(Q2945-01_因子設定!$B$16))),-1E+030)</f>
        <v>45.7862784090909</v>
      </c>
      <c r="Y2945" s="55" t="n">
        <f aca="false">W2945+ROW()*0.000000001</f>
        <v>-3.85831160055007</v>
      </c>
      <c r="Z2945" s="55" t="n">
        <f aca="false">X2945+ROW()*0.000000001</f>
        <v>45.7862813540909</v>
      </c>
    </row>
    <row r="2946" customFormat="false" ht="15" hidden="false" customHeight="false" outlineLevel="0" collapsed="false">
      <c r="A2946" s="0" t="n">
        <v>10</v>
      </c>
      <c r="B2946" s="0" t="n">
        <v>3</v>
      </c>
      <c r="C2946" s="0" t="n">
        <v>0</v>
      </c>
      <c r="D2946" s="0" t="n">
        <f aca="false">-1+A2946*0.125</f>
        <v>0.25</v>
      </c>
      <c r="E2946" s="0" t="n">
        <f aca="false">-1+B2946*0.125</f>
        <v>-0.625</v>
      </c>
      <c r="F2946" s="0" t="n">
        <f aca="false">-1+C2946*0.125</f>
        <v>-1</v>
      </c>
      <c r="G2946" s="0" t="n">
        <f aca="false">1</f>
        <v>1</v>
      </c>
      <c r="H2946" s="0" t="n">
        <f aca="false">D2946</f>
        <v>0.25</v>
      </c>
      <c r="I2946" s="0" t="n">
        <f aca="false">E2946</f>
        <v>-0.625</v>
      </c>
      <c r="J2946" s="0" t="n">
        <f aca="false">F2946</f>
        <v>-1</v>
      </c>
      <c r="K2946" s="0" t="n">
        <f aca="false">D2946*E2946</f>
        <v>-0.15625</v>
      </c>
      <c r="L2946" s="0" t="n">
        <f aca="false">D2946*F2946</f>
        <v>-0.25</v>
      </c>
      <c r="M2946" s="0" t="n">
        <f aca="false">E2946*F2946</f>
        <v>0.625</v>
      </c>
      <c r="N2946" s="0" t="n">
        <f aca="false">D2946*D2946</f>
        <v>0.0625</v>
      </c>
      <c r="O2946" s="0" t="n">
        <f aca="false">E2946*E2946</f>
        <v>0.390625</v>
      </c>
      <c r="P2946" s="0" t="n">
        <f aca="false">F2946*F2946</f>
        <v>1</v>
      </c>
      <c r="Q2946" s="0" t="n">
        <f aca="false">SUMPRODUCT(G2946:P2946,_XtX!$B$71:$K$71)</f>
        <v>44.3654971590909</v>
      </c>
      <c r="R2946" s="0" t="n">
        <f aca="false">SUMPRODUCT(MMULT(G2946:P2946,_XtX!$B$58:$K$67),G2946:P2946)</f>
        <v>0.481389825994318</v>
      </c>
      <c r="S2946" s="0" t="n">
        <f aca="false">04_回帰ANOVA!$K$19*04_回帰ANOVA!$K$14*SQRT(1+R2946)</f>
        <v>1.13162182500693</v>
      </c>
      <c r="T2946" s="0" t="n">
        <f aca="false">Q2946-S2946</f>
        <v>43.233875334084</v>
      </c>
      <c r="U2946" s="0" t="n">
        <f aca="false">Q2946+S2946</f>
        <v>45.4971189840979</v>
      </c>
      <c r="V2946" s="54" t="b">
        <f aca="false">AND(D2946&gt;=01_因子設定!$L$5-0.000000001,D2946&lt;=01_因子設定!$M$5+0.000000001,E2946&gt;=01_因子設定!$L$6-0.000000001,E2946&lt;=01_因子設定!$M$6+0.000000001,F2946&gt;=01_因子設定!$L$7-0.000000001,F2946&lt;=01_因子設定!$M$7+0.000000001,IF(01_因子設定!$B$20="Box-Behnken",D2946^2+E2946^2+F2946^2&lt;=2+0.000000001,TRUE()))</f>
        <v>1</v>
      </c>
      <c r="W2946" s="55" t="n">
        <f aca="false">IF(V2946,IF(01_因子設定!$B$13="最大化",T2946-01_因子設定!$B$14,IF(01_因子設定!$B$13="最小化",01_因子設定!$B$15-U2946,MIN(T2946-01_因子設定!$B$14,01_因子設定!$B$15-U2946))),-1E+030)</f>
        <v>-5.26612466591599</v>
      </c>
      <c r="X2946" s="55" t="n">
        <f aca="false">IF(V2946,IF(01_因子設定!$B$13="最大化",Q2946,IF(01_因子設定!$B$13="最小化",-Q2946,-ABS(Q2946-01_因子設定!$B$16))),-1E+030)</f>
        <v>44.3654971590909</v>
      </c>
      <c r="Y2946" s="55" t="n">
        <f aca="false">W2946+ROW()*0.000000001</f>
        <v>-5.26612171991599</v>
      </c>
      <c r="Z2946" s="55" t="n">
        <f aca="false">X2946+ROW()*0.000000001</f>
        <v>44.3655001050909</v>
      </c>
    </row>
    <row r="2947" customFormat="false" ht="15" hidden="false" customHeight="false" outlineLevel="0" collapsed="false">
      <c r="A2947" s="0" t="n">
        <v>10</v>
      </c>
      <c r="B2947" s="0" t="n">
        <v>3</v>
      </c>
      <c r="C2947" s="0" t="n">
        <v>1</v>
      </c>
      <c r="D2947" s="0" t="n">
        <f aca="false">-1+A2947*0.125</f>
        <v>0.25</v>
      </c>
      <c r="E2947" s="0" t="n">
        <f aca="false">-1+B2947*0.125</f>
        <v>-0.625</v>
      </c>
      <c r="F2947" s="0" t="n">
        <f aca="false">-1+C2947*0.125</f>
        <v>-0.875</v>
      </c>
      <c r="G2947" s="0" t="n">
        <f aca="false">1</f>
        <v>1</v>
      </c>
      <c r="H2947" s="0" t="n">
        <f aca="false">D2947</f>
        <v>0.25</v>
      </c>
      <c r="I2947" s="0" t="n">
        <f aca="false">E2947</f>
        <v>-0.625</v>
      </c>
      <c r="J2947" s="0" t="n">
        <f aca="false">F2947</f>
        <v>-0.875</v>
      </c>
      <c r="K2947" s="0" t="n">
        <f aca="false">D2947*E2947</f>
        <v>-0.15625</v>
      </c>
      <c r="L2947" s="0" t="n">
        <f aca="false">D2947*F2947</f>
        <v>-0.21875</v>
      </c>
      <c r="M2947" s="0" t="n">
        <f aca="false">E2947*F2947</f>
        <v>0.546875</v>
      </c>
      <c r="N2947" s="0" t="n">
        <f aca="false">D2947*D2947</f>
        <v>0.0625</v>
      </c>
      <c r="O2947" s="0" t="n">
        <f aca="false">E2947*E2947</f>
        <v>0.390625</v>
      </c>
      <c r="P2947" s="0" t="n">
        <f aca="false">F2947*F2947</f>
        <v>0.765625</v>
      </c>
      <c r="Q2947" s="0" t="n">
        <f aca="false">SUMPRODUCT(G2947:P2947,_XtX!$B$71:$K$71)</f>
        <v>44.7740767045455</v>
      </c>
      <c r="R2947" s="0" t="n">
        <f aca="false">SUMPRODUCT(MMULT(G2947:P2947,_XtX!$B$58:$K$67),G2947:P2947)</f>
        <v>0.34446855024858</v>
      </c>
      <c r="S2947" s="0" t="n">
        <f aca="false">04_回帰ANOVA!$K$19*04_回帰ANOVA!$K$14*SQRT(1+R2947)</f>
        <v>1.07805758590432</v>
      </c>
      <c r="T2947" s="0" t="n">
        <f aca="false">Q2947-S2947</f>
        <v>43.6960191186412</v>
      </c>
      <c r="U2947" s="0" t="n">
        <f aca="false">Q2947+S2947</f>
        <v>45.8521342904498</v>
      </c>
      <c r="V2947" s="54" t="b">
        <f aca="false">AND(D2947&gt;=01_因子設定!$L$5-0.000000001,D2947&lt;=01_因子設定!$M$5+0.000000001,E2947&gt;=01_因子設定!$L$6-0.000000001,E2947&lt;=01_因子設定!$M$6+0.000000001,F2947&gt;=01_因子設定!$L$7-0.000000001,F2947&lt;=01_因子設定!$M$7+0.000000001,IF(01_因子設定!$B$20="Box-Behnken",D2947^2+E2947^2+F2947^2&lt;=2+0.000000001,TRUE()))</f>
        <v>1</v>
      </c>
      <c r="W2947" s="55" t="n">
        <f aca="false">IF(V2947,IF(01_因子設定!$B$13="最大化",T2947-01_因子設定!$B$14,IF(01_因子設定!$B$13="最小化",01_因子設定!$B$15-U2947,MIN(T2947-01_因子設定!$B$14,01_因子設定!$B$15-U2947))),-1E+030)</f>
        <v>-4.80398088135884</v>
      </c>
      <c r="X2947" s="55" t="n">
        <f aca="false">IF(V2947,IF(01_因子設定!$B$13="最大化",Q2947,IF(01_因子設定!$B$13="最小化",-Q2947,-ABS(Q2947-01_因子設定!$B$16))),-1E+030)</f>
        <v>44.7740767045455</v>
      </c>
      <c r="Y2947" s="55" t="n">
        <f aca="false">W2947+ROW()*0.000000001</f>
        <v>-4.80397793435884</v>
      </c>
      <c r="Z2947" s="55" t="n">
        <f aca="false">X2947+ROW()*0.000000001</f>
        <v>44.7740796515455</v>
      </c>
    </row>
    <row r="2948" customFormat="false" ht="15" hidden="false" customHeight="false" outlineLevel="0" collapsed="false">
      <c r="A2948" s="0" t="n">
        <v>10</v>
      </c>
      <c r="B2948" s="0" t="n">
        <v>3</v>
      </c>
      <c r="C2948" s="0" t="n">
        <v>2</v>
      </c>
      <c r="D2948" s="0" t="n">
        <f aca="false">-1+A2948*0.125</f>
        <v>0.25</v>
      </c>
      <c r="E2948" s="0" t="n">
        <f aca="false">-1+B2948*0.125</f>
        <v>-0.625</v>
      </c>
      <c r="F2948" s="0" t="n">
        <f aca="false">-1+C2948*0.125</f>
        <v>-0.75</v>
      </c>
      <c r="G2948" s="0" t="n">
        <f aca="false">1</f>
        <v>1</v>
      </c>
      <c r="H2948" s="0" t="n">
        <f aca="false">D2948</f>
        <v>0.25</v>
      </c>
      <c r="I2948" s="0" t="n">
        <f aca="false">E2948</f>
        <v>-0.625</v>
      </c>
      <c r="J2948" s="0" t="n">
        <f aca="false">F2948</f>
        <v>-0.75</v>
      </c>
      <c r="K2948" s="0" t="n">
        <f aca="false">D2948*E2948</f>
        <v>-0.15625</v>
      </c>
      <c r="L2948" s="0" t="n">
        <f aca="false">D2948*F2948</f>
        <v>-0.1875</v>
      </c>
      <c r="M2948" s="0" t="n">
        <f aca="false">E2948*F2948</f>
        <v>0.46875</v>
      </c>
      <c r="N2948" s="0" t="n">
        <f aca="false">D2948*D2948</f>
        <v>0.0625</v>
      </c>
      <c r="O2948" s="0" t="n">
        <f aca="false">E2948*E2948</f>
        <v>0.390625</v>
      </c>
      <c r="P2948" s="0" t="n">
        <f aca="false">F2948*F2948</f>
        <v>0.5625</v>
      </c>
      <c r="Q2948" s="0" t="n">
        <f aca="false">SUMPRODUCT(G2948:P2948,_XtX!$B$71:$K$71)</f>
        <v>45.1458664772728</v>
      </c>
      <c r="R2948" s="0" t="n">
        <f aca="false">SUMPRODUCT(MMULT(G2948:P2948,_XtX!$B$58:$K$67),G2948:P2948)</f>
        <v>0.258118785511364</v>
      </c>
      <c r="S2948" s="0" t="n">
        <f aca="false">04_回帰ANOVA!$K$19*04_回帰ANOVA!$K$14*SQRT(1+R2948)</f>
        <v>1.04286348094876</v>
      </c>
      <c r="T2948" s="0" t="n">
        <f aca="false">Q2948-S2948</f>
        <v>44.103002996324</v>
      </c>
      <c r="U2948" s="0" t="n">
        <f aca="false">Q2948+S2948</f>
        <v>46.1887299582215</v>
      </c>
      <c r="V2948" s="54" t="b">
        <f aca="false">AND(D2948&gt;=01_因子設定!$L$5-0.000000001,D2948&lt;=01_因子設定!$M$5+0.000000001,E2948&gt;=01_因子設定!$L$6-0.000000001,E2948&lt;=01_因子設定!$M$6+0.000000001,F2948&gt;=01_因子設定!$L$7-0.000000001,F2948&lt;=01_因子設定!$M$7+0.000000001,IF(01_因子設定!$B$20="Box-Behnken",D2948^2+E2948^2+F2948^2&lt;=2+0.000000001,TRUE()))</f>
        <v>1</v>
      </c>
      <c r="W2948" s="55" t="n">
        <f aca="false">IF(V2948,IF(01_因子設定!$B$13="最大化",T2948-01_因子設定!$B$14,IF(01_因子設定!$B$13="最小化",01_因子設定!$B$15-U2948,MIN(T2948-01_因子設定!$B$14,01_因子設定!$B$15-U2948))),-1E+030)</f>
        <v>-4.39699700367601</v>
      </c>
      <c r="X2948" s="55" t="n">
        <f aca="false">IF(V2948,IF(01_因子設定!$B$13="最大化",Q2948,IF(01_因子設定!$B$13="最小化",-Q2948,-ABS(Q2948-01_因子設定!$B$16))),-1E+030)</f>
        <v>45.1458664772728</v>
      </c>
      <c r="Y2948" s="55" t="n">
        <f aca="false">W2948+ROW()*0.000000001</f>
        <v>-4.39699405567601</v>
      </c>
      <c r="Z2948" s="55" t="n">
        <f aca="false">X2948+ROW()*0.000000001</f>
        <v>45.1458694252728</v>
      </c>
    </row>
    <row r="2949" customFormat="false" ht="15" hidden="false" customHeight="false" outlineLevel="0" collapsed="false">
      <c r="A2949" s="0" t="n">
        <v>10</v>
      </c>
      <c r="B2949" s="0" t="n">
        <v>3</v>
      </c>
      <c r="C2949" s="0" t="n">
        <v>3</v>
      </c>
      <c r="D2949" s="0" t="n">
        <f aca="false">-1+A2949*0.125</f>
        <v>0.25</v>
      </c>
      <c r="E2949" s="0" t="n">
        <f aca="false">-1+B2949*0.125</f>
        <v>-0.625</v>
      </c>
      <c r="F2949" s="0" t="n">
        <f aca="false">-1+C2949*0.125</f>
        <v>-0.625</v>
      </c>
      <c r="G2949" s="0" t="n">
        <f aca="false">1</f>
        <v>1</v>
      </c>
      <c r="H2949" s="0" t="n">
        <f aca="false">D2949</f>
        <v>0.25</v>
      </c>
      <c r="I2949" s="0" t="n">
        <f aca="false">E2949</f>
        <v>-0.625</v>
      </c>
      <c r="J2949" s="0" t="n">
        <f aca="false">F2949</f>
        <v>-0.625</v>
      </c>
      <c r="K2949" s="0" t="n">
        <f aca="false">D2949*E2949</f>
        <v>-0.15625</v>
      </c>
      <c r="L2949" s="0" t="n">
        <f aca="false">D2949*F2949</f>
        <v>-0.15625</v>
      </c>
      <c r="M2949" s="0" t="n">
        <f aca="false">E2949*F2949</f>
        <v>0.390625</v>
      </c>
      <c r="N2949" s="0" t="n">
        <f aca="false">D2949*D2949</f>
        <v>0.0625</v>
      </c>
      <c r="O2949" s="0" t="n">
        <f aca="false">E2949*E2949</f>
        <v>0.390625</v>
      </c>
      <c r="P2949" s="0" t="n">
        <f aca="false">F2949*F2949</f>
        <v>0.390625</v>
      </c>
      <c r="Q2949" s="0" t="n">
        <f aca="false">SUMPRODUCT(G2949:P2949,_XtX!$B$71:$K$71)</f>
        <v>45.4808664772727</v>
      </c>
      <c r="R2949" s="0" t="n">
        <f aca="false">SUMPRODUCT(MMULT(G2949:P2949,_XtX!$B$58:$K$67),G2949:P2949)</f>
        <v>0.208491099964489</v>
      </c>
      <c r="S2949" s="0" t="n">
        <f aca="false">04_回帰ANOVA!$K$19*04_回帰ANOVA!$K$14*SQRT(1+R2949)</f>
        <v>1.02208817610259</v>
      </c>
      <c r="T2949" s="0" t="n">
        <f aca="false">Q2949-S2949</f>
        <v>44.4587783011702</v>
      </c>
      <c r="U2949" s="0" t="n">
        <f aca="false">Q2949+S2949</f>
        <v>46.5029546533753</v>
      </c>
      <c r="V2949" s="54" t="b">
        <f aca="false">AND(D2949&gt;=01_因子設定!$L$5-0.000000001,D2949&lt;=01_因子設定!$M$5+0.000000001,E2949&gt;=01_因子設定!$L$6-0.000000001,E2949&lt;=01_因子設定!$M$6+0.000000001,F2949&gt;=01_因子設定!$L$7-0.000000001,F2949&lt;=01_因子設定!$M$7+0.000000001,IF(01_因子設定!$B$20="Box-Behnken",D2949^2+E2949^2+F2949^2&lt;=2+0.000000001,TRUE()))</f>
        <v>1</v>
      </c>
      <c r="W2949" s="55" t="n">
        <f aca="false">IF(V2949,IF(01_因子設定!$B$13="最大化",T2949-01_因子設定!$B$14,IF(01_因子設定!$B$13="最小化",01_因子設定!$B$15-U2949,MIN(T2949-01_因子設定!$B$14,01_因子設定!$B$15-U2949))),-1E+030)</f>
        <v>-4.04122169882984</v>
      </c>
      <c r="X2949" s="55" t="n">
        <f aca="false">IF(V2949,IF(01_因子設定!$B$13="最大化",Q2949,IF(01_因子設定!$B$13="最小化",-Q2949,-ABS(Q2949-01_因子設定!$B$16))),-1E+030)</f>
        <v>45.4808664772727</v>
      </c>
      <c r="Y2949" s="55" t="n">
        <f aca="false">W2949+ROW()*0.000000001</f>
        <v>-4.04121874982984</v>
      </c>
      <c r="Z2949" s="55" t="n">
        <f aca="false">X2949+ROW()*0.000000001</f>
        <v>45.4808694262727</v>
      </c>
    </row>
    <row r="2950" customFormat="false" ht="15" hidden="false" customHeight="false" outlineLevel="0" collapsed="false">
      <c r="A2950" s="0" t="n">
        <v>10</v>
      </c>
      <c r="B2950" s="0" t="n">
        <v>3</v>
      </c>
      <c r="C2950" s="0" t="n">
        <v>4</v>
      </c>
      <c r="D2950" s="0" t="n">
        <f aca="false">-1+A2950*0.125</f>
        <v>0.25</v>
      </c>
      <c r="E2950" s="0" t="n">
        <f aca="false">-1+B2950*0.125</f>
        <v>-0.625</v>
      </c>
      <c r="F2950" s="0" t="n">
        <f aca="false">-1+C2950*0.125</f>
        <v>-0.5</v>
      </c>
      <c r="G2950" s="0" t="n">
        <f aca="false">1</f>
        <v>1</v>
      </c>
      <c r="H2950" s="0" t="n">
        <f aca="false">D2950</f>
        <v>0.25</v>
      </c>
      <c r="I2950" s="0" t="n">
        <f aca="false">E2950</f>
        <v>-0.625</v>
      </c>
      <c r="J2950" s="0" t="n">
        <f aca="false">F2950</f>
        <v>-0.5</v>
      </c>
      <c r="K2950" s="0" t="n">
        <f aca="false">D2950*E2950</f>
        <v>-0.15625</v>
      </c>
      <c r="L2950" s="0" t="n">
        <f aca="false">D2950*F2950</f>
        <v>-0.125</v>
      </c>
      <c r="M2950" s="0" t="n">
        <f aca="false">E2950*F2950</f>
        <v>0.3125</v>
      </c>
      <c r="N2950" s="0" t="n">
        <f aca="false">D2950*D2950</f>
        <v>0.0625</v>
      </c>
      <c r="O2950" s="0" t="n">
        <f aca="false">E2950*E2950</f>
        <v>0.390625</v>
      </c>
      <c r="P2950" s="0" t="n">
        <f aca="false">F2950*F2950</f>
        <v>0.25</v>
      </c>
      <c r="Q2950" s="0" t="n">
        <f aca="false">SUMPRODUCT(G2950:P2950,_XtX!$B$71:$K$71)</f>
        <v>45.7790767045455</v>
      </c>
      <c r="R2950" s="0" t="n">
        <f aca="false">SUMPRODUCT(MMULT(G2950:P2950,_XtX!$B$58:$K$67),G2950:P2950)</f>
        <v>0.183866743607955</v>
      </c>
      <c r="S2950" s="0" t="n">
        <f aca="false">04_回帰ANOVA!$K$19*04_回帰ANOVA!$K$14*SQRT(1+R2950)</f>
        <v>1.01162148983013</v>
      </c>
      <c r="T2950" s="0" t="n">
        <f aca="false">Q2950-S2950</f>
        <v>44.7674552147153</v>
      </c>
      <c r="U2950" s="0" t="n">
        <f aca="false">Q2950+S2950</f>
        <v>46.7906981943756</v>
      </c>
      <c r="V2950" s="54" t="b">
        <f aca="false">AND(D2950&gt;=01_因子設定!$L$5-0.000000001,D2950&lt;=01_因子設定!$M$5+0.000000001,E2950&gt;=01_因子設定!$L$6-0.000000001,E2950&lt;=01_因子設定!$M$6+0.000000001,F2950&gt;=01_因子設定!$L$7-0.000000001,F2950&lt;=01_因子設定!$M$7+0.000000001,IF(01_因子設定!$B$20="Box-Behnken",D2950^2+E2950^2+F2950^2&lt;=2+0.000000001,TRUE()))</f>
        <v>1</v>
      </c>
      <c r="W2950" s="55" t="n">
        <f aca="false">IF(V2950,IF(01_因子設定!$B$13="最大化",T2950-01_因子設定!$B$14,IF(01_因子設定!$B$13="最小化",01_因子設定!$B$15-U2950,MIN(T2950-01_因子設定!$B$14,01_因子設定!$B$15-U2950))),-1E+030)</f>
        <v>-3.73254478528467</v>
      </c>
      <c r="X2950" s="55" t="n">
        <f aca="false">IF(V2950,IF(01_因子設定!$B$13="最大化",Q2950,IF(01_因子設定!$B$13="最小化",-Q2950,-ABS(Q2950-01_因子設定!$B$16))),-1E+030)</f>
        <v>45.7790767045455</v>
      </c>
      <c r="Y2950" s="55" t="n">
        <f aca="false">W2950+ROW()*0.000000001</f>
        <v>-3.73254183528467</v>
      </c>
      <c r="Z2950" s="55" t="n">
        <f aca="false">X2950+ROW()*0.000000001</f>
        <v>45.7790796545455</v>
      </c>
    </row>
    <row r="2951" customFormat="false" ht="15" hidden="false" customHeight="false" outlineLevel="0" collapsed="false">
      <c r="A2951" s="0" t="n">
        <v>10</v>
      </c>
      <c r="B2951" s="0" t="n">
        <v>3</v>
      </c>
      <c r="C2951" s="0" t="n">
        <v>5</v>
      </c>
      <c r="D2951" s="0" t="n">
        <f aca="false">-1+A2951*0.125</f>
        <v>0.25</v>
      </c>
      <c r="E2951" s="0" t="n">
        <f aca="false">-1+B2951*0.125</f>
        <v>-0.625</v>
      </c>
      <c r="F2951" s="0" t="n">
        <f aca="false">-1+C2951*0.125</f>
        <v>-0.375</v>
      </c>
      <c r="G2951" s="0" t="n">
        <f aca="false">1</f>
        <v>1</v>
      </c>
      <c r="H2951" s="0" t="n">
        <f aca="false">D2951</f>
        <v>0.25</v>
      </c>
      <c r="I2951" s="0" t="n">
        <f aca="false">E2951</f>
        <v>-0.625</v>
      </c>
      <c r="J2951" s="0" t="n">
        <f aca="false">F2951</f>
        <v>-0.375</v>
      </c>
      <c r="K2951" s="0" t="n">
        <f aca="false">D2951*E2951</f>
        <v>-0.15625</v>
      </c>
      <c r="L2951" s="0" t="n">
        <f aca="false">D2951*F2951</f>
        <v>-0.09375</v>
      </c>
      <c r="M2951" s="0" t="n">
        <f aca="false">E2951*F2951</f>
        <v>0.234375</v>
      </c>
      <c r="N2951" s="0" t="n">
        <f aca="false">D2951*D2951</f>
        <v>0.0625</v>
      </c>
      <c r="O2951" s="0" t="n">
        <f aca="false">E2951*E2951</f>
        <v>0.390625</v>
      </c>
      <c r="P2951" s="0" t="n">
        <f aca="false">F2951*F2951</f>
        <v>0.140625</v>
      </c>
      <c r="Q2951" s="0" t="n">
        <f aca="false">SUMPRODUCT(G2951:P2951,_XtX!$B$71:$K$71)</f>
        <v>46.0404971590909</v>
      </c>
      <c r="R2951" s="0" t="n">
        <f aca="false">SUMPRODUCT(MMULT(G2951:P2951,_XtX!$B$58:$K$67),G2951:P2951)</f>
        <v>0.174657648259943</v>
      </c>
      <c r="S2951" s="0" t="n">
        <f aca="false">04_回帰ANOVA!$K$19*04_回帰ANOVA!$K$14*SQRT(1+R2951)</f>
        <v>1.00767919364845</v>
      </c>
      <c r="T2951" s="0" t="n">
        <f aca="false">Q2951-S2951</f>
        <v>45.0328179654425</v>
      </c>
      <c r="U2951" s="0" t="n">
        <f aca="false">Q2951+S2951</f>
        <v>47.0481763527394</v>
      </c>
      <c r="V2951" s="54" t="b">
        <f aca="false">AND(D2951&gt;=01_因子設定!$L$5-0.000000001,D2951&lt;=01_因子設定!$M$5+0.000000001,E2951&gt;=01_因子設定!$L$6-0.000000001,E2951&lt;=01_因子設定!$M$6+0.000000001,F2951&gt;=01_因子設定!$L$7-0.000000001,F2951&lt;=01_因子設定!$M$7+0.000000001,IF(01_因子設定!$B$20="Box-Behnken",D2951^2+E2951^2+F2951^2&lt;=2+0.000000001,TRUE()))</f>
        <v>1</v>
      </c>
      <c r="W2951" s="55" t="n">
        <f aca="false">IF(V2951,IF(01_因子設定!$B$13="最大化",T2951-01_因子設定!$B$14,IF(01_因子設定!$B$13="最小化",01_因子設定!$B$15-U2951,MIN(T2951-01_因子設定!$B$14,01_因子設定!$B$15-U2951))),-1E+030)</f>
        <v>-3.46718203455752</v>
      </c>
      <c r="X2951" s="55" t="n">
        <f aca="false">IF(V2951,IF(01_因子設定!$B$13="最大化",Q2951,IF(01_因子設定!$B$13="最小化",-Q2951,-ABS(Q2951-01_因子設定!$B$16))),-1E+030)</f>
        <v>46.0404971590909</v>
      </c>
      <c r="Y2951" s="55" t="n">
        <f aca="false">W2951+ROW()*0.000000001</f>
        <v>-3.46717908355752</v>
      </c>
      <c r="Z2951" s="55" t="n">
        <f aca="false">X2951+ROW()*0.000000001</f>
        <v>46.0405001100909</v>
      </c>
    </row>
    <row r="2952" customFormat="false" ht="15" hidden="false" customHeight="false" outlineLevel="0" collapsed="false">
      <c r="A2952" s="0" t="n">
        <v>10</v>
      </c>
      <c r="B2952" s="0" t="n">
        <v>3</v>
      </c>
      <c r="C2952" s="0" t="n">
        <v>6</v>
      </c>
      <c r="D2952" s="0" t="n">
        <f aca="false">-1+A2952*0.125</f>
        <v>0.25</v>
      </c>
      <c r="E2952" s="0" t="n">
        <f aca="false">-1+B2952*0.125</f>
        <v>-0.625</v>
      </c>
      <c r="F2952" s="0" t="n">
        <f aca="false">-1+C2952*0.125</f>
        <v>-0.25</v>
      </c>
      <c r="G2952" s="0" t="n">
        <f aca="false">1</f>
        <v>1</v>
      </c>
      <c r="H2952" s="0" t="n">
        <f aca="false">D2952</f>
        <v>0.25</v>
      </c>
      <c r="I2952" s="0" t="n">
        <f aca="false">E2952</f>
        <v>-0.625</v>
      </c>
      <c r="J2952" s="0" t="n">
        <f aca="false">F2952</f>
        <v>-0.25</v>
      </c>
      <c r="K2952" s="0" t="n">
        <f aca="false">D2952*E2952</f>
        <v>-0.15625</v>
      </c>
      <c r="L2952" s="0" t="n">
        <f aca="false">D2952*F2952</f>
        <v>-0.0625</v>
      </c>
      <c r="M2952" s="0" t="n">
        <f aca="false">E2952*F2952</f>
        <v>0.15625</v>
      </c>
      <c r="N2952" s="0" t="n">
        <f aca="false">D2952*D2952</f>
        <v>0.0625</v>
      </c>
      <c r="O2952" s="0" t="n">
        <f aca="false">E2952*E2952</f>
        <v>0.390625</v>
      </c>
      <c r="P2952" s="0" t="n">
        <f aca="false">F2952*F2952</f>
        <v>0.0625</v>
      </c>
      <c r="Q2952" s="0" t="n">
        <f aca="false">SUMPRODUCT(G2952:P2952,_XtX!$B$71:$K$71)</f>
        <v>46.2651278409091</v>
      </c>
      <c r="R2952" s="0" t="n">
        <f aca="false">SUMPRODUCT(MMULT(G2952:P2952,_XtX!$B$58:$K$67),G2952:P2952)</f>
        <v>0.173406427556818</v>
      </c>
      <c r="S2952" s="0" t="n">
        <f aca="false">04_回帰ANOVA!$K$19*04_回帰ANOVA!$K$14*SQRT(1+R2952)</f>
        <v>1.00714237128059</v>
      </c>
      <c r="T2952" s="0" t="n">
        <f aca="false">Q2952-S2952</f>
        <v>45.2579854696285</v>
      </c>
      <c r="U2952" s="0" t="n">
        <f aca="false">Q2952+S2952</f>
        <v>47.2722702121897</v>
      </c>
      <c r="V2952" s="54" t="b">
        <f aca="false">AND(D2952&gt;=01_因子設定!$L$5-0.000000001,D2952&lt;=01_因子設定!$M$5+0.000000001,E2952&gt;=01_因子設定!$L$6-0.000000001,E2952&lt;=01_因子設定!$M$6+0.000000001,F2952&gt;=01_因子設定!$L$7-0.000000001,F2952&lt;=01_因子設定!$M$7+0.000000001,IF(01_因子設定!$B$20="Box-Behnken",D2952^2+E2952^2+F2952^2&lt;=2+0.000000001,TRUE()))</f>
        <v>1</v>
      </c>
      <c r="W2952" s="55" t="n">
        <f aca="false">IF(V2952,IF(01_因子設定!$B$13="最大化",T2952-01_因子設定!$B$14,IF(01_因子設定!$B$13="最小化",01_因子設定!$B$15-U2952,MIN(T2952-01_因子設定!$B$14,01_因子設定!$B$15-U2952))),-1E+030)</f>
        <v>-3.24201453037149</v>
      </c>
      <c r="X2952" s="55" t="n">
        <f aca="false">IF(V2952,IF(01_因子設定!$B$13="最大化",Q2952,IF(01_因子設定!$B$13="最小化",-Q2952,-ABS(Q2952-01_因子設定!$B$16))),-1E+030)</f>
        <v>46.2651278409091</v>
      </c>
      <c r="Y2952" s="55" t="n">
        <f aca="false">W2952+ROW()*0.000000001</f>
        <v>-3.24201157837149</v>
      </c>
      <c r="Z2952" s="55" t="n">
        <f aca="false">X2952+ROW()*0.000000001</f>
        <v>46.2651307929091</v>
      </c>
    </row>
    <row r="2953" customFormat="false" ht="15" hidden="false" customHeight="false" outlineLevel="0" collapsed="false">
      <c r="A2953" s="0" t="n">
        <v>10</v>
      </c>
      <c r="B2953" s="0" t="n">
        <v>3</v>
      </c>
      <c r="C2953" s="0" t="n">
        <v>7</v>
      </c>
      <c r="D2953" s="0" t="n">
        <f aca="false">-1+A2953*0.125</f>
        <v>0.25</v>
      </c>
      <c r="E2953" s="0" t="n">
        <f aca="false">-1+B2953*0.125</f>
        <v>-0.625</v>
      </c>
      <c r="F2953" s="0" t="n">
        <f aca="false">-1+C2953*0.125</f>
        <v>-0.125</v>
      </c>
      <c r="G2953" s="0" t="n">
        <f aca="false">1</f>
        <v>1</v>
      </c>
      <c r="H2953" s="0" t="n">
        <f aca="false">D2953</f>
        <v>0.25</v>
      </c>
      <c r="I2953" s="0" t="n">
        <f aca="false">E2953</f>
        <v>-0.625</v>
      </c>
      <c r="J2953" s="0" t="n">
        <f aca="false">F2953</f>
        <v>-0.125</v>
      </c>
      <c r="K2953" s="0" t="n">
        <f aca="false">D2953*E2953</f>
        <v>-0.15625</v>
      </c>
      <c r="L2953" s="0" t="n">
        <f aca="false">D2953*F2953</f>
        <v>-0.03125</v>
      </c>
      <c r="M2953" s="0" t="n">
        <f aca="false">E2953*F2953</f>
        <v>0.078125</v>
      </c>
      <c r="N2953" s="0" t="n">
        <f aca="false">D2953*D2953</f>
        <v>0.0625</v>
      </c>
      <c r="O2953" s="0" t="n">
        <f aca="false">E2953*E2953</f>
        <v>0.390625</v>
      </c>
      <c r="P2953" s="0" t="n">
        <f aca="false">F2953*F2953</f>
        <v>0.015625</v>
      </c>
      <c r="Q2953" s="0" t="n">
        <f aca="false">SUMPRODUCT(G2953:P2953,_XtX!$B$71:$K$71)</f>
        <v>46.45296875</v>
      </c>
      <c r="R2953" s="0" t="n">
        <f aca="false">SUMPRODUCT(MMULT(G2953:P2953,_XtX!$B$58:$K$67),G2953:P2953)</f>
        <v>0.174786376953125</v>
      </c>
      <c r="S2953" s="0" t="n">
        <f aca="false">04_回帰ANOVA!$K$19*04_回帰ANOVA!$K$14*SQRT(1+R2953)</f>
        <v>1.00773440704286</v>
      </c>
      <c r="T2953" s="0" t="n">
        <f aca="false">Q2953-S2953</f>
        <v>45.4452343429572</v>
      </c>
      <c r="U2953" s="0" t="n">
        <f aca="false">Q2953+S2953</f>
        <v>47.4607031570429</v>
      </c>
      <c r="V2953" s="54" t="b">
        <f aca="false">AND(D2953&gt;=01_因子設定!$L$5-0.000000001,D2953&lt;=01_因子設定!$M$5+0.000000001,E2953&gt;=01_因子設定!$L$6-0.000000001,E2953&lt;=01_因子設定!$M$6+0.000000001,F2953&gt;=01_因子設定!$L$7-0.000000001,F2953&lt;=01_因子設定!$M$7+0.000000001,IF(01_因子設定!$B$20="Box-Behnken",D2953^2+E2953^2+F2953^2&lt;=2+0.000000001,TRUE()))</f>
        <v>1</v>
      </c>
      <c r="W2953" s="55" t="n">
        <f aca="false">IF(V2953,IF(01_因子設定!$B$13="最大化",T2953-01_因子設定!$B$14,IF(01_因子設定!$B$13="最小化",01_因子設定!$B$15-U2953,MIN(T2953-01_因子設定!$B$14,01_因子設定!$B$15-U2953))),-1E+030)</f>
        <v>-3.05476565704285</v>
      </c>
      <c r="X2953" s="55" t="n">
        <f aca="false">IF(V2953,IF(01_因子設定!$B$13="最大化",Q2953,IF(01_因子設定!$B$13="最小化",-Q2953,-ABS(Q2953-01_因子設定!$B$16))),-1E+030)</f>
        <v>46.45296875</v>
      </c>
      <c r="Y2953" s="55" t="n">
        <f aca="false">W2953+ROW()*0.000000001</f>
        <v>-3.05476270404285</v>
      </c>
      <c r="Z2953" s="55" t="n">
        <f aca="false">X2953+ROW()*0.000000001</f>
        <v>46.452971703</v>
      </c>
    </row>
    <row r="2954" customFormat="false" ht="15" hidden="false" customHeight="false" outlineLevel="0" collapsed="false">
      <c r="A2954" s="0" t="n">
        <v>10</v>
      </c>
      <c r="B2954" s="0" t="n">
        <v>3</v>
      </c>
      <c r="C2954" s="0" t="n">
        <v>8</v>
      </c>
      <c r="D2954" s="0" t="n">
        <f aca="false">-1+A2954*0.125</f>
        <v>0.25</v>
      </c>
      <c r="E2954" s="0" t="n">
        <f aca="false">-1+B2954*0.125</f>
        <v>-0.625</v>
      </c>
      <c r="F2954" s="0" t="n">
        <f aca="false">-1+C2954*0.125</f>
        <v>0</v>
      </c>
      <c r="G2954" s="0" t="n">
        <f aca="false">1</f>
        <v>1</v>
      </c>
      <c r="H2954" s="0" t="n">
        <f aca="false">D2954</f>
        <v>0.25</v>
      </c>
      <c r="I2954" s="0" t="n">
        <f aca="false">E2954</f>
        <v>-0.625</v>
      </c>
      <c r="J2954" s="0" t="n">
        <f aca="false">F2954</f>
        <v>0</v>
      </c>
      <c r="K2954" s="0" t="n">
        <f aca="false">D2954*E2954</f>
        <v>-0.15625</v>
      </c>
      <c r="L2954" s="0" t="n">
        <f aca="false">D2954*F2954</f>
        <v>0</v>
      </c>
      <c r="M2954" s="0" t="n">
        <f aca="false">E2954*F2954</f>
        <v>-0</v>
      </c>
      <c r="N2954" s="0" t="n">
        <f aca="false">D2954*D2954</f>
        <v>0.0625</v>
      </c>
      <c r="O2954" s="0" t="n">
        <f aca="false">E2954*E2954</f>
        <v>0.390625</v>
      </c>
      <c r="P2954" s="0" t="n">
        <f aca="false">F2954*F2954</f>
        <v>0</v>
      </c>
      <c r="Q2954" s="0" t="n">
        <f aca="false">SUMPRODUCT(G2954:P2954,_XtX!$B$71:$K$71)</f>
        <v>46.6040198863636</v>
      </c>
      <c r="R2954" s="0" t="n">
        <f aca="false">SUMPRODUCT(MMULT(G2954:P2954,_XtX!$B$58:$K$67),G2954:P2954)</f>
        <v>0.175601473721591</v>
      </c>
      <c r="S2954" s="0" t="n">
        <f aca="false">04_回帰ANOVA!$K$19*04_回帰ANOVA!$K$14*SQRT(1+R2954)</f>
        <v>1.00808394234856</v>
      </c>
      <c r="T2954" s="0" t="n">
        <f aca="false">Q2954-S2954</f>
        <v>45.5959359440151</v>
      </c>
      <c r="U2954" s="0" t="n">
        <f aca="false">Q2954+S2954</f>
        <v>47.6121038287122</v>
      </c>
      <c r="V2954" s="54" t="b">
        <f aca="false">AND(D2954&gt;=01_因子設定!$L$5-0.000000001,D2954&lt;=01_因子設定!$M$5+0.000000001,E2954&gt;=01_因子設定!$L$6-0.000000001,E2954&lt;=01_因子設定!$M$6+0.000000001,F2954&gt;=01_因子設定!$L$7-0.000000001,F2954&lt;=01_因子設定!$M$7+0.000000001,IF(01_因子設定!$B$20="Box-Behnken",D2954^2+E2954^2+F2954^2&lt;=2+0.000000001,TRUE()))</f>
        <v>1</v>
      </c>
      <c r="W2954" s="55" t="n">
        <f aca="false">IF(V2954,IF(01_因子設定!$B$13="最大化",T2954-01_因子設定!$B$14,IF(01_因子設定!$B$13="最小化",01_因子設定!$B$15-U2954,MIN(T2954-01_因子設定!$B$14,01_因子設定!$B$15-U2954))),-1E+030)</f>
        <v>-2.90406405598492</v>
      </c>
      <c r="X2954" s="55" t="n">
        <f aca="false">IF(V2954,IF(01_因子設定!$B$13="最大化",Q2954,IF(01_因子設定!$B$13="最小化",-Q2954,-ABS(Q2954-01_因子設定!$B$16))),-1E+030)</f>
        <v>46.6040198863636</v>
      </c>
      <c r="Y2954" s="55" t="n">
        <f aca="false">W2954+ROW()*0.000000001</f>
        <v>-2.90406110198492</v>
      </c>
      <c r="Z2954" s="55" t="n">
        <f aca="false">X2954+ROW()*0.000000001</f>
        <v>46.6040228403637</v>
      </c>
    </row>
    <row r="2955" customFormat="false" ht="15" hidden="false" customHeight="false" outlineLevel="0" collapsed="false">
      <c r="A2955" s="0" t="n">
        <v>10</v>
      </c>
      <c r="B2955" s="0" t="n">
        <v>3</v>
      </c>
      <c r="C2955" s="0" t="n">
        <v>9</v>
      </c>
      <c r="D2955" s="0" t="n">
        <f aca="false">-1+A2955*0.125</f>
        <v>0.25</v>
      </c>
      <c r="E2955" s="0" t="n">
        <f aca="false">-1+B2955*0.125</f>
        <v>-0.625</v>
      </c>
      <c r="F2955" s="0" t="n">
        <f aca="false">-1+C2955*0.125</f>
        <v>0.125</v>
      </c>
      <c r="G2955" s="0" t="n">
        <f aca="false">1</f>
        <v>1</v>
      </c>
      <c r="H2955" s="0" t="n">
        <f aca="false">D2955</f>
        <v>0.25</v>
      </c>
      <c r="I2955" s="0" t="n">
        <f aca="false">E2955</f>
        <v>-0.625</v>
      </c>
      <c r="J2955" s="0" t="n">
        <f aca="false">F2955</f>
        <v>0.125</v>
      </c>
      <c r="K2955" s="0" t="n">
        <f aca="false">D2955*E2955</f>
        <v>-0.15625</v>
      </c>
      <c r="L2955" s="0" t="n">
        <f aca="false">D2955*F2955</f>
        <v>0.03125</v>
      </c>
      <c r="M2955" s="0" t="n">
        <f aca="false">E2955*F2955</f>
        <v>-0.078125</v>
      </c>
      <c r="N2955" s="0" t="n">
        <f aca="false">D2955*D2955</f>
        <v>0.0625</v>
      </c>
      <c r="O2955" s="0" t="n">
        <f aca="false">E2955*E2955</f>
        <v>0.390625</v>
      </c>
      <c r="P2955" s="0" t="n">
        <f aca="false">F2955*F2955</f>
        <v>0.015625</v>
      </c>
      <c r="Q2955" s="0" t="n">
        <f aca="false">SUMPRODUCT(G2955:P2955,_XtX!$B$71:$K$71)</f>
        <v>46.71828125</v>
      </c>
      <c r="R2955" s="0" t="n">
        <f aca="false">SUMPRODUCT(MMULT(G2955:P2955,_XtX!$B$58:$K$67),G2955:P2955)</f>
        <v>0.174786376953125</v>
      </c>
      <c r="S2955" s="0" t="n">
        <f aca="false">04_回帰ANOVA!$K$19*04_回帰ANOVA!$K$14*SQRT(1+R2955)</f>
        <v>1.00773440704286</v>
      </c>
      <c r="T2955" s="0" t="n">
        <f aca="false">Q2955-S2955</f>
        <v>45.7105468429572</v>
      </c>
      <c r="U2955" s="0" t="n">
        <f aca="false">Q2955+S2955</f>
        <v>47.7260156570429</v>
      </c>
      <c r="V2955" s="54" t="b">
        <f aca="false">AND(D2955&gt;=01_因子設定!$L$5-0.000000001,D2955&lt;=01_因子設定!$M$5+0.000000001,E2955&gt;=01_因子設定!$L$6-0.000000001,E2955&lt;=01_因子設定!$M$6+0.000000001,F2955&gt;=01_因子設定!$L$7-0.000000001,F2955&lt;=01_因子設定!$M$7+0.000000001,IF(01_因子設定!$B$20="Box-Behnken",D2955^2+E2955^2+F2955^2&lt;=2+0.000000001,TRUE()))</f>
        <v>1</v>
      </c>
      <c r="W2955" s="55" t="n">
        <f aca="false">IF(V2955,IF(01_因子設定!$B$13="最大化",T2955-01_因子設定!$B$14,IF(01_因子設定!$B$13="最小化",01_因子設定!$B$15-U2955,MIN(T2955-01_因子設定!$B$14,01_因子設定!$B$15-U2955))),-1E+030)</f>
        <v>-2.78945315704285</v>
      </c>
      <c r="X2955" s="55" t="n">
        <f aca="false">IF(V2955,IF(01_因子設定!$B$13="最大化",Q2955,IF(01_因子設定!$B$13="最小化",-Q2955,-ABS(Q2955-01_因子設定!$B$16))),-1E+030)</f>
        <v>46.71828125</v>
      </c>
      <c r="Y2955" s="55" t="n">
        <f aca="false">W2955+ROW()*0.000000001</f>
        <v>-2.78945020204285</v>
      </c>
      <c r="Z2955" s="55" t="n">
        <f aca="false">X2955+ROW()*0.000000001</f>
        <v>46.718284205</v>
      </c>
    </row>
    <row r="2956" customFormat="false" ht="15" hidden="false" customHeight="false" outlineLevel="0" collapsed="false">
      <c r="A2956" s="0" t="n">
        <v>10</v>
      </c>
      <c r="B2956" s="0" t="n">
        <v>3</v>
      </c>
      <c r="C2956" s="0" t="n">
        <v>10</v>
      </c>
      <c r="D2956" s="0" t="n">
        <f aca="false">-1+A2956*0.125</f>
        <v>0.25</v>
      </c>
      <c r="E2956" s="0" t="n">
        <f aca="false">-1+B2956*0.125</f>
        <v>-0.625</v>
      </c>
      <c r="F2956" s="0" t="n">
        <f aca="false">-1+C2956*0.125</f>
        <v>0.25</v>
      </c>
      <c r="G2956" s="0" t="n">
        <f aca="false">1</f>
        <v>1</v>
      </c>
      <c r="H2956" s="0" t="n">
        <f aca="false">D2956</f>
        <v>0.25</v>
      </c>
      <c r="I2956" s="0" t="n">
        <f aca="false">E2956</f>
        <v>-0.625</v>
      </c>
      <c r="J2956" s="0" t="n">
        <f aca="false">F2956</f>
        <v>0.25</v>
      </c>
      <c r="K2956" s="0" t="n">
        <f aca="false">D2956*E2956</f>
        <v>-0.15625</v>
      </c>
      <c r="L2956" s="0" t="n">
        <f aca="false">D2956*F2956</f>
        <v>0.0625</v>
      </c>
      <c r="M2956" s="0" t="n">
        <f aca="false">E2956*F2956</f>
        <v>-0.15625</v>
      </c>
      <c r="N2956" s="0" t="n">
        <f aca="false">D2956*D2956</f>
        <v>0.0625</v>
      </c>
      <c r="O2956" s="0" t="n">
        <f aca="false">E2956*E2956</f>
        <v>0.390625</v>
      </c>
      <c r="P2956" s="0" t="n">
        <f aca="false">F2956*F2956</f>
        <v>0.0625</v>
      </c>
      <c r="Q2956" s="0" t="n">
        <f aca="false">SUMPRODUCT(G2956:P2956,_XtX!$B$71:$K$71)</f>
        <v>46.7957528409091</v>
      </c>
      <c r="R2956" s="0" t="n">
        <f aca="false">SUMPRODUCT(MMULT(G2956:P2956,_XtX!$B$58:$K$67),G2956:P2956)</f>
        <v>0.173406427556818</v>
      </c>
      <c r="S2956" s="0" t="n">
        <f aca="false">04_回帰ANOVA!$K$19*04_回帰ANOVA!$K$14*SQRT(1+R2956)</f>
        <v>1.00714237128059</v>
      </c>
      <c r="T2956" s="0" t="n">
        <f aca="false">Q2956-S2956</f>
        <v>45.7886104696285</v>
      </c>
      <c r="U2956" s="0" t="n">
        <f aca="false">Q2956+S2956</f>
        <v>47.8028952121897</v>
      </c>
      <c r="V2956" s="54" t="b">
        <f aca="false">AND(D2956&gt;=01_因子設定!$L$5-0.000000001,D2956&lt;=01_因子設定!$M$5+0.000000001,E2956&gt;=01_因子設定!$L$6-0.000000001,E2956&lt;=01_因子設定!$M$6+0.000000001,F2956&gt;=01_因子設定!$L$7-0.000000001,F2956&lt;=01_因子設定!$M$7+0.000000001,IF(01_因子設定!$B$20="Box-Behnken",D2956^2+E2956^2+F2956^2&lt;=2+0.000000001,TRUE()))</f>
        <v>1</v>
      </c>
      <c r="W2956" s="55" t="n">
        <f aca="false">IF(V2956,IF(01_因子設定!$B$13="最大化",T2956-01_因子設定!$B$14,IF(01_因子設定!$B$13="最小化",01_因子設定!$B$15-U2956,MIN(T2956-01_因子設定!$B$14,01_因子設定!$B$15-U2956))),-1E+030)</f>
        <v>-2.71138953037149</v>
      </c>
      <c r="X2956" s="55" t="n">
        <f aca="false">IF(V2956,IF(01_因子設定!$B$13="最大化",Q2956,IF(01_因子設定!$B$13="最小化",-Q2956,-ABS(Q2956-01_因子設定!$B$16))),-1E+030)</f>
        <v>46.7957528409091</v>
      </c>
      <c r="Y2956" s="55" t="n">
        <f aca="false">W2956+ROW()*0.000000001</f>
        <v>-2.71138657437149</v>
      </c>
      <c r="Z2956" s="55" t="n">
        <f aca="false">X2956+ROW()*0.000000001</f>
        <v>46.7957557969091</v>
      </c>
    </row>
    <row r="2957" customFormat="false" ht="15" hidden="false" customHeight="false" outlineLevel="0" collapsed="false">
      <c r="A2957" s="0" t="n">
        <v>10</v>
      </c>
      <c r="B2957" s="0" t="n">
        <v>3</v>
      </c>
      <c r="C2957" s="0" t="n">
        <v>11</v>
      </c>
      <c r="D2957" s="0" t="n">
        <f aca="false">-1+A2957*0.125</f>
        <v>0.25</v>
      </c>
      <c r="E2957" s="0" t="n">
        <f aca="false">-1+B2957*0.125</f>
        <v>-0.625</v>
      </c>
      <c r="F2957" s="0" t="n">
        <f aca="false">-1+C2957*0.125</f>
        <v>0.375</v>
      </c>
      <c r="G2957" s="0" t="n">
        <f aca="false">1</f>
        <v>1</v>
      </c>
      <c r="H2957" s="0" t="n">
        <f aca="false">D2957</f>
        <v>0.25</v>
      </c>
      <c r="I2957" s="0" t="n">
        <f aca="false">E2957</f>
        <v>-0.625</v>
      </c>
      <c r="J2957" s="0" t="n">
        <f aca="false">F2957</f>
        <v>0.375</v>
      </c>
      <c r="K2957" s="0" t="n">
        <f aca="false">D2957*E2957</f>
        <v>-0.15625</v>
      </c>
      <c r="L2957" s="0" t="n">
        <f aca="false">D2957*F2957</f>
        <v>0.09375</v>
      </c>
      <c r="M2957" s="0" t="n">
        <f aca="false">E2957*F2957</f>
        <v>-0.234375</v>
      </c>
      <c r="N2957" s="0" t="n">
        <f aca="false">D2957*D2957</f>
        <v>0.0625</v>
      </c>
      <c r="O2957" s="0" t="n">
        <f aca="false">E2957*E2957</f>
        <v>0.390625</v>
      </c>
      <c r="P2957" s="0" t="n">
        <f aca="false">F2957*F2957</f>
        <v>0.140625</v>
      </c>
      <c r="Q2957" s="0" t="n">
        <f aca="false">SUMPRODUCT(G2957:P2957,_XtX!$B$71:$K$71)</f>
        <v>46.8364346590909</v>
      </c>
      <c r="R2957" s="0" t="n">
        <f aca="false">SUMPRODUCT(MMULT(G2957:P2957,_XtX!$B$58:$K$67),G2957:P2957)</f>
        <v>0.174657648259943</v>
      </c>
      <c r="S2957" s="0" t="n">
        <f aca="false">04_回帰ANOVA!$K$19*04_回帰ANOVA!$K$14*SQRT(1+R2957)</f>
        <v>1.00767919364845</v>
      </c>
      <c r="T2957" s="0" t="n">
        <f aca="false">Q2957-S2957</f>
        <v>45.8287554654425</v>
      </c>
      <c r="U2957" s="0" t="n">
        <f aca="false">Q2957+S2957</f>
        <v>47.8441138527394</v>
      </c>
      <c r="V2957" s="54" t="b">
        <f aca="false">AND(D2957&gt;=01_因子設定!$L$5-0.000000001,D2957&lt;=01_因子設定!$M$5+0.000000001,E2957&gt;=01_因子設定!$L$6-0.000000001,E2957&lt;=01_因子設定!$M$6+0.000000001,F2957&gt;=01_因子設定!$L$7-0.000000001,F2957&lt;=01_因子設定!$M$7+0.000000001,IF(01_因子設定!$B$20="Box-Behnken",D2957^2+E2957^2+F2957^2&lt;=2+0.000000001,TRUE()))</f>
        <v>1</v>
      </c>
      <c r="W2957" s="55" t="n">
        <f aca="false">IF(V2957,IF(01_因子設定!$B$13="最大化",T2957-01_因子設定!$B$14,IF(01_因子設定!$B$13="最小化",01_因子設定!$B$15-U2957,MIN(T2957-01_因子設定!$B$14,01_因子設定!$B$15-U2957))),-1E+030)</f>
        <v>-2.67124453455752</v>
      </c>
      <c r="X2957" s="55" t="n">
        <f aca="false">IF(V2957,IF(01_因子設定!$B$13="最大化",Q2957,IF(01_因子設定!$B$13="最小化",-Q2957,-ABS(Q2957-01_因子設定!$B$16))),-1E+030)</f>
        <v>46.8364346590909</v>
      </c>
      <c r="Y2957" s="55" t="n">
        <f aca="false">W2957+ROW()*0.000000001</f>
        <v>-2.67124157755752</v>
      </c>
      <c r="Z2957" s="55" t="n">
        <f aca="false">X2957+ROW()*0.000000001</f>
        <v>46.8364376160909</v>
      </c>
    </row>
    <row r="2958" customFormat="false" ht="15" hidden="false" customHeight="false" outlineLevel="0" collapsed="false">
      <c r="A2958" s="0" t="n">
        <v>10</v>
      </c>
      <c r="B2958" s="0" t="n">
        <v>3</v>
      </c>
      <c r="C2958" s="0" t="n">
        <v>12</v>
      </c>
      <c r="D2958" s="0" t="n">
        <f aca="false">-1+A2958*0.125</f>
        <v>0.25</v>
      </c>
      <c r="E2958" s="0" t="n">
        <f aca="false">-1+B2958*0.125</f>
        <v>-0.625</v>
      </c>
      <c r="F2958" s="0" t="n">
        <f aca="false">-1+C2958*0.125</f>
        <v>0.5</v>
      </c>
      <c r="G2958" s="0" t="n">
        <f aca="false">1</f>
        <v>1</v>
      </c>
      <c r="H2958" s="0" t="n">
        <f aca="false">D2958</f>
        <v>0.25</v>
      </c>
      <c r="I2958" s="0" t="n">
        <f aca="false">E2958</f>
        <v>-0.625</v>
      </c>
      <c r="J2958" s="0" t="n">
        <f aca="false">F2958</f>
        <v>0.5</v>
      </c>
      <c r="K2958" s="0" t="n">
        <f aca="false">D2958*E2958</f>
        <v>-0.15625</v>
      </c>
      <c r="L2958" s="0" t="n">
        <f aca="false">D2958*F2958</f>
        <v>0.125</v>
      </c>
      <c r="M2958" s="0" t="n">
        <f aca="false">E2958*F2958</f>
        <v>-0.3125</v>
      </c>
      <c r="N2958" s="0" t="n">
        <f aca="false">D2958*D2958</f>
        <v>0.0625</v>
      </c>
      <c r="O2958" s="0" t="n">
        <f aca="false">E2958*E2958</f>
        <v>0.390625</v>
      </c>
      <c r="P2958" s="0" t="n">
        <f aca="false">F2958*F2958</f>
        <v>0.25</v>
      </c>
      <c r="Q2958" s="0" t="n">
        <f aca="false">SUMPRODUCT(G2958:P2958,_XtX!$B$71:$K$71)</f>
        <v>46.8403267045455</v>
      </c>
      <c r="R2958" s="0" t="n">
        <f aca="false">SUMPRODUCT(MMULT(G2958:P2958,_XtX!$B$58:$K$67),G2958:P2958)</f>
        <v>0.183866743607955</v>
      </c>
      <c r="S2958" s="0" t="n">
        <f aca="false">04_回帰ANOVA!$K$19*04_回帰ANOVA!$K$14*SQRT(1+R2958)</f>
        <v>1.01162148983013</v>
      </c>
      <c r="T2958" s="0" t="n">
        <f aca="false">Q2958-S2958</f>
        <v>45.8287052147153</v>
      </c>
      <c r="U2958" s="0" t="n">
        <f aca="false">Q2958+S2958</f>
        <v>47.8519481943756</v>
      </c>
      <c r="V2958" s="54" t="b">
        <f aca="false">AND(D2958&gt;=01_因子設定!$L$5-0.000000001,D2958&lt;=01_因子設定!$M$5+0.000000001,E2958&gt;=01_因子設定!$L$6-0.000000001,E2958&lt;=01_因子設定!$M$6+0.000000001,F2958&gt;=01_因子設定!$L$7-0.000000001,F2958&lt;=01_因子設定!$M$7+0.000000001,IF(01_因子設定!$B$20="Box-Behnken",D2958^2+E2958^2+F2958^2&lt;=2+0.000000001,TRUE()))</f>
        <v>1</v>
      </c>
      <c r="W2958" s="55" t="n">
        <f aca="false">IF(V2958,IF(01_因子設定!$B$13="最大化",T2958-01_因子設定!$B$14,IF(01_因子設定!$B$13="最小化",01_因子設定!$B$15-U2958,MIN(T2958-01_因子設定!$B$14,01_因子設定!$B$15-U2958))),-1E+030)</f>
        <v>-2.67129478528467</v>
      </c>
      <c r="X2958" s="55" t="n">
        <f aca="false">IF(V2958,IF(01_因子設定!$B$13="最大化",Q2958,IF(01_因子設定!$B$13="最小化",-Q2958,-ABS(Q2958-01_因子設定!$B$16))),-1E+030)</f>
        <v>46.8403267045455</v>
      </c>
      <c r="Y2958" s="55" t="n">
        <f aca="false">W2958+ROW()*0.000000001</f>
        <v>-2.67129182728467</v>
      </c>
      <c r="Z2958" s="55" t="n">
        <f aca="false">X2958+ROW()*0.000000001</f>
        <v>46.8403296625455</v>
      </c>
    </row>
    <row r="2959" customFormat="false" ht="15" hidden="false" customHeight="false" outlineLevel="0" collapsed="false">
      <c r="A2959" s="0" t="n">
        <v>10</v>
      </c>
      <c r="B2959" s="0" t="n">
        <v>3</v>
      </c>
      <c r="C2959" s="0" t="n">
        <v>13</v>
      </c>
      <c r="D2959" s="0" t="n">
        <f aca="false">-1+A2959*0.125</f>
        <v>0.25</v>
      </c>
      <c r="E2959" s="0" t="n">
        <f aca="false">-1+B2959*0.125</f>
        <v>-0.625</v>
      </c>
      <c r="F2959" s="0" t="n">
        <f aca="false">-1+C2959*0.125</f>
        <v>0.625</v>
      </c>
      <c r="G2959" s="0" t="n">
        <f aca="false">1</f>
        <v>1</v>
      </c>
      <c r="H2959" s="0" t="n">
        <f aca="false">D2959</f>
        <v>0.25</v>
      </c>
      <c r="I2959" s="0" t="n">
        <f aca="false">E2959</f>
        <v>-0.625</v>
      </c>
      <c r="J2959" s="0" t="n">
        <f aca="false">F2959</f>
        <v>0.625</v>
      </c>
      <c r="K2959" s="0" t="n">
        <f aca="false">D2959*E2959</f>
        <v>-0.15625</v>
      </c>
      <c r="L2959" s="0" t="n">
        <f aca="false">D2959*F2959</f>
        <v>0.15625</v>
      </c>
      <c r="M2959" s="0" t="n">
        <f aca="false">E2959*F2959</f>
        <v>-0.390625</v>
      </c>
      <c r="N2959" s="0" t="n">
        <f aca="false">D2959*D2959</f>
        <v>0.0625</v>
      </c>
      <c r="O2959" s="0" t="n">
        <f aca="false">E2959*E2959</f>
        <v>0.390625</v>
      </c>
      <c r="P2959" s="0" t="n">
        <f aca="false">F2959*F2959</f>
        <v>0.390625</v>
      </c>
      <c r="Q2959" s="0" t="n">
        <f aca="false">SUMPRODUCT(G2959:P2959,_XtX!$B$71:$K$71)</f>
        <v>46.8074289772727</v>
      </c>
      <c r="R2959" s="0" t="n">
        <f aca="false">SUMPRODUCT(MMULT(G2959:P2959,_XtX!$B$58:$K$67),G2959:P2959)</f>
        <v>0.208491099964489</v>
      </c>
      <c r="S2959" s="0" t="n">
        <f aca="false">04_回帰ANOVA!$K$19*04_回帰ANOVA!$K$14*SQRT(1+R2959)</f>
        <v>1.02208817610259</v>
      </c>
      <c r="T2959" s="0" t="n">
        <f aca="false">Q2959-S2959</f>
        <v>45.7853408011702</v>
      </c>
      <c r="U2959" s="0" t="n">
        <f aca="false">Q2959+S2959</f>
        <v>47.8295171533753</v>
      </c>
      <c r="V2959" s="54" t="b">
        <f aca="false">AND(D2959&gt;=01_因子設定!$L$5-0.000000001,D2959&lt;=01_因子設定!$M$5+0.000000001,E2959&gt;=01_因子設定!$L$6-0.000000001,E2959&lt;=01_因子設定!$M$6+0.000000001,F2959&gt;=01_因子設定!$L$7-0.000000001,F2959&lt;=01_因子設定!$M$7+0.000000001,IF(01_因子設定!$B$20="Box-Behnken",D2959^2+E2959^2+F2959^2&lt;=2+0.000000001,TRUE()))</f>
        <v>1</v>
      </c>
      <c r="W2959" s="55" t="n">
        <f aca="false">IF(V2959,IF(01_因子設定!$B$13="最大化",T2959-01_因子設定!$B$14,IF(01_因子設定!$B$13="最小化",01_因子設定!$B$15-U2959,MIN(T2959-01_因子設定!$B$14,01_因子設定!$B$15-U2959))),-1E+030)</f>
        <v>-2.71465919882984</v>
      </c>
      <c r="X2959" s="55" t="n">
        <f aca="false">IF(V2959,IF(01_因子設定!$B$13="最大化",Q2959,IF(01_因子設定!$B$13="最小化",-Q2959,-ABS(Q2959-01_因子設定!$B$16))),-1E+030)</f>
        <v>46.8074289772727</v>
      </c>
      <c r="Y2959" s="55" t="n">
        <f aca="false">W2959+ROW()*0.000000001</f>
        <v>-2.71465623982984</v>
      </c>
      <c r="Z2959" s="55" t="n">
        <f aca="false">X2959+ROW()*0.000000001</f>
        <v>46.8074319362727</v>
      </c>
    </row>
    <row r="2960" customFormat="false" ht="15" hidden="false" customHeight="false" outlineLevel="0" collapsed="false">
      <c r="A2960" s="0" t="n">
        <v>10</v>
      </c>
      <c r="B2960" s="0" t="n">
        <v>3</v>
      </c>
      <c r="C2960" s="0" t="n">
        <v>14</v>
      </c>
      <c r="D2960" s="0" t="n">
        <f aca="false">-1+A2960*0.125</f>
        <v>0.25</v>
      </c>
      <c r="E2960" s="0" t="n">
        <f aca="false">-1+B2960*0.125</f>
        <v>-0.625</v>
      </c>
      <c r="F2960" s="0" t="n">
        <f aca="false">-1+C2960*0.125</f>
        <v>0.75</v>
      </c>
      <c r="G2960" s="0" t="n">
        <f aca="false">1</f>
        <v>1</v>
      </c>
      <c r="H2960" s="0" t="n">
        <f aca="false">D2960</f>
        <v>0.25</v>
      </c>
      <c r="I2960" s="0" t="n">
        <f aca="false">E2960</f>
        <v>-0.625</v>
      </c>
      <c r="J2960" s="0" t="n">
        <f aca="false">F2960</f>
        <v>0.75</v>
      </c>
      <c r="K2960" s="0" t="n">
        <f aca="false">D2960*E2960</f>
        <v>-0.15625</v>
      </c>
      <c r="L2960" s="0" t="n">
        <f aca="false">D2960*F2960</f>
        <v>0.1875</v>
      </c>
      <c r="M2960" s="0" t="n">
        <f aca="false">E2960*F2960</f>
        <v>-0.46875</v>
      </c>
      <c r="N2960" s="0" t="n">
        <f aca="false">D2960*D2960</f>
        <v>0.0625</v>
      </c>
      <c r="O2960" s="0" t="n">
        <f aca="false">E2960*E2960</f>
        <v>0.390625</v>
      </c>
      <c r="P2960" s="0" t="n">
        <f aca="false">F2960*F2960</f>
        <v>0.5625</v>
      </c>
      <c r="Q2960" s="0" t="n">
        <f aca="false">SUMPRODUCT(G2960:P2960,_XtX!$B$71:$K$71)</f>
        <v>46.7377414772728</v>
      </c>
      <c r="R2960" s="0" t="n">
        <f aca="false">SUMPRODUCT(MMULT(G2960:P2960,_XtX!$B$58:$K$67),G2960:P2960)</f>
        <v>0.258118785511364</v>
      </c>
      <c r="S2960" s="0" t="n">
        <f aca="false">04_回帰ANOVA!$K$19*04_回帰ANOVA!$K$14*SQRT(1+R2960)</f>
        <v>1.04286348094876</v>
      </c>
      <c r="T2960" s="0" t="n">
        <f aca="false">Q2960-S2960</f>
        <v>45.694877996324</v>
      </c>
      <c r="U2960" s="0" t="n">
        <f aca="false">Q2960+S2960</f>
        <v>47.7806049582215</v>
      </c>
      <c r="V2960" s="54" t="b">
        <f aca="false">AND(D2960&gt;=01_因子設定!$L$5-0.000000001,D2960&lt;=01_因子設定!$M$5+0.000000001,E2960&gt;=01_因子設定!$L$6-0.000000001,E2960&lt;=01_因子設定!$M$6+0.000000001,F2960&gt;=01_因子設定!$L$7-0.000000001,F2960&lt;=01_因子設定!$M$7+0.000000001,IF(01_因子設定!$B$20="Box-Behnken",D2960^2+E2960^2+F2960^2&lt;=2+0.000000001,TRUE()))</f>
        <v>1</v>
      </c>
      <c r="W2960" s="55" t="n">
        <f aca="false">IF(V2960,IF(01_因子設定!$B$13="最大化",T2960-01_因子設定!$B$14,IF(01_因子設定!$B$13="最小化",01_因子設定!$B$15-U2960,MIN(T2960-01_因子設定!$B$14,01_因子設定!$B$15-U2960))),-1E+030)</f>
        <v>-2.80512200367601</v>
      </c>
      <c r="X2960" s="55" t="n">
        <f aca="false">IF(V2960,IF(01_因子設定!$B$13="最大化",Q2960,IF(01_因子設定!$B$13="最小化",-Q2960,-ABS(Q2960-01_因子設定!$B$16))),-1E+030)</f>
        <v>46.7377414772728</v>
      </c>
      <c r="Y2960" s="55" t="n">
        <f aca="false">W2960+ROW()*0.000000001</f>
        <v>-2.80511904367601</v>
      </c>
      <c r="Z2960" s="55" t="n">
        <f aca="false">X2960+ROW()*0.000000001</f>
        <v>46.7377444372728</v>
      </c>
    </row>
    <row r="2961" customFormat="false" ht="15" hidden="false" customHeight="false" outlineLevel="0" collapsed="false">
      <c r="A2961" s="0" t="n">
        <v>10</v>
      </c>
      <c r="B2961" s="0" t="n">
        <v>3</v>
      </c>
      <c r="C2961" s="0" t="n">
        <v>15</v>
      </c>
      <c r="D2961" s="0" t="n">
        <f aca="false">-1+A2961*0.125</f>
        <v>0.25</v>
      </c>
      <c r="E2961" s="0" t="n">
        <f aca="false">-1+B2961*0.125</f>
        <v>-0.625</v>
      </c>
      <c r="F2961" s="0" t="n">
        <f aca="false">-1+C2961*0.125</f>
        <v>0.875</v>
      </c>
      <c r="G2961" s="0" t="n">
        <f aca="false">1</f>
        <v>1</v>
      </c>
      <c r="H2961" s="0" t="n">
        <f aca="false">D2961</f>
        <v>0.25</v>
      </c>
      <c r="I2961" s="0" t="n">
        <f aca="false">E2961</f>
        <v>-0.625</v>
      </c>
      <c r="J2961" s="0" t="n">
        <f aca="false">F2961</f>
        <v>0.875</v>
      </c>
      <c r="K2961" s="0" t="n">
        <f aca="false">D2961*E2961</f>
        <v>-0.15625</v>
      </c>
      <c r="L2961" s="0" t="n">
        <f aca="false">D2961*F2961</f>
        <v>0.21875</v>
      </c>
      <c r="M2961" s="0" t="n">
        <f aca="false">E2961*F2961</f>
        <v>-0.546875</v>
      </c>
      <c r="N2961" s="0" t="n">
        <f aca="false">D2961*D2961</f>
        <v>0.0625</v>
      </c>
      <c r="O2961" s="0" t="n">
        <f aca="false">E2961*E2961</f>
        <v>0.390625</v>
      </c>
      <c r="P2961" s="0" t="n">
        <f aca="false">F2961*F2961</f>
        <v>0.765625</v>
      </c>
      <c r="Q2961" s="0" t="n">
        <f aca="false">SUMPRODUCT(G2961:P2961,_XtX!$B$71:$K$71)</f>
        <v>46.6312642045455</v>
      </c>
      <c r="R2961" s="0" t="n">
        <f aca="false">SUMPRODUCT(MMULT(G2961:P2961,_XtX!$B$58:$K$67),G2961:P2961)</f>
        <v>0.34446855024858</v>
      </c>
      <c r="S2961" s="0" t="n">
        <f aca="false">04_回帰ANOVA!$K$19*04_回帰ANOVA!$K$14*SQRT(1+R2961)</f>
        <v>1.07805758590432</v>
      </c>
      <c r="T2961" s="0" t="n">
        <f aca="false">Q2961-S2961</f>
        <v>45.5532066186412</v>
      </c>
      <c r="U2961" s="0" t="n">
        <f aca="false">Q2961+S2961</f>
        <v>47.7093217904498</v>
      </c>
      <c r="V2961" s="54" t="b">
        <f aca="false">AND(D2961&gt;=01_因子設定!$L$5-0.000000001,D2961&lt;=01_因子設定!$M$5+0.000000001,E2961&gt;=01_因子設定!$L$6-0.000000001,E2961&lt;=01_因子設定!$M$6+0.000000001,F2961&gt;=01_因子設定!$L$7-0.000000001,F2961&lt;=01_因子設定!$M$7+0.000000001,IF(01_因子設定!$B$20="Box-Behnken",D2961^2+E2961^2+F2961^2&lt;=2+0.000000001,TRUE()))</f>
        <v>1</v>
      </c>
      <c r="W2961" s="55" t="n">
        <f aca="false">IF(V2961,IF(01_因子設定!$B$13="最大化",T2961-01_因子設定!$B$14,IF(01_因子設定!$B$13="最小化",01_因子設定!$B$15-U2961,MIN(T2961-01_因子設定!$B$14,01_因子設定!$B$15-U2961))),-1E+030)</f>
        <v>-2.94679338135884</v>
      </c>
      <c r="X2961" s="55" t="n">
        <f aca="false">IF(V2961,IF(01_因子設定!$B$13="最大化",Q2961,IF(01_因子設定!$B$13="最小化",-Q2961,-ABS(Q2961-01_因子設定!$B$16))),-1E+030)</f>
        <v>46.6312642045455</v>
      </c>
      <c r="Y2961" s="55" t="n">
        <f aca="false">W2961+ROW()*0.000000001</f>
        <v>-2.94679042035884</v>
      </c>
      <c r="Z2961" s="55" t="n">
        <f aca="false">X2961+ROW()*0.000000001</f>
        <v>46.6312671655455</v>
      </c>
    </row>
    <row r="2962" customFormat="false" ht="15" hidden="false" customHeight="false" outlineLevel="0" collapsed="false">
      <c r="A2962" s="0" t="n">
        <v>10</v>
      </c>
      <c r="B2962" s="0" t="n">
        <v>3</v>
      </c>
      <c r="C2962" s="0" t="n">
        <v>16</v>
      </c>
      <c r="D2962" s="0" t="n">
        <f aca="false">-1+A2962*0.125</f>
        <v>0.25</v>
      </c>
      <c r="E2962" s="0" t="n">
        <f aca="false">-1+B2962*0.125</f>
        <v>-0.625</v>
      </c>
      <c r="F2962" s="0" t="n">
        <f aca="false">-1+C2962*0.125</f>
        <v>1</v>
      </c>
      <c r="G2962" s="0" t="n">
        <f aca="false">1</f>
        <v>1</v>
      </c>
      <c r="H2962" s="0" t="n">
        <f aca="false">D2962</f>
        <v>0.25</v>
      </c>
      <c r="I2962" s="0" t="n">
        <f aca="false">E2962</f>
        <v>-0.625</v>
      </c>
      <c r="J2962" s="0" t="n">
        <f aca="false">F2962</f>
        <v>1</v>
      </c>
      <c r="K2962" s="0" t="n">
        <f aca="false">D2962*E2962</f>
        <v>-0.15625</v>
      </c>
      <c r="L2962" s="0" t="n">
        <f aca="false">D2962*F2962</f>
        <v>0.25</v>
      </c>
      <c r="M2962" s="0" t="n">
        <f aca="false">E2962*F2962</f>
        <v>-0.625</v>
      </c>
      <c r="N2962" s="0" t="n">
        <f aca="false">D2962*D2962</f>
        <v>0.0625</v>
      </c>
      <c r="O2962" s="0" t="n">
        <f aca="false">E2962*E2962</f>
        <v>0.390625</v>
      </c>
      <c r="P2962" s="0" t="n">
        <f aca="false">F2962*F2962</f>
        <v>1</v>
      </c>
      <c r="Q2962" s="0" t="n">
        <f aca="false">SUMPRODUCT(G2962:P2962,_XtX!$B$71:$K$71)</f>
        <v>46.4879971590909</v>
      </c>
      <c r="R2962" s="0" t="n">
        <f aca="false">SUMPRODUCT(MMULT(G2962:P2962,_XtX!$B$58:$K$67),G2962:P2962)</f>
        <v>0.481389825994318</v>
      </c>
      <c r="S2962" s="0" t="n">
        <f aca="false">04_回帰ANOVA!$K$19*04_回帰ANOVA!$K$14*SQRT(1+R2962)</f>
        <v>1.13162182500693</v>
      </c>
      <c r="T2962" s="0" t="n">
        <f aca="false">Q2962-S2962</f>
        <v>45.356375334084</v>
      </c>
      <c r="U2962" s="0" t="n">
        <f aca="false">Q2962+S2962</f>
        <v>47.6196189840979</v>
      </c>
      <c r="V2962" s="54" t="b">
        <f aca="false">AND(D2962&gt;=01_因子設定!$L$5-0.000000001,D2962&lt;=01_因子設定!$M$5+0.000000001,E2962&gt;=01_因子設定!$L$6-0.000000001,E2962&lt;=01_因子設定!$M$6+0.000000001,F2962&gt;=01_因子設定!$L$7-0.000000001,F2962&lt;=01_因子設定!$M$7+0.000000001,IF(01_因子設定!$B$20="Box-Behnken",D2962^2+E2962^2+F2962^2&lt;=2+0.000000001,TRUE()))</f>
        <v>1</v>
      </c>
      <c r="W2962" s="55" t="n">
        <f aca="false">IF(V2962,IF(01_因子設定!$B$13="最大化",T2962-01_因子設定!$B$14,IF(01_因子設定!$B$13="最小化",01_因子設定!$B$15-U2962,MIN(T2962-01_因子設定!$B$14,01_因子設定!$B$15-U2962))),-1E+030)</f>
        <v>-3.14362466591599</v>
      </c>
      <c r="X2962" s="55" t="n">
        <f aca="false">IF(V2962,IF(01_因子設定!$B$13="最大化",Q2962,IF(01_因子設定!$B$13="最小化",-Q2962,-ABS(Q2962-01_因子設定!$B$16))),-1E+030)</f>
        <v>46.4879971590909</v>
      </c>
      <c r="Y2962" s="55" t="n">
        <f aca="false">W2962+ROW()*0.000000001</f>
        <v>-3.14362170391599</v>
      </c>
      <c r="Z2962" s="55" t="n">
        <f aca="false">X2962+ROW()*0.000000001</f>
        <v>46.4880001210909</v>
      </c>
    </row>
    <row r="2963" customFormat="false" ht="15" hidden="false" customHeight="false" outlineLevel="0" collapsed="false">
      <c r="A2963" s="0" t="n">
        <v>10</v>
      </c>
      <c r="B2963" s="0" t="n">
        <v>4</v>
      </c>
      <c r="C2963" s="0" t="n">
        <v>0</v>
      </c>
      <c r="D2963" s="0" t="n">
        <f aca="false">-1+A2963*0.125</f>
        <v>0.25</v>
      </c>
      <c r="E2963" s="0" t="n">
        <f aca="false">-1+B2963*0.125</f>
        <v>-0.5</v>
      </c>
      <c r="F2963" s="0" t="n">
        <f aca="false">-1+C2963*0.125</f>
        <v>-1</v>
      </c>
      <c r="G2963" s="0" t="n">
        <f aca="false">1</f>
        <v>1</v>
      </c>
      <c r="H2963" s="0" t="n">
        <f aca="false">D2963</f>
        <v>0.25</v>
      </c>
      <c r="I2963" s="0" t="n">
        <f aca="false">E2963</f>
        <v>-0.5</v>
      </c>
      <c r="J2963" s="0" t="n">
        <f aca="false">F2963</f>
        <v>-1</v>
      </c>
      <c r="K2963" s="0" t="n">
        <f aca="false">D2963*E2963</f>
        <v>-0.125</v>
      </c>
      <c r="L2963" s="0" t="n">
        <f aca="false">D2963*F2963</f>
        <v>-0.25</v>
      </c>
      <c r="M2963" s="0" t="n">
        <f aca="false">E2963*F2963</f>
        <v>0.5</v>
      </c>
      <c r="N2963" s="0" t="n">
        <f aca="false">D2963*D2963</f>
        <v>0.0625</v>
      </c>
      <c r="O2963" s="0" t="n">
        <f aca="false">E2963*E2963</f>
        <v>0.25</v>
      </c>
      <c r="P2963" s="0" t="n">
        <f aca="false">F2963*F2963</f>
        <v>1</v>
      </c>
      <c r="Q2963" s="0" t="n">
        <f aca="false">SUMPRODUCT(G2963:P2963,_XtX!$B$71:$K$71)</f>
        <v>44.8913636363637</v>
      </c>
      <c r="R2963" s="0" t="n">
        <f aca="false">SUMPRODUCT(MMULT(G2963:P2963,_XtX!$B$58:$K$67),G2963:P2963)</f>
        <v>0.469424715909091</v>
      </c>
      <c r="S2963" s="0" t="n">
        <f aca="false">04_回帰ANOVA!$K$19*04_回帰ANOVA!$K$14*SQRT(1+R2963)</f>
        <v>1.12704253369596</v>
      </c>
      <c r="T2963" s="0" t="n">
        <f aca="false">Q2963-S2963</f>
        <v>43.7643211026677</v>
      </c>
      <c r="U2963" s="0" t="n">
        <f aca="false">Q2963+S2963</f>
        <v>46.0184061700596</v>
      </c>
      <c r="V2963" s="54" t="b">
        <f aca="false">AND(D2963&gt;=01_因子設定!$L$5-0.000000001,D2963&lt;=01_因子設定!$M$5+0.000000001,E2963&gt;=01_因子設定!$L$6-0.000000001,E2963&lt;=01_因子設定!$M$6+0.000000001,F2963&gt;=01_因子設定!$L$7-0.000000001,F2963&lt;=01_因子設定!$M$7+0.000000001,IF(01_因子設定!$B$20="Box-Behnken",D2963^2+E2963^2+F2963^2&lt;=2+0.000000001,TRUE()))</f>
        <v>1</v>
      </c>
      <c r="W2963" s="55" t="n">
        <f aca="false">IF(V2963,IF(01_因子設定!$B$13="最大化",T2963-01_因子設定!$B$14,IF(01_因子設定!$B$13="最小化",01_因子設定!$B$15-U2963,MIN(T2963-01_因子設定!$B$14,01_因子設定!$B$15-U2963))),-1E+030)</f>
        <v>-4.73567889733229</v>
      </c>
      <c r="X2963" s="55" t="n">
        <f aca="false">IF(V2963,IF(01_因子設定!$B$13="最大化",Q2963,IF(01_因子設定!$B$13="最小化",-Q2963,-ABS(Q2963-01_因子設定!$B$16))),-1E+030)</f>
        <v>44.8913636363637</v>
      </c>
      <c r="Y2963" s="55" t="n">
        <f aca="false">W2963+ROW()*0.000000001</f>
        <v>-4.73567593433229</v>
      </c>
      <c r="Z2963" s="55" t="n">
        <f aca="false">X2963+ROW()*0.000000001</f>
        <v>44.8913665993637</v>
      </c>
    </row>
    <row r="2964" customFormat="false" ht="15" hidden="false" customHeight="false" outlineLevel="0" collapsed="false">
      <c r="A2964" s="0" t="n">
        <v>10</v>
      </c>
      <c r="B2964" s="0" t="n">
        <v>4</v>
      </c>
      <c r="C2964" s="0" t="n">
        <v>1</v>
      </c>
      <c r="D2964" s="0" t="n">
        <f aca="false">-1+A2964*0.125</f>
        <v>0.25</v>
      </c>
      <c r="E2964" s="0" t="n">
        <f aca="false">-1+B2964*0.125</f>
        <v>-0.5</v>
      </c>
      <c r="F2964" s="0" t="n">
        <f aca="false">-1+C2964*0.125</f>
        <v>-0.875</v>
      </c>
      <c r="G2964" s="0" t="n">
        <f aca="false">1</f>
        <v>1</v>
      </c>
      <c r="H2964" s="0" t="n">
        <f aca="false">D2964</f>
        <v>0.25</v>
      </c>
      <c r="I2964" s="0" t="n">
        <f aca="false">E2964</f>
        <v>-0.5</v>
      </c>
      <c r="J2964" s="0" t="n">
        <f aca="false">F2964</f>
        <v>-0.875</v>
      </c>
      <c r="K2964" s="0" t="n">
        <f aca="false">D2964*E2964</f>
        <v>-0.125</v>
      </c>
      <c r="L2964" s="0" t="n">
        <f aca="false">D2964*F2964</f>
        <v>-0.21875</v>
      </c>
      <c r="M2964" s="0" t="n">
        <f aca="false">E2964*F2964</f>
        <v>0.4375</v>
      </c>
      <c r="N2964" s="0" t="n">
        <f aca="false">D2964*D2964</f>
        <v>0.0625</v>
      </c>
      <c r="O2964" s="0" t="n">
        <f aca="false">E2964*E2964</f>
        <v>0.25</v>
      </c>
      <c r="P2964" s="0" t="n">
        <f aca="false">F2964*F2964</f>
        <v>0.765625</v>
      </c>
      <c r="Q2964" s="0" t="n">
        <f aca="false">SUMPRODUCT(G2964:P2964,_XtX!$B$71:$K$71)</f>
        <v>45.3069744318182</v>
      </c>
      <c r="R2964" s="0" t="n">
        <f aca="false">SUMPRODUCT(MMULT(G2964:P2964,_XtX!$B$58:$K$67),G2964:P2964)</f>
        <v>0.327634499289773</v>
      </c>
      <c r="S2964" s="0" t="n">
        <f aca="false">04_回帰ANOVA!$K$19*04_回帰ANOVA!$K$14*SQRT(1+R2964)</f>
        <v>1.07128716250217</v>
      </c>
      <c r="T2964" s="0" t="n">
        <f aca="false">Q2964-S2964</f>
        <v>44.235687269316</v>
      </c>
      <c r="U2964" s="0" t="n">
        <f aca="false">Q2964+S2964</f>
        <v>46.3782615943204</v>
      </c>
      <c r="V2964" s="54" t="b">
        <f aca="false">AND(D2964&gt;=01_因子設定!$L$5-0.000000001,D2964&lt;=01_因子設定!$M$5+0.000000001,E2964&gt;=01_因子設定!$L$6-0.000000001,E2964&lt;=01_因子設定!$M$6+0.000000001,F2964&gt;=01_因子設定!$L$7-0.000000001,F2964&lt;=01_因子設定!$M$7+0.000000001,IF(01_因子設定!$B$20="Box-Behnken",D2964^2+E2964^2+F2964^2&lt;=2+0.000000001,TRUE()))</f>
        <v>1</v>
      </c>
      <c r="W2964" s="55" t="n">
        <f aca="false">IF(V2964,IF(01_因子設定!$B$13="最大化",T2964-01_因子設定!$B$14,IF(01_因子設定!$B$13="最小化",01_因子設定!$B$15-U2964,MIN(T2964-01_因子設定!$B$14,01_因子設定!$B$15-U2964))),-1E+030)</f>
        <v>-4.26431273068397</v>
      </c>
      <c r="X2964" s="55" t="n">
        <f aca="false">IF(V2964,IF(01_因子設定!$B$13="最大化",Q2964,IF(01_因子設定!$B$13="最小化",-Q2964,-ABS(Q2964-01_因子設定!$B$16))),-1E+030)</f>
        <v>45.3069744318182</v>
      </c>
      <c r="Y2964" s="55" t="n">
        <f aca="false">W2964+ROW()*0.000000001</f>
        <v>-4.26430976668397</v>
      </c>
      <c r="Z2964" s="55" t="n">
        <f aca="false">X2964+ROW()*0.000000001</f>
        <v>45.3069773958182</v>
      </c>
    </row>
    <row r="2965" customFormat="false" ht="15" hidden="false" customHeight="false" outlineLevel="0" collapsed="false">
      <c r="A2965" s="0" t="n">
        <v>10</v>
      </c>
      <c r="B2965" s="0" t="n">
        <v>4</v>
      </c>
      <c r="C2965" s="0" t="n">
        <v>2</v>
      </c>
      <c r="D2965" s="0" t="n">
        <f aca="false">-1+A2965*0.125</f>
        <v>0.25</v>
      </c>
      <c r="E2965" s="0" t="n">
        <f aca="false">-1+B2965*0.125</f>
        <v>-0.5</v>
      </c>
      <c r="F2965" s="0" t="n">
        <f aca="false">-1+C2965*0.125</f>
        <v>-0.75</v>
      </c>
      <c r="G2965" s="0" t="n">
        <f aca="false">1</f>
        <v>1</v>
      </c>
      <c r="H2965" s="0" t="n">
        <f aca="false">D2965</f>
        <v>0.25</v>
      </c>
      <c r="I2965" s="0" t="n">
        <f aca="false">E2965</f>
        <v>-0.5</v>
      </c>
      <c r="J2965" s="0" t="n">
        <f aca="false">F2965</f>
        <v>-0.75</v>
      </c>
      <c r="K2965" s="0" t="n">
        <f aca="false">D2965*E2965</f>
        <v>-0.125</v>
      </c>
      <c r="L2965" s="0" t="n">
        <f aca="false">D2965*F2965</f>
        <v>-0.1875</v>
      </c>
      <c r="M2965" s="0" t="n">
        <f aca="false">E2965*F2965</f>
        <v>0.375</v>
      </c>
      <c r="N2965" s="0" t="n">
        <f aca="false">D2965*D2965</f>
        <v>0.0625</v>
      </c>
      <c r="O2965" s="0" t="n">
        <f aca="false">E2965*E2965</f>
        <v>0.25</v>
      </c>
      <c r="P2965" s="0" t="n">
        <f aca="false">F2965*F2965</f>
        <v>0.5625</v>
      </c>
      <c r="Q2965" s="0" t="n">
        <f aca="false">SUMPRODUCT(G2965:P2965,_XtX!$B$71:$K$71)</f>
        <v>45.6857954545455</v>
      </c>
      <c r="R2965" s="0" t="n">
        <f aca="false">SUMPRODUCT(MMULT(G2965:P2965,_XtX!$B$58:$K$67),G2965:P2965)</f>
        <v>0.237064985795455</v>
      </c>
      <c r="S2965" s="0" t="n">
        <f aca="false">04_回帰ANOVA!$K$19*04_回帰ANOVA!$K$14*SQRT(1+R2965)</f>
        <v>1.03410084594745</v>
      </c>
      <c r="T2965" s="0" t="n">
        <f aca="false">Q2965-S2965</f>
        <v>44.651694608598</v>
      </c>
      <c r="U2965" s="0" t="n">
        <f aca="false">Q2965+S2965</f>
        <v>46.7198963004929</v>
      </c>
      <c r="V2965" s="54" t="b">
        <f aca="false">AND(D2965&gt;=01_因子設定!$L$5-0.000000001,D2965&lt;=01_因子設定!$M$5+0.000000001,E2965&gt;=01_因子設定!$L$6-0.000000001,E2965&lt;=01_因子設定!$M$6+0.000000001,F2965&gt;=01_因子設定!$L$7-0.000000001,F2965&lt;=01_因子設定!$M$7+0.000000001,IF(01_因子設定!$B$20="Box-Behnken",D2965^2+E2965^2+F2965^2&lt;=2+0.000000001,TRUE()))</f>
        <v>1</v>
      </c>
      <c r="W2965" s="55" t="n">
        <f aca="false">IF(V2965,IF(01_因子設定!$B$13="最大化",T2965-01_因子設定!$B$14,IF(01_因子設定!$B$13="最小化",01_因子設定!$B$15-U2965,MIN(T2965-01_因子設定!$B$14,01_因子設定!$B$15-U2965))),-1E+030)</f>
        <v>-3.84830539140197</v>
      </c>
      <c r="X2965" s="55" t="n">
        <f aca="false">IF(V2965,IF(01_因子設定!$B$13="最大化",Q2965,IF(01_因子設定!$B$13="最小化",-Q2965,-ABS(Q2965-01_因子設定!$B$16))),-1E+030)</f>
        <v>45.6857954545455</v>
      </c>
      <c r="Y2965" s="55" t="n">
        <f aca="false">W2965+ROW()*0.000000001</f>
        <v>-3.84830242640196</v>
      </c>
      <c r="Z2965" s="55" t="n">
        <f aca="false">X2965+ROW()*0.000000001</f>
        <v>45.6857984195455</v>
      </c>
    </row>
    <row r="2966" customFormat="false" ht="15" hidden="false" customHeight="false" outlineLevel="0" collapsed="false">
      <c r="A2966" s="0" t="n">
        <v>10</v>
      </c>
      <c r="B2966" s="0" t="n">
        <v>4</v>
      </c>
      <c r="C2966" s="0" t="n">
        <v>3</v>
      </c>
      <c r="D2966" s="0" t="n">
        <f aca="false">-1+A2966*0.125</f>
        <v>0.25</v>
      </c>
      <c r="E2966" s="0" t="n">
        <f aca="false">-1+B2966*0.125</f>
        <v>-0.5</v>
      </c>
      <c r="F2966" s="0" t="n">
        <f aca="false">-1+C2966*0.125</f>
        <v>-0.625</v>
      </c>
      <c r="G2966" s="0" t="n">
        <f aca="false">1</f>
        <v>1</v>
      </c>
      <c r="H2966" s="0" t="n">
        <f aca="false">D2966</f>
        <v>0.25</v>
      </c>
      <c r="I2966" s="0" t="n">
        <f aca="false">E2966</f>
        <v>-0.5</v>
      </c>
      <c r="J2966" s="0" t="n">
        <f aca="false">F2966</f>
        <v>-0.625</v>
      </c>
      <c r="K2966" s="0" t="n">
        <f aca="false">D2966*E2966</f>
        <v>-0.125</v>
      </c>
      <c r="L2966" s="0" t="n">
        <f aca="false">D2966*F2966</f>
        <v>-0.15625</v>
      </c>
      <c r="M2966" s="0" t="n">
        <f aca="false">E2966*F2966</f>
        <v>0.3125</v>
      </c>
      <c r="N2966" s="0" t="n">
        <f aca="false">D2966*D2966</f>
        <v>0.0625</v>
      </c>
      <c r="O2966" s="0" t="n">
        <f aca="false">E2966*E2966</f>
        <v>0.25</v>
      </c>
      <c r="P2966" s="0" t="n">
        <f aca="false">F2966*F2966</f>
        <v>0.390625</v>
      </c>
      <c r="Q2966" s="0" t="n">
        <f aca="false">SUMPRODUCT(G2966:P2966,_XtX!$B$71:$K$71)</f>
        <v>46.0278267045455</v>
      </c>
      <c r="R2966" s="0" t="n">
        <f aca="false">SUMPRODUCT(MMULT(G2966:P2966,_XtX!$B$58:$K$67),G2966:P2966)</f>
        <v>0.183866743607955</v>
      </c>
      <c r="S2966" s="0" t="n">
        <f aca="false">04_回帰ANOVA!$K$19*04_回帰ANOVA!$K$14*SQRT(1+R2966)</f>
        <v>1.01162148983013</v>
      </c>
      <c r="T2966" s="0" t="n">
        <f aca="false">Q2966-S2966</f>
        <v>45.0162052147153</v>
      </c>
      <c r="U2966" s="0" t="n">
        <f aca="false">Q2966+S2966</f>
        <v>47.0394481943756</v>
      </c>
      <c r="V2966" s="54" t="b">
        <f aca="false">AND(D2966&gt;=01_因子設定!$L$5-0.000000001,D2966&lt;=01_因子設定!$M$5+0.000000001,E2966&gt;=01_因子設定!$L$6-0.000000001,E2966&lt;=01_因子設定!$M$6+0.000000001,F2966&gt;=01_因子設定!$L$7-0.000000001,F2966&lt;=01_因子設定!$M$7+0.000000001,IF(01_因子設定!$B$20="Box-Behnken",D2966^2+E2966^2+F2966^2&lt;=2+0.000000001,TRUE()))</f>
        <v>1</v>
      </c>
      <c r="W2966" s="55" t="n">
        <f aca="false">IF(V2966,IF(01_因子設定!$B$13="最大化",T2966-01_因子設定!$B$14,IF(01_因子設定!$B$13="最小化",01_因子設定!$B$15-U2966,MIN(T2966-01_因子設定!$B$14,01_因子設定!$B$15-U2966))),-1E+030)</f>
        <v>-3.48379478528467</v>
      </c>
      <c r="X2966" s="55" t="n">
        <f aca="false">IF(V2966,IF(01_因子設定!$B$13="最大化",Q2966,IF(01_因子設定!$B$13="最小化",-Q2966,-ABS(Q2966-01_因子設定!$B$16))),-1E+030)</f>
        <v>46.0278267045455</v>
      </c>
      <c r="Y2966" s="55" t="n">
        <f aca="false">W2966+ROW()*0.000000001</f>
        <v>-3.48379181928467</v>
      </c>
      <c r="Z2966" s="55" t="n">
        <f aca="false">X2966+ROW()*0.000000001</f>
        <v>46.0278296705455</v>
      </c>
    </row>
    <row r="2967" customFormat="false" ht="15" hidden="false" customHeight="false" outlineLevel="0" collapsed="false">
      <c r="A2967" s="0" t="n">
        <v>10</v>
      </c>
      <c r="B2967" s="0" t="n">
        <v>4</v>
      </c>
      <c r="C2967" s="0" t="n">
        <v>4</v>
      </c>
      <c r="D2967" s="0" t="n">
        <f aca="false">-1+A2967*0.125</f>
        <v>0.25</v>
      </c>
      <c r="E2967" s="0" t="n">
        <f aca="false">-1+B2967*0.125</f>
        <v>-0.5</v>
      </c>
      <c r="F2967" s="0" t="n">
        <f aca="false">-1+C2967*0.125</f>
        <v>-0.5</v>
      </c>
      <c r="G2967" s="0" t="n">
        <f aca="false">1</f>
        <v>1</v>
      </c>
      <c r="H2967" s="0" t="n">
        <f aca="false">D2967</f>
        <v>0.25</v>
      </c>
      <c r="I2967" s="0" t="n">
        <f aca="false">E2967</f>
        <v>-0.5</v>
      </c>
      <c r="J2967" s="0" t="n">
        <f aca="false">F2967</f>
        <v>-0.5</v>
      </c>
      <c r="K2967" s="0" t="n">
        <f aca="false">D2967*E2967</f>
        <v>-0.125</v>
      </c>
      <c r="L2967" s="0" t="n">
        <f aca="false">D2967*F2967</f>
        <v>-0.125</v>
      </c>
      <c r="M2967" s="0" t="n">
        <f aca="false">E2967*F2967</f>
        <v>0.25</v>
      </c>
      <c r="N2967" s="0" t="n">
        <f aca="false">D2967*D2967</f>
        <v>0.0625</v>
      </c>
      <c r="O2967" s="0" t="n">
        <f aca="false">E2967*E2967</f>
        <v>0.25</v>
      </c>
      <c r="P2967" s="0" t="n">
        <f aca="false">F2967*F2967</f>
        <v>0.25</v>
      </c>
      <c r="Q2967" s="0" t="n">
        <f aca="false">SUMPRODUCT(G2967:P2967,_XtX!$B$71:$K$71)</f>
        <v>46.3330681818182</v>
      </c>
      <c r="R2967" s="0" t="n">
        <f aca="false">SUMPRODUCT(MMULT(G2967:P2967,_XtX!$B$58:$K$67),G2967:P2967)</f>
        <v>0.156321022727273</v>
      </c>
      <c r="S2967" s="0" t="n">
        <f aca="false">04_回帰ANOVA!$K$19*04_回帰ANOVA!$K$14*SQRT(1+R2967)</f>
        <v>0.999783227753172</v>
      </c>
      <c r="T2967" s="0" t="n">
        <f aca="false">Q2967-S2967</f>
        <v>45.333284954065</v>
      </c>
      <c r="U2967" s="0" t="n">
        <f aca="false">Q2967+S2967</f>
        <v>47.3328514095714</v>
      </c>
      <c r="V2967" s="54" t="b">
        <f aca="false">AND(D2967&gt;=01_因子設定!$L$5-0.000000001,D2967&lt;=01_因子設定!$M$5+0.000000001,E2967&gt;=01_因子設定!$L$6-0.000000001,E2967&lt;=01_因子設定!$M$6+0.000000001,F2967&gt;=01_因子設定!$L$7-0.000000001,F2967&lt;=01_因子設定!$M$7+0.000000001,IF(01_因子設定!$B$20="Box-Behnken",D2967^2+E2967^2+F2967^2&lt;=2+0.000000001,TRUE()))</f>
        <v>1</v>
      </c>
      <c r="W2967" s="55" t="n">
        <f aca="false">IF(V2967,IF(01_因子設定!$B$13="最大化",T2967-01_因子設定!$B$14,IF(01_因子設定!$B$13="最小化",01_因子設定!$B$15-U2967,MIN(T2967-01_因子設定!$B$14,01_因子設定!$B$15-U2967))),-1E+030)</f>
        <v>-3.16671504593497</v>
      </c>
      <c r="X2967" s="55" t="n">
        <f aca="false">IF(V2967,IF(01_因子設定!$B$13="最大化",Q2967,IF(01_因子設定!$B$13="最小化",-Q2967,-ABS(Q2967-01_因子設定!$B$16))),-1E+030)</f>
        <v>46.3330681818182</v>
      </c>
      <c r="Y2967" s="55" t="n">
        <f aca="false">W2967+ROW()*0.000000001</f>
        <v>-3.16671207893497</v>
      </c>
      <c r="Z2967" s="55" t="n">
        <f aca="false">X2967+ROW()*0.000000001</f>
        <v>46.3330711488182</v>
      </c>
    </row>
    <row r="2968" customFormat="false" ht="15" hidden="false" customHeight="false" outlineLevel="0" collapsed="false">
      <c r="A2968" s="0" t="n">
        <v>10</v>
      </c>
      <c r="B2968" s="0" t="n">
        <v>4</v>
      </c>
      <c r="C2968" s="0" t="n">
        <v>5</v>
      </c>
      <c r="D2968" s="0" t="n">
        <f aca="false">-1+A2968*0.125</f>
        <v>0.25</v>
      </c>
      <c r="E2968" s="0" t="n">
        <f aca="false">-1+B2968*0.125</f>
        <v>-0.5</v>
      </c>
      <c r="F2968" s="0" t="n">
        <f aca="false">-1+C2968*0.125</f>
        <v>-0.375</v>
      </c>
      <c r="G2968" s="0" t="n">
        <f aca="false">1</f>
        <v>1</v>
      </c>
      <c r="H2968" s="0" t="n">
        <f aca="false">D2968</f>
        <v>0.25</v>
      </c>
      <c r="I2968" s="0" t="n">
        <f aca="false">E2968</f>
        <v>-0.5</v>
      </c>
      <c r="J2968" s="0" t="n">
        <f aca="false">F2968</f>
        <v>-0.375</v>
      </c>
      <c r="K2968" s="0" t="n">
        <f aca="false">D2968*E2968</f>
        <v>-0.125</v>
      </c>
      <c r="L2968" s="0" t="n">
        <f aca="false">D2968*F2968</f>
        <v>-0.09375</v>
      </c>
      <c r="M2968" s="0" t="n">
        <f aca="false">E2968*F2968</f>
        <v>0.1875</v>
      </c>
      <c r="N2968" s="0" t="n">
        <f aca="false">D2968*D2968</f>
        <v>0.0625</v>
      </c>
      <c r="O2968" s="0" t="n">
        <f aca="false">E2968*E2968</f>
        <v>0.25</v>
      </c>
      <c r="P2968" s="0" t="n">
        <f aca="false">F2968*F2968</f>
        <v>0.140625</v>
      </c>
      <c r="Q2968" s="0" t="n">
        <f aca="false">SUMPRODUCT(G2968:P2968,_XtX!$B$71:$K$71)</f>
        <v>46.6015198863637</v>
      </c>
      <c r="R2968" s="0" t="n">
        <f aca="false">SUMPRODUCT(MMULT(G2968:P2968,_XtX!$B$58:$K$67),G2968:P2968)</f>
        <v>0.144839754971591</v>
      </c>
      <c r="S2968" s="0" t="n">
        <f aca="false">04_回帰ANOVA!$K$19*04_回帰ANOVA!$K$14*SQRT(1+R2968)</f>
        <v>0.994807353995542</v>
      </c>
      <c r="T2968" s="0" t="n">
        <f aca="false">Q2968-S2968</f>
        <v>45.6067125323681</v>
      </c>
      <c r="U2968" s="0" t="n">
        <f aca="false">Q2968+S2968</f>
        <v>47.5963272403592</v>
      </c>
      <c r="V2968" s="54" t="b">
        <f aca="false">AND(D2968&gt;=01_因子設定!$L$5-0.000000001,D2968&lt;=01_因子設定!$M$5+0.000000001,E2968&gt;=01_因子設定!$L$6-0.000000001,E2968&lt;=01_因子設定!$M$6+0.000000001,F2968&gt;=01_因子設定!$L$7-0.000000001,F2968&lt;=01_因子設定!$M$7+0.000000001,IF(01_因子設定!$B$20="Box-Behnken",D2968^2+E2968^2+F2968^2&lt;=2+0.000000001,TRUE()))</f>
        <v>1</v>
      </c>
      <c r="W2968" s="55" t="n">
        <f aca="false">IF(V2968,IF(01_因子設定!$B$13="最大化",T2968-01_因子設定!$B$14,IF(01_因子設定!$B$13="最小化",01_因子設定!$B$15-U2968,MIN(T2968-01_因子設定!$B$14,01_因子設定!$B$15-U2968))),-1E+030)</f>
        <v>-2.89328746763189</v>
      </c>
      <c r="X2968" s="55" t="n">
        <f aca="false">IF(V2968,IF(01_因子設定!$B$13="最大化",Q2968,IF(01_因子設定!$B$13="最小化",-Q2968,-ABS(Q2968-01_因子設定!$B$16))),-1E+030)</f>
        <v>46.6015198863637</v>
      </c>
      <c r="Y2968" s="55" t="n">
        <f aca="false">W2968+ROW()*0.000000001</f>
        <v>-2.89328449963189</v>
      </c>
      <c r="Z2968" s="55" t="n">
        <f aca="false">X2968+ROW()*0.000000001</f>
        <v>46.6015228543636</v>
      </c>
    </row>
    <row r="2969" customFormat="false" ht="15" hidden="false" customHeight="false" outlineLevel="0" collapsed="false">
      <c r="A2969" s="0" t="n">
        <v>10</v>
      </c>
      <c r="B2969" s="0" t="n">
        <v>4</v>
      </c>
      <c r="C2969" s="0" t="n">
        <v>6</v>
      </c>
      <c r="D2969" s="0" t="n">
        <f aca="false">-1+A2969*0.125</f>
        <v>0.25</v>
      </c>
      <c r="E2969" s="0" t="n">
        <f aca="false">-1+B2969*0.125</f>
        <v>-0.5</v>
      </c>
      <c r="F2969" s="0" t="n">
        <f aca="false">-1+C2969*0.125</f>
        <v>-0.25</v>
      </c>
      <c r="G2969" s="0" t="n">
        <f aca="false">1</f>
        <v>1</v>
      </c>
      <c r="H2969" s="0" t="n">
        <f aca="false">D2969</f>
        <v>0.25</v>
      </c>
      <c r="I2969" s="0" t="n">
        <f aca="false">E2969</f>
        <v>-0.5</v>
      </c>
      <c r="J2969" s="0" t="n">
        <f aca="false">F2969</f>
        <v>-0.25</v>
      </c>
      <c r="K2969" s="0" t="n">
        <f aca="false">D2969*E2969</f>
        <v>-0.125</v>
      </c>
      <c r="L2969" s="0" t="n">
        <f aca="false">D2969*F2969</f>
        <v>-0.0625</v>
      </c>
      <c r="M2969" s="0" t="n">
        <f aca="false">E2969*F2969</f>
        <v>0.125</v>
      </c>
      <c r="N2969" s="0" t="n">
        <f aca="false">D2969*D2969</f>
        <v>0.0625</v>
      </c>
      <c r="O2969" s="0" t="n">
        <f aca="false">E2969*E2969</f>
        <v>0.25</v>
      </c>
      <c r="P2969" s="0" t="n">
        <f aca="false">F2969*F2969</f>
        <v>0.0625</v>
      </c>
      <c r="Q2969" s="0" t="n">
        <f aca="false">SUMPRODUCT(G2969:P2969,_XtX!$B$71:$K$71)</f>
        <v>46.8331818181818</v>
      </c>
      <c r="R2969" s="0" t="n">
        <f aca="false">SUMPRODUCT(MMULT(G2969:P2969,_XtX!$B$58:$K$67),G2969:P2969)</f>
        <v>0.141965553977273</v>
      </c>
      <c r="S2969" s="0" t="n">
        <f aca="false">04_回帰ANOVA!$K$19*04_回帰ANOVA!$K$14*SQRT(1+R2969)</f>
        <v>0.993557802198625</v>
      </c>
      <c r="T2969" s="0" t="n">
        <f aca="false">Q2969-S2969</f>
        <v>45.8396240159832</v>
      </c>
      <c r="U2969" s="0" t="n">
        <f aca="false">Q2969+S2969</f>
        <v>47.8267396203805</v>
      </c>
      <c r="V2969" s="54" t="b">
        <f aca="false">AND(D2969&gt;=01_因子設定!$L$5-0.000000001,D2969&lt;=01_因子設定!$M$5+0.000000001,E2969&gt;=01_因子設定!$L$6-0.000000001,E2969&lt;=01_因子設定!$M$6+0.000000001,F2969&gt;=01_因子設定!$L$7-0.000000001,F2969&lt;=01_因子設定!$M$7+0.000000001,IF(01_因子設定!$B$20="Box-Behnken",D2969^2+E2969^2+F2969^2&lt;=2+0.000000001,TRUE()))</f>
        <v>1</v>
      </c>
      <c r="W2969" s="55" t="n">
        <f aca="false">IF(V2969,IF(01_因子設定!$B$13="最大化",T2969-01_因子設定!$B$14,IF(01_因子設定!$B$13="最小化",01_因子設定!$B$15-U2969,MIN(T2969-01_因子設定!$B$14,01_因子設定!$B$15-U2969))),-1E+030)</f>
        <v>-2.6603759840168</v>
      </c>
      <c r="X2969" s="55" t="n">
        <f aca="false">IF(V2969,IF(01_因子設定!$B$13="最大化",Q2969,IF(01_因子設定!$B$13="最小化",-Q2969,-ABS(Q2969-01_因子設定!$B$16))),-1E+030)</f>
        <v>46.8331818181818</v>
      </c>
      <c r="Y2969" s="55" t="n">
        <f aca="false">W2969+ROW()*0.000000001</f>
        <v>-2.6603730150168</v>
      </c>
      <c r="Z2969" s="55" t="n">
        <f aca="false">X2969+ROW()*0.000000001</f>
        <v>46.8331847871818</v>
      </c>
    </row>
    <row r="2970" customFormat="false" ht="15" hidden="false" customHeight="false" outlineLevel="0" collapsed="false">
      <c r="A2970" s="0" t="n">
        <v>10</v>
      </c>
      <c r="B2970" s="0" t="n">
        <v>4</v>
      </c>
      <c r="C2970" s="0" t="n">
        <v>7</v>
      </c>
      <c r="D2970" s="0" t="n">
        <f aca="false">-1+A2970*0.125</f>
        <v>0.25</v>
      </c>
      <c r="E2970" s="0" t="n">
        <f aca="false">-1+B2970*0.125</f>
        <v>-0.5</v>
      </c>
      <c r="F2970" s="0" t="n">
        <f aca="false">-1+C2970*0.125</f>
        <v>-0.125</v>
      </c>
      <c r="G2970" s="0" t="n">
        <f aca="false">1</f>
        <v>1</v>
      </c>
      <c r="H2970" s="0" t="n">
        <f aca="false">D2970</f>
        <v>0.25</v>
      </c>
      <c r="I2970" s="0" t="n">
        <f aca="false">E2970</f>
        <v>-0.5</v>
      </c>
      <c r="J2970" s="0" t="n">
        <f aca="false">F2970</f>
        <v>-0.125</v>
      </c>
      <c r="K2970" s="0" t="n">
        <f aca="false">D2970*E2970</f>
        <v>-0.125</v>
      </c>
      <c r="L2970" s="0" t="n">
        <f aca="false">D2970*F2970</f>
        <v>-0.03125</v>
      </c>
      <c r="M2970" s="0" t="n">
        <f aca="false">E2970*F2970</f>
        <v>0.0625</v>
      </c>
      <c r="N2970" s="0" t="n">
        <f aca="false">D2970*D2970</f>
        <v>0.0625</v>
      </c>
      <c r="O2970" s="0" t="n">
        <f aca="false">E2970*E2970</f>
        <v>0.25</v>
      </c>
      <c r="P2970" s="0" t="n">
        <f aca="false">F2970*F2970</f>
        <v>0.015625</v>
      </c>
      <c r="Q2970" s="0" t="n">
        <f aca="false">SUMPRODUCT(G2970:P2970,_XtX!$B$71:$K$71)</f>
        <v>47.0280539772727</v>
      </c>
      <c r="R2970" s="0" t="n">
        <f aca="false">SUMPRODUCT(MMULT(G2970:P2970,_XtX!$B$58:$K$67),G2970:P2970)</f>
        <v>0.142371715198864</v>
      </c>
      <c r="S2970" s="0" t="n">
        <f aca="false">04_回帰ANOVA!$K$19*04_回帰ANOVA!$K$14*SQRT(1+R2970)</f>
        <v>0.99373447511735</v>
      </c>
      <c r="T2970" s="0" t="n">
        <f aca="false">Q2970-S2970</f>
        <v>46.0343195021554</v>
      </c>
      <c r="U2970" s="0" t="n">
        <f aca="false">Q2970+S2970</f>
        <v>48.0217884523901</v>
      </c>
      <c r="V2970" s="54" t="b">
        <f aca="false">AND(D2970&gt;=01_因子設定!$L$5-0.000000001,D2970&lt;=01_因子設定!$M$5+0.000000001,E2970&gt;=01_因子設定!$L$6-0.000000001,E2970&lt;=01_因子設定!$M$6+0.000000001,F2970&gt;=01_因子設定!$L$7-0.000000001,F2970&lt;=01_因子設定!$M$7+0.000000001,IF(01_因子設定!$B$20="Box-Behnken",D2970^2+E2970^2+F2970^2&lt;=2+0.000000001,TRUE()))</f>
        <v>1</v>
      </c>
      <c r="W2970" s="55" t="n">
        <f aca="false">IF(V2970,IF(01_因子設定!$B$13="最大化",T2970-01_因子設定!$B$14,IF(01_因子設定!$B$13="最小化",01_因子設定!$B$15-U2970,MIN(T2970-01_因子設定!$B$14,01_因子設定!$B$15-U2970))),-1E+030)</f>
        <v>-2.46568049784462</v>
      </c>
      <c r="X2970" s="55" t="n">
        <f aca="false">IF(V2970,IF(01_因子設定!$B$13="最大化",Q2970,IF(01_因子設定!$B$13="最小化",-Q2970,-ABS(Q2970-01_因子設定!$B$16))),-1E+030)</f>
        <v>47.0280539772727</v>
      </c>
      <c r="Y2970" s="55" t="n">
        <f aca="false">W2970+ROW()*0.000000001</f>
        <v>-2.46567752784462</v>
      </c>
      <c r="Z2970" s="55" t="n">
        <f aca="false">X2970+ROW()*0.000000001</f>
        <v>47.0280569472727</v>
      </c>
    </row>
    <row r="2971" customFormat="false" ht="15" hidden="false" customHeight="false" outlineLevel="0" collapsed="false">
      <c r="A2971" s="0" t="n">
        <v>10</v>
      </c>
      <c r="B2971" s="0" t="n">
        <v>4</v>
      </c>
      <c r="C2971" s="0" t="n">
        <v>8</v>
      </c>
      <c r="D2971" s="0" t="n">
        <f aca="false">-1+A2971*0.125</f>
        <v>0.25</v>
      </c>
      <c r="E2971" s="0" t="n">
        <f aca="false">-1+B2971*0.125</f>
        <v>-0.5</v>
      </c>
      <c r="F2971" s="0" t="n">
        <f aca="false">-1+C2971*0.125</f>
        <v>0</v>
      </c>
      <c r="G2971" s="0" t="n">
        <f aca="false">1</f>
        <v>1</v>
      </c>
      <c r="H2971" s="0" t="n">
        <f aca="false">D2971</f>
        <v>0.25</v>
      </c>
      <c r="I2971" s="0" t="n">
        <f aca="false">E2971</f>
        <v>-0.5</v>
      </c>
      <c r="J2971" s="0" t="n">
        <f aca="false">F2971</f>
        <v>0</v>
      </c>
      <c r="K2971" s="0" t="n">
        <f aca="false">D2971*E2971</f>
        <v>-0.125</v>
      </c>
      <c r="L2971" s="0" t="n">
        <f aca="false">D2971*F2971</f>
        <v>0</v>
      </c>
      <c r="M2971" s="0" t="n">
        <f aca="false">E2971*F2971</f>
        <v>-0</v>
      </c>
      <c r="N2971" s="0" t="n">
        <f aca="false">D2971*D2971</f>
        <v>0.0625</v>
      </c>
      <c r="O2971" s="0" t="n">
        <f aca="false">E2971*E2971</f>
        <v>0.25</v>
      </c>
      <c r="P2971" s="0" t="n">
        <f aca="false">F2971*F2971</f>
        <v>0</v>
      </c>
      <c r="Q2971" s="0" t="n">
        <f aca="false">SUMPRODUCT(G2971:P2971,_XtX!$B$71:$K$71)</f>
        <v>47.1861363636364</v>
      </c>
      <c r="R2971" s="0" t="n">
        <f aca="false">SUMPRODUCT(MMULT(G2971:P2971,_XtX!$B$58:$K$67),G2971:P2971)</f>
        <v>0.142862215909091</v>
      </c>
      <c r="S2971" s="0" t="n">
        <f aca="false">04_回帰ANOVA!$K$19*04_回帰ANOVA!$K$14*SQRT(1+R2971)</f>
        <v>0.993947792354123</v>
      </c>
      <c r="T2971" s="0" t="n">
        <f aca="false">Q2971-S2971</f>
        <v>46.1921885712823</v>
      </c>
      <c r="U2971" s="0" t="n">
        <f aca="false">Q2971+S2971</f>
        <v>48.1800841559905</v>
      </c>
      <c r="V2971" s="54" t="b">
        <f aca="false">AND(D2971&gt;=01_因子設定!$L$5-0.000000001,D2971&lt;=01_因子設定!$M$5+0.000000001,E2971&gt;=01_因子設定!$L$6-0.000000001,E2971&lt;=01_因子設定!$M$6+0.000000001,F2971&gt;=01_因子設定!$L$7-0.000000001,F2971&lt;=01_因子設定!$M$7+0.000000001,IF(01_因子設定!$B$20="Box-Behnken",D2971^2+E2971^2+F2971^2&lt;=2+0.000000001,TRUE()))</f>
        <v>1</v>
      </c>
      <c r="W2971" s="55" t="n">
        <f aca="false">IF(V2971,IF(01_因子設定!$B$13="最大化",T2971-01_因子設定!$B$14,IF(01_因子設定!$B$13="最小化",01_因子設定!$B$15-U2971,MIN(T2971-01_因子設定!$B$14,01_因子設定!$B$15-U2971))),-1E+030)</f>
        <v>-2.30781142871775</v>
      </c>
      <c r="X2971" s="55" t="n">
        <f aca="false">IF(V2971,IF(01_因子設定!$B$13="最大化",Q2971,IF(01_因子設定!$B$13="最小化",-Q2971,-ABS(Q2971-01_因子設定!$B$16))),-1E+030)</f>
        <v>47.1861363636364</v>
      </c>
      <c r="Y2971" s="55" t="n">
        <f aca="false">W2971+ROW()*0.000000001</f>
        <v>-2.30780845771775</v>
      </c>
      <c r="Z2971" s="55" t="n">
        <f aca="false">X2971+ROW()*0.000000001</f>
        <v>47.1861393346364</v>
      </c>
    </row>
    <row r="2972" customFormat="false" ht="15" hidden="false" customHeight="false" outlineLevel="0" collapsed="false">
      <c r="A2972" s="0" t="n">
        <v>10</v>
      </c>
      <c r="B2972" s="0" t="n">
        <v>4</v>
      </c>
      <c r="C2972" s="0" t="n">
        <v>9</v>
      </c>
      <c r="D2972" s="0" t="n">
        <f aca="false">-1+A2972*0.125</f>
        <v>0.25</v>
      </c>
      <c r="E2972" s="0" t="n">
        <f aca="false">-1+B2972*0.125</f>
        <v>-0.5</v>
      </c>
      <c r="F2972" s="0" t="n">
        <f aca="false">-1+C2972*0.125</f>
        <v>0.125</v>
      </c>
      <c r="G2972" s="0" t="n">
        <f aca="false">1</f>
        <v>1</v>
      </c>
      <c r="H2972" s="0" t="n">
        <f aca="false">D2972</f>
        <v>0.25</v>
      </c>
      <c r="I2972" s="0" t="n">
        <f aca="false">E2972</f>
        <v>-0.5</v>
      </c>
      <c r="J2972" s="0" t="n">
        <f aca="false">F2972</f>
        <v>0.125</v>
      </c>
      <c r="K2972" s="0" t="n">
        <f aca="false">D2972*E2972</f>
        <v>-0.125</v>
      </c>
      <c r="L2972" s="0" t="n">
        <f aca="false">D2972*F2972</f>
        <v>0.03125</v>
      </c>
      <c r="M2972" s="0" t="n">
        <f aca="false">E2972*F2972</f>
        <v>-0.0625</v>
      </c>
      <c r="N2972" s="0" t="n">
        <f aca="false">D2972*D2972</f>
        <v>0.0625</v>
      </c>
      <c r="O2972" s="0" t="n">
        <f aca="false">E2972*E2972</f>
        <v>0.25</v>
      </c>
      <c r="P2972" s="0" t="n">
        <f aca="false">F2972*F2972</f>
        <v>0.015625</v>
      </c>
      <c r="Q2972" s="0" t="n">
        <f aca="false">SUMPRODUCT(G2972:P2972,_XtX!$B$71:$K$71)</f>
        <v>47.3074289772727</v>
      </c>
      <c r="R2972" s="0" t="n">
        <f aca="false">SUMPRODUCT(MMULT(G2972:P2972,_XtX!$B$58:$K$67),G2972:P2972)</f>
        <v>0.142371715198864</v>
      </c>
      <c r="S2972" s="0" t="n">
        <f aca="false">04_回帰ANOVA!$K$19*04_回帰ANOVA!$K$14*SQRT(1+R2972)</f>
        <v>0.99373447511735</v>
      </c>
      <c r="T2972" s="0" t="n">
        <f aca="false">Q2972-S2972</f>
        <v>46.3136945021554</v>
      </c>
      <c r="U2972" s="0" t="n">
        <f aca="false">Q2972+S2972</f>
        <v>48.3011634523901</v>
      </c>
      <c r="V2972" s="54" t="b">
        <f aca="false">AND(D2972&gt;=01_因子設定!$L$5-0.000000001,D2972&lt;=01_因子設定!$M$5+0.000000001,E2972&gt;=01_因子設定!$L$6-0.000000001,E2972&lt;=01_因子設定!$M$6+0.000000001,F2972&gt;=01_因子設定!$L$7-0.000000001,F2972&lt;=01_因子設定!$M$7+0.000000001,IF(01_因子設定!$B$20="Box-Behnken",D2972^2+E2972^2+F2972^2&lt;=2+0.000000001,TRUE()))</f>
        <v>1</v>
      </c>
      <c r="W2972" s="55" t="n">
        <f aca="false">IF(V2972,IF(01_因子設定!$B$13="最大化",T2972-01_因子設定!$B$14,IF(01_因子設定!$B$13="最小化",01_因子設定!$B$15-U2972,MIN(T2972-01_因子設定!$B$14,01_因子設定!$B$15-U2972))),-1E+030)</f>
        <v>-2.18630549784461</v>
      </c>
      <c r="X2972" s="55" t="n">
        <f aca="false">IF(V2972,IF(01_因子設定!$B$13="最大化",Q2972,IF(01_因子設定!$B$13="最小化",-Q2972,-ABS(Q2972-01_因子設定!$B$16))),-1E+030)</f>
        <v>47.3074289772727</v>
      </c>
      <c r="Y2972" s="55" t="n">
        <f aca="false">W2972+ROW()*0.000000001</f>
        <v>-2.18630252584461</v>
      </c>
      <c r="Z2972" s="55" t="n">
        <f aca="false">X2972+ROW()*0.000000001</f>
        <v>47.3074319492727</v>
      </c>
    </row>
    <row r="2973" customFormat="false" ht="15" hidden="false" customHeight="false" outlineLevel="0" collapsed="false">
      <c r="A2973" s="0" t="n">
        <v>10</v>
      </c>
      <c r="B2973" s="0" t="n">
        <v>4</v>
      </c>
      <c r="C2973" s="0" t="n">
        <v>10</v>
      </c>
      <c r="D2973" s="0" t="n">
        <f aca="false">-1+A2973*0.125</f>
        <v>0.25</v>
      </c>
      <c r="E2973" s="0" t="n">
        <f aca="false">-1+B2973*0.125</f>
        <v>-0.5</v>
      </c>
      <c r="F2973" s="0" t="n">
        <f aca="false">-1+C2973*0.125</f>
        <v>0.25</v>
      </c>
      <c r="G2973" s="0" t="n">
        <f aca="false">1</f>
        <v>1</v>
      </c>
      <c r="H2973" s="0" t="n">
        <f aca="false">D2973</f>
        <v>0.25</v>
      </c>
      <c r="I2973" s="0" t="n">
        <f aca="false">E2973</f>
        <v>-0.5</v>
      </c>
      <c r="J2973" s="0" t="n">
        <f aca="false">F2973</f>
        <v>0.25</v>
      </c>
      <c r="K2973" s="0" t="n">
        <f aca="false">D2973*E2973</f>
        <v>-0.125</v>
      </c>
      <c r="L2973" s="0" t="n">
        <f aca="false">D2973*F2973</f>
        <v>0.0625</v>
      </c>
      <c r="M2973" s="0" t="n">
        <f aca="false">E2973*F2973</f>
        <v>-0.125</v>
      </c>
      <c r="N2973" s="0" t="n">
        <f aca="false">D2973*D2973</f>
        <v>0.0625</v>
      </c>
      <c r="O2973" s="0" t="n">
        <f aca="false">E2973*E2973</f>
        <v>0.25</v>
      </c>
      <c r="P2973" s="0" t="n">
        <f aca="false">F2973*F2973</f>
        <v>0.0625</v>
      </c>
      <c r="Q2973" s="0" t="n">
        <f aca="false">SUMPRODUCT(G2973:P2973,_XtX!$B$71:$K$71)</f>
        <v>47.3919318181818</v>
      </c>
      <c r="R2973" s="0" t="n">
        <f aca="false">SUMPRODUCT(MMULT(G2973:P2973,_XtX!$B$58:$K$67),G2973:P2973)</f>
        <v>0.141965553977273</v>
      </c>
      <c r="S2973" s="0" t="n">
        <f aca="false">04_回帰ANOVA!$K$19*04_回帰ANOVA!$K$14*SQRT(1+R2973)</f>
        <v>0.993557802198625</v>
      </c>
      <c r="T2973" s="0" t="n">
        <f aca="false">Q2973-S2973</f>
        <v>46.3983740159832</v>
      </c>
      <c r="U2973" s="0" t="n">
        <f aca="false">Q2973+S2973</f>
        <v>48.3854896203805</v>
      </c>
      <c r="V2973" s="54" t="b">
        <f aca="false">AND(D2973&gt;=01_因子設定!$L$5-0.000000001,D2973&lt;=01_因子設定!$M$5+0.000000001,E2973&gt;=01_因子設定!$L$6-0.000000001,E2973&lt;=01_因子設定!$M$6+0.000000001,F2973&gt;=01_因子設定!$L$7-0.000000001,F2973&lt;=01_因子設定!$M$7+0.000000001,IF(01_因子設定!$B$20="Box-Behnken",D2973^2+E2973^2+F2973^2&lt;=2+0.000000001,TRUE()))</f>
        <v>1</v>
      </c>
      <c r="W2973" s="55" t="n">
        <f aca="false">IF(V2973,IF(01_因子設定!$B$13="最大化",T2973-01_因子設定!$B$14,IF(01_因子設定!$B$13="最小化",01_因子設定!$B$15-U2973,MIN(T2973-01_因子設定!$B$14,01_因子設定!$B$15-U2973))),-1E+030)</f>
        <v>-2.10162598401679</v>
      </c>
      <c r="X2973" s="55" t="n">
        <f aca="false">IF(V2973,IF(01_因子設定!$B$13="最大化",Q2973,IF(01_因子設定!$B$13="最小化",-Q2973,-ABS(Q2973-01_因子設定!$B$16))),-1E+030)</f>
        <v>47.3919318181818</v>
      </c>
      <c r="Y2973" s="55" t="n">
        <f aca="false">W2973+ROW()*0.000000001</f>
        <v>-2.10162301101679</v>
      </c>
      <c r="Z2973" s="55" t="n">
        <f aca="false">X2973+ROW()*0.000000001</f>
        <v>47.3919347911818</v>
      </c>
    </row>
    <row r="2974" customFormat="false" ht="15" hidden="false" customHeight="false" outlineLevel="0" collapsed="false">
      <c r="A2974" s="0" t="n">
        <v>10</v>
      </c>
      <c r="B2974" s="0" t="n">
        <v>4</v>
      </c>
      <c r="C2974" s="0" t="n">
        <v>11</v>
      </c>
      <c r="D2974" s="0" t="n">
        <f aca="false">-1+A2974*0.125</f>
        <v>0.25</v>
      </c>
      <c r="E2974" s="0" t="n">
        <f aca="false">-1+B2974*0.125</f>
        <v>-0.5</v>
      </c>
      <c r="F2974" s="0" t="n">
        <f aca="false">-1+C2974*0.125</f>
        <v>0.375</v>
      </c>
      <c r="G2974" s="0" t="n">
        <f aca="false">1</f>
        <v>1</v>
      </c>
      <c r="H2974" s="0" t="n">
        <f aca="false">D2974</f>
        <v>0.25</v>
      </c>
      <c r="I2974" s="0" t="n">
        <f aca="false">E2974</f>
        <v>-0.5</v>
      </c>
      <c r="J2974" s="0" t="n">
        <f aca="false">F2974</f>
        <v>0.375</v>
      </c>
      <c r="K2974" s="0" t="n">
        <f aca="false">D2974*E2974</f>
        <v>-0.125</v>
      </c>
      <c r="L2974" s="0" t="n">
        <f aca="false">D2974*F2974</f>
        <v>0.09375</v>
      </c>
      <c r="M2974" s="0" t="n">
        <f aca="false">E2974*F2974</f>
        <v>-0.1875</v>
      </c>
      <c r="N2974" s="0" t="n">
        <f aca="false">D2974*D2974</f>
        <v>0.0625</v>
      </c>
      <c r="O2974" s="0" t="n">
        <f aca="false">E2974*E2974</f>
        <v>0.25</v>
      </c>
      <c r="P2974" s="0" t="n">
        <f aca="false">F2974*F2974</f>
        <v>0.140625</v>
      </c>
      <c r="Q2974" s="0" t="n">
        <f aca="false">SUMPRODUCT(G2974:P2974,_XtX!$B$71:$K$71)</f>
        <v>47.4396448863636</v>
      </c>
      <c r="R2974" s="0" t="n">
        <f aca="false">SUMPRODUCT(MMULT(G2974:P2974,_XtX!$B$58:$K$67),G2974:P2974)</f>
        <v>0.144839754971591</v>
      </c>
      <c r="S2974" s="0" t="n">
        <f aca="false">04_回帰ANOVA!$K$19*04_回帰ANOVA!$K$14*SQRT(1+R2974)</f>
        <v>0.994807353995542</v>
      </c>
      <c r="T2974" s="0" t="n">
        <f aca="false">Q2974-S2974</f>
        <v>46.4448375323681</v>
      </c>
      <c r="U2974" s="0" t="n">
        <f aca="false">Q2974+S2974</f>
        <v>48.4344522403592</v>
      </c>
      <c r="V2974" s="54" t="b">
        <f aca="false">AND(D2974&gt;=01_因子設定!$L$5-0.000000001,D2974&lt;=01_因子設定!$M$5+0.000000001,E2974&gt;=01_因子設定!$L$6-0.000000001,E2974&lt;=01_因子設定!$M$6+0.000000001,F2974&gt;=01_因子設定!$L$7-0.000000001,F2974&lt;=01_因子設定!$M$7+0.000000001,IF(01_因子設定!$B$20="Box-Behnken",D2974^2+E2974^2+F2974^2&lt;=2+0.000000001,TRUE()))</f>
        <v>1</v>
      </c>
      <c r="W2974" s="55" t="n">
        <f aca="false">IF(V2974,IF(01_因子設定!$B$13="最大化",T2974-01_因子設定!$B$14,IF(01_因子設定!$B$13="最小化",01_因子設定!$B$15-U2974,MIN(T2974-01_因子設定!$B$14,01_因子設定!$B$15-U2974))),-1E+030)</f>
        <v>-2.0551624676319</v>
      </c>
      <c r="X2974" s="55" t="n">
        <f aca="false">IF(V2974,IF(01_因子設定!$B$13="最大化",Q2974,IF(01_因子設定!$B$13="最小化",-Q2974,-ABS(Q2974-01_因子設定!$B$16))),-1E+030)</f>
        <v>47.4396448863636</v>
      </c>
      <c r="Y2974" s="55" t="n">
        <f aca="false">W2974+ROW()*0.000000001</f>
        <v>-2.0551594936319</v>
      </c>
      <c r="Z2974" s="55" t="n">
        <f aca="false">X2974+ROW()*0.000000001</f>
        <v>47.4396478603636</v>
      </c>
    </row>
    <row r="2975" customFormat="false" ht="15" hidden="false" customHeight="false" outlineLevel="0" collapsed="false">
      <c r="A2975" s="0" t="n">
        <v>10</v>
      </c>
      <c r="B2975" s="0" t="n">
        <v>4</v>
      </c>
      <c r="C2975" s="0" t="n">
        <v>12</v>
      </c>
      <c r="D2975" s="0" t="n">
        <f aca="false">-1+A2975*0.125</f>
        <v>0.25</v>
      </c>
      <c r="E2975" s="0" t="n">
        <f aca="false">-1+B2975*0.125</f>
        <v>-0.5</v>
      </c>
      <c r="F2975" s="0" t="n">
        <f aca="false">-1+C2975*0.125</f>
        <v>0.5</v>
      </c>
      <c r="G2975" s="0" t="n">
        <f aca="false">1</f>
        <v>1</v>
      </c>
      <c r="H2975" s="0" t="n">
        <f aca="false">D2975</f>
        <v>0.25</v>
      </c>
      <c r="I2975" s="0" t="n">
        <f aca="false">E2975</f>
        <v>-0.5</v>
      </c>
      <c r="J2975" s="0" t="n">
        <f aca="false">F2975</f>
        <v>0.5</v>
      </c>
      <c r="K2975" s="0" t="n">
        <f aca="false">D2975*E2975</f>
        <v>-0.125</v>
      </c>
      <c r="L2975" s="0" t="n">
        <f aca="false">D2975*F2975</f>
        <v>0.125</v>
      </c>
      <c r="M2975" s="0" t="n">
        <f aca="false">E2975*F2975</f>
        <v>-0.25</v>
      </c>
      <c r="N2975" s="0" t="n">
        <f aca="false">D2975*D2975</f>
        <v>0.0625</v>
      </c>
      <c r="O2975" s="0" t="n">
        <f aca="false">E2975*E2975</f>
        <v>0.25</v>
      </c>
      <c r="P2975" s="0" t="n">
        <f aca="false">F2975*F2975</f>
        <v>0.25</v>
      </c>
      <c r="Q2975" s="0" t="n">
        <f aca="false">SUMPRODUCT(G2975:P2975,_XtX!$B$71:$K$71)</f>
        <v>47.4505681818182</v>
      </c>
      <c r="R2975" s="0" t="n">
        <f aca="false">SUMPRODUCT(MMULT(G2975:P2975,_XtX!$B$58:$K$67),G2975:P2975)</f>
        <v>0.156321022727273</v>
      </c>
      <c r="S2975" s="0" t="n">
        <f aca="false">04_回帰ANOVA!$K$19*04_回帰ANOVA!$K$14*SQRT(1+R2975)</f>
        <v>0.999783227753172</v>
      </c>
      <c r="T2975" s="0" t="n">
        <f aca="false">Q2975-S2975</f>
        <v>46.450784954065</v>
      </c>
      <c r="U2975" s="0" t="n">
        <f aca="false">Q2975+S2975</f>
        <v>48.4503514095714</v>
      </c>
      <c r="V2975" s="54" t="b">
        <f aca="false">AND(D2975&gt;=01_因子設定!$L$5-0.000000001,D2975&lt;=01_因子設定!$M$5+0.000000001,E2975&gt;=01_因子設定!$L$6-0.000000001,E2975&lt;=01_因子設定!$M$6+0.000000001,F2975&gt;=01_因子設定!$L$7-0.000000001,F2975&lt;=01_因子設定!$M$7+0.000000001,IF(01_因子設定!$B$20="Box-Behnken",D2975^2+E2975^2+F2975^2&lt;=2+0.000000001,TRUE()))</f>
        <v>1</v>
      </c>
      <c r="W2975" s="55" t="n">
        <f aca="false">IF(V2975,IF(01_因子設定!$B$13="最大化",T2975-01_因子設定!$B$14,IF(01_因子設定!$B$13="最小化",01_因子設定!$B$15-U2975,MIN(T2975-01_因子設定!$B$14,01_因子設定!$B$15-U2975))),-1E+030)</f>
        <v>-2.04921504593497</v>
      </c>
      <c r="X2975" s="55" t="n">
        <f aca="false">IF(V2975,IF(01_因子設定!$B$13="最大化",Q2975,IF(01_因子設定!$B$13="最小化",-Q2975,-ABS(Q2975-01_因子設定!$B$16))),-1E+030)</f>
        <v>47.4505681818182</v>
      </c>
      <c r="Y2975" s="55" t="n">
        <f aca="false">W2975+ROW()*0.000000001</f>
        <v>-2.04921207093497</v>
      </c>
      <c r="Z2975" s="55" t="n">
        <f aca="false">X2975+ROW()*0.000000001</f>
        <v>47.4505711568182</v>
      </c>
    </row>
    <row r="2976" customFormat="false" ht="15" hidden="false" customHeight="false" outlineLevel="0" collapsed="false">
      <c r="A2976" s="0" t="n">
        <v>10</v>
      </c>
      <c r="B2976" s="0" t="n">
        <v>4</v>
      </c>
      <c r="C2976" s="0" t="n">
        <v>13</v>
      </c>
      <c r="D2976" s="0" t="n">
        <f aca="false">-1+A2976*0.125</f>
        <v>0.25</v>
      </c>
      <c r="E2976" s="0" t="n">
        <f aca="false">-1+B2976*0.125</f>
        <v>-0.5</v>
      </c>
      <c r="F2976" s="0" t="n">
        <f aca="false">-1+C2976*0.125</f>
        <v>0.625</v>
      </c>
      <c r="G2976" s="0" t="n">
        <f aca="false">1</f>
        <v>1</v>
      </c>
      <c r="H2976" s="0" t="n">
        <f aca="false">D2976</f>
        <v>0.25</v>
      </c>
      <c r="I2976" s="0" t="n">
        <f aca="false">E2976</f>
        <v>-0.5</v>
      </c>
      <c r="J2976" s="0" t="n">
        <f aca="false">F2976</f>
        <v>0.625</v>
      </c>
      <c r="K2976" s="0" t="n">
        <f aca="false">D2976*E2976</f>
        <v>-0.125</v>
      </c>
      <c r="L2976" s="0" t="n">
        <f aca="false">D2976*F2976</f>
        <v>0.15625</v>
      </c>
      <c r="M2976" s="0" t="n">
        <f aca="false">E2976*F2976</f>
        <v>-0.3125</v>
      </c>
      <c r="N2976" s="0" t="n">
        <f aca="false">D2976*D2976</f>
        <v>0.0625</v>
      </c>
      <c r="O2976" s="0" t="n">
        <f aca="false">E2976*E2976</f>
        <v>0.25</v>
      </c>
      <c r="P2976" s="0" t="n">
        <f aca="false">F2976*F2976</f>
        <v>0.390625</v>
      </c>
      <c r="Q2976" s="0" t="n">
        <f aca="false">SUMPRODUCT(G2976:P2976,_XtX!$B$71:$K$71)</f>
        <v>47.4247017045455</v>
      </c>
      <c r="R2976" s="0" t="n">
        <f aca="false">SUMPRODUCT(MMULT(G2976:P2976,_XtX!$B$58:$K$67),G2976:P2976)</f>
        <v>0.183866743607955</v>
      </c>
      <c r="S2976" s="0" t="n">
        <f aca="false">04_回帰ANOVA!$K$19*04_回帰ANOVA!$K$14*SQRT(1+R2976)</f>
        <v>1.01162148983013</v>
      </c>
      <c r="T2976" s="0" t="n">
        <f aca="false">Q2976-S2976</f>
        <v>46.4130802147153</v>
      </c>
      <c r="U2976" s="0" t="n">
        <f aca="false">Q2976+S2976</f>
        <v>48.4363231943756</v>
      </c>
      <c r="V2976" s="54" t="b">
        <f aca="false">AND(D2976&gt;=01_因子設定!$L$5-0.000000001,D2976&lt;=01_因子設定!$M$5+0.000000001,E2976&gt;=01_因子設定!$L$6-0.000000001,E2976&lt;=01_因子設定!$M$6+0.000000001,F2976&gt;=01_因子設定!$L$7-0.000000001,F2976&lt;=01_因子設定!$M$7+0.000000001,IF(01_因子設定!$B$20="Box-Behnken",D2976^2+E2976^2+F2976^2&lt;=2+0.000000001,TRUE()))</f>
        <v>1</v>
      </c>
      <c r="W2976" s="55" t="n">
        <f aca="false">IF(V2976,IF(01_因子設定!$B$13="最大化",T2976-01_因子設定!$B$14,IF(01_因子設定!$B$13="最小化",01_因子設定!$B$15-U2976,MIN(T2976-01_因子設定!$B$14,01_因子設定!$B$15-U2976))),-1E+030)</f>
        <v>-2.08691978528466</v>
      </c>
      <c r="X2976" s="55" t="n">
        <f aca="false">IF(V2976,IF(01_因子設定!$B$13="最大化",Q2976,IF(01_因子設定!$B$13="最小化",-Q2976,-ABS(Q2976-01_因子設定!$B$16))),-1E+030)</f>
        <v>47.4247017045455</v>
      </c>
      <c r="Y2976" s="55" t="n">
        <f aca="false">W2976+ROW()*0.000000001</f>
        <v>-2.08691680928466</v>
      </c>
      <c r="Z2976" s="55" t="n">
        <f aca="false">X2976+ROW()*0.000000001</f>
        <v>47.4247046805455</v>
      </c>
    </row>
    <row r="2977" customFormat="false" ht="15" hidden="false" customHeight="false" outlineLevel="0" collapsed="false">
      <c r="A2977" s="0" t="n">
        <v>10</v>
      </c>
      <c r="B2977" s="0" t="n">
        <v>4</v>
      </c>
      <c r="C2977" s="0" t="n">
        <v>14</v>
      </c>
      <c r="D2977" s="0" t="n">
        <f aca="false">-1+A2977*0.125</f>
        <v>0.25</v>
      </c>
      <c r="E2977" s="0" t="n">
        <f aca="false">-1+B2977*0.125</f>
        <v>-0.5</v>
      </c>
      <c r="F2977" s="0" t="n">
        <f aca="false">-1+C2977*0.125</f>
        <v>0.75</v>
      </c>
      <c r="G2977" s="0" t="n">
        <f aca="false">1</f>
        <v>1</v>
      </c>
      <c r="H2977" s="0" t="n">
        <f aca="false">D2977</f>
        <v>0.25</v>
      </c>
      <c r="I2977" s="0" t="n">
        <f aca="false">E2977</f>
        <v>-0.5</v>
      </c>
      <c r="J2977" s="0" t="n">
        <f aca="false">F2977</f>
        <v>0.75</v>
      </c>
      <c r="K2977" s="0" t="n">
        <f aca="false">D2977*E2977</f>
        <v>-0.125</v>
      </c>
      <c r="L2977" s="0" t="n">
        <f aca="false">D2977*F2977</f>
        <v>0.1875</v>
      </c>
      <c r="M2977" s="0" t="n">
        <f aca="false">E2977*F2977</f>
        <v>-0.375</v>
      </c>
      <c r="N2977" s="0" t="n">
        <f aca="false">D2977*D2977</f>
        <v>0.0625</v>
      </c>
      <c r="O2977" s="0" t="n">
        <f aca="false">E2977*E2977</f>
        <v>0.25</v>
      </c>
      <c r="P2977" s="0" t="n">
        <f aca="false">F2977*F2977</f>
        <v>0.5625</v>
      </c>
      <c r="Q2977" s="0" t="n">
        <f aca="false">SUMPRODUCT(G2977:P2977,_XtX!$B$71:$K$71)</f>
        <v>47.3620454545455</v>
      </c>
      <c r="R2977" s="0" t="n">
        <f aca="false">SUMPRODUCT(MMULT(G2977:P2977,_XtX!$B$58:$K$67),G2977:P2977)</f>
        <v>0.237064985795455</v>
      </c>
      <c r="S2977" s="0" t="n">
        <f aca="false">04_回帰ANOVA!$K$19*04_回帰ANOVA!$K$14*SQRT(1+R2977)</f>
        <v>1.03410084594745</v>
      </c>
      <c r="T2977" s="0" t="n">
        <f aca="false">Q2977-S2977</f>
        <v>46.327944608598</v>
      </c>
      <c r="U2977" s="0" t="n">
        <f aca="false">Q2977+S2977</f>
        <v>48.3961463004929</v>
      </c>
      <c r="V2977" s="54" t="b">
        <f aca="false">AND(D2977&gt;=01_因子設定!$L$5-0.000000001,D2977&lt;=01_因子設定!$M$5+0.000000001,E2977&gt;=01_因子設定!$L$6-0.000000001,E2977&lt;=01_因子設定!$M$6+0.000000001,F2977&gt;=01_因子設定!$L$7-0.000000001,F2977&lt;=01_因子設定!$M$7+0.000000001,IF(01_因子設定!$B$20="Box-Behnken",D2977^2+E2977^2+F2977^2&lt;=2+0.000000001,TRUE()))</f>
        <v>1</v>
      </c>
      <c r="W2977" s="55" t="n">
        <f aca="false">IF(V2977,IF(01_因子設定!$B$13="最大化",T2977-01_因子設定!$B$14,IF(01_因子設定!$B$13="最小化",01_因子設定!$B$15-U2977,MIN(T2977-01_因子設定!$B$14,01_因子設定!$B$15-U2977))),-1E+030)</f>
        <v>-2.17205539140197</v>
      </c>
      <c r="X2977" s="55" t="n">
        <f aca="false">IF(V2977,IF(01_因子設定!$B$13="最大化",Q2977,IF(01_因子設定!$B$13="最小化",-Q2977,-ABS(Q2977-01_因子設定!$B$16))),-1E+030)</f>
        <v>47.3620454545455</v>
      </c>
      <c r="Y2977" s="55" t="n">
        <f aca="false">W2977+ROW()*0.000000001</f>
        <v>-2.17205241440197</v>
      </c>
      <c r="Z2977" s="55" t="n">
        <f aca="false">X2977+ROW()*0.000000001</f>
        <v>47.3620484315455</v>
      </c>
    </row>
    <row r="2978" customFormat="false" ht="15" hidden="false" customHeight="false" outlineLevel="0" collapsed="false">
      <c r="A2978" s="0" t="n">
        <v>10</v>
      </c>
      <c r="B2978" s="0" t="n">
        <v>4</v>
      </c>
      <c r="C2978" s="0" t="n">
        <v>15</v>
      </c>
      <c r="D2978" s="0" t="n">
        <f aca="false">-1+A2978*0.125</f>
        <v>0.25</v>
      </c>
      <c r="E2978" s="0" t="n">
        <f aca="false">-1+B2978*0.125</f>
        <v>-0.5</v>
      </c>
      <c r="F2978" s="0" t="n">
        <f aca="false">-1+C2978*0.125</f>
        <v>0.875</v>
      </c>
      <c r="G2978" s="0" t="n">
        <f aca="false">1</f>
        <v>1</v>
      </c>
      <c r="H2978" s="0" t="n">
        <f aca="false">D2978</f>
        <v>0.25</v>
      </c>
      <c r="I2978" s="0" t="n">
        <f aca="false">E2978</f>
        <v>-0.5</v>
      </c>
      <c r="J2978" s="0" t="n">
        <f aca="false">F2978</f>
        <v>0.875</v>
      </c>
      <c r="K2978" s="0" t="n">
        <f aca="false">D2978*E2978</f>
        <v>-0.125</v>
      </c>
      <c r="L2978" s="0" t="n">
        <f aca="false">D2978*F2978</f>
        <v>0.21875</v>
      </c>
      <c r="M2978" s="0" t="n">
        <f aca="false">E2978*F2978</f>
        <v>-0.4375</v>
      </c>
      <c r="N2978" s="0" t="n">
        <f aca="false">D2978*D2978</f>
        <v>0.0625</v>
      </c>
      <c r="O2978" s="0" t="n">
        <f aca="false">E2978*E2978</f>
        <v>0.25</v>
      </c>
      <c r="P2978" s="0" t="n">
        <f aca="false">F2978*F2978</f>
        <v>0.765625</v>
      </c>
      <c r="Q2978" s="0" t="n">
        <f aca="false">SUMPRODUCT(G2978:P2978,_XtX!$B$71:$K$71)</f>
        <v>47.2625994318182</v>
      </c>
      <c r="R2978" s="0" t="n">
        <f aca="false">SUMPRODUCT(MMULT(G2978:P2978,_XtX!$B$58:$K$67),G2978:P2978)</f>
        <v>0.327634499289773</v>
      </c>
      <c r="S2978" s="0" t="n">
        <f aca="false">04_回帰ANOVA!$K$19*04_回帰ANOVA!$K$14*SQRT(1+R2978)</f>
        <v>1.07128716250217</v>
      </c>
      <c r="T2978" s="0" t="n">
        <f aca="false">Q2978-S2978</f>
        <v>46.191312269316</v>
      </c>
      <c r="U2978" s="0" t="n">
        <f aca="false">Q2978+S2978</f>
        <v>48.3338865943204</v>
      </c>
      <c r="V2978" s="54" t="b">
        <f aca="false">AND(D2978&gt;=01_因子設定!$L$5-0.000000001,D2978&lt;=01_因子設定!$M$5+0.000000001,E2978&gt;=01_因子設定!$L$6-0.000000001,E2978&lt;=01_因子設定!$M$6+0.000000001,F2978&gt;=01_因子設定!$L$7-0.000000001,F2978&lt;=01_因子設定!$M$7+0.000000001,IF(01_因子設定!$B$20="Box-Behnken",D2978^2+E2978^2+F2978^2&lt;=2+0.000000001,TRUE()))</f>
        <v>1</v>
      </c>
      <c r="W2978" s="55" t="n">
        <f aca="false">IF(V2978,IF(01_因子設定!$B$13="最大化",T2978-01_因子設定!$B$14,IF(01_因子設定!$B$13="最小化",01_因子設定!$B$15-U2978,MIN(T2978-01_因子設定!$B$14,01_因子設定!$B$15-U2978))),-1E+030)</f>
        <v>-2.30868773068397</v>
      </c>
      <c r="X2978" s="55" t="n">
        <f aca="false">IF(V2978,IF(01_因子設定!$B$13="最大化",Q2978,IF(01_因子設定!$B$13="最小化",-Q2978,-ABS(Q2978-01_因子設定!$B$16))),-1E+030)</f>
        <v>47.2625994318182</v>
      </c>
      <c r="Y2978" s="55" t="n">
        <f aca="false">W2978+ROW()*0.000000001</f>
        <v>-2.30868475268397</v>
      </c>
      <c r="Z2978" s="55" t="n">
        <f aca="false">X2978+ROW()*0.000000001</f>
        <v>47.2626024098182</v>
      </c>
    </row>
    <row r="2979" customFormat="false" ht="15" hidden="false" customHeight="false" outlineLevel="0" collapsed="false">
      <c r="A2979" s="0" t="n">
        <v>10</v>
      </c>
      <c r="B2979" s="0" t="n">
        <v>4</v>
      </c>
      <c r="C2979" s="0" t="n">
        <v>16</v>
      </c>
      <c r="D2979" s="0" t="n">
        <f aca="false">-1+A2979*0.125</f>
        <v>0.25</v>
      </c>
      <c r="E2979" s="0" t="n">
        <f aca="false">-1+B2979*0.125</f>
        <v>-0.5</v>
      </c>
      <c r="F2979" s="0" t="n">
        <f aca="false">-1+C2979*0.125</f>
        <v>1</v>
      </c>
      <c r="G2979" s="0" t="n">
        <f aca="false">1</f>
        <v>1</v>
      </c>
      <c r="H2979" s="0" t="n">
        <f aca="false">D2979</f>
        <v>0.25</v>
      </c>
      <c r="I2979" s="0" t="n">
        <f aca="false">E2979</f>
        <v>-0.5</v>
      </c>
      <c r="J2979" s="0" t="n">
        <f aca="false">F2979</f>
        <v>1</v>
      </c>
      <c r="K2979" s="0" t="n">
        <f aca="false">D2979*E2979</f>
        <v>-0.125</v>
      </c>
      <c r="L2979" s="0" t="n">
        <f aca="false">D2979*F2979</f>
        <v>0.25</v>
      </c>
      <c r="M2979" s="0" t="n">
        <f aca="false">E2979*F2979</f>
        <v>-0.5</v>
      </c>
      <c r="N2979" s="0" t="n">
        <f aca="false">D2979*D2979</f>
        <v>0.0625</v>
      </c>
      <c r="O2979" s="0" t="n">
        <f aca="false">E2979*E2979</f>
        <v>0.25</v>
      </c>
      <c r="P2979" s="0" t="n">
        <f aca="false">F2979*F2979</f>
        <v>1</v>
      </c>
      <c r="Q2979" s="0" t="n">
        <f aca="false">SUMPRODUCT(G2979:P2979,_XtX!$B$71:$K$71)</f>
        <v>47.1263636363637</v>
      </c>
      <c r="R2979" s="0" t="n">
        <f aca="false">SUMPRODUCT(MMULT(G2979:P2979,_XtX!$B$58:$K$67),G2979:P2979)</f>
        <v>0.469424715909091</v>
      </c>
      <c r="S2979" s="0" t="n">
        <f aca="false">04_回帰ANOVA!$K$19*04_回帰ANOVA!$K$14*SQRT(1+R2979)</f>
        <v>1.12704253369596</v>
      </c>
      <c r="T2979" s="0" t="n">
        <f aca="false">Q2979-S2979</f>
        <v>45.9993211026677</v>
      </c>
      <c r="U2979" s="0" t="n">
        <f aca="false">Q2979+S2979</f>
        <v>48.2534061700596</v>
      </c>
      <c r="V2979" s="54" t="b">
        <f aca="false">AND(D2979&gt;=01_因子設定!$L$5-0.000000001,D2979&lt;=01_因子設定!$M$5+0.000000001,E2979&gt;=01_因子設定!$L$6-0.000000001,E2979&lt;=01_因子設定!$M$6+0.000000001,F2979&gt;=01_因子設定!$L$7-0.000000001,F2979&lt;=01_因子設定!$M$7+0.000000001,IF(01_因子設定!$B$20="Box-Behnken",D2979^2+E2979^2+F2979^2&lt;=2+0.000000001,TRUE()))</f>
        <v>1</v>
      </c>
      <c r="W2979" s="55" t="n">
        <f aca="false">IF(V2979,IF(01_因子設定!$B$13="最大化",T2979-01_因子設定!$B$14,IF(01_因子設定!$B$13="最小化",01_因子設定!$B$15-U2979,MIN(T2979-01_因子設定!$B$14,01_因子設定!$B$15-U2979))),-1E+030)</f>
        <v>-2.50067889733229</v>
      </c>
      <c r="X2979" s="55" t="n">
        <f aca="false">IF(V2979,IF(01_因子設定!$B$13="最大化",Q2979,IF(01_因子設定!$B$13="最小化",-Q2979,-ABS(Q2979-01_因子設定!$B$16))),-1E+030)</f>
        <v>47.1263636363637</v>
      </c>
      <c r="Y2979" s="55" t="n">
        <f aca="false">W2979+ROW()*0.000000001</f>
        <v>-2.50067591833229</v>
      </c>
      <c r="Z2979" s="55" t="n">
        <f aca="false">X2979+ROW()*0.000000001</f>
        <v>47.1263666153637</v>
      </c>
    </row>
    <row r="2980" customFormat="false" ht="15" hidden="false" customHeight="false" outlineLevel="0" collapsed="false">
      <c r="A2980" s="0" t="n">
        <v>10</v>
      </c>
      <c r="B2980" s="0" t="n">
        <v>5</v>
      </c>
      <c r="C2980" s="0" t="n">
        <v>0</v>
      </c>
      <c r="D2980" s="0" t="n">
        <f aca="false">-1+A2980*0.125</f>
        <v>0.25</v>
      </c>
      <c r="E2980" s="0" t="n">
        <f aca="false">-1+B2980*0.125</f>
        <v>-0.375</v>
      </c>
      <c r="F2980" s="0" t="n">
        <f aca="false">-1+C2980*0.125</f>
        <v>-1</v>
      </c>
      <c r="G2980" s="0" t="n">
        <f aca="false">1</f>
        <v>1</v>
      </c>
      <c r="H2980" s="0" t="n">
        <f aca="false">D2980</f>
        <v>0.25</v>
      </c>
      <c r="I2980" s="0" t="n">
        <f aca="false">E2980</f>
        <v>-0.375</v>
      </c>
      <c r="J2980" s="0" t="n">
        <f aca="false">F2980</f>
        <v>-1</v>
      </c>
      <c r="K2980" s="0" t="n">
        <f aca="false">D2980*E2980</f>
        <v>-0.09375</v>
      </c>
      <c r="L2980" s="0" t="n">
        <f aca="false">D2980*F2980</f>
        <v>-0.25</v>
      </c>
      <c r="M2980" s="0" t="n">
        <f aca="false">E2980*F2980</f>
        <v>0.375</v>
      </c>
      <c r="N2980" s="0" t="n">
        <f aca="false">D2980*D2980</f>
        <v>0.0625</v>
      </c>
      <c r="O2980" s="0" t="n">
        <f aca="false">E2980*E2980</f>
        <v>0.140625</v>
      </c>
      <c r="P2980" s="0" t="n">
        <f aca="false">F2980*F2980</f>
        <v>1</v>
      </c>
      <c r="Q2980" s="0" t="n">
        <f aca="false">SUMPRODUCT(G2980:P2980,_XtX!$B$71:$K$71)</f>
        <v>45.3538778409091</v>
      </c>
      <c r="R2980" s="0" t="n">
        <f aca="false">SUMPRODUCT(MMULT(G2980:P2980,_XtX!$B$58:$K$67),G2980:P2980)</f>
        <v>0.470061700994318</v>
      </c>
      <c r="S2980" s="0" t="n">
        <f aca="false">04_回帰ANOVA!$K$19*04_回帰ANOVA!$K$14*SQRT(1+R2980)</f>
        <v>1.12728678965931</v>
      </c>
      <c r="T2980" s="0" t="n">
        <f aca="false">Q2980-S2980</f>
        <v>44.2265910512498</v>
      </c>
      <c r="U2980" s="0" t="n">
        <f aca="false">Q2980+S2980</f>
        <v>46.4811646305684</v>
      </c>
      <c r="V2980" s="54" t="b">
        <f aca="false">AND(D2980&gt;=01_因子設定!$L$5-0.000000001,D2980&lt;=01_因子設定!$M$5+0.000000001,E2980&gt;=01_因子設定!$L$6-0.000000001,E2980&lt;=01_因子設定!$M$6+0.000000001,F2980&gt;=01_因子設定!$L$7-0.000000001,F2980&lt;=01_因子設定!$M$7+0.000000001,IF(01_因子設定!$B$20="Box-Behnken",D2980^2+E2980^2+F2980^2&lt;=2+0.000000001,TRUE()))</f>
        <v>1</v>
      </c>
      <c r="W2980" s="55" t="n">
        <f aca="false">IF(V2980,IF(01_因子設定!$B$13="最大化",T2980-01_因子設定!$B$14,IF(01_因子設定!$B$13="最小化",01_因子設定!$B$15-U2980,MIN(T2980-01_因子設定!$B$14,01_因子設定!$B$15-U2980))),-1E+030)</f>
        <v>-4.27340894875019</v>
      </c>
      <c r="X2980" s="55" t="n">
        <f aca="false">IF(V2980,IF(01_因子設定!$B$13="最大化",Q2980,IF(01_因子設定!$B$13="最小化",-Q2980,-ABS(Q2980-01_因子設定!$B$16))),-1E+030)</f>
        <v>45.3538778409091</v>
      </c>
      <c r="Y2980" s="55" t="n">
        <f aca="false">W2980+ROW()*0.000000001</f>
        <v>-4.27340596875019</v>
      </c>
      <c r="Z2980" s="55" t="n">
        <f aca="false">X2980+ROW()*0.000000001</f>
        <v>45.3538808209091</v>
      </c>
    </row>
    <row r="2981" customFormat="false" ht="15" hidden="false" customHeight="false" outlineLevel="0" collapsed="false">
      <c r="A2981" s="0" t="n">
        <v>10</v>
      </c>
      <c r="B2981" s="0" t="n">
        <v>5</v>
      </c>
      <c r="C2981" s="0" t="n">
        <v>1</v>
      </c>
      <c r="D2981" s="0" t="n">
        <f aca="false">-1+A2981*0.125</f>
        <v>0.25</v>
      </c>
      <c r="E2981" s="0" t="n">
        <f aca="false">-1+B2981*0.125</f>
        <v>-0.375</v>
      </c>
      <c r="F2981" s="0" t="n">
        <f aca="false">-1+C2981*0.125</f>
        <v>-0.875</v>
      </c>
      <c r="G2981" s="0" t="n">
        <f aca="false">1</f>
        <v>1</v>
      </c>
      <c r="H2981" s="0" t="n">
        <f aca="false">D2981</f>
        <v>0.25</v>
      </c>
      <c r="I2981" s="0" t="n">
        <f aca="false">E2981</f>
        <v>-0.375</v>
      </c>
      <c r="J2981" s="0" t="n">
        <f aca="false">F2981</f>
        <v>-0.875</v>
      </c>
      <c r="K2981" s="0" t="n">
        <f aca="false">D2981*E2981</f>
        <v>-0.09375</v>
      </c>
      <c r="L2981" s="0" t="n">
        <f aca="false">D2981*F2981</f>
        <v>-0.21875</v>
      </c>
      <c r="M2981" s="0" t="n">
        <f aca="false">E2981*F2981</f>
        <v>0.328125</v>
      </c>
      <c r="N2981" s="0" t="n">
        <f aca="false">D2981*D2981</f>
        <v>0.0625</v>
      </c>
      <c r="O2981" s="0" t="n">
        <f aca="false">E2981*E2981</f>
        <v>0.140625</v>
      </c>
      <c r="P2981" s="0" t="n">
        <f aca="false">F2981*F2981</f>
        <v>0.765625</v>
      </c>
      <c r="Q2981" s="0" t="n">
        <f aca="false">SUMPRODUCT(G2981:P2981,_XtX!$B$71:$K$71)</f>
        <v>45.7765198863637</v>
      </c>
      <c r="R2981" s="0" t="n">
        <f aca="false">SUMPRODUCT(MMULT(G2981:P2981,_XtX!$B$58:$K$67),G2981:P2981)</f>
        <v>0.324484530362216</v>
      </c>
      <c r="S2981" s="0" t="n">
        <f aca="false">04_回帰ANOVA!$K$19*04_回帰ANOVA!$K$14*SQRT(1+R2981)</f>
        <v>1.07001553041279</v>
      </c>
      <c r="T2981" s="0" t="n">
        <f aca="false">Q2981-S2981</f>
        <v>44.7065043559509</v>
      </c>
      <c r="U2981" s="0" t="n">
        <f aca="false">Q2981+S2981</f>
        <v>46.8465354167765</v>
      </c>
      <c r="V2981" s="54" t="b">
        <f aca="false">AND(D2981&gt;=01_因子設定!$L$5-0.000000001,D2981&lt;=01_因子設定!$M$5+0.000000001,E2981&gt;=01_因子設定!$L$6-0.000000001,E2981&lt;=01_因子設定!$M$6+0.000000001,F2981&gt;=01_因子設定!$L$7-0.000000001,F2981&lt;=01_因子設定!$M$7+0.000000001,IF(01_因子設定!$B$20="Box-Behnken",D2981^2+E2981^2+F2981^2&lt;=2+0.000000001,TRUE()))</f>
        <v>1</v>
      </c>
      <c r="W2981" s="55" t="n">
        <f aca="false">IF(V2981,IF(01_因子設定!$B$13="最大化",T2981-01_因子設定!$B$14,IF(01_因子設定!$B$13="最小化",01_因子設定!$B$15-U2981,MIN(T2981-01_因子設定!$B$14,01_因子設定!$B$15-U2981))),-1E+030)</f>
        <v>-3.79349564404913</v>
      </c>
      <c r="X2981" s="55" t="n">
        <f aca="false">IF(V2981,IF(01_因子設定!$B$13="最大化",Q2981,IF(01_因子設定!$B$13="最小化",-Q2981,-ABS(Q2981-01_因子設定!$B$16))),-1E+030)</f>
        <v>45.7765198863637</v>
      </c>
      <c r="Y2981" s="55" t="n">
        <f aca="false">W2981+ROW()*0.000000001</f>
        <v>-3.79349266304913</v>
      </c>
      <c r="Z2981" s="55" t="n">
        <f aca="false">X2981+ROW()*0.000000001</f>
        <v>45.7765228673637</v>
      </c>
    </row>
    <row r="2982" customFormat="false" ht="15" hidden="false" customHeight="false" outlineLevel="0" collapsed="false">
      <c r="A2982" s="0" t="n">
        <v>10</v>
      </c>
      <c r="B2982" s="0" t="n">
        <v>5</v>
      </c>
      <c r="C2982" s="0" t="n">
        <v>2</v>
      </c>
      <c r="D2982" s="0" t="n">
        <f aca="false">-1+A2982*0.125</f>
        <v>0.25</v>
      </c>
      <c r="E2982" s="0" t="n">
        <f aca="false">-1+B2982*0.125</f>
        <v>-0.375</v>
      </c>
      <c r="F2982" s="0" t="n">
        <f aca="false">-1+C2982*0.125</f>
        <v>-0.75</v>
      </c>
      <c r="G2982" s="0" t="n">
        <f aca="false">1</f>
        <v>1</v>
      </c>
      <c r="H2982" s="0" t="n">
        <f aca="false">D2982</f>
        <v>0.25</v>
      </c>
      <c r="I2982" s="0" t="n">
        <f aca="false">E2982</f>
        <v>-0.375</v>
      </c>
      <c r="J2982" s="0" t="n">
        <f aca="false">F2982</f>
        <v>-0.75</v>
      </c>
      <c r="K2982" s="0" t="n">
        <f aca="false">D2982*E2982</f>
        <v>-0.09375</v>
      </c>
      <c r="L2982" s="0" t="n">
        <f aca="false">D2982*F2982</f>
        <v>-0.1875</v>
      </c>
      <c r="M2982" s="0" t="n">
        <f aca="false">E2982*F2982</f>
        <v>0.28125</v>
      </c>
      <c r="N2982" s="0" t="n">
        <f aca="false">D2982*D2982</f>
        <v>0.0625</v>
      </c>
      <c r="O2982" s="0" t="n">
        <f aca="false">E2982*E2982</f>
        <v>0.140625</v>
      </c>
      <c r="P2982" s="0" t="n">
        <f aca="false">F2982*F2982</f>
        <v>0.5625</v>
      </c>
      <c r="Q2982" s="0" t="n">
        <f aca="false">SUMPRODUCT(G2982:P2982,_XtX!$B$71:$K$71)</f>
        <v>46.1623721590909</v>
      </c>
      <c r="R2982" s="0" t="n">
        <f aca="false">SUMPRODUCT(MMULT(G2982:P2982,_XtX!$B$58:$K$67),G2982:P2982)</f>
        <v>0.230632990056818</v>
      </c>
      <c r="S2982" s="0" t="n">
        <f aca="false">04_回帰ANOVA!$K$19*04_回帰ANOVA!$K$14*SQRT(1+R2982)</f>
        <v>1.03140899038819</v>
      </c>
      <c r="T2982" s="0" t="n">
        <f aca="false">Q2982-S2982</f>
        <v>45.1309631687027</v>
      </c>
      <c r="U2982" s="0" t="n">
        <f aca="false">Q2982+S2982</f>
        <v>47.1937811494791</v>
      </c>
      <c r="V2982" s="54" t="b">
        <f aca="false">AND(D2982&gt;=01_因子設定!$L$5-0.000000001,D2982&lt;=01_因子設定!$M$5+0.000000001,E2982&gt;=01_因子設定!$L$6-0.000000001,E2982&lt;=01_因子設定!$M$6+0.000000001,F2982&gt;=01_因子設定!$L$7-0.000000001,F2982&lt;=01_因子設定!$M$7+0.000000001,IF(01_因子設定!$B$20="Box-Behnken",D2982^2+E2982^2+F2982^2&lt;=2+0.000000001,TRUE()))</f>
        <v>1</v>
      </c>
      <c r="W2982" s="55" t="n">
        <f aca="false">IF(V2982,IF(01_因子設定!$B$13="最大化",T2982-01_因子設定!$B$14,IF(01_因子設定!$B$13="最小化",01_因子設定!$B$15-U2982,MIN(T2982-01_因子設定!$B$14,01_因子設定!$B$15-U2982))),-1E+030)</f>
        <v>-3.36903683129726</v>
      </c>
      <c r="X2982" s="55" t="n">
        <f aca="false">IF(V2982,IF(01_因子設定!$B$13="最大化",Q2982,IF(01_因子設定!$B$13="最小化",-Q2982,-ABS(Q2982-01_因子設定!$B$16))),-1E+030)</f>
        <v>46.1623721590909</v>
      </c>
      <c r="Y2982" s="55" t="n">
        <f aca="false">W2982+ROW()*0.000000001</f>
        <v>-3.36903384929726</v>
      </c>
      <c r="Z2982" s="55" t="n">
        <f aca="false">X2982+ROW()*0.000000001</f>
        <v>46.1623751410909</v>
      </c>
    </row>
    <row r="2983" customFormat="false" ht="15" hidden="false" customHeight="false" outlineLevel="0" collapsed="false">
      <c r="A2983" s="0" t="n">
        <v>10</v>
      </c>
      <c r="B2983" s="0" t="n">
        <v>5</v>
      </c>
      <c r="C2983" s="0" t="n">
        <v>3</v>
      </c>
      <c r="D2983" s="0" t="n">
        <f aca="false">-1+A2983*0.125</f>
        <v>0.25</v>
      </c>
      <c r="E2983" s="0" t="n">
        <f aca="false">-1+B2983*0.125</f>
        <v>-0.375</v>
      </c>
      <c r="F2983" s="0" t="n">
        <f aca="false">-1+C2983*0.125</f>
        <v>-0.625</v>
      </c>
      <c r="G2983" s="0" t="n">
        <f aca="false">1</f>
        <v>1</v>
      </c>
      <c r="H2983" s="0" t="n">
        <f aca="false">D2983</f>
        <v>0.25</v>
      </c>
      <c r="I2983" s="0" t="n">
        <f aca="false">E2983</f>
        <v>-0.375</v>
      </c>
      <c r="J2983" s="0" t="n">
        <f aca="false">F2983</f>
        <v>-0.625</v>
      </c>
      <c r="K2983" s="0" t="n">
        <f aca="false">D2983*E2983</f>
        <v>-0.09375</v>
      </c>
      <c r="L2983" s="0" t="n">
        <f aca="false">D2983*F2983</f>
        <v>-0.15625</v>
      </c>
      <c r="M2983" s="0" t="n">
        <f aca="false">E2983*F2983</f>
        <v>0.234375</v>
      </c>
      <c r="N2983" s="0" t="n">
        <f aca="false">D2983*D2983</f>
        <v>0.0625</v>
      </c>
      <c r="O2983" s="0" t="n">
        <f aca="false">E2983*E2983</f>
        <v>0.140625</v>
      </c>
      <c r="P2983" s="0" t="n">
        <f aca="false">F2983*F2983</f>
        <v>0.390625</v>
      </c>
      <c r="Q2983" s="0" t="n">
        <f aca="false">SUMPRODUCT(G2983:P2983,_XtX!$B$71:$K$71)</f>
        <v>46.5114346590909</v>
      </c>
      <c r="R2983" s="0" t="n">
        <f aca="false">SUMPRODUCT(MMULT(G2983:P2983,_XtX!$B$58:$K$67),G2983:P2983)</f>
        <v>0.174657648259943</v>
      </c>
      <c r="S2983" s="0" t="n">
        <f aca="false">04_回帰ANOVA!$K$19*04_回帰ANOVA!$K$14*SQRT(1+R2983)</f>
        <v>1.00767919364845</v>
      </c>
      <c r="T2983" s="0" t="n">
        <f aca="false">Q2983-S2983</f>
        <v>45.5037554654425</v>
      </c>
      <c r="U2983" s="0" t="n">
        <f aca="false">Q2983+S2983</f>
        <v>47.5191138527394</v>
      </c>
      <c r="V2983" s="54" t="b">
        <f aca="false">AND(D2983&gt;=01_因子設定!$L$5-0.000000001,D2983&lt;=01_因子設定!$M$5+0.000000001,E2983&gt;=01_因子設定!$L$6-0.000000001,E2983&lt;=01_因子設定!$M$6+0.000000001,F2983&gt;=01_因子設定!$L$7-0.000000001,F2983&lt;=01_因子設定!$M$7+0.000000001,IF(01_因子設定!$B$20="Box-Behnken",D2983^2+E2983^2+F2983^2&lt;=2+0.000000001,TRUE()))</f>
        <v>1</v>
      </c>
      <c r="W2983" s="55" t="n">
        <f aca="false">IF(V2983,IF(01_因子設定!$B$13="最大化",T2983-01_因子設定!$B$14,IF(01_因子設定!$B$13="最小化",01_因子設定!$B$15-U2983,MIN(T2983-01_因子設定!$B$14,01_因子設定!$B$15-U2983))),-1E+030)</f>
        <v>-2.99624453455752</v>
      </c>
      <c r="X2983" s="55" t="n">
        <f aca="false">IF(V2983,IF(01_因子設定!$B$13="最大化",Q2983,IF(01_因子設定!$B$13="最小化",-Q2983,-ABS(Q2983-01_因子設定!$B$16))),-1E+030)</f>
        <v>46.5114346590909</v>
      </c>
      <c r="Y2983" s="55" t="n">
        <f aca="false">W2983+ROW()*0.000000001</f>
        <v>-2.99624155155752</v>
      </c>
      <c r="Z2983" s="55" t="n">
        <f aca="false">X2983+ROW()*0.000000001</f>
        <v>46.5114376420909</v>
      </c>
    </row>
    <row r="2984" customFormat="false" ht="15" hidden="false" customHeight="false" outlineLevel="0" collapsed="false">
      <c r="A2984" s="0" t="n">
        <v>10</v>
      </c>
      <c r="B2984" s="0" t="n">
        <v>5</v>
      </c>
      <c r="C2984" s="0" t="n">
        <v>4</v>
      </c>
      <c r="D2984" s="0" t="n">
        <f aca="false">-1+A2984*0.125</f>
        <v>0.25</v>
      </c>
      <c r="E2984" s="0" t="n">
        <f aca="false">-1+B2984*0.125</f>
        <v>-0.375</v>
      </c>
      <c r="F2984" s="0" t="n">
        <f aca="false">-1+C2984*0.125</f>
        <v>-0.5</v>
      </c>
      <c r="G2984" s="0" t="n">
        <f aca="false">1</f>
        <v>1</v>
      </c>
      <c r="H2984" s="0" t="n">
        <f aca="false">D2984</f>
        <v>0.25</v>
      </c>
      <c r="I2984" s="0" t="n">
        <f aca="false">E2984</f>
        <v>-0.375</v>
      </c>
      <c r="J2984" s="0" t="n">
        <f aca="false">F2984</f>
        <v>-0.5</v>
      </c>
      <c r="K2984" s="0" t="n">
        <f aca="false">D2984*E2984</f>
        <v>-0.09375</v>
      </c>
      <c r="L2984" s="0" t="n">
        <f aca="false">D2984*F2984</f>
        <v>-0.125</v>
      </c>
      <c r="M2984" s="0" t="n">
        <f aca="false">E2984*F2984</f>
        <v>0.1875</v>
      </c>
      <c r="N2984" s="0" t="n">
        <f aca="false">D2984*D2984</f>
        <v>0.0625</v>
      </c>
      <c r="O2984" s="0" t="n">
        <f aca="false">E2984*E2984</f>
        <v>0.140625</v>
      </c>
      <c r="P2984" s="0" t="n">
        <f aca="false">F2984*F2984</f>
        <v>0.25</v>
      </c>
      <c r="Q2984" s="0" t="n">
        <f aca="false">SUMPRODUCT(G2984:P2984,_XtX!$B$71:$K$71)</f>
        <v>46.8237073863637</v>
      </c>
      <c r="R2984" s="0" t="n">
        <f aca="false">SUMPRODUCT(MMULT(G2984:P2984,_XtX!$B$58:$K$67),G2984:P2984)</f>
        <v>0.144839754971591</v>
      </c>
      <c r="S2984" s="0" t="n">
        <f aca="false">04_回帰ANOVA!$K$19*04_回帰ANOVA!$K$14*SQRT(1+R2984)</f>
        <v>0.994807353995542</v>
      </c>
      <c r="T2984" s="0" t="n">
        <f aca="false">Q2984-S2984</f>
        <v>45.8289000323681</v>
      </c>
      <c r="U2984" s="0" t="n">
        <f aca="false">Q2984+S2984</f>
        <v>47.8185147403592</v>
      </c>
      <c r="V2984" s="54" t="b">
        <f aca="false">AND(D2984&gt;=01_因子設定!$L$5-0.000000001,D2984&lt;=01_因子設定!$M$5+0.000000001,E2984&gt;=01_因子設定!$L$6-0.000000001,E2984&lt;=01_因子設定!$M$6+0.000000001,F2984&gt;=01_因子設定!$L$7-0.000000001,F2984&lt;=01_因子設定!$M$7+0.000000001,IF(01_因子設定!$B$20="Box-Behnken",D2984^2+E2984^2+F2984^2&lt;=2+0.000000001,TRUE()))</f>
        <v>1</v>
      </c>
      <c r="W2984" s="55" t="n">
        <f aca="false">IF(V2984,IF(01_因子設定!$B$13="最大化",T2984-01_因子設定!$B$14,IF(01_因子設定!$B$13="最小化",01_因子設定!$B$15-U2984,MIN(T2984-01_因子設定!$B$14,01_因子設定!$B$15-U2984))),-1E+030)</f>
        <v>-2.67109996763189</v>
      </c>
      <c r="X2984" s="55" t="n">
        <f aca="false">IF(V2984,IF(01_因子設定!$B$13="最大化",Q2984,IF(01_因子設定!$B$13="最小化",-Q2984,-ABS(Q2984-01_因子設定!$B$16))),-1E+030)</f>
        <v>46.8237073863637</v>
      </c>
      <c r="Y2984" s="55" t="n">
        <f aca="false">W2984+ROW()*0.000000001</f>
        <v>-2.67109698363189</v>
      </c>
      <c r="Z2984" s="55" t="n">
        <f aca="false">X2984+ROW()*0.000000001</f>
        <v>46.8237103703637</v>
      </c>
    </row>
    <row r="2985" customFormat="false" ht="15" hidden="false" customHeight="false" outlineLevel="0" collapsed="false">
      <c r="A2985" s="0" t="n">
        <v>10</v>
      </c>
      <c r="B2985" s="0" t="n">
        <v>5</v>
      </c>
      <c r="C2985" s="0" t="n">
        <v>5</v>
      </c>
      <c r="D2985" s="0" t="n">
        <f aca="false">-1+A2985*0.125</f>
        <v>0.25</v>
      </c>
      <c r="E2985" s="0" t="n">
        <f aca="false">-1+B2985*0.125</f>
        <v>-0.375</v>
      </c>
      <c r="F2985" s="0" t="n">
        <f aca="false">-1+C2985*0.125</f>
        <v>-0.375</v>
      </c>
      <c r="G2985" s="0" t="n">
        <f aca="false">1</f>
        <v>1</v>
      </c>
      <c r="H2985" s="0" t="n">
        <f aca="false">D2985</f>
        <v>0.25</v>
      </c>
      <c r="I2985" s="0" t="n">
        <f aca="false">E2985</f>
        <v>-0.375</v>
      </c>
      <c r="J2985" s="0" t="n">
        <f aca="false">F2985</f>
        <v>-0.375</v>
      </c>
      <c r="K2985" s="0" t="n">
        <f aca="false">D2985*E2985</f>
        <v>-0.09375</v>
      </c>
      <c r="L2985" s="0" t="n">
        <f aca="false">D2985*F2985</f>
        <v>-0.09375</v>
      </c>
      <c r="M2985" s="0" t="n">
        <f aca="false">E2985*F2985</f>
        <v>0.140625</v>
      </c>
      <c r="N2985" s="0" t="n">
        <f aca="false">D2985*D2985</f>
        <v>0.0625</v>
      </c>
      <c r="O2985" s="0" t="n">
        <f aca="false">E2985*E2985</f>
        <v>0.140625</v>
      </c>
      <c r="P2985" s="0" t="n">
        <f aca="false">F2985*F2985</f>
        <v>0.140625</v>
      </c>
      <c r="Q2985" s="0" t="n">
        <f aca="false">SUMPRODUCT(G2985:P2985,_XtX!$B$71:$K$71)</f>
        <v>47.0991903409091</v>
      </c>
      <c r="R2985" s="0" t="n">
        <f aca="false">SUMPRODUCT(MMULT(G2985:P2985,_XtX!$B$58:$K$67),G2985:P2985)</f>
        <v>0.131591242009943</v>
      </c>
      <c r="S2985" s="0" t="n">
        <f aca="false">04_回帰ANOVA!$K$19*04_回帰ANOVA!$K$14*SQRT(1+R2985)</f>
        <v>0.989034462873572</v>
      </c>
      <c r="T2985" s="0" t="n">
        <f aca="false">Q2985-S2985</f>
        <v>46.1101558780355</v>
      </c>
      <c r="U2985" s="0" t="n">
        <f aca="false">Q2985+S2985</f>
        <v>48.0882248037827</v>
      </c>
      <c r="V2985" s="54" t="b">
        <f aca="false">AND(D2985&gt;=01_因子設定!$L$5-0.000000001,D2985&lt;=01_因子設定!$M$5+0.000000001,E2985&gt;=01_因子設定!$L$6-0.000000001,E2985&lt;=01_因子設定!$M$6+0.000000001,F2985&gt;=01_因子設定!$L$7-0.000000001,F2985&lt;=01_因子設定!$M$7+0.000000001,IF(01_因子設定!$B$20="Box-Behnken",D2985^2+E2985^2+F2985^2&lt;=2+0.000000001,TRUE()))</f>
        <v>1</v>
      </c>
      <c r="W2985" s="55" t="n">
        <f aca="false">IF(V2985,IF(01_因子設定!$B$13="最大化",T2985-01_因子設定!$B$14,IF(01_因子設定!$B$13="最小化",01_因子設定!$B$15-U2985,MIN(T2985-01_因子設定!$B$14,01_因子設定!$B$15-U2985))),-1E+030)</f>
        <v>-2.38984412196447</v>
      </c>
      <c r="X2985" s="55" t="n">
        <f aca="false">IF(V2985,IF(01_因子設定!$B$13="最大化",Q2985,IF(01_因子設定!$B$13="最小化",-Q2985,-ABS(Q2985-01_因子設定!$B$16))),-1E+030)</f>
        <v>47.0991903409091</v>
      </c>
      <c r="Y2985" s="55" t="n">
        <f aca="false">W2985+ROW()*0.000000001</f>
        <v>-2.38984113696447</v>
      </c>
      <c r="Z2985" s="55" t="n">
        <f aca="false">X2985+ROW()*0.000000001</f>
        <v>47.0991933259091</v>
      </c>
    </row>
    <row r="2986" customFormat="false" ht="15" hidden="false" customHeight="false" outlineLevel="0" collapsed="false">
      <c r="A2986" s="0" t="n">
        <v>10</v>
      </c>
      <c r="B2986" s="0" t="n">
        <v>5</v>
      </c>
      <c r="C2986" s="0" t="n">
        <v>6</v>
      </c>
      <c r="D2986" s="0" t="n">
        <f aca="false">-1+A2986*0.125</f>
        <v>0.25</v>
      </c>
      <c r="E2986" s="0" t="n">
        <f aca="false">-1+B2986*0.125</f>
        <v>-0.375</v>
      </c>
      <c r="F2986" s="0" t="n">
        <f aca="false">-1+C2986*0.125</f>
        <v>-0.25</v>
      </c>
      <c r="G2986" s="0" t="n">
        <f aca="false">1</f>
        <v>1</v>
      </c>
      <c r="H2986" s="0" t="n">
        <f aca="false">D2986</f>
        <v>0.25</v>
      </c>
      <c r="I2986" s="0" t="n">
        <f aca="false">E2986</f>
        <v>-0.375</v>
      </c>
      <c r="J2986" s="0" t="n">
        <f aca="false">F2986</f>
        <v>-0.25</v>
      </c>
      <c r="K2986" s="0" t="n">
        <f aca="false">D2986*E2986</f>
        <v>-0.09375</v>
      </c>
      <c r="L2986" s="0" t="n">
        <f aca="false">D2986*F2986</f>
        <v>-0.0625</v>
      </c>
      <c r="M2986" s="0" t="n">
        <f aca="false">E2986*F2986</f>
        <v>0.09375</v>
      </c>
      <c r="N2986" s="0" t="n">
        <f aca="false">D2986*D2986</f>
        <v>0.0625</v>
      </c>
      <c r="O2986" s="0" t="n">
        <f aca="false">E2986*E2986</f>
        <v>0.140625</v>
      </c>
      <c r="P2986" s="0" t="n">
        <f aca="false">F2986*F2986</f>
        <v>0.0625</v>
      </c>
      <c r="Q2986" s="0" t="n">
        <f aca="false">SUMPRODUCT(G2986:P2986,_XtX!$B$71:$K$71)</f>
        <v>47.3378835227273</v>
      </c>
      <c r="R2986" s="0" t="n">
        <f aca="false">SUMPRODUCT(MMULT(G2986:P2986,_XtX!$B$58:$K$67),G2986:P2986)</f>
        <v>0.127454723011364</v>
      </c>
      <c r="S2986" s="0" t="n">
        <f aca="false">04_回帰ANOVA!$K$19*04_回帰ANOVA!$K$14*SQRT(1+R2986)</f>
        <v>0.987225105686864</v>
      </c>
      <c r="T2986" s="0" t="n">
        <f aca="false">Q2986-S2986</f>
        <v>46.3506584170404</v>
      </c>
      <c r="U2986" s="0" t="n">
        <f aca="false">Q2986+S2986</f>
        <v>48.3251086284142</v>
      </c>
      <c r="V2986" s="54" t="b">
        <f aca="false">AND(D2986&gt;=01_因子設定!$L$5-0.000000001,D2986&lt;=01_因子設定!$M$5+0.000000001,E2986&gt;=01_因子設定!$L$6-0.000000001,E2986&lt;=01_因子設定!$M$6+0.000000001,F2986&gt;=01_因子設定!$L$7-0.000000001,F2986&lt;=01_因子設定!$M$7+0.000000001,IF(01_因子設定!$B$20="Box-Behnken",D2986^2+E2986^2+F2986^2&lt;=2+0.000000001,TRUE()))</f>
        <v>1</v>
      </c>
      <c r="W2986" s="55" t="n">
        <f aca="false">IF(V2986,IF(01_因子設定!$B$13="最大化",T2986-01_因子設定!$B$14,IF(01_因子設定!$B$13="最小化",01_因子設定!$B$15-U2986,MIN(T2986-01_因子設定!$B$14,01_因子設定!$B$15-U2986))),-1E+030)</f>
        <v>-2.14934158295959</v>
      </c>
      <c r="X2986" s="55" t="n">
        <f aca="false">IF(V2986,IF(01_因子設定!$B$13="最大化",Q2986,IF(01_因子設定!$B$13="最小化",-Q2986,-ABS(Q2986-01_因子設定!$B$16))),-1E+030)</f>
        <v>47.3378835227273</v>
      </c>
      <c r="Y2986" s="55" t="n">
        <f aca="false">W2986+ROW()*0.000000001</f>
        <v>-2.14933859695959</v>
      </c>
      <c r="Z2986" s="55" t="n">
        <f aca="false">X2986+ROW()*0.000000001</f>
        <v>47.3378865087273</v>
      </c>
    </row>
    <row r="2987" customFormat="false" ht="15" hidden="false" customHeight="false" outlineLevel="0" collapsed="false">
      <c r="A2987" s="0" t="n">
        <v>10</v>
      </c>
      <c r="B2987" s="0" t="n">
        <v>5</v>
      </c>
      <c r="C2987" s="0" t="n">
        <v>7</v>
      </c>
      <c r="D2987" s="0" t="n">
        <f aca="false">-1+A2987*0.125</f>
        <v>0.25</v>
      </c>
      <c r="E2987" s="0" t="n">
        <f aca="false">-1+B2987*0.125</f>
        <v>-0.375</v>
      </c>
      <c r="F2987" s="0" t="n">
        <f aca="false">-1+C2987*0.125</f>
        <v>-0.125</v>
      </c>
      <c r="G2987" s="0" t="n">
        <f aca="false">1</f>
        <v>1</v>
      </c>
      <c r="H2987" s="0" t="n">
        <f aca="false">D2987</f>
        <v>0.25</v>
      </c>
      <c r="I2987" s="0" t="n">
        <f aca="false">E2987</f>
        <v>-0.375</v>
      </c>
      <c r="J2987" s="0" t="n">
        <f aca="false">F2987</f>
        <v>-0.125</v>
      </c>
      <c r="K2987" s="0" t="n">
        <f aca="false">D2987*E2987</f>
        <v>-0.09375</v>
      </c>
      <c r="L2987" s="0" t="n">
        <f aca="false">D2987*F2987</f>
        <v>-0.03125</v>
      </c>
      <c r="M2987" s="0" t="n">
        <f aca="false">E2987*F2987</f>
        <v>0.046875</v>
      </c>
      <c r="N2987" s="0" t="n">
        <f aca="false">D2987*D2987</f>
        <v>0.0625</v>
      </c>
      <c r="O2987" s="0" t="n">
        <f aca="false">E2987*E2987</f>
        <v>0.140625</v>
      </c>
      <c r="P2987" s="0" t="n">
        <f aca="false">F2987*F2987</f>
        <v>0.015625</v>
      </c>
      <c r="Q2987" s="0" t="n">
        <f aca="false">SUMPRODUCT(G2987:P2987,_XtX!$B$71:$K$71)</f>
        <v>47.5397869318182</v>
      </c>
      <c r="R2987" s="0" t="n">
        <f aca="false">SUMPRODUCT(MMULT(G2987:P2987,_XtX!$B$58:$K$67),G2987:P2987)</f>
        <v>0.127103493430398</v>
      </c>
      <c r="S2987" s="0" t="n">
        <f aca="false">04_回帰ANOVA!$K$19*04_回帰ANOVA!$K$14*SQRT(1+R2987)</f>
        <v>0.987071321387587</v>
      </c>
      <c r="T2987" s="0" t="n">
        <f aca="false">Q2987-S2987</f>
        <v>46.5527156104306</v>
      </c>
      <c r="U2987" s="0" t="n">
        <f aca="false">Q2987+S2987</f>
        <v>48.5268582532058</v>
      </c>
      <c r="V2987" s="54" t="b">
        <f aca="false">AND(D2987&gt;=01_因子設定!$L$5-0.000000001,D2987&lt;=01_因子設定!$M$5+0.000000001,E2987&gt;=01_因子設定!$L$6-0.000000001,E2987&lt;=01_因子設定!$M$6+0.000000001,F2987&gt;=01_因子設定!$L$7-0.000000001,F2987&lt;=01_因子設定!$M$7+0.000000001,IF(01_因子設定!$B$20="Box-Behnken",D2987^2+E2987^2+F2987^2&lt;=2+0.000000001,TRUE()))</f>
        <v>1</v>
      </c>
      <c r="W2987" s="55" t="n">
        <f aca="false">IF(V2987,IF(01_因子設定!$B$13="最大化",T2987-01_因子設定!$B$14,IF(01_因子設定!$B$13="最小化",01_因子設定!$B$15-U2987,MIN(T2987-01_因子設定!$B$14,01_因子設定!$B$15-U2987))),-1E+030)</f>
        <v>-1.9472843895694</v>
      </c>
      <c r="X2987" s="55" t="n">
        <f aca="false">IF(V2987,IF(01_因子設定!$B$13="最大化",Q2987,IF(01_因子設定!$B$13="最小化",-Q2987,-ABS(Q2987-01_因子設定!$B$16))),-1E+030)</f>
        <v>47.5397869318182</v>
      </c>
      <c r="Y2987" s="55" t="n">
        <f aca="false">W2987+ROW()*0.000000001</f>
        <v>-1.9472814025694</v>
      </c>
      <c r="Z2987" s="55" t="n">
        <f aca="false">X2987+ROW()*0.000000001</f>
        <v>47.5397899188182</v>
      </c>
    </row>
    <row r="2988" customFormat="false" ht="15" hidden="false" customHeight="false" outlineLevel="0" collapsed="false">
      <c r="A2988" s="0" t="n">
        <v>10</v>
      </c>
      <c r="B2988" s="0" t="n">
        <v>5</v>
      </c>
      <c r="C2988" s="0" t="n">
        <v>8</v>
      </c>
      <c r="D2988" s="0" t="n">
        <f aca="false">-1+A2988*0.125</f>
        <v>0.25</v>
      </c>
      <c r="E2988" s="0" t="n">
        <f aca="false">-1+B2988*0.125</f>
        <v>-0.375</v>
      </c>
      <c r="F2988" s="0" t="n">
        <f aca="false">-1+C2988*0.125</f>
        <v>0</v>
      </c>
      <c r="G2988" s="0" t="n">
        <f aca="false">1</f>
        <v>1</v>
      </c>
      <c r="H2988" s="0" t="n">
        <f aca="false">D2988</f>
        <v>0.25</v>
      </c>
      <c r="I2988" s="0" t="n">
        <f aca="false">E2988</f>
        <v>-0.375</v>
      </c>
      <c r="J2988" s="0" t="n">
        <f aca="false">F2988</f>
        <v>0</v>
      </c>
      <c r="K2988" s="0" t="n">
        <f aca="false">D2988*E2988</f>
        <v>-0.09375</v>
      </c>
      <c r="L2988" s="0" t="n">
        <f aca="false">D2988*F2988</f>
        <v>0</v>
      </c>
      <c r="M2988" s="0" t="n">
        <f aca="false">E2988*F2988</f>
        <v>-0</v>
      </c>
      <c r="N2988" s="0" t="n">
        <f aca="false">D2988*D2988</f>
        <v>0.0625</v>
      </c>
      <c r="O2988" s="0" t="n">
        <f aca="false">E2988*E2988</f>
        <v>0.140625</v>
      </c>
      <c r="P2988" s="0" t="n">
        <f aca="false">F2988*F2988</f>
        <v>0</v>
      </c>
      <c r="Q2988" s="0" t="n">
        <f aca="false">SUMPRODUCT(G2988:P2988,_XtX!$B$71:$K$71)</f>
        <v>47.7049005681818</v>
      </c>
      <c r="R2988" s="0" t="n">
        <f aca="false">SUMPRODUCT(MMULT(G2988:P2988,_XtX!$B$58:$K$67),G2988:P2988)</f>
        <v>0.127341530539773</v>
      </c>
      <c r="S2988" s="0" t="n">
        <f aca="false">04_回帰ANOVA!$K$19*04_回帰ANOVA!$K$14*SQRT(1+R2988)</f>
        <v>0.987175547486288</v>
      </c>
      <c r="T2988" s="0" t="n">
        <f aca="false">Q2988-S2988</f>
        <v>46.7177250206955</v>
      </c>
      <c r="U2988" s="0" t="n">
        <f aca="false">Q2988+S2988</f>
        <v>48.6920761156681</v>
      </c>
      <c r="V2988" s="54" t="b">
        <f aca="false">AND(D2988&gt;=01_因子設定!$L$5-0.000000001,D2988&lt;=01_因子設定!$M$5+0.000000001,E2988&gt;=01_因子設定!$L$6-0.000000001,E2988&lt;=01_因子設定!$M$6+0.000000001,F2988&gt;=01_因子設定!$L$7-0.000000001,F2988&lt;=01_因子設定!$M$7+0.000000001,IF(01_因子設定!$B$20="Box-Behnken",D2988^2+E2988^2+F2988^2&lt;=2+0.000000001,TRUE()))</f>
        <v>1</v>
      </c>
      <c r="W2988" s="55" t="n">
        <f aca="false">IF(V2988,IF(01_因子設定!$B$13="最大化",T2988-01_因子設定!$B$14,IF(01_因子設定!$B$13="最小化",01_因子設定!$B$15-U2988,MIN(T2988-01_因子設定!$B$14,01_因子設定!$B$15-U2988))),-1E+030)</f>
        <v>-1.78227497930446</v>
      </c>
      <c r="X2988" s="55" t="n">
        <f aca="false">IF(V2988,IF(01_因子設定!$B$13="最大化",Q2988,IF(01_因子設定!$B$13="最小化",-Q2988,-ABS(Q2988-01_因子設定!$B$16))),-1E+030)</f>
        <v>47.7049005681818</v>
      </c>
      <c r="Y2988" s="55" t="n">
        <f aca="false">W2988+ROW()*0.000000001</f>
        <v>-1.78227199130446</v>
      </c>
      <c r="Z2988" s="55" t="n">
        <f aca="false">X2988+ROW()*0.000000001</f>
        <v>47.7049035561818</v>
      </c>
    </row>
    <row r="2989" customFormat="false" ht="15" hidden="false" customHeight="false" outlineLevel="0" collapsed="false">
      <c r="A2989" s="0" t="n">
        <v>10</v>
      </c>
      <c r="B2989" s="0" t="n">
        <v>5</v>
      </c>
      <c r="C2989" s="0" t="n">
        <v>9</v>
      </c>
      <c r="D2989" s="0" t="n">
        <f aca="false">-1+A2989*0.125</f>
        <v>0.25</v>
      </c>
      <c r="E2989" s="0" t="n">
        <f aca="false">-1+B2989*0.125</f>
        <v>-0.375</v>
      </c>
      <c r="F2989" s="0" t="n">
        <f aca="false">-1+C2989*0.125</f>
        <v>0.125</v>
      </c>
      <c r="G2989" s="0" t="n">
        <f aca="false">1</f>
        <v>1</v>
      </c>
      <c r="H2989" s="0" t="n">
        <f aca="false">D2989</f>
        <v>0.25</v>
      </c>
      <c r="I2989" s="0" t="n">
        <f aca="false">E2989</f>
        <v>-0.375</v>
      </c>
      <c r="J2989" s="0" t="n">
        <f aca="false">F2989</f>
        <v>0.125</v>
      </c>
      <c r="K2989" s="0" t="n">
        <f aca="false">D2989*E2989</f>
        <v>-0.09375</v>
      </c>
      <c r="L2989" s="0" t="n">
        <f aca="false">D2989*F2989</f>
        <v>0.03125</v>
      </c>
      <c r="M2989" s="0" t="n">
        <f aca="false">E2989*F2989</f>
        <v>-0.046875</v>
      </c>
      <c r="N2989" s="0" t="n">
        <f aca="false">D2989*D2989</f>
        <v>0.0625</v>
      </c>
      <c r="O2989" s="0" t="n">
        <f aca="false">E2989*E2989</f>
        <v>0.140625</v>
      </c>
      <c r="P2989" s="0" t="n">
        <f aca="false">F2989*F2989</f>
        <v>0.015625</v>
      </c>
      <c r="Q2989" s="0" t="n">
        <f aca="false">SUMPRODUCT(G2989:P2989,_XtX!$B$71:$K$71)</f>
        <v>47.8332244318182</v>
      </c>
      <c r="R2989" s="0" t="n">
        <f aca="false">SUMPRODUCT(MMULT(G2989:P2989,_XtX!$B$58:$K$67),G2989:P2989)</f>
        <v>0.127103493430398</v>
      </c>
      <c r="S2989" s="0" t="n">
        <f aca="false">04_回帰ANOVA!$K$19*04_回帰ANOVA!$K$14*SQRT(1+R2989)</f>
        <v>0.987071321387587</v>
      </c>
      <c r="T2989" s="0" t="n">
        <f aca="false">Q2989-S2989</f>
        <v>46.8461531104306</v>
      </c>
      <c r="U2989" s="0" t="n">
        <f aca="false">Q2989+S2989</f>
        <v>48.8202957532058</v>
      </c>
      <c r="V2989" s="54" t="b">
        <f aca="false">AND(D2989&gt;=01_因子設定!$L$5-0.000000001,D2989&lt;=01_因子設定!$M$5+0.000000001,E2989&gt;=01_因子設定!$L$6-0.000000001,E2989&lt;=01_因子設定!$M$6+0.000000001,F2989&gt;=01_因子設定!$L$7-0.000000001,F2989&lt;=01_因子設定!$M$7+0.000000001,IF(01_因子設定!$B$20="Box-Behnken",D2989^2+E2989^2+F2989^2&lt;=2+0.000000001,TRUE()))</f>
        <v>1</v>
      </c>
      <c r="W2989" s="55" t="n">
        <f aca="false">IF(V2989,IF(01_因子設定!$B$13="最大化",T2989-01_因子設定!$B$14,IF(01_因子設定!$B$13="最小化",01_因子設定!$B$15-U2989,MIN(T2989-01_因子設定!$B$14,01_因子設定!$B$15-U2989))),-1E+030)</f>
        <v>-1.6538468895694</v>
      </c>
      <c r="X2989" s="55" t="n">
        <f aca="false">IF(V2989,IF(01_因子設定!$B$13="最大化",Q2989,IF(01_因子設定!$B$13="最小化",-Q2989,-ABS(Q2989-01_因子設定!$B$16))),-1E+030)</f>
        <v>47.8332244318182</v>
      </c>
      <c r="Y2989" s="55" t="n">
        <f aca="false">W2989+ROW()*0.000000001</f>
        <v>-1.6538439005694</v>
      </c>
      <c r="Z2989" s="55" t="n">
        <f aca="false">X2989+ROW()*0.000000001</f>
        <v>47.8332274208182</v>
      </c>
    </row>
    <row r="2990" customFormat="false" ht="15" hidden="false" customHeight="false" outlineLevel="0" collapsed="false">
      <c r="A2990" s="0" t="n">
        <v>10</v>
      </c>
      <c r="B2990" s="0" t="n">
        <v>5</v>
      </c>
      <c r="C2990" s="0" t="n">
        <v>10</v>
      </c>
      <c r="D2990" s="0" t="n">
        <f aca="false">-1+A2990*0.125</f>
        <v>0.25</v>
      </c>
      <c r="E2990" s="0" t="n">
        <f aca="false">-1+B2990*0.125</f>
        <v>-0.375</v>
      </c>
      <c r="F2990" s="0" t="n">
        <f aca="false">-1+C2990*0.125</f>
        <v>0.25</v>
      </c>
      <c r="G2990" s="0" t="n">
        <f aca="false">1</f>
        <v>1</v>
      </c>
      <c r="H2990" s="0" t="n">
        <f aca="false">D2990</f>
        <v>0.25</v>
      </c>
      <c r="I2990" s="0" t="n">
        <f aca="false">E2990</f>
        <v>-0.375</v>
      </c>
      <c r="J2990" s="0" t="n">
        <f aca="false">F2990</f>
        <v>0.25</v>
      </c>
      <c r="K2990" s="0" t="n">
        <f aca="false">D2990*E2990</f>
        <v>-0.09375</v>
      </c>
      <c r="L2990" s="0" t="n">
        <f aca="false">D2990*F2990</f>
        <v>0.0625</v>
      </c>
      <c r="M2990" s="0" t="n">
        <f aca="false">E2990*F2990</f>
        <v>-0.09375</v>
      </c>
      <c r="N2990" s="0" t="n">
        <f aca="false">D2990*D2990</f>
        <v>0.0625</v>
      </c>
      <c r="O2990" s="0" t="n">
        <f aca="false">E2990*E2990</f>
        <v>0.140625</v>
      </c>
      <c r="P2990" s="0" t="n">
        <f aca="false">F2990*F2990</f>
        <v>0.0625</v>
      </c>
      <c r="Q2990" s="0" t="n">
        <f aca="false">SUMPRODUCT(G2990:P2990,_XtX!$B$71:$K$71)</f>
        <v>47.9247585227273</v>
      </c>
      <c r="R2990" s="0" t="n">
        <f aca="false">SUMPRODUCT(MMULT(G2990:P2990,_XtX!$B$58:$K$67),G2990:P2990)</f>
        <v>0.127454723011364</v>
      </c>
      <c r="S2990" s="0" t="n">
        <f aca="false">04_回帰ANOVA!$K$19*04_回帰ANOVA!$K$14*SQRT(1+R2990)</f>
        <v>0.987225105686864</v>
      </c>
      <c r="T2990" s="0" t="n">
        <f aca="false">Q2990-S2990</f>
        <v>46.9375334170404</v>
      </c>
      <c r="U2990" s="0" t="n">
        <f aca="false">Q2990+S2990</f>
        <v>48.9119836284142</v>
      </c>
      <c r="V2990" s="54" t="b">
        <f aca="false">AND(D2990&gt;=01_因子設定!$L$5-0.000000001,D2990&lt;=01_因子設定!$M$5+0.000000001,E2990&gt;=01_因子設定!$L$6-0.000000001,E2990&lt;=01_因子設定!$M$6+0.000000001,F2990&gt;=01_因子設定!$L$7-0.000000001,F2990&lt;=01_因子設定!$M$7+0.000000001,IF(01_因子設定!$B$20="Box-Behnken",D2990^2+E2990^2+F2990^2&lt;=2+0.000000001,TRUE()))</f>
        <v>1</v>
      </c>
      <c r="W2990" s="55" t="n">
        <f aca="false">IF(V2990,IF(01_因子設定!$B$13="最大化",T2990-01_因子設定!$B$14,IF(01_因子設定!$B$13="最小化",01_因子設定!$B$15-U2990,MIN(T2990-01_因子設定!$B$14,01_因子設定!$B$15-U2990))),-1E+030)</f>
        <v>-1.56246658295959</v>
      </c>
      <c r="X2990" s="55" t="n">
        <f aca="false">IF(V2990,IF(01_因子設定!$B$13="最大化",Q2990,IF(01_因子設定!$B$13="最小化",-Q2990,-ABS(Q2990-01_因子設定!$B$16))),-1E+030)</f>
        <v>47.9247585227273</v>
      </c>
      <c r="Y2990" s="55" t="n">
        <f aca="false">W2990+ROW()*0.000000001</f>
        <v>-1.56246359295959</v>
      </c>
      <c r="Z2990" s="55" t="n">
        <f aca="false">X2990+ROW()*0.000000001</f>
        <v>47.9247615127273</v>
      </c>
    </row>
    <row r="2991" customFormat="false" ht="15" hidden="false" customHeight="false" outlineLevel="0" collapsed="false">
      <c r="A2991" s="0" t="n">
        <v>10</v>
      </c>
      <c r="B2991" s="0" t="n">
        <v>5</v>
      </c>
      <c r="C2991" s="0" t="n">
        <v>11</v>
      </c>
      <c r="D2991" s="0" t="n">
        <f aca="false">-1+A2991*0.125</f>
        <v>0.25</v>
      </c>
      <c r="E2991" s="0" t="n">
        <f aca="false">-1+B2991*0.125</f>
        <v>-0.375</v>
      </c>
      <c r="F2991" s="0" t="n">
        <f aca="false">-1+C2991*0.125</f>
        <v>0.375</v>
      </c>
      <c r="G2991" s="0" t="n">
        <f aca="false">1</f>
        <v>1</v>
      </c>
      <c r="H2991" s="0" t="n">
        <f aca="false">D2991</f>
        <v>0.25</v>
      </c>
      <c r="I2991" s="0" t="n">
        <f aca="false">E2991</f>
        <v>-0.375</v>
      </c>
      <c r="J2991" s="0" t="n">
        <f aca="false">F2991</f>
        <v>0.375</v>
      </c>
      <c r="K2991" s="0" t="n">
        <f aca="false">D2991*E2991</f>
        <v>-0.09375</v>
      </c>
      <c r="L2991" s="0" t="n">
        <f aca="false">D2991*F2991</f>
        <v>0.09375</v>
      </c>
      <c r="M2991" s="0" t="n">
        <f aca="false">E2991*F2991</f>
        <v>-0.140625</v>
      </c>
      <c r="N2991" s="0" t="n">
        <f aca="false">D2991*D2991</f>
        <v>0.0625</v>
      </c>
      <c r="O2991" s="0" t="n">
        <f aca="false">E2991*E2991</f>
        <v>0.140625</v>
      </c>
      <c r="P2991" s="0" t="n">
        <f aca="false">F2991*F2991</f>
        <v>0.140625</v>
      </c>
      <c r="Q2991" s="0" t="n">
        <f aca="false">SUMPRODUCT(G2991:P2991,_XtX!$B$71:$K$71)</f>
        <v>47.9795028409091</v>
      </c>
      <c r="R2991" s="0" t="n">
        <f aca="false">SUMPRODUCT(MMULT(G2991:P2991,_XtX!$B$58:$K$67),G2991:P2991)</f>
        <v>0.131591242009943</v>
      </c>
      <c r="S2991" s="0" t="n">
        <f aca="false">04_回帰ANOVA!$K$19*04_回帰ANOVA!$K$14*SQRT(1+R2991)</f>
        <v>0.989034462873572</v>
      </c>
      <c r="T2991" s="0" t="n">
        <f aca="false">Q2991-S2991</f>
        <v>46.9904683780355</v>
      </c>
      <c r="U2991" s="0" t="n">
        <f aca="false">Q2991+S2991</f>
        <v>48.9685373037827</v>
      </c>
      <c r="V2991" s="54" t="b">
        <f aca="false">AND(D2991&gt;=01_因子設定!$L$5-0.000000001,D2991&lt;=01_因子設定!$M$5+0.000000001,E2991&gt;=01_因子設定!$L$6-0.000000001,E2991&lt;=01_因子設定!$M$6+0.000000001,F2991&gt;=01_因子設定!$L$7-0.000000001,F2991&lt;=01_因子設定!$M$7+0.000000001,IF(01_因子設定!$B$20="Box-Behnken",D2991^2+E2991^2+F2991^2&lt;=2+0.000000001,TRUE()))</f>
        <v>1</v>
      </c>
      <c r="W2991" s="55" t="n">
        <f aca="false">IF(V2991,IF(01_因子設定!$B$13="最大化",T2991-01_因子設定!$B$14,IF(01_因子設定!$B$13="最小化",01_因子設定!$B$15-U2991,MIN(T2991-01_因子設定!$B$14,01_因子設定!$B$15-U2991))),-1E+030)</f>
        <v>-1.50953162196447</v>
      </c>
      <c r="X2991" s="55" t="n">
        <f aca="false">IF(V2991,IF(01_因子設定!$B$13="最大化",Q2991,IF(01_因子設定!$B$13="最小化",-Q2991,-ABS(Q2991-01_因子設定!$B$16))),-1E+030)</f>
        <v>47.9795028409091</v>
      </c>
      <c r="Y2991" s="55" t="n">
        <f aca="false">W2991+ROW()*0.000000001</f>
        <v>-1.50952863096447</v>
      </c>
      <c r="Z2991" s="55" t="n">
        <f aca="false">X2991+ROW()*0.000000001</f>
        <v>47.9795058319091</v>
      </c>
    </row>
    <row r="2992" customFormat="false" ht="15" hidden="false" customHeight="false" outlineLevel="0" collapsed="false">
      <c r="A2992" s="0" t="n">
        <v>10</v>
      </c>
      <c r="B2992" s="0" t="n">
        <v>5</v>
      </c>
      <c r="C2992" s="0" t="n">
        <v>12</v>
      </c>
      <c r="D2992" s="0" t="n">
        <f aca="false">-1+A2992*0.125</f>
        <v>0.25</v>
      </c>
      <c r="E2992" s="0" t="n">
        <f aca="false">-1+B2992*0.125</f>
        <v>-0.375</v>
      </c>
      <c r="F2992" s="0" t="n">
        <f aca="false">-1+C2992*0.125</f>
        <v>0.5</v>
      </c>
      <c r="G2992" s="0" t="n">
        <f aca="false">1</f>
        <v>1</v>
      </c>
      <c r="H2992" s="0" t="n">
        <f aca="false">D2992</f>
        <v>0.25</v>
      </c>
      <c r="I2992" s="0" t="n">
        <f aca="false">E2992</f>
        <v>-0.375</v>
      </c>
      <c r="J2992" s="0" t="n">
        <f aca="false">F2992</f>
        <v>0.5</v>
      </c>
      <c r="K2992" s="0" t="n">
        <f aca="false">D2992*E2992</f>
        <v>-0.09375</v>
      </c>
      <c r="L2992" s="0" t="n">
        <f aca="false">D2992*F2992</f>
        <v>0.125</v>
      </c>
      <c r="M2992" s="0" t="n">
        <f aca="false">E2992*F2992</f>
        <v>-0.1875</v>
      </c>
      <c r="N2992" s="0" t="n">
        <f aca="false">D2992*D2992</f>
        <v>0.0625</v>
      </c>
      <c r="O2992" s="0" t="n">
        <f aca="false">E2992*E2992</f>
        <v>0.140625</v>
      </c>
      <c r="P2992" s="0" t="n">
        <f aca="false">F2992*F2992</f>
        <v>0.25</v>
      </c>
      <c r="Q2992" s="0" t="n">
        <f aca="false">SUMPRODUCT(G2992:P2992,_XtX!$B$71:$K$71)</f>
        <v>47.9974573863637</v>
      </c>
      <c r="R2992" s="0" t="n">
        <f aca="false">SUMPRODUCT(MMULT(G2992:P2992,_XtX!$B$58:$K$67),G2992:P2992)</f>
        <v>0.144839754971591</v>
      </c>
      <c r="S2992" s="0" t="n">
        <f aca="false">04_回帰ANOVA!$K$19*04_回帰ANOVA!$K$14*SQRT(1+R2992)</f>
        <v>0.994807353995542</v>
      </c>
      <c r="T2992" s="0" t="n">
        <f aca="false">Q2992-S2992</f>
        <v>47.0026500323681</v>
      </c>
      <c r="U2992" s="0" t="n">
        <f aca="false">Q2992+S2992</f>
        <v>48.9922647403592</v>
      </c>
      <c r="V2992" s="54" t="b">
        <f aca="false">AND(D2992&gt;=01_因子設定!$L$5-0.000000001,D2992&lt;=01_因子設定!$M$5+0.000000001,E2992&gt;=01_因子設定!$L$6-0.000000001,E2992&lt;=01_因子設定!$M$6+0.000000001,F2992&gt;=01_因子設定!$L$7-0.000000001,F2992&lt;=01_因子設定!$M$7+0.000000001,IF(01_因子設定!$B$20="Box-Behnken",D2992^2+E2992^2+F2992^2&lt;=2+0.000000001,TRUE()))</f>
        <v>1</v>
      </c>
      <c r="W2992" s="55" t="n">
        <f aca="false">IF(V2992,IF(01_因子設定!$B$13="最大化",T2992-01_因子設定!$B$14,IF(01_因子設定!$B$13="最小化",01_因子設定!$B$15-U2992,MIN(T2992-01_因子設定!$B$14,01_因子設定!$B$15-U2992))),-1E+030)</f>
        <v>-1.49734996763189</v>
      </c>
      <c r="X2992" s="55" t="n">
        <f aca="false">IF(V2992,IF(01_因子設定!$B$13="最大化",Q2992,IF(01_因子設定!$B$13="最小化",-Q2992,-ABS(Q2992-01_因子設定!$B$16))),-1E+030)</f>
        <v>47.9974573863637</v>
      </c>
      <c r="Y2992" s="55" t="n">
        <f aca="false">W2992+ROW()*0.000000001</f>
        <v>-1.49734697563189</v>
      </c>
      <c r="Z2992" s="55" t="n">
        <f aca="false">X2992+ROW()*0.000000001</f>
        <v>47.9974603783637</v>
      </c>
    </row>
    <row r="2993" customFormat="false" ht="15" hidden="false" customHeight="false" outlineLevel="0" collapsed="false">
      <c r="A2993" s="0" t="n">
        <v>10</v>
      </c>
      <c r="B2993" s="0" t="n">
        <v>5</v>
      </c>
      <c r="C2993" s="0" t="n">
        <v>13</v>
      </c>
      <c r="D2993" s="0" t="n">
        <f aca="false">-1+A2993*0.125</f>
        <v>0.25</v>
      </c>
      <c r="E2993" s="0" t="n">
        <f aca="false">-1+B2993*0.125</f>
        <v>-0.375</v>
      </c>
      <c r="F2993" s="0" t="n">
        <f aca="false">-1+C2993*0.125</f>
        <v>0.625</v>
      </c>
      <c r="G2993" s="0" t="n">
        <f aca="false">1</f>
        <v>1</v>
      </c>
      <c r="H2993" s="0" t="n">
        <f aca="false">D2993</f>
        <v>0.25</v>
      </c>
      <c r="I2993" s="0" t="n">
        <f aca="false">E2993</f>
        <v>-0.375</v>
      </c>
      <c r="J2993" s="0" t="n">
        <f aca="false">F2993</f>
        <v>0.625</v>
      </c>
      <c r="K2993" s="0" t="n">
        <f aca="false">D2993*E2993</f>
        <v>-0.09375</v>
      </c>
      <c r="L2993" s="0" t="n">
        <f aca="false">D2993*F2993</f>
        <v>0.15625</v>
      </c>
      <c r="M2993" s="0" t="n">
        <f aca="false">E2993*F2993</f>
        <v>-0.234375</v>
      </c>
      <c r="N2993" s="0" t="n">
        <f aca="false">D2993*D2993</f>
        <v>0.0625</v>
      </c>
      <c r="O2993" s="0" t="n">
        <f aca="false">E2993*E2993</f>
        <v>0.140625</v>
      </c>
      <c r="P2993" s="0" t="n">
        <f aca="false">F2993*F2993</f>
        <v>0.390625</v>
      </c>
      <c r="Q2993" s="0" t="n">
        <f aca="false">SUMPRODUCT(G2993:P2993,_XtX!$B$71:$K$71)</f>
        <v>47.9786221590909</v>
      </c>
      <c r="R2993" s="0" t="n">
        <f aca="false">SUMPRODUCT(MMULT(G2993:P2993,_XtX!$B$58:$K$67),G2993:P2993)</f>
        <v>0.174657648259943</v>
      </c>
      <c r="S2993" s="0" t="n">
        <f aca="false">04_回帰ANOVA!$K$19*04_回帰ANOVA!$K$14*SQRT(1+R2993)</f>
        <v>1.00767919364845</v>
      </c>
      <c r="T2993" s="0" t="n">
        <f aca="false">Q2993-S2993</f>
        <v>46.9709429654425</v>
      </c>
      <c r="U2993" s="0" t="n">
        <f aca="false">Q2993+S2993</f>
        <v>48.9863013527394</v>
      </c>
      <c r="V2993" s="54" t="b">
        <f aca="false">AND(D2993&gt;=01_因子設定!$L$5-0.000000001,D2993&lt;=01_因子設定!$M$5+0.000000001,E2993&gt;=01_因子設定!$L$6-0.000000001,E2993&lt;=01_因子設定!$M$6+0.000000001,F2993&gt;=01_因子設定!$L$7-0.000000001,F2993&lt;=01_因子設定!$M$7+0.000000001,IF(01_因子設定!$B$20="Box-Behnken",D2993^2+E2993^2+F2993^2&lt;=2+0.000000001,TRUE()))</f>
        <v>1</v>
      </c>
      <c r="W2993" s="55" t="n">
        <f aca="false">IF(V2993,IF(01_因子設定!$B$13="最大化",T2993-01_因子設定!$B$14,IF(01_因子設定!$B$13="最小化",01_因子設定!$B$15-U2993,MIN(T2993-01_因子設定!$B$14,01_因子設定!$B$15-U2993))),-1E+030)</f>
        <v>-1.52905703455752</v>
      </c>
      <c r="X2993" s="55" t="n">
        <f aca="false">IF(V2993,IF(01_因子設定!$B$13="最大化",Q2993,IF(01_因子設定!$B$13="最小化",-Q2993,-ABS(Q2993-01_因子設定!$B$16))),-1E+030)</f>
        <v>47.9786221590909</v>
      </c>
      <c r="Y2993" s="55" t="n">
        <f aca="false">W2993+ROW()*0.000000001</f>
        <v>-1.52905404155752</v>
      </c>
      <c r="Z2993" s="55" t="n">
        <f aca="false">X2993+ROW()*0.000000001</f>
        <v>47.9786251520909</v>
      </c>
    </row>
    <row r="2994" customFormat="false" ht="15" hidden="false" customHeight="false" outlineLevel="0" collapsed="false">
      <c r="A2994" s="0" t="n">
        <v>10</v>
      </c>
      <c r="B2994" s="0" t="n">
        <v>5</v>
      </c>
      <c r="C2994" s="0" t="n">
        <v>14</v>
      </c>
      <c r="D2994" s="0" t="n">
        <f aca="false">-1+A2994*0.125</f>
        <v>0.25</v>
      </c>
      <c r="E2994" s="0" t="n">
        <f aca="false">-1+B2994*0.125</f>
        <v>-0.375</v>
      </c>
      <c r="F2994" s="0" t="n">
        <f aca="false">-1+C2994*0.125</f>
        <v>0.75</v>
      </c>
      <c r="G2994" s="0" t="n">
        <f aca="false">1</f>
        <v>1</v>
      </c>
      <c r="H2994" s="0" t="n">
        <f aca="false">D2994</f>
        <v>0.25</v>
      </c>
      <c r="I2994" s="0" t="n">
        <f aca="false">E2994</f>
        <v>-0.375</v>
      </c>
      <c r="J2994" s="0" t="n">
        <f aca="false">F2994</f>
        <v>0.75</v>
      </c>
      <c r="K2994" s="0" t="n">
        <f aca="false">D2994*E2994</f>
        <v>-0.09375</v>
      </c>
      <c r="L2994" s="0" t="n">
        <f aca="false">D2994*F2994</f>
        <v>0.1875</v>
      </c>
      <c r="M2994" s="0" t="n">
        <f aca="false">E2994*F2994</f>
        <v>-0.28125</v>
      </c>
      <c r="N2994" s="0" t="n">
        <f aca="false">D2994*D2994</f>
        <v>0.0625</v>
      </c>
      <c r="O2994" s="0" t="n">
        <f aca="false">E2994*E2994</f>
        <v>0.140625</v>
      </c>
      <c r="P2994" s="0" t="n">
        <f aca="false">F2994*F2994</f>
        <v>0.5625</v>
      </c>
      <c r="Q2994" s="0" t="n">
        <f aca="false">SUMPRODUCT(G2994:P2994,_XtX!$B$71:$K$71)</f>
        <v>47.9229971590909</v>
      </c>
      <c r="R2994" s="0" t="n">
        <f aca="false">SUMPRODUCT(MMULT(G2994:P2994,_XtX!$B$58:$K$67),G2994:P2994)</f>
        <v>0.230632990056818</v>
      </c>
      <c r="S2994" s="0" t="n">
        <f aca="false">04_回帰ANOVA!$K$19*04_回帰ANOVA!$K$14*SQRT(1+R2994)</f>
        <v>1.03140899038819</v>
      </c>
      <c r="T2994" s="0" t="n">
        <f aca="false">Q2994-S2994</f>
        <v>46.8915881687027</v>
      </c>
      <c r="U2994" s="0" t="n">
        <f aca="false">Q2994+S2994</f>
        <v>48.9544061494791</v>
      </c>
      <c r="V2994" s="54" t="b">
        <f aca="false">AND(D2994&gt;=01_因子設定!$L$5-0.000000001,D2994&lt;=01_因子設定!$M$5+0.000000001,E2994&gt;=01_因子設定!$L$6-0.000000001,E2994&lt;=01_因子設定!$M$6+0.000000001,F2994&gt;=01_因子設定!$L$7-0.000000001,F2994&lt;=01_因子設定!$M$7+0.000000001,IF(01_因子設定!$B$20="Box-Behnken",D2994^2+E2994^2+F2994^2&lt;=2+0.000000001,TRUE()))</f>
        <v>1</v>
      </c>
      <c r="W2994" s="55" t="n">
        <f aca="false">IF(V2994,IF(01_因子設定!$B$13="最大化",T2994-01_因子設定!$B$14,IF(01_因子設定!$B$13="最小化",01_因子設定!$B$15-U2994,MIN(T2994-01_因子設定!$B$14,01_因子設定!$B$15-U2994))),-1E+030)</f>
        <v>-1.60841183129726</v>
      </c>
      <c r="X2994" s="55" t="n">
        <f aca="false">IF(V2994,IF(01_因子設定!$B$13="最大化",Q2994,IF(01_因子設定!$B$13="最小化",-Q2994,-ABS(Q2994-01_因子設定!$B$16))),-1E+030)</f>
        <v>47.9229971590909</v>
      </c>
      <c r="Y2994" s="55" t="n">
        <f aca="false">W2994+ROW()*0.000000001</f>
        <v>-1.60840883729726</v>
      </c>
      <c r="Z2994" s="55" t="n">
        <f aca="false">X2994+ROW()*0.000000001</f>
        <v>47.9230001530909</v>
      </c>
    </row>
    <row r="2995" customFormat="false" ht="15" hidden="false" customHeight="false" outlineLevel="0" collapsed="false">
      <c r="A2995" s="0" t="n">
        <v>10</v>
      </c>
      <c r="B2995" s="0" t="n">
        <v>5</v>
      </c>
      <c r="C2995" s="0" t="n">
        <v>15</v>
      </c>
      <c r="D2995" s="0" t="n">
        <f aca="false">-1+A2995*0.125</f>
        <v>0.25</v>
      </c>
      <c r="E2995" s="0" t="n">
        <f aca="false">-1+B2995*0.125</f>
        <v>-0.375</v>
      </c>
      <c r="F2995" s="0" t="n">
        <f aca="false">-1+C2995*0.125</f>
        <v>0.875</v>
      </c>
      <c r="G2995" s="0" t="n">
        <f aca="false">1</f>
        <v>1</v>
      </c>
      <c r="H2995" s="0" t="n">
        <f aca="false">D2995</f>
        <v>0.25</v>
      </c>
      <c r="I2995" s="0" t="n">
        <f aca="false">E2995</f>
        <v>-0.375</v>
      </c>
      <c r="J2995" s="0" t="n">
        <f aca="false">F2995</f>
        <v>0.875</v>
      </c>
      <c r="K2995" s="0" t="n">
        <f aca="false">D2995*E2995</f>
        <v>-0.09375</v>
      </c>
      <c r="L2995" s="0" t="n">
        <f aca="false">D2995*F2995</f>
        <v>0.21875</v>
      </c>
      <c r="M2995" s="0" t="n">
        <f aca="false">E2995*F2995</f>
        <v>-0.328125</v>
      </c>
      <c r="N2995" s="0" t="n">
        <f aca="false">D2995*D2995</f>
        <v>0.0625</v>
      </c>
      <c r="O2995" s="0" t="n">
        <f aca="false">E2995*E2995</f>
        <v>0.140625</v>
      </c>
      <c r="P2995" s="0" t="n">
        <f aca="false">F2995*F2995</f>
        <v>0.765625</v>
      </c>
      <c r="Q2995" s="0" t="n">
        <f aca="false">SUMPRODUCT(G2995:P2995,_XtX!$B$71:$K$71)</f>
        <v>47.8305823863637</v>
      </c>
      <c r="R2995" s="0" t="n">
        <f aca="false">SUMPRODUCT(MMULT(G2995:P2995,_XtX!$B$58:$K$67),G2995:P2995)</f>
        <v>0.324484530362216</v>
      </c>
      <c r="S2995" s="0" t="n">
        <f aca="false">04_回帰ANOVA!$K$19*04_回帰ANOVA!$K$14*SQRT(1+R2995)</f>
        <v>1.07001553041279</v>
      </c>
      <c r="T2995" s="0" t="n">
        <f aca="false">Q2995-S2995</f>
        <v>46.7605668559509</v>
      </c>
      <c r="U2995" s="0" t="n">
        <f aca="false">Q2995+S2995</f>
        <v>48.9005979167765</v>
      </c>
      <c r="V2995" s="54" t="b">
        <f aca="false">AND(D2995&gt;=01_因子設定!$L$5-0.000000001,D2995&lt;=01_因子設定!$M$5+0.000000001,E2995&gt;=01_因子設定!$L$6-0.000000001,E2995&lt;=01_因子設定!$M$6+0.000000001,F2995&gt;=01_因子設定!$L$7-0.000000001,F2995&lt;=01_因子設定!$M$7+0.000000001,IF(01_因子設定!$B$20="Box-Behnken",D2995^2+E2995^2+F2995^2&lt;=2+0.000000001,TRUE()))</f>
        <v>1</v>
      </c>
      <c r="W2995" s="55" t="n">
        <f aca="false">IF(V2995,IF(01_因子設定!$B$13="最大化",T2995-01_因子設定!$B$14,IF(01_因子設定!$B$13="最小化",01_因子設定!$B$15-U2995,MIN(T2995-01_因子設定!$B$14,01_因子設定!$B$15-U2995))),-1E+030)</f>
        <v>-1.73943314404913</v>
      </c>
      <c r="X2995" s="55" t="n">
        <f aca="false">IF(V2995,IF(01_因子設定!$B$13="最大化",Q2995,IF(01_因子設定!$B$13="最小化",-Q2995,-ABS(Q2995-01_因子設定!$B$16))),-1E+030)</f>
        <v>47.8305823863637</v>
      </c>
      <c r="Y2995" s="55" t="n">
        <f aca="false">W2995+ROW()*0.000000001</f>
        <v>-1.73943014904913</v>
      </c>
      <c r="Z2995" s="55" t="n">
        <f aca="false">X2995+ROW()*0.000000001</f>
        <v>47.8305853813637</v>
      </c>
    </row>
    <row r="2996" customFormat="false" ht="15" hidden="false" customHeight="false" outlineLevel="0" collapsed="false">
      <c r="A2996" s="0" t="n">
        <v>10</v>
      </c>
      <c r="B2996" s="0" t="n">
        <v>5</v>
      </c>
      <c r="C2996" s="0" t="n">
        <v>16</v>
      </c>
      <c r="D2996" s="0" t="n">
        <f aca="false">-1+A2996*0.125</f>
        <v>0.25</v>
      </c>
      <c r="E2996" s="0" t="n">
        <f aca="false">-1+B2996*0.125</f>
        <v>-0.375</v>
      </c>
      <c r="F2996" s="0" t="n">
        <f aca="false">-1+C2996*0.125</f>
        <v>1</v>
      </c>
      <c r="G2996" s="0" t="n">
        <f aca="false">1</f>
        <v>1</v>
      </c>
      <c r="H2996" s="0" t="n">
        <f aca="false">D2996</f>
        <v>0.25</v>
      </c>
      <c r="I2996" s="0" t="n">
        <f aca="false">E2996</f>
        <v>-0.375</v>
      </c>
      <c r="J2996" s="0" t="n">
        <f aca="false">F2996</f>
        <v>1</v>
      </c>
      <c r="K2996" s="0" t="n">
        <f aca="false">D2996*E2996</f>
        <v>-0.09375</v>
      </c>
      <c r="L2996" s="0" t="n">
        <f aca="false">D2996*F2996</f>
        <v>0.25</v>
      </c>
      <c r="M2996" s="0" t="n">
        <f aca="false">E2996*F2996</f>
        <v>-0.375</v>
      </c>
      <c r="N2996" s="0" t="n">
        <f aca="false">D2996*D2996</f>
        <v>0.0625</v>
      </c>
      <c r="O2996" s="0" t="n">
        <f aca="false">E2996*E2996</f>
        <v>0.140625</v>
      </c>
      <c r="P2996" s="0" t="n">
        <f aca="false">F2996*F2996</f>
        <v>1</v>
      </c>
      <c r="Q2996" s="0" t="n">
        <f aca="false">SUMPRODUCT(G2996:P2996,_XtX!$B$71:$K$71)</f>
        <v>47.7013778409091</v>
      </c>
      <c r="R2996" s="0" t="n">
        <f aca="false">SUMPRODUCT(MMULT(G2996:P2996,_XtX!$B$58:$K$67),G2996:P2996)</f>
        <v>0.470061700994318</v>
      </c>
      <c r="S2996" s="0" t="n">
        <f aca="false">04_回帰ANOVA!$K$19*04_回帰ANOVA!$K$14*SQRT(1+R2996)</f>
        <v>1.12728678965931</v>
      </c>
      <c r="T2996" s="0" t="n">
        <f aca="false">Q2996-S2996</f>
        <v>46.5740910512498</v>
      </c>
      <c r="U2996" s="0" t="n">
        <f aca="false">Q2996+S2996</f>
        <v>48.8286646305684</v>
      </c>
      <c r="V2996" s="54" t="b">
        <f aca="false">AND(D2996&gt;=01_因子設定!$L$5-0.000000001,D2996&lt;=01_因子設定!$M$5+0.000000001,E2996&gt;=01_因子設定!$L$6-0.000000001,E2996&lt;=01_因子設定!$M$6+0.000000001,F2996&gt;=01_因子設定!$L$7-0.000000001,F2996&lt;=01_因子設定!$M$7+0.000000001,IF(01_因子設定!$B$20="Box-Behnken",D2996^2+E2996^2+F2996^2&lt;=2+0.000000001,TRUE()))</f>
        <v>1</v>
      </c>
      <c r="W2996" s="55" t="n">
        <f aca="false">IF(V2996,IF(01_因子設定!$B$13="最大化",T2996-01_因子設定!$B$14,IF(01_因子設定!$B$13="最小化",01_因子設定!$B$15-U2996,MIN(T2996-01_因子設定!$B$14,01_因子設定!$B$15-U2996))),-1E+030)</f>
        <v>-1.92590894875019</v>
      </c>
      <c r="X2996" s="55" t="n">
        <f aca="false">IF(V2996,IF(01_因子設定!$B$13="最大化",Q2996,IF(01_因子設定!$B$13="最小化",-Q2996,-ABS(Q2996-01_因子設定!$B$16))),-1E+030)</f>
        <v>47.7013778409091</v>
      </c>
      <c r="Y2996" s="55" t="n">
        <f aca="false">W2996+ROW()*0.000000001</f>
        <v>-1.92590595275019</v>
      </c>
      <c r="Z2996" s="55" t="n">
        <f aca="false">X2996+ROW()*0.000000001</f>
        <v>47.7013808369091</v>
      </c>
    </row>
    <row r="2997" customFormat="false" ht="15" hidden="false" customHeight="false" outlineLevel="0" collapsed="false">
      <c r="A2997" s="0" t="n">
        <v>10</v>
      </c>
      <c r="B2997" s="0" t="n">
        <v>6</v>
      </c>
      <c r="C2997" s="0" t="n">
        <v>0</v>
      </c>
      <c r="D2997" s="0" t="n">
        <f aca="false">-1+A2997*0.125</f>
        <v>0.25</v>
      </c>
      <c r="E2997" s="0" t="n">
        <f aca="false">-1+B2997*0.125</f>
        <v>-0.25</v>
      </c>
      <c r="F2997" s="0" t="n">
        <f aca="false">-1+C2997*0.125</f>
        <v>-1</v>
      </c>
      <c r="G2997" s="0" t="n">
        <f aca="false">1</f>
        <v>1</v>
      </c>
      <c r="H2997" s="0" t="n">
        <f aca="false">D2997</f>
        <v>0.25</v>
      </c>
      <c r="I2997" s="0" t="n">
        <f aca="false">E2997</f>
        <v>-0.25</v>
      </c>
      <c r="J2997" s="0" t="n">
        <f aca="false">F2997</f>
        <v>-1</v>
      </c>
      <c r="K2997" s="0" t="n">
        <f aca="false">D2997*E2997</f>
        <v>-0.0625</v>
      </c>
      <c r="L2997" s="0" t="n">
        <f aca="false">D2997*F2997</f>
        <v>-0.25</v>
      </c>
      <c r="M2997" s="0" t="n">
        <f aca="false">E2997*F2997</f>
        <v>0.25</v>
      </c>
      <c r="N2997" s="0" t="n">
        <f aca="false">D2997*D2997</f>
        <v>0.0625</v>
      </c>
      <c r="O2997" s="0" t="n">
        <f aca="false">E2997*E2997</f>
        <v>0.0625</v>
      </c>
      <c r="P2997" s="0" t="n">
        <f aca="false">F2997*F2997</f>
        <v>1</v>
      </c>
      <c r="Q2997" s="0" t="n">
        <f aca="false">SUMPRODUCT(G2997:P2997,_XtX!$B$71:$K$71)</f>
        <v>45.7530397727273</v>
      </c>
      <c r="R2997" s="0" t="n">
        <f aca="false">SUMPRODUCT(MMULT(G2997:P2997,_XtX!$B$58:$K$67),G2997:P2997)</f>
        <v>0.475843394886364</v>
      </c>
      <c r="S2997" s="0" t="n">
        <f aca="false">04_回帰ANOVA!$K$19*04_回帰ANOVA!$K$14*SQRT(1+R2997)</f>
        <v>1.12950140123694</v>
      </c>
      <c r="T2997" s="0" t="n">
        <f aca="false">Q2997-S2997</f>
        <v>44.6235383714904</v>
      </c>
      <c r="U2997" s="0" t="n">
        <f aca="false">Q2997+S2997</f>
        <v>46.8825411739642</v>
      </c>
      <c r="V2997" s="54" t="b">
        <f aca="false">AND(D2997&gt;=01_因子設定!$L$5-0.000000001,D2997&lt;=01_因子設定!$M$5+0.000000001,E2997&gt;=01_因子設定!$L$6-0.000000001,E2997&lt;=01_因子設定!$M$6+0.000000001,F2997&gt;=01_因子設定!$L$7-0.000000001,F2997&lt;=01_因子設定!$M$7+0.000000001,IF(01_因子設定!$B$20="Box-Behnken",D2997^2+E2997^2+F2997^2&lt;=2+0.000000001,TRUE()))</f>
        <v>1</v>
      </c>
      <c r="W2997" s="55" t="n">
        <f aca="false">IF(V2997,IF(01_因子設定!$B$13="最大化",T2997-01_因子設定!$B$14,IF(01_因子設定!$B$13="最小化",01_因子設定!$B$15-U2997,MIN(T2997-01_因子設定!$B$14,01_因子設定!$B$15-U2997))),-1E+030)</f>
        <v>-3.87646162850964</v>
      </c>
      <c r="X2997" s="55" t="n">
        <f aca="false">IF(V2997,IF(01_因子設定!$B$13="最大化",Q2997,IF(01_因子設定!$B$13="最小化",-Q2997,-ABS(Q2997-01_因子設定!$B$16))),-1E+030)</f>
        <v>45.7530397727273</v>
      </c>
      <c r="Y2997" s="55" t="n">
        <f aca="false">W2997+ROW()*0.000000001</f>
        <v>-3.87645863150964</v>
      </c>
      <c r="Z2997" s="55" t="n">
        <f aca="false">X2997+ROW()*0.000000001</f>
        <v>45.7530427697273</v>
      </c>
    </row>
    <row r="2998" customFormat="false" ht="15" hidden="false" customHeight="false" outlineLevel="0" collapsed="false">
      <c r="A2998" s="0" t="n">
        <v>10</v>
      </c>
      <c r="B2998" s="0" t="n">
        <v>6</v>
      </c>
      <c r="C2998" s="0" t="n">
        <v>1</v>
      </c>
      <c r="D2998" s="0" t="n">
        <f aca="false">-1+A2998*0.125</f>
        <v>0.25</v>
      </c>
      <c r="E2998" s="0" t="n">
        <f aca="false">-1+B2998*0.125</f>
        <v>-0.25</v>
      </c>
      <c r="F2998" s="0" t="n">
        <f aca="false">-1+C2998*0.125</f>
        <v>-0.875</v>
      </c>
      <c r="G2998" s="0" t="n">
        <f aca="false">1</f>
        <v>1</v>
      </c>
      <c r="H2998" s="0" t="n">
        <f aca="false">D2998</f>
        <v>0.25</v>
      </c>
      <c r="I2998" s="0" t="n">
        <f aca="false">E2998</f>
        <v>-0.25</v>
      </c>
      <c r="J2998" s="0" t="n">
        <f aca="false">F2998</f>
        <v>-0.875</v>
      </c>
      <c r="K2998" s="0" t="n">
        <f aca="false">D2998*E2998</f>
        <v>-0.0625</v>
      </c>
      <c r="L2998" s="0" t="n">
        <f aca="false">D2998*F2998</f>
        <v>-0.21875</v>
      </c>
      <c r="M2998" s="0" t="n">
        <f aca="false">E2998*F2998</f>
        <v>0.21875</v>
      </c>
      <c r="N2998" s="0" t="n">
        <f aca="false">D2998*D2998</f>
        <v>0.0625</v>
      </c>
      <c r="O2998" s="0" t="n">
        <f aca="false">E2998*E2998</f>
        <v>0.0625</v>
      </c>
      <c r="P2998" s="0" t="n">
        <f aca="false">F2998*F2998</f>
        <v>0.765625</v>
      </c>
      <c r="Q2998" s="0" t="n">
        <f aca="false">SUMPRODUCT(G2998:P2998,_XtX!$B$71:$K$71)</f>
        <v>46.1827130681818</v>
      </c>
      <c r="R2998" s="0" t="n">
        <f aca="false">SUMPRODUCT(MMULT(G2998:P2998,_XtX!$B$58:$K$67),G2998:P2998)</f>
        <v>0.327561257102273</v>
      </c>
      <c r="S2998" s="0" t="n">
        <f aca="false">04_回帰ANOVA!$K$19*04_回帰ANOVA!$K$14*SQRT(1+R2998)</f>
        <v>1.07125761201315</v>
      </c>
      <c r="T2998" s="0" t="n">
        <f aca="false">Q2998-S2998</f>
        <v>45.1114554561687</v>
      </c>
      <c r="U2998" s="0" t="n">
        <f aca="false">Q2998+S2998</f>
        <v>47.253970680195</v>
      </c>
      <c r="V2998" s="54" t="b">
        <f aca="false">AND(D2998&gt;=01_因子設定!$L$5-0.000000001,D2998&lt;=01_因子設定!$M$5+0.000000001,E2998&gt;=01_因子設定!$L$6-0.000000001,E2998&lt;=01_因子設定!$M$6+0.000000001,F2998&gt;=01_因子設定!$L$7-0.000000001,F2998&lt;=01_因子設定!$M$7+0.000000001,IF(01_因子設定!$B$20="Box-Behnken",D2998^2+E2998^2+F2998^2&lt;=2+0.000000001,TRUE()))</f>
        <v>1</v>
      </c>
      <c r="W2998" s="55" t="n">
        <f aca="false">IF(V2998,IF(01_因子設定!$B$13="最大化",T2998-01_因子設定!$B$14,IF(01_因子設定!$B$13="最小化",01_因子設定!$B$15-U2998,MIN(T2998-01_因子設定!$B$14,01_因子設定!$B$15-U2998))),-1E+030)</f>
        <v>-3.38854454383131</v>
      </c>
      <c r="X2998" s="55" t="n">
        <f aca="false">IF(V2998,IF(01_因子設定!$B$13="最大化",Q2998,IF(01_因子設定!$B$13="最小化",-Q2998,-ABS(Q2998-01_因子設定!$B$16))),-1E+030)</f>
        <v>46.1827130681818</v>
      </c>
      <c r="Y2998" s="55" t="n">
        <f aca="false">W2998+ROW()*0.000000001</f>
        <v>-3.38854154583131</v>
      </c>
      <c r="Z2998" s="55" t="n">
        <f aca="false">X2998+ROW()*0.000000001</f>
        <v>46.1827160661818</v>
      </c>
    </row>
    <row r="2999" customFormat="false" ht="15" hidden="false" customHeight="false" outlineLevel="0" collapsed="false">
      <c r="A2999" s="0" t="n">
        <v>10</v>
      </c>
      <c r="B2999" s="0" t="n">
        <v>6</v>
      </c>
      <c r="C2999" s="0" t="n">
        <v>2</v>
      </c>
      <c r="D2999" s="0" t="n">
        <f aca="false">-1+A2999*0.125</f>
        <v>0.25</v>
      </c>
      <c r="E2999" s="0" t="n">
        <f aca="false">-1+B2999*0.125</f>
        <v>-0.25</v>
      </c>
      <c r="F2999" s="0" t="n">
        <f aca="false">-1+C2999*0.125</f>
        <v>-0.75</v>
      </c>
      <c r="G2999" s="0" t="n">
        <f aca="false">1</f>
        <v>1</v>
      </c>
      <c r="H2999" s="0" t="n">
        <f aca="false">D2999</f>
        <v>0.25</v>
      </c>
      <c r="I2999" s="0" t="n">
        <f aca="false">E2999</f>
        <v>-0.25</v>
      </c>
      <c r="J2999" s="0" t="n">
        <f aca="false">F2999</f>
        <v>-0.75</v>
      </c>
      <c r="K2999" s="0" t="n">
        <f aca="false">D2999*E2999</f>
        <v>-0.0625</v>
      </c>
      <c r="L2999" s="0" t="n">
        <f aca="false">D2999*F2999</f>
        <v>-0.1875</v>
      </c>
      <c r="M2999" s="0" t="n">
        <f aca="false">E2999*F2999</f>
        <v>0.1875</v>
      </c>
      <c r="N2999" s="0" t="n">
        <f aca="false">D2999*D2999</f>
        <v>0.0625</v>
      </c>
      <c r="O2999" s="0" t="n">
        <f aca="false">E2999*E2999</f>
        <v>0.0625</v>
      </c>
      <c r="P2999" s="0" t="n">
        <f aca="false">F2999*F2999</f>
        <v>0.5625</v>
      </c>
      <c r="Q2999" s="0" t="n">
        <f aca="false">SUMPRODUCT(G2999:P2999,_XtX!$B$71:$K$71)</f>
        <v>46.5755965909091</v>
      </c>
      <c r="R2999" s="0" t="n">
        <f aca="false">SUMPRODUCT(MMULT(G2999:P2999,_XtX!$B$58:$K$67),G2999:P2999)</f>
        <v>0.231365411931818</v>
      </c>
      <c r="S2999" s="0" t="n">
        <f aca="false">04_回帰ANOVA!$K$19*04_回帰ANOVA!$K$14*SQRT(1+R2999)</f>
        <v>1.03171587072803</v>
      </c>
      <c r="T2999" s="0" t="n">
        <f aca="false">Q2999-S2999</f>
        <v>45.5438807201811</v>
      </c>
      <c r="U2999" s="0" t="n">
        <f aca="false">Q2999+S2999</f>
        <v>47.6073124616371</v>
      </c>
      <c r="V2999" s="54" t="b">
        <f aca="false">AND(D2999&gt;=01_因子設定!$L$5-0.000000001,D2999&lt;=01_因子設定!$M$5+0.000000001,E2999&gt;=01_因子設定!$L$6-0.000000001,E2999&lt;=01_因子設定!$M$6+0.000000001,F2999&gt;=01_因子設定!$L$7-0.000000001,F2999&lt;=01_因子設定!$M$7+0.000000001,IF(01_因子設定!$B$20="Box-Behnken",D2999^2+E2999^2+F2999^2&lt;=2+0.000000001,TRUE()))</f>
        <v>1</v>
      </c>
      <c r="W2999" s="55" t="n">
        <f aca="false">IF(V2999,IF(01_因子設定!$B$13="最大化",T2999-01_因子設定!$B$14,IF(01_因子設定!$B$13="最小化",01_因子設定!$B$15-U2999,MIN(T2999-01_因子設定!$B$14,01_因子設定!$B$15-U2999))),-1E+030)</f>
        <v>-2.95611927981892</v>
      </c>
      <c r="X2999" s="55" t="n">
        <f aca="false">IF(V2999,IF(01_因子設定!$B$13="最大化",Q2999,IF(01_因子設定!$B$13="最小化",-Q2999,-ABS(Q2999-01_因子設定!$B$16))),-1E+030)</f>
        <v>46.5755965909091</v>
      </c>
      <c r="Y2999" s="55" t="n">
        <f aca="false">W2999+ROW()*0.000000001</f>
        <v>-2.95611628081892</v>
      </c>
      <c r="Z2999" s="55" t="n">
        <f aca="false">X2999+ROW()*0.000000001</f>
        <v>46.5755995899091</v>
      </c>
    </row>
    <row r="3000" customFormat="false" ht="15" hidden="false" customHeight="false" outlineLevel="0" collapsed="false">
      <c r="A3000" s="0" t="n">
        <v>10</v>
      </c>
      <c r="B3000" s="0" t="n">
        <v>6</v>
      </c>
      <c r="C3000" s="0" t="n">
        <v>3</v>
      </c>
      <c r="D3000" s="0" t="n">
        <f aca="false">-1+A3000*0.125</f>
        <v>0.25</v>
      </c>
      <c r="E3000" s="0" t="n">
        <f aca="false">-1+B3000*0.125</f>
        <v>-0.25</v>
      </c>
      <c r="F3000" s="0" t="n">
        <f aca="false">-1+C3000*0.125</f>
        <v>-0.625</v>
      </c>
      <c r="G3000" s="0" t="n">
        <f aca="false">1</f>
        <v>1</v>
      </c>
      <c r="H3000" s="0" t="n">
        <f aca="false">D3000</f>
        <v>0.25</v>
      </c>
      <c r="I3000" s="0" t="n">
        <f aca="false">E3000</f>
        <v>-0.25</v>
      </c>
      <c r="J3000" s="0" t="n">
        <f aca="false">F3000</f>
        <v>-0.625</v>
      </c>
      <c r="K3000" s="0" t="n">
        <f aca="false">D3000*E3000</f>
        <v>-0.0625</v>
      </c>
      <c r="L3000" s="0" t="n">
        <f aca="false">D3000*F3000</f>
        <v>-0.15625</v>
      </c>
      <c r="M3000" s="0" t="n">
        <f aca="false">E3000*F3000</f>
        <v>0.15625</v>
      </c>
      <c r="N3000" s="0" t="n">
        <f aca="false">D3000*D3000</f>
        <v>0.0625</v>
      </c>
      <c r="O3000" s="0" t="n">
        <f aca="false">E3000*E3000</f>
        <v>0.0625</v>
      </c>
      <c r="P3000" s="0" t="n">
        <f aca="false">F3000*F3000</f>
        <v>0.390625</v>
      </c>
      <c r="Q3000" s="0" t="n">
        <f aca="false">SUMPRODUCT(G3000:P3000,_XtX!$B$71:$K$71)</f>
        <v>46.9316903409091</v>
      </c>
      <c r="R3000" s="0" t="n">
        <f aca="false">SUMPRODUCT(MMULT(G3000:P3000,_XtX!$B$58:$K$67),G3000:P3000)</f>
        <v>0.173406427556818</v>
      </c>
      <c r="S3000" s="0" t="n">
        <f aca="false">04_回帰ANOVA!$K$19*04_回帰ANOVA!$K$14*SQRT(1+R3000)</f>
        <v>1.00714237128059</v>
      </c>
      <c r="T3000" s="0" t="n">
        <f aca="false">Q3000-S3000</f>
        <v>45.9245479696285</v>
      </c>
      <c r="U3000" s="0" t="n">
        <f aca="false">Q3000+S3000</f>
        <v>47.9388327121897</v>
      </c>
      <c r="V3000" s="54" t="b">
        <f aca="false">AND(D3000&gt;=01_因子設定!$L$5-0.000000001,D3000&lt;=01_因子設定!$M$5+0.000000001,E3000&gt;=01_因子設定!$L$6-0.000000001,E3000&lt;=01_因子設定!$M$6+0.000000001,F3000&gt;=01_因子設定!$L$7-0.000000001,F3000&lt;=01_因子設定!$M$7+0.000000001,IF(01_因子設定!$B$20="Box-Behnken",D3000^2+E3000^2+F3000^2&lt;=2+0.000000001,TRUE()))</f>
        <v>1</v>
      </c>
      <c r="W3000" s="55" t="n">
        <f aca="false">IF(V3000,IF(01_因子設定!$B$13="最大化",T3000-01_因子設定!$B$14,IF(01_因子設定!$B$13="最小化",01_因子設定!$B$15-U3000,MIN(T3000-01_因子設定!$B$14,01_因子設定!$B$15-U3000))),-1E+030)</f>
        <v>-2.57545203037149</v>
      </c>
      <c r="X3000" s="55" t="n">
        <f aca="false">IF(V3000,IF(01_因子設定!$B$13="最大化",Q3000,IF(01_因子設定!$B$13="最小化",-Q3000,-ABS(Q3000-01_因子設定!$B$16))),-1E+030)</f>
        <v>46.9316903409091</v>
      </c>
      <c r="Y3000" s="55" t="n">
        <f aca="false">W3000+ROW()*0.000000001</f>
        <v>-2.57544903037149</v>
      </c>
      <c r="Z3000" s="55" t="n">
        <f aca="false">X3000+ROW()*0.000000001</f>
        <v>46.9316933409091</v>
      </c>
    </row>
    <row r="3001" customFormat="false" ht="15" hidden="false" customHeight="false" outlineLevel="0" collapsed="false">
      <c r="A3001" s="0" t="n">
        <v>10</v>
      </c>
      <c r="B3001" s="0" t="n">
        <v>6</v>
      </c>
      <c r="C3001" s="0" t="n">
        <v>4</v>
      </c>
      <c r="D3001" s="0" t="n">
        <f aca="false">-1+A3001*0.125</f>
        <v>0.25</v>
      </c>
      <c r="E3001" s="0" t="n">
        <f aca="false">-1+B3001*0.125</f>
        <v>-0.25</v>
      </c>
      <c r="F3001" s="0" t="n">
        <f aca="false">-1+C3001*0.125</f>
        <v>-0.5</v>
      </c>
      <c r="G3001" s="0" t="n">
        <f aca="false">1</f>
        <v>1</v>
      </c>
      <c r="H3001" s="0" t="n">
        <f aca="false">D3001</f>
        <v>0.25</v>
      </c>
      <c r="I3001" s="0" t="n">
        <f aca="false">E3001</f>
        <v>-0.25</v>
      </c>
      <c r="J3001" s="0" t="n">
        <f aca="false">F3001</f>
        <v>-0.5</v>
      </c>
      <c r="K3001" s="0" t="n">
        <f aca="false">D3001*E3001</f>
        <v>-0.0625</v>
      </c>
      <c r="L3001" s="0" t="n">
        <f aca="false">D3001*F3001</f>
        <v>-0.125</v>
      </c>
      <c r="M3001" s="0" t="n">
        <f aca="false">E3001*F3001</f>
        <v>0.125</v>
      </c>
      <c r="N3001" s="0" t="n">
        <f aca="false">D3001*D3001</f>
        <v>0.0625</v>
      </c>
      <c r="O3001" s="0" t="n">
        <f aca="false">E3001*E3001</f>
        <v>0.0625</v>
      </c>
      <c r="P3001" s="0" t="n">
        <f aca="false">F3001*F3001</f>
        <v>0.25</v>
      </c>
      <c r="Q3001" s="0" t="n">
        <f aca="false">SUMPRODUCT(G3001:P3001,_XtX!$B$71:$K$71)</f>
        <v>47.2509943181818</v>
      </c>
      <c r="R3001" s="0" t="n">
        <f aca="false">SUMPRODUCT(MMULT(G3001:P3001,_XtX!$B$58:$K$67),G3001:P3001)</f>
        <v>0.141965553977273</v>
      </c>
      <c r="S3001" s="0" t="n">
        <f aca="false">04_回帰ANOVA!$K$19*04_回帰ANOVA!$K$14*SQRT(1+R3001)</f>
        <v>0.993557802198625</v>
      </c>
      <c r="T3001" s="0" t="n">
        <f aca="false">Q3001-S3001</f>
        <v>46.2574365159832</v>
      </c>
      <c r="U3001" s="0" t="n">
        <f aca="false">Q3001+S3001</f>
        <v>48.2445521203805</v>
      </c>
      <c r="V3001" s="54" t="b">
        <f aca="false">AND(D3001&gt;=01_因子設定!$L$5-0.000000001,D3001&lt;=01_因子設定!$M$5+0.000000001,E3001&gt;=01_因子設定!$L$6-0.000000001,E3001&lt;=01_因子設定!$M$6+0.000000001,F3001&gt;=01_因子設定!$L$7-0.000000001,F3001&lt;=01_因子設定!$M$7+0.000000001,IF(01_因子設定!$B$20="Box-Behnken",D3001^2+E3001^2+F3001^2&lt;=2+0.000000001,TRUE()))</f>
        <v>1</v>
      </c>
      <c r="W3001" s="55" t="n">
        <f aca="false">IF(V3001,IF(01_因子設定!$B$13="最大化",T3001-01_因子設定!$B$14,IF(01_因子設定!$B$13="最小化",01_因子設定!$B$15-U3001,MIN(T3001-01_因子設定!$B$14,01_因子設定!$B$15-U3001))),-1E+030)</f>
        <v>-2.24256348401679</v>
      </c>
      <c r="X3001" s="55" t="n">
        <f aca="false">IF(V3001,IF(01_因子設定!$B$13="最大化",Q3001,IF(01_因子設定!$B$13="最小化",-Q3001,-ABS(Q3001-01_因子設定!$B$16))),-1E+030)</f>
        <v>47.2509943181818</v>
      </c>
      <c r="Y3001" s="55" t="n">
        <f aca="false">W3001+ROW()*0.000000001</f>
        <v>-2.24256048301679</v>
      </c>
      <c r="Z3001" s="55" t="n">
        <f aca="false">X3001+ROW()*0.000000001</f>
        <v>47.2509973191818</v>
      </c>
    </row>
    <row r="3002" customFormat="false" ht="15" hidden="false" customHeight="false" outlineLevel="0" collapsed="false">
      <c r="A3002" s="0" t="n">
        <v>10</v>
      </c>
      <c r="B3002" s="0" t="n">
        <v>6</v>
      </c>
      <c r="C3002" s="0" t="n">
        <v>5</v>
      </c>
      <c r="D3002" s="0" t="n">
        <f aca="false">-1+A3002*0.125</f>
        <v>0.25</v>
      </c>
      <c r="E3002" s="0" t="n">
        <f aca="false">-1+B3002*0.125</f>
        <v>-0.25</v>
      </c>
      <c r="F3002" s="0" t="n">
        <f aca="false">-1+C3002*0.125</f>
        <v>-0.375</v>
      </c>
      <c r="G3002" s="0" t="n">
        <f aca="false">1</f>
        <v>1</v>
      </c>
      <c r="H3002" s="0" t="n">
        <f aca="false">D3002</f>
        <v>0.25</v>
      </c>
      <c r="I3002" s="0" t="n">
        <f aca="false">E3002</f>
        <v>-0.25</v>
      </c>
      <c r="J3002" s="0" t="n">
        <f aca="false">F3002</f>
        <v>-0.375</v>
      </c>
      <c r="K3002" s="0" t="n">
        <f aca="false">D3002*E3002</f>
        <v>-0.0625</v>
      </c>
      <c r="L3002" s="0" t="n">
        <f aca="false">D3002*F3002</f>
        <v>-0.09375</v>
      </c>
      <c r="M3002" s="0" t="n">
        <f aca="false">E3002*F3002</f>
        <v>0.09375</v>
      </c>
      <c r="N3002" s="0" t="n">
        <f aca="false">D3002*D3002</f>
        <v>0.0625</v>
      </c>
      <c r="O3002" s="0" t="n">
        <f aca="false">E3002*E3002</f>
        <v>0.0625</v>
      </c>
      <c r="P3002" s="0" t="n">
        <f aca="false">F3002*F3002</f>
        <v>0.140625</v>
      </c>
      <c r="Q3002" s="0" t="n">
        <f aca="false">SUMPRODUCT(G3002:P3002,_XtX!$B$71:$K$71)</f>
        <v>47.5335085227273</v>
      </c>
      <c r="R3002" s="0" t="n">
        <f aca="false">SUMPRODUCT(MMULT(G3002:P3002,_XtX!$B$58:$K$67),G3002:P3002)</f>
        <v>0.127454723011364</v>
      </c>
      <c r="S3002" s="0" t="n">
        <f aca="false">04_回帰ANOVA!$K$19*04_回帰ANOVA!$K$14*SQRT(1+R3002)</f>
        <v>0.987225105686864</v>
      </c>
      <c r="T3002" s="0" t="n">
        <f aca="false">Q3002-S3002</f>
        <v>46.5462834170404</v>
      </c>
      <c r="U3002" s="0" t="n">
        <f aca="false">Q3002+S3002</f>
        <v>48.5207336284142</v>
      </c>
      <c r="V3002" s="54" t="b">
        <f aca="false">AND(D3002&gt;=01_因子設定!$L$5-0.000000001,D3002&lt;=01_因子設定!$M$5+0.000000001,E3002&gt;=01_因子設定!$L$6-0.000000001,E3002&lt;=01_因子設定!$M$6+0.000000001,F3002&gt;=01_因子設定!$L$7-0.000000001,F3002&lt;=01_因子設定!$M$7+0.000000001,IF(01_因子設定!$B$20="Box-Behnken",D3002^2+E3002^2+F3002^2&lt;=2+0.000000001,TRUE()))</f>
        <v>1</v>
      </c>
      <c r="W3002" s="55" t="n">
        <f aca="false">IF(V3002,IF(01_因子設定!$B$13="最大化",T3002-01_因子設定!$B$14,IF(01_因子設定!$B$13="最小化",01_因子設定!$B$15-U3002,MIN(T3002-01_因子設定!$B$14,01_因子設定!$B$15-U3002))),-1E+030)</f>
        <v>-1.95371658295959</v>
      </c>
      <c r="X3002" s="55" t="n">
        <f aca="false">IF(V3002,IF(01_因子設定!$B$13="最大化",Q3002,IF(01_因子設定!$B$13="最小化",-Q3002,-ABS(Q3002-01_因子設定!$B$16))),-1E+030)</f>
        <v>47.5335085227273</v>
      </c>
      <c r="Y3002" s="55" t="n">
        <f aca="false">W3002+ROW()*0.000000001</f>
        <v>-1.95371358095959</v>
      </c>
      <c r="Z3002" s="55" t="n">
        <f aca="false">X3002+ROW()*0.000000001</f>
        <v>47.5335115247273</v>
      </c>
    </row>
    <row r="3003" customFormat="false" ht="15" hidden="false" customHeight="false" outlineLevel="0" collapsed="false">
      <c r="A3003" s="0" t="n">
        <v>10</v>
      </c>
      <c r="B3003" s="0" t="n">
        <v>6</v>
      </c>
      <c r="C3003" s="0" t="n">
        <v>6</v>
      </c>
      <c r="D3003" s="0" t="n">
        <f aca="false">-1+A3003*0.125</f>
        <v>0.25</v>
      </c>
      <c r="E3003" s="0" t="n">
        <f aca="false">-1+B3003*0.125</f>
        <v>-0.25</v>
      </c>
      <c r="F3003" s="0" t="n">
        <f aca="false">-1+C3003*0.125</f>
        <v>-0.25</v>
      </c>
      <c r="G3003" s="0" t="n">
        <f aca="false">1</f>
        <v>1</v>
      </c>
      <c r="H3003" s="0" t="n">
        <f aca="false">D3003</f>
        <v>0.25</v>
      </c>
      <c r="I3003" s="0" t="n">
        <f aca="false">E3003</f>
        <v>-0.25</v>
      </c>
      <c r="J3003" s="0" t="n">
        <f aca="false">F3003</f>
        <v>-0.25</v>
      </c>
      <c r="K3003" s="0" t="n">
        <f aca="false">D3003*E3003</f>
        <v>-0.0625</v>
      </c>
      <c r="L3003" s="0" t="n">
        <f aca="false">D3003*F3003</f>
        <v>-0.0625</v>
      </c>
      <c r="M3003" s="0" t="n">
        <f aca="false">E3003*F3003</f>
        <v>0.0625</v>
      </c>
      <c r="N3003" s="0" t="n">
        <f aca="false">D3003*D3003</f>
        <v>0.0625</v>
      </c>
      <c r="O3003" s="0" t="n">
        <f aca="false">E3003*E3003</f>
        <v>0.0625</v>
      </c>
      <c r="P3003" s="0" t="n">
        <f aca="false">F3003*F3003</f>
        <v>0.0625</v>
      </c>
      <c r="Q3003" s="0" t="n">
        <f aca="false">SUMPRODUCT(G3003:P3003,_XtX!$B$71:$K$71)</f>
        <v>47.7792329545455</v>
      </c>
      <c r="R3003" s="0" t="n">
        <f aca="false">SUMPRODUCT(MMULT(G3003:P3003,_XtX!$B$58:$K$67),G3003:P3003)</f>
        <v>0.122416548295455</v>
      </c>
      <c r="S3003" s="0" t="n">
        <f aca="false">04_回帰ANOVA!$K$19*04_回帰ANOVA!$K$14*SQRT(1+R3003)</f>
        <v>0.985016865549609</v>
      </c>
      <c r="T3003" s="0" t="n">
        <f aca="false">Q3003-S3003</f>
        <v>46.7942160889959</v>
      </c>
      <c r="U3003" s="0" t="n">
        <f aca="false">Q3003+S3003</f>
        <v>48.7642498200951</v>
      </c>
      <c r="V3003" s="54" t="b">
        <f aca="false">AND(D3003&gt;=01_因子設定!$L$5-0.000000001,D3003&lt;=01_因子設定!$M$5+0.000000001,E3003&gt;=01_因子設定!$L$6-0.000000001,E3003&lt;=01_因子設定!$M$6+0.000000001,F3003&gt;=01_因子設定!$L$7-0.000000001,F3003&lt;=01_因子設定!$M$7+0.000000001,IF(01_因子設定!$B$20="Box-Behnken",D3003^2+E3003^2+F3003^2&lt;=2+0.000000001,TRUE()))</f>
        <v>1</v>
      </c>
      <c r="W3003" s="55" t="n">
        <f aca="false">IF(V3003,IF(01_因子設定!$B$13="最大化",T3003-01_因子設定!$B$14,IF(01_因子設定!$B$13="最小化",01_因子設定!$B$15-U3003,MIN(T3003-01_因子設定!$B$14,01_因子設定!$B$15-U3003))),-1E+030)</f>
        <v>-1.70578391100415</v>
      </c>
      <c r="X3003" s="55" t="n">
        <f aca="false">IF(V3003,IF(01_因子設定!$B$13="最大化",Q3003,IF(01_因子設定!$B$13="最小化",-Q3003,-ABS(Q3003-01_因子設定!$B$16))),-1E+030)</f>
        <v>47.7792329545455</v>
      </c>
      <c r="Y3003" s="55" t="n">
        <f aca="false">W3003+ROW()*0.000000001</f>
        <v>-1.70578090800415</v>
      </c>
      <c r="Z3003" s="55" t="n">
        <f aca="false">X3003+ROW()*0.000000001</f>
        <v>47.7792359575455</v>
      </c>
    </row>
    <row r="3004" customFormat="false" ht="15" hidden="false" customHeight="false" outlineLevel="0" collapsed="false">
      <c r="A3004" s="0" t="n">
        <v>10</v>
      </c>
      <c r="B3004" s="0" t="n">
        <v>6</v>
      </c>
      <c r="C3004" s="0" t="n">
        <v>7</v>
      </c>
      <c r="D3004" s="0" t="n">
        <f aca="false">-1+A3004*0.125</f>
        <v>0.25</v>
      </c>
      <c r="E3004" s="0" t="n">
        <f aca="false">-1+B3004*0.125</f>
        <v>-0.25</v>
      </c>
      <c r="F3004" s="0" t="n">
        <f aca="false">-1+C3004*0.125</f>
        <v>-0.125</v>
      </c>
      <c r="G3004" s="0" t="n">
        <f aca="false">1</f>
        <v>1</v>
      </c>
      <c r="H3004" s="0" t="n">
        <f aca="false">D3004</f>
        <v>0.25</v>
      </c>
      <c r="I3004" s="0" t="n">
        <f aca="false">E3004</f>
        <v>-0.25</v>
      </c>
      <c r="J3004" s="0" t="n">
        <f aca="false">F3004</f>
        <v>-0.125</v>
      </c>
      <c r="K3004" s="0" t="n">
        <f aca="false">D3004*E3004</f>
        <v>-0.0625</v>
      </c>
      <c r="L3004" s="0" t="n">
        <f aca="false">D3004*F3004</f>
        <v>-0.03125</v>
      </c>
      <c r="M3004" s="0" t="n">
        <f aca="false">E3004*F3004</f>
        <v>0.03125</v>
      </c>
      <c r="N3004" s="0" t="n">
        <f aca="false">D3004*D3004</f>
        <v>0.0625</v>
      </c>
      <c r="O3004" s="0" t="n">
        <f aca="false">E3004*E3004</f>
        <v>0.0625</v>
      </c>
      <c r="P3004" s="0" t="n">
        <f aca="false">F3004*F3004</f>
        <v>0.015625</v>
      </c>
      <c r="Q3004" s="0" t="n">
        <f aca="false">SUMPRODUCT(G3004:P3004,_XtX!$B$71:$K$71)</f>
        <v>47.9881676136364</v>
      </c>
      <c r="R3004" s="0" t="n">
        <f aca="false">SUMPRODUCT(MMULT(G3004:P3004,_XtX!$B$58:$K$67),G3004:P3004)</f>
        <v>0.121524325284091</v>
      </c>
      <c r="S3004" s="0" t="n">
        <f aca="false">04_回帰ANOVA!$K$19*04_回帰ANOVA!$K$14*SQRT(1+R3004)</f>
        <v>0.984625286577447</v>
      </c>
      <c r="T3004" s="0" t="n">
        <f aca="false">Q3004-S3004</f>
        <v>47.0035423270589</v>
      </c>
      <c r="U3004" s="0" t="n">
        <f aca="false">Q3004+S3004</f>
        <v>48.9727929002138</v>
      </c>
      <c r="V3004" s="54" t="b">
        <f aca="false">AND(D3004&gt;=01_因子設定!$L$5-0.000000001,D3004&lt;=01_因子設定!$M$5+0.000000001,E3004&gt;=01_因子設定!$L$6-0.000000001,E3004&lt;=01_因子設定!$M$6+0.000000001,F3004&gt;=01_因子設定!$L$7-0.000000001,F3004&lt;=01_因子設定!$M$7+0.000000001,IF(01_因子設定!$B$20="Box-Behnken",D3004^2+E3004^2+F3004^2&lt;=2+0.000000001,TRUE()))</f>
        <v>1</v>
      </c>
      <c r="W3004" s="55" t="n">
        <f aca="false">IF(V3004,IF(01_因子設定!$B$13="最大化",T3004-01_因子設定!$B$14,IF(01_因子設定!$B$13="最小化",01_因子設定!$B$15-U3004,MIN(T3004-01_因子設定!$B$14,01_因子設定!$B$15-U3004))),-1E+030)</f>
        <v>-1.49645767294108</v>
      </c>
      <c r="X3004" s="55" t="n">
        <f aca="false">IF(V3004,IF(01_因子設定!$B$13="最大化",Q3004,IF(01_因子設定!$B$13="最小化",-Q3004,-ABS(Q3004-01_因子設定!$B$16))),-1E+030)</f>
        <v>47.9881676136364</v>
      </c>
      <c r="Y3004" s="55" t="n">
        <f aca="false">W3004+ROW()*0.000000001</f>
        <v>-1.49645466894108</v>
      </c>
      <c r="Z3004" s="55" t="n">
        <f aca="false">X3004+ROW()*0.000000001</f>
        <v>47.9881706176364</v>
      </c>
    </row>
    <row r="3005" customFormat="false" ht="15" hidden="false" customHeight="false" outlineLevel="0" collapsed="false">
      <c r="A3005" s="0" t="n">
        <v>10</v>
      </c>
      <c r="B3005" s="0" t="n">
        <v>6</v>
      </c>
      <c r="C3005" s="0" t="n">
        <v>8</v>
      </c>
      <c r="D3005" s="0" t="n">
        <f aca="false">-1+A3005*0.125</f>
        <v>0.25</v>
      </c>
      <c r="E3005" s="0" t="n">
        <f aca="false">-1+B3005*0.125</f>
        <v>-0.25</v>
      </c>
      <c r="F3005" s="0" t="n">
        <f aca="false">-1+C3005*0.125</f>
        <v>0</v>
      </c>
      <c r="G3005" s="0" t="n">
        <f aca="false">1</f>
        <v>1</v>
      </c>
      <c r="H3005" s="0" t="n">
        <f aca="false">D3005</f>
        <v>0.25</v>
      </c>
      <c r="I3005" s="0" t="n">
        <f aca="false">E3005</f>
        <v>-0.25</v>
      </c>
      <c r="J3005" s="0" t="n">
        <f aca="false">F3005</f>
        <v>0</v>
      </c>
      <c r="K3005" s="0" t="n">
        <f aca="false">D3005*E3005</f>
        <v>-0.0625</v>
      </c>
      <c r="L3005" s="0" t="n">
        <f aca="false">D3005*F3005</f>
        <v>0</v>
      </c>
      <c r="M3005" s="0" t="n">
        <f aca="false">E3005*F3005</f>
        <v>-0</v>
      </c>
      <c r="N3005" s="0" t="n">
        <f aca="false">D3005*D3005</f>
        <v>0.0625</v>
      </c>
      <c r="O3005" s="0" t="n">
        <f aca="false">E3005*E3005</f>
        <v>0.0625</v>
      </c>
      <c r="P3005" s="0" t="n">
        <f aca="false">F3005*F3005</f>
        <v>0</v>
      </c>
      <c r="Q3005" s="0" t="n">
        <f aca="false">SUMPRODUCT(G3005:P3005,_XtX!$B$71:$K$71)</f>
        <v>48.1603125</v>
      </c>
      <c r="R3005" s="0" t="n">
        <f aca="false">SUMPRODUCT(MMULT(G3005:P3005,_XtX!$B$58:$K$67),G3005:P3005)</f>
        <v>0.12158203125</v>
      </c>
      <c r="S3005" s="0" t="n">
        <f aca="false">04_回帰ANOVA!$K$19*04_回帰ANOVA!$K$14*SQRT(1+R3005)</f>
        <v>0.984650617290782</v>
      </c>
      <c r="T3005" s="0" t="n">
        <f aca="false">Q3005-S3005</f>
        <v>47.1756618827092</v>
      </c>
      <c r="U3005" s="0" t="n">
        <f aca="false">Q3005+S3005</f>
        <v>49.1449631172908</v>
      </c>
      <c r="V3005" s="54" t="b">
        <f aca="false">AND(D3005&gt;=01_因子設定!$L$5-0.000000001,D3005&lt;=01_因子設定!$M$5+0.000000001,E3005&gt;=01_因子設定!$L$6-0.000000001,E3005&lt;=01_因子設定!$M$6+0.000000001,F3005&gt;=01_因子設定!$L$7-0.000000001,F3005&lt;=01_因子設定!$M$7+0.000000001,IF(01_因子設定!$B$20="Box-Behnken",D3005^2+E3005^2+F3005^2&lt;=2+0.000000001,TRUE()))</f>
        <v>1</v>
      </c>
      <c r="W3005" s="55" t="n">
        <f aca="false">IF(V3005,IF(01_因子設定!$B$13="最大化",T3005-01_因子設定!$B$14,IF(01_因子設定!$B$13="最小化",01_因子設定!$B$15-U3005,MIN(T3005-01_因子設定!$B$14,01_因子設定!$B$15-U3005))),-1E+030)</f>
        <v>-1.32433811729077</v>
      </c>
      <c r="X3005" s="55" t="n">
        <f aca="false">IF(V3005,IF(01_因子設定!$B$13="最大化",Q3005,IF(01_因子設定!$B$13="最小化",-Q3005,-ABS(Q3005-01_因子設定!$B$16))),-1E+030)</f>
        <v>48.1603125</v>
      </c>
      <c r="Y3005" s="55" t="n">
        <f aca="false">W3005+ROW()*0.000000001</f>
        <v>-1.32433511229077</v>
      </c>
      <c r="Z3005" s="55" t="n">
        <f aca="false">X3005+ROW()*0.000000001</f>
        <v>48.160315505</v>
      </c>
    </row>
    <row r="3006" customFormat="false" ht="15" hidden="false" customHeight="false" outlineLevel="0" collapsed="false">
      <c r="A3006" s="0" t="n">
        <v>10</v>
      </c>
      <c r="B3006" s="0" t="n">
        <v>6</v>
      </c>
      <c r="C3006" s="0" t="n">
        <v>9</v>
      </c>
      <c r="D3006" s="0" t="n">
        <f aca="false">-1+A3006*0.125</f>
        <v>0.25</v>
      </c>
      <c r="E3006" s="0" t="n">
        <f aca="false">-1+B3006*0.125</f>
        <v>-0.25</v>
      </c>
      <c r="F3006" s="0" t="n">
        <f aca="false">-1+C3006*0.125</f>
        <v>0.125</v>
      </c>
      <c r="G3006" s="0" t="n">
        <f aca="false">1</f>
        <v>1</v>
      </c>
      <c r="H3006" s="0" t="n">
        <f aca="false">D3006</f>
        <v>0.25</v>
      </c>
      <c r="I3006" s="0" t="n">
        <f aca="false">E3006</f>
        <v>-0.25</v>
      </c>
      <c r="J3006" s="0" t="n">
        <f aca="false">F3006</f>
        <v>0.125</v>
      </c>
      <c r="K3006" s="0" t="n">
        <f aca="false">D3006*E3006</f>
        <v>-0.0625</v>
      </c>
      <c r="L3006" s="0" t="n">
        <f aca="false">D3006*F3006</f>
        <v>0.03125</v>
      </c>
      <c r="M3006" s="0" t="n">
        <f aca="false">E3006*F3006</f>
        <v>-0.03125</v>
      </c>
      <c r="N3006" s="0" t="n">
        <f aca="false">D3006*D3006</f>
        <v>0.0625</v>
      </c>
      <c r="O3006" s="0" t="n">
        <f aca="false">E3006*E3006</f>
        <v>0.0625</v>
      </c>
      <c r="P3006" s="0" t="n">
        <f aca="false">F3006*F3006</f>
        <v>0.015625</v>
      </c>
      <c r="Q3006" s="0" t="n">
        <f aca="false">SUMPRODUCT(G3006:P3006,_XtX!$B$71:$K$71)</f>
        <v>48.2956676136364</v>
      </c>
      <c r="R3006" s="0" t="n">
        <f aca="false">SUMPRODUCT(MMULT(G3006:P3006,_XtX!$B$58:$K$67),G3006:P3006)</f>
        <v>0.121524325284091</v>
      </c>
      <c r="S3006" s="0" t="n">
        <f aca="false">04_回帰ANOVA!$K$19*04_回帰ANOVA!$K$14*SQRT(1+R3006)</f>
        <v>0.984625286577447</v>
      </c>
      <c r="T3006" s="0" t="n">
        <f aca="false">Q3006-S3006</f>
        <v>47.3110423270589</v>
      </c>
      <c r="U3006" s="0" t="n">
        <f aca="false">Q3006+S3006</f>
        <v>49.2802929002138</v>
      </c>
      <c r="V3006" s="54" t="b">
        <f aca="false">AND(D3006&gt;=01_因子設定!$L$5-0.000000001,D3006&lt;=01_因子設定!$M$5+0.000000001,E3006&gt;=01_因子設定!$L$6-0.000000001,E3006&lt;=01_因子設定!$M$6+0.000000001,F3006&gt;=01_因子設定!$L$7-0.000000001,F3006&lt;=01_因子設定!$M$7+0.000000001,IF(01_因子設定!$B$20="Box-Behnken",D3006^2+E3006^2+F3006^2&lt;=2+0.000000001,TRUE()))</f>
        <v>1</v>
      </c>
      <c r="W3006" s="55" t="n">
        <f aca="false">IF(V3006,IF(01_因子設定!$B$13="最大化",T3006-01_因子設定!$B$14,IF(01_因子設定!$B$13="最小化",01_因子設定!$B$15-U3006,MIN(T3006-01_因子設定!$B$14,01_因子設定!$B$15-U3006))),-1E+030)</f>
        <v>-1.18895767294107</v>
      </c>
      <c r="X3006" s="55" t="n">
        <f aca="false">IF(V3006,IF(01_因子設定!$B$13="最大化",Q3006,IF(01_因子設定!$B$13="最小化",-Q3006,-ABS(Q3006-01_因子設定!$B$16))),-1E+030)</f>
        <v>48.2956676136364</v>
      </c>
      <c r="Y3006" s="55" t="n">
        <f aca="false">W3006+ROW()*0.000000001</f>
        <v>-1.18895466694107</v>
      </c>
      <c r="Z3006" s="55" t="n">
        <f aca="false">X3006+ROW()*0.000000001</f>
        <v>48.2956706196364</v>
      </c>
    </row>
    <row r="3007" customFormat="false" ht="15" hidden="false" customHeight="false" outlineLevel="0" collapsed="false">
      <c r="A3007" s="0" t="n">
        <v>10</v>
      </c>
      <c r="B3007" s="0" t="n">
        <v>6</v>
      </c>
      <c r="C3007" s="0" t="n">
        <v>10</v>
      </c>
      <c r="D3007" s="0" t="n">
        <f aca="false">-1+A3007*0.125</f>
        <v>0.25</v>
      </c>
      <c r="E3007" s="0" t="n">
        <f aca="false">-1+B3007*0.125</f>
        <v>-0.25</v>
      </c>
      <c r="F3007" s="0" t="n">
        <f aca="false">-1+C3007*0.125</f>
        <v>0.25</v>
      </c>
      <c r="G3007" s="0" t="n">
        <f aca="false">1</f>
        <v>1</v>
      </c>
      <c r="H3007" s="0" t="n">
        <f aca="false">D3007</f>
        <v>0.25</v>
      </c>
      <c r="I3007" s="0" t="n">
        <f aca="false">E3007</f>
        <v>-0.25</v>
      </c>
      <c r="J3007" s="0" t="n">
        <f aca="false">F3007</f>
        <v>0.25</v>
      </c>
      <c r="K3007" s="0" t="n">
        <f aca="false">D3007*E3007</f>
        <v>-0.0625</v>
      </c>
      <c r="L3007" s="0" t="n">
        <f aca="false">D3007*F3007</f>
        <v>0.0625</v>
      </c>
      <c r="M3007" s="0" t="n">
        <f aca="false">E3007*F3007</f>
        <v>-0.0625</v>
      </c>
      <c r="N3007" s="0" t="n">
        <f aca="false">D3007*D3007</f>
        <v>0.0625</v>
      </c>
      <c r="O3007" s="0" t="n">
        <f aca="false">E3007*E3007</f>
        <v>0.0625</v>
      </c>
      <c r="P3007" s="0" t="n">
        <f aca="false">F3007*F3007</f>
        <v>0.0625</v>
      </c>
      <c r="Q3007" s="0" t="n">
        <f aca="false">SUMPRODUCT(G3007:P3007,_XtX!$B$71:$K$71)</f>
        <v>48.3942329545455</v>
      </c>
      <c r="R3007" s="0" t="n">
        <f aca="false">SUMPRODUCT(MMULT(G3007:P3007,_XtX!$B$58:$K$67),G3007:P3007)</f>
        <v>0.122416548295455</v>
      </c>
      <c r="S3007" s="0" t="n">
        <f aca="false">04_回帰ANOVA!$K$19*04_回帰ANOVA!$K$14*SQRT(1+R3007)</f>
        <v>0.985016865549609</v>
      </c>
      <c r="T3007" s="0" t="n">
        <f aca="false">Q3007-S3007</f>
        <v>47.4092160889959</v>
      </c>
      <c r="U3007" s="0" t="n">
        <f aca="false">Q3007+S3007</f>
        <v>49.3792498200951</v>
      </c>
      <c r="V3007" s="54" t="b">
        <f aca="false">AND(D3007&gt;=01_因子設定!$L$5-0.000000001,D3007&lt;=01_因子設定!$M$5+0.000000001,E3007&gt;=01_因子設定!$L$6-0.000000001,E3007&lt;=01_因子設定!$M$6+0.000000001,F3007&gt;=01_因子設定!$L$7-0.000000001,F3007&lt;=01_因子設定!$M$7+0.000000001,IF(01_因子設定!$B$20="Box-Behnken",D3007^2+E3007^2+F3007^2&lt;=2+0.000000001,TRUE()))</f>
        <v>1</v>
      </c>
      <c r="W3007" s="55" t="n">
        <f aca="false">IF(V3007,IF(01_因子設定!$B$13="最大化",T3007-01_因子設定!$B$14,IF(01_因子設定!$B$13="最小化",01_因子設定!$B$15-U3007,MIN(T3007-01_因子設定!$B$14,01_因子設定!$B$15-U3007))),-1E+030)</f>
        <v>-1.09078391100415</v>
      </c>
      <c r="X3007" s="55" t="n">
        <f aca="false">IF(V3007,IF(01_因子設定!$B$13="最大化",Q3007,IF(01_因子設定!$B$13="最小化",-Q3007,-ABS(Q3007-01_因子設定!$B$16))),-1E+030)</f>
        <v>48.3942329545455</v>
      </c>
      <c r="Y3007" s="55" t="n">
        <f aca="false">W3007+ROW()*0.000000001</f>
        <v>-1.09078090400415</v>
      </c>
      <c r="Z3007" s="55" t="n">
        <f aca="false">X3007+ROW()*0.000000001</f>
        <v>48.3942359615455</v>
      </c>
    </row>
    <row r="3008" customFormat="false" ht="15" hidden="false" customHeight="false" outlineLevel="0" collapsed="false">
      <c r="A3008" s="0" t="n">
        <v>10</v>
      </c>
      <c r="B3008" s="0" t="n">
        <v>6</v>
      </c>
      <c r="C3008" s="0" t="n">
        <v>11</v>
      </c>
      <c r="D3008" s="0" t="n">
        <f aca="false">-1+A3008*0.125</f>
        <v>0.25</v>
      </c>
      <c r="E3008" s="0" t="n">
        <f aca="false">-1+B3008*0.125</f>
        <v>-0.25</v>
      </c>
      <c r="F3008" s="0" t="n">
        <f aca="false">-1+C3008*0.125</f>
        <v>0.375</v>
      </c>
      <c r="G3008" s="0" t="n">
        <f aca="false">1</f>
        <v>1</v>
      </c>
      <c r="H3008" s="0" t="n">
        <f aca="false">D3008</f>
        <v>0.25</v>
      </c>
      <c r="I3008" s="0" t="n">
        <f aca="false">E3008</f>
        <v>-0.25</v>
      </c>
      <c r="J3008" s="0" t="n">
        <f aca="false">F3008</f>
        <v>0.375</v>
      </c>
      <c r="K3008" s="0" t="n">
        <f aca="false">D3008*E3008</f>
        <v>-0.0625</v>
      </c>
      <c r="L3008" s="0" t="n">
        <f aca="false">D3008*F3008</f>
        <v>0.09375</v>
      </c>
      <c r="M3008" s="0" t="n">
        <f aca="false">E3008*F3008</f>
        <v>-0.09375</v>
      </c>
      <c r="N3008" s="0" t="n">
        <f aca="false">D3008*D3008</f>
        <v>0.0625</v>
      </c>
      <c r="O3008" s="0" t="n">
        <f aca="false">E3008*E3008</f>
        <v>0.0625</v>
      </c>
      <c r="P3008" s="0" t="n">
        <f aca="false">F3008*F3008</f>
        <v>0.140625</v>
      </c>
      <c r="Q3008" s="0" t="n">
        <f aca="false">SUMPRODUCT(G3008:P3008,_XtX!$B$71:$K$71)</f>
        <v>48.4560085227273</v>
      </c>
      <c r="R3008" s="0" t="n">
        <f aca="false">SUMPRODUCT(MMULT(G3008:P3008,_XtX!$B$58:$K$67),G3008:P3008)</f>
        <v>0.127454723011364</v>
      </c>
      <c r="S3008" s="0" t="n">
        <f aca="false">04_回帰ANOVA!$K$19*04_回帰ANOVA!$K$14*SQRT(1+R3008)</f>
        <v>0.987225105686864</v>
      </c>
      <c r="T3008" s="0" t="n">
        <f aca="false">Q3008-S3008</f>
        <v>47.4687834170404</v>
      </c>
      <c r="U3008" s="0" t="n">
        <f aca="false">Q3008+S3008</f>
        <v>49.4432336284142</v>
      </c>
      <c r="V3008" s="54" t="b">
        <f aca="false">AND(D3008&gt;=01_因子設定!$L$5-0.000000001,D3008&lt;=01_因子設定!$M$5+0.000000001,E3008&gt;=01_因子設定!$L$6-0.000000001,E3008&lt;=01_因子設定!$M$6+0.000000001,F3008&gt;=01_因子設定!$L$7-0.000000001,F3008&lt;=01_因子設定!$M$7+0.000000001,IF(01_因子設定!$B$20="Box-Behnken",D3008^2+E3008^2+F3008^2&lt;=2+0.000000001,TRUE()))</f>
        <v>1</v>
      </c>
      <c r="W3008" s="55" t="n">
        <f aca="false">IF(V3008,IF(01_因子設定!$B$13="最大化",T3008-01_因子設定!$B$14,IF(01_因子設定!$B$13="最小化",01_因子設定!$B$15-U3008,MIN(T3008-01_因子設定!$B$14,01_因子設定!$B$15-U3008))),-1E+030)</f>
        <v>-1.03121658295959</v>
      </c>
      <c r="X3008" s="55" t="n">
        <f aca="false">IF(V3008,IF(01_因子設定!$B$13="最大化",Q3008,IF(01_因子設定!$B$13="最小化",-Q3008,-ABS(Q3008-01_因子設定!$B$16))),-1E+030)</f>
        <v>48.4560085227273</v>
      </c>
      <c r="Y3008" s="55" t="n">
        <f aca="false">W3008+ROW()*0.000000001</f>
        <v>-1.03121357495959</v>
      </c>
      <c r="Z3008" s="55" t="n">
        <f aca="false">X3008+ROW()*0.000000001</f>
        <v>48.4560115307273</v>
      </c>
    </row>
    <row r="3009" customFormat="false" ht="15" hidden="false" customHeight="false" outlineLevel="0" collapsed="false">
      <c r="A3009" s="0" t="n">
        <v>10</v>
      </c>
      <c r="B3009" s="0" t="n">
        <v>6</v>
      </c>
      <c r="C3009" s="0" t="n">
        <v>12</v>
      </c>
      <c r="D3009" s="0" t="n">
        <f aca="false">-1+A3009*0.125</f>
        <v>0.25</v>
      </c>
      <c r="E3009" s="0" t="n">
        <f aca="false">-1+B3009*0.125</f>
        <v>-0.25</v>
      </c>
      <c r="F3009" s="0" t="n">
        <f aca="false">-1+C3009*0.125</f>
        <v>0.5</v>
      </c>
      <c r="G3009" s="0" t="n">
        <f aca="false">1</f>
        <v>1</v>
      </c>
      <c r="H3009" s="0" t="n">
        <f aca="false">D3009</f>
        <v>0.25</v>
      </c>
      <c r="I3009" s="0" t="n">
        <f aca="false">E3009</f>
        <v>-0.25</v>
      </c>
      <c r="J3009" s="0" t="n">
        <f aca="false">F3009</f>
        <v>0.5</v>
      </c>
      <c r="K3009" s="0" t="n">
        <f aca="false">D3009*E3009</f>
        <v>-0.0625</v>
      </c>
      <c r="L3009" s="0" t="n">
        <f aca="false">D3009*F3009</f>
        <v>0.125</v>
      </c>
      <c r="M3009" s="0" t="n">
        <f aca="false">E3009*F3009</f>
        <v>-0.125</v>
      </c>
      <c r="N3009" s="0" t="n">
        <f aca="false">D3009*D3009</f>
        <v>0.0625</v>
      </c>
      <c r="O3009" s="0" t="n">
        <f aca="false">E3009*E3009</f>
        <v>0.0625</v>
      </c>
      <c r="P3009" s="0" t="n">
        <f aca="false">F3009*F3009</f>
        <v>0.25</v>
      </c>
      <c r="Q3009" s="0" t="n">
        <f aca="false">SUMPRODUCT(G3009:P3009,_XtX!$B$71:$K$71)</f>
        <v>48.4809943181818</v>
      </c>
      <c r="R3009" s="0" t="n">
        <f aca="false">SUMPRODUCT(MMULT(G3009:P3009,_XtX!$B$58:$K$67),G3009:P3009)</f>
        <v>0.141965553977273</v>
      </c>
      <c r="S3009" s="0" t="n">
        <f aca="false">04_回帰ANOVA!$K$19*04_回帰ANOVA!$K$14*SQRT(1+R3009)</f>
        <v>0.993557802198625</v>
      </c>
      <c r="T3009" s="0" t="n">
        <f aca="false">Q3009-S3009</f>
        <v>47.4874365159832</v>
      </c>
      <c r="U3009" s="0" t="n">
        <f aca="false">Q3009+S3009</f>
        <v>49.4745521203805</v>
      </c>
      <c r="V3009" s="54" t="b">
        <f aca="false">AND(D3009&gt;=01_因子設定!$L$5-0.000000001,D3009&lt;=01_因子設定!$M$5+0.000000001,E3009&gt;=01_因子設定!$L$6-0.000000001,E3009&lt;=01_因子設定!$M$6+0.000000001,F3009&gt;=01_因子設定!$L$7-0.000000001,F3009&lt;=01_因子設定!$M$7+0.000000001,IF(01_因子設定!$B$20="Box-Behnken",D3009^2+E3009^2+F3009^2&lt;=2+0.000000001,TRUE()))</f>
        <v>1</v>
      </c>
      <c r="W3009" s="55" t="n">
        <f aca="false">IF(V3009,IF(01_因子設定!$B$13="最大化",T3009-01_因子設定!$B$14,IF(01_因子設定!$B$13="最小化",01_因子設定!$B$15-U3009,MIN(T3009-01_因子設定!$B$14,01_因子設定!$B$15-U3009))),-1E+030)</f>
        <v>-1.01256348401679</v>
      </c>
      <c r="X3009" s="55" t="n">
        <f aca="false">IF(V3009,IF(01_因子設定!$B$13="最大化",Q3009,IF(01_因子設定!$B$13="最小化",-Q3009,-ABS(Q3009-01_因子設定!$B$16))),-1E+030)</f>
        <v>48.4809943181818</v>
      </c>
      <c r="Y3009" s="55" t="n">
        <f aca="false">W3009+ROW()*0.000000001</f>
        <v>-1.01256047501679</v>
      </c>
      <c r="Z3009" s="55" t="n">
        <f aca="false">X3009+ROW()*0.000000001</f>
        <v>48.4809973271818</v>
      </c>
    </row>
    <row r="3010" customFormat="false" ht="15" hidden="false" customHeight="false" outlineLevel="0" collapsed="false">
      <c r="A3010" s="0" t="n">
        <v>10</v>
      </c>
      <c r="B3010" s="0" t="n">
        <v>6</v>
      </c>
      <c r="C3010" s="0" t="n">
        <v>13</v>
      </c>
      <c r="D3010" s="0" t="n">
        <f aca="false">-1+A3010*0.125</f>
        <v>0.25</v>
      </c>
      <c r="E3010" s="0" t="n">
        <f aca="false">-1+B3010*0.125</f>
        <v>-0.25</v>
      </c>
      <c r="F3010" s="0" t="n">
        <f aca="false">-1+C3010*0.125</f>
        <v>0.625</v>
      </c>
      <c r="G3010" s="0" t="n">
        <f aca="false">1</f>
        <v>1</v>
      </c>
      <c r="H3010" s="0" t="n">
        <f aca="false">D3010</f>
        <v>0.25</v>
      </c>
      <c r="I3010" s="0" t="n">
        <f aca="false">E3010</f>
        <v>-0.25</v>
      </c>
      <c r="J3010" s="0" t="n">
        <f aca="false">F3010</f>
        <v>0.625</v>
      </c>
      <c r="K3010" s="0" t="n">
        <f aca="false">D3010*E3010</f>
        <v>-0.0625</v>
      </c>
      <c r="L3010" s="0" t="n">
        <f aca="false">D3010*F3010</f>
        <v>0.15625</v>
      </c>
      <c r="M3010" s="0" t="n">
        <f aca="false">E3010*F3010</f>
        <v>-0.15625</v>
      </c>
      <c r="N3010" s="0" t="n">
        <f aca="false">D3010*D3010</f>
        <v>0.0625</v>
      </c>
      <c r="O3010" s="0" t="n">
        <f aca="false">E3010*E3010</f>
        <v>0.0625</v>
      </c>
      <c r="P3010" s="0" t="n">
        <f aca="false">F3010*F3010</f>
        <v>0.390625</v>
      </c>
      <c r="Q3010" s="0" t="n">
        <f aca="false">SUMPRODUCT(G3010:P3010,_XtX!$B$71:$K$71)</f>
        <v>48.4691903409091</v>
      </c>
      <c r="R3010" s="0" t="n">
        <f aca="false">SUMPRODUCT(MMULT(G3010:P3010,_XtX!$B$58:$K$67),G3010:P3010)</f>
        <v>0.173406427556818</v>
      </c>
      <c r="S3010" s="0" t="n">
        <f aca="false">04_回帰ANOVA!$K$19*04_回帰ANOVA!$K$14*SQRT(1+R3010)</f>
        <v>1.00714237128059</v>
      </c>
      <c r="T3010" s="0" t="n">
        <f aca="false">Q3010-S3010</f>
        <v>47.4620479696285</v>
      </c>
      <c r="U3010" s="0" t="n">
        <f aca="false">Q3010+S3010</f>
        <v>49.4763327121897</v>
      </c>
      <c r="V3010" s="54" t="b">
        <f aca="false">AND(D3010&gt;=01_因子設定!$L$5-0.000000001,D3010&lt;=01_因子設定!$M$5+0.000000001,E3010&gt;=01_因子設定!$L$6-0.000000001,E3010&lt;=01_因子設定!$M$6+0.000000001,F3010&gt;=01_因子設定!$L$7-0.000000001,F3010&lt;=01_因子設定!$M$7+0.000000001,IF(01_因子設定!$B$20="Box-Behnken",D3010^2+E3010^2+F3010^2&lt;=2+0.000000001,TRUE()))</f>
        <v>1</v>
      </c>
      <c r="W3010" s="55" t="n">
        <f aca="false">IF(V3010,IF(01_因子設定!$B$13="最大化",T3010-01_因子設定!$B$14,IF(01_因子設定!$B$13="最小化",01_因子設定!$B$15-U3010,MIN(T3010-01_因子設定!$B$14,01_因子設定!$B$15-U3010))),-1E+030)</f>
        <v>-1.03795203037149</v>
      </c>
      <c r="X3010" s="55" t="n">
        <f aca="false">IF(V3010,IF(01_因子設定!$B$13="最大化",Q3010,IF(01_因子設定!$B$13="最小化",-Q3010,-ABS(Q3010-01_因子設定!$B$16))),-1E+030)</f>
        <v>48.4691903409091</v>
      </c>
      <c r="Y3010" s="55" t="n">
        <f aca="false">W3010+ROW()*0.000000001</f>
        <v>-1.03794902037149</v>
      </c>
      <c r="Z3010" s="55" t="n">
        <f aca="false">X3010+ROW()*0.000000001</f>
        <v>48.4691933509091</v>
      </c>
    </row>
    <row r="3011" customFormat="false" ht="15" hidden="false" customHeight="false" outlineLevel="0" collapsed="false">
      <c r="A3011" s="0" t="n">
        <v>10</v>
      </c>
      <c r="B3011" s="0" t="n">
        <v>6</v>
      </c>
      <c r="C3011" s="0" t="n">
        <v>14</v>
      </c>
      <c r="D3011" s="0" t="n">
        <f aca="false">-1+A3011*0.125</f>
        <v>0.25</v>
      </c>
      <c r="E3011" s="0" t="n">
        <f aca="false">-1+B3011*0.125</f>
        <v>-0.25</v>
      </c>
      <c r="F3011" s="0" t="n">
        <f aca="false">-1+C3011*0.125</f>
        <v>0.75</v>
      </c>
      <c r="G3011" s="0" t="n">
        <f aca="false">1</f>
        <v>1</v>
      </c>
      <c r="H3011" s="0" t="n">
        <f aca="false">D3011</f>
        <v>0.25</v>
      </c>
      <c r="I3011" s="0" t="n">
        <f aca="false">E3011</f>
        <v>-0.25</v>
      </c>
      <c r="J3011" s="0" t="n">
        <f aca="false">F3011</f>
        <v>0.75</v>
      </c>
      <c r="K3011" s="0" t="n">
        <f aca="false">D3011*E3011</f>
        <v>-0.0625</v>
      </c>
      <c r="L3011" s="0" t="n">
        <f aca="false">D3011*F3011</f>
        <v>0.1875</v>
      </c>
      <c r="M3011" s="0" t="n">
        <f aca="false">E3011*F3011</f>
        <v>-0.1875</v>
      </c>
      <c r="N3011" s="0" t="n">
        <f aca="false">D3011*D3011</f>
        <v>0.0625</v>
      </c>
      <c r="O3011" s="0" t="n">
        <f aca="false">E3011*E3011</f>
        <v>0.0625</v>
      </c>
      <c r="P3011" s="0" t="n">
        <f aca="false">F3011*F3011</f>
        <v>0.5625</v>
      </c>
      <c r="Q3011" s="0" t="n">
        <f aca="false">SUMPRODUCT(G3011:P3011,_XtX!$B$71:$K$71)</f>
        <v>48.4205965909091</v>
      </c>
      <c r="R3011" s="0" t="n">
        <f aca="false">SUMPRODUCT(MMULT(G3011:P3011,_XtX!$B$58:$K$67),G3011:P3011)</f>
        <v>0.231365411931818</v>
      </c>
      <c r="S3011" s="0" t="n">
        <f aca="false">04_回帰ANOVA!$K$19*04_回帰ANOVA!$K$14*SQRT(1+R3011)</f>
        <v>1.03171587072803</v>
      </c>
      <c r="T3011" s="0" t="n">
        <f aca="false">Q3011-S3011</f>
        <v>47.3888807201811</v>
      </c>
      <c r="U3011" s="0" t="n">
        <f aca="false">Q3011+S3011</f>
        <v>49.4523124616371</v>
      </c>
      <c r="V3011" s="54" t="b">
        <f aca="false">AND(D3011&gt;=01_因子設定!$L$5-0.000000001,D3011&lt;=01_因子設定!$M$5+0.000000001,E3011&gt;=01_因子設定!$L$6-0.000000001,E3011&lt;=01_因子設定!$M$6+0.000000001,F3011&gt;=01_因子設定!$L$7-0.000000001,F3011&lt;=01_因子設定!$M$7+0.000000001,IF(01_因子設定!$B$20="Box-Behnken",D3011^2+E3011^2+F3011^2&lt;=2+0.000000001,TRUE()))</f>
        <v>1</v>
      </c>
      <c r="W3011" s="55" t="n">
        <f aca="false">IF(V3011,IF(01_因子設定!$B$13="最大化",T3011-01_因子設定!$B$14,IF(01_因子設定!$B$13="最小化",01_因子設定!$B$15-U3011,MIN(T3011-01_因子設定!$B$14,01_因子設定!$B$15-U3011))),-1E+030)</f>
        <v>-1.11111927981892</v>
      </c>
      <c r="X3011" s="55" t="n">
        <f aca="false">IF(V3011,IF(01_因子設定!$B$13="最大化",Q3011,IF(01_因子設定!$B$13="最小化",-Q3011,-ABS(Q3011-01_因子設定!$B$16))),-1E+030)</f>
        <v>48.4205965909091</v>
      </c>
      <c r="Y3011" s="55" t="n">
        <f aca="false">W3011+ROW()*0.000000001</f>
        <v>-1.11111626881892</v>
      </c>
      <c r="Z3011" s="55" t="n">
        <f aca="false">X3011+ROW()*0.000000001</f>
        <v>48.4205996019091</v>
      </c>
    </row>
    <row r="3012" customFormat="false" ht="15" hidden="false" customHeight="false" outlineLevel="0" collapsed="false">
      <c r="A3012" s="0" t="n">
        <v>10</v>
      </c>
      <c r="B3012" s="0" t="n">
        <v>6</v>
      </c>
      <c r="C3012" s="0" t="n">
        <v>15</v>
      </c>
      <c r="D3012" s="0" t="n">
        <f aca="false">-1+A3012*0.125</f>
        <v>0.25</v>
      </c>
      <c r="E3012" s="0" t="n">
        <f aca="false">-1+B3012*0.125</f>
        <v>-0.25</v>
      </c>
      <c r="F3012" s="0" t="n">
        <f aca="false">-1+C3012*0.125</f>
        <v>0.875</v>
      </c>
      <c r="G3012" s="0" t="n">
        <f aca="false">1</f>
        <v>1</v>
      </c>
      <c r="H3012" s="0" t="n">
        <f aca="false">D3012</f>
        <v>0.25</v>
      </c>
      <c r="I3012" s="0" t="n">
        <f aca="false">E3012</f>
        <v>-0.25</v>
      </c>
      <c r="J3012" s="0" t="n">
        <f aca="false">F3012</f>
        <v>0.875</v>
      </c>
      <c r="K3012" s="0" t="n">
        <f aca="false">D3012*E3012</f>
        <v>-0.0625</v>
      </c>
      <c r="L3012" s="0" t="n">
        <f aca="false">D3012*F3012</f>
        <v>0.21875</v>
      </c>
      <c r="M3012" s="0" t="n">
        <f aca="false">E3012*F3012</f>
        <v>-0.21875</v>
      </c>
      <c r="N3012" s="0" t="n">
        <f aca="false">D3012*D3012</f>
        <v>0.0625</v>
      </c>
      <c r="O3012" s="0" t="n">
        <f aca="false">E3012*E3012</f>
        <v>0.0625</v>
      </c>
      <c r="P3012" s="0" t="n">
        <f aca="false">F3012*F3012</f>
        <v>0.765625</v>
      </c>
      <c r="Q3012" s="0" t="n">
        <f aca="false">SUMPRODUCT(G3012:P3012,_XtX!$B$71:$K$71)</f>
        <v>48.3352130681818</v>
      </c>
      <c r="R3012" s="0" t="n">
        <f aca="false">SUMPRODUCT(MMULT(G3012:P3012,_XtX!$B$58:$K$67),G3012:P3012)</f>
        <v>0.327561257102273</v>
      </c>
      <c r="S3012" s="0" t="n">
        <f aca="false">04_回帰ANOVA!$K$19*04_回帰ANOVA!$K$14*SQRT(1+R3012)</f>
        <v>1.07125761201315</v>
      </c>
      <c r="T3012" s="0" t="n">
        <f aca="false">Q3012-S3012</f>
        <v>47.2639554561687</v>
      </c>
      <c r="U3012" s="0" t="n">
        <f aca="false">Q3012+S3012</f>
        <v>49.406470680195</v>
      </c>
      <c r="V3012" s="54" t="b">
        <f aca="false">AND(D3012&gt;=01_因子設定!$L$5-0.000000001,D3012&lt;=01_因子設定!$M$5+0.000000001,E3012&gt;=01_因子設定!$L$6-0.000000001,E3012&lt;=01_因子設定!$M$6+0.000000001,F3012&gt;=01_因子設定!$L$7-0.000000001,F3012&lt;=01_因子設定!$M$7+0.000000001,IF(01_因子設定!$B$20="Box-Behnken",D3012^2+E3012^2+F3012^2&lt;=2+0.000000001,TRUE()))</f>
        <v>1</v>
      </c>
      <c r="W3012" s="55" t="n">
        <f aca="false">IF(V3012,IF(01_因子設定!$B$13="最大化",T3012-01_因子設定!$B$14,IF(01_因子設定!$B$13="最小化",01_因子設定!$B$15-U3012,MIN(T3012-01_因子設定!$B$14,01_因子設定!$B$15-U3012))),-1E+030)</f>
        <v>-1.23604454383131</v>
      </c>
      <c r="X3012" s="55" t="n">
        <f aca="false">IF(V3012,IF(01_因子設定!$B$13="最大化",Q3012,IF(01_因子設定!$B$13="最小化",-Q3012,-ABS(Q3012-01_因子設定!$B$16))),-1E+030)</f>
        <v>48.3352130681818</v>
      </c>
      <c r="Y3012" s="55" t="n">
        <f aca="false">W3012+ROW()*0.000000001</f>
        <v>-1.23604153183131</v>
      </c>
      <c r="Z3012" s="55" t="n">
        <f aca="false">X3012+ROW()*0.000000001</f>
        <v>48.3352160801818</v>
      </c>
    </row>
    <row r="3013" customFormat="false" ht="15" hidden="false" customHeight="false" outlineLevel="0" collapsed="false">
      <c r="A3013" s="0" t="n">
        <v>10</v>
      </c>
      <c r="B3013" s="0" t="n">
        <v>6</v>
      </c>
      <c r="C3013" s="0" t="n">
        <v>16</v>
      </c>
      <c r="D3013" s="0" t="n">
        <f aca="false">-1+A3013*0.125</f>
        <v>0.25</v>
      </c>
      <c r="E3013" s="0" t="n">
        <f aca="false">-1+B3013*0.125</f>
        <v>-0.25</v>
      </c>
      <c r="F3013" s="0" t="n">
        <f aca="false">-1+C3013*0.125</f>
        <v>1</v>
      </c>
      <c r="G3013" s="0" t="n">
        <f aca="false">1</f>
        <v>1</v>
      </c>
      <c r="H3013" s="0" t="n">
        <f aca="false">D3013</f>
        <v>0.25</v>
      </c>
      <c r="I3013" s="0" t="n">
        <f aca="false">E3013</f>
        <v>-0.25</v>
      </c>
      <c r="J3013" s="0" t="n">
        <f aca="false">F3013</f>
        <v>1</v>
      </c>
      <c r="K3013" s="0" t="n">
        <f aca="false">D3013*E3013</f>
        <v>-0.0625</v>
      </c>
      <c r="L3013" s="0" t="n">
        <f aca="false">D3013*F3013</f>
        <v>0.25</v>
      </c>
      <c r="M3013" s="0" t="n">
        <f aca="false">E3013*F3013</f>
        <v>-0.25</v>
      </c>
      <c r="N3013" s="0" t="n">
        <f aca="false">D3013*D3013</f>
        <v>0.0625</v>
      </c>
      <c r="O3013" s="0" t="n">
        <f aca="false">E3013*E3013</f>
        <v>0.0625</v>
      </c>
      <c r="P3013" s="0" t="n">
        <f aca="false">F3013*F3013</f>
        <v>1</v>
      </c>
      <c r="Q3013" s="0" t="n">
        <f aca="false">SUMPRODUCT(G3013:P3013,_XtX!$B$71:$K$71)</f>
        <v>48.2130397727273</v>
      </c>
      <c r="R3013" s="0" t="n">
        <f aca="false">SUMPRODUCT(MMULT(G3013:P3013,_XtX!$B$58:$K$67),G3013:P3013)</f>
        <v>0.475843394886364</v>
      </c>
      <c r="S3013" s="0" t="n">
        <f aca="false">04_回帰ANOVA!$K$19*04_回帰ANOVA!$K$14*SQRT(1+R3013)</f>
        <v>1.12950140123694</v>
      </c>
      <c r="T3013" s="0" t="n">
        <f aca="false">Q3013-S3013</f>
        <v>47.0835383714904</v>
      </c>
      <c r="U3013" s="0" t="n">
        <f aca="false">Q3013+S3013</f>
        <v>49.3425411739642</v>
      </c>
      <c r="V3013" s="54" t="b">
        <f aca="false">AND(D3013&gt;=01_因子設定!$L$5-0.000000001,D3013&lt;=01_因子設定!$M$5+0.000000001,E3013&gt;=01_因子設定!$L$6-0.000000001,E3013&lt;=01_因子設定!$M$6+0.000000001,F3013&gt;=01_因子設定!$L$7-0.000000001,F3013&lt;=01_因子設定!$M$7+0.000000001,IF(01_因子設定!$B$20="Box-Behnken",D3013^2+E3013^2+F3013^2&lt;=2+0.000000001,TRUE()))</f>
        <v>1</v>
      </c>
      <c r="W3013" s="55" t="n">
        <f aca="false">IF(V3013,IF(01_因子設定!$B$13="最大化",T3013-01_因子設定!$B$14,IF(01_因子設定!$B$13="最小化",01_因子設定!$B$15-U3013,MIN(T3013-01_因子設定!$B$14,01_因子設定!$B$15-U3013))),-1E+030)</f>
        <v>-1.41646162850964</v>
      </c>
      <c r="X3013" s="55" t="n">
        <f aca="false">IF(V3013,IF(01_因子設定!$B$13="最大化",Q3013,IF(01_因子設定!$B$13="最小化",-Q3013,-ABS(Q3013-01_因子設定!$B$16))),-1E+030)</f>
        <v>48.2130397727273</v>
      </c>
      <c r="Y3013" s="55" t="n">
        <f aca="false">W3013+ROW()*0.000000001</f>
        <v>-1.41645861550964</v>
      </c>
      <c r="Z3013" s="55" t="n">
        <f aca="false">X3013+ROW()*0.000000001</f>
        <v>48.2130427857273</v>
      </c>
    </row>
    <row r="3014" customFormat="false" ht="15" hidden="false" customHeight="false" outlineLevel="0" collapsed="false">
      <c r="A3014" s="0" t="n">
        <v>10</v>
      </c>
      <c r="B3014" s="0" t="n">
        <v>7</v>
      </c>
      <c r="C3014" s="0" t="n">
        <v>0</v>
      </c>
      <c r="D3014" s="0" t="n">
        <f aca="false">-1+A3014*0.125</f>
        <v>0.25</v>
      </c>
      <c r="E3014" s="0" t="n">
        <f aca="false">-1+B3014*0.125</f>
        <v>-0.125</v>
      </c>
      <c r="F3014" s="0" t="n">
        <f aca="false">-1+C3014*0.125</f>
        <v>-1</v>
      </c>
      <c r="G3014" s="0" t="n">
        <f aca="false">1</f>
        <v>1</v>
      </c>
      <c r="H3014" s="0" t="n">
        <f aca="false">D3014</f>
        <v>0.25</v>
      </c>
      <c r="I3014" s="0" t="n">
        <f aca="false">E3014</f>
        <v>-0.125</v>
      </c>
      <c r="J3014" s="0" t="n">
        <f aca="false">F3014</f>
        <v>-1</v>
      </c>
      <c r="K3014" s="0" t="n">
        <f aca="false">D3014*E3014</f>
        <v>-0.03125</v>
      </c>
      <c r="L3014" s="0" t="n">
        <f aca="false">D3014*F3014</f>
        <v>-0.25</v>
      </c>
      <c r="M3014" s="0" t="n">
        <f aca="false">E3014*F3014</f>
        <v>0.125</v>
      </c>
      <c r="N3014" s="0" t="n">
        <f aca="false">D3014*D3014</f>
        <v>0.0625</v>
      </c>
      <c r="O3014" s="0" t="n">
        <f aca="false">E3014*E3014</f>
        <v>0.015625</v>
      </c>
      <c r="P3014" s="0" t="n">
        <f aca="false">F3014*F3014</f>
        <v>1</v>
      </c>
      <c r="Q3014" s="0" t="n">
        <f aca="false">SUMPRODUCT(G3014:P3014,_XtX!$B$71:$K$71)</f>
        <v>46.0888494318182</v>
      </c>
      <c r="R3014" s="0" t="n">
        <f aca="false">SUMPRODUCT(MMULT(G3014:P3014,_XtX!$B$58:$K$67),G3014:P3014)</f>
        <v>0.481443093039773</v>
      </c>
      <c r="S3014" s="0" t="n">
        <f aca="false">04_回帰ANOVA!$K$19*04_回帰ANOVA!$K$14*SQRT(1+R3014)</f>
        <v>1.13164216995877</v>
      </c>
      <c r="T3014" s="0" t="n">
        <f aca="false">Q3014-S3014</f>
        <v>44.9572072618594</v>
      </c>
      <c r="U3014" s="0" t="n">
        <f aca="false">Q3014+S3014</f>
        <v>47.220491601777</v>
      </c>
      <c r="V3014" s="54" t="b">
        <f aca="false">AND(D3014&gt;=01_因子設定!$L$5-0.000000001,D3014&lt;=01_因子設定!$M$5+0.000000001,E3014&gt;=01_因子設定!$L$6-0.000000001,E3014&lt;=01_因子設定!$M$6+0.000000001,F3014&gt;=01_因子設定!$L$7-0.000000001,F3014&lt;=01_因子設定!$M$7+0.000000001,IF(01_因子設定!$B$20="Box-Behnken",D3014^2+E3014^2+F3014^2&lt;=2+0.000000001,TRUE()))</f>
        <v>1</v>
      </c>
      <c r="W3014" s="55" t="n">
        <f aca="false">IF(V3014,IF(01_因子設定!$B$13="最大化",T3014-01_因子設定!$B$14,IF(01_因子設定!$B$13="最小化",01_因子設定!$B$15-U3014,MIN(T3014-01_因子設定!$B$14,01_因子設定!$B$15-U3014))),-1E+030)</f>
        <v>-3.54279273814056</v>
      </c>
      <c r="X3014" s="55" t="n">
        <f aca="false">IF(V3014,IF(01_因子設定!$B$13="最大化",Q3014,IF(01_因子設定!$B$13="最小化",-Q3014,-ABS(Q3014-01_因子設定!$B$16))),-1E+030)</f>
        <v>46.0888494318182</v>
      </c>
      <c r="Y3014" s="55" t="n">
        <f aca="false">W3014+ROW()*0.000000001</f>
        <v>-3.54278972414056</v>
      </c>
      <c r="Z3014" s="55" t="n">
        <f aca="false">X3014+ROW()*0.000000001</f>
        <v>46.0888524458182</v>
      </c>
    </row>
    <row r="3015" customFormat="false" ht="15" hidden="false" customHeight="false" outlineLevel="0" collapsed="false">
      <c r="A3015" s="0" t="n">
        <v>10</v>
      </c>
      <c r="B3015" s="0" t="n">
        <v>7</v>
      </c>
      <c r="C3015" s="0" t="n">
        <v>1</v>
      </c>
      <c r="D3015" s="0" t="n">
        <f aca="false">-1+A3015*0.125</f>
        <v>0.25</v>
      </c>
      <c r="E3015" s="0" t="n">
        <f aca="false">-1+B3015*0.125</f>
        <v>-0.125</v>
      </c>
      <c r="F3015" s="0" t="n">
        <f aca="false">-1+C3015*0.125</f>
        <v>-0.875</v>
      </c>
      <c r="G3015" s="0" t="n">
        <f aca="false">1</f>
        <v>1</v>
      </c>
      <c r="H3015" s="0" t="n">
        <f aca="false">D3015</f>
        <v>0.25</v>
      </c>
      <c r="I3015" s="0" t="n">
        <f aca="false">E3015</f>
        <v>-0.125</v>
      </c>
      <c r="J3015" s="0" t="n">
        <f aca="false">F3015</f>
        <v>-0.875</v>
      </c>
      <c r="K3015" s="0" t="n">
        <f aca="false">D3015*E3015</f>
        <v>-0.03125</v>
      </c>
      <c r="L3015" s="0" t="n">
        <f aca="false">D3015*F3015</f>
        <v>-0.21875</v>
      </c>
      <c r="M3015" s="0" t="n">
        <f aca="false">E3015*F3015</f>
        <v>0.109375</v>
      </c>
      <c r="N3015" s="0" t="n">
        <f aca="false">D3015*D3015</f>
        <v>0.0625</v>
      </c>
      <c r="O3015" s="0" t="n">
        <f aca="false">E3015*E3015</f>
        <v>0.015625</v>
      </c>
      <c r="P3015" s="0" t="n">
        <f aca="false">F3015*F3015</f>
        <v>0.765625</v>
      </c>
      <c r="Q3015" s="0" t="n">
        <f aca="false">SUMPRODUCT(G3015:P3015,_XtX!$B$71:$K$71)</f>
        <v>46.5255539772728</v>
      </c>
      <c r="R3015" s="0" t="n">
        <f aca="false">SUMPRODUCT(MMULT(G3015:P3015,_XtX!$B$58:$K$67),G3015:P3015)</f>
        <v>0.331537974964489</v>
      </c>
      <c r="S3015" s="0" t="n">
        <f aca="false">04_回帰ANOVA!$K$19*04_回帰ANOVA!$K$14*SQRT(1+R3015)</f>
        <v>1.07286089161565</v>
      </c>
      <c r="T3015" s="0" t="n">
        <f aca="false">Q3015-S3015</f>
        <v>45.4526930856571</v>
      </c>
      <c r="U3015" s="0" t="n">
        <f aca="false">Q3015+S3015</f>
        <v>47.5984148688884</v>
      </c>
      <c r="V3015" s="54" t="b">
        <f aca="false">AND(D3015&gt;=01_因子設定!$L$5-0.000000001,D3015&lt;=01_因子設定!$M$5+0.000000001,E3015&gt;=01_因子設定!$L$6-0.000000001,E3015&lt;=01_因子設定!$M$6+0.000000001,F3015&gt;=01_因子設定!$L$7-0.000000001,F3015&lt;=01_因子設定!$M$7+0.000000001,IF(01_因子設定!$B$20="Box-Behnken",D3015^2+E3015^2+F3015^2&lt;=2+0.000000001,TRUE()))</f>
        <v>1</v>
      </c>
      <c r="W3015" s="55" t="n">
        <f aca="false">IF(V3015,IF(01_因子設定!$B$13="最大化",T3015-01_因子設定!$B$14,IF(01_因子設定!$B$13="最小化",01_因子設定!$B$15-U3015,MIN(T3015-01_因子設定!$B$14,01_因子設定!$B$15-U3015))),-1E+030)</f>
        <v>-3.0473069143429</v>
      </c>
      <c r="X3015" s="55" t="n">
        <f aca="false">IF(V3015,IF(01_因子設定!$B$13="最大化",Q3015,IF(01_因子設定!$B$13="最小化",-Q3015,-ABS(Q3015-01_因子設定!$B$16))),-1E+030)</f>
        <v>46.5255539772728</v>
      </c>
      <c r="Y3015" s="55" t="n">
        <f aca="false">W3015+ROW()*0.000000001</f>
        <v>-3.0473038993429</v>
      </c>
      <c r="Z3015" s="55" t="n">
        <f aca="false">X3015+ROW()*0.000000001</f>
        <v>46.5255569922728</v>
      </c>
    </row>
    <row r="3016" customFormat="false" ht="15" hidden="false" customHeight="false" outlineLevel="0" collapsed="false">
      <c r="A3016" s="0" t="n">
        <v>10</v>
      </c>
      <c r="B3016" s="0" t="n">
        <v>7</v>
      </c>
      <c r="C3016" s="0" t="n">
        <v>2</v>
      </c>
      <c r="D3016" s="0" t="n">
        <f aca="false">-1+A3016*0.125</f>
        <v>0.25</v>
      </c>
      <c r="E3016" s="0" t="n">
        <f aca="false">-1+B3016*0.125</f>
        <v>-0.125</v>
      </c>
      <c r="F3016" s="0" t="n">
        <f aca="false">-1+C3016*0.125</f>
        <v>-0.75</v>
      </c>
      <c r="G3016" s="0" t="n">
        <f aca="false">1</f>
        <v>1</v>
      </c>
      <c r="H3016" s="0" t="n">
        <f aca="false">D3016</f>
        <v>0.25</v>
      </c>
      <c r="I3016" s="0" t="n">
        <f aca="false">E3016</f>
        <v>-0.125</v>
      </c>
      <c r="J3016" s="0" t="n">
        <f aca="false">F3016</f>
        <v>-0.75</v>
      </c>
      <c r="K3016" s="0" t="n">
        <f aca="false">D3016*E3016</f>
        <v>-0.03125</v>
      </c>
      <c r="L3016" s="0" t="n">
        <f aca="false">D3016*F3016</f>
        <v>-0.1875</v>
      </c>
      <c r="M3016" s="0" t="n">
        <f aca="false">E3016*F3016</f>
        <v>0.09375</v>
      </c>
      <c r="N3016" s="0" t="n">
        <f aca="false">D3016*D3016</f>
        <v>0.0625</v>
      </c>
      <c r="O3016" s="0" t="n">
        <f aca="false">E3016*E3016</f>
        <v>0.015625</v>
      </c>
      <c r="P3016" s="0" t="n">
        <f aca="false">F3016*F3016</f>
        <v>0.5625</v>
      </c>
      <c r="Q3016" s="0" t="n">
        <f aca="false">SUMPRODUCT(G3016:P3016,_XtX!$B$71:$K$71)</f>
        <v>46.92546875</v>
      </c>
      <c r="R3016" s="0" t="n">
        <f aca="false">SUMPRODUCT(MMULT(G3016:P3016,_XtX!$B$58:$K$67),G3016:P3016)</f>
        <v>0.233935546875</v>
      </c>
      <c r="S3016" s="0" t="n">
        <f aca="false">04_回帰ANOVA!$K$19*04_回帰ANOVA!$K$14*SQRT(1+R3016)</f>
        <v>1.03279202033444</v>
      </c>
      <c r="T3016" s="0" t="n">
        <f aca="false">Q3016-S3016</f>
        <v>45.8926767296656</v>
      </c>
      <c r="U3016" s="0" t="n">
        <f aca="false">Q3016+S3016</f>
        <v>47.9582607703345</v>
      </c>
      <c r="V3016" s="54" t="b">
        <f aca="false">AND(D3016&gt;=01_因子設定!$L$5-0.000000001,D3016&lt;=01_因子設定!$M$5+0.000000001,E3016&gt;=01_因子設定!$L$6-0.000000001,E3016&lt;=01_因子設定!$M$6+0.000000001,F3016&gt;=01_因子設定!$L$7-0.000000001,F3016&lt;=01_因子設定!$M$7+0.000000001,IF(01_因子設定!$B$20="Box-Behnken",D3016^2+E3016^2+F3016^2&lt;=2+0.000000001,TRUE()))</f>
        <v>1</v>
      </c>
      <c r="W3016" s="55" t="n">
        <f aca="false">IF(V3016,IF(01_因子設定!$B$13="最大化",T3016-01_因子設定!$B$14,IF(01_因子設定!$B$13="最小化",01_因子設定!$B$15-U3016,MIN(T3016-01_因子設定!$B$14,01_因子設定!$B$15-U3016))),-1E+030)</f>
        <v>-2.60732327033442</v>
      </c>
      <c r="X3016" s="55" t="n">
        <f aca="false">IF(V3016,IF(01_因子設定!$B$13="最大化",Q3016,IF(01_因子設定!$B$13="最小化",-Q3016,-ABS(Q3016-01_因子設定!$B$16))),-1E+030)</f>
        <v>46.92546875</v>
      </c>
      <c r="Y3016" s="55" t="n">
        <f aca="false">W3016+ROW()*0.000000001</f>
        <v>-2.60732025433442</v>
      </c>
      <c r="Z3016" s="55" t="n">
        <f aca="false">X3016+ROW()*0.000000001</f>
        <v>46.925471766</v>
      </c>
    </row>
    <row r="3017" customFormat="false" ht="15" hidden="false" customHeight="false" outlineLevel="0" collapsed="false">
      <c r="A3017" s="0" t="n">
        <v>10</v>
      </c>
      <c r="B3017" s="0" t="n">
        <v>7</v>
      </c>
      <c r="C3017" s="0" t="n">
        <v>3</v>
      </c>
      <c r="D3017" s="0" t="n">
        <f aca="false">-1+A3017*0.125</f>
        <v>0.25</v>
      </c>
      <c r="E3017" s="0" t="n">
        <f aca="false">-1+B3017*0.125</f>
        <v>-0.125</v>
      </c>
      <c r="F3017" s="0" t="n">
        <f aca="false">-1+C3017*0.125</f>
        <v>-0.625</v>
      </c>
      <c r="G3017" s="0" t="n">
        <f aca="false">1</f>
        <v>1</v>
      </c>
      <c r="H3017" s="0" t="n">
        <f aca="false">D3017</f>
        <v>0.25</v>
      </c>
      <c r="I3017" s="0" t="n">
        <f aca="false">E3017</f>
        <v>-0.125</v>
      </c>
      <c r="J3017" s="0" t="n">
        <f aca="false">F3017</f>
        <v>-0.625</v>
      </c>
      <c r="K3017" s="0" t="n">
        <f aca="false">D3017*E3017</f>
        <v>-0.03125</v>
      </c>
      <c r="L3017" s="0" t="n">
        <f aca="false">D3017*F3017</f>
        <v>-0.15625</v>
      </c>
      <c r="M3017" s="0" t="n">
        <f aca="false">E3017*F3017</f>
        <v>0.078125</v>
      </c>
      <c r="N3017" s="0" t="n">
        <f aca="false">D3017*D3017</f>
        <v>0.0625</v>
      </c>
      <c r="O3017" s="0" t="n">
        <f aca="false">E3017*E3017</f>
        <v>0.015625</v>
      </c>
      <c r="P3017" s="0" t="n">
        <f aca="false">F3017*F3017</f>
        <v>0.390625</v>
      </c>
      <c r="Q3017" s="0" t="n">
        <f aca="false">SUMPRODUCT(G3017:P3017,_XtX!$B$71:$K$71)</f>
        <v>47.28859375</v>
      </c>
      <c r="R3017" s="0" t="n">
        <f aca="false">SUMPRODUCT(MMULT(G3017:P3017,_XtX!$B$58:$K$67),G3017:P3017)</f>
        <v>0.174786376953125</v>
      </c>
      <c r="S3017" s="0" t="n">
        <f aca="false">04_回帰ANOVA!$K$19*04_回帰ANOVA!$K$14*SQRT(1+R3017)</f>
        <v>1.00773440704286</v>
      </c>
      <c r="T3017" s="0" t="n">
        <f aca="false">Q3017-S3017</f>
        <v>46.2808593429572</v>
      </c>
      <c r="U3017" s="0" t="n">
        <f aca="false">Q3017+S3017</f>
        <v>48.2963281570429</v>
      </c>
      <c r="V3017" s="54" t="b">
        <f aca="false">AND(D3017&gt;=01_因子設定!$L$5-0.000000001,D3017&lt;=01_因子設定!$M$5+0.000000001,E3017&gt;=01_因子設定!$L$6-0.000000001,E3017&lt;=01_因子設定!$M$6+0.000000001,F3017&gt;=01_因子設定!$L$7-0.000000001,F3017&lt;=01_因子設定!$M$7+0.000000001,IF(01_因子設定!$B$20="Box-Behnken",D3017^2+E3017^2+F3017^2&lt;=2+0.000000001,TRUE()))</f>
        <v>1</v>
      </c>
      <c r="W3017" s="55" t="n">
        <f aca="false">IF(V3017,IF(01_因子設定!$B$13="最大化",T3017-01_因子設定!$B$14,IF(01_因子設定!$B$13="最小化",01_因子設定!$B$15-U3017,MIN(T3017-01_因子設定!$B$14,01_因子設定!$B$15-U3017))),-1E+030)</f>
        <v>-2.21914065704284</v>
      </c>
      <c r="X3017" s="55" t="n">
        <f aca="false">IF(V3017,IF(01_因子設定!$B$13="最大化",Q3017,IF(01_因子設定!$B$13="最小化",-Q3017,-ABS(Q3017-01_因子設定!$B$16))),-1E+030)</f>
        <v>47.28859375</v>
      </c>
      <c r="Y3017" s="55" t="n">
        <f aca="false">W3017+ROW()*0.000000001</f>
        <v>-2.21913764004284</v>
      </c>
      <c r="Z3017" s="55" t="n">
        <f aca="false">X3017+ROW()*0.000000001</f>
        <v>47.288596767</v>
      </c>
    </row>
    <row r="3018" customFormat="false" ht="15" hidden="false" customHeight="false" outlineLevel="0" collapsed="false">
      <c r="A3018" s="0" t="n">
        <v>10</v>
      </c>
      <c r="B3018" s="0" t="n">
        <v>7</v>
      </c>
      <c r="C3018" s="0" t="n">
        <v>4</v>
      </c>
      <c r="D3018" s="0" t="n">
        <f aca="false">-1+A3018*0.125</f>
        <v>0.25</v>
      </c>
      <c r="E3018" s="0" t="n">
        <f aca="false">-1+B3018*0.125</f>
        <v>-0.125</v>
      </c>
      <c r="F3018" s="0" t="n">
        <f aca="false">-1+C3018*0.125</f>
        <v>-0.5</v>
      </c>
      <c r="G3018" s="0" t="n">
        <f aca="false">1</f>
        <v>1</v>
      </c>
      <c r="H3018" s="0" t="n">
        <f aca="false">D3018</f>
        <v>0.25</v>
      </c>
      <c r="I3018" s="0" t="n">
        <f aca="false">E3018</f>
        <v>-0.125</v>
      </c>
      <c r="J3018" s="0" t="n">
        <f aca="false">F3018</f>
        <v>-0.5</v>
      </c>
      <c r="K3018" s="0" t="n">
        <f aca="false">D3018*E3018</f>
        <v>-0.03125</v>
      </c>
      <c r="L3018" s="0" t="n">
        <f aca="false">D3018*F3018</f>
        <v>-0.125</v>
      </c>
      <c r="M3018" s="0" t="n">
        <f aca="false">E3018*F3018</f>
        <v>0.0625</v>
      </c>
      <c r="N3018" s="0" t="n">
        <f aca="false">D3018*D3018</f>
        <v>0.0625</v>
      </c>
      <c r="O3018" s="0" t="n">
        <f aca="false">E3018*E3018</f>
        <v>0.015625</v>
      </c>
      <c r="P3018" s="0" t="n">
        <f aca="false">F3018*F3018</f>
        <v>0.25</v>
      </c>
      <c r="Q3018" s="0" t="n">
        <f aca="false">SUMPRODUCT(G3018:P3018,_XtX!$B$71:$K$71)</f>
        <v>47.6149289772727</v>
      </c>
      <c r="R3018" s="0" t="n">
        <f aca="false">SUMPRODUCT(MMULT(G3018:P3018,_XtX!$B$58:$K$67),G3018:P3018)</f>
        <v>0.142371715198864</v>
      </c>
      <c r="S3018" s="0" t="n">
        <f aca="false">04_回帰ANOVA!$K$19*04_回帰ANOVA!$K$14*SQRT(1+R3018)</f>
        <v>0.99373447511735</v>
      </c>
      <c r="T3018" s="0" t="n">
        <f aca="false">Q3018-S3018</f>
        <v>46.6211945021554</v>
      </c>
      <c r="U3018" s="0" t="n">
        <f aca="false">Q3018+S3018</f>
        <v>48.6086634523901</v>
      </c>
      <c r="V3018" s="54" t="b">
        <f aca="false">AND(D3018&gt;=01_因子設定!$L$5-0.000000001,D3018&lt;=01_因子設定!$M$5+0.000000001,E3018&gt;=01_因子設定!$L$6-0.000000001,E3018&lt;=01_因子設定!$M$6+0.000000001,F3018&gt;=01_因子設定!$L$7-0.000000001,F3018&lt;=01_因子設定!$M$7+0.000000001,IF(01_因子設定!$B$20="Box-Behnken",D3018^2+E3018^2+F3018^2&lt;=2+0.000000001,TRUE()))</f>
        <v>1</v>
      </c>
      <c r="W3018" s="55" t="n">
        <f aca="false">IF(V3018,IF(01_因子設定!$B$13="最大化",T3018-01_因子設定!$B$14,IF(01_因子設定!$B$13="最小化",01_因子設定!$B$15-U3018,MIN(T3018-01_因子設定!$B$14,01_因子設定!$B$15-U3018))),-1E+030)</f>
        <v>-1.87880549784461</v>
      </c>
      <c r="X3018" s="55" t="n">
        <f aca="false">IF(V3018,IF(01_因子設定!$B$13="最大化",Q3018,IF(01_因子設定!$B$13="最小化",-Q3018,-ABS(Q3018-01_因子設定!$B$16))),-1E+030)</f>
        <v>47.6149289772727</v>
      </c>
      <c r="Y3018" s="55" t="n">
        <f aca="false">W3018+ROW()*0.000000001</f>
        <v>-1.87880247984461</v>
      </c>
      <c r="Z3018" s="55" t="n">
        <f aca="false">X3018+ROW()*0.000000001</f>
        <v>47.6149319952727</v>
      </c>
    </row>
    <row r="3019" customFormat="false" ht="15" hidden="false" customHeight="false" outlineLevel="0" collapsed="false">
      <c r="A3019" s="0" t="n">
        <v>10</v>
      </c>
      <c r="B3019" s="0" t="n">
        <v>7</v>
      </c>
      <c r="C3019" s="0" t="n">
        <v>5</v>
      </c>
      <c r="D3019" s="0" t="n">
        <f aca="false">-1+A3019*0.125</f>
        <v>0.25</v>
      </c>
      <c r="E3019" s="0" t="n">
        <f aca="false">-1+B3019*0.125</f>
        <v>-0.125</v>
      </c>
      <c r="F3019" s="0" t="n">
        <f aca="false">-1+C3019*0.125</f>
        <v>-0.375</v>
      </c>
      <c r="G3019" s="0" t="n">
        <f aca="false">1</f>
        <v>1</v>
      </c>
      <c r="H3019" s="0" t="n">
        <f aca="false">D3019</f>
        <v>0.25</v>
      </c>
      <c r="I3019" s="0" t="n">
        <f aca="false">E3019</f>
        <v>-0.125</v>
      </c>
      <c r="J3019" s="0" t="n">
        <f aca="false">F3019</f>
        <v>-0.375</v>
      </c>
      <c r="K3019" s="0" t="n">
        <f aca="false">D3019*E3019</f>
        <v>-0.03125</v>
      </c>
      <c r="L3019" s="0" t="n">
        <f aca="false">D3019*F3019</f>
        <v>-0.09375</v>
      </c>
      <c r="M3019" s="0" t="n">
        <f aca="false">E3019*F3019</f>
        <v>0.046875</v>
      </c>
      <c r="N3019" s="0" t="n">
        <f aca="false">D3019*D3019</f>
        <v>0.0625</v>
      </c>
      <c r="O3019" s="0" t="n">
        <f aca="false">E3019*E3019</f>
        <v>0.015625</v>
      </c>
      <c r="P3019" s="0" t="n">
        <f aca="false">F3019*F3019</f>
        <v>0.140625</v>
      </c>
      <c r="Q3019" s="0" t="n">
        <f aca="false">SUMPRODUCT(G3019:P3019,_XtX!$B$71:$K$71)</f>
        <v>47.9044744318182</v>
      </c>
      <c r="R3019" s="0" t="n">
        <f aca="false">SUMPRODUCT(MMULT(G3019:P3019,_XtX!$B$58:$K$67),G3019:P3019)</f>
        <v>0.127103493430398</v>
      </c>
      <c r="S3019" s="0" t="n">
        <f aca="false">04_回帰ANOVA!$K$19*04_回帰ANOVA!$K$14*SQRT(1+R3019)</f>
        <v>0.987071321387587</v>
      </c>
      <c r="T3019" s="0" t="n">
        <f aca="false">Q3019-S3019</f>
        <v>46.9174031104306</v>
      </c>
      <c r="U3019" s="0" t="n">
        <f aca="false">Q3019+S3019</f>
        <v>48.8915457532058</v>
      </c>
      <c r="V3019" s="54" t="b">
        <f aca="false">AND(D3019&gt;=01_因子設定!$L$5-0.000000001,D3019&lt;=01_因子設定!$M$5+0.000000001,E3019&gt;=01_因子設定!$L$6-0.000000001,E3019&lt;=01_因子設定!$M$6+0.000000001,F3019&gt;=01_因子設定!$L$7-0.000000001,F3019&lt;=01_因子設定!$M$7+0.000000001,IF(01_因子設定!$B$20="Box-Behnken",D3019^2+E3019^2+F3019^2&lt;=2+0.000000001,TRUE()))</f>
        <v>1</v>
      </c>
      <c r="W3019" s="55" t="n">
        <f aca="false">IF(V3019,IF(01_因子設定!$B$13="最大化",T3019-01_因子設定!$B$14,IF(01_因子設定!$B$13="最小化",01_因子設定!$B$15-U3019,MIN(T3019-01_因子設定!$B$14,01_因子設定!$B$15-U3019))),-1E+030)</f>
        <v>-1.58259688956939</v>
      </c>
      <c r="X3019" s="55" t="n">
        <f aca="false">IF(V3019,IF(01_因子設定!$B$13="最大化",Q3019,IF(01_因子設定!$B$13="最小化",-Q3019,-ABS(Q3019-01_因子設定!$B$16))),-1E+030)</f>
        <v>47.9044744318182</v>
      </c>
      <c r="Y3019" s="55" t="n">
        <f aca="false">W3019+ROW()*0.000000001</f>
        <v>-1.58259387056939</v>
      </c>
      <c r="Z3019" s="55" t="n">
        <f aca="false">X3019+ROW()*0.000000001</f>
        <v>47.9044774508182</v>
      </c>
    </row>
    <row r="3020" customFormat="false" ht="15" hidden="false" customHeight="false" outlineLevel="0" collapsed="false">
      <c r="A3020" s="0" t="n">
        <v>10</v>
      </c>
      <c r="B3020" s="0" t="n">
        <v>7</v>
      </c>
      <c r="C3020" s="0" t="n">
        <v>6</v>
      </c>
      <c r="D3020" s="0" t="n">
        <f aca="false">-1+A3020*0.125</f>
        <v>0.25</v>
      </c>
      <c r="E3020" s="0" t="n">
        <f aca="false">-1+B3020*0.125</f>
        <v>-0.125</v>
      </c>
      <c r="F3020" s="0" t="n">
        <f aca="false">-1+C3020*0.125</f>
        <v>-0.25</v>
      </c>
      <c r="G3020" s="0" t="n">
        <f aca="false">1</f>
        <v>1</v>
      </c>
      <c r="H3020" s="0" t="n">
        <f aca="false">D3020</f>
        <v>0.25</v>
      </c>
      <c r="I3020" s="0" t="n">
        <f aca="false">E3020</f>
        <v>-0.125</v>
      </c>
      <c r="J3020" s="0" t="n">
        <f aca="false">F3020</f>
        <v>-0.25</v>
      </c>
      <c r="K3020" s="0" t="n">
        <f aca="false">D3020*E3020</f>
        <v>-0.03125</v>
      </c>
      <c r="L3020" s="0" t="n">
        <f aca="false">D3020*F3020</f>
        <v>-0.0625</v>
      </c>
      <c r="M3020" s="0" t="n">
        <f aca="false">E3020*F3020</f>
        <v>0.03125</v>
      </c>
      <c r="N3020" s="0" t="n">
        <f aca="false">D3020*D3020</f>
        <v>0.0625</v>
      </c>
      <c r="O3020" s="0" t="n">
        <f aca="false">E3020*E3020</f>
        <v>0.015625</v>
      </c>
      <c r="P3020" s="0" t="n">
        <f aca="false">F3020*F3020</f>
        <v>0.0625</v>
      </c>
      <c r="Q3020" s="0" t="n">
        <f aca="false">SUMPRODUCT(G3020:P3020,_XtX!$B$71:$K$71)</f>
        <v>48.1572301136364</v>
      </c>
      <c r="R3020" s="0" t="n">
        <f aca="false">SUMPRODUCT(MMULT(G3020:P3020,_XtX!$B$58:$K$67),G3020:P3020)</f>
        <v>0.121524325284091</v>
      </c>
      <c r="S3020" s="0" t="n">
        <f aca="false">04_回帰ANOVA!$K$19*04_回帰ANOVA!$K$14*SQRT(1+R3020)</f>
        <v>0.984625286577447</v>
      </c>
      <c r="T3020" s="0" t="n">
        <f aca="false">Q3020-S3020</f>
        <v>47.1726048270589</v>
      </c>
      <c r="U3020" s="0" t="n">
        <f aca="false">Q3020+S3020</f>
        <v>49.1418554002138</v>
      </c>
      <c r="V3020" s="54" t="b">
        <f aca="false">AND(D3020&gt;=01_因子設定!$L$5-0.000000001,D3020&lt;=01_因子設定!$M$5+0.000000001,E3020&gt;=01_因子設定!$L$6-0.000000001,E3020&lt;=01_因子設定!$M$6+0.000000001,F3020&gt;=01_因子設定!$L$7-0.000000001,F3020&lt;=01_因子設定!$M$7+0.000000001,IF(01_因子設定!$B$20="Box-Behnken",D3020^2+E3020^2+F3020^2&lt;=2+0.000000001,TRUE()))</f>
        <v>1</v>
      </c>
      <c r="W3020" s="55" t="n">
        <f aca="false">IF(V3020,IF(01_因子設定!$B$13="最大化",T3020-01_因子設定!$B$14,IF(01_因子設定!$B$13="最小化",01_因子設定!$B$15-U3020,MIN(T3020-01_因子設定!$B$14,01_因子設定!$B$15-U3020))),-1E+030)</f>
        <v>-1.32739517294107</v>
      </c>
      <c r="X3020" s="55" t="n">
        <f aca="false">IF(V3020,IF(01_因子設定!$B$13="最大化",Q3020,IF(01_因子設定!$B$13="最小化",-Q3020,-ABS(Q3020-01_因子設定!$B$16))),-1E+030)</f>
        <v>48.1572301136364</v>
      </c>
      <c r="Y3020" s="55" t="n">
        <f aca="false">W3020+ROW()*0.000000001</f>
        <v>-1.32739215294107</v>
      </c>
      <c r="Z3020" s="55" t="n">
        <f aca="false">X3020+ROW()*0.000000001</f>
        <v>48.1572331336364</v>
      </c>
    </row>
    <row r="3021" customFormat="false" ht="15" hidden="false" customHeight="false" outlineLevel="0" collapsed="false">
      <c r="A3021" s="0" t="n">
        <v>10</v>
      </c>
      <c r="B3021" s="0" t="n">
        <v>7</v>
      </c>
      <c r="C3021" s="0" t="n">
        <v>7</v>
      </c>
      <c r="D3021" s="0" t="n">
        <f aca="false">-1+A3021*0.125</f>
        <v>0.25</v>
      </c>
      <c r="E3021" s="0" t="n">
        <f aca="false">-1+B3021*0.125</f>
        <v>-0.125</v>
      </c>
      <c r="F3021" s="0" t="n">
        <f aca="false">-1+C3021*0.125</f>
        <v>-0.125</v>
      </c>
      <c r="G3021" s="0" t="n">
        <f aca="false">1</f>
        <v>1</v>
      </c>
      <c r="H3021" s="0" t="n">
        <f aca="false">D3021</f>
        <v>0.25</v>
      </c>
      <c r="I3021" s="0" t="n">
        <f aca="false">E3021</f>
        <v>-0.125</v>
      </c>
      <c r="J3021" s="0" t="n">
        <f aca="false">F3021</f>
        <v>-0.125</v>
      </c>
      <c r="K3021" s="0" t="n">
        <f aca="false">D3021*E3021</f>
        <v>-0.03125</v>
      </c>
      <c r="L3021" s="0" t="n">
        <f aca="false">D3021*F3021</f>
        <v>-0.03125</v>
      </c>
      <c r="M3021" s="0" t="n">
        <f aca="false">E3021*F3021</f>
        <v>0.015625</v>
      </c>
      <c r="N3021" s="0" t="n">
        <f aca="false">D3021*D3021</f>
        <v>0.0625</v>
      </c>
      <c r="O3021" s="0" t="n">
        <f aca="false">E3021*E3021</f>
        <v>0.015625</v>
      </c>
      <c r="P3021" s="0" t="n">
        <f aca="false">F3021*F3021</f>
        <v>0.015625</v>
      </c>
      <c r="Q3021" s="0" t="n">
        <f aca="false">SUMPRODUCT(G3021:P3021,_XtX!$B$71:$K$71)</f>
        <v>48.3731960227273</v>
      </c>
      <c r="R3021" s="0" t="n">
        <f aca="false">SUMPRODUCT(MMULT(G3021:P3021,_XtX!$B$58:$K$67),G3021:P3021)</f>
        <v>0.120307506214489</v>
      </c>
      <c r="S3021" s="0" t="n">
        <f aca="false">04_回帰ANOVA!$K$19*04_回帰ANOVA!$K$14*SQRT(1+R3021)</f>
        <v>0.984090997684742</v>
      </c>
      <c r="T3021" s="0" t="n">
        <f aca="false">Q3021-S3021</f>
        <v>47.3891050250425</v>
      </c>
      <c r="U3021" s="0" t="n">
        <f aca="false">Q3021+S3021</f>
        <v>49.357287020412</v>
      </c>
      <c r="V3021" s="54" t="b">
        <f aca="false">AND(D3021&gt;=01_因子設定!$L$5-0.000000001,D3021&lt;=01_因子設定!$M$5+0.000000001,E3021&gt;=01_因子設定!$L$6-0.000000001,E3021&lt;=01_因子設定!$M$6+0.000000001,F3021&gt;=01_因子設定!$L$7-0.000000001,F3021&lt;=01_因子設定!$M$7+0.000000001,IF(01_因子設定!$B$20="Box-Behnken",D3021^2+E3021^2+F3021^2&lt;=2+0.000000001,TRUE()))</f>
        <v>1</v>
      </c>
      <c r="W3021" s="55" t="n">
        <f aca="false">IF(V3021,IF(01_因子設定!$B$13="最大化",T3021-01_因子設定!$B$14,IF(01_因子設定!$B$13="最小化",01_因子設定!$B$15-U3021,MIN(T3021-01_因子設定!$B$14,01_因子設定!$B$15-U3021))),-1E+030)</f>
        <v>-1.11089497495746</v>
      </c>
      <c r="X3021" s="55" t="n">
        <f aca="false">IF(V3021,IF(01_因子設定!$B$13="最大化",Q3021,IF(01_因子設定!$B$13="最小化",-Q3021,-ABS(Q3021-01_因子設定!$B$16))),-1E+030)</f>
        <v>48.3731960227273</v>
      </c>
      <c r="Y3021" s="55" t="n">
        <f aca="false">W3021+ROW()*0.000000001</f>
        <v>-1.11089195395746</v>
      </c>
      <c r="Z3021" s="55" t="n">
        <f aca="false">X3021+ROW()*0.000000001</f>
        <v>48.3731990437273</v>
      </c>
    </row>
    <row r="3022" customFormat="false" ht="15" hidden="false" customHeight="false" outlineLevel="0" collapsed="false">
      <c r="A3022" s="0" t="n">
        <v>10</v>
      </c>
      <c r="B3022" s="0" t="n">
        <v>7</v>
      </c>
      <c r="C3022" s="0" t="n">
        <v>8</v>
      </c>
      <c r="D3022" s="0" t="n">
        <f aca="false">-1+A3022*0.125</f>
        <v>0.25</v>
      </c>
      <c r="E3022" s="0" t="n">
        <f aca="false">-1+B3022*0.125</f>
        <v>-0.125</v>
      </c>
      <c r="F3022" s="0" t="n">
        <f aca="false">-1+C3022*0.125</f>
        <v>0</v>
      </c>
      <c r="G3022" s="0" t="n">
        <f aca="false">1</f>
        <v>1</v>
      </c>
      <c r="H3022" s="0" t="n">
        <f aca="false">D3022</f>
        <v>0.25</v>
      </c>
      <c r="I3022" s="0" t="n">
        <f aca="false">E3022</f>
        <v>-0.125</v>
      </c>
      <c r="J3022" s="0" t="n">
        <f aca="false">F3022</f>
        <v>0</v>
      </c>
      <c r="K3022" s="0" t="n">
        <f aca="false">D3022*E3022</f>
        <v>-0.03125</v>
      </c>
      <c r="L3022" s="0" t="n">
        <f aca="false">D3022*F3022</f>
        <v>0</v>
      </c>
      <c r="M3022" s="0" t="n">
        <f aca="false">E3022*F3022</f>
        <v>-0</v>
      </c>
      <c r="N3022" s="0" t="n">
        <f aca="false">D3022*D3022</f>
        <v>0.0625</v>
      </c>
      <c r="O3022" s="0" t="n">
        <f aca="false">E3022*E3022</f>
        <v>0.015625</v>
      </c>
      <c r="P3022" s="0" t="n">
        <f aca="false">F3022*F3022</f>
        <v>0</v>
      </c>
      <c r="Q3022" s="0" t="n">
        <f aca="false">SUMPRODUCT(G3022:P3022,_XtX!$B$71:$K$71)</f>
        <v>48.5523721590909</v>
      </c>
      <c r="R3022" s="0" t="n">
        <f aca="false">SUMPRODUCT(MMULT(G3022:P3022,_XtX!$B$58:$K$67),G3022:P3022)</f>
        <v>0.120257013494318</v>
      </c>
      <c r="S3022" s="0" t="n">
        <f aca="false">04_回帰ANOVA!$K$19*04_回帰ANOVA!$K$14*SQRT(1+R3022)</f>
        <v>0.984068820741811</v>
      </c>
      <c r="T3022" s="0" t="n">
        <f aca="false">Q3022-S3022</f>
        <v>47.5683033383491</v>
      </c>
      <c r="U3022" s="0" t="n">
        <f aca="false">Q3022+S3022</f>
        <v>49.5364409798327</v>
      </c>
      <c r="V3022" s="54" t="b">
        <f aca="false">AND(D3022&gt;=01_因子設定!$L$5-0.000000001,D3022&lt;=01_因子設定!$M$5+0.000000001,E3022&gt;=01_因子設定!$L$6-0.000000001,E3022&lt;=01_因子設定!$M$6+0.000000001,F3022&gt;=01_因子設定!$L$7-0.000000001,F3022&lt;=01_因子設定!$M$7+0.000000001,IF(01_因子設定!$B$20="Box-Behnken",D3022^2+E3022^2+F3022^2&lt;=2+0.000000001,TRUE()))</f>
        <v>1</v>
      </c>
      <c r="W3022" s="55" t="n">
        <f aca="false">IF(V3022,IF(01_因子設定!$B$13="最大化",T3022-01_因子設定!$B$14,IF(01_因子設定!$B$13="最小化",01_因子設定!$B$15-U3022,MIN(T3022-01_因子設定!$B$14,01_因子設定!$B$15-U3022))),-1E+030)</f>
        <v>-0.931696661650896</v>
      </c>
      <c r="X3022" s="55" t="n">
        <f aca="false">IF(V3022,IF(01_因子設定!$B$13="最大化",Q3022,IF(01_因子設定!$B$13="最小化",-Q3022,-ABS(Q3022-01_因子設定!$B$16))),-1E+030)</f>
        <v>48.5523721590909</v>
      </c>
      <c r="Y3022" s="55" t="n">
        <f aca="false">W3022+ROW()*0.000000001</f>
        <v>-0.931693639650896</v>
      </c>
      <c r="Z3022" s="55" t="n">
        <f aca="false">X3022+ROW()*0.000000001</f>
        <v>48.5523751810909</v>
      </c>
    </row>
    <row r="3023" customFormat="false" ht="15" hidden="false" customHeight="false" outlineLevel="0" collapsed="false">
      <c r="A3023" s="0" t="n">
        <v>10</v>
      </c>
      <c r="B3023" s="0" t="n">
        <v>7</v>
      </c>
      <c r="C3023" s="0" t="n">
        <v>9</v>
      </c>
      <c r="D3023" s="0" t="n">
        <f aca="false">-1+A3023*0.125</f>
        <v>0.25</v>
      </c>
      <c r="E3023" s="0" t="n">
        <f aca="false">-1+B3023*0.125</f>
        <v>-0.125</v>
      </c>
      <c r="F3023" s="0" t="n">
        <f aca="false">-1+C3023*0.125</f>
        <v>0.125</v>
      </c>
      <c r="G3023" s="0" t="n">
        <f aca="false">1</f>
        <v>1</v>
      </c>
      <c r="H3023" s="0" t="n">
        <f aca="false">D3023</f>
        <v>0.25</v>
      </c>
      <c r="I3023" s="0" t="n">
        <f aca="false">E3023</f>
        <v>-0.125</v>
      </c>
      <c r="J3023" s="0" t="n">
        <f aca="false">F3023</f>
        <v>0.125</v>
      </c>
      <c r="K3023" s="0" t="n">
        <f aca="false">D3023*E3023</f>
        <v>-0.03125</v>
      </c>
      <c r="L3023" s="0" t="n">
        <f aca="false">D3023*F3023</f>
        <v>0.03125</v>
      </c>
      <c r="M3023" s="0" t="n">
        <f aca="false">E3023*F3023</f>
        <v>-0.015625</v>
      </c>
      <c r="N3023" s="0" t="n">
        <f aca="false">D3023*D3023</f>
        <v>0.0625</v>
      </c>
      <c r="O3023" s="0" t="n">
        <f aca="false">E3023*E3023</f>
        <v>0.015625</v>
      </c>
      <c r="P3023" s="0" t="n">
        <f aca="false">F3023*F3023</f>
        <v>0.015625</v>
      </c>
      <c r="Q3023" s="0" t="n">
        <f aca="false">SUMPRODUCT(G3023:P3023,_XtX!$B$71:$K$71)</f>
        <v>48.6947585227273</v>
      </c>
      <c r="R3023" s="0" t="n">
        <f aca="false">SUMPRODUCT(MMULT(G3023:P3023,_XtX!$B$58:$K$67),G3023:P3023)</f>
        <v>0.120307506214489</v>
      </c>
      <c r="S3023" s="0" t="n">
        <f aca="false">04_回帰ANOVA!$K$19*04_回帰ANOVA!$K$14*SQRT(1+R3023)</f>
        <v>0.984090997684742</v>
      </c>
      <c r="T3023" s="0" t="n">
        <f aca="false">Q3023-S3023</f>
        <v>47.7106675250425</v>
      </c>
      <c r="U3023" s="0" t="n">
        <f aca="false">Q3023+S3023</f>
        <v>49.678849520412</v>
      </c>
      <c r="V3023" s="54" t="b">
        <f aca="false">AND(D3023&gt;=01_因子設定!$L$5-0.000000001,D3023&lt;=01_因子設定!$M$5+0.000000001,E3023&gt;=01_因子設定!$L$6-0.000000001,E3023&lt;=01_因子設定!$M$6+0.000000001,F3023&gt;=01_因子設定!$L$7-0.000000001,F3023&lt;=01_因子設定!$M$7+0.000000001,IF(01_因子設定!$B$20="Box-Behnken",D3023^2+E3023^2+F3023^2&lt;=2+0.000000001,TRUE()))</f>
        <v>1</v>
      </c>
      <c r="W3023" s="55" t="n">
        <f aca="false">IF(V3023,IF(01_因子設定!$B$13="最大化",T3023-01_因子設定!$B$14,IF(01_因子設定!$B$13="最小化",01_因子設定!$B$15-U3023,MIN(T3023-01_因子設定!$B$14,01_因子設定!$B$15-U3023))),-1E+030)</f>
        <v>-0.789332474957455</v>
      </c>
      <c r="X3023" s="55" t="n">
        <f aca="false">IF(V3023,IF(01_因子設定!$B$13="最大化",Q3023,IF(01_因子設定!$B$13="最小化",-Q3023,-ABS(Q3023-01_因子設定!$B$16))),-1E+030)</f>
        <v>48.6947585227273</v>
      </c>
      <c r="Y3023" s="55" t="n">
        <f aca="false">W3023+ROW()*0.000000001</f>
        <v>-0.789329451957455</v>
      </c>
      <c r="Z3023" s="55" t="n">
        <f aca="false">X3023+ROW()*0.000000001</f>
        <v>48.6947615457273</v>
      </c>
    </row>
    <row r="3024" customFormat="false" ht="15" hidden="false" customHeight="false" outlineLevel="0" collapsed="false">
      <c r="A3024" s="0" t="n">
        <v>10</v>
      </c>
      <c r="B3024" s="0" t="n">
        <v>7</v>
      </c>
      <c r="C3024" s="0" t="n">
        <v>10</v>
      </c>
      <c r="D3024" s="0" t="n">
        <f aca="false">-1+A3024*0.125</f>
        <v>0.25</v>
      </c>
      <c r="E3024" s="0" t="n">
        <f aca="false">-1+B3024*0.125</f>
        <v>-0.125</v>
      </c>
      <c r="F3024" s="0" t="n">
        <f aca="false">-1+C3024*0.125</f>
        <v>0.25</v>
      </c>
      <c r="G3024" s="0" t="n">
        <f aca="false">1</f>
        <v>1</v>
      </c>
      <c r="H3024" s="0" t="n">
        <f aca="false">D3024</f>
        <v>0.25</v>
      </c>
      <c r="I3024" s="0" t="n">
        <f aca="false">E3024</f>
        <v>-0.125</v>
      </c>
      <c r="J3024" s="0" t="n">
        <f aca="false">F3024</f>
        <v>0.25</v>
      </c>
      <c r="K3024" s="0" t="n">
        <f aca="false">D3024*E3024</f>
        <v>-0.03125</v>
      </c>
      <c r="L3024" s="0" t="n">
        <f aca="false">D3024*F3024</f>
        <v>0.0625</v>
      </c>
      <c r="M3024" s="0" t="n">
        <f aca="false">E3024*F3024</f>
        <v>-0.03125</v>
      </c>
      <c r="N3024" s="0" t="n">
        <f aca="false">D3024*D3024</f>
        <v>0.0625</v>
      </c>
      <c r="O3024" s="0" t="n">
        <f aca="false">E3024*E3024</f>
        <v>0.015625</v>
      </c>
      <c r="P3024" s="0" t="n">
        <f aca="false">F3024*F3024</f>
        <v>0.0625</v>
      </c>
      <c r="Q3024" s="0" t="n">
        <f aca="false">SUMPRODUCT(G3024:P3024,_XtX!$B$71:$K$71)</f>
        <v>48.8003551136364</v>
      </c>
      <c r="R3024" s="0" t="n">
        <f aca="false">SUMPRODUCT(MMULT(G3024:P3024,_XtX!$B$58:$K$67),G3024:P3024)</f>
        <v>0.121524325284091</v>
      </c>
      <c r="S3024" s="0" t="n">
        <f aca="false">04_回帰ANOVA!$K$19*04_回帰ANOVA!$K$14*SQRT(1+R3024)</f>
        <v>0.984625286577447</v>
      </c>
      <c r="T3024" s="0" t="n">
        <f aca="false">Q3024-S3024</f>
        <v>47.8157298270589</v>
      </c>
      <c r="U3024" s="0" t="n">
        <f aca="false">Q3024+S3024</f>
        <v>49.7849804002138</v>
      </c>
      <c r="V3024" s="54" t="b">
        <f aca="false">AND(D3024&gt;=01_因子設定!$L$5-0.000000001,D3024&lt;=01_因子設定!$M$5+0.000000001,E3024&gt;=01_因子設定!$L$6-0.000000001,E3024&lt;=01_因子設定!$M$6+0.000000001,F3024&gt;=01_因子設定!$L$7-0.000000001,F3024&lt;=01_因子設定!$M$7+0.000000001,IF(01_因子設定!$B$20="Box-Behnken",D3024^2+E3024^2+F3024^2&lt;=2+0.000000001,TRUE()))</f>
        <v>1</v>
      </c>
      <c r="W3024" s="55" t="n">
        <f aca="false">IF(V3024,IF(01_因子設定!$B$13="最大化",T3024-01_因子設定!$B$14,IF(01_因子設定!$B$13="最小化",01_因子設定!$B$15-U3024,MIN(T3024-01_因子設定!$B$14,01_因子設定!$B$15-U3024))),-1E+030)</f>
        <v>-0.684270172941076</v>
      </c>
      <c r="X3024" s="55" t="n">
        <f aca="false">IF(V3024,IF(01_因子設定!$B$13="最大化",Q3024,IF(01_因子設定!$B$13="最小化",-Q3024,-ABS(Q3024-01_因子設定!$B$16))),-1E+030)</f>
        <v>48.8003551136364</v>
      </c>
      <c r="Y3024" s="55" t="n">
        <f aca="false">W3024+ROW()*0.000000001</f>
        <v>-0.684267148941076</v>
      </c>
      <c r="Z3024" s="55" t="n">
        <f aca="false">X3024+ROW()*0.000000001</f>
        <v>48.8003581376364</v>
      </c>
    </row>
    <row r="3025" customFormat="false" ht="15" hidden="false" customHeight="false" outlineLevel="0" collapsed="false">
      <c r="A3025" s="0" t="n">
        <v>10</v>
      </c>
      <c r="B3025" s="0" t="n">
        <v>7</v>
      </c>
      <c r="C3025" s="0" t="n">
        <v>11</v>
      </c>
      <c r="D3025" s="0" t="n">
        <f aca="false">-1+A3025*0.125</f>
        <v>0.25</v>
      </c>
      <c r="E3025" s="0" t="n">
        <f aca="false">-1+B3025*0.125</f>
        <v>-0.125</v>
      </c>
      <c r="F3025" s="0" t="n">
        <f aca="false">-1+C3025*0.125</f>
        <v>0.375</v>
      </c>
      <c r="G3025" s="0" t="n">
        <f aca="false">1</f>
        <v>1</v>
      </c>
      <c r="H3025" s="0" t="n">
        <f aca="false">D3025</f>
        <v>0.25</v>
      </c>
      <c r="I3025" s="0" t="n">
        <f aca="false">E3025</f>
        <v>-0.125</v>
      </c>
      <c r="J3025" s="0" t="n">
        <f aca="false">F3025</f>
        <v>0.375</v>
      </c>
      <c r="K3025" s="0" t="n">
        <f aca="false">D3025*E3025</f>
        <v>-0.03125</v>
      </c>
      <c r="L3025" s="0" t="n">
        <f aca="false">D3025*F3025</f>
        <v>0.09375</v>
      </c>
      <c r="M3025" s="0" t="n">
        <f aca="false">E3025*F3025</f>
        <v>-0.046875</v>
      </c>
      <c r="N3025" s="0" t="n">
        <f aca="false">D3025*D3025</f>
        <v>0.0625</v>
      </c>
      <c r="O3025" s="0" t="n">
        <f aca="false">E3025*E3025</f>
        <v>0.015625</v>
      </c>
      <c r="P3025" s="0" t="n">
        <f aca="false">F3025*F3025</f>
        <v>0.140625</v>
      </c>
      <c r="Q3025" s="0" t="n">
        <f aca="false">SUMPRODUCT(G3025:P3025,_XtX!$B$71:$K$71)</f>
        <v>48.8691619318182</v>
      </c>
      <c r="R3025" s="0" t="n">
        <f aca="false">SUMPRODUCT(MMULT(G3025:P3025,_XtX!$B$58:$K$67),G3025:P3025)</f>
        <v>0.127103493430398</v>
      </c>
      <c r="S3025" s="0" t="n">
        <f aca="false">04_回帰ANOVA!$K$19*04_回帰ANOVA!$K$14*SQRT(1+R3025)</f>
        <v>0.987071321387587</v>
      </c>
      <c r="T3025" s="0" t="n">
        <f aca="false">Q3025-S3025</f>
        <v>47.8820906104306</v>
      </c>
      <c r="U3025" s="0" t="n">
        <f aca="false">Q3025+S3025</f>
        <v>49.8562332532058</v>
      </c>
      <c r="V3025" s="54" t="b">
        <f aca="false">AND(D3025&gt;=01_因子設定!$L$5-0.000000001,D3025&lt;=01_因子設定!$M$5+0.000000001,E3025&gt;=01_因子設定!$L$6-0.000000001,E3025&lt;=01_因子設定!$M$6+0.000000001,F3025&gt;=01_因子設定!$L$7-0.000000001,F3025&lt;=01_因子設定!$M$7+0.000000001,IF(01_因子設定!$B$20="Box-Behnken",D3025^2+E3025^2+F3025^2&lt;=2+0.000000001,TRUE()))</f>
        <v>1</v>
      </c>
      <c r="W3025" s="55" t="n">
        <f aca="false">IF(V3025,IF(01_因子設定!$B$13="最大化",T3025-01_因子設定!$B$14,IF(01_因子設定!$B$13="最小化",01_因子設定!$B$15-U3025,MIN(T3025-01_因子設定!$B$14,01_因子設定!$B$15-U3025))),-1E+030)</f>
        <v>-0.617909389569398</v>
      </c>
      <c r="X3025" s="55" t="n">
        <f aca="false">IF(V3025,IF(01_因子設定!$B$13="最大化",Q3025,IF(01_因子設定!$B$13="最小化",-Q3025,-ABS(Q3025-01_因子設定!$B$16))),-1E+030)</f>
        <v>48.8691619318182</v>
      </c>
      <c r="Y3025" s="55" t="n">
        <f aca="false">W3025+ROW()*0.000000001</f>
        <v>-0.617906364569398</v>
      </c>
      <c r="Z3025" s="55" t="n">
        <f aca="false">X3025+ROW()*0.000000001</f>
        <v>48.8691649568182</v>
      </c>
    </row>
    <row r="3026" customFormat="false" ht="15" hidden="false" customHeight="false" outlineLevel="0" collapsed="false">
      <c r="A3026" s="0" t="n">
        <v>10</v>
      </c>
      <c r="B3026" s="0" t="n">
        <v>7</v>
      </c>
      <c r="C3026" s="0" t="n">
        <v>12</v>
      </c>
      <c r="D3026" s="0" t="n">
        <f aca="false">-1+A3026*0.125</f>
        <v>0.25</v>
      </c>
      <c r="E3026" s="0" t="n">
        <f aca="false">-1+B3026*0.125</f>
        <v>-0.125</v>
      </c>
      <c r="F3026" s="0" t="n">
        <f aca="false">-1+C3026*0.125</f>
        <v>0.5</v>
      </c>
      <c r="G3026" s="0" t="n">
        <f aca="false">1</f>
        <v>1</v>
      </c>
      <c r="H3026" s="0" t="n">
        <f aca="false">D3026</f>
        <v>0.25</v>
      </c>
      <c r="I3026" s="0" t="n">
        <f aca="false">E3026</f>
        <v>-0.125</v>
      </c>
      <c r="J3026" s="0" t="n">
        <f aca="false">F3026</f>
        <v>0.5</v>
      </c>
      <c r="K3026" s="0" t="n">
        <f aca="false">D3026*E3026</f>
        <v>-0.03125</v>
      </c>
      <c r="L3026" s="0" t="n">
        <f aca="false">D3026*F3026</f>
        <v>0.125</v>
      </c>
      <c r="M3026" s="0" t="n">
        <f aca="false">E3026*F3026</f>
        <v>-0.0625</v>
      </c>
      <c r="N3026" s="0" t="n">
        <f aca="false">D3026*D3026</f>
        <v>0.0625</v>
      </c>
      <c r="O3026" s="0" t="n">
        <f aca="false">E3026*E3026</f>
        <v>0.015625</v>
      </c>
      <c r="P3026" s="0" t="n">
        <f aca="false">F3026*F3026</f>
        <v>0.25</v>
      </c>
      <c r="Q3026" s="0" t="n">
        <f aca="false">SUMPRODUCT(G3026:P3026,_XtX!$B$71:$K$71)</f>
        <v>48.9011789772727</v>
      </c>
      <c r="R3026" s="0" t="n">
        <f aca="false">SUMPRODUCT(MMULT(G3026:P3026,_XtX!$B$58:$K$67),G3026:P3026)</f>
        <v>0.142371715198864</v>
      </c>
      <c r="S3026" s="0" t="n">
        <f aca="false">04_回帰ANOVA!$K$19*04_回帰ANOVA!$K$14*SQRT(1+R3026)</f>
        <v>0.99373447511735</v>
      </c>
      <c r="T3026" s="0" t="n">
        <f aca="false">Q3026-S3026</f>
        <v>47.9074445021554</v>
      </c>
      <c r="U3026" s="0" t="n">
        <f aca="false">Q3026+S3026</f>
        <v>49.8949134523901</v>
      </c>
      <c r="V3026" s="54" t="b">
        <f aca="false">AND(D3026&gt;=01_因子設定!$L$5-0.000000001,D3026&lt;=01_因子設定!$M$5+0.000000001,E3026&gt;=01_因子設定!$L$6-0.000000001,E3026&lt;=01_因子設定!$M$6+0.000000001,F3026&gt;=01_因子設定!$L$7-0.000000001,F3026&lt;=01_因子設定!$M$7+0.000000001,IF(01_因子設定!$B$20="Box-Behnken",D3026^2+E3026^2+F3026^2&lt;=2+0.000000001,TRUE()))</f>
        <v>1</v>
      </c>
      <c r="W3026" s="55" t="n">
        <f aca="false">IF(V3026,IF(01_因子設定!$B$13="最大化",T3026-01_因子設定!$B$14,IF(01_因子設定!$B$13="最小化",01_因子設定!$B$15-U3026,MIN(T3026-01_因子設定!$B$14,01_因子設定!$B$15-U3026))),-1E+030)</f>
        <v>-0.592555497844607</v>
      </c>
      <c r="X3026" s="55" t="n">
        <f aca="false">IF(V3026,IF(01_因子設定!$B$13="最大化",Q3026,IF(01_因子設定!$B$13="最小化",-Q3026,-ABS(Q3026-01_因子設定!$B$16))),-1E+030)</f>
        <v>48.9011789772727</v>
      </c>
      <c r="Y3026" s="55" t="n">
        <f aca="false">W3026+ROW()*0.000000001</f>
        <v>-0.592552471844607</v>
      </c>
      <c r="Z3026" s="55" t="n">
        <f aca="false">X3026+ROW()*0.000000001</f>
        <v>48.9011820032727</v>
      </c>
    </row>
    <row r="3027" customFormat="false" ht="15" hidden="false" customHeight="false" outlineLevel="0" collapsed="false">
      <c r="A3027" s="0" t="n">
        <v>10</v>
      </c>
      <c r="B3027" s="0" t="n">
        <v>7</v>
      </c>
      <c r="C3027" s="0" t="n">
        <v>13</v>
      </c>
      <c r="D3027" s="0" t="n">
        <f aca="false">-1+A3027*0.125</f>
        <v>0.25</v>
      </c>
      <c r="E3027" s="0" t="n">
        <f aca="false">-1+B3027*0.125</f>
        <v>-0.125</v>
      </c>
      <c r="F3027" s="0" t="n">
        <f aca="false">-1+C3027*0.125</f>
        <v>0.625</v>
      </c>
      <c r="G3027" s="0" t="n">
        <f aca="false">1</f>
        <v>1</v>
      </c>
      <c r="H3027" s="0" t="n">
        <f aca="false">D3027</f>
        <v>0.25</v>
      </c>
      <c r="I3027" s="0" t="n">
        <f aca="false">E3027</f>
        <v>-0.125</v>
      </c>
      <c r="J3027" s="0" t="n">
        <f aca="false">F3027</f>
        <v>0.625</v>
      </c>
      <c r="K3027" s="0" t="n">
        <f aca="false">D3027*E3027</f>
        <v>-0.03125</v>
      </c>
      <c r="L3027" s="0" t="n">
        <f aca="false">D3027*F3027</f>
        <v>0.15625</v>
      </c>
      <c r="M3027" s="0" t="n">
        <f aca="false">E3027*F3027</f>
        <v>-0.078125</v>
      </c>
      <c r="N3027" s="0" t="n">
        <f aca="false">D3027*D3027</f>
        <v>0.0625</v>
      </c>
      <c r="O3027" s="0" t="n">
        <f aca="false">E3027*E3027</f>
        <v>0.015625</v>
      </c>
      <c r="P3027" s="0" t="n">
        <f aca="false">F3027*F3027</f>
        <v>0.390625</v>
      </c>
      <c r="Q3027" s="0" t="n">
        <f aca="false">SUMPRODUCT(G3027:P3027,_XtX!$B$71:$K$71)</f>
        <v>48.89640625</v>
      </c>
      <c r="R3027" s="0" t="n">
        <f aca="false">SUMPRODUCT(MMULT(G3027:P3027,_XtX!$B$58:$K$67),G3027:P3027)</f>
        <v>0.174786376953125</v>
      </c>
      <c r="S3027" s="0" t="n">
        <f aca="false">04_回帰ANOVA!$K$19*04_回帰ANOVA!$K$14*SQRT(1+R3027)</f>
        <v>1.00773440704286</v>
      </c>
      <c r="T3027" s="0" t="n">
        <f aca="false">Q3027-S3027</f>
        <v>47.8886718429572</v>
      </c>
      <c r="U3027" s="0" t="n">
        <f aca="false">Q3027+S3027</f>
        <v>49.9041406570429</v>
      </c>
      <c r="V3027" s="54" t="b">
        <f aca="false">AND(D3027&gt;=01_因子設定!$L$5-0.000000001,D3027&lt;=01_因子設定!$M$5+0.000000001,E3027&gt;=01_因子設定!$L$6-0.000000001,E3027&lt;=01_因子設定!$M$6+0.000000001,F3027&gt;=01_因子設定!$L$7-0.000000001,F3027&lt;=01_因子設定!$M$7+0.000000001,IF(01_因子設定!$B$20="Box-Behnken",D3027^2+E3027^2+F3027^2&lt;=2+0.000000001,TRUE()))</f>
        <v>1</v>
      </c>
      <c r="W3027" s="55" t="n">
        <f aca="false">IF(V3027,IF(01_因子設定!$B$13="最大化",T3027-01_因子設定!$B$14,IF(01_因子設定!$B$13="最小化",01_因子設定!$B$15-U3027,MIN(T3027-01_因子設定!$B$14,01_因子設定!$B$15-U3027))),-1E+030)</f>
        <v>-0.611328157042848</v>
      </c>
      <c r="X3027" s="55" t="n">
        <f aca="false">IF(V3027,IF(01_因子設定!$B$13="最大化",Q3027,IF(01_因子設定!$B$13="最小化",-Q3027,-ABS(Q3027-01_因子設定!$B$16))),-1E+030)</f>
        <v>48.89640625</v>
      </c>
      <c r="Y3027" s="55" t="n">
        <f aca="false">W3027+ROW()*0.000000001</f>
        <v>-0.611325130042848</v>
      </c>
      <c r="Z3027" s="55" t="n">
        <f aca="false">X3027+ROW()*0.000000001</f>
        <v>48.896409277</v>
      </c>
    </row>
    <row r="3028" customFormat="false" ht="15" hidden="false" customHeight="false" outlineLevel="0" collapsed="false">
      <c r="A3028" s="0" t="n">
        <v>10</v>
      </c>
      <c r="B3028" s="0" t="n">
        <v>7</v>
      </c>
      <c r="C3028" s="0" t="n">
        <v>14</v>
      </c>
      <c r="D3028" s="0" t="n">
        <f aca="false">-1+A3028*0.125</f>
        <v>0.25</v>
      </c>
      <c r="E3028" s="0" t="n">
        <f aca="false">-1+B3028*0.125</f>
        <v>-0.125</v>
      </c>
      <c r="F3028" s="0" t="n">
        <f aca="false">-1+C3028*0.125</f>
        <v>0.75</v>
      </c>
      <c r="G3028" s="0" t="n">
        <f aca="false">1</f>
        <v>1</v>
      </c>
      <c r="H3028" s="0" t="n">
        <f aca="false">D3028</f>
        <v>0.25</v>
      </c>
      <c r="I3028" s="0" t="n">
        <f aca="false">E3028</f>
        <v>-0.125</v>
      </c>
      <c r="J3028" s="0" t="n">
        <f aca="false">F3028</f>
        <v>0.75</v>
      </c>
      <c r="K3028" s="0" t="n">
        <f aca="false">D3028*E3028</f>
        <v>-0.03125</v>
      </c>
      <c r="L3028" s="0" t="n">
        <f aca="false">D3028*F3028</f>
        <v>0.1875</v>
      </c>
      <c r="M3028" s="0" t="n">
        <f aca="false">E3028*F3028</f>
        <v>-0.09375</v>
      </c>
      <c r="N3028" s="0" t="n">
        <f aca="false">D3028*D3028</f>
        <v>0.0625</v>
      </c>
      <c r="O3028" s="0" t="n">
        <f aca="false">E3028*E3028</f>
        <v>0.015625</v>
      </c>
      <c r="P3028" s="0" t="n">
        <f aca="false">F3028*F3028</f>
        <v>0.5625</v>
      </c>
      <c r="Q3028" s="0" t="n">
        <f aca="false">SUMPRODUCT(G3028:P3028,_XtX!$B$71:$K$71)</f>
        <v>48.85484375</v>
      </c>
      <c r="R3028" s="0" t="n">
        <f aca="false">SUMPRODUCT(MMULT(G3028:P3028,_XtX!$B$58:$K$67),G3028:P3028)</f>
        <v>0.233935546875</v>
      </c>
      <c r="S3028" s="0" t="n">
        <f aca="false">04_回帰ANOVA!$K$19*04_回帰ANOVA!$K$14*SQRT(1+R3028)</f>
        <v>1.03279202033444</v>
      </c>
      <c r="T3028" s="0" t="n">
        <f aca="false">Q3028-S3028</f>
        <v>47.8220517296656</v>
      </c>
      <c r="U3028" s="0" t="n">
        <f aca="false">Q3028+S3028</f>
        <v>49.8876357703345</v>
      </c>
      <c r="V3028" s="54" t="b">
        <f aca="false">AND(D3028&gt;=01_因子設定!$L$5-0.000000001,D3028&lt;=01_因子設定!$M$5+0.000000001,E3028&gt;=01_因子設定!$L$6-0.000000001,E3028&lt;=01_因子設定!$M$6+0.000000001,F3028&gt;=01_因子設定!$L$7-0.000000001,F3028&lt;=01_因子設定!$M$7+0.000000001,IF(01_因子設定!$B$20="Box-Behnken",D3028^2+E3028^2+F3028^2&lt;=2+0.000000001,TRUE()))</f>
        <v>1</v>
      </c>
      <c r="W3028" s="55" t="n">
        <f aca="false">IF(V3028,IF(01_因子設定!$B$13="最大化",T3028-01_因子設定!$B$14,IF(01_因子設定!$B$13="最小化",01_因子設定!$B$15-U3028,MIN(T3028-01_因子設定!$B$14,01_因子設定!$B$15-U3028))),-1E+030)</f>
        <v>-0.677948270334419</v>
      </c>
      <c r="X3028" s="55" t="n">
        <f aca="false">IF(V3028,IF(01_因子設定!$B$13="最大化",Q3028,IF(01_因子設定!$B$13="最小化",-Q3028,-ABS(Q3028-01_因子設定!$B$16))),-1E+030)</f>
        <v>48.85484375</v>
      </c>
      <c r="Y3028" s="55" t="n">
        <f aca="false">W3028+ROW()*0.000000001</f>
        <v>-0.677945242334419</v>
      </c>
      <c r="Z3028" s="55" t="n">
        <f aca="false">X3028+ROW()*0.000000001</f>
        <v>48.854846778</v>
      </c>
    </row>
    <row r="3029" customFormat="false" ht="15" hidden="false" customHeight="false" outlineLevel="0" collapsed="false">
      <c r="A3029" s="0" t="n">
        <v>10</v>
      </c>
      <c r="B3029" s="0" t="n">
        <v>7</v>
      </c>
      <c r="C3029" s="0" t="n">
        <v>15</v>
      </c>
      <c r="D3029" s="0" t="n">
        <f aca="false">-1+A3029*0.125</f>
        <v>0.25</v>
      </c>
      <c r="E3029" s="0" t="n">
        <f aca="false">-1+B3029*0.125</f>
        <v>-0.125</v>
      </c>
      <c r="F3029" s="0" t="n">
        <f aca="false">-1+C3029*0.125</f>
        <v>0.875</v>
      </c>
      <c r="G3029" s="0" t="n">
        <f aca="false">1</f>
        <v>1</v>
      </c>
      <c r="H3029" s="0" t="n">
        <f aca="false">D3029</f>
        <v>0.25</v>
      </c>
      <c r="I3029" s="0" t="n">
        <f aca="false">E3029</f>
        <v>-0.125</v>
      </c>
      <c r="J3029" s="0" t="n">
        <f aca="false">F3029</f>
        <v>0.875</v>
      </c>
      <c r="K3029" s="0" t="n">
        <f aca="false">D3029*E3029</f>
        <v>-0.03125</v>
      </c>
      <c r="L3029" s="0" t="n">
        <f aca="false">D3029*F3029</f>
        <v>0.21875</v>
      </c>
      <c r="M3029" s="0" t="n">
        <f aca="false">E3029*F3029</f>
        <v>-0.109375</v>
      </c>
      <c r="N3029" s="0" t="n">
        <f aca="false">D3029*D3029</f>
        <v>0.0625</v>
      </c>
      <c r="O3029" s="0" t="n">
        <f aca="false">E3029*E3029</f>
        <v>0.015625</v>
      </c>
      <c r="P3029" s="0" t="n">
        <f aca="false">F3029*F3029</f>
        <v>0.765625</v>
      </c>
      <c r="Q3029" s="0" t="n">
        <f aca="false">SUMPRODUCT(G3029:P3029,_XtX!$B$71:$K$71)</f>
        <v>48.7764914772728</v>
      </c>
      <c r="R3029" s="0" t="n">
        <f aca="false">SUMPRODUCT(MMULT(G3029:P3029,_XtX!$B$58:$K$67),G3029:P3029)</f>
        <v>0.331537974964489</v>
      </c>
      <c r="S3029" s="0" t="n">
        <f aca="false">04_回帰ANOVA!$K$19*04_回帰ANOVA!$K$14*SQRT(1+R3029)</f>
        <v>1.07286089161565</v>
      </c>
      <c r="T3029" s="0" t="n">
        <f aca="false">Q3029-S3029</f>
        <v>47.7036305856571</v>
      </c>
      <c r="U3029" s="0" t="n">
        <f aca="false">Q3029+S3029</f>
        <v>49.8493523688884</v>
      </c>
      <c r="V3029" s="54" t="b">
        <f aca="false">AND(D3029&gt;=01_因子設定!$L$5-0.000000001,D3029&lt;=01_因子設定!$M$5+0.000000001,E3029&gt;=01_因子設定!$L$6-0.000000001,E3029&lt;=01_因子設定!$M$6+0.000000001,F3029&gt;=01_因子設定!$L$7-0.000000001,F3029&lt;=01_因子設定!$M$7+0.000000001,IF(01_因子設定!$B$20="Box-Behnken",D3029^2+E3029^2+F3029^2&lt;=2+0.000000001,TRUE()))</f>
        <v>1</v>
      </c>
      <c r="W3029" s="55" t="n">
        <f aca="false">IF(V3029,IF(01_因子設定!$B$13="最大化",T3029-01_因子設定!$B$14,IF(01_因子設定!$B$13="最小化",01_因子設定!$B$15-U3029,MIN(T3029-01_因子設定!$B$14,01_因子設定!$B$15-U3029))),-1E+030)</f>
        <v>-0.796369414342905</v>
      </c>
      <c r="X3029" s="55" t="n">
        <f aca="false">IF(V3029,IF(01_因子設定!$B$13="最大化",Q3029,IF(01_因子設定!$B$13="最小化",-Q3029,-ABS(Q3029-01_因子設定!$B$16))),-1E+030)</f>
        <v>48.7764914772728</v>
      </c>
      <c r="Y3029" s="55" t="n">
        <f aca="false">W3029+ROW()*0.000000001</f>
        <v>-0.796366385342905</v>
      </c>
      <c r="Z3029" s="55" t="n">
        <f aca="false">X3029+ROW()*0.000000001</f>
        <v>48.7764945062728</v>
      </c>
    </row>
    <row r="3030" customFormat="false" ht="15" hidden="false" customHeight="false" outlineLevel="0" collapsed="false">
      <c r="A3030" s="0" t="n">
        <v>10</v>
      </c>
      <c r="B3030" s="0" t="n">
        <v>7</v>
      </c>
      <c r="C3030" s="0" t="n">
        <v>16</v>
      </c>
      <c r="D3030" s="0" t="n">
        <f aca="false">-1+A3030*0.125</f>
        <v>0.25</v>
      </c>
      <c r="E3030" s="0" t="n">
        <f aca="false">-1+B3030*0.125</f>
        <v>-0.125</v>
      </c>
      <c r="F3030" s="0" t="n">
        <f aca="false">-1+C3030*0.125</f>
        <v>1</v>
      </c>
      <c r="G3030" s="0" t="n">
        <f aca="false">1</f>
        <v>1</v>
      </c>
      <c r="H3030" s="0" t="n">
        <f aca="false">D3030</f>
        <v>0.25</v>
      </c>
      <c r="I3030" s="0" t="n">
        <f aca="false">E3030</f>
        <v>-0.125</v>
      </c>
      <c r="J3030" s="0" t="n">
        <f aca="false">F3030</f>
        <v>1</v>
      </c>
      <c r="K3030" s="0" t="n">
        <f aca="false">D3030*E3030</f>
        <v>-0.03125</v>
      </c>
      <c r="L3030" s="0" t="n">
        <f aca="false">D3030*F3030</f>
        <v>0.25</v>
      </c>
      <c r="M3030" s="0" t="n">
        <f aca="false">E3030*F3030</f>
        <v>-0.125</v>
      </c>
      <c r="N3030" s="0" t="n">
        <f aca="false">D3030*D3030</f>
        <v>0.0625</v>
      </c>
      <c r="O3030" s="0" t="n">
        <f aca="false">E3030*E3030</f>
        <v>0.015625</v>
      </c>
      <c r="P3030" s="0" t="n">
        <f aca="false">F3030*F3030</f>
        <v>1</v>
      </c>
      <c r="Q3030" s="0" t="n">
        <f aca="false">SUMPRODUCT(G3030:P3030,_XtX!$B$71:$K$71)</f>
        <v>48.6613494318182</v>
      </c>
      <c r="R3030" s="0" t="n">
        <f aca="false">SUMPRODUCT(MMULT(G3030:P3030,_XtX!$B$58:$K$67),G3030:P3030)</f>
        <v>0.481443093039773</v>
      </c>
      <c r="S3030" s="0" t="n">
        <f aca="false">04_回帰ANOVA!$K$19*04_回帰ANOVA!$K$14*SQRT(1+R3030)</f>
        <v>1.13164216995877</v>
      </c>
      <c r="T3030" s="0" t="n">
        <f aca="false">Q3030-S3030</f>
        <v>47.5297072618594</v>
      </c>
      <c r="U3030" s="0" t="n">
        <f aca="false">Q3030+S3030</f>
        <v>49.792991601777</v>
      </c>
      <c r="V3030" s="54" t="b">
        <f aca="false">AND(D3030&gt;=01_因子設定!$L$5-0.000000001,D3030&lt;=01_因子設定!$M$5+0.000000001,E3030&gt;=01_因子設定!$L$6-0.000000001,E3030&lt;=01_因子設定!$M$6+0.000000001,F3030&gt;=01_因子設定!$L$7-0.000000001,F3030&lt;=01_因子設定!$M$7+0.000000001,IF(01_因子設定!$B$20="Box-Behnken",D3030^2+E3030^2+F3030^2&lt;=2+0.000000001,TRUE()))</f>
        <v>1</v>
      </c>
      <c r="W3030" s="55" t="n">
        <f aca="false">IF(V3030,IF(01_因子設定!$B$13="最大化",T3030-01_因子設定!$B$14,IF(01_因子設定!$B$13="最小化",01_因子設定!$B$15-U3030,MIN(T3030-01_因子設定!$B$14,01_因子設定!$B$15-U3030))),-1E+030)</f>
        <v>-0.970292738140557</v>
      </c>
      <c r="X3030" s="55" t="n">
        <f aca="false">IF(V3030,IF(01_因子設定!$B$13="最大化",Q3030,IF(01_因子設定!$B$13="最小化",-Q3030,-ABS(Q3030-01_因子設定!$B$16))),-1E+030)</f>
        <v>48.6613494318182</v>
      </c>
      <c r="Y3030" s="55" t="n">
        <f aca="false">W3030+ROW()*0.000000001</f>
        <v>-0.970289708140557</v>
      </c>
      <c r="Z3030" s="55" t="n">
        <f aca="false">X3030+ROW()*0.000000001</f>
        <v>48.6613524618182</v>
      </c>
    </row>
    <row r="3031" customFormat="false" ht="15" hidden="false" customHeight="false" outlineLevel="0" collapsed="false">
      <c r="A3031" s="0" t="n">
        <v>10</v>
      </c>
      <c r="B3031" s="0" t="n">
        <v>8</v>
      </c>
      <c r="C3031" s="0" t="n">
        <v>0</v>
      </c>
      <c r="D3031" s="0" t="n">
        <f aca="false">-1+A3031*0.125</f>
        <v>0.25</v>
      </c>
      <c r="E3031" s="0" t="n">
        <f aca="false">-1+B3031*0.125</f>
        <v>0</v>
      </c>
      <c r="F3031" s="0" t="n">
        <f aca="false">-1+C3031*0.125</f>
        <v>-1</v>
      </c>
      <c r="G3031" s="0" t="n">
        <f aca="false">1</f>
        <v>1</v>
      </c>
      <c r="H3031" s="0" t="n">
        <f aca="false">D3031</f>
        <v>0.25</v>
      </c>
      <c r="I3031" s="0" t="n">
        <f aca="false">E3031</f>
        <v>0</v>
      </c>
      <c r="J3031" s="0" t="n">
        <f aca="false">F3031</f>
        <v>-1</v>
      </c>
      <c r="K3031" s="0" t="n">
        <f aca="false">D3031*E3031</f>
        <v>0</v>
      </c>
      <c r="L3031" s="0" t="n">
        <f aca="false">D3031*F3031</f>
        <v>-0.25</v>
      </c>
      <c r="M3031" s="0" t="n">
        <f aca="false">E3031*F3031</f>
        <v>-0</v>
      </c>
      <c r="N3031" s="0" t="n">
        <f aca="false">D3031*D3031</f>
        <v>0.0625</v>
      </c>
      <c r="O3031" s="0" t="n">
        <f aca="false">E3031*E3031</f>
        <v>0</v>
      </c>
      <c r="P3031" s="0" t="n">
        <f aca="false">F3031*F3031</f>
        <v>1</v>
      </c>
      <c r="Q3031" s="0" t="n">
        <f aca="false">SUMPRODUCT(G3031:P3031,_XtX!$B$71:$K$71)</f>
        <v>46.3613068181818</v>
      </c>
      <c r="R3031" s="0" t="n">
        <f aca="false">SUMPRODUCT(MMULT(G3031:P3031,_XtX!$B$58:$K$67),G3031:P3031)</f>
        <v>0.483664772727273</v>
      </c>
      <c r="S3031" s="0" t="n">
        <f aca="false">04_回帰ANOVA!$K$19*04_回帰ANOVA!$K$14*SQRT(1+R3031)</f>
        <v>1.13249039846694</v>
      </c>
      <c r="T3031" s="0" t="n">
        <f aca="false">Q3031-S3031</f>
        <v>45.2288164197149</v>
      </c>
      <c r="U3031" s="0" t="n">
        <f aca="false">Q3031+S3031</f>
        <v>47.4937972166488</v>
      </c>
      <c r="V3031" s="54" t="b">
        <f aca="false">AND(D3031&gt;=01_因子設定!$L$5-0.000000001,D3031&lt;=01_因子設定!$M$5+0.000000001,E3031&gt;=01_因子設定!$L$6-0.000000001,E3031&lt;=01_因子設定!$M$6+0.000000001,F3031&gt;=01_因子設定!$L$7-0.000000001,F3031&lt;=01_因子設定!$M$7+0.000000001,IF(01_因子設定!$B$20="Box-Behnken",D3031^2+E3031^2+F3031^2&lt;=2+0.000000001,TRUE()))</f>
        <v>1</v>
      </c>
      <c r="W3031" s="55" t="n">
        <f aca="false">IF(V3031,IF(01_因子設定!$B$13="最大化",T3031-01_因子設定!$B$14,IF(01_因子設定!$B$13="最小化",01_因子設定!$B$15-U3031,MIN(T3031-01_因子設定!$B$14,01_因子設定!$B$15-U3031))),-1E+030)</f>
        <v>-3.27118358028509</v>
      </c>
      <c r="X3031" s="55" t="n">
        <f aca="false">IF(V3031,IF(01_因子設定!$B$13="最大化",Q3031,IF(01_因子設定!$B$13="最小化",-Q3031,-ABS(Q3031-01_因子設定!$B$16))),-1E+030)</f>
        <v>46.3613068181818</v>
      </c>
      <c r="Y3031" s="55" t="n">
        <f aca="false">W3031+ROW()*0.000000001</f>
        <v>-3.27118054928509</v>
      </c>
      <c r="Z3031" s="55" t="n">
        <f aca="false">X3031+ROW()*0.000000001</f>
        <v>46.3613098491818</v>
      </c>
    </row>
    <row r="3032" customFormat="false" ht="15" hidden="false" customHeight="false" outlineLevel="0" collapsed="false">
      <c r="A3032" s="0" t="n">
        <v>10</v>
      </c>
      <c r="B3032" s="0" t="n">
        <v>8</v>
      </c>
      <c r="C3032" s="0" t="n">
        <v>1</v>
      </c>
      <c r="D3032" s="0" t="n">
        <f aca="false">-1+A3032*0.125</f>
        <v>0.25</v>
      </c>
      <c r="E3032" s="0" t="n">
        <f aca="false">-1+B3032*0.125</f>
        <v>0</v>
      </c>
      <c r="F3032" s="0" t="n">
        <f aca="false">-1+C3032*0.125</f>
        <v>-0.875</v>
      </c>
      <c r="G3032" s="0" t="n">
        <f aca="false">1</f>
        <v>1</v>
      </c>
      <c r="H3032" s="0" t="n">
        <f aca="false">D3032</f>
        <v>0.25</v>
      </c>
      <c r="I3032" s="0" t="n">
        <f aca="false">E3032</f>
        <v>0</v>
      </c>
      <c r="J3032" s="0" t="n">
        <f aca="false">F3032</f>
        <v>-0.875</v>
      </c>
      <c r="K3032" s="0" t="n">
        <f aca="false">D3032*E3032</f>
        <v>0</v>
      </c>
      <c r="L3032" s="0" t="n">
        <f aca="false">D3032*F3032</f>
        <v>-0.21875</v>
      </c>
      <c r="M3032" s="0" t="n">
        <f aca="false">E3032*F3032</f>
        <v>-0</v>
      </c>
      <c r="N3032" s="0" t="n">
        <f aca="false">D3032*D3032</f>
        <v>0.0625</v>
      </c>
      <c r="O3032" s="0" t="n">
        <f aca="false">E3032*E3032</f>
        <v>0</v>
      </c>
      <c r="P3032" s="0" t="n">
        <f aca="false">F3032*F3032</f>
        <v>0.765625</v>
      </c>
      <c r="Q3032" s="0" t="n">
        <f aca="false">SUMPRODUCT(G3032:P3032,_XtX!$B$71:$K$71)</f>
        <v>46.8050426136364</v>
      </c>
      <c r="R3032" s="0" t="n">
        <f aca="false">SUMPRODUCT(MMULT(G3032:P3032,_XtX!$B$58:$K$67),G3032:P3032)</f>
        <v>0.333218661221591</v>
      </c>
      <c r="S3032" s="0" t="n">
        <f aca="false">04_回帰ANOVA!$K$19*04_回帰ANOVA!$K$14*SQRT(1+R3032)</f>
        <v>1.07353776826542</v>
      </c>
      <c r="T3032" s="0" t="n">
        <f aca="false">Q3032-S3032</f>
        <v>45.731504845371</v>
      </c>
      <c r="U3032" s="0" t="n">
        <f aca="false">Q3032+S3032</f>
        <v>47.8785803819018</v>
      </c>
      <c r="V3032" s="54" t="b">
        <f aca="false">AND(D3032&gt;=01_因子設定!$L$5-0.000000001,D3032&lt;=01_因子設定!$M$5+0.000000001,E3032&gt;=01_因子設定!$L$6-0.000000001,E3032&lt;=01_因子設定!$M$6+0.000000001,F3032&gt;=01_因子設定!$L$7-0.000000001,F3032&lt;=01_因子設定!$M$7+0.000000001,IF(01_因子設定!$B$20="Box-Behnken",D3032^2+E3032^2+F3032^2&lt;=2+0.000000001,TRUE()))</f>
        <v>1</v>
      </c>
      <c r="W3032" s="55" t="n">
        <f aca="false">IF(V3032,IF(01_因子設定!$B$13="最大化",T3032-01_因子設定!$B$14,IF(01_因子設定!$B$13="最小化",01_因子設定!$B$15-U3032,MIN(T3032-01_因子設定!$B$14,01_因子設定!$B$15-U3032))),-1E+030)</f>
        <v>-2.76849515462903</v>
      </c>
      <c r="X3032" s="55" t="n">
        <f aca="false">IF(V3032,IF(01_因子設定!$B$13="最大化",Q3032,IF(01_因子設定!$B$13="最小化",-Q3032,-ABS(Q3032-01_因子設定!$B$16))),-1E+030)</f>
        <v>46.8050426136364</v>
      </c>
      <c r="Y3032" s="55" t="n">
        <f aca="false">W3032+ROW()*0.000000001</f>
        <v>-2.76849212262903</v>
      </c>
      <c r="Z3032" s="55" t="n">
        <f aca="false">X3032+ROW()*0.000000001</f>
        <v>46.8050456456364</v>
      </c>
    </row>
    <row r="3033" customFormat="false" ht="15" hidden="false" customHeight="false" outlineLevel="0" collapsed="false">
      <c r="A3033" s="0" t="n">
        <v>10</v>
      </c>
      <c r="B3033" s="0" t="n">
        <v>8</v>
      </c>
      <c r="C3033" s="0" t="n">
        <v>2</v>
      </c>
      <c r="D3033" s="0" t="n">
        <f aca="false">-1+A3033*0.125</f>
        <v>0.25</v>
      </c>
      <c r="E3033" s="0" t="n">
        <f aca="false">-1+B3033*0.125</f>
        <v>0</v>
      </c>
      <c r="F3033" s="0" t="n">
        <f aca="false">-1+C3033*0.125</f>
        <v>-0.75</v>
      </c>
      <c r="G3033" s="0" t="n">
        <f aca="false">1</f>
        <v>1</v>
      </c>
      <c r="H3033" s="0" t="n">
        <f aca="false">D3033</f>
        <v>0.25</v>
      </c>
      <c r="I3033" s="0" t="n">
        <f aca="false">E3033</f>
        <v>0</v>
      </c>
      <c r="J3033" s="0" t="n">
        <f aca="false">F3033</f>
        <v>-0.75</v>
      </c>
      <c r="K3033" s="0" t="n">
        <f aca="false">D3033*E3033</f>
        <v>0</v>
      </c>
      <c r="L3033" s="0" t="n">
        <f aca="false">D3033*F3033</f>
        <v>-0.1875</v>
      </c>
      <c r="M3033" s="0" t="n">
        <f aca="false">E3033*F3033</f>
        <v>-0</v>
      </c>
      <c r="N3033" s="0" t="n">
        <f aca="false">D3033*D3033</f>
        <v>0.0625</v>
      </c>
      <c r="O3033" s="0" t="n">
        <f aca="false">E3033*E3033</f>
        <v>0</v>
      </c>
      <c r="P3033" s="0" t="n">
        <f aca="false">F3033*F3033</f>
        <v>0.5625</v>
      </c>
      <c r="Q3033" s="0" t="n">
        <f aca="false">SUMPRODUCT(G3033:P3033,_XtX!$B$71:$K$71)</f>
        <v>47.2119886363637</v>
      </c>
      <c r="R3033" s="0" t="n">
        <f aca="false">SUMPRODUCT(MMULT(G3033:P3033,_XtX!$B$58:$K$67),G3033:P3033)</f>
        <v>0.235147372159091</v>
      </c>
      <c r="S3033" s="0" t="n">
        <f aca="false">04_回帰ANOVA!$K$19*04_回帰ANOVA!$K$14*SQRT(1+R3033)</f>
        <v>1.03329903885461</v>
      </c>
      <c r="T3033" s="0" t="n">
        <f aca="false">Q3033-S3033</f>
        <v>46.1786895975091</v>
      </c>
      <c r="U3033" s="0" t="n">
        <f aca="false">Q3033+S3033</f>
        <v>48.2452876752183</v>
      </c>
      <c r="V3033" s="54" t="b">
        <f aca="false">AND(D3033&gt;=01_因子設定!$L$5-0.000000001,D3033&lt;=01_因子設定!$M$5+0.000000001,E3033&gt;=01_因子設定!$L$6-0.000000001,E3033&lt;=01_因子設定!$M$6+0.000000001,F3033&gt;=01_因子設定!$L$7-0.000000001,F3033&lt;=01_因子設定!$M$7+0.000000001,IF(01_因子設定!$B$20="Box-Behnken",D3033^2+E3033^2+F3033^2&lt;=2+0.000000001,TRUE()))</f>
        <v>1</v>
      </c>
      <c r="W3033" s="55" t="n">
        <f aca="false">IF(V3033,IF(01_因子設定!$B$13="最大化",T3033-01_因子設定!$B$14,IF(01_因子設定!$B$13="最小化",01_因子設定!$B$15-U3033,MIN(T3033-01_因子設定!$B$14,01_因子設定!$B$15-U3033))),-1E+030)</f>
        <v>-2.32131040249095</v>
      </c>
      <c r="X3033" s="55" t="n">
        <f aca="false">IF(V3033,IF(01_因子設定!$B$13="最大化",Q3033,IF(01_因子設定!$B$13="最小化",-Q3033,-ABS(Q3033-01_因子設定!$B$16))),-1E+030)</f>
        <v>47.2119886363637</v>
      </c>
      <c r="Y3033" s="55" t="n">
        <f aca="false">W3033+ROW()*0.000000001</f>
        <v>-2.32130736949095</v>
      </c>
      <c r="Z3033" s="55" t="n">
        <f aca="false">X3033+ROW()*0.000000001</f>
        <v>47.2119916693637</v>
      </c>
    </row>
    <row r="3034" customFormat="false" ht="15" hidden="false" customHeight="false" outlineLevel="0" collapsed="false">
      <c r="A3034" s="0" t="n">
        <v>10</v>
      </c>
      <c r="B3034" s="0" t="n">
        <v>8</v>
      </c>
      <c r="C3034" s="0" t="n">
        <v>3</v>
      </c>
      <c r="D3034" s="0" t="n">
        <f aca="false">-1+A3034*0.125</f>
        <v>0.25</v>
      </c>
      <c r="E3034" s="0" t="n">
        <f aca="false">-1+B3034*0.125</f>
        <v>0</v>
      </c>
      <c r="F3034" s="0" t="n">
        <f aca="false">-1+C3034*0.125</f>
        <v>-0.625</v>
      </c>
      <c r="G3034" s="0" t="n">
        <f aca="false">1</f>
        <v>1</v>
      </c>
      <c r="H3034" s="0" t="n">
        <f aca="false">D3034</f>
        <v>0.25</v>
      </c>
      <c r="I3034" s="0" t="n">
        <f aca="false">E3034</f>
        <v>0</v>
      </c>
      <c r="J3034" s="0" t="n">
        <f aca="false">F3034</f>
        <v>-0.625</v>
      </c>
      <c r="K3034" s="0" t="n">
        <f aca="false">D3034*E3034</f>
        <v>0</v>
      </c>
      <c r="L3034" s="0" t="n">
        <f aca="false">D3034*F3034</f>
        <v>-0.15625</v>
      </c>
      <c r="M3034" s="0" t="n">
        <f aca="false">E3034*F3034</f>
        <v>-0</v>
      </c>
      <c r="N3034" s="0" t="n">
        <f aca="false">D3034*D3034</f>
        <v>0.0625</v>
      </c>
      <c r="O3034" s="0" t="n">
        <f aca="false">E3034*E3034</f>
        <v>0</v>
      </c>
      <c r="P3034" s="0" t="n">
        <f aca="false">F3034*F3034</f>
        <v>0.390625</v>
      </c>
      <c r="Q3034" s="0" t="n">
        <f aca="false">SUMPRODUCT(G3034:P3034,_XtX!$B$71:$K$71)</f>
        <v>47.5821448863637</v>
      </c>
      <c r="R3034" s="0" t="n">
        <f aca="false">SUMPRODUCT(MMULT(G3034:P3034,_XtX!$B$58:$K$67),G3034:P3034)</f>
        <v>0.175601473721591</v>
      </c>
      <c r="S3034" s="0" t="n">
        <f aca="false">04_回帰ANOVA!$K$19*04_回帰ANOVA!$K$14*SQRT(1+R3034)</f>
        <v>1.00808394234856</v>
      </c>
      <c r="T3034" s="0" t="n">
        <f aca="false">Q3034-S3034</f>
        <v>46.5740609440151</v>
      </c>
      <c r="U3034" s="0" t="n">
        <f aca="false">Q3034+S3034</f>
        <v>48.5902288287122</v>
      </c>
      <c r="V3034" s="54" t="b">
        <f aca="false">AND(D3034&gt;=01_因子設定!$L$5-0.000000001,D3034&lt;=01_因子設定!$M$5+0.000000001,E3034&gt;=01_因子設定!$L$6-0.000000001,E3034&lt;=01_因子設定!$M$6+0.000000001,F3034&gt;=01_因子設定!$L$7-0.000000001,F3034&lt;=01_因子設定!$M$7+0.000000001,IF(01_因子設定!$B$20="Box-Behnken",D3034^2+E3034^2+F3034^2&lt;=2+0.000000001,TRUE()))</f>
        <v>1</v>
      </c>
      <c r="W3034" s="55" t="n">
        <f aca="false">IF(V3034,IF(01_因子設定!$B$13="最大化",T3034-01_因子設定!$B$14,IF(01_因子設定!$B$13="最小化",01_因子設定!$B$15-U3034,MIN(T3034-01_因子設定!$B$14,01_因子設定!$B$15-U3034))),-1E+030)</f>
        <v>-1.92593905598491</v>
      </c>
      <c r="X3034" s="55" t="n">
        <f aca="false">IF(V3034,IF(01_因子設定!$B$13="最大化",Q3034,IF(01_因子設定!$B$13="最小化",-Q3034,-ABS(Q3034-01_因子設定!$B$16))),-1E+030)</f>
        <v>47.5821448863637</v>
      </c>
      <c r="Y3034" s="55" t="n">
        <f aca="false">W3034+ROW()*0.000000001</f>
        <v>-1.92593602198491</v>
      </c>
      <c r="Z3034" s="55" t="n">
        <f aca="false">X3034+ROW()*0.000000001</f>
        <v>47.5821479203637</v>
      </c>
    </row>
    <row r="3035" customFormat="false" ht="15" hidden="false" customHeight="false" outlineLevel="0" collapsed="false">
      <c r="A3035" s="0" t="n">
        <v>10</v>
      </c>
      <c r="B3035" s="0" t="n">
        <v>8</v>
      </c>
      <c r="C3035" s="0" t="n">
        <v>4</v>
      </c>
      <c r="D3035" s="0" t="n">
        <f aca="false">-1+A3035*0.125</f>
        <v>0.25</v>
      </c>
      <c r="E3035" s="0" t="n">
        <f aca="false">-1+B3035*0.125</f>
        <v>0</v>
      </c>
      <c r="F3035" s="0" t="n">
        <f aca="false">-1+C3035*0.125</f>
        <v>-0.5</v>
      </c>
      <c r="G3035" s="0" t="n">
        <f aca="false">1</f>
        <v>1</v>
      </c>
      <c r="H3035" s="0" t="n">
        <f aca="false">D3035</f>
        <v>0.25</v>
      </c>
      <c r="I3035" s="0" t="n">
        <f aca="false">E3035</f>
        <v>0</v>
      </c>
      <c r="J3035" s="0" t="n">
        <f aca="false">F3035</f>
        <v>-0.5</v>
      </c>
      <c r="K3035" s="0" t="n">
        <f aca="false">D3035*E3035</f>
        <v>0</v>
      </c>
      <c r="L3035" s="0" t="n">
        <f aca="false">D3035*F3035</f>
        <v>-0.125</v>
      </c>
      <c r="M3035" s="0" t="n">
        <f aca="false">E3035*F3035</f>
        <v>-0</v>
      </c>
      <c r="N3035" s="0" t="n">
        <f aca="false">D3035*D3035</f>
        <v>0.0625</v>
      </c>
      <c r="O3035" s="0" t="n">
        <f aca="false">E3035*E3035</f>
        <v>0</v>
      </c>
      <c r="P3035" s="0" t="n">
        <f aca="false">F3035*F3035</f>
        <v>0.25</v>
      </c>
      <c r="Q3035" s="0" t="n">
        <f aca="false">SUMPRODUCT(G3035:P3035,_XtX!$B$71:$K$71)</f>
        <v>47.9155113636364</v>
      </c>
      <c r="R3035" s="0" t="n">
        <f aca="false">SUMPRODUCT(MMULT(G3035:P3035,_XtX!$B$58:$K$67),G3035:P3035)</f>
        <v>0.142862215909091</v>
      </c>
      <c r="S3035" s="0" t="n">
        <f aca="false">04_回帰ANOVA!$K$19*04_回帰ANOVA!$K$14*SQRT(1+R3035)</f>
        <v>0.993947792354123</v>
      </c>
      <c r="T3035" s="0" t="n">
        <f aca="false">Q3035-S3035</f>
        <v>46.9215635712823</v>
      </c>
      <c r="U3035" s="0" t="n">
        <f aca="false">Q3035+S3035</f>
        <v>48.9094591559905</v>
      </c>
      <c r="V3035" s="54" t="b">
        <f aca="false">AND(D3035&gt;=01_因子設定!$L$5-0.000000001,D3035&lt;=01_因子設定!$M$5+0.000000001,E3035&gt;=01_因子設定!$L$6-0.000000001,E3035&lt;=01_因子設定!$M$6+0.000000001,F3035&gt;=01_因子設定!$L$7-0.000000001,F3035&lt;=01_因子設定!$M$7+0.000000001,IF(01_因子設定!$B$20="Box-Behnken",D3035^2+E3035^2+F3035^2&lt;=2+0.000000001,TRUE()))</f>
        <v>1</v>
      </c>
      <c r="W3035" s="55" t="n">
        <f aca="false">IF(V3035,IF(01_因子設定!$B$13="最大化",T3035-01_因子設定!$B$14,IF(01_因子設定!$B$13="最小化",01_因子設定!$B$15-U3035,MIN(T3035-01_因子設定!$B$14,01_因子設定!$B$15-U3035))),-1E+030)</f>
        <v>-1.57843642871774</v>
      </c>
      <c r="X3035" s="55" t="n">
        <f aca="false">IF(V3035,IF(01_因子設定!$B$13="最大化",Q3035,IF(01_因子設定!$B$13="最小化",-Q3035,-ABS(Q3035-01_因子設定!$B$16))),-1E+030)</f>
        <v>47.9155113636364</v>
      </c>
      <c r="Y3035" s="55" t="n">
        <f aca="false">W3035+ROW()*0.000000001</f>
        <v>-1.57843339371774</v>
      </c>
      <c r="Z3035" s="55" t="n">
        <f aca="false">X3035+ROW()*0.000000001</f>
        <v>47.9155143986364</v>
      </c>
    </row>
    <row r="3036" customFormat="false" ht="15" hidden="false" customHeight="false" outlineLevel="0" collapsed="false">
      <c r="A3036" s="0" t="n">
        <v>10</v>
      </c>
      <c r="B3036" s="0" t="n">
        <v>8</v>
      </c>
      <c r="C3036" s="0" t="n">
        <v>5</v>
      </c>
      <c r="D3036" s="0" t="n">
        <f aca="false">-1+A3036*0.125</f>
        <v>0.25</v>
      </c>
      <c r="E3036" s="0" t="n">
        <f aca="false">-1+B3036*0.125</f>
        <v>0</v>
      </c>
      <c r="F3036" s="0" t="n">
        <f aca="false">-1+C3036*0.125</f>
        <v>-0.375</v>
      </c>
      <c r="G3036" s="0" t="n">
        <f aca="false">1</f>
        <v>1</v>
      </c>
      <c r="H3036" s="0" t="n">
        <f aca="false">D3036</f>
        <v>0.25</v>
      </c>
      <c r="I3036" s="0" t="n">
        <f aca="false">E3036</f>
        <v>0</v>
      </c>
      <c r="J3036" s="0" t="n">
        <f aca="false">F3036</f>
        <v>-0.375</v>
      </c>
      <c r="K3036" s="0" t="n">
        <f aca="false">D3036*E3036</f>
        <v>0</v>
      </c>
      <c r="L3036" s="0" t="n">
        <f aca="false">D3036*F3036</f>
        <v>-0.09375</v>
      </c>
      <c r="M3036" s="0" t="n">
        <f aca="false">E3036*F3036</f>
        <v>-0</v>
      </c>
      <c r="N3036" s="0" t="n">
        <f aca="false">D3036*D3036</f>
        <v>0.0625</v>
      </c>
      <c r="O3036" s="0" t="n">
        <f aca="false">E3036*E3036</f>
        <v>0</v>
      </c>
      <c r="P3036" s="0" t="n">
        <f aca="false">F3036*F3036</f>
        <v>0.140625</v>
      </c>
      <c r="Q3036" s="0" t="n">
        <f aca="false">SUMPRODUCT(G3036:P3036,_XtX!$B$71:$K$71)</f>
        <v>48.2120880681818</v>
      </c>
      <c r="R3036" s="0" t="n">
        <f aca="false">SUMPRODUCT(MMULT(G3036:P3036,_XtX!$B$58:$K$67),G3036:P3036)</f>
        <v>0.127341530539773</v>
      </c>
      <c r="S3036" s="0" t="n">
        <f aca="false">04_回帰ANOVA!$K$19*04_回帰ANOVA!$K$14*SQRT(1+R3036)</f>
        <v>0.987175547486288</v>
      </c>
      <c r="T3036" s="0" t="n">
        <f aca="false">Q3036-S3036</f>
        <v>47.2249125206955</v>
      </c>
      <c r="U3036" s="0" t="n">
        <f aca="false">Q3036+S3036</f>
        <v>49.1992636156681</v>
      </c>
      <c r="V3036" s="54" t="b">
        <f aca="false">AND(D3036&gt;=01_因子設定!$L$5-0.000000001,D3036&lt;=01_因子設定!$M$5+0.000000001,E3036&gt;=01_因子設定!$L$6-0.000000001,E3036&lt;=01_因子設定!$M$6+0.000000001,F3036&gt;=01_因子設定!$L$7-0.000000001,F3036&lt;=01_因子設定!$M$7+0.000000001,IF(01_因子設定!$B$20="Box-Behnken",D3036^2+E3036^2+F3036^2&lt;=2+0.000000001,TRUE()))</f>
        <v>1</v>
      </c>
      <c r="W3036" s="55" t="n">
        <f aca="false">IF(V3036,IF(01_因子設定!$B$13="最大化",T3036-01_因子設定!$B$14,IF(01_因子設定!$B$13="最小化",01_因子設定!$B$15-U3036,MIN(T3036-01_因子設定!$B$14,01_因子設定!$B$15-U3036))),-1E+030)</f>
        <v>-1.27508747930446</v>
      </c>
      <c r="X3036" s="55" t="n">
        <f aca="false">IF(V3036,IF(01_因子設定!$B$13="最大化",Q3036,IF(01_因子設定!$B$13="最小化",-Q3036,-ABS(Q3036-01_因子設定!$B$16))),-1E+030)</f>
        <v>48.2120880681818</v>
      </c>
      <c r="Y3036" s="55" t="n">
        <f aca="false">W3036+ROW()*0.000000001</f>
        <v>-1.27508444330446</v>
      </c>
      <c r="Z3036" s="55" t="n">
        <f aca="false">X3036+ROW()*0.000000001</f>
        <v>48.2120911041818</v>
      </c>
    </row>
    <row r="3037" customFormat="false" ht="15" hidden="false" customHeight="false" outlineLevel="0" collapsed="false">
      <c r="A3037" s="0" t="n">
        <v>10</v>
      </c>
      <c r="B3037" s="0" t="n">
        <v>8</v>
      </c>
      <c r="C3037" s="0" t="n">
        <v>6</v>
      </c>
      <c r="D3037" s="0" t="n">
        <f aca="false">-1+A3037*0.125</f>
        <v>0.25</v>
      </c>
      <c r="E3037" s="0" t="n">
        <f aca="false">-1+B3037*0.125</f>
        <v>0</v>
      </c>
      <c r="F3037" s="0" t="n">
        <f aca="false">-1+C3037*0.125</f>
        <v>-0.25</v>
      </c>
      <c r="G3037" s="0" t="n">
        <f aca="false">1</f>
        <v>1</v>
      </c>
      <c r="H3037" s="0" t="n">
        <f aca="false">D3037</f>
        <v>0.25</v>
      </c>
      <c r="I3037" s="0" t="n">
        <f aca="false">E3037</f>
        <v>0</v>
      </c>
      <c r="J3037" s="0" t="n">
        <f aca="false">F3037</f>
        <v>-0.25</v>
      </c>
      <c r="K3037" s="0" t="n">
        <f aca="false">D3037*E3037</f>
        <v>0</v>
      </c>
      <c r="L3037" s="0" t="n">
        <f aca="false">D3037*F3037</f>
        <v>-0.0625</v>
      </c>
      <c r="M3037" s="0" t="n">
        <f aca="false">E3037*F3037</f>
        <v>-0</v>
      </c>
      <c r="N3037" s="0" t="n">
        <f aca="false">D3037*D3037</f>
        <v>0.0625</v>
      </c>
      <c r="O3037" s="0" t="n">
        <f aca="false">E3037*E3037</f>
        <v>0</v>
      </c>
      <c r="P3037" s="0" t="n">
        <f aca="false">F3037*F3037</f>
        <v>0.0625</v>
      </c>
      <c r="Q3037" s="0" t="n">
        <f aca="false">SUMPRODUCT(G3037:P3037,_XtX!$B$71:$K$71)</f>
        <v>48.471875</v>
      </c>
      <c r="R3037" s="0" t="n">
        <f aca="false">SUMPRODUCT(MMULT(G3037:P3037,_XtX!$B$58:$K$67),G3037:P3037)</f>
        <v>0.12158203125</v>
      </c>
      <c r="S3037" s="0" t="n">
        <f aca="false">04_回帰ANOVA!$K$19*04_回帰ANOVA!$K$14*SQRT(1+R3037)</f>
        <v>0.984650617290782</v>
      </c>
      <c r="T3037" s="0" t="n">
        <f aca="false">Q3037-S3037</f>
        <v>47.4872243827092</v>
      </c>
      <c r="U3037" s="0" t="n">
        <f aca="false">Q3037+S3037</f>
        <v>49.4565256172908</v>
      </c>
      <c r="V3037" s="54" t="b">
        <f aca="false">AND(D3037&gt;=01_因子設定!$L$5-0.000000001,D3037&lt;=01_因子設定!$M$5+0.000000001,E3037&gt;=01_因子設定!$L$6-0.000000001,E3037&lt;=01_因子設定!$M$6+0.000000001,F3037&gt;=01_因子設定!$L$7-0.000000001,F3037&lt;=01_因子設定!$M$7+0.000000001,IF(01_因子設定!$B$20="Box-Behnken",D3037^2+E3037^2+F3037^2&lt;=2+0.000000001,TRUE()))</f>
        <v>1</v>
      </c>
      <c r="W3037" s="55" t="n">
        <f aca="false">IF(V3037,IF(01_因子設定!$B$13="最大化",T3037-01_因子設定!$B$14,IF(01_因子設定!$B$13="最小化",01_因子設定!$B$15-U3037,MIN(T3037-01_因子設定!$B$14,01_因子設定!$B$15-U3037))),-1E+030)</f>
        <v>-1.01277561729077</v>
      </c>
      <c r="X3037" s="55" t="n">
        <f aca="false">IF(V3037,IF(01_因子設定!$B$13="最大化",Q3037,IF(01_因子設定!$B$13="最小化",-Q3037,-ABS(Q3037-01_因子設定!$B$16))),-1E+030)</f>
        <v>48.471875</v>
      </c>
      <c r="Y3037" s="55" t="n">
        <f aca="false">W3037+ROW()*0.000000001</f>
        <v>-1.01277258029077</v>
      </c>
      <c r="Z3037" s="55" t="n">
        <f aca="false">X3037+ROW()*0.000000001</f>
        <v>48.471878037</v>
      </c>
    </row>
    <row r="3038" customFormat="false" ht="15" hidden="false" customHeight="false" outlineLevel="0" collapsed="false">
      <c r="A3038" s="0" t="n">
        <v>10</v>
      </c>
      <c r="B3038" s="0" t="n">
        <v>8</v>
      </c>
      <c r="C3038" s="0" t="n">
        <v>7</v>
      </c>
      <c r="D3038" s="0" t="n">
        <f aca="false">-1+A3038*0.125</f>
        <v>0.25</v>
      </c>
      <c r="E3038" s="0" t="n">
        <f aca="false">-1+B3038*0.125</f>
        <v>0</v>
      </c>
      <c r="F3038" s="0" t="n">
        <f aca="false">-1+C3038*0.125</f>
        <v>-0.125</v>
      </c>
      <c r="G3038" s="0" t="n">
        <f aca="false">1</f>
        <v>1</v>
      </c>
      <c r="H3038" s="0" t="n">
        <f aca="false">D3038</f>
        <v>0.25</v>
      </c>
      <c r="I3038" s="0" t="n">
        <f aca="false">E3038</f>
        <v>0</v>
      </c>
      <c r="J3038" s="0" t="n">
        <f aca="false">F3038</f>
        <v>-0.125</v>
      </c>
      <c r="K3038" s="0" t="n">
        <f aca="false">D3038*E3038</f>
        <v>0</v>
      </c>
      <c r="L3038" s="0" t="n">
        <f aca="false">D3038*F3038</f>
        <v>-0.03125</v>
      </c>
      <c r="M3038" s="0" t="n">
        <f aca="false">E3038*F3038</f>
        <v>-0</v>
      </c>
      <c r="N3038" s="0" t="n">
        <f aca="false">D3038*D3038</f>
        <v>0.0625</v>
      </c>
      <c r="O3038" s="0" t="n">
        <f aca="false">E3038*E3038</f>
        <v>0</v>
      </c>
      <c r="P3038" s="0" t="n">
        <f aca="false">F3038*F3038</f>
        <v>0.015625</v>
      </c>
      <c r="Q3038" s="0" t="n">
        <f aca="false">SUMPRODUCT(G3038:P3038,_XtX!$B$71:$K$71)</f>
        <v>48.6948721590909</v>
      </c>
      <c r="R3038" s="0" t="n">
        <f aca="false">SUMPRODUCT(MMULT(G3038:P3038,_XtX!$B$58:$K$67),G3038:P3038)</f>
        <v>0.120257013494318</v>
      </c>
      <c r="S3038" s="0" t="n">
        <f aca="false">04_回帰ANOVA!$K$19*04_回帰ANOVA!$K$14*SQRT(1+R3038)</f>
        <v>0.984068820741811</v>
      </c>
      <c r="T3038" s="0" t="n">
        <f aca="false">Q3038-S3038</f>
        <v>47.7108033383491</v>
      </c>
      <c r="U3038" s="0" t="n">
        <f aca="false">Q3038+S3038</f>
        <v>49.6789409798327</v>
      </c>
      <c r="V3038" s="54" t="b">
        <f aca="false">AND(D3038&gt;=01_因子設定!$L$5-0.000000001,D3038&lt;=01_因子設定!$M$5+0.000000001,E3038&gt;=01_因子設定!$L$6-0.000000001,E3038&lt;=01_因子設定!$M$6+0.000000001,F3038&gt;=01_因子設定!$L$7-0.000000001,F3038&lt;=01_因子設定!$M$7+0.000000001,IF(01_因子設定!$B$20="Box-Behnken",D3038^2+E3038^2+F3038^2&lt;=2+0.000000001,TRUE()))</f>
        <v>1</v>
      </c>
      <c r="W3038" s="55" t="n">
        <f aca="false">IF(V3038,IF(01_因子設定!$B$13="最大化",T3038-01_因子設定!$B$14,IF(01_因子設定!$B$13="最小化",01_因子設定!$B$15-U3038,MIN(T3038-01_因子設定!$B$14,01_因子設定!$B$15-U3038))),-1E+030)</f>
        <v>-0.789196661650891</v>
      </c>
      <c r="X3038" s="55" t="n">
        <f aca="false">IF(V3038,IF(01_因子設定!$B$13="最大化",Q3038,IF(01_因子設定!$B$13="最小化",-Q3038,-ABS(Q3038-01_因子設定!$B$16))),-1E+030)</f>
        <v>48.6948721590909</v>
      </c>
      <c r="Y3038" s="55" t="n">
        <f aca="false">W3038+ROW()*0.000000001</f>
        <v>-0.789193623650891</v>
      </c>
      <c r="Z3038" s="55" t="n">
        <f aca="false">X3038+ROW()*0.000000001</f>
        <v>48.6948751970909</v>
      </c>
    </row>
    <row r="3039" customFormat="false" ht="15" hidden="false" customHeight="false" outlineLevel="0" collapsed="false">
      <c r="A3039" s="0" t="n">
        <v>10</v>
      </c>
      <c r="B3039" s="0" t="n">
        <v>8</v>
      </c>
      <c r="C3039" s="0" t="n">
        <v>8</v>
      </c>
      <c r="D3039" s="0" t="n">
        <f aca="false">-1+A3039*0.125</f>
        <v>0.25</v>
      </c>
      <c r="E3039" s="0" t="n">
        <f aca="false">-1+B3039*0.125</f>
        <v>0</v>
      </c>
      <c r="F3039" s="0" t="n">
        <f aca="false">-1+C3039*0.125</f>
        <v>0</v>
      </c>
      <c r="G3039" s="0" t="n">
        <f aca="false">1</f>
        <v>1</v>
      </c>
      <c r="H3039" s="0" t="n">
        <f aca="false">D3039</f>
        <v>0.25</v>
      </c>
      <c r="I3039" s="0" t="n">
        <f aca="false">E3039</f>
        <v>0</v>
      </c>
      <c r="J3039" s="0" t="n">
        <f aca="false">F3039</f>
        <v>0</v>
      </c>
      <c r="K3039" s="0" t="n">
        <f aca="false">D3039*E3039</f>
        <v>0</v>
      </c>
      <c r="L3039" s="0" t="n">
        <f aca="false">D3039*F3039</f>
        <v>0</v>
      </c>
      <c r="M3039" s="0" t="n">
        <f aca="false">E3039*F3039</f>
        <v>0</v>
      </c>
      <c r="N3039" s="0" t="n">
        <f aca="false">D3039*D3039</f>
        <v>0.0625</v>
      </c>
      <c r="O3039" s="0" t="n">
        <f aca="false">E3039*E3039</f>
        <v>0</v>
      </c>
      <c r="P3039" s="0" t="n">
        <f aca="false">F3039*F3039</f>
        <v>0</v>
      </c>
      <c r="Q3039" s="0" t="n">
        <f aca="false">SUMPRODUCT(G3039:P3039,_XtX!$B$71:$K$71)</f>
        <v>48.8810795454546</v>
      </c>
      <c r="R3039" s="0" t="n">
        <f aca="false">SUMPRODUCT(MMULT(G3039:P3039,_XtX!$B$58:$K$67),G3039:P3039)</f>
        <v>0.120170454545455</v>
      </c>
      <c r="S3039" s="0" t="n">
        <f aca="false">04_回帰ANOVA!$K$19*04_回帰ANOVA!$K$14*SQRT(1+R3039)</f>
        <v>0.984030801962561</v>
      </c>
      <c r="T3039" s="0" t="n">
        <f aca="false">Q3039-S3039</f>
        <v>47.897048743492</v>
      </c>
      <c r="U3039" s="0" t="n">
        <f aca="false">Q3039+S3039</f>
        <v>49.8651103474171</v>
      </c>
      <c r="V3039" s="54" t="b">
        <f aca="false">AND(D3039&gt;=01_因子設定!$L$5-0.000000001,D3039&lt;=01_因子設定!$M$5+0.000000001,E3039&gt;=01_因子設定!$L$6-0.000000001,E3039&lt;=01_因子設定!$M$6+0.000000001,F3039&gt;=01_因子設定!$L$7-0.000000001,F3039&lt;=01_因子設定!$M$7+0.000000001,IF(01_因子設定!$B$20="Box-Behnken",D3039^2+E3039^2+F3039^2&lt;=2+0.000000001,TRUE()))</f>
        <v>1</v>
      </c>
      <c r="W3039" s="55" t="n">
        <f aca="false">IF(V3039,IF(01_因子設定!$B$13="最大化",T3039-01_因子設定!$B$14,IF(01_因子設定!$B$13="最小化",01_因子設定!$B$15-U3039,MIN(T3039-01_因子設定!$B$14,01_因子設定!$B$15-U3039))),-1E+030)</f>
        <v>-0.602951256508007</v>
      </c>
      <c r="X3039" s="55" t="n">
        <f aca="false">IF(V3039,IF(01_因子設定!$B$13="最大化",Q3039,IF(01_因子設定!$B$13="最小化",-Q3039,-ABS(Q3039-01_因子設定!$B$16))),-1E+030)</f>
        <v>48.8810795454546</v>
      </c>
      <c r="Y3039" s="55" t="n">
        <f aca="false">W3039+ROW()*0.000000001</f>
        <v>-0.602948217508007</v>
      </c>
      <c r="Z3039" s="55" t="n">
        <f aca="false">X3039+ROW()*0.000000001</f>
        <v>48.8810825844546</v>
      </c>
    </row>
    <row r="3040" customFormat="false" ht="15" hidden="false" customHeight="false" outlineLevel="0" collapsed="false">
      <c r="A3040" s="0" t="n">
        <v>10</v>
      </c>
      <c r="B3040" s="0" t="n">
        <v>8</v>
      </c>
      <c r="C3040" s="0" t="n">
        <v>9</v>
      </c>
      <c r="D3040" s="0" t="n">
        <f aca="false">-1+A3040*0.125</f>
        <v>0.25</v>
      </c>
      <c r="E3040" s="0" t="n">
        <f aca="false">-1+B3040*0.125</f>
        <v>0</v>
      </c>
      <c r="F3040" s="0" t="n">
        <f aca="false">-1+C3040*0.125</f>
        <v>0.125</v>
      </c>
      <c r="G3040" s="0" t="n">
        <f aca="false">1</f>
        <v>1</v>
      </c>
      <c r="H3040" s="0" t="n">
        <f aca="false">D3040</f>
        <v>0.25</v>
      </c>
      <c r="I3040" s="0" t="n">
        <f aca="false">E3040</f>
        <v>0</v>
      </c>
      <c r="J3040" s="0" t="n">
        <f aca="false">F3040</f>
        <v>0.125</v>
      </c>
      <c r="K3040" s="0" t="n">
        <f aca="false">D3040*E3040</f>
        <v>0</v>
      </c>
      <c r="L3040" s="0" t="n">
        <f aca="false">D3040*F3040</f>
        <v>0.03125</v>
      </c>
      <c r="M3040" s="0" t="n">
        <f aca="false">E3040*F3040</f>
        <v>0</v>
      </c>
      <c r="N3040" s="0" t="n">
        <f aca="false">D3040*D3040</f>
        <v>0.0625</v>
      </c>
      <c r="O3040" s="0" t="n">
        <f aca="false">E3040*E3040</f>
        <v>0</v>
      </c>
      <c r="P3040" s="0" t="n">
        <f aca="false">F3040*F3040</f>
        <v>0.015625</v>
      </c>
      <c r="Q3040" s="0" t="n">
        <f aca="false">SUMPRODUCT(G3040:P3040,_XtX!$B$71:$K$71)</f>
        <v>49.0304971590909</v>
      </c>
      <c r="R3040" s="0" t="n">
        <f aca="false">SUMPRODUCT(MMULT(G3040:P3040,_XtX!$B$58:$K$67),G3040:P3040)</f>
        <v>0.120257013494318</v>
      </c>
      <c r="S3040" s="0" t="n">
        <f aca="false">04_回帰ANOVA!$K$19*04_回帰ANOVA!$K$14*SQRT(1+R3040)</f>
        <v>0.984068820741811</v>
      </c>
      <c r="T3040" s="0" t="n">
        <f aca="false">Q3040-S3040</f>
        <v>48.0464283383491</v>
      </c>
      <c r="U3040" s="0" t="n">
        <f aca="false">Q3040+S3040</f>
        <v>50.0145659798327</v>
      </c>
      <c r="V3040" s="54" t="b">
        <f aca="false">AND(D3040&gt;=01_因子設定!$L$5-0.000000001,D3040&lt;=01_因子設定!$M$5+0.000000001,E3040&gt;=01_因子設定!$L$6-0.000000001,E3040&lt;=01_因子設定!$M$6+0.000000001,F3040&gt;=01_因子設定!$L$7-0.000000001,F3040&lt;=01_因子設定!$M$7+0.000000001,IF(01_因子設定!$B$20="Box-Behnken",D3040^2+E3040^2+F3040^2&lt;=2+0.000000001,TRUE()))</f>
        <v>1</v>
      </c>
      <c r="W3040" s="55" t="n">
        <f aca="false">IF(V3040,IF(01_因子設定!$B$13="最大化",T3040-01_因子設定!$B$14,IF(01_因子設定!$B$13="最小化",01_因子設定!$B$15-U3040,MIN(T3040-01_因子設定!$B$14,01_因子設定!$B$15-U3040))),-1E+030)</f>
        <v>-0.453571661650891</v>
      </c>
      <c r="X3040" s="55" t="n">
        <f aca="false">IF(V3040,IF(01_因子設定!$B$13="最大化",Q3040,IF(01_因子設定!$B$13="最小化",-Q3040,-ABS(Q3040-01_因子設定!$B$16))),-1E+030)</f>
        <v>49.0304971590909</v>
      </c>
      <c r="Y3040" s="55" t="n">
        <f aca="false">W3040+ROW()*0.000000001</f>
        <v>-0.453568621650891</v>
      </c>
      <c r="Z3040" s="55" t="n">
        <f aca="false">X3040+ROW()*0.000000001</f>
        <v>49.0305001990909</v>
      </c>
    </row>
    <row r="3041" customFormat="false" ht="15" hidden="false" customHeight="false" outlineLevel="0" collapsed="false">
      <c r="A3041" s="0" t="n">
        <v>10</v>
      </c>
      <c r="B3041" s="0" t="n">
        <v>8</v>
      </c>
      <c r="C3041" s="0" t="n">
        <v>10</v>
      </c>
      <c r="D3041" s="0" t="n">
        <f aca="false">-1+A3041*0.125</f>
        <v>0.25</v>
      </c>
      <c r="E3041" s="0" t="n">
        <f aca="false">-1+B3041*0.125</f>
        <v>0</v>
      </c>
      <c r="F3041" s="0" t="n">
        <f aca="false">-1+C3041*0.125</f>
        <v>0.25</v>
      </c>
      <c r="G3041" s="0" t="n">
        <f aca="false">1</f>
        <v>1</v>
      </c>
      <c r="H3041" s="0" t="n">
        <f aca="false">D3041</f>
        <v>0.25</v>
      </c>
      <c r="I3041" s="0" t="n">
        <f aca="false">E3041</f>
        <v>0</v>
      </c>
      <c r="J3041" s="0" t="n">
        <f aca="false">F3041</f>
        <v>0.25</v>
      </c>
      <c r="K3041" s="0" t="n">
        <f aca="false">D3041*E3041</f>
        <v>0</v>
      </c>
      <c r="L3041" s="0" t="n">
        <f aca="false">D3041*F3041</f>
        <v>0.0625</v>
      </c>
      <c r="M3041" s="0" t="n">
        <f aca="false">E3041*F3041</f>
        <v>0</v>
      </c>
      <c r="N3041" s="0" t="n">
        <f aca="false">D3041*D3041</f>
        <v>0.0625</v>
      </c>
      <c r="O3041" s="0" t="n">
        <f aca="false">E3041*E3041</f>
        <v>0</v>
      </c>
      <c r="P3041" s="0" t="n">
        <f aca="false">F3041*F3041</f>
        <v>0.0625</v>
      </c>
      <c r="Q3041" s="0" t="n">
        <f aca="false">SUMPRODUCT(G3041:P3041,_XtX!$B$71:$K$71)</f>
        <v>49.143125</v>
      </c>
      <c r="R3041" s="0" t="n">
        <f aca="false">SUMPRODUCT(MMULT(G3041:P3041,_XtX!$B$58:$K$67),G3041:P3041)</f>
        <v>0.12158203125</v>
      </c>
      <c r="S3041" s="0" t="n">
        <f aca="false">04_回帰ANOVA!$K$19*04_回帰ANOVA!$K$14*SQRT(1+R3041)</f>
        <v>0.984650617290782</v>
      </c>
      <c r="T3041" s="0" t="n">
        <f aca="false">Q3041-S3041</f>
        <v>48.1584743827092</v>
      </c>
      <c r="U3041" s="0" t="n">
        <f aca="false">Q3041+S3041</f>
        <v>50.1277756172908</v>
      </c>
      <c r="V3041" s="54" t="b">
        <f aca="false">AND(D3041&gt;=01_因子設定!$L$5-0.000000001,D3041&lt;=01_因子設定!$M$5+0.000000001,E3041&gt;=01_因子設定!$L$6-0.000000001,E3041&lt;=01_因子設定!$M$6+0.000000001,F3041&gt;=01_因子設定!$L$7-0.000000001,F3041&lt;=01_因子設定!$M$7+0.000000001,IF(01_因子設定!$B$20="Box-Behnken",D3041^2+E3041^2+F3041^2&lt;=2+0.000000001,TRUE()))</f>
        <v>1</v>
      </c>
      <c r="W3041" s="55" t="n">
        <f aca="false">IF(V3041,IF(01_因子設定!$B$13="最大化",T3041-01_因子設定!$B$14,IF(01_因子設定!$B$13="最小化",01_因子設定!$B$15-U3041,MIN(T3041-01_因子設定!$B$14,01_因子設定!$B$15-U3041))),-1E+030)</f>
        <v>-0.34152561729077</v>
      </c>
      <c r="X3041" s="55" t="n">
        <f aca="false">IF(V3041,IF(01_因子設定!$B$13="最大化",Q3041,IF(01_因子設定!$B$13="最小化",-Q3041,-ABS(Q3041-01_因子設定!$B$16))),-1E+030)</f>
        <v>49.143125</v>
      </c>
      <c r="Y3041" s="55" t="n">
        <f aca="false">W3041+ROW()*0.000000001</f>
        <v>-0.34152257629077</v>
      </c>
      <c r="Z3041" s="55" t="n">
        <f aca="false">X3041+ROW()*0.000000001</f>
        <v>49.143128041</v>
      </c>
    </row>
    <row r="3042" customFormat="false" ht="15" hidden="false" customHeight="false" outlineLevel="0" collapsed="false">
      <c r="A3042" s="0" t="n">
        <v>10</v>
      </c>
      <c r="B3042" s="0" t="n">
        <v>8</v>
      </c>
      <c r="C3042" s="0" t="n">
        <v>11</v>
      </c>
      <c r="D3042" s="0" t="n">
        <f aca="false">-1+A3042*0.125</f>
        <v>0.25</v>
      </c>
      <c r="E3042" s="0" t="n">
        <f aca="false">-1+B3042*0.125</f>
        <v>0</v>
      </c>
      <c r="F3042" s="0" t="n">
        <f aca="false">-1+C3042*0.125</f>
        <v>0.375</v>
      </c>
      <c r="G3042" s="0" t="n">
        <f aca="false">1</f>
        <v>1</v>
      </c>
      <c r="H3042" s="0" t="n">
        <f aca="false">D3042</f>
        <v>0.25</v>
      </c>
      <c r="I3042" s="0" t="n">
        <f aca="false">E3042</f>
        <v>0</v>
      </c>
      <c r="J3042" s="0" t="n">
        <f aca="false">F3042</f>
        <v>0.375</v>
      </c>
      <c r="K3042" s="0" t="n">
        <f aca="false">D3042*E3042</f>
        <v>0</v>
      </c>
      <c r="L3042" s="0" t="n">
        <f aca="false">D3042*F3042</f>
        <v>0.09375</v>
      </c>
      <c r="M3042" s="0" t="n">
        <f aca="false">E3042*F3042</f>
        <v>0</v>
      </c>
      <c r="N3042" s="0" t="n">
        <f aca="false">D3042*D3042</f>
        <v>0.0625</v>
      </c>
      <c r="O3042" s="0" t="n">
        <f aca="false">E3042*E3042</f>
        <v>0</v>
      </c>
      <c r="P3042" s="0" t="n">
        <f aca="false">F3042*F3042</f>
        <v>0.140625</v>
      </c>
      <c r="Q3042" s="0" t="n">
        <f aca="false">SUMPRODUCT(G3042:P3042,_XtX!$B$71:$K$71)</f>
        <v>49.2189630681818</v>
      </c>
      <c r="R3042" s="0" t="n">
        <f aca="false">SUMPRODUCT(MMULT(G3042:P3042,_XtX!$B$58:$K$67),G3042:P3042)</f>
        <v>0.127341530539773</v>
      </c>
      <c r="S3042" s="0" t="n">
        <f aca="false">04_回帰ANOVA!$K$19*04_回帰ANOVA!$K$14*SQRT(1+R3042)</f>
        <v>0.987175547486288</v>
      </c>
      <c r="T3042" s="0" t="n">
        <f aca="false">Q3042-S3042</f>
        <v>48.2317875206955</v>
      </c>
      <c r="U3042" s="0" t="n">
        <f aca="false">Q3042+S3042</f>
        <v>50.2061386156681</v>
      </c>
      <c r="V3042" s="54" t="b">
        <f aca="false">AND(D3042&gt;=01_因子設定!$L$5-0.000000001,D3042&lt;=01_因子設定!$M$5+0.000000001,E3042&gt;=01_因子設定!$L$6-0.000000001,E3042&lt;=01_因子設定!$M$6+0.000000001,F3042&gt;=01_因子設定!$L$7-0.000000001,F3042&lt;=01_因子設定!$M$7+0.000000001,IF(01_因子設定!$B$20="Box-Behnken",D3042^2+E3042^2+F3042^2&lt;=2+0.000000001,TRUE()))</f>
        <v>1</v>
      </c>
      <c r="W3042" s="55" t="n">
        <f aca="false">IF(V3042,IF(01_因子設定!$B$13="最大化",T3042-01_因子設定!$B$14,IF(01_因子設定!$B$13="最小化",01_因子設定!$B$15-U3042,MIN(T3042-01_因子設定!$B$14,01_因子設定!$B$15-U3042))),-1E+030)</f>
        <v>-0.268212479304459</v>
      </c>
      <c r="X3042" s="55" t="n">
        <f aca="false">IF(V3042,IF(01_因子設定!$B$13="最大化",Q3042,IF(01_因子設定!$B$13="最小化",-Q3042,-ABS(Q3042-01_因子設定!$B$16))),-1E+030)</f>
        <v>49.2189630681818</v>
      </c>
      <c r="Y3042" s="55" t="n">
        <f aca="false">W3042+ROW()*0.000000001</f>
        <v>-0.268209437304459</v>
      </c>
      <c r="Z3042" s="55" t="n">
        <f aca="false">X3042+ROW()*0.000000001</f>
        <v>49.2189661101818</v>
      </c>
    </row>
    <row r="3043" customFormat="false" ht="15" hidden="false" customHeight="false" outlineLevel="0" collapsed="false">
      <c r="A3043" s="0" t="n">
        <v>10</v>
      </c>
      <c r="B3043" s="0" t="n">
        <v>8</v>
      </c>
      <c r="C3043" s="0" t="n">
        <v>12</v>
      </c>
      <c r="D3043" s="0" t="n">
        <f aca="false">-1+A3043*0.125</f>
        <v>0.25</v>
      </c>
      <c r="E3043" s="0" t="n">
        <f aca="false">-1+B3043*0.125</f>
        <v>0</v>
      </c>
      <c r="F3043" s="0" t="n">
        <f aca="false">-1+C3043*0.125</f>
        <v>0.5</v>
      </c>
      <c r="G3043" s="0" t="n">
        <f aca="false">1</f>
        <v>1</v>
      </c>
      <c r="H3043" s="0" t="n">
        <f aca="false">D3043</f>
        <v>0.25</v>
      </c>
      <c r="I3043" s="0" t="n">
        <f aca="false">E3043</f>
        <v>0</v>
      </c>
      <c r="J3043" s="0" t="n">
        <f aca="false">F3043</f>
        <v>0.5</v>
      </c>
      <c r="K3043" s="0" t="n">
        <f aca="false">D3043*E3043</f>
        <v>0</v>
      </c>
      <c r="L3043" s="0" t="n">
        <f aca="false">D3043*F3043</f>
        <v>0.125</v>
      </c>
      <c r="M3043" s="0" t="n">
        <f aca="false">E3043*F3043</f>
        <v>0</v>
      </c>
      <c r="N3043" s="0" t="n">
        <f aca="false">D3043*D3043</f>
        <v>0.0625</v>
      </c>
      <c r="O3043" s="0" t="n">
        <f aca="false">E3043*E3043</f>
        <v>0</v>
      </c>
      <c r="P3043" s="0" t="n">
        <f aca="false">F3043*F3043</f>
        <v>0.25</v>
      </c>
      <c r="Q3043" s="0" t="n">
        <f aca="false">SUMPRODUCT(G3043:P3043,_XtX!$B$71:$K$71)</f>
        <v>49.2580113636364</v>
      </c>
      <c r="R3043" s="0" t="n">
        <f aca="false">SUMPRODUCT(MMULT(G3043:P3043,_XtX!$B$58:$K$67),G3043:P3043)</f>
        <v>0.142862215909091</v>
      </c>
      <c r="S3043" s="0" t="n">
        <f aca="false">04_回帰ANOVA!$K$19*04_回帰ANOVA!$K$14*SQRT(1+R3043)</f>
        <v>0.993947792354123</v>
      </c>
      <c r="T3043" s="0" t="n">
        <f aca="false">Q3043-S3043</f>
        <v>48.2640635712823</v>
      </c>
      <c r="U3043" s="0" t="n">
        <f aca="false">Q3043+S3043</f>
        <v>50.2519591559905</v>
      </c>
      <c r="V3043" s="54" t="b">
        <f aca="false">AND(D3043&gt;=01_因子設定!$L$5-0.000000001,D3043&lt;=01_因子設定!$M$5+0.000000001,E3043&gt;=01_因子設定!$L$6-0.000000001,E3043&lt;=01_因子設定!$M$6+0.000000001,F3043&gt;=01_因子設定!$L$7-0.000000001,F3043&lt;=01_因子設定!$M$7+0.000000001,IF(01_因子設定!$B$20="Box-Behnken",D3043^2+E3043^2+F3043^2&lt;=2+0.000000001,TRUE()))</f>
        <v>1</v>
      </c>
      <c r="W3043" s="55" t="n">
        <f aca="false">IF(V3043,IF(01_因子設定!$B$13="最大化",T3043-01_因子設定!$B$14,IF(01_因子設定!$B$13="最小化",01_因子設定!$B$15-U3043,MIN(T3043-01_因子設定!$B$14,01_因子設定!$B$15-U3043))),-1E+030)</f>
        <v>-0.235936428717743</v>
      </c>
      <c r="X3043" s="55" t="n">
        <f aca="false">IF(V3043,IF(01_因子設定!$B$13="最大化",Q3043,IF(01_因子設定!$B$13="最小化",-Q3043,-ABS(Q3043-01_因子設定!$B$16))),-1E+030)</f>
        <v>49.2580113636364</v>
      </c>
      <c r="Y3043" s="55" t="n">
        <f aca="false">W3043+ROW()*0.000000001</f>
        <v>-0.235933385717743</v>
      </c>
      <c r="Z3043" s="55" t="n">
        <f aca="false">X3043+ROW()*0.000000001</f>
        <v>49.2580144066364</v>
      </c>
    </row>
    <row r="3044" customFormat="false" ht="15" hidden="false" customHeight="false" outlineLevel="0" collapsed="false">
      <c r="A3044" s="0" t="n">
        <v>10</v>
      </c>
      <c r="B3044" s="0" t="n">
        <v>8</v>
      </c>
      <c r="C3044" s="0" t="n">
        <v>13</v>
      </c>
      <c r="D3044" s="0" t="n">
        <f aca="false">-1+A3044*0.125</f>
        <v>0.25</v>
      </c>
      <c r="E3044" s="0" t="n">
        <f aca="false">-1+B3044*0.125</f>
        <v>0</v>
      </c>
      <c r="F3044" s="0" t="n">
        <f aca="false">-1+C3044*0.125</f>
        <v>0.625</v>
      </c>
      <c r="G3044" s="0" t="n">
        <f aca="false">1</f>
        <v>1</v>
      </c>
      <c r="H3044" s="0" t="n">
        <f aca="false">D3044</f>
        <v>0.25</v>
      </c>
      <c r="I3044" s="0" t="n">
        <f aca="false">E3044</f>
        <v>0</v>
      </c>
      <c r="J3044" s="0" t="n">
        <f aca="false">F3044</f>
        <v>0.625</v>
      </c>
      <c r="K3044" s="0" t="n">
        <f aca="false">D3044*E3044</f>
        <v>0</v>
      </c>
      <c r="L3044" s="0" t="n">
        <f aca="false">D3044*F3044</f>
        <v>0.15625</v>
      </c>
      <c r="M3044" s="0" t="n">
        <f aca="false">E3044*F3044</f>
        <v>0</v>
      </c>
      <c r="N3044" s="0" t="n">
        <f aca="false">D3044*D3044</f>
        <v>0.0625</v>
      </c>
      <c r="O3044" s="0" t="n">
        <f aca="false">E3044*E3044</f>
        <v>0</v>
      </c>
      <c r="P3044" s="0" t="n">
        <f aca="false">F3044*F3044</f>
        <v>0.390625</v>
      </c>
      <c r="Q3044" s="0" t="n">
        <f aca="false">SUMPRODUCT(G3044:P3044,_XtX!$B$71:$K$71)</f>
        <v>49.2602698863637</v>
      </c>
      <c r="R3044" s="0" t="n">
        <f aca="false">SUMPRODUCT(MMULT(G3044:P3044,_XtX!$B$58:$K$67),G3044:P3044)</f>
        <v>0.175601473721591</v>
      </c>
      <c r="S3044" s="0" t="n">
        <f aca="false">04_回帰ANOVA!$K$19*04_回帰ANOVA!$K$14*SQRT(1+R3044)</f>
        <v>1.00808394234856</v>
      </c>
      <c r="T3044" s="0" t="n">
        <f aca="false">Q3044-S3044</f>
        <v>48.2521859440151</v>
      </c>
      <c r="U3044" s="0" t="n">
        <f aca="false">Q3044+S3044</f>
        <v>50.2683538287122</v>
      </c>
      <c r="V3044" s="54" t="b">
        <f aca="false">AND(D3044&gt;=01_因子設定!$L$5-0.000000001,D3044&lt;=01_因子設定!$M$5+0.000000001,E3044&gt;=01_因子設定!$L$6-0.000000001,E3044&lt;=01_因子設定!$M$6+0.000000001,F3044&gt;=01_因子設定!$L$7-0.000000001,F3044&lt;=01_因子設定!$M$7+0.000000001,IF(01_因子設定!$B$20="Box-Behnken",D3044^2+E3044^2+F3044^2&lt;=2+0.000000001,TRUE()))</f>
        <v>1</v>
      </c>
      <c r="W3044" s="55" t="n">
        <f aca="false">IF(V3044,IF(01_因子設定!$B$13="最大化",T3044-01_因子設定!$B$14,IF(01_因子設定!$B$13="最小化",01_因子設定!$B$15-U3044,MIN(T3044-01_因子設定!$B$14,01_因子設定!$B$15-U3044))),-1E+030)</f>
        <v>-0.247814055984911</v>
      </c>
      <c r="X3044" s="55" t="n">
        <f aca="false">IF(V3044,IF(01_因子設定!$B$13="最大化",Q3044,IF(01_因子設定!$B$13="最小化",-Q3044,-ABS(Q3044-01_因子設定!$B$16))),-1E+030)</f>
        <v>49.2602698863637</v>
      </c>
      <c r="Y3044" s="55" t="n">
        <f aca="false">W3044+ROW()*0.000000001</f>
        <v>-0.247811011984911</v>
      </c>
      <c r="Z3044" s="55" t="n">
        <f aca="false">X3044+ROW()*0.000000001</f>
        <v>49.2602729303637</v>
      </c>
    </row>
    <row r="3045" customFormat="false" ht="15" hidden="false" customHeight="false" outlineLevel="0" collapsed="false">
      <c r="A3045" s="0" t="n">
        <v>10</v>
      </c>
      <c r="B3045" s="0" t="n">
        <v>8</v>
      </c>
      <c r="C3045" s="0" t="n">
        <v>14</v>
      </c>
      <c r="D3045" s="0" t="n">
        <f aca="false">-1+A3045*0.125</f>
        <v>0.25</v>
      </c>
      <c r="E3045" s="0" t="n">
        <f aca="false">-1+B3045*0.125</f>
        <v>0</v>
      </c>
      <c r="F3045" s="0" t="n">
        <f aca="false">-1+C3045*0.125</f>
        <v>0.75</v>
      </c>
      <c r="G3045" s="0" t="n">
        <f aca="false">1</f>
        <v>1</v>
      </c>
      <c r="H3045" s="0" t="n">
        <f aca="false">D3045</f>
        <v>0.25</v>
      </c>
      <c r="I3045" s="0" t="n">
        <f aca="false">E3045</f>
        <v>0</v>
      </c>
      <c r="J3045" s="0" t="n">
        <f aca="false">F3045</f>
        <v>0.75</v>
      </c>
      <c r="K3045" s="0" t="n">
        <f aca="false">D3045*E3045</f>
        <v>0</v>
      </c>
      <c r="L3045" s="0" t="n">
        <f aca="false">D3045*F3045</f>
        <v>0.1875</v>
      </c>
      <c r="M3045" s="0" t="n">
        <f aca="false">E3045*F3045</f>
        <v>0</v>
      </c>
      <c r="N3045" s="0" t="n">
        <f aca="false">D3045*D3045</f>
        <v>0.0625</v>
      </c>
      <c r="O3045" s="0" t="n">
        <f aca="false">E3045*E3045</f>
        <v>0</v>
      </c>
      <c r="P3045" s="0" t="n">
        <f aca="false">F3045*F3045</f>
        <v>0.5625</v>
      </c>
      <c r="Q3045" s="0" t="n">
        <f aca="false">SUMPRODUCT(G3045:P3045,_XtX!$B$71:$K$71)</f>
        <v>49.2257386363637</v>
      </c>
      <c r="R3045" s="0" t="n">
        <f aca="false">SUMPRODUCT(MMULT(G3045:P3045,_XtX!$B$58:$K$67),G3045:P3045)</f>
        <v>0.235147372159091</v>
      </c>
      <c r="S3045" s="0" t="n">
        <f aca="false">04_回帰ANOVA!$K$19*04_回帰ANOVA!$K$14*SQRT(1+R3045)</f>
        <v>1.03329903885461</v>
      </c>
      <c r="T3045" s="0" t="n">
        <f aca="false">Q3045-S3045</f>
        <v>48.1924395975091</v>
      </c>
      <c r="U3045" s="0" t="n">
        <f aca="false">Q3045+S3045</f>
        <v>50.2590376752183</v>
      </c>
      <c r="V3045" s="54" t="b">
        <f aca="false">AND(D3045&gt;=01_因子設定!$L$5-0.000000001,D3045&lt;=01_因子設定!$M$5+0.000000001,E3045&gt;=01_因子設定!$L$6-0.000000001,E3045&lt;=01_因子設定!$M$6+0.000000001,F3045&gt;=01_因子設定!$L$7-0.000000001,F3045&lt;=01_因子設定!$M$7+0.000000001,IF(01_因子設定!$B$20="Box-Behnken",D3045^2+E3045^2+F3045^2&lt;=2+0.000000001,TRUE()))</f>
        <v>1</v>
      </c>
      <c r="W3045" s="55" t="n">
        <f aca="false">IF(V3045,IF(01_因子設定!$B$13="最大化",T3045-01_因子設定!$B$14,IF(01_因子設定!$B$13="最小化",01_因子設定!$B$15-U3045,MIN(T3045-01_因子設定!$B$14,01_因子設定!$B$15-U3045))),-1E+030)</f>
        <v>-0.30756040249095</v>
      </c>
      <c r="X3045" s="55" t="n">
        <f aca="false">IF(V3045,IF(01_因子設定!$B$13="最大化",Q3045,IF(01_因子設定!$B$13="最小化",-Q3045,-ABS(Q3045-01_因子設定!$B$16))),-1E+030)</f>
        <v>49.2257386363637</v>
      </c>
      <c r="Y3045" s="55" t="n">
        <f aca="false">W3045+ROW()*0.000000001</f>
        <v>-0.30755735749095</v>
      </c>
      <c r="Z3045" s="55" t="n">
        <f aca="false">X3045+ROW()*0.000000001</f>
        <v>49.2257416813637</v>
      </c>
    </row>
    <row r="3046" customFormat="false" ht="15" hidden="false" customHeight="false" outlineLevel="0" collapsed="false">
      <c r="A3046" s="0" t="n">
        <v>10</v>
      </c>
      <c r="B3046" s="0" t="n">
        <v>8</v>
      </c>
      <c r="C3046" s="0" t="n">
        <v>15</v>
      </c>
      <c r="D3046" s="0" t="n">
        <f aca="false">-1+A3046*0.125</f>
        <v>0.25</v>
      </c>
      <c r="E3046" s="0" t="n">
        <f aca="false">-1+B3046*0.125</f>
        <v>0</v>
      </c>
      <c r="F3046" s="0" t="n">
        <f aca="false">-1+C3046*0.125</f>
        <v>0.875</v>
      </c>
      <c r="G3046" s="0" t="n">
        <f aca="false">1</f>
        <v>1</v>
      </c>
      <c r="H3046" s="0" t="n">
        <f aca="false">D3046</f>
        <v>0.25</v>
      </c>
      <c r="I3046" s="0" t="n">
        <f aca="false">E3046</f>
        <v>0</v>
      </c>
      <c r="J3046" s="0" t="n">
        <f aca="false">F3046</f>
        <v>0.875</v>
      </c>
      <c r="K3046" s="0" t="n">
        <f aca="false">D3046*E3046</f>
        <v>0</v>
      </c>
      <c r="L3046" s="0" t="n">
        <f aca="false">D3046*F3046</f>
        <v>0.21875</v>
      </c>
      <c r="M3046" s="0" t="n">
        <f aca="false">E3046*F3046</f>
        <v>0</v>
      </c>
      <c r="N3046" s="0" t="n">
        <f aca="false">D3046*D3046</f>
        <v>0.0625</v>
      </c>
      <c r="O3046" s="0" t="n">
        <f aca="false">E3046*E3046</f>
        <v>0</v>
      </c>
      <c r="P3046" s="0" t="n">
        <f aca="false">F3046*F3046</f>
        <v>0.765625</v>
      </c>
      <c r="Q3046" s="0" t="n">
        <f aca="false">SUMPRODUCT(G3046:P3046,_XtX!$B$71:$K$71)</f>
        <v>49.1544176136364</v>
      </c>
      <c r="R3046" s="0" t="n">
        <f aca="false">SUMPRODUCT(MMULT(G3046:P3046,_XtX!$B$58:$K$67),G3046:P3046)</f>
        <v>0.333218661221591</v>
      </c>
      <c r="S3046" s="0" t="n">
        <f aca="false">04_回帰ANOVA!$K$19*04_回帰ANOVA!$K$14*SQRT(1+R3046)</f>
        <v>1.07353776826542</v>
      </c>
      <c r="T3046" s="0" t="n">
        <f aca="false">Q3046-S3046</f>
        <v>48.080879845371</v>
      </c>
      <c r="U3046" s="0" t="n">
        <f aca="false">Q3046+S3046</f>
        <v>50.2279553819018</v>
      </c>
      <c r="V3046" s="54" t="b">
        <f aca="false">AND(D3046&gt;=01_因子設定!$L$5-0.000000001,D3046&lt;=01_因子設定!$M$5+0.000000001,E3046&gt;=01_因子設定!$L$6-0.000000001,E3046&lt;=01_因子設定!$M$6+0.000000001,F3046&gt;=01_因子設定!$L$7-0.000000001,F3046&lt;=01_因子設定!$M$7+0.000000001,IF(01_因子設定!$B$20="Box-Behnken",D3046^2+E3046^2+F3046^2&lt;=2+0.000000001,TRUE()))</f>
        <v>1</v>
      </c>
      <c r="W3046" s="55" t="n">
        <f aca="false">IF(V3046,IF(01_因子設定!$B$13="最大化",T3046-01_因子設定!$B$14,IF(01_因子設定!$B$13="最小化",01_因子設定!$B$15-U3046,MIN(T3046-01_因子設定!$B$14,01_因子設定!$B$15-U3046))),-1E+030)</f>
        <v>-0.419120154629034</v>
      </c>
      <c r="X3046" s="55" t="n">
        <f aca="false">IF(V3046,IF(01_因子設定!$B$13="最大化",Q3046,IF(01_因子設定!$B$13="最小化",-Q3046,-ABS(Q3046-01_因子設定!$B$16))),-1E+030)</f>
        <v>49.1544176136364</v>
      </c>
      <c r="Y3046" s="55" t="n">
        <f aca="false">W3046+ROW()*0.000000001</f>
        <v>-0.419117108629034</v>
      </c>
      <c r="Z3046" s="55" t="n">
        <f aca="false">X3046+ROW()*0.000000001</f>
        <v>49.1544206596364</v>
      </c>
    </row>
    <row r="3047" customFormat="false" ht="15" hidden="false" customHeight="false" outlineLevel="0" collapsed="false">
      <c r="A3047" s="0" t="n">
        <v>10</v>
      </c>
      <c r="B3047" s="0" t="n">
        <v>8</v>
      </c>
      <c r="C3047" s="0" t="n">
        <v>16</v>
      </c>
      <c r="D3047" s="0" t="n">
        <f aca="false">-1+A3047*0.125</f>
        <v>0.25</v>
      </c>
      <c r="E3047" s="0" t="n">
        <f aca="false">-1+B3047*0.125</f>
        <v>0</v>
      </c>
      <c r="F3047" s="0" t="n">
        <f aca="false">-1+C3047*0.125</f>
        <v>1</v>
      </c>
      <c r="G3047" s="0" t="n">
        <f aca="false">1</f>
        <v>1</v>
      </c>
      <c r="H3047" s="0" t="n">
        <f aca="false">D3047</f>
        <v>0.25</v>
      </c>
      <c r="I3047" s="0" t="n">
        <f aca="false">E3047</f>
        <v>0</v>
      </c>
      <c r="J3047" s="0" t="n">
        <f aca="false">F3047</f>
        <v>1</v>
      </c>
      <c r="K3047" s="0" t="n">
        <f aca="false">D3047*E3047</f>
        <v>0</v>
      </c>
      <c r="L3047" s="0" t="n">
        <f aca="false">D3047*F3047</f>
        <v>0.25</v>
      </c>
      <c r="M3047" s="0" t="n">
        <f aca="false">E3047*F3047</f>
        <v>0</v>
      </c>
      <c r="N3047" s="0" t="n">
        <f aca="false">D3047*D3047</f>
        <v>0.0625</v>
      </c>
      <c r="O3047" s="0" t="n">
        <f aca="false">E3047*E3047</f>
        <v>0</v>
      </c>
      <c r="P3047" s="0" t="n">
        <f aca="false">F3047*F3047</f>
        <v>1</v>
      </c>
      <c r="Q3047" s="0" t="n">
        <f aca="false">SUMPRODUCT(G3047:P3047,_XtX!$B$71:$K$71)</f>
        <v>49.0463068181819</v>
      </c>
      <c r="R3047" s="0" t="n">
        <f aca="false">SUMPRODUCT(MMULT(G3047:P3047,_XtX!$B$58:$K$67),G3047:P3047)</f>
        <v>0.483664772727273</v>
      </c>
      <c r="S3047" s="0" t="n">
        <f aca="false">04_回帰ANOVA!$K$19*04_回帰ANOVA!$K$14*SQRT(1+R3047)</f>
        <v>1.13249039846694</v>
      </c>
      <c r="T3047" s="0" t="n">
        <f aca="false">Q3047-S3047</f>
        <v>47.9138164197149</v>
      </c>
      <c r="U3047" s="0" t="n">
        <f aca="false">Q3047+S3047</f>
        <v>50.1787972166488</v>
      </c>
      <c r="V3047" s="54" t="b">
        <f aca="false">AND(D3047&gt;=01_因子設定!$L$5-0.000000001,D3047&lt;=01_因子設定!$M$5+0.000000001,E3047&gt;=01_因子設定!$L$6-0.000000001,E3047&lt;=01_因子設定!$M$6+0.000000001,F3047&gt;=01_因子設定!$L$7-0.000000001,F3047&lt;=01_因子設定!$M$7+0.000000001,IF(01_因子設定!$B$20="Box-Behnken",D3047^2+E3047^2+F3047^2&lt;=2+0.000000001,TRUE()))</f>
        <v>1</v>
      </c>
      <c r="W3047" s="55" t="n">
        <f aca="false">IF(V3047,IF(01_因子設定!$B$13="最大化",T3047-01_因子設定!$B$14,IF(01_因子設定!$B$13="最小化",01_因子設定!$B$15-U3047,MIN(T3047-01_因子設定!$B$14,01_因子設定!$B$15-U3047))),-1E+030)</f>
        <v>-0.586183580285088</v>
      </c>
      <c r="X3047" s="55" t="n">
        <f aca="false">IF(V3047,IF(01_因子設定!$B$13="最大化",Q3047,IF(01_因子設定!$B$13="最小化",-Q3047,-ABS(Q3047-01_因子設定!$B$16))),-1E+030)</f>
        <v>49.0463068181819</v>
      </c>
      <c r="Y3047" s="55" t="n">
        <f aca="false">W3047+ROW()*0.000000001</f>
        <v>-0.586180533285088</v>
      </c>
      <c r="Z3047" s="55" t="n">
        <f aca="false">X3047+ROW()*0.000000001</f>
        <v>49.0463098651819</v>
      </c>
    </row>
    <row r="3048" customFormat="false" ht="15" hidden="false" customHeight="false" outlineLevel="0" collapsed="false">
      <c r="A3048" s="0" t="n">
        <v>10</v>
      </c>
      <c r="B3048" s="0" t="n">
        <v>9</v>
      </c>
      <c r="C3048" s="0" t="n">
        <v>0</v>
      </c>
      <c r="D3048" s="0" t="n">
        <f aca="false">-1+A3048*0.125</f>
        <v>0.25</v>
      </c>
      <c r="E3048" s="0" t="n">
        <f aca="false">-1+B3048*0.125</f>
        <v>0.125</v>
      </c>
      <c r="F3048" s="0" t="n">
        <f aca="false">-1+C3048*0.125</f>
        <v>-1</v>
      </c>
      <c r="G3048" s="0" t="n">
        <f aca="false">1</f>
        <v>1</v>
      </c>
      <c r="H3048" s="0" t="n">
        <f aca="false">D3048</f>
        <v>0.25</v>
      </c>
      <c r="I3048" s="0" t="n">
        <f aca="false">E3048</f>
        <v>0.125</v>
      </c>
      <c r="J3048" s="0" t="n">
        <f aca="false">F3048</f>
        <v>-1</v>
      </c>
      <c r="K3048" s="0" t="n">
        <f aca="false">D3048*E3048</f>
        <v>0.03125</v>
      </c>
      <c r="L3048" s="0" t="n">
        <f aca="false">D3048*F3048</f>
        <v>-0.25</v>
      </c>
      <c r="M3048" s="0" t="n">
        <f aca="false">E3048*F3048</f>
        <v>-0.125</v>
      </c>
      <c r="N3048" s="0" t="n">
        <f aca="false">D3048*D3048</f>
        <v>0.0625</v>
      </c>
      <c r="O3048" s="0" t="n">
        <f aca="false">E3048*E3048</f>
        <v>0.015625</v>
      </c>
      <c r="P3048" s="0" t="n">
        <f aca="false">F3048*F3048</f>
        <v>1</v>
      </c>
      <c r="Q3048" s="0" t="n">
        <f aca="false">SUMPRODUCT(G3048:P3048,_XtX!$B$71:$K$71)</f>
        <v>46.5704119318182</v>
      </c>
      <c r="R3048" s="0" t="n">
        <f aca="false">SUMPRODUCT(MMULT(G3048:P3048,_XtX!$B$58:$K$67),G3048:P3048)</f>
        <v>0.481443093039773</v>
      </c>
      <c r="S3048" s="0" t="n">
        <f aca="false">04_回帰ANOVA!$K$19*04_回帰ANOVA!$K$14*SQRT(1+R3048)</f>
        <v>1.13164216995877</v>
      </c>
      <c r="T3048" s="0" t="n">
        <f aca="false">Q3048-S3048</f>
        <v>45.4387697618594</v>
      </c>
      <c r="U3048" s="0" t="n">
        <f aca="false">Q3048+S3048</f>
        <v>47.702054101777</v>
      </c>
      <c r="V3048" s="54" t="b">
        <f aca="false">AND(D3048&gt;=01_因子設定!$L$5-0.000000001,D3048&lt;=01_因子設定!$M$5+0.000000001,E3048&gt;=01_因子設定!$L$6-0.000000001,E3048&lt;=01_因子設定!$M$6+0.000000001,F3048&gt;=01_因子設定!$L$7-0.000000001,F3048&lt;=01_因子設定!$M$7+0.000000001,IF(01_因子設定!$B$20="Box-Behnken",D3048^2+E3048^2+F3048^2&lt;=2+0.000000001,TRUE()))</f>
        <v>1</v>
      </c>
      <c r="W3048" s="55" t="n">
        <f aca="false">IF(V3048,IF(01_因子設定!$B$13="最大化",T3048-01_因子設定!$B$14,IF(01_因子設定!$B$13="最小化",01_因子設定!$B$15-U3048,MIN(T3048-01_因子設定!$B$14,01_因子設定!$B$15-U3048))),-1E+030)</f>
        <v>-3.06123023814056</v>
      </c>
      <c r="X3048" s="55" t="n">
        <f aca="false">IF(V3048,IF(01_因子設定!$B$13="最大化",Q3048,IF(01_因子設定!$B$13="最小化",-Q3048,-ABS(Q3048-01_因子設定!$B$16))),-1E+030)</f>
        <v>46.5704119318182</v>
      </c>
      <c r="Y3048" s="55" t="n">
        <f aca="false">W3048+ROW()*0.000000001</f>
        <v>-3.06122719014056</v>
      </c>
      <c r="Z3048" s="55" t="n">
        <f aca="false">X3048+ROW()*0.000000001</f>
        <v>46.5704149798182</v>
      </c>
    </row>
    <row r="3049" customFormat="false" ht="15" hidden="false" customHeight="false" outlineLevel="0" collapsed="false">
      <c r="A3049" s="0" t="n">
        <v>10</v>
      </c>
      <c r="B3049" s="0" t="n">
        <v>9</v>
      </c>
      <c r="C3049" s="0" t="n">
        <v>1</v>
      </c>
      <c r="D3049" s="0" t="n">
        <f aca="false">-1+A3049*0.125</f>
        <v>0.25</v>
      </c>
      <c r="E3049" s="0" t="n">
        <f aca="false">-1+B3049*0.125</f>
        <v>0.125</v>
      </c>
      <c r="F3049" s="0" t="n">
        <f aca="false">-1+C3049*0.125</f>
        <v>-0.875</v>
      </c>
      <c r="G3049" s="0" t="n">
        <f aca="false">1</f>
        <v>1</v>
      </c>
      <c r="H3049" s="0" t="n">
        <f aca="false">D3049</f>
        <v>0.25</v>
      </c>
      <c r="I3049" s="0" t="n">
        <f aca="false">E3049</f>
        <v>0.125</v>
      </c>
      <c r="J3049" s="0" t="n">
        <f aca="false">F3049</f>
        <v>-0.875</v>
      </c>
      <c r="K3049" s="0" t="n">
        <f aca="false">D3049*E3049</f>
        <v>0.03125</v>
      </c>
      <c r="L3049" s="0" t="n">
        <f aca="false">D3049*F3049</f>
        <v>-0.21875</v>
      </c>
      <c r="M3049" s="0" t="n">
        <f aca="false">E3049*F3049</f>
        <v>-0.109375</v>
      </c>
      <c r="N3049" s="0" t="n">
        <f aca="false">D3049*D3049</f>
        <v>0.0625</v>
      </c>
      <c r="O3049" s="0" t="n">
        <f aca="false">E3049*E3049</f>
        <v>0.015625</v>
      </c>
      <c r="P3049" s="0" t="n">
        <f aca="false">F3049*F3049</f>
        <v>0.765625</v>
      </c>
      <c r="Q3049" s="0" t="n">
        <f aca="false">SUMPRODUCT(G3049:P3049,_XtX!$B$71:$K$71)</f>
        <v>47.0211789772728</v>
      </c>
      <c r="R3049" s="0" t="n">
        <f aca="false">SUMPRODUCT(MMULT(G3049:P3049,_XtX!$B$58:$K$67),G3049:P3049)</f>
        <v>0.331537974964489</v>
      </c>
      <c r="S3049" s="0" t="n">
        <f aca="false">04_回帰ANOVA!$K$19*04_回帰ANOVA!$K$14*SQRT(1+R3049)</f>
        <v>1.07286089161565</v>
      </c>
      <c r="T3049" s="0" t="n">
        <f aca="false">Q3049-S3049</f>
        <v>45.9483180856571</v>
      </c>
      <c r="U3049" s="0" t="n">
        <f aca="false">Q3049+S3049</f>
        <v>48.0940398688884</v>
      </c>
      <c r="V3049" s="54" t="b">
        <f aca="false">AND(D3049&gt;=01_因子設定!$L$5-0.000000001,D3049&lt;=01_因子設定!$M$5+0.000000001,E3049&gt;=01_因子設定!$L$6-0.000000001,E3049&lt;=01_因子設定!$M$6+0.000000001,F3049&gt;=01_因子設定!$L$7-0.000000001,F3049&lt;=01_因子設定!$M$7+0.000000001,IF(01_因子設定!$B$20="Box-Behnken",D3049^2+E3049^2+F3049^2&lt;=2+0.000000001,TRUE()))</f>
        <v>1</v>
      </c>
      <c r="W3049" s="55" t="n">
        <f aca="false">IF(V3049,IF(01_因子設定!$B$13="最大化",T3049-01_因子設定!$B$14,IF(01_因子設定!$B$13="最小化",01_因子設定!$B$15-U3049,MIN(T3049-01_因子設定!$B$14,01_因子設定!$B$15-U3049))),-1E+030)</f>
        <v>-2.55168191434291</v>
      </c>
      <c r="X3049" s="55" t="n">
        <f aca="false">IF(V3049,IF(01_因子設定!$B$13="最大化",Q3049,IF(01_因子設定!$B$13="最小化",-Q3049,-ABS(Q3049-01_因子設定!$B$16))),-1E+030)</f>
        <v>47.0211789772728</v>
      </c>
      <c r="Y3049" s="55" t="n">
        <f aca="false">W3049+ROW()*0.000000001</f>
        <v>-2.55167886534291</v>
      </c>
      <c r="Z3049" s="55" t="n">
        <f aca="false">X3049+ROW()*0.000000001</f>
        <v>47.0211820262728</v>
      </c>
    </row>
    <row r="3050" customFormat="false" ht="15" hidden="false" customHeight="false" outlineLevel="0" collapsed="false">
      <c r="A3050" s="0" t="n">
        <v>10</v>
      </c>
      <c r="B3050" s="0" t="n">
        <v>9</v>
      </c>
      <c r="C3050" s="0" t="n">
        <v>2</v>
      </c>
      <c r="D3050" s="0" t="n">
        <f aca="false">-1+A3050*0.125</f>
        <v>0.25</v>
      </c>
      <c r="E3050" s="0" t="n">
        <f aca="false">-1+B3050*0.125</f>
        <v>0.125</v>
      </c>
      <c r="F3050" s="0" t="n">
        <f aca="false">-1+C3050*0.125</f>
        <v>-0.75</v>
      </c>
      <c r="G3050" s="0" t="n">
        <f aca="false">1</f>
        <v>1</v>
      </c>
      <c r="H3050" s="0" t="n">
        <f aca="false">D3050</f>
        <v>0.25</v>
      </c>
      <c r="I3050" s="0" t="n">
        <f aca="false">E3050</f>
        <v>0.125</v>
      </c>
      <c r="J3050" s="0" t="n">
        <f aca="false">F3050</f>
        <v>-0.75</v>
      </c>
      <c r="K3050" s="0" t="n">
        <f aca="false">D3050*E3050</f>
        <v>0.03125</v>
      </c>
      <c r="L3050" s="0" t="n">
        <f aca="false">D3050*F3050</f>
        <v>-0.1875</v>
      </c>
      <c r="M3050" s="0" t="n">
        <f aca="false">E3050*F3050</f>
        <v>-0.09375</v>
      </c>
      <c r="N3050" s="0" t="n">
        <f aca="false">D3050*D3050</f>
        <v>0.0625</v>
      </c>
      <c r="O3050" s="0" t="n">
        <f aca="false">E3050*E3050</f>
        <v>0.015625</v>
      </c>
      <c r="P3050" s="0" t="n">
        <f aca="false">F3050*F3050</f>
        <v>0.5625</v>
      </c>
      <c r="Q3050" s="0" t="n">
        <f aca="false">SUMPRODUCT(G3050:P3050,_XtX!$B$71:$K$71)</f>
        <v>47.43515625</v>
      </c>
      <c r="R3050" s="0" t="n">
        <f aca="false">SUMPRODUCT(MMULT(G3050:P3050,_XtX!$B$58:$K$67),G3050:P3050)</f>
        <v>0.233935546875</v>
      </c>
      <c r="S3050" s="0" t="n">
        <f aca="false">04_回帰ANOVA!$K$19*04_回帰ANOVA!$K$14*SQRT(1+R3050)</f>
        <v>1.03279202033444</v>
      </c>
      <c r="T3050" s="0" t="n">
        <f aca="false">Q3050-S3050</f>
        <v>46.4023642296656</v>
      </c>
      <c r="U3050" s="0" t="n">
        <f aca="false">Q3050+S3050</f>
        <v>48.4679482703345</v>
      </c>
      <c r="V3050" s="54" t="b">
        <f aca="false">AND(D3050&gt;=01_因子設定!$L$5-0.000000001,D3050&lt;=01_因子設定!$M$5+0.000000001,E3050&gt;=01_因子設定!$L$6-0.000000001,E3050&lt;=01_因子設定!$M$6+0.000000001,F3050&gt;=01_因子設定!$L$7-0.000000001,F3050&lt;=01_因子設定!$M$7+0.000000001,IF(01_因子設定!$B$20="Box-Behnken",D3050^2+E3050^2+F3050^2&lt;=2+0.000000001,TRUE()))</f>
        <v>1</v>
      </c>
      <c r="W3050" s="55" t="n">
        <f aca="false">IF(V3050,IF(01_因子設定!$B$13="最大化",T3050-01_因子設定!$B$14,IF(01_因子設定!$B$13="最小化",01_因子設定!$B$15-U3050,MIN(T3050-01_因子設定!$B$14,01_因子設定!$B$15-U3050))),-1E+030)</f>
        <v>-2.09763577033442</v>
      </c>
      <c r="X3050" s="55" t="n">
        <f aca="false">IF(V3050,IF(01_因子設定!$B$13="最大化",Q3050,IF(01_因子設定!$B$13="最小化",-Q3050,-ABS(Q3050-01_因子設定!$B$16))),-1E+030)</f>
        <v>47.43515625</v>
      </c>
      <c r="Y3050" s="55" t="n">
        <f aca="false">W3050+ROW()*0.000000001</f>
        <v>-2.09763272033442</v>
      </c>
      <c r="Z3050" s="55" t="n">
        <f aca="false">X3050+ROW()*0.000000001</f>
        <v>47.4351593</v>
      </c>
    </row>
    <row r="3051" customFormat="false" ht="15" hidden="false" customHeight="false" outlineLevel="0" collapsed="false">
      <c r="A3051" s="0" t="n">
        <v>10</v>
      </c>
      <c r="B3051" s="0" t="n">
        <v>9</v>
      </c>
      <c r="C3051" s="0" t="n">
        <v>3</v>
      </c>
      <c r="D3051" s="0" t="n">
        <f aca="false">-1+A3051*0.125</f>
        <v>0.25</v>
      </c>
      <c r="E3051" s="0" t="n">
        <f aca="false">-1+B3051*0.125</f>
        <v>0.125</v>
      </c>
      <c r="F3051" s="0" t="n">
        <f aca="false">-1+C3051*0.125</f>
        <v>-0.625</v>
      </c>
      <c r="G3051" s="0" t="n">
        <f aca="false">1</f>
        <v>1</v>
      </c>
      <c r="H3051" s="0" t="n">
        <f aca="false">D3051</f>
        <v>0.25</v>
      </c>
      <c r="I3051" s="0" t="n">
        <f aca="false">E3051</f>
        <v>0.125</v>
      </c>
      <c r="J3051" s="0" t="n">
        <f aca="false">F3051</f>
        <v>-0.625</v>
      </c>
      <c r="K3051" s="0" t="n">
        <f aca="false">D3051*E3051</f>
        <v>0.03125</v>
      </c>
      <c r="L3051" s="0" t="n">
        <f aca="false">D3051*F3051</f>
        <v>-0.15625</v>
      </c>
      <c r="M3051" s="0" t="n">
        <f aca="false">E3051*F3051</f>
        <v>-0.078125</v>
      </c>
      <c r="N3051" s="0" t="n">
        <f aca="false">D3051*D3051</f>
        <v>0.0625</v>
      </c>
      <c r="O3051" s="0" t="n">
        <f aca="false">E3051*E3051</f>
        <v>0.015625</v>
      </c>
      <c r="P3051" s="0" t="n">
        <f aca="false">F3051*F3051</f>
        <v>0.390625</v>
      </c>
      <c r="Q3051" s="0" t="n">
        <f aca="false">SUMPRODUCT(G3051:P3051,_XtX!$B$71:$K$71)</f>
        <v>47.81234375</v>
      </c>
      <c r="R3051" s="0" t="n">
        <f aca="false">SUMPRODUCT(MMULT(G3051:P3051,_XtX!$B$58:$K$67),G3051:P3051)</f>
        <v>0.174786376953125</v>
      </c>
      <c r="S3051" s="0" t="n">
        <f aca="false">04_回帰ANOVA!$K$19*04_回帰ANOVA!$K$14*SQRT(1+R3051)</f>
        <v>1.00773440704286</v>
      </c>
      <c r="T3051" s="0" t="n">
        <f aca="false">Q3051-S3051</f>
        <v>46.8046093429572</v>
      </c>
      <c r="U3051" s="0" t="n">
        <f aca="false">Q3051+S3051</f>
        <v>48.8200781570429</v>
      </c>
      <c r="V3051" s="54" t="b">
        <f aca="false">AND(D3051&gt;=01_因子設定!$L$5-0.000000001,D3051&lt;=01_因子設定!$M$5+0.000000001,E3051&gt;=01_因子設定!$L$6-0.000000001,E3051&lt;=01_因子設定!$M$6+0.000000001,F3051&gt;=01_因子設定!$L$7-0.000000001,F3051&lt;=01_因子設定!$M$7+0.000000001,IF(01_因子設定!$B$20="Box-Behnken",D3051^2+E3051^2+F3051^2&lt;=2+0.000000001,TRUE()))</f>
        <v>1</v>
      </c>
      <c r="W3051" s="55" t="n">
        <f aca="false">IF(V3051,IF(01_因子設定!$B$13="最大化",T3051-01_因子設定!$B$14,IF(01_因子設定!$B$13="最小化",01_因子設定!$B$15-U3051,MIN(T3051-01_因子設定!$B$14,01_因子設定!$B$15-U3051))),-1E+030)</f>
        <v>-1.69539065704284</v>
      </c>
      <c r="X3051" s="55" t="n">
        <f aca="false">IF(V3051,IF(01_因子設定!$B$13="最大化",Q3051,IF(01_因子設定!$B$13="最小化",-Q3051,-ABS(Q3051-01_因子設定!$B$16))),-1E+030)</f>
        <v>47.81234375</v>
      </c>
      <c r="Y3051" s="55" t="n">
        <f aca="false">W3051+ROW()*0.000000001</f>
        <v>-1.69538760604284</v>
      </c>
      <c r="Z3051" s="55" t="n">
        <f aca="false">X3051+ROW()*0.000000001</f>
        <v>47.812346801</v>
      </c>
    </row>
    <row r="3052" customFormat="false" ht="15" hidden="false" customHeight="false" outlineLevel="0" collapsed="false">
      <c r="A3052" s="0" t="n">
        <v>10</v>
      </c>
      <c r="B3052" s="0" t="n">
        <v>9</v>
      </c>
      <c r="C3052" s="0" t="n">
        <v>4</v>
      </c>
      <c r="D3052" s="0" t="n">
        <f aca="false">-1+A3052*0.125</f>
        <v>0.25</v>
      </c>
      <c r="E3052" s="0" t="n">
        <f aca="false">-1+B3052*0.125</f>
        <v>0.125</v>
      </c>
      <c r="F3052" s="0" t="n">
        <f aca="false">-1+C3052*0.125</f>
        <v>-0.5</v>
      </c>
      <c r="G3052" s="0" t="n">
        <f aca="false">1</f>
        <v>1</v>
      </c>
      <c r="H3052" s="0" t="n">
        <f aca="false">D3052</f>
        <v>0.25</v>
      </c>
      <c r="I3052" s="0" t="n">
        <f aca="false">E3052</f>
        <v>0.125</v>
      </c>
      <c r="J3052" s="0" t="n">
        <f aca="false">F3052</f>
        <v>-0.5</v>
      </c>
      <c r="K3052" s="0" t="n">
        <f aca="false">D3052*E3052</f>
        <v>0.03125</v>
      </c>
      <c r="L3052" s="0" t="n">
        <f aca="false">D3052*F3052</f>
        <v>-0.125</v>
      </c>
      <c r="M3052" s="0" t="n">
        <f aca="false">E3052*F3052</f>
        <v>-0.0625</v>
      </c>
      <c r="N3052" s="0" t="n">
        <f aca="false">D3052*D3052</f>
        <v>0.0625</v>
      </c>
      <c r="O3052" s="0" t="n">
        <f aca="false">E3052*E3052</f>
        <v>0.015625</v>
      </c>
      <c r="P3052" s="0" t="n">
        <f aca="false">F3052*F3052</f>
        <v>0.25</v>
      </c>
      <c r="Q3052" s="0" t="n">
        <f aca="false">SUMPRODUCT(G3052:P3052,_XtX!$B$71:$K$71)</f>
        <v>48.1527414772727</v>
      </c>
      <c r="R3052" s="0" t="n">
        <f aca="false">SUMPRODUCT(MMULT(G3052:P3052,_XtX!$B$58:$K$67),G3052:P3052)</f>
        <v>0.142371715198864</v>
      </c>
      <c r="S3052" s="0" t="n">
        <f aca="false">04_回帰ANOVA!$K$19*04_回帰ANOVA!$K$14*SQRT(1+R3052)</f>
        <v>0.99373447511735</v>
      </c>
      <c r="T3052" s="0" t="n">
        <f aca="false">Q3052-S3052</f>
        <v>47.1590070021554</v>
      </c>
      <c r="U3052" s="0" t="n">
        <f aca="false">Q3052+S3052</f>
        <v>49.1464759523901</v>
      </c>
      <c r="V3052" s="54" t="b">
        <f aca="false">AND(D3052&gt;=01_因子設定!$L$5-0.000000001,D3052&lt;=01_因子設定!$M$5+0.000000001,E3052&gt;=01_因子設定!$L$6-0.000000001,E3052&lt;=01_因子設定!$M$6+0.000000001,F3052&gt;=01_因子設定!$L$7-0.000000001,F3052&lt;=01_因子設定!$M$7+0.000000001,IF(01_因子設定!$B$20="Box-Behnken",D3052^2+E3052^2+F3052^2&lt;=2+0.000000001,TRUE()))</f>
        <v>1</v>
      </c>
      <c r="W3052" s="55" t="n">
        <f aca="false">IF(V3052,IF(01_因子設定!$B$13="最大化",T3052-01_因子設定!$B$14,IF(01_因子設定!$B$13="最小化",01_因子設定!$B$15-U3052,MIN(T3052-01_因子設定!$B$14,01_因子設定!$B$15-U3052))),-1E+030)</f>
        <v>-1.34099299784461</v>
      </c>
      <c r="X3052" s="55" t="n">
        <f aca="false">IF(V3052,IF(01_因子設定!$B$13="最大化",Q3052,IF(01_因子設定!$B$13="最小化",-Q3052,-ABS(Q3052-01_因子設定!$B$16))),-1E+030)</f>
        <v>48.1527414772727</v>
      </c>
      <c r="Y3052" s="55" t="n">
        <f aca="false">W3052+ROW()*0.000000001</f>
        <v>-1.34098994584461</v>
      </c>
      <c r="Z3052" s="55" t="n">
        <f aca="false">X3052+ROW()*0.000000001</f>
        <v>48.1527445292727</v>
      </c>
    </row>
    <row r="3053" customFormat="false" ht="15" hidden="false" customHeight="false" outlineLevel="0" collapsed="false">
      <c r="A3053" s="0" t="n">
        <v>10</v>
      </c>
      <c r="B3053" s="0" t="n">
        <v>9</v>
      </c>
      <c r="C3053" s="0" t="n">
        <v>5</v>
      </c>
      <c r="D3053" s="0" t="n">
        <f aca="false">-1+A3053*0.125</f>
        <v>0.25</v>
      </c>
      <c r="E3053" s="0" t="n">
        <f aca="false">-1+B3053*0.125</f>
        <v>0.125</v>
      </c>
      <c r="F3053" s="0" t="n">
        <f aca="false">-1+C3053*0.125</f>
        <v>-0.375</v>
      </c>
      <c r="G3053" s="0" t="n">
        <f aca="false">1</f>
        <v>1</v>
      </c>
      <c r="H3053" s="0" t="n">
        <f aca="false">D3053</f>
        <v>0.25</v>
      </c>
      <c r="I3053" s="0" t="n">
        <f aca="false">E3053</f>
        <v>0.125</v>
      </c>
      <c r="J3053" s="0" t="n">
        <f aca="false">F3053</f>
        <v>-0.375</v>
      </c>
      <c r="K3053" s="0" t="n">
        <f aca="false">D3053*E3053</f>
        <v>0.03125</v>
      </c>
      <c r="L3053" s="0" t="n">
        <f aca="false">D3053*F3053</f>
        <v>-0.09375</v>
      </c>
      <c r="M3053" s="0" t="n">
        <f aca="false">E3053*F3053</f>
        <v>-0.046875</v>
      </c>
      <c r="N3053" s="0" t="n">
        <f aca="false">D3053*D3053</f>
        <v>0.0625</v>
      </c>
      <c r="O3053" s="0" t="n">
        <f aca="false">E3053*E3053</f>
        <v>0.015625</v>
      </c>
      <c r="P3053" s="0" t="n">
        <f aca="false">F3053*F3053</f>
        <v>0.140625</v>
      </c>
      <c r="Q3053" s="0" t="n">
        <f aca="false">SUMPRODUCT(G3053:P3053,_XtX!$B$71:$K$71)</f>
        <v>48.4563494318182</v>
      </c>
      <c r="R3053" s="0" t="n">
        <f aca="false">SUMPRODUCT(MMULT(G3053:P3053,_XtX!$B$58:$K$67),G3053:P3053)</f>
        <v>0.127103493430398</v>
      </c>
      <c r="S3053" s="0" t="n">
        <f aca="false">04_回帰ANOVA!$K$19*04_回帰ANOVA!$K$14*SQRT(1+R3053)</f>
        <v>0.987071321387587</v>
      </c>
      <c r="T3053" s="0" t="n">
        <f aca="false">Q3053-S3053</f>
        <v>47.4692781104306</v>
      </c>
      <c r="U3053" s="0" t="n">
        <f aca="false">Q3053+S3053</f>
        <v>49.4434207532058</v>
      </c>
      <c r="V3053" s="54" t="b">
        <f aca="false">AND(D3053&gt;=01_因子設定!$L$5-0.000000001,D3053&lt;=01_因子設定!$M$5+0.000000001,E3053&gt;=01_因子設定!$L$6-0.000000001,E3053&lt;=01_因子設定!$M$6+0.000000001,F3053&gt;=01_因子設定!$L$7-0.000000001,F3053&lt;=01_因子設定!$M$7+0.000000001,IF(01_因子設定!$B$20="Box-Behnken",D3053^2+E3053^2+F3053^2&lt;=2+0.000000001,TRUE()))</f>
        <v>1</v>
      </c>
      <c r="W3053" s="55" t="n">
        <f aca="false">IF(V3053,IF(01_因子設定!$B$13="最大化",T3053-01_因子設定!$B$14,IF(01_因子設定!$B$13="最小化",01_因子設定!$B$15-U3053,MIN(T3053-01_因子設定!$B$14,01_因子設定!$B$15-U3053))),-1E+030)</f>
        <v>-1.0307218895694</v>
      </c>
      <c r="X3053" s="55" t="n">
        <f aca="false">IF(V3053,IF(01_因子設定!$B$13="最大化",Q3053,IF(01_因子設定!$B$13="最小化",-Q3053,-ABS(Q3053-01_因子設定!$B$16))),-1E+030)</f>
        <v>48.4563494318182</v>
      </c>
      <c r="Y3053" s="55" t="n">
        <f aca="false">W3053+ROW()*0.000000001</f>
        <v>-1.0307188365694</v>
      </c>
      <c r="Z3053" s="55" t="n">
        <f aca="false">X3053+ROW()*0.000000001</f>
        <v>48.4563524848182</v>
      </c>
    </row>
    <row r="3054" customFormat="false" ht="15" hidden="false" customHeight="false" outlineLevel="0" collapsed="false">
      <c r="A3054" s="0" t="n">
        <v>10</v>
      </c>
      <c r="B3054" s="0" t="n">
        <v>9</v>
      </c>
      <c r="C3054" s="0" t="n">
        <v>6</v>
      </c>
      <c r="D3054" s="0" t="n">
        <f aca="false">-1+A3054*0.125</f>
        <v>0.25</v>
      </c>
      <c r="E3054" s="0" t="n">
        <f aca="false">-1+B3054*0.125</f>
        <v>0.125</v>
      </c>
      <c r="F3054" s="0" t="n">
        <f aca="false">-1+C3054*0.125</f>
        <v>-0.25</v>
      </c>
      <c r="G3054" s="0" t="n">
        <f aca="false">1</f>
        <v>1</v>
      </c>
      <c r="H3054" s="0" t="n">
        <f aca="false">D3054</f>
        <v>0.25</v>
      </c>
      <c r="I3054" s="0" t="n">
        <f aca="false">E3054</f>
        <v>0.125</v>
      </c>
      <c r="J3054" s="0" t="n">
        <f aca="false">F3054</f>
        <v>-0.25</v>
      </c>
      <c r="K3054" s="0" t="n">
        <f aca="false">D3054*E3054</f>
        <v>0.03125</v>
      </c>
      <c r="L3054" s="0" t="n">
        <f aca="false">D3054*F3054</f>
        <v>-0.0625</v>
      </c>
      <c r="M3054" s="0" t="n">
        <f aca="false">E3054*F3054</f>
        <v>-0.03125</v>
      </c>
      <c r="N3054" s="0" t="n">
        <f aca="false">D3054*D3054</f>
        <v>0.0625</v>
      </c>
      <c r="O3054" s="0" t="n">
        <f aca="false">E3054*E3054</f>
        <v>0.015625</v>
      </c>
      <c r="P3054" s="0" t="n">
        <f aca="false">F3054*F3054</f>
        <v>0.0625</v>
      </c>
      <c r="Q3054" s="0" t="n">
        <f aca="false">SUMPRODUCT(G3054:P3054,_XtX!$B$71:$K$71)</f>
        <v>48.7231676136364</v>
      </c>
      <c r="R3054" s="0" t="n">
        <f aca="false">SUMPRODUCT(MMULT(G3054:P3054,_XtX!$B$58:$K$67),G3054:P3054)</f>
        <v>0.121524325284091</v>
      </c>
      <c r="S3054" s="0" t="n">
        <f aca="false">04_回帰ANOVA!$K$19*04_回帰ANOVA!$K$14*SQRT(1+R3054)</f>
        <v>0.984625286577447</v>
      </c>
      <c r="T3054" s="0" t="n">
        <f aca="false">Q3054-S3054</f>
        <v>47.7385423270589</v>
      </c>
      <c r="U3054" s="0" t="n">
        <f aca="false">Q3054+S3054</f>
        <v>49.7077929002138</v>
      </c>
      <c r="V3054" s="54" t="b">
        <f aca="false">AND(D3054&gt;=01_因子設定!$L$5-0.000000001,D3054&lt;=01_因子設定!$M$5+0.000000001,E3054&gt;=01_因子設定!$L$6-0.000000001,E3054&lt;=01_因子設定!$M$6+0.000000001,F3054&gt;=01_因子設定!$L$7-0.000000001,F3054&lt;=01_因子設定!$M$7+0.000000001,IF(01_因子設定!$B$20="Box-Behnken",D3054^2+E3054^2+F3054^2&lt;=2+0.000000001,TRUE()))</f>
        <v>1</v>
      </c>
      <c r="W3054" s="55" t="n">
        <f aca="false">IF(V3054,IF(01_因子設定!$B$13="最大化",T3054-01_因子設定!$B$14,IF(01_因子設定!$B$13="最小化",01_因子設定!$B$15-U3054,MIN(T3054-01_因子設定!$B$14,01_因子設定!$B$15-U3054))),-1E+030)</f>
        <v>-0.761457672941077</v>
      </c>
      <c r="X3054" s="55" t="n">
        <f aca="false">IF(V3054,IF(01_因子設定!$B$13="最大化",Q3054,IF(01_因子設定!$B$13="最小化",-Q3054,-ABS(Q3054-01_因子設定!$B$16))),-1E+030)</f>
        <v>48.7231676136364</v>
      </c>
      <c r="Y3054" s="55" t="n">
        <f aca="false">W3054+ROW()*0.000000001</f>
        <v>-0.761454618941077</v>
      </c>
      <c r="Z3054" s="55" t="n">
        <f aca="false">X3054+ROW()*0.000000001</f>
        <v>48.7231706676364</v>
      </c>
    </row>
    <row r="3055" customFormat="false" ht="15" hidden="false" customHeight="false" outlineLevel="0" collapsed="false">
      <c r="A3055" s="0" t="n">
        <v>10</v>
      </c>
      <c r="B3055" s="0" t="n">
        <v>9</v>
      </c>
      <c r="C3055" s="0" t="n">
        <v>7</v>
      </c>
      <c r="D3055" s="0" t="n">
        <f aca="false">-1+A3055*0.125</f>
        <v>0.25</v>
      </c>
      <c r="E3055" s="0" t="n">
        <f aca="false">-1+B3055*0.125</f>
        <v>0.125</v>
      </c>
      <c r="F3055" s="0" t="n">
        <f aca="false">-1+C3055*0.125</f>
        <v>-0.125</v>
      </c>
      <c r="G3055" s="0" t="n">
        <f aca="false">1</f>
        <v>1</v>
      </c>
      <c r="H3055" s="0" t="n">
        <f aca="false">D3055</f>
        <v>0.25</v>
      </c>
      <c r="I3055" s="0" t="n">
        <f aca="false">E3055</f>
        <v>0.125</v>
      </c>
      <c r="J3055" s="0" t="n">
        <f aca="false">F3055</f>
        <v>-0.125</v>
      </c>
      <c r="K3055" s="0" t="n">
        <f aca="false">D3055*E3055</f>
        <v>0.03125</v>
      </c>
      <c r="L3055" s="0" t="n">
        <f aca="false">D3055*F3055</f>
        <v>-0.03125</v>
      </c>
      <c r="M3055" s="0" t="n">
        <f aca="false">E3055*F3055</f>
        <v>-0.015625</v>
      </c>
      <c r="N3055" s="0" t="n">
        <f aca="false">D3055*D3055</f>
        <v>0.0625</v>
      </c>
      <c r="O3055" s="0" t="n">
        <f aca="false">E3055*E3055</f>
        <v>0.015625</v>
      </c>
      <c r="P3055" s="0" t="n">
        <f aca="false">F3055*F3055</f>
        <v>0.015625</v>
      </c>
      <c r="Q3055" s="0" t="n">
        <f aca="false">SUMPRODUCT(G3055:P3055,_XtX!$B$71:$K$71)</f>
        <v>48.9531960227273</v>
      </c>
      <c r="R3055" s="0" t="n">
        <f aca="false">SUMPRODUCT(MMULT(G3055:P3055,_XtX!$B$58:$K$67),G3055:P3055)</f>
        <v>0.120307506214489</v>
      </c>
      <c r="S3055" s="0" t="n">
        <f aca="false">04_回帰ANOVA!$K$19*04_回帰ANOVA!$K$14*SQRT(1+R3055)</f>
        <v>0.984090997684742</v>
      </c>
      <c r="T3055" s="0" t="n">
        <f aca="false">Q3055-S3055</f>
        <v>47.9691050250425</v>
      </c>
      <c r="U3055" s="0" t="n">
        <f aca="false">Q3055+S3055</f>
        <v>49.937287020412</v>
      </c>
      <c r="V3055" s="54" t="b">
        <f aca="false">AND(D3055&gt;=01_因子設定!$L$5-0.000000001,D3055&lt;=01_因子設定!$M$5+0.000000001,E3055&gt;=01_因子設定!$L$6-0.000000001,E3055&lt;=01_因子設定!$M$6+0.000000001,F3055&gt;=01_因子設定!$L$7-0.000000001,F3055&lt;=01_因子設定!$M$7+0.000000001,IF(01_因子設定!$B$20="Box-Behnken",D3055^2+E3055^2+F3055^2&lt;=2+0.000000001,TRUE()))</f>
        <v>1</v>
      </c>
      <c r="W3055" s="55" t="n">
        <f aca="false">IF(V3055,IF(01_因子設定!$B$13="最大化",T3055-01_因子設定!$B$14,IF(01_因子設定!$B$13="最小化",01_因子設定!$B$15-U3055,MIN(T3055-01_因子設定!$B$14,01_因子設定!$B$15-U3055))),-1E+030)</f>
        <v>-0.530894974957455</v>
      </c>
      <c r="X3055" s="55" t="n">
        <f aca="false">IF(V3055,IF(01_因子設定!$B$13="最大化",Q3055,IF(01_因子設定!$B$13="最小化",-Q3055,-ABS(Q3055-01_因子設定!$B$16))),-1E+030)</f>
        <v>48.9531960227273</v>
      </c>
      <c r="Y3055" s="55" t="n">
        <f aca="false">W3055+ROW()*0.000000001</f>
        <v>-0.530891919957455</v>
      </c>
      <c r="Z3055" s="55" t="n">
        <f aca="false">X3055+ROW()*0.000000001</f>
        <v>48.9531990777273</v>
      </c>
    </row>
    <row r="3056" customFormat="false" ht="15" hidden="false" customHeight="false" outlineLevel="0" collapsed="false">
      <c r="A3056" s="0" t="n">
        <v>10</v>
      </c>
      <c r="B3056" s="0" t="n">
        <v>9</v>
      </c>
      <c r="C3056" s="0" t="n">
        <v>8</v>
      </c>
      <c r="D3056" s="0" t="n">
        <f aca="false">-1+A3056*0.125</f>
        <v>0.25</v>
      </c>
      <c r="E3056" s="0" t="n">
        <f aca="false">-1+B3056*0.125</f>
        <v>0.125</v>
      </c>
      <c r="F3056" s="0" t="n">
        <f aca="false">-1+C3056*0.125</f>
        <v>0</v>
      </c>
      <c r="G3056" s="0" t="n">
        <f aca="false">1</f>
        <v>1</v>
      </c>
      <c r="H3056" s="0" t="n">
        <f aca="false">D3056</f>
        <v>0.25</v>
      </c>
      <c r="I3056" s="0" t="n">
        <f aca="false">E3056</f>
        <v>0.125</v>
      </c>
      <c r="J3056" s="0" t="n">
        <f aca="false">F3056</f>
        <v>0</v>
      </c>
      <c r="K3056" s="0" t="n">
        <f aca="false">D3056*E3056</f>
        <v>0.03125</v>
      </c>
      <c r="L3056" s="0" t="n">
        <f aca="false">D3056*F3056</f>
        <v>0</v>
      </c>
      <c r="M3056" s="0" t="n">
        <f aca="false">E3056*F3056</f>
        <v>0</v>
      </c>
      <c r="N3056" s="0" t="n">
        <f aca="false">D3056*D3056</f>
        <v>0.0625</v>
      </c>
      <c r="O3056" s="0" t="n">
        <f aca="false">E3056*E3056</f>
        <v>0.015625</v>
      </c>
      <c r="P3056" s="0" t="n">
        <f aca="false">F3056*F3056</f>
        <v>0</v>
      </c>
      <c r="Q3056" s="0" t="n">
        <f aca="false">SUMPRODUCT(G3056:P3056,_XtX!$B$71:$K$71)</f>
        <v>49.1464346590909</v>
      </c>
      <c r="R3056" s="0" t="n">
        <f aca="false">SUMPRODUCT(MMULT(G3056:P3056,_XtX!$B$58:$K$67),G3056:P3056)</f>
        <v>0.120257013494318</v>
      </c>
      <c r="S3056" s="0" t="n">
        <f aca="false">04_回帰ANOVA!$K$19*04_回帰ANOVA!$K$14*SQRT(1+R3056)</f>
        <v>0.984068820741811</v>
      </c>
      <c r="T3056" s="0" t="n">
        <f aca="false">Q3056-S3056</f>
        <v>48.1623658383491</v>
      </c>
      <c r="U3056" s="0" t="n">
        <f aca="false">Q3056+S3056</f>
        <v>50.1305034798327</v>
      </c>
      <c r="V3056" s="54" t="b">
        <f aca="false">AND(D3056&gt;=01_因子設定!$L$5-0.000000001,D3056&lt;=01_因子設定!$M$5+0.000000001,E3056&gt;=01_因子設定!$L$6-0.000000001,E3056&lt;=01_因子設定!$M$6+0.000000001,F3056&gt;=01_因子設定!$L$7-0.000000001,F3056&lt;=01_因子設定!$M$7+0.000000001,IF(01_因子設定!$B$20="Box-Behnken",D3056^2+E3056^2+F3056^2&lt;=2+0.000000001,TRUE()))</f>
        <v>1</v>
      </c>
      <c r="W3056" s="55" t="n">
        <f aca="false">IF(V3056,IF(01_因子設定!$B$13="最大化",T3056-01_因子設定!$B$14,IF(01_因子設定!$B$13="最小化",01_因子設定!$B$15-U3056,MIN(T3056-01_因子設定!$B$14,01_因子設定!$B$15-U3056))),-1E+030)</f>
        <v>-0.337634161650897</v>
      </c>
      <c r="X3056" s="55" t="n">
        <f aca="false">IF(V3056,IF(01_因子設定!$B$13="最大化",Q3056,IF(01_因子設定!$B$13="最小化",-Q3056,-ABS(Q3056-01_因子設定!$B$16))),-1E+030)</f>
        <v>49.1464346590909</v>
      </c>
      <c r="Y3056" s="55" t="n">
        <f aca="false">W3056+ROW()*0.000000001</f>
        <v>-0.337631105650897</v>
      </c>
      <c r="Z3056" s="55" t="n">
        <f aca="false">X3056+ROW()*0.000000001</f>
        <v>49.1464377150909</v>
      </c>
    </row>
    <row r="3057" customFormat="false" ht="15" hidden="false" customHeight="false" outlineLevel="0" collapsed="false">
      <c r="A3057" s="0" t="n">
        <v>10</v>
      </c>
      <c r="B3057" s="0" t="n">
        <v>9</v>
      </c>
      <c r="C3057" s="0" t="n">
        <v>9</v>
      </c>
      <c r="D3057" s="0" t="n">
        <f aca="false">-1+A3057*0.125</f>
        <v>0.25</v>
      </c>
      <c r="E3057" s="0" t="n">
        <f aca="false">-1+B3057*0.125</f>
        <v>0.125</v>
      </c>
      <c r="F3057" s="0" t="n">
        <f aca="false">-1+C3057*0.125</f>
        <v>0.125</v>
      </c>
      <c r="G3057" s="0" t="n">
        <f aca="false">1</f>
        <v>1</v>
      </c>
      <c r="H3057" s="0" t="n">
        <f aca="false">D3057</f>
        <v>0.25</v>
      </c>
      <c r="I3057" s="0" t="n">
        <f aca="false">E3057</f>
        <v>0.125</v>
      </c>
      <c r="J3057" s="0" t="n">
        <f aca="false">F3057</f>
        <v>0.125</v>
      </c>
      <c r="K3057" s="0" t="n">
        <f aca="false">D3057*E3057</f>
        <v>0.03125</v>
      </c>
      <c r="L3057" s="0" t="n">
        <f aca="false">D3057*F3057</f>
        <v>0.03125</v>
      </c>
      <c r="M3057" s="0" t="n">
        <f aca="false">E3057*F3057</f>
        <v>0.015625</v>
      </c>
      <c r="N3057" s="0" t="n">
        <f aca="false">D3057*D3057</f>
        <v>0.0625</v>
      </c>
      <c r="O3057" s="0" t="n">
        <f aca="false">E3057*E3057</f>
        <v>0.015625</v>
      </c>
      <c r="P3057" s="0" t="n">
        <f aca="false">F3057*F3057</f>
        <v>0.015625</v>
      </c>
      <c r="Q3057" s="0" t="n">
        <f aca="false">SUMPRODUCT(G3057:P3057,_XtX!$B$71:$K$71)</f>
        <v>49.3028835227273</v>
      </c>
      <c r="R3057" s="0" t="n">
        <f aca="false">SUMPRODUCT(MMULT(G3057:P3057,_XtX!$B$58:$K$67),G3057:P3057)</f>
        <v>0.120307506214489</v>
      </c>
      <c r="S3057" s="0" t="n">
        <f aca="false">04_回帰ANOVA!$K$19*04_回帰ANOVA!$K$14*SQRT(1+R3057)</f>
        <v>0.984090997684742</v>
      </c>
      <c r="T3057" s="0" t="n">
        <f aca="false">Q3057-S3057</f>
        <v>48.3187925250425</v>
      </c>
      <c r="U3057" s="0" t="n">
        <f aca="false">Q3057+S3057</f>
        <v>50.286974520412</v>
      </c>
      <c r="V3057" s="54" t="b">
        <f aca="false">AND(D3057&gt;=01_因子設定!$L$5-0.000000001,D3057&lt;=01_因子設定!$M$5+0.000000001,E3057&gt;=01_因子設定!$L$6-0.000000001,E3057&lt;=01_因子設定!$M$6+0.000000001,F3057&gt;=01_因子設定!$L$7-0.000000001,F3057&lt;=01_因子設定!$M$7+0.000000001,IF(01_因子設定!$B$20="Box-Behnken",D3057^2+E3057^2+F3057^2&lt;=2+0.000000001,TRUE()))</f>
        <v>1</v>
      </c>
      <c r="W3057" s="55" t="n">
        <f aca="false">IF(V3057,IF(01_因子設定!$B$13="最大化",T3057-01_因子設定!$B$14,IF(01_因子設定!$B$13="最小化",01_因子設定!$B$15-U3057,MIN(T3057-01_因子設定!$B$14,01_因子設定!$B$15-U3057))),-1E+030)</f>
        <v>-0.181207474957461</v>
      </c>
      <c r="X3057" s="55" t="n">
        <f aca="false">IF(V3057,IF(01_因子設定!$B$13="最大化",Q3057,IF(01_因子設定!$B$13="最小化",-Q3057,-ABS(Q3057-01_因子設定!$B$16))),-1E+030)</f>
        <v>49.3028835227273</v>
      </c>
      <c r="Y3057" s="55" t="n">
        <f aca="false">W3057+ROW()*0.000000001</f>
        <v>-0.181204417957461</v>
      </c>
      <c r="Z3057" s="55" t="n">
        <f aca="false">X3057+ROW()*0.000000001</f>
        <v>49.3028865797273</v>
      </c>
    </row>
    <row r="3058" customFormat="false" ht="15" hidden="false" customHeight="false" outlineLevel="0" collapsed="false">
      <c r="A3058" s="0" t="n">
        <v>10</v>
      </c>
      <c r="B3058" s="0" t="n">
        <v>9</v>
      </c>
      <c r="C3058" s="0" t="n">
        <v>10</v>
      </c>
      <c r="D3058" s="0" t="n">
        <f aca="false">-1+A3058*0.125</f>
        <v>0.25</v>
      </c>
      <c r="E3058" s="0" t="n">
        <f aca="false">-1+B3058*0.125</f>
        <v>0.125</v>
      </c>
      <c r="F3058" s="0" t="n">
        <f aca="false">-1+C3058*0.125</f>
        <v>0.25</v>
      </c>
      <c r="G3058" s="0" t="n">
        <f aca="false">1</f>
        <v>1</v>
      </c>
      <c r="H3058" s="0" t="n">
        <f aca="false">D3058</f>
        <v>0.25</v>
      </c>
      <c r="I3058" s="0" t="n">
        <f aca="false">E3058</f>
        <v>0.125</v>
      </c>
      <c r="J3058" s="0" t="n">
        <f aca="false">F3058</f>
        <v>0.25</v>
      </c>
      <c r="K3058" s="0" t="n">
        <f aca="false">D3058*E3058</f>
        <v>0.03125</v>
      </c>
      <c r="L3058" s="0" t="n">
        <f aca="false">D3058*F3058</f>
        <v>0.0625</v>
      </c>
      <c r="M3058" s="0" t="n">
        <f aca="false">E3058*F3058</f>
        <v>0.03125</v>
      </c>
      <c r="N3058" s="0" t="n">
        <f aca="false">D3058*D3058</f>
        <v>0.0625</v>
      </c>
      <c r="O3058" s="0" t="n">
        <f aca="false">E3058*E3058</f>
        <v>0.015625</v>
      </c>
      <c r="P3058" s="0" t="n">
        <f aca="false">F3058*F3058</f>
        <v>0.0625</v>
      </c>
      <c r="Q3058" s="0" t="n">
        <f aca="false">SUMPRODUCT(G3058:P3058,_XtX!$B$71:$K$71)</f>
        <v>49.4225426136364</v>
      </c>
      <c r="R3058" s="0" t="n">
        <f aca="false">SUMPRODUCT(MMULT(G3058:P3058,_XtX!$B$58:$K$67),G3058:P3058)</f>
        <v>0.121524325284091</v>
      </c>
      <c r="S3058" s="0" t="n">
        <f aca="false">04_回帰ANOVA!$K$19*04_回帰ANOVA!$K$14*SQRT(1+R3058)</f>
        <v>0.984625286577447</v>
      </c>
      <c r="T3058" s="0" t="n">
        <f aca="false">Q3058-S3058</f>
        <v>48.4379173270589</v>
      </c>
      <c r="U3058" s="0" t="n">
        <f aca="false">Q3058+S3058</f>
        <v>50.4071679002138</v>
      </c>
      <c r="V3058" s="54" t="b">
        <f aca="false">AND(D3058&gt;=01_因子設定!$L$5-0.000000001,D3058&lt;=01_因子設定!$M$5+0.000000001,E3058&gt;=01_因子設定!$L$6-0.000000001,E3058&lt;=01_因子設定!$M$6+0.000000001,F3058&gt;=01_因子設定!$L$7-0.000000001,F3058&lt;=01_因子設定!$M$7+0.000000001,IF(01_因子設定!$B$20="Box-Behnken",D3058^2+E3058^2+F3058^2&lt;=2+0.000000001,TRUE()))</f>
        <v>1</v>
      </c>
      <c r="W3058" s="55" t="n">
        <f aca="false">IF(V3058,IF(01_因子設定!$B$13="最大化",T3058-01_因子設定!$B$14,IF(01_因子設定!$B$13="最小化",01_因子設定!$B$15-U3058,MIN(T3058-01_因子設定!$B$14,01_因子設定!$B$15-U3058))),-1E+030)</f>
        <v>-0.0620826729410737</v>
      </c>
      <c r="X3058" s="55" t="n">
        <f aca="false">IF(V3058,IF(01_因子設定!$B$13="最大化",Q3058,IF(01_因子設定!$B$13="最小化",-Q3058,-ABS(Q3058-01_因子設定!$B$16))),-1E+030)</f>
        <v>49.4225426136364</v>
      </c>
      <c r="Y3058" s="55" t="n">
        <f aca="false">W3058+ROW()*0.000000001</f>
        <v>-0.0620796149410737</v>
      </c>
      <c r="Z3058" s="55" t="n">
        <f aca="false">X3058+ROW()*0.000000001</f>
        <v>49.4225456716364</v>
      </c>
    </row>
    <row r="3059" customFormat="false" ht="15" hidden="false" customHeight="false" outlineLevel="0" collapsed="false">
      <c r="A3059" s="0" t="n">
        <v>10</v>
      </c>
      <c r="B3059" s="0" t="n">
        <v>9</v>
      </c>
      <c r="C3059" s="0" t="n">
        <v>11</v>
      </c>
      <c r="D3059" s="0" t="n">
        <f aca="false">-1+A3059*0.125</f>
        <v>0.25</v>
      </c>
      <c r="E3059" s="0" t="n">
        <f aca="false">-1+B3059*0.125</f>
        <v>0.125</v>
      </c>
      <c r="F3059" s="0" t="n">
        <f aca="false">-1+C3059*0.125</f>
        <v>0.375</v>
      </c>
      <c r="G3059" s="0" t="n">
        <f aca="false">1</f>
        <v>1</v>
      </c>
      <c r="H3059" s="0" t="n">
        <f aca="false">D3059</f>
        <v>0.25</v>
      </c>
      <c r="I3059" s="0" t="n">
        <f aca="false">E3059</f>
        <v>0.125</v>
      </c>
      <c r="J3059" s="0" t="n">
        <f aca="false">F3059</f>
        <v>0.375</v>
      </c>
      <c r="K3059" s="0" t="n">
        <f aca="false">D3059*E3059</f>
        <v>0.03125</v>
      </c>
      <c r="L3059" s="0" t="n">
        <f aca="false">D3059*F3059</f>
        <v>0.09375</v>
      </c>
      <c r="M3059" s="0" t="n">
        <f aca="false">E3059*F3059</f>
        <v>0.046875</v>
      </c>
      <c r="N3059" s="0" t="n">
        <f aca="false">D3059*D3059</f>
        <v>0.0625</v>
      </c>
      <c r="O3059" s="0" t="n">
        <f aca="false">E3059*E3059</f>
        <v>0.015625</v>
      </c>
      <c r="P3059" s="0" t="n">
        <f aca="false">F3059*F3059</f>
        <v>0.140625</v>
      </c>
      <c r="Q3059" s="0" t="n">
        <f aca="false">SUMPRODUCT(G3059:P3059,_XtX!$B$71:$K$71)</f>
        <v>49.5054119318182</v>
      </c>
      <c r="R3059" s="0" t="n">
        <f aca="false">SUMPRODUCT(MMULT(G3059:P3059,_XtX!$B$58:$K$67),G3059:P3059)</f>
        <v>0.127103493430398</v>
      </c>
      <c r="S3059" s="0" t="n">
        <f aca="false">04_回帰ANOVA!$K$19*04_回帰ANOVA!$K$14*SQRT(1+R3059)</f>
        <v>0.987071321387587</v>
      </c>
      <c r="T3059" s="0" t="n">
        <f aca="false">Q3059-S3059</f>
        <v>48.5183406104306</v>
      </c>
      <c r="U3059" s="0" t="n">
        <f aca="false">Q3059+S3059</f>
        <v>50.4924832532058</v>
      </c>
      <c r="V3059" s="54" t="b">
        <f aca="false">AND(D3059&gt;=01_因子設定!$L$5-0.000000001,D3059&lt;=01_因子設定!$M$5+0.000000001,E3059&gt;=01_因子設定!$L$6-0.000000001,E3059&lt;=01_因子設定!$M$6+0.000000001,F3059&gt;=01_因子設定!$L$7-0.000000001,F3059&lt;=01_因子設定!$M$7+0.000000001,IF(01_因子設定!$B$20="Box-Behnken",D3059^2+E3059^2+F3059^2&lt;=2+0.000000001,TRUE()))</f>
        <v>1</v>
      </c>
      <c r="W3059" s="55" t="n">
        <f aca="false">IF(V3059,IF(01_因子設定!$B$13="最大化",T3059-01_因子設定!$B$14,IF(01_因子設定!$B$13="最小化",01_因子設定!$B$15-U3059,MIN(T3059-01_因子設定!$B$14,01_因子設定!$B$15-U3059))),-1E+030)</f>
        <v>0.0183406104306059</v>
      </c>
      <c r="X3059" s="55" t="n">
        <f aca="false">IF(V3059,IF(01_因子設定!$B$13="最大化",Q3059,IF(01_因子設定!$B$13="最小化",-Q3059,-ABS(Q3059-01_因子設定!$B$16))),-1E+030)</f>
        <v>49.5054119318182</v>
      </c>
      <c r="Y3059" s="55" t="n">
        <f aca="false">W3059+ROW()*0.000000001</f>
        <v>0.0183436694306059</v>
      </c>
      <c r="Z3059" s="55" t="n">
        <f aca="false">X3059+ROW()*0.000000001</f>
        <v>49.5054149908182</v>
      </c>
    </row>
    <row r="3060" customFormat="false" ht="15" hidden="false" customHeight="false" outlineLevel="0" collapsed="false">
      <c r="A3060" s="0" t="n">
        <v>10</v>
      </c>
      <c r="B3060" s="0" t="n">
        <v>9</v>
      </c>
      <c r="C3060" s="0" t="n">
        <v>12</v>
      </c>
      <c r="D3060" s="0" t="n">
        <f aca="false">-1+A3060*0.125</f>
        <v>0.25</v>
      </c>
      <c r="E3060" s="0" t="n">
        <f aca="false">-1+B3060*0.125</f>
        <v>0.125</v>
      </c>
      <c r="F3060" s="0" t="n">
        <f aca="false">-1+C3060*0.125</f>
        <v>0.5</v>
      </c>
      <c r="G3060" s="0" t="n">
        <f aca="false">1</f>
        <v>1</v>
      </c>
      <c r="H3060" s="0" t="n">
        <f aca="false">D3060</f>
        <v>0.25</v>
      </c>
      <c r="I3060" s="0" t="n">
        <f aca="false">E3060</f>
        <v>0.125</v>
      </c>
      <c r="J3060" s="0" t="n">
        <f aca="false">F3060</f>
        <v>0.5</v>
      </c>
      <c r="K3060" s="0" t="n">
        <f aca="false">D3060*E3060</f>
        <v>0.03125</v>
      </c>
      <c r="L3060" s="0" t="n">
        <f aca="false">D3060*F3060</f>
        <v>0.125</v>
      </c>
      <c r="M3060" s="0" t="n">
        <f aca="false">E3060*F3060</f>
        <v>0.0625</v>
      </c>
      <c r="N3060" s="0" t="n">
        <f aca="false">D3060*D3060</f>
        <v>0.0625</v>
      </c>
      <c r="O3060" s="0" t="n">
        <f aca="false">E3060*E3060</f>
        <v>0.015625</v>
      </c>
      <c r="P3060" s="0" t="n">
        <f aca="false">F3060*F3060</f>
        <v>0.25</v>
      </c>
      <c r="Q3060" s="0" t="n">
        <f aca="false">SUMPRODUCT(G3060:P3060,_XtX!$B$71:$K$71)</f>
        <v>49.5514914772727</v>
      </c>
      <c r="R3060" s="0" t="n">
        <f aca="false">SUMPRODUCT(MMULT(G3060:P3060,_XtX!$B$58:$K$67),G3060:P3060)</f>
        <v>0.142371715198864</v>
      </c>
      <c r="S3060" s="0" t="n">
        <f aca="false">04_回帰ANOVA!$K$19*04_回帰ANOVA!$K$14*SQRT(1+R3060)</f>
        <v>0.99373447511735</v>
      </c>
      <c r="T3060" s="0" t="n">
        <f aca="false">Q3060-S3060</f>
        <v>48.5577570021554</v>
      </c>
      <c r="U3060" s="0" t="n">
        <f aca="false">Q3060+S3060</f>
        <v>50.5452259523901</v>
      </c>
      <c r="V3060" s="54" t="b">
        <f aca="false">AND(D3060&gt;=01_因子設定!$L$5-0.000000001,D3060&lt;=01_因子設定!$M$5+0.000000001,E3060&gt;=01_因子設定!$L$6-0.000000001,E3060&lt;=01_因子設定!$M$6+0.000000001,F3060&gt;=01_因子設定!$L$7-0.000000001,F3060&lt;=01_因子設定!$M$7+0.000000001,IF(01_因子設定!$B$20="Box-Behnken",D3060^2+E3060^2+F3060^2&lt;=2+0.000000001,TRUE()))</f>
        <v>1</v>
      </c>
      <c r="W3060" s="55" t="n">
        <f aca="false">IF(V3060,IF(01_因子設定!$B$13="最大化",T3060-01_因子設定!$B$14,IF(01_因子設定!$B$13="最小化",01_因子設定!$B$15-U3060,MIN(T3060-01_因子設定!$B$14,01_因子設定!$B$15-U3060))),-1E+030)</f>
        <v>0.057757002155391</v>
      </c>
      <c r="X3060" s="55" t="n">
        <f aca="false">IF(V3060,IF(01_因子設定!$B$13="最大化",Q3060,IF(01_因子設定!$B$13="最小化",-Q3060,-ABS(Q3060-01_因子設定!$B$16))),-1E+030)</f>
        <v>49.5514914772727</v>
      </c>
      <c r="Y3060" s="55" t="n">
        <f aca="false">W3060+ROW()*0.000000001</f>
        <v>0.057760062155391</v>
      </c>
      <c r="Z3060" s="55" t="n">
        <f aca="false">X3060+ROW()*0.000000001</f>
        <v>49.5514945372727</v>
      </c>
    </row>
    <row r="3061" customFormat="false" ht="15" hidden="false" customHeight="false" outlineLevel="0" collapsed="false">
      <c r="A3061" s="0" t="n">
        <v>10</v>
      </c>
      <c r="B3061" s="0" t="n">
        <v>9</v>
      </c>
      <c r="C3061" s="0" t="n">
        <v>13</v>
      </c>
      <c r="D3061" s="0" t="n">
        <f aca="false">-1+A3061*0.125</f>
        <v>0.25</v>
      </c>
      <c r="E3061" s="0" t="n">
        <f aca="false">-1+B3061*0.125</f>
        <v>0.125</v>
      </c>
      <c r="F3061" s="0" t="n">
        <f aca="false">-1+C3061*0.125</f>
        <v>0.625</v>
      </c>
      <c r="G3061" s="0" t="n">
        <f aca="false">1</f>
        <v>1</v>
      </c>
      <c r="H3061" s="0" t="n">
        <f aca="false">D3061</f>
        <v>0.25</v>
      </c>
      <c r="I3061" s="0" t="n">
        <f aca="false">E3061</f>
        <v>0.125</v>
      </c>
      <c r="J3061" s="0" t="n">
        <f aca="false">F3061</f>
        <v>0.625</v>
      </c>
      <c r="K3061" s="0" t="n">
        <f aca="false">D3061*E3061</f>
        <v>0.03125</v>
      </c>
      <c r="L3061" s="0" t="n">
        <f aca="false">D3061*F3061</f>
        <v>0.15625</v>
      </c>
      <c r="M3061" s="0" t="n">
        <f aca="false">E3061*F3061</f>
        <v>0.078125</v>
      </c>
      <c r="N3061" s="0" t="n">
        <f aca="false">D3061*D3061</f>
        <v>0.0625</v>
      </c>
      <c r="O3061" s="0" t="n">
        <f aca="false">E3061*E3061</f>
        <v>0.015625</v>
      </c>
      <c r="P3061" s="0" t="n">
        <f aca="false">F3061*F3061</f>
        <v>0.390625</v>
      </c>
      <c r="Q3061" s="0" t="n">
        <f aca="false">SUMPRODUCT(G3061:P3061,_XtX!$B$71:$K$71)</f>
        <v>49.56078125</v>
      </c>
      <c r="R3061" s="0" t="n">
        <f aca="false">SUMPRODUCT(MMULT(G3061:P3061,_XtX!$B$58:$K$67),G3061:P3061)</f>
        <v>0.174786376953125</v>
      </c>
      <c r="S3061" s="0" t="n">
        <f aca="false">04_回帰ANOVA!$K$19*04_回帰ANOVA!$K$14*SQRT(1+R3061)</f>
        <v>1.00773440704286</v>
      </c>
      <c r="T3061" s="0" t="n">
        <f aca="false">Q3061-S3061</f>
        <v>48.5530468429572</v>
      </c>
      <c r="U3061" s="0" t="n">
        <f aca="false">Q3061+S3061</f>
        <v>50.5685156570429</v>
      </c>
      <c r="V3061" s="54" t="b">
        <f aca="false">AND(D3061&gt;=01_因子設定!$L$5-0.000000001,D3061&lt;=01_因子設定!$M$5+0.000000001,E3061&gt;=01_因子設定!$L$6-0.000000001,E3061&lt;=01_因子設定!$M$6+0.000000001,F3061&gt;=01_因子設定!$L$7-0.000000001,F3061&lt;=01_因子設定!$M$7+0.000000001,IF(01_因子設定!$B$20="Box-Behnken",D3061^2+E3061^2+F3061^2&lt;=2+0.000000001,TRUE()))</f>
        <v>1</v>
      </c>
      <c r="W3061" s="55" t="n">
        <f aca="false">IF(V3061,IF(01_因子設定!$B$13="最大化",T3061-01_因子設定!$B$14,IF(01_因子設定!$B$13="最小化",01_因子設定!$B$15-U3061,MIN(T3061-01_因子設定!$B$14,01_因子設定!$B$15-U3061))),-1E+030)</f>
        <v>0.0530468429571513</v>
      </c>
      <c r="X3061" s="55" t="n">
        <f aca="false">IF(V3061,IF(01_因子設定!$B$13="最大化",Q3061,IF(01_因子設定!$B$13="最小化",-Q3061,-ABS(Q3061-01_因子設定!$B$16))),-1E+030)</f>
        <v>49.56078125</v>
      </c>
      <c r="Y3061" s="55" t="n">
        <f aca="false">W3061+ROW()*0.000000001</f>
        <v>0.0530499039571513</v>
      </c>
      <c r="Z3061" s="55" t="n">
        <f aca="false">X3061+ROW()*0.000000001</f>
        <v>49.560784311</v>
      </c>
    </row>
    <row r="3062" customFormat="false" ht="15" hidden="false" customHeight="false" outlineLevel="0" collapsed="false">
      <c r="A3062" s="0" t="n">
        <v>10</v>
      </c>
      <c r="B3062" s="0" t="n">
        <v>9</v>
      </c>
      <c r="C3062" s="0" t="n">
        <v>14</v>
      </c>
      <c r="D3062" s="0" t="n">
        <f aca="false">-1+A3062*0.125</f>
        <v>0.25</v>
      </c>
      <c r="E3062" s="0" t="n">
        <f aca="false">-1+B3062*0.125</f>
        <v>0.125</v>
      </c>
      <c r="F3062" s="0" t="n">
        <f aca="false">-1+C3062*0.125</f>
        <v>0.75</v>
      </c>
      <c r="G3062" s="0" t="n">
        <f aca="false">1</f>
        <v>1</v>
      </c>
      <c r="H3062" s="0" t="n">
        <f aca="false">D3062</f>
        <v>0.25</v>
      </c>
      <c r="I3062" s="0" t="n">
        <f aca="false">E3062</f>
        <v>0.125</v>
      </c>
      <c r="J3062" s="0" t="n">
        <f aca="false">F3062</f>
        <v>0.75</v>
      </c>
      <c r="K3062" s="0" t="n">
        <f aca="false">D3062*E3062</f>
        <v>0.03125</v>
      </c>
      <c r="L3062" s="0" t="n">
        <f aca="false">D3062*F3062</f>
        <v>0.1875</v>
      </c>
      <c r="M3062" s="0" t="n">
        <f aca="false">E3062*F3062</f>
        <v>0.09375</v>
      </c>
      <c r="N3062" s="0" t="n">
        <f aca="false">D3062*D3062</f>
        <v>0.0625</v>
      </c>
      <c r="O3062" s="0" t="n">
        <f aca="false">E3062*E3062</f>
        <v>0.015625</v>
      </c>
      <c r="P3062" s="0" t="n">
        <f aca="false">F3062*F3062</f>
        <v>0.5625</v>
      </c>
      <c r="Q3062" s="0" t="n">
        <f aca="false">SUMPRODUCT(G3062:P3062,_XtX!$B$71:$K$71)</f>
        <v>49.53328125</v>
      </c>
      <c r="R3062" s="0" t="n">
        <f aca="false">SUMPRODUCT(MMULT(G3062:P3062,_XtX!$B$58:$K$67),G3062:P3062)</f>
        <v>0.233935546875</v>
      </c>
      <c r="S3062" s="0" t="n">
        <f aca="false">04_回帰ANOVA!$K$19*04_回帰ANOVA!$K$14*SQRT(1+R3062)</f>
        <v>1.03279202033444</v>
      </c>
      <c r="T3062" s="0" t="n">
        <f aca="false">Q3062-S3062</f>
        <v>48.5004892296656</v>
      </c>
      <c r="U3062" s="0" t="n">
        <f aca="false">Q3062+S3062</f>
        <v>50.5660732703345</v>
      </c>
      <c r="V3062" s="54" t="b">
        <f aca="false">AND(D3062&gt;=01_因子設定!$L$5-0.000000001,D3062&lt;=01_因子設定!$M$5+0.000000001,E3062&gt;=01_因子設定!$L$6-0.000000001,E3062&lt;=01_因子設定!$M$6+0.000000001,F3062&gt;=01_因子設定!$L$7-0.000000001,F3062&lt;=01_因子設定!$M$7+0.000000001,IF(01_因子設定!$B$20="Box-Behnken",D3062^2+E3062^2+F3062^2&lt;=2+0.000000001,TRUE()))</f>
        <v>1</v>
      </c>
      <c r="W3062" s="55" t="n">
        <f aca="false">IF(V3062,IF(01_因子設定!$B$13="最大化",T3062-01_因子設定!$B$14,IF(01_因子設定!$B$13="最小化",01_因子設定!$B$15-U3062,MIN(T3062-01_因子設定!$B$14,01_因子設定!$B$15-U3062))),-1E+030)</f>
        <v>0.000489229665575408</v>
      </c>
      <c r="X3062" s="55" t="n">
        <f aca="false">IF(V3062,IF(01_因子設定!$B$13="最大化",Q3062,IF(01_因子設定!$B$13="最小化",-Q3062,-ABS(Q3062-01_因子設定!$B$16))),-1E+030)</f>
        <v>49.53328125</v>
      </c>
      <c r="Y3062" s="55" t="n">
        <f aca="false">W3062+ROW()*0.000000001</f>
        <v>0.000492291665575408</v>
      </c>
      <c r="Z3062" s="55" t="n">
        <f aca="false">X3062+ROW()*0.000000001</f>
        <v>49.533284312</v>
      </c>
    </row>
    <row r="3063" customFormat="false" ht="15" hidden="false" customHeight="false" outlineLevel="0" collapsed="false">
      <c r="A3063" s="0" t="n">
        <v>10</v>
      </c>
      <c r="B3063" s="0" t="n">
        <v>9</v>
      </c>
      <c r="C3063" s="0" t="n">
        <v>15</v>
      </c>
      <c r="D3063" s="0" t="n">
        <f aca="false">-1+A3063*0.125</f>
        <v>0.25</v>
      </c>
      <c r="E3063" s="0" t="n">
        <f aca="false">-1+B3063*0.125</f>
        <v>0.125</v>
      </c>
      <c r="F3063" s="0" t="n">
        <f aca="false">-1+C3063*0.125</f>
        <v>0.875</v>
      </c>
      <c r="G3063" s="0" t="n">
        <f aca="false">1</f>
        <v>1</v>
      </c>
      <c r="H3063" s="0" t="n">
        <f aca="false">D3063</f>
        <v>0.25</v>
      </c>
      <c r="I3063" s="0" t="n">
        <f aca="false">E3063</f>
        <v>0.125</v>
      </c>
      <c r="J3063" s="0" t="n">
        <f aca="false">F3063</f>
        <v>0.875</v>
      </c>
      <c r="K3063" s="0" t="n">
        <f aca="false">D3063*E3063</f>
        <v>0.03125</v>
      </c>
      <c r="L3063" s="0" t="n">
        <f aca="false">D3063*F3063</f>
        <v>0.21875</v>
      </c>
      <c r="M3063" s="0" t="n">
        <f aca="false">E3063*F3063</f>
        <v>0.109375</v>
      </c>
      <c r="N3063" s="0" t="n">
        <f aca="false">D3063*D3063</f>
        <v>0.0625</v>
      </c>
      <c r="O3063" s="0" t="n">
        <f aca="false">E3063*E3063</f>
        <v>0.015625</v>
      </c>
      <c r="P3063" s="0" t="n">
        <f aca="false">F3063*F3063</f>
        <v>0.765625</v>
      </c>
      <c r="Q3063" s="0" t="n">
        <f aca="false">SUMPRODUCT(G3063:P3063,_XtX!$B$71:$K$71)</f>
        <v>49.4689914772728</v>
      </c>
      <c r="R3063" s="0" t="n">
        <f aca="false">SUMPRODUCT(MMULT(G3063:P3063,_XtX!$B$58:$K$67),G3063:P3063)</f>
        <v>0.331537974964489</v>
      </c>
      <c r="S3063" s="0" t="n">
        <f aca="false">04_回帰ANOVA!$K$19*04_回帰ANOVA!$K$14*SQRT(1+R3063)</f>
        <v>1.07286089161565</v>
      </c>
      <c r="T3063" s="0" t="n">
        <f aca="false">Q3063-S3063</f>
        <v>48.3961305856571</v>
      </c>
      <c r="U3063" s="0" t="n">
        <f aca="false">Q3063+S3063</f>
        <v>50.5418523688884</v>
      </c>
      <c r="V3063" s="54" t="b">
        <f aca="false">AND(D3063&gt;=01_因子設定!$L$5-0.000000001,D3063&lt;=01_因子設定!$M$5+0.000000001,E3063&gt;=01_因子設定!$L$6-0.000000001,E3063&lt;=01_因子設定!$M$6+0.000000001,F3063&gt;=01_因子設定!$L$7-0.000000001,F3063&lt;=01_因子設定!$M$7+0.000000001,IF(01_因子設定!$B$20="Box-Behnken",D3063^2+E3063^2+F3063^2&lt;=2+0.000000001,TRUE()))</f>
        <v>1</v>
      </c>
      <c r="W3063" s="55" t="n">
        <f aca="false">IF(V3063,IF(01_因子設定!$B$13="最大化",T3063-01_因子設定!$B$14,IF(01_因子設定!$B$13="最小化",01_因子設定!$B$15-U3063,MIN(T3063-01_因子設定!$B$14,01_因子設定!$B$15-U3063))),-1E+030)</f>
        <v>-0.103869414342903</v>
      </c>
      <c r="X3063" s="55" t="n">
        <f aca="false">IF(V3063,IF(01_因子設定!$B$13="最大化",Q3063,IF(01_因子設定!$B$13="最小化",-Q3063,-ABS(Q3063-01_因子設定!$B$16))),-1E+030)</f>
        <v>49.4689914772728</v>
      </c>
      <c r="Y3063" s="55" t="n">
        <f aca="false">W3063+ROW()*0.000000001</f>
        <v>-0.103866351342903</v>
      </c>
      <c r="Z3063" s="55" t="n">
        <f aca="false">X3063+ROW()*0.000000001</f>
        <v>49.4689945402728</v>
      </c>
    </row>
    <row r="3064" customFormat="false" ht="15" hidden="false" customHeight="false" outlineLevel="0" collapsed="false">
      <c r="A3064" s="0" t="n">
        <v>10</v>
      </c>
      <c r="B3064" s="0" t="n">
        <v>9</v>
      </c>
      <c r="C3064" s="0" t="n">
        <v>16</v>
      </c>
      <c r="D3064" s="0" t="n">
        <f aca="false">-1+A3064*0.125</f>
        <v>0.25</v>
      </c>
      <c r="E3064" s="0" t="n">
        <f aca="false">-1+B3064*0.125</f>
        <v>0.125</v>
      </c>
      <c r="F3064" s="0" t="n">
        <f aca="false">-1+C3064*0.125</f>
        <v>1</v>
      </c>
      <c r="G3064" s="0" t="n">
        <f aca="false">1</f>
        <v>1</v>
      </c>
      <c r="H3064" s="0" t="n">
        <f aca="false">D3064</f>
        <v>0.25</v>
      </c>
      <c r="I3064" s="0" t="n">
        <f aca="false">E3064</f>
        <v>0.125</v>
      </c>
      <c r="J3064" s="0" t="n">
        <f aca="false">F3064</f>
        <v>1</v>
      </c>
      <c r="K3064" s="0" t="n">
        <f aca="false">D3064*E3064</f>
        <v>0.03125</v>
      </c>
      <c r="L3064" s="0" t="n">
        <f aca="false">D3064*F3064</f>
        <v>0.25</v>
      </c>
      <c r="M3064" s="0" t="n">
        <f aca="false">E3064*F3064</f>
        <v>0.125</v>
      </c>
      <c r="N3064" s="0" t="n">
        <f aca="false">D3064*D3064</f>
        <v>0.0625</v>
      </c>
      <c r="O3064" s="0" t="n">
        <f aca="false">E3064*E3064</f>
        <v>0.015625</v>
      </c>
      <c r="P3064" s="0" t="n">
        <f aca="false">F3064*F3064</f>
        <v>1</v>
      </c>
      <c r="Q3064" s="0" t="n">
        <f aca="false">SUMPRODUCT(G3064:P3064,_XtX!$B$71:$K$71)</f>
        <v>49.3679119318182</v>
      </c>
      <c r="R3064" s="0" t="n">
        <f aca="false">SUMPRODUCT(MMULT(G3064:P3064,_XtX!$B$58:$K$67),G3064:P3064)</f>
        <v>0.481443093039773</v>
      </c>
      <c r="S3064" s="0" t="n">
        <f aca="false">04_回帰ANOVA!$K$19*04_回帰ANOVA!$K$14*SQRT(1+R3064)</f>
        <v>1.13164216995877</v>
      </c>
      <c r="T3064" s="0" t="n">
        <f aca="false">Q3064-S3064</f>
        <v>48.2362697618594</v>
      </c>
      <c r="U3064" s="0" t="n">
        <f aca="false">Q3064+S3064</f>
        <v>50.499554101777</v>
      </c>
      <c r="V3064" s="54" t="b">
        <f aca="false">AND(D3064&gt;=01_因子設定!$L$5-0.000000001,D3064&lt;=01_因子設定!$M$5+0.000000001,E3064&gt;=01_因子設定!$L$6-0.000000001,E3064&lt;=01_因子設定!$M$6+0.000000001,F3064&gt;=01_因子設定!$L$7-0.000000001,F3064&lt;=01_因子設定!$M$7+0.000000001,IF(01_因子設定!$B$20="Box-Behnken",D3064^2+E3064^2+F3064^2&lt;=2+0.000000001,TRUE()))</f>
        <v>1</v>
      </c>
      <c r="W3064" s="55" t="n">
        <f aca="false">IF(V3064,IF(01_因子設定!$B$13="最大化",T3064-01_因子設定!$B$14,IF(01_因子設定!$B$13="最小化",01_因子設定!$B$15-U3064,MIN(T3064-01_因子設定!$B$14,01_因子設定!$B$15-U3064))),-1E+030)</f>
        <v>-0.26373023814056</v>
      </c>
      <c r="X3064" s="55" t="n">
        <f aca="false">IF(V3064,IF(01_因子設定!$B$13="最大化",Q3064,IF(01_因子設定!$B$13="最小化",-Q3064,-ABS(Q3064-01_因子設定!$B$16))),-1E+030)</f>
        <v>49.3679119318182</v>
      </c>
      <c r="Y3064" s="55" t="n">
        <f aca="false">W3064+ROW()*0.000000001</f>
        <v>-0.26372717414056</v>
      </c>
      <c r="Z3064" s="55" t="n">
        <f aca="false">X3064+ROW()*0.000000001</f>
        <v>49.3679149958182</v>
      </c>
    </row>
    <row r="3065" customFormat="false" ht="15" hidden="false" customHeight="false" outlineLevel="0" collapsed="false">
      <c r="A3065" s="0" t="n">
        <v>10</v>
      </c>
      <c r="B3065" s="0" t="n">
        <v>10</v>
      </c>
      <c r="C3065" s="0" t="n">
        <v>0</v>
      </c>
      <c r="D3065" s="0" t="n">
        <f aca="false">-1+A3065*0.125</f>
        <v>0.25</v>
      </c>
      <c r="E3065" s="0" t="n">
        <f aca="false">-1+B3065*0.125</f>
        <v>0.25</v>
      </c>
      <c r="F3065" s="0" t="n">
        <f aca="false">-1+C3065*0.125</f>
        <v>-1</v>
      </c>
      <c r="G3065" s="0" t="n">
        <f aca="false">1</f>
        <v>1</v>
      </c>
      <c r="H3065" s="0" t="n">
        <f aca="false">D3065</f>
        <v>0.25</v>
      </c>
      <c r="I3065" s="0" t="n">
        <f aca="false">E3065</f>
        <v>0.25</v>
      </c>
      <c r="J3065" s="0" t="n">
        <f aca="false">F3065</f>
        <v>-1</v>
      </c>
      <c r="K3065" s="0" t="n">
        <f aca="false">D3065*E3065</f>
        <v>0.0625</v>
      </c>
      <c r="L3065" s="0" t="n">
        <f aca="false">D3065*F3065</f>
        <v>-0.25</v>
      </c>
      <c r="M3065" s="0" t="n">
        <f aca="false">E3065*F3065</f>
        <v>-0.25</v>
      </c>
      <c r="N3065" s="0" t="n">
        <f aca="false">D3065*D3065</f>
        <v>0.0625</v>
      </c>
      <c r="O3065" s="0" t="n">
        <f aca="false">E3065*E3065</f>
        <v>0.0625</v>
      </c>
      <c r="P3065" s="0" t="n">
        <f aca="false">F3065*F3065</f>
        <v>1</v>
      </c>
      <c r="Q3065" s="0" t="n">
        <f aca="false">SUMPRODUCT(G3065:P3065,_XtX!$B$71:$K$71)</f>
        <v>46.7161647727273</v>
      </c>
      <c r="R3065" s="0" t="n">
        <f aca="false">SUMPRODUCT(MMULT(G3065:P3065,_XtX!$B$58:$K$67),G3065:P3065)</f>
        <v>0.475843394886364</v>
      </c>
      <c r="S3065" s="0" t="n">
        <f aca="false">04_回帰ANOVA!$K$19*04_回帰ANOVA!$K$14*SQRT(1+R3065)</f>
        <v>1.12950140123694</v>
      </c>
      <c r="T3065" s="0" t="n">
        <f aca="false">Q3065-S3065</f>
        <v>45.5866633714904</v>
      </c>
      <c r="U3065" s="0" t="n">
        <f aca="false">Q3065+S3065</f>
        <v>47.8456661739642</v>
      </c>
      <c r="V3065" s="54" t="b">
        <f aca="false">AND(D3065&gt;=01_因子設定!$L$5-0.000000001,D3065&lt;=01_因子設定!$M$5+0.000000001,E3065&gt;=01_因子設定!$L$6-0.000000001,E3065&lt;=01_因子設定!$M$6+0.000000001,F3065&gt;=01_因子設定!$L$7-0.000000001,F3065&lt;=01_因子設定!$M$7+0.000000001,IF(01_因子設定!$B$20="Box-Behnken",D3065^2+E3065^2+F3065^2&lt;=2+0.000000001,TRUE()))</f>
        <v>1</v>
      </c>
      <c r="W3065" s="55" t="n">
        <f aca="false">IF(V3065,IF(01_因子設定!$B$13="最大化",T3065-01_因子設定!$B$14,IF(01_因子設定!$B$13="最小化",01_因子設定!$B$15-U3065,MIN(T3065-01_因子設定!$B$14,01_因子設定!$B$15-U3065))),-1E+030)</f>
        <v>-2.91333662850964</v>
      </c>
      <c r="X3065" s="55" t="n">
        <f aca="false">IF(V3065,IF(01_因子設定!$B$13="最大化",Q3065,IF(01_因子設定!$B$13="最小化",-Q3065,-ABS(Q3065-01_因子設定!$B$16))),-1E+030)</f>
        <v>46.7161647727273</v>
      </c>
      <c r="Y3065" s="55" t="n">
        <f aca="false">W3065+ROW()*0.000000001</f>
        <v>-2.91333356350964</v>
      </c>
      <c r="Z3065" s="55" t="n">
        <f aca="false">X3065+ROW()*0.000000001</f>
        <v>46.7161678377273</v>
      </c>
    </row>
    <row r="3066" customFormat="false" ht="15" hidden="false" customHeight="false" outlineLevel="0" collapsed="false">
      <c r="A3066" s="0" t="n">
        <v>10</v>
      </c>
      <c r="B3066" s="0" t="n">
        <v>10</v>
      </c>
      <c r="C3066" s="0" t="n">
        <v>1</v>
      </c>
      <c r="D3066" s="0" t="n">
        <f aca="false">-1+A3066*0.125</f>
        <v>0.25</v>
      </c>
      <c r="E3066" s="0" t="n">
        <f aca="false">-1+B3066*0.125</f>
        <v>0.25</v>
      </c>
      <c r="F3066" s="0" t="n">
        <f aca="false">-1+C3066*0.125</f>
        <v>-0.875</v>
      </c>
      <c r="G3066" s="0" t="n">
        <f aca="false">1</f>
        <v>1</v>
      </c>
      <c r="H3066" s="0" t="n">
        <f aca="false">D3066</f>
        <v>0.25</v>
      </c>
      <c r="I3066" s="0" t="n">
        <f aca="false">E3066</f>
        <v>0.25</v>
      </c>
      <c r="J3066" s="0" t="n">
        <f aca="false">F3066</f>
        <v>-0.875</v>
      </c>
      <c r="K3066" s="0" t="n">
        <f aca="false">D3066*E3066</f>
        <v>0.0625</v>
      </c>
      <c r="L3066" s="0" t="n">
        <f aca="false">D3066*F3066</f>
        <v>-0.21875</v>
      </c>
      <c r="M3066" s="0" t="n">
        <f aca="false">E3066*F3066</f>
        <v>-0.21875</v>
      </c>
      <c r="N3066" s="0" t="n">
        <f aca="false">D3066*D3066</f>
        <v>0.0625</v>
      </c>
      <c r="O3066" s="0" t="n">
        <f aca="false">E3066*E3066</f>
        <v>0.0625</v>
      </c>
      <c r="P3066" s="0" t="n">
        <f aca="false">F3066*F3066</f>
        <v>0.765625</v>
      </c>
      <c r="Q3066" s="0" t="n">
        <f aca="false">SUMPRODUCT(G3066:P3066,_XtX!$B$71:$K$71)</f>
        <v>47.1739630681818</v>
      </c>
      <c r="R3066" s="0" t="n">
        <f aca="false">SUMPRODUCT(MMULT(G3066:P3066,_XtX!$B$58:$K$67),G3066:P3066)</f>
        <v>0.327561257102273</v>
      </c>
      <c r="S3066" s="0" t="n">
        <f aca="false">04_回帰ANOVA!$K$19*04_回帰ANOVA!$K$14*SQRT(1+R3066)</f>
        <v>1.07125761201315</v>
      </c>
      <c r="T3066" s="0" t="n">
        <f aca="false">Q3066-S3066</f>
        <v>46.1027054561687</v>
      </c>
      <c r="U3066" s="0" t="n">
        <f aca="false">Q3066+S3066</f>
        <v>48.245220680195</v>
      </c>
      <c r="V3066" s="54" t="b">
        <f aca="false">AND(D3066&gt;=01_因子設定!$L$5-0.000000001,D3066&lt;=01_因子設定!$M$5+0.000000001,E3066&gt;=01_因子設定!$L$6-0.000000001,E3066&lt;=01_因子設定!$M$6+0.000000001,F3066&gt;=01_因子設定!$L$7-0.000000001,F3066&lt;=01_因子設定!$M$7+0.000000001,IF(01_因子設定!$B$20="Box-Behnken",D3066^2+E3066^2+F3066^2&lt;=2+0.000000001,TRUE()))</f>
        <v>1</v>
      </c>
      <c r="W3066" s="55" t="n">
        <f aca="false">IF(V3066,IF(01_因子設定!$B$13="最大化",T3066-01_因子設定!$B$14,IF(01_因子設定!$B$13="最小化",01_因子設定!$B$15-U3066,MIN(T3066-01_因子設定!$B$14,01_因子設定!$B$15-U3066))),-1E+030)</f>
        <v>-2.39729454383131</v>
      </c>
      <c r="X3066" s="55" t="n">
        <f aca="false">IF(V3066,IF(01_因子設定!$B$13="最大化",Q3066,IF(01_因子設定!$B$13="最小化",-Q3066,-ABS(Q3066-01_因子設定!$B$16))),-1E+030)</f>
        <v>47.1739630681818</v>
      </c>
      <c r="Y3066" s="55" t="n">
        <f aca="false">W3066+ROW()*0.000000001</f>
        <v>-2.39729147783131</v>
      </c>
      <c r="Z3066" s="55" t="n">
        <f aca="false">X3066+ROW()*0.000000001</f>
        <v>47.1739661341818</v>
      </c>
    </row>
    <row r="3067" customFormat="false" ht="15" hidden="false" customHeight="false" outlineLevel="0" collapsed="false">
      <c r="A3067" s="0" t="n">
        <v>10</v>
      </c>
      <c r="B3067" s="0" t="n">
        <v>10</v>
      </c>
      <c r="C3067" s="0" t="n">
        <v>2</v>
      </c>
      <c r="D3067" s="0" t="n">
        <f aca="false">-1+A3067*0.125</f>
        <v>0.25</v>
      </c>
      <c r="E3067" s="0" t="n">
        <f aca="false">-1+B3067*0.125</f>
        <v>0.25</v>
      </c>
      <c r="F3067" s="0" t="n">
        <f aca="false">-1+C3067*0.125</f>
        <v>-0.75</v>
      </c>
      <c r="G3067" s="0" t="n">
        <f aca="false">1</f>
        <v>1</v>
      </c>
      <c r="H3067" s="0" t="n">
        <f aca="false">D3067</f>
        <v>0.25</v>
      </c>
      <c r="I3067" s="0" t="n">
        <f aca="false">E3067</f>
        <v>0.25</v>
      </c>
      <c r="J3067" s="0" t="n">
        <f aca="false">F3067</f>
        <v>-0.75</v>
      </c>
      <c r="K3067" s="0" t="n">
        <f aca="false">D3067*E3067</f>
        <v>0.0625</v>
      </c>
      <c r="L3067" s="0" t="n">
        <f aca="false">D3067*F3067</f>
        <v>-0.1875</v>
      </c>
      <c r="M3067" s="0" t="n">
        <f aca="false">E3067*F3067</f>
        <v>-0.1875</v>
      </c>
      <c r="N3067" s="0" t="n">
        <f aca="false">D3067*D3067</f>
        <v>0.0625</v>
      </c>
      <c r="O3067" s="0" t="n">
        <f aca="false">E3067*E3067</f>
        <v>0.0625</v>
      </c>
      <c r="P3067" s="0" t="n">
        <f aca="false">F3067*F3067</f>
        <v>0.5625</v>
      </c>
      <c r="Q3067" s="0" t="n">
        <f aca="false">SUMPRODUCT(G3067:P3067,_XtX!$B$71:$K$71)</f>
        <v>47.5949715909091</v>
      </c>
      <c r="R3067" s="0" t="n">
        <f aca="false">SUMPRODUCT(MMULT(G3067:P3067,_XtX!$B$58:$K$67),G3067:P3067)</f>
        <v>0.231365411931818</v>
      </c>
      <c r="S3067" s="0" t="n">
        <f aca="false">04_回帰ANOVA!$K$19*04_回帰ANOVA!$K$14*SQRT(1+R3067)</f>
        <v>1.03171587072803</v>
      </c>
      <c r="T3067" s="0" t="n">
        <f aca="false">Q3067-S3067</f>
        <v>46.5632557201811</v>
      </c>
      <c r="U3067" s="0" t="n">
        <f aca="false">Q3067+S3067</f>
        <v>48.6266874616371</v>
      </c>
      <c r="V3067" s="54" t="b">
        <f aca="false">AND(D3067&gt;=01_因子設定!$L$5-0.000000001,D3067&lt;=01_因子設定!$M$5+0.000000001,E3067&gt;=01_因子設定!$L$6-0.000000001,E3067&lt;=01_因子設定!$M$6+0.000000001,F3067&gt;=01_因子設定!$L$7-0.000000001,F3067&lt;=01_因子設定!$M$7+0.000000001,IF(01_因子設定!$B$20="Box-Behnken",D3067^2+E3067^2+F3067^2&lt;=2+0.000000001,TRUE()))</f>
        <v>1</v>
      </c>
      <c r="W3067" s="55" t="n">
        <f aca="false">IF(V3067,IF(01_因子設定!$B$13="最大化",T3067-01_因子設定!$B$14,IF(01_因子設定!$B$13="最小化",01_因子設定!$B$15-U3067,MIN(T3067-01_因子設定!$B$14,01_因子設定!$B$15-U3067))),-1E+030)</f>
        <v>-1.93674427981892</v>
      </c>
      <c r="X3067" s="55" t="n">
        <f aca="false">IF(V3067,IF(01_因子設定!$B$13="最大化",Q3067,IF(01_因子設定!$B$13="最小化",-Q3067,-ABS(Q3067-01_因子設定!$B$16))),-1E+030)</f>
        <v>47.5949715909091</v>
      </c>
      <c r="Y3067" s="55" t="n">
        <f aca="false">W3067+ROW()*0.000000001</f>
        <v>-1.93674121281892</v>
      </c>
      <c r="Z3067" s="55" t="n">
        <f aca="false">X3067+ROW()*0.000000001</f>
        <v>47.5949746579091</v>
      </c>
    </row>
    <row r="3068" customFormat="false" ht="15" hidden="false" customHeight="false" outlineLevel="0" collapsed="false">
      <c r="A3068" s="0" t="n">
        <v>10</v>
      </c>
      <c r="B3068" s="0" t="n">
        <v>10</v>
      </c>
      <c r="C3068" s="0" t="n">
        <v>3</v>
      </c>
      <c r="D3068" s="0" t="n">
        <f aca="false">-1+A3068*0.125</f>
        <v>0.25</v>
      </c>
      <c r="E3068" s="0" t="n">
        <f aca="false">-1+B3068*0.125</f>
        <v>0.25</v>
      </c>
      <c r="F3068" s="0" t="n">
        <f aca="false">-1+C3068*0.125</f>
        <v>-0.625</v>
      </c>
      <c r="G3068" s="0" t="n">
        <f aca="false">1</f>
        <v>1</v>
      </c>
      <c r="H3068" s="0" t="n">
        <f aca="false">D3068</f>
        <v>0.25</v>
      </c>
      <c r="I3068" s="0" t="n">
        <f aca="false">E3068</f>
        <v>0.25</v>
      </c>
      <c r="J3068" s="0" t="n">
        <f aca="false">F3068</f>
        <v>-0.625</v>
      </c>
      <c r="K3068" s="0" t="n">
        <f aca="false">D3068*E3068</f>
        <v>0.0625</v>
      </c>
      <c r="L3068" s="0" t="n">
        <f aca="false">D3068*F3068</f>
        <v>-0.15625</v>
      </c>
      <c r="M3068" s="0" t="n">
        <f aca="false">E3068*F3068</f>
        <v>-0.15625</v>
      </c>
      <c r="N3068" s="0" t="n">
        <f aca="false">D3068*D3068</f>
        <v>0.0625</v>
      </c>
      <c r="O3068" s="0" t="n">
        <f aca="false">E3068*E3068</f>
        <v>0.0625</v>
      </c>
      <c r="P3068" s="0" t="n">
        <f aca="false">F3068*F3068</f>
        <v>0.390625</v>
      </c>
      <c r="Q3068" s="0" t="n">
        <f aca="false">SUMPRODUCT(G3068:P3068,_XtX!$B$71:$K$71)</f>
        <v>47.9791903409091</v>
      </c>
      <c r="R3068" s="0" t="n">
        <f aca="false">SUMPRODUCT(MMULT(G3068:P3068,_XtX!$B$58:$K$67),G3068:P3068)</f>
        <v>0.173406427556818</v>
      </c>
      <c r="S3068" s="0" t="n">
        <f aca="false">04_回帰ANOVA!$K$19*04_回帰ANOVA!$K$14*SQRT(1+R3068)</f>
        <v>1.00714237128059</v>
      </c>
      <c r="T3068" s="0" t="n">
        <f aca="false">Q3068-S3068</f>
        <v>46.9720479696285</v>
      </c>
      <c r="U3068" s="0" t="n">
        <f aca="false">Q3068+S3068</f>
        <v>48.9863327121897</v>
      </c>
      <c r="V3068" s="54" t="b">
        <f aca="false">AND(D3068&gt;=01_因子設定!$L$5-0.000000001,D3068&lt;=01_因子設定!$M$5+0.000000001,E3068&gt;=01_因子設定!$L$6-0.000000001,E3068&lt;=01_因子設定!$M$6+0.000000001,F3068&gt;=01_因子設定!$L$7-0.000000001,F3068&lt;=01_因子設定!$M$7+0.000000001,IF(01_因子設定!$B$20="Box-Behnken",D3068^2+E3068^2+F3068^2&lt;=2+0.000000001,TRUE()))</f>
        <v>1</v>
      </c>
      <c r="W3068" s="55" t="n">
        <f aca="false">IF(V3068,IF(01_因子設定!$B$13="最大化",T3068-01_因子設定!$B$14,IF(01_因子設定!$B$13="最小化",01_因子設定!$B$15-U3068,MIN(T3068-01_因子設定!$B$14,01_因子設定!$B$15-U3068))),-1E+030)</f>
        <v>-1.52795203037149</v>
      </c>
      <c r="X3068" s="55" t="n">
        <f aca="false">IF(V3068,IF(01_因子設定!$B$13="最大化",Q3068,IF(01_因子設定!$B$13="最小化",-Q3068,-ABS(Q3068-01_因子設定!$B$16))),-1E+030)</f>
        <v>47.9791903409091</v>
      </c>
      <c r="Y3068" s="55" t="n">
        <f aca="false">W3068+ROW()*0.000000001</f>
        <v>-1.52794896237149</v>
      </c>
      <c r="Z3068" s="55" t="n">
        <f aca="false">X3068+ROW()*0.000000001</f>
        <v>47.9791934089091</v>
      </c>
    </row>
    <row r="3069" customFormat="false" ht="15" hidden="false" customHeight="false" outlineLevel="0" collapsed="false">
      <c r="A3069" s="0" t="n">
        <v>10</v>
      </c>
      <c r="B3069" s="0" t="n">
        <v>10</v>
      </c>
      <c r="C3069" s="0" t="n">
        <v>4</v>
      </c>
      <c r="D3069" s="0" t="n">
        <f aca="false">-1+A3069*0.125</f>
        <v>0.25</v>
      </c>
      <c r="E3069" s="0" t="n">
        <f aca="false">-1+B3069*0.125</f>
        <v>0.25</v>
      </c>
      <c r="F3069" s="0" t="n">
        <f aca="false">-1+C3069*0.125</f>
        <v>-0.5</v>
      </c>
      <c r="G3069" s="0" t="n">
        <f aca="false">1</f>
        <v>1</v>
      </c>
      <c r="H3069" s="0" t="n">
        <f aca="false">D3069</f>
        <v>0.25</v>
      </c>
      <c r="I3069" s="0" t="n">
        <f aca="false">E3069</f>
        <v>0.25</v>
      </c>
      <c r="J3069" s="0" t="n">
        <f aca="false">F3069</f>
        <v>-0.5</v>
      </c>
      <c r="K3069" s="0" t="n">
        <f aca="false">D3069*E3069</f>
        <v>0.0625</v>
      </c>
      <c r="L3069" s="0" t="n">
        <f aca="false">D3069*F3069</f>
        <v>-0.125</v>
      </c>
      <c r="M3069" s="0" t="n">
        <f aca="false">E3069*F3069</f>
        <v>-0.125</v>
      </c>
      <c r="N3069" s="0" t="n">
        <f aca="false">D3069*D3069</f>
        <v>0.0625</v>
      </c>
      <c r="O3069" s="0" t="n">
        <f aca="false">E3069*E3069</f>
        <v>0.0625</v>
      </c>
      <c r="P3069" s="0" t="n">
        <f aca="false">F3069*F3069</f>
        <v>0.25</v>
      </c>
      <c r="Q3069" s="0" t="n">
        <f aca="false">SUMPRODUCT(G3069:P3069,_XtX!$B$71:$K$71)</f>
        <v>48.3266193181818</v>
      </c>
      <c r="R3069" s="0" t="n">
        <f aca="false">SUMPRODUCT(MMULT(G3069:P3069,_XtX!$B$58:$K$67),G3069:P3069)</f>
        <v>0.141965553977273</v>
      </c>
      <c r="S3069" s="0" t="n">
        <f aca="false">04_回帰ANOVA!$K$19*04_回帰ANOVA!$K$14*SQRT(1+R3069)</f>
        <v>0.993557802198625</v>
      </c>
      <c r="T3069" s="0" t="n">
        <f aca="false">Q3069-S3069</f>
        <v>47.3330615159832</v>
      </c>
      <c r="U3069" s="0" t="n">
        <f aca="false">Q3069+S3069</f>
        <v>49.3201771203805</v>
      </c>
      <c r="V3069" s="54" t="b">
        <f aca="false">AND(D3069&gt;=01_因子設定!$L$5-0.000000001,D3069&lt;=01_因子設定!$M$5+0.000000001,E3069&gt;=01_因子設定!$L$6-0.000000001,E3069&lt;=01_因子設定!$M$6+0.000000001,F3069&gt;=01_因子設定!$L$7-0.000000001,F3069&lt;=01_因子設定!$M$7+0.000000001,IF(01_因子設定!$B$20="Box-Behnken",D3069^2+E3069^2+F3069^2&lt;=2+0.000000001,TRUE()))</f>
        <v>1</v>
      </c>
      <c r="W3069" s="55" t="n">
        <f aca="false">IF(V3069,IF(01_因子設定!$B$13="最大化",T3069-01_因子設定!$B$14,IF(01_因子設定!$B$13="最小化",01_因子設定!$B$15-U3069,MIN(T3069-01_因子設定!$B$14,01_因子設定!$B$15-U3069))),-1E+030)</f>
        <v>-1.16693848401679</v>
      </c>
      <c r="X3069" s="55" t="n">
        <f aca="false">IF(V3069,IF(01_因子設定!$B$13="最大化",Q3069,IF(01_因子設定!$B$13="最小化",-Q3069,-ABS(Q3069-01_因子設定!$B$16))),-1E+030)</f>
        <v>48.3266193181818</v>
      </c>
      <c r="Y3069" s="55" t="n">
        <f aca="false">W3069+ROW()*0.000000001</f>
        <v>-1.16693541501679</v>
      </c>
      <c r="Z3069" s="55" t="n">
        <f aca="false">X3069+ROW()*0.000000001</f>
        <v>48.3266223871818</v>
      </c>
    </row>
    <row r="3070" customFormat="false" ht="15" hidden="false" customHeight="false" outlineLevel="0" collapsed="false">
      <c r="A3070" s="0" t="n">
        <v>10</v>
      </c>
      <c r="B3070" s="0" t="n">
        <v>10</v>
      </c>
      <c r="C3070" s="0" t="n">
        <v>5</v>
      </c>
      <c r="D3070" s="0" t="n">
        <f aca="false">-1+A3070*0.125</f>
        <v>0.25</v>
      </c>
      <c r="E3070" s="0" t="n">
        <f aca="false">-1+B3070*0.125</f>
        <v>0.25</v>
      </c>
      <c r="F3070" s="0" t="n">
        <f aca="false">-1+C3070*0.125</f>
        <v>-0.375</v>
      </c>
      <c r="G3070" s="0" t="n">
        <f aca="false">1</f>
        <v>1</v>
      </c>
      <c r="H3070" s="0" t="n">
        <f aca="false">D3070</f>
        <v>0.25</v>
      </c>
      <c r="I3070" s="0" t="n">
        <f aca="false">E3070</f>
        <v>0.25</v>
      </c>
      <c r="J3070" s="0" t="n">
        <f aca="false">F3070</f>
        <v>-0.375</v>
      </c>
      <c r="K3070" s="0" t="n">
        <f aca="false">D3070*E3070</f>
        <v>0.0625</v>
      </c>
      <c r="L3070" s="0" t="n">
        <f aca="false">D3070*F3070</f>
        <v>-0.09375</v>
      </c>
      <c r="M3070" s="0" t="n">
        <f aca="false">E3070*F3070</f>
        <v>-0.09375</v>
      </c>
      <c r="N3070" s="0" t="n">
        <f aca="false">D3070*D3070</f>
        <v>0.0625</v>
      </c>
      <c r="O3070" s="0" t="n">
        <f aca="false">E3070*E3070</f>
        <v>0.0625</v>
      </c>
      <c r="P3070" s="0" t="n">
        <f aca="false">F3070*F3070</f>
        <v>0.140625</v>
      </c>
      <c r="Q3070" s="0" t="n">
        <f aca="false">SUMPRODUCT(G3070:P3070,_XtX!$B$71:$K$71)</f>
        <v>48.6372585227273</v>
      </c>
      <c r="R3070" s="0" t="n">
        <f aca="false">SUMPRODUCT(MMULT(G3070:P3070,_XtX!$B$58:$K$67),G3070:P3070)</f>
        <v>0.127454723011364</v>
      </c>
      <c r="S3070" s="0" t="n">
        <f aca="false">04_回帰ANOVA!$K$19*04_回帰ANOVA!$K$14*SQRT(1+R3070)</f>
        <v>0.987225105686864</v>
      </c>
      <c r="T3070" s="0" t="n">
        <f aca="false">Q3070-S3070</f>
        <v>47.6500334170404</v>
      </c>
      <c r="U3070" s="0" t="n">
        <f aca="false">Q3070+S3070</f>
        <v>49.6244836284142</v>
      </c>
      <c r="V3070" s="54" t="b">
        <f aca="false">AND(D3070&gt;=01_因子設定!$L$5-0.000000001,D3070&lt;=01_因子設定!$M$5+0.000000001,E3070&gt;=01_因子設定!$L$6-0.000000001,E3070&lt;=01_因子設定!$M$6+0.000000001,F3070&gt;=01_因子設定!$L$7-0.000000001,F3070&lt;=01_因子設定!$M$7+0.000000001,IF(01_因子設定!$B$20="Box-Behnken",D3070^2+E3070^2+F3070^2&lt;=2+0.000000001,TRUE()))</f>
        <v>1</v>
      </c>
      <c r="W3070" s="55" t="n">
        <f aca="false">IF(V3070,IF(01_因子設定!$B$13="最大化",T3070-01_因子設定!$B$14,IF(01_因子設定!$B$13="最小化",01_因子設定!$B$15-U3070,MIN(T3070-01_因子設定!$B$14,01_因子設定!$B$15-U3070))),-1E+030)</f>
        <v>-0.849966582959581</v>
      </c>
      <c r="X3070" s="55" t="n">
        <f aca="false">IF(V3070,IF(01_因子設定!$B$13="最大化",Q3070,IF(01_因子設定!$B$13="最小化",-Q3070,-ABS(Q3070-01_因子設定!$B$16))),-1E+030)</f>
        <v>48.6372585227273</v>
      </c>
      <c r="Y3070" s="55" t="n">
        <f aca="false">W3070+ROW()*0.000000001</f>
        <v>-0.849963512959581</v>
      </c>
      <c r="Z3070" s="55" t="n">
        <f aca="false">X3070+ROW()*0.000000001</f>
        <v>48.6372615927273</v>
      </c>
    </row>
    <row r="3071" customFormat="false" ht="15" hidden="false" customHeight="false" outlineLevel="0" collapsed="false">
      <c r="A3071" s="0" t="n">
        <v>10</v>
      </c>
      <c r="B3071" s="0" t="n">
        <v>10</v>
      </c>
      <c r="C3071" s="0" t="n">
        <v>6</v>
      </c>
      <c r="D3071" s="0" t="n">
        <f aca="false">-1+A3071*0.125</f>
        <v>0.25</v>
      </c>
      <c r="E3071" s="0" t="n">
        <f aca="false">-1+B3071*0.125</f>
        <v>0.25</v>
      </c>
      <c r="F3071" s="0" t="n">
        <f aca="false">-1+C3071*0.125</f>
        <v>-0.25</v>
      </c>
      <c r="G3071" s="0" t="n">
        <f aca="false">1</f>
        <v>1</v>
      </c>
      <c r="H3071" s="0" t="n">
        <f aca="false">D3071</f>
        <v>0.25</v>
      </c>
      <c r="I3071" s="0" t="n">
        <f aca="false">E3071</f>
        <v>0.25</v>
      </c>
      <c r="J3071" s="0" t="n">
        <f aca="false">F3071</f>
        <v>-0.25</v>
      </c>
      <c r="K3071" s="0" t="n">
        <f aca="false">D3071*E3071</f>
        <v>0.0625</v>
      </c>
      <c r="L3071" s="0" t="n">
        <f aca="false">D3071*F3071</f>
        <v>-0.0625</v>
      </c>
      <c r="M3071" s="0" t="n">
        <f aca="false">E3071*F3071</f>
        <v>-0.0625</v>
      </c>
      <c r="N3071" s="0" t="n">
        <f aca="false">D3071*D3071</f>
        <v>0.0625</v>
      </c>
      <c r="O3071" s="0" t="n">
        <f aca="false">E3071*E3071</f>
        <v>0.0625</v>
      </c>
      <c r="P3071" s="0" t="n">
        <f aca="false">F3071*F3071</f>
        <v>0.0625</v>
      </c>
      <c r="Q3071" s="0" t="n">
        <f aca="false">SUMPRODUCT(G3071:P3071,_XtX!$B$71:$K$71)</f>
        <v>48.9111079545455</v>
      </c>
      <c r="R3071" s="0" t="n">
        <f aca="false">SUMPRODUCT(MMULT(G3071:P3071,_XtX!$B$58:$K$67),G3071:P3071)</f>
        <v>0.122416548295455</v>
      </c>
      <c r="S3071" s="0" t="n">
        <f aca="false">04_回帰ANOVA!$K$19*04_回帰ANOVA!$K$14*SQRT(1+R3071)</f>
        <v>0.985016865549609</v>
      </c>
      <c r="T3071" s="0" t="n">
        <f aca="false">Q3071-S3071</f>
        <v>47.9260910889959</v>
      </c>
      <c r="U3071" s="0" t="n">
        <f aca="false">Q3071+S3071</f>
        <v>49.8961248200951</v>
      </c>
      <c r="V3071" s="54" t="b">
        <f aca="false">AND(D3071&gt;=01_因子設定!$L$5-0.000000001,D3071&lt;=01_因子設定!$M$5+0.000000001,E3071&gt;=01_因子設定!$L$6-0.000000001,E3071&lt;=01_因子設定!$M$6+0.000000001,F3071&gt;=01_因子設定!$L$7-0.000000001,F3071&lt;=01_因子設定!$M$7+0.000000001,IF(01_因子設定!$B$20="Box-Behnken",D3071^2+E3071^2+F3071^2&lt;=2+0.000000001,TRUE()))</f>
        <v>1</v>
      </c>
      <c r="W3071" s="55" t="n">
        <f aca="false">IF(V3071,IF(01_因子設定!$B$13="最大化",T3071-01_因子設定!$B$14,IF(01_因子設定!$B$13="最小化",01_因子設定!$B$15-U3071,MIN(T3071-01_因子設定!$B$14,01_因子設定!$B$15-U3071))),-1E+030)</f>
        <v>-0.573908911004146</v>
      </c>
      <c r="X3071" s="55" t="n">
        <f aca="false">IF(V3071,IF(01_因子設定!$B$13="最大化",Q3071,IF(01_因子設定!$B$13="最小化",-Q3071,-ABS(Q3071-01_因子設定!$B$16))),-1E+030)</f>
        <v>48.9111079545455</v>
      </c>
      <c r="Y3071" s="55" t="n">
        <f aca="false">W3071+ROW()*0.000000001</f>
        <v>-0.573905840004146</v>
      </c>
      <c r="Z3071" s="55" t="n">
        <f aca="false">X3071+ROW()*0.000000001</f>
        <v>48.9111110255455</v>
      </c>
    </row>
    <row r="3072" customFormat="false" ht="15" hidden="false" customHeight="false" outlineLevel="0" collapsed="false">
      <c r="A3072" s="0" t="n">
        <v>10</v>
      </c>
      <c r="B3072" s="0" t="n">
        <v>10</v>
      </c>
      <c r="C3072" s="0" t="n">
        <v>7</v>
      </c>
      <c r="D3072" s="0" t="n">
        <f aca="false">-1+A3072*0.125</f>
        <v>0.25</v>
      </c>
      <c r="E3072" s="0" t="n">
        <f aca="false">-1+B3072*0.125</f>
        <v>0.25</v>
      </c>
      <c r="F3072" s="0" t="n">
        <f aca="false">-1+C3072*0.125</f>
        <v>-0.125</v>
      </c>
      <c r="G3072" s="0" t="n">
        <f aca="false">1</f>
        <v>1</v>
      </c>
      <c r="H3072" s="0" t="n">
        <f aca="false">D3072</f>
        <v>0.25</v>
      </c>
      <c r="I3072" s="0" t="n">
        <f aca="false">E3072</f>
        <v>0.25</v>
      </c>
      <c r="J3072" s="0" t="n">
        <f aca="false">F3072</f>
        <v>-0.125</v>
      </c>
      <c r="K3072" s="0" t="n">
        <f aca="false">D3072*E3072</f>
        <v>0.0625</v>
      </c>
      <c r="L3072" s="0" t="n">
        <f aca="false">D3072*F3072</f>
        <v>-0.03125</v>
      </c>
      <c r="M3072" s="0" t="n">
        <f aca="false">E3072*F3072</f>
        <v>-0.03125</v>
      </c>
      <c r="N3072" s="0" t="n">
        <f aca="false">D3072*D3072</f>
        <v>0.0625</v>
      </c>
      <c r="O3072" s="0" t="n">
        <f aca="false">E3072*E3072</f>
        <v>0.0625</v>
      </c>
      <c r="P3072" s="0" t="n">
        <f aca="false">F3072*F3072</f>
        <v>0.015625</v>
      </c>
      <c r="Q3072" s="0" t="n">
        <f aca="false">SUMPRODUCT(G3072:P3072,_XtX!$B$71:$K$71)</f>
        <v>49.1481676136364</v>
      </c>
      <c r="R3072" s="0" t="n">
        <f aca="false">SUMPRODUCT(MMULT(G3072:P3072,_XtX!$B$58:$K$67),G3072:P3072)</f>
        <v>0.121524325284091</v>
      </c>
      <c r="S3072" s="0" t="n">
        <f aca="false">04_回帰ANOVA!$K$19*04_回帰ANOVA!$K$14*SQRT(1+R3072)</f>
        <v>0.984625286577447</v>
      </c>
      <c r="T3072" s="0" t="n">
        <f aca="false">Q3072-S3072</f>
        <v>48.1635423270589</v>
      </c>
      <c r="U3072" s="0" t="n">
        <f aca="false">Q3072+S3072</f>
        <v>50.1327929002138</v>
      </c>
      <c r="V3072" s="54" t="b">
        <f aca="false">AND(D3072&gt;=01_因子設定!$L$5-0.000000001,D3072&lt;=01_因子設定!$M$5+0.000000001,E3072&gt;=01_因子設定!$L$6-0.000000001,E3072&lt;=01_因子設定!$M$6+0.000000001,F3072&gt;=01_因子設定!$L$7-0.000000001,F3072&lt;=01_因子設定!$M$7+0.000000001,IF(01_因子設定!$B$20="Box-Behnken",D3072^2+E3072^2+F3072^2&lt;=2+0.000000001,TRUE()))</f>
        <v>1</v>
      </c>
      <c r="W3072" s="55" t="n">
        <f aca="false">IF(V3072,IF(01_因子設定!$B$13="最大化",T3072-01_因子設定!$B$14,IF(01_因子設定!$B$13="最小化",01_因子設定!$B$15-U3072,MIN(T3072-01_因子設定!$B$14,01_因子設定!$B$15-U3072))),-1E+030)</f>
        <v>-0.336457672941073</v>
      </c>
      <c r="X3072" s="55" t="n">
        <f aca="false">IF(V3072,IF(01_因子設定!$B$13="最大化",Q3072,IF(01_因子設定!$B$13="最小化",-Q3072,-ABS(Q3072-01_因子設定!$B$16))),-1E+030)</f>
        <v>49.1481676136364</v>
      </c>
      <c r="Y3072" s="55" t="n">
        <f aca="false">W3072+ROW()*0.000000001</f>
        <v>-0.336454600941073</v>
      </c>
      <c r="Z3072" s="55" t="n">
        <f aca="false">X3072+ROW()*0.000000001</f>
        <v>49.1481706856364</v>
      </c>
    </row>
    <row r="3073" customFormat="false" ht="15" hidden="false" customHeight="false" outlineLevel="0" collapsed="false">
      <c r="A3073" s="0" t="n">
        <v>10</v>
      </c>
      <c r="B3073" s="0" t="n">
        <v>10</v>
      </c>
      <c r="C3073" s="0" t="n">
        <v>8</v>
      </c>
      <c r="D3073" s="0" t="n">
        <f aca="false">-1+A3073*0.125</f>
        <v>0.25</v>
      </c>
      <c r="E3073" s="0" t="n">
        <f aca="false">-1+B3073*0.125</f>
        <v>0.25</v>
      </c>
      <c r="F3073" s="0" t="n">
        <f aca="false">-1+C3073*0.125</f>
        <v>0</v>
      </c>
      <c r="G3073" s="0" t="n">
        <f aca="false">1</f>
        <v>1</v>
      </c>
      <c r="H3073" s="0" t="n">
        <f aca="false">D3073</f>
        <v>0.25</v>
      </c>
      <c r="I3073" s="0" t="n">
        <f aca="false">E3073</f>
        <v>0.25</v>
      </c>
      <c r="J3073" s="0" t="n">
        <f aca="false">F3073</f>
        <v>0</v>
      </c>
      <c r="K3073" s="0" t="n">
        <f aca="false">D3073*E3073</f>
        <v>0.0625</v>
      </c>
      <c r="L3073" s="0" t="n">
        <f aca="false">D3073*F3073</f>
        <v>0</v>
      </c>
      <c r="M3073" s="0" t="n">
        <f aca="false">E3073*F3073</f>
        <v>0</v>
      </c>
      <c r="N3073" s="0" t="n">
        <f aca="false">D3073*D3073</f>
        <v>0.0625</v>
      </c>
      <c r="O3073" s="0" t="n">
        <f aca="false">E3073*E3073</f>
        <v>0.0625</v>
      </c>
      <c r="P3073" s="0" t="n">
        <f aca="false">F3073*F3073</f>
        <v>0</v>
      </c>
      <c r="Q3073" s="0" t="n">
        <f aca="false">SUMPRODUCT(G3073:P3073,_XtX!$B$71:$K$71)</f>
        <v>49.3484375</v>
      </c>
      <c r="R3073" s="0" t="n">
        <f aca="false">SUMPRODUCT(MMULT(G3073:P3073,_XtX!$B$58:$K$67),G3073:P3073)</f>
        <v>0.12158203125</v>
      </c>
      <c r="S3073" s="0" t="n">
        <f aca="false">04_回帰ANOVA!$K$19*04_回帰ANOVA!$K$14*SQRT(1+R3073)</f>
        <v>0.984650617290782</v>
      </c>
      <c r="T3073" s="0" t="n">
        <f aca="false">Q3073-S3073</f>
        <v>48.3637868827092</v>
      </c>
      <c r="U3073" s="0" t="n">
        <f aca="false">Q3073+S3073</f>
        <v>50.3330881172908</v>
      </c>
      <c r="V3073" s="54" t="b">
        <f aca="false">AND(D3073&gt;=01_因子設定!$L$5-0.000000001,D3073&lt;=01_因子設定!$M$5+0.000000001,E3073&gt;=01_因子設定!$L$6-0.000000001,E3073&lt;=01_因子設定!$M$6+0.000000001,F3073&gt;=01_因子設定!$L$7-0.000000001,F3073&lt;=01_因子設定!$M$7+0.000000001,IF(01_因子設定!$B$20="Box-Behnken",D3073^2+E3073^2+F3073^2&lt;=2+0.000000001,TRUE()))</f>
        <v>1</v>
      </c>
      <c r="W3073" s="55" t="n">
        <f aca="false">IF(V3073,IF(01_因子設定!$B$13="最大化",T3073-01_因子設定!$B$14,IF(01_因子設定!$B$13="最小化",01_因子設定!$B$15-U3073,MIN(T3073-01_因子設定!$B$14,01_因子設定!$B$15-U3073))),-1E+030)</f>
        <v>-0.136213117290772</v>
      </c>
      <c r="X3073" s="55" t="n">
        <f aca="false">IF(V3073,IF(01_因子設定!$B$13="最大化",Q3073,IF(01_因子設定!$B$13="最小化",-Q3073,-ABS(Q3073-01_因子設定!$B$16))),-1E+030)</f>
        <v>49.3484375</v>
      </c>
      <c r="Y3073" s="55" t="n">
        <f aca="false">W3073+ROW()*0.000000001</f>
        <v>-0.136210044290772</v>
      </c>
      <c r="Z3073" s="55" t="n">
        <f aca="false">X3073+ROW()*0.000000001</f>
        <v>49.348440573</v>
      </c>
    </row>
    <row r="3074" customFormat="false" ht="15" hidden="false" customHeight="false" outlineLevel="0" collapsed="false">
      <c r="A3074" s="0" t="n">
        <v>10</v>
      </c>
      <c r="B3074" s="0" t="n">
        <v>10</v>
      </c>
      <c r="C3074" s="0" t="n">
        <v>9</v>
      </c>
      <c r="D3074" s="0" t="n">
        <f aca="false">-1+A3074*0.125</f>
        <v>0.25</v>
      </c>
      <c r="E3074" s="0" t="n">
        <f aca="false">-1+B3074*0.125</f>
        <v>0.25</v>
      </c>
      <c r="F3074" s="0" t="n">
        <f aca="false">-1+C3074*0.125</f>
        <v>0.125</v>
      </c>
      <c r="G3074" s="0" t="n">
        <f aca="false">1</f>
        <v>1</v>
      </c>
      <c r="H3074" s="0" t="n">
        <f aca="false">D3074</f>
        <v>0.25</v>
      </c>
      <c r="I3074" s="0" t="n">
        <f aca="false">E3074</f>
        <v>0.25</v>
      </c>
      <c r="J3074" s="0" t="n">
        <f aca="false">F3074</f>
        <v>0.125</v>
      </c>
      <c r="K3074" s="0" t="n">
        <f aca="false">D3074*E3074</f>
        <v>0.0625</v>
      </c>
      <c r="L3074" s="0" t="n">
        <f aca="false">D3074*F3074</f>
        <v>0.03125</v>
      </c>
      <c r="M3074" s="0" t="n">
        <f aca="false">E3074*F3074</f>
        <v>0.03125</v>
      </c>
      <c r="N3074" s="0" t="n">
        <f aca="false">D3074*D3074</f>
        <v>0.0625</v>
      </c>
      <c r="O3074" s="0" t="n">
        <f aca="false">E3074*E3074</f>
        <v>0.0625</v>
      </c>
      <c r="P3074" s="0" t="n">
        <f aca="false">F3074*F3074</f>
        <v>0.015625</v>
      </c>
      <c r="Q3074" s="0" t="n">
        <f aca="false">SUMPRODUCT(G3074:P3074,_XtX!$B$71:$K$71)</f>
        <v>49.5119176136364</v>
      </c>
      <c r="R3074" s="0" t="n">
        <f aca="false">SUMPRODUCT(MMULT(G3074:P3074,_XtX!$B$58:$K$67),G3074:P3074)</f>
        <v>0.121524325284091</v>
      </c>
      <c r="S3074" s="0" t="n">
        <f aca="false">04_回帰ANOVA!$K$19*04_回帰ANOVA!$K$14*SQRT(1+R3074)</f>
        <v>0.984625286577447</v>
      </c>
      <c r="T3074" s="0" t="n">
        <f aca="false">Q3074-S3074</f>
        <v>48.5272923270589</v>
      </c>
      <c r="U3074" s="0" t="n">
        <f aca="false">Q3074+S3074</f>
        <v>50.4965429002138</v>
      </c>
      <c r="V3074" s="54" t="b">
        <f aca="false">AND(D3074&gt;=01_因子設定!$L$5-0.000000001,D3074&lt;=01_因子設定!$M$5+0.000000001,E3074&gt;=01_因子設定!$L$6-0.000000001,E3074&lt;=01_因子設定!$M$6+0.000000001,F3074&gt;=01_因子設定!$L$7-0.000000001,F3074&lt;=01_因子設定!$M$7+0.000000001,IF(01_因子設定!$B$20="Box-Behnken",D3074^2+E3074^2+F3074^2&lt;=2+0.000000001,TRUE()))</f>
        <v>1</v>
      </c>
      <c r="W3074" s="55" t="n">
        <f aca="false">IF(V3074,IF(01_因子設定!$B$13="最大化",T3074-01_因子設定!$B$14,IF(01_因子設定!$B$13="最小化",01_因子設定!$B$15-U3074,MIN(T3074-01_因子設定!$B$14,01_因子設定!$B$15-U3074))),-1E+030)</f>
        <v>0.0272923270589232</v>
      </c>
      <c r="X3074" s="55" t="n">
        <f aca="false">IF(V3074,IF(01_因子設定!$B$13="最大化",Q3074,IF(01_因子設定!$B$13="最小化",-Q3074,-ABS(Q3074-01_因子設定!$B$16))),-1E+030)</f>
        <v>49.5119176136364</v>
      </c>
      <c r="Y3074" s="55" t="n">
        <f aca="false">W3074+ROW()*0.000000001</f>
        <v>0.0272954010589231</v>
      </c>
      <c r="Z3074" s="55" t="n">
        <f aca="false">X3074+ROW()*0.000000001</f>
        <v>49.5119206876364</v>
      </c>
    </row>
    <row r="3075" customFormat="false" ht="15" hidden="false" customHeight="false" outlineLevel="0" collapsed="false">
      <c r="A3075" s="0" t="n">
        <v>10</v>
      </c>
      <c r="B3075" s="0" t="n">
        <v>10</v>
      </c>
      <c r="C3075" s="0" t="n">
        <v>10</v>
      </c>
      <c r="D3075" s="0" t="n">
        <f aca="false">-1+A3075*0.125</f>
        <v>0.25</v>
      </c>
      <c r="E3075" s="0" t="n">
        <f aca="false">-1+B3075*0.125</f>
        <v>0.25</v>
      </c>
      <c r="F3075" s="0" t="n">
        <f aca="false">-1+C3075*0.125</f>
        <v>0.25</v>
      </c>
      <c r="G3075" s="0" t="n">
        <f aca="false">1</f>
        <v>1</v>
      </c>
      <c r="H3075" s="0" t="n">
        <f aca="false">D3075</f>
        <v>0.25</v>
      </c>
      <c r="I3075" s="0" t="n">
        <f aca="false">E3075</f>
        <v>0.25</v>
      </c>
      <c r="J3075" s="0" t="n">
        <f aca="false">F3075</f>
        <v>0.25</v>
      </c>
      <c r="K3075" s="0" t="n">
        <f aca="false">D3075*E3075</f>
        <v>0.0625</v>
      </c>
      <c r="L3075" s="0" t="n">
        <f aca="false">D3075*F3075</f>
        <v>0.0625</v>
      </c>
      <c r="M3075" s="0" t="n">
        <f aca="false">E3075*F3075</f>
        <v>0.0625</v>
      </c>
      <c r="N3075" s="0" t="n">
        <f aca="false">D3075*D3075</f>
        <v>0.0625</v>
      </c>
      <c r="O3075" s="0" t="n">
        <f aca="false">E3075*E3075</f>
        <v>0.0625</v>
      </c>
      <c r="P3075" s="0" t="n">
        <f aca="false">F3075*F3075</f>
        <v>0.0625</v>
      </c>
      <c r="Q3075" s="0" t="n">
        <f aca="false">SUMPRODUCT(G3075:P3075,_XtX!$B$71:$K$71)</f>
        <v>49.6386079545455</v>
      </c>
      <c r="R3075" s="0" t="n">
        <f aca="false">SUMPRODUCT(MMULT(G3075:P3075,_XtX!$B$58:$K$67),G3075:P3075)</f>
        <v>0.122416548295455</v>
      </c>
      <c r="S3075" s="0" t="n">
        <f aca="false">04_回帰ANOVA!$K$19*04_回帰ANOVA!$K$14*SQRT(1+R3075)</f>
        <v>0.985016865549609</v>
      </c>
      <c r="T3075" s="0" t="n">
        <f aca="false">Q3075-S3075</f>
        <v>48.6535910889959</v>
      </c>
      <c r="U3075" s="0" t="n">
        <f aca="false">Q3075+S3075</f>
        <v>50.6236248200951</v>
      </c>
      <c r="V3075" s="54" t="b">
        <f aca="false">AND(D3075&gt;=01_因子設定!$L$5-0.000000001,D3075&lt;=01_因子設定!$M$5+0.000000001,E3075&gt;=01_因子設定!$L$6-0.000000001,E3075&lt;=01_因子設定!$M$6+0.000000001,F3075&gt;=01_因子設定!$L$7-0.000000001,F3075&lt;=01_因子設定!$M$7+0.000000001,IF(01_因子設定!$B$20="Box-Behnken",D3075^2+E3075^2+F3075^2&lt;=2+0.000000001,TRUE()))</f>
        <v>1</v>
      </c>
      <c r="W3075" s="55" t="n">
        <f aca="false">IF(V3075,IF(01_因子設定!$B$13="最大化",T3075-01_因子設定!$B$14,IF(01_因子設定!$B$13="最小化",01_因子設定!$B$15-U3075,MIN(T3075-01_因子設定!$B$14,01_因子設定!$B$15-U3075))),-1E+030)</f>
        <v>0.153591088995853</v>
      </c>
      <c r="X3075" s="55" t="n">
        <f aca="false">IF(V3075,IF(01_因子設定!$B$13="最大化",Q3075,IF(01_因子設定!$B$13="最小化",-Q3075,-ABS(Q3075-01_因子設定!$B$16))),-1E+030)</f>
        <v>49.6386079545455</v>
      </c>
      <c r="Y3075" s="55" t="n">
        <f aca="false">W3075+ROW()*0.000000001</f>
        <v>0.153594163995853</v>
      </c>
      <c r="Z3075" s="55" t="n">
        <f aca="false">X3075+ROW()*0.000000001</f>
        <v>49.6386110295455</v>
      </c>
    </row>
    <row r="3076" customFormat="false" ht="15" hidden="false" customHeight="false" outlineLevel="0" collapsed="false">
      <c r="A3076" s="0" t="n">
        <v>10</v>
      </c>
      <c r="B3076" s="0" t="n">
        <v>10</v>
      </c>
      <c r="C3076" s="0" t="n">
        <v>11</v>
      </c>
      <c r="D3076" s="0" t="n">
        <f aca="false">-1+A3076*0.125</f>
        <v>0.25</v>
      </c>
      <c r="E3076" s="0" t="n">
        <f aca="false">-1+B3076*0.125</f>
        <v>0.25</v>
      </c>
      <c r="F3076" s="0" t="n">
        <f aca="false">-1+C3076*0.125</f>
        <v>0.375</v>
      </c>
      <c r="G3076" s="0" t="n">
        <f aca="false">1</f>
        <v>1</v>
      </c>
      <c r="H3076" s="0" t="n">
        <f aca="false">D3076</f>
        <v>0.25</v>
      </c>
      <c r="I3076" s="0" t="n">
        <f aca="false">E3076</f>
        <v>0.25</v>
      </c>
      <c r="J3076" s="0" t="n">
        <f aca="false">F3076</f>
        <v>0.375</v>
      </c>
      <c r="K3076" s="0" t="n">
        <f aca="false">D3076*E3076</f>
        <v>0.0625</v>
      </c>
      <c r="L3076" s="0" t="n">
        <f aca="false">D3076*F3076</f>
        <v>0.09375</v>
      </c>
      <c r="M3076" s="0" t="n">
        <f aca="false">E3076*F3076</f>
        <v>0.09375</v>
      </c>
      <c r="N3076" s="0" t="n">
        <f aca="false">D3076*D3076</f>
        <v>0.0625</v>
      </c>
      <c r="O3076" s="0" t="n">
        <f aca="false">E3076*E3076</f>
        <v>0.0625</v>
      </c>
      <c r="P3076" s="0" t="n">
        <f aca="false">F3076*F3076</f>
        <v>0.140625</v>
      </c>
      <c r="Q3076" s="0" t="n">
        <f aca="false">SUMPRODUCT(G3076:P3076,_XtX!$B$71:$K$71)</f>
        <v>49.7285085227273</v>
      </c>
      <c r="R3076" s="0" t="n">
        <f aca="false">SUMPRODUCT(MMULT(G3076:P3076,_XtX!$B$58:$K$67),G3076:P3076)</f>
        <v>0.127454723011364</v>
      </c>
      <c r="S3076" s="0" t="n">
        <f aca="false">04_回帰ANOVA!$K$19*04_回帰ANOVA!$K$14*SQRT(1+R3076)</f>
        <v>0.987225105686864</v>
      </c>
      <c r="T3076" s="0" t="n">
        <f aca="false">Q3076-S3076</f>
        <v>48.7412834170404</v>
      </c>
      <c r="U3076" s="0" t="n">
        <f aca="false">Q3076+S3076</f>
        <v>50.7157336284142</v>
      </c>
      <c r="V3076" s="54" t="b">
        <f aca="false">AND(D3076&gt;=01_因子設定!$L$5-0.000000001,D3076&lt;=01_因子設定!$M$5+0.000000001,E3076&gt;=01_因子設定!$L$6-0.000000001,E3076&lt;=01_因子設定!$M$6+0.000000001,F3076&gt;=01_因子設定!$L$7-0.000000001,F3076&lt;=01_因子設定!$M$7+0.000000001,IF(01_因子設定!$B$20="Box-Behnken",D3076^2+E3076^2+F3076^2&lt;=2+0.000000001,TRUE()))</f>
        <v>1</v>
      </c>
      <c r="W3076" s="55" t="n">
        <f aca="false">IF(V3076,IF(01_因子設定!$B$13="最大化",T3076-01_因子設定!$B$14,IF(01_因子設定!$B$13="最小化",01_因子設定!$B$15-U3076,MIN(T3076-01_因子設定!$B$14,01_因子設定!$B$15-U3076))),-1E+030)</f>
        <v>0.241283417040414</v>
      </c>
      <c r="X3076" s="55" t="n">
        <f aca="false">IF(V3076,IF(01_因子設定!$B$13="最大化",Q3076,IF(01_因子設定!$B$13="最小化",-Q3076,-ABS(Q3076-01_因子設定!$B$16))),-1E+030)</f>
        <v>49.7285085227273</v>
      </c>
      <c r="Y3076" s="55" t="n">
        <f aca="false">W3076+ROW()*0.000000001</f>
        <v>0.241286493040414</v>
      </c>
      <c r="Z3076" s="55" t="n">
        <f aca="false">X3076+ROW()*0.000000001</f>
        <v>49.7285115987273</v>
      </c>
    </row>
    <row r="3077" customFormat="false" ht="15" hidden="false" customHeight="false" outlineLevel="0" collapsed="false">
      <c r="A3077" s="0" t="n">
        <v>10</v>
      </c>
      <c r="B3077" s="0" t="n">
        <v>10</v>
      </c>
      <c r="C3077" s="0" t="n">
        <v>12</v>
      </c>
      <c r="D3077" s="0" t="n">
        <f aca="false">-1+A3077*0.125</f>
        <v>0.25</v>
      </c>
      <c r="E3077" s="0" t="n">
        <f aca="false">-1+B3077*0.125</f>
        <v>0.25</v>
      </c>
      <c r="F3077" s="0" t="n">
        <f aca="false">-1+C3077*0.125</f>
        <v>0.5</v>
      </c>
      <c r="G3077" s="0" t="n">
        <f aca="false">1</f>
        <v>1</v>
      </c>
      <c r="H3077" s="0" t="n">
        <f aca="false">D3077</f>
        <v>0.25</v>
      </c>
      <c r="I3077" s="0" t="n">
        <f aca="false">E3077</f>
        <v>0.25</v>
      </c>
      <c r="J3077" s="0" t="n">
        <f aca="false">F3077</f>
        <v>0.5</v>
      </c>
      <c r="K3077" s="0" t="n">
        <f aca="false">D3077*E3077</f>
        <v>0.0625</v>
      </c>
      <c r="L3077" s="0" t="n">
        <f aca="false">D3077*F3077</f>
        <v>0.125</v>
      </c>
      <c r="M3077" s="0" t="n">
        <f aca="false">E3077*F3077</f>
        <v>0.125</v>
      </c>
      <c r="N3077" s="0" t="n">
        <f aca="false">D3077*D3077</f>
        <v>0.0625</v>
      </c>
      <c r="O3077" s="0" t="n">
        <f aca="false">E3077*E3077</f>
        <v>0.0625</v>
      </c>
      <c r="P3077" s="0" t="n">
        <f aca="false">F3077*F3077</f>
        <v>0.25</v>
      </c>
      <c r="Q3077" s="0" t="n">
        <f aca="false">SUMPRODUCT(G3077:P3077,_XtX!$B$71:$K$71)</f>
        <v>49.7816193181818</v>
      </c>
      <c r="R3077" s="0" t="n">
        <f aca="false">SUMPRODUCT(MMULT(G3077:P3077,_XtX!$B$58:$K$67),G3077:P3077)</f>
        <v>0.141965553977273</v>
      </c>
      <c r="S3077" s="0" t="n">
        <f aca="false">04_回帰ANOVA!$K$19*04_回帰ANOVA!$K$14*SQRT(1+R3077)</f>
        <v>0.993557802198625</v>
      </c>
      <c r="T3077" s="0" t="n">
        <f aca="false">Q3077-S3077</f>
        <v>48.7880615159832</v>
      </c>
      <c r="U3077" s="0" t="n">
        <f aca="false">Q3077+S3077</f>
        <v>50.7751771203805</v>
      </c>
      <c r="V3077" s="54" t="b">
        <f aca="false">AND(D3077&gt;=01_因子設定!$L$5-0.000000001,D3077&lt;=01_因子設定!$M$5+0.000000001,E3077&gt;=01_因子設定!$L$6-0.000000001,E3077&lt;=01_因子設定!$M$6+0.000000001,F3077&gt;=01_因子設定!$L$7-0.000000001,F3077&lt;=01_因子設定!$M$7+0.000000001,IF(01_因子設定!$B$20="Box-Behnken",D3077^2+E3077^2+F3077^2&lt;=2+0.000000001,TRUE()))</f>
        <v>1</v>
      </c>
      <c r="W3077" s="55" t="n">
        <f aca="false">IF(V3077,IF(01_因子設定!$B$13="最大化",T3077-01_因子設定!$B$14,IF(01_因子設定!$B$13="最小化",01_因子設定!$B$15-U3077,MIN(T3077-01_因子設定!$B$14,01_因子設定!$B$15-U3077))),-1E+030)</f>
        <v>0.288061515983209</v>
      </c>
      <c r="X3077" s="55" t="n">
        <f aca="false">IF(V3077,IF(01_因子設定!$B$13="最大化",Q3077,IF(01_因子設定!$B$13="最小化",-Q3077,-ABS(Q3077-01_因子設定!$B$16))),-1E+030)</f>
        <v>49.7816193181818</v>
      </c>
      <c r="Y3077" s="55" t="n">
        <f aca="false">W3077+ROW()*0.000000001</f>
        <v>0.288064592983209</v>
      </c>
      <c r="Z3077" s="55" t="n">
        <f aca="false">X3077+ROW()*0.000000001</f>
        <v>49.7816223951818</v>
      </c>
    </row>
    <row r="3078" customFormat="false" ht="15" hidden="false" customHeight="false" outlineLevel="0" collapsed="false">
      <c r="A3078" s="0" t="n">
        <v>10</v>
      </c>
      <c r="B3078" s="0" t="n">
        <v>10</v>
      </c>
      <c r="C3078" s="0" t="n">
        <v>13</v>
      </c>
      <c r="D3078" s="0" t="n">
        <f aca="false">-1+A3078*0.125</f>
        <v>0.25</v>
      </c>
      <c r="E3078" s="0" t="n">
        <f aca="false">-1+B3078*0.125</f>
        <v>0.25</v>
      </c>
      <c r="F3078" s="0" t="n">
        <f aca="false">-1+C3078*0.125</f>
        <v>0.625</v>
      </c>
      <c r="G3078" s="0" t="n">
        <f aca="false">1</f>
        <v>1</v>
      </c>
      <c r="H3078" s="0" t="n">
        <f aca="false">D3078</f>
        <v>0.25</v>
      </c>
      <c r="I3078" s="0" t="n">
        <f aca="false">E3078</f>
        <v>0.25</v>
      </c>
      <c r="J3078" s="0" t="n">
        <f aca="false">F3078</f>
        <v>0.625</v>
      </c>
      <c r="K3078" s="0" t="n">
        <f aca="false">D3078*E3078</f>
        <v>0.0625</v>
      </c>
      <c r="L3078" s="0" t="n">
        <f aca="false">D3078*F3078</f>
        <v>0.15625</v>
      </c>
      <c r="M3078" s="0" t="n">
        <f aca="false">E3078*F3078</f>
        <v>0.15625</v>
      </c>
      <c r="N3078" s="0" t="n">
        <f aca="false">D3078*D3078</f>
        <v>0.0625</v>
      </c>
      <c r="O3078" s="0" t="n">
        <f aca="false">E3078*E3078</f>
        <v>0.0625</v>
      </c>
      <c r="P3078" s="0" t="n">
        <f aca="false">F3078*F3078</f>
        <v>0.390625</v>
      </c>
      <c r="Q3078" s="0" t="n">
        <f aca="false">SUMPRODUCT(G3078:P3078,_XtX!$B$71:$K$71)</f>
        <v>49.7979403409091</v>
      </c>
      <c r="R3078" s="0" t="n">
        <f aca="false">SUMPRODUCT(MMULT(G3078:P3078,_XtX!$B$58:$K$67),G3078:P3078)</f>
        <v>0.173406427556818</v>
      </c>
      <c r="S3078" s="0" t="n">
        <f aca="false">04_回帰ANOVA!$K$19*04_回帰ANOVA!$K$14*SQRT(1+R3078)</f>
        <v>1.00714237128059</v>
      </c>
      <c r="T3078" s="0" t="n">
        <f aca="false">Q3078-S3078</f>
        <v>48.7907979696285</v>
      </c>
      <c r="U3078" s="0" t="n">
        <f aca="false">Q3078+S3078</f>
        <v>50.8050827121897</v>
      </c>
      <c r="V3078" s="54" t="b">
        <f aca="false">AND(D3078&gt;=01_因子設定!$L$5-0.000000001,D3078&lt;=01_因子設定!$M$5+0.000000001,E3078&gt;=01_因子設定!$L$6-0.000000001,E3078&lt;=01_因子設定!$M$6+0.000000001,F3078&gt;=01_因子設定!$L$7-0.000000001,F3078&lt;=01_因子設定!$M$7+0.000000001,IF(01_因子設定!$B$20="Box-Behnken",D3078^2+E3078^2+F3078^2&lt;=2+0.000000001,TRUE()))</f>
        <v>1</v>
      </c>
      <c r="W3078" s="55" t="n">
        <f aca="false">IF(V3078,IF(01_因子設定!$B$13="最大化",T3078-01_因子設定!$B$14,IF(01_因子設定!$B$13="最小化",01_因子設定!$B$15-U3078,MIN(T3078-01_因子設定!$B$14,01_因子設定!$B$15-U3078))),-1E+030)</f>
        <v>0.290797969628514</v>
      </c>
      <c r="X3078" s="55" t="n">
        <f aca="false">IF(V3078,IF(01_因子設定!$B$13="最大化",Q3078,IF(01_因子設定!$B$13="最小化",-Q3078,-ABS(Q3078-01_因子設定!$B$16))),-1E+030)</f>
        <v>49.7979403409091</v>
      </c>
      <c r="Y3078" s="55" t="n">
        <f aca="false">W3078+ROW()*0.000000001</f>
        <v>0.290801047628514</v>
      </c>
      <c r="Z3078" s="55" t="n">
        <f aca="false">X3078+ROW()*0.000000001</f>
        <v>49.7979434189091</v>
      </c>
    </row>
    <row r="3079" customFormat="false" ht="15" hidden="false" customHeight="false" outlineLevel="0" collapsed="false">
      <c r="A3079" s="0" t="n">
        <v>10</v>
      </c>
      <c r="B3079" s="0" t="n">
        <v>10</v>
      </c>
      <c r="C3079" s="0" t="n">
        <v>14</v>
      </c>
      <c r="D3079" s="0" t="n">
        <f aca="false">-1+A3079*0.125</f>
        <v>0.25</v>
      </c>
      <c r="E3079" s="0" t="n">
        <f aca="false">-1+B3079*0.125</f>
        <v>0.25</v>
      </c>
      <c r="F3079" s="0" t="n">
        <f aca="false">-1+C3079*0.125</f>
        <v>0.75</v>
      </c>
      <c r="G3079" s="0" t="n">
        <f aca="false">1</f>
        <v>1</v>
      </c>
      <c r="H3079" s="0" t="n">
        <f aca="false">D3079</f>
        <v>0.25</v>
      </c>
      <c r="I3079" s="0" t="n">
        <f aca="false">E3079</f>
        <v>0.25</v>
      </c>
      <c r="J3079" s="0" t="n">
        <f aca="false">F3079</f>
        <v>0.75</v>
      </c>
      <c r="K3079" s="0" t="n">
        <f aca="false">D3079*E3079</f>
        <v>0.0625</v>
      </c>
      <c r="L3079" s="0" t="n">
        <f aca="false">D3079*F3079</f>
        <v>0.1875</v>
      </c>
      <c r="M3079" s="0" t="n">
        <f aca="false">E3079*F3079</f>
        <v>0.1875</v>
      </c>
      <c r="N3079" s="0" t="n">
        <f aca="false">D3079*D3079</f>
        <v>0.0625</v>
      </c>
      <c r="O3079" s="0" t="n">
        <f aca="false">E3079*E3079</f>
        <v>0.0625</v>
      </c>
      <c r="P3079" s="0" t="n">
        <f aca="false">F3079*F3079</f>
        <v>0.5625</v>
      </c>
      <c r="Q3079" s="0" t="n">
        <f aca="false">SUMPRODUCT(G3079:P3079,_XtX!$B$71:$K$71)</f>
        <v>49.7774715909091</v>
      </c>
      <c r="R3079" s="0" t="n">
        <f aca="false">SUMPRODUCT(MMULT(G3079:P3079,_XtX!$B$58:$K$67),G3079:P3079)</f>
        <v>0.231365411931818</v>
      </c>
      <c r="S3079" s="0" t="n">
        <f aca="false">04_回帰ANOVA!$K$19*04_回帰ANOVA!$K$14*SQRT(1+R3079)</f>
        <v>1.03171587072803</v>
      </c>
      <c r="T3079" s="0" t="n">
        <f aca="false">Q3079-S3079</f>
        <v>48.7457557201811</v>
      </c>
      <c r="U3079" s="0" t="n">
        <f aca="false">Q3079+S3079</f>
        <v>50.8091874616371</v>
      </c>
      <c r="V3079" s="54" t="b">
        <f aca="false">AND(D3079&gt;=01_因子設定!$L$5-0.000000001,D3079&lt;=01_因子設定!$M$5+0.000000001,E3079&gt;=01_因子設定!$L$6-0.000000001,E3079&lt;=01_因子設定!$M$6+0.000000001,F3079&gt;=01_因子設定!$L$7-0.000000001,F3079&lt;=01_因子設定!$M$7+0.000000001,IF(01_因子設定!$B$20="Box-Behnken",D3079^2+E3079^2+F3079^2&lt;=2+0.000000001,TRUE()))</f>
        <v>1</v>
      </c>
      <c r="W3079" s="55" t="n">
        <f aca="false">IF(V3079,IF(01_因子設定!$B$13="最大化",T3079-01_因子設定!$B$14,IF(01_因子設定!$B$13="最小化",01_因子設定!$B$15-U3079,MIN(T3079-01_因子設定!$B$14,01_因子設定!$B$15-U3079))),-1E+030)</f>
        <v>0.24575572018108</v>
      </c>
      <c r="X3079" s="55" t="n">
        <f aca="false">IF(V3079,IF(01_因子設定!$B$13="最大化",Q3079,IF(01_因子設定!$B$13="最小化",-Q3079,-ABS(Q3079-01_因子設定!$B$16))),-1E+030)</f>
        <v>49.7774715909091</v>
      </c>
      <c r="Y3079" s="55" t="n">
        <f aca="false">W3079+ROW()*0.000000001</f>
        <v>0.24575879918108</v>
      </c>
      <c r="Z3079" s="55" t="n">
        <f aca="false">X3079+ROW()*0.000000001</f>
        <v>49.7774746699091</v>
      </c>
    </row>
    <row r="3080" customFormat="false" ht="15" hidden="false" customHeight="false" outlineLevel="0" collapsed="false">
      <c r="A3080" s="0" t="n">
        <v>10</v>
      </c>
      <c r="B3080" s="0" t="n">
        <v>10</v>
      </c>
      <c r="C3080" s="0" t="n">
        <v>15</v>
      </c>
      <c r="D3080" s="0" t="n">
        <f aca="false">-1+A3080*0.125</f>
        <v>0.25</v>
      </c>
      <c r="E3080" s="0" t="n">
        <f aca="false">-1+B3080*0.125</f>
        <v>0.25</v>
      </c>
      <c r="F3080" s="0" t="n">
        <f aca="false">-1+C3080*0.125</f>
        <v>0.875</v>
      </c>
      <c r="G3080" s="0" t="n">
        <f aca="false">1</f>
        <v>1</v>
      </c>
      <c r="H3080" s="0" t="n">
        <f aca="false">D3080</f>
        <v>0.25</v>
      </c>
      <c r="I3080" s="0" t="n">
        <f aca="false">E3080</f>
        <v>0.25</v>
      </c>
      <c r="J3080" s="0" t="n">
        <f aca="false">F3080</f>
        <v>0.875</v>
      </c>
      <c r="K3080" s="0" t="n">
        <f aca="false">D3080*E3080</f>
        <v>0.0625</v>
      </c>
      <c r="L3080" s="0" t="n">
        <f aca="false">D3080*F3080</f>
        <v>0.21875</v>
      </c>
      <c r="M3080" s="0" t="n">
        <f aca="false">E3080*F3080</f>
        <v>0.21875</v>
      </c>
      <c r="N3080" s="0" t="n">
        <f aca="false">D3080*D3080</f>
        <v>0.0625</v>
      </c>
      <c r="O3080" s="0" t="n">
        <f aca="false">E3080*E3080</f>
        <v>0.0625</v>
      </c>
      <c r="P3080" s="0" t="n">
        <f aca="false">F3080*F3080</f>
        <v>0.765625</v>
      </c>
      <c r="Q3080" s="0" t="n">
        <f aca="false">SUMPRODUCT(G3080:P3080,_XtX!$B$71:$K$71)</f>
        <v>49.7202130681818</v>
      </c>
      <c r="R3080" s="0" t="n">
        <f aca="false">SUMPRODUCT(MMULT(G3080:P3080,_XtX!$B$58:$K$67),G3080:P3080)</f>
        <v>0.327561257102273</v>
      </c>
      <c r="S3080" s="0" t="n">
        <f aca="false">04_回帰ANOVA!$K$19*04_回帰ANOVA!$K$14*SQRT(1+R3080)</f>
        <v>1.07125761201315</v>
      </c>
      <c r="T3080" s="0" t="n">
        <f aca="false">Q3080-S3080</f>
        <v>48.6489554561687</v>
      </c>
      <c r="U3080" s="0" t="n">
        <f aca="false">Q3080+S3080</f>
        <v>50.791470680195</v>
      </c>
      <c r="V3080" s="54" t="b">
        <f aca="false">AND(D3080&gt;=01_因子設定!$L$5-0.000000001,D3080&lt;=01_因子設定!$M$5+0.000000001,E3080&gt;=01_因子設定!$L$6-0.000000001,E3080&lt;=01_因子設定!$M$6+0.000000001,F3080&gt;=01_因子設定!$L$7-0.000000001,F3080&lt;=01_因子設定!$M$7+0.000000001,IF(01_因子設定!$B$20="Box-Behnken",D3080^2+E3080^2+F3080^2&lt;=2+0.000000001,TRUE()))</f>
        <v>1</v>
      </c>
      <c r="W3080" s="55" t="n">
        <f aca="false">IF(V3080,IF(01_因子設定!$B$13="最大化",T3080-01_因子設定!$B$14,IF(01_因子設定!$B$13="最小化",01_因子設定!$B$15-U3080,MIN(T3080-01_因子設定!$B$14,01_因子設定!$B$15-U3080))),-1E+030)</f>
        <v>0.148955456168693</v>
      </c>
      <c r="X3080" s="55" t="n">
        <f aca="false">IF(V3080,IF(01_因子設定!$B$13="最大化",Q3080,IF(01_因子設定!$B$13="最小化",-Q3080,-ABS(Q3080-01_因子設定!$B$16))),-1E+030)</f>
        <v>49.7202130681818</v>
      </c>
      <c r="Y3080" s="55" t="n">
        <f aca="false">W3080+ROW()*0.000000001</f>
        <v>0.148958536168693</v>
      </c>
      <c r="Z3080" s="55" t="n">
        <f aca="false">X3080+ROW()*0.000000001</f>
        <v>49.7202161481818</v>
      </c>
    </row>
    <row r="3081" customFormat="false" ht="15" hidden="false" customHeight="false" outlineLevel="0" collapsed="false">
      <c r="A3081" s="0" t="n">
        <v>10</v>
      </c>
      <c r="B3081" s="0" t="n">
        <v>10</v>
      </c>
      <c r="C3081" s="0" t="n">
        <v>16</v>
      </c>
      <c r="D3081" s="0" t="n">
        <f aca="false">-1+A3081*0.125</f>
        <v>0.25</v>
      </c>
      <c r="E3081" s="0" t="n">
        <f aca="false">-1+B3081*0.125</f>
        <v>0.25</v>
      </c>
      <c r="F3081" s="0" t="n">
        <f aca="false">-1+C3081*0.125</f>
        <v>1</v>
      </c>
      <c r="G3081" s="0" t="n">
        <f aca="false">1</f>
        <v>1</v>
      </c>
      <c r="H3081" s="0" t="n">
        <f aca="false">D3081</f>
        <v>0.25</v>
      </c>
      <c r="I3081" s="0" t="n">
        <f aca="false">E3081</f>
        <v>0.25</v>
      </c>
      <c r="J3081" s="0" t="n">
        <f aca="false">F3081</f>
        <v>1</v>
      </c>
      <c r="K3081" s="0" t="n">
        <f aca="false">D3081*E3081</f>
        <v>0.0625</v>
      </c>
      <c r="L3081" s="0" t="n">
        <f aca="false">D3081*F3081</f>
        <v>0.25</v>
      </c>
      <c r="M3081" s="0" t="n">
        <f aca="false">E3081*F3081</f>
        <v>0.25</v>
      </c>
      <c r="N3081" s="0" t="n">
        <f aca="false">D3081*D3081</f>
        <v>0.0625</v>
      </c>
      <c r="O3081" s="0" t="n">
        <f aca="false">E3081*E3081</f>
        <v>0.0625</v>
      </c>
      <c r="P3081" s="0" t="n">
        <f aca="false">F3081*F3081</f>
        <v>1</v>
      </c>
      <c r="Q3081" s="0" t="n">
        <f aca="false">SUMPRODUCT(G3081:P3081,_XtX!$B$71:$K$71)</f>
        <v>49.6261647727273</v>
      </c>
      <c r="R3081" s="0" t="n">
        <f aca="false">SUMPRODUCT(MMULT(G3081:P3081,_XtX!$B$58:$K$67),G3081:P3081)</f>
        <v>0.475843394886364</v>
      </c>
      <c r="S3081" s="0" t="n">
        <f aca="false">04_回帰ANOVA!$K$19*04_回帰ANOVA!$K$14*SQRT(1+R3081)</f>
        <v>1.12950140123694</v>
      </c>
      <c r="T3081" s="0" t="n">
        <f aca="false">Q3081-S3081</f>
        <v>48.4966633714904</v>
      </c>
      <c r="U3081" s="0" t="n">
        <f aca="false">Q3081+S3081</f>
        <v>50.7556661739642</v>
      </c>
      <c r="V3081" s="54" t="b">
        <f aca="false">AND(D3081&gt;=01_因子設定!$L$5-0.000000001,D3081&lt;=01_因子設定!$M$5+0.000000001,E3081&gt;=01_因子設定!$L$6-0.000000001,E3081&lt;=01_因子設定!$M$6+0.000000001,F3081&gt;=01_因子設定!$L$7-0.000000001,F3081&lt;=01_因子設定!$M$7+0.000000001,IF(01_因子設定!$B$20="Box-Behnken",D3081^2+E3081^2+F3081^2&lt;=2+0.000000001,TRUE()))</f>
        <v>1</v>
      </c>
      <c r="W3081" s="55" t="n">
        <f aca="false">IF(V3081,IF(01_因子設定!$B$13="最大化",T3081-01_因子設定!$B$14,IF(01_因子設定!$B$13="最小化",01_因子設定!$B$15-U3081,MIN(T3081-01_因子設定!$B$14,01_因子設定!$B$15-U3081))),-1E+030)</f>
        <v>-0.00333662850963634</v>
      </c>
      <c r="X3081" s="55" t="n">
        <f aca="false">IF(V3081,IF(01_因子設定!$B$13="最大化",Q3081,IF(01_因子設定!$B$13="最小化",-Q3081,-ABS(Q3081-01_因子設定!$B$16))),-1E+030)</f>
        <v>49.6261647727273</v>
      </c>
      <c r="Y3081" s="55" t="n">
        <f aca="false">W3081+ROW()*0.000000001</f>
        <v>-0.00333354750963634</v>
      </c>
      <c r="Z3081" s="55" t="n">
        <f aca="false">X3081+ROW()*0.000000001</f>
        <v>49.6261678537273</v>
      </c>
    </row>
    <row r="3082" customFormat="false" ht="15" hidden="false" customHeight="false" outlineLevel="0" collapsed="false">
      <c r="A3082" s="0" t="n">
        <v>10</v>
      </c>
      <c r="B3082" s="0" t="n">
        <v>11</v>
      </c>
      <c r="C3082" s="0" t="n">
        <v>0</v>
      </c>
      <c r="D3082" s="0" t="n">
        <f aca="false">-1+A3082*0.125</f>
        <v>0.25</v>
      </c>
      <c r="E3082" s="0" t="n">
        <f aca="false">-1+B3082*0.125</f>
        <v>0.375</v>
      </c>
      <c r="F3082" s="0" t="n">
        <f aca="false">-1+C3082*0.125</f>
        <v>-1</v>
      </c>
      <c r="G3082" s="0" t="n">
        <f aca="false">1</f>
        <v>1</v>
      </c>
      <c r="H3082" s="0" t="n">
        <f aca="false">D3082</f>
        <v>0.25</v>
      </c>
      <c r="I3082" s="0" t="n">
        <f aca="false">E3082</f>
        <v>0.375</v>
      </c>
      <c r="J3082" s="0" t="n">
        <f aca="false">F3082</f>
        <v>-1</v>
      </c>
      <c r="K3082" s="0" t="n">
        <f aca="false">D3082*E3082</f>
        <v>0.09375</v>
      </c>
      <c r="L3082" s="0" t="n">
        <f aca="false">D3082*F3082</f>
        <v>-0.25</v>
      </c>
      <c r="M3082" s="0" t="n">
        <f aca="false">E3082*F3082</f>
        <v>-0.375</v>
      </c>
      <c r="N3082" s="0" t="n">
        <f aca="false">D3082*D3082</f>
        <v>0.0625</v>
      </c>
      <c r="O3082" s="0" t="n">
        <f aca="false">E3082*E3082</f>
        <v>0.140625</v>
      </c>
      <c r="P3082" s="0" t="n">
        <f aca="false">F3082*F3082</f>
        <v>1</v>
      </c>
      <c r="Q3082" s="0" t="n">
        <f aca="false">SUMPRODUCT(G3082:P3082,_XtX!$B$71:$K$71)</f>
        <v>46.7985653409091</v>
      </c>
      <c r="R3082" s="0" t="n">
        <f aca="false">SUMPRODUCT(MMULT(G3082:P3082,_XtX!$B$58:$K$67),G3082:P3082)</f>
        <v>0.470061700994318</v>
      </c>
      <c r="S3082" s="0" t="n">
        <f aca="false">04_回帰ANOVA!$K$19*04_回帰ANOVA!$K$14*SQRT(1+R3082)</f>
        <v>1.12728678965931</v>
      </c>
      <c r="T3082" s="0" t="n">
        <f aca="false">Q3082-S3082</f>
        <v>45.6712785512498</v>
      </c>
      <c r="U3082" s="0" t="n">
        <f aca="false">Q3082+S3082</f>
        <v>47.9258521305684</v>
      </c>
      <c r="V3082" s="54" t="b">
        <f aca="false">AND(D3082&gt;=01_因子設定!$L$5-0.000000001,D3082&lt;=01_因子設定!$M$5+0.000000001,E3082&gt;=01_因子設定!$L$6-0.000000001,E3082&lt;=01_因子設定!$M$6+0.000000001,F3082&gt;=01_因子設定!$L$7-0.000000001,F3082&lt;=01_因子設定!$M$7+0.000000001,IF(01_因子設定!$B$20="Box-Behnken",D3082^2+E3082^2+F3082^2&lt;=2+0.000000001,TRUE()))</f>
        <v>1</v>
      </c>
      <c r="W3082" s="55" t="n">
        <f aca="false">IF(V3082,IF(01_因子設定!$B$13="最大化",T3082-01_因子設定!$B$14,IF(01_因子設定!$B$13="最小化",01_因子設定!$B$15-U3082,MIN(T3082-01_因子設定!$B$14,01_因子設定!$B$15-U3082))),-1E+030)</f>
        <v>-2.82872144875019</v>
      </c>
      <c r="X3082" s="55" t="n">
        <f aca="false">IF(V3082,IF(01_因子設定!$B$13="最大化",Q3082,IF(01_因子設定!$B$13="最小化",-Q3082,-ABS(Q3082-01_因子設定!$B$16))),-1E+030)</f>
        <v>46.7985653409091</v>
      </c>
      <c r="Y3082" s="55" t="n">
        <f aca="false">W3082+ROW()*0.000000001</f>
        <v>-2.82871836675019</v>
      </c>
      <c r="Z3082" s="55" t="n">
        <f aca="false">X3082+ROW()*0.000000001</f>
        <v>46.7985684229091</v>
      </c>
    </row>
    <row r="3083" customFormat="false" ht="15" hidden="false" customHeight="false" outlineLevel="0" collapsed="false">
      <c r="A3083" s="0" t="n">
        <v>10</v>
      </c>
      <c r="B3083" s="0" t="n">
        <v>11</v>
      </c>
      <c r="C3083" s="0" t="n">
        <v>1</v>
      </c>
      <c r="D3083" s="0" t="n">
        <f aca="false">-1+A3083*0.125</f>
        <v>0.25</v>
      </c>
      <c r="E3083" s="0" t="n">
        <f aca="false">-1+B3083*0.125</f>
        <v>0.375</v>
      </c>
      <c r="F3083" s="0" t="n">
        <f aca="false">-1+C3083*0.125</f>
        <v>-0.875</v>
      </c>
      <c r="G3083" s="0" t="n">
        <f aca="false">1</f>
        <v>1</v>
      </c>
      <c r="H3083" s="0" t="n">
        <f aca="false">D3083</f>
        <v>0.25</v>
      </c>
      <c r="I3083" s="0" t="n">
        <f aca="false">E3083</f>
        <v>0.375</v>
      </c>
      <c r="J3083" s="0" t="n">
        <f aca="false">F3083</f>
        <v>-0.875</v>
      </c>
      <c r="K3083" s="0" t="n">
        <f aca="false">D3083*E3083</f>
        <v>0.09375</v>
      </c>
      <c r="L3083" s="0" t="n">
        <f aca="false">D3083*F3083</f>
        <v>-0.21875</v>
      </c>
      <c r="M3083" s="0" t="n">
        <f aca="false">E3083*F3083</f>
        <v>-0.328125</v>
      </c>
      <c r="N3083" s="0" t="n">
        <f aca="false">D3083*D3083</f>
        <v>0.0625</v>
      </c>
      <c r="O3083" s="0" t="n">
        <f aca="false">E3083*E3083</f>
        <v>0.140625</v>
      </c>
      <c r="P3083" s="0" t="n">
        <f aca="false">F3083*F3083</f>
        <v>0.765625</v>
      </c>
      <c r="Q3083" s="0" t="n">
        <f aca="false">SUMPRODUCT(G3083:P3083,_XtX!$B$71:$K$71)</f>
        <v>47.2633948863637</v>
      </c>
      <c r="R3083" s="0" t="n">
        <f aca="false">SUMPRODUCT(MMULT(G3083:P3083,_XtX!$B$58:$K$67),G3083:P3083)</f>
        <v>0.324484530362216</v>
      </c>
      <c r="S3083" s="0" t="n">
        <f aca="false">04_回帰ANOVA!$K$19*04_回帰ANOVA!$K$14*SQRT(1+R3083)</f>
        <v>1.07001553041279</v>
      </c>
      <c r="T3083" s="0" t="n">
        <f aca="false">Q3083-S3083</f>
        <v>46.1933793559509</v>
      </c>
      <c r="U3083" s="0" t="n">
        <f aca="false">Q3083+S3083</f>
        <v>48.3334104167764</v>
      </c>
      <c r="V3083" s="54" t="b">
        <f aca="false">AND(D3083&gt;=01_因子設定!$L$5-0.000000001,D3083&lt;=01_因子設定!$M$5+0.000000001,E3083&gt;=01_因子設定!$L$6-0.000000001,E3083&lt;=01_因子設定!$M$6+0.000000001,F3083&gt;=01_因子設定!$L$7-0.000000001,F3083&lt;=01_因子設定!$M$7+0.000000001,IF(01_因子設定!$B$20="Box-Behnken",D3083^2+E3083^2+F3083^2&lt;=2+0.000000001,TRUE()))</f>
        <v>1</v>
      </c>
      <c r="W3083" s="55" t="n">
        <f aca="false">IF(V3083,IF(01_因子設定!$B$13="最大化",T3083-01_因子設定!$B$14,IF(01_因子設定!$B$13="最小化",01_因子設定!$B$15-U3083,MIN(T3083-01_因子設定!$B$14,01_因子設定!$B$15-U3083))),-1E+030)</f>
        <v>-2.30662064404913</v>
      </c>
      <c r="X3083" s="55" t="n">
        <f aca="false">IF(V3083,IF(01_因子設定!$B$13="最大化",Q3083,IF(01_因子設定!$B$13="最小化",-Q3083,-ABS(Q3083-01_因子設定!$B$16))),-1E+030)</f>
        <v>47.2633948863637</v>
      </c>
      <c r="Y3083" s="55" t="n">
        <f aca="false">W3083+ROW()*0.000000001</f>
        <v>-2.30661756104913</v>
      </c>
      <c r="Z3083" s="55" t="n">
        <f aca="false">X3083+ROW()*0.000000001</f>
        <v>47.2633979693637</v>
      </c>
    </row>
    <row r="3084" customFormat="false" ht="15" hidden="false" customHeight="false" outlineLevel="0" collapsed="false">
      <c r="A3084" s="0" t="n">
        <v>10</v>
      </c>
      <c r="B3084" s="0" t="n">
        <v>11</v>
      </c>
      <c r="C3084" s="0" t="n">
        <v>2</v>
      </c>
      <c r="D3084" s="0" t="n">
        <f aca="false">-1+A3084*0.125</f>
        <v>0.25</v>
      </c>
      <c r="E3084" s="0" t="n">
        <f aca="false">-1+B3084*0.125</f>
        <v>0.375</v>
      </c>
      <c r="F3084" s="0" t="n">
        <f aca="false">-1+C3084*0.125</f>
        <v>-0.75</v>
      </c>
      <c r="G3084" s="0" t="n">
        <f aca="false">1</f>
        <v>1</v>
      </c>
      <c r="H3084" s="0" t="n">
        <f aca="false">D3084</f>
        <v>0.25</v>
      </c>
      <c r="I3084" s="0" t="n">
        <f aca="false">E3084</f>
        <v>0.375</v>
      </c>
      <c r="J3084" s="0" t="n">
        <f aca="false">F3084</f>
        <v>-0.75</v>
      </c>
      <c r="K3084" s="0" t="n">
        <f aca="false">D3084*E3084</f>
        <v>0.09375</v>
      </c>
      <c r="L3084" s="0" t="n">
        <f aca="false">D3084*F3084</f>
        <v>-0.1875</v>
      </c>
      <c r="M3084" s="0" t="n">
        <f aca="false">E3084*F3084</f>
        <v>-0.28125</v>
      </c>
      <c r="N3084" s="0" t="n">
        <f aca="false">D3084*D3084</f>
        <v>0.0625</v>
      </c>
      <c r="O3084" s="0" t="n">
        <f aca="false">E3084*E3084</f>
        <v>0.140625</v>
      </c>
      <c r="P3084" s="0" t="n">
        <f aca="false">F3084*F3084</f>
        <v>0.5625</v>
      </c>
      <c r="Q3084" s="0" t="n">
        <f aca="false">SUMPRODUCT(G3084:P3084,_XtX!$B$71:$K$71)</f>
        <v>47.6914346590909</v>
      </c>
      <c r="R3084" s="0" t="n">
        <f aca="false">SUMPRODUCT(MMULT(G3084:P3084,_XtX!$B$58:$K$67),G3084:P3084)</f>
        <v>0.230632990056818</v>
      </c>
      <c r="S3084" s="0" t="n">
        <f aca="false">04_回帰ANOVA!$K$19*04_回帰ANOVA!$K$14*SQRT(1+R3084)</f>
        <v>1.03140899038819</v>
      </c>
      <c r="T3084" s="0" t="n">
        <f aca="false">Q3084-S3084</f>
        <v>46.6600256687027</v>
      </c>
      <c r="U3084" s="0" t="n">
        <f aca="false">Q3084+S3084</f>
        <v>48.7228436494791</v>
      </c>
      <c r="V3084" s="54" t="b">
        <f aca="false">AND(D3084&gt;=01_因子設定!$L$5-0.000000001,D3084&lt;=01_因子設定!$M$5+0.000000001,E3084&gt;=01_因子設定!$L$6-0.000000001,E3084&lt;=01_因子設定!$M$6+0.000000001,F3084&gt;=01_因子設定!$L$7-0.000000001,F3084&lt;=01_因子設定!$M$7+0.000000001,IF(01_因子設定!$B$20="Box-Behnken",D3084^2+E3084^2+F3084^2&lt;=2+0.000000001,TRUE()))</f>
        <v>1</v>
      </c>
      <c r="W3084" s="55" t="n">
        <f aca="false">IF(V3084,IF(01_因子設定!$B$13="最大化",T3084-01_因子設定!$B$14,IF(01_因子設定!$B$13="最小化",01_因子設定!$B$15-U3084,MIN(T3084-01_因子設定!$B$14,01_因子設定!$B$15-U3084))),-1E+030)</f>
        <v>-1.83997433129726</v>
      </c>
      <c r="X3084" s="55" t="n">
        <f aca="false">IF(V3084,IF(01_因子設定!$B$13="最大化",Q3084,IF(01_因子設定!$B$13="最小化",-Q3084,-ABS(Q3084-01_因子設定!$B$16))),-1E+030)</f>
        <v>47.6914346590909</v>
      </c>
      <c r="Y3084" s="55" t="n">
        <f aca="false">W3084+ROW()*0.000000001</f>
        <v>-1.83997124729726</v>
      </c>
      <c r="Z3084" s="55" t="n">
        <f aca="false">X3084+ROW()*0.000000001</f>
        <v>47.6914377430909</v>
      </c>
    </row>
    <row r="3085" customFormat="false" ht="15" hidden="false" customHeight="false" outlineLevel="0" collapsed="false">
      <c r="A3085" s="0" t="n">
        <v>10</v>
      </c>
      <c r="B3085" s="0" t="n">
        <v>11</v>
      </c>
      <c r="C3085" s="0" t="n">
        <v>3</v>
      </c>
      <c r="D3085" s="0" t="n">
        <f aca="false">-1+A3085*0.125</f>
        <v>0.25</v>
      </c>
      <c r="E3085" s="0" t="n">
        <f aca="false">-1+B3085*0.125</f>
        <v>0.375</v>
      </c>
      <c r="F3085" s="0" t="n">
        <f aca="false">-1+C3085*0.125</f>
        <v>-0.625</v>
      </c>
      <c r="G3085" s="0" t="n">
        <f aca="false">1</f>
        <v>1</v>
      </c>
      <c r="H3085" s="0" t="n">
        <f aca="false">D3085</f>
        <v>0.25</v>
      </c>
      <c r="I3085" s="0" t="n">
        <f aca="false">E3085</f>
        <v>0.375</v>
      </c>
      <c r="J3085" s="0" t="n">
        <f aca="false">F3085</f>
        <v>-0.625</v>
      </c>
      <c r="K3085" s="0" t="n">
        <f aca="false">D3085*E3085</f>
        <v>0.09375</v>
      </c>
      <c r="L3085" s="0" t="n">
        <f aca="false">D3085*F3085</f>
        <v>-0.15625</v>
      </c>
      <c r="M3085" s="0" t="n">
        <f aca="false">E3085*F3085</f>
        <v>-0.234375</v>
      </c>
      <c r="N3085" s="0" t="n">
        <f aca="false">D3085*D3085</f>
        <v>0.0625</v>
      </c>
      <c r="O3085" s="0" t="n">
        <f aca="false">E3085*E3085</f>
        <v>0.140625</v>
      </c>
      <c r="P3085" s="0" t="n">
        <f aca="false">F3085*F3085</f>
        <v>0.390625</v>
      </c>
      <c r="Q3085" s="0" t="n">
        <f aca="false">SUMPRODUCT(G3085:P3085,_XtX!$B$71:$K$71)</f>
        <v>48.0826846590909</v>
      </c>
      <c r="R3085" s="0" t="n">
        <f aca="false">SUMPRODUCT(MMULT(G3085:P3085,_XtX!$B$58:$K$67),G3085:P3085)</f>
        <v>0.174657648259943</v>
      </c>
      <c r="S3085" s="0" t="n">
        <f aca="false">04_回帰ANOVA!$K$19*04_回帰ANOVA!$K$14*SQRT(1+R3085)</f>
        <v>1.00767919364845</v>
      </c>
      <c r="T3085" s="0" t="n">
        <f aca="false">Q3085-S3085</f>
        <v>47.0750054654425</v>
      </c>
      <c r="U3085" s="0" t="n">
        <f aca="false">Q3085+S3085</f>
        <v>49.0903638527394</v>
      </c>
      <c r="V3085" s="54" t="b">
        <f aca="false">AND(D3085&gt;=01_因子設定!$L$5-0.000000001,D3085&lt;=01_因子設定!$M$5+0.000000001,E3085&gt;=01_因子設定!$L$6-0.000000001,E3085&lt;=01_因子設定!$M$6+0.000000001,F3085&gt;=01_因子設定!$L$7-0.000000001,F3085&lt;=01_因子設定!$M$7+0.000000001,IF(01_因子設定!$B$20="Box-Behnken",D3085^2+E3085^2+F3085^2&lt;=2+0.000000001,TRUE()))</f>
        <v>1</v>
      </c>
      <c r="W3085" s="55" t="n">
        <f aca="false">IF(V3085,IF(01_因子設定!$B$13="最大化",T3085-01_因子設定!$B$14,IF(01_因子設定!$B$13="最小化",01_因子設定!$B$15-U3085,MIN(T3085-01_因子設定!$B$14,01_因子設定!$B$15-U3085))),-1E+030)</f>
        <v>-1.42499453455752</v>
      </c>
      <c r="X3085" s="55" t="n">
        <f aca="false">IF(V3085,IF(01_因子設定!$B$13="最大化",Q3085,IF(01_因子設定!$B$13="最小化",-Q3085,-ABS(Q3085-01_因子設定!$B$16))),-1E+030)</f>
        <v>48.0826846590909</v>
      </c>
      <c r="Y3085" s="55" t="n">
        <f aca="false">W3085+ROW()*0.000000001</f>
        <v>-1.42499144955752</v>
      </c>
      <c r="Z3085" s="55" t="n">
        <f aca="false">X3085+ROW()*0.000000001</f>
        <v>48.0826877440909</v>
      </c>
    </row>
    <row r="3086" customFormat="false" ht="15" hidden="false" customHeight="false" outlineLevel="0" collapsed="false">
      <c r="A3086" s="0" t="n">
        <v>10</v>
      </c>
      <c r="B3086" s="0" t="n">
        <v>11</v>
      </c>
      <c r="C3086" s="0" t="n">
        <v>4</v>
      </c>
      <c r="D3086" s="0" t="n">
        <f aca="false">-1+A3086*0.125</f>
        <v>0.25</v>
      </c>
      <c r="E3086" s="0" t="n">
        <f aca="false">-1+B3086*0.125</f>
        <v>0.375</v>
      </c>
      <c r="F3086" s="0" t="n">
        <f aca="false">-1+C3086*0.125</f>
        <v>-0.5</v>
      </c>
      <c r="G3086" s="0" t="n">
        <f aca="false">1</f>
        <v>1</v>
      </c>
      <c r="H3086" s="0" t="n">
        <f aca="false">D3086</f>
        <v>0.25</v>
      </c>
      <c r="I3086" s="0" t="n">
        <f aca="false">E3086</f>
        <v>0.375</v>
      </c>
      <c r="J3086" s="0" t="n">
        <f aca="false">F3086</f>
        <v>-0.5</v>
      </c>
      <c r="K3086" s="0" t="n">
        <f aca="false">D3086*E3086</f>
        <v>0.09375</v>
      </c>
      <c r="L3086" s="0" t="n">
        <f aca="false">D3086*F3086</f>
        <v>-0.125</v>
      </c>
      <c r="M3086" s="0" t="n">
        <f aca="false">E3086*F3086</f>
        <v>-0.1875</v>
      </c>
      <c r="N3086" s="0" t="n">
        <f aca="false">D3086*D3086</f>
        <v>0.0625</v>
      </c>
      <c r="O3086" s="0" t="n">
        <f aca="false">E3086*E3086</f>
        <v>0.140625</v>
      </c>
      <c r="P3086" s="0" t="n">
        <f aca="false">F3086*F3086</f>
        <v>0.25</v>
      </c>
      <c r="Q3086" s="0" t="n">
        <f aca="false">SUMPRODUCT(G3086:P3086,_XtX!$B$71:$K$71)</f>
        <v>48.4371448863637</v>
      </c>
      <c r="R3086" s="0" t="n">
        <f aca="false">SUMPRODUCT(MMULT(G3086:P3086,_XtX!$B$58:$K$67),G3086:P3086)</f>
        <v>0.144839754971591</v>
      </c>
      <c r="S3086" s="0" t="n">
        <f aca="false">04_回帰ANOVA!$K$19*04_回帰ANOVA!$K$14*SQRT(1+R3086)</f>
        <v>0.994807353995542</v>
      </c>
      <c r="T3086" s="0" t="n">
        <f aca="false">Q3086-S3086</f>
        <v>47.4423375323681</v>
      </c>
      <c r="U3086" s="0" t="n">
        <f aca="false">Q3086+S3086</f>
        <v>49.4319522403592</v>
      </c>
      <c r="V3086" s="54" t="b">
        <f aca="false">AND(D3086&gt;=01_因子設定!$L$5-0.000000001,D3086&lt;=01_因子設定!$M$5+0.000000001,E3086&gt;=01_因子設定!$L$6-0.000000001,E3086&lt;=01_因子設定!$M$6+0.000000001,F3086&gt;=01_因子設定!$L$7-0.000000001,F3086&lt;=01_因子設定!$M$7+0.000000001,IF(01_因子設定!$B$20="Box-Behnken",D3086^2+E3086^2+F3086^2&lt;=2+0.000000001,TRUE()))</f>
        <v>1</v>
      </c>
      <c r="W3086" s="55" t="n">
        <f aca="false">IF(V3086,IF(01_因子設定!$B$13="最大化",T3086-01_因子設定!$B$14,IF(01_因子設定!$B$13="最小化",01_因子設定!$B$15-U3086,MIN(T3086-01_因子設定!$B$14,01_因子設定!$B$15-U3086))),-1E+030)</f>
        <v>-1.05766246763189</v>
      </c>
      <c r="X3086" s="55" t="n">
        <f aca="false">IF(V3086,IF(01_因子設定!$B$13="最大化",Q3086,IF(01_因子設定!$B$13="最小化",-Q3086,-ABS(Q3086-01_因子設定!$B$16))),-1E+030)</f>
        <v>48.4371448863637</v>
      </c>
      <c r="Y3086" s="55" t="n">
        <f aca="false">W3086+ROW()*0.000000001</f>
        <v>-1.05765938163189</v>
      </c>
      <c r="Z3086" s="55" t="n">
        <f aca="false">X3086+ROW()*0.000000001</f>
        <v>48.4371479723637</v>
      </c>
    </row>
    <row r="3087" customFormat="false" ht="15" hidden="false" customHeight="false" outlineLevel="0" collapsed="false">
      <c r="A3087" s="0" t="n">
        <v>10</v>
      </c>
      <c r="B3087" s="0" t="n">
        <v>11</v>
      </c>
      <c r="C3087" s="0" t="n">
        <v>5</v>
      </c>
      <c r="D3087" s="0" t="n">
        <f aca="false">-1+A3087*0.125</f>
        <v>0.25</v>
      </c>
      <c r="E3087" s="0" t="n">
        <f aca="false">-1+B3087*0.125</f>
        <v>0.375</v>
      </c>
      <c r="F3087" s="0" t="n">
        <f aca="false">-1+C3087*0.125</f>
        <v>-0.375</v>
      </c>
      <c r="G3087" s="0" t="n">
        <f aca="false">1</f>
        <v>1</v>
      </c>
      <c r="H3087" s="0" t="n">
        <f aca="false">D3087</f>
        <v>0.25</v>
      </c>
      <c r="I3087" s="0" t="n">
        <f aca="false">E3087</f>
        <v>0.375</v>
      </c>
      <c r="J3087" s="0" t="n">
        <f aca="false">F3087</f>
        <v>-0.375</v>
      </c>
      <c r="K3087" s="0" t="n">
        <f aca="false">D3087*E3087</f>
        <v>0.09375</v>
      </c>
      <c r="L3087" s="0" t="n">
        <f aca="false">D3087*F3087</f>
        <v>-0.09375</v>
      </c>
      <c r="M3087" s="0" t="n">
        <f aca="false">E3087*F3087</f>
        <v>-0.140625</v>
      </c>
      <c r="N3087" s="0" t="n">
        <f aca="false">D3087*D3087</f>
        <v>0.0625</v>
      </c>
      <c r="O3087" s="0" t="n">
        <f aca="false">E3087*E3087</f>
        <v>0.140625</v>
      </c>
      <c r="P3087" s="0" t="n">
        <f aca="false">F3087*F3087</f>
        <v>0.140625</v>
      </c>
      <c r="Q3087" s="0" t="n">
        <f aca="false">SUMPRODUCT(G3087:P3087,_XtX!$B$71:$K$71)</f>
        <v>48.7548153409091</v>
      </c>
      <c r="R3087" s="0" t="n">
        <f aca="false">SUMPRODUCT(MMULT(G3087:P3087,_XtX!$B$58:$K$67),G3087:P3087)</f>
        <v>0.131591242009943</v>
      </c>
      <c r="S3087" s="0" t="n">
        <f aca="false">04_回帰ANOVA!$K$19*04_回帰ANOVA!$K$14*SQRT(1+R3087)</f>
        <v>0.989034462873572</v>
      </c>
      <c r="T3087" s="0" t="n">
        <f aca="false">Q3087-S3087</f>
        <v>47.7657808780355</v>
      </c>
      <c r="U3087" s="0" t="n">
        <f aca="false">Q3087+S3087</f>
        <v>49.7438498037827</v>
      </c>
      <c r="V3087" s="54" t="b">
        <f aca="false">AND(D3087&gt;=01_因子設定!$L$5-0.000000001,D3087&lt;=01_因子設定!$M$5+0.000000001,E3087&gt;=01_因子設定!$L$6-0.000000001,E3087&lt;=01_因子設定!$M$6+0.000000001,F3087&gt;=01_因子設定!$L$7-0.000000001,F3087&lt;=01_因子設定!$M$7+0.000000001,IF(01_因子設定!$B$20="Box-Behnken",D3087^2+E3087^2+F3087^2&lt;=2+0.000000001,TRUE()))</f>
        <v>1</v>
      </c>
      <c r="W3087" s="55" t="n">
        <f aca="false">IF(V3087,IF(01_因子設定!$B$13="最大化",T3087-01_因子設定!$B$14,IF(01_因子設定!$B$13="最小化",01_因子設定!$B$15-U3087,MIN(T3087-01_因子設定!$B$14,01_因子設定!$B$15-U3087))),-1E+030)</f>
        <v>-0.734219121964465</v>
      </c>
      <c r="X3087" s="55" t="n">
        <f aca="false">IF(V3087,IF(01_因子設定!$B$13="最大化",Q3087,IF(01_因子設定!$B$13="最小化",-Q3087,-ABS(Q3087-01_因子設定!$B$16))),-1E+030)</f>
        <v>48.7548153409091</v>
      </c>
      <c r="Y3087" s="55" t="n">
        <f aca="false">W3087+ROW()*0.000000001</f>
        <v>-0.734216034964465</v>
      </c>
      <c r="Z3087" s="55" t="n">
        <f aca="false">X3087+ROW()*0.000000001</f>
        <v>48.7548184279091</v>
      </c>
    </row>
    <row r="3088" customFormat="false" ht="15" hidden="false" customHeight="false" outlineLevel="0" collapsed="false">
      <c r="A3088" s="0" t="n">
        <v>10</v>
      </c>
      <c r="B3088" s="0" t="n">
        <v>11</v>
      </c>
      <c r="C3088" s="0" t="n">
        <v>6</v>
      </c>
      <c r="D3088" s="0" t="n">
        <f aca="false">-1+A3088*0.125</f>
        <v>0.25</v>
      </c>
      <c r="E3088" s="0" t="n">
        <f aca="false">-1+B3088*0.125</f>
        <v>0.375</v>
      </c>
      <c r="F3088" s="0" t="n">
        <f aca="false">-1+C3088*0.125</f>
        <v>-0.25</v>
      </c>
      <c r="G3088" s="0" t="n">
        <f aca="false">1</f>
        <v>1</v>
      </c>
      <c r="H3088" s="0" t="n">
        <f aca="false">D3088</f>
        <v>0.25</v>
      </c>
      <c r="I3088" s="0" t="n">
        <f aca="false">E3088</f>
        <v>0.375</v>
      </c>
      <c r="J3088" s="0" t="n">
        <f aca="false">F3088</f>
        <v>-0.25</v>
      </c>
      <c r="K3088" s="0" t="n">
        <f aca="false">D3088*E3088</f>
        <v>0.09375</v>
      </c>
      <c r="L3088" s="0" t="n">
        <f aca="false">D3088*F3088</f>
        <v>-0.0625</v>
      </c>
      <c r="M3088" s="0" t="n">
        <f aca="false">E3088*F3088</f>
        <v>-0.09375</v>
      </c>
      <c r="N3088" s="0" t="n">
        <f aca="false">D3088*D3088</f>
        <v>0.0625</v>
      </c>
      <c r="O3088" s="0" t="n">
        <f aca="false">E3088*E3088</f>
        <v>0.140625</v>
      </c>
      <c r="P3088" s="0" t="n">
        <f aca="false">F3088*F3088</f>
        <v>0.0625</v>
      </c>
      <c r="Q3088" s="0" t="n">
        <f aca="false">SUMPRODUCT(G3088:P3088,_XtX!$B$71:$K$71)</f>
        <v>49.0356960227273</v>
      </c>
      <c r="R3088" s="0" t="n">
        <f aca="false">SUMPRODUCT(MMULT(G3088:P3088,_XtX!$B$58:$K$67),G3088:P3088)</f>
        <v>0.127454723011364</v>
      </c>
      <c r="S3088" s="0" t="n">
        <f aca="false">04_回帰ANOVA!$K$19*04_回帰ANOVA!$K$14*SQRT(1+R3088)</f>
        <v>0.987225105686864</v>
      </c>
      <c r="T3088" s="0" t="n">
        <f aca="false">Q3088-S3088</f>
        <v>48.0484709170404</v>
      </c>
      <c r="U3088" s="0" t="n">
        <f aca="false">Q3088+S3088</f>
        <v>50.0229211284142</v>
      </c>
      <c r="V3088" s="54" t="b">
        <f aca="false">AND(D3088&gt;=01_因子設定!$L$5-0.000000001,D3088&lt;=01_因子設定!$M$5+0.000000001,E3088&gt;=01_因子設定!$L$6-0.000000001,E3088&lt;=01_因子設定!$M$6+0.000000001,F3088&gt;=01_因子設定!$L$7-0.000000001,F3088&lt;=01_因子設定!$M$7+0.000000001,IF(01_因子設定!$B$20="Box-Behnken",D3088^2+E3088^2+F3088^2&lt;=2+0.000000001,TRUE()))</f>
        <v>1</v>
      </c>
      <c r="W3088" s="55" t="n">
        <f aca="false">IF(V3088,IF(01_因子設定!$B$13="最大化",T3088-01_因子設定!$B$14,IF(01_因子設定!$B$13="最小化",01_因子設定!$B$15-U3088,MIN(T3088-01_因子設定!$B$14,01_因子設定!$B$15-U3088))),-1E+030)</f>
        <v>-0.451529082959588</v>
      </c>
      <c r="X3088" s="55" t="n">
        <f aca="false">IF(V3088,IF(01_因子設定!$B$13="最大化",Q3088,IF(01_因子設定!$B$13="最小化",-Q3088,-ABS(Q3088-01_因子設定!$B$16))),-1E+030)</f>
        <v>49.0356960227273</v>
      </c>
      <c r="Y3088" s="55" t="n">
        <f aca="false">W3088+ROW()*0.000000001</f>
        <v>-0.451525994959588</v>
      </c>
      <c r="Z3088" s="55" t="n">
        <f aca="false">X3088+ROW()*0.000000001</f>
        <v>49.0356991107273</v>
      </c>
    </row>
    <row r="3089" customFormat="false" ht="15" hidden="false" customHeight="false" outlineLevel="0" collapsed="false">
      <c r="A3089" s="0" t="n">
        <v>10</v>
      </c>
      <c r="B3089" s="0" t="n">
        <v>11</v>
      </c>
      <c r="C3089" s="0" t="n">
        <v>7</v>
      </c>
      <c r="D3089" s="0" t="n">
        <f aca="false">-1+A3089*0.125</f>
        <v>0.25</v>
      </c>
      <c r="E3089" s="0" t="n">
        <f aca="false">-1+B3089*0.125</f>
        <v>0.375</v>
      </c>
      <c r="F3089" s="0" t="n">
        <f aca="false">-1+C3089*0.125</f>
        <v>-0.125</v>
      </c>
      <c r="G3089" s="0" t="n">
        <f aca="false">1</f>
        <v>1</v>
      </c>
      <c r="H3089" s="0" t="n">
        <f aca="false">D3089</f>
        <v>0.25</v>
      </c>
      <c r="I3089" s="0" t="n">
        <f aca="false">E3089</f>
        <v>0.375</v>
      </c>
      <c r="J3089" s="0" t="n">
        <f aca="false">F3089</f>
        <v>-0.125</v>
      </c>
      <c r="K3089" s="0" t="n">
        <f aca="false">D3089*E3089</f>
        <v>0.09375</v>
      </c>
      <c r="L3089" s="0" t="n">
        <f aca="false">D3089*F3089</f>
        <v>-0.03125</v>
      </c>
      <c r="M3089" s="0" t="n">
        <f aca="false">E3089*F3089</f>
        <v>-0.046875</v>
      </c>
      <c r="N3089" s="0" t="n">
        <f aca="false">D3089*D3089</f>
        <v>0.0625</v>
      </c>
      <c r="O3089" s="0" t="n">
        <f aca="false">E3089*E3089</f>
        <v>0.140625</v>
      </c>
      <c r="P3089" s="0" t="n">
        <f aca="false">F3089*F3089</f>
        <v>0.015625</v>
      </c>
      <c r="Q3089" s="0" t="n">
        <f aca="false">SUMPRODUCT(G3089:P3089,_XtX!$B$71:$K$71)</f>
        <v>49.2797869318182</v>
      </c>
      <c r="R3089" s="0" t="n">
        <f aca="false">SUMPRODUCT(MMULT(G3089:P3089,_XtX!$B$58:$K$67),G3089:P3089)</f>
        <v>0.127103493430398</v>
      </c>
      <c r="S3089" s="0" t="n">
        <f aca="false">04_回帰ANOVA!$K$19*04_回帰ANOVA!$K$14*SQRT(1+R3089)</f>
        <v>0.987071321387587</v>
      </c>
      <c r="T3089" s="0" t="n">
        <f aca="false">Q3089-S3089</f>
        <v>48.2927156104306</v>
      </c>
      <c r="U3089" s="0" t="n">
        <f aca="false">Q3089+S3089</f>
        <v>50.2668582532058</v>
      </c>
      <c r="V3089" s="54" t="b">
        <f aca="false">AND(D3089&gt;=01_因子設定!$L$5-0.000000001,D3089&lt;=01_因子設定!$M$5+0.000000001,E3089&gt;=01_因子設定!$L$6-0.000000001,E3089&lt;=01_因子設定!$M$6+0.000000001,F3089&gt;=01_因子設定!$L$7-0.000000001,F3089&lt;=01_因子設定!$M$7+0.000000001,IF(01_因子設定!$B$20="Box-Behnken",D3089^2+E3089^2+F3089^2&lt;=2+0.000000001,TRUE()))</f>
        <v>1</v>
      </c>
      <c r="W3089" s="55" t="n">
        <f aca="false">IF(V3089,IF(01_因子設定!$B$13="最大化",T3089-01_因子設定!$B$14,IF(01_因子設定!$B$13="最小化",01_因子設定!$B$15-U3089,MIN(T3089-01_因子設定!$B$14,01_因子設定!$B$15-U3089))),-1E+030)</f>
        <v>-0.207284389569402</v>
      </c>
      <c r="X3089" s="55" t="n">
        <f aca="false">IF(V3089,IF(01_因子設定!$B$13="最大化",Q3089,IF(01_因子設定!$B$13="最小化",-Q3089,-ABS(Q3089-01_因子設定!$B$16))),-1E+030)</f>
        <v>49.2797869318182</v>
      </c>
      <c r="Y3089" s="55" t="n">
        <f aca="false">W3089+ROW()*0.000000001</f>
        <v>-0.207281300569402</v>
      </c>
      <c r="Z3089" s="55" t="n">
        <f aca="false">X3089+ROW()*0.000000001</f>
        <v>49.2797900208182</v>
      </c>
    </row>
    <row r="3090" customFormat="false" ht="15" hidden="false" customHeight="false" outlineLevel="0" collapsed="false">
      <c r="A3090" s="0" t="n">
        <v>10</v>
      </c>
      <c r="B3090" s="0" t="n">
        <v>11</v>
      </c>
      <c r="C3090" s="0" t="n">
        <v>8</v>
      </c>
      <c r="D3090" s="0" t="n">
        <f aca="false">-1+A3090*0.125</f>
        <v>0.25</v>
      </c>
      <c r="E3090" s="0" t="n">
        <f aca="false">-1+B3090*0.125</f>
        <v>0.375</v>
      </c>
      <c r="F3090" s="0" t="n">
        <f aca="false">-1+C3090*0.125</f>
        <v>0</v>
      </c>
      <c r="G3090" s="0" t="n">
        <f aca="false">1</f>
        <v>1</v>
      </c>
      <c r="H3090" s="0" t="n">
        <f aca="false">D3090</f>
        <v>0.25</v>
      </c>
      <c r="I3090" s="0" t="n">
        <f aca="false">E3090</f>
        <v>0.375</v>
      </c>
      <c r="J3090" s="0" t="n">
        <f aca="false">F3090</f>
        <v>0</v>
      </c>
      <c r="K3090" s="0" t="n">
        <f aca="false">D3090*E3090</f>
        <v>0.09375</v>
      </c>
      <c r="L3090" s="0" t="n">
        <f aca="false">D3090*F3090</f>
        <v>0</v>
      </c>
      <c r="M3090" s="0" t="n">
        <f aca="false">E3090*F3090</f>
        <v>0</v>
      </c>
      <c r="N3090" s="0" t="n">
        <f aca="false">D3090*D3090</f>
        <v>0.0625</v>
      </c>
      <c r="O3090" s="0" t="n">
        <f aca="false">E3090*E3090</f>
        <v>0.140625</v>
      </c>
      <c r="P3090" s="0" t="n">
        <f aca="false">F3090*F3090</f>
        <v>0</v>
      </c>
      <c r="Q3090" s="0" t="n">
        <f aca="false">SUMPRODUCT(G3090:P3090,_XtX!$B$71:$K$71)</f>
        <v>49.4870880681818</v>
      </c>
      <c r="R3090" s="0" t="n">
        <f aca="false">SUMPRODUCT(MMULT(G3090:P3090,_XtX!$B$58:$K$67),G3090:P3090)</f>
        <v>0.127341530539773</v>
      </c>
      <c r="S3090" s="0" t="n">
        <f aca="false">04_回帰ANOVA!$K$19*04_回帰ANOVA!$K$14*SQRT(1+R3090)</f>
        <v>0.987175547486288</v>
      </c>
      <c r="T3090" s="0" t="n">
        <f aca="false">Q3090-S3090</f>
        <v>48.4999125206955</v>
      </c>
      <c r="U3090" s="0" t="n">
        <f aca="false">Q3090+S3090</f>
        <v>50.4742636156681</v>
      </c>
      <c r="V3090" s="54" t="b">
        <f aca="false">AND(D3090&gt;=01_因子設定!$L$5-0.000000001,D3090&lt;=01_因子設定!$M$5+0.000000001,E3090&gt;=01_因子設定!$L$6-0.000000001,E3090&lt;=01_因子設定!$M$6+0.000000001,F3090&gt;=01_因子設定!$L$7-0.000000001,F3090&lt;=01_因子設定!$M$7+0.000000001,IF(01_因子設定!$B$20="Box-Behnken",D3090^2+E3090^2+F3090^2&lt;=2+0.000000001,TRUE()))</f>
        <v>1</v>
      </c>
      <c r="W3090" s="55" t="n">
        <f aca="false">IF(V3090,IF(01_因子設定!$B$13="最大化",T3090-01_因子設定!$B$14,IF(01_因子設定!$B$13="最小化",01_因子設定!$B$15-U3090,MIN(T3090-01_因子設定!$B$14,01_因子設定!$B$15-U3090))),-1E+030)</f>
        <v>-8.7479304461624E-005</v>
      </c>
      <c r="X3090" s="55" t="n">
        <f aca="false">IF(V3090,IF(01_因子設定!$B$13="最大化",Q3090,IF(01_因子設定!$B$13="最小化",-Q3090,-ABS(Q3090-01_因子設定!$B$16))),-1E+030)</f>
        <v>49.4870880681818</v>
      </c>
      <c r="Y3090" s="55" t="n">
        <f aca="false">W3090+ROW()*0.000000001</f>
        <v>-8.4389304461624E-005</v>
      </c>
      <c r="Z3090" s="55" t="n">
        <f aca="false">X3090+ROW()*0.000000001</f>
        <v>49.4870911581818</v>
      </c>
    </row>
    <row r="3091" customFormat="false" ht="15" hidden="false" customHeight="false" outlineLevel="0" collapsed="false">
      <c r="A3091" s="0" t="n">
        <v>10</v>
      </c>
      <c r="B3091" s="0" t="n">
        <v>11</v>
      </c>
      <c r="C3091" s="0" t="n">
        <v>9</v>
      </c>
      <c r="D3091" s="0" t="n">
        <f aca="false">-1+A3091*0.125</f>
        <v>0.25</v>
      </c>
      <c r="E3091" s="0" t="n">
        <f aca="false">-1+B3091*0.125</f>
        <v>0.375</v>
      </c>
      <c r="F3091" s="0" t="n">
        <f aca="false">-1+C3091*0.125</f>
        <v>0.125</v>
      </c>
      <c r="G3091" s="0" t="n">
        <f aca="false">1</f>
        <v>1</v>
      </c>
      <c r="H3091" s="0" t="n">
        <f aca="false">D3091</f>
        <v>0.25</v>
      </c>
      <c r="I3091" s="0" t="n">
        <f aca="false">E3091</f>
        <v>0.375</v>
      </c>
      <c r="J3091" s="0" t="n">
        <f aca="false">F3091</f>
        <v>0.125</v>
      </c>
      <c r="K3091" s="0" t="n">
        <f aca="false">D3091*E3091</f>
        <v>0.09375</v>
      </c>
      <c r="L3091" s="0" t="n">
        <f aca="false">D3091*F3091</f>
        <v>0.03125</v>
      </c>
      <c r="M3091" s="0" t="n">
        <f aca="false">E3091*F3091</f>
        <v>0.046875</v>
      </c>
      <c r="N3091" s="0" t="n">
        <f aca="false">D3091*D3091</f>
        <v>0.0625</v>
      </c>
      <c r="O3091" s="0" t="n">
        <f aca="false">E3091*E3091</f>
        <v>0.140625</v>
      </c>
      <c r="P3091" s="0" t="n">
        <f aca="false">F3091*F3091</f>
        <v>0.015625</v>
      </c>
      <c r="Q3091" s="0" t="n">
        <f aca="false">SUMPRODUCT(G3091:P3091,_XtX!$B$71:$K$71)</f>
        <v>49.6575994318182</v>
      </c>
      <c r="R3091" s="0" t="n">
        <f aca="false">SUMPRODUCT(MMULT(G3091:P3091,_XtX!$B$58:$K$67),G3091:P3091)</f>
        <v>0.127103493430398</v>
      </c>
      <c r="S3091" s="0" t="n">
        <f aca="false">04_回帰ANOVA!$K$19*04_回帰ANOVA!$K$14*SQRT(1+R3091)</f>
        <v>0.987071321387587</v>
      </c>
      <c r="T3091" s="0" t="n">
        <f aca="false">Q3091-S3091</f>
        <v>48.6705281104306</v>
      </c>
      <c r="U3091" s="0" t="n">
        <f aca="false">Q3091+S3091</f>
        <v>50.6446707532058</v>
      </c>
      <c r="V3091" s="54" t="b">
        <f aca="false">AND(D3091&gt;=01_因子設定!$L$5-0.000000001,D3091&lt;=01_因子設定!$M$5+0.000000001,E3091&gt;=01_因子設定!$L$6-0.000000001,E3091&lt;=01_因子設定!$M$6+0.000000001,F3091&gt;=01_因子設定!$L$7-0.000000001,F3091&lt;=01_因子設定!$M$7+0.000000001,IF(01_因子設定!$B$20="Box-Behnken",D3091^2+E3091^2+F3091^2&lt;=2+0.000000001,TRUE()))</f>
        <v>1</v>
      </c>
      <c r="W3091" s="55" t="n">
        <f aca="false">IF(V3091,IF(01_因子設定!$B$13="最大化",T3091-01_因子設定!$B$14,IF(01_因子設定!$B$13="最小化",01_因子設定!$B$15-U3091,MIN(T3091-01_因子設定!$B$14,01_因子設定!$B$15-U3091))),-1E+030)</f>
        <v>0.170528110430602</v>
      </c>
      <c r="X3091" s="55" t="n">
        <f aca="false">IF(V3091,IF(01_因子設定!$B$13="最大化",Q3091,IF(01_因子設定!$B$13="最小化",-Q3091,-ABS(Q3091-01_因子設定!$B$16))),-1E+030)</f>
        <v>49.6575994318182</v>
      </c>
      <c r="Y3091" s="55" t="n">
        <f aca="false">W3091+ROW()*0.000000001</f>
        <v>0.170531201430602</v>
      </c>
      <c r="Z3091" s="55" t="n">
        <f aca="false">X3091+ROW()*0.000000001</f>
        <v>49.6576025228182</v>
      </c>
    </row>
    <row r="3092" customFormat="false" ht="15" hidden="false" customHeight="false" outlineLevel="0" collapsed="false">
      <c r="A3092" s="0" t="n">
        <v>10</v>
      </c>
      <c r="B3092" s="0" t="n">
        <v>11</v>
      </c>
      <c r="C3092" s="0" t="n">
        <v>10</v>
      </c>
      <c r="D3092" s="0" t="n">
        <f aca="false">-1+A3092*0.125</f>
        <v>0.25</v>
      </c>
      <c r="E3092" s="0" t="n">
        <f aca="false">-1+B3092*0.125</f>
        <v>0.375</v>
      </c>
      <c r="F3092" s="0" t="n">
        <f aca="false">-1+C3092*0.125</f>
        <v>0.25</v>
      </c>
      <c r="G3092" s="0" t="n">
        <f aca="false">1</f>
        <v>1</v>
      </c>
      <c r="H3092" s="0" t="n">
        <f aca="false">D3092</f>
        <v>0.25</v>
      </c>
      <c r="I3092" s="0" t="n">
        <f aca="false">E3092</f>
        <v>0.375</v>
      </c>
      <c r="J3092" s="0" t="n">
        <f aca="false">F3092</f>
        <v>0.25</v>
      </c>
      <c r="K3092" s="0" t="n">
        <f aca="false">D3092*E3092</f>
        <v>0.09375</v>
      </c>
      <c r="L3092" s="0" t="n">
        <f aca="false">D3092*F3092</f>
        <v>0.0625</v>
      </c>
      <c r="M3092" s="0" t="n">
        <f aca="false">E3092*F3092</f>
        <v>0.09375</v>
      </c>
      <c r="N3092" s="0" t="n">
        <f aca="false">D3092*D3092</f>
        <v>0.0625</v>
      </c>
      <c r="O3092" s="0" t="n">
        <f aca="false">E3092*E3092</f>
        <v>0.140625</v>
      </c>
      <c r="P3092" s="0" t="n">
        <f aca="false">F3092*F3092</f>
        <v>0.0625</v>
      </c>
      <c r="Q3092" s="0" t="n">
        <f aca="false">SUMPRODUCT(G3092:P3092,_XtX!$B$71:$K$71)</f>
        <v>49.7913210227273</v>
      </c>
      <c r="R3092" s="0" t="n">
        <f aca="false">SUMPRODUCT(MMULT(G3092:P3092,_XtX!$B$58:$K$67),G3092:P3092)</f>
        <v>0.127454723011364</v>
      </c>
      <c r="S3092" s="0" t="n">
        <f aca="false">04_回帰ANOVA!$K$19*04_回帰ANOVA!$K$14*SQRT(1+R3092)</f>
        <v>0.987225105686864</v>
      </c>
      <c r="T3092" s="0" t="n">
        <f aca="false">Q3092-S3092</f>
        <v>48.8040959170404</v>
      </c>
      <c r="U3092" s="0" t="n">
        <f aca="false">Q3092+S3092</f>
        <v>50.7785461284142</v>
      </c>
      <c r="V3092" s="54" t="b">
        <f aca="false">AND(D3092&gt;=01_因子設定!$L$5-0.000000001,D3092&lt;=01_因子設定!$M$5+0.000000001,E3092&gt;=01_因子設定!$L$6-0.000000001,E3092&lt;=01_因子設定!$M$6+0.000000001,F3092&gt;=01_因子設定!$L$7-0.000000001,F3092&lt;=01_因子設定!$M$7+0.000000001,IF(01_因子設定!$B$20="Box-Behnken",D3092^2+E3092^2+F3092^2&lt;=2+0.000000001,TRUE()))</f>
        <v>1</v>
      </c>
      <c r="W3092" s="55" t="n">
        <f aca="false">IF(V3092,IF(01_因子設定!$B$13="最大化",T3092-01_因子設定!$B$14,IF(01_因子設定!$B$13="最小化",01_因子設定!$B$15-U3092,MIN(T3092-01_因子設定!$B$14,01_因子設定!$B$15-U3092))),-1E+030)</f>
        <v>0.304095917040414</v>
      </c>
      <c r="X3092" s="55" t="n">
        <f aca="false">IF(V3092,IF(01_因子設定!$B$13="最大化",Q3092,IF(01_因子設定!$B$13="最小化",-Q3092,-ABS(Q3092-01_因子設定!$B$16))),-1E+030)</f>
        <v>49.7913210227273</v>
      </c>
      <c r="Y3092" s="55" t="n">
        <f aca="false">W3092+ROW()*0.000000001</f>
        <v>0.304099009040414</v>
      </c>
      <c r="Z3092" s="55" t="n">
        <f aca="false">X3092+ROW()*0.000000001</f>
        <v>49.7913241147273</v>
      </c>
    </row>
    <row r="3093" customFormat="false" ht="15" hidden="false" customHeight="false" outlineLevel="0" collapsed="false">
      <c r="A3093" s="0" t="n">
        <v>10</v>
      </c>
      <c r="B3093" s="0" t="n">
        <v>11</v>
      </c>
      <c r="C3093" s="0" t="n">
        <v>11</v>
      </c>
      <c r="D3093" s="0" t="n">
        <f aca="false">-1+A3093*0.125</f>
        <v>0.25</v>
      </c>
      <c r="E3093" s="0" t="n">
        <f aca="false">-1+B3093*0.125</f>
        <v>0.375</v>
      </c>
      <c r="F3093" s="0" t="n">
        <f aca="false">-1+C3093*0.125</f>
        <v>0.375</v>
      </c>
      <c r="G3093" s="0" t="n">
        <f aca="false">1</f>
        <v>1</v>
      </c>
      <c r="H3093" s="0" t="n">
        <f aca="false">D3093</f>
        <v>0.25</v>
      </c>
      <c r="I3093" s="0" t="n">
        <f aca="false">E3093</f>
        <v>0.375</v>
      </c>
      <c r="J3093" s="0" t="n">
        <f aca="false">F3093</f>
        <v>0.375</v>
      </c>
      <c r="K3093" s="0" t="n">
        <f aca="false">D3093*E3093</f>
        <v>0.09375</v>
      </c>
      <c r="L3093" s="0" t="n">
        <f aca="false">D3093*F3093</f>
        <v>0.09375</v>
      </c>
      <c r="M3093" s="0" t="n">
        <f aca="false">E3093*F3093</f>
        <v>0.140625</v>
      </c>
      <c r="N3093" s="0" t="n">
        <f aca="false">D3093*D3093</f>
        <v>0.0625</v>
      </c>
      <c r="O3093" s="0" t="n">
        <f aca="false">E3093*E3093</f>
        <v>0.140625</v>
      </c>
      <c r="P3093" s="0" t="n">
        <f aca="false">F3093*F3093</f>
        <v>0.140625</v>
      </c>
      <c r="Q3093" s="0" t="n">
        <f aca="false">SUMPRODUCT(G3093:P3093,_XtX!$B$71:$K$71)</f>
        <v>49.8882528409091</v>
      </c>
      <c r="R3093" s="0" t="n">
        <f aca="false">SUMPRODUCT(MMULT(G3093:P3093,_XtX!$B$58:$K$67),G3093:P3093)</f>
        <v>0.131591242009943</v>
      </c>
      <c r="S3093" s="0" t="n">
        <f aca="false">04_回帰ANOVA!$K$19*04_回帰ANOVA!$K$14*SQRT(1+R3093)</f>
        <v>0.989034462873572</v>
      </c>
      <c r="T3093" s="0" t="n">
        <f aca="false">Q3093-S3093</f>
        <v>48.8992183780355</v>
      </c>
      <c r="U3093" s="0" t="n">
        <f aca="false">Q3093+S3093</f>
        <v>50.8772873037827</v>
      </c>
      <c r="V3093" s="54" t="b">
        <f aca="false">AND(D3093&gt;=01_因子設定!$L$5-0.000000001,D3093&lt;=01_因子設定!$M$5+0.000000001,E3093&gt;=01_因子設定!$L$6-0.000000001,E3093&lt;=01_因子設定!$M$6+0.000000001,F3093&gt;=01_因子設定!$L$7-0.000000001,F3093&lt;=01_因子設定!$M$7+0.000000001,IF(01_因子設定!$B$20="Box-Behnken",D3093^2+E3093^2+F3093^2&lt;=2+0.000000001,TRUE()))</f>
        <v>1</v>
      </c>
      <c r="W3093" s="55" t="n">
        <f aca="false">IF(V3093,IF(01_因子設定!$B$13="最大化",T3093-01_因子設定!$B$14,IF(01_因子設定!$B$13="最小化",01_因子設定!$B$15-U3093,MIN(T3093-01_因子設定!$B$14,01_因子設定!$B$15-U3093))),-1E+030)</f>
        <v>0.399218378035535</v>
      </c>
      <c r="X3093" s="55" t="n">
        <f aca="false">IF(V3093,IF(01_因子設定!$B$13="最大化",Q3093,IF(01_因子設定!$B$13="最小化",-Q3093,-ABS(Q3093-01_因子設定!$B$16))),-1E+030)</f>
        <v>49.8882528409091</v>
      </c>
      <c r="Y3093" s="55" t="n">
        <f aca="false">W3093+ROW()*0.000000001</f>
        <v>0.399221471035535</v>
      </c>
      <c r="Z3093" s="55" t="n">
        <f aca="false">X3093+ROW()*0.000000001</f>
        <v>49.8882559339091</v>
      </c>
    </row>
    <row r="3094" customFormat="false" ht="15" hidden="false" customHeight="false" outlineLevel="0" collapsed="false">
      <c r="A3094" s="0" t="n">
        <v>10</v>
      </c>
      <c r="B3094" s="0" t="n">
        <v>11</v>
      </c>
      <c r="C3094" s="0" t="n">
        <v>12</v>
      </c>
      <c r="D3094" s="0" t="n">
        <f aca="false">-1+A3094*0.125</f>
        <v>0.25</v>
      </c>
      <c r="E3094" s="0" t="n">
        <f aca="false">-1+B3094*0.125</f>
        <v>0.375</v>
      </c>
      <c r="F3094" s="0" t="n">
        <f aca="false">-1+C3094*0.125</f>
        <v>0.5</v>
      </c>
      <c r="G3094" s="0" t="n">
        <f aca="false">1</f>
        <v>1</v>
      </c>
      <c r="H3094" s="0" t="n">
        <f aca="false">D3094</f>
        <v>0.25</v>
      </c>
      <c r="I3094" s="0" t="n">
        <f aca="false">E3094</f>
        <v>0.375</v>
      </c>
      <c r="J3094" s="0" t="n">
        <f aca="false">F3094</f>
        <v>0.5</v>
      </c>
      <c r="K3094" s="0" t="n">
        <f aca="false">D3094*E3094</f>
        <v>0.09375</v>
      </c>
      <c r="L3094" s="0" t="n">
        <f aca="false">D3094*F3094</f>
        <v>0.125</v>
      </c>
      <c r="M3094" s="0" t="n">
        <f aca="false">E3094*F3094</f>
        <v>0.1875</v>
      </c>
      <c r="N3094" s="0" t="n">
        <f aca="false">D3094*D3094</f>
        <v>0.0625</v>
      </c>
      <c r="O3094" s="0" t="n">
        <f aca="false">E3094*E3094</f>
        <v>0.140625</v>
      </c>
      <c r="P3094" s="0" t="n">
        <f aca="false">F3094*F3094</f>
        <v>0.25</v>
      </c>
      <c r="Q3094" s="0" t="n">
        <f aca="false">SUMPRODUCT(G3094:P3094,_XtX!$B$71:$K$71)</f>
        <v>49.9483948863637</v>
      </c>
      <c r="R3094" s="0" t="n">
        <f aca="false">SUMPRODUCT(MMULT(G3094:P3094,_XtX!$B$58:$K$67),G3094:P3094)</f>
        <v>0.144839754971591</v>
      </c>
      <c r="S3094" s="0" t="n">
        <f aca="false">04_回帰ANOVA!$K$19*04_回帰ANOVA!$K$14*SQRT(1+R3094)</f>
        <v>0.994807353995542</v>
      </c>
      <c r="T3094" s="0" t="n">
        <f aca="false">Q3094-S3094</f>
        <v>48.9535875323681</v>
      </c>
      <c r="U3094" s="0" t="n">
        <f aca="false">Q3094+S3094</f>
        <v>50.9432022403592</v>
      </c>
      <c r="V3094" s="54" t="b">
        <f aca="false">AND(D3094&gt;=01_因子設定!$L$5-0.000000001,D3094&lt;=01_因子設定!$M$5+0.000000001,E3094&gt;=01_因子設定!$L$6-0.000000001,E3094&lt;=01_因子設定!$M$6+0.000000001,F3094&gt;=01_因子設定!$L$7-0.000000001,F3094&lt;=01_因子設定!$M$7+0.000000001,IF(01_因子設定!$B$20="Box-Behnken",D3094^2+E3094^2+F3094^2&lt;=2+0.000000001,TRUE()))</f>
        <v>1</v>
      </c>
      <c r="W3094" s="55" t="n">
        <f aca="false">IF(V3094,IF(01_因子設定!$B$13="最大化",T3094-01_因子設定!$B$14,IF(01_因子設定!$B$13="最小化",01_因子設定!$B$15-U3094,MIN(T3094-01_因子設定!$B$14,01_因子設定!$B$15-U3094))),-1E+030)</f>
        <v>0.453587532368111</v>
      </c>
      <c r="X3094" s="55" t="n">
        <f aca="false">IF(V3094,IF(01_因子設定!$B$13="最大化",Q3094,IF(01_因子設定!$B$13="最小化",-Q3094,-ABS(Q3094-01_因子設定!$B$16))),-1E+030)</f>
        <v>49.9483948863637</v>
      </c>
      <c r="Y3094" s="55" t="n">
        <f aca="false">W3094+ROW()*0.000000001</f>
        <v>0.453590626368111</v>
      </c>
      <c r="Z3094" s="55" t="n">
        <f aca="false">X3094+ROW()*0.000000001</f>
        <v>49.9483979803637</v>
      </c>
    </row>
    <row r="3095" customFormat="false" ht="15" hidden="false" customHeight="false" outlineLevel="0" collapsed="false">
      <c r="A3095" s="0" t="n">
        <v>10</v>
      </c>
      <c r="B3095" s="0" t="n">
        <v>11</v>
      </c>
      <c r="C3095" s="0" t="n">
        <v>13</v>
      </c>
      <c r="D3095" s="0" t="n">
        <f aca="false">-1+A3095*0.125</f>
        <v>0.25</v>
      </c>
      <c r="E3095" s="0" t="n">
        <f aca="false">-1+B3095*0.125</f>
        <v>0.375</v>
      </c>
      <c r="F3095" s="0" t="n">
        <f aca="false">-1+C3095*0.125</f>
        <v>0.625</v>
      </c>
      <c r="G3095" s="0" t="n">
        <f aca="false">1</f>
        <v>1</v>
      </c>
      <c r="H3095" s="0" t="n">
        <f aca="false">D3095</f>
        <v>0.25</v>
      </c>
      <c r="I3095" s="0" t="n">
        <f aca="false">E3095</f>
        <v>0.375</v>
      </c>
      <c r="J3095" s="0" t="n">
        <f aca="false">F3095</f>
        <v>0.625</v>
      </c>
      <c r="K3095" s="0" t="n">
        <f aca="false">D3095*E3095</f>
        <v>0.09375</v>
      </c>
      <c r="L3095" s="0" t="n">
        <f aca="false">D3095*F3095</f>
        <v>0.15625</v>
      </c>
      <c r="M3095" s="0" t="n">
        <f aca="false">E3095*F3095</f>
        <v>0.234375</v>
      </c>
      <c r="N3095" s="0" t="n">
        <f aca="false">D3095*D3095</f>
        <v>0.0625</v>
      </c>
      <c r="O3095" s="0" t="n">
        <f aca="false">E3095*E3095</f>
        <v>0.140625</v>
      </c>
      <c r="P3095" s="0" t="n">
        <f aca="false">F3095*F3095</f>
        <v>0.390625</v>
      </c>
      <c r="Q3095" s="0" t="n">
        <f aca="false">SUMPRODUCT(G3095:P3095,_XtX!$B$71:$K$71)</f>
        <v>49.9717471590909</v>
      </c>
      <c r="R3095" s="0" t="n">
        <f aca="false">SUMPRODUCT(MMULT(G3095:P3095,_XtX!$B$58:$K$67),G3095:P3095)</f>
        <v>0.174657648259943</v>
      </c>
      <c r="S3095" s="0" t="n">
        <f aca="false">04_回帰ANOVA!$K$19*04_回帰ANOVA!$K$14*SQRT(1+R3095)</f>
        <v>1.00767919364845</v>
      </c>
      <c r="T3095" s="0" t="n">
        <f aca="false">Q3095-S3095</f>
        <v>48.9640679654425</v>
      </c>
      <c r="U3095" s="0" t="n">
        <f aca="false">Q3095+S3095</f>
        <v>50.9794263527394</v>
      </c>
      <c r="V3095" s="54" t="b">
        <f aca="false">AND(D3095&gt;=01_因子設定!$L$5-0.000000001,D3095&lt;=01_因子設定!$M$5+0.000000001,E3095&gt;=01_因子設定!$L$6-0.000000001,E3095&lt;=01_因子設定!$M$6+0.000000001,F3095&gt;=01_因子設定!$L$7-0.000000001,F3095&lt;=01_因子設定!$M$7+0.000000001,IF(01_因子設定!$B$20="Box-Behnken",D3095^2+E3095^2+F3095^2&lt;=2+0.000000001,TRUE()))</f>
        <v>1</v>
      </c>
      <c r="W3095" s="55" t="n">
        <f aca="false">IF(V3095,IF(01_因子設定!$B$13="最大化",T3095-01_因子設定!$B$14,IF(01_因子設定!$B$13="最小化",01_因子設定!$B$15-U3095,MIN(T3095-01_因子設定!$B$14,01_因子設定!$B$15-U3095))),-1E+030)</f>
        <v>0.464067965442482</v>
      </c>
      <c r="X3095" s="55" t="n">
        <f aca="false">IF(V3095,IF(01_因子設定!$B$13="最大化",Q3095,IF(01_因子設定!$B$13="最小化",-Q3095,-ABS(Q3095-01_因子設定!$B$16))),-1E+030)</f>
        <v>49.9717471590909</v>
      </c>
      <c r="Y3095" s="55" t="n">
        <f aca="false">W3095+ROW()*0.000000001</f>
        <v>0.464071060442482</v>
      </c>
      <c r="Z3095" s="55" t="n">
        <f aca="false">X3095+ROW()*0.000000001</f>
        <v>49.9717502540909</v>
      </c>
    </row>
    <row r="3096" customFormat="false" ht="15" hidden="false" customHeight="false" outlineLevel="0" collapsed="false">
      <c r="A3096" s="0" t="n">
        <v>10</v>
      </c>
      <c r="B3096" s="0" t="n">
        <v>11</v>
      </c>
      <c r="C3096" s="0" t="n">
        <v>14</v>
      </c>
      <c r="D3096" s="0" t="n">
        <f aca="false">-1+A3096*0.125</f>
        <v>0.25</v>
      </c>
      <c r="E3096" s="0" t="n">
        <f aca="false">-1+B3096*0.125</f>
        <v>0.375</v>
      </c>
      <c r="F3096" s="0" t="n">
        <f aca="false">-1+C3096*0.125</f>
        <v>0.75</v>
      </c>
      <c r="G3096" s="0" t="n">
        <f aca="false">1</f>
        <v>1</v>
      </c>
      <c r="H3096" s="0" t="n">
        <f aca="false">D3096</f>
        <v>0.25</v>
      </c>
      <c r="I3096" s="0" t="n">
        <f aca="false">E3096</f>
        <v>0.375</v>
      </c>
      <c r="J3096" s="0" t="n">
        <f aca="false">F3096</f>
        <v>0.75</v>
      </c>
      <c r="K3096" s="0" t="n">
        <f aca="false">D3096*E3096</f>
        <v>0.09375</v>
      </c>
      <c r="L3096" s="0" t="n">
        <f aca="false">D3096*F3096</f>
        <v>0.1875</v>
      </c>
      <c r="M3096" s="0" t="n">
        <f aca="false">E3096*F3096</f>
        <v>0.28125</v>
      </c>
      <c r="N3096" s="0" t="n">
        <f aca="false">D3096*D3096</f>
        <v>0.0625</v>
      </c>
      <c r="O3096" s="0" t="n">
        <f aca="false">E3096*E3096</f>
        <v>0.140625</v>
      </c>
      <c r="P3096" s="0" t="n">
        <f aca="false">F3096*F3096</f>
        <v>0.5625</v>
      </c>
      <c r="Q3096" s="0" t="n">
        <f aca="false">SUMPRODUCT(G3096:P3096,_XtX!$B$71:$K$71)</f>
        <v>49.9583096590909</v>
      </c>
      <c r="R3096" s="0" t="n">
        <f aca="false">SUMPRODUCT(MMULT(G3096:P3096,_XtX!$B$58:$K$67),G3096:P3096)</f>
        <v>0.230632990056818</v>
      </c>
      <c r="S3096" s="0" t="n">
        <f aca="false">04_回帰ANOVA!$K$19*04_回帰ANOVA!$K$14*SQRT(1+R3096)</f>
        <v>1.03140899038819</v>
      </c>
      <c r="T3096" s="0" t="n">
        <f aca="false">Q3096-S3096</f>
        <v>48.9269006687027</v>
      </c>
      <c r="U3096" s="0" t="n">
        <f aca="false">Q3096+S3096</f>
        <v>50.9897186494791</v>
      </c>
      <c r="V3096" s="54" t="b">
        <f aca="false">AND(D3096&gt;=01_因子設定!$L$5-0.000000001,D3096&lt;=01_因子設定!$M$5+0.000000001,E3096&gt;=01_因子設定!$L$6-0.000000001,E3096&lt;=01_因子設定!$M$6+0.000000001,F3096&gt;=01_因子設定!$L$7-0.000000001,F3096&lt;=01_因子設定!$M$7+0.000000001,IF(01_因子設定!$B$20="Box-Behnken",D3096^2+E3096^2+F3096^2&lt;=2+0.000000001,TRUE()))</f>
        <v>1</v>
      </c>
      <c r="W3096" s="55" t="n">
        <f aca="false">IF(V3096,IF(01_因子設定!$B$13="最大化",T3096-01_因子設定!$B$14,IF(01_因子設定!$B$13="最小化",01_因子設定!$B$15-U3096,MIN(T3096-01_因子設定!$B$14,01_因子設定!$B$15-U3096))),-1E+030)</f>
        <v>0.426900668702743</v>
      </c>
      <c r="X3096" s="55" t="n">
        <f aca="false">IF(V3096,IF(01_因子設定!$B$13="最大化",Q3096,IF(01_因子設定!$B$13="最小化",-Q3096,-ABS(Q3096-01_因子設定!$B$16))),-1E+030)</f>
        <v>49.9583096590909</v>
      </c>
      <c r="Y3096" s="55" t="n">
        <f aca="false">W3096+ROW()*0.000000001</f>
        <v>0.426903764702743</v>
      </c>
      <c r="Z3096" s="55" t="n">
        <f aca="false">X3096+ROW()*0.000000001</f>
        <v>49.9583127550909</v>
      </c>
    </row>
    <row r="3097" customFormat="false" ht="15" hidden="false" customHeight="false" outlineLevel="0" collapsed="false">
      <c r="A3097" s="0" t="n">
        <v>10</v>
      </c>
      <c r="B3097" s="0" t="n">
        <v>11</v>
      </c>
      <c r="C3097" s="0" t="n">
        <v>15</v>
      </c>
      <c r="D3097" s="0" t="n">
        <f aca="false">-1+A3097*0.125</f>
        <v>0.25</v>
      </c>
      <c r="E3097" s="0" t="n">
        <f aca="false">-1+B3097*0.125</f>
        <v>0.375</v>
      </c>
      <c r="F3097" s="0" t="n">
        <f aca="false">-1+C3097*0.125</f>
        <v>0.875</v>
      </c>
      <c r="G3097" s="0" t="n">
        <f aca="false">1</f>
        <v>1</v>
      </c>
      <c r="H3097" s="0" t="n">
        <f aca="false">D3097</f>
        <v>0.25</v>
      </c>
      <c r="I3097" s="0" t="n">
        <f aca="false">E3097</f>
        <v>0.375</v>
      </c>
      <c r="J3097" s="0" t="n">
        <f aca="false">F3097</f>
        <v>0.875</v>
      </c>
      <c r="K3097" s="0" t="n">
        <f aca="false">D3097*E3097</f>
        <v>0.09375</v>
      </c>
      <c r="L3097" s="0" t="n">
        <f aca="false">D3097*F3097</f>
        <v>0.21875</v>
      </c>
      <c r="M3097" s="0" t="n">
        <f aca="false">E3097*F3097</f>
        <v>0.328125</v>
      </c>
      <c r="N3097" s="0" t="n">
        <f aca="false">D3097*D3097</f>
        <v>0.0625</v>
      </c>
      <c r="O3097" s="0" t="n">
        <f aca="false">E3097*E3097</f>
        <v>0.140625</v>
      </c>
      <c r="P3097" s="0" t="n">
        <f aca="false">F3097*F3097</f>
        <v>0.765625</v>
      </c>
      <c r="Q3097" s="0" t="n">
        <f aca="false">SUMPRODUCT(G3097:P3097,_XtX!$B$71:$K$71)</f>
        <v>49.9080823863637</v>
      </c>
      <c r="R3097" s="0" t="n">
        <f aca="false">SUMPRODUCT(MMULT(G3097:P3097,_XtX!$B$58:$K$67),G3097:P3097)</f>
        <v>0.324484530362216</v>
      </c>
      <c r="S3097" s="0" t="n">
        <f aca="false">04_回帰ANOVA!$K$19*04_回帰ANOVA!$K$14*SQRT(1+R3097)</f>
        <v>1.07001553041279</v>
      </c>
      <c r="T3097" s="0" t="n">
        <f aca="false">Q3097-S3097</f>
        <v>48.8380668559509</v>
      </c>
      <c r="U3097" s="0" t="n">
        <f aca="false">Q3097+S3097</f>
        <v>50.9780979167765</v>
      </c>
      <c r="V3097" s="54" t="b">
        <f aca="false">AND(D3097&gt;=01_因子設定!$L$5-0.000000001,D3097&lt;=01_因子設定!$M$5+0.000000001,E3097&gt;=01_因子設定!$L$6-0.000000001,E3097&lt;=01_因子設定!$M$6+0.000000001,F3097&gt;=01_因子設定!$L$7-0.000000001,F3097&lt;=01_因子設定!$M$7+0.000000001,IF(01_因子設定!$B$20="Box-Behnken",D3097^2+E3097^2+F3097^2&lt;=2+0.000000001,TRUE()))</f>
        <v>1</v>
      </c>
      <c r="W3097" s="55" t="n">
        <f aca="false">IF(V3097,IF(01_因子設定!$B$13="最大化",T3097-01_因子設定!$B$14,IF(01_因子設定!$B$13="最小化",01_因子設定!$B$15-U3097,MIN(T3097-01_因子設定!$B$14,01_因子設定!$B$15-U3097))),-1E+030)</f>
        <v>0.338066855950871</v>
      </c>
      <c r="X3097" s="55" t="n">
        <f aca="false">IF(V3097,IF(01_因子設定!$B$13="最大化",Q3097,IF(01_因子設定!$B$13="最小化",-Q3097,-ABS(Q3097-01_因子設定!$B$16))),-1E+030)</f>
        <v>49.9080823863637</v>
      </c>
      <c r="Y3097" s="55" t="n">
        <f aca="false">W3097+ROW()*0.000000001</f>
        <v>0.338069952950871</v>
      </c>
      <c r="Z3097" s="55" t="n">
        <f aca="false">X3097+ROW()*0.000000001</f>
        <v>49.9080854833637</v>
      </c>
    </row>
    <row r="3098" customFormat="false" ht="15" hidden="false" customHeight="false" outlineLevel="0" collapsed="false">
      <c r="A3098" s="0" t="n">
        <v>10</v>
      </c>
      <c r="B3098" s="0" t="n">
        <v>11</v>
      </c>
      <c r="C3098" s="0" t="n">
        <v>16</v>
      </c>
      <c r="D3098" s="0" t="n">
        <f aca="false">-1+A3098*0.125</f>
        <v>0.25</v>
      </c>
      <c r="E3098" s="0" t="n">
        <f aca="false">-1+B3098*0.125</f>
        <v>0.375</v>
      </c>
      <c r="F3098" s="0" t="n">
        <f aca="false">-1+C3098*0.125</f>
        <v>1</v>
      </c>
      <c r="G3098" s="0" t="n">
        <f aca="false">1</f>
        <v>1</v>
      </c>
      <c r="H3098" s="0" t="n">
        <f aca="false">D3098</f>
        <v>0.25</v>
      </c>
      <c r="I3098" s="0" t="n">
        <f aca="false">E3098</f>
        <v>0.375</v>
      </c>
      <c r="J3098" s="0" t="n">
        <f aca="false">F3098</f>
        <v>1</v>
      </c>
      <c r="K3098" s="0" t="n">
        <f aca="false">D3098*E3098</f>
        <v>0.09375</v>
      </c>
      <c r="L3098" s="0" t="n">
        <f aca="false">D3098*F3098</f>
        <v>0.25</v>
      </c>
      <c r="M3098" s="0" t="n">
        <f aca="false">E3098*F3098</f>
        <v>0.375</v>
      </c>
      <c r="N3098" s="0" t="n">
        <f aca="false">D3098*D3098</f>
        <v>0.0625</v>
      </c>
      <c r="O3098" s="0" t="n">
        <f aca="false">E3098*E3098</f>
        <v>0.140625</v>
      </c>
      <c r="P3098" s="0" t="n">
        <f aca="false">F3098*F3098</f>
        <v>1</v>
      </c>
      <c r="Q3098" s="0" t="n">
        <f aca="false">SUMPRODUCT(G3098:P3098,_XtX!$B$71:$K$71)</f>
        <v>49.8210653409091</v>
      </c>
      <c r="R3098" s="0" t="n">
        <f aca="false">SUMPRODUCT(MMULT(G3098:P3098,_XtX!$B$58:$K$67),G3098:P3098)</f>
        <v>0.470061700994318</v>
      </c>
      <c r="S3098" s="0" t="n">
        <f aca="false">04_回帰ANOVA!$K$19*04_回帰ANOVA!$K$14*SQRT(1+R3098)</f>
        <v>1.12728678965931</v>
      </c>
      <c r="T3098" s="0" t="n">
        <f aca="false">Q3098-S3098</f>
        <v>48.6937785512498</v>
      </c>
      <c r="U3098" s="0" t="n">
        <f aca="false">Q3098+S3098</f>
        <v>50.9483521305684</v>
      </c>
      <c r="V3098" s="54" t="b">
        <f aca="false">AND(D3098&gt;=01_因子設定!$L$5-0.000000001,D3098&lt;=01_因子設定!$M$5+0.000000001,E3098&gt;=01_因子設定!$L$6-0.000000001,E3098&lt;=01_因子設定!$M$6+0.000000001,F3098&gt;=01_因子設定!$L$7-0.000000001,F3098&lt;=01_因子設定!$M$7+0.000000001,IF(01_因子設定!$B$20="Box-Behnken",D3098^2+E3098^2+F3098^2&lt;=2+0.000000001,TRUE()))</f>
        <v>1</v>
      </c>
      <c r="W3098" s="55" t="n">
        <f aca="false">IF(V3098,IF(01_因子設定!$B$13="最大化",T3098-01_因子設定!$B$14,IF(01_因子設定!$B$13="最小化",01_因子設定!$B$15-U3098,MIN(T3098-01_因子設定!$B$14,01_因子設定!$B$15-U3098))),-1E+030)</f>
        <v>0.193778551249807</v>
      </c>
      <c r="X3098" s="55" t="n">
        <f aca="false">IF(V3098,IF(01_因子設定!$B$13="最大化",Q3098,IF(01_因子設定!$B$13="最小化",-Q3098,-ABS(Q3098-01_因子設定!$B$16))),-1E+030)</f>
        <v>49.8210653409091</v>
      </c>
      <c r="Y3098" s="55" t="n">
        <f aca="false">W3098+ROW()*0.000000001</f>
        <v>0.193781649249807</v>
      </c>
      <c r="Z3098" s="55" t="n">
        <f aca="false">X3098+ROW()*0.000000001</f>
        <v>49.8210684389091</v>
      </c>
    </row>
    <row r="3099" customFormat="false" ht="15" hidden="false" customHeight="false" outlineLevel="0" collapsed="false">
      <c r="A3099" s="0" t="n">
        <v>10</v>
      </c>
      <c r="B3099" s="0" t="n">
        <v>12</v>
      </c>
      <c r="C3099" s="0" t="n">
        <v>0</v>
      </c>
      <c r="D3099" s="0" t="n">
        <f aca="false">-1+A3099*0.125</f>
        <v>0.25</v>
      </c>
      <c r="E3099" s="0" t="n">
        <f aca="false">-1+B3099*0.125</f>
        <v>0.5</v>
      </c>
      <c r="F3099" s="0" t="n">
        <f aca="false">-1+C3099*0.125</f>
        <v>-1</v>
      </c>
      <c r="G3099" s="0" t="n">
        <f aca="false">1</f>
        <v>1</v>
      </c>
      <c r="H3099" s="0" t="n">
        <f aca="false">D3099</f>
        <v>0.25</v>
      </c>
      <c r="I3099" s="0" t="n">
        <f aca="false">E3099</f>
        <v>0.5</v>
      </c>
      <c r="J3099" s="0" t="n">
        <f aca="false">F3099</f>
        <v>-1</v>
      </c>
      <c r="K3099" s="0" t="n">
        <f aca="false">D3099*E3099</f>
        <v>0.125</v>
      </c>
      <c r="L3099" s="0" t="n">
        <f aca="false">D3099*F3099</f>
        <v>-0.25</v>
      </c>
      <c r="M3099" s="0" t="n">
        <f aca="false">E3099*F3099</f>
        <v>-0.5</v>
      </c>
      <c r="N3099" s="0" t="n">
        <f aca="false">D3099*D3099</f>
        <v>0.0625</v>
      </c>
      <c r="O3099" s="0" t="n">
        <f aca="false">E3099*E3099</f>
        <v>0.25</v>
      </c>
      <c r="P3099" s="0" t="n">
        <f aca="false">F3099*F3099</f>
        <v>1</v>
      </c>
      <c r="Q3099" s="0" t="n">
        <f aca="false">SUMPRODUCT(G3099:P3099,_XtX!$B$71:$K$71)</f>
        <v>46.8176136363637</v>
      </c>
      <c r="R3099" s="0" t="n">
        <f aca="false">SUMPRODUCT(MMULT(G3099:P3099,_XtX!$B$58:$K$67),G3099:P3099)</f>
        <v>0.469424715909091</v>
      </c>
      <c r="S3099" s="0" t="n">
        <f aca="false">04_回帰ANOVA!$K$19*04_回帰ANOVA!$K$14*SQRT(1+R3099)</f>
        <v>1.12704253369596</v>
      </c>
      <c r="T3099" s="0" t="n">
        <f aca="false">Q3099-S3099</f>
        <v>45.6905711026677</v>
      </c>
      <c r="U3099" s="0" t="n">
        <f aca="false">Q3099+S3099</f>
        <v>47.9446561700596</v>
      </c>
      <c r="V3099" s="54" t="b">
        <f aca="false">AND(D3099&gt;=01_因子設定!$L$5-0.000000001,D3099&lt;=01_因子設定!$M$5+0.000000001,E3099&gt;=01_因子設定!$L$6-0.000000001,E3099&lt;=01_因子設定!$M$6+0.000000001,F3099&gt;=01_因子設定!$L$7-0.000000001,F3099&lt;=01_因子設定!$M$7+0.000000001,IF(01_因子設定!$B$20="Box-Behnken",D3099^2+E3099^2+F3099^2&lt;=2+0.000000001,TRUE()))</f>
        <v>1</v>
      </c>
      <c r="W3099" s="55" t="n">
        <f aca="false">IF(V3099,IF(01_因子設定!$B$13="最大化",T3099-01_因子設定!$B$14,IF(01_因子設定!$B$13="最小化",01_因子設定!$B$15-U3099,MIN(T3099-01_因子設定!$B$14,01_因子設定!$B$15-U3099))),-1E+030)</f>
        <v>-2.80942889733229</v>
      </c>
      <c r="X3099" s="55" t="n">
        <f aca="false">IF(V3099,IF(01_因子設定!$B$13="最大化",Q3099,IF(01_因子設定!$B$13="最小化",-Q3099,-ABS(Q3099-01_因子設定!$B$16))),-1E+030)</f>
        <v>46.8176136363637</v>
      </c>
      <c r="Y3099" s="55" t="n">
        <f aca="false">W3099+ROW()*0.000000001</f>
        <v>-2.80942579833229</v>
      </c>
      <c r="Z3099" s="55" t="n">
        <f aca="false">X3099+ROW()*0.000000001</f>
        <v>46.8176167353637</v>
      </c>
    </row>
    <row r="3100" customFormat="false" ht="15" hidden="false" customHeight="false" outlineLevel="0" collapsed="false">
      <c r="A3100" s="0" t="n">
        <v>10</v>
      </c>
      <c r="B3100" s="0" t="n">
        <v>12</v>
      </c>
      <c r="C3100" s="0" t="n">
        <v>1</v>
      </c>
      <c r="D3100" s="0" t="n">
        <f aca="false">-1+A3100*0.125</f>
        <v>0.25</v>
      </c>
      <c r="E3100" s="0" t="n">
        <f aca="false">-1+B3100*0.125</f>
        <v>0.5</v>
      </c>
      <c r="F3100" s="0" t="n">
        <f aca="false">-1+C3100*0.125</f>
        <v>-0.875</v>
      </c>
      <c r="G3100" s="0" t="n">
        <f aca="false">1</f>
        <v>1</v>
      </c>
      <c r="H3100" s="0" t="n">
        <f aca="false">D3100</f>
        <v>0.25</v>
      </c>
      <c r="I3100" s="0" t="n">
        <f aca="false">E3100</f>
        <v>0.5</v>
      </c>
      <c r="J3100" s="0" t="n">
        <f aca="false">F3100</f>
        <v>-0.875</v>
      </c>
      <c r="K3100" s="0" t="n">
        <f aca="false">D3100*E3100</f>
        <v>0.125</v>
      </c>
      <c r="L3100" s="0" t="n">
        <f aca="false">D3100*F3100</f>
        <v>-0.21875</v>
      </c>
      <c r="M3100" s="0" t="n">
        <f aca="false">E3100*F3100</f>
        <v>-0.4375</v>
      </c>
      <c r="N3100" s="0" t="n">
        <f aca="false">D3100*D3100</f>
        <v>0.0625</v>
      </c>
      <c r="O3100" s="0" t="n">
        <f aca="false">E3100*E3100</f>
        <v>0.25</v>
      </c>
      <c r="P3100" s="0" t="n">
        <f aca="false">F3100*F3100</f>
        <v>0.765625</v>
      </c>
      <c r="Q3100" s="0" t="n">
        <f aca="false">SUMPRODUCT(G3100:P3100,_XtX!$B$71:$K$71)</f>
        <v>47.2894744318182</v>
      </c>
      <c r="R3100" s="0" t="n">
        <f aca="false">SUMPRODUCT(MMULT(G3100:P3100,_XtX!$B$58:$K$67),G3100:P3100)</f>
        <v>0.327634499289773</v>
      </c>
      <c r="S3100" s="0" t="n">
        <f aca="false">04_回帰ANOVA!$K$19*04_回帰ANOVA!$K$14*SQRT(1+R3100)</f>
        <v>1.07128716250217</v>
      </c>
      <c r="T3100" s="0" t="n">
        <f aca="false">Q3100-S3100</f>
        <v>46.218187269316</v>
      </c>
      <c r="U3100" s="0" t="n">
        <f aca="false">Q3100+S3100</f>
        <v>48.3607615943204</v>
      </c>
      <c r="V3100" s="54" t="b">
        <f aca="false">AND(D3100&gt;=01_因子設定!$L$5-0.000000001,D3100&lt;=01_因子設定!$M$5+0.000000001,E3100&gt;=01_因子設定!$L$6-0.000000001,E3100&lt;=01_因子設定!$M$6+0.000000001,F3100&gt;=01_因子設定!$L$7-0.000000001,F3100&lt;=01_因子設定!$M$7+0.000000001,IF(01_因子設定!$B$20="Box-Behnken",D3100^2+E3100^2+F3100^2&lt;=2+0.000000001,TRUE()))</f>
        <v>1</v>
      </c>
      <c r="W3100" s="55" t="n">
        <f aca="false">IF(V3100,IF(01_因子設定!$B$13="最大化",T3100-01_因子設定!$B$14,IF(01_因子設定!$B$13="最小化",01_因子設定!$B$15-U3100,MIN(T3100-01_因子設定!$B$14,01_因子設定!$B$15-U3100))),-1E+030)</f>
        <v>-2.28181273068397</v>
      </c>
      <c r="X3100" s="55" t="n">
        <f aca="false">IF(V3100,IF(01_因子設定!$B$13="最大化",Q3100,IF(01_因子設定!$B$13="最小化",-Q3100,-ABS(Q3100-01_因子設定!$B$16))),-1E+030)</f>
        <v>47.2894744318182</v>
      </c>
      <c r="Y3100" s="55" t="n">
        <f aca="false">W3100+ROW()*0.000000001</f>
        <v>-2.28180963068397</v>
      </c>
      <c r="Z3100" s="55" t="n">
        <f aca="false">X3100+ROW()*0.000000001</f>
        <v>47.2894775318182</v>
      </c>
    </row>
    <row r="3101" customFormat="false" ht="15" hidden="false" customHeight="false" outlineLevel="0" collapsed="false">
      <c r="A3101" s="0" t="n">
        <v>10</v>
      </c>
      <c r="B3101" s="0" t="n">
        <v>12</v>
      </c>
      <c r="C3101" s="0" t="n">
        <v>2</v>
      </c>
      <c r="D3101" s="0" t="n">
        <f aca="false">-1+A3101*0.125</f>
        <v>0.25</v>
      </c>
      <c r="E3101" s="0" t="n">
        <f aca="false">-1+B3101*0.125</f>
        <v>0.5</v>
      </c>
      <c r="F3101" s="0" t="n">
        <f aca="false">-1+C3101*0.125</f>
        <v>-0.75</v>
      </c>
      <c r="G3101" s="0" t="n">
        <f aca="false">1</f>
        <v>1</v>
      </c>
      <c r="H3101" s="0" t="n">
        <f aca="false">D3101</f>
        <v>0.25</v>
      </c>
      <c r="I3101" s="0" t="n">
        <f aca="false">E3101</f>
        <v>0.5</v>
      </c>
      <c r="J3101" s="0" t="n">
        <f aca="false">F3101</f>
        <v>-0.75</v>
      </c>
      <c r="K3101" s="0" t="n">
        <f aca="false">D3101*E3101</f>
        <v>0.125</v>
      </c>
      <c r="L3101" s="0" t="n">
        <f aca="false">D3101*F3101</f>
        <v>-0.1875</v>
      </c>
      <c r="M3101" s="0" t="n">
        <f aca="false">E3101*F3101</f>
        <v>-0.375</v>
      </c>
      <c r="N3101" s="0" t="n">
        <f aca="false">D3101*D3101</f>
        <v>0.0625</v>
      </c>
      <c r="O3101" s="0" t="n">
        <f aca="false">E3101*E3101</f>
        <v>0.25</v>
      </c>
      <c r="P3101" s="0" t="n">
        <f aca="false">F3101*F3101</f>
        <v>0.5625</v>
      </c>
      <c r="Q3101" s="0" t="n">
        <f aca="false">SUMPRODUCT(G3101:P3101,_XtX!$B$71:$K$71)</f>
        <v>47.7245454545455</v>
      </c>
      <c r="R3101" s="0" t="n">
        <f aca="false">SUMPRODUCT(MMULT(G3101:P3101,_XtX!$B$58:$K$67),G3101:P3101)</f>
        <v>0.237064985795455</v>
      </c>
      <c r="S3101" s="0" t="n">
        <f aca="false">04_回帰ANOVA!$K$19*04_回帰ANOVA!$K$14*SQRT(1+R3101)</f>
        <v>1.03410084594745</v>
      </c>
      <c r="T3101" s="0" t="n">
        <f aca="false">Q3101-S3101</f>
        <v>46.690444608598</v>
      </c>
      <c r="U3101" s="0" t="n">
        <f aca="false">Q3101+S3101</f>
        <v>48.7586463004929</v>
      </c>
      <c r="V3101" s="54" t="b">
        <f aca="false">AND(D3101&gt;=01_因子設定!$L$5-0.000000001,D3101&lt;=01_因子設定!$M$5+0.000000001,E3101&gt;=01_因子設定!$L$6-0.000000001,E3101&lt;=01_因子設定!$M$6+0.000000001,F3101&gt;=01_因子設定!$L$7-0.000000001,F3101&lt;=01_因子設定!$M$7+0.000000001,IF(01_因子設定!$B$20="Box-Behnken",D3101^2+E3101^2+F3101^2&lt;=2+0.000000001,TRUE()))</f>
        <v>1</v>
      </c>
      <c r="W3101" s="55" t="n">
        <f aca="false">IF(V3101,IF(01_因子設定!$B$13="最大化",T3101-01_因子設定!$B$14,IF(01_因子設定!$B$13="最小化",01_因子設定!$B$15-U3101,MIN(T3101-01_因子設定!$B$14,01_因子設定!$B$15-U3101))),-1E+030)</f>
        <v>-1.80955539140197</v>
      </c>
      <c r="X3101" s="55" t="n">
        <f aca="false">IF(V3101,IF(01_因子設定!$B$13="最大化",Q3101,IF(01_因子設定!$B$13="最小化",-Q3101,-ABS(Q3101-01_因子設定!$B$16))),-1E+030)</f>
        <v>47.7245454545455</v>
      </c>
      <c r="Y3101" s="55" t="n">
        <f aca="false">W3101+ROW()*0.000000001</f>
        <v>-1.80955229040197</v>
      </c>
      <c r="Z3101" s="55" t="n">
        <f aca="false">X3101+ROW()*0.000000001</f>
        <v>47.7245485555455</v>
      </c>
    </row>
    <row r="3102" customFormat="false" ht="15" hidden="false" customHeight="false" outlineLevel="0" collapsed="false">
      <c r="A3102" s="0" t="n">
        <v>10</v>
      </c>
      <c r="B3102" s="0" t="n">
        <v>12</v>
      </c>
      <c r="C3102" s="0" t="n">
        <v>3</v>
      </c>
      <c r="D3102" s="0" t="n">
        <f aca="false">-1+A3102*0.125</f>
        <v>0.25</v>
      </c>
      <c r="E3102" s="0" t="n">
        <f aca="false">-1+B3102*0.125</f>
        <v>0.5</v>
      </c>
      <c r="F3102" s="0" t="n">
        <f aca="false">-1+C3102*0.125</f>
        <v>-0.625</v>
      </c>
      <c r="G3102" s="0" t="n">
        <f aca="false">1</f>
        <v>1</v>
      </c>
      <c r="H3102" s="0" t="n">
        <f aca="false">D3102</f>
        <v>0.25</v>
      </c>
      <c r="I3102" s="0" t="n">
        <f aca="false">E3102</f>
        <v>0.5</v>
      </c>
      <c r="J3102" s="0" t="n">
        <f aca="false">F3102</f>
        <v>-0.625</v>
      </c>
      <c r="K3102" s="0" t="n">
        <f aca="false">D3102*E3102</f>
        <v>0.125</v>
      </c>
      <c r="L3102" s="0" t="n">
        <f aca="false">D3102*F3102</f>
        <v>-0.15625</v>
      </c>
      <c r="M3102" s="0" t="n">
        <f aca="false">E3102*F3102</f>
        <v>-0.3125</v>
      </c>
      <c r="N3102" s="0" t="n">
        <f aca="false">D3102*D3102</f>
        <v>0.0625</v>
      </c>
      <c r="O3102" s="0" t="n">
        <f aca="false">E3102*E3102</f>
        <v>0.25</v>
      </c>
      <c r="P3102" s="0" t="n">
        <f aca="false">F3102*F3102</f>
        <v>0.390625</v>
      </c>
      <c r="Q3102" s="0" t="n">
        <f aca="false">SUMPRODUCT(G3102:P3102,_XtX!$B$71:$K$71)</f>
        <v>48.1228267045455</v>
      </c>
      <c r="R3102" s="0" t="n">
        <f aca="false">SUMPRODUCT(MMULT(G3102:P3102,_XtX!$B$58:$K$67),G3102:P3102)</f>
        <v>0.183866743607955</v>
      </c>
      <c r="S3102" s="0" t="n">
        <f aca="false">04_回帰ANOVA!$K$19*04_回帰ANOVA!$K$14*SQRT(1+R3102)</f>
        <v>1.01162148983013</v>
      </c>
      <c r="T3102" s="0" t="n">
        <f aca="false">Q3102-S3102</f>
        <v>47.1112052147153</v>
      </c>
      <c r="U3102" s="0" t="n">
        <f aca="false">Q3102+S3102</f>
        <v>49.1344481943756</v>
      </c>
      <c r="V3102" s="54" t="b">
        <f aca="false">AND(D3102&gt;=01_因子設定!$L$5-0.000000001,D3102&lt;=01_因子設定!$M$5+0.000000001,E3102&gt;=01_因子設定!$L$6-0.000000001,E3102&lt;=01_因子設定!$M$6+0.000000001,F3102&gt;=01_因子設定!$L$7-0.000000001,F3102&lt;=01_因子設定!$M$7+0.000000001,IF(01_因子設定!$B$20="Box-Behnken",D3102^2+E3102^2+F3102^2&lt;=2+0.000000001,TRUE()))</f>
        <v>1</v>
      </c>
      <c r="W3102" s="55" t="n">
        <f aca="false">IF(V3102,IF(01_因子設定!$B$13="最大化",T3102-01_因子設定!$B$14,IF(01_因子設定!$B$13="最小化",01_因子設定!$B$15-U3102,MIN(T3102-01_因子設定!$B$14,01_因子設定!$B$15-U3102))),-1E+030)</f>
        <v>-1.38879478528467</v>
      </c>
      <c r="X3102" s="55" t="n">
        <f aca="false">IF(V3102,IF(01_因子設定!$B$13="最大化",Q3102,IF(01_因子設定!$B$13="最小化",-Q3102,-ABS(Q3102-01_因子設定!$B$16))),-1E+030)</f>
        <v>48.1228267045455</v>
      </c>
      <c r="Y3102" s="55" t="n">
        <f aca="false">W3102+ROW()*0.000000001</f>
        <v>-1.38879168328467</v>
      </c>
      <c r="Z3102" s="55" t="n">
        <f aca="false">X3102+ROW()*0.000000001</f>
        <v>48.1228298065455</v>
      </c>
    </row>
    <row r="3103" customFormat="false" ht="15" hidden="false" customHeight="false" outlineLevel="0" collapsed="false">
      <c r="A3103" s="0" t="n">
        <v>10</v>
      </c>
      <c r="B3103" s="0" t="n">
        <v>12</v>
      </c>
      <c r="C3103" s="0" t="n">
        <v>4</v>
      </c>
      <c r="D3103" s="0" t="n">
        <f aca="false">-1+A3103*0.125</f>
        <v>0.25</v>
      </c>
      <c r="E3103" s="0" t="n">
        <f aca="false">-1+B3103*0.125</f>
        <v>0.5</v>
      </c>
      <c r="F3103" s="0" t="n">
        <f aca="false">-1+C3103*0.125</f>
        <v>-0.5</v>
      </c>
      <c r="G3103" s="0" t="n">
        <f aca="false">1</f>
        <v>1</v>
      </c>
      <c r="H3103" s="0" t="n">
        <f aca="false">D3103</f>
        <v>0.25</v>
      </c>
      <c r="I3103" s="0" t="n">
        <f aca="false">E3103</f>
        <v>0.5</v>
      </c>
      <c r="J3103" s="0" t="n">
        <f aca="false">F3103</f>
        <v>-0.5</v>
      </c>
      <c r="K3103" s="0" t="n">
        <f aca="false">D3103*E3103</f>
        <v>0.125</v>
      </c>
      <c r="L3103" s="0" t="n">
        <f aca="false">D3103*F3103</f>
        <v>-0.125</v>
      </c>
      <c r="M3103" s="0" t="n">
        <f aca="false">E3103*F3103</f>
        <v>-0.25</v>
      </c>
      <c r="N3103" s="0" t="n">
        <f aca="false">D3103*D3103</f>
        <v>0.0625</v>
      </c>
      <c r="O3103" s="0" t="n">
        <f aca="false">E3103*E3103</f>
        <v>0.25</v>
      </c>
      <c r="P3103" s="0" t="n">
        <f aca="false">F3103*F3103</f>
        <v>0.25</v>
      </c>
      <c r="Q3103" s="0" t="n">
        <f aca="false">SUMPRODUCT(G3103:P3103,_XtX!$B$71:$K$71)</f>
        <v>48.4843181818182</v>
      </c>
      <c r="R3103" s="0" t="n">
        <f aca="false">SUMPRODUCT(MMULT(G3103:P3103,_XtX!$B$58:$K$67),G3103:P3103)</f>
        <v>0.156321022727273</v>
      </c>
      <c r="S3103" s="0" t="n">
        <f aca="false">04_回帰ANOVA!$K$19*04_回帰ANOVA!$K$14*SQRT(1+R3103)</f>
        <v>0.999783227753172</v>
      </c>
      <c r="T3103" s="0" t="n">
        <f aca="false">Q3103-S3103</f>
        <v>47.484534954065</v>
      </c>
      <c r="U3103" s="0" t="n">
        <f aca="false">Q3103+S3103</f>
        <v>49.4841014095714</v>
      </c>
      <c r="V3103" s="54" t="b">
        <f aca="false">AND(D3103&gt;=01_因子設定!$L$5-0.000000001,D3103&lt;=01_因子設定!$M$5+0.000000001,E3103&gt;=01_因子設定!$L$6-0.000000001,E3103&lt;=01_因子設定!$M$6+0.000000001,F3103&gt;=01_因子設定!$L$7-0.000000001,F3103&lt;=01_因子設定!$M$7+0.000000001,IF(01_因子設定!$B$20="Box-Behnken",D3103^2+E3103^2+F3103^2&lt;=2+0.000000001,TRUE()))</f>
        <v>1</v>
      </c>
      <c r="W3103" s="55" t="n">
        <f aca="false">IF(V3103,IF(01_因子設定!$B$13="最大化",T3103-01_因子設定!$B$14,IF(01_因子設定!$B$13="最小化",01_因子設定!$B$15-U3103,MIN(T3103-01_因子設定!$B$14,01_因子設定!$B$15-U3103))),-1E+030)</f>
        <v>-1.01546504593497</v>
      </c>
      <c r="X3103" s="55" t="n">
        <f aca="false">IF(V3103,IF(01_因子設定!$B$13="最大化",Q3103,IF(01_因子設定!$B$13="最小化",-Q3103,-ABS(Q3103-01_因子設定!$B$16))),-1E+030)</f>
        <v>48.4843181818182</v>
      </c>
      <c r="Y3103" s="55" t="n">
        <f aca="false">W3103+ROW()*0.000000001</f>
        <v>-1.01546194293497</v>
      </c>
      <c r="Z3103" s="55" t="n">
        <f aca="false">X3103+ROW()*0.000000001</f>
        <v>48.4843212848182</v>
      </c>
    </row>
    <row r="3104" customFormat="false" ht="15" hidden="false" customHeight="false" outlineLevel="0" collapsed="false">
      <c r="A3104" s="0" t="n">
        <v>10</v>
      </c>
      <c r="B3104" s="0" t="n">
        <v>12</v>
      </c>
      <c r="C3104" s="0" t="n">
        <v>5</v>
      </c>
      <c r="D3104" s="0" t="n">
        <f aca="false">-1+A3104*0.125</f>
        <v>0.25</v>
      </c>
      <c r="E3104" s="0" t="n">
        <f aca="false">-1+B3104*0.125</f>
        <v>0.5</v>
      </c>
      <c r="F3104" s="0" t="n">
        <f aca="false">-1+C3104*0.125</f>
        <v>-0.375</v>
      </c>
      <c r="G3104" s="0" t="n">
        <f aca="false">1</f>
        <v>1</v>
      </c>
      <c r="H3104" s="0" t="n">
        <f aca="false">D3104</f>
        <v>0.25</v>
      </c>
      <c r="I3104" s="0" t="n">
        <f aca="false">E3104</f>
        <v>0.5</v>
      </c>
      <c r="J3104" s="0" t="n">
        <f aca="false">F3104</f>
        <v>-0.375</v>
      </c>
      <c r="K3104" s="0" t="n">
        <f aca="false">D3104*E3104</f>
        <v>0.125</v>
      </c>
      <c r="L3104" s="0" t="n">
        <f aca="false">D3104*F3104</f>
        <v>-0.09375</v>
      </c>
      <c r="M3104" s="0" t="n">
        <f aca="false">E3104*F3104</f>
        <v>-0.1875</v>
      </c>
      <c r="N3104" s="0" t="n">
        <f aca="false">D3104*D3104</f>
        <v>0.0625</v>
      </c>
      <c r="O3104" s="0" t="n">
        <f aca="false">E3104*E3104</f>
        <v>0.25</v>
      </c>
      <c r="P3104" s="0" t="n">
        <f aca="false">F3104*F3104</f>
        <v>0.140625</v>
      </c>
      <c r="Q3104" s="0" t="n">
        <f aca="false">SUMPRODUCT(G3104:P3104,_XtX!$B$71:$K$71)</f>
        <v>48.8090198863637</v>
      </c>
      <c r="R3104" s="0" t="n">
        <f aca="false">SUMPRODUCT(MMULT(G3104:P3104,_XtX!$B$58:$K$67),G3104:P3104)</f>
        <v>0.144839754971591</v>
      </c>
      <c r="S3104" s="0" t="n">
        <f aca="false">04_回帰ANOVA!$K$19*04_回帰ANOVA!$K$14*SQRT(1+R3104)</f>
        <v>0.994807353995542</v>
      </c>
      <c r="T3104" s="0" t="n">
        <f aca="false">Q3104-S3104</f>
        <v>47.8142125323681</v>
      </c>
      <c r="U3104" s="0" t="n">
        <f aca="false">Q3104+S3104</f>
        <v>49.8038272403592</v>
      </c>
      <c r="V3104" s="54" t="b">
        <f aca="false">AND(D3104&gt;=01_因子設定!$L$5-0.000000001,D3104&lt;=01_因子設定!$M$5+0.000000001,E3104&gt;=01_因子設定!$L$6-0.000000001,E3104&lt;=01_因子設定!$M$6+0.000000001,F3104&gt;=01_因子設定!$L$7-0.000000001,F3104&lt;=01_因子設定!$M$7+0.000000001,IF(01_因子設定!$B$20="Box-Behnken",D3104^2+E3104^2+F3104^2&lt;=2+0.000000001,TRUE()))</f>
        <v>1</v>
      </c>
      <c r="W3104" s="55" t="n">
        <f aca="false">IF(V3104,IF(01_因子設定!$B$13="最大化",T3104-01_因子設定!$B$14,IF(01_因子設定!$B$13="最小化",01_因子設定!$B$15-U3104,MIN(T3104-01_因子設定!$B$14,01_因子設定!$B$15-U3104))),-1E+030)</f>
        <v>-0.68578746763189</v>
      </c>
      <c r="X3104" s="55" t="n">
        <f aca="false">IF(V3104,IF(01_因子設定!$B$13="最大化",Q3104,IF(01_因子設定!$B$13="最小化",-Q3104,-ABS(Q3104-01_因子設定!$B$16))),-1E+030)</f>
        <v>48.8090198863637</v>
      </c>
      <c r="Y3104" s="55" t="n">
        <f aca="false">W3104+ROW()*0.000000001</f>
        <v>-0.68578436363189</v>
      </c>
      <c r="Z3104" s="55" t="n">
        <f aca="false">X3104+ROW()*0.000000001</f>
        <v>48.8090229903637</v>
      </c>
    </row>
    <row r="3105" customFormat="false" ht="15" hidden="false" customHeight="false" outlineLevel="0" collapsed="false">
      <c r="A3105" s="0" t="n">
        <v>10</v>
      </c>
      <c r="B3105" s="0" t="n">
        <v>12</v>
      </c>
      <c r="C3105" s="0" t="n">
        <v>6</v>
      </c>
      <c r="D3105" s="0" t="n">
        <f aca="false">-1+A3105*0.125</f>
        <v>0.25</v>
      </c>
      <c r="E3105" s="0" t="n">
        <f aca="false">-1+B3105*0.125</f>
        <v>0.5</v>
      </c>
      <c r="F3105" s="0" t="n">
        <f aca="false">-1+C3105*0.125</f>
        <v>-0.25</v>
      </c>
      <c r="G3105" s="0" t="n">
        <f aca="false">1</f>
        <v>1</v>
      </c>
      <c r="H3105" s="0" t="n">
        <f aca="false">D3105</f>
        <v>0.25</v>
      </c>
      <c r="I3105" s="0" t="n">
        <f aca="false">E3105</f>
        <v>0.5</v>
      </c>
      <c r="J3105" s="0" t="n">
        <f aca="false">F3105</f>
        <v>-0.25</v>
      </c>
      <c r="K3105" s="0" t="n">
        <f aca="false">D3105*E3105</f>
        <v>0.125</v>
      </c>
      <c r="L3105" s="0" t="n">
        <f aca="false">D3105*F3105</f>
        <v>-0.0625</v>
      </c>
      <c r="M3105" s="0" t="n">
        <f aca="false">E3105*F3105</f>
        <v>-0.125</v>
      </c>
      <c r="N3105" s="0" t="n">
        <f aca="false">D3105*D3105</f>
        <v>0.0625</v>
      </c>
      <c r="O3105" s="0" t="n">
        <f aca="false">E3105*E3105</f>
        <v>0.25</v>
      </c>
      <c r="P3105" s="0" t="n">
        <f aca="false">F3105*F3105</f>
        <v>0.0625</v>
      </c>
      <c r="Q3105" s="0" t="n">
        <f aca="false">SUMPRODUCT(G3105:P3105,_XtX!$B$71:$K$71)</f>
        <v>49.0969318181818</v>
      </c>
      <c r="R3105" s="0" t="n">
        <f aca="false">SUMPRODUCT(MMULT(G3105:P3105,_XtX!$B$58:$K$67),G3105:P3105)</f>
        <v>0.141965553977273</v>
      </c>
      <c r="S3105" s="0" t="n">
        <f aca="false">04_回帰ANOVA!$K$19*04_回帰ANOVA!$K$14*SQRT(1+R3105)</f>
        <v>0.993557802198625</v>
      </c>
      <c r="T3105" s="0" t="n">
        <f aca="false">Q3105-S3105</f>
        <v>48.1033740159832</v>
      </c>
      <c r="U3105" s="0" t="n">
        <f aca="false">Q3105+S3105</f>
        <v>50.0904896203805</v>
      </c>
      <c r="V3105" s="54" t="b">
        <f aca="false">AND(D3105&gt;=01_因子設定!$L$5-0.000000001,D3105&lt;=01_因子設定!$M$5+0.000000001,E3105&gt;=01_因子設定!$L$6-0.000000001,E3105&lt;=01_因子設定!$M$6+0.000000001,F3105&gt;=01_因子設定!$L$7-0.000000001,F3105&lt;=01_因子設定!$M$7+0.000000001,IF(01_因子設定!$B$20="Box-Behnken",D3105^2+E3105^2+F3105^2&lt;=2+0.000000001,TRUE()))</f>
        <v>1</v>
      </c>
      <c r="W3105" s="55" t="n">
        <f aca="false">IF(V3105,IF(01_因子設定!$B$13="最大化",T3105-01_因子設定!$B$14,IF(01_因子設定!$B$13="最小化",01_因子設定!$B$15-U3105,MIN(T3105-01_因子設定!$B$14,01_因子設定!$B$15-U3105))),-1E+030)</f>
        <v>-0.396625984016794</v>
      </c>
      <c r="X3105" s="55" t="n">
        <f aca="false">IF(V3105,IF(01_因子設定!$B$13="最大化",Q3105,IF(01_因子設定!$B$13="最小化",-Q3105,-ABS(Q3105-01_因子設定!$B$16))),-1E+030)</f>
        <v>49.0969318181818</v>
      </c>
      <c r="Y3105" s="55" t="n">
        <f aca="false">W3105+ROW()*0.000000001</f>
        <v>-0.396622879016794</v>
      </c>
      <c r="Z3105" s="55" t="n">
        <f aca="false">X3105+ROW()*0.000000001</f>
        <v>49.0969349231818</v>
      </c>
    </row>
    <row r="3106" customFormat="false" ht="15" hidden="false" customHeight="false" outlineLevel="0" collapsed="false">
      <c r="A3106" s="0" t="n">
        <v>10</v>
      </c>
      <c r="B3106" s="0" t="n">
        <v>12</v>
      </c>
      <c r="C3106" s="0" t="n">
        <v>7</v>
      </c>
      <c r="D3106" s="0" t="n">
        <f aca="false">-1+A3106*0.125</f>
        <v>0.25</v>
      </c>
      <c r="E3106" s="0" t="n">
        <f aca="false">-1+B3106*0.125</f>
        <v>0.5</v>
      </c>
      <c r="F3106" s="0" t="n">
        <f aca="false">-1+C3106*0.125</f>
        <v>-0.125</v>
      </c>
      <c r="G3106" s="0" t="n">
        <f aca="false">1</f>
        <v>1</v>
      </c>
      <c r="H3106" s="0" t="n">
        <f aca="false">D3106</f>
        <v>0.25</v>
      </c>
      <c r="I3106" s="0" t="n">
        <f aca="false">E3106</f>
        <v>0.5</v>
      </c>
      <c r="J3106" s="0" t="n">
        <f aca="false">F3106</f>
        <v>-0.125</v>
      </c>
      <c r="K3106" s="0" t="n">
        <f aca="false">D3106*E3106</f>
        <v>0.125</v>
      </c>
      <c r="L3106" s="0" t="n">
        <f aca="false">D3106*F3106</f>
        <v>-0.03125</v>
      </c>
      <c r="M3106" s="0" t="n">
        <f aca="false">E3106*F3106</f>
        <v>-0.0625</v>
      </c>
      <c r="N3106" s="0" t="n">
        <f aca="false">D3106*D3106</f>
        <v>0.0625</v>
      </c>
      <c r="O3106" s="0" t="n">
        <f aca="false">E3106*E3106</f>
        <v>0.25</v>
      </c>
      <c r="P3106" s="0" t="n">
        <f aca="false">F3106*F3106</f>
        <v>0.015625</v>
      </c>
      <c r="Q3106" s="0" t="n">
        <f aca="false">SUMPRODUCT(G3106:P3106,_XtX!$B$71:$K$71)</f>
        <v>49.3480539772727</v>
      </c>
      <c r="R3106" s="0" t="n">
        <f aca="false">SUMPRODUCT(MMULT(G3106:P3106,_XtX!$B$58:$K$67),G3106:P3106)</f>
        <v>0.142371715198864</v>
      </c>
      <c r="S3106" s="0" t="n">
        <f aca="false">04_回帰ANOVA!$K$19*04_回帰ANOVA!$K$14*SQRT(1+R3106)</f>
        <v>0.99373447511735</v>
      </c>
      <c r="T3106" s="0" t="n">
        <f aca="false">Q3106-S3106</f>
        <v>48.3543195021554</v>
      </c>
      <c r="U3106" s="0" t="n">
        <f aca="false">Q3106+S3106</f>
        <v>50.3417884523901</v>
      </c>
      <c r="V3106" s="54" t="b">
        <f aca="false">AND(D3106&gt;=01_因子設定!$L$5-0.000000001,D3106&lt;=01_因子設定!$M$5+0.000000001,E3106&gt;=01_因子設定!$L$6-0.000000001,E3106&lt;=01_因子設定!$M$6+0.000000001,F3106&gt;=01_因子設定!$L$7-0.000000001,F3106&lt;=01_因子設定!$M$7+0.000000001,IF(01_因子設定!$B$20="Box-Behnken",D3106^2+E3106^2+F3106^2&lt;=2+0.000000001,TRUE()))</f>
        <v>1</v>
      </c>
      <c r="W3106" s="55" t="n">
        <f aca="false">IF(V3106,IF(01_因子設定!$B$13="最大化",T3106-01_因子設定!$B$14,IF(01_因子設定!$B$13="最小化",01_因子設定!$B$15-U3106,MIN(T3106-01_因子設定!$B$14,01_因子設定!$B$15-U3106))),-1E+030)</f>
        <v>-0.145680497844616</v>
      </c>
      <c r="X3106" s="55" t="n">
        <f aca="false">IF(V3106,IF(01_因子設定!$B$13="最大化",Q3106,IF(01_因子設定!$B$13="最小化",-Q3106,-ABS(Q3106-01_因子設定!$B$16))),-1E+030)</f>
        <v>49.3480539772727</v>
      </c>
      <c r="Y3106" s="55" t="n">
        <f aca="false">W3106+ROW()*0.000000001</f>
        <v>-0.145677391844616</v>
      </c>
      <c r="Z3106" s="55" t="n">
        <f aca="false">X3106+ROW()*0.000000001</f>
        <v>49.3480570832727</v>
      </c>
    </row>
    <row r="3107" customFormat="false" ht="15" hidden="false" customHeight="false" outlineLevel="0" collapsed="false">
      <c r="A3107" s="0" t="n">
        <v>10</v>
      </c>
      <c r="B3107" s="0" t="n">
        <v>12</v>
      </c>
      <c r="C3107" s="0" t="n">
        <v>8</v>
      </c>
      <c r="D3107" s="0" t="n">
        <f aca="false">-1+A3107*0.125</f>
        <v>0.25</v>
      </c>
      <c r="E3107" s="0" t="n">
        <f aca="false">-1+B3107*0.125</f>
        <v>0.5</v>
      </c>
      <c r="F3107" s="0" t="n">
        <f aca="false">-1+C3107*0.125</f>
        <v>0</v>
      </c>
      <c r="G3107" s="0" t="n">
        <f aca="false">1</f>
        <v>1</v>
      </c>
      <c r="H3107" s="0" t="n">
        <f aca="false">D3107</f>
        <v>0.25</v>
      </c>
      <c r="I3107" s="0" t="n">
        <f aca="false">E3107</f>
        <v>0.5</v>
      </c>
      <c r="J3107" s="0" t="n">
        <f aca="false">F3107</f>
        <v>0</v>
      </c>
      <c r="K3107" s="0" t="n">
        <f aca="false">D3107*E3107</f>
        <v>0.125</v>
      </c>
      <c r="L3107" s="0" t="n">
        <f aca="false">D3107*F3107</f>
        <v>0</v>
      </c>
      <c r="M3107" s="0" t="n">
        <f aca="false">E3107*F3107</f>
        <v>0</v>
      </c>
      <c r="N3107" s="0" t="n">
        <f aca="false">D3107*D3107</f>
        <v>0.0625</v>
      </c>
      <c r="O3107" s="0" t="n">
        <f aca="false">E3107*E3107</f>
        <v>0.25</v>
      </c>
      <c r="P3107" s="0" t="n">
        <f aca="false">F3107*F3107</f>
        <v>0</v>
      </c>
      <c r="Q3107" s="0" t="n">
        <f aca="false">SUMPRODUCT(G3107:P3107,_XtX!$B$71:$K$71)</f>
        <v>49.5623863636364</v>
      </c>
      <c r="R3107" s="0" t="n">
        <f aca="false">SUMPRODUCT(MMULT(G3107:P3107,_XtX!$B$58:$K$67),G3107:P3107)</f>
        <v>0.142862215909091</v>
      </c>
      <c r="S3107" s="0" t="n">
        <f aca="false">04_回帰ANOVA!$K$19*04_回帰ANOVA!$K$14*SQRT(1+R3107)</f>
        <v>0.993947792354123</v>
      </c>
      <c r="T3107" s="0" t="n">
        <f aca="false">Q3107-S3107</f>
        <v>48.5684385712823</v>
      </c>
      <c r="U3107" s="0" t="n">
        <f aca="false">Q3107+S3107</f>
        <v>50.5563341559905</v>
      </c>
      <c r="V3107" s="54" t="b">
        <f aca="false">AND(D3107&gt;=01_因子設定!$L$5-0.000000001,D3107&lt;=01_因子設定!$M$5+0.000000001,E3107&gt;=01_因子設定!$L$6-0.000000001,E3107&lt;=01_因子設定!$M$6+0.000000001,F3107&gt;=01_因子設定!$L$7-0.000000001,F3107&lt;=01_因子設定!$M$7+0.000000001,IF(01_因子設定!$B$20="Box-Behnken",D3107^2+E3107^2+F3107^2&lt;=2+0.000000001,TRUE()))</f>
        <v>1</v>
      </c>
      <c r="W3107" s="55" t="n">
        <f aca="false">IF(V3107,IF(01_因子設定!$B$13="最大化",T3107-01_因子設定!$B$14,IF(01_因子設定!$B$13="最小化",01_因子設定!$B$15-U3107,MIN(T3107-01_因子設定!$B$14,01_因子設定!$B$15-U3107))),-1E+030)</f>
        <v>0.0684385712822504</v>
      </c>
      <c r="X3107" s="55" t="n">
        <f aca="false">IF(V3107,IF(01_因子設定!$B$13="最大化",Q3107,IF(01_因子設定!$B$13="最小化",-Q3107,-ABS(Q3107-01_因子設定!$B$16))),-1E+030)</f>
        <v>49.5623863636364</v>
      </c>
      <c r="Y3107" s="55" t="n">
        <f aca="false">W3107+ROW()*0.000000001</f>
        <v>0.0684416782822504</v>
      </c>
      <c r="Z3107" s="55" t="n">
        <f aca="false">X3107+ROW()*0.000000001</f>
        <v>49.5623894706364</v>
      </c>
    </row>
    <row r="3108" customFormat="false" ht="15" hidden="false" customHeight="false" outlineLevel="0" collapsed="false">
      <c r="A3108" s="0" t="n">
        <v>10</v>
      </c>
      <c r="B3108" s="0" t="n">
        <v>12</v>
      </c>
      <c r="C3108" s="0" t="n">
        <v>9</v>
      </c>
      <c r="D3108" s="0" t="n">
        <f aca="false">-1+A3108*0.125</f>
        <v>0.25</v>
      </c>
      <c r="E3108" s="0" t="n">
        <f aca="false">-1+B3108*0.125</f>
        <v>0.5</v>
      </c>
      <c r="F3108" s="0" t="n">
        <f aca="false">-1+C3108*0.125</f>
        <v>0.125</v>
      </c>
      <c r="G3108" s="0" t="n">
        <f aca="false">1</f>
        <v>1</v>
      </c>
      <c r="H3108" s="0" t="n">
        <f aca="false">D3108</f>
        <v>0.25</v>
      </c>
      <c r="I3108" s="0" t="n">
        <f aca="false">E3108</f>
        <v>0.5</v>
      </c>
      <c r="J3108" s="0" t="n">
        <f aca="false">F3108</f>
        <v>0.125</v>
      </c>
      <c r="K3108" s="0" t="n">
        <f aca="false">D3108*E3108</f>
        <v>0.125</v>
      </c>
      <c r="L3108" s="0" t="n">
        <f aca="false">D3108*F3108</f>
        <v>0.03125</v>
      </c>
      <c r="M3108" s="0" t="n">
        <f aca="false">E3108*F3108</f>
        <v>0.0625</v>
      </c>
      <c r="N3108" s="0" t="n">
        <f aca="false">D3108*D3108</f>
        <v>0.0625</v>
      </c>
      <c r="O3108" s="0" t="n">
        <f aca="false">E3108*E3108</f>
        <v>0.25</v>
      </c>
      <c r="P3108" s="0" t="n">
        <f aca="false">F3108*F3108</f>
        <v>0.015625</v>
      </c>
      <c r="Q3108" s="0" t="n">
        <f aca="false">SUMPRODUCT(G3108:P3108,_XtX!$B$71:$K$71)</f>
        <v>49.7399289772727</v>
      </c>
      <c r="R3108" s="0" t="n">
        <f aca="false">SUMPRODUCT(MMULT(G3108:P3108,_XtX!$B$58:$K$67),G3108:P3108)</f>
        <v>0.142371715198864</v>
      </c>
      <c r="S3108" s="0" t="n">
        <f aca="false">04_回帰ANOVA!$K$19*04_回帰ANOVA!$K$14*SQRT(1+R3108)</f>
        <v>0.99373447511735</v>
      </c>
      <c r="T3108" s="0" t="n">
        <f aca="false">Q3108-S3108</f>
        <v>48.7461945021554</v>
      </c>
      <c r="U3108" s="0" t="n">
        <f aca="false">Q3108+S3108</f>
        <v>50.7336634523901</v>
      </c>
      <c r="V3108" s="54" t="b">
        <f aca="false">AND(D3108&gt;=01_因子設定!$L$5-0.000000001,D3108&lt;=01_因子設定!$M$5+0.000000001,E3108&gt;=01_因子設定!$L$6-0.000000001,E3108&lt;=01_因子設定!$M$6+0.000000001,F3108&gt;=01_因子設定!$L$7-0.000000001,F3108&lt;=01_因子設定!$M$7+0.000000001,IF(01_因子設定!$B$20="Box-Behnken",D3108^2+E3108^2+F3108^2&lt;=2+0.000000001,TRUE()))</f>
        <v>1</v>
      </c>
      <c r="W3108" s="55" t="n">
        <f aca="false">IF(V3108,IF(01_因子設定!$B$13="最大化",T3108-01_因子設定!$B$14,IF(01_因子設定!$B$13="最小化",01_因子設定!$B$15-U3108,MIN(T3108-01_因子設定!$B$14,01_因子設定!$B$15-U3108))),-1E+030)</f>
        <v>0.246194502155383</v>
      </c>
      <c r="X3108" s="55" t="n">
        <f aca="false">IF(V3108,IF(01_因子設定!$B$13="最大化",Q3108,IF(01_因子設定!$B$13="最小化",-Q3108,-ABS(Q3108-01_因子設定!$B$16))),-1E+030)</f>
        <v>49.7399289772727</v>
      </c>
      <c r="Y3108" s="55" t="n">
        <f aca="false">W3108+ROW()*0.000000001</f>
        <v>0.246197610155383</v>
      </c>
      <c r="Z3108" s="55" t="n">
        <f aca="false">X3108+ROW()*0.000000001</f>
        <v>49.7399320852727</v>
      </c>
    </row>
    <row r="3109" customFormat="false" ht="15" hidden="false" customHeight="false" outlineLevel="0" collapsed="false">
      <c r="A3109" s="0" t="n">
        <v>10</v>
      </c>
      <c r="B3109" s="0" t="n">
        <v>12</v>
      </c>
      <c r="C3109" s="0" t="n">
        <v>10</v>
      </c>
      <c r="D3109" s="0" t="n">
        <f aca="false">-1+A3109*0.125</f>
        <v>0.25</v>
      </c>
      <c r="E3109" s="0" t="n">
        <f aca="false">-1+B3109*0.125</f>
        <v>0.5</v>
      </c>
      <c r="F3109" s="0" t="n">
        <f aca="false">-1+C3109*0.125</f>
        <v>0.25</v>
      </c>
      <c r="G3109" s="0" t="n">
        <f aca="false">1</f>
        <v>1</v>
      </c>
      <c r="H3109" s="0" t="n">
        <f aca="false">D3109</f>
        <v>0.25</v>
      </c>
      <c r="I3109" s="0" t="n">
        <f aca="false">E3109</f>
        <v>0.5</v>
      </c>
      <c r="J3109" s="0" t="n">
        <f aca="false">F3109</f>
        <v>0.25</v>
      </c>
      <c r="K3109" s="0" t="n">
        <f aca="false">D3109*E3109</f>
        <v>0.125</v>
      </c>
      <c r="L3109" s="0" t="n">
        <f aca="false">D3109*F3109</f>
        <v>0.0625</v>
      </c>
      <c r="M3109" s="0" t="n">
        <f aca="false">E3109*F3109</f>
        <v>0.125</v>
      </c>
      <c r="N3109" s="0" t="n">
        <f aca="false">D3109*D3109</f>
        <v>0.0625</v>
      </c>
      <c r="O3109" s="0" t="n">
        <f aca="false">E3109*E3109</f>
        <v>0.25</v>
      </c>
      <c r="P3109" s="0" t="n">
        <f aca="false">F3109*F3109</f>
        <v>0.0625</v>
      </c>
      <c r="Q3109" s="0" t="n">
        <f aca="false">SUMPRODUCT(G3109:P3109,_XtX!$B$71:$K$71)</f>
        <v>49.8806818181818</v>
      </c>
      <c r="R3109" s="0" t="n">
        <f aca="false">SUMPRODUCT(MMULT(G3109:P3109,_XtX!$B$58:$K$67),G3109:P3109)</f>
        <v>0.141965553977273</v>
      </c>
      <c r="S3109" s="0" t="n">
        <f aca="false">04_回帰ANOVA!$K$19*04_回帰ANOVA!$K$14*SQRT(1+R3109)</f>
        <v>0.993557802198625</v>
      </c>
      <c r="T3109" s="0" t="n">
        <f aca="false">Q3109-S3109</f>
        <v>48.8871240159832</v>
      </c>
      <c r="U3109" s="0" t="n">
        <f aca="false">Q3109+S3109</f>
        <v>50.8742396203805</v>
      </c>
      <c r="V3109" s="54" t="b">
        <f aca="false">AND(D3109&gt;=01_因子設定!$L$5-0.000000001,D3109&lt;=01_因子設定!$M$5+0.000000001,E3109&gt;=01_因子設定!$L$6-0.000000001,E3109&lt;=01_因子設定!$M$6+0.000000001,F3109&gt;=01_因子設定!$L$7-0.000000001,F3109&lt;=01_因子設定!$M$7+0.000000001,IF(01_因子設定!$B$20="Box-Behnken",D3109^2+E3109^2+F3109^2&lt;=2+0.000000001,TRUE()))</f>
        <v>1</v>
      </c>
      <c r="W3109" s="55" t="n">
        <f aca="false">IF(V3109,IF(01_因子設定!$B$13="最大化",T3109-01_因子設定!$B$14,IF(01_因子設定!$B$13="最小化",01_因子設定!$B$15-U3109,MIN(T3109-01_因子設定!$B$14,01_因子設定!$B$15-U3109))),-1E+030)</f>
        <v>0.387124015983204</v>
      </c>
      <c r="X3109" s="55" t="n">
        <f aca="false">IF(V3109,IF(01_因子設定!$B$13="最大化",Q3109,IF(01_因子設定!$B$13="最小化",-Q3109,-ABS(Q3109-01_因子設定!$B$16))),-1E+030)</f>
        <v>49.8806818181818</v>
      </c>
      <c r="Y3109" s="55" t="n">
        <f aca="false">W3109+ROW()*0.000000001</f>
        <v>0.387127124983204</v>
      </c>
      <c r="Z3109" s="55" t="n">
        <f aca="false">X3109+ROW()*0.000000001</f>
        <v>49.8806849271818</v>
      </c>
    </row>
    <row r="3110" customFormat="false" ht="15" hidden="false" customHeight="false" outlineLevel="0" collapsed="false">
      <c r="A3110" s="0" t="n">
        <v>10</v>
      </c>
      <c r="B3110" s="0" t="n">
        <v>12</v>
      </c>
      <c r="C3110" s="0" t="n">
        <v>11</v>
      </c>
      <c r="D3110" s="0" t="n">
        <f aca="false">-1+A3110*0.125</f>
        <v>0.25</v>
      </c>
      <c r="E3110" s="0" t="n">
        <f aca="false">-1+B3110*0.125</f>
        <v>0.5</v>
      </c>
      <c r="F3110" s="0" t="n">
        <f aca="false">-1+C3110*0.125</f>
        <v>0.375</v>
      </c>
      <c r="G3110" s="0" t="n">
        <f aca="false">1</f>
        <v>1</v>
      </c>
      <c r="H3110" s="0" t="n">
        <f aca="false">D3110</f>
        <v>0.25</v>
      </c>
      <c r="I3110" s="0" t="n">
        <f aca="false">E3110</f>
        <v>0.5</v>
      </c>
      <c r="J3110" s="0" t="n">
        <f aca="false">F3110</f>
        <v>0.375</v>
      </c>
      <c r="K3110" s="0" t="n">
        <f aca="false">D3110*E3110</f>
        <v>0.125</v>
      </c>
      <c r="L3110" s="0" t="n">
        <f aca="false">D3110*F3110</f>
        <v>0.09375</v>
      </c>
      <c r="M3110" s="0" t="n">
        <f aca="false">E3110*F3110</f>
        <v>0.1875</v>
      </c>
      <c r="N3110" s="0" t="n">
        <f aca="false">D3110*D3110</f>
        <v>0.0625</v>
      </c>
      <c r="O3110" s="0" t="n">
        <f aca="false">E3110*E3110</f>
        <v>0.25</v>
      </c>
      <c r="P3110" s="0" t="n">
        <f aca="false">F3110*F3110</f>
        <v>0.140625</v>
      </c>
      <c r="Q3110" s="0" t="n">
        <f aca="false">SUMPRODUCT(G3110:P3110,_XtX!$B$71:$K$71)</f>
        <v>49.9846448863637</v>
      </c>
      <c r="R3110" s="0" t="n">
        <f aca="false">SUMPRODUCT(MMULT(G3110:P3110,_XtX!$B$58:$K$67),G3110:P3110)</f>
        <v>0.144839754971591</v>
      </c>
      <c r="S3110" s="0" t="n">
        <f aca="false">04_回帰ANOVA!$K$19*04_回帰ANOVA!$K$14*SQRT(1+R3110)</f>
        <v>0.994807353995542</v>
      </c>
      <c r="T3110" s="0" t="n">
        <f aca="false">Q3110-S3110</f>
        <v>48.9898375323681</v>
      </c>
      <c r="U3110" s="0" t="n">
        <f aca="false">Q3110+S3110</f>
        <v>50.9794522403592</v>
      </c>
      <c r="V3110" s="54" t="b">
        <f aca="false">AND(D3110&gt;=01_因子設定!$L$5-0.000000001,D3110&lt;=01_因子設定!$M$5+0.000000001,E3110&gt;=01_因子設定!$L$6-0.000000001,E3110&lt;=01_因子設定!$M$6+0.000000001,F3110&gt;=01_因子設定!$L$7-0.000000001,F3110&lt;=01_因子設定!$M$7+0.000000001,IF(01_因子設定!$B$20="Box-Behnken",D3110^2+E3110^2+F3110^2&lt;=2+0.000000001,TRUE()))</f>
        <v>1</v>
      </c>
      <c r="W3110" s="55" t="n">
        <f aca="false">IF(V3110,IF(01_因子設定!$B$13="最大化",T3110-01_因子設定!$B$14,IF(01_因子設定!$B$13="最小化",01_因子設定!$B$15-U3110,MIN(T3110-01_因子設定!$B$14,01_因子設定!$B$15-U3110))),-1E+030)</f>
        <v>0.489837532368107</v>
      </c>
      <c r="X3110" s="55" t="n">
        <f aca="false">IF(V3110,IF(01_因子設定!$B$13="最大化",Q3110,IF(01_因子設定!$B$13="最小化",-Q3110,-ABS(Q3110-01_因子設定!$B$16))),-1E+030)</f>
        <v>49.9846448863637</v>
      </c>
      <c r="Y3110" s="55" t="n">
        <f aca="false">W3110+ROW()*0.000000001</f>
        <v>0.489840642368107</v>
      </c>
      <c r="Z3110" s="55" t="n">
        <f aca="false">X3110+ROW()*0.000000001</f>
        <v>49.9846479963637</v>
      </c>
    </row>
    <row r="3111" customFormat="false" ht="15" hidden="false" customHeight="false" outlineLevel="0" collapsed="false">
      <c r="A3111" s="0" t="n">
        <v>10</v>
      </c>
      <c r="B3111" s="0" t="n">
        <v>12</v>
      </c>
      <c r="C3111" s="0" t="n">
        <v>12</v>
      </c>
      <c r="D3111" s="0" t="n">
        <f aca="false">-1+A3111*0.125</f>
        <v>0.25</v>
      </c>
      <c r="E3111" s="0" t="n">
        <f aca="false">-1+B3111*0.125</f>
        <v>0.5</v>
      </c>
      <c r="F3111" s="0" t="n">
        <f aca="false">-1+C3111*0.125</f>
        <v>0.5</v>
      </c>
      <c r="G3111" s="0" t="n">
        <f aca="false">1</f>
        <v>1</v>
      </c>
      <c r="H3111" s="0" t="n">
        <f aca="false">D3111</f>
        <v>0.25</v>
      </c>
      <c r="I3111" s="0" t="n">
        <f aca="false">E3111</f>
        <v>0.5</v>
      </c>
      <c r="J3111" s="0" t="n">
        <f aca="false">F3111</f>
        <v>0.5</v>
      </c>
      <c r="K3111" s="0" t="n">
        <f aca="false">D3111*E3111</f>
        <v>0.125</v>
      </c>
      <c r="L3111" s="0" t="n">
        <f aca="false">D3111*F3111</f>
        <v>0.125</v>
      </c>
      <c r="M3111" s="0" t="n">
        <f aca="false">E3111*F3111</f>
        <v>0.25</v>
      </c>
      <c r="N3111" s="0" t="n">
        <f aca="false">D3111*D3111</f>
        <v>0.0625</v>
      </c>
      <c r="O3111" s="0" t="n">
        <f aca="false">E3111*E3111</f>
        <v>0.25</v>
      </c>
      <c r="P3111" s="0" t="n">
        <f aca="false">F3111*F3111</f>
        <v>0.25</v>
      </c>
      <c r="Q3111" s="0" t="n">
        <f aca="false">SUMPRODUCT(G3111:P3111,_XtX!$B$71:$K$71)</f>
        <v>50.0518181818182</v>
      </c>
      <c r="R3111" s="0" t="n">
        <f aca="false">SUMPRODUCT(MMULT(G3111:P3111,_XtX!$B$58:$K$67),G3111:P3111)</f>
        <v>0.156321022727273</v>
      </c>
      <c r="S3111" s="0" t="n">
        <f aca="false">04_回帰ANOVA!$K$19*04_回帰ANOVA!$K$14*SQRT(1+R3111)</f>
        <v>0.999783227753172</v>
      </c>
      <c r="T3111" s="0" t="n">
        <f aca="false">Q3111-S3111</f>
        <v>49.052034954065</v>
      </c>
      <c r="U3111" s="0" t="n">
        <f aca="false">Q3111+S3111</f>
        <v>51.0516014095714</v>
      </c>
      <c r="V3111" s="54" t="b">
        <f aca="false">AND(D3111&gt;=01_因子設定!$L$5-0.000000001,D3111&lt;=01_因子設定!$M$5+0.000000001,E3111&gt;=01_因子設定!$L$6-0.000000001,E3111&lt;=01_因子設定!$M$6+0.000000001,F3111&gt;=01_因子設定!$L$7-0.000000001,F3111&lt;=01_因子設定!$M$7+0.000000001,IF(01_因子設定!$B$20="Box-Behnken",D3111^2+E3111^2+F3111^2&lt;=2+0.000000001,TRUE()))</f>
        <v>1</v>
      </c>
      <c r="W3111" s="55" t="n">
        <f aca="false">IF(V3111,IF(01_因子設定!$B$13="最大化",T3111-01_因子設定!$B$14,IF(01_因子設定!$B$13="最小化",01_因子設定!$B$15-U3111,MIN(T3111-01_因子設定!$B$14,01_因子設定!$B$15-U3111))),-1E+030)</f>
        <v>0.552034954065022</v>
      </c>
      <c r="X3111" s="55" t="n">
        <f aca="false">IF(V3111,IF(01_因子設定!$B$13="最大化",Q3111,IF(01_因子設定!$B$13="最小化",-Q3111,-ABS(Q3111-01_因子設定!$B$16))),-1E+030)</f>
        <v>50.0518181818182</v>
      </c>
      <c r="Y3111" s="55" t="n">
        <f aca="false">W3111+ROW()*0.000000001</f>
        <v>0.552038065065022</v>
      </c>
      <c r="Z3111" s="55" t="n">
        <f aca="false">X3111+ROW()*0.000000001</f>
        <v>50.0518212928182</v>
      </c>
    </row>
    <row r="3112" customFormat="false" ht="15" hidden="false" customHeight="false" outlineLevel="0" collapsed="false">
      <c r="A3112" s="0" t="n">
        <v>10</v>
      </c>
      <c r="B3112" s="0" t="n">
        <v>12</v>
      </c>
      <c r="C3112" s="0" t="n">
        <v>13</v>
      </c>
      <c r="D3112" s="0" t="n">
        <f aca="false">-1+A3112*0.125</f>
        <v>0.25</v>
      </c>
      <c r="E3112" s="0" t="n">
        <f aca="false">-1+B3112*0.125</f>
        <v>0.5</v>
      </c>
      <c r="F3112" s="0" t="n">
        <f aca="false">-1+C3112*0.125</f>
        <v>0.625</v>
      </c>
      <c r="G3112" s="0" t="n">
        <f aca="false">1</f>
        <v>1</v>
      </c>
      <c r="H3112" s="0" t="n">
        <f aca="false">D3112</f>
        <v>0.25</v>
      </c>
      <c r="I3112" s="0" t="n">
        <f aca="false">E3112</f>
        <v>0.5</v>
      </c>
      <c r="J3112" s="0" t="n">
        <f aca="false">F3112</f>
        <v>0.625</v>
      </c>
      <c r="K3112" s="0" t="n">
        <f aca="false">D3112*E3112</f>
        <v>0.125</v>
      </c>
      <c r="L3112" s="0" t="n">
        <f aca="false">D3112*F3112</f>
        <v>0.15625</v>
      </c>
      <c r="M3112" s="0" t="n">
        <f aca="false">E3112*F3112</f>
        <v>0.3125</v>
      </c>
      <c r="N3112" s="0" t="n">
        <f aca="false">D3112*D3112</f>
        <v>0.0625</v>
      </c>
      <c r="O3112" s="0" t="n">
        <f aca="false">E3112*E3112</f>
        <v>0.25</v>
      </c>
      <c r="P3112" s="0" t="n">
        <f aca="false">F3112*F3112</f>
        <v>0.390625</v>
      </c>
      <c r="Q3112" s="0" t="n">
        <f aca="false">SUMPRODUCT(G3112:P3112,_XtX!$B$71:$K$71)</f>
        <v>50.0822017045455</v>
      </c>
      <c r="R3112" s="0" t="n">
        <f aca="false">SUMPRODUCT(MMULT(G3112:P3112,_XtX!$B$58:$K$67),G3112:P3112)</f>
        <v>0.183866743607955</v>
      </c>
      <c r="S3112" s="0" t="n">
        <f aca="false">04_回帰ANOVA!$K$19*04_回帰ANOVA!$K$14*SQRT(1+R3112)</f>
        <v>1.01162148983013</v>
      </c>
      <c r="T3112" s="0" t="n">
        <f aca="false">Q3112-S3112</f>
        <v>49.0705802147153</v>
      </c>
      <c r="U3112" s="0" t="n">
        <f aca="false">Q3112+S3112</f>
        <v>51.0938231943756</v>
      </c>
      <c r="V3112" s="54" t="b">
        <f aca="false">AND(D3112&gt;=01_因子設定!$L$5-0.000000001,D3112&lt;=01_因子設定!$M$5+0.000000001,E3112&gt;=01_因子設定!$L$6-0.000000001,E3112&lt;=01_因子設定!$M$6+0.000000001,F3112&gt;=01_因子設定!$L$7-0.000000001,F3112&lt;=01_因子設定!$M$7+0.000000001,IF(01_因子設定!$B$20="Box-Behnken",D3112^2+E3112^2+F3112^2&lt;=2+0.000000001,TRUE()))</f>
        <v>1</v>
      </c>
      <c r="W3112" s="55" t="n">
        <f aca="false">IF(V3112,IF(01_因子設定!$B$13="最大化",T3112-01_因子設定!$B$14,IF(01_因子設定!$B$13="最小化",01_因子設定!$B$15-U3112,MIN(T3112-01_因子設定!$B$14,01_因子設定!$B$15-U3112))),-1E+030)</f>
        <v>0.570580214715335</v>
      </c>
      <c r="X3112" s="55" t="n">
        <f aca="false">IF(V3112,IF(01_因子設定!$B$13="最大化",Q3112,IF(01_因子設定!$B$13="最小化",-Q3112,-ABS(Q3112-01_因子設定!$B$16))),-1E+030)</f>
        <v>50.0822017045455</v>
      </c>
      <c r="Y3112" s="55" t="n">
        <f aca="false">W3112+ROW()*0.000000001</f>
        <v>0.570583326715335</v>
      </c>
      <c r="Z3112" s="55" t="n">
        <f aca="false">X3112+ROW()*0.000000001</f>
        <v>50.0822048165455</v>
      </c>
    </row>
    <row r="3113" customFormat="false" ht="15" hidden="false" customHeight="false" outlineLevel="0" collapsed="false">
      <c r="A3113" s="0" t="n">
        <v>10</v>
      </c>
      <c r="B3113" s="0" t="n">
        <v>12</v>
      </c>
      <c r="C3113" s="0" t="n">
        <v>14</v>
      </c>
      <c r="D3113" s="0" t="n">
        <f aca="false">-1+A3113*0.125</f>
        <v>0.25</v>
      </c>
      <c r="E3113" s="0" t="n">
        <f aca="false">-1+B3113*0.125</f>
        <v>0.5</v>
      </c>
      <c r="F3113" s="0" t="n">
        <f aca="false">-1+C3113*0.125</f>
        <v>0.75</v>
      </c>
      <c r="G3113" s="0" t="n">
        <f aca="false">1</f>
        <v>1</v>
      </c>
      <c r="H3113" s="0" t="n">
        <f aca="false">D3113</f>
        <v>0.25</v>
      </c>
      <c r="I3113" s="0" t="n">
        <f aca="false">E3113</f>
        <v>0.5</v>
      </c>
      <c r="J3113" s="0" t="n">
        <f aca="false">F3113</f>
        <v>0.75</v>
      </c>
      <c r="K3113" s="0" t="n">
        <f aca="false">D3113*E3113</f>
        <v>0.125</v>
      </c>
      <c r="L3113" s="0" t="n">
        <f aca="false">D3113*F3113</f>
        <v>0.1875</v>
      </c>
      <c r="M3113" s="0" t="n">
        <f aca="false">E3113*F3113</f>
        <v>0.375</v>
      </c>
      <c r="N3113" s="0" t="n">
        <f aca="false">D3113*D3113</f>
        <v>0.0625</v>
      </c>
      <c r="O3113" s="0" t="n">
        <f aca="false">E3113*E3113</f>
        <v>0.25</v>
      </c>
      <c r="P3113" s="0" t="n">
        <f aca="false">F3113*F3113</f>
        <v>0.5625</v>
      </c>
      <c r="Q3113" s="0" t="n">
        <f aca="false">SUMPRODUCT(G3113:P3113,_XtX!$B$71:$K$71)</f>
        <v>50.0757954545455</v>
      </c>
      <c r="R3113" s="0" t="n">
        <f aca="false">SUMPRODUCT(MMULT(G3113:P3113,_XtX!$B$58:$K$67),G3113:P3113)</f>
        <v>0.237064985795455</v>
      </c>
      <c r="S3113" s="0" t="n">
        <f aca="false">04_回帰ANOVA!$K$19*04_回帰ANOVA!$K$14*SQRT(1+R3113)</f>
        <v>1.03410084594745</v>
      </c>
      <c r="T3113" s="0" t="n">
        <f aca="false">Q3113-S3113</f>
        <v>49.041694608598</v>
      </c>
      <c r="U3113" s="0" t="n">
        <f aca="false">Q3113+S3113</f>
        <v>51.1098963004929</v>
      </c>
      <c r="V3113" s="54" t="b">
        <f aca="false">AND(D3113&gt;=01_因子設定!$L$5-0.000000001,D3113&lt;=01_因子設定!$M$5+0.000000001,E3113&gt;=01_因子設定!$L$6-0.000000001,E3113&lt;=01_因子設定!$M$6+0.000000001,F3113&gt;=01_因子設定!$L$7-0.000000001,F3113&lt;=01_因子設定!$M$7+0.000000001,IF(01_因子設定!$B$20="Box-Behnken",D3113^2+E3113^2+F3113^2&lt;=2+0.000000001,TRUE()))</f>
        <v>1</v>
      </c>
      <c r="W3113" s="55" t="n">
        <f aca="false">IF(V3113,IF(01_因子設定!$B$13="最大化",T3113-01_因子設定!$B$14,IF(01_因子設定!$B$13="最小化",01_因子設定!$B$15-U3113,MIN(T3113-01_因子設定!$B$14,01_因子設定!$B$15-U3113))),-1E+030)</f>
        <v>0.541694608598029</v>
      </c>
      <c r="X3113" s="55" t="n">
        <f aca="false">IF(V3113,IF(01_因子設定!$B$13="最大化",Q3113,IF(01_因子設定!$B$13="最小化",-Q3113,-ABS(Q3113-01_因子設定!$B$16))),-1E+030)</f>
        <v>50.0757954545455</v>
      </c>
      <c r="Y3113" s="55" t="n">
        <f aca="false">W3113+ROW()*0.000000001</f>
        <v>0.541697721598029</v>
      </c>
      <c r="Z3113" s="55" t="n">
        <f aca="false">X3113+ROW()*0.000000001</f>
        <v>50.0757985675455</v>
      </c>
    </row>
    <row r="3114" customFormat="false" ht="15" hidden="false" customHeight="false" outlineLevel="0" collapsed="false">
      <c r="A3114" s="0" t="n">
        <v>10</v>
      </c>
      <c r="B3114" s="0" t="n">
        <v>12</v>
      </c>
      <c r="C3114" s="0" t="n">
        <v>15</v>
      </c>
      <c r="D3114" s="0" t="n">
        <f aca="false">-1+A3114*0.125</f>
        <v>0.25</v>
      </c>
      <c r="E3114" s="0" t="n">
        <f aca="false">-1+B3114*0.125</f>
        <v>0.5</v>
      </c>
      <c r="F3114" s="0" t="n">
        <f aca="false">-1+C3114*0.125</f>
        <v>0.875</v>
      </c>
      <c r="G3114" s="0" t="n">
        <f aca="false">1</f>
        <v>1</v>
      </c>
      <c r="H3114" s="0" t="n">
        <f aca="false">D3114</f>
        <v>0.25</v>
      </c>
      <c r="I3114" s="0" t="n">
        <f aca="false">E3114</f>
        <v>0.5</v>
      </c>
      <c r="J3114" s="0" t="n">
        <f aca="false">F3114</f>
        <v>0.875</v>
      </c>
      <c r="K3114" s="0" t="n">
        <f aca="false">D3114*E3114</f>
        <v>0.125</v>
      </c>
      <c r="L3114" s="0" t="n">
        <f aca="false">D3114*F3114</f>
        <v>0.21875</v>
      </c>
      <c r="M3114" s="0" t="n">
        <f aca="false">E3114*F3114</f>
        <v>0.4375</v>
      </c>
      <c r="N3114" s="0" t="n">
        <f aca="false">D3114*D3114</f>
        <v>0.0625</v>
      </c>
      <c r="O3114" s="0" t="n">
        <f aca="false">E3114*E3114</f>
        <v>0.25</v>
      </c>
      <c r="P3114" s="0" t="n">
        <f aca="false">F3114*F3114</f>
        <v>0.765625</v>
      </c>
      <c r="Q3114" s="0" t="n">
        <f aca="false">SUMPRODUCT(G3114:P3114,_XtX!$B$71:$K$71)</f>
        <v>50.0325994318182</v>
      </c>
      <c r="R3114" s="0" t="n">
        <f aca="false">SUMPRODUCT(MMULT(G3114:P3114,_XtX!$B$58:$K$67),G3114:P3114)</f>
        <v>0.327634499289773</v>
      </c>
      <c r="S3114" s="0" t="n">
        <f aca="false">04_回帰ANOVA!$K$19*04_回帰ANOVA!$K$14*SQRT(1+R3114)</f>
        <v>1.07128716250217</v>
      </c>
      <c r="T3114" s="0" t="n">
        <f aca="false">Q3114-S3114</f>
        <v>48.961312269316</v>
      </c>
      <c r="U3114" s="0" t="n">
        <f aca="false">Q3114+S3114</f>
        <v>51.1038865943204</v>
      </c>
      <c r="V3114" s="54" t="b">
        <f aca="false">AND(D3114&gt;=01_因子設定!$L$5-0.000000001,D3114&lt;=01_因子設定!$M$5+0.000000001,E3114&gt;=01_因子設定!$L$6-0.000000001,E3114&lt;=01_因子設定!$M$6+0.000000001,F3114&gt;=01_因子設定!$L$7-0.000000001,F3114&lt;=01_因子設定!$M$7+0.000000001,IF(01_因子設定!$B$20="Box-Behnken",D3114^2+E3114^2+F3114^2&lt;=2+0.000000001,TRUE()))</f>
        <v>1</v>
      </c>
      <c r="W3114" s="55" t="n">
        <f aca="false">IF(V3114,IF(01_因子設定!$B$13="最大化",T3114-01_因子設定!$B$14,IF(01_因子設定!$B$13="最小化",01_因子設定!$B$15-U3114,MIN(T3114-01_因子設定!$B$14,01_因子設定!$B$15-U3114))),-1E+030)</f>
        <v>0.461312269316032</v>
      </c>
      <c r="X3114" s="55" t="n">
        <f aca="false">IF(V3114,IF(01_因子設定!$B$13="最大化",Q3114,IF(01_因子設定!$B$13="最小化",-Q3114,-ABS(Q3114-01_因子設定!$B$16))),-1E+030)</f>
        <v>50.0325994318182</v>
      </c>
      <c r="Y3114" s="55" t="n">
        <f aca="false">W3114+ROW()*0.000000001</f>
        <v>0.461315383316032</v>
      </c>
      <c r="Z3114" s="55" t="n">
        <f aca="false">X3114+ROW()*0.000000001</f>
        <v>50.0326025458182</v>
      </c>
    </row>
    <row r="3115" customFormat="false" ht="15" hidden="false" customHeight="false" outlineLevel="0" collapsed="false">
      <c r="A3115" s="0" t="n">
        <v>10</v>
      </c>
      <c r="B3115" s="0" t="n">
        <v>12</v>
      </c>
      <c r="C3115" s="0" t="n">
        <v>16</v>
      </c>
      <c r="D3115" s="0" t="n">
        <f aca="false">-1+A3115*0.125</f>
        <v>0.25</v>
      </c>
      <c r="E3115" s="0" t="n">
        <f aca="false">-1+B3115*0.125</f>
        <v>0.5</v>
      </c>
      <c r="F3115" s="0" t="n">
        <f aca="false">-1+C3115*0.125</f>
        <v>1</v>
      </c>
      <c r="G3115" s="0" t="n">
        <f aca="false">1</f>
        <v>1</v>
      </c>
      <c r="H3115" s="0" t="n">
        <f aca="false">D3115</f>
        <v>0.25</v>
      </c>
      <c r="I3115" s="0" t="n">
        <f aca="false">E3115</f>
        <v>0.5</v>
      </c>
      <c r="J3115" s="0" t="n">
        <f aca="false">F3115</f>
        <v>1</v>
      </c>
      <c r="K3115" s="0" t="n">
        <f aca="false">D3115*E3115</f>
        <v>0.125</v>
      </c>
      <c r="L3115" s="0" t="n">
        <f aca="false">D3115*F3115</f>
        <v>0.25</v>
      </c>
      <c r="M3115" s="0" t="n">
        <f aca="false">E3115*F3115</f>
        <v>0.5</v>
      </c>
      <c r="N3115" s="0" t="n">
        <f aca="false">D3115*D3115</f>
        <v>0.0625</v>
      </c>
      <c r="O3115" s="0" t="n">
        <f aca="false">E3115*E3115</f>
        <v>0.25</v>
      </c>
      <c r="P3115" s="0" t="n">
        <f aca="false">F3115*F3115</f>
        <v>1</v>
      </c>
      <c r="Q3115" s="0" t="n">
        <f aca="false">SUMPRODUCT(G3115:P3115,_XtX!$B$71:$K$71)</f>
        <v>49.9526136363637</v>
      </c>
      <c r="R3115" s="0" t="n">
        <f aca="false">SUMPRODUCT(MMULT(G3115:P3115,_XtX!$B$58:$K$67),G3115:P3115)</f>
        <v>0.469424715909091</v>
      </c>
      <c r="S3115" s="0" t="n">
        <f aca="false">04_回帰ANOVA!$K$19*04_回帰ANOVA!$K$14*SQRT(1+R3115)</f>
        <v>1.12704253369596</v>
      </c>
      <c r="T3115" s="0" t="n">
        <f aca="false">Q3115-S3115</f>
        <v>48.8255711026677</v>
      </c>
      <c r="U3115" s="0" t="n">
        <f aca="false">Q3115+S3115</f>
        <v>51.0796561700596</v>
      </c>
      <c r="V3115" s="54" t="b">
        <f aca="false">AND(D3115&gt;=01_因子設定!$L$5-0.000000001,D3115&lt;=01_因子設定!$M$5+0.000000001,E3115&gt;=01_因子設定!$L$6-0.000000001,E3115&lt;=01_因子設定!$M$6+0.000000001,F3115&gt;=01_因子設定!$L$7-0.000000001,F3115&lt;=01_因子設定!$M$7+0.000000001,IF(01_因子設定!$B$20="Box-Behnken",D3115^2+E3115^2+F3115^2&lt;=2+0.000000001,TRUE()))</f>
        <v>1</v>
      </c>
      <c r="W3115" s="55" t="n">
        <f aca="false">IF(V3115,IF(01_因子設定!$B$13="最大化",T3115-01_因子設定!$B$14,IF(01_因子設定!$B$13="最小化",01_因子設定!$B$15-U3115,MIN(T3115-01_因子設定!$B$14,01_因子設定!$B$15-U3115))),-1E+030)</f>
        <v>0.325571102667709</v>
      </c>
      <c r="X3115" s="55" t="n">
        <f aca="false">IF(V3115,IF(01_因子設定!$B$13="最大化",Q3115,IF(01_因子設定!$B$13="最小化",-Q3115,-ABS(Q3115-01_因子設定!$B$16))),-1E+030)</f>
        <v>49.9526136363637</v>
      </c>
      <c r="Y3115" s="55" t="n">
        <f aca="false">W3115+ROW()*0.000000001</f>
        <v>0.325574217667709</v>
      </c>
      <c r="Z3115" s="55" t="n">
        <f aca="false">X3115+ROW()*0.000000001</f>
        <v>49.9526167513637</v>
      </c>
    </row>
    <row r="3116" customFormat="false" ht="15" hidden="false" customHeight="false" outlineLevel="0" collapsed="false">
      <c r="A3116" s="0" t="n">
        <v>10</v>
      </c>
      <c r="B3116" s="0" t="n">
        <v>13</v>
      </c>
      <c r="C3116" s="0" t="n">
        <v>0</v>
      </c>
      <c r="D3116" s="0" t="n">
        <f aca="false">-1+A3116*0.125</f>
        <v>0.25</v>
      </c>
      <c r="E3116" s="0" t="n">
        <f aca="false">-1+B3116*0.125</f>
        <v>0.625</v>
      </c>
      <c r="F3116" s="0" t="n">
        <f aca="false">-1+C3116*0.125</f>
        <v>-1</v>
      </c>
      <c r="G3116" s="0" t="n">
        <f aca="false">1</f>
        <v>1</v>
      </c>
      <c r="H3116" s="0" t="n">
        <f aca="false">D3116</f>
        <v>0.25</v>
      </c>
      <c r="I3116" s="0" t="n">
        <f aca="false">E3116</f>
        <v>0.625</v>
      </c>
      <c r="J3116" s="0" t="n">
        <f aca="false">F3116</f>
        <v>-1</v>
      </c>
      <c r="K3116" s="0" t="n">
        <f aca="false">D3116*E3116</f>
        <v>0.15625</v>
      </c>
      <c r="L3116" s="0" t="n">
        <f aca="false">D3116*F3116</f>
        <v>-0.25</v>
      </c>
      <c r="M3116" s="0" t="n">
        <f aca="false">E3116*F3116</f>
        <v>-0.625</v>
      </c>
      <c r="N3116" s="0" t="n">
        <f aca="false">D3116*D3116</f>
        <v>0.0625</v>
      </c>
      <c r="O3116" s="0" t="n">
        <f aca="false">E3116*E3116</f>
        <v>0.390625</v>
      </c>
      <c r="P3116" s="0" t="n">
        <f aca="false">F3116*F3116</f>
        <v>1</v>
      </c>
      <c r="Q3116" s="0" t="n">
        <f aca="false">SUMPRODUCT(G3116:P3116,_XtX!$B$71:$K$71)</f>
        <v>46.7733096590909</v>
      </c>
      <c r="R3116" s="0" t="n">
        <f aca="false">SUMPRODUCT(MMULT(G3116:P3116,_XtX!$B$58:$K$67),G3116:P3116)</f>
        <v>0.481389825994318</v>
      </c>
      <c r="S3116" s="0" t="n">
        <f aca="false">04_回帰ANOVA!$K$19*04_回帰ANOVA!$K$14*SQRT(1+R3116)</f>
        <v>1.13162182500693</v>
      </c>
      <c r="T3116" s="0" t="n">
        <f aca="false">Q3116-S3116</f>
        <v>45.641687834084</v>
      </c>
      <c r="U3116" s="0" t="n">
        <f aca="false">Q3116+S3116</f>
        <v>47.9049314840979</v>
      </c>
      <c r="V3116" s="54" t="b">
        <f aca="false">AND(D3116&gt;=01_因子設定!$L$5-0.000000001,D3116&lt;=01_因子設定!$M$5+0.000000001,E3116&gt;=01_因子設定!$L$6-0.000000001,E3116&lt;=01_因子設定!$M$6+0.000000001,F3116&gt;=01_因子設定!$L$7-0.000000001,F3116&lt;=01_因子設定!$M$7+0.000000001,IF(01_因子設定!$B$20="Box-Behnken",D3116^2+E3116^2+F3116^2&lt;=2+0.000000001,TRUE()))</f>
        <v>1</v>
      </c>
      <c r="W3116" s="55" t="n">
        <f aca="false">IF(V3116,IF(01_因子設定!$B$13="最大化",T3116-01_因子設定!$B$14,IF(01_因子設定!$B$13="最小化",01_因子設定!$B$15-U3116,MIN(T3116-01_因子設定!$B$14,01_因子設定!$B$15-U3116))),-1E+030)</f>
        <v>-2.85831216591599</v>
      </c>
      <c r="X3116" s="55" t="n">
        <f aca="false">IF(V3116,IF(01_因子設定!$B$13="最大化",Q3116,IF(01_因子設定!$B$13="最小化",-Q3116,-ABS(Q3116-01_因子設定!$B$16))),-1E+030)</f>
        <v>46.7733096590909</v>
      </c>
      <c r="Y3116" s="55" t="n">
        <f aca="false">W3116+ROW()*0.000000001</f>
        <v>-2.85830904991599</v>
      </c>
      <c r="Z3116" s="55" t="n">
        <f aca="false">X3116+ROW()*0.000000001</f>
        <v>46.7733127750909</v>
      </c>
    </row>
    <row r="3117" customFormat="false" ht="15" hidden="false" customHeight="false" outlineLevel="0" collapsed="false">
      <c r="A3117" s="0" t="n">
        <v>10</v>
      </c>
      <c r="B3117" s="0" t="n">
        <v>13</v>
      </c>
      <c r="C3117" s="0" t="n">
        <v>1</v>
      </c>
      <c r="D3117" s="0" t="n">
        <f aca="false">-1+A3117*0.125</f>
        <v>0.25</v>
      </c>
      <c r="E3117" s="0" t="n">
        <f aca="false">-1+B3117*0.125</f>
        <v>0.625</v>
      </c>
      <c r="F3117" s="0" t="n">
        <f aca="false">-1+C3117*0.125</f>
        <v>-0.875</v>
      </c>
      <c r="G3117" s="0" t="n">
        <f aca="false">1</f>
        <v>1</v>
      </c>
      <c r="H3117" s="0" t="n">
        <f aca="false">D3117</f>
        <v>0.25</v>
      </c>
      <c r="I3117" s="0" t="n">
        <f aca="false">E3117</f>
        <v>0.625</v>
      </c>
      <c r="J3117" s="0" t="n">
        <f aca="false">F3117</f>
        <v>-0.875</v>
      </c>
      <c r="K3117" s="0" t="n">
        <f aca="false">D3117*E3117</f>
        <v>0.15625</v>
      </c>
      <c r="L3117" s="0" t="n">
        <f aca="false">D3117*F3117</f>
        <v>-0.21875</v>
      </c>
      <c r="M3117" s="0" t="n">
        <f aca="false">E3117*F3117</f>
        <v>-0.546875</v>
      </c>
      <c r="N3117" s="0" t="n">
        <f aca="false">D3117*D3117</f>
        <v>0.0625</v>
      </c>
      <c r="O3117" s="0" t="n">
        <f aca="false">E3117*E3117</f>
        <v>0.390625</v>
      </c>
      <c r="P3117" s="0" t="n">
        <f aca="false">F3117*F3117</f>
        <v>0.765625</v>
      </c>
      <c r="Q3117" s="0" t="n">
        <f aca="false">SUMPRODUCT(G3117:P3117,_XtX!$B$71:$K$71)</f>
        <v>47.2522017045455</v>
      </c>
      <c r="R3117" s="0" t="n">
        <f aca="false">SUMPRODUCT(MMULT(G3117:P3117,_XtX!$B$58:$K$67),G3117:P3117)</f>
        <v>0.34446855024858</v>
      </c>
      <c r="S3117" s="0" t="n">
        <f aca="false">04_回帰ANOVA!$K$19*04_回帰ANOVA!$K$14*SQRT(1+R3117)</f>
        <v>1.07805758590432</v>
      </c>
      <c r="T3117" s="0" t="n">
        <f aca="false">Q3117-S3117</f>
        <v>46.1741441186412</v>
      </c>
      <c r="U3117" s="0" t="n">
        <f aca="false">Q3117+S3117</f>
        <v>48.3302592904498</v>
      </c>
      <c r="V3117" s="54" t="b">
        <f aca="false">AND(D3117&gt;=01_因子設定!$L$5-0.000000001,D3117&lt;=01_因子設定!$M$5+0.000000001,E3117&gt;=01_因子設定!$L$6-0.000000001,E3117&lt;=01_因子設定!$M$6+0.000000001,F3117&gt;=01_因子設定!$L$7-0.000000001,F3117&lt;=01_因子設定!$M$7+0.000000001,IF(01_因子設定!$B$20="Box-Behnken",D3117^2+E3117^2+F3117^2&lt;=2+0.000000001,TRUE()))</f>
        <v>1</v>
      </c>
      <c r="W3117" s="55" t="n">
        <f aca="false">IF(V3117,IF(01_因子設定!$B$13="最大化",T3117-01_因子設定!$B$14,IF(01_因子設定!$B$13="最小化",01_因子設定!$B$15-U3117,MIN(T3117-01_因子設定!$B$14,01_因子設定!$B$15-U3117))),-1E+030)</f>
        <v>-2.32585588135884</v>
      </c>
      <c r="X3117" s="55" t="n">
        <f aca="false">IF(V3117,IF(01_因子設定!$B$13="最大化",Q3117,IF(01_因子設定!$B$13="最小化",-Q3117,-ABS(Q3117-01_因子設定!$B$16))),-1E+030)</f>
        <v>47.2522017045455</v>
      </c>
      <c r="Y3117" s="55" t="n">
        <f aca="false">W3117+ROW()*0.000000001</f>
        <v>-2.32585276435884</v>
      </c>
      <c r="Z3117" s="55" t="n">
        <f aca="false">X3117+ROW()*0.000000001</f>
        <v>47.2522048215455</v>
      </c>
    </row>
    <row r="3118" customFormat="false" ht="15" hidden="false" customHeight="false" outlineLevel="0" collapsed="false">
      <c r="A3118" s="0" t="n">
        <v>10</v>
      </c>
      <c r="B3118" s="0" t="n">
        <v>13</v>
      </c>
      <c r="C3118" s="0" t="n">
        <v>2</v>
      </c>
      <c r="D3118" s="0" t="n">
        <f aca="false">-1+A3118*0.125</f>
        <v>0.25</v>
      </c>
      <c r="E3118" s="0" t="n">
        <f aca="false">-1+B3118*0.125</f>
        <v>0.625</v>
      </c>
      <c r="F3118" s="0" t="n">
        <f aca="false">-1+C3118*0.125</f>
        <v>-0.75</v>
      </c>
      <c r="G3118" s="0" t="n">
        <f aca="false">1</f>
        <v>1</v>
      </c>
      <c r="H3118" s="0" t="n">
        <f aca="false">D3118</f>
        <v>0.25</v>
      </c>
      <c r="I3118" s="0" t="n">
        <f aca="false">E3118</f>
        <v>0.625</v>
      </c>
      <c r="J3118" s="0" t="n">
        <f aca="false">F3118</f>
        <v>-0.75</v>
      </c>
      <c r="K3118" s="0" t="n">
        <f aca="false">D3118*E3118</f>
        <v>0.15625</v>
      </c>
      <c r="L3118" s="0" t="n">
        <f aca="false">D3118*F3118</f>
        <v>-0.1875</v>
      </c>
      <c r="M3118" s="0" t="n">
        <f aca="false">E3118*F3118</f>
        <v>-0.46875</v>
      </c>
      <c r="N3118" s="0" t="n">
        <f aca="false">D3118*D3118</f>
        <v>0.0625</v>
      </c>
      <c r="O3118" s="0" t="n">
        <f aca="false">E3118*E3118</f>
        <v>0.390625</v>
      </c>
      <c r="P3118" s="0" t="n">
        <f aca="false">F3118*F3118</f>
        <v>0.5625</v>
      </c>
      <c r="Q3118" s="0" t="n">
        <f aca="false">SUMPRODUCT(G3118:P3118,_XtX!$B$71:$K$71)</f>
        <v>47.6943039772727</v>
      </c>
      <c r="R3118" s="0" t="n">
        <f aca="false">SUMPRODUCT(MMULT(G3118:P3118,_XtX!$B$58:$K$67),G3118:P3118)</f>
        <v>0.258118785511364</v>
      </c>
      <c r="S3118" s="0" t="n">
        <f aca="false">04_回帰ANOVA!$K$19*04_回帰ANOVA!$K$14*SQRT(1+R3118)</f>
        <v>1.04286348094876</v>
      </c>
      <c r="T3118" s="0" t="n">
        <f aca="false">Q3118-S3118</f>
        <v>46.651440496324</v>
      </c>
      <c r="U3118" s="0" t="n">
        <f aca="false">Q3118+S3118</f>
        <v>48.7371674582215</v>
      </c>
      <c r="V3118" s="54" t="b">
        <f aca="false">AND(D3118&gt;=01_因子設定!$L$5-0.000000001,D3118&lt;=01_因子設定!$M$5+0.000000001,E3118&gt;=01_因子設定!$L$6-0.000000001,E3118&lt;=01_因子設定!$M$6+0.000000001,F3118&gt;=01_因子設定!$L$7-0.000000001,F3118&lt;=01_因子設定!$M$7+0.000000001,IF(01_因子設定!$B$20="Box-Behnken",D3118^2+E3118^2+F3118^2&lt;=2+0.000000001,TRUE()))</f>
        <v>1</v>
      </c>
      <c r="W3118" s="55" t="n">
        <f aca="false">IF(V3118,IF(01_因子設定!$B$13="最大化",T3118-01_因子設定!$B$14,IF(01_因子設定!$B$13="最小化",01_因子設定!$B$15-U3118,MIN(T3118-01_因子設定!$B$14,01_因子設定!$B$15-U3118))),-1E+030)</f>
        <v>-1.84855950367601</v>
      </c>
      <c r="X3118" s="55" t="n">
        <f aca="false">IF(V3118,IF(01_因子設定!$B$13="最大化",Q3118,IF(01_因子設定!$B$13="最小化",-Q3118,-ABS(Q3118-01_因子設定!$B$16))),-1E+030)</f>
        <v>47.6943039772727</v>
      </c>
      <c r="Y3118" s="55" t="n">
        <f aca="false">W3118+ROW()*0.000000001</f>
        <v>-1.84855638567601</v>
      </c>
      <c r="Z3118" s="55" t="n">
        <f aca="false">X3118+ROW()*0.000000001</f>
        <v>47.6943070952728</v>
      </c>
    </row>
    <row r="3119" customFormat="false" ht="15" hidden="false" customHeight="false" outlineLevel="0" collapsed="false">
      <c r="A3119" s="0" t="n">
        <v>10</v>
      </c>
      <c r="B3119" s="0" t="n">
        <v>13</v>
      </c>
      <c r="C3119" s="0" t="n">
        <v>3</v>
      </c>
      <c r="D3119" s="0" t="n">
        <f aca="false">-1+A3119*0.125</f>
        <v>0.25</v>
      </c>
      <c r="E3119" s="0" t="n">
        <f aca="false">-1+B3119*0.125</f>
        <v>0.625</v>
      </c>
      <c r="F3119" s="0" t="n">
        <f aca="false">-1+C3119*0.125</f>
        <v>-0.625</v>
      </c>
      <c r="G3119" s="0" t="n">
        <f aca="false">1</f>
        <v>1</v>
      </c>
      <c r="H3119" s="0" t="n">
        <f aca="false">D3119</f>
        <v>0.25</v>
      </c>
      <c r="I3119" s="0" t="n">
        <f aca="false">E3119</f>
        <v>0.625</v>
      </c>
      <c r="J3119" s="0" t="n">
        <f aca="false">F3119</f>
        <v>-0.625</v>
      </c>
      <c r="K3119" s="0" t="n">
        <f aca="false">D3119*E3119</f>
        <v>0.15625</v>
      </c>
      <c r="L3119" s="0" t="n">
        <f aca="false">D3119*F3119</f>
        <v>-0.15625</v>
      </c>
      <c r="M3119" s="0" t="n">
        <f aca="false">E3119*F3119</f>
        <v>-0.390625</v>
      </c>
      <c r="N3119" s="0" t="n">
        <f aca="false">D3119*D3119</f>
        <v>0.0625</v>
      </c>
      <c r="O3119" s="0" t="n">
        <f aca="false">E3119*E3119</f>
        <v>0.390625</v>
      </c>
      <c r="P3119" s="0" t="n">
        <f aca="false">F3119*F3119</f>
        <v>0.390625</v>
      </c>
      <c r="Q3119" s="0" t="n">
        <f aca="false">SUMPRODUCT(G3119:P3119,_XtX!$B$71:$K$71)</f>
        <v>48.0996164772728</v>
      </c>
      <c r="R3119" s="0" t="n">
        <f aca="false">SUMPRODUCT(MMULT(G3119:P3119,_XtX!$B$58:$K$67),G3119:P3119)</f>
        <v>0.208491099964489</v>
      </c>
      <c r="S3119" s="0" t="n">
        <f aca="false">04_回帰ANOVA!$K$19*04_回帰ANOVA!$K$14*SQRT(1+R3119)</f>
        <v>1.02208817610259</v>
      </c>
      <c r="T3119" s="0" t="n">
        <f aca="false">Q3119-S3119</f>
        <v>47.0775283011702</v>
      </c>
      <c r="U3119" s="0" t="n">
        <f aca="false">Q3119+S3119</f>
        <v>49.1217046533753</v>
      </c>
      <c r="V3119" s="54" t="b">
        <f aca="false">AND(D3119&gt;=01_因子設定!$L$5-0.000000001,D3119&lt;=01_因子設定!$M$5+0.000000001,E3119&gt;=01_因子設定!$L$6-0.000000001,E3119&lt;=01_因子設定!$M$6+0.000000001,F3119&gt;=01_因子設定!$L$7-0.000000001,F3119&lt;=01_因子設定!$M$7+0.000000001,IF(01_因子設定!$B$20="Box-Behnken",D3119^2+E3119^2+F3119^2&lt;=2+0.000000001,TRUE()))</f>
        <v>1</v>
      </c>
      <c r="W3119" s="55" t="n">
        <f aca="false">IF(V3119,IF(01_因子設定!$B$13="最大化",T3119-01_因子設定!$B$14,IF(01_因子設定!$B$13="最小化",01_因子設定!$B$15-U3119,MIN(T3119-01_因子設定!$B$14,01_因子設定!$B$15-U3119))),-1E+030)</f>
        <v>-1.42247169882984</v>
      </c>
      <c r="X3119" s="55" t="n">
        <f aca="false">IF(V3119,IF(01_因子設定!$B$13="最大化",Q3119,IF(01_因子設定!$B$13="最小化",-Q3119,-ABS(Q3119-01_因子設定!$B$16))),-1E+030)</f>
        <v>48.0996164772728</v>
      </c>
      <c r="Y3119" s="55" t="n">
        <f aca="false">W3119+ROW()*0.000000001</f>
        <v>-1.42246857982984</v>
      </c>
      <c r="Z3119" s="55" t="n">
        <f aca="false">X3119+ROW()*0.000000001</f>
        <v>48.0996195962727</v>
      </c>
    </row>
    <row r="3120" customFormat="false" ht="15" hidden="false" customHeight="false" outlineLevel="0" collapsed="false">
      <c r="A3120" s="0" t="n">
        <v>10</v>
      </c>
      <c r="B3120" s="0" t="n">
        <v>13</v>
      </c>
      <c r="C3120" s="0" t="n">
        <v>4</v>
      </c>
      <c r="D3120" s="0" t="n">
        <f aca="false">-1+A3120*0.125</f>
        <v>0.25</v>
      </c>
      <c r="E3120" s="0" t="n">
        <f aca="false">-1+B3120*0.125</f>
        <v>0.625</v>
      </c>
      <c r="F3120" s="0" t="n">
        <f aca="false">-1+C3120*0.125</f>
        <v>-0.5</v>
      </c>
      <c r="G3120" s="0" t="n">
        <f aca="false">1</f>
        <v>1</v>
      </c>
      <c r="H3120" s="0" t="n">
        <f aca="false">D3120</f>
        <v>0.25</v>
      </c>
      <c r="I3120" s="0" t="n">
        <f aca="false">E3120</f>
        <v>0.625</v>
      </c>
      <c r="J3120" s="0" t="n">
        <f aca="false">F3120</f>
        <v>-0.5</v>
      </c>
      <c r="K3120" s="0" t="n">
        <f aca="false">D3120*E3120</f>
        <v>0.15625</v>
      </c>
      <c r="L3120" s="0" t="n">
        <f aca="false">D3120*F3120</f>
        <v>-0.125</v>
      </c>
      <c r="M3120" s="0" t="n">
        <f aca="false">E3120*F3120</f>
        <v>-0.3125</v>
      </c>
      <c r="N3120" s="0" t="n">
        <f aca="false">D3120*D3120</f>
        <v>0.0625</v>
      </c>
      <c r="O3120" s="0" t="n">
        <f aca="false">E3120*E3120</f>
        <v>0.390625</v>
      </c>
      <c r="P3120" s="0" t="n">
        <f aca="false">F3120*F3120</f>
        <v>0.25</v>
      </c>
      <c r="Q3120" s="0" t="n">
        <f aca="false">SUMPRODUCT(G3120:P3120,_XtX!$B$71:$K$71)</f>
        <v>48.4681392045455</v>
      </c>
      <c r="R3120" s="0" t="n">
        <f aca="false">SUMPRODUCT(MMULT(G3120:P3120,_XtX!$B$58:$K$67),G3120:P3120)</f>
        <v>0.183866743607955</v>
      </c>
      <c r="S3120" s="0" t="n">
        <f aca="false">04_回帰ANOVA!$K$19*04_回帰ANOVA!$K$14*SQRT(1+R3120)</f>
        <v>1.01162148983013</v>
      </c>
      <c r="T3120" s="0" t="n">
        <f aca="false">Q3120-S3120</f>
        <v>47.4565177147153</v>
      </c>
      <c r="U3120" s="0" t="n">
        <f aca="false">Q3120+S3120</f>
        <v>49.4797606943756</v>
      </c>
      <c r="V3120" s="54" t="b">
        <f aca="false">AND(D3120&gt;=01_因子設定!$L$5-0.000000001,D3120&lt;=01_因子設定!$M$5+0.000000001,E3120&gt;=01_因子設定!$L$6-0.000000001,E3120&lt;=01_因子設定!$M$6+0.000000001,F3120&gt;=01_因子設定!$L$7-0.000000001,F3120&lt;=01_因子設定!$M$7+0.000000001,IF(01_因子設定!$B$20="Box-Behnken",D3120^2+E3120^2+F3120^2&lt;=2+0.000000001,TRUE()))</f>
        <v>1</v>
      </c>
      <c r="W3120" s="55" t="n">
        <f aca="false">IF(V3120,IF(01_因子設定!$B$13="最大化",T3120-01_因子設定!$B$14,IF(01_因子設定!$B$13="最小化",01_因子設定!$B$15-U3120,MIN(T3120-01_因子設定!$B$14,01_因子設定!$B$15-U3120))),-1E+030)</f>
        <v>-1.04348228528467</v>
      </c>
      <c r="X3120" s="55" t="n">
        <f aca="false">IF(V3120,IF(01_因子設定!$B$13="最大化",Q3120,IF(01_因子設定!$B$13="最小化",-Q3120,-ABS(Q3120-01_因子設定!$B$16))),-1E+030)</f>
        <v>48.4681392045455</v>
      </c>
      <c r="Y3120" s="55" t="n">
        <f aca="false">W3120+ROW()*0.000000001</f>
        <v>-1.04347916528467</v>
      </c>
      <c r="Z3120" s="55" t="n">
        <f aca="false">X3120+ROW()*0.000000001</f>
        <v>48.4681423245455</v>
      </c>
    </row>
    <row r="3121" customFormat="false" ht="15" hidden="false" customHeight="false" outlineLevel="0" collapsed="false">
      <c r="A3121" s="0" t="n">
        <v>10</v>
      </c>
      <c r="B3121" s="0" t="n">
        <v>13</v>
      </c>
      <c r="C3121" s="0" t="n">
        <v>5</v>
      </c>
      <c r="D3121" s="0" t="n">
        <f aca="false">-1+A3121*0.125</f>
        <v>0.25</v>
      </c>
      <c r="E3121" s="0" t="n">
        <f aca="false">-1+B3121*0.125</f>
        <v>0.625</v>
      </c>
      <c r="F3121" s="0" t="n">
        <f aca="false">-1+C3121*0.125</f>
        <v>-0.375</v>
      </c>
      <c r="G3121" s="0" t="n">
        <f aca="false">1</f>
        <v>1</v>
      </c>
      <c r="H3121" s="0" t="n">
        <f aca="false">D3121</f>
        <v>0.25</v>
      </c>
      <c r="I3121" s="0" t="n">
        <f aca="false">E3121</f>
        <v>0.625</v>
      </c>
      <c r="J3121" s="0" t="n">
        <f aca="false">F3121</f>
        <v>-0.375</v>
      </c>
      <c r="K3121" s="0" t="n">
        <f aca="false">D3121*E3121</f>
        <v>0.15625</v>
      </c>
      <c r="L3121" s="0" t="n">
        <f aca="false">D3121*F3121</f>
        <v>-0.09375</v>
      </c>
      <c r="M3121" s="0" t="n">
        <f aca="false">E3121*F3121</f>
        <v>-0.234375</v>
      </c>
      <c r="N3121" s="0" t="n">
        <f aca="false">D3121*D3121</f>
        <v>0.0625</v>
      </c>
      <c r="O3121" s="0" t="n">
        <f aca="false">E3121*E3121</f>
        <v>0.390625</v>
      </c>
      <c r="P3121" s="0" t="n">
        <f aca="false">F3121*F3121</f>
        <v>0.140625</v>
      </c>
      <c r="Q3121" s="0" t="n">
        <f aca="false">SUMPRODUCT(G3121:P3121,_XtX!$B$71:$K$71)</f>
        <v>48.7998721590909</v>
      </c>
      <c r="R3121" s="0" t="n">
        <f aca="false">SUMPRODUCT(MMULT(G3121:P3121,_XtX!$B$58:$K$67),G3121:P3121)</f>
        <v>0.174657648259943</v>
      </c>
      <c r="S3121" s="0" t="n">
        <f aca="false">04_回帰ANOVA!$K$19*04_回帰ANOVA!$K$14*SQRT(1+R3121)</f>
        <v>1.00767919364845</v>
      </c>
      <c r="T3121" s="0" t="n">
        <f aca="false">Q3121-S3121</f>
        <v>47.7921929654425</v>
      </c>
      <c r="U3121" s="0" t="n">
        <f aca="false">Q3121+S3121</f>
        <v>49.8075513527394</v>
      </c>
      <c r="V3121" s="54" t="b">
        <f aca="false">AND(D3121&gt;=01_因子設定!$L$5-0.000000001,D3121&lt;=01_因子設定!$M$5+0.000000001,E3121&gt;=01_因子設定!$L$6-0.000000001,E3121&lt;=01_因子設定!$M$6+0.000000001,F3121&gt;=01_因子設定!$L$7-0.000000001,F3121&lt;=01_因子設定!$M$7+0.000000001,IF(01_因子設定!$B$20="Box-Behnken",D3121^2+E3121^2+F3121^2&lt;=2+0.000000001,TRUE()))</f>
        <v>1</v>
      </c>
      <c r="W3121" s="55" t="n">
        <f aca="false">IF(V3121,IF(01_因子設定!$B$13="最大化",T3121-01_因子設定!$B$14,IF(01_因子設定!$B$13="最小化",01_因子設定!$B$15-U3121,MIN(T3121-01_因子設定!$B$14,01_因子設定!$B$15-U3121))),-1E+030)</f>
        <v>-0.707807034557519</v>
      </c>
      <c r="X3121" s="55" t="n">
        <f aca="false">IF(V3121,IF(01_因子設定!$B$13="最大化",Q3121,IF(01_因子設定!$B$13="最小化",-Q3121,-ABS(Q3121-01_因子設定!$B$16))),-1E+030)</f>
        <v>48.7998721590909</v>
      </c>
      <c r="Y3121" s="55" t="n">
        <f aca="false">W3121+ROW()*0.000000001</f>
        <v>-0.707803913557519</v>
      </c>
      <c r="Z3121" s="55" t="n">
        <f aca="false">X3121+ROW()*0.000000001</f>
        <v>48.7998752800909</v>
      </c>
    </row>
    <row r="3122" customFormat="false" ht="15" hidden="false" customHeight="false" outlineLevel="0" collapsed="false">
      <c r="A3122" s="0" t="n">
        <v>10</v>
      </c>
      <c r="B3122" s="0" t="n">
        <v>13</v>
      </c>
      <c r="C3122" s="0" t="n">
        <v>6</v>
      </c>
      <c r="D3122" s="0" t="n">
        <f aca="false">-1+A3122*0.125</f>
        <v>0.25</v>
      </c>
      <c r="E3122" s="0" t="n">
        <f aca="false">-1+B3122*0.125</f>
        <v>0.625</v>
      </c>
      <c r="F3122" s="0" t="n">
        <f aca="false">-1+C3122*0.125</f>
        <v>-0.25</v>
      </c>
      <c r="G3122" s="0" t="n">
        <f aca="false">1</f>
        <v>1</v>
      </c>
      <c r="H3122" s="0" t="n">
        <f aca="false">D3122</f>
        <v>0.25</v>
      </c>
      <c r="I3122" s="0" t="n">
        <f aca="false">E3122</f>
        <v>0.625</v>
      </c>
      <c r="J3122" s="0" t="n">
        <f aca="false">F3122</f>
        <v>-0.25</v>
      </c>
      <c r="K3122" s="0" t="n">
        <f aca="false">D3122*E3122</f>
        <v>0.15625</v>
      </c>
      <c r="L3122" s="0" t="n">
        <f aca="false">D3122*F3122</f>
        <v>-0.0625</v>
      </c>
      <c r="M3122" s="0" t="n">
        <f aca="false">E3122*F3122</f>
        <v>-0.15625</v>
      </c>
      <c r="N3122" s="0" t="n">
        <f aca="false">D3122*D3122</f>
        <v>0.0625</v>
      </c>
      <c r="O3122" s="0" t="n">
        <f aca="false">E3122*E3122</f>
        <v>0.390625</v>
      </c>
      <c r="P3122" s="0" t="n">
        <f aca="false">F3122*F3122</f>
        <v>0.0625</v>
      </c>
      <c r="Q3122" s="0" t="n">
        <f aca="false">SUMPRODUCT(G3122:P3122,_XtX!$B$71:$K$71)</f>
        <v>49.0948153409091</v>
      </c>
      <c r="R3122" s="0" t="n">
        <f aca="false">SUMPRODUCT(MMULT(G3122:P3122,_XtX!$B$58:$K$67),G3122:P3122)</f>
        <v>0.173406427556818</v>
      </c>
      <c r="S3122" s="0" t="n">
        <f aca="false">04_回帰ANOVA!$K$19*04_回帰ANOVA!$K$14*SQRT(1+R3122)</f>
        <v>1.00714237128059</v>
      </c>
      <c r="T3122" s="0" t="n">
        <f aca="false">Q3122-S3122</f>
        <v>48.0876729696285</v>
      </c>
      <c r="U3122" s="0" t="n">
        <f aca="false">Q3122+S3122</f>
        <v>50.1019577121897</v>
      </c>
      <c r="V3122" s="54" t="b">
        <f aca="false">AND(D3122&gt;=01_因子設定!$L$5-0.000000001,D3122&lt;=01_因子設定!$M$5+0.000000001,E3122&gt;=01_因子設定!$L$6-0.000000001,E3122&lt;=01_因子設定!$M$6+0.000000001,F3122&gt;=01_因子設定!$L$7-0.000000001,F3122&lt;=01_因子設定!$M$7+0.000000001,IF(01_因子設定!$B$20="Box-Behnken",D3122^2+E3122^2+F3122^2&lt;=2+0.000000001,TRUE()))</f>
        <v>1</v>
      </c>
      <c r="W3122" s="55" t="n">
        <f aca="false">IF(V3122,IF(01_因子設定!$B$13="最大化",T3122-01_因子設定!$B$14,IF(01_因子設定!$B$13="最小化",01_因子設定!$B$15-U3122,MIN(T3122-01_因子設定!$B$14,01_因子設定!$B$15-U3122))),-1E+030)</f>
        <v>-0.412327030371493</v>
      </c>
      <c r="X3122" s="55" t="n">
        <f aca="false">IF(V3122,IF(01_因子設定!$B$13="最大化",Q3122,IF(01_因子設定!$B$13="最小化",-Q3122,-ABS(Q3122-01_因子設定!$B$16))),-1E+030)</f>
        <v>49.0948153409091</v>
      </c>
      <c r="Y3122" s="55" t="n">
        <f aca="false">W3122+ROW()*0.000000001</f>
        <v>-0.412323908371493</v>
      </c>
      <c r="Z3122" s="55" t="n">
        <f aca="false">X3122+ROW()*0.000000001</f>
        <v>49.0948184629091</v>
      </c>
    </row>
    <row r="3123" customFormat="false" ht="15" hidden="false" customHeight="false" outlineLevel="0" collapsed="false">
      <c r="A3123" s="0" t="n">
        <v>10</v>
      </c>
      <c r="B3123" s="0" t="n">
        <v>13</v>
      </c>
      <c r="C3123" s="0" t="n">
        <v>7</v>
      </c>
      <c r="D3123" s="0" t="n">
        <f aca="false">-1+A3123*0.125</f>
        <v>0.25</v>
      </c>
      <c r="E3123" s="0" t="n">
        <f aca="false">-1+B3123*0.125</f>
        <v>0.625</v>
      </c>
      <c r="F3123" s="0" t="n">
        <f aca="false">-1+C3123*0.125</f>
        <v>-0.125</v>
      </c>
      <c r="G3123" s="0" t="n">
        <f aca="false">1</f>
        <v>1</v>
      </c>
      <c r="H3123" s="0" t="n">
        <f aca="false">D3123</f>
        <v>0.25</v>
      </c>
      <c r="I3123" s="0" t="n">
        <f aca="false">E3123</f>
        <v>0.625</v>
      </c>
      <c r="J3123" s="0" t="n">
        <f aca="false">F3123</f>
        <v>-0.125</v>
      </c>
      <c r="K3123" s="0" t="n">
        <f aca="false">D3123*E3123</f>
        <v>0.15625</v>
      </c>
      <c r="L3123" s="0" t="n">
        <f aca="false">D3123*F3123</f>
        <v>-0.03125</v>
      </c>
      <c r="M3123" s="0" t="n">
        <f aca="false">E3123*F3123</f>
        <v>-0.078125</v>
      </c>
      <c r="N3123" s="0" t="n">
        <f aca="false">D3123*D3123</f>
        <v>0.0625</v>
      </c>
      <c r="O3123" s="0" t="n">
        <f aca="false">E3123*E3123</f>
        <v>0.390625</v>
      </c>
      <c r="P3123" s="0" t="n">
        <f aca="false">F3123*F3123</f>
        <v>0.015625</v>
      </c>
      <c r="Q3123" s="0" t="n">
        <f aca="false">SUMPRODUCT(G3123:P3123,_XtX!$B$71:$K$71)</f>
        <v>49.35296875</v>
      </c>
      <c r="R3123" s="0" t="n">
        <f aca="false">SUMPRODUCT(MMULT(G3123:P3123,_XtX!$B$58:$K$67),G3123:P3123)</f>
        <v>0.174786376953125</v>
      </c>
      <c r="S3123" s="0" t="n">
        <f aca="false">04_回帰ANOVA!$K$19*04_回帰ANOVA!$K$14*SQRT(1+R3123)</f>
        <v>1.00773440704286</v>
      </c>
      <c r="T3123" s="0" t="n">
        <f aca="false">Q3123-S3123</f>
        <v>48.3452343429572</v>
      </c>
      <c r="U3123" s="0" t="n">
        <f aca="false">Q3123+S3123</f>
        <v>50.3607031570429</v>
      </c>
      <c r="V3123" s="54" t="b">
        <f aca="false">AND(D3123&gt;=01_因子設定!$L$5-0.000000001,D3123&lt;=01_因子設定!$M$5+0.000000001,E3123&gt;=01_因子設定!$L$6-0.000000001,E3123&lt;=01_因子設定!$M$6+0.000000001,F3123&gt;=01_因子設定!$L$7-0.000000001,F3123&lt;=01_因子設定!$M$7+0.000000001,IF(01_因子設定!$B$20="Box-Behnken",D3123^2+E3123^2+F3123^2&lt;=2+0.000000001,TRUE()))</f>
        <v>1</v>
      </c>
      <c r="W3123" s="55" t="n">
        <f aca="false">IF(V3123,IF(01_因子設定!$B$13="最大化",T3123-01_因子設定!$B$14,IF(01_因子設定!$B$13="最小化",01_因子設定!$B$15-U3123,MIN(T3123-01_因子設定!$B$14,01_因子設定!$B$15-U3123))),-1E+030)</f>
        <v>-0.154765657042852</v>
      </c>
      <c r="X3123" s="55" t="n">
        <f aca="false">IF(V3123,IF(01_因子設定!$B$13="最大化",Q3123,IF(01_因子設定!$B$13="最小化",-Q3123,-ABS(Q3123-01_因子設定!$B$16))),-1E+030)</f>
        <v>49.35296875</v>
      </c>
      <c r="Y3123" s="55" t="n">
        <f aca="false">W3123+ROW()*0.000000001</f>
        <v>-0.154762534042852</v>
      </c>
      <c r="Z3123" s="55" t="n">
        <f aca="false">X3123+ROW()*0.000000001</f>
        <v>49.352971873</v>
      </c>
    </row>
    <row r="3124" customFormat="false" ht="15" hidden="false" customHeight="false" outlineLevel="0" collapsed="false">
      <c r="A3124" s="0" t="n">
        <v>10</v>
      </c>
      <c r="B3124" s="0" t="n">
        <v>13</v>
      </c>
      <c r="C3124" s="0" t="n">
        <v>8</v>
      </c>
      <c r="D3124" s="0" t="n">
        <f aca="false">-1+A3124*0.125</f>
        <v>0.25</v>
      </c>
      <c r="E3124" s="0" t="n">
        <f aca="false">-1+B3124*0.125</f>
        <v>0.625</v>
      </c>
      <c r="F3124" s="0" t="n">
        <f aca="false">-1+C3124*0.125</f>
        <v>0</v>
      </c>
      <c r="G3124" s="0" t="n">
        <f aca="false">1</f>
        <v>1</v>
      </c>
      <c r="H3124" s="0" t="n">
        <f aca="false">D3124</f>
        <v>0.25</v>
      </c>
      <c r="I3124" s="0" t="n">
        <f aca="false">E3124</f>
        <v>0.625</v>
      </c>
      <c r="J3124" s="0" t="n">
        <f aca="false">F3124</f>
        <v>0</v>
      </c>
      <c r="K3124" s="0" t="n">
        <f aca="false">D3124*E3124</f>
        <v>0.15625</v>
      </c>
      <c r="L3124" s="0" t="n">
        <f aca="false">D3124*F3124</f>
        <v>0</v>
      </c>
      <c r="M3124" s="0" t="n">
        <f aca="false">E3124*F3124</f>
        <v>0</v>
      </c>
      <c r="N3124" s="0" t="n">
        <f aca="false">D3124*D3124</f>
        <v>0.0625</v>
      </c>
      <c r="O3124" s="0" t="n">
        <f aca="false">E3124*E3124</f>
        <v>0.390625</v>
      </c>
      <c r="P3124" s="0" t="n">
        <f aca="false">F3124*F3124</f>
        <v>0</v>
      </c>
      <c r="Q3124" s="0" t="n">
        <f aca="false">SUMPRODUCT(G3124:P3124,_XtX!$B$71:$K$71)</f>
        <v>49.5743323863636</v>
      </c>
      <c r="R3124" s="0" t="n">
        <f aca="false">SUMPRODUCT(MMULT(G3124:P3124,_XtX!$B$58:$K$67),G3124:P3124)</f>
        <v>0.175601473721591</v>
      </c>
      <c r="S3124" s="0" t="n">
        <f aca="false">04_回帰ANOVA!$K$19*04_回帰ANOVA!$K$14*SQRT(1+R3124)</f>
        <v>1.00808394234856</v>
      </c>
      <c r="T3124" s="0" t="n">
        <f aca="false">Q3124-S3124</f>
        <v>48.5662484440151</v>
      </c>
      <c r="U3124" s="0" t="n">
        <f aca="false">Q3124+S3124</f>
        <v>50.5824163287122</v>
      </c>
      <c r="V3124" s="54" t="b">
        <f aca="false">AND(D3124&gt;=01_因子設定!$L$5-0.000000001,D3124&lt;=01_因子設定!$M$5+0.000000001,E3124&gt;=01_因子設定!$L$6-0.000000001,E3124&lt;=01_因子設定!$M$6+0.000000001,F3124&gt;=01_因子設定!$L$7-0.000000001,F3124&lt;=01_因子設定!$M$7+0.000000001,IF(01_因子設定!$B$20="Box-Behnken",D3124^2+E3124^2+F3124^2&lt;=2+0.000000001,TRUE()))</f>
        <v>1</v>
      </c>
      <c r="W3124" s="55" t="n">
        <f aca="false">IF(V3124,IF(01_因子設定!$B$13="最大化",T3124-01_因子設定!$B$14,IF(01_因子設定!$B$13="最小化",01_因子設定!$B$15-U3124,MIN(T3124-01_因子設定!$B$14,01_因子設定!$B$15-U3124))),-1E+030)</f>
        <v>0.0662484440150806</v>
      </c>
      <c r="X3124" s="55" t="n">
        <f aca="false">IF(V3124,IF(01_因子設定!$B$13="最大化",Q3124,IF(01_因子設定!$B$13="最小化",-Q3124,-ABS(Q3124-01_因子設定!$B$16))),-1E+030)</f>
        <v>49.5743323863636</v>
      </c>
      <c r="Y3124" s="55" t="n">
        <f aca="false">W3124+ROW()*0.000000001</f>
        <v>0.0662515680150806</v>
      </c>
      <c r="Z3124" s="55" t="n">
        <f aca="false">X3124+ROW()*0.000000001</f>
        <v>49.5743355103636</v>
      </c>
    </row>
    <row r="3125" customFormat="false" ht="15" hidden="false" customHeight="false" outlineLevel="0" collapsed="false">
      <c r="A3125" s="0" t="n">
        <v>10</v>
      </c>
      <c r="B3125" s="0" t="n">
        <v>13</v>
      </c>
      <c r="C3125" s="0" t="n">
        <v>9</v>
      </c>
      <c r="D3125" s="0" t="n">
        <f aca="false">-1+A3125*0.125</f>
        <v>0.25</v>
      </c>
      <c r="E3125" s="0" t="n">
        <f aca="false">-1+B3125*0.125</f>
        <v>0.625</v>
      </c>
      <c r="F3125" s="0" t="n">
        <f aca="false">-1+C3125*0.125</f>
        <v>0.125</v>
      </c>
      <c r="G3125" s="0" t="n">
        <f aca="false">1</f>
        <v>1</v>
      </c>
      <c r="H3125" s="0" t="n">
        <f aca="false">D3125</f>
        <v>0.25</v>
      </c>
      <c r="I3125" s="0" t="n">
        <f aca="false">E3125</f>
        <v>0.625</v>
      </c>
      <c r="J3125" s="0" t="n">
        <f aca="false">F3125</f>
        <v>0.125</v>
      </c>
      <c r="K3125" s="0" t="n">
        <f aca="false">D3125*E3125</f>
        <v>0.15625</v>
      </c>
      <c r="L3125" s="0" t="n">
        <f aca="false">D3125*F3125</f>
        <v>0.03125</v>
      </c>
      <c r="M3125" s="0" t="n">
        <f aca="false">E3125*F3125</f>
        <v>0.078125</v>
      </c>
      <c r="N3125" s="0" t="n">
        <f aca="false">D3125*D3125</f>
        <v>0.0625</v>
      </c>
      <c r="O3125" s="0" t="n">
        <f aca="false">E3125*E3125</f>
        <v>0.390625</v>
      </c>
      <c r="P3125" s="0" t="n">
        <f aca="false">F3125*F3125</f>
        <v>0.015625</v>
      </c>
      <c r="Q3125" s="0" t="n">
        <f aca="false">SUMPRODUCT(G3125:P3125,_XtX!$B$71:$K$71)</f>
        <v>49.75890625</v>
      </c>
      <c r="R3125" s="0" t="n">
        <f aca="false">SUMPRODUCT(MMULT(G3125:P3125,_XtX!$B$58:$K$67),G3125:P3125)</f>
        <v>0.174786376953125</v>
      </c>
      <c r="S3125" s="0" t="n">
        <f aca="false">04_回帰ANOVA!$K$19*04_回帰ANOVA!$K$14*SQRT(1+R3125)</f>
        <v>1.00773440704286</v>
      </c>
      <c r="T3125" s="0" t="n">
        <f aca="false">Q3125-S3125</f>
        <v>48.7511718429572</v>
      </c>
      <c r="U3125" s="0" t="n">
        <f aca="false">Q3125+S3125</f>
        <v>50.7666406570429</v>
      </c>
      <c r="V3125" s="54" t="b">
        <f aca="false">AND(D3125&gt;=01_因子設定!$L$5-0.000000001,D3125&lt;=01_因子設定!$M$5+0.000000001,E3125&gt;=01_因子設定!$L$6-0.000000001,E3125&lt;=01_因子設定!$M$6+0.000000001,F3125&gt;=01_因子設定!$L$7-0.000000001,F3125&lt;=01_因子設定!$M$7+0.000000001,IF(01_因子設定!$B$20="Box-Behnken",D3125^2+E3125^2+F3125^2&lt;=2+0.000000001,TRUE()))</f>
        <v>1</v>
      </c>
      <c r="W3125" s="55" t="n">
        <f aca="false">IF(V3125,IF(01_因子設定!$B$13="最大化",T3125-01_因子設定!$B$14,IF(01_因子設定!$B$13="最小化",01_因子設定!$B$15-U3125,MIN(T3125-01_因子設定!$B$14,01_因子設定!$B$15-U3125))),-1E+030)</f>
        <v>0.251171842957149</v>
      </c>
      <c r="X3125" s="55" t="n">
        <f aca="false">IF(V3125,IF(01_因子設定!$B$13="最大化",Q3125,IF(01_因子設定!$B$13="最小化",-Q3125,-ABS(Q3125-01_因子設定!$B$16))),-1E+030)</f>
        <v>49.75890625</v>
      </c>
      <c r="Y3125" s="55" t="n">
        <f aca="false">W3125+ROW()*0.000000001</f>
        <v>0.251174967957149</v>
      </c>
      <c r="Z3125" s="55" t="n">
        <f aca="false">X3125+ROW()*0.000000001</f>
        <v>49.758909375</v>
      </c>
    </row>
    <row r="3126" customFormat="false" ht="15" hidden="false" customHeight="false" outlineLevel="0" collapsed="false">
      <c r="A3126" s="0" t="n">
        <v>10</v>
      </c>
      <c r="B3126" s="0" t="n">
        <v>13</v>
      </c>
      <c r="C3126" s="0" t="n">
        <v>10</v>
      </c>
      <c r="D3126" s="0" t="n">
        <f aca="false">-1+A3126*0.125</f>
        <v>0.25</v>
      </c>
      <c r="E3126" s="0" t="n">
        <f aca="false">-1+B3126*0.125</f>
        <v>0.625</v>
      </c>
      <c r="F3126" s="0" t="n">
        <f aca="false">-1+C3126*0.125</f>
        <v>0.25</v>
      </c>
      <c r="G3126" s="0" t="n">
        <f aca="false">1</f>
        <v>1</v>
      </c>
      <c r="H3126" s="0" t="n">
        <f aca="false">D3126</f>
        <v>0.25</v>
      </c>
      <c r="I3126" s="0" t="n">
        <f aca="false">E3126</f>
        <v>0.625</v>
      </c>
      <c r="J3126" s="0" t="n">
        <f aca="false">F3126</f>
        <v>0.25</v>
      </c>
      <c r="K3126" s="0" t="n">
        <f aca="false">D3126*E3126</f>
        <v>0.15625</v>
      </c>
      <c r="L3126" s="0" t="n">
        <f aca="false">D3126*F3126</f>
        <v>0.0625</v>
      </c>
      <c r="M3126" s="0" t="n">
        <f aca="false">E3126*F3126</f>
        <v>0.15625</v>
      </c>
      <c r="N3126" s="0" t="n">
        <f aca="false">D3126*D3126</f>
        <v>0.0625</v>
      </c>
      <c r="O3126" s="0" t="n">
        <f aca="false">E3126*E3126</f>
        <v>0.390625</v>
      </c>
      <c r="P3126" s="0" t="n">
        <f aca="false">F3126*F3126</f>
        <v>0.0625</v>
      </c>
      <c r="Q3126" s="0" t="n">
        <f aca="false">SUMPRODUCT(G3126:P3126,_XtX!$B$71:$K$71)</f>
        <v>49.9066903409091</v>
      </c>
      <c r="R3126" s="0" t="n">
        <f aca="false">SUMPRODUCT(MMULT(G3126:P3126,_XtX!$B$58:$K$67),G3126:P3126)</f>
        <v>0.173406427556818</v>
      </c>
      <c r="S3126" s="0" t="n">
        <f aca="false">04_回帰ANOVA!$K$19*04_回帰ANOVA!$K$14*SQRT(1+R3126)</f>
        <v>1.00714237128059</v>
      </c>
      <c r="T3126" s="0" t="n">
        <f aca="false">Q3126-S3126</f>
        <v>48.8995479696285</v>
      </c>
      <c r="U3126" s="0" t="n">
        <f aca="false">Q3126+S3126</f>
        <v>50.9138327121897</v>
      </c>
      <c r="V3126" s="54" t="b">
        <f aca="false">AND(D3126&gt;=01_因子設定!$L$5-0.000000001,D3126&lt;=01_因子設定!$M$5+0.000000001,E3126&gt;=01_因子設定!$L$6-0.000000001,E3126&lt;=01_因子設定!$M$6+0.000000001,F3126&gt;=01_因子設定!$L$7-0.000000001,F3126&lt;=01_因子設定!$M$7+0.000000001,IF(01_因子設定!$B$20="Box-Behnken",D3126^2+E3126^2+F3126^2&lt;=2+0.000000001,TRUE()))</f>
        <v>1</v>
      </c>
      <c r="W3126" s="55" t="n">
        <f aca="false">IF(V3126,IF(01_因子設定!$B$13="最大化",T3126-01_因子設定!$B$14,IF(01_因子設定!$B$13="最小化",01_因子設定!$B$15-U3126,MIN(T3126-01_因子設定!$B$14,01_因子設定!$B$15-U3126))),-1E+030)</f>
        <v>0.399547969628507</v>
      </c>
      <c r="X3126" s="55" t="n">
        <f aca="false">IF(V3126,IF(01_因子設定!$B$13="最大化",Q3126,IF(01_因子設定!$B$13="最小化",-Q3126,-ABS(Q3126-01_因子設定!$B$16))),-1E+030)</f>
        <v>49.9066903409091</v>
      </c>
      <c r="Y3126" s="55" t="n">
        <f aca="false">W3126+ROW()*0.000000001</f>
        <v>0.399551095628507</v>
      </c>
      <c r="Z3126" s="55" t="n">
        <f aca="false">X3126+ROW()*0.000000001</f>
        <v>49.9066934669091</v>
      </c>
    </row>
    <row r="3127" customFormat="false" ht="15" hidden="false" customHeight="false" outlineLevel="0" collapsed="false">
      <c r="A3127" s="0" t="n">
        <v>10</v>
      </c>
      <c r="B3127" s="0" t="n">
        <v>13</v>
      </c>
      <c r="C3127" s="0" t="n">
        <v>11</v>
      </c>
      <c r="D3127" s="0" t="n">
        <f aca="false">-1+A3127*0.125</f>
        <v>0.25</v>
      </c>
      <c r="E3127" s="0" t="n">
        <f aca="false">-1+B3127*0.125</f>
        <v>0.625</v>
      </c>
      <c r="F3127" s="0" t="n">
        <f aca="false">-1+C3127*0.125</f>
        <v>0.375</v>
      </c>
      <c r="G3127" s="0" t="n">
        <f aca="false">1</f>
        <v>1</v>
      </c>
      <c r="H3127" s="0" t="n">
        <f aca="false">D3127</f>
        <v>0.25</v>
      </c>
      <c r="I3127" s="0" t="n">
        <f aca="false">E3127</f>
        <v>0.625</v>
      </c>
      <c r="J3127" s="0" t="n">
        <f aca="false">F3127</f>
        <v>0.375</v>
      </c>
      <c r="K3127" s="0" t="n">
        <f aca="false">D3127*E3127</f>
        <v>0.15625</v>
      </c>
      <c r="L3127" s="0" t="n">
        <f aca="false">D3127*F3127</f>
        <v>0.09375</v>
      </c>
      <c r="M3127" s="0" t="n">
        <f aca="false">E3127*F3127</f>
        <v>0.234375</v>
      </c>
      <c r="N3127" s="0" t="n">
        <f aca="false">D3127*D3127</f>
        <v>0.0625</v>
      </c>
      <c r="O3127" s="0" t="n">
        <f aca="false">E3127*E3127</f>
        <v>0.390625</v>
      </c>
      <c r="P3127" s="0" t="n">
        <f aca="false">F3127*F3127</f>
        <v>0.140625</v>
      </c>
      <c r="Q3127" s="0" t="n">
        <f aca="false">SUMPRODUCT(G3127:P3127,_XtX!$B$71:$K$71)</f>
        <v>50.0176846590909</v>
      </c>
      <c r="R3127" s="0" t="n">
        <f aca="false">SUMPRODUCT(MMULT(G3127:P3127,_XtX!$B$58:$K$67),G3127:P3127)</f>
        <v>0.174657648259943</v>
      </c>
      <c r="S3127" s="0" t="n">
        <f aca="false">04_回帰ANOVA!$K$19*04_回帰ANOVA!$K$14*SQRT(1+R3127)</f>
        <v>1.00767919364845</v>
      </c>
      <c r="T3127" s="0" t="n">
        <f aca="false">Q3127-S3127</f>
        <v>49.0100054654425</v>
      </c>
      <c r="U3127" s="0" t="n">
        <f aca="false">Q3127+S3127</f>
        <v>51.0253638527394</v>
      </c>
      <c r="V3127" s="54" t="b">
        <f aca="false">AND(D3127&gt;=01_因子設定!$L$5-0.000000001,D3127&lt;=01_因子設定!$M$5+0.000000001,E3127&gt;=01_因子設定!$L$6-0.000000001,E3127&lt;=01_因子設定!$M$6+0.000000001,F3127&gt;=01_因子設定!$L$7-0.000000001,F3127&lt;=01_因子設定!$M$7+0.000000001,IF(01_因子設定!$B$20="Box-Behnken",D3127^2+E3127^2+F3127^2&lt;=2+0.000000001,TRUE()))</f>
        <v>1</v>
      </c>
      <c r="W3127" s="55" t="n">
        <f aca="false">IF(V3127,IF(01_因子設定!$B$13="最大化",T3127-01_因子設定!$B$14,IF(01_因子設定!$B$13="最小化",01_因子設定!$B$15-U3127,MIN(T3127-01_因子設定!$B$14,01_因子設定!$B$15-U3127))),-1E+030)</f>
        <v>0.510005465442475</v>
      </c>
      <c r="X3127" s="55" t="n">
        <f aca="false">IF(V3127,IF(01_因子設定!$B$13="最大化",Q3127,IF(01_因子設定!$B$13="最小化",-Q3127,-ABS(Q3127-01_因子設定!$B$16))),-1E+030)</f>
        <v>50.0176846590909</v>
      </c>
      <c r="Y3127" s="55" t="n">
        <f aca="false">W3127+ROW()*0.000000001</f>
        <v>0.510008592442475</v>
      </c>
      <c r="Z3127" s="55" t="n">
        <f aca="false">X3127+ROW()*0.000000001</f>
        <v>50.0176877860909</v>
      </c>
    </row>
    <row r="3128" customFormat="false" ht="15" hidden="false" customHeight="false" outlineLevel="0" collapsed="false">
      <c r="A3128" s="0" t="n">
        <v>10</v>
      </c>
      <c r="B3128" s="0" t="n">
        <v>13</v>
      </c>
      <c r="C3128" s="0" t="n">
        <v>12</v>
      </c>
      <c r="D3128" s="0" t="n">
        <f aca="false">-1+A3128*0.125</f>
        <v>0.25</v>
      </c>
      <c r="E3128" s="0" t="n">
        <f aca="false">-1+B3128*0.125</f>
        <v>0.625</v>
      </c>
      <c r="F3128" s="0" t="n">
        <f aca="false">-1+C3128*0.125</f>
        <v>0.5</v>
      </c>
      <c r="G3128" s="0" t="n">
        <f aca="false">1</f>
        <v>1</v>
      </c>
      <c r="H3128" s="0" t="n">
        <f aca="false">D3128</f>
        <v>0.25</v>
      </c>
      <c r="I3128" s="0" t="n">
        <f aca="false">E3128</f>
        <v>0.625</v>
      </c>
      <c r="J3128" s="0" t="n">
        <f aca="false">F3128</f>
        <v>0.5</v>
      </c>
      <c r="K3128" s="0" t="n">
        <f aca="false">D3128*E3128</f>
        <v>0.15625</v>
      </c>
      <c r="L3128" s="0" t="n">
        <f aca="false">D3128*F3128</f>
        <v>0.125</v>
      </c>
      <c r="M3128" s="0" t="n">
        <f aca="false">E3128*F3128</f>
        <v>0.3125</v>
      </c>
      <c r="N3128" s="0" t="n">
        <f aca="false">D3128*D3128</f>
        <v>0.0625</v>
      </c>
      <c r="O3128" s="0" t="n">
        <f aca="false">E3128*E3128</f>
        <v>0.390625</v>
      </c>
      <c r="P3128" s="0" t="n">
        <f aca="false">F3128*F3128</f>
        <v>0.25</v>
      </c>
      <c r="Q3128" s="0" t="n">
        <f aca="false">SUMPRODUCT(G3128:P3128,_XtX!$B$71:$K$71)</f>
        <v>50.0918892045455</v>
      </c>
      <c r="R3128" s="0" t="n">
        <f aca="false">SUMPRODUCT(MMULT(G3128:P3128,_XtX!$B$58:$K$67),G3128:P3128)</f>
        <v>0.183866743607955</v>
      </c>
      <c r="S3128" s="0" t="n">
        <f aca="false">04_回帰ANOVA!$K$19*04_回帰ANOVA!$K$14*SQRT(1+R3128)</f>
        <v>1.01162148983013</v>
      </c>
      <c r="T3128" s="0" t="n">
        <f aca="false">Q3128-S3128</f>
        <v>49.0802677147153</v>
      </c>
      <c r="U3128" s="0" t="n">
        <f aca="false">Q3128+S3128</f>
        <v>51.1035106943756</v>
      </c>
      <c r="V3128" s="54" t="b">
        <f aca="false">AND(D3128&gt;=01_因子設定!$L$5-0.000000001,D3128&lt;=01_因子設定!$M$5+0.000000001,E3128&gt;=01_因子設定!$L$6-0.000000001,E3128&lt;=01_因子設定!$M$6+0.000000001,F3128&gt;=01_因子設定!$L$7-0.000000001,F3128&lt;=01_因子設定!$M$7+0.000000001,IF(01_因子設定!$B$20="Box-Behnken",D3128^2+E3128^2+F3128^2&lt;=2+0.000000001,TRUE()))</f>
        <v>1</v>
      </c>
      <c r="W3128" s="55" t="n">
        <f aca="false">IF(V3128,IF(01_因子設定!$B$13="最大化",T3128-01_因子設定!$B$14,IF(01_因子設定!$B$13="最小化",01_因子設定!$B$15-U3128,MIN(T3128-01_因子設定!$B$14,01_因子設定!$B$15-U3128))),-1E+030)</f>
        <v>0.580267714715333</v>
      </c>
      <c r="X3128" s="55" t="n">
        <f aca="false">IF(V3128,IF(01_因子設定!$B$13="最大化",Q3128,IF(01_因子設定!$B$13="最小化",-Q3128,-ABS(Q3128-01_因子設定!$B$16))),-1E+030)</f>
        <v>50.0918892045455</v>
      </c>
      <c r="Y3128" s="55" t="n">
        <f aca="false">W3128+ROW()*0.000000001</f>
        <v>0.580270842715333</v>
      </c>
      <c r="Z3128" s="55" t="n">
        <f aca="false">X3128+ROW()*0.000000001</f>
        <v>50.0918923325455</v>
      </c>
    </row>
    <row r="3129" customFormat="false" ht="15" hidden="false" customHeight="false" outlineLevel="0" collapsed="false">
      <c r="A3129" s="0" t="n">
        <v>10</v>
      </c>
      <c r="B3129" s="0" t="n">
        <v>13</v>
      </c>
      <c r="C3129" s="0" t="n">
        <v>13</v>
      </c>
      <c r="D3129" s="0" t="n">
        <f aca="false">-1+A3129*0.125</f>
        <v>0.25</v>
      </c>
      <c r="E3129" s="0" t="n">
        <f aca="false">-1+B3129*0.125</f>
        <v>0.625</v>
      </c>
      <c r="F3129" s="0" t="n">
        <f aca="false">-1+C3129*0.125</f>
        <v>0.625</v>
      </c>
      <c r="G3129" s="0" t="n">
        <f aca="false">1</f>
        <v>1</v>
      </c>
      <c r="H3129" s="0" t="n">
        <f aca="false">D3129</f>
        <v>0.25</v>
      </c>
      <c r="I3129" s="0" t="n">
        <f aca="false">E3129</f>
        <v>0.625</v>
      </c>
      <c r="J3129" s="0" t="n">
        <f aca="false">F3129</f>
        <v>0.625</v>
      </c>
      <c r="K3129" s="0" t="n">
        <f aca="false">D3129*E3129</f>
        <v>0.15625</v>
      </c>
      <c r="L3129" s="0" t="n">
        <f aca="false">D3129*F3129</f>
        <v>0.15625</v>
      </c>
      <c r="M3129" s="0" t="n">
        <f aca="false">E3129*F3129</f>
        <v>0.390625</v>
      </c>
      <c r="N3129" s="0" t="n">
        <f aca="false">D3129*D3129</f>
        <v>0.0625</v>
      </c>
      <c r="O3129" s="0" t="n">
        <f aca="false">E3129*E3129</f>
        <v>0.390625</v>
      </c>
      <c r="P3129" s="0" t="n">
        <f aca="false">F3129*F3129</f>
        <v>0.390625</v>
      </c>
      <c r="Q3129" s="0" t="n">
        <f aca="false">SUMPRODUCT(G3129:P3129,_XtX!$B$71:$K$71)</f>
        <v>50.1293039772727</v>
      </c>
      <c r="R3129" s="0" t="n">
        <f aca="false">SUMPRODUCT(MMULT(G3129:P3129,_XtX!$B$58:$K$67),G3129:P3129)</f>
        <v>0.208491099964489</v>
      </c>
      <c r="S3129" s="0" t="n">
        <f aca="false">04_回帰ANOVA!$K$19*04_回帰ANOVA!$K$14*SQRT(1+R3129)</f>
        <v>1.02208817610259</v>
      </c>
      <c r="T3129" s="0" t="n">
        <f aca="false">Q3129-S3129</f>
        <v>49.1072158011702</v>
      </c>
      <c r="U3129" s="0" t="n">
        <f aca="false">Q3129+S3129</f>
        <v>51.1513921533753</v>
      </c>
      <c r="V3129" s="54" t="b">
        <f aca="false">AND(D3129&gt;=01_因子設定!$L$5-0.000000001,D3129&lt;=01_因子設定!$M$5+0.000000001,E3129&gt;=01_因子設定!$L$6-0.000000001,E3129&lt;=01_因子設定!$M$6+0.000000001,F3129&gt;=01_因子設定!$L$7-0.000000001,F3129&lt;=01_因子設定!$M$7+0.000000001,IF(01_因子設定!$B$20="Box-Behnken",D3129^2+E3129^2+F3129^2&lt;=2+0.000000001,TRUE()))</f>
        <v>1</v>
      </c>
      <c r="W3129" s="55" t="n">
        <f aca="false">IF(V3129,IF(01_因子設定!$B$13="最大化",T3129-01_因子設定!$B$14,IF(01_因子設定!$B$13="最小化",01_因子設定!$B$15-U3129,MIN(T3129-01_因子設定!$B$14,01_因子設定!$B$15-U3129))),-1E+030)</f>
        <v>0.607215801170156</v>
      </c>
      <c r="X3129" s="55" t="n">
        <f aca="false">IF(V3129,IF(01_因子設定!$B$13="最大化",Q3129,IF(01_因子設定!$B$13="最小化",-Q3129,-ABS(Q3129-01_因子設定!$B$16))),-1E+030)</f>
        <v>50.1293039772727</v>
      </c>
      <c r="Y3129" s="55" t="n">
        <f aca="false">W3129+ROW()*0.000000001</f>
        <v>0.607218930170156</v>
      </c>
      <c r="Z3129" s="55" t="n">
        <f aca="false">X3129+ROW()*0.000000001</f>
        <v>50.1293071062727</v>
      </c>
    </row>
    <row r="3130" customFormat="false" ht="15" hidden="false" customHeight="false" outlineLevel="0" collapsed="false">
      <c r="A3130" s="0" t="n">
        <v>10</v>
      </c>
      <c r="B3130" s="0" t="n">
        <v>13</v>
      </c>
      <c r="C3130" s="0" t="n">
        <v>14</v>
      </c>
      <c r="D3130" s="0" t="n">
        <f aca="false">-1+A3130*0.125</f>
        <v>0.25</v>
      </c>
      <c r="E3130" s="0" t="n">
        <f aca="false">-1+B3130*0.125</f>
        <v>0.625</v>
      </c>
      <c r="F3130" s="0" t="n">
        <f aca="false">-1+C3130*0.125</f>
        <v>0.75</v>
      </c>
      <c r="G3130" s="0" t="n">
        <f aca="false">1</f>
        <v>1</v>
      </c>
      <c r="H3130" s="0" t="n">
        <f aca="false">D3130</f>
        <v>0.25</v>
      </c>
      <c r="I3130" s="0" t="n">
        <f aca="false">E3130</f>
        <v>0.625</v>
      </c>
      <c r="J3130" s="0" t="n">
        <f aca="false">F3130</f>
        <v>0.75</v>
      </c>
      <c r="K3130" s="0" t="n">
        <f aca="false">D3130*E3130</f>
        <v>0.15625</v>
      </c>
      <c r="L3130" s="0" t="n">
        <f aca="false">D3130*F3130</f>
        <v>0.1875</v>
      </c>
      <c r="M3130" s="0" t="n">
        <f aca="false">E3130*F3130</f>
        <v>0.46875</v>
      </c>
      <c r="N3130" s="0" t="n">
        <f aca="false">D3130*D3130</f>
        <v>0.0625</v>
      </c>
      <c r="O3130" s="0" t="n">
        <f aca="false">E3130*E3130</f>
        <v>0.390625</v>
      </c>
      <c r="P3130" s="0" t="n">
        <f aca="false">F3130*F3130</f>
        <v>0.5625</v>
      </c>
      <c r="Q3130" s="0" t="n">
        <f aca="false">SUMPRODUCT(G3130:P3130,_XtX!$B$71:$K$71)</f>
        <v>50.1299289772728</v>
      </c>
      <c r="R3130" s="0" t="n">
        <f aca="false">SUMPRODUCT(MMULT(G3130:P3130,_XtX!$B$58:$K$67),G3130:P3130)</f>
        <v>0.258118785511364</v>
      </c>
      <c r="S3130" s="0" t="n">
        <f aca="false">04_回帰ANOVA!$K$19*04_回帰ANOVA!$K$14*SQRT(1+R3130)</f>
        <v>1.04286348094876</v>
      </c>
      <c r="T3130" s="0" t="n">
        <f aca="false">Q3130-S3130</f>
        <v>49.087065496324</v>
      </c>
      <c r="U3130" s="0" t="n">
        <f aca="false">Q3130+S3130</f>
        <v>51.1727924582215</v>
      </c>
      <c r="V3130" s="54" t="b">
        <f aca="false">AND(D3130&gt;=01_因子設定!$L$5-0.000000001,D3130&lt;=01_因子設定!$M$5+0.000000001,E3130&gt;=01_因子設定!$L$6-0.000000001,E3130&lt;=01_因子設定!$M$6+0.000000001,F3130&gt;=01_因子設定!$L$7-0.000000001,F3130&lt;=01_因子設定!$M$7+0.000000001,IF(01_因子設定!$B$20="Box-Behnken",D3130^2+E3130^2+F3130^2&lt;=2+0.000000001,TRUE()))</f>
        <v>1</v>
      </c>
      <c r="W3130" s="55" t="n">
        <f aca="false">IF(V3130,IF(01_因子設定!$B$13="最大化",T3130-01_因子設定!$B$14,IF(01_因子設定!$B$13="最小化",01_因子設定!$B$15-U3130,MIN(T3130-01_因子設定!$B$14,01_因子設定!$B$15-U3130))),-1E+030)</f>
        <v>0.587065496323987</v>
      </c>
      <c r="X3130" s="55" t="n">
        <f aca="false">IF(V3130,IF(01_因子設定!$B$13="最大化",Q3130,IF(01_因子設定!$B$13="最小化",-Q3130,-ABS(Q3130-01_因子設定!$B$16))),-1E+030)</f>
        <v>50.1299289772728</v>
      </c>
      <c r="Y3130" s="55" t="n">
        <f aca="false">W3130+ROW()*0.000000001</f>
        <v>0.587068626323987</v>
      </c>
      <c r="Z3130" s="55" t="n">
        <f aca="false">X3130+ROW()*0.000000001</f>
        <v>50.1299321072728</v>
      </c>
    </row>
    <row r="3131" customFormat="false" ht="15" hidden="false" customHeight="false" outlineLevel="0" collapsed="false">
      <c r="A3131" s="0" t="n">
        <v>10</v>
      </c>
      <c r="B3131" s="0" t="n">
        <v>13</v>
      </c>
      <c r="C3131" s="0" t="n">
        <v>15</v>
      </c>
      <c r="D3131" s="0" t="n">
        <f aca="false">-1+A3131*0.125</f>
        <v>0.25</v>
      </c>
      <c r="E3131" s="0" t="n">
        <f aca="false">-1+B3131*0.125</f>
        <v>0.625</v>
      </c>
      <c r="F3131" s="0" t="n">
        <f aca="false">-1+C3131*0.125</f>
        <v>0.875</v>
      </c>
      <c r="G3131" s="0" t="n">
        <f aca="false">1</f>
        <v>1</v>
      </c>
      <c r="H3131" s="0" t="n">
        <f aca="false">D3131</f>
        <v>0.25</v>
      </c>
      <c r="I3131" s="0" t="n">
        <f aca="false">E3131</f>
        <v>0.625</v>
      </c>
      <c r="J3131" s="0" t="n">
        <f aca="false">F3131</f>
        <v>0.875</v>
      </c>
      <c r="K3131" s="0" t="n">
        <f aca="false">D3131*E3131</f>
        <v>0.15625</v>
      </c>
      <c r="L3131" s="0" t="n">
        <f aca="false">D3131*F3131</f>
        <v>0.21875</v>
      </c>
      <c r="M3131" s="0" t="n">
        <f aca="false">E3131*F3131</f>
        <v>0.546875</v>
      </c>
      <c r="N3131" s="0" t="n">
        <f aca="false">D3131*D3131</f>
        <v>0.0625</v>
      </c>
      <c r="O3131" s="0" t="n">
        <f aca="false">E3131*E3131</f>
        <v>0.390625</v>
      </c>
      <c r="P3131" s="0" t="n">
        <f aca="false">F3131*F3131</f>
        <v>0.765625</v>
      </c>
      <c r="Q3131" s="0" t="n">
        <f aca="false">SUMPRODUCT(G3131:P3131,_XtX!$B$71:$K$71)</f>
        <v>50.0937642045455</v>
      </c>
      <c r="R3131" s="0" t="n">
        <f aca="false">SUMPRODUCT(MMULT(G3131:P3131,_XtX!$B$58:$K$67),G3131:P3131)</f>
        <v>0.34446855024858</v>
      </c>
      <c r="S3131" s="0" t="n">
        <f aca="false">04_回帰ANOVA!$K$19*04_回帰ANOVA!$K$14*SQRT(1+R3131)</f>
        <v>1.07805758590432</v>
      </c>
      <c r="T3131" s="0" t="n">
        <f aca="false">Q3131-S3131</f>
        <v>49.0157066186412</v>
      </c>
      <c r="U3131" s="0" t="n">
        <f aca="false">Q3131+S3131</f>
        <v>51.1718217904498</v>
      </c>
      <c r="V3131" s="54" t="b">
        <f aca="false">AND(D3131&gt;=01_因子設定!$L$5-0.000000001,D3131&lt;=01_因子設定!$M$5+0.000000001,E3131&gt;=01_因子設定!$L$6-0.000000001,E3131&lt;=01_因子設定!$M$6+0.000000001,F3131&gt;=01_因子設定!$L$7-0.000000001,F3131&lt;=01_因子設定!$M$7+0.000000001,IF(01_因子設定!$B$20="Box-Behnken",D3131^2+E3131^2+F3131^2&lt;=2+0.000000001,TRUE()))</f>
        <v>1</v>
      </c>
      <c r="W3131" s="55" t="n">
        <f aca="false">IF(V3131,IF(01_因子設定!$B$13="最大化",T3131-01_因子設定!$B$14,IF(01_因子設定!$B$13="最小化",01_因子設定!$B$15-U3131,MIN(T3131-01_因子設定!$B$14,01_因子設定!$B$15-U3131))),-1E+030)</f>
        <v>0.515706618641161</v>
      </c>
      <c r="X3131" s="55" t="n">
        <f aca="false">IF(V3131,IF(01_因子設定!$B$13="最大化",Q3131,IF(01_因子設定!$B$13="最小化",-Q3131,-ABS(Q3131-01_因子設定!$B$16))),-1E+030)</f>
        <v>50.0937642045455</v>
      </c>
      <c r="Y3131" s="55" t="n">
        <f aca="false">W3131+ROW()*0.000000001</f>
        <v>0.515709749641161</v>
      </c>
      <c r="Z3131" s="55" t="n">
        <f aca="false">X3131+ROW()*0.000000001</f>
        <v>50.0937673355455</v>
      </c>
    </row>
    <row r="3132" customFormat="false" ht="15" hidden="false" customHeight="false" outlineLevel="0" collapsed="false">
      <c r="A3132" s="0" t="n">
        <v>10</v>
      </c>
      <c r="B3132" s="0" t="n">
        <v>13</v>
      </c>
      <c r="C3132" s="0" t="n">
        <v>16</v>
      </c>
      <c r="D3132" s="0" t="n">
        <f aca="false">-1+A3132*0.125</f>
        <v>0.25</v>
      </c>
      <c r="E3132" s="0" t="n">
        <f aca="false">-1+B3132*0.125</f>
        <v>0.625</v>
      </c>
      <c r="F3132" s="0" t="n">
        <f aca="false">-1+C3132*0.125</f>
        <v>1</v>
      </c>
      <c r="G3132" s="0" t="n">
        <f aca="false">1</f>
        <v>1</v>
      </c>
      <c r="H3132" s="0" t="n">
        <f aca="false">D3132</f>
        <v>0.25</v>
      </c>
      <c r="I3132" s="0" t="n">
        <f aca="false">E3132</f>
        <v>0.625</v>
      </c>
      <c r="J3132" s="0" t="n">
        <f aca="false">F3132</f>
        <v>1</v>
      </c>
      <c r="K3132" s="0" t="n">
        <f aca="false">D3132*E3132</f>
        <v>0.15625</v>
      </c>
      <c r="L3132" s="0" t="n">
        <f aca="false">D3132*F3132</f>
        <v>0.25</v>
      </c>
      <c r="M3132" s="0" t="n">
        <f aca="false">E3132*F3132</f>
        <v>0.625</v>
      </c>
      <c r="N3132" s="0" t="n">
        <f aca="false">D3132*D3132</f>
        <v>0.0625</v>
      </c>
      <c r="O3132" s="0" t="n">
        <f aca="false">E3132*E3132</f>
        <v>0.390625</v>
      </c>
      <c r="P3132" s="0" t="n">
        <f aca="false">F3132*F3132</f>
        <v>1</v>
      </c>
      <c r="Q3132" s="0" t="n">
        <f aca="false">SUMPRODUCT(G3132:P3132,_XtX!$B$71:$K$71)</f>
        <v>50.0208096590909</v>
      </c>
      <c r="R3132" s="0" t="n">
        <f aca="false">SUMPRODUCT(MMULT(G3132:P3132,_XtX!$B$58:$K$67),G3132:P3132)</f>
        <v>0.481389825994318</v>
      </c>
      <c r="S3132" s="0" t="n">
        <f aca="false">04_回帰ANOVA!$K$19*04_回帰ANOVA!$K$14*SQRT(1+R3132)</f>
        <v>1.13162182500693</v>
      </c>
      <c r="T3132" s="0" t="n">
        <f aca="false">Q3132-S3132</f>
        <v>48.889187834084</v>
      </c>
      <c r="U3132" s="0" t="n">
        <f aca="false">Q3132+S3132</f>
        <v>51.1524314840979</v>
      </c>
      <c r="V3132" s="54" t="b">
        <f aca="false">AND(D3132&gt;=01_因子設定!$L$5-0.000000001,D3132&lt;=01_因子設定!$M$5+0.000000001,E3132&gt;=01_因子設定!$L$6-0.000000001,E3132&lt;=01_因子設定!$M$6+0.000000001,F3132&gt;=01_因子設定!$L$7-0.000000001,F3132&lt;=01_因子設定!$M$7+0.000000001,IF(01_因子設定!$B$20="Box-Behnken",D3132^2+E3132^2+F3132^2&lt;=2+0.000000001,TRUE()))</f>
        <v>1</v>
      </c>
      <c r="W3132" s="55" t="n">
        <f aca="false">IF(V3132,IF(01_因子設定!$B$13="最大化",T3132-01_因子設定!$B$14,IF(01_因子設定!$B$13="最小化",01_因子設定!$B$15-U3132,MIN(T3132-01_因子設定!$B$14,01_因子設定!$B$15-U3132))),-1E+030)</f>
        <v>0.389187834084012</v>
      </c>
      <c r="X3132" s="55" t="n">
        <f aca="false">IF(V3132,IF(01_因子設定!$B$13="最大化",Q3132,IF(01_因子設定!$B$13="最小化",-Q3132,-ABS(Q3132-01_因子設定!$B$16))),-1E+030)</f>
        <v>50.0208096590909</v>
      </c>
      <c r="Y3132" s="55" t="n">
        <f aca="false">W3132+ROW()*0.000000001</f>
        <v>0.389190966084012</v>
      </c>
      <c r="Z3132" s="55" t="n">
        <f aca="false">X3132+ROW()*0.000000001</f>
        <v>50.0208127910909</v>
      </c>
    </row>
    <row r="3133" customFormat="false" ht="15" hidden="false" customHeight="false" outlineLevel="0" collapsed="false">
      <c r="A3133" s="0" t="n">
        <v>10</v>
      </c>
      <c r="B3133" s="0" t="n">
        <v>14</v>
      </c>
      <c r="C3133" s="0" t="n">
        <v>0</v>
      </c>
      <c r="D3133" s="0" t="n">
        <f aca="false">-1+A3133*0.125</f>
        <v>0.25</v>
      </c>
      <c r="E3133" s="0" t="n">
        <f aca="false">-1+B3133*0.125</f>
        <v>0.75</v>
      </c>
      <c r="F3133" s="0" t="n">
        <f aca="false">-1+C3133*0.125</f>
        <v>-1</v>
      </c>
      <c r="G3133" s="0" t="n">
        <f aca="false">1</f>
        <v>1</v>
      </c>
      <c r="H3133" s="0" t="n">
        <f aca="false">D3133</f>
        <v>0.25</v>
      </c>
      <c r="I3133" s="0" t="n">
        <f aca="false">E3133</f>
        <v>0.75</v>
      </c>
      <c r="J3133" s="0" t="n">
        <f aca="false">F3133</f>
        <v>-1</v>
      </c>
      <c r="K3133" s="0" t="n">
        <f aca="false">D3133*E3133</f>
        <v>0.1875</v>
      </c>
      <c r="L3133" s="0" t="n">
        <f aca="false">D3133*F3133</f>
        <v>-0.25</v>
      </c>
      <c r="M3133" s="0" t="n">
        <f aca="false">E3133*F3133</f>
        <v>-0.75</v>
      </c>
      <c r="N3133" s="0" t="n">
        <f aca="false">D3133*D3133</f>
        <v>0.0625</v>
      </c>
      <c r="O3133" s="0" t="n">
        <f aca="false">E3133*E3133</f>
        <v>0.5625</v>
      </c>
      <c r="P3133" s="0" t="n">
        <f aca="false">F3133*F3133</f>
        <v>1</v>
      </c>
      <c r="Q3133" s="0" t="n">
        <f aca="false">SUMPRODUCT(G3133:P3133,_XtX!$B$71:$K$71)</f>
        <v>46.6656534090909</v>
      </c>
      <c r="R3133" s="0" t="n">
        <f aca="false">SUMPRODUCT(MMULT(G3133:P3133,_XtX!$B$58:$K$67),G3133:P3133)</f>
        <v>0.515545099431818</v>
      </c>
      <c r="S3133" s="0" t="n">
        <f aca="false">04_回帰ANOVA!$K$19*04_回帰ANOVA!$K$14*SQRT(1+R3133)</f>
        <v>1.14459295464101</v>
      </c>
      <c r="T3133" s="0" t="n">
        <f aca="false">Q3133-S3133</f>
        <v>45.5210604544499</v>
      </c>
      <c r="U3133" s="0" t="n">
        <f aca="false">Q3133+S3133</f>
        <v>47.810246363732</v>
      </c>
      <c r="V3133" s="54" t="b">
        <f aca="false">AND(D3133&gt;=01_因子設定!$L$5-0.000000001,D3133&lt;=01_因子設定!$M$5+0.000000001,E3133&gt;=01_因子設定!$L$6-0.000000001,E3133&lt;=01_因子設定!$M$6+0.000000001,F3133&gt;=01_因子設定!$L$7-0.000000001,F3133&lt;=01_因子設定!$M$7+0.000000001,IF(01_因子設定!$B$20="Box-Behnken",D3133^2+E3133^2+F3133^2&lt;=2+0.000000001,TRUE()))</f>
        <v>1</v>
      </c>
      <c r="W3133" s="55" t="n">
        <f aca="false">IF(V3133,IF(01_因子設定!$B$13="最大化",T3133-01_因子設定!$B$14,IF(01_因子設定!$B$13="最小化",01_因子設定!$B$15-U3133,MIN(T3133-01_因子設定!$B$14,01_因子設定!$B$15-U3133))),-1E+030)</f>
        <v>-2.97893954555008</v>
      </c>
      <c r="X3133" s="55" t="n">
        <f aca="false">IF(V3133,IF(01_因子設定!$B$13="最大化",Q3133,IF(01_因子設定!$B$13="最小化",-Q3133,-ABS(Q3133-01_因子設定!$B$16))),-1E+030)</f>
        <v>46.6656534090909</v>
      </c>
      <c r="Y3133" s="55" t="n">
        <f aca="false">W3133+ROW()*0.000000001</f>
        <v>-2.97893641255008</v>
      </c>
      <c r="Z3133" s="55" t="n">
        <f aca="false">X3133+ROW()*0.000000001</f>
        <v>46.6656565420909</v>
      </c>
    </row>
    <row r="3134" customFormat="false" ht="15" hidden="false" customHeight="false" outlineLevel="0" collapsed="false">
      <c r="A3134" s="0" t="n">
        <v>10</v>
      </c>
      <c r="B3134" s="0" t="n">
        <v>14</v>
      </c>
      <c r="C3134" s="0" t="n">
        <v>1</v>
      </c>
      <c r="D3134" s="0" t="n">
        <f aca="false">-1+A3134*0.125</f>
        <v>0.25</v>
      </c>
      <c r="E3134" s="0" t="n">
        <f aca="false">-1+B3134*0.125</f>
        <v>0.75</v>
      </c>
      <c r="F3134" s="0" t="n">
        <f aca="false">-1+C3134*0.125</f>
        <v>-0.875</v>
      </c>
      <c r="G3134" s="0" t="n">
        <f aca="false">1</f>
        <v>1</v>
      </c>
      <c r="H3134" s="0" t="n">
        <f aca="false">D3134</f>
        <v>0.25</v>
      </c>
      <c r="I3134" s="0" t="n">
        <f aca="false">E3134</f>
        <v>0.75</v>
      </c>
      <c r="J3134" s="0" t="n">
        <f aca="false">F3134</f>
        <v>-0.875</v>
      </c>
      <c r="K3134" s="0" t="n">
        <f aca="false">D3134*E3134</f>
        <v>0.1875</v>
      </c>
      <c r="L3134" s="0" t="n">
        <f aca="false">D3134*F3134</f>
        <v>-0.21875</v>
      </c>
      <c r="M3134" s="0" t="n">
        <f aca="false">E3134*F3134</f>
        <v>-0.65625</v>
      </c>
      <c r="N3134" s="0" t="n">
        <f aca="false">D3134*D3134</f>
        <v>0.0625</v>
      </c>
      <c r="O3134" s="0" t="n">
        <f aca="false">E3134*E3134</f>
        <v>0.5625</v>
      </c>
      <c r="P3134" s="0" t="n">
        <f aca="false">F3134*F3134</f>
        <v>0.765625</v>
      </c>
      <c r="Q3134" s="0" t="n">
        <f aca="false">SUMPRODUCT(G3134:P3134,_XtX!$B$71:$K$71)</f>
        <v>47.1515767045455</v>
      </c>
      <c r="R3134" s="0" t="n">
        <f aca="false">SUMPRODUCT(MMULT(G3134:P3134,_XtX!$B$58:$K$67),G3134:P3134)</f>
        <v>0.384574751420455</v>
      </c>
      <c r="S3134" s="0" t="n">
        <f aca="false">04_回帰ANOVA!$K$19*04_回帰ANOVA!$K$14*SQRT(1+R3134)</f>
        <v>1.0940189380139</v>
      </c>
      <c r="T3134" s="0" t="n">
        <f aca="false">Q3134-S3134</f>
        <v>46.0575577665316</v>
      </c>
      <c r="U3134" s="0" t="n">
        <f aca="false">Q3134+S3134</f>
        <v>48.2455956425594</v>
      </c>
      <c r="V3134" s="54" t="b">
        <f aca="false">AND(D3134&gt;=01_因子設定!$L$5-0.000000001,D3134&lt;=01_因子設定!$M$5+0.000000001,E3134&gt;=01_因子設定!$L$6-0.000000001,E3134&lt;=01_因子設定!$M$6+0.000000001,F3134&gt;=01_因子設定!$L$7-0.000000001,F3134&lt;=01_因子設定!$M$7+0.000000001,IF(01_因子設定!$B$20="Box-Behnken",D3134^2+E3134^2+F3134^2&lt;=2+0.000000001,TRUE()))</f>
        <v>1</v>
      </c>
      <c r="W3134" s="55" t="n">
        <f aca="false">IF(V3134,IF(01_因子設定!$B$13="最大化",T3134-01_因子設定!$B$14,IF(01_因子設定!$B$13="最小化",01_因子設定!$B$15-U3134,MIN(T3134-01_因子設定!$B$14,01_因子設定!$B$15-U3134))),-1E+030)</f>
        <v>-2.44244223346843</v>
      </c>
      <c r="X3134" s="55" t="n">
        <f aca="false">IF(V3134,IF(01_因子設定!$B$13="最大化",Q3134,IF(01_因子設定!$B$13="最小化",-Q3134,-ABS(Q3134-01_因子設定!$B$16))),-1E+030)</f>
        <v>47.1515767045455</v>
      </c>
      <c r="Y3134" s="55" t="n">
        <f aca="false">W3134+ROW()*0.000000001</f>
        <v>-2.44243909946843</v>
      </c>
      <c r="Z3134" s="55" t="n">
        <f aca="false">X3134+ROW()*0.000000001</f>
        <v>47.1515798385455</v>
      </c>
    </row>
    <row r="3135" customFormat="false" ht="15" hidden="false" customHeight="false" outlineLevel="0" collapsed="false">
      <c r="A3135" s="0" t="n">
        <v>10</v>
      </c>
      <c r="B3135" s="0" t="n">
        <v>14</v>
      </c>
      <c r="C3135" s="0" t="n">
        <v>2</v>
      </c>
      <c r="D3135" s="0" t="n">
        <f aca="false">-1+A3135*0.125</f>
        <v>0.25</v>
      </c>
      <c r="E3135" s="0" t="n">
        <f aca="false">-1+B3135*0.125</f>
        <v>0.75</v>
      </c>
      <c r="F3135" s="0" t="n">
        <f aca="false">-1+C3135*0.125</f>
        <v>-0.75</v>
      </c>
      <c r="G3135" s="0" t="n">
        <f aca="false">1</f>
        <v>1</v>
      </c>
      <c r="H3135" s="0" t="n">
        <f aca="false">D3135</f>
        <v>0.25</v>
      </c>
      <c r="I3135" s="0" t="n">
        <f aca="false">E3135</f>
        <v>0.75</v>
      </c>
      <c r="J3135" s="0" t="n">
        <f aca="false">F3135</f>
        <v>-0.75</v>
      </c>
      <c r="K3135" s="0" t="n">
        <f aca="false">D3135*E3135</f>
        <v>0.1875</v>
      </c>
      <c r="L3135" s="0" t="n">
        <f aca="false">D3135*F3135</f>
        <v>-0.1875</v>
      </c>
      <c r="M3135" s="0" t="n">
        <f aca="false">E3135*F3135</f>
        <v>-0.5625</v>
      </c>
      <c r="N3135" s="0" t="n">
        <f aca="false">D3135*D3135</f>
        <v>0.0625</v>
      </c>
      <c r="O3135" s="0" t="n">
        <f aca="false">E3135*E3135</f>
        <v>0.5625</v>
      </c>
      <c r="P3135" s="0" t="n">
        <f aca="false">F3135*F3135</f>
        <v>0.5625</v>
      </c>
      <c r="Q3135" s="0" t="n">
        <f aca="false">SUMPRODUCT(G3135:P3135,_XtX!$B$71:$K$71)</f>
        <v>47.6007102272728</v>
      </c>
      <c r="R3135" s="0" t="n">
        <f aca="false">SUMPRODUCT(MMULT(G3135:P3135,_XtX!$B$58:$K$67),G3135:P3135)</f>
        <v>0.303382457386364</v>
      </c>
      <c r="S3135" s="0" t="n">
        <f aca="false">04_回帰ANOVA!$K$19*04_回帰ANOVA!$K$14*SQRT(1+R3135)</f>
        <v>1.06145740650883</v>
      </c>
      <c r="T3135" s="0" t="n">
        <f aca="false">Q3135-S3135</f>
        <v>46.5392528207639</v>
      </c>
      <c r="U3135" s="0" t="n">
        <f aca="false">Q3135+S3135</f>
        <v>48.6621676337816</v>
      </c>
      <c r="V3135" s="54" t="b">
        <f aca="false">AND(D3135&gt;=01_因子設定!$L$5-0.000000001,D3135&lt;=01_因子設定!$M$5+0.000000001,E3135&gt;=01_因子設定!$L$6-0.000000001,E3135&lt;=01_因子設定!$M$6+0.000000001,F3135&gt;=01_因子設定!$L$7-0.000000001,F3135&lt;=01_因子設定!$M$7+0.000000001,IF(01_因子設定!$B$20="Box-Behnken",D3135^2+E3135^2+F3135^2&lt;=2+0.000000001,TRUE()))</f>
        <v>1</v>
      </c>
      <c r="W3135" s="55" t="n">
        <f aca="false">IF(V3135,IF(01_因子設定!$B$13="最大化",T3135-01_因子設定!$B$14,IF(01_因子設定!$B$13="最小化",01_因子設定!$B$15-U3135,MIN(T3135-01_因子設定!$B$14,01_因子設定!$B$15-U3135))),-1E+030)</f>
        <v>-1.96074717923609</v>
      </c>
      <c r="X3135" s="55" t="n">
        <f aca="false">IF(V3135,IF(01_因子設定!$B$13="最大化",Q3135,IF(01_因子設定!$B$13="最小化",-Q3135,-ABS(Q3135-01_因子設定!$B$16))),-1E+030)</f>
        <v>47.6007102272728</v>
      </c>
      <c r="Y3135" s="55" t="n">
        <f aca="false">W3135+ROW()*0.000000001</f>
        <v>-1.96074404423609</v>
      </c>
      <c r="Z3135" s="55" t="n">
        <f aca="false">X3135+ROW()*0.000000001</f>
        <v>47.6007133622728</v>
      </c>
    </row>
    <row r="3136" customFormat="false" ht="15" hidden="false" customHeight="false" outlineLevel="0" collapsed="false">
      <c r="A3136" s="0" t="n">
        <v>10</v>
      </c>
      <c r="B3136" s="0" t="n">
        <v>14</v>
      </c>
      <c r="C3136" s="0" t="n">
        <v>3</v>
      </c>
      <c r="D3136" s="0" t="n">
        <f aca="false">-1+A3136*0.125</f>
        <v>0.25</v>
      </c>
      <c r="E3136" s="0" t="n">
        <f aca="false">-1+B3136*0.125</f>
        <v>0.75</v>
      </c>
      <c r="F3136" s="0" t="n">
        <f aca="false">-1+C3136*0.125</f>
        <v>-0.625</v>
      </c>
      <c r="G3136" s="0" t="n">
        <f aca="false">1</f>
        <v>1</v>
      </c>
      <c r="H3136" s="0" t="n">
        <f aca="false">D3136</f>
        <v>0.25</v>
      </c>
      <c r="I3136" s="0" t="n">
        <f aca="false">E3136</f>
        <v>0.75</v>
      </c>
      <c r="J3136" s="0" t="n">
        <f aca="false">F3136</f>
        <v>-0.625</v>
      </c>
      <c r="K3136" s="0" t="n">
        <f aca="false">D3136*E3136</f>
        <v>0.1875</v>
      </c>
      <c r="L3136" s="0" t="n">
        <f aca="false">D3136*F3136</f>
        <v>-0.15625</v>
      </c>
      <c r="M3136" s="0" t="n">
        <f aca="false">E3136*F3136</f>
        <v>-0.46875</v>
      </c>
      <c r="N3136" s="0" t="n">
        <f aca="false">D3136*D3136</f>
        <v>0.0625</v>
      </c>
      <c r="O3136" s="0" t="n">
        <f aca="false">E3136*E3136</f>
        <v>0.5625</v>
      </c>
      <c r="P3136" s="0" t="n">
        <f aca="false">F3136*F3136</f>
        <v>0.390625</v>
      </c>
      <c r="Q3136" s="0" t="n">
        <f aca="false">SUMPRODUCT(G3136:P3136,_XtX!$B$71:$K$71)</f>
        <v>48.0130539772728</v>
      </c>
      <c r="R3136" s="0" t="n">
        <f aca="false">SUMPRODUCT(MMULT(G3136:P3136,_XtX!$B$58:$K$67),G3136:P3136)</f>
        <v>0.258118785511364</v>
      </c>
      <c r="S3136" s="0" t="n">
        <f aca="false">04_回帰ANOVA!$K$19*04_回帰ANOVA!$K$14*SQRT(1+R3136)</f>
        <v>1.04286348094876</v>
      </c>
      <c r="T3136" s="0" t="n">
        <f aca="false">Q3136-S3136</f>
        <v>46.970190496324</v>
      </c>
      <c r="U3136" s="0" t="n">
        <f aca="false">Q3136+S3136</f>
        <v>49.0559174582215</v>
      </c>
      <c r="V3136" s="54" t="b">
        <f aca="false">AND(D3136&gt;=01_因子設定!$L$5-0.000000001,D3136&lt;=01_因子設定!$M$5+0.000000001,E3136&gt;=01_因子設定!$L$6-0.000000001,E3136&lt;=01_因子設定!$M$6+0.000000001,F3136&gt;=01_因子設定!$L$7-0.000000001,F3136&lt;=01_因子設定!$M$7+0.000000001,IF(01_因子設定!$B$20="Box-Behnken",D3136^2+E3136^2+F3136^2&lt;=2+0.000000001,TRUE()))</f>
        <v>1</v>
      </c>
      <c r="W3136" s="55" t="n">
        <f aca="false">IF(V3136,IF(01_因子設定!$B$13="最大化",T3136-01_因子設定!$B$14,IF(01_因子設定!$B$13="最小化",01_因子設定!$B$15-U3136,MIN(T3136-01_因子設定!$B$14,01_因子設定!$B$15-U3136))),-1E+030)</f>
        <v>-1.52980950367601</v>
      </c>
      <c r="X3136" s="55" t="n">
        <f aca="false">IF(V3136,IF(01_因子設定!$B$13="最大化",Q3136,IF(01_因子設定!$B$13="最小化",-Q3136,-ABS(Q3136-01_因子設定!$B$16))),-1E+030)</f>
        <v>48.0130539772728</v>
      </c>
      <c r="Y3136" s="55" t="n">
        <f aca="false">W3136+ROW()*0.000000001</f>
        <v>-1.52980636767601</v>
      </c>
      <c r="Z3136" s="55" t="n">
        <f aca="false">X3136+ROW()*0.000000001</f>
        <v>48.0130571132727</v>
      </c>
    </row>
    <row r="3137" customFormat="false" ht="15" hidden="false" customHeight="false" outlineLevel="0" collapsed="false">
      <c r="A3137" s="0" t="n">
        <v>10</v>
      </c>
      <c r="B3137" s="0" t="n">
        <v>14</v>
      </c>
      <c r="C3137" s="0" t="n">
        <v>4</v>
      </c>
      <c r="D3137" s="0" t="n">
        <f aca="false">-1+A3137*0.125</f>
        <v>0.25</v>
      </c>
      <c r="E3137" s="0" t="n">
        <f aca="false">-1+B3137*0.125</f>
        <v>0.75</v>
      </c>
      <c r="F3137" s="0" t="n">
        <f aca="false">-1+C3137*0.125</f>
        <v>-0.5</v>
      </c>
      <c r="G3137" s="0" t="n">
        <f aca="false">1</f>
        <v>1</v>
      </c>
      <c r="H3137" s="0" t="n">
        <f aca="false">D3137</f>
        <v>0.25</v>
      </c>
      <c r="I3137" s="0" t="n">
        <f aca="false">E3137</f>
        <v>0.75</v>
      </c>
      <c r="J3137" s="0" t="n">
        <f aca="false">F3137</f>
        <v>-0.5</v>
      </c>
      <c r="K3137" s="0" t="n">
        <f aca="false">D3137*E3137</f>
        <v>0.1875</v>
      </c>
      <c r="L3137" s="0" t="n">
        <f aca="false">D3137*F3137</f>
        <v>-0.125</v>
      </c>
      <c r="M3137" s="0" t="n">
        <f aca="false">E3137*F3137</f>
        <v>-0.375</v>
      </c>
      <c r="N3137" s="0" t="n">
        <f aca="false">D3137*D3137</f>
        <v>0.0625</v>
      </c>
      <c r="O3137" s="0" t="n">
        <f aca="false">E3137*E3137</f>
        <v>0.5625</v>
      </c>
      <c r="P3137" s="0" t="n">
        <f aca="false">F3137*F3137</f>
        <v>0.25</v>
      </c>
      <c r="Q3137" s="0" t="n">
        <f aca="false">SUMPRODUCT(G3137:P3137,_XtX!$B$71:$K$71)</f>
        <v>48.3886079545455</v>
      </c>
      <c r="R3137" s="0" t="n">
        <f aca="false">SUMPRODUCT(MMULT(G3137:P3137,_XtX!$B$58:$K$67),G3137:P3137)</f>
        <v>0.237064985795455</v>
      </c>
      <c r="S3137" s="0" t="n">
        <f aca="false">04_回帰ANOVA!$K$19*04_回帰ANOVA!$K$14*SQRT(1+R3137)</f>
        <v>1.03410084594745</v>
      </c>
      <c r="T3137" s="0" t="n">
        <f aca="false">Q3137-S3137</f>
        <v>47.354507108598</v>
      </c>
      <c r="U3137" s="0" t="n">
        <f aca="false">Q3137+S3137</f>
        <v>49.4227088004929</v>
      </c>
      <c r="V3137" s="54" t="b">
        <f aca="false">AND(D3137&gt;=01_因子設定!$L$5-0.000000001,D3137&lt;=01_因子設定!$M$5+0.000000001,E3137&gt;=01_因子設定!$L$6-0.000000001,E3137&lt;=01_因子設定!$M$6+0.000000001,F3137&gt;=01_因子設定!$L$7-0.000000001,F3137&lt;=01_因子設定!$M$7+0.000000001,IF(01_因子設定!$B$20="Box-Behnken",D3137^2+E3137^2+F3137^2&lt;=2+0.000000001,TRUE()))</f>
        <v>1</v>
      </c>
      <c r="W3137" s="55" t="n">
        <f aca="false">IF(V3137,IF(01_因子設定!$B$13="最大化",T3137-01_因子設定!$B$14,IF(01_因子設定!$B$13="最小化",01_因子設定!$B$15-U3137,MIN(T3137-01_因子設定!$B$14,01_因子設定!$B$15-U3137))),-1E+030)</f>
        <v>-1.14549289140197</v>
      </c>
      <c r="X3137" s="55" t="n">
        <f aca="false">IF(V3137,IF(01_因子設定!$B$13="最大化",Q3137,IF(01_因子設定!$B$13="最小化",-Q3137,-ABS(Q3137-01_因子設定!$B$16))),-1E+030)</f>
        <v>48.3886079545455</v>
      </c>
      <c r="Y3137" s="55" t="n">
        <f aca="false">W3137+ROW()*0.000000001</f>
        <v>-1.14548975440197</v>
      </c>
      <c r="Z3137" s="55" t="n">
        <f aca="false">X3137+ROW()*0.000000001</f>
        <v>48.3886110915455</v>
      </c>
    </row>
    <row r="3138" customFormat="false" ht="15" hidden="false" customHeight="false" outlineLevel="0" collapsed="false">
      <c r="A3138" s="0" t="n">
        <v>10</v>
      </c>
      <c r="B3138" s="0" t="n">
        <v>14</v>
      </c>
      <c r="C3138" s="0" t="n">
        <v>5</v>
      </c>
      <c r="D3138" s="0" t="n">
        <f aca="false">-1+A3138*0.125</f>
        <v>0.25</v>
      </c>
      <c r="E3138" s="0" t="n">
        <f aca="false">-1+B3138*0.125</f>
        <v>0.75</v>
      </c>
      <c r="F3138" s="0" t="n">
        <f aca="false">-1+C3138*0.125</f>
        <v>-0.375</v>
      </c>
      <c r="G3138" s="0" t="n">
        <f aca="false">1</f>
        <v>1</v>
      </c>
      <c r="H3138" s="0" t="n">
        <f aca="false">D3138</f>
        <v>0.25</v>
      </c>
      <c r="I3138" s="0" t="n">
        <f aca="false">E3138</f>
        <v>0.75</v>
      </c>
      <c r="J3138" s="0" t="n">
        <f aca="false">F3138</f>
        <v>-0.375</v>
      </c>
      <c r="K3138" s="0" t="n">
        <f aca="false">D3138*E3138</f>
        <v>0.1875</v>
      </c>
      <c r="L3138" s="0" t="n">
        <f aca="false">D3138*F3138</f>
        <v>-0.09375</v>
      </c>
      <c r="M3138" s="0" t="n">
        <f aca="false">E3138*F3138</f>
        <v>-0.28125</v>
      </c>
      <c r="N3138" s="0" t="n">
        <f aca="false">D3138*D3138</f>
        <v>0.0625</v>
      </c>
      <c r="O3138" s="0" t="n">
        <f aca="false">E3138*E3138</f>
        <v>0.5625</v>
      </c>
      <c r="P3138" s="0" t="n">
        <f aca="false">F3138*F3138</f>
        <v>0.140625</v>
      </c>
      <c r="Q3138" s="0" t="n">
        <f aca="false">SUMPRODUCT(G3138:P3138,_XtX!$B$71:$K$71)</f>
        <v>48.7273721590909</v>
      </c>
      <c r="R3138" s="0" t="n">
        <f aca="false">SUMPRODUCT(MMULT(G3138:P3138,_XtX!$B$58:$K$67),G3138:P3138)</f>
        <v>0.230632990056818</v>
      </c>
      <c r="S3138" s="0" t="n">
        <f aca="false">04_回帰ANOVA!$K$19*04_回帰ANOVA!$K$14*SQRT(1+R3138)</f>
        <v>1.03140899038819</v>
      </c>
      <c r="T3138" s="0" t="n">
        <f aca="false">Q3138-S3138</f>
        <v>47.6959631687027</v>
      </c>
      <c r="U3138" s="0" t="n">
        <f aca="false">Q3138+S3138</f>
        <v>49.7587811494791</v>
      </c>
      <c r="V3138" s="54" t="b">
        <f aca="false">AND(D3138&gt;=01_因子設定!$L$5-0.000000001,D3138&lt;=01_因子設定!$M$5+0.000000001,E3138&gt;=01_因子設定!$L$6-0.000000001,E3138&lt;=01_因子設定!$M$6+0.000000001,F3138&gt;=01_因子設定!$L$7-0.000000001,F3138&lt;=01_因子設定!$M$7+0.000000001,IF(01_因子設定!$B$20="Box-Behnken",D3138^2+E3138^2+F3138^2&lt;=2+0.000000001,TRUE()))</f>
        <v>1</v>
      </c>
      <c r="W3138" s="55" t="n">
        <f aca="false">IF(V3138,IF(01_因子設定!$B$13="最大化",T3138-01_因子設定!$B$14,IF(01_因子設定!$B$13="最小化",01_因子設定!$B$15-U3138,MIN(T3138-01_因子設定!$B$14,01_因子設定!$B$15-U3138))),-1E+030)</f>
        <v>-0.804036831297267</v>
      </c>
      <c r="X3138" s="55" t="n">
        <f aca="false">IF(V3138,IF(01_因子設定!$B$13="最大化",Q3138,IF(01_因子設定!$B$13="最小化",-Q3138,-ABS(Q3138-01_因子設定!$B$16))),-1E+030)</f>
        <v>48.7273721590909</v>
      </c>
      <c r="Y3138" s="55" t="n">
        <f aca="false">W3138+ROW()*0.000000001</f>
        <v>-0.804033693297268</v>
      </c>
      <c r="Z3138" s="55" t="n">
        <f aca="false">X3138+ROW()*0.000000001</f>
        <v>48.7273752970909</v>
      </c>
    </row>
    <row r="3139" customFormat="false" ht="15" hidden="false" customHeight="false" outlineLevel="0" collapsed="false">
      <c r="A3139" s="0" t="n">
        <v>10</v>
      </c>
      <c r="B3139" s="0" t="n">
        <v>14</v>
      </c>
      <c r="C3139" s="0" t="n">
        <v>6</v>
      </c>
      <c r="D3139" s="0" t="n">
        <f aca="false">-1+A3139*0.125</f>
        <v>0.25</v>
      </c>
      <c r="E3139" s="0" t="n">
        <f aca="false">-1+B3139*0.125</f>
        <v>0.75</v>
      </c>
      <c r="F3139" s="0" t="n">
        <f aca="false">-1+C3139*0.125</f>
        <v>-0.25</v>
      </c>
      <c r="G3139" s="0" t="n">
        <f aca="false">1</f>
        <v>1</v>
      </c>
      <c r="H3139" s="0" t="n">
        <f aca="false">D3139</f>
        <v>0.25</v>
      </c>
      <c r="I3139" s="0" t="n">
        <f aca="false">E3139</f>
        <v>0.75</v>
      </c>
      <c r="J3139" s="0" t="n">
        <f aca="false">F3139</f>
        <v>-0.25</v>
      </c>
      <c r="K3139" s="0" t="n">
        <f aca="false">D3139*E3139</f>
        <v>0.1875</v>
      </c>
      <c r="L3139" s="0" t="n">
        <f aca="false">D3139*F3139</f>
        <v>-0.0625</v>
      </c>
      <c r="M3139" s="0" t="n">
        <f aca="false">E3139*F3139</f>
        <v>-0.1875</v>
      </c>
      <c r="N3139" s="0" t="n">
        <f aca="false">D3139*D3139</f>
        <v>0.0625</v>
      </c>
      <c r="O3139" s="0" t="n">
        <f aca="false">E3139*E3139</f>
        <v>0.5625</v>
      </c>
      <c r="P3139" s="0" t="n">
        <f aca="false">F3139*F3139</f>
        <v>0.0625</v>
      </c>
      <c r="Q3139" s="0" t="n">
        <f aca="false">SUMPRODUCT(G3139:P3139,_XtX!$B$71:$K$71)</f>
        <v>49.0293465909091</v>
      </c>
      <c r="R3139" s="0" t="n">
        <f aca="false">SUMPRODUCT(MMULT(G3139:P3139,_XtX!$B$58:$K$67),G3139:P3139)</f>
        <v>0.231365411931818</v>
      </c>
      <c r="S3139" s="0" t="n">
        <f aca="false">04_回帰ANOVA!$K$19*04_回帰ANOVA!$K$14*SQRT(1+R3139)</f>
        <v>1.03171587072803</v>
      </c>
      <c r="T3139" s="0" t="n">
        <f aca="false">Q3139-S3139</f>
        <v>47.9976307201811</v>
      </c>
      <c r="U3139" s="0" t="n">
        <f aca="false">Q3139+S3139</f>
        <v>50.0610624616371</v>
      </c>
      <c r="V3139" s="54" t="b">
        <f aca="false">AND(D3139&gt;=01_因子設定!$L$5-0.000000001,D3139&lt;=01_因子設定!$M$5+0.000000001,E3139&gt;=01_因子設定!$L$6-0.000000001,E3139&lt;=01_因子設定!$M$6+0.000000001,F3139&gt;=01_因子設定!$L$7-0.000000001,F3139&lt;=01_因子設定!$M$7+0.000000001,IF(01_因子設定!$B$20="Box-Behnken",D3139^2+E3139^2+F3139^2&lt;=2+0.000000001,TRUE()))</f>
        <v>1</v>
      </c>
      <c r="W3139" s="55" t="n">
        <f aca="false">IF(V3139,IF(01_因子設定!$B$13="最大化",T3139-01_因子設定!$B$14,IF(01_因子設定!$B$13="最小化",01_因子設定!$B$15-U3139,MIN(T3139-01_因子設定!$B$14,01_因子設定!$B$15-U3139))),-1E+030)</f>
        <v>-0.502369279818929</v>
      </c>
      <c r="X3139" s="55" t="n">
        <f aca="false">IF(V3139,IF(01_因子設定!$B$13="最大化",Q3139,IF(01_因子設定!$B$13="最小化",-Q3139,-ABS(Q3139-01_因子設定!$B$16))),-1E+030)</f>
        <v>49.0293465909091</v>
      </c>
      <c r="Y3139" s="55" t="n">
        <f aca="false">W3139+ROW()*0.000000001</f>
        <v>-0.502366140818929</v>
      </c>
      <c r="Z3139" s="55" t="n">
        <f aca="false">X3139+ROW()*0.000000001</f>
        <v>49.0293497299091</v>
      </c>
    </row>
    <row r="3140" customFormat="false" ht="15" hidden="false" customHeight="false" outlineLevel="0" collapsed="false">
      <c r="A3140" s="0" t="n">
        <v>10</v>
      </c>
      <c r="B3140" s="0" t="n">
        <v>14</v>
      </c>
      <c r="C3140" s="0" t="n">
        <v>7</v>
      </c>
      <c r="D3140" s="0" t="n">
        <f aca="false">-1+A3140*0.125</f>
        <v>0.25</v>
      </c>
      <c r="E3140" s="0" t="n">
        <f aca="false">-1+B3140*0.125</f>
        <v>0.75</v>
      </c>
      <c r="F3140" s="0" t="n">
        <f aca="false">-1+C3140*0.125</f>
        <v>-0.125</v>
      </c>
      <c r="G3140" s="0" t="n">
        <f aca="false">1</f>
        <v>1</v>
      </c>
      <c r="H3140" s="0" t="n">
        <f aca="false">D3140</f>
        <v>0.25</v>
      </c>
      <c r="I3140" s="0" t="n">
        <f aca="false">E3140</f>
        <v>0.75</v>
      </c>
      <c r="J3140" s="0" t="n">
        <f aca="false">F3140</f>
        <v>-0.125</v>
      </c>
      <c r="K3140" s="0" t="n">
        <f aca="false">D3140*E3140</f>
        <v>0.1875</v>
      </c>
      <c r="L3140" s="0" t="n">
        <f aca="false">D3140*F3140</f>
        <v>-0.03125</v>
      </c>
      <c r="M3140" s="0" t="n">
        <f aca="false">E3140*F3140</f>
        <v>-0.09375</v>
      </c>
      <c r="N3140" s="0" t="n">
        <f aca="false">D3140*D3140</f>
        <v>0.0625</v>
      </c>
      <c r="O3140" s="0" t="n">
        <f aca="false">E3140*E3140</f>
        <v>0.5625</v>
      </c>
      <c r="P3140" s="0" t="n">
        <f aca="false">F3140*F3140</f>
        <v>0.015625</v>
      </c>
      <c r="Q3140" s="0" t="n">
        <f aca="false">SUMPRODUCT(G3140:P3140,_XtX!$B$71:$K$71)</f>
        <v>49.29453125</v>
      </c>
      <c r="R3140" s="0" t="n">
        <f aca="false">SUMPRODUCT(MMULT(G3140:P3140,_XtX!$B$58:$K$67),G3140:P3140)</f>
        <v>0.233935546875</v>
      </c>
      <c r="S3140" s="0" t="n">
        <f aca="false">04_回帰ANOVA!$K$19*04_回帰ANOVA!$K$14*SQRT(1+R3140)</f>
        <v>1.03279202033444</v>
      </c>
      <c r="T3140" s="0" t="n">
        <f aca="false">Q3140-S3140</f>
        <v>48.2617392296656</v>
      </c>
      <c r="U3140" s="0" t="n">
        <f aca="false">Q3140+S3140</f>
        <v>50.3273232703345</v>
      </c>
      <c r="V3140" s="54" t="b">
        <f aca="false">AND(D3140&gt;=01_因子設定!$L$5-0.000000001,D3140&lt;=01_因子設定!$M$5+0.000000001,E3140&gt;=01_因子設定!$L$6-0.000000001,E3140&lt;=01_因子設定!$M$6+0.000000001,F3140&gt;=01_因子設定!$L$7-0.000000001,F3140&lt;=01_因子設定!$M$7+0.000000001,IF(01_因子設定!$B$20="Box-Behnken",D3140^2+E3140^2+F3140^2&lt;=2+0.000000001,TRUE()))</f>
        <v>1</v>
      </c>
      <c r="W3140" s="55" t="n">
        <f aca="false">IF(V3140,IF(01_因子設定!$B$13="最大化",T3140-01_因子設定!$B$14,IF(01_因子設定!$B$13="最小化",01_因子設定!$B$15-U3140,MIN(T3140-01_因子設定!$B$14,01_因子設定!$B$15-U3140))),-1E+030)</f>
        <v>-0.238260770334428</v>
      </c>
      <c r="X3140" s="55" t="n">
        <f aca="false">IF(V3140,IF(01_因子設定!$B$13="最大化",Q3140,IF(01_因子設定!$B$13="最小化",-Q3140,-ABS(Q3140-01_因子設定!$B$16))),-1E+030)</f>
        <v>49.29453125</v>
      </c>
      <c r="Y3140" s="55" t="n">
        <f aca="false">W3140+ROW()*0.000000001</f>
        <v>-0.238257630334428</v>
      </c>
      <c r="Z3140" s="55" t="n">
        <f aca="false">X3140+ROW()*0.000000001</f>
        <v>49.29453439</v>
      </c>
    </row>
    <row r="3141" customFormat="false" ht="15" hidden="false" customHeight="false" outlineLevel="0" collapsed="false">
      <c r="A3141" s="0" t="n">
        <v>10</v>
      </c>
      <c r="B3141" s="0" t="n">
        <v>14</v>
      </c>
      <c r="C3141" s="0" t="n">
        <v>8</v>
      </c>
      <c r="D3141" s="0" t="n">
        <f aca="false">-1+A3141*0.125</f>
        <v>0.25</v>
      </c>
      <c r="E3141" s="0" t="n">
        <f aca="false">-1+B3141*0.125</f>
        <v>0.75</v>
      </c>
      <c r="F3141" s="0" t="n">
        <f aca="false">-1+C3141*0.125</f>
        <v>0</v>
      </c>
      <c r="G3141" s="0" t="n">
        <f aca="false">1</f>
        <v>1</v>
      </c>
      <c r="H3141" s="0" t="n">
        <f aca="false">D3141</f>
        <v>0.25</v>
      </c>
      <c r="I3141" s="0" t="n">
        <f aca="false">E3141</f>
        <v>0.75</v>
      </c>
      <c r="J3141" s="0" t="n">
        <f aca="false">F3141</f>
        <v>0</v>
      </c>
      <c r="K3141" s="0" t="n">
        <f aca="false">D3141*E3141</f>
        <v>0.1875</v>
      </c>
      <c r="L3141" s="0" t="n">
        <f aca="false">D3141*F3141</f>
        <v>0</v>
      </c>
      <c r="M3141" s="0" t="n">
        <f aca="false">E3141*F3141</f>
        <v>0</v>
      </c>
      <c r="N3141" s="0" t="n">
        <f aca="false">D3141*D3141</f>
        <v>0.0625</v>
      </c>
      <c r="O3141" s="0" t="n">
        <f aca="false">E3141*E3141</f>
        <v>0.5625</v>
      </c>
      <c r="P3141" s="0" t="n">
        <f aca="false">F3141*F3141</f>
        <v>0</v>
      </c>
      <c r="Q3141" s="0" t="n">
        <f aca="false">SUMPRODUCT(G3141:P3141,_XtX!$B$71:$K$71)</f>
        <v>49.5229261363636</v>
      </c>
      <c r="R3141" s="0" t="n">
        <f aca="false">SUMPRODUCT(MMULT(G3141:P3141,_XtX!$B$58:$K$67),G3141:P3141)</f>
        <v>0.235147372159091</v>
      </c>
      <c r="S3141" s="0" t="n">
        <f aca="false">04_回帰ANOVA!$K$19*04_回帰ANOVA!$K$14*SQRT(1+R3141)</f>
        <v>1.03329903885461</v>
      </c>
      <c r="T3141" s="0" t="n">
        <f aca="false">Q3141-S3141</f>
        <v>48.489627097509</v>
      </c>
      <c r="U3141" s="0" t="n">
        <f aca="false">Q3141+S3141</f>
        <v>50.5562251752183</v>
      </c>
      <c r="V3141" s="54" t="b">
        <f aca="false">AND(D3141&gt;=01_因子設定!$L$5-0.000000001,D3141&lt;=01_因子設定!$M$5+0.000000001,E3141&gt;=01_因子設定!$L$6-0.000000001,E3141&lt;=01_因子設定!$M$6+0.000000001,F3141&gt;=01_因子設定!$L$7-0.000000001,F3141&lt;=01_因子設定!$M$7+0.000000001,IF(01_因子設定!$B$20="Box-Behnken",D3141^2+E3141^2+F3141^2&lt;=2+0.000000001,TRUE()))</f>
        <v>1</v>
      </c>
      <c r="W3141" s="55" t="n">
        <f aca="false">IF(V3141,IF(01_因子設定!$B$13="最大化",T3141-01_因子設定!$B$14,IF(01_因子設定!$B$13="最小化",01_因子設定!$B$15-U3141,MIN(T3141-01_因子設定!$B$14,01_因子設定!$B$15-U3141))),-1E+030)</f>
        <v>-0.010372902490964</v>
      </c>
      <c r="X3141" s="55" t="n">
        <f aca="false">IF(V3141,IF(01_因子設定!$B$13="最大化",Q3141,IF(01_因子設定!$B$13="最小化",-Q3141,-ABS(Q3141-01_因子設定!$B$16))),-1E+030)</f>
        <v>49.5229261363636</v>
      </c>
      <c r="Y3141" s="55" t="n">
        <f aca="false">W3141+ROW()*0.000000001</f>
        <v>-0.010369761490964</v>
      </c>
      <c r="Z3141" s="55" t="n">
        <f aca="false">X3141+ROW()*0.000000001</f>
        <v>49.5229292773636</v>
      </c>
    </row>
    <row r="3142" customFormat="false" ht="15" hidden="false" customHeight="false" outlineLevel="0" collapsed="false">
      <c r="A3142" s="0" t="n">
        <v>10</v>
      </c>
      <c r="B3142" s="0" t="n">
        <v>14</v>
      </c>
      <c r="C3142" s="0" t="n">
        <v>9</v>
      </c>
      <c r="D3142" s="0" t="n">
        <f aca="false">-1+A3142*0.125</f>
        <v>0.25</v>
      </c>
      <c r="E3142" s="0" t="n">
        <f aca="false">-1+B3142*0.125</f>
        <v>0.75</v>
      </c>
      <c r="F3142" s="0" t="n">
        <f aca="false">-1+C3142*0.125</f>
        <v>0.125</v>
      </c>
      <c r="G3142" s="0" t="n">
        <f aca="false">1</f>
        <v>1</v>
      </c>
      <c r="H3142" s="0" t="n">
        <f aca="false">D3142</f>
        <v>0.25</v>
      </c>
      <c r="I3142" s="0" t="n">
        <f aca="false">E3142</f>
        <v>0.75</v>
      </c>
      <c r="J3142" s="0" t="n">
        <f aca="false">F3142</f>
        <v>0.125</v>
      </c>
      <c r="K3142" s="0" t="n">
        <f aca="false">D3142*E3142</f>
        <v>0.1875</v>
      </c>
      <c r="L3142" s="0" t="n">
        <f aca="false">D3142*F3142</f>
        <v>0.03125</v>
      </c>
      <c r="M3142" s="0" t="n">
        <f aca="false">E3142*F3142</f>
        <v>0.09375</v>
      </c>
      <c r="N3142" s="0" t="n">
        <f aca="false">D3142*D3142</f>
        <v>0.0625</v>
      </c>
      <c r="O3142" s="0" t="n">
        <f aca="false">E3142*E3142</f>
        <v>0.5625</v>
      </c>
      <c r="P3142" s="0" t="n">
        <f aca="false">F3142*F3142</f>
        <v>0.015625</v>
      </c>
      <c r="Q3142" s="0" t="n">
        <f aca="false">SUMPRODUCT(G3142:P3142,_XtX!$B$71:$K$71)</f>
        <v>49.71453125</v>
      </c>
      <c r="R3142" s="0" t="n">
        <f aca="false">SUMPRODUCT(MMULT(G3142:P3142,_XtX!$B$58:$K$67),G3142:P3142)</f>
        <v>0.233935546875</v>
      </c>
      <c r="S3142" s="0" t="n">
        <f aca="false">04_回帰ANOVA!$K$19*04_回帰ANOVA!$K$14*SQRT(1+R3142)</f>
        <v>1.03279202033444</v>
      </c>
      <c r="T3142" s="0" t="n">
        <f aca="false">Q3142-S3142</f>
        <v>48.6817392296656</v>
      </c>
      <c r="U3142" s="0" t="n">
        <f aca="false">Q3142+S3142</f>
        <v>50.7473232703345</v>
      </c>
      <c r="V3142" s="54" t="b">
        <f aca="false">AND(D3142&gt;=01_因子設定!$L$5-0.000000001,D3142&lt;=01_因子設定!$M$5+0.000000001,E3142&gt;=01_因子設定!$L$6-0.000000001,E3142&lt;=01_因子設定!$M$6+0.000000001,F3142&gt;=01_因子設定!$L$7-0.000000001,F3142&lt;=01_因子設定!$M$7+0.000000001,IF(01_因子設定!$B$20="Box-Behnken",D3142^2+E3142^2+F3142^2&lt;=2+0.000000001,TRUE()))</f>
        <v>1</v>
      </c>
      <c r="W3142" s="55" t="n">
        <f aca="false">IF(V3142,IF(01_因子設定!$B$13="最大化",T3142-01_因子設定!$B$14,IF(01_因子設定!$B$13="最小化",01_因子設定!$B$15-U3142,MIN(T3142-01_因子設定!$B$14,01_因子設定!$B$15-U3142))),-1E+030)</f>
        <v>0.181739229665567</v>
      </c>
      <c r="X3142" s="55" t="n">
        <f aca="false">IF(V3142,IF(01_因子設定!$B$13="最大化",Q3142,IF(01_因子設定!$B$13="最小化",-Q3142,-ABS(Q3142-01_因子設定!$B$16))),-1E+030)</f>
        <v>49.71453125</v>
      </c>
      <c r="Y3142" s="55" t="n">
        <f aca="false">W3142+ROW()*0.000000001</f>
        <v>0.181742371665567</v>
      </c>
      <c r="Z3142" s="55" t="n">
        <f aca="false">X3142+ROW()*0.000000001</f>
        <v>49.714534392</v>
      </c>
    </row>
    <row r="3143" customFormat="false" ht="15" hidden="false" customHeight="false" outlineLevel="0" collapsed="false">
      <c r="A3143" s="0" t="n">
        <v>10</v>
      </c>
      <c r="B3143" s="0" t="n">
        <v>14</v>
      </c>
      <c r="C3143" s="0" t="n">
        <v>10</v>
      </c>
      <c r="D3143" s="0" t="n">
        <f aca="false">-1+A3143*0.125</f>
        <v>0.25</v>
      </c>
      <c r="E3143" s="0" t="n">
        <f aca="false">-1+B3143*0.125</f>
        <v>0.75</v>
      </c>
      <c r="F3143" s="0" t="n">
        <f aca="false">-1+C3143*0.125</f>
        <v>0.25</v>
      </c>
      <c r="G3143" s="0" t="n">
        <f aca="false">1</f>
        <v>1</v>
      </c>
      <c r="H3143" s="0" t="n">
        <f aca="false">D3143</f>
        <v>0.25</v>
      </c>
      <c r="I3143" s="0" t="n">
        <f aca="false">E3143</f>
        <v>0.75</v>
      </c>
      <c r="J3143" s="0" t="n">
        <f aca="false">F3143</f>
        <v>0.25</v>
      </c>
      <c r="K3143" s="0" t="n">
        <f aca="false">D3143*E3143</f>
        <v>0.1875</v>
      </c>
      <c r="L3143" s="0" t="n">
        <f aca="false">D3143*F3143</f>
        <v>0.0625</v>
      </c>
      <c r="M3143" s="0" t="n">
        <f aca="false">E3143*F3143</f>
        <v>0.1875</v>
      </c>
      <c r="N3143" s="0" t="n">
        <f aca="false">D3143*D3143</f>
        <v>0.0625</v>
      </c>
      <c r="O3143" s="0" t="n">
        <f aca="false">E3143*E3143</f>
        <v>0.5625</v>
      </c>
      <c r="P3143" s="0" t="n">
        <f aca="false">F3143*F3143</f>
        <v>0.0625</v>
      </c>
      <c r="Q3143" s="0" t="n">
        <f aca="false">SUMPRODUCT(G3143:P3143,_XtX!$B$71:$K$71)</f>
        <v>49.8693465909091</v>
      </c>
      <c r="R3143" s="0" t="n">
        <f aca="false">SUMPRODUCT(MMULT(G3143:P3143,_XtX!$B$58:$K$67),G3143:P3143)</f>
        <v>0.231365411931818</v>
      </c>
      <c r="S3143" s="0" t="n">
        <f aca="false">04_回帰ANOVA!$K$19*04_回帰ANOVA!$K$14*SQRT(1+R3143)</f>
        <v>1.03171587072803</v>
      </c>
      <c r="T3143" s="0" t="n">
        <f aca="false">Q3143-S3143</f>
        <v>48.8376307201811</v>
      </c>
      <c r="U3143" s="0" t="n">
        <f aca="false">Q3143+S3143</f>
        <v>50.9010624616371</v>
      </c>
      <c r="V3143" s="54" t="b">
        <f aca="false">AND(D3143&gt;=01_因子設定!$L$5-0.000000001,D3143&lt;=01_因子設定!$M$5+0.000000001,E3143&gt;=01_因子設定!$L$6-0.000000001,E3143&lt;=01_因子設定!$M$6+0.000000001,F3143&gt;=01_因子設定!$L$7-0.000000001,F3143&lt;=01_因子設定!$M$7+0.000000001,IF(01_因子設定!$B$20="Box-Behnken",D3143^2+E3143^2+F3143^2&lt;=2+0.000000001,TRUE()))</f>
        <v>1</v>
      </c>
      <c r="W3143" s="55" t="n">
        <f aca="false">IF(V3143,IF(01_因子設定!$B$13="最大化",T3143-01_因子設定!$B$14,IF(01_因子設定!$B$13="最小化",01_因子設定!$B$15-U3143,MIN(T3143-01_因子設定!$B$14,01_因子設定!$B$15-U3143))),-1E+030)</f>
        <v>0.337630720181075</v>
      </c>
      <c r="X3143" s="55" t="n">
        <f aca="false">IF(V3143,IF(01_因子設定!$B$13="最大化",Q3143,IF(01_因子設定!$B$13="最小化",-Q3143,-ABS(Q3143-01_因子設定!$B$16))),-1E+030)</f>
        <v>49.8693465909091</v>
      </c>
      <c r="Y3143" s="55" t="n">
        <f aca="false">W3143+ROW()*0.000000001</f>
        <v>0.337633863181075</v>
      </c>
      <c r="Z3143" s="55" t="n">
        <f aca="false">X3143+ROW()*0.000000001</f>
        <v>49.8693497339091</v>
      </c>
    </row>
    <row r="3144" customFormat="false" ht="15" hidden="false" customHeight="false" outlineLevel="0" collapsed="false">
      <c r="A3144" s="0" t="n">
        <v>10</v>
      </c>
      <c r="B3144" s="0" t="n">
        <v>14</v>
      </c>
      <c r="C3144" s="0" t="n">
        <v>11</v>
      </c>
      <c r="D3144" s="0" t="n">
        <f aca="false">-1+A3144*0.125</f>
        <v>0.25</v>
      </c>
      <c r="E3144" s="0" t="n">
        <f aca="false">-1+B3144*0.125</f>
        <v>0.75</v>
      </c>
      <c r="F3144" s="0" t="n">
        <f aca="false">-1+C3144*0.125</f>
        <v>0.375</v>
      </c>
      <c r="G3144" s="0" t="n">
        <f aca="false">1</f>
        <v>1</v>
      </c>
      <c r="H3144" s="0" t="n">
        <f aca="false">D3144</f>
        <v>0.25</v>
      </c>
      <c r="I3144" s="0" t="n">
        <f aca="false">E3144</f>
        <v>0.75</v>
      </c>
      <c r="J3144" s="0" t="n">
        <f aca="false">F3144</f>
        <v>0.375</v>
      </c>
      <c r="K3144" s="0" t="n">
        <f aca="false">D3144*E3144</f>
        <v>0.1875</v>
      </c>
      <c r="L3144" s="0" t="n">
        <f aca="false">D3144*F3144</f>
        <v>0.09375</v>
      </c>
      <c r="M3144" s="0" t="n">
        <f aca="false">E3144*F3144</f>
        <v>0.28125</v>
      </c>
      <c r="N3144" s="0" t="n">
        <f aca="false">D3144*D3144</f>
        <v>0.0625</v>
      </c>
      <c r="O3144" s="0" t="n">
        <f aca="false">E3144*E3144</f>
        <v>0.5625</v>
      </c>
      <c r="P3144" s="0" t="n">
        <f aca="false">F3144*F3144</f>
        <v>0.140625</v>
      </c>
      <c r="Q3144" s="0" t="n">
        <f aca="false">SUMPRODUCT(G3144:P3144,_XtX!$B$71:$K$71)</f>
        <v>49.9873721590909</v>
      </c>
      <c r="R3144" s="0" t="n">
        <f aca="false">SUMPRODUCT(MMULT(G3144:P3144,_XtX!$B$58:$K$67),G3144:P3144)</f>
        <v>0.230632990056818</v>
      </c>
      <c r="S3144" s="0" t="n">
        <f aca="false">04_回帰ANOVA!$K$19*04_回帰ANOVA!$K$14*SQRT(1+R3144)</f>
        <v>1.03140899038819</v>
      </c>
      <c r="T3144" s="0" t="n">
        <f aca="false">Q3144-S3144</f>
        <v>48.9559631687027</v>
      </c>
      <c r="U3144" s="0" t="n">
        <f aca="false">Q3144+S3144</f>
        <v>51.0187811494791</v>
      </c>
      <c r="V3144" s="54" t="b">
        <f aca="false">AND(D3144&gt;=01_因子設定!$L$5-0.000000001,D3144&lt;=01_因子設定!$M$5+0.000000001,E3144&gt;=01_因子設定!$L$6-0.000000001,E3144&lt;=01_因子設定!$M$6+0.000000001,F3144&gt;=01_因子設定!$L$7-0.000000001,F3144&lt;=01_因子設定!$M$7+0.000000001,IF(01_因子設定!$B$20="Box-Behnken",D3144^2+E3144^2+F3144^2&lt;=2+0.000000001,TRUE()))</f>
        <v>1</v>
      </c>
      <c r="W3144" s="55" t="n">
        <f aca="false">IF(V3144,IF(01_因子設定!$B$13="最大化",T3144-01_因子設定!$B$14,IF(01_因子設定!$B$13="最小化",01_因子設定!$B$15-U3144,MIN(T3144-01_因子設定!$B$14,01_因子設定!$B$15-U3144))),-1E+030)</f>
        <v>0.455963168702738</v>
      </c>
      <c r="X3144" s="55" t="n">
        <f aca="false">IF(V3144,IF(01_因子設定!$B$13="最大化",Q3144,IF(01_因子設定!$B$13="最小化",-Q3144,-ABS(Q3144-01_因子設定!$B$16))),-1E+030)</f>
        <v>49.9873721590909</v>
      </c>
      <c r="Y3144" s="55" t="n">
        <f aca="false">W3144+ROW()*0.000000001</f>
        <v>0.455966312702738</v>
      </c>
      <c r="Z3144" s="55" t="n">
        <f aca="false">X3144+ROW()*0.000000001</f>
        <v>49.9873753030909</v>
      </c>
    </row>
    <row r="3145" customFormat="false" ht="15" hidden="false" customHeight="false" outlineLevel="0" collapsed="false">
      <c r="A3145" s="0" t="n">
        <v>10</v>
      </c>
      <c r="B3145" s="0" t="n">
        <v>14</v>
      </c>
      <c r="C3145" s="0" t="n">
        <v>12</v>
      </c>
      <c r="D3145" s="0" t="n">
        <f aca="false">-1+A3145*0.125</f>
        <v>0.25</v>
      </c>
      <c r="E3145" s="0" t="n">
        <f aca="false">-1+B3145*0.125</f>
        <v>0.75</v>
      </c>
      <c r="F3145" s="0" t="n">
        <f aca="false">-1+C3145*0.125</f>
        <v>0.5</v>
      </c>
      <c r="G3145" s="0" t="n">
        <f aca="false">1</f>
        <v>1</v>
      </c>
      <c r="H3145" s="0" t="n">
        <f aca="false">D3145</f>
        <v>0.25</v>
      </c>
      <c r="I3145" s="0" t="n">
        <f aca="false">E3145</f>
        <v>0.75</v>
      </c>
      <c r="J3145" s="0" t="n">
        <f aca="false">F3145</f>
        <v>0.5</v>
      </c>
      <c r="K3145" s="0" t="n">
        <f aca="false">D3145*E3145</f>
        <v>0.1875</v>
      </c>
      <c r="L3145" s="0" t="n">
        <f aca="false">D3145*F3145</f>
        <v>0.125</v>
      </c>
      <c r="M3145" s="0" t="n">
        <f aca="false">E3145*F3145</f>
        <v>0.375</v>
      </c>
      <c r="N3145" s="0" t="n">
        <f aca="false">D3145*D3145</f>
        <v>0.0625</v>
      </c>
      <c r="O3145" s="0" t="n">
        <f aca="false">E3145*E3145</f>
        <v>0.5625</v>
      </c>
      <c r="P3145" s="0" t="n">
        <f aca="false">F3145*F3145</f>
        <v>0.25</v>
      </c>
      <c r="Q3145" s="0" t="n">
        <f aca="false">SUMPRODUCT(G3145:P3145,_XtX!$B$71:$K$71)</f>
        <v>50.0686079545455</v>
      </c>
      <c r="R3145" s="0" t="n">
        <f aca="false">SUMPRODUCT(MMULT(G3145:P3145,_XtX!$B$58:$K$67),G3145:P3145)</f>
        <v>0.237064985795455</v>
      </c>
      <c r="S3145" s="0" t="n">
        <f aca="false">04_回帰ANOVA!$K$19*04_回帰ANOVA!$K$14*SQRT(1+R3145)</f>
        <v>1.03410084594745</v>
      </c>
      <c r="T3145" s="0" t="n">
        <f aca="false">Q3145-S3145</f>
        <v>49.034507108598</v>
      </c>
      <c r="U3145" s="0" t="n">
        <f aca="false">Q3145+S3145</f>
        <v>51.1027088004929</v>
      </c>
      <c r="V3145" s="54" t="b">
        <f aca="false">AND(D3145&gt;=01_因子設定!$L$5-0.000000001,D3145&lt;=01_因子設定!$M$5+0.000000001,E3145&gt;=01_因子設定!$L$6-0.000000001,E3145&lt;=01_因子設定!$M$6+0.000000001,F3145&gt;=01_因子設定!$L$7-0.000000001,F3145&lt;=01_因子設定!$M$7+0.000000001,IF(01_因子設定!$B$20="Box-Behnken",D3145^2+E3145^2+F3145^2&lt;=2+0.000000001,TRUE()))</f>
        <v>1</v>
      </c>
      <c r="W3145" s="55" t="n">
        <f aca="false">IF(V3145,IF(01_因子設定!$B$13="最大化",T3145-01_因子設定!$B$14,IF(01_因子設定!$B$13="最小化",01_因子設定!$B$15-U3145,MIN(T3145-01_因子設定!$B$14,01_因子設定!$B$15-U3145))),-1E+030)</f>
        <v>0.534507108598028</v>
      </c>
      <c r="X3145" s="55" t="n">
        <f aca="false">IF(V3145,IF(01_因子設定!$B$13="最大化",Q3145,IF(01_因子設定!$B$13="最小化",-Q3145,-ABS(Q3145-01_因子設定!$B$16))),-1E+030)</f>
        <v>50.0686079545455</v>
      </c>
      <c r="Y3145" s="55" t="n">
        <f aca="false">W3145+ROW()*0.000000001</f>
        <v>0.534510253598028</v>
      </c>
      <c r="Z3145" s="55" t="n">
        <f aca="false">X3145+ROW()*0.000000001</f>
        <v>50.0686110995455</v>
      </c>
    </row>
    <row r="3146" customFormat="false" ht="15" hidden="false" customHeight="false" outlineLevel="0" collapsed="false">
      <c r="A3146" s="0" t="n">
        <v>10</v>
      </c>
      <c r="B3146" s="0" t="n">
        <v>14</v>
      </c>
      <c r="C3146" s="0" t="n">
        <v>13</v>
      </c>
      <c r="D3146" s="0" t="n">
        <f aca="false">-1+A3146*0.125</f>
        <v>0.25</v>
      </c>
      <c r="E3146" s="0" t="n">
        <f aca="false">-1+B3146*0.125</f>
        <v>0.75</v>
      </c>
      <c r="F3146" s="0" t="n">
        <f aca="false">-1+C3146*0.125</f>
        <v>0.625</v>
      </c>
      <c r="G3146" s="0" t="n">
        <f aca="false">1</f>
        <v>1</v>
      </c>
      <c r="H3146" s="0" t="n">
        <f aca="false">D3146</f>
        <v>0.25</v>
      </c>
      <c r="I3146" s="0" t="n">
        <f aca="false">E3146</f>
        <v>0.75</v>
      </c>
      <c r="J3146" s="0" t="n">
        <f aca="false">F3146</f>
        <v>0.625</v>
      </c>
      <c r="K3146" s="0" t="n">
        <f aca="false">D3146*E3146</f>
        <v>0.1875</v>
      </c>
      <c r="L3146" s="0" t="n">
        <f aca="false">D3146*F3146</f>
        <v>0.15625</v>
      </c>
      <c r="M3146" s="0" t="n">
        <f aca="false">E3146*F3146</f>
        <v>0.46875</v>
      </c>
      <c r="N3146" s="0" t="n">
        <f aca="false">D3146*D3146</f>
        <v>0.0625</v>
      </c>
      <c r="O3146" s="0" t="n">
        <f aca="false">E3146*E3146</f>
        <v>0.5625</v>
      </c>
      <c r="P3146" s="0" t="n">
        <f aca="false">F3146*F3146</f>
        <v>0.390625</v>
      </c>
      <c r="Q3146" s="0" t="n">
        <f aca="false">SUMPRODUCT(G3146:P3146,_XtX!$B$71:$K$71)</f>
        <v>50.1130539772727</v>
      </c>
      <c r="R3146" s="0" t="n">
        <f aca="false">SUMPRODUCT(MMULT(G3146:P3146,_XtX!$B$58:$K$67),G3146:P3146)</f>
        <v>0.258118785511364</v>
      </c>
      <c r="S3146" s="0" t="n">
        <f aca="false">04_回帰ANOVA!$K$19*04_回帰ANOVA!$K$14*SQRT(1+R3146)</f>
        <v>1.04286348094876</v>
      </c>
      <c r="T3146" s="0" t="n">
        <f aca="false">Q3146-S3146</f>
        <v>49.070190496324</v>
      </c>
      <c r="U3146" s="0" t="n">
        <f aca="false">Q3146+S3146</f>
        <v>51.1559174582215</v>
      </c>
      <c r="V3146" s="54" t="b">
        <f aca="false">AND(D3146&gt;=01_因子設定!$L$5-0.000000001,D3146&lt;=01_因子設定!$M$5+0.000000001,E3146&gt;=01_因子設定!$L$6-0.000000001,E3146&lt;=01_因子設定!$M$6+0.000000001,F3146&gt;=01_因子設定!$L$7-0.000000001,F3146&lt;=01_因子設定!$M$7+0.000000001,IF(01_因子設定!$B$20="Box-Behnken",D3146^2+E3146^2+F3146^2&lt;=2+0.000000001,TRUE()))</f>
        <v>1</v>
      </c>
      <c r="W3146" s="55" t="n">
        <f aca="false">IF(V3146,IF(01_因子設定!$B$13="最大化",T3146-01_因子設定!$B$14,IF(01_因子設定!$B$13="最小化",01_因子設定!$B$15-U3146,MIN(T3146-01_因子設定!$B$14,01_因子設定!$B$15-U3146))),-1E+030)</f>
        <v>0.570190496323981</v>
      </c>
      <c r="X3146" s="55" t="n">
        <f aca="false">IF(V3146,IF(01_因子設定!$B$13="最大化",Q3146,IF(01_因子設定!$B$13="最小化",-Q3146,-ABS(Q3146-01_因子設定!$B$16))),-1E+030)</f>
        <v>50.1130539772727</v>
      </c>
      <c r="Y3146" s="55" t="n">
        <f aca="false">W3146+ROW()*0.000000001</f>
        <v>0.570193642323981</v>
      </c>
      <c r="Z3146" s="55" t="n">
        <f aca="false">X3146+ROW()*0.000000001</f>
        <v>50.1130571232727</v>
      </c>
    </row>
    <row r="3147" customFormat="false" ht="15" hidden="false" customHeight="false" outlineLevel="0" collapsed="false">
      <c r="A3147" s="0" t="n">
        <v>10</v>
      </c>
      <c r="B3147" s="0" t="n">
        <v>14</v>
      </c>
      <c r="C3147" s="0" t="n">
        <v>14</v>
      </c>
      <c r="D3147" s="0" t="n">
        <f aca="false">-1+A3147*0.125</f>
        <v>0.25</v>
      </c>
      <c r="E3147" s="0" t="n">
        <f aca="false">-1+B3147*0.125</f>
        <v>0.75</v>
      </c>
      <c r="F3147" s="0" t="n">
        <f aca="false">-1+C3147*0.125</f>
        <v>0.75</v>
      </c>
      <c r="G3147" s="0" t="n">
        <f aca="false">1</f>
        <v>1</v>
      </c>
      <c r="H3147" s="0" t="n">
        <f aca="false">D3147</f>
        <v>0.25</v>
      </c>
      <c r="I3147" s="0" t="n">
        <f aca="false">E3147</f>
        <v>0.75</v>
      </c>
      <c r="J3147" s="0" t="n">
        <f aca="false">F3147</f>
        <v>0.75</v>
      </c>
      <c r="K3147" s="0" t="n">
        <f aca="false">D3147*E3147</f>
        <v>0.1875</v>
      </c>
      <c r="L3147" s="0" t="n">
        <f aca="false">D3147*F3147</f>
        <v>0.1875</v>
      </c>
      <c r="M3147" s="0" t="n">
        <f aca="false">E3147*F3147</f>
        <v>0.5625</v>
      </c>
      <c r="N3147" s="0" t="n">
        <f aca="false">D3147*D3147</f>
        <v>0.0625</v>
      </c>
      <c r="O3147" s="0" t="n">
        <f aca="false">E3147*E3147</f>
        <v>0.5625</v>
      </c>
      <c r="P3147" s="0" t="n">
        <f aca="false">F3147*F3147</f>
        <v>0.5625</v>
      </c>
      <c r="Q3147" s="0" t="n">
        <f aca="false">SUMPRODUCT(G3147:P3147,_XtX!$B$71:$K$71)</f>
        <v>50.1207102272727</v>
      </c>
      <c r="R3147" s="0" t="n">
        <f aca="false">SUMPRODUCT(MMULT(G3147:P3147,_XtX!$B$58:$K$67),G3147:P3147)</f>
        <v>0.303382457386364</v>
      </c>
      <c r="S3147" s="0" t="n">
        <f aca="false">04_回帰ANOVA!$K$19*04_回帰ANOVA!$K$14*SQRT(1+R3147)</f>
        <v>1.06145740650883</v>
      </c>
      <c r="T3147" s="0" t="n">
        <f aca="false">Q3147-S3147</f>
        <v>49.0592528207639</v>
      </c>
      <c r="U3147" s="0" t="n">
        <f aca="false">Q3147+S3147</f>
        <v>51.1821676337816</v>
      </c>
      <c r="V3147" s="54" t="b">
        <f aca="false">AND(D3147&gt;=01_因子設定!$L$5-0.000000001,D3147&lt;=01_因子設定!$M$5+0.000000001,E3147&gt;=01_因子設定!$L$6-0.000000001,E3147&lt;=01_因子設定!$M$6+0.000000001,F3147&gt;=01_因子設定!$L$7-0.000000001,F3147&lt;=01_因子設定!$M$7+0.000000001,IF(01_因子設定!$B$20="Box-Behnken",D3147^2+E3147^2+F3147^2&lt;=2+0.000000001,TRUE()))</f>
        <v>1</v>
      </c>
      <c r="W3147" s="55" t="n">
        <f aca="false">IF(V3147,IF(01_因子設定!$B$13="最大化",T3147-01_因子設定!$B$14,IF(01_因子設定!$B$13="最小化",01_因子設定!$B$15-U3147,MIN(T3147-01_因子設定!$B$14,01_因子設定!$B$15-U3147))),-1E+030)</f>
        <v>0.559252820763909</v>
      </c>
      <c r="X3147" s="55" t="n">
        <f aca="false">IF(V3147,IF(01_因子設定!$B$13="最大化",Q3147,IF(01_因子設定!$B$13="最小化",-Q3147,-ABS(Q3147-01_因子設定!$B$16))),-1E+030)</f>
        <v>50.1207102272727</v>
      </c>
      <c r="Y3147" s="55" t="n">
        <f aca="false">W3147+ROW()*0.000000001</f>
        <v>0.559255967763909</v>
      </c>
      <c r="Z3147" s="55" t="n">
        <f aca="false">X3147+ROW()*0.000000001</f>
        <v>50.1207133742727</v>
      </c>
    </row>
    <row r="3148" customFormat="false" ht="15" hidden="false" customHeight="false" outlineLevel="0" collapsed="false">
      <c r="A3148" s="0" t="n">
        <v>10</v>
      </c>
      <c r="B3148" s="0" t="n">
        <v>14</v>
      </c>
      <c r="C3148" s="0" t="n">
        <v>15</v>
      </c>
      <c r="D3148" s="0" t="n">
        <f aca="false">-1+A3148*0.125</f>
        <v>0.25</v>
      </c>
      <c r="E3148" s="0" t="n">
        <f aca="false">-1+B3148*0.125</f>
        <v>0.75</v>
      </c>
      <c r="F3148" s="0" t="n">
        <f aca="false">-1+C3148*0.125</f>
        <v>0.875</v>
      </c>
      <c r="G3148" s="0" t="n">
        <f aca="false">1</f>
        <v>1</v>
      </c>
      <c r="H3148" s="0" t="n">
        <f aca="false">D3148</f>
        <v>0.25</v>
      </c>
      <c r="I3148" s="0" t="n">
        <f aca="false">E3148</f>
        <v>0.75</v>
      </c>
      <c r="J3148" s="0" t="n">
        <f aca="false">F3148</f>
        <v>0.875</v>
      </c>
      <c r="K3148" s="0" t="n">
        <f aca="false">D3148*E3148</f>
        <v>0.1875</v>
      </c>
      <c r="L3148" s="0" t="n">
        <f aca="false">D3148*F3148</f>
        <v>0.21875</v>
      </c>
      <c r="M3148" s="0" t="n">
        <f aca="false">E3148*F3148</f>
        <v>0.65625</v>
      </c>
      <c r="N3148" s="0" t="n">
        <f aca="false">D3148*D3148</f>
        <v>0.0625</v>
      </c>
      <c r="O3148" s="0" t="n">
        <f aca="false">E3148*E3148</f>
        <v>0.5625</v>
      </c>
      <c r="P3148" s="0" t="n">
        <f aca="false">F3148*F3148</f>
        <v>0.765625</v>
      </c>
      <c r="Q3148" s="0" t="n">
        <f aca="false">SUMPRODUCT(G3148:P3148,_XtX!$B$71:$K$71)</f>
        <v>50.0915767045455</v>
      </c>
      <c r="R3148" s="0" t="n">
        <f aca="false">SUMPRODUCT(MMULT(G3148:P3148,_XtX!$B$58:$K$67),G3148:P3148)</f>
        <v>0.384574751420455</v>
      </c>
      <c r="S3148" s="0" t="n">
        <f aca="false">04_回帰ANOVA!$K$19*04_回帰ANOVA!$K$14*SQRT(1+R3148)</f>
        <v>1.0940189380139</v>
      </c>
      <c r="T3148" s="0" t="n">
        <f aca="false">Q3148-S3148</f>
        <v>48.9975577665316</v>
      </c>
      <c r="U3148" s="0" t="n">
        <f aca="false">Q3148+S3148</f>
        <v>51.1855956425594</v>
      </c>
      <c r="V3148" s="54" t="b">
        <f aca="false">AND(D3148&gt;=01_因子設定!$L$5-0.000000001,D3148&lt;=01_因子設定!$M$5+0.000000001,E3148&gt;=01_因子設定!$L$6-0.000000001,E3148&lt;=01_因子設定!$M$6+0.000000001,F3148&gt;=01_因子設定!$L$7-0.000000001,F3148&lt;=01_因子設定!$M$7+0.000000001,IF(01_因子設定!$B$20="Box-Behnken",D3148^2+E3148^2+F3148^2&lt;=2+0.000000001,TRUE()))</f>
        <v>1</v>
      </c>
      <c r="W3148" s="55" t="n">
        <f aca="false">IF(V3148,IF(01_因子設定!$B$13="最大化",T3148-01_因子設定!$B$14,IF(01_因子設定!$B$13="最小化",01_因子設定!$B$15-U3148,MIN(T3148-01_因子設定!$B$14,01_因子設定!$B$15-U3148))),-1E+030)</f>
        <v>0.497557766531578</v>
      </c>
      <c r="X3148" s="55" t="n">
        <f aca="false">IF(V3148,IF(01_因子設定!$B$13="最大化",Q3148,IF(01_因子設定!$B$13="最小化",-Q3148,-ABS(Q3148-01_因子設定!$B$16))),-1E+030)</f>
        <v>50.0915767045455</v>
      </c>
      <c r="Y3148" s="55" t="n">
        <f aca="false">W3148+ROW()*0.000000001</f>
        <v>0.497560914531578</v>
      </c>
      <c r="Z3148" s="55" t="n">
        <f aca="false">X3148+ROW()*0.000000001</f>
        <v>50.0915798525455</v>
      </c>
    </row>
    <row r="3149" customFormat="false" ht="15" hidden="false" customHeight="false" outlineLevel="0" collapsed="false">
      <c r="A3149" s="0" t="n">
        <v>10</v>
      </c>
      <c r="B3149" s="0" t="n">
        <v>14</v>
      </c>
      <c r="C3149" s="0" t="n">
        <v>16</v>
      </c>
      <c r="D3149" s="0" t="n">
        <f aca="false">-1+A3149*0.125</f>
        <v>0.25</v>
      </c>
      <c r="E3149" s="0" t="n">
        <f aca="false">-1+B3149*0.125</f>
        <v>0.75</v>
      </c>
      <c r="F3149" s="0" t="n">
        <f aca="false">-1+C3149*0.125</f>
        <v>1</v>
      </c>
      <c r="G3149" s="0" t="n">
        <f aca="false">1</f>
        <v>1</v>
      </c>
      <c r="H3149" s="0" t="n">
        <f aca="false">D3149</f>
        <v>0.25</v>
      </c>
      <c r="I3149" s="0" t="n">
        <f aca="false">E3149</f>
        <v>0.75</v>
      </c>
      <c r="J3149" s="0" t="n">
        <f aca="false">F3149</f>
        <v>1</v>
      </c>
      <c r="K3149" s="0" t="n">
        <f aca="false">D3149*E3149</f>
        <v>0.1875</v>
      </c>
      <c r="L3149" s="0" t="n">
        <f aca="false">D3149*F3149</f>
        <v>0.25</v>
      </c>
      <c r="M3149" s="0" t="n">
        <f aca="false">E3149*F3149</f>
        <v>0.75</v>
      </c>
      <c r="N3149" s="0" t="n">
        <f aca="false">D3149*D3149</f>
        <v>0.0625</v>
      </c>
      <c r="O3149" s="0" t="n">
        <f aca="false">E3149*E3149</f>
        <v>0.5625</v>
      </c>
      <c r="P3149" s="0" t="n">
        <f aca="false">F3149*F3149</f>
        <v>1</v>
      </c>
      <c r="Q3149" s="0" t="n">
        <f aca="false">SUMPRODUCT(G3149:P3149,_XtX!$B$71:$K$71)</f>
        <v>50.0256534090909</v>
      </c>
      <c r="R3149" s="0" t="n">
        <f aca="false">SUMPRODUCT(MMULT(G3149:P3149,_XtX!$B$58:$K$67),G3149:P3149)</f>
        <v>0.515545099431818</v>
      </c>
      <c r="S3149" s="0" t="n">
        <f aca="false">04_回帰ANOVA!$K$19*04_回帰ANOVA!$K$14*SQRT(1+R3149)</f>
        <v>1.14459295464101</v>
      </c>
      <c r="T3149" s="0" t="n">
        <f aca="false">Q3149-S3149</f>
        <v>48.8810604544499</v>
      </c>
      <c r="U3149" s="0" t="n">
        <f aca="false">Q3149+S3149</f>
        <v>51.170246363732</v>
      </c>
      <c r="V3149" s="54" t="b">
        <f aca="false">AND(D3149&gt;=01_因子設定!$L$5-0.000000001,D3149&lt;=01_因子設定!$M$5+0.000000001,E3149&gt;=01_因子設定!$L$6-0.000000001,E3149&lt;=01_因子設定!$M$6+0.000000001,F3149&gt;=01_因子設定!$L$7-0.000000001,F3149&lt;=01_因子設定!$M$7+0.000000001,IF(01_因子設定!$B$20="Box-Behnken",D3149^2+E3149^2+F3149^2&lt;=2+0.000000001,TRUE()))</f>
        <v>1</v>
      </c>
      <c r="W3149" s="55" t="n">
        <f aca="false">IF(V3149,IF(01_因子設定!$B$13="最大化",T3149-01_因子設定!$B$14,IF(01_因子設定!$B$13="最小化",01_因子設定!$B$15-U3149,MIN(T3149-01_因子設定!$B$14,01_因子設定!$B$15-U3149))),-1E+030)</f>
        <v>0.381060454449923</v>
      </c>
      <c r="X3149" s="55" t="n">
        <f aca="false">IF(V3149,IF(01_因子設定!$B$13="最大化",Q3149,IF(01_因子設定!$B$13="最小化",-Q3149,-ABS(Q3149-01_因子設定!$B$16))),-1E+030)</f>
        <v>50.0256534090909</v>
      </c>
      <c r="Y3149" s="55" t="n">
        <f aca="false">W3149+ROW()*0.000000001</f>
        <v>0.381063603449923</v>
      </c>
      <c r="Z3149" s="55" t="n">
        <f aca="false">X3149+ROW()*0.000000001</f>
        <v>50.0256565580909</v>
      </c>
    </row>
    <row r="3150" customFormat="false" ht="15" hidden="false" customHeight="false" outlineLevel="0" collapsed="false">
      <c r="A3150" s="0" t="n">
        <v>10</v>
      </c>
      <c r="B3150" s="0" t="n">
        <v>15</v>
      </c>
      <c r="C3150" s="0" t="n">
        <v>0</v>
      </c>
      <c r="D3150" s="0" t="n">
        <f aca="false">-1+A3150*0.125</f>
        <v>0.25</v>
      </c>
      <c r="E3150" s="0" t="n">
        <f aca="false">-1+B3150*0.125</f>
        <v>0.875</v>
      </c>
      <c r="F3150" s="0" t="n">
        <f aca="false">-1+C3150*0.125</f>
        <v>-1</v>
      </c>
      <c r="G3150" s="0" t="n">
        <f aca="false">1</f>
        <v>1</v>
      </c>
      <c r="H3150" s="0" t="n">
        <f aca="false">D3150</f>
        <v>0.25</v>
      </c>
      <c r="I3150" s="0" t="n">
        <f aca="false">E3150</f>
        <v>0.875</v>
      </c>
      <c r="J3150" s="0" t="n">
        <f aca="false">F3150</f>
        <v>-1</v>
      </c>
      <c r="K3150" s="0" t="n">
        <f aca="false">D3150*E3150</f>
        <v>0.21875</v>
      </c>
      <c r="L3150" s="0" t="n">
        <f aca="false">D3150*F3150</f>
        <v>-0.25</v>
      </c>
      <c r="M3150" s="0" t="n">
        <f aca="false">E3150*F3150</f>
        <v>-0.875</v>
      </c>
      <c r="N3150" s="0" t="n">
        <f aca="false">D3150*D3150</f>
        <v>0.0625</v>
      </c>
      <c r="O3150" s="0" t="n">
        <f aca="false">E3150*E3150</f>
        <v>0.765625</v>
      </c>
      <c r="P3150" s="0" t="n">
        <f aca="false">F3150*F3150</f>
        <v>1</v>
      </c>
      <c r="Q3150" s="0" t="n">
        <f aca="false">SUMPRODUCT(G3150:P3150,_XtX!$B$71:$K$71)</f>
        <v>46.4946448863637</v>
      </c>
      <c r="R3150" s="0" t="n">
        <f aca="false">SUMPRODUCT(MMULT(G3150:P3150,_XtX!$B$58:$K$67),G3150:P3150)</f>
        <v>0.583609286221591</v>
      </c>
      <c r="S3150" s="0" t="n">
        <f aca="false">04_回帰ANOVA!$K$19*04_回帰ANOVA!$K$14*SQRT(1+R3150)</f>
        <v>1.1700129157584</v>
      </c>
      <c r="T3150" s="0" t="n">
        <f aca="false">Q3150-S3150</f>
        <v>45.3246319706053</v>
      </c>
      <c r="U3150" s="0" t="n">
        <f aca="false">Q3150+S3150</f>
        <v>47.6646578021221</v>
      </c>
      <c r="V3150" s="54" t="b">
        <f aca="false">AND(D3150&gt;=01_因子設定!$L$5-0.000000001,D3150&lt;=01_因子設定!$M$5+0.000000001,E3150&gt;=01_因子設定!$L$6-0.000000001,E3150&lt;=01_因子設定!$M$6+0.000000001,F3150&gt;=01_因子設定!$L$7-0.000000001,F3150&lt;=01_因子設定!$M$7+0.000000001,IF(01_因子設定!$B$20="Box-Behnken",D3150^2+E3150^2+F3150^2&lt;=2+0.000000001,TRUE()))</f>
        <v>1</v>
      </c>
      <c r="W3150" s="55" t="n">
        <f aca="false">IF(V3150,IF(01_因子設定!$B$13="最大化",T3150-01_因子設定!$B$14,IF(01_因子設定!$B$13="最小化",01_因子設定!$B$15-U3150,MIN(T3150-01_因子設定!$B$14,01_因子設定!$B$15-U3150))),-1E+030)</f>
        <v>-3.17536802939473</v>
      </c>
      <c r="X3150" s="55" t="n">
        <f aca="false">IF(V3150,IF(01_因子設定!$B$13="最大化",Q3150,IF(01_因子設定!$B$13="最小化",-Q3150,-ABS(Q3150-01_因子設定!$B$16))),-1E+030)</f>
        <v>46.4946448863637</v>
      </c>
      <c r="Y3150" s="55" t="n">
        <f aca="false">W3150+ROW()*0.000000001</f>
        <v>-3.17536487939473</v>
      </c>
      <c r="Z3150" s="55" t="n">
        <f aca="false">X3150+ROW()*0.000000001</f>
        <v>46.4946480363637</v>
      </c>
    </row>
    <row r="3151" customFormat="false" ht="15" hidden="false" customHeight="false" outlineLevel="0" collapsed="false">
      <c r="A3151" s="0" t="n">
        <v>10</v>
      </c>
      <c r="B3151" s="0" t="n">
        <v>15</v>
      </c>
      <c r="C3151" s="0" t="n">
        <v>1</v>
      </c>
      <c r="D3151" s="0" t="n">
        <f aca="false">-1+A3151*0.125</f>
        <v>0.25</v>
      </c>
      <c r="E3151" s="0" t="n">
        <f aca="false">-1+B3151*0.125</f>
        <v>0.875</v>
      </c>
      <c r="F3151" s="0" t="n">
        <f aca="false">-1+C3151*0.125</f>
        <v>-0.875</v>
      </c>
      <c r="G3151" s="0" t="n">
        <f aca="false">1</f>
        <v>1</v>
      </c>
      <c r="H3151" s="0" t="n">
        <f aca="false">D3151</f>
        <v>0.25</v>
      </c>
      <c r="I3151" s="0" t="n">
        <f aca="false">E3151</f>
        <v>0.875</v>
      </c>
      <c r="J3151" s="0" t="n">
        <f aca="false">F3151</f>
        <v>-0.875</v>
      </c>
      <c r="K3151" s="0" t="n">
        <f aca="false">D3151*E3151</f>
        <v>0.21875</v>
      </c>
      <c r="L3151" s="0" t="n">
        <f aca="false">D3151*F3151</f>
        <v>-0.21875</v>
      </c>
      <c r="M3151" s="0" t="n">
        <f aca="false">E3151*F3151</f>
        <v>-0.765625</v>
      </c>
      <c r="N3151" s="0" t="n">
        <f aca="false">D3151*D3151</f>
        <v>0.0625</v>
      </c>
      <c r="O3151" s="0" t="n">
        <f aca="false">E3151*E3151</f>
        <v>0.765625</v>
      </c>
      <c r="P3151" s="0" t="n">
        <f aca="false">F3151*F3151</f>
        <v>0.765625</v>
      </c>
      <c r="Q3151" s="0" t="n">
        <f aca="false">SUMPRODUCT(G3151:P3151,_XtX!$B$71:$K$71)</f>
        <v>46.9875994318182</v>
      </c>
      <c r="R3151" s="0" t="n">
        <f aca="false">SUMPRODUCT(MMULT(G3151:P3151,_XtX!$B$58:$K$67),G3151:P3151)</f>
        <v>0.459671852805398</v>
      </c>
      <c r="S3151" s="0" t="n">
        <f aca="false">04_回帰ANOVA!$K$19*04_回帰ANOVA!$K$14*SQRT(1+R3151)</f>
        <v>1.12329610455115</v>
      </c>
      <c r="T3151" s="0" t="n">
        <f aca="false">Q3151-S3151</f>
        <v>45.8643033272671</v>
      </c>
      <c r="U3151" s="0" t="n">
        <f aca="false">Q3151+S3151</f>
        <v>48.1108955363694</v>
      </c>
      <c r="V3151" s="54" t="b">
        <f aca="false">AND(D3151&gt;=01_因子設定!$L$5-0.000000001,D3151&lt;=01_因子設定!$M$5+0.000000001,E3151&gt;=01_因子設定!$L$6-0.000000001,E3151&lt;=01_因子設定!$M$6+0.000000001,F3151&gt;=01_因子設定!$L$7-0.000000001,F3151&lt;=01_因子設定!$M$7+0.000000001,IF(01_因子設定!$B$20="Box-Behnken",D3151^2+E3151^2+F3151^2&lt;=2+0.000000001,TRUE()))</f>
        <v>1</v>
      </c>
      <c r="W3151" s="55" t="n">
        <f aca="false">IF(V3151,IF(01_因子設定!$B$13="最大化",T3151-01_因子設定!$B$14,IF(01_因子設定!$B$13="最小化",01_因子設定!$B$15-U3151,MIN(T3151-01_因子設定!$B$14,01_因子設定!$B$15-U3151))),-1E+030)</f>
        <v>-2.63569667273295</v>
      </c>
      <c r="X3151" s="55" t="n">
        <f aca="false">IF(V3151,IF(01_因子設定!$B$13="最大化",Q3151,IF(01_因子設定!$B$13="最小化",-Q3151,-ABS(Q3151-01_因子設定!$B$16))),-1E+030)</f>
        <v>46.9875994318182</v>
      </c>
      <c r="Y3151" s="55" t="n">
        <f aca="false">W3151+ROW()*0.000000001</f>
        <v>-2.63569352173295</v>
      </c>
      <c r="Z3151" s="55" t="n">
        <f aca="false">X3151+ROW()*0.000000001</f>
        <v>46.9876025828182</v>
      </c>
    </row>
    <row r="3152" customFormat="false" ht="15" hidden="false" customHeight="false" outlineLevel="0" collapsed="false">
      <c r="A3152" s="0" t="n">
        <v>10</v>
      </c>
      <c r="B3152" s="0" t="n">
        <v>15</v>
      </c>
      <c r="C3152" s="0" t="n">
        <v>2</v>
      </c>
      <c r="D3152" s="0" t="n">
        <f aca="false">-1+A3152*0.125</f>
        <v>0.25</v>
      </c>
      <c r="E3152" s="0" t="n">
        <f aca="false">-1+B3152*0.125</f>
        <v>0.875</v>
      </c>
      <c r="F3152" s="0" t="n">
        <f aca="false">-1+C3152*0.125</f>
        <v>-0.75</v>
      </c>
      <c r="G3152" s="0" t="n">
        <f aca="false">1</f>
        <v>1</v>
      </c>
      <c r="H3152" s="0" t="n">
        <f aca="false">D3152</f>
        <v>0.25</v>
      </c>
      <c r="I3152" s="0" t="n">
        <f aca="false">E3152</f>
        <v>0.875</v>
      </c>
      <c r="J3152" s="0" t="n">
        <f aca="false">F3152</f>
        <v>-0.75</v>
      </c>
      <c r="K3152" s="0" t="n">
        <f aca="false">D3152*E3152</f>
        <v>0.21875</v>
      </c>
      <c r="L3152" s="0" t="n">
        <f aca="false">D3152*F3152</f>
        <v>-0.1875</v>
      </c>
      <c r="M3152" s="0" t="n">
        <f aca="false">E3152*F3152</f>
        <v>-0.65625</v>
      </c>
      <c r="N3152" s="0" t="n">
        <f aca="false">D3152*D3152</f>
        <v>0.0625</v>
      </c>
      <c r="O3152" s="0" t="n">
        <f aca="false">E3152*E3152</f>
        <v>0.765625</v>
      </c>
      <c r="P3152" s="0" t="n">
        <f aca="false">F3152*F3152</f>
        <v>0.5625</v>
      </c>
      <c r="Q3152" s="0" t="n">
        <f aca="false">SUMPRODUCT(G3152:P3152,_XtX!$B$71:$K$71)</f>
        <v>47.4437642045455</v>
      </c>
      <c r="R3152" s="0" t="n">
        <f aca="false">SUMPRODUCT(MMULT(G3152:P3152,_XtX!$B$58:$K$67),G3152:P3152)</f>
        <v>0.384574751420455</v>
      </c>
      <c r="S3152" s="0" t="n">
        <f aca="false">04_回帰ANOVA!$K$19*04_回帰ANOVA!$K$14*SQRT(1+R3152)</f>
        <v>1.0940189380139</v>
      </c>
      <c r="T3152" s="0" t="n">
        <f aca="false">Q3152-S3152</f>
        <v>46.3497452665316</v>
      </c>
      <c r="U3152" s="0" t="n">
        <f aca="false">Q3152+S3152</f>
        <v>48.5377831425594</v>
      </c>
      <c r="V3152" s="54" t="b">
        <f aca="false">AND(D3152&gt;=01_因子設定!$L$5-0.000000001,D3152&lt;=01_因子設定!$M$5+0.000000001,E3152&gt;=01_因子設定!$L$6-0.000000001,E3152&lt;=01_因子設定!$M$6+0.000000001,F3152&gt;=01_因子設定!$L$7-0.000000001,F3152&lt;=01_因子設定!$M$7+0.000000001,IF(01_因子設定!$B$20="Box-Behnken",D3152^2+E3152^2+F3152^2&lt;=2+0.000000001,TRUE()))</f>
        <v>1</v>
      </c>
      <c r="W3152" s="55" t="n">
        <f aca="false">IF(V3152,IF(01_因子設定!$B$13="最大化",T3152-01_因子設定!$B$14,IF(01_因子設定!$B$13="最小化",01_因子設定!$B$15-U3152,MIN(T3152-01_因子設定!$B$14,01_因子設定!$B$15-U3152))),-1E+030)</f>
        <v>-2.15025473346843</v>
      </c>
      <c r="X3152" s="55" t="n">
        <f aca="false">IF(V3152,IF(01_因子設定!$B$13="最大化",Q3152,IF(01_因子設定!$B$13="最小化",-Q3152,-ABS(Q3152-01_因子設定!$B$16))),-1E+030)</f>
        <v>47.4437642045455</v>
      </c>
      <c r="Y3152" s="55" t="n">
        <f aca="false">W3152+ROW()*0.000000001</f>
        <v>-2.15025158146843</v>
      </c>
      <c r="Z3152" s="55" t="n">
        <f aca="false">X3152+ROW()*0.000000001</f>
        <v>47.4437673565455</v>
      </c>
    </row>
    <row r="3153" customFormat="false" ht="15" hidden="false" customHeight="false" outlineLevel="0" collapsed="false">
      <c r="A3153" s="0" t="n">
        <v>10</v>
      </c>
      <c r="B3153" s="0" t="n">
        <v>15</v>
      </c>
      <c r="C3153" s="0" t="n">
        <v>3</v>
      </c>
      <c r="D3153" s="0" t="n">
        <f aca="false">-1+A3153*0.125</f>
        <v>0.25</v>
      </c>
      <c r="E3153" s="0" t="n">
        <f aca="false">-1+B3153*0.125</f>
        <v>0.875</v>
      </c>
      <c r="F3153" s="0" t="n">
        <f aca="false">-1+C3153*0.125</f>
        <v>-0.625</v>
      </c>
      <c r="G3153" s="0" t="n">
        <f aca="false">1</f>
        <v>1</v>
      </c>
      <c r="H3153" s="0" t="n">
        <f aca="false">D3153</f>
        <v>0.25</v>
      </c>
      <c r="I3153" s="0" t="n">
        <f aca="false">E3153</f>
        <v>0.875</v>
      </c>
      <c r="J3153" s="0" t="n">
        <f aca="false">F3153</f>
        <v>-0.625</v>
      </c>
      <c r="K3153" s="0" t="n">
        <f aca="false">D3153*E3153</f>
        <v>0.21875</v>
      </c>
      <c r="L3153" s="0" t="n">
        <f aca="false">D3153*F3153</f>
        <v>-0.15625</v>
      </c>
      <c r="M3153" s="0" t="n">
        <f aca="false">E3153*F3153</f>
        <v>-0.546875</v>
      </c>
      <c r="N3153" s="0" t="n">
        <f aca="false">D3153*D3153</f>
        <v>0.0625</v>
      </c>
      <c r="O3153" s="0" t="n">
        <f aca="false">E3153*E3153</f>
        <v>0.765625</v>
      </c>
      <c r="P3153" s="0" t="n">
        <f aca="false">F3153*F3153</f>
        <v>0.390625</v>
      </c>
      <c r="Q3153" s="0" t="n">
        <f aca="false">SUMPRODUCT(G3153:P3153,_XtX!$B$71:$K$71)</f>
        <v>47.8631392045455</v>
      </c>
      <c r="R3153" s="0" t="n">
        <f aca="false">SUMPRODUCT(MMULT(G3153:P3153,_XtX!$B$58:$K$67),G3153:P3153)</f>
        <v>0.34446855024858</v>
      </c>
      <c r="S3153" s="0" t="n">
        <f aca="false">04_回帰ANOVA!$K$19*04_回帰ANOVA!$K$14*SQRT(1+R3153)</f>
        <v>1.07805758590432</v>
      </c>
      <c r="T3153" s="0" t="n">
        <f aca="false">Q3153-S3153</f>
        <v>46.7850816186412</v>
      </c>
      <c r="U3153" s="0" t="n">
        <f aca="false">Q3153+S3153</f>
        <v>48.9411967904498</v>
      </c>
      <c r="V3153" s="54" t="b">
        <f aca="false">AND(D3153&gt;=01_因子設定!$L$5-0.000000001,D3153&lt;=01_因子設定!$M$5+0.000000001,E3153&gt;=01_因子設定!$L$6-0.000000001,E3153&lt;=01_因子設定!$M$6+0.000000001,F3153&gt;=01_因子設定!$L$7-0.000000001,F3153&lt;=01_因子設定!$M$7+0.000000001,IF(01_因子設定!$B$20="Box-Behnken",D3153^2+E3153^2+F3153^2&lt;=2+0.000000001,TRUE()))</f>
        <v>1</v>
      </c>
      <c r="W3153" s="55" t="n">
        <f aca="false">IF(V3153,IF(01_因子設定!$B$13="最大化",T3153-01_因子設定!$B$14,IF(01_因子設定!$B$13="最小化",01_因子設定!$B$15-U3153,MIN(T3153-01_因子設定!$B$14,01_因子設定!$B$15-U3153))),-1E+030)</f>
        <v>-1.71491838135885</v>
      </c>
      <c r="X3153" s="55" t="n">
        <f aca="false">IF(V3153,IF(01_因子設定!$B$13="最大化",Q3153,IF(01_因子設定!$B$13="最小化",-Q3153,-ABS(Q3153-01_因子設定!$B$16))),-1E+030)</f>
        <v>47.8631392045455</v>
      </c>
      <c r="Y3153" s="55" t="n">
        <f aca="false">W3153+ROW()*0.000000001</f>
        <v>-1.71491522835885</v>
      </c>
      <c r="Z3153" s="55" t="n">
        <f aca="false">X3153+ROW()*0.000000001</f>
        <v>47.8631423575455</v>
      </c>
    </row>
    <row r="3154" customFormat="false" ht="15" hidden="false" customHeight="false" outlineLevel="0" collapsed="false">
      <c r="A3154" s="0" t="n">
        <v>10</v>
      </c>
      <c r="B3154" s="0" t="n">
        <v>15</v>
      </c>
      <c r="C3154" s="0" t="n">
        <v>4</v>
      </c>
      <c r="D3154" s="0" t="n">
        <f aca="false">-1+A3154*0.125</f>
        <v>0.25</v>
      </c>
      <c r="E3154" s="0" t="n">
        <f aca="false">-1+B3154*0.125</f>
        <v>0.875</v>
      </c>
      <c r="F3154" s="0" t="n">
        <f aca="false">-1+C3154*0.125</f>
        <v>-0.5</v>
      </c>
      <c r="G3154" s="0" t="n">
        <f aca="false">1</f>
        <v>1</v>
      </c>
      <c r="H3154" s="0" t="n">
        <f aca="false">D3154</f>
        <v>0.25</v>
      </c>
      <c r="I3154" s="0" t="n">
        <f aca="false">E3154</f>
        <v>0.875</v>
      </c>
      <c r="J3154" s="0" t="n">
        <f aca="false">F3154</f>
        <v>-0.5</v>
      </c>
      <c r="K3154" s="0" t="n">
        <f aca="false">D3154*E3154</f>
        <v>0.21875</v>
      </c>
      <c r="L3154" s="0" t="n">
        <f aca="false">D3154*F3154</f>
        <v>-0.125</v>
      </c>
      <c r="M3154" s="0" t="n">
        <f aca="false">E3154*F3154</f>
        <v>-0.4375</v>
      </c>
      <c r="N3154" s="0" t="n">
        <f aca="false">D3154*D3154</f>
        <v>0.0625</v>
      </c>
      <c r="O3154" s="0" t="n">
        <f aca="false">E3154*E3154</f>
        <v>0.765625</v>
      </c>
      <c r="P3154" s="0" t="n">
        <f aca="false">F3154*F3154</f>
        <v>0.25</v>
      </c>
      <c r="Q3154" s="0" t="n">
        <f aca="false">SUMPRODUCT(G3154:P3154,_XtX!$B$71:$K$71)</f>
        <v>48.2457244318182</v>
      </c>
      <c r="R3154" s="0" t="n">
        <f aca="false">SUMPRODUCT(MMULT(G3154:P3154,_XtX!$B$58:$K$67),G3154:P3154)</f>
        <v>0.327634499289773</v>
      </c>
      <c r="S3154" s="0" t="n">
        <f aca="false">04_回帰ANOVA!$K$19*04_回帰ANOVA!$K$14*SQRT(1+R3154)</f>
        <v>1.07128716250217</v>
      </c>
      <c r="T3154" s="0" t="n">
        <f aca="false">Q3154-S3154</f>
        <v>47.174437269316</v>
      </c>
      <c r="U3154" s="0" t="n">
        <f aca="false">Q3154+S3154</f>
        <v>49.3170115943204</v>
      </c>
      <c r="V3154" s="54" t="b">
        <f aca="false">AND(D3154&gt;=01_因子設定!$L$5-0.000000001,D3154&lt;=01_因子設定!$M$5+0.000000001,E3154&gt;=01_因子設定!$L$6-0.000000001,E3154&lt;=01_因子設定!$M$6+0.000000001,F3154&gt;=01_因子設定!$L$7-0.000000001,F3154&lt;=01_因子設定!$M$7+0.000000001,IF(01_因子設定!$B$20="Box-Behnken",D3154^2+E3154^2+F3154^2&lt;=2+0.000000001,TRUE()))</f>
        <v>1</v>
      </c>
      <c r="W3154" s="55" t="n">
        <f aca="false">IF(V3154,IF(01_因子設定!$B$13="最大化",T3154-01_因子設定!$B$14,IF(01_因子設定!$B$13="最小化",01_因子設定!$B$15-U3154,MIN(T3154-01_因子設定!$B$14,01_因子設定!$B$15-U3154))),-1E+030)</f>
        <v>-1.32556273068398</v>
      </c>
      <c r="X3154" s="55" t="n">
        <f aca="false">IF(V3154,IF(01_因子設定!$B$13="最大化",Q3154,IF(01_因子設定!$B$13="最小化",-Q3154,-ABS(Q3154-01_因子設定!$B$16))),-1E+030)</f>
        <v>48.2457244318182</v>
      </c>
      <c r="Y3154" s="55" t="n">
        <f aca="false">W3154+ROW()*0.000000001</f>
        <v>-1.32555957668398</v>
      </c>
      <c r="Z3154" s="55" t="n">
        <f aca="false">X3154+ROW()*0.000000001</f>
        <v>48.2457275858182</v>
      </c>
    </row>
    <row r="3155" customFormat="false" ht="15" hidden="false" customHeight="false" outlineLevel="0" collapsed="false">
      <c r="A3155" s="0" t="n">
        <v>10</v>
      </c>
      <c r="B3155" s="0" t="n">
        <v>15</v>
      </c>
      <c r="C3155" s="0" t="n">
        <v>5</v>
      </c>
      <c r="D3155" s="0" t="n">
        <f aca="false">-1+A3155*0.125</f>
        <v>0.25</v>
      </c>
      <c r="E3155" s="0" t="n">
        <f aca="false">-1+B3155*0.125</f>
        <v>0.875</v>
      </c>
      <c r="F3155" s="0" t="n">
        <f aca="false">-1+C3155*0.125</f>
        <v>-0.375</v>
      </c>
      <c r="G3155" s="0" t="n">
        <f aca="false">1</f>
        <v>1</v>
      </c>
      <c r="H3155" s="0" t="n">
        <f aca="false">D3155</f>
        <v>0.25</v>
      </c>
      <c r="I3155" s="0" t="n">
        <f aca="false">E3155</f>
        <v>0.875</v>
      </c>
      <c r="J3155" s="0" t="n">
        <f aca="false">F3155</f>
        <v>-0.375</v>
      </c>
      <c r="K3155" s="0" t="n">
        <f aca="false">D3155*E3155</f>
        <v>0.21875</v>
      </c>
      <c r="L3155" s="0" t="n">
        <f aca="false">D3155*F3155</f>
        <v>-0.09375</v>
      </c>
      <c r="M3155" s="0" t="n">
        <f aca="false">E3155*F3155</f>
        <v>-0.328125</v>
      </c>
      <c r="N3155" s="0" t="n">
        <f aca="false">D3155*D3155</f>
        <v>0.0625</v>
      </c>
      <c r="O3155" s="0" t="n">
        <f aca="false">E3155*E3155</f>
        <v>0.765625</v>
      </c>
      <c r="P3155" s="0" t="n">
        <f aca="false">F3155*F3155</f>
        <v>0.140625</v>
      </c>
      <c r="Q3155" s="0" t="n">
        <f aca="false">SUMPRODUCT(G3155:P3155,_XtX!$B$71:$K$71)</f>
        <v>48.5915198863637</v>
      </c>
      <c r="R3155" s="0" t="n">
        <f aca="false">SUMPRODUCT(MMULT(G3155:P3155,_XtX!$B$58:$K$67),G3155:P3155)</f>
        <v>0.324484530362216</v>
      </c>
      <c r="S3155" s="0" t="n">
        <f aca="false">04_回帰ANOVA!$K$19*04_回帰ANOVA!$K$14*SQRT(1+R3155)</f>
        <v>1.07001553041279</v>
      </c>
      <c r="T3155" s="0" t="n">
        <f aca="false">Q3155-S3155</f>
        <v>47.5215043559509</v>
      </c>
      <c r="U3155" s="0" t="n">
        <f aca="false">Q3155+S3155</f>
        <v>49.6615354167764</v>
      </c>
      <c r="V3155" s="54" t="b">
        <f aca="false">AND(D3155&gt;=01_因子設定!$L$5-0.000000001,D3155&lt;=01_因子設定!$M$5+0.000000001,E3155&gt;=01_因子設定!$L$6-0.000000001,E3155&lt;=01_因子設定!$M$6+0.000000001,F3155&gt;=01_因子設定!$L$7-0.000000001,F3155&lt;=01_因子設定!$M$7+0.000000001,IF(01_因子設定!$B$20="Box-Behnken",D3155^2+E3155^2+F3155^2&lt;=2+0.000000001,TRUE()))</f>
        <v>1</v>
      </c>
      <c r="W3155" s="55" t="n">
        <f aca="false">IF(V3155,IF(01_因子設定!$B$13="最大化",T3155-01_因子設定!$B$14,IF(01_因子設定!$B$13="最小化",01_因子設定!$B$15-U3155,MIN(T3155-01_因子設定!$B$14,01_因子設定!$B$15-U3155))),-1E+030)</f>
        <v>-0.97849564404914</v>
      </c>
      <c r="X3155" s="55" t="n">
        <f aca="false">IF(V3155,IF(01_因子設定!$B$13="最大化",Q3155,IF(01_因子設定!$B$13="最小化",-Q3155,-ABS(Q3155-01_因子設定!$B$16))),-1E+030)</f>
        <v>48.5915198863637</v>
      </c>
      <c r="Y3155" s="55" t="n">
        <f aca="false">W3155+ROW()*0.000000001</f>
        <v>-0.97849248904914</v>
      </c>
      <c r="Z3155" s="55" t="n">
        <f aca="false">X3155+ROW()*0.000000001</f>
        <v>48.5915230413637</v>
      </c>
    </row>
    <row r="3156" customFormat="false" ht="15" hidden="false" customHeight="false" outlineLevel="0" collapsed="false">
      <c r="A3156" s="0" t="n">
        <v>10</v>
      </c>
      <c r="B3156" s="0" t="n">
        <v>15</v>
      </c>
      <c r="C3156" s="0" t="n">
        <v>6</v>
      </c>
      <c r="D3156" s="0" t="n">
        <f aca="false">-1+A3156*0.125</f>
        <v>0.25</v>
      </c>
      <c r="E3156" s="0" t="n">
        <f aca="false">-1+B3156*0.125</f>
        <v>0.875</v>
      </c>
      <c r="F3156" s="0" t="n">
        <f aca="false">-1+C3156*0.125</f>
        <v>-0.25</v>
      </c>
      <c r="G3156" s="0" t="n">
        <f aca="false">1</f>
        <v>1</v>
      </c>
      <c r="H3156" s="0" t="n">
        <f aca="false">D3156</f>
        <v>0.25</v>
      </c>
      <c r="I3156" s="0" t="n">
        <f aca="false">E3156</f>
        <v>0.875</v>
      </c>
      <c r="J3156" s="0" t="n">
        <f aca="false">F3156</f>
        <v>-0.25</v>
      </c>
      <c r="K3156" s="0" t="n">
        <f aca="false">D3156*E3156</f>
        <v>0.21875</v>
      </c>
      <c r="L3156" s="0" t="n">
        <f aca="false">D3156*F3156</f>
        <v>-0.0625</v>
      </c>
      <c r="M3156" s="0" t="n">
        <f aca="false">E3156*F3156</f>
        <v>-0.21875</v>
      </c>
      <c r="N3156" s="0" t="n">
        <f aca="false">D3156*D3156</f>
        <v>0.0625</v>
      </c>
      <c r="O3156" s="0" t="n">
        <f aca="false">E3156*E3156</f>
        <v>0.765625</v>
      </c>
      <c r="P3156" s="0" t="n">
        <f aca="false">F3156*F3156</f>
        <v>0.0625</v>
      </c>
      <c r="Q3156" s="0" t="n">
        <f aca="false">SUMPRODUCT(G3156:P3156,_XtX!$B$71:$K$71)</f>
        <v>48.9005255681818</v>
      </c>
      <c r="R3156" s="0" t="n">
        <f aca="false">SUMPRODUCT(MMULT(G3156:P3156,_XtX!$B$58:$K$67),G3156:P3156)</f>
        <v>0.327561257102273</v>
      </c>
      <c r="S3156" s="0" t="n">
        <f aca="false">04_回帰ANOVA!$K$19*04_回帰ANOVA!$K$14*SQRT(1+R3156)</f>
        <v>1.07125761201315</v>
      </c>
      <c r="T3156" s="0" t="n">
        <f aca="false">Q3156-S3156</f>
        <v>47.8292679561687</v>
      </c>
      <c r="U3156" s="0" t="n">
        <f aca="false">Q3156+S3156</f>
        <v>49.971783180195</v>
      </c>
      <c r="V3156" s="54" t="b">
        <f aca="false">AND(D3156&gt;=01_因子設定!$L$5-0.000000001,D3156&lt;=01_因子設定!$M$5+0.000000001,E3156&gt;=01_因子設定!$L$6-0.000000001,E3156&lt;=01_因子設定!$M$6+0.000000001,F3156&gt;=01_因子設定!$L$7-0.000000001,F3156&lt;=01_因子設定!$M$7+0.000000001,IF(01_因子設定!$B$20="Box-Behnken",D3156^2+E3156^2+F3156^2&lt;=2+0.000000001,TRUE()))</f>
        <v>1</v>
      </c>
      <c r="W3156" s="55" t="n">
        <f aca="false">IF(V3156,IF(01_因子設定!$B$13="最大化",T3156-01_因子設定!$B$14,IF(01_因子設定!$B$13="最小化",01_因子設定!$B$15-U3156,MIN(T3156-01_因子設定!$B$14,01_因子設定!$B$15-U3156))),-1E+030)</f>
        <v>-0.670732043831322</v>
      </c>
      <c r="X3156" s="55" t="n">
        <f aca="false">IF(V3156,IF(01_因子設定!$B$13="最大化",Q3156,IF(01_因子設定!$B$13="最小化",-Q3156,-ABS(Q3156-01_因子設定!$B$16))),-1E+030)</f>
        <v>48.9005255681818</v>
      </c>
      <c r="Y3156" s="55" t="n">
        <f aca="false">W3156+ROW()*0.000000001</f>
        <v>-0.670728887831322</v>
      </c>
      <c r="Z3156" s="55" t="n">
        <f aca="false">X3156+ROW()*0.000000001</f>
        <v>48.9005287241818</v>
      </c>
    </row>
    <row r="3157" customFormat="false" ht="15" hidden="false" customHeight="false" outlineLevel="0" collapsed="false">
      <c r="A3157" s="0" t="n">
        <v>10</v>
      </c>
      <c r="B3157" s="0" t="n">
        <v>15</v>
      </c>
      <c r="C3157" s="0" t="n">
        <v>7</v>
      </c>
      <c r="D3157" s="0" t="n">
        <f aca="false">-1+A3157*0.125</f>
        <v>0.25</v>
      </c>
      <c r="E3157" s="0" t="n">
        <f aca="false">-1+B3157*0.125</f>
        <v>0.875</v>
      </c>
      <c r="F3157" s="0" t="n">
        <f aca="false">-1+C3157*0.125</f>
        <v>-0.125</v>
      </c>
      <c r="G3157" s="0" t="n">
        <f aca="false">1</f>
        <v>1</v>
      </c>
      <c r="H3157" s="0" t="n">
        <f aca="false">D3157</f>
        <v>0.25</v>
      </c>
      <c r="I3157" s="0" t="n">
        <f aca="false">E3157</f>
        <v>0.875</v>
      </c>
      <c r="J3157" s="0" t="n">
        <f aca="false">F3157</f>
        <v>-0.125</v>
      </c>
      <c r="K3157" s="0" t="n">
        <f aca="false">D3157*E3157</f>
        <v>0.21875</v>
      </c>
      <c r="L3157" s="0" t="n">
        <f aca="false">D3157*F3157</f>
        <v>-0.03125</v>
      </c>
      <c r="M3157" s="0" t="n">
        <f aca="false">E3157*F3157</f>
        <v>-0.109375</v>
      </c>
      <c r="N3157" s="0" t="n">
        <f aca="false">D3157*D3157</f>
        <v>0.0625</v>
      </c>
      <c r="O3157" s="0" t="n">
        <f aca="false">E3157*E3157</f>
        <v>0.765625</v>
      </c>
      <c r="P3157" s="0" t="n">
        <f aca="false">F3157*F3157</f>
        <v>0.015625</v>
      </c>
      <c r="Q3157" s="0" t="n">
        <f aca="false">SUMPRODUCT(G3157:P3157,_XtX!$B$71:$K$71)</f>
        <v>49.1727414772727</v>
      </c>
      <c r="R3157" s="0" t="n">
        <f aca="false">SUMPRODUCT(MMULT(G3157:P3157,_XtX!$B$58:$K$67),G3157:P3157)</f>
        <v>0.331537974964489</v>
      </c>
      <c r="S3157" s="0" t="n">
        <f aca="false">04_回帰ANOVA!$K$19*04_回帰ANOVA!$K$14*SQRT(1+R3157)</f>
        <v>1.07286089161565</v>
      </c>
      <c r="T3157" s="0" t="n">
        <f aca="false">Q3157-S3157</f>
        <v>48.0998805856571</v>
      </c>
      <c r="U3157" s="0" t="n">
        <f aca="false">Q3157+S3157</f>
        <v>50.2456023688884</v>
      </c>
      <c r="V3157" s="54" t="b">
        <f aca="false">AND(D3157&gt;=01_因子設定!$L$5-0.000000001,D3157&lt;=01_因子設定!$M$5+0.000000001,E3157&gt;=01_因子設定!$L$6-0.000000001,E3157&lt;=01_因子設定!$M$6+0.000000001,F3157&gt;=01_因子設定!$L$7-0.000000001,F3157&lt;=01_因子設定!$M$7+0.000000001,IF(01_因子設定!$B$20="Box-Behnken",D3157^2+E3157^2+F3157^2&lt;=2+0.000000001,TRUE()))</f>
        <v>1</v>
      </c>
      <c r="W3157" s="55" t="n">
        <f aca="false">IF(V3157,IF(01_因子設定!$B$13="最大化",T3157-01_因子設定!$B$14,IF(01_因子設定!$B$13="最小化",01_因子設定!$B$15-U3157,MIN(T3157-01_因子設定!$B$14,01_因子設定!$B$15-U3157))),-1E+030)</f>
        <v>-0.400119414342917</v>
      </c>
      <c r="X3157" s="55" t="n">
        <f aca="false">IF(V3157,IF(01_因子設定!$B$13="最大化",Q3157,IF(01_因子設定!$B$13="最小化",-Q3157,-ABS(Q3157-01_因子設定!$B$16))),-1E+030)</f>
        <v>49.1727414772727</v>
      </c>
      <c r="Y3157" s="55" t="n">
        <f aca="false">W3157+ROW()*0.000000001</f>
        <v>-0.400116257342917</v>
      </c>
      <c r="Z3157" s="55" t="n">
        <f aca="false">X3157+ROW()*0.000000001</f>
        <v>49.1727446342727</v>
      </c>
    </row>
    <row r="3158" customFormat="false" ht="15" hidden="false" customHeight="false" outlineLevel="0" collapsed="false">
      <c r="A3158" s="0" t="n">
        <v>10</v>
      </c>
      <c r="B3158" s="0" t="n">
        <v>15</v>
      </c>
      <c r="C3158" s="0" t="n">
        <v>8</v>
      </c>
      <c r="D3158" s="0" t="n">
        <f aca="false">-1+A3158*0.125</f>
        <v>0.25</v>
      </c>
      <c r="E3158" s="0" t="n">
        <f aca="false">-1+B3158*0.125</f>
        <v>0.875</v>
      </c>
      <c r="F3158" s="0" t="n">
        <f aca="false">-1+C3158*0.125</f>
        <v>0</v>
      </c>
      <c r="G3158" s="0" t="n">
        <f aca="false">1</f>
        <v>1</v>
      </c>
      <c r="H3158" s="0" t="n">
        <f aca="false">D3158</f>
        <v>0.25</v>
      </c>
      <c r="I3158" s="0" t="n">
        <f aca="false">E3158</f>
        <v>0.875</v>
      </c>
      <c r="J3158" s="0" t="n">
        <f aca="false">F3158</f>
        <v>0</v>
      </c>
      <c r="K3158" s="0" t="n">
        <f aca="false">D3158*E3158</f>
        <v>0.21875</v>
      </c>
      <c r="L3158" s="0" t="n">
        <f aca="false">D3158*F3158</f>
        <v>0</v>
      </c>
      <c r="M3158" s="0" t="n">
        <f aca="false">E3158*F3158</f>
        <v>0</v>
      </c>
      <c r="N3158" s="0" t="n">
        <f aca="false">D3158*D3158</f>
        <v>0.0625</v>
      </c>
      <c r="O3158" s="0" t="n">
        <f aca="false">E3158*E3158</f>
        <v>0.765625</v>
      </c>
      <c r="P3158" s="0" t="n">
        <f aca="false">F3158*F3158</f>
        <v>0</v>
      </c>
      <c r="Q3158" s="0" t="n">
        <f aca="false">SUMPRODUCT(G3158:P3158,_XtX!$B$71:$K$71)</f>
        <v>49.4081676136364</v>
      </c>
      <c r="R3158" s="0" t="n">
        <f aca="false">SUMPRODUCT(MMULT(G3158:P3158,_XtX!$B$58:$K$67),G3158:P3158)</f>
        <v>0.333218661221591</v>
      </c>
      <c r="S3158" s="0" t="n">
        <f aca="false">04_回帰ANOVA!$K$19*04_回帰ANOVA!$K$14*SQRT(1+R3158)</f>
        <v>1.07353776826542</v>
      </c>
      <c r="T3158" s="0" t="n">
        <f aca="false">Q3158-S3158</f>
        <v>48.334629845371</v>
      </c>
      <c r="U3158" s="0" t="n">
        <f aca="false">Q3158+S3158</f>
        <v>50.4817053819018</v>
      </c>
      <c r="V3158" s="54" t="b">
        <f aca="false">AND(D3158&gt;=01_因子設定!$L$5-0.000000001,D3158&lt;=01_因子設定!$M$5+0.000000001,E3158&gt;=01_因子設定!$L$6-0.000000001,E3158&lt;=01_因子設定!$M$6+0.000000001,F3158&gt;=01_因子設定!$L$7-0.000000001,F3158&lt;=01_因子設定!$M$7+0.000000001,IF(01_因子設定!$B$20="Box-Behnken",D3158^2+E3158^2+F3158^2&lt;=2+0.000000001,TRUE()))</f>
        <v>1</v>
      </c>
      <c r="W3158" s="55" t="n">
        <f aca="false">IF(V3158,IF(01_因子設定!$B$13="最大化",T3158-01_因子設定!$B$14,IF(01_因子設定!$B$13="最小化",01_因子設定!$B$15-U3158,MIN(T3158-01_因子設定!$B$14,01_因子設定!$B$15-U3158))),-1E+030)</f>
        <v>-0.165370154629045</v>
      </c>
      <c r="X3158" s="55" t="n">
        <f aca="false">IF(V3158,IF(01_因子設定!$B$13="最大化",Q3158,IF(01_因子設定!$B$13="最小化",-Q3158,-ABS(Q3158-01_因子設定!$B$16))),-1E+030)</f>
        <v>49.4081676136364</v>
      </c>
      <c r="Y3158" s="55" t="n">
        <f aca="false">W3158+ROW()*0.000000001</f>
        <v>-0.165366996629045</v>
      </c>
      <c r="Z3158" s="55" t="n">
        <f aca="false">X3158+ROW()*0.000000001</f>
        <v>49.4081707716364</v>
      </c>
    </row>
    <row r="3159" customFormat="false" ht="15" hidden="false" customHeight="false" outlineLevel="0" collapsed="false">
      <c r="A3159" s="0" t="n">
        <v>10</v>
      </c>
      <c r="B3159" s="0" t="n">
        <v>15</v>
      </c>
      <c r="C3159" s="0" t="n">
        <v>9</v>
      </c>
      <c r="D3159" s="0" t="n">
        <f aca="false">-1+A3159*0.125</f>
        <v>0.25</v>
      </c>
      <c r="E3159" s="0" t="n">
        <f aca="false">-1+B3159*0.125</f>
        <v>0.875</v>
      </c>
      <c r="F3159" s="0" t="n">
        <f aca="false">-1+C3159*0.125</f>
        <v>0.125</v>
      </c>
      <c r="G3159" s="0" t="n">
        <f aca="false">1</f>
        <v>1</v>
      </c>
      <c r="H3159" s="0" t="n">
        <f aca="false">D3159</f>
        <v>0.25</v>
      </c>
      <c r="I3159" s="0" t="n">
        <f aca="false">E3159</f>
        <v>0.875</v>
      </c>
      <c r="J3159" s="0" t="n">
        <f aca="false">F3159</f>
        <v>0.125</v>
      </c>
      <c r="K3159" s="0" t="n">
        <f aca="false">D3159*E3159</f>
        <v>0.21875</v>
      </c>
      <c r="L3159" s="0" t="n">
        <f aca="false">D3159*F3159</f>
        <v>0.03125</v>
      </c>
      <c r="M3159" s="0" t="n">
        <f aca="false">E3159*F3159</f>
        <v>0.109375</v>
      </c>
      <c r="N3159" s="0" t="n">
        <f aca="false">D3159*D3159</f>
        <v>0.0625</v>
      </c>
      <c r="O3159" s="0" t="n">
        <f aca="false">E3159*E3159</f>
        <v>0.765625</v>
      </c>
      <c r="P3159" s="0" t="n">
        <f aca="false">F3159*F3159</f>
        <v>0.015625</v>
      </c>
      <c r="Q3159" s="0" t="n">
        <f aca="false">SUMPRODUCT(G3159:P3159,_XtX!$B$71:$K$71)</f>
        <v>49.6068039772727</v>
      </c>
      <c r="R3159" s="0" t="n">
        <f aca="false">SUMPRODUCT(MMULT(G3159:P3159,_XtX!$B$58:$K$67),G3159:P3159)</f>
        <v>0.331537974964489</v>
      </c>
      <c r="S3159" s="0" t="n">
        <f aca="false">04_回帰ANOVA!$K$19*04_回帰ANOVA!$K$14*SQRT(1+R3159)</f>
        <v>1.07286089161565</v>
      </c>
      <c r="T3159" s="0" t="n">
        <f aca="false">Q3159-S3159</f>
        <v>48.5339430856571</v>
      </c>
      <c r="U3159" s="0" t="n">
        <f aca="false">Q3159+S3159</f>
        <v>50.6796648688884</v>
      </c>
      <c r="V3159" s="54" t="b">
        <f aca="false">AND(D3159&gt;=01_因子設定!$L$5-0.000000001,D3159&lt;=01_因子設定!$M$5+0.000000001,E3159&gt;=01_因子設定!$L$6-0.000000001,E3159&lt;=01_因子設定!$M$6+0.000000001,F3159&gt;=01_因子設定!$L$7-0.000000001,F3159&lt;=01_因子設定!$M$7+0.000000001,IF(01_因子設定!$B$20="Box-Behnken",D3159^2+E3159^2+F3159^2&lt;=2+0.000000001,TRUE()))</f>
        <v>1</v>
      </c>
      <c r="W3159" s="55" t="n">
        <f aca="false">IF(V3159,IF(01_因子設定!$B$13="最大化",T3159-01_因子設定!$B$14,IF(01_因子設定!$B$13="最小化",01_因子設定!$B$15-U3159,MIN(T3159-01_因子設定!$B$14,01_因子設定!$B$15-U3159))),-1E+030)</f>
        <v>0.0339430856570857</v>
      </c>
      <c r="X3159" s="55" t="n">
        <f aca="false">IF(V3159,IF(01_因子設定!$B$13="最大化",Q3159,IF(01_因子設定!$B$13="最小化",-Q3159,-ABS(Q3159-01_因子設定!$B$16))),-1E+030)</f>
        <v>49.6068039772727</v>
      </c>
      <c r="Y3159" s="55" t="n">
        <f aca="false">W3159+ROW()*0.000000001</f>
        <v>0.0339462446570857</v>
      </c>
      <c r="Z3159" s="55" t="n">
        <f aca="false">X3159+ROW()*0.000000001</f>
        <v>49.6068071362727</v>
      </c>
    </row>
    <row r="3160" customFormat="false" ht="15" hidden="false" customHeight="false" outlineLevel="0" collapsed="false">
      <c r="A3160" s="0" t="n">
        <v>10</v>
      </c>
      <c r="B3160" s="0" t="n">
        <v>15</v>
      </c>
      <c r="C3160" s="0" t="n">
        <v>10</v>
      </c>
      <c r="D3160" s="0" t="n">
        <f aca="false">-1+A3160*0.125</f>
        <v>0.25</v>
      </c>
      <c r="E3160" s="0" t="n">
        <f aca="false">-1+B3160*0.125</f>
        <v>0.875</v>
      </c>
      <c r="F3160" s="0" t="n">
        <f aca="false">-1+C3160*0.125</f>
        <v>0.25</v>
      </c>
      <c r="G3160" s="0" t="n">
        <f aca="false">1</f>
        <v>1</v>
      </c>
      <c r="H3160" s="0" t="n">
        <f aca="false">D3160</f>
        <v>0.25</v>
      </c>
      <c r="I3160" s="0" t="n">
        <f aca="false">E3160</f>
        <v>0.875</v>
      </c>
      <c r="J3160" s="0" t="n">
        <f aca="false">F3160</f>
        <v>0.25</v>
      </c>
      <c r="K3160" s="0" t="n">
        <f aca="false">D3160*E3160</f>
        <v>0.21875</v>
      </c>
      <c r="L3160" s="0" t="n">
        <f aca="false">D3160*F3160</f>
        <v>0.0625</v>
      </c>
      <c r="M3160" s="0" t="n">
        <f aca="false">E3160*F3160</f>
        <v>0.21875</v>
      </c>
      <c r="N3160" s="0" t="n">
        <f aca="false">D3160*D3160</f>
        <v>0.0625</v>
      </c>
      <c r="O3160" s="0" t="n">
        <f aca="false">E3160*E3160</f>
        <v>0.765625</v>
      </c>
      <c r="P3160" s="0" t="n">
        <f aca="false">F3160*F3160</f>
        <v>0.0625</v>
      </c>
      <c r="Q3160" s="0" t="n">
        <f aca="false">SUMPRODUCT(G3160:P3160,_XtX!$B$71:$K$71)</f>
        <v>49.7686505681818</v>
      </c>
      <c r="R3160" s="0" t="n">
        <f aca="false">SUMPRODUCT(MMULT(G3160:P3160,_XtX!$B$58:$K$67),G3160:P3160)</f>
        <v>0.327561257102273</v>
      </c>
      <c r="S3160" s="0" t="n">
        <f aca="false">04_回帰ANOVA!$K$19*04_回帰ANOVA!$K$14*SQRT(1+R3160)</f>
        <v>1.07125761201315</v>
      </c>
      <c r="T3160" s="0" t="n">
        <f aca="false">Q3160-S3160</f>
        <v>48.6973929561687</v>
      </c>
      <c r="U3160" s="0" t="n">
        <f aca="false">Q3160+S3160</f>
        <v>50.839908180195</v>
      </c>
      <c r="V3160" s="54" t="b">
        <f aca="false">AND(D3160&gt;=01_因子設定!$L$5-0.000000001,D3160&lt;=01_因子設定!$M$5+0.000000001,E3160&gt;=01_因子設定!$L$6-0.000000001,E3160&lt;=01_因子設定!$M$6+0.000000001,F3160&gt;=01_因子設定!$L$7-0.000000001,F3160&lt;=01_因子設定!$M$7+0.000000001,IF(01_因子設定!$B$20="Box-Behnken",D3160^2+E3160^2+F3160^2&lt;=2+0.000000001,TRUE()))</f>
        <v>1</v>
      </c>
      <c r="W3160" s="55" t="n">
        <f aca="false">IF(V3160,IF(01_因子設定!$B$13="最大化",T3160-01_因子設定!$B$14,IF(01_因子設定!$B$13="最小化",01_因子設定!$B$15-U3160,MIN(T3160-01_因子設定!$B$14,01_因子設定!$B$15-U3160))),-1E+030)</f>
        <v>0.197392956168677</v>
      </c>
      <c r="X3160" s="55" t="n">
        <f aca="false">IF(V3160,IF(01_因子設定!$B$13="最大化",Q3160,IF(01_因子設定!$B$13="最小化",-Q3160,-ABS(Q3160-01_因子設定!$B$16))),-1E+030)</f>
        <v>49.7686505681818</v>
      </c>
      <c r="Y3160" s="55" t="n">
        <f aca="false">W3160+ROW()*0.000000001</f>
        <v>0.197396116168677</v>
      </c>
      <c r="Z3160" s="55" t="n">
        <f aca="false">X3160+ROW()*0.000000001</f>
        <v>49.7686537281818</v>
      </c>
    </row>
    <row r="3161" customFormat="false" ht="15" hidden="false" customHeight="false" outlineLevel="0" collapsed="false">
      <c r="A3161" s="0" t="n">
        <v>10</v>
      </c>
      <c r="B3161" s="0" t="n">
        <v>15</v>
      </c>
      <c r="C3161" s="0" t="n">
        <v>11</v>
      </c>
      <c r="D3161" s="0" t="n">
        <f aca="false">-1+A3161*0.125</f>
        <v>0.25</v>
      </c>
      <c r="E3161" s="0" t="n">
        <f aca="false">-1+B3161*0.125</f>
        <v>0.875</v>
      </c>
      <c r="F3161" s="0" t="n">
        <f aca="false">-1+C3161*0.125</f>
        <v>0.375</v>
      </c>
      <c r="G3161" s="0" t="n">
        <f aca="false">1</f>
        <v>1</v>
      </c>
      <c r="H3161" s="0" t="n">
        <f aca="false">D3161</f>
        <v>0.25</v>
      </c>
      <c r="I3161" s="0" t="n">
        <f aca="false">E3161</f>
        <v>0.875</v>
      </c>
      <c r="J3161" s="0" t="n">
        <f aca="false">F3161</f>
        <v>0.375</v>
      </c>
      <c r="K3161" s="0" t="n">
        <f aca="false">D3161*E3161</f>
        <v>0.21875</v>
      </c>
      <c r="L3161" s="0" t="n">
        <f aca="false">D3161*F3161</f>
        <v>0.09375</v>
      </c>
      <c r="M3161" s="0" t="n">
        <f aca="false">E3161*F3161</f>
        <v>0.328125</v>
      </c>
      <c r="N3161" s="0" t="n">
        <f aca="false">D3161*D3161</f>
        <v>0.0625</v>
      </c>
      <c r="O3161" s="0" t="n">
        <f aca="false">E3161*E3161</f>
        <v>0.765625</v>
      </c>
      <c r="P3161" s="0" t="n">
        <f aca="false">F3161*F3161</f>
        <v>0.140625</v>
      </c>
      <c r="Q3161" s="0" t="n">
        <f aca="false">SUMPRODUCT(G3161:P3161,_XtX!$B$71:$K$71)</f>
        <v>49.8937073863637</v>
      </c>
      <c r="R3161" s="0" t="n">
        <f aca="false">SUMPRODUCT(MMULT(G3161:P3161,_XtX!$B$58:$K$67),G3161:P3161)</f>
        <v>0.324484530362216</v>
      </c>
      <c r="S3161" s="0" t="n">
        <f aca="false">04_回帰ANOVA!$K$19*04_回帰ANOVA!$K$14*SQRT(1+R3161)</f>
        <v>1.07001553041279</v>
      </c>
      <c r="T3161" s="0" t="n">
        <f aca="false">Q3161-S3161</f>
        <v>48.8236918559509</v>
      </c>
      <c r="U3161" s="0" t="n">
        <f aca="false">Q3161+S3161</f>
        <v>50.9637229167764</v>
      </c>
      <c r="V3161" s="54" t="b">
        <f aca="false">AND(D3161&gt;=01_因子設定!$L$5-0.000000001,D3161&lt;=01_因子設定!$M$5+0.000000001,E3161&gt;=01_因子設定!$L$6-0.000000001,E3161&lt;=01_因子設定!$M$6+0.000000001,F3161&gt;=01_因子設定!$L$7-0.000000001,F3161&lt;=01_因子設定!$M$7+0.000000001,IF(01_因子設定!$B$20="Box-Behnken",D3161^2+E3161^2+F3161^2&lt;=2+0.000000001,TRUE()))</f>
        <v>1</v>
      </c>
      <c r="W3161" s="55" t="n">
        <f aca="false">IF(V3161,IF(01_因子設定!$B$13="最大化",T3161-01_因子設定!$B$14,IF(01_因子設定!$B$13="最小化",01_因子設定!$B$15-U3161,MIN(T3161-01_因子設定!$B$14,01_因子設定!$B$15-U3161))),-1E+030)</f>
        <v>0.323691855950862</v>
      </c>
      <c r="X3161" s="55" t="n">
        <f aca="false">IF(V3161,IF(01_因子設定!$B$13="最大化",Q3161,IF(01_因子設定!$B$13="最小化",-Q3161,-ABS(Q3161-01_因子設定!$B$16))),-1E+030)</f>
        <v>49.8937073863637</v>
      </c>
      <c r="Y3161" s="55" t="n">
        <f aca="false">W3161+ROW()*0.000000001</f>
        <v>0.323695016950862</v>
      </c>
      <c r="Z3161" s="55" t="n">
        <f aca="false">X3161+ROW()*0.000000001</f>
        <v>49.8937105473637</v>
      </c>
    </row>
    <row r="3162" customFormat="false" ht="15" hidden="false" customHeight="false" outlineLevel="0" collapsed="false">
      <c r="A3162" s="0" t="n">
        <v>10</v>
      </c>
      <c r="B3162" s="0" t="n">
        <v>15</v>
      </c>
      <c r="C3162" s="0" t="n">
        <v>12</v>
      </c>
      <c r="D3162" s="0" t="n">
        <f aca="false">-1+A3162*0.125</f>
        <v>0.25</v>
      </c>
      <c r="E3162" s="0" t="n">
        <f aca="false">-1+B3162*0.125</f>
        <v>0.875</v>
      </c>
      <c r="F3162" s="0" t="n">
        <f aca="false">-1+C3162*0.125</f>
        <v>0.5</v>
      </c>
      <c r="G3162" s="0" t="n">
        <f aca="false">1</f>
        <v>1</v>
      </c>
      <c r="H3162" s="0" t="n">
        <f aca="false">D3162</f>
        <v>0.25</v>
      </c>
      <c r="I3162" s="0" t="n">
        <f aca="false">E3162</f>
        <v>0.875</v>
      </c>
      <c r="J3162" s="0" t="n">
        <f aca="false">F3162</f>
        <v>0.5</v>
      </c>
      <c r="K3162" s="0" t="n">
        <f aca="false">D3162*E3162</f>
        <v>0.21875</v>
      </c>
      <c r="L3162" s="0" t="n">
        <f aca="false">D3162*F3162</f>
        <v>0.125</v>
      </c>
      <c r="M3162" s="0" t="n">
        <f aca="false">E3162*F3162</f>
        <v>0.4375</v>
      </c>
      <c r="N3162" s="0" t="n">
        <f aca="false">D3162*D3162</f>
        <v>0.0625</v>
      </c>
      <c r="O3162" s="0" t="n">
        <f aca="false">E3162*E3162</f>
        <v>0.765625</v>
      </c>
      <c r="P3162" s="0" t="n">
        <f aca="false">F3162*F3162</f>
        <v>0.25</v>
      </c>
      <c r="Q3162" s="0" t="n">
        <f aca="false">SUMPRODUCT(G3162:P3162,_XtX!$B$71:$K$71)</f>
        <v>49.9819744318182</v>
      </c>
      <c r="R3162" s="0" t="n">
        <f aca="false">SUMPRODUCT(MMULT(G3162:P3162,_XtX!$B$58:$K$67),G3162:P3162)</f>
        <v>0.327634499289773</v>
      </c>
      <c r="S3162" s="0" t="n">
        <f aca="false">04_回帰ANOVA!$K$19*04_回帰ANOVA!$K$14*SQRT(1+R3162)</f>
        <v>1.07128716250217</v>
      </c>
      <c r="T3162" s="0" t="n">
        <f aca="false">Q3162-S3162</f>
        <v>48.910687269316</v>
      </c>
      <c r="U3162" s="0" t="n">
        <f aca="false">Q3162+S3162</f>
        <v>51.0532615943204</v>
      </c>
      <c r="V3162" s="54" t="b">
        <f aca="false">AND(D3162&gt;=01_因子設定!$L$5-0.000000001,D3162&lt;=01_因子設定!$M$5+0.000000001,E3162&gt;=01_因子設定!$L$6-0.000000001,E3162&lt;=01_因子設定!$M$6+0.000000001,F3162&gt;=01_因子設定!$L$7-0.000000001,F3162&lt;=01_因子設定!$M$7+0.000000001,IF(01_因子設定!$B$20="Box-Behnken",D3162^2+E3162^2+F3162^2&lt;=2+0.000000001,TRUE()))</f>
        <v>1</v>
      </c>
      <c r="W3162" s="55" t="n">
        <f aca="false">IF(V3162,IF(01_因子設定!$B$13="最大化",T3162-01_因子設定!$B$14,IF(01_因子設定!$B$13="最小化",01_因子設定!$B$15-U3162,MIN(T3162-01_因子設定!$B$14,01_因子設定!$B$15-U3162))),-1E+030)</f>
        <v>0.410687269316021</v>
      </c>
      <c r="X3162" s="55" t="n">
        <f aca="false">IF(V3162,IF(01_因子設定!$B$13="最大化",Q3162,IF(01_因子設定!$B$13="最小化",-Q3162,-ABS(Q3162-01_因子設定!$B$16))),-1E+030)</f>
        <v>49.9819744318182</v>
      </c>
      <c r="Y3162" s="55" t="n">
        <f aca="false">W3162+ROW()*0.000000001</f>
        <v>0.410690431316021</v>
      </c>
      <c r="Z3162" s="55" t="n">
        <f aca="false">X3162+ROW()*0.000000001</f>
        <v>49.9819775938182</v>
      </c>
    </row>
    <row r="3163" customFormat="false" ht="15" hidden="false" customHeight="false" outlineLevel="0" collapsed="false">
      <c r="A3163" s="0" t="n">
        <v>10</v>
      </c>
      <c r="B3163" s="0" t="n">
        <v>15</v>
      </c>
      <c r="C3163" s="0" t="n">
        <v>13</v>
      </c>
      <c r="D3163" s="0" t="n">
        <f aca="false">-1+A3163*0.125</f>
        <v>0.25</v>
      </c>
      <c r="E3163" s="0" t="n">
        <f aca="false">-1+B3163*0.125</f>
        <v>0.875</v>
      </c>
      <c r="F3163" s="0" t="n">
        <f aca="false">-1+C3163*0.125</f>
        <v>0.625</v>
      </c>
      <c r="G3163" s="0" t="n">
        <f aca="false">1</f>
        <v>1</v>
      </c>
      <c r="H3163" s="0" t="n">
        <f aca="false">D3163</f>
        <v>0.25</v>
      </c>
      <c r="I3163" s="0" t="n">
        <f aca="false">E3163</f>
        <v>0.875</v>
      </c>
      <c r="J3163" s="0" t="n">
        <f aca="false">F3163</f>
        <v>0.625</v>
      </c>
      <c r="K3163" s="0" t="n">
        <f aca="false">D3163*E3163</f>
        <v>0.21875</v>
      </c>
      <c r="L3163" s="0" t="n">
        <f aca="false">D3163*F3163</f>
        <v>0.15625</v>
      </c>
      <c r="M3163" s="0" t="n">
        <f aca="false">E3163*F3163</f>
        <v>0.546875</v>
      </c>
      <c r="N3163" s="0" t="n">
        <f aca="false">D3163*D3163</f>
        <v>0.0625</v>
      </c>
      <c r="O3163" s="0" t="n">
        <f aca="false">E3163*E3163</f>
        <v>0.765625</v>
      </c>
      <c r="P3163" s="0" t="n">
        <f aca="false">F3163*F3163</f>
        <v>0.390625</v>
      </c>
      <c r="Q3163" s="0" t="n">
        <f aca="false">SUMPRODUCT(G3163:P3163,_XtX!$B$71:$K$71)</f>
        <v>50.0334517045455</v>
      </c>
      <c r="R3163" s="0" t="n">
        <f aca="false">SUMPRODUCT(MMULT(G3163:P3163,_XtX!$B$58:$K$67),G3163:P3163)</f>
        <v>0.34446855024858</v>
      </c>
      <c r="S3163" s="0" t="n">
        <f aca="false">04_回帰ANOVA!$K$19*04_回帰ANOVA!$K$14*SQRT(1+R3163)</f>
        <v>1.07805758590432</v>
      </c>
      <c r="T3163" s="0" t="n">
        <f aca="false">Q3163-S3163</f>
        <v>48.9553941186412</v>
      </c>
      <c r="U3163" s="0" t="n">
        <f aca="false">Q3163+S3163</f>
        <v>51.1115092904498</v>
      </c>
      <c r="V3163" s="54" t="b">
        <f aca="false">AND(D3163&gt;=01_因子設定!$L$5-0.000000001,D3163&lt;=01_因子設定!$M$5+0.000000001,E3163&gt;=01_因子設定!$L$6-0.000000001,E3163&lt;=01_因子設定!$M$6+0.000000001,F3163&gt;=01_因子設定!$L$7-0.000000001,F3163&lt;=01_因子設定!$M$7+0.000000001,IF(01_因子設定!$B$20="Box-Behnken",D3163^2+E3163^2+F3163^2&lt;=2+0.000000001,TRUE()))</f>
        <v>1</v>
      </c>
      <c r="W3163" s="55" t="n">
        <f aca="false">IF(V3163,IF(01_因子設定!$B$13="最大化",T3163-01_因子設定!$B$14,IF(01_因子設定!$B$13="最小化",01_因子設定!$B$15-U3163,MIN(T3163-01_因子設定!$B$14,01_因子設定!$B$15-U3163))),-1E+030)</f>
        <v>0.455394118641152</v>
      </c>
      <c r="X3163" s="55" t="n">
        <f aca="false">IF(V3163,IF(01_因子設定!$B$13="最大化",Q3163,IF(01_因子設定!$B$13="最小化",-Q3163,-ABS(Q3163-01_因子設定!$B$16))),-1E+030)</f>
        <v>50.0334517045455</v>
      </c>
      <c r="Y3163" s="55" t="n">
        <f aca="false">W3163+ROW()*0.000000001</f>
        <v>0.455397281641152</v>
      </c>
      <c r="Z3163" s="55" t="n">
        <f aca="false">X3163+ROW()*0.000000001</f>
        <v>50.0334548675455</v>
      </c>
    </row>
    <row r="3164" customFormat="false" ht="15" hidden="false" customHeight="false" outlineLevel="0" collapsed="false">
      <c r="A3164" s="0" t="n">
        <v>10</v>
      </c>
      <c r="B3164" s="0" t="n">
        <v>15</v>
      </c>
      <c r="C3164" s="0" t="n">
        <v>14</v>
      </c>
      <c r="D3164" s="0" t="n">
        <f aca="false">-1+A3164*0.125</f>
        <v>0.25</v>
      </c>
      <c r="E3164" s="0" t="n">
        <f aca="false">-1+B3164*0.125</f>
        <v>0.875</v>
      </c>
      <c r="F3164" s="0" t="n">
        <f aca="false">-1+C3164*0.125</f>
        <v>0.75</v>
      </c>
      <c r="G3164" s="0" t="n">
        <f aca="false">1</f>
        <v>1</v>
      </c>
      <c r="H3164" s="0" t="n">
        <f aca="false">D3164</f>
        <v>0.25</v>
      </c>
      <c r="I3164" s="0" t="n">
        <f aca="false">E3164</f>
        <v>0.875</v>
      </c>
      <c r="J3164" s="0" t="n">
        <f aca="false">F3164</f>
        <v>0.75</v>
      </c>
      <c r="K3164" s="0" t="n">
        <f aca="false">D3164*E3164</f>
        <v>0.21875</v>
      </c>
      <c r="L3164" s="0" t="n">
        <f aca="false">D3164*F3164</f>
        <v>0.1875</v>
      </c>
      <c r="M3164" s="0" t="n">
        <f aca="false">E3164*F3164</f>
        <v>0.65625</v>
      </c>
      <c r="N3164" s="0" t="n">
        <f aca="false">D3164*D3164</f>
        <v>0.0625</v>
      </c>
      <c r="O3164" s="0" t="n">
        <f aca="false">E3164*E3164</f>
        <v>0.765625</v>
      </c>
      <c r="P3164" s="0" t="n">
        <f aca="false">F3164*F3164</f>
        <v>0.5625</v>
      </c>
      <c r="Q3164" s="0" t="n">
        <f aca="false">SUMPRODUCT(G3164:P3164,_XtX!$B$71:$K$71)</f>
        <v>50.0481392045455</v>
      </c>
      <c r="R3164" s="0" t="n">
        <f aca="false">SUMPRODUCT(MMULT(G3164:P3164,_XtX!$B$58:$K$67),G3164:P3164)</f>
        <v>0.384574751420455</v>
      </c>
      <c r="S3164" s="0" t="n">
        <f aca="false">04_回帰ANOVA!$K$19*04_回帰ANOVA!$K$14*SQRT(1+R3164)</f>
        <v>1.0940189380139</v>
      </c>
      <c r="T3164" s="0" t="n">
        <f aca="false">Q3164-S3164</f>
        <v>48.9541202665316</v>
      </c>
      <c r="U3164" s="0" t="n">
        <f aca="false">Q3164+S3164</f>
        <v>51.1421581425594</v>
      </c>
      <c r="V3164" s="54" t="b">
        <f aca="false">AND(D3164&gt;=01_因子設定!$L$5-0.000000001,D3164&lt;=01_因子設定!$M$5+0.000000001,E3164&gt;=01_因子設定!$L$6-0.000000001,E3164&lt;=01_因子設定!$M$6+0.000000001,F3164&gt;=01_因子設定!$L$7-0.000000001,F3164&lt;=01_因子設定!$M$7+0.000000001,IF(01_因子設定!$B$20="Box-Behnken",D3164^2+E3164^2+F3164^2&lt;=2+0.000000001,TRUE()))</f>
        <v>1</v>
      </c>
      <c r="W3164" s="55" t="n">
        <f aca="false">IF(V3164,IF(01_因子設定!$B$13="最大化",T3164-01_因子設定!$B$14,IF(01_因子設定!$B$13="最小化",01_因子設定!$B$15-U3164,MIN(T3164-01_因子設定!$B$14,01_因子設定!$B$15-U3164))),-1E+030)</f>
        <v>0.454120266531575</v>
      </c>
      <c r="X3164" s="55" t="n">
        <f aca="false">IF(V3164,IF(01_因子設定!$B$13="最大化",Q3164,IF(01_因子設定!$B$13="最小化",-Q3164,-ABS(Q3164-01_因子設定!$B$16))),-1E+030)</f>
        <v>50.0481392045455</v>
      </c>
      <c r="Y3164" s="55" t="n">
        <f aca="false">W3164+ROW()*0.000000001</f>
        <v>0.454123430531575</v>
      </c>
      <c r="Z3164" s="55" t="n">
        <f aca="false">X3164+ROW()*0.000000001</f>
        <v>50.0481423685455</v>
      </c>
    </row>
    <row r="3165" customFormat="false" ht="15" hidden="false" customHeight="false" outlineLevel="0" collapsed="false">
      <c r="A3165" s="0" t="n">
        <v>10</v>
      </c>
      <c r="B3165" s="0" t="n">
        <v>15</v>
      </c>
      <c r="C3165" s="0" t="n">
        <v>15</v>
      </c>
      <c r="D3165" s="0" t="n">
        <f aca="false">-1+A3165*0.125</f>
        <v>0.25</v>
      </c>
      <c r="E3165" s="0" t="n">
        <f aca="false">-1+B3165*0.125</f>
        <v>0.875</v>
      </c>
      <c r="F3165" s="0" t="n">
        <f aca="false">-1+C3165*0.125</f>
        <v>0.875</v>
      </c>
      <c r="G3165" s="0" t="n">
        <f aca="false">1</f>
        <v>1</v>
      </c>
      <c r="H3165" s="0" t="n">
        <f aca="false">D3165</f>
        <v>0.25</v>
      </c>
      <c r="I3165" s="0" t="n">
        <f aca="false">E3165</f>
        <v>0.875</v>
      </c>
      <c r="J3165" s="0" t="n">
        <f aca="false">F3165</f>
        <v>0.875</v>
      </c>
      <c r="K3165" s="0" t="n">
        <f aca="false">D3165*E3165</f>
        <v>0.21875</v>
      </c>
      <c r="L3165" s="0" t="n">
        <f aca="false">D3165*F3165</f>
        <v>0.21875</v>
      </c>
      <c r="M3165" s="0" t="n">
        <f aca="false">E3165*F3165</f>
        <v>0.765625</v>
      </c>
      <c r="N3165" s="0" t="n">
        <f aca="false">D3165*D3165</f>
        <v>0.0625</v>
      </c>
      <c r="O3165" s="0" t="n">
        <f aca="false">E3165*E3165</f>
        <v>0.765625</v>
      </c>
      <c r="P3165" s="0" t="n">
        <f aca="false">F3165*F3165</f>
        <v>0.765625</v>
      </c>
      <c r="Q3165" s="0" t="n">
        <f aca="false">SUMPRODUCT(G3165:P3165,_XtX!$B$71:$K$71)</f>
        <v>50.0260369318182</v>
      </c>
      <c r="R3165" s="0" t="n">
        <f aca="false">SUMPRODUCT(MMULT(G3165:P3165,_XtX!$B$58:$K$67),G3165:P3165)</f>
        <v>0.459671852805398</v>
      </c>
      <c r="S3165" s="0" t="n">
        <f aca="false">04_回帰ANOVA!$K$19*04_回帰ANOVA!$K$14*SQRT(1+R3165)</f>
        <v>1.12329610455115</v>
      </c>
      <c r="T3165" s="0" t="n">
        <f aca="false">Q3165-S3165</f>
        <v>48.9027408272671</v>
      </c>
      <c r="U3165" s="0" t="n">
        <f aca="false">Q3165+S3165</f>
        <v>51.1493330363694</v>
      </c>
      <c r="V3165" s="54" t="b">
        <f aca="false">AND(D3165&gt;=01_因子設定!$L$5-0.000000001,D3165&lt;=01_因子設定!$M$5+0.000000001,E3165&gt;=01_因子設定!$L$6-0.000000001,E3165&lt;=01_因子設定!$M$6+0.000000001,F3165&gt;=01_因子設定!$L$7-0.000000001,F3165&lt;=01_因子設定!$M$7+0.000000001,IF(01_因子設定!$B$20="Box-Behnken",D3165^2+E3165^2+F3165^2&lt;=2+0.000000001,TRUE()))</f>
        <v>1</v>
      </c>
      <c r="W3165" s="55" t="n">
        <f aca="false">IF(V3165,IF(01_因子設定!$B$13="最大化",T3165-01_因子設定!$B$14,IF(01_因子設定!$B$13="最小化",01_因子設定!$B$15-U3165,MIN(T3165-01_因子設定!$B$14,01_因子設定!$B$15-U3165))),-1E+030)</f>
        <v>0.402740827267053</v>
      </c>
      <c r="X3165" s="55" t="n">
        <f aca="false">IF(V3165,IF(01_因子設定!$B$13="最大化",Q3165,IF(01_因子設定!$B$13="最小化",-Q3165,-ABS(Q3165-01_因子設定!$B$16))),-1E+030)</f>
        <v>50.0260369318182</v>
      </c>
      <c r="Y3165" s="55" t="n">
        <f aca="false">W3165+ROW()*0.000000001</f>
        <v>0.402743992267053</v>
      </c>
      <c r="Z3165" s="55" t="n">
        <f aca="false">X3165+ROW()*0.000000001</f>
        <v>50.0260400968182</v>
      </c>
    </row>
    <row r="3166" customFormat="false" ht="15" hidden="false" customHeight="false" outlineLevel="0" collapsed="false">
      <c r="A3166" s="0" t="n">
        <v>10</v>
      </c>
      <c r="B3166" s="0" t="n">
        <v>15</v>
      </c>
      <c r="C3166" s="0" t="n">
        <v>16</v>
      </c>
      <c r="D3166" s="0" t="n">
        <f aca="false">-1+A3166*0.125</f>
        <v>0.25</v>
      </c>
      <c r="E3166" s="0" t="n">
        <f aca="false">-1+B3166*0.125</f>
        <v>0.875</v>
      </c>
      <c r="F3166" s="0" t="n">
        <f aca="false">-1+C3166*0.125</f>
        <v>1</v>
      </c>
      <c r="G3166" s="0" t="n">
        <f aca="false">1</f>
        <v>1</v>
      </c>
      <c r="H3166" s="0" t="n">
        <f aca="false">D3166</f>
        <v>0.25</v>
      </c>
      <c r="I3166" s="0" t="n">
        <f aca="false">E3166</f>
        <v>0.875</v>
      </c>
      <c r="J3166" s="0" t="n">
        <f aca="false">F3166</f>
        <v>1</v>
      </c>
      <c r="K3166" s="0" t="n">
        <f aca="false">D3166*E3166</f>
        <v>0.21875</v>
      </c>
      <c r="L3166" s="0" t="n">
        <f aca="false">D3166*F3166</f>
        <v>0.25</v>
      </c>
      <c r="M3166" s="0" t="n">
        <f aca="false">E3166*F3166</f>
        <v>0.875</v>
      </c>
      <c r="N3166" s="0" t="n">
        <f aca="false">D3166*D3166</f>
        <v>0.0625</v>
      </c>
      <c r="O3166" s="0" t="n">
        <f aca="false">E3166*E3166</f>
        <v>0.765625</v>
      </c>
      <c r="P3166" s="0" t="n">
        <f aca="false">F3166*F3166</f>
        <v>1</v>
      </c>
      <c r="Q3166" s="0" t="n">
        <f aca="false">SUMPRODUCT(G3166:P3166,_XtX!$B$71:$K$71)</f>
        <v>49.9671448863637</v>
      </c>
      <c r="R3166" s="0" t="n">
        <f aca="false">SUMPRODUCT(MMULT(G3166:P3166,_XtX!$B$58:$K$67),G3166:P3166)</f>
        <v>0.583609286221591</v>
      </c>
      <c r="S3166" s="0" t="n">
        <f aca="false">04_回帰ANOVA!$K$19*04_回帰ANOVA!$K$14*SQRT(1+R3166)</f>
        <v>1.1700129157584</v>
      </c>
      <c r="T3166" s="0" t="n">
        <f aca="false">Q3166-S3166</f>
        <v>48.7971319706053</v>
      </c>
      <c r="U3166" s="0" t="n">
        <f aca="false">Q3166+S3166</f>
        <v>51.1371578021221</v>
      </c>
      <c r="V3166" s="54" t="b">
        <f aca="false">AND(D3166&gt;=01_因子設定!$L$5-0.000000001,D3166&lt;=01_因子設定!$M$5+0.000000001,E3166&gt;=01_因子設定!$L$6-0.000000001,E3166&lt;=01_因子設定!$M$6+0.000000001,F3166&gt;=01_因子設定!$L$7-0.000000001,F3166&lt;=01_因子設定!$M$7+0.000000001,IF(01_因子設定!$B$20="Box-Behnken",D3166^2+E3166^2+F3166^2&lt;=2+0.000000001,TRUE()))</f>
        <v>1</v>
      </c>
      <c r="W3166" s="55" t="n">
        <f aca="false">IF(V3166,IF(01_因子設定!$B$13="最大化",T3166-01_因子設定!$B$14,IF(01_因子設定!$B$13="最小化",01_因子設定!$B$15-U3166,MIN(T3166-01_因子設定!$B$14,01_因子設定!$B$15-U3166))),-1E+030)</f>
        <v>0.297131970605271</v>
      </c>
      <c r="X3166" s="55" t="n">
        <f aca="false">IF(V3166,IF(01_因子設定!$B$13="最大化",Q3166,IF(01_因子設定!$B$13="最小化",-Q3166,-ABS(Q3166-01_因子設定!$B$16))),-1E+030)</f>
        <v>49.9671448863637</v>
      </c>
      <c r="Y3166" s="55" t="n">
        <f aca="false">W3166+ROW()*0.000000001</f>
        <v>0.297135136605271</v>
      </c>
      <c r="Z3166" s="55" t="n">
        <f aca="false">X3166+ROW()*0.000000001</f>
        <v>49.9671480523637</v>
      </c>
    </row>
    <row r="3167" customFormat="false" ht="15" hidden="false" customHeight="false" outlineLevel="0" collapsed="false">
      <c r="A3167" s="0" t="n">
        <v>10</v>
      </c>
      <c r="B3167" s="0" t="n">
        <v>16</v>
      </c>
      <c r="C3167" s="0" t="n">
        <v>0</v>
      </c>
      <c r="D3167" s="0" t="n">
        <f aca="false">-1+A3167*0.125</f>
        <v>0.25</v>
      </c>
      <c r="E3167" s="0" t="n">
        <f aca="false">-1+B3167*0.125</f>
        <v>1</v>
      </c>
      <c r="F3167" s="0" t="n">
        <f aca="false">-1+C3167*0.125</f>
        <v>-1</v>
      </c>
      <c r="G3167" s="0" t="n">
        <f aca="false">1</f>
        <v>1</v>
      </c>
      <c r="H3167" s="0" t="n">
        <f aca="false">D3167</f>
        <v>0.25</v>
      </c>
      <c r="I3167" s="0" t="n">
        <f aca="false">E3167</f>
        <v>1</v>
      </c>
      <c r="J3167" s="0" t="n">
        <f aca="false">F3167</f>
        <v>-1</v>
      </c>
      <c r="K3167" s="0" t="n">
        <f aca="false">D3167*E3167</f>
        <v>0.25</v>
      </c>
      <c r="L3167" s="0" t="n">
        <f aca="false">D3167*F3167</f>
        <v>-0.25</v>
      </c>
      <c r="M3167" s="0" t="n">
        <f aca="false">E3167*F3167</f>
        <v>-1</v>
      </c>
      <c r="N3167" s="0" t="n">
        <f aca="false">D3167*D3167</f>
        <v>0.0625</v>
      </c>
      <c r="O3167" s="0" t="n">
        <f aca="false">E3167*E3167</f>
        <v>1</v>
      </c>
      <c r="P3167" s="0" t="n">
        <f aca="false">F3167*F3167</f>
        <v>1</v>
      </c>
      <c r="Q3167" s="0" t="n">
        <f aca="false">SUMPRODUCT(G3167:P3167,_XtX!$B$71:$K$71)</f>
        <v>46.2602840909091</v>
      </c>
      <c r="R3167" s="0" t="n">
        <f aca="false">SUMPRODUCT(MMULT(G3167:P3167,_XtX!$B$58:$K$67),G3167:P3167)</f>
        <v>0.699431818181818</v>
      </c>
      <c r="S3167" s="0" t="n">
        <f aca="false">04_回帰ANOVA!$K$19*04_回帰ANOVA!$K$14*SQRT(1+R3167)</f>
        <v>1.21204434231192</v>
      </c>
      <c r="T3167" s="0" t="n">
        <f aca="false">Q3167-S3167</f>
        <v>45.0482397485972</v>
      </c>
      <c r="U3167" s="0" t="n">
        <f aca="false">Q3167+S3167</f>
        <v>47.472328433221</v>
      </c>
      <c r="V3167" s="54" t="b">
        <f aca="false">AND(D3167&gt;=01_因子設定!$L$5-0.000000001,D3167&lt;=01_因子設定!$M$5+0.000000001,E3167&gt;=01_因子設定!$L$6-0.000000001,E3167&lt;=01_因子設定!$M$6+0.000000001,F3167&gt;=01_因子設定!$L$7-0.000000001,F3167&lt;=01_因子設定!$M$7+0.000000001,IF(01_因子設定!$B$20="Box-Behnken",D3167^2+E3167^2+F3167^2&lt;=2+0.000000001,TRUE()))</f>
        <v>1</v>
      </c>
      <c r="W3167" s="55" t="n">
        <f aca="false">IF(V3167,IF(01_因子設定!$B$13="最大化",T3167-01_因子設定!$B$14,IF(01_因子設定!$B$13="最小化",01_因子設定!$B$15-U3167,MIN(T3167-01_因子設定!$B$14,01_因子設定!$B$15-U3167))),-1E+030)</f>
        <v>-3.4517602514028</v>
      </c>
      <c r="X3167" s="55" t="n">
        <f aca="false">IF(V3167,IF(01_因子設定!$B$13="最大化",Q3167,IF(01_因子設定!$B$13="最小化",-Q3167,-ABS(Q3167-01_因子設定!$B$16))),-1E+030)</f>
        <v>46.2602840909091</v>
      </c>
      <c r="Y3167" s="55" t="n">
        <f aca="false">W3167+ROW()*0.000000001</f>
        <v>-3.4517570844028</v>
      </c>
      <c r="Z3167" s="55" t="n">
        <f aca="false">X3167+ROW()*0.000000001</f>
        <v>46.2602872579091</v>
      </c>
    </row>
    <row r="3168" customFormat="false" ht="15" hidden="false" customHeight="false" outlineLevel="0" collapsed="false">
      <c r="A3168" s="0" t="n">
        <v>10</v>
      </c>
      <c r="B3168" s="0" t="n">
        <v>16</v>
      </c>
      <c r="C3168" s="0" t="n">
        <v>1</v>
      </c>
      <c r="D3168" s="0" t="n">
        <f aca="false">-1+A3168*0.125</f>
        <v>0.25</v>
      </c>
      <c r="E3168" s="0" t="n">
        <f aca="false">-1+B3168*0.125</f>
        <v>1</v>
      </c>
      <c r="F3168" s="0" t="n">
        <f aca="false">-1+C3168*0.125</f>
        <v>-0.875</v>
      </c>
      <c r="G3168" s="0" t="n">
        <f aca="false">1</f>
        <v>1</v>
      </c>
      <c r="H3168" s="0" t="n">
        <f aca="false">D3168</f>
        <v>0.25</v>
      </c>
      <c r="I3168" s="0" t="n">
        <f aca="false">E3168</f>
        <v>1</v>
      </c>
      <c r="J3168" s="0" t="n">
        <f aca="false">F3168</f>
        <v>-0.875</v>
      </c>
      <c r="K3168" s="0" t="n">
        <f aca="false">D3168*E3168</f>
        <v>0.25</v>
      </c>
      <c r="L3168" s="0" t="n">
        <f aca="false">D3168*F3168</f>
        <v>-0.21875</v>
      </c>
      <c r="M3168" s="0" t="n">
        <f aca="false">E3168*F3168</f>
        <v>-0.875</v>
      </c>
      <c r="N3168" s="0" t="n">
        <f aca="false">D3168*D3168</f>
        <v>0.0625</v>
      </c>
      <c r="O3168" s="0" t="n">
        <f aca="false">E3168*E3168</f>
        <v>1</v>
      </c>
      <c r="P3168" s="0" t="n">
        <f aca="false">F3168*F3168</f>
        <v>0.765625</v>
      </c>
      <c r="Q3168" s="0" t="n">
        <f aca="false">SUMPRODUCT(G3168:P3168,_XtX!$B$71:$K$71)</f>
        <v>46.7602698863637</v>
      </c>
      <c r="R3168" s="0" t="n">
        <f aca="false">SUMPRODUCT(MMULT(G3168:P3168,_XtX!$B$58:$K$67),G3168:P3168)</f>
        <v>0.583609286221591</v>
      </c>
      <c r="S3168" s="0" t="n">
        <f aca="false">04_回帰ANOVA!$K$19*04_回帰ANOVA!$K$14*SQRT(1+R3168)</f>
        <v>1.1700129157584</v>
      </c>
      <c r="T3168" s="0" t="n">
        <f aca="false">Q3168-S3168</f>
        <v>45.5902569706053</v>
      </c>
      <c r="U3168" s="0" t="n">
        <f aca="false">Q3168+S3168</f>
        <v>47.9302828021221</v>
      </c>
      <c r="V3168" s="54" t="b">
        <f aca="false">AND(D3168&gt;=01_因子設定!$L$5-0.000000001,D3168&lt;=01_因子設定!$M$5+0.000000001,E3168&gt;=01_因子設定!$L$6-0.000000001,E3168&lt;=01_因子設定!$M$6+0.000000001,F3168&gt;=01_因子設定!$L$7-0.000000001,F3168&lt;=01_因子設定!$M$7+0.000000001,IF(01_因子設定!$B$20="Box-Behnken",D3168^2+E3168^2+F3168^2&lt;=2+0.000000001,TRUE()))</f>
        <v>1</v>
      </c>
      <c r="W3168" s="55" t="n">
        <f aca="false">IF(V3168,IF(01_因子設定!$B$13="最大化",T3168-01_因子設定!$B$14,IF(01_因子設定!$B$13="最小化",01_因子設定!$B$15-U3168,MIN(T3168-01_因子設定!$B$14,01_因子設定!$B$15-U3168))),-1E+030)</f>
        <v>-2.90974302939473</v>
      </c>
      <c r="X3168" s="55" t="n">
        <f aca="false">IF(V3168,IF(01_因子設定!$B$13="最大化",Q3168,IF(01_因子設定!$B$13="最小化",-Q3168,-ABS(Q3168-01_因子設定!$B$16))),-1E+030)</f>
        <v>46.7602698863637</v>
      </c>
      <c r="Y3168" s="55" t="n">
        <f aca="false">W3168+ROW()*0.000000001</f>
        <v>-2.90973986139473</v>
      </c>
      <c r="Z3168" s="55" t="n">
        <f aca="false">X3168+ROW()*0.000000001</f>
        <v>46.7602730543637</v>
      </c>
    </row>
    <row r="3169" customFormat="false" ht="15" hidden="false" customHeight="false" outlineLevel="0" collapsed="false">
      <c r="A3169" s="0" t="n">
        <v>10</v>
      </c>
      <c r="B3169" s="0" t="n">
        <v>16</v>
      </c>
      <c r="C3169" s="0" t="n">
        <v>2</v>
      </c>
      <c r="D3169" s="0" t="n">
        <f aca="false">-1+A3169*0.125</f>
        <v>0.25</v>
      </c>
      <c r="E3169" s="0" t="n">
        <f aca="false">-1+B3169*0.125</f>
        <v>1</v>
      </c>
      <c r="F3169" s="0" t="n">
        <f aca="false">-1+C3169*0.125</f>
        <v>-0.75</v>
      </c>
      <c r="G3169" s="0" t="n">
        <f aca="false">1</f>
        <v>1</v>
      </c>
      <c r="H3169" s="0" t="n">
        <f aca="false">D3169</f>
        <v>0.25</v>
      </c>
      <c r="I3169" s="0" t="n">
        <f aca="false">E3169</f>
        <v>1</v>
      </c>
      <c r="J3169" s="0" t="n">
        <f aca="false">F3169</f>
        <v>-0.75</v>
      </c>
      <c r="K3169" s="0" t="n">
        <f aca="false">D3169*E3169</f>
        <v>0.25</v>
      </c>
      <c r="L3169" s="0" t="n">
        <f aca="false">D3169*F3169</f>
        <v>-0.1875</v>
      </c>
      <c r="M3169" s="0" t="n">
        <f aca="false">E3169*F3169</f>
        <v>-0.75</v>
      </c>
      <c r="N3169" s="0" t="n">
        <f aca="false">D3169*D3169</f>
        <v>0.0625</v>
      </c>
      <c r="O3169" s="0" t="n">
        <f aca="false">E3169*E3169</f>
        <v>1</v>
      </c>
      <c r="P3169" s="0" t="n">
        <f aca="false">F3169*F3169</f>
        <v>0.5625</v>
      </c>
      <c r="Q3169" s="0" t="n">
        <f aca="false">SUMPRODUCT(G3169:P3169,_XtX!$B$71:$K$71)</f>
        <v>47.2234659090909</v>
      </c>
      <c r="R3169" s="0" t="n">
        <f aca="false">SUMPRODUCT(MMULT(G3169:P3169,_XtX!$B$58:$K$67),G3169:P3169)</f>
        <v>0.515545099431818</v>
      </c>
      <c r="S3169" s="0" t="n">
        <f aca="false">04_回帰ANOVA!$K$19*04_回帰ANOVA!$K$14*SQRT(1+R3169)</f>
        <v>1.14459295464101</v>
      </c>
      <c r="T3169" s="0" t="n">
        <f aca="false">Q3169-S3169</f>
        <v>46.0788729544499</v>
      </c>
      <c r="U3169" s="0" t="n">
        <f aca="false">Q3169+S3169</f>
        <v>48.3680588637319</v>
      </c>
      <c r="V3169" s="54" t="b">
        <f aca="false">AND(D3169&gt;=01_因子設定!$L$5-0.000000001,D3169&lt;=01_因子設定!$M$5+0.000000001,E3169&gt;=01_因子設定!$L$6-0.000000001,E3169&lt;=01_因子設定!$M$6+0.000000001,F3169&gt;=01_因子設定!$L$7-0.000000001,F3169&lt;=01_因子設定!$M$7+0.000000001,IF(01_因子設定!$B$20="Box-Behnken",D3169^2+E3169^2+F3169^2&lt;=2+0.000000001,TRUE()))</f>
        <v>1</v>
      </c>
      <c r="W3169" s="55" t="n">
        <f aca="false">IF(V3169,IF(01_因子設定!$B$13="最大化",T3169-01_因子設定!$B$14,IF(01_因子設定!$B$13="最小化",01_因子設定!$B$15-U3169,MIN(T3169-01_因子設定!$B$14,01_因子設定!$B$15-U3169))),-1E+030)</f>
        <v>-2.42112704555008</v>
      </c>
      <c r="X3169" s="55" t="n">
        <f aca="false">IF(V3169,IF(01_因子設定!$B$13="最大化",Q3169,IF(01_因子設定!$B$13="最小化",-Q3169,-ABS(Q3169-01_因子設定!$B$16))),-1E+030)</f>
        <v>47.2234659090909</v>
      </c>
      <c r="Y3169" s="55" t="n">
        <f aca="false">W3169+ROW()*0.000000001</f>
        <v>-2.42112387655008</v>
      </c>
      <c r="Z3169" s="55" t="n">
        <f aca="false">X3169+ROW()*0.000000001</f>
        <v>47.2234690780909</v>
      </c>
    </row>
    <row r="3170" customFormat="false" ht="15" hidden="false" customHeight="false" outlineLevel="0" collapsed="false">
      <c r="A3170" s="0" t="n">
        <v>10</v>
      </c>
      <c r="B3170" s="0" t="n">
        <v>16</v>
      </c>
      <c r="C3170" s="0" t="n">
        <v>3</v>
      </c>
      <c r="D3170" s="0" t="n">
        <f aca="false">-1+A3170*0.125</f>
        <v>0.25</v>
      </c>
      <c r="E3170" s="0" t="n">
        <f aca="false">-1+B3170*0.125</f>
        <v>1</v>
      </c>
      <c r="F3170" s="0" t="n">
        <f aca="false">-1+C3170*0.125</f>
        <v>-0.625</v>
      </c>
      <c r="G3170" s="0" t="n">
        <f aca="false">1</f>
        <v>1</v>
      </c>
      <c r="H3170" s="0" t="n">
        <f aca="false">D3170</f>
        <v>0.25</v>
      </c>
      <c r="I3170" s="0" t="n">
        <f aca="false">E3170</f>
        <v>1</v>
      </c>
      <c r="J3170" s="0" t="n">
        <f aca="false">F3170</f>
        <v>-0.625</v>
      </c>
      <c r="K3170" s="0" t="n">
        <f aca="false">D3170*E3170</f>
        <v>0.25</v>
      </c>
      <c r="L3170" s="0" t="n">
        <f aca="false">D3170*F3170</f>
        <v>-0.15625</v>
      </c>
      <c r="M3170" s="0" t="n">
        <f aca="false">E3170*F3170</f>
        <v>-0.625</v>
      </c>
      <c r="N3170" s="0" t="n">
        <f aca="false">D3170*D3170</f>
        <v>0.0625</v>
      </c>
      <c r="O3170" s="0" t="n">
        <f aca="false">E3170*E3170</f>
        <v>1</v>
      </c>
      <c r="P3170" s="0" t="n">
        <f aca="false">F3170*F3170</f>
        <v>0.390625</v>
      </c>
      <c r="Q3170" s="0" t="n">
        <f aca="false">SUMPRODUCT(G3170:P3170,_XtX!$B$71:$K$71)</f>
        <v>47.6498721590909</v>
      </c>
      <c r="R3170" s="0" t="n">
        <f aca="false">SUMPRODUCT(MMULT(G3170:P3170,_XtX!$B$58:$K$67),G3170:P3170)</f>
        <v>0.481389825994318</v>
      </c>
      <c r="S3170" s="0" t="n">
        <f aca="false">04_回帰ANOVA!$K$19*04_回帰ANOVA!$K$14*SQRT(1+R3170)</f>
        <v>1.13162182500693</v>
      </c>
      <c r="T3170" s="0" t="n">
        <f aca="false">Q3170-S3170</f>
        <v>46.518250334084</v>
      </c>
      <c r="U3170" s="0" t="n">
        <f aca="false">Q3170+S3170</f>
        <v>48.7814939840979</v>
      </c>
      <c r="V3170" s="54" t="b">
        <f aca="false">AND(D3170&gt;=01_因子設定!$L$5-0.000000001,D3170&lt;=01_因子設定!$M$5+0.000000001,E3170&gt;=01_因子設定!$L$6-0.000000001,E3170&lt;=01_因子設定!$M$6+0.000000001,F3170&gt;=01_因子設定!$L$7-0.000000001,F3170&lt;=01_因子設定!$M$7+0.000000001,IF(01_因子設定!$B$20="Box-Behnken",D3170^2+E3170^2+F3170^2&lt;=2+0.000000001,TRUE()))</f>
        <v>1</v>
      </c>
      <c r="W3170" s="55" t="n">
        <f aca="false">IF(V3170,IF(01_因子設定!$B$13="最大化",T3170-01_因子設定!$B$14,IF(01_因子設定!$B$13="最小化",01_因子設定!$B$15-U3170,MIN(T3170-01_因子設定!$B$14,01_因子設定!$B$15-U3170))),-1E+030)</f>
        <v>-1.981749665916</v>
      </c>
      <c r="X3170" s="55" t="n">
        <f aca="false">IF(V3170,IF(01_因子設定!$B$13="最大化",Q3170,IF(01_因子設定!$B$13="最小化",-Q3170,-ABS(Q3170-01_因子設定!$B$16))),-1E+030)</f>
        <v>47.6498721590909</v>
      </c>
      <c r="Y3170" s="55" t="n">
        <f aca="false">W3170+ROW()*0.000000001</f>
        <v>-1.981746495916</v>
      </c>
      <c r="Z3170" s="55" t="n">
        <f aca="false">X3170+ROW()*0.000000001</f>
        <v>47.6498753290909</v>
      </c>
    </row>
    <row r="3171" customFormat="false" ht="15" hidden="false" customHeight="false" outlineLevel="0" collapsed="false">
      <c r="A3171" s="0" t="n">
        <v>10</v>
      </c>
      <c r="B3171" s="0" t="n">
        <v>16</v>
      </c>
      <c r="C3171" s="0" t="n">
        <v>4</v>
      </c>
      <c r="D3171" s="0" t="n">
        <f aca="false">-1+A3171*0.125</f>
        <v>0.25</v>
      </c>
      <c r="E3171" s="0" t="n">
        <f aca="false">-1+B3171*0.125</f>
        <v>1</v>
      </c>
      <c r="F3171" s="0" t="n">
        <f aca="false">-1+C3171*0.125</f>
        <v>-0.5</v>
      </c>
      <c r="G3171" s="0" t="n">
        <f aca="false">1</f>
        <v>1</v>
      </c>
      <c r="H3171" s="0" t="n">
        <f aca="false">D3171</f>
        <v>0.25</v>
      </c>
      <c r="I3171" s="0" t="n">
        <f aca="false">E3171</f>
        <v>1</v>
      </c>
      <c r="J3171" s="0" t="n">
        <f aca="false">F3171</f>
        <v>-0.5</v>
      </c>
      <c r="K3171" s="0" t="n">
        <f aca="false">D3171*E3171</f>
        <v>0.25</v>
      </c>
      <c r="L3171" s="0" t="n">
        <f aca="false">D3171*F3171</f>
        <v>-0.125</v>
      </c>
      <c r="M3171" s="0" t="n">
        <f aca="false">E3171*F3171</f>
        <v>-0.5</v>
      </c>
      <c r="N3171" s="0" t="n">
        <f aca="false">D3171*D3171</f>
        <v>0.0625</v>
      </c>
      <c r="O3171" s="0" t="n">
        <f aca="false">E3171*E3171</f>
        <v>1</v>
      </c>
      <c r="P3171" s="0" t="n">
        <f aca="false">F3171*F3171</f>
        <v>0.25</v>
      </c>
      <c r="Q3171" s="0" t="n">
        <f aca="false">SUMPRODUCT(G3171:P3171,_XtX!$B$71:$K$71)</f>
        <v>48.0394886363637</v>
      </c>
      <c r="R3171" s="0" t="n">
        <f aca="false">SUMPRODUCT(MMULT(G3171:P3171,_XtX!$B$58:$K$67),G3171:P3171)</f>
        <v>0.469424715909091</v>
      </c>
      <c r="S3171" s="0" t="n">
        <f aca="false">04_回帰ANOVA!$K$19*04_回帰ANOVA!$K$14*SQRT(1+R3171)</f>
        <v>1.12704253369596</v>
      </c>
      <c r="T3171" s="0" t="n">
        <f aca="false">Q3171-S3171</f>
        <v>46.9124461026677</v>
      </c>
      <c r="U3171" s="0" t="n">
        <f aca="false">Q3171+S3171</f>
        <v>49.1665311700596</v>
      </c>
      <c r="V3171" s="54" t="b">
        <f aca="false">AND(D3171&gt;=01_因子設定!$L$5-0.000000001,D3171&lt;=01_因子設定!$M$5+0.000000001,E3171&gt;=01_因子設定!$L$6-0.000000001,E3171&lt;=01_因子設定!$M$6+0.000000001,F3171&gt;=01_因子設定!$L$7-0.000000001,F3171&lt;=01_因子設定!$M$7+0.000000001,IF(01_因子設定!$B$20="Box-Behnken",D3171^2+E3171^2+F3171^2&lt;=2+0.000000001,TRUE()))</f>
        <v>1</v>
      </c>
      <c r="W3171" s="55" t="n">
        <f aca="false">IF(V3171,IF(01_因子設定!$B$13="最大化",T3171-01_因子設定!$B$14,IF(01_因子設定!$B$13="最小化",01_因子設定!$B$15-U3171,MIN(T3171-01_因子設定!$B$14,01_因子設定!$B$15-U3171))),-1E+030)</f>
        <v>-1.58755389733231</v>
      </c>
      <c r="X3171" s="55" t="n">
        <f aca="false">IF(V3171,IF(01_因子設定!$B$13="最大化",Q3171,IF(01_因子設定!$B$13="最小化",-Q3171,-ABS(Q3171-01_因子設定!$B$16))),-1E+030)</f>
        <v>48.0394886363637</v>
      </c>
      <c r="Y3171" s="55" t="n">
        <f aca="false">W3171+ROW()*0.000000001</f>
        <v>-1.58755072633231</v>
      </c>
      <c r="Z3171" s="55" t="n">
        <f aca="false">X3171+ROW()*0.000000001</f>
        <v>48.0394918073637</v>
      </c>
    </row>
    <row r="3172" customFormat="false" ht="15" hidden="false" customHeight="false" outlineLevel="0" collapsed="false">
      <c r="A3172" s="0" t="n">
        <v>10</v>
      </c>
      <c r="B3172" s="0" t="n">
        <v>16</v>
      </c>
      <c r="C3172" s="0" t="n">
        <v>5</v>
      </c>
      <c r="D3172" s="0" t="n">
        <f aca="false">-1+A3172*0.125</f>
        <v>0.25</v>
      </c>
      <c r="E3172" s="0" t="n">
        <f aca="false">-1+B3172*0.125</f>
        <v>1</v>
      </c>
      <c r="F3172" s="0" t="n">
        <f aca="false">-1+C3172*0.125</f>
        <v>-0.375</v>
      </c>
      <c r="G3172" s="0" t="n">
        <f aca="false">1</f>
        <v>1</v>
      </c>
      <c r="H3172" s="0" t="n">
        <f aca="false">D3172</f>
        <v>0.25</v>
      </c>
      <c r="I3172" s="0" t="n">
        <f aca="false">E3172</f>
        <v>1</v>
      </c>
      <c r="J3172" s="0" t="n">
        <f aca="false">F3172</f>
        <v>-0.375</v>
      </c>
      <c r="K3172" s="0" t="n">
        <f aca="false">D3172*E3172</f>
        <v>0.25</v>
      </c>
      <c r="L3172" s="0" t="n">
        <f aca="false">D3172*F3172</f>
        <v>-0.09375</v>
      </c>
      <c r="M3172" s="0" t="n">
        <f aca="false">E3172*F3172</f>
        <v>-0.375</v>
      </c>
      <c r="N3172" s="0" t="n">
        <f aca="false">D3172*D3172</f>
        <v>0.0625</v>
      </c>
      <c r="O3172" s="0" t="n">
        <f aca="false">E3172*E3172</f>
        <v>1</v>
      </c>
      <c r="P3172" s="0" t="n">
        <f aca="false">F3172*F3172</f>
        <v>0.140625</v>
      </c>
      <c r="Q3172" s="0" t="n">
        <f aca="false">SUMPRODUCT(G3172:P3172,_XtX!$B$71:$K$71)</f>
        <v>48.3923153409091</v>
      </c>
      <c r="R3172" s="0" t="n">
        <f aca="false">SUMPRODUCT(MMULT(G3172:P3172,_XtX!$B$58:$K$67),G3172:P3172)</f>
        <v>0.470061700994318</v>
      </c>
      <c r="S3172" s="0" t="n">
        <f aca="false">04_回帰ANOVA!$K$19*04_回帰ANOVA!$K$14*SQRT(1+R3172)</f>
        <v>1.12728678965931</v>
      </c>
      <c r="T3172" s="0" t="n">
        <f aca="false">Q3172-S3172</f>
        <v>47.2650285512498</v>
      </c>
      <c r="U3172" s="0" t="n">
        <f aca="false">Q3172+S3172</f>
        <v>49.5196021305684</v>
      </c>
      <c r="V3172" s="54" t="b">
        <f aca="false">AND(D3172&gt;=01_因子設定!$L$5-0.000000001,D3172&lt;=01_因子設定!$M$5+0.000000001,E3172&gt;=01_因子設定!$L$6-0.000000001,E3172&lt;=01_因子設定!$M$6+0.000000001,F3172&gt;=01_因子設定!$L$7-0.000000001,F3172&lt;=01_因子設定!$M$7+0.000000001,IF(01_因子設定!$B$20="Box-Behnken",D3172^2+E3172^2+F3172^2&lt;=2+0.000000001,TRUE()))</f>
        <v>1</v>
      </c>
      <c r="W3172" s="55" t="n">
        <f aca="false">IF(V3172,IF(01_因子設定!$B$13="最大化",T3172-01_因子設定!$B$14,IF(01_因子設定!$B$13="最小化",01_因子設定!$B$15-U3172,MIN(T3172-01_因子設定!$B$14,01_因子設定!$B$15-U3172))),-1E+030)</f>
        <v>-1.2349714487502</v>
      </c>
      <c r="X3172" s="55" t="n">
        <f aca="false">IF(V3172,IF(01_因子設定!$B$13="最大化",Q3172,IF(01_因子設定!$B$13="最小化",-Q3172,-ABS(Q3172-01_因子設定!$B$16))),-1E+030)</f>
        <v>48.3923153409091</v>
      </c>
      <c r="Y3172" s="55" t="n">
        <f aca="false">W3172+ROW()*0.000000001</f>
        <v>-1.2349682767502</v>
      </c>
      <c r="Z3172" s="55" t="n">
        <f aca="false">X3172+ROW()*0.000000001</f>
        <v>48.3923185129091</v>
      </c>
    </row>
    <row r="3173" customFormat="false" ht="15" hidden="false" customHeight="false" outlineLevel="0" collapsed="false">
      <c r="A3173" s="0" t="n">
        <v>10</v>
      </c>
      <c r="B3173" s="0" t="n">
        <v>16</v>
      </c>
      <c r="C3173" s="0" t="n">
        <v>6</v>
      </c>
      <c r="D3173" s="0" t="n">
        <f aca="false">-1+A3173*0.125</f>
        <v>0.25</v>
      </c>
      <c r="E3173" s="0" t="n">
        <f aca="false">-1+B3173*0.125</f>
        <v>1</v>
      </c>
      <c r="F3173" s="0" t="n">
        <f aca="false">-1+C3173*0.125</f>
        <v>-0.25</v>
      </c>
      <c r="G3173" s="0" t="n">
        <f aca="false">1</f>
        <v>1</v>
      </c>
      <c r="H3173" s="0" t="n">
        <f aca="false">D3173</f>
        <v>0.25</v>
      </c>
      <c r="I3173" s="0" t="n">
        <f aca="false">E3173</f>
        <v>1</v>
      </c>
      <c r="J3173" s="0" t="n">
        <f aca="false">F3173</f>
        <v>-0.25</v>
      </c>
      <c r="K3173" s="0" t="n">
        <f aca="false">D3173*E3173</f>
        <v>0.25</v>
      </c>
      <c r="L3173" s="0" t="n">
        <f aca="false">D3173*F3173</f>
        <v>-0.0625</v>
      </c>
      <c r="M3173" s="0" t="n">
        <f aca="false">E3173*F3173</f>
        <v>-0.25</v>
      </c>
      <c r="N3173" s="0" t="n">
        <f aca="false">D3173*D3173</f>
        <v>0.0625</v>
      </c>
      <c r="O3173" s="0" t="n">
        <f aca="false">E3173*E3173</f>
        <v>1</v>
      </c>
      <c r="P3173" s="0" t="n">
        <f aca="false">F3173*F3173</f>
        <v>0.0625</v>
      </c>
      <c r="Q3173" s="0" t="n">
        <f aca="false">SUMPRODUCT(G3173:P3173,_XtX!$B$71:$K$71)</f>
        <v>48.7083522727273</v>
      </c>
      <c r="R3173" s="0" t="n">
        <f aca="false">SUMPRODUCT(MMULT(G3173:P3173,_XtX!$B$58:$K$67),G3173:P3173)</f>
        <v>0.475843394886364</v>
      </c>
      <c r="S3173" s="0" t="n">
        <f aca="false">04_回帰ANOVA!$K$19*04_回帰ANOVA!$K$14*SQRT(1+R3173)</f>
        <v>1.12950140123694</v>
      </c>
      <c r="T3173" s="0" t="n">
        <f aca="false">Q3173-S3173</f>
        <v>47.5788508714903</v>
      </c>
      <c r="U3173" s="0" t="n">
        <f aca="false">Q3173+S3173</f>
        <v>49.8378536739642</v>
      </c>
      <c r="V3173" s="54" t="b">
        <f aca="false">AND(D3173&gt;=01_因子設定!$L$5-0.000000001,D3173&lt;=01_因子設定!$M$5+0.000000001,E3173&gt;=01_因子設定!$L$6-0.000000001,E3173&lt;=01_因子設定!$M$6+0.000000001,F3173&gt;=01_因子設定!$L$7-0.000000001,F3173&lt;=01_因子設定!$M$7+0.000000001,IF(01_因子設定!$B$20="Box-Behnken",D3173^2+E3173^2+F3173^2&lt;=2+0.000000001,TRUE()))</f>
        <v>1</v>
      </c>
      <c r="W3173" s="55" t="n">
        <f aca="false">IF(V3173,IF(01_因子設定!$B$13="最大化",T3173-01_因子設定!$B$14,IF(01_因子設定!$B$13="最小化",01_因子設定!$B$15-U3173,MIN(T3173-01_因子設定!$B$14,01_因子設定!$B$15-U3173))),-1E+030)</f>
        <v>-0.921149128509654</v>
      </c>
      <c r="X3173" s="55" t="n">
        <f aca="false">IF(V3173,IF(01_因子設定!$B$13="最大化",Q3173,IF(01_因子設定!$B$13="最小化",-Q3173,-ABS(Q3173-01_因子設定!$B$16))),-1E+030)</f>
        <v>48.7083522727273</v>
      </c>
      <c r="Y3173" s="55" t="n">
        <f aca="false">W3173+ROW()*0.000000001</f>
        <v>-0.921145955509654</v>
      </c>
      <c r="Z3173" s="55" t="n">
        <f aca="false">X3173+ROW()*0.000000001</f>
        <v>48.7083554457273</v>
      </c>
    </row>
    <row r="3174" customFormat="false" ht="15" hidden="false" customHeight="false" outlineLevel="0" collapsed="false">
      <c r="A3174" s="0" t="n">
        <v>10</v>
      </c>
      <c r="B3174" s="0" t="n">
        <v>16</v>
      </c>
      <c r="C3174" s="0" t="n">
        <v>7</v>
      </c>
      <c r="D3174" s="0" t="n">
        <f aca="false">-1+A3174*0.125</f>
        <v>0.25</v>
      </c>
      <c r="E3174" s="0" t="n">
        <f aca="false">-1+B3174*0.125</f>
        <v>1</v>
      </c>
      <c r="F3174" s="0" t="n">
        <f aca="false">-1+C3174*0.125</f>
        <v>-0.125</v>
      </c>
      <c r="G3174" s="0" t="n">
        <f aca="false">1</f>
        <v>1</v>
      </c>
      <c r="H3174" s="0" t="n">
        <f aca="false">D3174</f>
        <v>0.25</v>
      </c>
      <c r="I3174" s="0" t="n">
        <f aca="false">E3174</f>
        <v>1</v>
      </c>
      <c r="J3174" s="0" t="n">
        <f aca="false">F3174</f>
        <v>-0.125</v>
      </c>
      <c r="K3174" s="0" t="n">
        <f aca="false">D3174*E3174</f>
        <v>0.25</v>
      </c>
      <c r="L3174" s="0" t="n">
        <f aca="false">D3174*F3174</f>
        <v>-0.03125</v>
      </c>
      <c r="M3174" s="0" t="n">
        <f aca="false">E3174*F3174</f>
        <v>-0.125</v>
      </c>
      <c r="N3174" s="0" t="n">
        <f aca="false">D3174*D3174</f>
        <v>0.0625</v>
      </c>
      <c r="O3174" s="0" t="n">
        <f aca="false">E3174*E3174</f>
        <v>1</v>
      </c>
      <c r="P3174" s="0" t="n">
        <f aca="false">F3174*F3174</f>
        <v>0.015625</v>
      </c>
      <c r="Q3174" s="0" t="n">
        <f aca="false">SUMPRODUCT(G3174:P3174,_XtX!$B$71:$K$71)</f>
        <v>48.9875994318182</v>
      </c>
      <c r="R3174" s="0" t="n">
        <f aca="false">SUMPRODUCT(MMULT(G3174:P3174,_XtX!$B$58:$K$67),G3174:P3174)</f>
        <v>0.481443093039773</v>
      </c>
      <c r="S3174" s="0" t="n">
        <f aca="false">04_回帰ANOVA!$K$19*04_回帰ANOVA!$K$14*SQRT(1+R3174)</f>
        <v>1.13164216995877</v>
      </c>
      <c r="T3174" s="0" t="n">
        <f aca="false">Q3174-S3174</f>
        <v>47.8559572618594</v>
      </c>
      <c r="U3174" s="0" t="n">
        <f aca="false">Q3174+S3174</f>
        <v>50.119241601777</v>
      </c>
      <c r="V3174" s="54" t="b">
        <f aca="false">AND(D3174&gt;=01_因子設定!$L$5-0.000000001,D3174&lt;=01_因子設定!$M$5+0.000000001,E3174&gt;=01_因子設定!$L$6-0.000000001,E3174&lt;=01_因子設定!$M$6+0.000000001,F3174&gt;=01_因子設定!$L$7-0.000000001,F3174&lt;=01_因子設定!$M$7+0.000000001,IF(01_因子設定!$B$20="Box-Behnken",D3174^2+E3174^2+F3174^2&lt;=2+0.000000001,TRUE()))</f>
        <v>1</v>
      </c>
      <c r="W3174" s="55" t="n">
        <f aca="false">IF(V3174,IF(01_因子設定!$B$13="最大化",T3174-01_因子設定!$B$14,IF(01_因子設定!$B$13="最小化",01_因子設定!$B$15-U3174,MIN(T3174-01_因子設定!$B$14,01_因子設定!$B$15-U3174))),-1E+030)</f>
        <v>-0.644042738140577</v>
      </c>
      <c r="X3174" s="55" t="n">
        <f aca="false">IF(V3174,IF(01_因子設定!$B$13="最大化",Q3174,IF(01_因子設定!$B$13="最小化",-Q3174,-ABS(Q3174-01_因子設定!$B$16))),-1E+030)</f>
        <v>48.9875994318182</v>
      </c>
      <c r="Y3174" s="55" t="n">
        <f aca="false">W3174+ROW()*0.000000001</f>
        <v>-0.644039564140577</v>
      </c>
      <c r="Z3174" s="55" t="n">
        <f aca="false">X3174+ROW()*0.000000001</f>
        <v>48.9876026058182</v>
      </c>
    </row>
    <row r="3175" customFormat="false" ht="15" hidden="false" customHeight="false" outlineLevel="0" collapsed="false">
      <c r="A3175" s="0" t="n">
        <v>10</v>
      </c>
      <c r="B3175" s="0" t="n">
        <v>16</v>
      </c>
      <c r="C3175" s="0" t="n">
        <v>8</v>
      </c>
      <c r="D3175" s="0" t="n">
        <f aca="false">-1+A3175*0.125</f>
        <v>0.25</v>
      </c>
      <c r="E3175" s="0" t="n">
        <f aca="false">-1+B3175*0.125</f>
        <v>1</v>
      </c>
      <c r="F3175" s="0" t="n">
        <f aca="false">-1+C3175*0.125</f>
        <v>0</v>
      </c>
      <c r="G3175" s="0" t="n">
        <f aca="false">1</f>
        <v>1</v>
      </c>
      <c r="H3175" s="0" t="n">
        <f aca="false">D3175</f>
        <v>0.25</v>
      </c>
      <c r="I3175" s="0" t="n">
        <f aca="false">E3175</f>
        <v>1</v>
      </c>
      <c r="J3175" s="0" t="n">
        <f aca="false">F3175</f>
        <v>0</v>
      </c>
      <c r="K3175" s="0" t="n">
        <f aca="false">D3175*E3175</f>
        <v>0.25</v>
      </c>
      <c r="L3175" s="0" t="n">
        <f aca="false">D3175*F3175</f>
        <v>0</v>
      </c>
      <c r="M3175" s="0" t="n">
        <f aca="false">E3175*F3175</f>
        <v>0</v>
      </c>
      <c r="N3175" s="0" t="n">
        <f aca="false">D3175*D3175</f>
        <v>0.0625</v>
      </c>
      <c r="O3175" s="0" t="n">
        <f aca="false">E3175*E3175</f>
        <v>1</v>
      </c>
      <c r="P3175" s="0" t="n">
        <f aca="false">F3175*F3175</f>
        <v>0</v>
      </c>
      <c r="Q3175" s="0" t="n">
        <f aca="false">SUMPRODUCT(G3175:P3175,_XtX!$B$71:$K$71)</f>
        <v>49.2300568181818</v>
      </c>
      <c r="R3175" s="0" t="n">
        <f aca="false">SUMPRODUCT(MMULT(G3175:P3175,_XtX!$B$58:$K$67),G3175:P3175)</f>
        <v>0.483664772727273</v>
      </c>
      <c r="S3175" s="0" t="n">
        <f aca="false">04_回帰ANOVA!$K$19*04_回帰ANOVA!$K$14*SQRT(1+R3175)</f>
        <v>1.13249039846694</v>
      </c>
      <c r="T3175" s="0" t="n">
        <f aca="false">Q3175-S3175</f>
        <v>48.0975664197149</v>
      </c>
      <c r="U3175" s="0" t="n">
        <f aca="false">Q3175+S3175</f>
        <v>50.3625472166488</v>
      </c>
      <c r="V3175" s="54" t="b">
        <f aca="false">AND(D3175&gt;=01_因子設定!$L$5-0.000000001,D3175&lt;=01_因子設定!$M$5+0.000000001,E3175&gt;=01_因子設定!$L$6-0.000000001,E3175&lt;=01_因子設定!$M$6+0.000000001,F3175&gt;=01_因子設定!$L$7-0.000000001,F3175&lt;=01_因子設定!$M$7+0.000000001,IF(01_因子設定!$B$20="Box-Behnken",D3175^2+E3175^2+F3175^2&lt;=2+0.000000001,TRUE()))</f>
        <v>1</v>
      </c>
      <c r="W3175" s="55" t="n">
        <f aca="false">IF(V3175,IF(01_因子設定!$B$13="最大化",T3175-01_因子設定!$B$14,IF(01_因子設定!$B$13="最小化",01_因子設定!$B$15-U3175,MIN(T3175-01_因子設定!$B$14,01_因子設定!$B$15-U3175))),-1E+030)</f>
        <v>-0.402433580285106</v>
      </c>
      <c r="X3175" s="55" t="n">
        <f aca="false">IF(V3175,IF(01_因子設定!$B$13="最大化",Q3175,IF(01_因子設定!$B$13="最小化",-Q3175,-ABS(Q3175-01_因子設定!$B$16))),-1E+030)</f>
        <v>49.2300568181818</v>
      </c>
      <c r="Y3175" s="55" t="n">
        <f aca="false">W3175+ROW()*0.000000001</f>
        <v>-0.402430405285106</v>
      </c>
      <c r="Z3175" s="55" t="n">
        <f aca="false">X3175+ROW()*0.000000001</f>
        <v>49.2300599931818</v>
      </c>
    </row>
    <row r="3176" customFormat="false" ht="15" hidden="false" customHeight="false" outlineLevel="0" collapsed="false">
      <c r="A3176" s="0" t="n">
        <v>10</v>
      </c>
      <c r="B3176" s="0" t="n">
        <v>16</v>
      </c>
      <c r="C3176" s="0" t="n">
        <v>9</v>
      </c>
      <c r="D3176" s="0" t="n">
        <f aca="false">-1+A3176*0.125</f>
        <v>0.25</v>
      </c>
      <c r="E3176" s="0" t="n">
        <f aca="false">-1+B3176*0.125</f>
        <v>1</v>
      </c>
      <c r="F3176" s="0" t="n">
        <f aca="false">-1+C3176*0.125</f>
        <v>0.125</v>
      </c>
      <c r="G3176" s="0" t="n">
        <f aca="false">1</f>
        <v>1</v>
      </c>
      <c r="H3176" s="0" t="n">
        <f aca="false">D3176</f>
        <v>0.25</v>
      </c>
      <c r="I3176" s="0" t="n">
        <f aca="false">E3176</f>
        <v>1</v>
      </c>
      <c r="J3176" s="0" t="n">
        <f aca="false">F3176</f>
        <v>0.125</v>
      </c>
      <c r="K3176" s="0" t="n">
        <f aca="false">D3176*E3176</f>
        <v>0.25</v>
      </c>
      <c r="L3176" s="0" t="n">
        <f aca="false">D3176*F3176</f>
        <v>0.03125</v>
      </c>
      <c r="M3176" s="0" t="n">
        <f aca="false">E3176*F3176</f>
        <v>0.125</v>
      </c>
      <c r="N3176" s="0" t="n">
        <f aca="false">D3176*D3176</f>
        <v>0.0625</v>
      </c>
      <c r="O3176" s="0" t="n">
        <f aca="false">E3176*E3176</f>
        <v>1</v>
      </c>
      <c r="P3176" s="0" t="n">
        <f aca="false">F3176*F3176</f>
        <v>0.015625</v>
      </c>
      <c r="Q3176" s="0" t="n">
        <f aca="false">SUMPRODUCT(G3176:P3176,_XtX!$B$71:$K$71)</f>
        <v>49.4357244318182</v>
      </c>
      <c r="R3176" s="0" t="n">
        <f aca="false">SUMPRODUCT(MMULT(G3176:P3176,_XtX!$B$58:$K$67),G3176:P3176)</f>
        <v>0.481443093039773</v>
      </c>
      <c r="S3176" s="0" t="n">
        <f aca="false">04_回帰ANOVA!$K$19*04_回帰ANOVA!$K$14*SQRT(1+R3176)</f>
        <v>1.13164216995877</v>
      </c>
      <c r="T3176" s="0" t="n">
        <f aca="false">Q3176-S3176</f>
        <v>48.3040822618594</v>
      </c>
      <c r="U3176" s="0" t="n">
        <f aca="false">Q3176+S3176</f>
        <v>50.567366601777</v>
      </c>
      <c r="V3176" s="54" t="b">
        <f aca="false">AND(D3176&gt;=01_因子設定!$L$5-0.000000001,D3176&lt;=01_因子設定!$M$5+0.000000001,E3176&gt;=01_因子設定!$L$6-0.000000001,E3176&lt;=01_因子設定!$M$6+0.000000001,F3176&gt;=01_因子設定!$L$7-0.000000001,F3176&lt;=01_因子設定!$M$7+0.000000001,IF(01_因子設定!$B$20="Box-Behnken",D3176^2+E3176^2+F3176^2&lt;=2+0.000000001,TRUE()))</f>
        <v>1</v>
      </c>
      <c r="W3176" s="55" t="n">
        <f aca="false">IF(V3176,IF(01_因子設定!$B$13="最大化",T3176-01_因子設定!$B$14,IF(01_因子設定!$B$13="最小化",01_因子設定!$B$15-U3176,MIN(T3176-01_因子設定!$B$14,01_因子設定!$B$15-U3176))),-1E+030)</f>
        <v>-0.195917738140572</v>
      </c>
      <c r="X3176" s="55" t="n">
        <f aca="false">IF(V3176,IF(01_因子設定!$B$13="最大化",Q3176,IF(01_因子設定!$B$13="最小化",-Q3176,-ABS(Q3176-01_因子設定!$B$16))),-1E+030)</f>
        <v>49.4357244318182</v>
      </c>
      <c r="Y3176" s="55" t="n">
        <f aca="false">W3176+ROW()*0.000000001</f>
        <v>-0.195914562140572</v>
      </c>
      <c r="Z3176" s="55" t="n">
        <f aca="false">X3176+ROW()*0.000000001</f>
        <v>49.4357276078182</v>
      </c>
    </row>
    <row r="3177" customFormat="false" ht="15" hidden="false" customHeight="false" outlineLevel="0" collapsed="false">
      <c r="A3177" s="0" t="n">
        <v>10</v>
      </c>
      <c r="B3177" s="0" t="n">
        <v>16</v>
      </c>
      <c r="C3177" s="0" t="n">
        <v>10</v>
      </c>
      <c r="D3177" s="0" t="n">
        <f aca="false">-1+A3177*0.125</f>
        <v>0.25</v>
      </c>
      <c r="E3177" s="0" t="n">
        <f aca="false">-1+B3177*0.125</f>
        <v>1</v>
      </c>
      <c r="F3177" s="0" t="n">
        <f aca="false">-1+C3177*0.125</f>
        <v>0.25</v>
      </c>
      <c r="G3177" s="0" t="n">
        <f aca="false">1</f>
        <v>1</v>
      </c>
      <c r="H3177" s="0" t="n">
        <f aca="false">D3177</f>
        <v>0.25</v>
      </c>
      <c r="I3177" s="0" t="n">
        <f aca="false">E3177</f>
        <v>1</v>
      </c>
      <c r="J3177" s="0" t="n">
        <f aca="false">F3177</f>
        <v>0.25</v>
      </c>
      <c r="K3177" s="0" t="n">
        <f aca="false">D3177*E3177</f>
        <v>0.25</v>
      </c>
      <c r="L3177" s="0" t="n">
        <f aca="false">D3177*F3177</f>
        <v>0.0625</v>
      </c>
      <c r="M3177" s="0" t="n">
        <f aca="false">E3177*F3177</f>
        <v>0.25</v>
      </c>
      <c r="N3177" s="0" t="n">
        <f aca="false">D3177*D3177</f>
        <v>0.0625</v>
      </c>
      <c r="O3177" s="0" t="n">
        <f aca="false">E3177*E3177</f>
        <v>1</v>
      </c>
      <c r="P3177" s="0" t="n">
        <f aca="false">F3177*F3177</f>
        <v>0.0625</v>
      </c>
      <c r="Q3177" s="0" t="n">
        <f aca="false">SUMPRODUCT(G3177:P3177,_XtX!$B$71:$K$71)</f>
        <v>49.6046022727273</v>
      </c>
      <c r="R3177" s="0" t="n">
        <f aca="false">SUMPRODUCT(MMULT(G3177:P3177,_XtX!$B$58:$K$67),G3177:P3177)</f>
        <v>0.475843394886364</v>
      </c>
      <c r="S3177" s="0" t="n">
        <f aca="false">04_回帰ANOVA!$K$19*04_回帰ANOVA!$K$14*SQRT(1+R3177)</f>
        <v>1.12950140123694</v>
      </c>
      <c r="T3177" s="0" t="n">
        <f aca="false">Q3177-S3177</f>
        <v>48.4751008714904</v>
      </c>
      <c r="U3177" s="0" t="n">
        <f aca="false">Q3177+S3177</f>
        <v>50.7341036739642</v>
      </c>
      <c r="V3177" s="54" t="b">
        <f aca="false">AND(D3177&gt;=01_因子設定!$L$5-0.000000001,D3177&lt;=01_因子設定!$M$5+0.000000001,E3177&gt;=01_因子設定!$L$6-0.000000001,E3177&lt;=01_因子設定!$M$6+0.000000001,F3177&gt;=01_因子設定!$L$7-0.000000001,F3177&lt;=01_因子設定!$M$7+0.000000001,IF(01_因子設定!$B$20="Box-Behnken",D3177^2+E3177^2+F3177^2&lt;=2+0.000000001,TRUE()))</f>
        <v>1</v>
      </c>
      <c r="W3177" s="55" t="n">
        <f aca="false">IF(V3177,IF(01_因子設定!$B$13="最大化",T3177-01_因子設定!$B$14,IF(01_因子設定!$B$13="最小化",01_因子設定!$B$15-U3177,MIN(T3177-01_因子設定!$B$14,01_因子設定!$B$15-U3177))),-1E+030)</f>
        <v>-0.0248991285096523</v>
      </c>
      <c r="X3177" s="55" t="n">
        <f aca="false">IF(V3177,IF(01_因子設定!$B$13="最大化",Q3177,IF(01_因子設定!$B$13="最小化",-Q3177,-ABS(Q3177-01_因子設定!$B$16))),-1E+030)</f>
        <v>49.6046022727273</v>
      </c>
      <c r="Y3177" s="55" t="n">
        <f aca="false">W3177+ROW()*0.000000001</f>
        <v>-0.0248959515096523</v>
      </c>
      <c r="Z3177" s="55" t="n">
        <f aca="false">X3177+ROW()*0.000000001</f>
        <v>49.6046054497273</v>
      </c>
    </row>
    <row r="3178" customFormat="false" ht="15" hidden="false" customHeight="false" outlineLevel="0" collapsed="false">
      <c r="A3178" s="0" t="n">
        <v>10</v>
      </c>
      <c r="B3178" s="0" t="n">
        <v>16</v>
      </c>
      <c r="C3178" s="0" t="n">
        <v>11</v>
      </c>
      <c r="D3178" s="0" t="n">
        <f aca="false">-1+A3178*0.125</f>
        <v>0.25</v>
      </c>
      <c r="E3178" s="0" t="n">
        <f aca="false">-1+B3178*0.125</f>
        <v>1</v>
      </c>
      <c r="F3178" s="0" t="n">
        <f aca="false">-1+C3178*0.125</f>
        <v>0.375</v>
      </c>
      <c r="G3178" s="0" t="n">
        <f aca="false">1</f>
        <v>1</v>
      </c>
      <c r="H3178" s="0" t="n">
        <f aca="false">D3178</f>
        <v>0.25</v>
      </c>
      <c r="I3178" s="0" t="n">
        <f aca="false">E3178</f>
        <v>1</v>
      </c>
      <c r="J3178" s="0" t="n">
        <f aca="false">F3178</f>
        <v>0.375</v>
      </c>
      <c r="K3178" s="0" t="n">
        <f aca="false">D3178*E3178</f>
        <v>0.25</v>
      </c>
      <c r="L3178" s="0" t="n">
        <f aca="false">D3178*F3178</f>
        <v>0.09375</v>
      </c>
      <c r="M3178" s="0" t="n">
        <f aca="false">E3178*F3178</f>
        <v>0.375</v>
      </c>
      <c r="N3178" s="0" t="n">
        <f aca="false">D3178*D3178</f>
        <v>0.0625</v>
      </c>
      <c r="O3178" s="0" t="n">
        <f aca="false">E3178*E3178</f>
        <v>1</v>
      </c>
      <c r="P3178" s="0" t="n">
        <f aca="false">F3178*F3178</f>
        <v>0.140625</v>
      </c>
      <c r="Q3178" s="0" t="n">
        <f aca="false">SUMPRODUCT(G3178:P3178,_XtX!$B$71:$K$71)</f>
        <v>49.7366903409091</v>
      </c>
      <c r="R3178" s="0" t="n">
        <f aca="false">SUMPRODUCT(MMULT(G3178:P3178,_XtX!$B$58:$K$67),G3178:P3178)</f>
        <v>0.470061700994318</v>
      </c>
      <c r="S3178" s="0" t="n">
        <f aca="false">04_回帰ANOVA!$K$19*04_回帰ANOVA!$K$14*SQRT(1+R3178)</f>
        <v>1.12728678965931</v>
      </c>
      <c r="T3178" s="0" t="n">
        <f aca="false">Q3178-S3178</f>
        <v>48.6094035512498</v>
      </c>
      <c r="U3178" s="0" t="n">
        <f aca="false">Q3178+S3178</f>
        <v>50.8639771305684</v>
      </c>
      <c r="V3178" s="54" t="b">
        <f aca="false">AND(D3178&gt;=01_因子設定!$L$5-0.000000001,D3178&lt;=01_因子設定!$M$5+0.000000001,E3178&gt;=01_因子設定!$L$6-0.000000001,E3178&lt;=01_因子設定!$M$6+0.000000001,F3178&gt;=01_因子設定!$L$7-0.000000001,F3178&lt;=01_因子設定!$M$7+0.000000001,IF(01_因子設定!$B$20="Box-Behnken",D3178^2+E3178^2+F3178^2&lt;=2+0.000000001,TRUE()))</f>
        <v>1</v>
      </c>
      <c r="W3178" s="55" t="n">
        <f aca="false">IF(V3178,IF(01_因子設定!$B$13="最大化",T3178-01_因子設定!$B$14,IF(01_因子設定!$B$13="最小化",01_因子設定!$B$15-U3178,MIN(T3178-01_因子設定!$B$14,01_因子設定!$B$15-U3178))),-1E+030)</f>
        <v>0.109403551249798</v>
      </c>
      <c r="X3178" s="55" t="n">
        <f aca="false">IF(V3178,IF(01_因子設定!$B$13="最大化",Q3178,IF(01_因子設定!$B$13="最小化",-Q3178,-ABS(Q3178-01_因子設定!$B$16))),-1E+030)</f>
        <v>49.7366903409091</v>
      </c>
      <c r="Y3178" s="55" t="n">
        <f aca="false">W3178+ROW()*0.000000001</f>
        <v>0.109406729249798</v>
      </c>
      <c r="Z3178" s="55" t="n">
        <f aca="false">X3178+ROW()*0.000000001</f>
        <v>49.7366935189091</v>
      </c>
    </row>
    <row r="3179" customFormat="false" ht="15" hidden="false" customHeight="false" outlineLevel="0" collapsed="false">
      <c r="A3179" s="0" t="n">
        <v>10</v>
      </c>
      <c r="B3179" s="0" t="n">
        <v>16</v>
      </c>
      <c r="C3179" s="0" t="n">
        <v>12</v>
      </c>
      <c r="D3179" s="0" t="n">
        <f aca="false">-1+A3179*0.125</f>
        <v>0.25</v>
      </c>
      <c r="E3179" s="0" t="n">
        <f aca="false">-1+B3179*0.125</f>
        <v>1</v>
      </c>
      <c r="F3179" s="0" t="n">
        <f aca="false">-1+C3179*0.125</f>
        <v>0.5</v>
      </c>
      <c r="G3179" s="0" t="n">
        <f aca="false">1</f>
        <v>1</v>
      </c>
      <c r="H3179" s="0" t="n">
        <f aca="false">D3179</f>
        <v>0.25</v>
      </c>
      <c r="I3179" s="0" t="n">
        <f aca="false">E3179</f>
        <v>1</v>
      </c>
      <c r="J3179" s="0" t="n">
        <f aca="false">F3179</f>
        <v>0.5</v>
      </c>
      <c r="K3179" s="0" t="n">
        <f aca="false">D3179*E3179</f>
        <v>0.25</v>
      </c>
      <c r="L3179" s="0" t="n">
        <f aca="false">D3179*F3179</f>
        <v>0.125</v>
      </c>
      <c r="M3179" s="0" t="n">
        <f aca="false">E3179*F3179</f>
        <v>0.5</v>
      </c>
      <c r="N3179" s="0" t="n">
        <f aca="false">D3179*D3179</f>
        <v>0.0625</v>
      </c>
      <c r="O3179" s="0" t="n">
        <f aca="false">E3179*E3179</f>
        <v>1</v>
      </c>
      <c r="P3179" s="0" t="n">
        <f aca="false">F3179*F3179</f>
        <v>0.25</v>
      </c>
      <c r="Q3179" s="0" t="n">
        <f aca="false">SUMPRODUCT(G3179:P3179,_XtX!$B$71:$K$71)</f>
        <v>49.8319886363637</v>
      </c>
      <c r="R3179" s="0" t="n">
        <f aca="false">SUMPRODUCT(MMULT(G3179:P3179,_XtX!$B$58:$K$67),G3179:P3179)</f>
        <v>0.469424715909091</v>
      </c>
      <c r="S3179" s="0" t="n">
        <f aca="false">04_回帰ANOVA!$K$19*04_回帰ANOVA!$K$14*SQRT(1+R3179)</f>
        <v>1.12704253369596</v>
      </c>
      <c r="T3179" s="0" t="n">
        <f aca="false">Q3179-S3179</f>
        <v>48.7049461026677</v>
      </c>
      <c r="U3179" s="0" t="n">
        <f aca="false">Q3179+S3179</f>
        <v>50.9590311700596</v>
      </c>
      <c r="V3179" s="54" t="b">
        <f aca="false">AND(D3179&gt;=01_因子設定!$L$5-0.000000001,D3179&lt;=01_因子設定!$M$5+0.000000001,E3179&gt;=01_因子設定!$L$6-0.000000001,E3179&lt;=01_因子設定!$M$6+0.000000001,F3179&gt;=01_因子設定!$L$7-0.000000001,F3179&lt;=01_因子設定!$M$7+0.000000001,IF(01_因子設定!$B$20="Box-Behnken",D3179^2+E3179^2+F3179^2&lt;=2+0.000000001,TRUE()))</f>
        <v>1</v>
      </c>
      <c r="W3179" s="55" t="n">
        <f aca="false">IF(V3179,IF(01_因子設定!$B$13="最大化",T3179-01_因子設定!$B$14,IF(01_因子設定!$B$13="最小化",01_因子設定!$B$15-U3179,MIN(T3179-01_因子設定!$B$14,01_因子設定!$B$15-U3179))),-1E+030)</f>
        <v>0.204946102667698</v>
      </c>
      <c r="X3179" s="55" t="n">
        <f aca="false">IF(V3179,IF(01_因子設定!$B$13="最大化",Q3179,IF(01_因子設定!$B$13="最小化",-Q3179,-ABS(Q3179-01_因子設定!$B$16))),-1E+030)</f>
        <v>49.8319886363637</v>
      </c>
      <c r="Y3179" s="55" t="n">
        <f aca="false">W3179+ROW()*0.000000001</f>
        <v>0.204949281667698</v>
      </c>
      <c r="Z3179" s="55" t="n">
        <f aca="false">X3179+ROW()*0.000000001</f>
        <v>49.8319918153637</v>
      </c>
    </row>
    <row r="3180" customFormat="false" ht="15" hidden="false" customHeight="false" outlineLevel="0" collapsed="false">
      <c r="A3180" s="0" t="n">
        <v>10</v>
      </c>
      <c r="B3180" s="0" t="n">
        <v>16</v>
      </c>
      <c r="C3180" s="0" t="n">
        <v>13</v>
      </c>
      <c r="D3180" s="0" t="n">
        <f aca="false">-1+A3180*0.125</f>
        <v>0.25</v>
      </c>
      <c r="E3180" s="0" t="n">
        <f aca="false">-1+B3180*0.125</f>
        <v>1</v>
      </c>
      <c r="F3180" s="0" t="n">
        <f aca="false">-1+C3180*0.125</f>
        <v>0.625</v>
      </c>
      <c r="G3180" s="0" t="n">
        <f aca="false">1</f>
        <v>1</v>
      </c>
      <c r="H3180" s="0" t="n">
        <f aca="false">D3180</f>
        <v>0.25</v>
      </c>
      <c r="I3180" s="0" t="n">
        <f aca="false">E3180</f>
        <v>1</v>
      </c>
      <c r="J3180" s="0" t="n">
        <f aca="false">F3180</f>
        <v>0.625</v>
      </c>
      <c r="K3180" s="0" t="n">
        <f aca="false">D3180*E3180</f>
        <v>0.25</v>
      </c>
      <c r="L3180" s="0" t="n">
        <f aca="false">D3180*F3180</f>
        <v>0.15625</v>
      </c>
      <c r="M3180" s="0" t="n">
        <f aca="false">E3180*F3180</f>
        <v>0.625</v>
      </c>
      <c r="N3180" s="0" t="n">
        <f aca="false">D3180*D3180</f>
        <v>0.0625</v>
      </c>
      <c r="O3180" s="0" t="n">
        <f aca="false">E3180*E3180</f>
        <v>1</v>
      </c>
      <c r="P3180" s="0" t="n">
        <f aca="false">F3180*F3180</f>
        <v>0.390625</v>
      </c>
      <c r="Q3180" s="0" t="n">
        <f aca="false">SUMPRODUCT(G3180:P3180,_XtX!$B$71:$K$71)</f>
        <v>49.8904971590909</v>
      </c>
      <c r="R3180" s="0" t="n">
        <f aca="false">SUMPRODUCT(MMULT(G3180:P3180,_XtX!$B$58:$K$67),G3180:P3180)</f>
        <v>0.481389825994318</v>
      </c>
      <c r="S3180" s="0" t="n">
        <f aca="false">04_回帰ANOVA!$K$19*04_回帰ANOVA!$K$14*SQRT(1+R3180)</f>
        <v>1.13162182500693</v>
      </c>
      <c r="T3180" s="0" t="n">
        <f aca="false">Q3180-S3180</f>
        <v>48.758875334084</v>
      </c>
      <c r="U3180" s="0" t="n">
        <f aca="false">Q3180+S3180</f>
        <v>51.0221189840979</v>
      </c>
      <c r="V3180" s="54" t="b">
        <f aca="false">AND(D3180&gt;=01_因子設定!$L$5-0.000000001,D3180&lt;=01_因子設定!$M$5+0.000000001,E3180&gt;=01_因子設定!$L$6-0.000000001,E3180&lt;=01_因子設定!$M$6+0.000000001,F3180&gt;=01_因子設定!$L$7-0.000000001,F3180&lt;=01_因子設定!$M$7+0.000000001,IF(01_因子設定!$B$20="Box-Behnken",D3180^2+E3180^2+F3180^2&lt;=2+0.000000001,TRUE()))</f>
        <v>1</v>
      </c>
      <c r="W3180" s="55" t="n">
        <f aca="false">IF(V3180,IF(01_因子設定!$B$13="最大化",T3180-01_因子設定!$B$14,IF(01_因子設定!$B$13="最小化",01_因子設定!$B$15-U3180,MIN(T3180-01_因子設定!$B$14,01_因子設定!$B$15-U3180))),-1E+030)</f>
        <v>0.258875334084003</v>
      </c>
      <c r="X3180" s="55" t="n">
        <f aca="false">IF(V3180,IF(01_因子設定!$B$13="最大化",Q3180,IF(01_因子設定!$B$13="最小化",-Q3180,-ABS(Q3180-01_因子設定!$B$16))),-1E+030)</f>
        <v>49.8904971590909</v>
      </c>
      <c r="Y3180" s="55" t="n">
        <f aca="false">W3180+ROW()*0.000000001</f>
        <v>0.258878514084003</v>
      </c>
      <c r="Z3180" s="55" t="n">
        <f aca="false">X3180+ROW()*0.000000001</f>
        <v>49.8905003390909</v>
      </c>
    </row>
    <row r="3181" customFormat="false" ht="15" hidden="false" customHeight="false" outlineLevel="0" collapsed="false">
      <c r="A3181" s="0" t="n">
        <v>10</v>
      </c>
      <c r="B3181" s="0" t="n">
        <v>16</v>
      </c>
      <c r="C3181" s="0" t="n">
        <v>14</v>
      </c>
      <c r="D3181" s="0" t="n">
        <f aca="false">-1+A3181*0.125</f>
        <v>0.25</v>
      </c>
      <c r="E3181" s="0" t="n">
        <f aca="false">-1+B3181*0.125</f>
        <v>1</v>
      </c>
      <c r="F3181" s="0" t="n">
        <f aca="false">-1+C3181*0.125</f>
        <v>0.75</v>
      </c>
      <c r="G3181" s="0" t="n">
        <f aca="false">1</f>
        <v>1</v>
      </c>
      <c r="H3181" s="0" t="n">
        <f aca="false">D3181</f>
        <v>0.25</v>
      </c>
      <c r="I3181" s="0" t="n">
        <f aca="false">E3181</f>
        <v>1</v>
      </c>
      <c r="J3181" s="0" t="n">
        <f aca="false">F3181</f>
        <v>0.75</v>
      </c>
      <c r="K3181" s="0" t="n">
        <f aca="false">D3181*E3181</f>
        <v>0.25</v>
      </c>
      <c r="L3181" s="0" t="n">
        <f aca="false">D3181*F3181</f>
        <v>0.1875</v>
      </c>
      <c r="M3181" s="0" t="n">
        <f aca="false">E3181*F3181</f>
        <v>0.75</v>
      </c>
      <c r="N3181" s="0" t="n">
        <f aca="false">D3181*D3181</f>
        <v>0.0625</v>
      </c>
      <c r="O3181" s="0" t="n">
        <f aca="false">E3181*E3181</f>
        <v>1</v>
      </c>
      <c r="P3181" s="0" t="n">
        <f aca="false">F3181*F3181</f>
        <v>0.5625</v>
      </c>
      <c r="Q3181" s="0" t="n">
        <f aca="false">SUMPRODUCT(G3181:P3181,_XtX!$B$71:$K$71)</f>
        <v>49.9122159090909</v>
      </c>
      <c r="R3181" s="0" t="n">
        <f aca="false">SUMPRODUCT(MMULT(G3181:P3181,_XtX!$B$58:$K$67),G3181:P3181)</f>
        <v>0.515545099431818</v>
      </c>
      <c r="S3181" s="0" t="n">
        <f aca="false">04_回帰ANOVA!$K$19*04_回帰ANOVA!$K$14*SQRT(1+R3181)</f>
        <v>1.14459295464101</v>
      </c>
      <c r="T3181" s="0" t="n">
        <f aca="false">Q3181-S3181</f>
        <v>48.7676229544499</v>
      </c>
      <c r="U3181" s="0" t="n">
        <f aca="false">Q3181+S3181</f>
        <v>51.0568088637319</v>
      </c>
      <c r="V3181" s="54" t="b">
        <f aca="false">AND(D3181&gt;=01_因子設定!$L$5-0.000000001,D3181&lt;=01_因子設定!$M$5+0.000000001,E3181&gt;=01_因子設定!$L$6-0.000000001,E3181&lt;=01_因子設定!$M$6+0.000000001,F3181&gt;=01_因子設定!$L$7-0.000000001,F3181&lt;=01_因子設定!$M$7+0.000000001,IF(01_因子設定!$B$20="Box-Behnken",D3181^2+E3181^2+F3181^2&lt;=2+0.000000001,TRUE()))</f>
        <v>1</v>
      </c>
      <c r="W3181" s="55" t="n">
        <f aca="false">IF(V3181,IF(01_因子設定!$B$13="最大化",T3181-01_因子設定!$B$14,IF(01_因子設定!$B$13="最小化",01_因子設定!$B$15-U3181,MIN(T3181-01_因子設定!$B$14,01_因子設定!$B$15-U3181))),-1E+030)</f>
        <v>0.267622954449919</v>
      </c>
      <c r="X3181" s="55" t="n">
        <f aca="false">IF(V3181,IF(01_因子設定!$B$13="最大化",Q3181,IF(01_因子設定!$B$13="最小化",-Q3181,-ABS(Q3181-01_因子設定!$B$16))),-1E+030)</f>
        <v>49.9122159090909</v>
      </c>
      <c r="Y3181" s="55" t="n">
        <f aca="false">W3181+ROW()*0.000000001</f>
        <v>0.267626135449919</v>
      </c>
      <c r="Z3181" s="55" t="n">
        <f aca="false">X3181+ROW()*0.000000001</f>
        <v>49.9122190900909</v>
      </c>
    </row>
    <row r="3182" customFormat="false" ht="15" hidden="false" customHeight="false" outlineLevel="0" collapsed="false">
      <c r="A3182" s="0" t="n">
        <v>10</v>
      </c>
      <c r="B3182" s="0" t="n">
        <v>16</v>
      </c>
      <c r="C3182" s="0" t="n">
        <v>15</v>
      </c>
      <c r="D3182" s="0" t="n">
        <f aca="false">-1+A3182*0.125</f>
        <v>0.25</v>
      </c>
      <c r="E3182" s="0" t="n">
        <f aca="false">-1+B3182*0.125</f>
        <v>1</v>
      </c>
      <c r="F3182" s="0" t="n">
        <f aca="false">-1+C3182*0.125</f>
        <v>0.875</v>
      </c>
      <c r="G3182" s="0" t="n">
        <f aca="false">1</f>
        <v>1</v>
      </c>
      <c r="H3182" s="0" t="n">
        <f aca="false">D3182</f>
        <v>0.25</v>
      </c>
      <c r="I3182" s="0" t="n">
        <f aca="false">E3182</f>
        <v>1</v>
      </c>
      <c r="J3182" s="0" t="n">
        <f aca="false">F3182</f>
        <v>0.875</v>
      </c>
      <c r="K3182" s="0" t="n">
        <f aca="false">D3182*E3182</f>
        <v>0.25</v>
      </c>
      <c r="L3182" s="0" t="n">
        <f aca="false">D3182*F3182</f>
        <v>0.21875</v>
      </c>
      <c r="M3182" s="0" t="n">
        <f aca="false">E3182*F3182</f>
        <v>0.875</v>
      </c>
      <c r="N3182" s="0" t="n">
        <f aca="false">D3182*D3182</f>
        <v>0.0625</v>
      </c>
      <c r="O3182" s="0" t="n">
        <f aca="false">E3182*E3182</f>
        <v>1</v>
      </c>
      <c r="P3182" s="0" t="n">
        <f aca="false">F3182*F3182</f>
        <v>0.765625</v>
      </c>
      <c r="Q3182" s="0" t="n">
        <f aca="false">SUMPRODUCT(G3182:P3182,_XtX!$B$71:$K$71)</f>
        <v>49.8971448863637</v>
      </c>
      <c r="R3182" s="0" t="n">
        <f aca="false">SUMPRODUCT(MMULT(G3182:P3182,_XtX!$B$58:$K$67),G3182:P3182)</f>
        <v>0.583609286221591</v>
      </c>
      <c r="S3182" s="0" t="n">
        <f aca="false">04_回帰ANOVA!$K$19*04_回帰ANOVA!$K$14*SQRT(1+R3182)</f>
        <v>1.1700129157584</v>
      </c>
      <c r="T3182" s="0" t="n">
        <f aca="false">Q3182-S3182</f>
        <v>48.7271319706053</v>
      </c>
      <c r="U3182" s="0" t="n">
        <f aca="false">Q3182+S3182</f>
        <v>51.0671578021221</v>
      </c>
      <c r="V3182" s="54" t="b">
        <f aca="false">AND(D3182&gt;=01_因子設定!$L$5-0.000000001,D3182&lt;=01_因子設定!$M$5+0.000000001,E3182&gt;=01_因子設定!$L$6-0.000000001,E3182&lt;=01_因子設定!$M$6+0.000000001,F3182&gt;=01_因子設定!$L$7-0.000000001,F3182&lt;=01_因子設定!$M$7+0.000000001,IF(01_因子設定!$B$20="Box-Behnken",D3182^2+E3182^2+F3182^2&lt;=2+0.000000001,TRUE()))</f>
        <v>1</v>
      </c>
      <c r="W3182" s="55" t="n">
        <f aca="false">IF(V3182,IF(01_因子設定!$B$13="最大化",T3182-01_因子設定!$B$14,IF(01_因子設定!$B$13="最小化",01_因子設定!$B$15-U3182,MIN(T3182-01_因子設定!$B$14,01_因子設定!$B$15-U3182))),-1E+030)</f>
        <v>0.227131970605271</v>
      </c>
      <c r="X3182" s="55" t="n">
        <f aca="false">IF(V3182,IF(01_因子設定!$B$13="最大化",Q3182,IF(01_因子設定!$B$13="最小化",-Q3182,-ABS(Q3182-01_因子設定!$B$16))),-1E+030)</f>
        <v>49.8971448863637</v>
      </c>
      <c r="Y3182" s="55" t="n">
        <f aca="false">W3182+ROW()*0.000000001</f>
        <v>0.227135152605271</v>
      </c>
      <c r="Z3182" s="55" t="n">
        <f aca="false">X3182+ROW()*0.000000001</f>
        <v>49.8971480683637</v>
      </c>
    </row>
    <row r="3183" customFormat="false" ht="15" hidden="false" customHeight="false" outlineLevel="0" collapsed="false">
      <c r="A3183" s="0" t="n">
        <v>10</v>
      </c>
      <c r="B3183" s="0" t="n">
        <v>16</v>
      </c>
      <c r="C3183" s="0" t="n">
        <v>16</v>
      </c>
      <c r="D3183" s="0" t="n">
        <f aca="false">-1+A3183*0.125</f>
        <v>0.25</v>
      </c>
      <c r="E3183" s="0" t="n">
        <f aca="false">-1+B3183*0.125</f>
        <v>1</v>
      </c>
      <c r="F3183" s="0" t="n">
        <f aca="false">-1+C3183*0.125</f>
        <v>1</v>
      </c>
      <c r="G3183" s="0" t="n">
        <f aca="false">1</f>
        <v>1</v>
      </c>
      <c r="H3183" s="0" t="n">
        <f aca="false">D3183</f>
        <v>0.25</v>
      </c>
      <c r="I3183" s="0" t="n">
        <f aca="false">E3183</f>
        <v>1</v>
      </c>
      <c r="J3183" s="0" t="n">
        <f aca="false">F3183</f>
        <v>1</v>
      </c>
      <c r="K3183" s="0" t="n">
        <f aca="false">D3183*E3183</f>
        <v>0.25</v>
      </c>
      <c r="L3183" s="0" t="n">
        <f aca="false">D3183*F3183</f>
        <v>0.25</v>
      </c>
      <c r="M3183" s="0" t="n">
        <f aca="false">E3183*F3183</f>
        <v>1</v>
      </c>
      <c r="N3183" s="0" t="n">
        <f aca="false">D3183*D3183</f>
        <v>0.0625</v>
      </c>
      <c r="O3183" s="0" t="n">
        <f aca="false">E3183*E3183</f>
        <v>1</v>
      </c>
      <c r="P3183" s="0" t="n">
        <f aca="false">F3183*F3183</f>
        <v>1</v>
      </c>
      <c r="Q3183" s="0" t="n">
        <f aca="false">SUMPRODUCT(G3183:P3183,_XtX!$B$71:$K$71)</f>
        <v>49.8452840909091</v>
      </c>
      <c r="R3183" s="0" t="n">
        <f aca="false">SUMPRODUCT(MMULT(G3183:P3183,_XtX!$B$58:$K$67),G3183:P3183)</f>
        <v>0.699431818181818</v>
      </c>
      <c r="S3183" s="0" t="n">
        <f aca="false">04_回帰ANOVA!$K$19*04_回帰ANOVA!$K$14*SQRT(1+R3183)</f>
        <v>1.21204434231192</v>
      </c>
      <c r="T3183" s="0" t="n">
        <f aca="false">Q3183-S3183</f>
        <v>48.6332397485972</v>
      </c>
      <c r="U3183" s="0" t="n">
        <f aca="false">Q3183+S3183</f>
        <v>51.057328433221</v>
      </c>
      <c r="V3183" s="54" t="b">
        <f aca="false">AND(D3183&gt;=01_因子設定!$L$5-0.000000001,D3183&lt;=01_因子設定!$M$5+0.000000001,E3183&gt;=01_因子設定!$L$6-0.000000001,E3183&lt;=01_因子設定!$M$6+0.000000001,F3183&gt;=01_因子設定!$L$7-0.000000001,F3183&lt;=01_因子設定!$M$7+0.000000001,IF(01_因子設定!$B$20="Box-Behnken",D3183^2+E3183^2+F3183^2&lt;=2+0.000000001,TRUE()))</f>
        <v>1</v>
      </c>
      <c r="W3183" s="55" t="n">
        <f aca="false">IF(V3183,IF(01_因子設定!$B$13="最大化",T3183-01_因子設定!$B$14,IF(01_因子設定!$B$13="最小化",01_因子設定!$B$15-U3183,MIN(T3183-01_因子設定!$B$14,01_因子設定!$B$15-U3183))),-1E+030)</f>
        <v>0.133239748597198</v>
      </c>
      <c r="X3183" s="55" t="n">
        <f aca="false">IF(V3183,IF(01_因子設定!$B$13="最大化",Q3183,IF(01_因子設定!$B$13="最小化",-Q3183,-ABS(Q3183-01_因子設定!$B$16))),-1E+030)</f>
        <v>49.8452840909091</v>
      </c>
      <c r="Y3183" s="55" t="n">
        <f aca="false">W3183+ROW()*0.000000001</f>
        <v>0.133242931597198</v>
      </c>
      <c r="Z3183" s="55" t="n">
        <f aca="false">X3183+ROW()*0.000000001</f>
        <v>49.8452872739091</v>
      </c>
    </row>
    <row r="3184" customFormat="false" ht="15" hidden="false" customHeight="false" outlineLevel="0" collapsed="false">
      <c r="A3184" s="0" t="n">
        <v>11</v>
      </c>
      <c r="B3184" s="0" t="n">
        <v>0</v>
      </c>
      <c r="C3184" s="0" t="n">
        <v>0</v>
      </c>
      <c r="D3184" s="0" t="n">
        <f aca="false">-1+A3184*0.125</f>
        <v>0.375</v>
      </c>
      <c r="E3184" s="0" t="n">
        <f aca="false">-1+B3184*0.125</f>
        <v>-1</v>
      </c>
      <c r="F3184" s="0" t="n">
        <f aca="false">-1+C3184*0.125</f>
        <v>-1</v>
      </c>
      <c r="G3184" s="0" t="n">
        <f aca="false">1</f>
        <v>1</v>
      </c>
      <c r="H3184" s="0" t="n">
        <f aca="false">D3184</f>
        <v>0.375</v>
      </c>
      <c r="I3184" s="0" t="n">
        <f aca="false">E3184</f>
        <v>-1</v>
      </c>
      <c r="J3184" s="0" t="n">
        <f aca="false">F3184</f>
        <v>-1</v>
      </c>
      <c r="K3184" s="0" t="n">
        <f aca="false">D3184*E3184</f>
        <v>-0.375</v>
      </c>
      <c r="L3184" s="0" t="n">
        <f aca="false">D3184*F3184</f>
        <v>-0.375</v>
      </c>
      <c r="M3184" s="0" t="n">
        <f aca="false">E3184*F3184</f>
        <v>1</v>
      </c>
      <c r="N3184" s="0" t="n">
        <f aca="false">D3184*D3184</f>
        <v>0.140625</v>
      </c>
      <c r="O3184" s="0" t="n">
        <f aca="false">E3184*E3184</f>
        <v>1</v>
      </c>
      <c r="P3184" s="0" t="n">
        <f aca="false">F3184*F3184</f>
        <v>1</v>
      </c>
      <c r="Q3184" s="0" t="n">
        <f aca="false">SUMPRODUCT(G3184:P3184,_XtX!$B$71:$K$71)</f>
        <v>42.4073721590909</v>
      </c>
      <c r="R3184" s="0" t="n">
        <f aca="false">SUMPRODUCT(MMULT(G3184:P3184,_XtX!$B$58:$K$67),G3184:P3184)</f>
        <v>0.682830255681818</v>
      </c>
      <c r="S3184" s="0" t="n">
        <f aca="false">04_回帰ANOVA!$K$19*04_回帰ANOVA!$K$14*SQRT(1+R3184)</f>
        <v>1.20610964896955</v>
      </c>
      <c r="T3184" s="0" t="n">
        <f aca="false">Q3184-S3184</f>
        <v>41.2012625101214</v>
      </c>
      <c r="U3184" s="0" t="n">
        <f aca="false">Q3184+S3184</f>
        <v>43.6134818080605</v>
      </c>
      <c r="V3184" s="54" t="b">
        <f aca="false">AND(D3184&gt;=01_因子設定!$L$5-0.000000001,D3184&lt;=01_因子設定!$M$5+0.000000001,E3184&gt;=01_因子設定!$L$6-0.000000001,E3184&lt;=01_因子設定!$M$6+0.000000001,F3184&gt;=01_因子設定!$L$7-0.000000001,F3184&lt;=01_因子設定!$M$7+0.000000001,IF(01_因子設定!$B$20="Box-Behnken",D3184^2+E3184^2+F3184^2&lt;=2+0.000000001,TRUE()))</f>
        <v>1</v>
      </c>
      <c r="W3184" s="55" t="n">
        <f aca="false">IF(V3184,IF(01_因子設定!$B$13="最大化",T3184-01_因子設定!$B$14,IF(01_因子設定!$B$13="最小化",01_因子設定!$B$15-U3184,MIN(T3184-01_因子設定!$B$14,01_因子設定!$B$15-U3184))),-1E+030)</f>
        <v>-7.2987374898786</v>
      </c>
      <c r="X3184" s="55" t="n">
        <f aca="false">IF(V3184,IF(01_因子設定!$B$13="最大化",Q3184,IF(01_因子設定!$B$13="最小化",-Q3184,-ABS(Q3184-01_因子設定!$B$16))),-1E+030)</f>
        <v>42.4073721590909</v>
      </c>
      <c r="Y3184" s="55" t="n">
        <f aca="false">W3184+ROW()*0.000000001</f>
        <v>-7.29873430587861</v>
      </c>
      <c r="Z3184" s="55" t="n">
        <f aca="false">X3184+ROW()*0.000000001</f>
        <v>42.4073753430909</v>
      </c>
    </row>
    <row r="3185" customFormat="false" ht="15" hidden="false" customHeight="false" outlineLevel="0" collapsed="false">
      <c r="A3185" s="0" t="n">
        <v>11</v>
      </c>
      <c r="B3185" s="0" t="n">
        <v>0</v>
      </c>
      <c r="C3185" s="0" t="n">
        <v>1</v>
      </c>
      <c r="D3185" s="0" t="n">
        <f aca="false">-1+A3185*0.125</f>
        <v>0.375</v>
      </c>
      <c r="E3185" s="0" t="n">
        <f aca="false">-1+B3185*0.125</f>
        <v>-1</v>
      </c>
      <c r="F3185" s="0" t="n">
        <f aca="false">-1+C3185*0.125</f>
        <v>-0.875</v>
      </c>
      <c r="G3185" s="0" t="n">
        <f aca="false">1</f>
        <v>1</v>
      </c>
      <c r="H3185" s="0" t="n">
        <f aca="false">D3185</f>
        <v>0.375</v>
      </c>
      <c r="I3185" s="0" t="n">
        <f aca="false">E3185</f>
        <v>-1</v>
      </c>
      <c r="J3185" s="0" t="n">
        <f aca="false">F3185</f>
        <v>-0.875</v>
      </c>
      <c r="K3185" s="0" t="n">
        <f aca="false">D3185*E3185</f>
        <v>-0.375</v>
      </c>
      <c r="L3185" s="0" t="n">
        <f aca="false">D3185*F3185</f>
        <v>-0.328125</v>
      </c>
      <c r="M3185" s="0" t="n">
        <f aca="false">E3185*F3185</f>
        <v>0.875</v>
      </c>
      <c r="N3185" s="0" t="n">
        <f aca="false">D3185*D3185</f>
        <v>0.140625</v>
      </c>
      <c r="O3185" s="0" t="n">
        <f aca="false">E3185*E3185</f>
        <v>1</v>
      </c>
      <c r="P3185" s="0" t="n">
        <f aca="false">F3185*F3185</f>
        <v>0.765625</v>
      </c>
      <c r="Q3185" s="0" t="n">
        <f aca="false">SUMPRODUCT(G3185:P3185,_XtX!$B$71:$K$71)</f>
        <v>42.7925142045455</v>
      </c>
      <c r="R3185" s="0" t="n">
        <f aca="false">SUMPRODUCT(MMULT(G3185:P3185,_XtX!$B$58:$K$67),G3185:P3185)</f>
        <v>0.56971269087358</v>
      </c>
      <c r="S3185" s="0" t="n">
        <f aca="false">04_回帰ANOVA!$K$19*04_回帰ANOVA!$K$14*SQRT(1+R3185)</f>
        <v>1.16486801567081</v>
      </c>
      <c r="T3185" s="0" t="n">
        <f aca="false">Q3185-S3185</f>
        <v>41.6276461888747</v>
      </c>
      <c r="U3185" s="0" t="n">
        <f aca="false">Q3185+S3185</f>
        <v>43.9573822202163</v>
      </c>
      <c r="V3185" s="54" t="b">
        <f aca="false">AND(D3185&gt;=01_因子設定!$L$5-0.000000001,D3185&lt;=01_因子設定!$M$5+0.000000001,E3185&gt;=01_因子設定!$L$6-0.000000001,E3185&lt;=01_因子設定!$M$6+0.000000001,F3185&gt;=01_因子設定!$L$7-0.000000001,F3185&lt;=01_因子設定!$M$7+0.000000001,IF(01_因子設定!$B$20="Box-Behnken",D3185^2+E3185^2+F3185^2&lt;=2+0.000000001,TRUE()))</f>
        <v>1</v>
      </c>
      <c r="W3185" s="55" t="n">
        <f aca="false">IF(V3185,IF(01_因子設定!$B$13="最大化",T3185-01_因子設定!$B$14,IF(01_因子設定!$B$13="最小化",01_因子設定!$B$15-U3185,MIN(T3185-01_因子設定!$B$14,01_因子設定!$B$15-U3185))),-1E+030)</f>
        <v>-6.87235381112533</v>
      </c>
      <c r="X3185" s="55" t="n">
        <f aca="false">IF(V3185,IF(01_因子設定!$B$13="最大化",Q3185,IF(01_因子設定!$B$13="最小化",-Q3185,-ABS(Q3185-01_因子設定!$B$16))),-1E+030)</f>
        <v>42.7925142045455</v>
      </c>
      <c r="Y3185" s="55" t="n">
        <f aca="false">W3185+ROW()*0.000000001</f>
        <v>-6.87235062612533</v>
      </c>
      <c r="Z3185" s="55" t="n">
        <f aca="false">X3185+ROW()*0.000000001</f>
        <v>42.7925173895455</v>
      </c>
    </row>
    <row r="3186" customFormat="false" ht="15" hidden="false" customHeight="false" outlineLevel="0" collapsed="false">
      <c r="A3186" s="0" t="n">
        <v>11</v>
      </c>
      <c r="B3186" s="0" t="n">
        <v>0</v>
      </c>
      <c r="C3186" s="0" t="n">
        <v>2</v>
      </c>
      <c r="D3186" s="0" t="n">
        <f aca="false">-1+A3186*0.125</f>
        <v>0.375</v>
      </c>
      <c r="E3186" s="0" t="n">
        <f aca="false">-1+B3186*0.125</f>
        <v>-1</v>
      </c>
      <c r="F3186" s="0" t="n">
        <f aca="false">-1+C3186*0.125</f>
        <v>-0.75</v>
      </c>
      <c r="G3186" s="0" t="n">
        <f aca="false">1</f>
        <v>1</v>
      </c>
      <c r="H3186" s="0" t="n">
        <f aca="false">D3186</f>
        <v>0.375</v>
      </c>
      <c r="I3186" s="0" t="n">
        <f aca="false">E3186</f>
        <v>-1</v>
      </c>
      <c r="J3186" s="0" t="n">
        <f aca="false">F3186</f>
        <v>-0.75</v>
      </c>
      <c r="K3186" s="0" t="n">
        <f aca="false">D3186*E3186</f>
        <v>-0.375</v>
      </c>
      <c r="L3186" s="0" t="n">
        <f aca="false">D3186*F3186</f>
        <v>-0.28125</v>
      </c>
      <c r="M3186" s="0" t="n">
        <f aca="false">E3186*F3186</f>
        <v>0.75</v>
      </c>
      <c r="N3186" s="0" t="n">
        <f aca="false">D3186*D3186</f>
        <v>0.140625</v>
      </c>
      <c r="O3186" s="0" t="n">
        <f aca="false">E3186*E3186</f>
        <v>1</v>
      </c>
      <c r="P3186" s="0" t="n">
        <f aca="false">F3186*F3186</f>
        <v>0.5625</v>
      </c>
      <c r="Q3186" s="0" t="n">
        <f aca="false">SUMPRODUCT(G3186:P3186,_XtX!$B$71:$K$71)</f>
        <v>43.1408664772728</v>
      </c>
      <c r="R3186" s="0" t="n">
        <f aca="false">SUMPRODUCT(MMULT(G3186:P3186,_XtX!$B$58:$K$67),G3186:P3186)</f>
        <v>0.503992808948864</v>
      </c>
      <c r="S3186" s="0" t="n">
        <f aca="false">04_回帰ANOVA!$K$19*04_回帰ANOVA!$K$14*SQRT(1+R3186)</f>
        <v>1.14022226176226</v>
      </c>
      <c r="T3186" s="0" t="n">
        <f aca="false">Q3186-S3186</f>
        <v>42.0006442155105</v>
      </c>
      <c r="U3186" s="0" t="n">
        <f aca="false">Q3186+S3186</f>
        <v>44.281088739035</v>
      </c>
      <c r="V3186" s="54" t="b">
        <f aca="false">AND(D3186&gt;=01_因子設定!$L$5-0.000000001,D3186&lt;=01_因子設定!$M$5+0.000000001,E3186&gt;=01_因子設定!$L$6-0.000000001,E3186&lt;=01_因子設定!$M$6+0.000000001,F3186&gt;=01_因子設定!$L$7-0.000000001,F3186&lt;=01_因子設定!$M$7+0.000000001,IF(01_因子設定!$B$20="Box-Behnken",D3186^2+E3186^2+F3186^2&lt;=2+0.000000001,TRUE()))</f>
        <v>1</v>
      </c>
      <c r="W3186" s="55" t="n">
        <f aca="false">IF(V3186,IF(01_因子設定!$B$13="最大化",T3186-01_因子設定!$B$14,IF(01_因子設定!$B$13="最小化",01_因子設定!$B$15-U3186,MIN(T3186-01_因子設定!$B$14,01_因子設定!$B$15-U3186))),-1E+030)</f>
        <v>-6.49935578448951</v>
      </c>
      <c r="X3186" s="55" t="n">
        <f aca="false">IF(V3186,IF(01_因子設定!$B$13="最大化",Q3186,IF(01_因子設定!$B$13="最小化",-Q3186,-ABS(Q3186-01_因子設定!$B$16))),-1E+030)</f>
        <v>43.1408664772728</v>
      </c>
      <c r="Y3186" s="55" t="n">
        <f aca="false">W3186+ROW()*0.000000001</f>
        <v>-6.49935259848951</v>
      </c>
      <c r="Z3186" s="55" t="n">
        <f aca="false">X3186+ROW()*0.000000001</f>
        <v>43.1408696632728</v>
      </c>
    </row>
    <row r="3187" customFormat="false" ht="15" hidden="false" customHeight="false" outlineLevel="0" collapsed="false">
      <c r="A3187" s="0" t="n">
        <v>11</v>
      </c>
      <c r="B3187" s="0" t="n">
        <v>0</v>
      </c>
      <c r="C3187" s="0" t="n">
        <v>3</v>
      </c>
      <c r="D3187" s="0" t="n">
        <f aca="false">-1+A3187*0.125</f>
        <v>0.375</v>
      </c>
      <c r="E3187" s="0" t="n">
        <f aca="false">-1+B3187*0.125</f>
        <v>-1</v>
      </c>
      <c r="F3187" s="0" t="n">
        <f aca="false">-1+C3187*0.125</f>
        <v>-0.625</v>
      </c>
      <c r="G3187" s="0" t="n">
        <f aca="false">1</f>
        <v>1</v>
      </c>
      <c r="H3187" s="0" t="n">
        <f aca="false">D3187</f>
        <v>0.375</v>
      </c>
      <c r="I3187" s="0" t="n">
        <f aca="false">E3187</f>
        <v>-1</v>
      </c>
      <c r="J3187" s="0" t="n">
        <f aca="false">F3187</f>
        <v>-0.625</v>
      </c>
      <c r="K3187" s="0" t="n">
        <f aca="false">D3187*E3187</f>
        <v>-0.375</v>
      </c>
      <c r="L3187" s="0" t="n">
        <f aca="false">D3187*F3187</f>
        <v>-0.234375</v>
      </c>
      <c r="M3187" s="0" t="n">
        <f aca="false">E3187*F3187</f>
        <v>0.625</v>
      </c>
      <c r="N3187" s="0" t="n">
        <f aca="false">D3187*D3187</f>
        <v>0.140625</v>
      </c>
      <c r="O3187" s="0" t="n">
        <f aca="false">E3187*E3187</f>
        <v>1</v>
      </c>
      <c r="P3187" s="0" t="n">
        <f aca="false">F3187*F3187</f>
        <v>0.390625</v>
      </c>
      <c r="Q3187" s="0" t="n">
        <f aca="false">SUMPRODUCT(G3187:P3187,_XtX!$B$71:$K$71)</f>
        <v>43.4524289772727</v>
      </c>
      <c r="R3187" s="0" t="n">
        <f aca="false">SUMPRODUCT(MMULT(G3187:P3187,_XtX!$B$58:$K$67),G3187:P3187)</f>
        <v>0.471821178089489</v>
      </c>
      <c r="S3187" s="0" t="n">
        <f aca="false">04_回帰ANOVA!$K$19*04_回帰ANOVA!$K$14*SQRT(1+R3187)</f>
        <v>1.12796119746125</v>
      </c>
      <c r="T3187" s="0" t="n">
        <f aca="false">Q3187-S3187</f>
        <v>42.3244677798115</v>
      </c>
      <c r="U3187" s="0" t="n">
        <f aca="false">Q3187+S3187</f>
        <v>44.580390174734</v>
      </c>
      <c r="V3187" s="54" t="b">
        <f aca="false">AND(D3187&gt;=01_因子設定!$L$5-0.000000001,D3187&lt;=01_因子設定!$M$5+0.000000001,E3187&gt;=01_因子設定!$L$6-0.000000001,E3187&lt;=01_因子設定!$M$6+0.000000001,F3187&gt;=01_因子設定!$L$7-0.000000001,F3187&lt;=01_因子設定!$M$7+0.000000001,IF(01_因子設定!$B$20="Box-Behnken",D3187^2+E3187^2+F3187^2&lt;=2+0.000000001,TRUE()))</f>
        <v>1</v>
      </c>
      <c r="W3187" s="55" t="n">
        <f aca="false">IF(V3187,IF(01_因子設定!$B$13="最大化",T3187-01_因子設定!$B$14,IF(01_因子設定!$B$13="最小化",01_因子設定!$B$15-U3187,MIN(T3187-01_因子設定!$B$14,01_因子設定!$B$15-U3187))),-1E+030)</f>
        <v>-6.17553222018851</v>
      </c>
      <c r="X3187" s="55" t="n">
        <f aca="false">IF(V3187,IF(01_因子設定!$B$13="最大化",Q3187,IF(01_因子設定!$B$13="最小化",-Q3187,-ABS(Q3187-01_因子設定!$B$16))),-1E+030)</f>
        <v>43.4524289772727</v>
      </c>
      <c r="Y3187" s="55" t="n">
        <f aca="false">W3187+ROW()*0.000000001</f>
        <v>-6.17552903318851</v>
      </c>
      <c r="Z3187" s="55" t="n">
        <f aca="false">X3187+ROW()*0.000000001</f>
        <v>43.4524321642727</v>
      </c>
    </row>
    <row r="3188" customFormat="false" ht="15" hidden="false" customHeight="false" outlineLevel="0" collapsed="false">
      <c r="A3188" s="0" t="n">
        <v>11</v>
      </c>
      <c r="B3188" s="0" t="n">
        <v>0</v>
      </c>
      <c r="C3188" s="0" t="n">
        <v>4</v>
      </c>
      <c r="D3188" s="0" t="n">
        <f aca="false">-1+A3188*0.125</f>
        <v>0.375</v>
      </c>
      <c r="E3188" s="0" t="n">
        <f aca="false">-1+B3188*0.125</f>
        <v>-1</v>
      </c>
      <c r="F3188" s="0" t="n">
        <f aca="false">-1+C3188*0.125</f>
        <v>-0.5</v>
      </c>
      <c r="G3188" s="0" t="n">
        <f aca="false">1</f>
        <v>1</v>
      </c>
      <c r="H3188" s="0" t="n">
        <f aca="false">D3188</f>
        <v>0.375</v>
      </c>
      <c r="I3188" s="0" t="n">
        <f aca="false">E3188</f>
        <v>-1</v>
      </c>
      <c r="J3188" s="0" t="n">
        <f aca="false">F3188</f>
        <v>-0.5</v>
      </c>
      <c r="K3188" s="0" t="n">
        <f aca="false">D3188*E3188</f>
        <v>-0.375</v>
      </c>
      <c r="L3188" s="0" t="n">
        <f aca="false">D3188*F3188</f>
        <v>-0.1875</v>
      </c>
      <c r="M3188" s="0" t="n">
        <f aca="false">E3188*F3188</f>
        <v>0.5</v>
      </c>
      <c r="N3188" s="0" t="n">
        <f aca="false">D3188*D3188</f>
        <v>0.140625</v>
      </c>
      <c r="O3188" s="0" t="n">
        <f aca="false">E3188*E3188</f>
        <v>1</v>
      </c>
      <c r="P3188" s="0" t="n">
        <f aca="false">F3188*F3188</f>
        <v>0.25</v>
      </c>
      <c r="Q3188" s="0" t="n">
        <f aca="false">SUMPRODUCT(G3188:P3188,_XtX!$B$71:$K$71)</f>
        <v>43.7272017045455</v>
      </c>
      <c r="R3188" s="0" t="n">
        <f aca="false">SUMPRODUCT(MMULT(G3188:P3188,_XtX!$B$58:$K$67),G3188:P3188)</f>
        <v>0.461479048295455</v>
      </c>
      <c r="S3188" s="0" t="n">
        <f aca="false">04_回帰ANOVA!$K$19*04_回帰ANOVA!$K$14*SQRT(1+R3188)</f>
        <v>1.12399125658369</v>
      </c>
      <c r="T3188" s="0" t="n">
        <f aca="false">Q3188-S3188</f>
        <v>42.6032104479618</v>
      </c>
      <c r="U3188" s="0" t="n">
        <f aca="false">Q3188+S3188</f>
        <v>44.8511929611292</v>
      </c>
      <c r="V3188" s="54" t="b">
        <f aca="false">AND(D3188&gt;=01_因子設定!$L$5-0.000000001,D3188&lt;=01_因子設定!$M$5+0.000000001,E3188&gt;=01_因子設定!$L$6-0.000000001,E3188&lt;=01_因子設定!$M$6+0.000000001,F3188&gt;=01_因子設定!$L$7-0.000000001,F3188&lt;=01_因子設定!$M$7+0.000000001,IF(01_因子設定!$B$20="Box-Behnken",D3188^2+E3188^2+F3188^2&lt;=2+0.000000001,TRUE()))</f>
        <v>1</v>
      </c>
      <c r="W3188" s="55" t="n">
        <f aca="false">IF(V3188,IF(01_因子設定!$B$13="最大化",T3188-01_因子設定!$B$14,IF(01_因子設定!$B$13="最小化",01_因子設定!$B$15-U3188,MIN(T3188-01_因子設定!$B$14,01_因子設定!$B$15-U3188))),-1E+030)</f>
        <v>-5.89678955203821</v>
      </c>
      <c r="X3188" s="55" t="n">
        <f aca="false">IF(V3188,IF(01_因子設定!$B$13="最大化",Q3188,IF(01_因子設定!$B$13="最小化",-Q3188,-ABS(Q3188-01_因子設定!$B$16))),-1E+030)</f>
        <v>43.7272017045455</v>
      </c>
      <c r="Y3188" s="55" t="n">
        <f aca="false">W3188+ROW()*0.000000001</f>
        <v>-5.89678636403821</v>
      </c>
      <c r="Z3188" s="55" t="n">
        <f aca="false">X3188+ROW()*0.000000001</f>
        <v>43.7272048925455</v>
      </c>
    </row>
    <row r="3189" customFormat="false" ht="15" hidden="false" customHeight="false" outlineLevel="0" collapsed="false">
      <c r="A3189" s="0" t="n">
        <v>11</v>
      </c>
      <c r="B3189" s="0" t="n">
        <v>0</v>
      </c>
      <c r="C3189" s="0" t="n">
        <v>5</v>
      </c>
      <c r="D3189" s="0" t="n">
        <f aca="false">-1+A3189*0.125</f>
        <v>0.375</v>
      </c>
      <c r="E3189" s="0" t="n">
        <f aca="false">-1+B3189*0.125</f>
        <v>-1</v>
      </c>
      <c r="F3189" s="0" t="n">
        <f aca="false">-1+C3189*0.125</f>
        <v>-0.375</v>
      </c>
      <c r="G3189" s="0" t="n">
        <f aca="false">1</f>
        <v>1</v>
      </c>
      <c r="H3189" s="0" t="n">
        <f aca="false">D3189</f>
        <v>0.375</v>
      </c>
      <c r="I3189" s="0" t="n">
        <f aca="false">E3189</f>
        <v>-1</v>
      </c>
      <c r="J3189" s="0" t="n">
        <f aca="false">F3189</f>
        <v>-0.375</v>
      </c>
      <c r="K3189" s="0" t="n">
        <f aca="false">D3189*E3189</f>
        <v>-0.375</v>
      </c>
      <c r="L3189" s="0" t="n">
        <f aca="false">D3189*F3189</f>
        <v>-0.140625</v>
      </c>
      <c r="M3189" s="0" t="n">
        <f aca="false">E3189*F3189</f>
        <v>0.375</v>
      </c>
      <c r="N3189" s="0" t="n">
        <f aca="false">D3189*D3189</f>
        <v>0.140625</v>
      </c>
      <c r="O3189" s="0" t="n">
        <f aca="false">E3189*E3189</f>
        <v>1</v>
      </c>
      <c r="P3189" s="0" t="n">
        <f aca="false">F3189*F3189</f>
        <v>0.140625</v>
      </c>
      <c r="Q3189" s="0" t="n">
        <f aca="false">SUMPRODUCT(G3189:P3189,_XtX!$B$71:$K$71)</f>
        <v>43.9651846590909</v>
      </c>
      <c r="R3189" s="0" t="n">
        <f aca="false">SUMPRODUCT(MMULT(G3189:P3189,_XtX!$B$58:$K$67),G3189:P3189)</f>
        <v>0.463378351384943</v>
      </c>
      <c r="S3189" s="0" t="n">
        <f aca="false">04_回帰ANOVA!$K$19*04_回帰ANOVA!$K$14*SQRT(1+R3189)</f>
        <v>1.12472137547772</v>
      </c>
      <c r="T3189" s="0" t="n">
        <f aca="false">Q3189-S3189</f>
        <v>42.8404632836132</v>
      </c>
      <c r="U3189" s="0" t="n">
        <f aca="false">Q3189+S3189</f>
        <v>45.0899060345686</v>
      </c>
      <c r="V3189" s="54" t="b">
        <f aca="false">AND(D3189&gt;=01_因子設定!$L$5-0.000000001,D3189&lt;=01_因子設定!$M$5+0.000000001,E3189&gt;=01_因子設定!$L$6-0.000000001,E3189&lt;=01_因子設定!$M$6+0.000000001,F3189&gt;=01_因子設定!$L$7-0.000000001,F3189&lt;=01_因子設定!$M$7+0.000000001,IF(01_因子設定!$B$20="Box-Behnken",D3189^2+E3189^2+F3189^2&lt;=2+0.000000001,TRUE()))</f>
        <v>1</v>
      </c>
      <c r="W3189" s="55" t="n">
        <f aca="false">IF(V3189,IF(01_因子設定!$B$13="最大化",T3189-01_因子設定!$B$14,IF(01_因子設定!$B$13="最小化",01_因子設定!$B$15-U3189,MIN(T3189-01_因子設定!$B$14,01_因子設定!$B$15-U3189))),-1E+030)</f>
        <v>-5.6595367163868</v>
      </c>
      <c r="X3189" s="55" t="n">
        <f aca="false">IF(V3189,IF(01_因子設定!$B$13="最大化",Q3189,IF(01_因子設定!$B$13="最小化",-Q3189,-ABS(Q3189-01_因子設定!$B$16))),-1E+030)</f>
        <v>43.9651846590909</v>
      </c>
      <c r="Y3189" s="55" t="n">
        <f aca="false">W3189+ROW()*0.000000001</f>
        <v>-5.6595335273868</v>
      </c>
      <c r="Z3189" s="55" t="n">
        <f aca="false">X3189+ROW()*0.000000001</f>
        <v>43.9651878480909</v>
      </c>
    </row>
    <row r="3190" customFormat="false" ht="15" hidden="false" customHeight="false" outlineLevel="0" collapsed="false">
      <c r="A3190" s="0" t="n">
        <v>11</v>
      </c>
      <c r="B3190" s="0" t="n">
        <v>0</v>
      </c>
      <c r="C3190" s="0" t="n">
        <v>6</v>
      </c>
      <c r="D3190" s="0" t="n">
        <f aca="false">-1+A3190*0.125</f>
        <v>0.375</v>
      </c>
      <c r="E3190" s="0" t="n">
        <f aca="false">-1+B3190*0.125</f>
        <v>-1</v>
      </c>
      <c r="F3190" s="0" t="n">
        <f aca="false">-1+C3190*0.125</f>
        <v>-0.25</v>
      </c>
      <c r="G3190" s="0" t="n">
        <f aca="false">1</f>
        <v>1</v>
      </c>
      <c r="H3190" s="0" t="n">
        <f aca="false">D3190</f>
        <v>0.375</v>
      </c>
      <c r="I3190" s="0" t="n">
        <f aca="false">E3190</f>
        <v>-1</v>
      </c>
      <c r="J3190" s="0" t="n">
        <f aca="false">F3190</f>
        <v>-0.25</v>
      </c>
      <c r="K3190" s="0" t="n">
        <f aca="false">D3190*E3190</f>
        <v>-0.375</v>
      </c>
      <c r="L3190" s="0" t="n">
        <f aca="false">D3190*F3190</f>
        <v>-0.09375</v>
      </c>
      <c r="M3190" s="0" t="n">
        <f aca="false">E3190*F3190</f>
        <v>0.25</v>
      </c>
      <c r="N3190" s="0" t="n">
        <f aca="false">D3190*D3190</f>
        <v>0.140625</v>
      </c>
      <c r="O3190" s="0" t="n">
        <f aca="false">E3190*E3190</f>
        <v>1</v>
      </c>
      <c r="P3190" s="0" t="n">
        <f aca="false">F3190*F3190</f>
        <v>0.0625</v>
      </c>
      <c r="Q3190" s="0" t="n">
        <f aca="false">SUMPRODUCT(G3190:P3190,_XtX!$B$71:$K$71)</f>
        <v>44.1663778409091</v>
      </c>
      <c r="R3190" s="0" t="n">
        <f aca="false">SUMPRODUCT(MMULT(G3190:P3190,_XtX!$B$58:$K$67),G3190:P3190)</f>
        <v>0.470061700994318</v>
      </c>
      <c r="S3190" s="0" t="n">
        <f aca="false">04_回帰ANOVA!$K$19*04_回帰ANOVA!$K$14*SQRT(1+R3190)</f>
        <v>1.12728678965931</v>
      </c>
      <c r="T3190" s="0" t="n">
        <f aca="false">Q3190-S3190</f>
        <v>43.0390910512498</v>
      </c>
      <c r="U3190" s="0" t="n">
        <f aca="false">Q3190+S3190</f>
        <v>45.2936646305684</v>
      </c>
      <c r="V3190" s="54" t="b">
        <f aca="false">AND(D3190&gt;=01_因子設定!$L$5-0.000000001,D3190&lt;=01_因子設定!$M$5+0.000000001,E3190&gt;=01_因子設定!$L$6-0.000000001,E3190&lt;=01_因子設定!$M$6+0.000000001,F3190&gt;=01_因子設定!$L$7-0.000000001,F3190&lt;=01_因子設定!$M$7+0.000000001,IF(01_因子設定!$B$20="Box-Behnken",D3190^2+E3190^2+F3190^2&lt;=2+0.000000001,TRUE()))</f>
        <v>1</v>
      </c>
      <c r="W3190" s="55" t="n">
        <f aca="false">IF(V3190,IF(01_因子設定!$B$13="最大化",T3190-01_因子設定!$B$14,IF(01_因子設定!$B$13="最小化",01_因子設定!$B$15-U3190,MIN(T3190-01_因子設定!$B$14,01_因子設定!$B$15-U3190))),-1E+030)</f>
        <v>-5.46090894875021</v>
      </c>
      <c r="X3190" s="55" t="n">
        <f aca="false">IF(V3190,IF(01_因子設定!$B$13="最大化",Q3190,IF(01_因子設定!$B$13="最小化",-Q3190,-ABS(Q3190-01_因子設定!$B$16))),-1E+030)</f>
        <v>44.1663778409091</v>
      </c>
      <c r="Y3190" s="55" t="n">
        <f aca="false">W3190+ROW()*0.000000001</f>
        <v>-5.46090575875021</v>
      </c>
      <c r="Z3190" s="55" t="n">
        <f aca="false">X3190+ROW()*0.000000001</f>
        <v>44.1663810309091</v>
      </c>
    </row>
    <row r="3191" customFormat="false" ht="15" hidden="false" customHeight="false" outlineLevel="0" collapsed="false">
      <c r="A3191" s="0" t="n">
        <v>11</v>
      </c>
      <c r="B3191" s="0" t="n">
        <v>0</v>
      </c>
      <c r="C3191" s="0" t="n">
        <v>7</v>
      </c>
      <c r="D3191" s="0" t="n">
        <f aca="false">-1+A3191*0.125</f>
        <v>0.375</v>
      </c>
      <c r="E3191" s="0" t="n">
        <f aca="false">-1+B3191*0.125</f>
        <v>-1</v>
      </c>
      <c r="F3191" s="0" t="n">
        <f aca="false">-1+C3191*0.125</f>
        <v>-0.125</v>
      </c>
      <c r="G3191" s="0" t="n">
        <f aca="false">1</f>
        <v>1</v>
      </c>
      <c r="H3191" s="0" t="n">
        <f aca="false">D3191</f>
        <v>0.375</v>
      </c>
      <c r="I3191" s="0" t="n">
        <f aca="false">E3191</f>
        <v>-1</v>
      </c>
      <c r="J3191" s="0" t="n">
        <f aca="false">F3191</f>
        <v>-0.125</v>
      </c>
      <c r="K3191" s="0" t="n">
        <f aca="false">D3191*E3191</f>
        <v>-0.375</v>
      </c>
      <c r="L3191" s="0" t="n">
        <f aca="false">D3191*F3191</f>
        <v>-0.046875</v>
      </c>
      <c r="M3191" s="0" t="n">
        <f aca="false">E3191*F3191</f>
        <v>0.125</v>
      </c>
      <c r="N3191" s="0" t="n">
        <f aca="false">D3191*D3191</f>
        <v>0.140625</v>
      </c>
      <c r="O3191" s="0" t="n">
        <f aca="false">E3191*E3191</f>
        <v>1</v>
      </c>
      <c r="P3191" s="0" t="n">
        <f aca="false">F3191*F3191</f>
        <v>0.015625</v>
      </c>
      <c r="Q3191" s="0" t="n">
        <f aca="false">SUMPRODUCT(G3191:P3191,_XtX!$B$71:$K$71)</f>
        <v>44.33078125</v>
      </c>
      <c r="R3191" s="0" t="n">
        <f aca="false">SUMPRODUCT(MMULT(G3191:P3191,_XtX!$B$58:$K$67),G3191:P3191)</f>
        <v>0.476202392578125</v>
      </c>
      <c r="S3191" s="0" t="n">
        <f aca="false">04_回帰ANOVA!$K$19*04_回帰ANOVA!$K$14*SQRT(1+R3191)</f>
        <v>1.12963876802721</v>
      </c>
      <c r="T3191" s="0" t="n">
        <f aca="false">Q3191-S3191</f>
        <v>43.2011424819728</v>
      </c>
      <c r="U3191" s="0" t="n">
        <f aca="false">Q3191+S3191</f>
        <v>45.4604200180272</v>
      </c>
      <c r="V3191" s="54" t="b">
        <f aca="false">AND(D3191&gt;=01_因子設定!$L$5-0.000000001,D3191&lt;=01_因子設定!$M$5+0.000000001,E3191&gt;=01_因子設定!$L$6-0.000000001,E3191&lt;=01_因子設定!$M$6+0.000000001,F3191&gt;=01_因子設定!$L$7-0.000000001,F3191&lt;=01_因子設定!$M$7+0.000000001,IF(01_因子設定!$B$20="Box-Behnken",D3191^2+E3191^2+F3191^2&lt;=2+0.000000001,TRUE()))</f>
        <v>1</v>
      </c>
      <c r="W3191" s="55" t="n">
        <f aca="false">IF(V3191,IF(01_因子設定!$B$13="最大化",T3191-01_因子設定!$B$14,IF(01_因子設定!$B$13="最小化",01_因子設定!$B$15-U3191,MIN(T3191-01_因子設定!$B$14,01_因子設定!$B$15-U3191))),-1E+030)</f>
        <v>-5.2988575180272</v>
      </c>
      <c r="X3191" s="55" t="n">
        <f aca="false">IF(V3191,IF(01_因子設定!$B$13="最大化",Q3191,IF(01_因子設定!$B$13="最小化",-Q3191,-ABS(Q3191-01_因子設定!$B$16))),-1E+030)</f>
        <v>44.33078125</v>
      </c>
      <c r="Y3191" s="55" t="n">
        <f aca="false">W3191+ROW()*0.000000001</f>
        <v>-5.2988543270272</v>
      </c>
      <c r="Z3191" s="55" t="n">
        <f aca="false">X3191+ROW()*0.000000001</f>
        <v>44.330784441</v>
      </c>
    </row>
    <row r="3192" customFormat="false" ht="15" hidden="false" customHeight="false" outlineLevel="0" collapsed="false">
      <c r="A3192" s="0" t="n">
        <v>11</v>
      </c>
      <c r="B3192" s="0" t="n">
        <v>0</v>
      </c>
      <c r="C3192" s="0" t="n">
        <v>8</v>
      </c>
      <c r="D3192" s="0" t="n">
        <f aca="false">-1+A3192*0.125</f>
        <v>0.375</v>
      </c>
      <c r="E3192" s="0" t="n">
        <f aca="false">-1+B3192*0.125</f>
        <v>-1</v>
      </c>
      <c r="F3192" s="0" t="n">
        <f aca="false">-1+C3192*0.125</f>
        <v>0</v>
      </c>
      <c r="G3192" s="0" t="n">
        <f aca="false">1</f>
        <v>1</v>
      </c>
      <c r="H3192" s="0" t="n">
        <f aca="false">D3192</f>
        <v>0.375</v>
      </c>
      <c r="I3192" s="0" t="n">
        <f aca="false">E3192</f>
        <v>-1</v>
      </c>
      <c r="J3192" s="0" t="n">
        <f aca="false">F3192</f>
        <v>0</v>
      </c>
      <c r="K3192" s="0" t="n">
        <f aca="false">D3192*E3192</f>
        <v>-0.375</v>
      </c>
      <c r="L3192" s="0" t="n">
        <f aca="false">D3192*F3192</f>
        <v>0</v>
      </c>
      <c r="M3192" s="0" t="n">
        <f aca="false">E3192*F3192</f>
        <v>-0</v>
      </c>
      <c r="N3192" s="0" t="n">
        <f aca="false">D3192*D3192</f>
        <v>0.140625</v>
      </c>
      <c r="O3192" s="0" t="n">
        <f aca="false">E3192*E3192</f>
        <v>1</v>
      </c>
      <c r="P3192" s="0" t="n">
        <f aca="false">F3192*F3192</f>
        <v>0</v>
      </c>
      <c r="Q3192" s="0" t="n">
        <f aca="false">SUMPRODUCT(G3192:P3192,_XtX!$B$71:$K$71)</f>
        <v>44.4583948863637</v>
      </c>
      <c r="R3192" s="0" t="n">
        <f aca="false">SUMPRODUCT(MMULT(G3192:P3192,_XtX!$B$58:$K$67),G3192:P3192)</f>
        <v>0.478604403409091</v>
      </c>
      <c r="S3192" s="0" t="n">
        <f aca="false">04_回帰ANOVA!$K$19*04_回帰ANOVA!$K$14*SQRT(1+R3192)</f>
        <v>1.13055744343508</v>
      </c>
      <c r="T3192" s="0" t="n">
        <f aca="false">Q3192-S3192</f>
        <v>43.3278374429286</v>
      </c>
      <c r="U3192" s="0" t="n">
        <f aca="false">Q3192+S3192</f>
        <v>45.5889523297987</v>
      </c>
      <c r="V3192" s="54" t="b">
        <f aca="false">AND(D3192&gt;=01_因子設定!$L$5-0.000000001,D3192&lt;=01_因子設定!$M$5+0.000000001,E3192&gt;=01_因子設定!$L$6-0.000000001,E3192&lt;=01_因子設定!$M$6+0.000000001,F3192&gt;=01_因子設定!$L$7-0.000000001,F3192&lt;=01_因子設定!$M$7+0.000000001,IF(01_因子設定!$B$20="Box-Behnken",D3192^2+E3192^2+F3192^2&lt;=2+0.000000001,TRUE()))</f>
        <v>1</v>
      </c>
      <c r="W3192" s="55" t="n">
        <f aca="false">IF(V3192,IF(01_因子設定!$B$13="最大化",T3192-01_因子設定!$B$14,IF(01_因子設定!$B$13="最小化",01_因子設定!$B$15-U3192,MIN(T3192-01_因子設定!$B$14,01_因子設定!$B$15-U3192))),-1E+030)</f>
        <v>-5.17216255707143</v>
      </c>
      <c r="X3192" s="55" t="n">
        <f aca="false">IF(V3192,IF(01_因子設定!$B$13="最大化",Q3192,IF(01_因子設定!$B$13="最小化",-Q3192,-ABS(Q3192-01_因子設定!$B$16))),-1E+030)</f>
        <v>44.4583948863637</v>
      </c>
      <c r="Y3192" s="55" t="n">
        <f aca="false">W3192+ROW()*0.000000001</f>
        <v>-5.17215936507143</v>
      </c>
      <c r="Z3192" s="55" t="n">
        <f aca="false">X3192+ROW()*0.000000001</f>
        <v>44.4583980783637</v>
      </c>
    </row>
    <row r="3193" customFormat="false" ht="15" hidden="false" customHeight="false" outlineLevel="0" collapsed="false">
      <c r="A3193" s="0" t="n">
        <v>11</v>
      </c>
      <c r="B3193" s="0" t="n">
        <v>0</v>
      </c>
      <c r="C3193" s="0" t="n">
        <v>9</v>
      </c>
      <c r="D3193" s="0" t="n">
        <f aca="false">-1+A3193*0.125</f>
        <v>0.375</v>
      </c>
      <c r="E3193" s="0" t="n">
        <f aca="false">-1+B3193*0.125</f>
        <v>-1</v>
      </c>
      <c r="F3193" s="0" t="n">
        <f aca="false">-1+C3193*0.125</f>
        <v>0.125</v>
      </c>
      <c r="G3193" s="0" t="n">
        <f aca="false">1</f>
        <v>1</v>
      </c>
      <c r="H3193" s="0" t="n">
        <f aca="false">D3193</f>
        <v>0.375</v>
      </c>
      <c r="I3193" s="0" t="n">
        <f aca="false">E3193</f>
        <v>-1</v>
      </c>
      <c r="J3193" s="0" t="n">
        <f aca="false">F3193</f>
        <v>0.125</v>
      </c>
      <c r="K3193" s="0" t="n">
        <f aca="false">D3193*E3193</f>
        <v>-0.375</v>
      </c>
      <c r="L3193" s="0" t="n">
        <f aca="false">D3193*F3193</f>
        <v>0.046875</v>
      </c>
      <c r="M3193" s="0" t="n">
        <f aca="false">E3193*F3193</f>
        <v>-0.125</v>
      </c>
      <c r="N3193" s="0" t="n">
        <f aca="false">D3193*D3193</f>
        <v>0.140625</v>
      </c>
      <c r="O3193" s="0" t="n">
        <f aca="false">E3193*E3193</f>
        <v>1</v>
      </c>
      <c r="P3193" s="0" t="n">
        <f aca="false">F3193*F3193</f>
        <v>0.015625</v>
      </c>
      <c r="Q3193" s="0" t="n">
        <f aca="false">SUMPRODUCT(G3193:P3193,_XtX!$B$71:$K$71)</f>
        <v>44.54921875</v>
      </c>
      <c r="R3193" s="0" t="n">
        <f aca="false">SUMPRODUCT(MMULT(G3193:P3193,_XtX!$B$58:$K$67),G3193:P3193)</f>
        <v>0.476202392578125</v>
      </c>
      <c r="S3193" s="0" t="n">
        <f aca="false">04_回帰ANOVA!$K$19*04_回帰ANOVA!$K$14*SQRT(1+R3193)</f>
        <v>1.12963876802721</v>
      </c>
      <c r="T3193" s="0" t="n">
        <f aca="false">Q3193-S3193</f>
        <v>43.4195799819728</v>
      </c>
      <c r="U3193" s="0" t="n">
        <f aca="false">Q3193+S3193</f>
        <v>45.6788575180272</v>
      </c>
      <c r="V3193" s="54" t="b">
        <f aca="false">AND(D3193&gt;=01_因子設定!$L$5-0.000000001,D3193&lt;=01_因子設定!$M$5+0.000000001,E3193&gt;=01_因子設定!$L$6-0.000000001,E3193&lt;=01_因子設定!$M$6+0.000000001,F3193&gt;=01_因子設定!$L$7-0.000000001,F3193&lt;=01_因子設定!$M$7+0.000000001,IF(01_因子設定!$B$20="Box-Behnken",D3193^2+E3193^2+F3193^2&lt;=2+0.000000001,TRUE()))</f>
        <v>1</v>
      </c>
      <c r="W3193" s="55" t="n">
        <f aca="false">IF(V3193,IF(01_因子設定!$B$13="最大化",T3193-01_因子設定!$B$14,IF(01_因子設定!$B$13="最小化",01_因子設定!$B$15-U3193,MIN(T3193-01_因子設定!$B$14,01_因子設定!$B$15-U3193))),-1E+030)</f>
        <v>-5.0804200180272</v>
      </c>
      <c r="X3193" s="55" t="n">
        <f aca="false">IF(V3193,IF(01_因子設定!$B$13="最大化",Q3193,IF(01_因子設定!$B$13="最小化",-Q3193,-ABS(Q3193-01_因子設定!$B$16))),-1E+030)</f>
        <v>44.54921875</v>
      </c>
      <c r="Y3193" s="55" t="n">
        <f aca="false">W3193+ROW()*0.000000001</f>
        <v>-5.0804168250272</v>
      </c>
      <c r="Z3193" s="55" t="n">
        <f aca="false">X3193+ROW()*0.000000001</f>
        <v>44.549221943</v>
      </c>
    </row>
    <row r="3194" customFormat="false" ht="15" hidden="false" customHeight="false" outlineLevel="0" collapsed="false">
      <c r="A3194" s="0" t="n">
        <v>11</v>
      </c>
      <c r="B3194" s="0" t="n">
        <v>0</v>
      </c>
      <c r="C3194" s="0" t="n">
        <v>10</v>
      </c>
      <c r="D3194" s="0" t="n">
        <f aca="false">-1+A3194*0.125</f>
        <v>0.375</v>
      </c>
      <c r="E3194" s="0" t="n">
        <f aca="false">-1+B3194*0.125</f>
        <v>-1</v>
      </c>
      <c r="F3194" s="0" t="n">
        <f aca="false">-1+C3194*0.125</f>
        <v>0.25</v>
      </c>
      <c r="G3194" s="0" t="n">
        <f aca="false">1</f>
        <v>1</v>
      </c>
      <c r="H3194" s="0" t="n">
        <f aca="false">D3194</f>
        <v>0.375</v>
      </c>
      <c r="I3194" s="0" t="n">
        <f aca="false">E3194</f>
        <v>-1</v>
      </c>
      <c r="J3194" s="0" t="n">
        <f aca="false">F3194</f>
        <v>0.25</v>
      </c>
      <c r="K3194" s="0" t="n">
        <f aca="false">D3194*E3194</f>
        <v>-0.375</v>
      </c>
      <c r="L3194" s="0" t="n">
        <f aca="false">D3194*F3194</f>
        <v>0.09375</v>
      </c>
      <c r="M3194" s="0" t="n">
        <f aca="false">E3194*F3194</f>
        <v>-0.25</v>
      </c>
      <c r="N3194" s="0" t="n">
        <f aca="false">D3194*D3194</f>
        <v>0.140625</v>
      </c>
      <c r="O3194" s="0" t="n">
        <f aca="false">E3194*E3194</f>
        <v>1</v>
      </c>
      <c r="P3194" s="0" t="n">
        <f aca="false">F3194*F3194</f>
        <v>0.0625</v>
      </c>
      <c r="Q3194" s="0" t="n">
        <f aca="false">SUMPRODUCT(G3194:P3194,_XtX!$B$71:$K$71)</f>
        <v>44.6032528409091</v>
      </c>
      <c r="R3194" s="0" t="n">
        <f aca="false">SUMPRODUCT(MMULT(G3194:P3194,_XtX!$B$58:$K$67),G3194:P3194)</f>
        <v>0.470061700994318</v>
      </c>
      <c r="S3194" s="0" t="n">
        <f aca="false">04_回帰ANOVA!$K$19*04_回帰ANOVA!$K$14*SQRT(1+R3194)</f>
        <v>1.12728678965931</v>
      </c>
      <c r="T3194" s="0" t="n">
        <f aca="false">Q3194-S3194</f>
        <v>43.4759660512498</v>
      </c>
      <c r="U3194" s="0" t="n">
        <f aca="false">Q3194+S3194</f>
        <v>45.7305396305684</v>
      </c>
      <c r="V3194" s="54" t="b">
        <f aca="false">AND(D3194&gt;=01_因子設定!$L$5-0.000000001,D3194&lt;=01_因子設定!$M$5+0.000000001,E3194&gt;=01_因子設定!$L$6-0.000000001,E3194&lt;=01_因子設定!$M$6+0.000000001,F3194&gt;=01_因子設定!$L$7-0.000000001,F3194&lt;=01_因子設定!$M$7+0.000000001,IF(01_因子設定!$B$20="Box-Behnken",D3194^2+E3194^2+F3194^2&lt;=2+0.000000001,TRUE()))</f>
        <v>1</v>
      </c>
      <c r="W3194" s="55" t="n">
        <f aca="false">IF(V3194,IF(01_因子設定!$B$13="最大化",T3194-01_因子設定!$B$14,IF(01_因子設定!$B$13="最小化",01_因子設定!$B$15-U3194,MIN(T3194-01_因子設定!$B$14,01_因子設定!$B$15-U3194))),-1E+030)</f>
        <v>-5.02403394875021</v>
      </c>
      <c r="X3194" s="55" t="n">
        <f aca="false">IF(V3194,IF(01_因子設定!$B$13="最大化",Q3194,IF(01_因子設定!$B$13="最小化",-Q3194,-ABS(Q3194-01_因子設定!$B$16))),-1E+030)</f>
        <v>44.6032528409091</v>
      </c>
      <c r="Y3194" s="55" t="n">
        <f aca="false">W3194+ROW()*0.000000001</f>
        <v>-5.02403075475021</v>
      </c>
      <c r="Z3194" s="55" t="n">
        <f aca="false">X3194+ROW()*0.000000001</f>
        <v>44.6032560349091</v>
      </c>
    </row>
    <row r="3195" customFormat="false" ht="15" hidden="false" customHeight="false" outlineLevel="0" collapsed="false">
      <c r="A3195" s="0" t="n">
        <v>11</v>
      </c>
      <c r="B3195" s="0" t="n">
        <v>0</v>
      </c>
      <c r="C3195" s="0" t="n">
        <v>11</v>
      </c>
      <c r="D3195" s="0" t="n">
        <f aca="false">-1+A3195*0.125</f>
        <v>0.375</v>
      </c>
      <c r="E3195" s="0" t="n">
        <f aca="false">-1+B3195*0.125</f>
        <v>-1</v>
      </c>
      <c r="F3195" s="0" t="n">
        <f aca="false">-1+C3195*0.125</f>
        <v>0.375</v>
      </c>
      <c r="G3195" s="0" t="n">
        <f aca="false">1</f>
        <v>1</v>
      </c>
      <c r="H3195" s="0" t="n">
        <f aca="false">D3195</f>
        <v>0.375</v>
      </c>
      <c r="I3195" s="0" t="n">
        <f aca="false">E3195</f>
        <v>-1</v>
      </c>
      <c r="J3195" s="0" t="n">
        <f aca="false">F3195</f>
        <v>0.375</v>
      </c>
      <c r="K3195" s="0" t="n">
        <f aca="false">D3195*E3195</f>
        <v>-0.375</v>
      </c>
      <c r="L3195" s="0" t="n">
        <f aca="false">D3195*F3195</f>
        <v>0.140625</v>
      </c>
      <c r="M3195" s="0" t="n">
        <f aca="false">E3195*F3195</f>
        <v>-0.375</v>
      </c>
      <c r="N3195" s="0" t="n">
        <f aca="false">D3195*D3195</f>
        <v>0.140625</v>
      </c>
      <c r="O3195" s="0" t="n">
        <f aca="false">E3195*E3195</f>
        <v>1</v>
      </c>
      <c r="P3195" s="0" t="n">
        <f aca="false">F3195*F3195</f>
        <v>0.140625</v>
      </c>
      <c r="Q3195" s="0" t="n">
        <f aca="false">SUMPRODUCT(G3195:P3195,_XtX!$B$71:$K$71)</f>
        <v>44.6204971590909</v>
      </c>
      <c r="R3195" s="0" t="n">
        <f aca="false">SUMPRODUCT(MMULT(G3195:P3195,_XtX!$B$58:$K$67),G3195:P3195)</f>
        <v>0.463378351384943</v>
      </c>
      <c r="S3195" s="0" t="n">
        <f aca="false">04_回帰ANOVA!$K$19*04_回帰ANOVA!$K$14*SQRT(1+R3195)</f>
        <v>1.12472137547772</v>
      </c>
      <c r="T3195" s="0" t="n">
        <f aca="false">Q3195-S3195</f>
        <v>43.4957757836132</v>
      </c>
      <c r="U3195" s="0" t="n">
        <f aca="false">Q3195+S3195</f>
        <v>45.7452185345686</v>
      </c>
      <c r="V3195" s="54" t="b">
        <f aca="false">AND(D3195&gt;=01_因子設定!$L$5-0.000000001,D3195&lt;=01_因子設定!$M$5+0.000000001,E3195&gt;=01_因子設定!$L$6-0.000000001,E3195&lt;=01_因子設定!$M$6+0.000000001,F3195&gt;=01_因子設定!$L$7-0.000000001,F3195&lt;=01_因子設定!$M$7+0.000000001,IF(01_因子設定!$B$20="Box-Behnken",D3195^2+E3195^2+F3195^2&lt;=2+0.000000001,TRUE()))</f>
        <v>1</v>
      </c>
      <c r="W3195" s="55" t="n">
        <f aca="false">IF(V3195,IF(01_因子設定!$B$13="最大化",T3195-01_因子設定!$B$14,IF(01_因子設定!$B$13="最小化",01_因子設定!$B$15-U3195,MIN(T3195-01_因子設定!$B$14,01_因子設定!$B$15-U3195))),-1E+030)</f>
        <v>-5.0042242163868</v>
      </c>
      <c r="X3195" s="55" t="n">
        <f aca="false">IF(V3195,IF(01_因子設定!$B$13="最大化",Q3195,IF(01_因子設定!$B$13="最小化",-Q3195,-ABS(Q3195-01_因子設定!$B$16))),-1E+030)</f>
        <v>44.6204971590909</v>
      </c>
      <c r="Y3195" s="55" t="n">
        <f aca="false">W3195+ROW()*0.000000001</f>
        <v>-5.0042210213868</v>
      </c>
      <c r="Z3195" s="55" t="n">
        <f aca="false">X3195+ROW()*0.000000001</f>
        <v>44.6205003540909</v>
      </c>
    </row>
    <row r="3196" customFormat="false" ht="15" hidden="false" customHeight="false" outlineLevel="0" collapsed="false">
      <c r="A3196" s="0" t="n">
        <v>11</v>
      </c>
      <c r="B3196" s="0" t="n">
        <v>0</v>
      </c>
      <c r="C3196" s="0" t="n">
        <v>12</v>
      </c>
      <c r="D3196" s="0" t="n">
        <f aca="false">-1+A3196*0.125</f>
        <v>0.375</v>
      </c>
      <c r="E3196" s="0" t="n">
        <f aca="false">-1+B3196*0.125</f>
        <v>-1</v>
      </c>
      <c r="F3196" s="0" t="n">
        <f aca="false">-1+C3196*0.125</f>
        <v>0.5</v>
      </c>
      <c r="G3196" s="0" t="n">
        <f aca="false">1</f>
        <v>1</v>
      </c>
      <c r="H3196" s="0" t="n">
        <f aca="false">D3196</f>
        <v>0.375</v>
      </c>
      <c r="I3196" s="0" t="n">
        <f aca="false">E3196</f>
        <v>-1</v>
      </c>
      <c r="J3196" s="0" t="n">
        <f aca="false">F3196</f>
        <v>0.5</v>
      </c>
      <c r="K3196" s="0" t="n">
        <f aca="false">D3196*E3196</f>
        <v>-0.375</v>
      </c>
      <c r="L3196" s="0" t="n">
        <f aca="false">D3196*F3196</f>
        <v>0.1875</v>
      </c>
      <c r="M3196" s="0" t="n">
        <f aca="false">E3196*F3196</f>
        <v>-0.5</v>
      </c>
      <c r="N3196" s="0" t="n">
        <f aca="false">D3196*D3196</f>
        <v>0.140625</v>
      </c>
      <c r="O3196" s="0" t="n">
        <f aca="false">E3196*E3196</f>
        <v>1</v>
      </c>
      <c r="P3196" s="0" t="n">
        <f aca="false">F3196*F3196</f>
        <v>0.25</v>
      </c>
      <c r="Q3196" s="0" t="n">
        <f aca="false">SUMPRODUCT(G3196:P3196,_XtX!$B$71:$K$71)</f>
        <v>44.6009517045455</v>
      </c>
      <c r="R3196" s="0" t="n">
        <f aca="false">SUMPRODUCT(MMULT(G3196:P3196,_XtX!$B$58:$K$67),G3196:P3196)</f>
        <v>0.461479048295455</v>
      </c>
      <c r="S3196" s="0" t="n">
        <f aca="false">04_回帰ANOVA!$K$19*04_回帰ANOVA!$K$14*SQRT(1+R3196)</f>
        <v>1.12399125658369</v>
      </c>
      <c r="T3196" s="0" t="n">
        <f aca="false">Q3196-S3196</f>
        <v>43.4769604479618</v>
      </c>
      <c r="U3196" s="0" t="n">
        <f aca="false">Q3196+S3196</f>
        <v>45.7249429611292</v>
      </c>
      <c r="V3196" s="54" t="b">
        <f aca="false">AND(D3196&gt;=01_因子設定!$L$5-0.000000001,D3196&lt;=01_因子設定!$M$5+0.000000001,E3196&gt;=01_因子設定!$L$6-0.000000001,E3196&lt;=01_因子設定!$M$6+0.000000001,F3196&gt;=01_因子設定!$L$7-0.000000001,F3196&lt;=01_因子設定!$M$7+0.000000001,IF(01_因子設定!$B$20="Box-Behnken",D3196^2+E3196^2+F3196^2&lt;=2+0.000000001,TRUE()))</f>
        <v>1</v>
      </c>
      <c r="W3196" s="55" t="n">
        <f aca="false">IF(V3196,IF(01_因子設定!$B$13="最大化",T3196-01_因子設定!$B$14,IF(01_因子設定!$B$13="最小化",01_因子設定!$B$15-U3196,MIN(T3196-01_因子設定!$B$14,01_因子設定!$B$15-U3196))),-1E+030)</f>
        <v>-5.02303955203821</v>
      </c>
      <c r="X3196" s="55" t="n">
        <f aca="false">IF(V3196,IF(01_因子設定!$B$13="最大化",Q3196,IF(01_因子設定!$B$13="最小化",-Q3196,-ABS(Q3196-01_因子設定!$B$16))),-1E+030)</f>
        <v>44.6009517045455</v>
      </c>
      <c r="Y3196" s="55" t="n">
        <f aca="false">W3196+ROW()*0.000000001</f>
        <v>-5.02303635603821</v>
      </c>
      <c r="Z3196" s="55" t="n">
        <f aca="false">X3196+ROW()*0.000000001</f>
        <v>44.6009549005455</v>
      </c>
    </row>
    <row r="3197" customFormat="false" ht="15" hidden="false" customHeight="false" outlineLevel="0" collapsed="false">
      <c r="A3197" s="0" t="n">
        <v>11</v>
      </c>
      <c r="B3197" s="0" t="n">
        <v>0</v>
      </c>
      <c r="C3197" s="0" t="n">
        <v>13</v>
      </c>
      <c r="D3197" s="0" t="n">
        <f aca="false">-1+A3197*0.125</f>
        <v>0.375</v>
      </c>
      <c r="E3197" s="0" t="n">
        <f aca="false">-1+B3197*0.125</f>
        <v>-1</v>
      </c>
      <c r="F3197" s="0" t="n">
        <f aca="false">-1+C3197*0.125</f>
        <v>0.625</v>
      </c>
      <c r="G3197" s="0" t="n">
        <f aca="false">1</f>
        <v>1</v>
      </c>
      <c r="H3197" s="0" t="n">
        <f aca="false">D3197</f>
        <v>0.375</v>
      </c>
      <c r="I3197" s="0" t="n">
        <f aca="false">E3197</f>
        <v>-1</v>
      </c>
      <c r="J3197" s="0" t="n">
        <f aca="false">F3197</f>
        <v>0.625</v>
      </c>
      <c r="K3197" s="0" t="n">
        <f aca="false">D3197*E3197</f>
        <v>-0.375</v>
      </c>
      <c r="L3197" s="0" t="n">
        <f aca="false">D3197*F3197</f>
        <v>0.234375</v>
      </c>
      <c r="M3197" s="0" t="n">
        <f aca="false">E3197*F3197</f>
        <v>-0.625</v>
      </c>
      <c r="N3197" s="0" t="n">
        <f aca="false">D3197*D3197</f>
        <v>0.140625</v>
      </c>
      <c r="O3197" s="0" t="n">
        <f aca="false">E3197*E3197</f>
        <v>1</v>
      </c>
      <c r="P3197" s="0" t="n">
        <f aca="false">F3197*F3197</f>
        <v>0.390625</v>
      </c>
      <c r="Q3197" s="0" t="n">
        <f aca="false">SUMPRODUCT(G3197:P3197,_XtX!$B$71:$K$71)</f>
        <v>44.5446164772728</v>
      </c>
      <c r="R3197" s="0" t="n">
        <f aca="false">SUMPRODUCT(MMULT(G3197:P3197,_XtX!$B$58:$K$67),G3197:P3197)</f>
        <v>0.471821178089489</v>
      </c>
      <c r="S3197" s="0" t="n">
        <f aca="false">04_回帰ANOVA!$K$19*04_回帰ANOVA!$K$14*SQRT(1+R3197)</f>
        <v>1.12796119746125</v>
      </c>
      <c r="T3197" s="0" t="n">
        <f aca="false">Q3197-S3197</f>
        <v>43.4166552798115</v>
      </c>
      <c r="U3197" s="0" t="n">
        <f aca="false">Q3197+S3197</f>
        <v>45.672577674734</v>
      </c>
      <c r="V3197" s="54" t="b">
        <f aca="false">AND(D3197&gt;=01_因子設定!$L$5-0.000000001,D3197&lt;=01_因子設定!$M$5+0.000000001,E3197&gt;=01_因子設定!$L$6-0.000000001,E3197&lt;=01_因子設定!$M$6+0.000000001,F3197&gt;=01_因子設定!$L$7-0.000000001,F3197&lt;=01_因子設定!$M$7+0.000000001,IF(01_因子設定!$B$20="Box-Behnken",D3197^2+E3197^2+F3197^2&lt;=2+0.000000001,TRUE()))</f>
        <v>1</v>
      </c>
      <c r="W3197" s="55" t="n">
        <f aca="false">IF(V3197,IF(01_因子設定!$B$13="最大化",T3197-01_因子設定!$B$14,IF(01_因子設定!$B$13="最小化",01_因子設定!$B$15-U3197,MIN(T3197-01_因子設定!$B$14,01_因子設定!$B$15-U3197))),-1E+030)</f>
        <v>-5.08334472018851</v>
      </c>
      <c r="X3197" s="55" t="n">
        <f aca="false">IF(V3197,IF(01_因子設定!$B$13="最大化",Q3197,IF(01_因子設定!$B$13="最小化",-Q3197,-ABS(Q3197-01_因子設定!$B$16))),-1E+030)</f>
        <v>44.5446164772728</v>
      </c>
      <c r="Y3197" s="55" t="n">
        <f aca="false">W3197+ROW()*0.000000001</f>
        <v>-5.08334152318851</v>
      </c>
      <c r="Z3197" s="55" t="n">
        <f aca="false">X3197+ROW()*0.000000001</f>
        <v>44.5446196742727</v>
      </c>
    </row>
    <row r="3198" customFormat="false" ht="15" hidden="false" customHeight="false" outlineLevel="0" collapsed="false">
      <c r="A3198" s="0" t="n">
        <v>11</v>
      </c>
      <c r="B3198" s="0" t="n">
        <v>0</v>
      </c>
      <c r="C3198" s="0" t="n">
        <v>14</v>
      </c>
      <c r="D3198" s="0" t="n">
        <f aca="false">-1+A3198*0.125</f>
        <v>0.375</v>
      </c>
      <c r="E3198" s="0" t="n">
        <f aca="false">-1+B3198*0.125</f>
        <v>-1</v>
      </c>
      <c r="F3198" s="0" t="n">
        <f aca="false">-1+C3198*0.125</f>
        <v>0.75</v>
      </c>
      <c r="G3198" s="0" t="n">
        <f aca="false">1</f>
        <v>1</v>
      </c>
      <c r="H3198" s="0" t="n">
        <f aca="false">D3198</f>
        <v>0.375</v>
      </c>
      <c r="I3198" s="0" t="n">
        <f aca="false">E3198</f>
        <v>-1</v>
      </c>
      <c r="J3198" s="0" t="n">
        <f aca="false">F3198</f>
        <v>0.75</v>
      </c>
      <c r="K3198" s="0" t="n">
        <f aca="false">D3198*E3198</f>
        <v>-0.375</v>
      </c>
      <c r="L3198" s="0" t="n">
        <f aca="false">D3198*F3198</f>
        <v>0.28125</v>
      </c>
      <c r="M3198" s="0" t="n">
        <f aca="false">E3198*F3198</f>
        <v>-0.75</v>
      </c>
      <c r="N3198" s="0" t="n">
        <f aca="false">D3198*D3198</f>
        <v>0.140625</v>
      </c>
      <c r="O3198" s="0" t="n">
        <f aca="false">E3198*E3198</f>
        <v>1</v>
      </c>
      <c r="P3198" s="0" t="n">
        <f aca="false">F3198*F3198</f>
        <v>0.5625</v>
      </c>
      <c r="Q3198" s="0" t="n">
        <f aca="false">SUMPRODUCT(G3198:P3198,_XtX!$B$71:$K$71)</f>
        <v>44.4514914772728</v>
      </c>
      <c r="R3198" s="0" t="n">
        <f aca="false">SUMPRODUCT(MMULT(G3198:P3198,_XtX!$B$58:$K$67),G3198:P3198)</f>
        <v>0.503992808948864</v>
      </c>
      <c r="S3198" s="0" t="n">
        <f aca="false">04_回帰ANOVA!$K$19*04_回帰ANOVA!$K$14*SQRT(1+R3198)</f>
        <v>1.14022226176226</v>
      </c>
      <c r="T3198" s="0" t="n">
        <f aca="false">Q3198-S3198</f>
        <v>43.3112692155105</v>
      </c>
      <c r="U3198" s="0" t="n">
        <f aca="false">Q3198+S3198</f>
        <v>45.591713739035</v>
      </c>
      <c r="V3198" s="54" t="b">
        <f aca="false">AND(D3198&gt;=01_因子設定!$L$5-0.000000001,D3198&lt;=01_因子設定!$M$5+0.000000001,E3198&gt;=01_因子設定!$L$6-0.000000001,E3198&lt;=01_因子設定!$M$6+0.000000001,F3198&gt;=01_因子設定!$L$7-0.000000001,F3198&lt;=01_因子設定!$M$7+0.000000001,IF(01_因子設定!$B$20="Box-Behnken",D3198^2+E3198^2+F3198^2&lt;=2+0.000000001,TRUE()))</f>
        <v>1</v>
      </c>
      <c r="W3198" s="55" t="n">
        <f aca="false">IF(V3198,IF(01_因子設定!$B$13="最大化",T3198-01_因子設定!$B$14,IF(01_因子設定!$B$13="最小化",01_因子設定!$B$15-U3198,MIN(T3198-01_因子設定!$B$14,01_因子設定!$B$15-U3198))),-1E+030)</f>
        <v>-5.18873078448952</v>
      </c>
      <c r="X3198" s="55" t="n">
        <f aca="false">IF(V3198,IF(01_因子設定!$B$13="最大化",Q3198,IF(01_因子設定!$B$13="最小化",-Q3198,-ABS(Q3198-01_因子設定!$B$16))),-1E+030)</f>
        <v>44.4514914772728</v>
      </c>
      <c r="Y3198" s="55" t="n">
        <f aca="false">W3198+ROW()*0.000000001</f>
        <v>-5.18872758648952</v>
      </c>
      <c r="Z3198" s="55" t="n">
        <f aca="false">X3198+ROW()*0.000000001</f>
        <v>44.4514946752728</v>
      </c>
    </row>
    <row r="3199" customFormat="false" ht="15" hidden="false" customHeight="false" outlineLevel="0" collapsed="false">
      <c r="A3199" s="0" t="n">
        <v>11</v>
      </c>
      <c r="B3199" s="0" t="n">
        <v>0</v>
      </c>
      <c r="C3199" s="0" t="n">
        <v>15</v>
      </c>
      <c r="D3199" s="0" t="n">
        <f aca="false">-1+A3199*0.125</f>
        <v>0.375</v>
      </c>
      <c r="E3199" s="0" t="n">
        <f aca="false">-1+B3199*0.125</f>
        <v>-1</v>
      </c>
      <c r="F3199" s="0" t="n">
        <f aca="false">-1+C3199*0.125</f>
        <v>0.875</v>
      </c>
      <c r="G3199" s="0" t="n">
        <f aca="false">1</f>
        <v>1</v>
      </c>
      <c r="H3199" s="0" t="n">
        <f aca="false">D3199</f>
        <v>0.375</v>
      </c>
      <c r="I3199" s="0" t="n">
        <f aca="false">E3199</f>
        <v>-1</v>
      </c>
      <c r="J3199" s="0" t="n">
        <f aca="false">F3199</f>
        <v>0.875</v>
      </c>
      <c r="K3199" s="0" t="n">
        <f aca="false">D3199*E3199</f>
        <v>-0.375</v>
      </c>
      <c r="L3199" s="0" t="n">
        <f aca="false">D3199*F3199</f>
        <v>0.328125</v>
      </c>
      <c r="M3199" s="0" t="n">
        <f aca="false">E3199*F3199</f>
        <v>-0.875</v>
      </c>
      <c r="N3199" s="0" t="n">
        <f aca="false">D3199*D3199</f>
        <v>0.140625</v>
      </c>
      <c r="O3199" s="0" t="n">
        <f aca="false">E3199*E3199</f>
        <v>1</v>
      </c>
      <c r="P3199" s="0" t="n">
        <f aca="false">F3199*F3199</f>
        <v>0.765625</v>
      </c>
      <c r="Q3199" s="0" t="n">
        <f aca="false">SUMPRODUCT(G3199:P3199,_XtX!$B$71:$K$71)</f>
        <v>44.3215767045455</v>
      </c>
      <c r="R3199" s="0" t="n">
        <f aca="false">SUMPRODUCT(MMULT(G3199:P3199,_XtX!$B$58:$K$67),G3199:P3199)</f>
        <v>0.56971269087358</v>
      </c>
      <c r="S3199" s="0" t="n">
        <f aca="false">04_回帰ANOVA!$K$19*04_回帰ANOVA!$K$14*SQRT(1+R3199)</f>
        <v>1.16486801567081</v>
      </c>
      <c r="T3199" s="0" t="n">
        <f aca="false">Q3199-S3199</f>
        <v>43.1567086888747</v>
      </c>
      <c r="U3199" s="0" t="n">
        <f aca="false">Q3199+S3199</f>
        <v>45.4864447202163</v>
      </c>
      <c r="V3199" s="54" t="b">
        <f aca="false">AND(D3199&gt;=01_因子設定!$L$5-0.000000001,D3199&lt;=01_因子設定!$M$5+0.000000001,E3199&gt;=01_因子設定!$L$6-0.000000001,E3199&lt;=01_因子設定!$M$6+0.000000001,F3199&gt;=01_因子設定!$L$7-0.000000001,F3199&lt;=01_因子設定!$M$7+0.000000001,IF(01_因子設定!$B$20="Box-Behnken",D3199^2+E3199^2+F3199^2&lt;=2+0.000000001,TRUE()))</f>
        <v>1</v>
      </c>
      <c r="W3199" s="55" t="n">
        <f aca="false">IF(V3199,IF(01_因子設定!$B$13="最大化",T3199-01_因子設定!$B$14,IF(01_因子設定!$B$13="最小化",01_因子設定!$B$15-U3199,MIN(T3199-01_因子設定!$B$14,01_因子設定!$B$15-U3199))),-1E+030)</f>
        <v>-5.34329131112533</v>
      </c>
      <c r="X3199" s="55" t="n">
        <f aca="false">IF(V3199,IF(01_因子設定!$B$13="最大化",Q3199,IF(01_因子設定!$B$13="最小化",-Q3199,-ABS(Q3199-01_因子設定!$B$16))),-1E+030)</f>
        <v>44.3215767045455</v>
      </c>
      <c r="Y3199" s="55" t="n">
        <f aca="false">W3199+ROW()*0.000000001</f>
        <v>-5.34328811212533</v>
      </c>
      <c r="Z3199" s="55" t="n">
        <f aca="false">X3199+ROW()*0.000000001</f>
        <v>44.3215799035455</v>
      </c>
    </row>
    <row r="3200" customFormat="false" ht="15" hidden="false" customHeight="false" outlineLevel="0" collapsed="false">
      <c r="A3200" s="0" t="n">
        <v>11</v>
      </c>
      <c r="B3200" s="0" t="n">
        <v>0</v>
      </c>
      <c r="C3200" s="0" t="n">
        <v>16</v>
      </c>
      <c r="D3200" s="0" t="n">
        <f aca="false">-1+A3200*0.125</f>
        <v>0.375</v>
      </c>
      <c r="E3200" s="0" t="n">
        <f aca="false">-1+B3200*0.125</f>
        <v>-1</v>
      </c>
      <c r="F3200" s="0" t="n">
        <f aca="false">-1+C3200*0.125</f>
        <v>1</v>
      </c>
      <c r="G3200" s="0" t="n">
        <f aca="false">1</f>
        <v>1</v>
      </c>
      <c r="H3200" s="0" t="n">
        <f aca="false">D3200</f>
        <v>0.375</v>
      </c>
      <c r="I3200" s="0" t="n">
        <f aca="false">E3200</f>
        <v>-1</v>
      </c>
      <c r="J3200" s="0" t="n">
        <f aca="false">F3200</f>
        <v>1</v>
      </c>
      <c r="K3200" s="0" t="n">
        <f aca="false">D3200*E3200</f>
        <v>-0.375</v>
      </c>
      <c r="L3200" s="0" t="n">
        <f aca="false">D3200*F3200</f>
        <v>0.375</v>
      </c>
      <c r="M3200" s="0" t="n">
        <f aca="false">E3200*F3200</f>
        <v>-1</v>
      </c>
      <c r="N3200" s="0" t="n">
        <f aca="false">D3200*D3200</f>
        <v>0.140625</v>
      </c>
      <c r="O3200" s="0" t="n">
        <f aca="false">E3200*E3200</f>
        <v>1</v>
      </c>
      <c r="P3200" s="0" t="n">
        <f aca="false">F3200*F3200</f>
        <v>1</v>
      </c>
      <c r="Q3200" s="0" t="n">
        <f aca="false">SUMPRODUCT(G3200:P3200,_XtX!$B$71:$K$71)</f>
        <v>44.1548721590909</v>
      </c>
      <c r="R3200" s="0" t="n">
        <f aca="false">SUMPRODUCT(MMULT(G3200:P3200,_XtX!$B$58:$K$67),G3200:P3200)</f>
        <v>0.682830255681818</v>
      </c>
      <c r="S3200" s="0" t="n">
        <f aca="false">04_回帰ANOVA!$K$19*04_回帰ANOVA!$K$14*SQRT(1+R3200)</f>
        <v>1.20610964896955</v>
      </c>
      <c r="T3200" s="0" t="n">
        <f aca="false">Q3200-S3200</f>
        <v>42.9487625101214</v>
      </c>
      <c r="U3200" s="0" t="n">
        <f aca="false">Q3200+S3200</f>
        <v>45.3609818080605</v>
      </c>
      <c r="V3200" s="54" t="b">
        <f aca="false">AND(D3200&gt;=01_因子設定!$L$5-0.000000001,D3200&lt;=01_因子設定!$M$5+0.000000001,E3200&gt;=01_因子設定!$L$6-0.000000001,E3200&lt;=01_因子設定!$M$6+0.000000001,F3200&gt;=01_因子設定!$L$7-0.000000001,F3200&lt;=01_因子設定!$M$7+0.000000001,IF(01_因子設定!$B$20="Box-Behnken",D3200^2+E3200^2+F3200^2&lt;=2+0.000000001,TRUE()))</f>
        <v>1</v>
      </c>
      <c r="W3200" s="55" t="n">
        <f aca="false">IF(V3200,IF(01_因子設定!$B$13="最大化",T3200-01_因子設定!$B$14,IF(01_因子設定!$B$13="最小化",01_因子設定!$B$15-U3200,MIN(T3200-01_因子設定!$B$14,01_因子設定!$B$15-U3200))),-1E+030)</f>
        <v>-5.55123748987861</v>
      </c>
      <c r="X3200" s="55" t="n">
        <f aca="false">IF(V3200,IF(01_因子設定!$B$13="最大化",Q3200,IF(01_因子設定!$B$13="最小化",-Q3200,-ABS(Q3200-01_因子設定!$B$16))),-1E+030)</f>
        <v>44.1548721590909</v>
      </c>
      <c r="Y3200" s="55" t="n">
        <f aca="false">W3200+ROW()*0.000000001</f>
        <v>-5.55123428987861</v>
      </c>
      <c r="Z3200" s="55" t="n">
        <f aca="false">X3200+ROW()*0.000000001</f>
        <v>44.1548753590909</v>
      </c>
    </row>
    <row r="3201" customFormat="false" ht="15" hidden="false" customHeight="false" outlineLevel="0" collapsed="false">
      <c r="A3201" s="0" t="n">
        <v>11</v>
      </c>
      <c r="B3201" s="0" t="n">
        <v>1</v>
      </c>
      <c r="C3201" s="0" t="n">
        <v>0</v>
      </c>
      <c r="D3201" s="0" t="n">
        <f aca="false">-1+A3201*0.125</f>
        <v>0.375</v>
      </c>
      <c r="E3201" s="0" t="n">
        <f aca="false">-1+B3201*0.125</f>
        <v>-0.875</v>
      </c>
      <c r="F3201" s="0" t="n">
        <f aca="false">-1+C3201*0.125</f>
        <v>-1</v>
      </c>
      <c r="G3201" s="0" t="n">
        <f aca="false">1</f>
        <v>1</v>
      </c>
      <c r="H3201" s="0" t="n">
        <f aca="false">D3201</f>
        <v>0.375</v>
      </c>
      <c r="I3201" s="0" t="n">
        <f aca="false">E3201</f>
        <v>-0.875</v>
      </c>
      <c r="J3201" s="0" t="n">
        <f aca="false">F3201</f>
        <v>-1</v>
      </c>
      <c r="K3201" s="0" t="n">
        <f aca="false">D3201*E3201</f>
        <v>-0.328125</v>
      </c>
      <c r="L3201" s="0" t="n">
        <f aca="false">D3201*F3201</f>
        <v>-0.375</v>
      </c>
      <c r="M3201" s="0" t="n">
        <f aca="false">E3201*F3201</f>
        <v>0.875</v>
      </c>
      <c r="N3201" s="0" t="n">
        <f aca="false">D3201*D3201</f>
        <v>0.140625</v>
      </c>
      <c r="O3201" s="0" t="n">
        <f aca="false">E3201*E3201</f>
        <v>0.765625</v>
      </c>
      <c r="P3201" s="0" t="n">
        <f aca="false">F3201*F3201</f>
        <v>1</v>
      </c>
      <c r="Q3201" s="0" t="n">
        <f aca="false">SUMPRODUCT(G3201:P3201,_XtX!$B$71:$K$71)</f>
        <v>43.1424360795455</v>
      </c>
      <c r="R3201" s="0" t="n">
        <f aca="false">SUMPRODUCT(MMULT(G3201:P3201,_XtX!$B$58:$K$67),G3201:P3201)</f>
        <v>0.56971269087358</v>
      </c>
      <c r="S3201" s="0" t="n">
        <f aca="false">04_回帰ANOVA!$K$19*04_回帰ANOVA!$K$14*SQRT(1+R3201)</f>
        <v>1.16486801567081</v>
      </c>
      <c r="T3201" s="0" t="n">
        <f aca="false">Q3201-S3201</f>
        <v>41.9775680638747</v>
      </c>
      <c r="U3201" s="0" t="n">
        <f aca="false">Q3201+S3201</f>
        <v>44.3073040952163</v>
      </c>
      <c r="V3201" s="54" t="b">
        <f aca="false">AND(D3201&gt;=01_因子設定!$L$5-0.000000001,D3201&lt;=01_因子設定!$M$5+0.000000001,E3201&gt;=01_因子設定!$L$6-0.000000001,E3201&lt;=01_因子設定!$M$6+0.000000001,F3201&gt;=01_因子設定!$L$7-0.000000001,F3201&lt;=01_因子設定!$M$7+0.000000001,IF(01_因子設定!$B$20="Box-Behnken",D3201^2+E3201^2+F3201^2&lt;=2+0.000000001,TRUE()))</f>
        <v>1</v>
      </c>
      <c r="W3201" s="55" t="n">
        <f aca="false">IF(V3201,IF(01_因子設定!$B$13="最大化",T3201-01_因子設定!$B$14,IF(01_因子設定!$B$13="最小化",01_因子設定!$B$15-U3201,MIN(T3201-01_因子設定!$B$14,01_因子設定!$B$15-U3201))),-1E+030)</f>
        <v>-6.52243193612532</v>
      </c>
      <c r="X3201" s="55" t="n">
        <f aca="false">IF(V3201,IF(01_因子設定!$B$13="最大化",Q3201,IF(01_因子設定!$B$13="最小化",-Q3201,-ABS(Q3201-01_因子設定!$B$16))),-1E+030)</f>
        <v>43.1424360795455</v>
      </c>
      <c r="Y3201" s="55" t="n">
        <f aca="false">W3201+ROW()*0.000000001</f>
        <v>-6.52242873512532</v>
      </c>
      <c r="Z3201" s="55" t="n">
        <f aca="false">X3201+ROW()*0.000000001</f>
        <v>43.1424392805455</v>
      </c>
    </row>
    <row r="3202" customFormat="false" ht="15" hidden="false" customHeight="false" outlineLevel="0" collapsed="false">
      <c r="A3202" s="0" t="n">
        <v>11</v>
      </c>
      <c r="B3202" s="0" t="n">
        <v>1</v>
      </c>
      <c r="C3202" s="0" t="n">
        <v>1</v>
      </c>
      <c r="D3202" s="0" t="n">
        <f aca="false">-1+A3202*0.125</f>
        <v>0.375</v>
      </c>
      <c r="E3202" s="0" t="n">
        <f aca="false">-1+B3202*0.125</f>
        <v>-0.875</v>
      </c>
      <c r="F3202" s="0" t="n">
        <f aca="false">-1+C3202*0.125</f>
        <v>-0.875</v>
      </c>
      <c r="G3202" s="0" t="n">
        <f aca="false">1</f>
        <v>1</v>
      </c>
      <c r="H3202" s="0" t="n">
        <f aca="false">D3202</f>
        <v>0.375</v>
      </c>
      <c r="I3202" s="0" t="n">
        <f aca="false">E3202</f>
        <v>-0.875</v>
      </c>
      <c r="J3202" s="0" t="n">
        <f aca="false">F3202</f>
        <v>-0.875</v>
      </c>
      <c r="K3202" s="0" t="n">
        <f aca="false">D3202*E3202</f>
        <v>-0.328125</v>
      </c>
      <c r="L3202" s="0" t="n">
        <f aca="false">D3202*F3202</f>
        <v>-0.328125</v>
      </c>
      <c r="M3202" s="0" t="n">
        <f aca="false">E3202*F3202</f>
        <v>0.765625</v>
      </c>
      <c r="N3202" s="0" t="n">
        <f aca="false">D3202*D3202</f>
        <v>0.140625</v>
      </c>
      <c r="O3202" s="0" t="n">
        <f aca="false">E3202*E3202</f>
        <v>0.765625</v>
      </c>
      <c r="P3202" s="0" t="n">
        <f aca="false">F3202*F3202</f>
        <v>0.765625</v>
      </c>
      <c r="Q3202" s="0" t="n">
        <f aca="false">SUMPRODUCT(G3202:P3202,_XtX!$B$71:$K$71)</f>
        <v>43.534609375</v>
      </c>
      <c r="R3202" s="0" t="n">
        <f aca="false">SUMPRODUCT(MMULT(G3202:P3202,_XtX!$B$58:$K$67),G3202:P3202)</f>
        <v>0.448480224609375</v>
      </c>
      <c r="S3202" s="0" t="n">
        <f aca="false">04_回帰ANOVA!$K$19*04_回帰ANOVA!$K$14*SQRT(1+R3202)</f>
        <v>1.11898153812985</v>
      </c>
      <c r="T3202" s="0" t="n">
        <f aca="false">Q3202-S3202</f>
        <v>42.4156278368702</v>
      </c>
      <c r="U3202" s="0" t="n">
        <f aca="false">Q3202+S3202</f>
        <v>44.6535909131299</v>
      </c>
      <c r="V3202" s="54" t="b">
        <f aca="false">AND(D3202&gt;=01_因子設定!$L$5-0.000000001,D3202&lt;=01_因子設定!$M$5+0.000000001,E3202&gt;=01_因子設定!$L$6-0.000000001,E3202&lt;=01_因子設定!$M$6+0.000000001,F3202&gt;=01_因子設定!$L$7-0.000000001,F3202&lt;=01_因子設定!$M$7+0.000000001,IF(01_因子設定!$B$20="Box-Behnken",D3202^2+E3202^2+F3202^2&lt;=2+0.000000001,TRUE()))</f>
        <v>1</v>
      </c>
      <c r="W3202" s="55" t="n">
        <f aca="false">IF(V3202,IF(01_因子設定!$B$13="最大化",T3202-01_因子設定!$B$14,IF(01_因子設定!$B$13="最小化",01_因子設定!$B$15-U3202,MIN(T3202-01_因子設定!$B$14,01_因子設定!$B$15-U3202))),-1E+030)</f>
        <v>-6.08437216312982</v>
      </c>
      <c r="X3202" s="55" t="n">
        <f aca="false">IF(V3202,IF(01_因子設定!$B$13="最大化",Q3202,IF(01_因子設定!$B$13="最小化",-Q3202,-ABS(Q3202-01_因子設定!$B$16))),-1E+030)</f>
        <v>43.534609375</v>
      </c>
      <c r="Y3202" s="55" t="n">
        <f aca="false">W3202+ROW()*0.000000001</f>
        <v>-6.08436896112982</v>
      </c>
      <c r="Z3202" s="55" t="n">
        <f aca="false">X3202+ROW()*0.000000001</f>
        <v>43.534612577</v>
      </c>
    </row>
    <row r="3203" customFormat="false" ht="15" hidden="false" customHeight="false" outlineLevel="0" collapsed="false">
      <c r="A3203" s="0" t="n">
        <v>11</v>
      </c>
      <c r="B3203" s="0" t="n">
        <v>1</v>
      </c>
      <c r="C3203" s="0" t="n">
        <v>2</v>
      </c>
      <c r="D3203" s="0" t="n">
        <f aca="false">-1+A3203*0.125</f>
        <v>0.375</v>
      </c>
      <c r="E3203" s="0" t="n">
        <f aca="false">-1+B3203*0.125</f>
        <v>-0.875</v>
      </c>
      <c r="F3203" s="0" t="n">
        <f aca="false">-1+C3203*0.125</f>
        <v>-0.75</v>
      </c>
      <c r="G3203" s="0" t="n">
        <f aca="false">1</f>
        <v>1</v>
      </c>
      <c r="H3203" s="0" t="n">
        <f aca="false">D3203</f>
        <v>0.375</v>
      </c>
      <c r="I3203" s="0" t="n">
        <f aca="false">E3203</f>
        <v>-0.875</v>
      </c>
      <c r="J3203" s="0" t="n">
        <f aca="false">F3203</f>
        <v>-0.75</v>
      </c>
      <c r="K3203" s="0" t="n">
        <f aca="false">D3203*E3203</f>
        <v>-0.328125</v>
      </c>
      <c r="L3203" s="0" t="n">
        <f aca="false">D3203*F3203</f>
        <v>-0.28125</v>
      </c>
      <c r="M3203" s="0" t="n">
        <f aca="false">E3203*F3203</f>
        <v>0.65625</v>
      </c>
      <c r="N3203" s="0" t="n">
        <f aca="false">D3203*D3203</f>
        <v>0.140625</v>
      </c>
      <c r="O3203" s="0" t="n">
        <f aca="false">E3203*E3203</f>
        <v>0.765625</v>
      </c>
      <c r="P3203" s="0" t="n">
        <f aca="false">F3203*F3203</f>
        <v>0.5625</v>
      </c>
      <c r="Q3203" s="0" t="n">
        <f aca="false">SUMPRODUCT(G3203:P3203,_XtX!$B$71:$K$71)</f>
        <v>43.8899928977273</v>
      </c>
      <c r="R3203" s="0" t="n">
        <f aca="false">SUMPRODUCT(MMULT(G3203:P3203,_XtX!$B$58:$K$67),G3203:P3203)</f>
        <v>0.375727428089489</v>
      </c>
      <c r="S3203" s="0" t="n">
        <f aca="false">04_回帰ANOVA!$K$19*04_回帰ANOVA!$K$14*SQRT(1+R3203)</f>
        <v>1.09051798904087</v>
      </c>
      <c r="T3203" s="0" t="n">
        <f aca="false">Q3203-S3203</f>
        <v>42.7994749086864</v>
      </c>
      <c r="U3203" s="0" t="n">
        <f aca="false">Q3203+S3203</f>
        <v>44.9805108867682</v>
      </c>
      <c r="V3203" s="54" t="b">
        <f aca="false">AND(D3203&gt;=01_因子設定!$L$5-0.000000001,D3203&lt;=01_因子設定!$M$5+0.000000001,E3203&gt;=01_因子設定!$L$6-0.000000001,E3203&lt;=01_因子設定!$M$6+0.000000001,F3203&gt;=01_因子設定!$L$7-0.000000001,F3203&lt;=01_因子設定!$M$7+0.000000001,IF(01_因子設定!$B$20="Box-Behnken",D3203^2+E3203^2+F3203^2&lt;=2+0.000000001,TRUE()))</f>
        <v>1</v>
      </c>
      <c r="W3203" s="55" t="n">
        <f aca="false">IF(V3203,IF(01_因子設定!$B$13="最大化",T3203-01_因子設定!$B$14,IF(01_因子設定!$B$13="最小化",01_因子設定!$B$15-U3203,MIN(T3203-01_因子設定!$B$14,01_因子設定!$B$15-U3203))),-1E+030)</f>
        <v>-5.70052509131358</v>
      </c>
      <c r="X3203" s="55" t="n">
        <f aca="false">IF(V3203,IF(01_因子設定!$B$13="最大化",Q3203,IF(01_因子設定!$B$13="最小化",-Q3203,-ABS(Q3203-01_因子設定!$B$16))),-1E+030)</f>
        <v>43.8899928977273</v>
      </c>
      <c r="Y3203" s="55" t="n">
        <f aca="false">W3203+ROW()*0.000000001</f>
        <v>-5.70052188831358</v>
      </c>
      <c r="Z3203" s="55" t="n">
        <f aca="false">X3203+ROW()*0.000000001</f>
        <v>43.8899961007273</v>
      </c>
    </row>
    <row r="3204" customFormat="false" ht="15" hidden="false" customHeight="false" outlineLevel="0" collapsed="false">
      <c r="A3204" s="0" t="n">
        <v>11</v>
      </c>
      <c r="B3204" s="0" t="n">
        <v>1</v>
      </c>
      <c r="C3204" s="0" t="n">
        <v>3</v>
      </c>
      <c r="D3204" s="0" t="n">
        <f aca="false">-1+A3204*0.125</f>
        <v>0.375</v>
      </c>
      <c r="E3204" s="0" t="n">
        <f aca="false">-1+B3204*0.125</f>
        <v>-0.875</v>
      </c>
      <c r="F3204" s="0" t="n">
        <f aca="false">-1+C3204*0.125</f>
        <v>-0.625</v>
      </c>
      <c r="G3204" s="0" t="n">
        <f aca="false">1</f>
        <v>1</v>
      </c>
      <c r="H3204" s="0" t="n">
        <f aca="false">D3204</f>
        <v>0.375</v>
      </c>
      <c r="I3204" s="0" t="n">
        <f aca="false">E3204</f>
        <v>-0.875</v>
      </c>
      <c r="J3204" s="0" t="n">
        <f aca="false">F3204</f>
        <v>-0.625</v>
      </c>
      <c r="K3204" s="0" t="n">
        <f aca="false">D3204*E3204</f>
        <v>-0.328125</v>
      </c>
      <c r="L3204" s="0" t="n">
        <f aca="false">D3204*F3204</f>
        <v>-0.234375</v>
      </c>
      <c r="M3204" s="0" t="n">
        <f aca="false">E3204*F3204</f>
        <v>0.546875</v>
      </c>
      <c r="N3204" s="0" t="n">
        <f aca="false">D3204*D3204</f>
        <v>0.140625</v>
      </c>
      <c r="O3204" s="0" t="n">
        <f aca="false">E3204*E3204</f>
        <v>0.765625</v>
      </c>
      <c r="P3204" s="0" t="n">
        <f aca="false">F3204*F3204</f>
        <v>0.390625</v>
      </c>
      <c r="Q3204" s="0" t="n">
        <f aca="false">SUMPRODUCT(G3204:P3204,_XtX!$B$71:$K$71)</f>
        <v>44.2085866477273</v>
      </c>
      <c r="R3204" s="0" t="n">
        <f aca="false">SUMPRODUCT(MMULT(G3204:P3204,_XtX!$B$58:$K$67),G3204:P3204)</f>
        <v>0.337604869495739</v>
      </c>
      <c r="S3204" s="0" t="n">
        <f aca="false">04_回帰ANOVA!$K$19*04_回帰ANOVA!$K$14*SQRT(1+R3204)</f>
        <v>1.07530225516193</v>
      </c>
      <c r="T3204" s="0" t="n">
        <f aca="false">Q3204-S3204</f>
        <v>43.1332843925654</v>
      </c>
      <c r="U3204" s="0" t="n">
        <f aca="false">Q3204+S3204</f>
        <v>45.2838889028892</v>
      </c>
      <c r="V3204" s="54" t="b">
        <f aca="false">AND(D3204&gt;=01_因子設定!$L$5-0.000000001,D3204&lt;=01_因子設定!$M$5+0.000000001,E3204&gt;=01_因子設定!$L$6-0.000000001,E3204&lt;=01_因子設定!$M$6+0.000000001,F3204&gt;=01_因子設定!$L$7-0.000000001,F3204&lt;=01_因子設定!$M$7+0.000000001,IF(01_因子設定!$B$20="Box-Behnken",D3204^2+E3204^2+F3204^2&lt;=2+0.000000001,TRUE()))</f>
        <v>1</v>
      </c>
      <c r="W3204" s="55" t="n">
        <f aca="false">IF(V3204,IF(01_因子設定!$B$13="最大化",T3204-01_因子設定!$B$14,IF(01_因子設定!$B$13="最小化",01_因子設定!$B$15-U3204,MIN(T3204-01_因子設定!$B$14,01_因子設定!$B$15-U3204))),-1E+030)</f>
        <v>-5.36671560743464</v>
      </c>
      <c r="X3204" s="55" t="n">
        <f aca="false">IF(V3204,IF(01_因子設定!$B$13="最大化",Q3204,IF(01_因子設定!$B$13="最小化",-Q3204,-ABS(Q3204-01_因子設定!$B$16))),-1E+030)</f>
        <v>44.2085866477273</v>
      </c>
      <c r="Y3204" s="55" t="n">
        <f aca="false">W3204+ROW()*0.000000001</f>
        <v>-5.36671240343464</v>
      </c>
      <c r="Z3204" s="55" t="n">
        <f aca="false">X3204+ROW()*0.000000001</f>
        <v>44.2085898517273</v>
      </c>
    </row>
    <row r="3205" customFormat="false" ht="15" hidden="false" customHeight="false" outlineLevel="0" collapsed="false">
      <c r="A3205" s="0" t="n">
        <v>11</v>
      </c>
      <c r="B3205" s="0" t="n">
        <v>1</v>
      </c>
      <c r="C3205" s="0" t="n">
        <v>4</v>
      </c>
      <c r="D3205" s="0" t="n">
        <f aca="false">-1+A3205*0.125</f>
        <v>0.375</v>
      </c>
      <c r="E3205" s="0" t="n">
        <f aca="false">-1+B3205*0.125</f>
        <v>-0.875</v>
      </c>
      <c r="F3205" s="0" t="n">
        <f aca="false">-1+C3205*0.125</f>
        <v>-0.5</v>
      </c>
      <c r="G3205" s="0" t="n">
        <f aca="false">1</f>
        <v>1</v>
      </c>
      <c r="H3205" s="0" t="n">
        <f aca="false">D3205</f>
        <v>0.375</v>
      </c>
      <c r="I3205" s="0" t="n">
        <f aca="false">E3205</f>
        <v>-0.875</v>
      </c>
      <c r="J3205" s="0" t="n">
        <f aca="false">F3205</f>
        <v>-0.5</v>
      </c>
      <c r="K3205" s="0" t="n">
        <f aca="false">D3205*E3205</f>
        <v>-0.328125</v>
      </c>
      <c r="L3205" s="0" t="n">
        <f aca="false">D3205*F3205</f>
        <v>-0.1875</v>
      </c>
      <c r="M3205" s="0" t="n">
        <f aca="false">E3205*F3205</f>
        <v>0.4375</v>
      </c>
      <c r="N3205" s="0" t="n">
        <f aca="false">D3205*D3205</f>
        <v>0.140625</v>
      </c>
      <c r="O3205" s="0" t="n">
        <f aca="false">E3205*E3205</f>
        <v>0.765625</v>
      </c>
      <c r="P3205" s="0" t="n">
        <f aca="false">F3205*F3205</f>
        <v>0.25</v>
      </c>
      <c r="Q3205" s="0" t="n">
        <f aca="false">SUMPRODUCT(G3205:P3205,_XtX!$B$71:$K$71)</f>
        <v>44.490390625</v>
      </c>
      <c r="R3205" s="0" t="n">
        <f aca="false">SUMPRODUCT(MMULT(G3205:P3205,_XtX!$B$58:$K$67),G3205:P3205)</f>
        <v>0.322393798828125</v>
      </c>
      <c r="S3205" s="0" t="n">
        <f aca="false">04_回帰ANOVA!$K$19*04_回帰ANOVA!$K$14*SQRT(1+R3205)</f>
        <v>1.06917067390712</v>
      </c>
      <c r="T3205" s="0" t="n">
        <f aca="false">Q3205-S3205</f>
        <v>43.4212199510929</v>
      </c>
      <c r="U3205" s="0" t="n">
        <f aca="false">Q3205+S3205</f>
        <v>45.5595612989071</v>
      </c>
      <c r="V3205" s="54" t="b">
        <f aca="false">AND(D3205&gt;=01_因子設定!$L$5-0.000000001,D3205&lt;=01_因子設定!$M$5+0.000000001,E3205&gt;=01_因子設定!$L$6-0.000000001,E3205&lt;=01_因子設定!$M$6+0.000000001,F3205&gt;=01_因子設定!$L$7-0.000000001,F3205&lt;=01_因子設定!$M$7+0.000000001,IF(01_因子設定!$B$20="Box-Behnken",D3205^2+E3205^2+F3205^2&lt;=2+0.000000001,TRUE()))</f>
        <v>1</v>
      </c>
      <c r="W3205" s="55" t="n">
        <f aca="false">IF(V3205,IF(01_因子設定!$B$13="最大化",T3205-01_因子設定!$B$14,IF(01_因子設定!$B$13="最小化",01_因子設定!$B$15-U3205,MIN(T3205-01_因子設定!$B$14,01_因子設定!$B$15-U3205))),-1E+030)</f>
        <v>-5.0787800489071</v>
      </c>
      <c r="X3205" s="55" t="n">
        <f aca="false">IF(V3205,IF(01_因子設定!$B$13="最大化",Q3205,IF(01_因子設定!$B$13="最小化",-Q3205,-ABS(Q3205-01_因子設定!$B$16))),-1E+030)</f>
        <v>44.490390625</v>
      </c>
      <c r="Y3205" s="55" t="n">
        <f aca="false">W3205+ROW()*0.000000001</f>
        <v>-5.0787768439071</v>
      </c>
      <c r="Z3205" s="55" t="n">
        <f aca="false">X3205+ROW()*0.000000001</f>
        <v>44.49039383</v>
      </c>
    </row>
    <row r="3206" customFormat="false" ht="15" hidden="false" customHeight="false" outlineLevel="0" collapsed="false">
      <c r="A3206" s="0" t="n">
        <v>11</v>
      </c>
      <c r="B3206" s="0" t="n">
        <v>1</v>
      </c>
      <c r="C3206" s="0" t="n">
        <v>5</v>
      </c>
      <c r="D3206" s="0" t="n">
        <f aca="false">-1+A3206*0.125</f>
        <v>0.375</v>
      </c>
      <c r="E3206" s="0" t="n">
        <f aca="false">-1+B3206*0.125</f>
        <v>-0.875</v>
      </c>
      <c r="F3206" s="0" t="n">
        <f aca="false">-1+C3206*0.125</f>
        <v>-0.375</v>
      </c>
      <c r="G3206" s="0" t="n">
        <f aca="false">1</f>
        <v>1</v>
      </c>
      <c r="H3206" s="0" t="n">
        <f aca="false">D3206</f>
        <v>0.375</v>
      </c>
      <c r="I3206" s="0" t="n">
        <f aca="false">E3206</f>
        <v>-0.875</v>
      </c>
      <c r="J3206" s="0" t="n">
        <f aca="false">F3206</f>
        <v>-0.375</v>
      </c>
      <c r="K3206" s="0" t="n">
        <f aca="false">D3206*E3206</f>
        <v>-0.328125</v>
      </c>
      <c r="L3206" s="0" t="n">
        <f aca="false">D3206*F3206</f>
        <v>-0.140625</v>
      </c>
      <c r="M3206" s="0" t="n">
        <f aca="false">E3206*F3206</f>
        <v>0.328125</v>
      </c>
      <c r="N3206" s="0" t="n">
        <f aca="false">D3206*D3206</f>
        <v>0.140625</v>
      </c>
      <c r="O3206" s="0" t="n">
        <f aca="false">E3206*E3206</f>
        <v>0.765625</v>
      </c>
      <c r="P3206" s="0" t="n">
        <f aca="false">F3206*F3206</f>
        <v>0.140625</v>
      </c>
      <c r="Q3206" s="0" t="n">
        <f aca="false">SUMPRODUCT(G3206:P3206,_XtX!$B$71:$K$71)</f>
        <v>44.7354048295455</v>
      </c>
      <c r="R3206" s="0" t="n">
        <f aca="false">SUMPRODUCT(MMULT(G3206:P3206,_XtX!$B$58:$K$67),G3206:P3206)</f>
        <v>0.32050614790483</v>
      </c>
      <c r="S3206" s="0" t="n">
        <f aca="false">04_回帰ANOVA!$K$19*04_回帰ANOVA!$K$14*SQRT(1+R3206)</f>
        <v>1.06840730759619</v>
      </c>
      <c r="T3206" s="0" t="n">
        <f aca="false">Q3206-S3206</f>
        <v>43.6669975219493</v>
      </c>
      <c r="U3206" s="0" t="n">
        <f aca="false">Q3206+S3206</f>
        <v>45.8038121371417</v>
      </c>
      <c r="V3206" s="54" t="b">
        <f aca="false">AND(D3206&gt;=01_因子設定!$L$5-0.000000001,D3206&lt;=01_因子設定!$M$5+0.000000001,E3206&gt;=01_因子設定!$L$6-0.000000001,E3206&lt;=01_因子設定!$M$6+0.000000001,F3206&gt;=01_因子設定!$L$7-0.000000001,F3206&lt;=01_因子設定!$M$7+0.000000001,IF(01_因子設定!$B$20="Box-Behnken",D3206^2+E3206^2+F3206^2&lt;=2+0.000000001,TRUE()))</f>
        <v>1</v>
      </c>
      <c r="W3206" s="55" t="n">
        <f aca="false">IF(V3206,IF(01_因子設定!$B$13="最大化",T3206-01_因子設定!$B$14,IF(01_因子設定!$B$13="最小化",01_因子設定!$B$15-U3206,MIN(T3206-01_因子設定!$B$14,01_因子設定!$B$15-U3206))),-1E+030)</f>
        <v>-4.83300247805072</v>
      </c>
      <c r="X3206" s="55" t="n">
        <f aca="false">IF(V3206,IF(01_因子設定!$B$13="最大化",Q3206,IF(01_因子設定!$B$13="最小化",-Q3206,-ABS(Q3206-01_因子設定!$B$16))),-1E+030)</f>
        <v>44.7354048295455</v>
      </c>
      <c r="Y3206" s="55" t="n">
        <f aca="false">W3206+ROW()*0.000000001</f>
        <v>-4.83299927205072</v>
      </c>
      <c r="Z3206" s="55" t="n">
        <f aca="false">X3206+ROW()*0.000000001</f>
        <v>44.7354080355455</v>
      </c>
    </row>
    <row r="3207" customFormat="false" ht="15" hidden="false" customHeight="false" outlineLevel="0" collapsed="false">
      <c r="A3207" s="0" t="n">
        <v>11</v>
      </c>
      <c r="B3207" s="0" t="n">
        <v>1</v>
      </c>
      <c r="C3207" s="0" t="n">
        <v>6</v>
      </c>
      <c r="D3207" s="0" t="n">
        <f aca="false">-1+A3207*0.125</f>
        <v>0.375</v>
      </c>
      <c r="E3207" s="0" t="n">
        <f aca="false">-1+B3207*0.125</f>
        <v>-0.875</v>
      </c>
      <c r="F3207" s="0" t="n">
        <f aca="false">-1+C3207*0.125</f>
        <v>-0.25</v>
      </c>
      <c r="G3207" s="0" t="n">
        <f aca="false">1</f>
        <v>1</v>
      </c>
      <c r="H3207" s="0" t="n">
        <f aca="false">D3207</f>
        <v>0.375</v>
      </c>
      <c r="I3207" s="0" t="n">
        <f aca="false">E3207</f>
        <v>-0.875</v>
      </c>
      <c r="J3207" s="0" t="n">
        <f aca="false">F3207</f>
        <v>-0.25</v>
      </c>
      <c r="K3207" s="0" t="n">
        <f aca="false">D3207*E3207</f>
        <v>-0.328125</v>
      </c>
      <c r="L3207" s="0" t="n">
        <f aca="false">D3207*F3207</f>
        <v>-0.09375</v>
      </c>
      <c r="M3207" s="0" t="n">
        <f aca="false">E3207*F3207</f>
        <v>0.21875</v>
      </c>
      <c r="N3207" s="0" t="n">
        <f aca="false">D3207*D3207</f>
        <v>0.140625</v>
      </c>
      <c r="O3207" s="0" t="n">
        <f aca="false">E3207*E3207</f>
        <v>0.765625</v>
      </c>
      <c r="P3207" s="0" t="n">
        <f aca="false">F3207*F3207</f>
        <v>0.0625</v>
      </c>
      <c r="Q3207" s="0" t="n">
        <f aca="false">SUMPRODUCT(G3207:P3207,_XtX!$B$71:$K$71)</f>
        <v>44.9436292613637</v>
      </c>
      <c r="R3207" s="0" t="n">
        <f aca="false">SUMPRODUCT(MMULT(G3207:P3207,_XtX!$B$58:$K$67),G3207:P3207)</f>
        <v>0.324484530362216</v>
      </c>
      <c r="S3207" s="0" t="n">
        <f aca="false">04_回帰ANOVA!$K$19*04_回帰ANOVA!$K$14*SQRT(1+R3207)</f>
        <v>1.07001553041279</v>
      </c>
      <c r="T3207" s="0" t="n">
        <f aca="false">Q3207-S3207</f>
        <v>43.8736137309509</v>
      </c>
      <c r="U3207" s="0" t="n">
        <f aca="false">Q3207+S3207</f>
        <v>46.0136447917764</v>
      </c>
      <c r="V3207" s="54" t="b">
        <f aca="false">AND(D3207&gt;=01_因子設定!$L$5-0.000000001,D3207&lt;=01_因子設定!$M$5+0.000000001,E3207&gt;=01_因子設定!$L$6-0.000000001,E3207&lt;=01_因子設定!$M$6+0.000000001,F3207&gt;=01_因子設定!$L$7-0.000000001,F3207&lt;=01_因子設定!$M$7+0.000000001,IF(01_因子設定!$B$20="Box-Behnken",D3207^2+E3207^2+F3207^2&lt;=2+0.000000001,TRUE()))</f>
        <v>1</v>
      </c>
      <c r="W3207" s="55" t="n">
        <f aca="false">IF(V3207,IF(01_因子設定!$B$13="最大化",T3207-01_因子設定!$B$14,IF(01_因子設定!$B$13="最小化",01_因子設定!$B$15-U3207,MIN(T3207-01_因子設定!$B$14,01_因子設定!$B$15-U3207))),-1E+030)</f>
        <v>-4.62638626904914</v>
      </c>
      <c r="X3207" s="55" t="n">
        <f aca="false">IF(V3207,IF(01_因子設定!$B$13="最大化",Q3207,IF(01_因子設定!$B$13="最小化",-Q3207,-ABS(Q3207-01_因子設定!$B$16))),-1E+030)</f>
        <v>44.9436292613637</v>
      </c>
      <c r="Y3207" s="55" t="n">
        <f aca="false">W3207+ROW()*0.000000001</f>
        <v>-4.62638306204914</v>
      </c>
      <c r="Z3207" s="55" t="n">
        <f aca="false">X3207+ROW()*0.000000001</f>
        <v>44.9436324683636</v>
      </c>
    </row>
    <row r="3208" customFormat="false" ht="15" hidden="false" customHeight="false" outlineLevel="0" collapsed="false">
      <c r="A3208" s="0" t="n">
        <v>11</v>
      </c>
      <c r="B3208" s="0" t="n">
        <v>1</v>
      </c>
      <c r="C3208" s="0" t="n">
        <v>7</v>
      </c>
      <c r="D3208" s="0" t="n">
        <f aca="false">-1+A3208*0.125</f>
        <v>0.375</v>
      </c>
      <c r="E3208" s="0" t="n">
        <f aca="false">-1+B3208*0.125</f>
        <v>-0.875</v>
      </c>
      <c r="F3208" s="0" t="n">
        <f aca="false">-1+C3208*0.125</f>
        <v>-0.125</v>
      </c>
      <c r="G3208" s="0" t="n">
        <f aca="false">1</f>
        <v>1</v>
      </c>
      <c r="H3208" s="0" t="n">
        <f aca="false">D3208</f>
        <v>0.375</v>
      </c>
      <c r="I3208" s="0" t="n">
        <f aca="false">E3208</f>
        <v>-0.875</v>
      </c>
      <c r="J3208" s="0" t="n">
        <f aca="false">F3208</f>
        <v>-0.125</v>
      </c>
      <c r="K3208" s="0" t="n">
        <f aca="false">D3208*E3208</f>
        <v>-0.328125</v>
      </c>
      <c r="L3208" s="0" t="n">
        <f aca="false">D3208*F3208</f>
        <v>-0.046875</v>
      </c>
      <c r="M3208" s="0" t="n">
        <f aca="false">E3208*F3208</f>
        <v>0.109375</v>
      </c>
      <c r="N3208" s="0" t="n">
        <f aca="false">D3208*D3208</f>
        <v>0.140625</v>
      </c>
      <c r="O3208" s="0" t="n">
        <f aca="false">E3208*E3208</f>
        <v>0.765625</v>
      </c>
      <c r="P3208" s="0" t="n">
        <f aca="false">F3208*F3208</f>
        <v>0.015625</v>
      </c>
      <c r="Q3208" s="0" t="n">
        <f aca="false">SUMPRODUCT(G3208:P3208,_XtX!$B$71:$K$71)</f>
        <v>45.1150639204546</v>
      </c>
      <c r="R3208" s="0" t="n">
        <f aca="false">SUMPRODUCT(MMULT(G3208:P3208,_XtX!$B$58:$K$67),G3208:P3208)</f>
        <v>0.32900224165483</v>
      </c>
      <c r="S3208" s="0" t="n">
        <f aca="false">04_回帰ANOVA!$K$19*04_回帰ANOVA!$K$14*SQRT(1+R3208)</f>
        <v>1.07183884583628</v>
      </c>
      <c r="T3208" s="0" t="n">
        <f aca="false">Q3208-S3208</f>
        <v>44.0432250746183</v>
      </c>
      <c r="U3208" s="0" t="n">
        <f aca="false">Q3208+S3208</f>
        <v>46.1869027662908</v>
      </c>
      <c r="V3208" s="54" t="b">
        <f aca="false">AND(D3208&gt;=01_因子設定!$L$5-0.000000001,D3208&lt;=01_因子設定!$M$5+0.000000001,E3208&gt;=01_因子設定!$L$6-0.000000001,E3208&lt;=01_因子設定!$M$6+0.000000001,F3208&gt;=01_因子設定!$L$7-0.000000001,F3208&lt;=01_因子設定!$M$7+0.000000001,IF(01_因子設定!$B$20="Box-Behnken",D3208^2+E3208^2+F3208^2&lt;=2+0.000000001,TRUE()))</f>
        <v>1</v>
      </c>
      <c r="W3208" s="55" t="n">
        <f aca="false">IF(V3208,IF(01_因子設定!$B$13="最大化",T3208-01_因子設定!$B$14,IF(01_因子設定!$B$13="最小化",01_因子設定!$B$15-U3208,MIN(T3208-01_因子設定!$B$14,01_因子設定!$B$15-U3208))),-1E+030)</f>
        <v>-4.45677492538172</v>
      </c>
      <c r="X3208" s="55" t="n">
        <f aca="false">IF(V3208,IF(01_因子設定!$B$13="最大化",Q3208,IF(01_因子設定!$B$13="最小化",-Q3208,-ABS(Q3208-01_因子設定!$B$16))),-1E+030)</f>
        <v>45.1150639204546</v>
      </c>
      <c r="Y3208" s="55" t="n">
        <f aca="false">W3208+ROW()*0.000000001</f>
        <v>-4.45677171738172</v>
      </c>
      <c r="Z3208" s="55" t="n">
        <f aca="false">X3208+ROW()*0.000000001</f>
        <v>45.1150671284546</v>
      </c>
    </row>
    <row r="3209" customFormat="false" ht="15" hidden="false" customHeight="false" outlineLevel="0" collapsed="false">
      <c r="A3209" s="0" t="n">
        <v>11</v>
      </c>
      <c r="B3209" s="0" t="n">
        <v>1</v>
      </c>
      <c r="C3209" s="0" t="n">
        <v>8</v>
      </c>
      <c r="D3209" s="0" t="n">
        <f aca="false">-1+A3209*0.125</f>
        <v>0.375</v>
      </c>
      <c r="E3209" s="0" t="n">
        <f aca="false">-1+B3209*0.125</f>
        <v>-0.875</v>
      </c>
      <c r="F3209" s="0" t="n">
        <f aca="false">-1+C3209*0.125</f>
        <v>0</v>
      </c>
      <c r="G3209" s="0" t="n">
        <f aca="false">1</f>
        <v>1</v>
      </c>
      <c r="H3209" s="0" t="n">
        <f aca="false">D3209</f>
        <v>0.375</v>
      </c>
      <c r="I3209" s="0" t="n">
        <f aca="false">E3209</f>
        <v>-0.875</v>
      </c>
      <c r="J3209" s="0" t="n">
        <f aca="false">F3209</f>
        <v>0</v>
      </c>
      <c r="K3209" s="0" t="n">
        <f aca="false">D3209*E3209</f>
        <v>-0.328125</v>
      </c>
      <c r="L3209" s="0" t="n">
        <f aca="false">D3209*F3209</f>
        <v>0</v>
      </c>
      <c r="M3209" s="0" t="n">
        <f aca="false">E3209*F3209</f>
        <v>-0</v>
      </c>
      <c r="N3209" s="0" t="n">
        <f aca="false">D3209*D3209</f>
        <v>0.140625</v>
      </c>
      <c r="O3209" s="0" t="n">
        <f aca="false">E3209*E3209</f>
        <v>0.765625</v>
      </c>
      <c r="P3209" s="0" t="n">
        <f aca="false">F3209*F3209</f>
        <v>0</v>
      </c>
      <c r="Q3209" s="0" t="n">
        <f aca="false">SUMPRODUCT(G3209:P3209,_XtX!$B$71:$K$71)</f>
        <v>45.2497088068182</v>
      </c>
      <c r="R3209" s="0" t="n">
        <f aca="false">SUMPRODUCT(MMULT(G3209:P3209,_XtX!$B$58:$K$67),G3209:P3209)</f>
        <v>0.330863259055398</v>
      </c>
      <c r="S3209" s="0" t="n">
        <f aca="false">04_回帰ANOVA!$K$19*04_回帰ANOVA!$K$14*SQRT(1+R3209)</f>
        <v>1.07258903754571</v>
      </c>
      <c r="T3209" s="0" t="n">
        <f aca="false">Q3209-S3209</f>
        <v>44.1771197692725</v>
      </c>
      <c r="U3209" s="0" t="n">
        <f aca="false">Q3209+S3209</f>
        <v>46.3222978443639</v>
      </c>
      <c r="V3209" s="54" t="b">
        <f aca="false">AND(D3209&gt;=01_因子設定!$L$5-0.000000001,D3209&lt;=01_因子設定!$M$5+0.000000001,E3209&gt;=01_因子設定!$L$6-0.000000001,E3209&lt;=01_因子設定!$M$6+0.000000001,F3209&gt;=01_因子設定!$L$7-0.000000001,F3209&lt;=01_因子設定!$M$7+0.000000001,IF(01_因子設定!$B$20="Box-Behnken",D3209^2+E3209^2+F3209^2&lt;=2+0.000000001,TRUE()))</f>
        <v>1</v>
      </c>
      <c r="W3209" s="55" t="n">
        <f aca="false">IF(V3209,IF(01_因子設定!$B$13="最大化",T3209-01_因子設定!$B$14,IF(01_因子設定!$B$13="最小化",01_因子設定!$B$15-U3209,MIN(T3209-01_因子設定!$B$14,01_因子設定!$B$15-U3209))),-1E+030)</f>
        <v>-4.32288023072751</v>
      </c>
      <c r="X3209" s="55" t="n">
        <f aca="false">IF(V3209,IF(01_因子設定!$B$13="最大化",Q3209,IF(01_因子設定!$B$13="最小化",-Q3209,-ABS(Q3209-01_因子設定!$B$16))),-1E+030)</f>
        <v>45.2497088068182</v>
      </c>
      <c r="Y3209" s="55" t="n">
        <f aca="false">W3209+ROW()*0.000000001</f>
        <v>-4.32287702172751</v>
      </c>
      <c r="Z3209" s="55" t="n">
        <f aca="false">X3209+ROW()*0.000000001</f>
        <v>45.2497120158182</v>
      </c>
    </row>
    <row r="3210" customFormat="false" ht="15" hidden="false" customHeight="false" outlineLevel="0" collapsed="false">
      <c r="A3210" s="0" t="n">
        <v>11</v>
      </c>
      <c r="B3210" s="0" t="n">
        <v>1</v>
      </c>
      <c r="C3210" s="0" t="n">
        <v>9</v>
      </c>
      <c r="D3210" s="0" t="n">
        <f aca="false">-1+A3210*0.125</f>
        <v>0.375</v>
      </c>
      <c r="E3210" s="0" t="n">
        <f aca="false">-1+B3210*0.125</f>
        <v>-0.875</v>
      </c>
      <c r="F3210" s="0" t="n">
        <f aca="false">-1+C3210*0.125</f>
        <v>0.125</v>
      </c>
      <c r="G3210" s="0" t="n">
        <f aca="false">1</f>
        <v>1</v>
      </c>
      <c r="H3210" s="0" t="n">
        <f aca="false">D3210</f>
        <v>0.375</v>
      </c>
      <c r="I3210" s="0" t="n">
        <f aca="false">E3210</f>
        <v>-0.875</v>
      </c>
      <c r="J3210" s="0" t="n">
        <f aca="false">F3210</f>
        <v>0.125</v>
      </c>
      <c r="K3210" s="0" t="n">
        <f aca="false">D3210*E3210</f>
        <v>-0.328125</v>
      </c>
      <c r="L3210" s="0" t="n">
        <f aca="false">D3210*F3210</f>
        <v>0.046875</v>
      </c>
      <c r="M3210" s="0" t="n">
        <f aca="false">E3210*F3210</f>
        <v>-0.109375</v>
      </c>
      <c r="N3210" s="0" t="n">
        <f aca="false">D3210*D3210</f>
        <v>0.140625</v>
      </c>
      <c r="O3210" s="0" t="n">
        <f aca="false">E3210*E3210</f>
        <v>0.765625</v>
      </c>
      <c r="P3210" s="0" t="n">
        <f aca="false">F3210*F3210</f>
        <v>0.015625</v>
      </c>
      <c r="Q3210" s="0" t="n">
        <f aca="false">SUMPRODUCT(G3210:P3210,_XtX!$B$71:$K$71)</f>
        <v>45.3475639204546</v>
      </c>
      <c r="R3210" s="0" t="n">
        <f aca="false">SUMPRODUCT(MMULT(G3210:P3210,_XtX!$B$58:$K$67),G3210:P3210)</f>
        <v>0.32900224165483</v>
      </c>
      <c r="S3210" s="0" t="n">
        <f aca="false">04_回帰ANOVA!$K$19*04_回帰ANOVA!$K$14*SQRT(1+R3210)</f>
        <v>1.07183884583628</v>
      </c>
      <c r="T3210" s="0" t="n">
        <f aca="false">Q3210-S3210</f>
        <v>44.2757250746183</v>
      </c>
      <c r="U3210" s="0" t="n">
        <f aca="false">Q3210+S3210</f>
        <v>46.4194027662908</v>
      </c>
      <c r="V3210" s="54" t="b">
        <f aca="false">AND(D3210&gt;=01_因子設定!$L$5-0.000000001,D3210&lt;=01_因子設定!$M$5+0.000000001,E3210&gt;=01_因子設定!$L$6-0.000000001,E3210&lt;=01_因子設定!$M$6+0.000000001,F3210&gt;=01_因子設定!$L$7-0.000000001,F3210&lt;=01_因子設定!$M$7+0.000000001,IF(01_因子設定!$B$20="Box-Behnken",D3210^2+E3210^2+F3210^2&lt;=2+0.000000001,TRUE()))</f>
        <v>1</v>
      </c>
      <c r="W3210" s="55" t="n">
        <f aca="false">IF(V3210,IF(01_因子設定!$B$13="最大化",T3210-01_因子設定!$B$14,IF(01_因子設定!$B$13="最小化",01_因子設定!$B$15-U3210,MIN(T3210-01_因子設定!$B$14,01_因子設定!$B$15-U3210))),-1E+030)</f>
        <v>-4.22427492538172</v>
      </c>
      <c r="X3210" s="55" t="n">
        <f aca="false">IF(V3210,IF(01_因子設定!$B$13="最大化",Q3210,IF(01_因子設定!$B$13="最小化",-Q3210,-ABS(Q3210-01_因子設定!$B$16))),-1E+030)</f>
        <v>45.3475639204546</v>
      </c>
      <c r="Y3210" s="55" t="n">
        <f aca="false">W3210+ROW()*0.000000001</f>
        <v>-4.22427171538172</v>
      </c>
      <c r="Z3210" s="55" t="n">
        <f aca="false">X3210+ROW()*0.000000001</f>
        <v>45.3475671304546</v>
      </c>
    </row>
    <row r="3211" customFormat="false" ht="15" hidden="false" customHeight="false" outlineLevel="0" collapsed="false">
      <c r="A3211" s="0" t="n">
        <v>11</v>
      </c>
      <c r="B3211" s="0" t="n">
        <v>1</v>
      </c>
      <c r="C3211" s="0" t="n">
        <v>10</v>
      </c>
      <c r="D3211" s="0" t="n">
        <f aca="false">-1+A3211*0.125</f>
        <v>0.375</v>
      </c>
      <c r="E3211" s="0" t="n">
        <f aca="false">-1+B3211*0.125</f>
        <v>-0.875</v>
      </c>
      <c r="F3211" s="0" t="n">
        <f aca="false">-1+C3211*0.125</f>
        <v>0.25</v>
      </c>
      <c r="G3211" s="0" t="n">
        <f aca="false">1</f>
        <v>1</v>
      </c>
      <c r="H3211" s="0" t="n">
        <f aca="false">D3211</f>
        <v>0.375</v>
      </c>
      <c r="I3211" s="0" t="n">
        <f aca="false">E3211</f>
        <v>-0.875</v>
      </c>
      <c r="J3211" s="0" t="n">
        <f aca="false">F3211</f>
        <v>0.25</v>
      </c>
      <c r="K3211" s="0" t="n">
        <f aca="false">D3211*E3211</f>
        <v>-0.328125</v>
      </c>
      <c r="L3211" s="0" t="n">
        <f aca="false">D3211*F3211</f>
        <v>0.09375</v>
      </c>
      <c r="M3211" s="0" t="n">
        <f aca="false">E3211*F3211</f>
        <v>-0.21875</v>
      </c>
      <c r="N3211" s="0" t="n">
        <f aca="false">D3211*D3211</f>
        <v>0.140625</v>
      </c>
      <c r="O3211" s="0" t="n">
        <f aca="false">E3211*E3211</f>
        <v>0.765625</v>
      </c>
      <c r="P3211" s="0" t="n">
        <f aca="false">F3211*F3211</f>
        <v>0.0625</v>
      </c>
      <c r="Q3211" s="0" t="n">
        <f aca="false">SUMPRODUCT(G3211:P3211,_XtX!$B$71:$K$71)</f>
        <v>45.4086292613637</v>
      </c>
      <c r="R3211" s="0" t="n">
        <f aca="false">SUMPRODUCT(MMULT(G3211:P3211,_XtX!$B$58:$K$67),G3211:P3211)</f>
        <v>0.324484530362216</v>
      </c>
      <c r="S3211" s="0" t="n">
        <f aca="false">04_回帰ANOVA!$K$19*04_回帰ANOVA!$K$14*SQRT(1+R3211)</f>
        <v>1.07001553041279</v>
      </c>
      <c r="T3211" s="0" t="n">
        <f aca="false">Q3211-S3211</f>
        <v>44.3386137309509</v>
      </c>
      <c r="U3211" s="0" t="n">
        <f aca="false">Q3211+S3211</f>
        <v>46.4786447917764</v>
      </c>
      <c r="V3211" s="54" t="b">
        <f aca="false">AND(D3211&gt;=01_因子設定!$L$5-0.000000001,D3211&lt;=01_因子設定!$M$5+0.000000001,E3211&gt;=01_因子設定!$L$6-0.000000001,E3211&lt;=01_因子設定!$M$6+0.000000001,F3211&gt;=01_因子設定!$L$7-0.000000001,F3211&lt;=01_因子設定!$M$7+0.000000001,IF(01_因子設定!$B$20="Box-Behnken",D3211^2+E3211^2+F3211^2&lt;=2+0.000000001,TRUE()))</f>
        <v>1</v>
      </c>
      <c r="W3211" s="55" t="n">
        <f aca="false">IF(V3211,IF(01_因子設定!$B$13="最大化",T3211-01_因子設定!$B$14,IF(01_因子設定!$B$13="最小化",01_因子設定!$B$15-U3211,MIN(T3211-01_因子設定!$B$14,01_因子設定!$B$15-U3211))),-1E+030)</f>
        <v>-4.16138626904914</v>
      </c>
      <c r="X3211" s="55" t="n">
        <f aca="false">IF(V3211,IF(01_因子設定!$B$13="最大化",Q3211,IF(01_因子設定!$B$13="最小化",-Q3211,-ABS(Q3211-01_因子設定!$B$16))),-1E+030)</f>
        <v>45.4086292613637</v>
      </c>
      <c r="Y3211" s="55" t="n">
        <f aca="false">W3211+ROW()*0.000000001</f>
        <v>-4.16138305804914</v>
      </c>
      <c r="Z3211" s="55" t="n">
        <f aca="false">X3211+ROW()*0.000000001</f>
        <v>45.4086324723637</v>
      </c>
    </row>
    <row r="3212" customFormat="false" ht="15" hidden="false" customHeight="false" outlineLevel="0" collapsed="false">
      <c r="A3212" s="0" t="n">
        <v>11</v>
      </c>
      <c r="B3212" s="0" t="n">
        <v>1</v>
      </c>
      <c r="C3212" s="0" t="n">
        <v>11</v>
      </c>
      <c r="D3212" s="0" t="n">
        <f aca="false">-1+A3212*0.125</f>
        <v>0.375</v>
      </c>
      <c r="E3212" s="0" t="n">
        <f aca="false">-1+B3212*0.125</f>
        <v>-0.875</v>
      </c>
      <c r="F3212" s="0" t="n">
        <f aca="false">-1+C3212*0.125</f>
        <v>0.375</v>
      </c>
      <c r="G3212" s="0" t="n">
        <f aca="false">1</f>
        <v>1</v>
      </c>
      <c r="H3212" s="0" t="n">
        <f aca="false">D3212</f>
        <v>0.375</v>
      </c>
      <c r="I3212" s="0" t="n">
        <f aca="false">E3212</f>
        <v>-0.875</v>
      </c>
      <c r="J3212" s="0" t="n">
        <f aca="false">F3212</f>
        <v>0.375</v>
      </c>
      <c r="K3212" s="0" t="n">
        <f aca="false">D3212*E3212</f>
        <v>-0.328125</v>
      </c>
      <c r="L3212" s="0" t="n">
        <f aca="false">D3212*F3212</f>
        <v>0.140625</v>
      </c>
      <c r="M3212" s="0" t="n">
        <f aca="false">E3212*F3212</f>
        <v>-0.328125</v>
      </c>
      <c r="N3212" s="0" t="n">
        <f aca="false">D3212*D3212</f>
        <v>0.140625</v>
      </c>
      <c r="O3212" s="0" t="n">
        <f aca="false">E3212*E3212</f>
        <v>0.765625</v>
      </c>
      <c r="P3212" s="0" t="n">
        <f aca="false">F3212*F3212</f>
        <v>0.140625</v>
      </c>
      <c r="Q3212" s="0" t="n">
        <f aca="false">SUMPRODUCT(G3212:P3212,_XtX!$B$71:$K$71)</f>
        <v>45.4329048295455</v>
      </c>
      <c r="R3212" s="0" t="n">
        <f aca="false">SUMPRODUCT(MMULT(G3212:P3212,_XtX!$B$58:$K$67),G3212:P3212)</f>
        <v>0.32050614790483</v>
      </c>
      <c r="S3212" s="0" t="n">
        <f aca="false">04_回帰ANOVA!$K$19*04_回帰ANOVA!$K$14*SQRT(1+R3212)</f>
        <v>1.06840730759619</v>
      </c>
      <c r="T3212" s="0" t="n">
        <f aca="false">Q3212-S3212</f>
        <v>44.3644975219493</v>
      </c>
      <c r="U3212" s="0" t="n">
        <f aca="false">Q3212+S3212</f>
        <v>46.5013121371417</v>
      </c>
      <c r="V3212" s="54" t="b">
        <f aca="false">AND(D3212&gt;=01_因子設定!$L$5-0.000000001,D3212&lt;=01_因子設定!$M$5+0.000000001,E3212&gt;=01_因子設定!$L$6-0.000000001,E3212&lt;=01_因子設定!$M$6+0.000000001,F3212&gt;=01_因子設定!$L$7-0.000000001,F3212&lt;=01_因子設定!$M$7+0.000000001,IF(01_因子設定!$B$20="Box-Behnken",D3212^2+E3212^2+F3212^2&lt;=2+0.000000001,TRUE()))</f>
        <v>1</v>
      </c>
      <c r="W3212" s="55" t="n">
        <f aca="false">IF(V3212,IF(01_因子設定!$B$13="最大化",T3212-01_因子設定!$B$14,IF(01_因子設定!$B$13="最小化",01_因子設定!$B$15-U3212,MIN(T3212-01_因子設定!$B$14,01_因子設定!$B$15-U3212))),-1E+030)</f>
        <v>-4.13550247805073</v>
      </c>
      <c r="X3212" s="55" t="n">
        <f aca="false">IF(V3212,IF(01_因子設定!$B$13="最大化",Q3212,IF(01_因子設定!$B$13="最小化",-Q3212,-ABS(Q3212-01_因子設定!$B$16))),-1E+030)</f>
        <v>45.4329048295455</v>
      </c>
      <c r="Y3212" s="55" t="n">
        <f aca="false">W3212+ROW()*0.000000001</f>
        <v>-4.13549926605073</v>
      </c>
      <c r="Z3212" s="55" t="n">
        <f aca="false">X3212+ROW()*0.000000001</f>
        <v>45.4329080415455</v>
      </c>
    </row>
    <row r="3213" customFormat="false" ht="15" hidden="false" customHeight="false" outlineLevel="0" collapsed="false">
      <c r="A3213" s="0" t="n">
        <v>11</v>
      </c>
      <c r="B3213" s="0" t="n">
        <v>1</v>
      </c>
      <c r="C3213" s="0" t="n">
        <v>12</v>
      </c>
      <c r="D3213" s="0" t="n">
        <f aca="false">-1+A3213*0.125</f>
        <v>0.375</v>
      </c>
      <c r="E3213" s="0" t="n">
        <f aca="false">-1+B3213*0.125</f>
        <v>-0.875</v>
      </c>
      <c r="F3213" s="0" t="n">
        <f aca="false">-1+C3213*0.125</f>
        <v>0.5</v>
      </c>
      <c r="G3213" s="0" t="n">
        <f aca="false">1</f>
        <v>1</v>
      </c>
      <c r="H3213" s="0" t="n">
        <f aca="false">D3213</f>
        <v>0.375</v>
      </c>
      <c r="I3213" s="0" t="n">
        <f aca="false">E3213</f>
        <v>-0.875</v>
      </c>
      <c r="J3213" s="0" t="n">
        <f aca="false">F3213</f>
        <v>0.5</v>
      </c>
      <c r="K3213" s="0" t="n">
        <f aca="false">D3213*E3213</f>
        <v>-0.328125</v>
      </c>
      <c r="L3213" s="0" t="n">
        <f aca="false">D3213*F3213</f>
        <v>0.1875</v>
      </c>
      <c r="M3213" s="0" t="n">
        <f aca="false">E3213*F3213</f>
        <v>-0.4375</v>
      </c>
      <c r="N3213" s="0" t="n">
        <f aca="false">D3213*D3213</f>
        <v>0.140625</v>
      </c>
      <c r="O3213" s="0" t="n">
        <f aca="false">E3213*E3213</f>
        <v>0.765625</v>
      </c>
      <c r="P3213" s="0" t="n">
        <f aca="false">F3213*F3213</f>
        <v>0.25</v>
      </c>
      <c r="Q3213" s="0" t="n">
        <f aca="false">SUMPRODUCT(G3213:P3213,_XtX!$B$71:$K$71)</f>
        <v>45.420390625</v>
      </c>
      <c r="R3213" s="0" t="n">
        <f aca="false">SUMPRODUCT(MMULT(G3213:P3213,_XtX!$B$58:$K$67),G3213:P3213)</f>
        <v>0.322393798828125</v>
      </c>
      <c r="S3213" s="0" t="n">
        <f aca="false">04_回帰ANOVA!$K$19*04_回帰ANOVA!$K$14*SQRT(1+R3213)</f>
        <v>1.06917067390712</v>
      </c>
      <c r="T3213" s="0" t="n">
        <f aca="false">Q3213-S3213</f>
        <v>44.3512199510929</v>
      </c>
      <c r="U3213" s="0" t="n">
        <f aca="false">Q3213+S3213</f>
        <v>46.4895612989071</v>
      </c>
      <c r="V3213" s="54" t="b">
        <f aca="false">AND(D3213&gt;=01_因子設定!$L$5-0.000000001,D3213&lt;=01_因子設定!$M$5+0.000000001,E3213&gt;=01_因子設定!$L$6-0.000000001,E3213&lt;=01_因子設定!$M$6+0.000000001,F3213&gt;=01_因子設定!$L$7-0.000000001,F3213&lt;=01_因子設定!$M$7+0.000000001,IF(01_因子設定!$B$20="Box-Behnken",D3213^2+E3213^2+F3213^2&lt;=2+0.000000001,TRUE()))</f>
        <v>1</v>
      </c>
      <c r="W3213" s="55" t="n">
        <f aca="false">IF(V3213,IF(01_因子設定!$B$13="最大化",T3213-01_因子設定!$B$14,IF(01_因子設定!$B$13="最小化",01_因子設定!$B$15-U3213,MIN(T3213-01_因子設定!$B$14,01_因子設定!$B$15-U3213))),-1E+030)</f>
        <v>-4.1487800489071</v>
      </c>
      <c r="X3213" s="55" t="n">
        <f aca="false">IF(V3213,IF(01_因子設定!$B$13="最大化",Q3213,IF(01_因子設定!$B$13="最小化",-Q3213,-ABS(Q3213-01_因子設定!$B$16))),-1E+030)</f>
        <v>45.420390625</v>
      </c>
      <c r="Y3213" s="55" t="n">
        <f aca="false">W3213+ROW()*0.000000001</f>
        <v>-4.1487768359071</v>
      </c>
      <c r="Z3213" s="55" t="n">
        <f aca="false">X3213+ROW()*0.000000001</f>
        <v>45.420393838</v>
      </c>
    </row>
    <row r="3214" customFormat="false" ht="15" hidden="false" customHeight="false" outlineLevel="0" collapsed="false">
      <c r="A3214" s="0" t="n">
        <v>11</v>
      </c>
      <c r="B3214" s="0" t="n">
        <v>1</v>
      </c>
      <c r="C3214" s="0" t="n">
        <v>13</v>
      </c>
      <c r="D3214" s="0" t="n">
        <f aca="false">-1+A3214*0.125</f>
        <v>0.375</v>
      </c>
      <c r="E3214" s="0" t="n">
        <f aca="false">-1+B3214*0.125</f>
        <v>-0.875</v>
      </c>
      <c r="F3214" s="0" t="n">
        <f aca="false">-1+C3214*0.125</f>
        <v>0.625</v>
      </c>
      <c r="G3214" s="0" t="n">
        <f aca="false">1</f>
        <v>1</v>
      </c>
      <c r="H3214" s="0" t="n">
        <f aca="false">D3214</f>
        <v>0.375</v>
      </c>
      <c r="I3214" s="0" t="n">
        <f aca="false">E3214</f>
        <v>-0.875</v>
      </c>
      <c r="J3214" s="0" t="n">
        <f aca="false">F3214</f>
        <v>0.625</v>
      </c>
      <c r="K3214" s="0" t="n">
        <f aca="false">D3214*E3214</f>
        <v>-0.328125</v>
      </c>
      <c r="L3214" s="0" t="n">
        <f aca="false">D3214*F3214</f>
        <v>0.234375</v>
      </c>
      <c r="M3214" s="0" t="n">
        <f aca="false">E3214*F3214</f>
        <v>-0.546875</v>
      </c>
      <c r="N3214" s="0" t="n">
        <f aca="false">D3214*D3214</f>
        <v>0.140625</v>
      </c>
      <c r="O3214" s="0" t="n">
        <f aca="false">E3214*E3214</f>
        <v>0.765625</v>
      </c>
      <c r="P3214" s="0" t="n">
        <f aca="false">F3214*F3214</f>
        <v>0.390625</v>
      </c>
      <c r="Q3214" s="0" t="n">
        <f aca="false">SUMPRODUCT(G3214:P3214,_XtX!$B$71:$K$71)</f>
        <v>45.3710866477273</v>
      </c>
      <c r="R3214" s="0" t="n">
        <f aca="false">SUMPRODUCT(MMULT(G3214:P3214,_XtX!$B$58:$K$67),G3214:P3214)</f>
        <v>0.337604869495739</v>
      </c>
      <c r="S3214" s="0" t="n">
        <f aca="false">04_回帰ANOVA!$K$19*04_回帰ANOVA!$K$14*SQRT(1+R3214)</f>
        <v>1.07530225516193</v>
      </c>
      <c r="T3214" s="0" t="n">
        <f aca="false">Q3214-S3214</f>
        <v>44.2957843925654</v>
      </c>
      <c r="U3214" s="0" t="n">
        <f aca="false">Q3214+S3214</f>
        <v>46.4463889028892</v>
      </c>
      <c r="V3214" s="54" t="b">
        <f aca="false">AND(D3214&gt;=01_因子設定!$L$5-0.000000001,D3214&lt;=01_因子設定!$M$5+0.000000001,E3214&gt;=01_因子設定!$L$6-0.000000001,E3214&lt;=01_因子設定!$M$6+0.000000001,F3214&gt;=01_因子設定!$L$7-0.000000001,F3214&lt;=01_因子設定!$M$7+0.000000001,IF(01_因子設定!$B$20="Box-Behnken",D3214^2+E3214^2+F3214^2&lt;=2+0.000000001,TRUE()))</f>
        <v>1</v>
      </c>
      <c r="W3214" s="55" t="n">
        <f aca="false">IF(V3214,IF(01_因子設定!$B$13="最大化",T3214-01_因子設定!$B$14,IF(01_因子設定!$B$13="最小化",01_因子設定!$B$15-U3214,MIN(T3214-01_因子設定!$B$14,01_因子設定!$B$15-U3214))),-1E+030)</f>
        <v>-4.20421560743463</v>
      </c>
      <c r="X3214" s="55" t="n">
        <f aca="false">IF(V3214,IF(01_因子設定!$B$13="最大化",Q3214,IF(01_因子設定!$B$13="最小化",-Q3214,-ABS(Q3214-01_因子設定!$B$16))),-1E+030)</f>
        <v>45.3710866477273</v>
      </c>
      <c r="Y3214" s="55" t="n">
        <f aca="false">W3214+ROW()*0.000000001</f>
        <v>-4.20421239343463</v>
      </c>
      <c r="Z3214" s="55" t="n">
        <f aca="false">X3214+ROW()*0.000000001</f>
        <v>45.3710898617273</v>
      </c>
    </row>
    <row r="3215" customFormat="false" ht="15" hidden="false" customHeight="false" outlineLevel="0" collapsed="false">
      <c r="A3215" s="0" t="n">
        <v>11</v>
      </c>
      <c r="B3215" s="0" t="n">
        <v>1</v>
      </c>
      <c r="C3215" s="0" t="n">
        <v>14</v>
      </c>
      <c r="D3215" s="0" t="n">
        <f aca="false">-1+A3215*0.125</f>
        <v>0.375</v>
      </c>
      <c r="E3215" s="0" t="n">
        <f aca="false">-1+B3215*0.125</f>
        <v>-0.875</v>
      </c>
      <c r="F3215" s="0" t="n">
        <f aca="false">-1+C3215*0.125</f>
        <v>0.75</v>
      </c>
      <c r="G3215" s="0" t="n">
        <f aca="false">1</f>
        <v>1</v>
      </c>
      <c r="H3215" s="0" t="n">
        <f aca="false">D3215</f>
        <v>0.375</v>
      </c>
      <c r="I3215" s="0" t="n">
        <f aca="false">E3215</f>
        <v>-0.875</v>
      </c>
      <c r="J3215" s="0" t="n">
        <f aca="false">F3215</f>
        <v>0.75</v>
      </c>
      <c r="K3215" s="0" t="n">
        <f aca="false">D3215*E3215</f>
        <v>-0.328125</v>
      </c>
      <c r="L3215" s="0" t="n">
        <f aca="false">D3215*F3215</f>
        <v>0.28125</v>
      </c>
      <c r="M3215" s="0" t="n">
        <f aca="false">E3215*F3215</f>
        <v>-0.65625</v>
      </c>
      <c r="N3215" s="0" t="n">
        <f aca="false">D3215*D3215</f>
        <v>0.140625</v>
      </c>
      <c r="O3215" s="0" t="n">
        <f aca="false">E3215*E3215</f>
        <v>0.765625</v>
      </c>
      <c r="P3215" s="0" t="n">
        <f aca="false">F3215*F3215</f>
        <v>0.5625</v>
      </c>
      <c r="Q3215" s="0" t="n">
        <f aca="false">SUMPRODUCT(G3215:P3215,_XtX!$B$71:$K$71)</f>
        <v>45.2849928977273</v>
      </c>
      <c r="R3215" s="0" t="n">
        <f aca="false">SUMPRODUCT(MMULT(G3215:P3215,_XtX!$B$58:$K$67),G3215:P3215)</f>
        <v>0.375727428089489</v>
      </c>
      <c r="S3215" s="0" t="n">
        <f aca="false">04_回帰ANOVA!$K$19*04_回帰ANOVA!$K$14*SQRT(1+R3215)</f>
        <v>1.09051798904087</v>
      </c>
      <c r="T3215" s="0" t="n">
        <f aca="false">Q3215-S3215</f>
        <v>44.1944749086864</v>
      </c>
      <c r="U3215" s="0" t="n">
        <f aca="false">Q3215+S3215</f>
        <v>46.3755108867682</v>
      </c>
      <c r="V3215" s="54" t="b">
        <f aca="false">AND(D3215&gt;=01_因子設定!$L$5-0.000000001,D3215&lt;=01_因子設定!$M$5+0.000000001,E3215&gt;=01_因子設定!$L$6-0.000000001,E3215&lt;=01_因子設定!$M$6+0.000000001,F3215&gt;=01_因子設定!$L$7-0.000000001,F3215&lt;=01_因子設定!$M$7+0.000000001,IF(01_因子設定!$B$20="Box-Behnken",D3215^2+E3215^2+F3215^2&lt;=2+0.000000001,TRUE()))</f>
        <v>1</v>
      </c>
      <c r="W3215" s="55" t="n">
        <f aca="false">IF(V3215,IF(01_因子設定!$B$13="最大化",T3215-01_因子設定!$B$14,IF(01_因子設定!$B$13="最小化",01_因子設定!$B$15-U3215,MIN(T3215-01_因子設定!$B$14,01_因子設定!$B$15-U3215))),-1E+030)</f>
        <v>-4.30552509131358</v>
      </c>
      <c r="X3215" s="55" t="n">
        <f aca="false">IF(V3215,IF(01_因子設定!$B$13="最大化",Q3215,IF(01_因子設定!$B$13="最小化",-Q3215,-ABS(Q3215-01_因子設定!$B$16))),-1E+030)</f>
        <v>45.2849928977273</v>
      </c>
      <c r="Y3215" s="55" t="n">
        <f aca="false">W3215+ROW()*0.000000001</f>
        <v>-4.30552187631358</v>
      </c>
      <c r="Z3215" s="55" t="n">
        <f aca="false">X3215+ROW()*0.000000001</f>
        <v>45.2849961127273</v>
      </c>
    </row>
    <row r="3216" customFormat="false" ht="15" hidden="false" customHeight="false" outlineLevel="0" collapsed="false">
      <c r="A3216" s="0" t="n">
        <v>11</v>
      </c>
      <c r="B3216" s="0" t="n">
        <v>1</v>
      </c>
      <c r="C3216" s="0" t="n">
        <v>15</v>
      </c>
      <c r="D3216" s="0" t="n">
        <f aca="false">-1+A3216*0.125</f>
        <v>0.375</v>
      </c>
      <c r="E3216" s="0" t="n">
        <f aca="false">-1+B3216*0.125</f>
        <v>-0.875</v>
      </c>
      <c r="F3216" s="0" t="n">
        <f aca="false">-1+C3216*0.125</f>
        <v>0.875</v>
      </c>
      <c r="G3216" s="0" t="n">
        <f aca="false">1</f>
        <v>1</v>
      </c>
      <c r="H3216" s="0" t="n">
        <f aca="false">D3216</f>
        <v>0.375</v>
      </c>
      <c r="I3216" s="0" t="n">
        <f aca="false">E3216</f>
        <v>-0.875</v>
      </c>
      <c r="J3216" s="0" t="n">
        <f aca="false">F3216</f>
        <v>0.875</v>
      </c>
      <c r="K3216" s="0" t="n">
        <f aca="false">D3216*E3216</f>
        <v>-0.328125</v>
      </c>
      <c r="L3216" s="0" t="n">
        <f aca="false">D3216*F3216</f>
        <v>0.328125</v>
      </c>
      <c r="M3216" s="0" t="n">
        <f aca="false">E3216*F3216</f>
        <v>-0.765625</v>
      </c>
      <c r="N3216" s="0" t="n">
        <f aca="false">D3216*D3216</f>
        <v>0.140625</v>
      </c>
      <c r="O3216" s="0" t="n">
        <f aca="false">E3216*E3216</f>
        <v>0.765625</v>
      </c>
      <c r="P3216" s="0" t="n">
        <f aca="false">F3216*F3216</f>
        <v>0.765625</v>
      </c>
      <c r="Q3216" s="0" t="n">
        <f aca="false">SUMPRODUCT(G3216:P3216,_XtX!$B$71:$K$71)</f>
        <v>45.162109375</v>
      </c>
      <c r="R3216" s="0" t="n">
        <f aca="false">SUMPRODUCT(MMULT(G3216:P3216,_XtX!$B$58:$K$67),G3216:P3216)</f>
        <v>0.448480224609375</v>
      </c>
      <c r="S3216" s="0" t="n">
        <f aca="false">04_回帰ANOVA!$K$19*04_回帰ANOVA!$K$14*SQRT(1+R3216)</f>
        <v>1.11898153812985</v>
      </c>
      <c r="T3216" s="0" t="n">
        <f aca="false">Q3216-S3216</f>
        <v>44.0431278368702</v>
      </c>
      <c r="U3216" s="0" t="n">
        <f aca="false">Q3216+S3216</f>
        <v>46.2810909131299</v>
      </c>
      <c r="V3216" s="54" t="b">
        <f aca="false">AND(D3216&gt;=01_因子設定!$L$5-0.000000001,D3216&lt;=01_因子設定!$M$5+0.000000001,E3216&gt;=01_因子設定!$L$6-0.000000001,E3216&lt;=01_因子設定!$M$6+0.000000001,F3216&gt;=01_因子設定!$L$7-0.000000001,F3216&lt;=01_因子設定!$M$7+0.000000001,IF(01_因子設定!$B$20="Box-Behnken",D3216^2+E3216^2+F3216^2&lt;=2+0.000000001,TRUE()))</f>
        <v>1</v>
      </c>
      <c r="W3216" s="55" t="n">
        <f aca="false">IF(V3216,IF(01_因子設定!$B$13="最大化",T3216-01_因子設定!$B$14,IF(01_因子設定!$B$13="最小化",01_因子設定!$B$15-U3216,MIN(T3216-01_因子設定!$B$14,01_因子設定!$B$15-U3216))),-1E+030)</f>
        <v>-4.45687216312982</v>
      </c>
      <c r="X3216" s="55" t="n">
        <f aca="false">IF(V3216,IF(01_因子設定!$B$13="最大化",Q3216,IF(01_因子設定!$B$13="最小化",-Q3216,-ABS(Q3216-01_因子設定!$B$16))),-1E+030)</f>
        <v>45.162109375</v>
      </c>
      <c r="Y3216" s="55" t="n">
        <f aca="false">W3216+ROW()*0.000000001</f>
        <v>-4.45686894712982</v>
      </c>
      <c r="Z3216" s="55" t="n">
        <f aca="false">X3216+ROW()*0.000000001</f>
        <v>45.162112591</v>
      </c>
    </row>
    <row r="3217" customFormat="false" ht="15" hidden="false" customHeight="false" outlineLevel="0" collapsed="false">
      <c r="A3217" s="0" t="n">
        <v>11</v>
      </c>
      <c r="B3217" s="0" t="n">
        <v>1</v>
      </c>
      <c r="C3217" s="0" t="n">
        <v>16</v>
      </c>
      <c r="D3217" s="0" t="n">
        <f aca="false">-1+A3217*0.125</f>
        <v>0.375</v>
      </c>
      <c r="E3217" s="0" t="n">
        <f aca="false">-1+B3217*0.125</f>
        <v>-0.875</v>
      </c>
      <c r="F3217" s="0" t="n">
        <f aca="false">-1+C3217*0.125</f>
        <v>1</v>
      </c>
      <c r="G3217" s="0" t="n">
        <f aca="false">1</f>
        <v>1</v>
      </c>
      <c r="H3217" s="0" t="n">
        <f aca="false">D3217</f>
        <v>0.375</v>
      </c>
      <c r="I3217" s="0" t="n">
        <f aca="false">E3217</f>
        <v>-0.875</v>
      </c>
      <c r="J3217" s="0" t="n">
        <f aca="false">F3217</f>
        <v>1</v>
      </c>
      <c r="K3217" s="0" t="n">
        <f aca="false">D3217*E3217</f>
        <v>-0.328125</v>
      </c>
      <c r="L3217" s="0" t="n">
        <f aca="false">D3217*F3217</f>
        <v>0.375</v>
      </c>
      <c r="M3217" s="0" t="n">
        <f aca="false">E3217*F3217</f>
        <v>-0.875</v>
      </c>
      <c r="N3217" s="0" t="n">
        <f aca="false">D3217*D3217</f>
        <v>0.140625</v>
      </c>
      <c r="O3217" s="0" t="n">
        <f aca="false">E3217*E3217</f>
        <v>0.765625</v>
      </c>
      <c r="P3217" s="0" t="n">
        <f aca="false">F3217*F3217</f>
        <v>1</v>
      </c>
      <c r="Q3217" s="0" t="n">
        <f aca="false">SUMPRODUCT(G3217:P3217,_XtX!$B$71:$K$71)</f>
        <v>45.0024360795455</v>
      </c>
      <c r="R3217" s="0" t="n">
        <f aca="false">SUMPRODUCT(MMULT(G3217:P3217,_XtX!$B$58:$K$67),G3217:P3217)</f>
        <v>0.56971269087358</v>
      </c>
      <c r="S3217" s="0" t="n">
        <f aca="false">04_回帰ANOVA!$K$19*04_回帰ANOVA!$K$14*SQRT(1+R3217)</f>
        <v>1.16486801567081</v>
      </c>
      <c r="T3217" s="0" t="n">
        <f aca="false">Q3217-S3217</f>
        <v>43.8375680638747</v>
      </c>
      <c r="U3217" s="0" t="n">
        <f aca="false">Q3217+S3217</f>
        <v>46.1673040952163</v>
      </c>
      <c r="V3217" s="54" t="b">
        <f aca="false">AND(D3217&gt;=01_因子設定!$L$5-0.000000001,D3217&lt;=01_因子設定!$M$5+0.000000001,E3217&gt;=01_因子設定!$L$6-0.000000001,E3217&lt;=01_因子設定!$M$6+0.000000001,F3217&gt;=01_因子設定!$L$7-0.000000001,F3217&lt;=01_因子設定!$M$7+0.000000001,IF(01_因子設定!$B$20="Box-Behnken",D3217^2+E3217^2+F3217^2&lt;=2+0.000000001,TRUE()))</f>
        <v>1</v>
      </c>
      <c r="W3217" s="55" t="n">
        <f aca="false">IF(V3217,IF(01_因子設定!$B$13="最大化",T3217-01_因子設定!$B$14,IF(01_因子設定!$B$13="最小化",01_因子設定!$B$15-U3217,MIN(T3217-01_因子設定!$B$14,01_因子設定!$B$15-U3217))),-1E+030)</f>
        <v>-4.66243193612532</v>
      </c>
      <c r="X3217" s="55" t="n">
        <f aca="false">IF(V3217,IF(01_因子設定!$B$13="最大化",Q3217,IF(01_因子設定!$B$13="最小化",-Q3217,-ABS(Q3217-01_因子設定!$B$16))),-1E+030)</f>
        <v>45.0024360795455</v>
      </c>
      <c r="Y3217" s="55" t="n">
        <f aca="false">W3217+ROW()*0.000000001</f>
        <v>-4.66242871912532</v>
      </c>
      <c r="Z3217" s="55" t="n">
        <f aca="false">X3217+ROW()*0.000000001</f>
        <v>45.0024392965455</v>
      </c>
    </row>
    <row r="3218" customFormat="false" ht="15" hidden="false" customHeight="false" outlineLevel="0" collapsed="false">
      <c r="A3218" s="0" t="n">
        <v>11</v>
      </c>
      <c r="B3218" s="0" t="n">
        <v>2</v>
      </c>
      <c r="C3218" s="0" t="n">
        <v>0</v>
      </c>
      <c r="D3218" s="0" t="n">
        <f aca="false">-1+A3218*0.125</f>
        <v>0.375</v>
      </c>
      <c r="E3218" s="0" t="n">
        <f aca="false">-1+B3218*0.125</f>
        <v>-0.75</v>
      </c>
      <c r="F3218" s="0" t="n">
        <f aca="false">-1+C3218*0.125</f>
        <v>-1</v>
      </c>
      <c r="G3218" s="0" t="n">
        <f aca="false">1</f>
        <v>1</v>
      </c>
      <c r="H3218" s="0" t="n">
        <f aca="false">D3218</f>
        <v>0.375</v>
      </c>
      <c r="I3218" s="0" t="n">
        <f aca="false">E3218</f>
        <v>-0.75</v>
      </c>
      <c r="J3218" s="0" t="n">
        <f aca="false">F3218</f>
        <v>-1</v>
      </c>
      <c r="K3218" s="0" t="n">
        <f aca="false">D3218*E3218</f>
        <v>-0.28125</v>
      </c>
      <c r="L3218" s="0" t="n">
        <f aca="false">D3218*F3218</f>
        <v>-0.375</v>
      </c>
      <c r="M3218" s="0" t="n">
        <f aca="false">E3218*F3218</f>
        <v>0.75</v>
      </c>
      <c r="N3218" s="0" t="n">
        <f aca="false">D3218*D3218</f>
        <v>0.140625</v>
      </c>
      <c r="O3218" s="0" t="n">
        <f aca="false">E3218*E3218</f>
        <v>0.5625</v>
      </c>
      <c r="P3218" s="0" t="n">
        <f aca="false">F3218*F3218</f>
        <v>1</v>
      </c>
      <c r="Q3218" s="0" t="n">
        <f aca="false">SUMPRODUCT(G3218:P3218,_XtX!$B$71:$K$71)</f>
        <v>43.8141477272728</v>
      </c>
      <c r="R3218" s="0" t="n">
        <f aca="false">SUMPRODUCT(MMULT(G3218:P3218,_XtX!$B$58:$K$67),G3218:P3218)</f>
        <v>0.503992808948864</v>
      </c>
      <c r="S3218" s="0" t="n">
        <f aca="false">04_回帰ANOVA!$K$19*04_回帰ANOVA!$K$14*SQRT(1+R3218)</f>
        <v>1.14022226176226</v>
      </c>
      <c r="T3218" s="0" t="n">
        <f aca="false">Q3218-S3218</f>
        <v>42.6739254655105</v>
      </c>
      <c r="U3218" s="0" t="n">
        <f aca="false">Q3218+S3218</f>
        <v>44.954369989035</v>
      </c>
      <c r="V3218" s="54" t="b">
        <f aca="false">AND(D3218&gt;=01_因子設定!$L$5-0.000000001,D3218&lt;=01_因子設定!$M$5+0.000000001,E3218&gt;=01_因子設定!$L$6-0.000000001,E3218&lt;=01_因子設定!$M$6+0.000000001,F3218&gt;=01_因子設定!$L$7-0.000000001,F3218&lt;=01_因子設定!$M$7+0.000000001,IF(01_因子設定!$B$20="Box-Behnken",D3218^2+E3218^2+F3218^2&lt;=2+0.000000001,TRUE()))</f>
        <v>1</v>
      </c>
      <c r="W3218" s="55" t="n">
        <f aca="false">IF(V3218,IF(01_因子設定!$B$13="最大化",T3218-01_因子設定!$B$14,IF(01_因子設定!$B$13="最小化",01_因子設定!$B$15-U3218,MIN(T3218-01_因子設定!$B$14,01_因子設定!$B$15-U3218))),-1E+030)</f>
        <v>-5.82607453448951</v>
      </c>
      <c r="X3218" s="55" t="n">
        <f aca="false">IF(V3218,IF(01_因子設定!$B$13="最大化",Q3218,IF(01_因子設定!$B$13="最小化",-Q3218,-ABS(Q3218-01_因子設定!$B$16))),-1E+030)</f>
        <v>43.8141477272728</v>
      </c>
      <c r="Y3218" s="55" t="n">
        <f aca="false">W3218+ROW()*0.000000001</f>
        <v>-5.82607131648951</v>
      </c>
      <c r="Z3218" s="55" t="n">
        <f aca="false">X3218+ROW()*0.000000001</f>
        <v>43.8141509452728</v>
      </c>
    </row>
    <row r="3219" customFormat="false" ht="15" hidden="false" customHeight="false" outlineLevel="0" collapsed="false">
      <c r="A3219" s="0" t="n">
        <v>11</v>
      </c>
      <c r="B3219" s="0" t="n">
        <v>2</v>
      </c>
      <c r="C3219" s="0" t="n">
        <v>1</v>
      </c>
      <c r="D3219" s="0" t="n">
        <f aca="false">-1+A3219*0.125</f>
        <v>0.375</v>
      </c>
      <c r="E3219" s="0" t="n">
        <f aca="false">-1+B3219*0.125</f>
        <v>-0.75</v>
      </c>
      <c r="F3219" s="0" t="n">
        <f aca="false">-1+C3219*0.125</f>
        <v>-0.875</v>
      </c>
      <c r="G3219" s="0" t="n">
        <f aca="false">1</f>
        <v>1</v>
      </c>
      <c r="H3219" s="0" t="n">
        <f aca="false">D3219</f>
        <v>0.375</v>
      </c>
      <c r="I3219" s="0" t="n">
        <f aca="false">E3219</f>
        <v>-0.75</v>
      </c>
      <c r="J3219" s="0" t="n">
        <f aca="false">F3219</f>
        <v>-0.875</v>
      </c>
      <c r="K3219" s="0" t="n">
        <f aca="false">D3219*E3219</f>
        <v>-0.28125</v>
      </c>
      <c r="L3219" s="0" t="n">
        <f aca="false">D3219*F3219</f>
        <v>-0.328125</v>
      </c>
      <c r="M3219" s="0" t="n">
        <f aca="false">E3219*F3219</f>
        <v>0.65625</v>
      </c>
      <c r="N3219" s="0" t="n">
        <f aca="false">D3219*D3219</f>
        <v>0.140625</v>
      </c>
      <c r="O3219" s="0" t="n">
        <f aca="false">E3219*E3219</f>
        <v>0.5625</v>
      </c>
      <c r="P3219" s="0" t="n">
        <f aca="false">F3219*F3219</f>
        <v>0.765625</v>
      </c>
      <c r="Q3219" s="0" t="n">
        <f aca="false">SUMPRODUCT(G3219:P3219,_XtX!$B$71:$K$71)</f>
        <v>44.2133522727273</v>
      </c>
      <c r="R3219" s="0" t="n">
        <f aca="false">SUMPRODUCT(MMULT(G3219:P3219,_XtX!$B$58:$K$67),G3219:P3219)</f>
        <v>0.375727428089489</v>
      </c>
      <c r="S3219" s="0" t="n">
        <f aca="false">04_回帰ANOVA!$K$19*04_回帰ANOVA!$K$14*SQRT(1+R3219)</f>
        <v>1.09051798904087</v>
      </c>
      <c r="T3219" s="0" t="n">
        <f aca="false">Q3219-S3219</f>
        <v>43.1228342836864</v>
      </c>
      <c r="U3219" s="0" t="n">
        <f aca="false">Q3219+S3219</f>
        <v>45.3038702617682</v>
      </c>
      <c r="V3219" s="54" t="b">
        <f aca="false">AND(D3219&gt;=01_因子設定!$L$5-0.000000001,D3219&lt;=01_因子設定!$M$5+0.000000001,E3219&gt;=01_因子設定!$L$6-0.000000001,E3219&lt;=01_因子設定!$M$6+0.000000001,F3219&gt;=01_因子設定!$L$7-0.000000001,F3219&lt;=01_因子設定!$M$7+0.000000001,IF(01_因子設定!$B$20="Box-Behnken",D3219^2+E3219^2+F3219^2&lt;=2+0.000000001,TRUE()))</f>
        <v>1</v>
      </c>
      <c r="W3219" s="55" t="n">
        <f aca="false">IF(V3219,IF(01_因子設定!$B$13="最大化",T3219-01_因子設定!$B$14,IF(01_因子設定!$B$13="最小化",01_因子設定!$B$15-U3219,MIN(T3219-01_因子設定!$B$14,01_因子設定!$B$15-U3219))),-1E+030)</f>
        <v>-5.37716571631358</v>
      </c>
      <c r="X3219" s="55" t="n">
        <f aca="false">IF(V3219,IF(01_因子設定!$B$13="最大化",Q3219,IF(01_因子設定!$B$13="最小化",-Q3219,-ABS(Q3219-01_因子設定!$B$16))),-1E+030)</f>
        <v>44.2133522727273</v>
      </c>
      <c r="Y3219" s="55" t="n">
        <f aca="false">W3219+ROW()*0.000000001</f>
        <v>-5.37716249731358</v>
      </c>
      <c r="Z3219" s="55" t="n">
        <f aca="false">X3219+ROW()*0.000000001</f>
        <v>44.2133554917273</v>
      </c>
    </row>
    <row r="3220" customFormat="false" ht="15" hidden="false" customHeight="false" outlineLevel="0" collapsed="false">
      <c r="A3220" s="0" t="n">
        <v>11</v>
      </c>
      <c r="B3220" s="0" t="n">
        <v>2</v>
      </c>
      <c r="C3220" s="0" t="n">
        <v>2</v>
      </c>
      <c r="D3220" s="0" t="n">
        <f aca="false">-1+A3220*0.125</f>
        <v>0.375</v>
      </c>
      <c r="E3220" s="0" t="n">
        <f aca="false">-1+B3220*0.125</f>
        <v>-0.75</v>
      </c>
      <c r="F3220" s="0" t="n">
        <f aca="false">-1+C3220*0.125</f>
        <v>-0.75</v>
      </c>
      <c r="G3220" s="0" t="n">
        <f aca="false">1</f>
        <v>1</v>
      </c>
      <c r="H3220" s="0" t="n">
        <f aca="false">D3220</f>
        <v>0.375</v>
      </c>
      <c r="I3220" s="0" t="n">
        <f aca="false">E3220</f>
        <v>-0.75</v>
      </c>
      <c r="J3220" s="0" t="n">
        <f aca="false">F3220</f>
        <v>-0.75</v>
      </c>
      <c r="K3220" s="0" t="n">
        <f aca="false">D3220*E3220</f>
        <v>-0.28125</v>
      </c>
      <c r="L3220" s="0" t="n">
        <f aca="false">D3220*F3220</f>
        <v>-0.28125</v>
      </c>
      <c r="M3220" s="0" t="n">
        <f aca="false">E3220*F3220</f>
        <v>0.5625</v>
      </c>
      <c r="N3220" s="0" t="n">
        <f aca="false">D3220*D3220</f>
        <v>0.140625</v>
      </c>
      <c r="O3220" s="0" t="n">
        <f aca="false">E3220*E3220</f>
        <v>0.5625</v>
      </c>
      <c r="P3220" s="0" t="n">
        <f aca="false">F3220*F3220</f>
        <v>0.5625</v>
      </c>
      <c r="Q3220" s="0" t="n">
        <f aca="false">SUMPRODUCT(G3220:P3220,_XtX!$B$71:$K$71)</f>
        <v>44.5757670454546</v>
      </c>
      <c r="R3220" s="0" t="n">
        <f aca="false">SUMPRODUCT(MMULT(G3220:P3220,_XtX!$B$58:$K$67),G3220:P3220)</f>
        <v>0.296879438920455</v>
      </c>
      <c r="S3220" s="0" t="n">
        <f aca="false">04_回帰ANOVA!$K$19*04_回帰ANOVA!$K$14*SQRT(1+R3220)</f>
        <v>1.05880610927316</v>
      </c>
      <c r="T3220" s="0" t="n">
        <f aca="false">Q3220-S3220</f>
        <v>43.5169609361814</v>
      </c>
      <c r="U3220" s="0" t="n">
        <f aca="false">Q3220+S3220</f>
        <v>45.6345731547277</v>
      </c>
      <c r="V3220" s="54" t="b">
        <f aca="false">AND(D3220&gt;=01_因子設定!$L$5-0.000000001,D3220&lt;=01_因子設定!$M$5+0.000000001,E3220&gt;=01_因子設定!$L$6-0.000000001,E3220&lt;=01_因子設定!$M$6+0.000000001,F3220&gt;=01_因子設定!$L$7-0.000000001,F3220&lt;=01_因子設定!$M$7+0.000000001,IF(01_因子設定!$B$20="Box-Behnken",D3220^2+E3220^2+F3220^2&lt;=2+0.000000001,TRUE()))</f>
        <v>1</v>
      </c>
      <c r="W3220" s="55" t="n">
        <f aca="false">IF(V3220,IF(01_因子設定!$B$13="最大化",T3220-01_因子設定!$B$14,IF(01_因子設定!$B$13="最小化",01_因子設定!$B$15-U3220,MIN(T3220-01_因子設定!$B$14,01_因子設定!$B$15-U3220))),-1E+030)</f>
        <v>-4.9830390638186</v>
      </c>
      <c r="X3220" s="55" t="n">
        <f aca="false">IF(V3220,IF(01_因子設定!$B$13="最大化",Q3220,IF(01_因子設定!$B$13="最小化",-Q3220,-ABS(Q3220-01_因子設定!$B$16))),-1E+030)</f>
        <v>44.5757670454546</v>
      </c>
      <c r="Y3220" s="55" t="n">
        <f aca="false">W3220+ROW()*0.000000001</f>
        <v>-4.9830358438186</v>
      </c>
      <c r="Z3220" s="55" t="n">
        <f aca="false">X3220+ROW()*0.000000001</f>
        <v>44.5757702654546</v>
      </c>
    </row>
    <row r="3221" customFormat="false" ht="15" hidden="false" customHeight="false" outlineLevel="0" collapsed="false">
      <c r="A3221" s="0" t="n">
        <v>11</v>
      </c>
      <c r="B3221" s="0" t="n">
        <v>2</v>
      </c>
      <c r="C3221" s="0" t="n">
        <v>3</v>
      </c>
      <c r="D3221" s="0" t="n">
        <f aca="false">-1+A3221*0.125</f>
        <v>0.375</v>
      </c>
      <c r="E3221" s="0" t="n">
        <f aca="false">-1+B3221*0.125</f>
        <v>-0.75</v>
      </c>
      <c r="F3221" s="0" t="n">
        <f aca="false">-1+C3221*0.125</f>
        <v>-0.625</v>
      </c>
      <c r="G3221" s="0" t="n">
        <f aca="false">1</f>
        <v>1</v>
      </c>
      <c r="H3221" s="0" t="n">
        <f aca="false">D3221</f>
        <v>0.375</v>
      </c>
      <c r="I3221" s="0" t="n">
        <f aca="false">E3221</f>
        <v>-0.75</v>
      </c>
      <c r="J3221" s="0" t="n">
        <f aca="false">F3221</f>
        <v>-0.625</v>
      </c>
      <c r="K3221" s="0" t="n">
        <f aca="false">D3221*E3221</f>
        <v>-0.28125</v>
      </c>
      <c r="L3221" s="0" t="n">
        <f aca="false">D3221*F3221</f>
        <v>-0.234375</v>
      </c>
      <c r="M3221" s="0" t="n">
        <f aca="false">E3221*F3221</f>
        <v>0.46875</v>
      </c>
      <c r="N3221" s="0" t="n">
        <f aca="false">D3221*D3221</f>
        <v>0.140625</v>
      </c>
      <c r="O3221" s="0" t="n">
        <f aca="false">E3221*E3221</f>
        <v>0.5625</v>
      </c>
      <c r="P3221" s="0" t="n">
        <f aca="false">F3221*F3221</f>
        <v>0.390625</v>
      </c>
      <c r="Q3221" s="0" t="n">
        <f aca="false">SUMPRODUCT(G3221:P3221,_XtX!$B$71:$K$71)</f>
        <v>44.9013920454546</v>
      </c>
      <c r="R3221" s="0" t="n">
        <f aca="false">SUMPRODUCT(MMULT(G3221:P3221,_XtX!$B$58:$K$67),G3221:P3221)</f>
        <v>0.25359940962358</v>
      </c>
      <c r="S3221" s="0" t="n">
        <f aca="false">04_回帰ANOVA!$K$19*04_回帰ANOVA!$K$14*SQRT(1+R3221)</f>
        <v>1.04098872464599</v>
      </c>
      <c r="T3221" s="0" t="n">
        <f aca="false">Q3221-S3221</f>
        <v>43.8604033208086</v>
      </c>
      <c r="U3221" s="0" t="n">
        <f aca="false">Q3221+S3221</f>
        <v>45.9423807701006</v>
      </c>
      <c r="V3221" s="54" t="b">
        <f aca="false">AND(D3221&gt;=01_因子設定!$L$5-0.000000001,D3221&lt;=01_因子設定!$M$5+0.000000001,E3221&gt;=01_因子設定!$L$6-0.000000001,E3221&lt;=01_因子設定!$M$6+0.000000001,F3221&gt;=01_因子設定!$L$7-0.000000001,F3221&lt;=01_因子設定!$M$7+0.000000001,IF(01_因子設定!$B$20="Box-Behnken",D3221^2+E3221^2+F3221^2&lt;=2+0.000000001,TRUE()))</f>
        <v>1</v>
      </c>
      <c r="W3221" s="55" t="n">
        <f aca="false">IF(V3221,IF(01_因子設定!$B$13="最大化",T3221-01_因子設定!$B$14,IF(01_因子設定!$B$13="最小化",01_因子設定!$B$15-U3221,MIN(T3221-01_因子設定!$B$14,01_因子設定!$B$15-U3221))),-1E+030)</f>
        <v>-4.63959667919142</v>
      </c>
      <c r="X3221" s="55" t="n">
        <f aca="false">IF(V3221,IF(01_因子設定!$B$13="最大化",Q3221,IF(01_因子設定!$B$13="最小化",-Q3221,-ABS(Q3221-01_因子設定!$B$16))),-1E+030)</f>
        <v>44.9013920454546</v>
      </c>
      <c r="Y3221" s="55" t="n">
        <f aca="false">W3221+ROW()*0.000000001</f>
        <v>-4.63959345819142</v>
      </c>
      <c r="Z3221" s="55" t="n">
        <f aca="false">X3221+ROW()*0.000000001</f>
        <v>44.9013952664546</v>
      </c>
    </row>
    <row r="3222" customFormat="false" ht="15" hidden="false" customHeight="false" outlineLevel="0" collapsed="false">
      <c r="A3222" s="0" t="n">
        <v>11</v>
      </c>
      <c r="B3222" s="0" t="n">
        <v>2</v>
      </c>
      <c r="C3222" s="0" t="n">
        <v>4</v>
      </c>
      <c r="D3222" s="0" t="n">
        <f aca="false">-1+A3222*0.125</f>
        <v>0.375</v>
      </c>
      <c r="E3222" s="0" t="n">
        <f aca="false">-1+B3222*0.125</f>
        <v>-0.75</v>
      </c>
      <c r="F3222" s="0" t="n">
        <f aca="false">-1+C3222*0.125</f>
        <v>-0.5</v>
      </c>
      <c r="G3222" s="0" t="n">
        <f aca="false">1</f>
        <v>1</v>
      </c>
      <c r="H3222" s="0" t="n">
        <f aca="false">D3222</f>
        <v>0.375</v>
      </c>
      <c r="I3222" s="0" t="n">
        <f aca="false">E3222</f>
        <v>-0.75</v>
      </c>
      <c r="J3222" s="0" t="n">
        <f aca="false">F3222</f>
        <v>-0.5</v>
      </c>
      <c r="K3222" s="0" t="n">
        <f aca="false">D3222*E3222</f>
        <v>-0.28125</v>
      </c>
      <c r="L3222" s="0" t="n">
        <f aca="false">D3222*F3222</f>
        <v>-0.1875</v>
      </c>
      <c r="M3222" s="0" t="n">
        <f aca="false">E3222*F3222</f>
        <v>0.375</v>
      </c>
      <c r="N3222" s="0" t="n">
        <f aca="false">D3222*D3222</f>
        <v>0.140625</v>
      </c>
      <c r="O3222" s="0" t="n">
        <f aca="false">E3222*E3222</f>
        <v>0.5625</v>
      </c>
      <c r="P3222" s="0" t="n">
        <f aca="false">F3222*F3222</f>
        <v>0.25</v>
      </c>
      <c r="Q3222" s="0" t="n">
        <f aca="false">SUMPRODUCT(G3222:P3222,_XtX!$B$71:$K$71)</f>
        <v>45.1902272727273</v>
      </c>
      <c r="R3222" s="0" t="n">
        <f aca="false">SUMPRODUCT(MMULT(G3222:P3222,_XtX!$B$58:$K$67),G3222:P3222)</f>
        <v>0.234168590198864</v>
      </c>
      <c r="S3222" s="0" t="n">
        <f aca="false">04_回帰ANOVA!$K$19*04_回帰ANOVA!$K$14*SQRT(1+R3222)</f>
        <v>1.03288954322488</v>
      </c>
      <c r="T3222" s="0" t="n">
        <f aca="false">Q3222-S3222</f>
        <v>44.1573377295024</v>
      </c>
      <c r="U3222" s="0" t="n">
        <f aca="false">Q3222+S3222</f>
        <v>46.2231168159522</v>
      </c>
      <c r="V3222" s="54" t="b">
        <f aca="false">AND(D3222&gt;=01_因子設定!$L$5-0.000000001,D3222&lt;=01_因子設定!$M$5+0.000000001,E3222&gt;=01_因子設定!$L$6-0.000000001,E3222&lt;=01_因子設定!$M$6+0.000000001,F3222&gt;=01_因子設定!$L$7-0.000000001,F3222&lt;=01_因子設定!$M$7+0.000000001,IF(01_因子設定!$B$20="Box-Behnken",D3222^2+E3222^2+F3222^2&lt;=2+0.000000001,TRUE()))</f>
        <v>1</v>
      </c>
      <c r="W3222" s="55" t="n">
        <f aca="false">IF(V3222,IF(01_因子設定!$B$13="最大化",T3222-01_因子設定!$B$14,IF(01_因子設定!$B$13="最小化",01_因子設定!$B$15-U3222,MIN(T3222-01_因子設定!$B$14,01_因子設定!$B$15-U3222))),-1E+030)</f>
        <v>-4.34266227049759</v>
      </c>
      <c r="X3222" s="55" t="n">
        <f aca="false">IF(V3222,IF(01_因子設定!$B$13="最大化",Q3222,IF(01_因子設定!$B$13="最小化",-Q3222,-ABS(Q3222-01_因子設定!$B$16))),-1E+030)</f>
        <v>45.1902272727273</v>
      </c>
      <c r="Y3222" s="55" t="n">
        <f aca="false">W3222+ROW()*0.000000001</f>
        <v>-4.34265904849759</v>
      </c>
      <c r="Z3222" s="55" t="n">
        <f aca="false">X3222+ROW()*0.000000001</f>
        <v>45.1902304947273</v>
      </c>
    </row>
    <row r="3223" customFormat="false" ht="15" hidden="false" customHeight="false" outlineLevel="0" collapsed="false">
      <c r="A3223" s="0" t="n">
        <v>11</v>
      </c>
      <c r="B3223" s="0" t="n">
        <v>2</v>
      </c>
      <c r="C3223" s="0" t="n">
        <v>5</v>
      </c>
      <c r="D3223" s="0" t="n">
        <f aca="false">-1+A3223*0.125</f>
        <v>0.375</v>
      </c>
      <c r="E3223" s="0" t="n">
        <f aca="false">-1+B3223*0.125</f>
        <v>-0.75</v>
      </c>
      <c r="F3223" s="0" t="n">
        <f aca="false">-1+C3223*0.125</f>
        <v>-0.375</v>
      </c>
      <c r="G3223" s="0" t="n">
        <f aca="false">1</f>
        <v>1</v>
      </c>
      <c r="H3223" s="0" t="n">
        <f aca="false">D3223</f>
        <v>0.375</v>
      </c>
      <c r="I3223" s="0" t="n">
        <f aca="false">E3223</f>
        <v>-0.75</v>
      </c>
      <c r="J3223" s="0" t="n">
        <f aca="false">F3223</f>
        <v>-0.375</v>
      </c>
      <c r="K3223" s="0" t="n">
        <f aca="false">D3223*E3223</f>
        <v>-0.28125</v>
      </c>
      <c r="L3223" s="0" t="n">
        <f aca="false">D3223*F3223</f>
        <v>-0.140625</v>
      </c>
      <c r="M3223" s="0" t="n">
        <f aca="false">E3223*F3223</f>
        <v>0.28125</v>
      </c>
      <c r="N3223" s="0" t="n">
        <f aca="false">D3223*D3223</f>
        <v>0.140625</v>
      </c>
      <c r="O3223" s="0" t="n">
        <f aca="false">E3223*E3223</f>
        <v>0.5625</v>
      </c>
      <c r="P3223" s="0" t="n">
        <f aca="false">F3223*F3223</f>
        <v>0.140625</v>
      </c>
      <c r="Q3223" s="0" t="n">
        <f aca="false">SUMPRODUCT(G3223:P3223,_XtX!$B$71:$K$71)</f>
        <v>45.4422727272727</v>
      </c>
      <c r="R3223" s="0" t="n">
        <f aca="false">SUMPRODUCT(MMULT(G3223:P3223,_XtX!$B$58:$K$67),G3223:P3223)</f>
        <v>0.228998912464489</v>
      </c>
      <c r="S3223" s="0" t="n">
        <f aca="false">04_回帰ANOVA!$K$19*04_回帰ANOVA!$K$14*SQRT(1+R3223)</f>
        <v>1.03072399242813</v>
      </c>
      <c r="T3223" s="0" t="n">
        <f aca="false">Q3223-S3223</f>
        <v>44.4115487348446</v>
      </c>
      <c r="U3223" s="0" t="n">
        <f aca="false">Q3223+S3223</f>
        <v>46.4729967197009</v>
      </c>
      <c r="V3223" s="54" t="b">
        <f aca="false">AND(D3223&gt;=01_因子設定!$L$5-0.000000001,D3223&lt;=01_因子設定!$M$5+0.000000001,E3223&gt;=01_因子設定!$L$6-0.000000001,E3223&lt;=01_因子設定!$M$6+0.000000001,F3223&gt;=01_因子設定!$L$7-0.000000001,F3223&lt;=01_因子設定!$M$7+0.000000001,IF(01_因子設定!$B$20="Box-Behnken",D3223^2+E3223^2+F3223^2&lt;=2+0.000000001,TRUE()))</f>
        <v>1</v>
      </c>
      <c r="W3223" s="55" t="n">
        <f aca="false">IF(V3223,IF(01_因子設定!$B$13="最大化",T3223-01_因子設定!$B$14,IF(01_因子設定!$B$13="最小化",01_因子設定!$B$15-U3223,MIN(T3223-01_因子設定!$B$14,01_因子設定!$B$15-U3223))),-1E+030)</f>
        <v>-4.08845126515539</v>
      </c>
      <c r="X3223" s="55" t="n">
        <f aca="false">IF(V3223,IF(01_因子設定!$B$13="最大化",Q3223,IF(01_因子設定!$B$13="最小化",-Q3223,-ABS(Q3223-01_因子設定!$B$16))),-1E+030)</f>
        <v>45.4422727272727</v>
      </c>
      <c r="Y3223" s="55" t="n">
        <f aca="false">W3223+ROW()*0.000000001</f>
        <v>-4.08844804215539</v>
      </c>
      <c r="Z3223" s="55" t="n">
        <f aca="false">X3223+ROW()*0.000000001</f>
        <v>45.4422759502727</v>
      </c>
    </row>
    <row r="3224" customFormat="false" ht="15" hidden="false" customHeight="false" outlineLevel="0" collapsed="false">
      <c r="A3224" s="0" t="n">
        <v>11</v>
      </c>
      <c r="B3224" s="0" t="n">
        <v>2</v>
      </c>
      <c r="C3224" s="0" t="n">
        <v>6</v>
      </c>
      <c r="D3224" s="0" t="n">
        <f aca="false">-1+A3224*0.125</f>
        <v>0.375</v>
      </c>
      <c r="E3224" s="0" t="n">
        <f aca="false">-1+B3224*0.125</f>
        <v>-0.75</v>
      </c>
      <c r="F3224" s="0" t="n">
        <f aca="false">-1+C3224*0.125</f>
        <v>-0.25</v>
      </c>
      <c r="G3224" s="0" t="n">
        <f aca="false">1</f>
        <v>1</v>
      </c>
      <c r="H3224" s="0" t="n">
        <f aca="false">D3224</f>
        <v>0.375</v>
      </c>
      <c r="I3224" s="0" t="n">
        <f aca="false">E3224</f>
        <v>-0.75</v>
      </c>
      <c r="J3224" s="0" t="n">
        <f aca="false">F3224</f>
        <v>-0.25</v>
      </c>
      <c r="K3224" s="0" t="n">
        <f aca="false">D3224*E3224</f>
        <v>-0.28125</v>
      </c>
      <c r="L3224" s="0" t="n">
        <f aca="false">D3224*F3224</f>
        <v>-0.09375</v>
      </c>
      <c r="M3224" s="0" t="n">
        <f aca="false">E3224*F3224</f>
        <v>0.1875</v>
      </c>
      <c r="N3224" s="0" t="n">
        <f aca="false">D3224*D3224</f>
        <v>0.140625</v>
      </c>
      <c r="O3224" s="0" t="n">
        <f aca="false">E3224*E3224</f>
        <v>0.5625</v>
      </c>
      <c r="P3224" s="0" t="n">
        <f aca="false">F3224*F3224</f>
        <v>0.0625</v>
      </c>
      <c r="Q3224" s="0" t="n">
        <f aca="false">SUMPRODUCT(G3224:P3224,_XtX!$B$71:$K$71)</f>
        <v>45.6575284090909</v>
      </c>
      <c r="R3224" s="0" t="n">
        <f aca="false">SUMPRODUCT(MMULT(G3224:P3224,_XtX!$B$58:$K$67),G3224:P3224)</f>
        <v>0.230632990056818</v>
      </c>
      <c r="S3224" s="0" t="n">
        <f aca="false">04_回帰ANOVA!$K$19*04_回帰ANOVA!$K$14*SQRT(1+R3224)</f>
        <v>1.03140899038819</v>
      </c>
      <c r="T3224" s="0" t="n">
        <f aca="false">Q3224-S3224</f>
        <v>44.6261194187027</v>
      </c>
      <c r="U3224" s="0" t="n">
        <f aca="false">Q3224+S3224</f>
        <v>46.6889373994791</v>
      </c>
      <c r="V3224" s="54" t="b">
        <f aca="false">AND(D3224&gt;=01_因子設定!$L$5-0.000000001,D3224&lt;=01_因子設定!$M$5+0.000000001,E3224&gt;=01_因子設定!$L$6-0.000000001,E3224&lt;=01_因子設定!$M$6+0.000000001,F3224&gt;=01_因子設定!$L$7-0.000000001,F3224&lt;=01_因子設定!$M$7+0.000000001,IF(01_因子設定!$B$20="Box-Behnken",D3224^2+E3224^2+F3224^2&lt;=2+0.000000001,TRUE()))</f>
        <v>1</v>
      </c>
      <c r="W3224" s="55" t="n">
        <f aca="false">IF(V3224,IF(01_因子設定!$B$13="最大化",T3224-01_因子設定!$B$14,IF(01_因子設定!$B$13="最小化",01_因子設定!$B$15-U3224,MIN(T3224-01_因子設定!$B$14,01_因子設定!$B$15-U3224))),-1E+030)</f>
        <v>-3.87388058129726</v>
      </c>
      <c r="X3224" s="55" t="n">
        <f aca="false">IF(V3224,IF(01_因子設定!$B$13="最大化",Q3224,IF(01_因子設定!$B$13="最小化",-Q3224,-ABS(Q3224-01_因子設定!$B$16))),-1E+030)</f>
        <v>45.6575284090909</v>
      </c>
      <c r="Y3224" s="55" t="n">
        <f aca="false">W3224+ROW()*0.000000001</f>
        <v>-3.87387735729726</v>
      </c>
      <c r="Z3224" s="55" t="n">
        <f aca="false">X3224+ROW()*0.000000001</f>
        <v>45.6575316330909</v>
      </c>
    </row>
    <row r="3225" customFormat="false" ht="15" hidden="false" customHeight="false" outlineLevel="0" collapsed="false">
      <c r="A3225" s="0" t="n">
        <v>11</v>
      </c>
      <c r="B3225" s="0" t="n">
        <v>2</v>
      </c>
      <c r="C3225" s="0" t="n">
        <v>7</v>
      </c>
      <c r="D3225" s="0" t="n">
        <f aca="false">-1+A3225*0.125</f>
        <v>0.375</v>
      </c>
      <c r="E3225" s="0" t="n">
        <f aca="false">-1+B3225*0.125</f>
        <v>-0.75</v>
      </c>
      <c r="F3225" s="0" t="n">
        <f aca="false">-1+C3225*0.125</f>
        <v>-0.125</v>
      </c>
      <c r="G3225" s="0" t="n">
        <f aca="false">1</f>
        <v>1</v>
      </c>
      <c r="H3225" s="0" t="n">
        <f aca="false">D3225</f>
        <v>0.375</v>
      </c>
      <c r="I3225" s="0" t="n">
        <f aca="false">E3225</f>
        <v>-0.75</v>
      </c>
      <c r="J3225" s="0" t="n">
        <f aca="false">F3225</f>
        <v>-0.125</v>
      </c>
      <c r="K3225" s="0" t="n">
        <f aca="false">D3225*E3225</f>
        <v>-0.28125</v>
      </c>
      <c r="L3225" s="0" t="n">
        <f aca="false">D3225*F3225</f>
        <v>-0.046875</v>
      </c>
      <c r="M3225" s="0" t="n">
        <f aca="false">E3225*F3225</f>
        <v>0.09375</v>
      </c>
      <c r="N3225" s="0" t="n">
        <f aca="false">D3225*D3225</f>
        <v>0.140625</v>
      </c>
      <c r="O3225" s="0" t="n">
        <f aca="false">E3225*E3225</f>
        <v>0.5625</v>
      </c>
      <c r="P3225" s="0" t="n">
        <f aca="false">F3225*F3225</f>
        <v>0.015625</v>
      </c>
      <c r="Q3225" s="0" t="n">
        <f aca="false">SUMPRODUCT(G3225:P3225,_XtX!$B$71:$K$71)</f>
        <v>45.8359943181818</v>
      </c>
      <c r="R3225" s="0" t="n">
        <f aca="false">SUMPRODUCT(MMULT(G3225:P3225,_XtX!$B$58:$K$67),G3225:P3225)</f>
        <v>0.233744118430398</v>
      </c>
      <c r="S3225" s="0" t="n">
        <f aca="false">04_回帰ANOVA!$K$19*04_回帰ANOVA!$K$14*SQRT(1+R3225)</f>
        <v>1.0327119053564</v>
      </c>
      <c r="T3225" s="0" t="n">
        <f aca="false">Q3225-S3225</f>
        <v>44.8032824128254</v>
      </c>
      <c r="U3225" s="0" t="n">
        <f aca="false">Q3225+S3225</f>
        <v>46.8687062235382</v>
      </c>
      <c r="V3225" s="54" t="b">
        <f aca="false">AND(D3225&gt;=01_因子設定!$L$5-0.000000001,D3225&lt;=01_因子設定!$M$5+0.000000001,E3225&gt;=01_因子設定!$L$6-0.000000001,E3225&lt;=01_因子設定!$M$6+0.000000001,F3225&gt;=01_因子設定!$L$7-0.000000001,F3225&lt;=01_因子設定!$M$7+0.000000001,IF(01_因子設定!$B$20="Box-Behnken",D3225^2+E3225^2+F3225^2&lt;=2+0.000000001,TRUE()))</f>
        <v>1</v>
      </c>
      <c r="W3225" s="55" t="n">
        <f aca="false">IF(V3225,IF(01_因子設定!$B$13="最大化",T3225-01_因子設定!$B$14,IF(01_因子設定!$B$13="最小化",01_因子設定!$B$15-U3225,MIN(T3225-01_因子設定!$B$14,01_因子設定!$B$15-U3225))),-1E+030)</f>
        <v>-3.69671758717458</v>
      </c>
      <c r="X3225" s="55" t="n">
        <f aca="false">IF(V3225,IF(01_因子設定!$B$13="最大化",Q3225,IF(01_因子設定!$B$13="最小化",-Q3225,-ABS(Q3225-01_因子設定!$B$16))),-1E+030)</f>
        <v>45.8359943181818</v>
      </c>
      <c r="Y3225" s="55" t="n">
        <f aca="false">W3225+ROW()*0.000000001</f>
        <v>-3.69671436217458</v>
      </c>
      <c r="Z3225" s="55" t="n">
        <f aca="false">X3225+ROW()*0.000000001</f>
        <v>45.8359975431818</v>
      </c>
    </row>
    <row r="3226" customFormat="false" ht="15" hidden="false" customHeight="false" outlineLevel="0" collapsed="false">
      <c r="A3226" s="0" t="n">
        <v>11</v>
      </c>
      <c r="B3226" s="0" t="n">
        <v>2</v>
      </c>
      <c r="C3226" s="0" t="n">
        <v>8</v>
      </c>
      <c r="D3226" s="0" t="n">
        <f aca="false">-1+A3226*0.125</f>
        <v>0.375</v>
      </c>
      <c r="E3226" s="0" t="n">
        <f aca="false">-1+B3226*0.125</f>
        <v>-0.75</v>
      </c>
      <c r="F3226" s="0" t="n">
        <f aca="false">-1+C3226*0.125</f>
        <v>0</v>
      </c>
      <c r="G3226" s="0" t="n">
        <f aca="false">1</f>
        <v>1</v>
      </c>
      <c r="H3226" s="0" t="n">
        <f aca="false">D3226</f>
        <v>0.375</v>
      </c>
      <c r="I3226" s="0" t="n">
        <f aca="false">E3226</f>
        <v>-0.75</v>
      </c>
      <c r="J3226" s="0" t="n">
        <f aca="false">F3226</f>
        <v>0</v>
      </c>
      <c r="K3226" s="0" t="n">
        <f aca="false">D3226*E3226</f>
        <v>-0.28125</v>
      </c>
      <c r="L3226" s="0" t="n">
        <f aca="false">D3226*F3226</f>
        <v>0</v>
      </c>
      <c r="M3226" s="0" t="n">
        <f aca="false">E3226*F3226</f>
        <v>-0</v>
      </c>
      <c r="N3226" s="0" t="n">
        <f aca="false">D3226*D3226</f>
        <v>0.140625</v>
      </c>
      <c r="O3226" s="0" t="n">
        <f aca="false">E3226*E3226</f>
        <v>0.5625</v>
      </c>
      <c r="P3226" s="0" t="n">
        <f aca="false">F3226*F3226</f>
        <v>0</v>
      </c>
      <c r="Q3226" s="0" t="n">
        <f aca="false">SUMPRODUCT(G3226:P3226,_XtX!$B$71:$K$71)</f>
        <v>45.9776704545455</v>
      </c>
      <c r="R3226" s="0" t="n">
        <f aca="false">SUMPRODUCT(MMULT(G3226:P3226,_XtX!$B$58:$K$67),G3226:P3226)</f>
        <v>0.235136274857955</v>
      </c>
      <c r="S3226" s="0" t="n">
        <f aca="false">04_回帰ANOVA!$K$19*04_回帰ANOVA!$K$14*SQRT(1+R3226)</f>
        <v>1.03329439695656</v>
      </c>
      <c r="T3226" s="0" t="n">
        <f aca="false">Q3226-S3226</f>
        <v>44.9443760575889</v>
      </c>
      <c r="U3226" s="0" t="n">
        <f aca="false">Q3226+S3226</f>
        <v>47.010964851502</v>
      </c>
      <c r="V3226" s="54" t="b">
        <f aca="false">AND(D3226&gt;=01_因子設定!$L$5-0.000000001,D3226&lt;=01_因子設定!$M$5+0.000000001,E3226&gt;=01_因子設定!$L$6-0.000000001,E3226&lt;=01_因子設定!$M$6+0.000000001,F3226&gt;=01_因子設定!$L$7-0.000000001,F3226&lt;=01_因子設定!$M$7+0.000000001,IF(01_因子設定!$B$20="Box-Behnken",D3226^2+E3226^2+F3226^2&lt;=2+0.000000001,TRUE()))</f>
        <v>1</v>
      </c>
      <c r="W3226" s="55" t="n">
        <f aca="false">IF(V3226,IF(01_因子設定!$B$13="最大化",T3226-01_因子設定!$B$14,IF(01_因子設定!$B$13="最小化",01_因子設定!$B$15-U3226,MIN(T3226-01_因子設定!$B$14,01_因子設定!$B$15-U3226))),-1E+030)</f>
        <v>-3.5556239424111</v>
      </c>
      <c r="X3226" s="55" t="n">
        <f aca="false">IF(V3226,IF(01_因子設定!$B$13="最大化",Q3226,IF(01_因子設定!$B$13="最小化",-Q3226,-ABS(Q3226-01_因子設定!$B$16))),-1E+030)</f>
        <v>45.9776704545455</v>
      </c>
      <c r="Y3226" s="55" t="n">
        <f aca="false">W3226+ROW()*0.000000001</f>
        <v>-3.5556207164111</v>
      </c>
      <c r="Z3226" s="55" t="n">
        <f aca="false">X3226+ROW()*0.000000001</f>
        <v>45.9776736805455</v>
      </c>
    </row>
    <row r="3227" customFormat="false" ht="15" hidden="false" customHeight="false" outlineLevel="0" collapsed="false">
      <c r="A3227" s="0" t="n">
        <v>11</v>
      </c>
      <c r="B3227" s="0" t="n">
        <v>2</v>
      </c>
      <c r="C3227" s="0" t="n">
        <v>9</v>
      </c>
      <c r="D3227" s="0" t="n">
        <f aca="false">-1+A3227*0.125</f>
        <v>0.375</v>
      </c>
      <c r="E3227" s="0" t="n">
        <f aca="false">-1+B3227*0.125</f>
        <v>-0.75</v>
      </c>
      <c r="F3227" s="0" t="n">
        <f aca="false">-1+C3227*0.125</f>
        <v>0.125</v>
      </c>
      <c r="G3227" s="0" t="n">
        <f aca="false">1</f>
        <v>1</v>
      </c>
      <c r="H3227" s="0" t="n">
        <f aca="false">D3227</f>
        <v>0.375</v>
      </c>
      <c r="I3227" s="0" t="n">
        <f aca="false">E3227</f>
        <v>-0.75</v>
      </c>
      <c r="J3227" s="0" t="n">
        <f aca="false">F3227</f>
        <v>0.125</v>
      </c>
      <c r="K3227" s="0" t="n">
        <f aca="false">D3227*E3227</f>
        <v>-0.28125</v>
      </c>
      <c r="L3227" s="0" t="n">
        <f aca="false">D3227*F3227</f>
        <v>0.046875</v>
      </c>
      <c r="M3227" s="0" t="n">
        <f aca="false">E3227*F3227</f>
        <v>-0.09375</v>
      </c>
      <c r="N3227" s="0" t="n">
        <f aca="false">D3227*D3227</f>
        <v>0.140625</v>
      </c>
      <c r="O3227" s="0" t="n">
        <f aca="false">E3227*E3227</f>
        <v>0.5625</v>
      </c>
      <c r="P3227" s="0" t="n">
        <f aca="false">F3227*F3227</f>
        <v>0.015625</v>
      </c>
      <c r="Q3227" s="0" t="n">
        <f aca="false">SUMPRODUCT(G3227:P3227,_XtX!$B$71:$K$71)</f>
        <v>46.0825568181818</v>
      </c>
      <c r="R3227" s="0" t="n">
        <f aca="false">SUMPRODUCT(MMULT(G3227:P3227,_XtX!$B$58:$K$67),G3227:P3227)</f>
        <v>0.233744118430398</v>
      </c>
      <c r="S3227" s="0" t="n">
        <f aca="false">04_回帰ANOVA!$K$19*04_回帰ANOVA!$K$14*SQRT(1+R3227)</f>
        <v>1.0327119053564</v>
      </c>
      <c r="T3227" s="0" t="n">
        <f aca="false">Q3227-S3227</f>
        <v>45.0498449128254</v>
      </c>
      <c r="U3227" s="0" t="n">
        <f aca="false">Q3227+S3227</f>
        <v>47.1152687235382</v>
      </c>
      <c r="V3227" s="54" t="b">
        <f aca="false">AND(D3227&gt;=01_因子設定!$L$5-0.000000001,D3227&lt;=01_因子設定!$M$5+0.000000001,E3227&gt;=01_因子設定!$L$6-0.000000001,E3227&lt;=01_因子設定!$M$6+0.000000001,F3227&gt;=01_因子設定!$L$7-0.000000001,F3227&lt;=01_因子設定!$M$7+0.000000001,IF(01_因子設定!$B$20="Box-Behnken",D3227^2+E3227^2+F3227^2&lt;=2+0.000000001,TRUE()))</f>
        <v>1</v>
      </c>
      <c r="W3227" s="55" t="n">
        <f aca="false">IF(V3227,IF(01_因子設定!$B$13="最大化",T3227-01_因子設定!$B$14,IF(01_因子設定!$B$13="最小化",01_因子設定!$B$15-U3227,MIN(T3227-01_因子設定!$B$14,01_因子設定!$B$15-U3227))),-1E+030)</f>
        <v>-3.45015508717457</v>
      </c>
      <c r="X3227" s="55" t="n">
        <f aca="false">IF(V3227,IF(01_因子設定!$B$13="最大化",Q3227,IF(01_因子設定!$B$13="最小化",-Q3227,-ABS(Q3227-01_因子設定!$B$16))),-1E+030)</f>
        <v>46.0825568181818</v>
      </c>
      <c r="Y3227" s="55" t="n">
        <f aca="false">W3227+ROW()*0.000000001</f>
        <v>-3.45015186017457</v>
      </c>
      <c r="Z3227" s="55" t="n">
        <f aca="false">X3227+ROW()*0.000000001</f>
        <v>46.0825600451818</v>
      </c>
    </row>
    <row r="3228" customFormat="false" ht="15" hidden="false" customHeight="false" outlineLevel="0" collapsed="false">
      <c r="A3228" s="0" t="n">
        <v>11</v>
      </c>
      <c r="B3228" s="0" t="n">
        <v>2</v>
      </c>
      <c r="C3228" s="0" t="n">
        <v>10</v>
      </c>
      <c r="D3228" s="0" t="n">
        <f aca="false">-1+A3228*0.125</f>
        <v>0.375</v>
      </c>
      <c r="E3228" s="0" t="n">
        <f aca="false">-1+B3228*0.125</f>
        <v>-0.75</v>
      </c>
      <c r="F3228" s="0" t="n">
        <f aca="false">-1+C3228*0.125</f>
        <v>0.25</v>
      </c>
      <c r="G3228" s="0" t="n">
        <f aca="false">1</f>
        <v>1</v>
      </c>
      <c r="H3228" s="0" t="n">
        <f aca="false">D3228</f>
        <v>0.375</v>
      </c>
      <c r="I3228" s="0" t="n">
        <f aca="false">E3228</f>
        <v>-0.75</v>
      </c>
      <c r="J3228" s="0" t="n">
        <f aca="false">F3228</f>
        <v>0.25</v>
      </c>
      <c r="K3228" s="0" t="n">
        <f aca="false">D3228*E3228</f>
        <v>-0.28125</v>
      </c>
      <c r="L3228" s="0" t="n">
        <f aca="false">D3228*F3228</f>
        <v>0.09375</v>
      </c>
      <c r="M3228" s="0" t="n">
        <f aca="false">E3228*F3228</f>
        <v>-0.1875</v>
      </c>
      <c r="N3228" s="0" t="n">
        <f aca="false">D3228*D3228</f>
        <v>0.140625</v>
      </c>
      <c r="O3228" s="0" t="n">
        <f aca="false">E3228*E3228</f>
        <v>0.5625</v>
      </c>
      <c r="P3228" s="0" t="n">
        <f aca="false">F3228*F3228</f>
        <v>0.0625</v>
      </c>
      <c r="Q3228" s="0" t="n">
        <f aca="false">SUMPRODUCT(G3228:P3228,_XtX!$B$71:$K$71)</f>
        <v>46.1506534090909</v>
      </c>
      <c r="R3228" s="0" t="n">
        <f aca="false">SUMPRODUCT(MMULT(G3228:P3228,_XtX!$B$58:$K$67),G3228:P3228)</f>
        <v>0.230632990056818</v>
      </c>
      <c r="S3228" s="0" t="n">
        <f aca="false">04_回帰ANOVA!$K$19*04_回帰ANOVA!$K$14*SQRT(1+R3228)</f>
        <v>1.03140899038819</v>
      </c>
      <c r="T3228" s="0" t="n">
        <f aca="false">Q3228-S3228</f>
        <v>45.1192444187027</v>
      </c>
      <c r="U3228" s="0" t="n">
        <f aca="false">Q3228+S3228</f>
        <v>47.1820623994791</v>
      </c>
      <c r="V3228" s="54" t="b">
        <f aca="false">AND(D3228&gt;=01_因子設定!$L$5-0.000000001,D3228&lt;=01_因子設定!$M$5+0.000000001,E3228&gt;=01_因子設定!$L$6-0.000000001,E3228&lt;=01_因子設定!$M$6+0.000000001,F3228&gt;=01_因子設定!$L$7-0.000000001,F3228&lt;=01_因子設定!$M$7+0.000000001,IF(01_因子設定!$B$20="Box-Behnken",D3228^2+E3228^2+F3228^2&lt;=2+0.000000001,TRUE()))</f>
        <v>1</v>
      </c>
      <c r="W3228" s="55" t="n">
        <f aca="false">IF(V3228,IF(01_因子設定!$B$13="最大化",T3228-01_因子設定!$B$14,IF(01_因子設定!$B$13="最小化",01_因子設定!$B$15-U3228,MIN(T3228-01_因子設定!$B$14,01_因子設定!$B$15-U3228))),-1E+030)</f>
        <v>-3.38075558129727</v>
      </c>
      <c r="X3228" s="55" t="n">
        <f aca="false">IF(V3228,IF(01_因子設定!$B$13="最大化",Q3228,IF(01_因子設定!$B$13="最小化",-Q3228,-ABS(Q3228-01_因子設定!$B$16))),-1E+030)</f>
        <v>46.1506534090909</v>
      </c>
      <c r="Y3228" s="55" t="n">
        <f aca="false">W3228+ROW()*0.000000001</f>
        <v>-3.38075235329727</v>
      </c>
      <c r="Z3228" s="55" t="n">
        <f aca="false">X3228+ROW()*0.000000001</f>
        <v>46.1506566370909</v>
      </c>
    </row>
    <row r="3229" customFormat="false" ht="15" hidden="false" customHeight="false" outlineLevel="0" collapsed="false">
      <c r="A3229" s="0" t="n">
        <v>11</v>
      </c>
      <c r="B3229" s="0" t="n">
        <v>2</v>
      </c>
      <c r="C3229" s="0" t="n">
        <v>11</v>
      </c>
      <c r="D3229" s="0" t="n">
        <f aca="false">-1+A3229*0.125</f>
        <v>0.375</v>
      </c>
      <c r="E3229" s="0" t="n">
        <f aca="false">-1+B3229*0.125</f>
        <v>-0.75</v>
      </c>
      <c r="F3229" s="0" t="n">
        <f aca="false">-1+C3229*0.125</f>
        <v>0.375</v>
      </c>
      <c r="G3229" s="0" t="n">
        <f aca="false">1</f>
        <v>1</v>
      </c>
      <c r="H3229" s="0" t="n">
        <f aca="false">D3229</f>
        <v>0.375</v>
      </c>
      <c r="I3229" s="0" t="n">
        <f aca="false">E3229</f>
        <v>-0.75</v>
      </c>
      <c r="J3229" s="0" t="n">
        <f aca="false">F3229</f>
        <v>0.375</v>
      </c>
      <c r="K3229" s="0" t="n">
        <f aca="false">D3229*E3229</f>
        <v>-0.28125</v>
      </c>
      <c r="L3229" s="0" t="n">
        <f aca="false">D3229*F3229</f>
        <v>0.140625</v>
      </c>
      <c r="M3229" s="0" t="n">
        <f aca="false">E3229*F3229</f>
        <v>-0.28125</v>
      </c>
      <c r="N3229" s="0" t="n">
        <f aca="false">D3229*D3229</f>
        <v>0.140625</v>
      </c>
      <c r="O3229" s="0" t="n">
        <f aca="false">E3229*E3229</f>
        <v>0.5625</v>
      </c>
      <c r="P3229" s="0" t="n">
        <f aca="false">F3229*F3229</f>
        <v>0.140625</v>
      </c>
      <c r="Q3229" s="0" t="n">
        <f aca="false">SUMPRODUCT(G3229:P3229,_XtX!$B$71:$K$71)</f>
        <v>46.1819602272727</v>
      </c>
      <c r="R3229" s="0" t="n">
        <f aca="false">SUMPRODUCT(MMULT(G3229:P3229,_XtX!$B$58:$K$67),G3229:P3229)</f>
        <v>0.228998912464489</v>
      </c>
      <c r="S3229" s="0" t="n">
        <f aca="false">04_回帰ANOVA!$K$19*04_回帰ANOVA!$K$14*SQRT(1+R3229)</f>
        <v>1.03072399242813</v>
      </c>
      <c r="T3229" s="0" t="n">
        <f aca="false">Q3229-S3229</f>
        <v>45.1512362348446</v>
      </c>
      <c r="U3229" s="0" t="n">
        <f aca="false">Q3229+S3229</f>
        <v>47.2126842197009</v>
      </c>
      <c r="V3229" s="54" t="b">
        <f aca="false">AND(D3229&gt;=01_因子設定!$L$5-0.000000001,D3229&lt;=01_因子設定!$M$5+0.000000001,E3229&gt;=01_因子設定!$L$6-0.000000001,E3229&lt;=01_因子設定!$M$6+0.000000001,F3229&gt;=01_因子設定!$L$7-0.000000001,F3229&lt;=01_因子設定!$M$7+0.000000001,IF(01_因子設定!$B$20="Box-Behnken",D3229^2+E3229^2+F3229^2&lt;=2+0.000000001,TRUE()))</f>
        <v>1</v>
      </c>
      <c r="W3229" s="55" t="n">
        <f aca="false">IF(V3229,IF(01_因子設定!$B$13="最大化",T3229-01_因子設定!$B$14,IF(01_因子設定!$B$13="最小化",01_因子設定!$B$15-U3229,MIN(T3229-01_因子設定!$B$14,01_因子設定!$B$15-U3229))),-1E+030)</f>
        <v>-3.34876376515539</v>
      </c>
      <c r="X3229" s="55" t="n">
        <f aca="false">IF(V3229,IF(01_因子設定!$B$13="最大化",Q3229,IF(01_因子設定!$B$13="最小化",-Q3229,-ABS(Q3229-01_因子設定!$B$16))),-1E+030)</f>
        <v>46.1819602272727</v>
      </c>
      <c r="Y3229" s="55" t="n">
        <f aca="false">W3229+ROW()*0.000000001</f>
        <v>-3.34876053615539</v>
      </c>
      <c r="Z3229" s="55" t="n">
        <f aca="false">X3229+ROW()*0.000000001</f>
        <v>46.1819634562727</v>
      </c>
    </row>
    <row r="3230" customFormat="false" ht="15" hidden="false" customHeight="false" outlineLevel="0" collapsed="false">
      <c r="A3230" s="0" t="n">
        <v>11</v>
      </c>
      <c r="B3230" s="0" t="n">
        <v>2</v>
      </c>
      <c r="C3230" s="0" t="n">
        <v>12</v>
      </c>
      <c r="D3230" s="0" t="n">
        <f aca="false">-1+A3230*0.125</f>
        <v>0.375</v>
      </c>
      <c r="E3230" s="0" t="n">
        <f aca="false">-1+B3230*0.125</f>
        <v>-0.75</v>
      </c>
      <c r="F3230" s="0" t="n">
        <f aca="false">-1+C3230*0.125</f>
        <v>0.5</v>
      </c>
      <c r="G3230" s="0" t="n">
        <f aca="false">1</f>
        <v>1</v>
      </c>
      <c r="H3230" s="0" t="n">
        <f aca="false">D3230</f>
        <v>0.375</v>
      </c>
      <c r="I3230" s="0" t="n">
        <f aca="false">E3230</f>
        <v>-0.75</v>
      </c>
      <c r="J3230" s="0" t="n">
        <f aca="false">F3230</f>
        <v>0.5</v>
      </c>
      <c r="K3230" s="0" t="n">
        <f aca="false">D3230*E3230</f>
        <v>-0.28125</v>
      </c>
      <c r="L3230" s="0" t="n">
        <f aca="false">D3230*F3230</f>
        <v>0.1875</v>
      </c>
      <c r="M3230" s="0" t="n">
        <f aca="false">E3230*F3230</f>
        <v>-0.375</v>
      </c>
      <c r="N3230" s="0" t="n">
        <f aca="false">D3230*D3230</f>
        <v>0.140625</v>
      </c>
      <c r="O3230" s="0" t="n">
        <f aca="false">E3230*E3230</f>
        <v>0.5625</v>
      </c>
      <c r="P3230" s="0" t="n">
        <f aca="false">F3230*F3230</f>
        <v>0.25</v>
      </c>
      <c r="Q3230" s="0" t="n">
        <f aca="false">SUMPRODUCT(G3230:P3230,_XtX!$B$71:$K$71)</f>
        <v>46.1764772727273</v>
      </c>
      <c r="R3230" s="0" t="n">
        <f aca="false">SUMPRODUCT(MMULT(G3230:P3230,_XtX!$B$58:$K$67),G3230:P3230)</f>
        <v>0.234168590198864</v>
      </c>
      <c r="S3230" s="0" t="n">
        <f aca="false">04_回帰ANOVA!$K$19*04_回帰ANOVA!$K$14*SQRT(1+R3230)</f>
        <v>1.03288954322488</v>
      </c>
      <c r="T3230" s="0" t="n">
        <f aca="false">Q3230-S3230</f>
        <v>45.1435877295024</v>
      </c>
      <c r="U3230" s="0" t="n">
        <f aca="false">Q3230+S3230</f>
        <v>47.2093668159522</v>
      </c>
      <c r="V3230" s="54" t="b">
        <f aca="false">AND(D3230&gt;=01_因子設定!$L$5-0.000000001,D3230&lt;=01_因子設定!$M$5+0.000000001,E3230&gt;=01_因子設定!$L$6-0.000000001,E3230&lt;=01_因子設定!$M$6+0.000000001,F3230&gt;=01_因子設定!$L$7-0.000000001,F3230&lt;=01_因子設定!$M$7+0.000000001,IF(01_因子設定!$B$20="Box-Behnken",D3230^2+E3230^2+F3230^2&lt;=2+0.000000001,TRUE()))</f>
        <v>1</v>
      </c>
      <c r="W3230" s="55" t="n">
        <f aca="false">IF(V3230,IF(01_因子設定!$B$13="最大化",T3230-01_因子設定!$B$14,IF(01_因子設定!$B$13="最小化",01_因子設定!$B$15-U3230,MIN(T3230-01_因子設定!$B$14,01_因子設定!$B$15-U3230))),-1E+030)</f>
        <v>-3.35641227049759</v>
      </c>
      <c r="X3230" s="55" t="n">
        <f aca="false">IF(V3230,IF(01_因子設定!$B$13="最大化",Q3230,IF(01_因子設定!$B$13="最小化",-Q3230,-ABS(Q3230-01_因子設定!$B$16))),-1E+030)</f>
        <v>46.1764772727273</v>
      </c>
      <c r="Y3230" s="55" t="n">
        <f aca="false">W3230+ROW()*0.000000001</f>
        <v>-3.35640904049759</v>
      </c>
      <c r="Z3230" s="55" t="n">
        <f aca="false">X3230+ROW()*0.000000001</f>
        <v>46.1764805027273</v>
      </c>
    </row>
    <row r="3231" customFormat="false" ht="15" hidden="false" customHeight="false" outlineLevel="0" collapsed="false">
      <c r="A3231" s="0" t="n">
        <v>11</v>
      </c>
      <c r="B3231" s="0" t="n">
        <v>2</v>
      </c>
      <c r="C3231" s="0" t="n">
        <v>13</v>
      </c>
      <c r="D3231" s="0" t="n">
        <f aca="false">-1+A3231*0.125</f>
        <v>0.375</v>
      </c>
      <c r="E3231" s="0" t="n">
        <f aca="false">-1+B3231*0.125</f>
        <v>-0.75</v>
      </c>
      <c r="F3231" s="0" t="n">
        <f aca="false">-1+C3231*0.125</f>
        <v>0.625</v>
      </c>
      <c r="G3231" s="0" t="n">
        <f aca="false">1</f>
        <v>1</v>
      </c>
      <c r="H3231" s="0" t="n">
        <f aca="false">D3231</f>
        <v>0.375</v>
      </c>
      <c r="I3231" s="0" t="n">
        <f aca="false">E3231</f>
        <v>-0.75</v>
      </c>
      <c r="J3231" s="0" t="n">
        <f aca="false">F3231</f>
        <v>0.625</v>
      </c>
      <c r="K3231" s="0" t="n">
        <f aca="false">D3231*E3231</f>
        <v>-0.28125</v>
      </c>
      <c r="L3231" s="0" t="n">
        <f aca="false">D3231*F3231</f>
        <v>0.234375</v>
      </c>
      <c r="M3231" s="0" t="n">
        <f aca="false">E3231*F3231</f>
        <v>-0.46875</v>
      </c>
      <c r="N3231" s="0" t="n">
        <f aca="false">D3231*D3231</f>
        <v>0.140625</v>
      </c>
      <c r="O3231" s="0" t="n">
        <f aca="false">E3231*E3231</f>
        <v>0.5625</v>
      </c>
      <c r="P3231" s="0" t="n">
        <f aca="false">F3231*F3231</f>
        <v>0.390625</v>
      </c>
      <c r="Q3231" s="0" t="n">
        <f aca="false">SUMPRODUCT(G3231:P3231,_XtX!$B$71:$K$71)</f>
        <v>46.1342045454546</v>
      </c>
      <c r="R3231" s="0" t="n">
        <f aca="false">SUMPRODUCT(MMULT(G3231:P3231,_XtX!$B$58:$K$67),G3231:P3231)</f>
        <v>0.25359940962358</v>
      </c>
      <c r="S3231" s="0" t="n">
        <f aca="false">04_回帰ANOVA!$K$19*04_回帰ANOVA!$K$14*SQRT(1+R3231)</f>
        <v>1.04098872464599</v>
      </c>
      <c r="T3231" s="0" t="n">
        <f aca="false">Q3231-S3231</f>
        <v>45.0932158208086</v>
      </c>
      <c r="U3231" s="0" t="n">
        <f aca="false">Q3231+S3231</f>
        <v>47.1751932701005</v>
      </c>
      <c r="V3231" s="54" t="b">
        <f aca="false">AND(D3231&gt;=01_因子設定!$L$5-0.000000001,D3231&lt;=01_因子設定!$M$5+0.000000001,E3231&gt;=01_因子設定!$L$6-0.000000001,E3231&lt;=01_因子設定!$M$6+0.000000001,F3231&gt;=01_因子設定!$L$7-0.000000001,F3231&lt;=01_因子設定!$M$7+0.000000001,IF(01_因子設定!$B$20="Box-Behnken",D3231^2+E3231^2+F3231^2&lt;=2+0.000000001,TRUE()))</f>
        <v>1</v>
      </c>
      <c r="W3231" s="55" t="n">
        <f aca="false">IF(V3231,IF(01_因子設定!$B$13="最大化",T3231-01_因子設定!$B$14,IF(01_因子設定!$B$13="最小化",01_因子設定!$B$15-U3231,MIN(T3231-01_因子設定!$B$14,01_因子設定!$B$15-U3231))),-1E+030)</f>
        <v>-3.40678417919143</v>
      </c>
      <c r="X3231" s="55" t="n">
        <f aca="false">IF(V3231,IF(01_因子設定!$B$13="最大化",Q3231,IF(01_因子設定!$B$13="最小化",-Q3231,-ABS(Q3231-01_因子設定!$B$16))),-1E+030)</f>
        <v>46.1342045454546</v>
      </c>
      <c r="Y3231" s="55" t="n">
        <f aca="false">W3231+ROW()*0.000000001</f>
        <v>-3.40678094819143</v>
      </c>
      <c r="Z3231" s="55" t="n">
        <f aca="false">X3231+ROW()*0.000000001</f>
        <v>46.1342077764546</v>
      </c>
    </row>
    <row r="3232" customFormat="false" ht="15" hidden="false" customHeight="false" outlineLevel="0" collapsed="false">
      <c r="A3232" s="0" t="n">
        <v>11</v>
      </c>
      <c r="B3232" s="0" t="n">
        <v>2</v>
      </c>
      <c r="C3232" s="0" t="n">
        <v>14</v>
      </c>
      <c r="D3232" s="0" t="n">
        <f aca="false">-1+A3232*0.125</f>
        <v>0.375</v>
      </c>
      <c r="E3232" s="0" t="n">
        <f aca="false">-1+B3232*0.125</f>
        <v>-0.75</v>
      </c>
      <c r="F3232" s="0" t="n">
        <f aca="false">-1+C3232*0.125</f>
        <v>0.75</v>
      </c>
      <c r="G3232" s="0" t="n">
        <f aca="false">1</f>
        <v>1</v>
      </c>
      <c r="H3232" s="0" t="n">
        <f aca="false">D3232</f>
        <v>0.375</v>
      </c>
      <c r="I3232" s="0" t="n">
        <f aca="false">E3232</f>
        <v>-0.75</v>
      </c>
      <c r="J3232" s="0" t="n">
        <f aca="false">F3232</f>
        <v>0.75</v>
      </c>
      <c r="K3232" s="0" t="n">
        <f aca="false">D3232*E3232</f>
        <v>-0.28125</v>
      </c>
      <c r="L3232" s="0" t="n">
        <f aca="false">D3232*F3232</f>
        <v>0.28125</v>
      </c>
      <c r="M3232" s="0" t="n">
        <f aca="false">E3232*F3232</f>
        <v>-0.5625</v>
      </c>
      <c r="N3232" s="0" t="n">
        <f aca="false">D3232*D3232</f>
        <v>0.140625</v>
      </c>
      <c r="O3232" s="0" t="n">
        <f aca="false">E3232*E3232</f>
        <v>0.5625</v>
      </c>
      <c r="P3232" s="0" t="n">
        <f aca="false">F3232*F3232</f>
        <v>0.5625</v>
      </c>
      <c r="Q3232" s="0" t="n">
        <f aca="false">SUMPRODUCT(G3232:P3232,_XtX!$B$71:$K$71)</f>
        <v>46.0551420454546</v>
      </c>
      <c r="R3232" s="0" t="n">
        <f aca="false">SUMPRODUCT(MMULT(G3232:P3232,_XtX!$B$58:$K$67),G3232:P3232)</f>
        <v>0.296879438920455</v>
      </c>
      <c r="S3232" s="0" t="n">
        <f aca="false">04_回帰ANOVA!$K$19*04_回帰ANOVA!$K$14*SQRT(1+R3232)</f>
        <v>1.05880610927316</v>
      </c>
      <c r="T3232" s="0" t="n">
        <f aca="false">Q3232-S3232</f>
        <v>44.9963359361814</v>
      </c>
      <c r="U3232" s="0" t="n">
        <f aca="false">Q3232+S3232</f>
        <v>47.1139481547277</v>
      </c>
      <c r="V3232" s="54" t="b">
        <f aca="false">AND(D3232&gt;=01_因子設定!$L$5-0.000000001,D3232&lt;=01_因子設定!$M$5+0.000000001,E3232&gt;=01_因子設定!$L$6-0.000000001,E3232&lt;=01_因子設定!$M$6+0.000000001,F3232&gt;=01_因子設定!$L$7-0.000000001,F3232&lt;=01_因子設定!$M$7+0.000000001,IF(01_因子設定!$B$20="Box-Behnken",D3232^2+E3232^2+F3232^2&lt;=2+0.000000001,TRUE()))</f>
        <v>1</v>
      </c>
      <c r="W3232" s="55" t="n">
        <f aca="false">IF(V3232,IF(01_因子設定!$B$13="最大化",T3232-01_因子設定!$B$14,IF(01_因子設定!$B$13="最小化",01_因子設定!$B$15-U3232,MIN(T3232-01_因子設定!$B$14,01_因子設定!$B$15-U3232))),-1E+030)</f>
        <v>-3.5036640638186</v>
      </c>
      <c r="X3232" s="55" t="n">
        <f aca="false">IF(V3232,IF(01_因子設定!$B$13="最大化",Q3232,IF(01_因子設定!$B$13="最小化",-Q3232,-ABS(Q3232-01_因子設定!$B$16))),-1E+030)</f>
        <v>46.0551420454546</v>
      </c>
      <c r="Y3232" s="55" t="n">
        <f aca="false">W3232+ROW()*0.000000001</f>
        <v>-3.5036608318186</v>
      </c>
      <c r="Z3232" s="55" t="n">
        <f aca="false">X3232+ROW()*0.000000001</f>
        <v>46.0551452774546</v>
      </c>
    </row>
    <row r="3233" customFormat="false" ht="15" hidden="false" customHeight="false" outlineLevel="0" collapsed="false">
      <c r="A3233" s="0" t="n">
        <v>11</v>
      </c>
      <c r="B3233" s="0" t="n">
        <v>2</v>
      </c>
      <c r="C3233" s="0" t="n">
        <v>15</v>
      </c>
      <c r="D3233" s="0" t="n">
        <f aca="false">-1+A3233*0.125</f>
        <v>0.375</v>
      </c>
      <c r="E3233" s="0" t="n">
        <f aca="false">-1+B3233*0.125</f>
        <v>-0.75</v>
      </c>
      <c r="F3233" s="0" t="n">
        <f aca="false">-1+C3233*0.125</f>
        <v>0.875</v>
      </c>
      <c r="G3233" s="0" t="n">
        <f aca="false">1</f>
        <v>1</v>
      </c>
      <c r="H3233" s="0" t="n">
        <f aca="false">D3233</f>
        <v>0.375</v>
      </c>
      <c r="I3233" s="0" t="n">
        <f aca="false">E3233</f>
        <v>-0.75</v>
      </c>
      <c r="J3233" s="0" t="n">
        <f aca="false">F3233</f>
        <v>0.875</v>
      </c>
      <c r="K3233" s="0" t="n">
        <f aca="false">D3233*E3233</f>
        <v>-0.28125</v>
      </c>
      <c r="L3233" s="0" t="n">
        <f aca="false">D3233*F3233</f>
        <v>0.328125</v>
      </c>
      <c r="M3233" s="0" t="n">
        <f aca="false">E3233*F3233</f>
        <v>-0.65625</v>
      </c>
      <c r="N3233" s="0" t="n">
        <f aca="false">D3233*D3233</f>
        <v>0.140625</v>
      </c>
      <c r="O3233" s="0" t="n">
        <f aca="false">E3233*E3233</f>
        <v>0.5625</v>
      </c>
      <c r="P3233" s="0" t="n">
        <f aca="false">F3233*F3233</f>
        <v>0.765625</v>
      </c>
      <c r="Q3233" s="0" t="n">
        <f aca="false">SUMPRODUCT(G3233:P3233,_XtX!$B$71:$K$71)</f>
        <v>45.9392897727273</v>
      </c>
      <c r="R3233" s="0" t="n">
        <f aca="false">SUMPRODUCT(MMULT(G3233:P3233,_XtX!$B$58:$K$67),G3233:P3233)</f>
        <v>0.375727428089489</v>
      </c>
      <c r="S3233" s="0" t="n">
        <f aca="false">04_回帰ANOVA!$K$19*04_回帰ANOVA!$K$14*SQRT(1+R3233)</f>
        <v>1.09051798904087</v>
      </c>
      <c r="T3233" s="0" t="n">
        <f aca="false">Q3233-S3233</f>
        <v>44.8487717836864</v>
      </c>
      <c r="U3233" s="0" t="n">
        <f aca="false">Q3233+S3233</f>
        <v>47.0298077617682</v>
      </c>
      <c r="V3233" s="54" t="b">
        <f aca="false">AND(D3233&gt;=01_因子設定!$L$5-0.000000001,D3233&lt;=01_因子設定!$M$5+0.000000001,E3233&gt;=01_因子設定!$L$6-0.000000001,E3233&lt;=01_因子設定!$M$6+0.000000001,F3233&gt;=01_因子設定!$L$7-0.000000001,F3233&lt;=01_因子設定!$M$7+0.000000001,IF(01_因子設定!$B$20="Box-Behnken",D3233^2+E3233^2+F3233^2&lt;=2+0.000000001,TRUE()))</f>
        <v>1</v>
      </c>
      <c r="W3233" s="55" t="n">
        <f aca="false">IF(V3233,IF(01_因子設定!$B$13="最大化",T3233-01_因子設定!$B$14,IF(01_因子設定!$B$13="最小化",01_因子設定!$B$15-U3233,MIN(T3233-01_因子設定!$B$14,01_因子設定!$B$15-U3233))),-1E+030)</f>
        <v>-3.65122821631358</v>
      </c>
      <c r="X3233" s="55" t="n">
        <f aca="false">IF(V3233,IF(01_因子設定!$B$13="最大化",Q3233,IF(01_因子設定!$B$13="最小化",-Q3233,-ABS(Q3233-01_因子設定!$B$16))),-1E+030)</f>
        <v>45.9392897727273</v>
      </c>
      <c r="Y3233" s="55" t="n">
        <f aca="false">W3233+ROW()*0.000000001</f>
        <v>-3.65122498331358</v>
      </c>
      <c r="Z3233" s="55" t="n">
        <f aca="false">X3233+ROW()*0.000000001</f>
        <v>45.9392930057273</v>
      </c>
    </row>
    <row r="3234" customFormat="false" ht="15" hidden="false" customHeight="false" outlineLevel="0" collapsed="false">
      <c r="A3234" s="0" t="n">
        <v>11</v>
      </c>
      <c r="B3234" s="0" t="n">
        <v>2</v>
      </c>
      <c r="C3234" s="0" t="n">
        <v>16</v>
      </c>
      <c r="D3234" s="0" t="n">
        <f aca="false">-1+A3234*0.125</f>
        <v>0.375</v>
      </c>
      <c r="E3234" s="0" t="n">
        <f aca="false">-1+B3234*0.125</f>
        <v>-0.75</v>
      </c>
      <c r="F3234" s="0" t="n">
        <f aca="false">-1+C3234*0.125</f>
        <v>1</v>
      </c>
      <c r="G3234" s="0" t="n">
        <f aca="false">1</f>
        <v>1</v>
      </c>
      <c r="H3234" s="0" t="n">
        <f aca="false">D3234</f>
        <v>0.375</v>
      </c>
      <c r="I3234" s="0" t="n">
        <f aca="false">E3234</f>
        <v>-0.75</v>
      </c>
      <c r="J3234" s="0" t="n">
        <f aca="false">F3234</f>
        <v>1</v>
      </c>
      <c r="K3234" s="0" t="n">
        <f aca="false">D3234*E3234</f>
        <v>-0.28125</v>
      </c>
      <c r="L3234" s="0" t="n">
        <f aca="false">D3234*F3234</f>
        <v>0.375</v>
      </c>
      <c r="M3234" s="0" t="n">
        <f aca="false">E3234*F3234</f>
        <v>-0.75</v>
      </c>
      <c r="N3234" s="0" t="n">
        <f aca="false">D3234*D3234</f>
        <v>0.140625</v>
      </c>
      <c r="O3234" s="0" t="n">
        <f aca="false">E3234*E3234</f>
        <v>0.5625</v>
      </c>
      <c r="P3234" s="0" t="n">
        <f aca="false">F3234*F3234</f>
        <v>1</v>
      </c>
      <c r="Q3234" s="0" t="n">
        <f aca="false">SUMPRODUCT(G3234:P3234,_XtX!$B$71:$K$71)</f>
        <v>45.7866477272728</v>
      </c>
      <c r="R3234" s="0" t="n">
        <f aca="false">SUMPRODUCT(MMULT(G3234:P3234,_XtX!$B$58:$K$67),G3234:P3234)</f>
        <v>0.503992808948864</v>
      </c>
      <c r="S3234" s="0" t="n">
        <f aca="false">04_回帰ANOVA!$K$19*04_回帰ANOVA!$K$14*SQRT(1+R3234)</f>
        <v>1.14022226176226</v>
      </c>
      <c r="T3234" s="0" t="n">
        <f aca="false">Q3234-S3234</f>
        <v>44.6464254655105</v>
      </c>
      <c r="U3234" s="0" t="n">
        <f aca="false">Q3234+S3234</f>
        <v>46.926869989035</v>
      </c>
      <c r="V3234" s="54" t="b">
        <f aca="false">AND(D3234&gt;=01_因子設定!$L$5-0.000000001,D3234&lt;=01_因子設定!$M$5+0.000000001,E3234&gt;=01_因子設定!$L$6-0.000000001,E3234&lt;=01_因子設定!$M$6+0.000000001,F3234&gt;=01_因子設定!$L$7-0.000000001,F3234&lt;=01_因子設定!$M$7+0.000000001,IF(01_因子設定!$B$20="Box-Behnken",D3234^2+E3234^2+F3234^2&lt;=2+0.000000001,TRUE()))</f>
        <v>1</v>
      </c>
      <c r="W3234" s="55" t="n">
        <f aca="false">IF(V3234,IF(01_因子設定!$B$13="最大化",T3234-01_因子設定!$B$14,IF(01_因子設定!$B$13="最小化",01_因子設定!$B$15-U3234,MIN(T3234-01_因子設定!$B$14,01_因子設定!$B$15-U3234))),-1E+030)</f>
        <v>-3.8535745344895</v>
      </c>
      <c r="X3234" s="55" t="n">
        <f aca="false">IF(V3234,IF(01_因子設定!$B$13="最大化",Q3234,IF(01_因子設定!$B$13="最小化",-Q3234,-ABS(Q3234-01_因子設定!$B$16))),-1E+030)</f>
        <v>45.7866477272728</v>
      </c>
      <c r="Y3234" s="55" t="n">
        <f aca="false">W3234+ROW()*0.000000001</f>
        <v>-3.8535713004895</v>
      </c>
      <c r="Z3234" s="55" t="n">
        <f aca="false">X3234+ROW()*0.000000001</f>
        <v>45.7866509612728</v>
      </c>
    </row>
    <row r="3235" customFormat="false" ht="15" hidden="false" customHeight="false" outlineLevel="0" collapsed="false">
      <c r="A3235" s="0" t="n">
        <v>11</v>
      </c>
      <c r="B3235" s="0" t="n">
        <v>3</v>
      </c>
      <c r="C3235" s="0" t="n">
        <v>0</v>
      </c>
      <c r="D3235" s="0" t="n">
        <f aca="false">-1+A3235*0.125</f>
        <v>0.375</v>
      </c>
      <c r="E3235" s="0" t="n">
        <f aca="false">-1+B3235*0.125</f>
        <v>-0.625</v>
      </c>
      <c r="F3235" s="0" t="n">
        <f aca="false">-1+C3235*0.125</f>
        <v>-1</v>
      </c>
      <c r="G3235" s="0" t="n">
        <f aca="false">1</f>
        <v>1</v>
      </c>
      <c r="H3235" s="0" t="n">
        <f aca="false">D3235</f>
        <v>0.375</v>
      </c>
      <c r="I3235" s="0" t="n">
        <f aca="false">E3235</f>
        <v>-0.625</v>
      </c>
      <c r="J3235" s="0" t="n">
        <f aca="false">F3235</f>
        <v>-1</v>
      </c>
      <c r="K3235" s="0" t="n">
        <f aca="false">D3235*E3235</f>
        <v>-0.234375</v>
      </c>
      <c r="L3235" s="0" t="n">
        <f aca="false">D3235*F3235</f>
        <v>-0.375</v>
      </c>
      <c r="M3235" s="0" t="n">
        <f aca="false">E3235*F3235</f>
        <v>0.625</v>
      </c>
      <c r="N3235" s="0" t="n">
        <f aca="false">D3235*D3235</f>
        <v>0.140625</v>
      </c>
      <c r="O3235" s="0" t="n">
        <f aca="false">E3235*E3235</f>
        <v>0.390625</v>
      </c>
      <c r="P3235" s="0" t="n">
        <f aca="false">F3235*F3235</f>
        <v>1</v>
      </c>
      <c r="Q3235" s="0" t="n">
        <f aca="false">SUMPRODUCT(G3235:P3235,_XtX!$B$71:$K$71)</f>
        <v>44.4225071022728</v>
      </c>
      <c r="R3235" s="0" t="n">
        <f aca="false">SUMPRODUCT(MMULT(G3235:P3235,_XtX!$B$58:$K$67),G3235:P3235)</f>
        <v>0.471821178089489</v>
      </c>
      <c r="S3235" s="0" t="n">
        <f aca="false">04_回帰ANOVA!$K$19*04_回帰ANOVA!$K$14*SQRT(1+R3235)</f>
        <v>1.12796119746125</v>
      </c>
      <c r="T3235" s="0" t="n">
        <f aca="false">Q3235-S3235</f>
        <v>43.2945459048115</v>
      </c>
      <c r="U3235" s="0" t="n">
        <f aca="false">Q3235+S3235</f>
        <v>45.550468299734</v>
      </c>
      <c r="V3235" s="54" t="b">
        <f aca="false">AND(D3235&gt;=01_因子設定!$L$5-0.000000001,D3235&lt;=01_因子設定!$M$5+0.000000001,E3235&gt;=01_因子設定!$L$6-0.000000001,E3235&lt;=01_因子設定!$M$6+0.000000001,F3235&gt;=01_因子設定!$L$7-0.000000001,F3235&lt;=01_因子設定!$M$7+0.000000001,IF(01_因子設定!$B$20="Box-Behnken",D3235^2+E3235^2+F3235^2&lt;=2+0.000000001,TRUE()))</f>
        <v>1</v>
      </c>
      <c r="W3235" s="55" t="n">
        <f aca="false">IF(V3235,IF(01_因子設定!$B$13="最大化",T3235-01_因子設定!$B$14,IF(01_因子設定!$B$13="最小化",01_因子設定!$B$15-U3235,MIN(T3235-01_因子設定!$B$14,01_因子設定!$B$15-U3235))),-1E+030)</f>
        <v>-5.2054540951885</v>
      </c>
      <c r="X3235" s="55" t="n">
        <f aca="false">IF(V3235,IF(01_因子設定!$B$13="最大化",Q3235,IF(01_因子設定!$B$13="最小化",-Q3235,-ABS(Q3235-01_因子設定!$B$16))),-1E+030)</f>
        <v>44.4225071022728</v>
      </c>
      <c r="Y3235" s="55" t="n">
        <f aca="false">W3235+ROW()*0.000000001</f>
        <v>-5.2054508601885</v>
      </c>
      <c r="Z3235" s="55" t="n">
        <f aca="false">X3235+ROW()*0.000000001</f>
        <v>44.4225103372728</v>
      </c>
    </row>
    <row r="3236" customFormat="false" ht="15" hidden="false" customHeight="false" outlineLevel="0" collapsed="false">
      <c r="A3236" s="0" t="n">
        <v>11</v>
      </c>
      <c r="B3236" s="0" t="n">
        <v>3</v>
      </c>
      <c r="C3236" s="0" t="n">
        <v>1</v>
      </c>
      <c r="D3236" s="0" t="n">
        <f aca="false">-1+A3236*0.125</f>
        <v>0.375</v>
      </c>
      <c r="E3236" s="0" t="n">
        <f aca="false">-1+B3236*0.125</f>
        <v>-0.625</v>
      </c>
      <c r="F3236" s="0" t="n">
        <f aca="false">-1+C3236*0.125</f>
        <v>-0.875</v>
      </c>
      <c r="G3236" s="0" t="n">
        <f aca="false">1</f>
        <v>1</v>
      </c>
      <c r="H3236" s="0" t="n">
        <f aca="false">D3236</f>
        <v>0.375</v>
      </c>
      <c r="I3236" s="0" t="n">
        <f aca="false">E3236</f>
        <v>-0.625</v>
      </c>
      <c r="J3236" s="0" t="n">
        <f aca="false">F3236</f>
        <v>-0.875</v>
      </c>
      <c r="K3236" s="0" t="n">
        <f aca="false">D3236*E3236</f>
        <v>-0.234375</v>
      </c>
      <c r="L3236" s="0" t="n">
        <f aca="false">D3236*F3236</f>
        <v>-0.328125</v>
      </c>
      <c r="M3236" s="0" t="n">
        <f aca="false">E3236*F3236</f>
        <v>0.546875</v>
      </c>
      <c r="N3236" s="0" t="n">
        <f aca="false">D3236*D3236</f>
        <v>0.140625</v>
      </c>
      <c r="O3236" s="0" t="n">
        <f aca="false">E3236*E3236</f>
        <v>0.390625</v>
      </c>
      <c r="P3236" s="0" t="n">
        <f aca="false">F3236*F3236</f>
        <v>0.765625</v>
      </c>
      <c r="Q3236" s="0" t="n">
        <f aca="false">SUMPRODUCT(G3236:P3236,_XtX!$B$71:$K$71)</f>
        <v>44.8287428977273</v>
      </c>
      <c r="R3236" s="0" t="n">
        <f aca="false">SUMPRODUCT(MMULT(G3236:P3236,_XtX!$B$58:$K$67),G3236:P3236)</f>
        <v>0.337604869495739</v>
      </c>
      <c r="S3236" s="0" t="n">
        <f aca="false">04_回帰ANOVA!$K$19*04_回帰ANOVA!$K$14*SQRT(1+R3236)</f>
        <v>1.07530225516193</v>
      </c>
      <c r="T3236" s="0" t="n">
        <f aca="false">Q3236-S3236</f>
        <v>43.7534406425654</v>
      </c>
      <c r="U3236" s="0" t="n">
        <f aca="false">Q3236+S3236</f>
        <v>45.9040451528892</v>
      </c>
      <c r="V3236" s="54" t="b">
        <f aca="false">AND(D3236&gt;=01_因子設定!$L$5-0.000000001,D3236&lt;=01_因子設定!$M$5+0.000000001,E3236&gt;=01_因子設定!$L$6-0.000000001,E3236&lt;=01_因子設定!$M$6+0.000000001,F3236&gt;=01_因子設定!$L$7-0.000000001,F3236&lt;=01_因子設定!$M$7+0.000000001,IF(01_因子設定!$B$20="Box-Behnken",D3236^2+E3236^2+F3236^2&lt;=2+0.000000001,TRUE()))</f>
        <v>1</v>
      </c>
      <c r="W3236" s="55" t="n">
        <f aca="false">IF(V3236,IF(01_因子設定!$B$13="最大化",T3236-01_因子設定!$B$14,IF(01_因子設定!$B$13="最小化",01_因子設定!$B$15-U3236,MIN(T3236-01_因子設定!$B$14,01_因子設定!$B$15-U3236))),-1E+030)</f>
        <v>-4.74655935743463</v>
      </c>
      <c r="X3236" s="55" t="n">
        <f aca="false">IF(V3236,IF(01_因子設定!$B$13="最大化",Q3236,IF(01_因子設定!$B$13="最小化",-Q3236,-ABS(Q3236-01_因子設定!$B$16))),-1E+030)</f>
        <v>44.8287428977273</v>
      </c>
      <c r="Y3236" s="55" t="n">
        <f aca="false">W3236+ROW()*0.000000001</f>
        <v>-4.74655612143463</v>
      </c>
      <c r="Z3236" s="55" t="n">
        <f aca="false">X3236+ROW()*0.000000001</f>
        <v>44.8287461337273</v>
      </c>
    </row>
    <row r="3237" customFormat="false" ht="15" hidden="false" customHeight="false" outlineLevel="0" collapsed="false">
      <c r="A3237" s="0" t="n">
        <v>11</v>
      </c>
      <c r="B3237" s="0" t="n">
        <v>3</v>
      </c>
      <c r="C3237" s="0" t="n">
        <v>2</v>
      </c>
      <c r="D3237" s="0" t="n">
        <f aca="false">-1+A3237*0.125</f>
        <v>0.375</v>
      </c>
      <c r="E3237" s="0" t="n">
        <f aca="false">-1+B3237*0.125</f>
        <v>-0.625</v>
      </c>
      <c r="F3237" s="0" t="n">
        <f aca="false">-1+C3237*0.125</f>
        <v>-0.75</v>
      </c>
      <c r="G3237" s="0" t="n">
        <f aca="false">1</f>
        <v>1</v>
      </c>
      <c r="H3237" s="0" t="n">
        <f aca="false">D3237</f>
        <v>0.375</v>
      </c>
      <c r="I3237" s="0" t="n">
        <f aca="false">E3237</f>
        <v>-0.625</v>
      </c>
      <c r="J3237" s="0" t="n">
        <f aca="false">F3237</f>
        <v>-0.75</v>
      </c>
      <c r="K3237" s="0" t="n">
        <f aca="false">D3237*E3237</f>
        <v>-0.234375</v>
      </c>
      <c r="L3237" s="0" t="n">
        <f aca="false">D3237*F3237</f>
        <v>-0.28125</v>
      </c>
      <c r="M3237" s="0" t="n">
        <f aca="false">E3237*F3237</f>
        <v>0.46875</v>
      </c>
      <c r="N3237" s="0" t="n">
        <f aca="false">D3237*D3237</f>
        <v>0.140625</v>
      </c>
      <c r="O3237" s="0" t="n">
        <f aca="false">E3237*E3237</f>
        <v>0.390625</v>
      </c>
      <c r="P3237" s="0" t="n">
        <f aca="false">F3237*F3237</f>
        <v>0.5625</v>
      </c>
      <c r="Q3237" s="0" t="n">
        <f aca="false">SUMPRODUCT(G3237:P3237,_XtX!$B$71:$K$71)</f>
        <v>45.1981889204546</v>
      </c>
      <c r="R3237" s="0" t="n">
        <f aca="false">SUMPRODUCT(MMULT(G3237:P3237,_XtX!$B$58:$K$67),G3237:P3237)</f>
        <v>0.25359940962358</v>
      </c>
      <c r="S3237" s="0" t="n">
        <f aca="false">04_回帰ANOVA!$K$19*04_回帰ANOVA!$K$14*SQRT(1+R3237)</f>
        <v>1.04098872464599</v>
      </c>
      <c r="T3237" s="0" t="n">
        <f aca="false">Q3237-S3237</f>
        <v>44.1572001958086</v>
      </c>
      <c r="U3237" s="0" t="n">
        <f aca="false">Q3237+S3237</f>
        <v>46.2391776451006</v>
      </c>
      <c r="V3237" s="54" t="b">
        <f aca="false">AND(D3237&gt;=01_因子設定!$L$5-0.000000001,D3237&lt;=01_因子設定!$M$5+0.000000001,E3237&gt;=01_因子設定!$L$6-0.000000001,E3237&lt;=01_因子設定!$M$6+0.000000001,F3237&gt;=01_因子設定!$L$7-0.000000001,F3237&lt;=01_因子設定!$M$7+0.000000001,IF(01_因子設定!$B$20="Box-Behnken",D3237^2+E3237^2+F3237^2&lt;=2+0.000000001,TRUE()))</f>
        <v>1</v>
      </c>
      <c r="W3237" s="55" t="n">
        <f aca="false">IF(V3237,IF(01_因子設定!$B$13="最大化",T3237-01_因子設定!$B$14,IF(01_因子設定!$B$13="最小化",01_因子設定!$B$15-U3237,MIN(T3237-01_因子設定!$B$14,01_因子設定!$B$15-U3237))),-1E+030)</f>
        <v>-4.34279980419142</v>
      </c>
      <c r="X3237" s="55" t="n">
        <f aca="false">IF(V3237,IF(01_因子設定!$B$13="最大化",Q3237,IF(01_因子設定!$B$13="最小化",-Q3237,-ABS(Q3237-01_因子設定!$B$16))),-1E+030)</f>
        <v>45.1981889204546</v>
      </c>
      <c r="Y3237" s="55" t="n">
        <f aca="false">W3237+ROW()*0.000000001</f>
        <v>-4.34279656719142</v>
      </c>
      <c r="Z3237" s="55" t="n">
        <f aca="false">X3237+ROW()*0.000000001</f>
        <v>45.1981921574546</v>
      </c>
    </row>
    <row r="3238" customFormat="false" ht="15" hidden="false" customHeight="false" outlineLevel="0" collapsed="false">
      <c r="A3238" s="0" t="n">
        <v>11</v>
      </c>
      <c r="B3238" s="0" t="n">
        <v>3</v>
      </c>
      <c r="C3238" s="0" t="n">
        <v>3</v>
      </c>
      <c r="D3238" s="0" t="n">
        <f aca="false">-1+A3238*0.125</f>
        <v>0.375</v>
      </c>
      <c r="E3238" s="0" t="n">
        <f aca="false">-1+B3238*0.125</f>
        <v>-0.625</v>
      </c>
      <c r="F3238" s="0" t="n">
        <f aca="false">-1+C3238*0.125</f>
        <v>-0.625</v>
      </c>
      <c r="G3238" s="0" t="n">
        <f aca="false">1</f>
        <v>1</v>
      </c>
      <c r="H3238" s="0" t="n">
        <f aca="false">D3238</f>
        <v>0.375</v>
      </c>
      <c r="I3238" s="0" t="n">
        <f aca="false">E3238</f>
        <v>-0.625</v>
      </c>
      <c r="J3238" s="0" t="n">
        <f aca="false">F3238</f>
        <v>-0.625</v>
      </c>
      <c r="K3238" s="0" t="n">
        <f aca="false">D3238*E3238</f>
        <v>-0.234375</v>
      </c>
      <c r="L3238" s="0" t="n">
        <f aca="false">D3238*F3238</f>
        <v>-0.234375</v>
      </c>
      <c r="M3238" s="0" t="n">
        <f aca="false">E3238*F3238</f>
        <v>0.390625</v>
      </c>
      <c r="N3238" s="0" t="n">
        <f aca="false">D3238*D3238</f>
        <v>0.140625</v>
      </c>
      <c r="O3238" s="0" t="n">
        <f aca="false">E3238*E3238</f>
        <v>0.390625</v>
      </c>
      <c r="P3238" s="0" t="n">
        <f aca="false">F3238*F3238</f>
        <v>0.390625</v>
      </c>
      <c r="Q3238" s="0" t="n">
        <f aca="false">SUMPRODUCT(G3238:P3238,_XtX!$B$71:$K$71)</f>
        <v>45.5308451704546</v>
      </c>
      <c r="R3238" s="0" t="n">
        <f aca="false">SUMPRODUCT(MMULT(G3238:P3238,_XtX!$B$58:$K$67),G3238:P3238)</f>
        <v>0.20595536665483</v>
      </c>
      <c r="S3238" s="0" t="n">
        <f aca="false">04_回帰ANOVA!$K$19*04_回帰ANOVA!$K$14*SQRT(1+R3238)</f>
        <v>1.02101530762963</v>
      </c>
      <c r="T3238" s="0" t="n">
        <f aca="false">Q3238-S3238</f>
        <v>44.5098298628249</v>
      </c>
      <c r="U3238" s="0" t="n">
        <f aca="false">Q3238+S3238</f>
        <v>46.5518604780842</v>
      </c>
      <c r="V3238" s="54" t="b">
        <f aca="false">AND(D3238&gt;=01_因子設定!$L$5-0.000000001,D3238&lt;=01_因子設定!$M$5+0.000000001,E3238&gt;=01_因子設定!$L$6-0.000000001,E3238&lt;=01_因子設定!$M$6+0.000000001,F3238&gt;=01_因子設定!$L$7-0.000000001,F3238&lt;=01_因子設定!$M$7+0.000000001,IF(01_因子設定!$B$20="Box-Behnken",D3238^2+E3238^2+F3238^2&lt;=2+0.000000001,TRUE()))</f>
        <v>1</v>
      </c>
      <c r="W3238" s="55" t="n">
        <f aca="false">IF(V3238,IF(01_因子設定!$B$13="最大化",T3238-01_因子設定!$B$14,IF(01_因子設定!$B$13="最小化",01_因子設定!$B$15-U3238,MIN(T3238-01_因子設定!$B$14,01_因子設定!$B$15-U3238))),-1E+030)</f>
        <v>-3.99017013717506</v>
      </c>
      <c r="X3238" s="55" t="n">
        <f aca="false">IF(V3238,IF(01_因子設定!$B$13="最大化",Q3238,IF(01_因子設定!$B$13="最小化",-Q3238,-ABS(Q3238-01_因子設定!$B$16))),-1E+030)</f>
        <v>45.5308451704546</v>
      </c>
      <c r="Y3238" s="55" t="n">
        <f aca="false">W3238+ROW()*0.000000001</f>
        <v>-3.99016689917506</v>
      </c>
      <c r="Z3238" s="55" t="n">
        <f aca="false">X3238+ROW()*0.000000001</f>
        <v>45.5308484084546</v>
      </c>
    </row>
    <row r="3239" customFormat="false" ht="15" hidden="false" customHeight="false" outlineLevel="0" collapsed="false">
      <c r="A3239" s="0" t="n">
        <v>11</v>
      </c>
      <c r="B3239" s="0" t="n">
        <v>3</v>
      </c>
      <c r="C3239" s="0" t="n">
        <v>4</v>
      </c>
      <c r="D3239" s="0" t="n">
        <f aca="false">-1+A3239*0.125</f>
        <v>0.375</v>
      </c>
      <c r="E3239" s="0" t="n">
        <f aca="false">-1+B3239*0.125</f>
        <v>-0.625</v>
      </c>
      <c r="F3239" s="0" t="n">
        <f aca="false">-1+C3239*0.125</f>
        <v>-0.5</v>
      </c>
      <c r="G3239" s="0" t="n">
        <f aca="false">1</f>
        <v>1</v>
      </c>
      <c r="H3239" s="0" t="n">
        <f aca="false">D3239</f>
        <v>0.375</v>
      </c>
      <c r="I3239" s="0" t="n">
        <f aca="false">E3239</f>
        <v>-0.625</v>
      </c>
      <c r="J3239" s="0" t="n">
        <f aca="false">F3239</f>
        <v>-0.5</v>
      </c>
      <c r="K3239" s="0" t="n">
        <f aca="false">D3239*E3239</f>
        <v>-0.234375</v>
      </c>
      <c r="L3239" s="0" t="n">
        <f aca="false">D3239*F3239</f>
        <v>-0.1875</v>
      </c>
      <c r="M3239" s="0" t="n">
        <f aca="false">E3239*F3239</f>
        <v>0.3125</v>
      </c>
      <c r="N3239" s="0" t="n">
        <f aca="false">D3239*D3239</f>
        <v>0.140625</v>
      </c>
      <c r="O3239" s="0" t="n">
        <f aca="false">E3239*E3239</f>
        <v>0.390625</v>
      </c>
      <c r="P3239" s="0" t="n">
        <f aca="false">F3239*F3239</f>
        <v>0.25</v>
      </c>
      <c r="Q3239" s="0" t="n">
        <f aca="false">SUMPRODUCT(G3239:P3239,_XtX!$B$71:$K$71)</f>
        <v>45.8267116477273</v>
      </c>
      <c r="R3239" s="0" t="n">
        <f aca="false">SUMPRODUCT(MMULT(G3239:P3239,_XtX!$B$58:$K$67),G3239:P3239)</f>
        <v>0.182953990589489</v>
      </c>
      <c r="S3239" s="0" t="n">
        <f aca="false">04_回帰ANOVA!$K$19*04_回帰ANOVA!$K$14*SQRT(1+R3239)</f>
        <v>1.01123143807044</v>
      </c>
      <c r="T3239" s="0" t="n">
        <f aca="false">Q3239-S3239</f>
        <v>44.8154802096569</v>
      </c>
      <c r="U3239" s="0" t="n">
        <f aca="false">Q3239+S3239</f>
        <v>46.8379430857977</v>
      </c>
      <c r="V3239" s="54" t="b">
        <f aca="false">AND(D3239&gt;=01_因子設定!$L$5-0.000000001,D3239&lt;=01_因子設定!$M$5+0.000000001,E3239&gt;=01_因子設定!$L$6-0.000000001,E3239&lt;=01_因子設定!$M$6+0.000000001,F3239&gt;=01_因子設定!$L$7-0.000000001,F3239&lt;=01_因子設定!$M$7+0.000000001,IF(01_因子設定!$B$20="Box-Behnken",D3239^2+E3239^2+F3239^2&lt;=2+0.000000001,TRUE()))</f>
        <v>1</v>
      </c>
      <c r="W3239" s="55" t="n">
        <f aca="false">IF(V3239,IF(01_因子設定!$B$13="最大化",T3239-01_因子設定!$B$14,IF(01_因子設定!$B$13="最小化",01_因子設定!$B$15-U3239,MIN(T3239-01_因子設定!$B$14,01_因子設定!$B$15-U3239))),-1E+030)</f>
        <v>-3.68451979034315</v>
      </c>
      <c r="X3239" s="55" t="n">
        <f aca="false">IF(V3239,IF(01_因子設定!$B$13="最大化",Q3239,IF(01_因子設定!$B$13="最小化",-Q3239,-ABS(Q3239-01_因子設定!$B$16))),-1E+030)</f>
        <v>45.8267116477273</v>
      </c>
      <c r="Y3239" s="55" t="n">
        <f aca="false">W3239+ROW()*0.000000001</f>
        <v>-3.68451655134315</v>
      </c>
      <c r="Z3239" s="55" t="n">
        <f aca="false">X3239+ROW()*0.000000001</f>
        <v>45.8267148867273</v>
      </c>
    </row>
    <row r="3240" customFormat="false" ht="15" hidden="false" customHeight="false" outlineLevel="0" collapsed="false">
      <c r="A3240" s="0" t="n">
        <v>11</v>
      </c>
      <c r="B3240" s="0" t="n">
        <v>3</v>
      </c>
      <c r="C3240" s="0" t="n">
        <v>5</v>
      </c>
      <c r="D3240" s="0" t="n">
        <f aca="false">-1+A3240*0.125</f>
        <v>0.375</v>
      </c>
      <c r="E3240" s="0" t="n">
        <f aca="false">-1+B3240*0.125</f>
        <v>-0.625</v>
      </c>
      <c r="F3240" s="0" t="n">
        <f aca="false">-1+C3240*0.125</f>
        <v>-0.375</v>
      </c>
      <c r="G3240" s="0" t="n">
        <f aca="false">1</f>
        <v>1</v>
      </c>
      <c r="H3240" s="0" t="n">
        <f aca="false">D3240</f>
        <v>0.375</v>
      </c>
      <c r="I3240" s="0" t="n">
        <f aca="false">E3240</f>
        <v>-0.625</v>
      </c>
      <c r="J3240" s="0" t="n">
        <f aca="false">F3240</f>
        <v>-0.375</v>
      </c>
      <c r="K3240" s="0" t="n">
        <f aca="false">D3240*E3240</f>
        <v>-0.234375</v>
      </c>
      <c r="L3240" s="0" t="n">
        <f aca="false">D3240*F3240</f>
        <v>-0.140625</v>
      </c>
      <c r="M3240" s="0" t="n">
        <f aca="false">E3240*F3240</f>
        <v>0.234375</v>
      </c>
      <c r="N3240" s="0" t="n">
        <f aca="false">D3240*D3240</f>
        <v>0.140625</v>
      </c>
      <c r="O3240" s="0" t="n">
        <f aca="false">E3240*E3240</f>
        <v>0.390625</v>
      </c>
      <c r="P3240" s="0" t="n">
        <f aca="false">F3240*F3240</f>
        <v>0.140625</v>
      </c>
      <c r="Q3240" s="0" t="n">
        <f aca="false">SUMPRODUCT(G3240:P3240,_XtX!$B$71:$K$71)</f>
        <v>46.0857883522727</v>
      </c>
      <c r="R3240" s="0" t="n">
        <f aca="false">SUMPRODUCT(MMULT(G3240:P3240,_XtX!$B$58:$K$67),G3240:P3240)</f>
        <v>0.175007213245739</v>
      </c>
      <c r="S3240" s="0" t="n">
        <f aca="false">04_回帰ANOVA!$K$19*04_回帰ANOVA!$K$14*SQRT(1+R3240)</f>
        <v>1.0078291195273</v>
      </c>
      <c r="T3240" s="0" t="n">
        <f aca="false">Q3240-S3240</f>
        <v>45.0779592327454</v>
      </c>
      <c r="U3240" s="0" t="n">
        <f aca="false">Q3240+S3240</f>
        <v>47.0936174718</v>
      </c>
      <c r="V3240" s="54" t="b">
        <f aca="false">AND(D3240&gt;=01_因子設定!$L$5-0.000000001,D3240&lt;=01_因子設定!$M$5+0.000000001,E3240&gt;=01_因子設定!$L$6-0.000000001,E3240&lt;=01_因子設定!$M$6+0.000000001,F3240&gt;=01_因子設定!$L$7-0.000000001,F3240&lt;=01_因子設定!$M$7+0.000000001,IF(01_因子設定!$B$20="Box-Behnken",D3240^2+E3240^2+F3240^2&lt;=2+0.000000001,TRUE()))</f>
        <v>1</v>
      </c>
      <c r="W3240" s="55" t="n">
        <f aca="false">IF(V3240,IF(01_因子設定!$B$13="最大化",T3240-01_因子設定!$B$14,IF(01_因子設定!$B$13="最小化",01_因子設定!$B$15-U3240,MIN(T3240-01_因子設定!$B$14,01_因子設定!$B$15-U3240))),-1E+030)</f>
        <v>-3.42204076725456</v>
      </c>
      <c r="X3240" s="55" t="n">
        <f aca="false">IF(V3240,IF(01_因子設定!$B$13="最大化",Q3240,IF(01_因子設定!$B$13="最小化",-Q3240,-ABS(Q3240-01_因子設定!$B$16))),-1E+030)</f>
        <v>46.0857883522727</v>
      </c>
      <c r="Y3240" s="55" t="n">
        <f aca="false">W3240+ROW()*0.000000001</f>
        <v>-3.42203752725457</v>
      </c>
      <c r="Z3240" s="55" t="n">
        <f aca="false">X3240+ROW()*0.000000001</f>
        <v>46.0857915922727</v>
      </c>
    </row>
    <row r="3241" customFormat="false" ht="15" hidden="false" customHeight="false" outlineLevel="0" collapsed="false">
      <c r="A3241" s="0" t="n">
        <v>11</v>
      </c>
      <c r="B3241" s="0" t="n">
        <v>3</v>
      </c>
      <c r="C3241" s="0" t="n">
        <v>6</v>
      </c>
      <c r="D3241" s="0" t="n">
        <f aca="false">-1+A3241*0.125</f>
        <v>0.375</v>
      </c>
      <c r="E3241" s="0" t="n">
        <f aca="false">-1+B3241*0.125</f>
        <v>-0.625</v>
      </c>
      <c r="F3241" s="0" t="n">
        <f aca="false">-1+C3241*0.125</f>
        <v>-0.25</v>
      </c>
      <c r="G3241" s="0" t="n">
        <f aca="false">1</f>
        <v>1</v>
      </c>
      <c r="H3241" s="0" t="n">
        <f aca="false">D3241</f>
        <v>0.375</v>
      </c>
      <c r="I3241" s="0" t="n">
        <f aca="false">E3241</f>
        <v>-0.625</v>
      </c>
      <c r="J3241" s="0" t="n">
        <f aca="false">F3241</f>
        <v>-0.25</v>
      </c>
      <c r="K3241" s="0" t="n">
        <f aca="false">D3241*E3241</f>
        <v>-0.234375</v>
      </c>
      <c r="L3241" s="0" t="n">
        <f aca="false">D3241*F3241</f>
        <v>-0.09375</v>
      </c>
      <c r="M3241" s="0" t="n">
        <f aca="false">E3241*F3241</f>
        <v>0.15625</v>
      </c>
      <c r="N3241" s="0" t="n">
        <f aca="false">D3241*D3241</f>
        <v>0.140625</v>
      </c>
      <c r="O3241" s="0" t="n">
        <f aca="false">E3241*E3241</f>
        <v>0.390625</v>
      </c>
      <c r="P3241" s="0" t="n">
        <f aca="false">F3241*F3241</f>
        <v>0.0625</v>
      </c>
      <c r="Q3241" s="0" t="n">
        <f aca="false">SUMPRODUCT(G3241:P3241,_XtX!$B$71:$K$71)</f>
        <v>46.3080752840909</v>
      </c>
      <c r="R3241" s="0" t="n">
        <f aca="false">SUMPRODUCT(MMULT(G3241:P3241,_XtX!$B$58:$K$67),G3241:P3241)</f>
        <v>0.174657648259943</v>
      </c>
      <c r="S3241" s="0" t="n">
        <f aca="false">04_回帰ANOVA!$K$19*04_回帰ANOVA!$K$14*SQRT(1+R3241)</f>
        <v>1.00767919364845</v>
      </c>
      <c r="T3241" s="0" t="n">
        <f aca="false">Q3241-S3241</f>
        <v>45.3003960904425</v>
      </c>
      <c r="U3241" s="0" t="n">
        <f aca="false">Q3241+S3241</f>
        <v>47.3157544777394</v>
      </c>
      <c r="V3241" s="54" t="b">
        <f aca="false">AND(D3241&gt;=01_因子設定!$L$5-0.000000001,D3241&lt;=01_因子設定!$M$5+0.000000001,E3241&gt;=01_因子設定!$L$6-0.000000001,E3241&lt;=01_因子設定!$M$6+0.000000001,F3241&gt;=01_因子設定!$L$7-0.000000001,F3241&lt;=01_因子設定!$M$7+0.000000001,IF(01_因子設定!$B$20="Box-Behnken",D3241^2+E3241^2+F3241^2&lt;=2+0.000000001,TRUE()))</f>
        <v>1</v>
      </c>
      <c r="W3241" s="55" t="n">
        <f aca="false">IF(V3241,IF(01_因子設定!$B$13="最大化",T3241-01_因子設定!$B$14,IF(01_因子設定!$B$13="最小化",01_因子設定!$B$15-U3241,MIN(T3241-01_因子設定!$B$14,01_因子設定!$B$15-U3241))),-1E+030)</f>
        <v>-3.19960390955752</v>
      </c>
      <c r="X3241" s="55" t="n">
        <f aca="false">IF(V3241,IF(01_因子設定!$B$13="最大化",Q3241,IF(01_因子設定!$B$13="最小化",-Q3241,-ABS(Q3241-01_因子設定!$B$16))),-1E+030)</f>
        <v>46.3080752840909</v>
      </c>
      <c r="Y3241" s="55" t="n">
        <f aca="false">W3241+ROW()*0.000000001</f>
        <v>-3.19960066855752</v>
      </c>
      <c r="Z3241" s="55" t="n">
        <f aca="false">X3241+ROW()*0.000000001</f>
        <v>46.3080785250909</v>
      </c>
    </row>
    <row r="3242" customFormat="false" ht="15" hidden="false" customHeight="false" outlineLevel="0" collapsed="false">
      <c r="A3242" s="0" t="n">
        <v>11</v>
      </c>
      <c r="B3242" s="0" t="n">
        <v>3</v>
      </c>
      <c r="C3242" s="0" t="n">
        <v>7</v>
      </c>
      <c r="D3242" s="0" t="n">
        <f aca="false">-1+A3242*0.125</f>
        <v>0.375</v>
      </c>
      <c r="E3242" s="0" t="n">
        <f aca="false">-1+B3242*0.125</f>
        <v>-0.625</v>
      </c>
      <c r="F3242" s="0" t="n">
        <f aca="false">-1+C3242*0.125</f>
        <v>-0.125</v>
      </c>
      <c r="G3242" s="0" t="n">
        <f aca="false">1</f>
        <v>1</v>
      </c>
      <c r="H3242" s="0" t="n">
        <f aca="false">D3242</f>
        <v>0.375</v>
      </c>
      <c r="I3242" s="0" t="n">
        <f aca="false">E3242</f>
        <v>-0.625</v>
      </c>
      <c r="J3242" s="0" t="n">
        <f aca="false">F3242</f>
        <v>-0.125</v>
      </c>
      <c r="K3242" s="0" t="n">
        <f aca="false">D3242*E3242</f>
        <v>-0.234375</v>
      </c>
      <c r="L3242" s="0" t="n">
        <f aca="false">D3242*F3242</f>
        <v>-0.046875</v>
      </c>
      <c r="M3242" s="0" t="n">
        <f aca="false">E3242*F3242</f>
        <v>0.078125</v>
      </c>
      <c r="N3242" s="0" t="n">
        <f aca="false">D3242*D3242</f>
        <v>0.140625</v>
      </c>
      <c r="O3242" s="0" t="n">
        <f aca="false">E3242*E3242</f>
        <v>0.390625</v>
      </c>
      <c r="P3242" s="0" t="n">
        <f aca="false">F3242*F3242</f>
        <v>0.015625</v>
      </c>
      <c r="Q3242" s="0" t="n">
        <f aca="false">SUMPRODUCT(G3242:P3242,_XtX!$B$71:$K$71)</f>
        <v>46.4935724431818</v>
      </c>
      <c r="R3242" s="0" t="n">
        <f aca="false">SUMPRODUCT(MMULT(G3242:P3242,_XtX!$B$58:$K$67),G3242:P3242)</f>
        <v>0.176578591086648</v>
      </c>
      <c r="S3242" s="0" t="n">
        <f aca="false">04_回帰ANOVA!$K$19*04_回帰ANOVA!$K$14*SQRT(1+R3242)</f>
        <v>1.00850279676269</v>
      </c>
      <c r="T3242" s="0" t="n">
        <f aca="false">Q3242-S3242</f>
        <v>45.4850696464191</v>
      </c>
      <c r="U3242" s="0" t="n">
        <f aca="false">Q3242+S3242</f>
        <v>47.5020752399445</v>
      </c>
      <c r="V3242" s="54" t="b">
        <f aca="false">AND(D3242&gt;=01_因子設定!$L$5-0.000000001,D3242&lt;=01_因子設定!$M$5+0.000000001,E3242&gt;=01_因子設定!$L$6-0.000000001,E3242&lt;=01_因子設定!$M$6+0.000000001,F3242&gt;=01_因子設定!$L$7-0.000000001,F3242&lt;=01_因子設定!$M$7+0.000000001,IF(01_因子設定!$B$20="Box-Behnken",D3242^2+E3242^2+F3242^2&lt;=2+0.000000001,TRUE()))</f>
        <v>1</v>
      </c>
      <c r="W3242" s="55" t="n">
        <f aca="false">IF(V3242,IF(01_因子設定!$B$13="最大化",T3242-01_因子設定!$B$14,IF(01_因子設定!$B$13="最小化",01_因子設定!$B$15-U3242,MIN(T3242-01_因子設定!$B$14,01_因子設定!$B$15-U3242))),-1E+030)</f>
        <v>-3.01493035358087</v>
      </c>
      <c r="X3242" s="55" t="n">
        <f aca="false">IF(V3242,IF(01_因子設定!$B$13="最大化",Q3242,IF(01_因子設定!$B$13="最小化",-Q3242,-ABS(Q3242-01_因子設定!$B$16))),-1E+030)</f>
        <v>46.4935724431818</v>
      </c>
      <c r="Y3242" s="55" t="n">
        <f aca="false">W3242+ROW()*0.000000001</f>
        <v>-3.01492711158087</v>
      </c>
      <c r="Z3242" s="55" t="n">
        <f aca="false">X3242+ROW()*0.000000001</f>
        <v>46.4935756851818</v>
      </c>
    </row>
    <row r="3243" customFormat="false" ht="15" hidden="false" customHeight="false" outlineLevel="0" collapsed="false">
      <c r="A3243" s="0" t="n">
        <v>11</v>
      </c>
      <c r="B3243" s="0" t="n">
        <v>3</v>
      </c>
      <c r="C3243" s="0" t="n">
        <v>8</v>
      </c>
      <c r="D3243" s="0" t="n">
        <f aca="false">-1+A3243*0.125</f>
        <v>0.375</v>
      </c>
      <c r="E3243" s="0" t="n">
        <f aca="false">-1+B3243*0.125</f>
        <v>-0.625</v>
      </c>
      <c r="F3243" s="0" t="n">
        <f aca="false">-1+C3243*0.125</f>
        <v>0</v>
      </c>
      <c r="G3243" s="0" t="n">
        <f aca="false">1</f>
        <v>1</v>
      </c>
      <c r="H3243" s="0" t="n">
        <f aca="false">D3243</f>
        <v>0.375</v>
      </c>
      <c r="I3243" s="0" t="n">
        <f aca="false">E3243</f>
        <v>-0.625</v>
      </c>
      <c r="J3243" s="0" t="n">
        <f aca="false">F3243</f>
        <v>0</v>
      </c>
      <c r="K3243" s="0" t="n">
        <f aca="false">D3243*E3243</f>
        <v>-0.234375</v>
      </c>
      <c r="L3243" s="0" t="n">
        <f aca="false">D3243*F3243</f>
        <v>0</v>
      </c>
      <c r="M3243" s="0" t="n">
        <f aca="false">E3243*F3243</f>
        <v>-0</v>
      </c>
      <c r="N3243" s="0" t="n">
        <f aca="false">D3243*D3243</f>
        <v>0.140625</v>
      </c>
      <c r="O3243" s="0" t="n">
        <f aca="false">E3243*E3243</f>
        <v>0.390625</v>
      </c>
      <c r="P3243" s="0" t="n">
        <f aca="false">F3243*F3243</f>
        <v>0</v>
      </c>
      <c r="Q3243" s="0" t="n">
        <f aca="false">SUMPRODUCT(G3243:P3243,_XtX!$B$71:$K$71)</f>
        <v>46.6422798295455</v>
      </c>
      <c r="R3243" s="0" t="n">
        <f aca="false">SUMPRODUCT(MMULT(G3243:P3243,_XtX!$B$58:$K$67),G3243:P3243)</f>
        <v>0.17757401899858</v>
      </c>
      <c r="S3243" s="0" t="n">
        <f aca="false">04_回帰ANOVA!$K$19*04_回帰ANOVA!$K$14*SQRT(1+R3243)</f>
        <v>1.00892932143276</v>
      </c>
      <c r="T3243" s="0" t="n">
        <f aca="false">Q3243-S3243</f>
        <v>45.6333505081127</v>
      </c>
      <c r="U3243" s="0" t="n">
        <f aca="false">Q3243+S3243</f>
        <v>47.6512091509782</v>
      </c>
      <c r="V3243" s="54" t="b">
        <f aca="false">AND(D3243&gt;=01_因子設定!$L$5-0.000000001,D3243&lt;=01_因子設定!$M$5+0.000000001,E3243&gt;=01_因子設定!$L$6-0.000000001,E3243&lt;=01_因子設定!$M$6+0.000000001,F3243&gt;=01_因子設定!$L$7-0.000000001,F3243&lt;=01_因子設定!$M$7+0.000000001,IF(01_因子設定!$B$20="Box-Behnken",D3243^2+E3243^2+F3243^2&lt;=2+0.000000001,TRUE()))</f>
        <v>1</v>
      </c>
      <c r="W3243" s="55" t="n">
        <f aca="false">IF(V3243,IF(01_因子設定!$B$13="最大化",T3243-01_因子設定!$B$14,IF(01_因子設定!$B$13="最小化",01_因子設定!$B$15-U3243,MIN(T3243-01_因子設定!$B$14,01_因子設定!$B$15-U3243))),-1E+030)</f>
        <v>-2.86664949188729</v>
      </c>
      <c r="X3243" s="55" t="n">
        <f aca="false">IF(V3243,IF(01_因子設定!$B$13="最大化",Q3243,IF(01_因子設定!$B$13="最小化",-Q3243,-ABS(Q3243-01_因子設定!$B$16))),-1E+030)</f>
        <v>46.6422798295455</v>
      </c>
      <c r="Y3243" s="55" t="n">
        <f aca="false">W3243+ROW()*0.000000001</f>
        <v>-2.86664624888729</v>
      </c>
      <c r="Z3243" s="55" t="n">
        <f aca="false">X3243+ROW()*0.000000001</f>
        <v>46.6422830725455</v>
      </c>
    </row>
    <row r="3244" customFormat="false" ht="15" hidden="false" customHeight="false" outlineLevel="0" collapsed="false">
      <c r="A3244" s="0" t="n">
        <v>11</v>
      </c>
      <c r="B3244" s="0" t="n">
        <v>3</v>
      </c>
      <c r="C3244" s="0" t="n">
        <v>9</v>
      </c>
      <c r="D3244" s="0" t="n">
        <f aca="false">-1+A3244*0.125</f>
        <v>0.375</v>
      </c>
      <c r="E3244" s="0" t="n">
        <f aca="false">-1+B3244*0.125</f>
        <v>-0.625</v>
      </c>
      <c r="F3244" s="0" t="n">
        <f aca="false">-1+C3244*0.125</f>
        <v>0.125</v>
      </c>
      <c r="G3244" s="0" t="n">
        <f aca="false">1</f>
        <v>1</v>
      </c>
      <c r="H3244" s="0" t="n">
        <f aca="false">D3244</f>
        <v>0.375</v>
      </c>
      <c r="I3244" s="0" t="n">
        <f aca="false">E3244</f>
        <v>-0.625</v>
      </c>
      <c r="J3244" s="0" t="n">
        <f aca="false">F3244</f>
        <v>0.125</v>
      </c>
      <c r="K3244" s="0" t="n">
        <f aca="false">D3244*E3244</f>
        <v>-0.234375</v>
      </c>
      <c r="L3244" s="0" t="n">
        <f aca="false">D3244*F3244</f>
        <v>0.046875</v>
      </c>
      <c r="M3244" s="0" t="n">
        <f aca="false">E3244*F3244</f>
        <v>-0.078125</v>
      </c>
      <c r="N3244" s="0" t="n">
        <f aca="false">D3244*D3244</f>
        <v>0.140625</v>
      </c>
      <c r="O3244" s="0" t="n">
        <f aca="false">E3244*E3244</f>
        <v>0.390625</v>
      </c>
      <c r="P3244" s="0" t="n">
        <f aca="false">F3244*F3244</f>
        <v>0.015625</v>
      </c>
      <c r="Q3244" s="0" t="n">
        <f aca="false">SUMPRODUCT(G3244:P3244,_XtX!$B$71:$K$71)</f>
        <v>46.7541974431818</v>
      </c>
      <c r="R3244" s="0" t="n">
        <f aca="false">SUMPRODUCT(MMULT(G3244:P3244,_XtX!$B$58:$K$67),G3244:P3244)</f>
        <v>0.176578591086648</v>
      </c>
      <c r="S3244" s="0" t="n">
        <f aca="false">04_回帰ANOVA!$K$19*04_回帰ANOVA!$K$14*SQRT(1+R3244)</f>
        <v>1.00850279676269</v>
      </c>
      <c r="T3244" s="0" t="n">
        <f aca="false">Q3244-S3244</f>
        <v>45.7456946464191</v>
      </c>
      <c r="U3244" s="0" t="n">
        <f aca="false">Q3244+S3244</f>
        <v>47.7627002399445</v>
      </c>
      <c r="V3244" s="54" t="b">
        <f aca="false">AND(D3244&gt;=01_因子設定!$L$5-0.000000001,D3244&lt;=01_因子設定!$M$5+0.000000001,E3244&gt;=01_因子設定!$L$6-0.000000001,E3244&lt;=01_因子設定!$M$6+0.000000001,F3244&gt;=01_因子設定!$L$7-0.000000001,F3244&lt;=01_因子設定!$M$7+0.000000001,IF(01_因子設定!$B$20="Box-Behnken",D3244^2+E3244^2+F3244^2&lt;=2+0.000000001,TRUE()))</f>
        <v>1</v>
      </c>
      <c r="W3244" s="55" t="n">
        <f aca="false">IF(V3244,IF(01_因子設定!$B$13="最大化",T3244-01_因子設定!$B$14,IF(01_因子設定!$B$13="最小化",01_因子設定!$B$15-U3244,MIN(T3244-01_因子設定!$B$14,01_因子設定!$B$15-U3244))),-1E+030)</f>
        <v>-2.75430535358087</v>
      </c>
      <c r="X3244" s="55" t="n">
        <f aca="false">IF(V3244,IF(01_因子設定!$B$13="最大化",Q3244,IF(01_因子設定!$B$13="最小化",-Q3244,-ABS(Q3244-01_因子設定!$B$16))),-1E+030)</f>
        <v>46.7541974431818</v>
      </c>
      <c r="Y3244" s="55" t="n">
        <f aca="false">W3244+ROW()*0.000000001</f>
        <v>-2.75430210958087</v>
      </c>
      <c r="Z3244" s="55" t="n">
        <f aca="false">X3244+ROW()*0.000000001</f>
        <v>46.7542006871818</v>
      </c>
    </row>
    <row r="3245" customFormat="false" ht="15" hidden="false" customHeight="false" outlineLevel="0" collapsed="false">
      <c r="A3245" s="0" t="n">
        <v>11</v>
      </c>
      <c r="B3245" s="0" t="n">
        <v>3</v>
      </c>
      <c r="C3245" s="0" t="n">
        <v>10</v>
      </c>
      <c r="D3245" s="0" t="n">
        <f aca="false">-1+A3245*0.125</f>
        <v>0.375</v>
      </c>
      <c r="E3245" s="0" t="n">
        <f aca="false">-1+B3245*0.125</f>
        <v>-0.625</v>
      </c>
      <c r="F3245" s="0" t="n">
        <f aca="false">-1+C3245*0.125</f>
        <v>0.25</v>
      </c>
      <c r="G3245" s="0" t="n">
        <f aca="false">1</f>
        <v>1</v>
      </c>
      <c r="H3245" s="0" t="n">
        <f aca="false">D3245</f>
        <v>0.375</v>
      </c>
      <c r="I3245" s="0" t="n">
        <f aca="false">E3245</f>
        <v>-0.625</v>
      </c>
      <c r="J3245" s="0" t="n">
        <f aca="false">F3245</f>
        <v>0.25</v>
      </c>
      <c r="K3245" s="0" t="n">
        <f aca="false">D3245*E3245</f>
        <v>-0.234375</v>
      </c>
      <c r="L3245" s="0" t="n">
        <f aca="false">D3245*F3245</f>
        <v>0.09375</v>
      </c>
      <c r="M3245" s="0" t="n">
        <f aca="false">E3245*F3245</f>
        <v>-0.15625</v>
      </c>
      <c r="N3245" s="0" t="n">
        <f aca="false">D3245*D3245</f>
        <v>0.140625</v>
      </c>
      <c r="O3245" s="0" t="n">
        <f aca="false">E3245*E3245</f>
        <v>0.390625</v>
      </c>
      <c r="P3245" s="0" t="n">
        <f aca="false">F3245*F3245</f>
        <v>0.0625</v>
      </c>
      <c r="Q3245" s="0" t="n">
        <f aca="false">SUMPRODUCT(G3245:P3245,_XtX!$B$71:$K$71)</f>
        <v>46.8293252840909</v>
      </c>
      <c r="R3245" s="0" t="n">
        <f aca="false">SUMPRODUCT(MMULT(G3245:P3245,_XtX!$B$58:$K$67),G3245:P3245)</f>
        <v>0.174657648259943</v>
      </c>
      <c r="S3245" s="0" t="n">
        <f aca="false">04_回帰ANOVA!$K$19*04_回帰ANOVA!$K$14*SQRT(1+R3245)</f>
        <v>1.00767919364845</v>
      </c>
      <c r="T3245" s="0" t="n">
        <f aca="false">Q3245-S3245</f>
        <v>45.8216460904425</v>
      </c>
      <c r="U3245" s="0" t="n">
        <f aca="false">Q3245+S3245</f>
        <v>47.8370044777394</v>
      </c>
      <c r="V3245" s="54" t="b">
        <f aca="false">AND(D3245&gt;=01_因子設定!$L$5-0.000000001,D3245&lt;=01_因子設定!$M$5+0.000000001,E3245&gt;=01_因子設定!$L$6-0.000000001,E3245&lt;=01_因子設定!$M$6+0.000000001,F3245&gt;=01_因子設定!$L$7-0.000000001,F3245&lt;=01_因子設定!$M$7+0.000000001,IF(01_因子設定!$B$20="Box-Behnken",D3245^2+E3245^2+F3245^2&lt;=2+0.000000001,TRUE()))</f>
        <v>1</v>
      </c>
      <c r="W3245" s="55" t="n">
        <f aca="false">IF(V3245,IF(01_因子設定!$B$13="最大化",T3245-01_因子設定!$B$14,IF(01_因子設定!$B$13="最小化",01_因子設定!$B$15-U3245,MIN(T3245-01_因子設定!$B$14,01_因子設定!$B$15-U3245))),-1E+030)</f>
        <v>-2.67835390955752</v>
      </c>
      <c r="X3245" s="55" t="n">
        <f aca="false">IF(V3245,IF(01_因子設定!$B$13="最大化",Q3245,IF(01_因子設定!$B$13="最小化",-Q3245,-ABS(Q3245-01_因子設定!$B$16))),-1E+030)</f>
        <v>46.8293252840909</v>
      </c>
      <c r="Y3245" s="55" t="n">
        <f aca="false">W3245+ROW()*0.000000001</f>
        <v>-2.67835066455752</v>
      </c>
      <c r="Z3245" s="55" t="n">
        <f aca="false">X3245+ROW()*0.000000001</f>
        <v>46.8293285290909</v>
      </c>
    </row>
    <row r="3246" customFormat="false" ht="15" hidden="false" customHeight="false" outlineLevel="0" collapsed="false">
      <c r="A3246" s="0" t="n">
        <v>11</v>
      </c>
      <c r="B3246" s="0" t="n">
        <v>3</v>
      </c>
      <c r="C3246" s="0" t="n">
        <v>11</v>
      </c>
      <c r="D3246" s="0" t="n">
        <f aca="false">-1+A3246*0.125</f>
        <v>0.375</v>
      </c>
      <c r="E3246" s="0" t="n">
        <f aca="false">-1+B3246*0.125</f>
        <v>-0.625</v>
      </c>
      <c r="F3246" s="0" t="n">
        <f aca="false">-1+C3246*0.125</f>
        <v>0.375</v>
      </c>
      <c r="G3246" s="0" t="n">
        <f aca="false">1</f>
        <v>1</v>
      </c>
      <c r="H3246" s="0" t="n">
        <f aca="false">D3246</f>
        <v>0.375</v>
      </c>
      <c r="I3246" s="0" t="n">
        <f aca="false">E3246</f>
        <v>-0.625</v>
      </c>
      <c r="J3246" s="0" t="n">
        <f aca="false">F3246</f>
        <v>0.375</v>
      </c>
      <c r="K3246" s="0" t="n">
        <f aca="false">D3246*E3246</f>
        <v>-0.234375</v>
      </c>
      <c r="L3246" s="0" t="n">
        <f aca="false">D3246*F3246</f>
        <v>0.140625</v>
      </c>
      <c r="M3246" s="0" t="n">
        <f aca="false">E3246*F3246</f>
        <v>-0.234375</v>
      </c>
      <c r="N3246" s="0" t="n">
        <f aca="false">D3246*D3246</f>
        <v>0.140625</v>
      </c>
      <c r="O3246" s="0" t="n">
        <f aca="false">E3246*E3246</f>
        <v>0.390625</v>
      </c>
      <c r="P3246" s="0" t="n">
        <f aca="false">F3246*F3246</f>
        <v>0.140625</v>
      </c>
      <c r="Q3246" s="0" t="n">
        <f aca="false">SUMPRODUCT(G3246:P3246,_XtX!$B$71:$K$71)</f>
        <v>46.8676633522727</v>
      </c>
      <c r="R3246" s="0" t="n">
        <f aca="false">SUMPRODUCT(MMULT(G3246:P3246,_XtX!$B$58:$K$67),G3246:P3246)</f>
        <v>0.175007213245739</v>
      </c>
      <c r="S3246" s="0" t="n">
        <f aca="false">04_回帰ANOVA!$K$19*04_回帰ANOVA!$K$14*SQRT(1+R3246)</f>
        <v>1.0078291195273</v>
      </c>
      <c r="T3246" s="0" t="n">
        <f aca="false">Q3246-S3246</f>
        <v>45.8598342327454</v>
      </c>
      <c r="U3246" s="0" t="n">
        <f aca="false">Q3246+S3246</f>
        <v>47.8754924718</v>
      </c>
      <c r="V3246" s="54" t="b">
        <f aca="false">AND(D3246&gt;=01_因子設定!$L$5-0.000000001,D3246&lt;=01_因子設定!$M$5+0.000000001,E3246&gt;=01_因子設定!$L$6-0.000000001,E3246&lt;=01_因子設定!$M$6+0.000000001,F3246&gt;=01_因子設定!$L$7-0.000000001,F3246&lt;=01_因子設定!$M$7+0.000000001,IF(01_因子設定!$B$20="Box-Behnken",D3246^2+E3246^2+F3246^2&lt;=2+0.000000001,TRUE()))</f>
        <v>1</v>
      </c>
      <c r="W3246" s="55" t="n">
        <f aca="false">IF(V3246,IF(01_因子設定!$B$13="最大化",T3246-01_因子設定!$B$14,IF(01_因子設定!$B$13="最小化",01_因子設定!$B$15-U3246,MIN(T3246-01_因子設定!$B$14,01_因子設定!$B$15-U3246))),-1E+030)</f>
        <v>-2.64016576725457</v>
      </c>
      <c r="X3246" s="55" t="n">
        <f aca="false">IF(V3246,IF(01_因子設定!$B$13="最大化",Q3246,IF(01_因子設定!$B$13="最小化",-Q3246,-ABS(Q3246-01_因子設定!$B$16))),-1E+030)</f>
        <v>46.8676633522727</v>
      </c>
      <c r="Y3246" s="55" t="n">
        <f aca="false">W3246+ROW()*0.000000001</f>
        <v>-2.64016252125457</v>
      </c>
      <c r="Z3246" s="55" t="n">
        <f aca="false">X3246+ROW()*0.000000001</f>
        <v>46.8676665982727</v>
      </c>
    </row>
    <row r="3247" customFormat="false" ht="15" hidden="false" customHeight="false" outlineLevel="0" collapsed="false">
      <c r="A3247" s="0" t="n">
        <v>11</v>
      </c>
      <c r="B3247" s="0" t="n">
        <v>3</v>
      </c>
      <c r="C3247" s="0" t="n">
        <v>12</v>
      </c>
      <c r="D3247" s="0" t="n">
        <f aca="false">-1+A3247*0.125</f>
        <v>0.375</v>
      </c>
      <c r="E3247" s="0" t="n">
        <f aca="false">-1+B3247*0.125</f>
        <v>-0.625</v>
      </c>
      <c r="F3247" s="0" t="n">
        <f aca="false">-1+C3247*0.125</f>
        <v>0.5</v>
      </c>
      <c r="G3247" s="0" t="n">
        <f aca="false">1</f>
        <v>1</v>
      </c>
      <c r="H3247" s="0" t="n">
        <f aca="false">D3247</f>
        <v>0.375</v>
      </c>
      <c r="I3247" s="0" t="n">
        <f aca="false">E3247</f>
        <v>-0.625</v>
      </c>
      <c r="J3247" s="0" t="n">
        <f aca="false">F3247</f>
        <v>0.5</v>
      </c>
      <c r="K3247" s="0" t="n">
        <f aca="false">D3247*E3247</f>
        <v>-0.234375</v>
      </c>
      <c r="L3247" s="0" t="n">
        <f aca="false">D3247*F3247</f>
        <v>0.1875</v>
      </c>
      <c r="M3247" s="0" t="n">
        <f aca="false">E3247*F3247</f>
        <v>-0.3125</v>
      </c>
      <c r="N3247" s="0" t="n">
        <f aca="false">D3247*D3247</f>
        <v>0.140625</v>
      </c>
      <c r="O3247" s="0" t="n">
        <f aca="false">E3247*E3247</f>
        <v>0.390625</v>
      </c>
      <c r="P3247" s="0" t="n">
        <f aca="false">F3247*F3247</f>
        <v>0.25</v>
      </c>
      <c r="Q3247" s="0" t="n">
        <f aca="false">SUMPRODUCT(G3247:P3247,_XtX!$B$71:$K$71)</f>
        <v>46.8692116477273</v>
      </c>
      <c r="R3247" s="0" t="n">
        <f aca="false">SUMPRODUCT(MMULT(G3247:P3247,_XtX!$B$58:$K$67),G3247:P3247)</f>
        <v>0.182953990589489</v>
      </c>
      <c r="S3247" s="0" t="n">
        <f aca="false">04_回帰ANOVA!$K$19*04_回帰ANOVA!$K$14*SQRT(1+R3247)</f>
        <v>1.01123143807044</v>
      </c>
      <c r="T3247" s="0" t="n">
        <f aca="false">Q3247-S3247</f>
        <v>45.8579802096568</v>
      </c>
      <c r="U3247" s="0" t="n">
        <f aca="false">Q3247+S3247</f>
        <v>47.8804430857977</v>
      </c>
      <c r="V3247" s="54" t="b">
        <f aca="false">AND(D3247&gt;=01_因子設定!$L$5-0.000000001,D3247&lt;=01_因子設定!$M$5+0.000000001,E3247&gt;=01_因子設定!$L$6-0.000000001,E3247&lt;=01_因子設定!$M$6+0.000000001,F3247&gt;=01_因子設定!$L$7-0.000000001,F3247&lt;=01_因子設定!$M$7+0.000000001,IF(01_因子設定!$B$20="Box-Behnken",D3247^2+E3247^2+F3247^2&lt;=2+0.000000001,TRUE()))</f>
        <v>1</v>
      </c>
      <c r="W3247" s="55" t="n">
        <f aca="false">IF(V3247,IF(01_因子設定!$B$13="最大化",T3247-01_因子設定!$B$14,IF(01_因子設定!$B$13="最小化",01_因子設定!$B$15-U3247,MIN(T3247-01_因子設定!$B$14,01_因子設定!$B$15-U3247))),-1E+030)</f>
        <v>-2.64201979034316</v>
      </c>
      <c r="X3247" s="55" t="n">
        <f aca="false">IF(V3247,IF(01_因子設定!$B$13="最大化",Q3247,IF(01_因子設定!$B$13="最小化",-Q3247,-ABS(Q3247-01_因子設定!$B$16))),-1E+030)</f>
        <v>46.8692116477273</v>
      </c>
      <c r="Y3247" s="55" t="n">
        <f aca="false">W3247+ROW()*0.000000001</f>
        <v>-2.64201654334316</v>
      </c>
      <c r="Z3247" s="55" t="n">
        <f aca="false">X3247+ROW()*0.000000001</f>
        <v>46.8692148947273</v>
      </c>
    </row>
    <row r="3248" customFormat="false" ht="15" hidden="false" customHeight="false" outlineLevel="0" collapsed="false">
      <c r="A3248" s="0" t="n">
        <v>11</v>
      </c>
      <c r="B3248" s="0" t="n">
        <v>3</v>
      </c>
      <c r="C3248" s="0" t="n">
        <v>13</v>
      </c>
      <c r="D3248" s="0" t="n">
        <f aca="false">-1+A3248*0.125</f>
        <v>0.375</v>
      </c>
      <c r="E3248" s="0" t="n">
        <f aca="false">-1+B3248*0.125</f>
        <v>-0.625</v>
      </c>
      <c r="F3248" s="0" t="n">
        <f aca="false">-1+C3248*0.125</f>
        <v>0.625</v>
      </c>
      <c r="G3248" s="0" t="n">
        <f aca="false">1</f>
        <v>1</v>
      </c>
      <c r="H3248" s="0" t="n">
        <f aca="false">D3248</f>
        <v>0.375</v>
      </c>
      <c r="I3248" s="0" t="n">
        <f aca="false">E3248</f>
        <v>-0.625</v>
      </c>
      <c r="J3248" s="0" t="n">
        <f aca="false">F3248</f>
        <v>0.625</v>
      </c>
      <c r="K3248" s="0" t="n">
        <f aca="false">D3248*E3248</f>
        <v>-0.234375</v>
      </c>
      <c r="L3248" s="0" t="n">
        <f aca="false">D3248*F3248</f>
        <v>0.234375</v>
      </c>
      <c r="M3248" s="0" t="n">
        <f aca="false">E3248*F3248</f>
        <v>-0.390625</v>
      </c>
      <c r="N3248" s="0" t="n">
        <f aca="false">D3248*D3248</f>
        <v>0.140625</v>
      </c>
      <c r="O3248" s="0" t="n">
        <f aca="false">E3248*E3248</f>
        <v>0.390625</v>
      </c>
      <c r="P3248" s="0" t="n">
        <f aca="false">F3248*F3248</f>
        <v>0.390625</v>
      </c>
      <c r="Q3248" s="0" t="n">
        <f aca="false">SUMPRODUCT(G3248:P3248,_XtX!$B$71:$K$71)</f>
        <v>46.8339701704546</v>
      </c>
      <c r="R3248" s="0" t="n">
        <f aca="false">SUMPRODUCT(MMULT(G3248:P3248,_XtX!$B$58:$K$67),G3248:P3248)</f>
        <v>0.20595536665483</v>
      </c>
      <c r="S3248" s="0" t="n">
        <f aca="false">04_回帰ANOVA!$K$19*04_回帰ANOVA!$K$14*SQRT(1+R3248)</f>
        <v>1.02101530762963</v>
      </c>
      <c r="T3248" s="0" t="n">
        <f aca="false">Q3248-S3248</f>
        <v>45.8129548628249</v>
      </c>
      <c r="U3248" s="0" t="n">
        <f aca="false">Q3248+S3248</f>
        <v>47.8549854780842</v>
      </c>
      <c r="V3248" s="54" t="b">
        <f aca="false">AND(D3248&gt;=01_因子設定!$L$5-0.000000001,D3248&lt;=01_因子設定!$M$5+0.000000001,E3248&gt;=01_因子設定!$L$6-0.000000001,E3248&lt;=01_因子設定!$M$6+0.000000001,F3248&gt;=01_因子設定!$L$7-0.000000001,F3248&lt;=01_因子設定!$M$7+0.000000001,IF(01_因子設定!$B$20="Box-Behnken",D3248^2+E3248^2+F3248^2&lt;=2+0.000000001,TRUE()))</f>
        <v>1</v>
      </c>
      <c r="W3248" s="55" t="n">
        <f aca="false">IF(V3248,IF(01_因子設定!$B$13="最大化",T3248-01_因子設定!$B$14,IF(01_因子設定!$B$13="最小化",01_因子設定!$B$15-U3248,MIN(T3248-01_因子設定!$B$14,01_因子設定!$B$15-U3248))),-1E+030)</f>
        <v>-2.68704513717506</v>
      </c>
      <c r="X3248" s="55" t="n">
        <f aca="false">IF(V3248,IF(01_因子設定!$B$13="最大化",Q3248,IF(01_因子設定!$B$13="最小化",-Q3248,-ABS(Q3248-01_因子設定!$B$16))),-1E+030)</f>
        <v>46.8339701704546</v>
      </c>
      <c r="Y3248" s="55" t="n">
        <f aca="false">W3248+ROW()*0.000000001</f>
        <v>-2.68704188917506</v>
      </c>
      <c r="Z3248" s="55" t="n">
        <f aca="false">X3248+ROW()*0.000000001</f>
        <v>46.8339734184546</v>
      </c>
    </row>
    <row r="3249" customFormat="false" ht="15" hidden="false" customHeight="false" outlineLevel="0" collapsed="false">
      <c r="A3249" s="0" t="n">
        <v>11</v>
      </c>
      <c r="B3249" s="0" t="n">
        <v>3</v>
      </c>
      <c r="C3249" s="0" t="n">
        <v>14</v>
      </c>
      <c r="D3249" s="0" t="n">
        <f aca="false">-1+A3249*0.125</f>
        <v>0.375</v>
      </c>
      <c r="E3249" s="0" t="n">
        <f aca="false">-1+B3249*0.125</f>
        <v>-0.625</v>
      </c>
      <c r="F3249" s="0" t="n">
        <f aca="false">-1+C3249*0.125</f>
        <v>0.75</v>
      </c>
      <c r="G3249" s="0" t="n">
        <f aca="false">1</f>
        <v>1</v>
      </c>
      <c r="H3249" s="0" t="n">
        <f aca="false">D3249</f>
        <v>0.375</v>
      </c>
      <c r="I3249" s="0" t="n">
        <f aca="false">E3249</f>
        <v>-0.625</v>
      </c>
      <c r="J3249" s="0" t="n">
        <f aca="false">F3249</f>
        <v>0.75</v>
      </c>
      <c r="K3249" s="0" t="n">
        <f aca="false">D3249*E3249</f>
        <v>-0.234375</v>
      </c>
      <c r="L3249" s="0" t="n">
        <f aca="false">D3249*F3249</f>
        <v>0.28125</v>
      </c>
      <c r="M3249" s="0" t="n">
        <f aca="false">E3249*F3249</f>
        <v>-0.46875</v>
      </c>
      <c r="N3249" s="0" t="n">
        <f aca="false">D3249*D3249</f>
        <v>0.140625</v>
      </c>
      <c r="O3249" s="0" t="n">
        <f aca="false">E3249*E3249</f>
        <v>0.390625</v>
      </c>
      <c r="P3249" s="0" t="n">
        <f aca="false">F3249*F3249</f>
        <v>0.5625</v>
      </c>
      <c r="Q3249" s="0" t="n">
        <f aca="false">SUMPRODUCT(G3249:P3249,_XtX!$B$71:$K$71)</f>
        <v>46.7619389204546</v>
      </c>
      <c r="R3249" s="0" t="n">
        <f aca="false">SUMPRODUCT(MMULT(G3249:P3249,_XtX!$B$58:$K$67),G3249:P3249)</f>
        <v>0.25359940962358</v>
      </c>
      <c r="S3249" s="0" t="n">
        <f aca="false">04_回帰ANOVA!$K$19*04_回帰ANOVA!$K$14*SQRT(1+R3249)</f>
        <v>1.04098872464599</v>
      </c>
      <c r="T3249" s="0" t="n">
        <f aca="false">Q3249-S3249</f>
        <v>45.7209501958086</v>
      </c>
      <c r="U3249" s="0" t="n">
        <f aca="false">Q3249+S3249</f>
        <v>47.8029276451005</v>
      </c>
      <c r="V3249" s="54" t="b">
        <f aca="false">AND(D3249&gt;=01_因子設定!$L$5-0.000000001,D3249&lt;=01_因子設定!$M$5+0.000000001,E3249&gt;=01_因子設定!$L$6-0.000000001,E3249&lt;=01_因子設定!$M$6+0.000000001,F3249&gt;=01_因子設定!$L$7-0.000000001,F3249&lt;=01_因子設定!$M$7+0.000000001,IF(01_因子設定!$B$20="Box-Behnken",D3249^2+E3249^2+F3249^2&lt;=2+0.000000001,TRUE()))</f>
        <v>1</v>
      </c>
      <c r="W3249" s="55" t="n">
        <f aca="false">IF(V3249,IF(01_因子設定!$B$13="最大化",T3249-01_因子設定!$B$14,IF(01_因子設定!$B$13="最小化",01_因子設定!$B$15-U3249,MIN(T3249-01_因子設定!$B$14,01_因子設定!$B$15-U3249))),-1E+030)</f>
        <v>-2.77904980419142</v>
      </c>
      <c r="X3249" s="55" t="n">
        <f aca="false">IF(V3249,IF(01_因子設定!$B$13="最大化",Q3249,IF(01_因子設定!$B$13="最小化",-Q3249,-ABS(Q3249-01_因子設定!$B$16))),-1E+030)</f>
        <v>46.7619389204546</v>
      </c>
      <c r="Y3249" s="55" t="n">
        <f aca="false">W3249+ROW()*0.000000001</f>
        <v>-2.77904655519142</v>
      </c>
      <c r="Z3249" s="55" t="n">
        <f aca="false">X3249+ROW()*0.000000001</f>
        <v>46.7619421694546</v>
      </c>
    </row>
    <row r="3250" customFormat="false" ht="15" hidden="false" customHeight="false" outlineLevel="0" collapsed="false">
      <c r="A3250" s="0" t="n">
        <v>11</v>
      </c>
      <c r="B3250" s="0" t="n">
        <v>3</v>
      </c>
      <c r="C3250" s="0" t="n">
        <v>15</v>
      </c>
      <c r="D3250" s="0" t="n">
        <f aca="false">-1+A3250*0.125</f>
        <v>0.375</v>
      </c>
      <c r="E3250" s="0" t="n">
        <f aca="false">-1+B3250*0.125</f>
        <v>-0.625</v>
      </c>
      <c r="F3250" s="0" t="n">
        <f aca="false">-1+C3250*0.125</f>
        <v>0.875</v>
      </c>
      <c r="G3250" s="0" t="n">
        <f aca="false">1</f>
        <v>1</v>
      </c>
      <c r="H3250" s="0" t="n">
        <f aca="false">D3250</f>
        <v>0.375</v>
      </c>
      <c r="I3250" s="0" t="n">
        <f aca="false">E3250</f>
        <v>-0.625</v>
      </c>
      <c r="J3250" s="0" t="n">
        <f aca="false">F3250</f>
        <v>0.875</v>
      </c>
      <c r="K3250" s="0" t="n">
        <f aca="false">D3250*E3250</f>
        <v>-0.234375</v>
      </c>
      <c r="L3250" s="0" t="n">
        <f aca="false">D3250*F3250</f>
        <v>0.328125</v>
      </c>
      <c r="M3250" s="0" t="n">
        <f aca="false">E3250*F3250</f>
        <v>-0.546875</v>
      </c>
      <c r="N3250" s="0" t="n">
        <f aca="false">D3250*D3250</f>
        <v>0.140625</v>
      </c>
      <c r="O3250" s="0" t="n">
        <f aca="false">E3250*E3250</f>
        <v>0.390625</v>
      </c>
      <c r="P3250" s="0" t="n">
        <f aca="false">F3250*F3250</f>
        <v>0.765625</v>
      </c>
      <c r="Q3250" s="0" t="n">
        <f aca="false">SUMPRODUCT(G3250:P3250,_XtX!$B$71:$K$71)</f>
        <v>46.6531178977273</v>
      </c>
      <c r="R3250" s="0" t="n">
        <f aca="false">SUMPRODUCT(MMULT(G3250:P3250,_XtX!$B$58:$K$67),G3250:P3250)</f>
        <v>0.337604869495739</v>
      </c>
      <c r="S3250" s="0" t="n">
        <f aca="false">04_回帰ANOVA!$K$19*04_回帰ANOVA!$K$14*SQRT(1+R3250)</f>
        <v>1.07530225516193</v>
      </c>
      <c r="T3250" s="0" t="n">
        <f aca="false">Q3250-S3250</f>
        <v>45.5778156425654</v>
      </c>
      <c r="U3250" s="0" t="n">
        <f aca="false">Q3250+S3250</f>
        <v>47.7284201528892</v>
      </c>
      <c r="V3250" s="54" t="b">
        <f aca="false">AND(D3250&gt;=01_因子設定!$L$5-0.000000001,D3250&lt;=01_因子設定!$M$5+0.000000001,E3250&gt;=01_因子設定!$L$6-0.000000001,E3250&lt;=01_因子設定!$M$6+0.000000001,F3250&gt;=01_因子設定!$L$7-0.000000001,F3250&lt;=01_因子設定!$M$7+0.000000001,IF(01_因子設定!$B$20="Box-Behnken",D3250^2+E3250^2+F3250^2&lt;=2+0.000000001,TRUE()))</f>
        <v>1</v>
      </c>
      <c r="W3250" s="55" t="n">
        <f aca="false">IF(V3250,IF(01_因子設定!$B$13="最大化",T3250-01_因子設定!$B$14,IF(01_因子設定!$B$13="最小化",01_因子設定!$B$15-U3250,MIN(T3250-01_因子設定!$B$14,01_因子設定!$B$15-U3250))),-1E+030)</f>
        <v>-2.92218435743463</v>
      </c>
      <c r="X3250" s="55" t="n">
        <f aca="false">IF(V3250,IF(01_因子設定!$B$13="最大化",Q3250,IF(01_因子設定!$B$13="最小化",-Q3250,-ABS(Q3250-01_因子設定!$B$16))),-1E+030)</f>
        <v>46.6531178977273</v>
      </c>
      <c r="Y3250" s="55" t="n">
        <f aca="false">W3250+ROW()*0.000000001</f>
        <v>-2.92218110743463</v>
      </c>
      <c r="Z3250" s="55" t="n">
        <f aca="false">X3250+ROW()*0.000000001</f>
        <v>46.6531211477273</v>
      </c>
    </row>
    <row r="3251" customFormat="false" ht="15" hidden="false" customHeight="false" outlineLevel="0" collapsed="false">
      <c r="A3251" s="0" t="n">
        <v>11</v>
      </c>
      <c r="B3251" s="0" t="n">
        <v>3</v>
      </c>
      <c r="C3251" s="0" t="n">
        <v>16</v>
      </c>
      <c r="D3251" s="0" t="n">
        <f aca="false">-1+A3251*0.125</f>
        <v>0.375</v>
      </c>
      <c r="E3251" s="0" t="n">
        <f aca="false">-1+B3251*0.125</f>
        <v>-0.625</v>
      </c>
      <c r="F3251" s="0" t="n">
        <f aca="false">-1+C3251*0.125</f>
        <v>1</v>
      </c>
      <c r="G3251" s="0" t="n">
        <f aca="false">1</f>
        <v>1</v>
      </c>
      <c r="H3251" s="0" t="n">
        <f aca="false">D3251</f>
        <v>0.375</v>
      </c>
      <c r="I3251" s="0" t="n">
        <f aca="false">E3251</f>
        <v>-0.625</v>
      </c>
      <c r="J3251" s="0" t="n">
        <f aca="false">F3251</f>
        <v>1</v>
      </c>
      <c r="K3251" s="0" t="n">
        <f aca="false">D3251*E3251</f>
        <v>-0.234375</v>
      </c>
      <c r="L3251" s="0" t="n">
        <f aca="false">D3251*F3251</f>
        <v>0.375</v>
      </c>
      <c r="M3251" s="0" t="n">
        <f aca="false">E3251*F3251</f>
        <v>-0.625</v>
      </c>
      <c r="N3251" s="0" t="n">
        <f aca="false">D3251*D3251</f>
        <v>0.140625</v>
      </c>
      <c r="O3251" s="0" t="n">
        <f aca="false">E3251*E3251</f>
        <v>0.390625</v>
      </c>
      <c r="P3251" s="0" t="n">
        <f aca="false">F3251*F3251</f>
        <v>1</v>
      </c>
      <c r="Q3251" s="0" t="n">
        <f aca="false">SUMPRODUCT(G3251:P3251,_XtX!$B$71:$K$71)</f>
        <v>46.5075071022728</v>
      </c>
      <c r="R3251" s="0" t="n">
        <f aca="false">SUMPRODUCT(MMULT(G3251:P3251,_XtX!$B$58:$K$67),G3251:P3251)</f>
        <v>0.471821178089489</v>
      </c>
      <c r="S3251" s="0" t="n">
        <f aca="false">04_回帰ANOVA!$K$19*04_回帰ANOVA!$K$14*SQRT(1+R3251)</f>
        <v>1.12796119746125</v>
      </c>
      <c r="T3251" s="0" t="n">
        <f aca="false">Q3251-S3251</f>
        <v>45.3795459048115</v>
      </c>
      <c r="U3251" s="0" t="n">
        <f aca="false">Q3251+S3251</f>
        <v>47.635468299734</v>
      </c>
      <c r="V3251" s="54" t="b">
        <f aca="false">AND(D3251&gt;=01_因子設定!$L$5-0.000000001,D3251&lt;=01_因子設定!$M$5+0.000000001,E3251&gt;=01_因子設定!$L$6-0.000000001,E3251&lt;=01_因子設定!$M$6+0.000000001,F3251&gt;=01_因子設定!$L$7-0.000000001,F3251&lt;=01_因子設定!$M$7+0.000000001,IF(01_因子設定!$B$20="Box-Behnken",D3251^2+E3251^2+F3251^2&lt;=2+0.000000001,TRUE()))</f>
        <v>1</v>
      </c>
      <c r="W3251" s="55" t="n">
        <f aca="false">IF(V3251,IF(01_因子設定!$B$13="最大化",T3251-01_因子設定!$B$14,IF(01_因子設定!$B$13="最小化",01_因子設定!$B$15-U3251,MIN(T3251-01_因子設定!$B$14,01_因子設定!$B$15-U3251))),-1E+030)</f>
        <v>-3.1204540951885</v>
      </c>
      <c r="X3251" s="55" t="n">
        <f aca="false">IF(V3251,IF(01_因子設定!$B$13="最大化",Q3251,IF(01_因子設定!$B$13="最小化",-Q3251,-ABS(Q3251-01_因子設定!$B$16))),-1E+030)</f>
        <v>46.5075071022728</v>
      </c>
      <c r="Y3251" s="55" t="n">
        <f aca="false">W3251+ROW()*0.000000001</f>
        <v>-3.1204508441885</v>
      </c>
      <c r="Z3251" s="55" t="n">
        <f aca="false">X3251+ROW()*0.000000001</f>
        <v>46.5075103532728</v>
      </c>
    </row>
    <row r="3252" customFormat="false" ht="15" hidden="false" customHeight="false" outlineLevel="0" collapsed="false">
      <c r="A3252" s="0" t="n">
        <v>11</v>
      </c>
      <c r="B3252" s="0" t="n">
        <v>4</v>
      </c>
      <c r="C3252" s="0" t="n">
        <v>0</v>
      </c>
      <c r="D3252" s="0" t="n">
        <f aca="false">-1+A3252*0.125</f>
        <v>0.375</v>
      </c>
      <c r="E3252" s="0" t="n">
        <f aca="false">-1+B3252*0.125</f>
        <v>-0.5</v>
      </c>
      <c r="F3252" s="0" t="n">
        <f aca="false">-1+C3252*0.125</f>
        <v>-1</v>
      </c>
      <c r="G3252" s="0" t="n">
        <f aca="false">1</f>
        <v>1</v>
      </c>
      <c r="H3252" s="0" t="n">
        <f aca="false">D3252</f>
        <v>0.375</v>
      </c>
      <c r="I3252" s="0" t="n">
        <f aca="false">E3252</f>
        <v>-0.5</v>
      </c>
      <c r="J3252" s="0" t="n">
        <f aca="false">F3252</f>
        <v>-1</v>
      </c>
      <c r="K3252" s="0" t="n">
        <f aca="false">D3252*E3252</f>
        <v>-0.1875</v>
      </c>
      <c r="L3252" s="0" t="n">
        <f aca="false">D3252*F3252</f>
        <v>-0.375</v>
      </c>
      <c r="M3252" s="0" t="n">
        <f aca="false">E3252*F3252</f>
        <v>0.5</v>
      </c>
      <c r="N3252" s="0" t="n">
        <f aca="false">D3252*D3252</f>
        <v>0.140625</v>
      </c>
      <c r="O3252" s="0" t="n">
        <f aca="false">E3252*E3252</f>
        <v>0.25</v>
      </c>
      <c r="P3252" s="0" t="n">
        <f aca="false">F3252*F3252</f>
        <v>1</v>
      </c>
      <c r="Q3252" s="0" t="n">
        <f aca="false">SUMPRODUCT(G3252:P3252,_XtX!$B$71:$K$71)</f>
        <v>44.9675142045455</v>
      </c>
      <c r="R3252" s="0" t="n">
        <f aca="false">SUMPRODUCT(MMULT(G3252:P3252,_XtX!$B$58:$K$67),G3252:P3252)</f>
        <v>0.461479048295455</v>
      </c>
      <c r="S3252" s="0" t="n">
        <f aca="false">04_回帰ANOVA!$K$19*04_回帰ANOVA!$K$14*SQRT(1+R3252)</f>
        <v>1.12399125658369</v>
      </c>
      <c r="T3252" s="0" t="n">
        <f aca="false">Q3252-S3252</f>
        <v>43.8435229479618</v>
      </c>
      <c r="U3252" s="0" t="n">
        <f aca="false">Q3252+S3252</f>
        <v>46.0915054611292</v>
      </c>
      <c r="V3252" s="54" t="b">
        <f aca="false">AND(D3252&gt;=01_因子設定!$L$5-0.000000001,D3252&lt;=01_因子設定!$M$5+0.000000001,E3252&gt;=01_因子設定!$L$6-0.000000001,E3252&lt;=01_因子設定!$M$6+0.000000001,F3252&gt;=01_因子設定!$L$7-0.000000001,F3252&lt;=01_因子設定!$M$7+0.000000001,IF(01_因子設定!$B$20="Box-Behnken",D3252^2+E3252^2+F3252^2&lt;=2+0.000000001,TRUE()))</f>
        <v>1</v>
      </c>
      <c r="W3252" s="55" t="n">
        <f aca="false">IF(V3252,IF(01_因子設定!$B$13="最大化",T3252-01_因子設定!$B$14,IF(01_因子設定!$B$13="最小化",01_因子設定!$B$15-U3252,MIN(T3252-01_因子設定!$B$14,01_因子設定!$B$15-U3252))),-1E+030)</f>
        <v>-4.65647705203821</v>
      </c>
      <c r="X3252" s="55" t="n">
        <f aca="false">IF(V3252,IF(01_因子設定!$B$13="最大化",Q3252,IF(01_因子設定!$B$13="最小化",-Q3252,-ABS(Q3252-01_因子設定!$B$16))),-1E+030)</f>
        <v>44.9675142045455</v>
      </c>
      <c r="Y3252" s="55" t="n">
        <f aca="false">W3252+ROW()*0.000000001</f>
        <v>-4.65647380003821</v>
      </c>
      <c r="Z3252" s="55" t="n">
        <f aca="false">X3252+ROW()*0.000000001</f>
        <v>44.9675174565455</v>
      </c>
    </row>
    <row r="3253" customFormat="false" ht="15" hidden="false" customHeight="false" outlineLevel="0" collapsed="false">
      <c r="A3253" s="0" t="n">
        <v>11</v>
      </c>
      <c r="B3253" s="0" t="n">
        <v>4</v>
      </c>
      <c r="C3253" s="0" t="n">
        <v>1</v>
      </c>
      <c r="D3253" s="0" t="n">
        <f aca="false">-1+A3253*0.125</f>
        <v>0.375</v>
      </c>
      <c r="E3253" s="0" t="n">
        <f aca="false">-1+B3253*0.125</f>
        <v>-0.5</v>
      </c>
      <c r="F3253" s="0" t="n">
        <f aca="false">-1+C3253*0.125</f>
        <v>-0.875</v>
      </c>
      <c r="G3253" s="0" t="n">
        <f aca="false">1</f>
        <v>1</v>
      </c>
      <c r="H3253" s="0" t="n">
        <f aca="false">D3253</f>
        <v>0.375</v>
      </c>
      <c r="I3253" s="0" t="n">
        <f aca="false">E3253</f>
        <v>-0.5</v>
      </c>
      <c r="J3253" s="0" t="n">
        <f aca="false">F3253</f>
        <v>-0.875</v>
      </c>
      <c r="K3253" s="0" t="n">
        <f aca="false">D3253*E3253</f>
        <v>-0.1875</v>
      </c>
      <c r="L3253" s="0" t="n">
        <f aca="false">D3253*F3253</f>
        <v>-0.328125</v>
      </c>
      <c r="M3253" s="0" t="n">
        <f aca="false">E3253*F3253</f>
        <v>0.4375</v>
      </c>
      <c r="N3253" s="0" t="n">
        <f aca="false">D3253*D3253</f>
        <v>0.140625</v>
      </c>
      <c r="O3253" s="0" t="n">
        <f aca="false">E3253*E3253</f>
        <v>0.25</v>
      </c>
      <c r="P3253" s="0" t="n">
        <f aca="false">F3253*F3253</f>
        <v>0.765625</v>
      </c>
      <c r="Q3253" s="0" t="n">
        <f aca="false">SUMPRODUCT(G3253:P3253,_XtX!$B$71:$K$71)</f>
        <v>45.38078125</v>
      </c>
      <c r="R3253" s="0" t="n">
        <f aca="false">SUMPRODUCT(MMULT(G3253:P3253,_XtX!$B$58:$K$67),G3253:P3253)</f>
        <v>0.322393798828125</v>
      </c>
      <c r="S3253" s="0" t="n">
        <f aca="false">04_回帰ANOVA!$K$19*04_回帰ANOVA!$K$14*SQRT(1+R3253)</f>
        <v>1.06917067390712</v>
      </c>
      <c r="T3253" s="0" t="n">
        <f aca="false">Q3253-S3253</f>
        <v>44.3116105760929</v>
      </c>
      <c r="U3253" s="0" t="n">
        <f aca="false">Q3253+S3253</f>
        <v>46.4499519239071</v>
      </c>
      <c r="V3253" s="54" t="b">
        <f aca="false">AND(D3253&gt;=01_因子設定!$L$5-0.000000001,D3253&lt;=01_因子設定!$M$5+0.000000001,E3253&gt;=01_因子設定!$L$6-0.000000001,E3253&lt;=01_因子設定!$M$6+0.000000001,F3253&gt;=01_因子設定!$L$7-0.000000001,F3253&lt;=01_因子設定!$M$7+0.000000001,IF(01_因子設定!$B$20="Box-Behnken",D3253^2+E3253^2+F3253^2&lt;=2+0.000000001,TRUE()))</f>
        <v>1</v>
      </c>
      <c r="W3253" s="55" t="n">
        <f aca="false">IF(V3253,IF(01_因子設定!$B$13="最大化",T3253-01_因子設定!$B$14,IF(01_因子設定!$B$13="最小化",01_因子設定!$B$15-U3253,MIN(T3253-01_因子設定!$B$14,01_因子設定!$B$15-U3253))),-1E+030)</f>
        <v>-4.1883894239071</v>
      </c>
      <c r="X3253" s="55" t="n">
        <f aca="false">IF(V3253,IF(01_因子設定!$B$13="最大化",Q3253,IF(01_因子設定!$B$13="最小化",-Q3253,-ABS(Q3253-01_因子設定!$B$16))),-1E+030)</f>
        <v>45.38078125</v>
      </c>
      <c r="Y3253" s="55" t="n">
        <f aca="false">W3253+ROW()*0.000000001</f>
        <v>-4.1883861709071</v>
      </c>
      <c r="Z3253" s="55" t="n">
        <f aca="false">X3253+ROW()*0.000000001</f>
        <v>45.380784503</v>
      </c>
    </row>
    <row r="3254" customFormat="false" ht="15" hidden="false" customHeight="false" outlineLevel="0" collapsed="false">
      <c r="A3254" s="0" t="n">
        <v>11</v>
      </c>
      <c r="B3254" s="0" t="n">
        <v>4</v>
      </c>
      <c r="C3254" s="0" t="n">
        <v>2</v>
      </c>
      <c r="D3254" s="0" t="n">
        <f aca="false">-1+A3254*0.125</f>
        <v>0.375</v>
      </c>
      <c r="E3254" s="0" t="n">
        <f aca="false">-1+B3254*0.125</f>
        <v>-0.5</v>
      </c>
      <c r="F3254" s="0" t="n">
        <f aca="false">-1+C3254*0.125</f>
        <v>-0.75</v>
      </c>
      <c r="G3254" s="0" t="n">
        <f aca="false">1</f>
        <v>1</v>
      </c>
      <c r="H3254" s="0" t="n">
        <f aca="false">D3254</f>
        <v>0.375</v>
      </c>
      <c r="I3254" s="0" t="n">
        <f aca="false">E3254</f>
        <v>-0.5</v>
      </c>
      <c r="J3254" s="0" t="n">
        <f aca="false">F3254</f>
        <v>-0.75</v>
      </c>
      <c r="K3254" s="0" t="n">
        <f aca="false">D3254*E3254</f>
        <v>-0.1875</v>
      </c>
      <c r="L3254" s="0" t="n">
        <f aca="false">D3254*F3254</f>
        <v>-0.28125</v>
      </c>
      <c r="M3254" s="0" t="n">
        <f aca="false">E3254*F3254</f>
        <v>0.375</v>
      </c>
      <c r="N3254" s="0" t="n">
        <f aca="false">D3254*D3254</f>
        <v>0.140625</v>
      </c>
      <c r="O3254" s="0" t="n">
        <f aca="false">E3254*E3254</f>
        <v>0.25</v>
      </c>
      <c r="P3254" s="0" t="n">
        <f aca="false">F3254*F3254</f>
        <v>0.5625</v>
      </c>
      <c r="Q3254" s="0" t="n">
        <f aca="false">SUMPRODUCT(G3254:P3254,_XtX!$B$71:$K$71)</f>
        <v>45.7572585227273</v>
      </c>
      <c r="R3254" s="0" t="n">
        <f aca="false">SUMPRODUCT(MMULT(G3254:P3254,_XtX!$B$58:$K$67),G3254:P3254)</f>
        <v>0.234168590198864</v>
      </c>
      <c r="S3254" s="0" t="n">
        <f aca="false">04_回帰ANOVA!$K$19*04_回帰ANOVA!$K$14*SQRT(1+R3254)</f>
        <v>1.03288954322488</v>
      </c>
      <c r="T3254" s="0" t="n">
        <f aca="false">Q3254-S3254</f>
        <v>44.7243689795024</v>
      </c>
      <c r="U3254" s="0" t="n">
        <f aca="false">Q3254+S3254</f>
        <v>46.7901480659522</v>
      </c>
      <c r="V3254" s="54" t="b">
        <f aca="false">AND(D3254&gt;=01_因子設定!$L$5-0.000000001,D3254&lt;=01_因子設定!$M$5+0.000000001,E3254&gt;=01_因子設定!$L$6-0.000000001,E3254&lt;=01_因子設定!$M$6+0.000000001,F3254&gt;=01_因子設定!$L$7-0.000000001,F3254&lt;=01_因子設定!$M$7+0.000000001,IF(01_因子設定!$B$20="Box-Behnken",D3254^2+E3254^2+F3254^2&lt;=2+0.000000001,TRUE()))</f>
        <v>1</v>
      </c>
      <c r="W3254" s="55" t="n">
        <f aca="false">IF(V3254,IF(01_因子設定!$B$13="最大化",T3254-01_因子設定!$B$14,IF(01_因子設定!$B$13="最小化",01_因子設定!$B$15-U3254,MIN(T3254-01_因子設定!$B$14,01_因子設定!$B$15-U3254))),-1E+030)</f>
        <v>-3.77563102049758</v>
      </c>
      <c r="X3254" s="55" t="n">
        <f aca="false">IF(V3254,IF(01_因子設定!$B$13="最大化",Q3254,IF(01_因子設定!$B$13="最小化",-Q3254,-ABS(Q3254-01_因子設定!$B$16))),-1E+030)</f>
        <v>45.7572585227273</v>
      </c>
      <c r="Y3254" s="55" t="n">
        <f aca="false">W3254+ROW()*0.000000001</f>
        <v>-3.77562776649758</v>
      </c>
      <c r="Z3254" s="55" t="n">
        <f aca="false">X3254+ROW()*0.000000001</f>
        <v>45.7572617767273</v>
      </c>
    </row>
    <row r="3255" customFormat="false" ht="15" hidden="false" customHeight="false" outlineLevel="0" collapsed="false">
      <c r="A3255" s="0" t="n">
        <v>11</v>
      </c>
      <c r="B3255" s="0" t="n">
        <v>4</v>
      </c>
      <c r="C3255" s="0" t="n">
        <v>3</v>
      </c>
      <c r="D3255" s="0" t="n">
        <f aca="false">-1+A3255*0.125</f>
        <v>0.375</v>
      </c>
      <c r="E3255" s="0" t="n">
        <f aca="false">-1+B3255*0.125</f>
        <v>-0.5</v>
      </c>
      <c r="F3255" s="0" t="n">
        <f aca="false">-1+C3255*0.125</f>
        <v>-0.625</v>
      </c>
      <c r="G3255" s="0" t="n">
        <f aca="false">1</f>
        <v>1</v>
      </c>
      <c r="H3255" s="0" t="n">
        <f aca="false">D3255</f>
        <v>0.375</v>
      </c>
      <c r="I3255" s="0" t="n">
        <f aca="false">E3255</f>
        <v>-0.5</v>
      </c>
      <c r="J3255" s="0" t="n">
        <f aca="false">F3255</f>
        <v>-0.625</v>
      </c>
      <c r="K3255" s="0" t="n">
        <f aca="false">D3255*E3255</f>
        <v>-0.1875</v>
      </c>
      <c r="L3255" s="0" t="n">
        <f aca="false">D3255*F3255</f>
        <v>-0.234375</v>
      </c>
      <c r="M3255" s="0" t="n">
        <f aca="false">E3255*F3255</f>
        <v>0.3125</v>
      </c>
      <c r="N3255" s="0" t="n">
        <f aca="false">D3255*D3255</f>
        <v>0.140625</v>
      </c>
      <c r="O3255" s="0" t="n">
        <f aca="false">E3255*E3255</f>
        <v>0.25</v>
      </c>
      <c r="P3255" s="0" t="n">
        <f aca="false">F3255*F3255</f>
        <v>0.390625</v>
      </c>
      <c r="Q3255" s="0" t="n">
        <f aca="false">SUMPRODUCT(G3255:P3255,_XtX!$B$71:$K$71)</f>
        <v>46.0969460227273</v>
      </c>
      <c r="R3255" s="0" t="n">
        <f aca="false">SUMPRODUCT(MMULT(G3255:P3255,_XtX!$B$58:$K$67),G3255:P3255)</f>
        <v>0.182953990589489</v>
      </c>
      <c r="S3255" s="0" t="n">
        <f aca="false">04_回帰ANOVA!$K$19*04_回帰ANOVA!$K$14*SQRT(1+R3255)</f>
        <v>1.01123143807044</v>
      </c>
      <c r="T3255" s="0" t="n">
        <f aca="false">Q3255-S3255</f>
        <v>45.0857145846569</v>
      </c>
      <c r="U3255" s="0" t="n">
        <f aca="false">Q3255+S3255</f>
        <v>47.1081774607977</v>
      </c>
      <c r="V3255" s="54" t="b">
        <f aca="false">AND(D3255&gt;=01_因子設定!$L$5-0.000000001,D3255&lt;=01_因子設定!$M$5+0.000000001,E3255&gt;=01_因子設定!$L$6-0.000000001,E3255&lt;=01_因子設定!$M$6+0.000000001,F3255&gt;=01_因子設定!$L$7-0.000000001,F3255&lt;=01_因子設定!$M$7+0.000000001,IF(01_因子設定!$B$20="Box-Behnken",D3255^2+E3255^2+F3255^2&lt;=2+0.000000001,TRUE()))</f>
        <v>1</v>
      </c>
      <c r="W3255" s="55" t="n">
        <f aca="false">IF(V3255,IF(01_因子設定!$B$13="最大化",T3255-01_因子設定!$B$14,IF(01_因子設定!$B$13="最小化",01_因子設定!$B$15-U3255,MIN(T3255-01_因子設定!$B$14,01_因子設定!$B$15-U3255))),-1E+030)</f>
        <v>-3.41428541534315</v>
      </c>
      <c r="X3255" s="55" t="n">
        <f aca="false">IF(V3255,IF(01_因子設定!$B$13="最大化",Q3255,IF(01_因子設定!$B$13="最小化",-Q3255,-ABS(Q3255-01_因子設定!$B$16))),-1E+030)</f>
        <v>46.0969460227273</v>
      </c>
      <c r="Y3255" s="55" t="n">
        <f aca="false">W3255+ROW()*0.000000001</f>
        <v>-3.41428216034315</v>
      </c>
      <c r="Z3255" s="55" t="n">
        <f aca="false">X3255+ROW()*0.000000001</f>
        <v>46.0969492777273</v>
      </c>
    </row>
    <row r="3256" customFormat="false" ht="15" hidden="false" customHeight="false" outlineLevel="0" collapsed="false">
      <c r="A3256" s="0" t="n">
        <v>11</v>
      </c>
      <c r="B3256" s="0" t="n">
        <v>4</v>
      </c>
      <c r="C3256" s="0" t="n">
        <v>4</v>
      </c>
      <c r="D3256" s="0" t="n">
        <f aca="false">-1+A3256*0.125</f>
        <v>0.375</v>
      </c>
      <c r="E3256" s="0" t="n">
        <f aca="false">-1+B3256*0.125</f>
        <v>-0.5</v>
      </c>
      <c r="F3256" s="0" t="n">
        <f aca="false">-1+C3256*0.125</f>
        <v>-0.5</v>
      </c>
      <c r="G3256" s="0" t="n">
        <f aca="false">1</f>
        <v>1</v>
      </c>
      <c r="H3256" s="0" t="n">
        <f aca="false">D3256</f>
        <v>0.375</v>
      </c>
      <c r="I3256" s="0" t="n">
        <f aca="false">E3256</f>
        <v>-0.5</v>
      </c>
      <c r="J3256" s="0" t="n">
        <f aca="false">F3256</f>
        <v>-0.5</v>
      </c>
      <c r="K3256" s="0" t="n">
        <f aca="false">D3256*E3256</f>
        <v>-0.1875</v>
      </c>
      <c r="L3256" s="0" t="n">
        <f aca="false">D3256*F3256</f>
        <v>-0.1875</v>
      </c>
      <c r="M3256" s="0" t="n">
        <f aca="false">E3256*F3256</f>
        <v>0.25</v>
      </c>
      <c r="N3256" s="0" t="n">
        <f aca="false">D3256*D3256</f>
        <v>0.140625</v>
      </c>
      <c r="O3256" s="0" t="n">
        <f aca="false">E3256*E3256</f>
        <v>0.25</v>
      </c>
      <c r="P3256" s="0" t="n">
        <f aca="false">F3256*F3256</f>
        <v>0.25</v>
      </c>
      <c r="Q3256" s="0" t="n">
        <f aca="false">SUMPRODUCT(G3256:P3256,_XtX!$B$71:$K$71)</f>
        <v>46.39984375</v>
      </c>
      <c r="R3256" s="0" t="n">
        <f aca="false">SUMPRODUCT(MMULT(G3256:P3256,_XtX!$B$58:$K$67),G3256:P3256)</f>
        <v>0.15703125</v>
      </c>
      <c r="S3256" s="0" t="n">
        <f aca="false">04_回帰ANOVA!$K$19*04_回帰ANOVA!$K$14*SQRT(1+R3256)</f>
        <v>1.00009022049162</v>
      </c>
      <c r="T3256" s="0" t="n">
        <f aca="false">Q3256-S3256</f>
        <v>45.3997535295084</v>
      </c>
      <c r="U3256" s="0" t="n">
        <f aca="false">Q3256+S3256</f>
        <v>47.3999339704916</v>
      </c>
      <c r="V3256" s="54" t="b">
        <f aca="false">AND(D3256&gt;=01_因子設定!$L$5-0.000000001,D3256&lt;=01_因子設定!$M$5+0.000000001,E3256&gt;=01_因子設定!$L$6-0.000000001,E3256&lt;=01_因子設定!$M$6+0.000000001,F3256&gt;=01_因子設定!$L$7-0.000000001,F3256&lt;=01_因子設定!$M$7+0.000000001,IF(01_因子設定!$B$20="Box-Behnken",D3256^2+E3256^2+F3256^2&lt;=2+0.000000001,TRUE()))</f>
        <v>1</v>
      </c>
      <c r="W3256" s="55" t="n">
        <f aca="false">IF(V3256,IF(01_因子設定!$B$13="最大化",T3256-01_因子設定!$B$14,IF(01_因子設定!$B$13="最小化",01_因子設定!$B$15-U3256,MIN(T3256-01_因子設定!$B$14,01_因子設定!$B$15-U3256))),-1E+030)</f>
        <v>-3.10024647049161</v>
      </c>
      <c r="X3256" s="55" t="n">
        <f aca="false">IF(V3256,IF(01_因子設定!$B$13="最大化",Q3256,IF(01_因子設定!$B$13="最小化",-Q3256,-ABS(Q3256-01_因子設定!$B$16))),-1E+030)</f>
        <v>46.39984375</v>
      </c>
      <c r="Y3256" s="55" t="n">
        <f aca="false">W3256+ROW()*0.000000001</f>
        <v>-3.10024321449161</v>
      </c>
      <c r="Z3256" s="55" t="n">
        <f aca="false">X3256+ROW()*0.000000001</f>
        <v>46.399847006</v>
      </c>
    </row>
    <row r="3257" customFormat="false" ht="15" hidden="false" customHeight="false" outlineLevel="0" collapsed="false">
      <c r="A3257" s="0" t="n">
        <v>11</v>
      </c>
      <c r="B3257" s="0" t="n">
        <v>4</v>
      </c>
      <c r="C3257" s="0" t="n">
        <v>5</v>
      </c>
      <c r="D3257" s="0" t="n">
        <f aca="false">-1+A3257*0.125</f>
        <v>0.375</v>
      </c>
      <c r="E3257" s="0" t="n">
        <f aca="false">-1+B3257*0.125</f>
        <v>-0.5</v>
      </c>
      <c r="F3257" s="0" t="n">
        <f aca="false">-1+C3257*0.125</f>
        <v>-0.375</v>
      </c>
      <c r="G3257" s="0" t="n">
        <f aca="false">1</f>
        <v>1</v>
      </c>
      <c r="H3257" s="0" t="n">
        <f aca="false">D3257</f>
        <v>0.375</v>
      </c>
      <c r="I3257" s="0" t="n">
        <f aca="false">E3257</f>
        <v>-0.5</v>
      </c>
      <c r="J3257" s="0" t="n">
        <f aca="false">F3257</f>
        <v>-0.375</v>
      </c>
      <c r="K3257" s="0" t="n">
        <f aca="false">D3257*E3257</f>
        <v>-0.1875</v>
      </c>
      <c r="L3257" s="0" t="n">
        <f aca="false">D3257*F3257</f>
        <v>-0.140625</v>
      </c>
      <c r="M3257" s="0" t="n">
        <f aca="false">E3257*F3257</f>
        <v>0.1875</v>
      </c>
      <c r="N3257" s="0" t="n">
        <f aca="false">D3257*D3257</f>
        <v>0.140625</v>
      </c>
      <c r="O3257" s="0" t="n">
        <f aca="false">E3257*E3257</f>
        <v>0.25</v>
      </c>
      <c r="P3257" s="0" t="n">
        <f aca="false">F3257*F3257</f>
        <v>0.140625</v>
      </c>
      <c r="Q3257" s="0" t="n">
        <f aca="false">SUMPRODUCT(G3257:P3257,_XtX!$B$71:$K$71)</f>
        <v>46.6659517045455</v>
      </c>
      <c r="R3257" s="0" t="n">
        <f aca="false">SUMPRODUCT(MMULT(G3257:P3257,_XtX!$B$58:$K$67),G3257:P3257)</f>
        <v>0.14681230024858</v>
      </c>
      <c r="S3257" s="0" t="n">
        <f aca="false">04_回帰ANOVA!$K$19*04_回帰ANOVA!$K$14*SQRT(1+R3257)</f>
        <v>0.995664005771711</v>
      </c>
      <c r="T3257" s="0" t="n">
        <f aca="false">Q3257-S3257</f>
        <v>45.6702876987738</v>
      </c>
      <c r="U3257" s="0" t="n">
        <f aca="false">Q3257+S3257</f>
        <v>47.6616157103172</v>
      </c>
      <c r="V3257" s="54" t="b">
        <f aca="false">AND(D3257&gt;=01_因子設定!$L$5-0.000000001,D3257&lt;=01_因子設定!$M$5+0.000000001,E3257&gt;=01_因子設定!$L$6-0.000000001,E3257&lt;=01_因子設定!$M$6+0.000000001,F3257&gt;=01_因子設定!$L$7-0.000000001,F3257&lt;=01_因子設定!$M$7+0.000000001,IF(01_因子設定!$B$20="Box-Behnken",D3257^2+E3257^2+F3257^2&lt;=2+0.000000001,TRUE()))</f>
        <v>1</v>
      </c>
      <c r="W3257" s="55" t="n">
        <f aca="false">IF(V3257,IF(01_因子設定!$B$13="最大化",T3257-01_因子設定!$B$14,IF(01_因子設定!$B$13="最小化",01_因子設定!$B$15-U3257,MIN(T3257-01_因子設定!$B$14,01_因子設定!$B$15-U3257))),-1E+030)</f>
        <v>-2.82971230122624</v>
      </c>
      <c r="X3257" s="55" t="n">
        <f aca="false">IF(V3257,IF(01_因子設定!$B$13="最大化",Q3257,IF(01_因子設定!$B$13="最小化",-Q3257,-ABS(Q3257-01_因子設定!$B$16))),-1E+030)</f>
        <v>46.6659517045455</v>
      </c>
      <c r="Y3257" s="55" t="n">
        <f aca="false">W3257+ROW()*0.000000001</f>
        <v>-2.82970904422624</v>
      </c>
      <c r="Z3257" s="55" t="n">
        <f aca="false">X3257+ROW()*0.000000001</f>
        <v>46.6659549615455</v>
      </c>
    </row>
    <row r="3258" customFormat="false" ht="15" hidden="false" customHeight="false" outlineLevel="0" collapsed="false">
      <c r="A3258" s="0" t="n">
        <v>11</v>
      </c>
      <c r="B3258" s="0" t="n">
        <v>4</v>
      </c>
      <c r="C3258" s="0" t="n">
        <v>6</v>
      </c>
      <c r="D3258" s="0" t="n">
        <f aca="false">-1+A3258*0.125</f>
        <v>0.375</v>
      </c>
      <c r="E3258" s="0" t="n">
        <f aca="false">-1+B3258*0.125</f>
        <v>-0.5</v>
      </c>
      <c r="F3258" s="0" t="n">
        <f aca="false">-1+C3258*0.125</f>
        <v>-0.25</v>
      </c>
      <c r="G3258" s="0" t="n">
        <f aca="false">1</f>
        <v>1</v>
      </c>
      <c r="H3258" s="0" t="n">
        <f aca="false">D3258</f>
        <v>0.375</v>
      </c>
      <c r="I3258" s="0" t="n">
        <f aca="false">E3258</f>
        <v>-0.5</v>
      </c>
      <c r="J3258" s="0" t="n">
        <f aca="false">F3258</f>
        <v>-0.25</v>
      </c>
      <c r="K3258" s="0" t="n">
        <f aca="false">D3258*E3258</f>
        <v>-0.1875</v>
      </c>
      <c r="L3258" s="0" t="n">
        <f aca="false">D3258*F3258</f>
        <v>-0.09375</v>
      </c>
      <c r="M3258" s="0" t="n">
        <f aca="false">E3258*F3258</f>
        <v>0.125</v>
      </c>
      <c r="N3258" s="0" t="n">
        <f aca="false">D3258*D3258</f>
        <v>0.140625</v>
      </c>
      <c r="O3258" s="0" t="n">
        <f aca="false">E3258*E3258</f>
        <v>0.25</v>
      </c>
      <c r="P3258" s="0" t="n">
        <f aca="false">F3258*F3258</f>
        <v>0.0625</v>
      </c>
      <c r="Q3258" s="0" t="n">
        <f aca="false">SUMPRODUCT(G3258:P3258,_XtX!$B$71:$K$71)</f>
        <v>46.8952698863636</v>
      </c>
      <c r="R3258" s="0" t="n">
        <f aca="false">SUMPRODUCT(MMULT(G3258:P3258,_XtX!$B$58:$K$67),G3258:P3258)</f>
        <v>0.144839754971591</v>
      </c>
      <c r="S3258" s="0" t="n">
        <f aca="false">04_回帰ANOVA!$K$19*04_回帰ANOVA!$K$14*SQRT(1+R3258)</f>
        <v>0.994807353995542</v>
      </c>
      <c r="T3258" s="0" t="n">
        <f aca="false">Q3258-S3258</f>
        <v>45.9004625323681</v>
      </c>
      <c r="U3258" s="0" t="n">
        <f aca="false">Q3258+S3258</f>
        <v>47.8900772403592</v>
      </c>
      <c r="V3258" s="54" t="b">
        <f aca="false">AND(D3258&gt;=01_因子設定!$L$5-0.000000001,D3258&lt;=01_因子設定!$M$5+0.000000001,E3258&gt;=01_因子設定!$L$6-0.000000001,E3258&lt;=01_因子設定!$M$6+0.000000001,F3258&gt;=01_因子設定!$L$7-0.000000001,F3258&lt;=01_因子設定!$M$7+0.000000001,IF(01_因子設定!$B$20="Box-Behnken",D3258^2+E3258^2+F3258^2&lt;=2+0.000000001,TRUE()))</f>
        <v>1</v>
      </c>
      <c r="W3258" s="55" t="n">
        <f aca="false">IF(V3258,IF(01_因子設定!$B$13="最大化",T3258-01_因子設定!$B$14,IF(01_因子設定!$B$13="最小化",01_因子設定!$B$15-U3258,MIN(T3258-01_因子設定!$B$14,01_因子設定!$B$15-U3258))),-1E+030)</f>
        <v>-2.5995374676319</v>
      </c>
      <c r="X3258" s="55" t="n">
        <f aca="false">IF(V3258,IF(01_因子設定!$B$13="最大化",Q3258,IF(01_因子設定!$B$13="最小化",-Q3258,-ABS(Q3258-01_因子設定!$B$16))),-1E+030)</f>
        <v>46.8952698863636</v>
      </c>
      <c r="Y3258" s="55" t="n">
        <f aca="false">W3258+ROW()*0.000000001</f>
        <v>-2.5995342096319</v>
      </c>
      <c r="Z3258" s="55" t="n">
        <f aca="false">X3258+ROW()*0.000000001</f>
        <v>46.8952731443636</v>
      </c>
    </row>
    <row r="3259" customFormat="false" ht="15" hidden="false" customHeight="false" outlineLevel="0" collapsed="false">
      <c r="A3259" s="0" t="n">
        <v>11</v>
      </c>
      <c r="B3259" s="0" t="n">
        <v>4</v>
      </c>
      <c r="C3259" s="0" t="n">
        <v>7</v>
      </c>
      <c r="D3259" s="0" t="n">
        <f aca="false">-1+A3259*0.125</f>
        <v>0.375</v>
      </c>
      <c r="E3259" s="0" t="n">
        <f aca="false">-1+B3259*0.125</f>
        <v>-0.5</v>
      </c>
      <c r="F3259" s="0" t="n">
        <f aca="false">-1+C3259*0.125</f>
        <v>-0.125</v>
      </c>
      <c r="G3259" s="0" t="n">
        <f aca="false">1</f>
        <v>1</v>
      </c>
      <c r="H3259" s="0" t="n">
        <f aca="false">D3259</f>
        <v>0.375</v>
      </c>
      <c r="I3259" s="0" t="n">
        <f aca="false">E3259</f>
        <v>-0.5</v>
      </c>
      <c r="J3259" s="0" t="n">
        <f aca="false">F3259</f>
        <v>-0.125</v>
      </c>
      <c r="K3259" s="0" t="n">
        <f aca="false">D3259*E3259</f>
        <v>-0.1875</v>
      </c>
      <c r="L3259" s="0" t="n">
        <f aca="false">D3259*F3259</f>
        <v>-0.046875</v>
      </c>
      <c r="M3259" s="0" t="n">
        <f aca="false">E3259*F3259</f>
        <v>0.0625</v>
      </c>
      <c r="N3259" s="0" t="n">
        <f aca="false">D3259*D3259</f>
        <v>0.140625</v>
      </c>
      <c r="O3259" s="0" t="n">
        <f aca="false">E3259*E3259</f>
        <v>0.25</v>
      </c>
      <c r="P3259" s="0" t="n">
        <f aca="false">F3259*F3259</f>
        <v>0.015625</v>
      </c>
      <c r="Q3259" s="0" t="n">
        <f aca="false">SUMPRODUCT(G3259:P3259,_XtX!$B$71:$K$71)</f>
        <v>47.0877982954546</v>
      </c>
      <c r="R3259" s="0" t="n">
        <f aca="false">SUMPRODUCT(MMULT(G3259:P3259,_XtX!$B$58:$K$67),G3259:P3259)</f>
        <v>0.14578690962358</v>
      </c>
      <c r="S3259" s="0" t="n">
        <f aca="false">04_回帰ANOVA!$K$19*04_回帰ANOVA!$K$14*SQRT(1+R3259)</f>
        <v>0.995218783457917</v>
      </c>
      <c r="T3259" s="0" t="n">
        <f aca="false">Q3259-S3259</f>
        <v>46.0925795119966</v>
      </c>
      <c r="U3259" s="0" t="n">
        <f aca="false">Q3259+S3259</f>
        <v>48.0830170789125</v>
      </c>
      <c r="V3259" s="54" t="b">
        <f aca="false">AND(D3259&gt;=01_因子設定!$L$5-0.000000001,D3259&lt;=01_因子設定!$M$5+0.000000001,E3259&gt;=01_因子設定!$L$6-0.000000001,E3259&lt;=01_因子設定!$M$6+0.000000001,F3259&gt;=01_因子設定!$L$7-0.000000001,F3259&lt;=01_因子設定!$M$7+0.000000001,IF(01_因子設定!$B$20="Box-Behnken",D3259^2+E3259^2+F3259^2&lt;=2+0.000000001,TRUE()))</f>
        <v>1</v>
      </c>
      <c r="W3259" s="55" t="n">
        <f aca="false">IF(V3259,IF(01_因子設定!$B$13="最大化",T3259-01_因子設定!$B$14,IF(01_因子設定!$B$13="最小化",01_因子設定!$B$15-U3259,MIN(T3259-01_因子設定!$B$14,01_因子設定!$B$15-U3259))),-1E+030)</f>
        <v>-2.40742048800336</v>
      </c>
      <c r="X3259" s="55" t="n">
        <f aca="false">IF(V3259,IF(01_因子設定!$B$13="最大化",Q3259,IF(01_因子設定!$B$13="最小化",-Q3259,-ABS(Q3259-01_因子設定!$B$16))),-1E+030)</f>
        <v>47.0877982954546</v>
      </c>
      <c r="Y3259" s="55" t="n">
        <f aca="false">W3259+ROW()*0.000000001</f>
        <v>-2.40741722900336</v>
      </c>
      <c r="Z3259" s="55" t="n">
        <f aca="false">X3259+ROW()*0.000000001</f>
        <v>47.0878015544546</v>
      </c>
    </row>
    <row r="3260" customFormat="false" ht="15" hidden="false" customHeight="false" outlineLevel="0" collapsed="false">
      <c r="A3260" s="0" t="n">
        <v>11</v>
      </c>
      <c r="B3260" s="0" t="n">
        <v>4</v>
      </c>
      <c r="C3260" s="0" t="n">
        <v>8</v>
      </c>
      <c r="D3260" s="0" t="n">
        <f aca="false">-1+A3260*0.125</f>
        <v>0.375</v>
      </c>
      <c r="E3260" s="0" t="n">
        <f aca="false">-1+B3260*0.125</f>
        <v>-0.5</v>
      </c>
      <c r="F3260" s="0" t="n">
        <f aca="false">-1+C3260*0.125</f>
        <v>0</v>
      </c>
      <c r="G3260" s="0" t="n">
        <f aca="false">1</f>
        <v>1</v>
      </c>
      <c r="H3260" s="0" t="n">
        <f aca="false">D3260</f>
        <v>0.375</v>
      </c>
      <c r="I3260" s="0" t="n">
        <f aca="false">E3260</f>
        <v>-0.5</v>
      </c>
      <c r="J3260" s="0" t="n">
        <f aca="false">F3260</f>
        <v>0</v>
      </c>
      <c r="K3260" s="0" t="n">
        <f aca="false">D3260*E3260</f>
        <v>-0.1875</v>
      </c>
      <c r="L3260" s="0" t="n">
        <f aca="false">D3260*F3260</f>
        <v>0</v>
      </c>
      <c r="M3260" s="0" t="n">
        <f aca="false">E3260*F3260</f>
        <v>-0</v>
      </c>
      <c r="N3260" s="0" t="n">
        <f aca="false">D3260*D3260</f>
        <v>0.140625</v>
      </c>
      <c r="O3260" s="0" t="n">
        <f aca="false">E3260*E3260</f>
        <v>0.25</v>
      </c>
      <c r="P3260" s="0" t="n">
        <f aca="false">F3260*F3260</f>
        <v>0</v>
      </c>
      <c r="Q3260" s="0" t="n">
        <f aca="false">SUMPRODUCT(G3260:P3260,_XtX!$B$71:$K$71)</f>
        <v>47.2435369318182</v>
      </c>
      <c r="R3260" s="0" t="n">
        <f aca="false">SUMPRODUCT(MMULT(G3260:P3260,_XtX!$B$58:$K$67),G3260:P3260)</f>
        <v>0.146457741477273</v>
      </c>
      <c r="S3260" s="0" t="n">
        <f aca="false">04_回帰ANOVA!$K$19*04_回帰ANOVA!$K$14*SQRT(1+R3260)</f>
        <v>0.995510079668687</v>
      </c>
      <c r="T3260" s="0" t="n">
        <f aca="false">Q3260-S3260</f>
        <v>46.2480268521495</v>
      </c>
      <c r="U3260" s="0" t="n">
        <f aca="false">Q3260+S3260</f>
        <v>48.2390470114869</v>
      </c>
      <c r="V3260" s="54" t="b">
        <f aca="false">AND(D3260&gt;=01_因子設定!$L$5-0.000000001,D3260&lt;=01_因子設定!$M$5+0.000000001,E3260&gt;=01_因子設定!$L$6-0.000000001,E3260&lt;=01_因子設定!$M$6+0.000000001,F3260&gt;=01_因子設定!$L$7-0.000000001,F3260&lt;=01_因子設定!$M$7+0.000000001,IF(01_因子設定!$B$20="Box-Behnken",D3260^2+E3260^2+F3260^2&lt;=2+0.000000001,TRUE()))</f>
        <v>1</v>
      </c>
      <c r="W3260" s="55" t="n">
        <f aca="false">IF(V3260,IF(01_因子設定!$B$13="最大化",T3260-01_因子設定!$B$14,IF(01_因子設定!$B$13="最小化",01_因子設定!$B$15-U3260,MIN(T3260-01_因子設定!$B$14,01_因子設定!$B$15-U3260))),-1E+030)</f>
        <v>-2.25197314785049</v>
      </c>
      <c r="X3260" s="55" t="n">
        <f aca="false">IF(V3260,IF(01_因子設定!$B$13="最大化",Q3260,IF(01_因子設定!$B$13="最小化",-Q3260,-ABS(Q3260-01_因子設定!$B$16))),-1E+030)</f>
        <v>47.2435369318182</v>
      </c>
      <c r="Y3260" s="55" t="n">
        <f aca="false">W3260+ROW()*0.000000001</f>
        <v>-2.25196988785049</v>
      </c>
      <c r="Z3260" s="55" t="n">
        <f aca="false">X3260+ROW()*0.000000001</f>
        <v>47.2435401918182</v>
      </c>
    </row>
    <row r="3261" customFormat="false" ht="15" hidden="false" customHeight="false" outlineLevel="0" collapsed="false">
      <c r="A3261" s="0" t="n">
        <v>11</v>
      </c>
      <c r="B3261" s="0" t="n">
        <v>4</v>
      </c>
      <c r="C3261" s="0" t="n">
        <v>9</v>
      </c>
      <c r="D3261" s="0" t="n">
        <f aca="false">-1+A3261*0.125</f>
        <v>0.375</v>
      </c>
      <c r="E3261" s="0" t="n">
        <f aca="false">-1+B3261*0.125</f>
        <v>-0.5</v>
      </c>
      <c r="F3261" s="0" t="n">
        <f aca="false">-1+C3261*0.125</f>
        <v>0.125</v>
      </c>
      <c r="G3261" s="0" t="n">
        <f aca="false">1</f>
        <v>1</v>
      </c>
      <c r="H3261" s="0" t="n">
        <f aca="false">D3261</f>
        <v>0.375</v>
      </c>
      <c r="I3261" s="0" t="n">
        <f aca="false">E3261</f>
        <v>-0.5</v>
      </c>
      <c r="J3261" s="0" t="n">
        <f aca="false">F3261</f>
        <v>0.125</v>
      </c>
      <c r="K3261" s="0" t="n">
        <f aca="false">D3261*E3261</f>
        <v>-0.1875</v>
      </c>
      <c r="L3261" s="0" t="n">
        <f aca="false">D3261*F3261</f>
        <v>0.046875</v>
      </c>
      <c r="M3261" s="0" t="n">
        <f aca="false">E3261*F3261</f>
        <v>-0.0625</v>
      </c>
      <c r="N3261" s="0" t="n">
        <f aca="false">D3261*D3261</f>
        <v>0.140625</v>
      </c>
      <c r="O3261" s="0" t="n">
        <f aca="false">E3261*E3261</f>
        <v>0.25</v>
      </c>
      <c r="P3261" s="0" t="n">
        <f aca="false">F3261*F3261</f>
        <v>0.015625</v>
      </c>
      <c r="Q3261" s="0" t="n">
        <f aca="false">SUMPRODUCT(G3261:P3261,_XtX!$B$71:$K$71)</f>
        <v>47.3624857954546</v>
      </c>
      <c r="R3261" s="0" t="n">
        <f aca="false">SUMPRODUCT(MMULT(G3261:P3261,_XtX!$B$58:$K$67),G3261:P3261)</f>
        <v>0.14578690962358</v>
      </c>
      <c r="S3261" s="0" t="n">
        <f aca="false">04_回帰ANOVA!$K$19*04_回帰ANOVA!$K$14*SQRT(1+R3261)</f>
        <v>0.995218783457917</v>
      </c>
      <c r="T3261" s="0" t="n">
        <f aca="false">Q3261-S3261</f>
        <v>46.3672670119966</v>
      </c>
      <c r="U3261" s="0" t="n">
        <f aca="false">Q3261+S3261</f>
        <v>48.3577045789125</v>
      </c>
      <c r="V3261" s="54" t="b">
        <f aca="false">AND(D3261&gt;=01_因子設定!$L$5-0.000000001,D3261&lt;=01_因子設定!$M$5+0.000000001,E3261&gt;=01_因子設定!$L$6-0.000000001,E3261&lt;=01_因子設定!$M$6+0.000000001,F3261&gt;=01_因子設定!$L$7-0.000000001,F3261&lt;=01_因子設定!$M$7+0.000000001,IF(01_因子設定!$B$20="Box-Behnken",D3261^2+E3261^2+F3261^2&lt;=2+0.000000001,TRUE()))</f>
        <v>1</v>
      </c>
      <c r="W3261" s="55" t="n">
        <f aca="false">IF(V3261,IF(01_因子設定!$B$13="最大化",T3261-01_因子設定!$B$14,IF(01_因子設定!$B$13="最小化",01_因子設定!$B$15-U3261,MIN(T3261-01_因子設定!$B$14,01_因子設定!$B$15-U3261))),-1E+030)</f>
        <v>-2.13273298800336</v>
      </c>
      <c r="X3261" s="55" t="n">
        <f aca="false">IF(V3261,IF(01_因子設定!$B$13="最大化",Q3261,IF(01_因子設定!$B$13="最小化",-Q3261,-ABS(Q3261-01_因子設定!$B$16))),-1E+030)</f>
        <v>47.3624857954546</v>
      </c>
      <c r="Y3261" s="55" t="n">
        <f aca="false">W3261+ROW()*0.000000001</f>
        <v>-2.13272972700336</v>
      </c>
      <c r="Z3261" s="55" t="n">
        <f aca="false">X3261+ROW()*0.000000001</f>
        <v>47.3624890564546</v>
      </c>
    </row>
    <row r="3262" customFormat="false" ht="15" hidden="false" customHeight="false" outlineLevel="0" collapsed="false">
      <c r="A3262" s="0" t="n">
        <v>11</v>
      </c>
      <c r="B3262" s="0" t="n">
        <v>4</v>
      </c>
      <c r="C3262" s="0" t="n">
        <v>10</v>
      </c>
      <c r="D3262" s="0" t="n">
        <f aca="false">-1+A3262*0.125</f>
        <v>0.375</v>
      </c>
      <c r="E3262" s="0" t="n">
        <f aca="false">-1+B3262*0.125</f>
        <v>-0.5</v>
      </c>
      <c r="F3262" s="0" t="n">
        <f aca="false">-1+C3262*0.125</f>
        <v>0.25</v>
      </c>
      <c r="G3262" s="0" t="n">
        <f aca="false">1</f>
        <v>1</v>
      </c>
      <c r="H3262" s="0" t="n">
        <f aca="false">D3262</f>
        <v>0.375</v>
      </c>
      <c r="I3262" s="0" t="n">
        <f aca="false">E3262</f>
        <v>-0.5</v>
      </c>
      <c r="J3262" s="0" t="n">
        <f aca="false">F3262</f>
        <v>0.25</v>
      </c>
      <c r="K3262" s="0" t="n">
        <f aca="false">D3262*E3262</f>
        <v>-0.1875</v>
      </c>
      <c r="L3262" s="0" t="n">
        <f aca="false">D3262*F3262</f>
        <v>0.09375</v>
      </c>
      <c r="M3262" s="0" t="n">
        <f aca="false">E3262*F3262</f>
        <v>-0.125</v>
      </c>
      <c r="N3262" s="0" t="n">
        <f aca="false">D3262*D3262</f>
        <v>0.140625</v>
      </c>
      <c r="O3262" s="0" t="n">
        <f aca="false">E3262*E3262</f>
        <v>0.25</v>
      </c>
      <c r="P3262" s="0" t="n">
        <f aca="false">F3262*F3262</f>
        <v>0.0625</v>
      </c>
      <c r="Q3262" s="0" t="n">
        <f aca="false">SUMPRODUCT(G3262:P3262,_XtX!$B$71:$K$71)</f>
        <v>47.4446448863637</v>
      </c>
      <c r="R3262" s="0" t="n">
        <f aca="false">SUMPRODUCT(MMULT(G3262:P3262,_XtX!$B$58:$K$67),G3262:P3262)</f>
        <v>0.144839754971591</v>
      </c>
      <c r="S3262" s="0" t="n">
        <f aca="false">04_回帰ANOVA!$K$19*04_回帰ANOVA!$K$14*SQRT(1+R3262)</f>
        <v>0.994807353995542</v>
      </c>
      <c r="T3262" s="0" t="n">
        <f aca="false">Q3262-S3262</f>
        <v>46.4498375323681</v>
      </c>
      <c r="U3262" s="0" t="n">
        <f aca="false">Q3262+S3262</f>
        <v>48.4394522403592</v>
      </c>
      <c r="V3262" s="54" t="b">
        <f aca="false">AND(D3262&gt;=01_因子設定!$L$5-0.000000001,D3262&lt;=01_因子設定!$M$5+0.000000001,E3262&gt;=01_因子設定!$L$6-0.000000001,E3262&lt;=01_因子設定!$M$6+0.000000001,F3262&gt;=01_因子設定!$L$7-0.000000001,F3262&lt;=01_因子設定!$M$7+0.000000001,IF(01_因子設定!$B$20="Box-Behnken",D3262^2+E3262^2+F3262^2&lt;=2+0.000000001,TRUE()))</f>
        <v>1</v>
      </c>
      <c r="W3262" s="55" t="n">
        <f aca="false">IF(V3262,IF(01_因子設定!$B$13="最大化",T3262-01_因子設定!$B$14,IF(01_因子設定!$B$13="最小化",01_因子設定!$B$15-U3262,MIN(T3262-01_因子設定!$B$14,01_因子設定!$B$15-U3262))),-1E+030)</f>
        <v>-2.05016246763189</v>
      </c>
      <c r="X3262" s="55" t="n">
        <f aca="false">IF(V3262,IF(01_因子設定!$B$13="最大化",Q3262,IF(01_因子設定!$B$13="最小化",-Q3262,-ABS(Q3262-01_因子設定!$B$16))),-1E+030)</f>
        <v>47.4446448863637</v>
      </c>
      <c r="Y3262" s="55" t="n">
        <f aca="false">W3262+ROW()*0.000000001</f>
        <v>-2.05015920563189</v>
      </c>
      <c r="Z3262" s="55" t="n">
        <f aca="false">X3262+ROW()*0.000000001</f>
        <v>47.4446481483637</v>
      </c>
    </row>
    <row r="3263" customFormat="false" ht="15" hidden="false" customHeight="false" outlineLevel="0" collapsed="false">
      <c r="A3263" s="0" t="n">
        <v>11</v>
      </c>
      <c r="B3263" s="0" t="n">
        <v>4</v>
      </c>
      <c r="C3263" s="0" t="n">
        <v>11</v>
      </c>
      <c r="D3263" s="0" t="n">
        <f aca="false">-1+A3263*0.125</f>
        <v>0.375</v>
      </c>
      <c r="E3263" s="0" t="n">
        <f aca="false">-1+B3263*0.125</f>
        <v>-0.5</v>
      </c>
      <c r="F3263" s="0" t="n">
        <f aca="false">-1+C3263*0.125</f>
        <v>0.375</v>
      </c>
      <c r="G3263" s="0" t="n">
        <f aca="false">1</f>
        <v>1</v>
      </c>
      <c r="H3263" s="0" t="n">
        <f aca="false">D3263</f>
        <v>0.375</v>
      </c>
      <c r="I3263" s="0" t="n">
        <f aca="false">E3263</f>
        <v>-0.5</v>
      </c>
      <c r="J3263" s="0" t="n">
        <f aca="false">F3263</f>
        <v>0.375</v>
      </c>
      <c r="K3263" s="0" t="n">
        <f aca="false">D3263*E3263</f>
        <v>-0.1875</v>
      </c>
      <c r="L3263" s="0" t="n">
        <f aca="false">D3263*F3263</f>
        <v>0.140625</v>
      </c>
      <c r="M3263" s="0" t="n">
        <f aca="false">E3263*F3263</f>
        <v>-0.1875</v>
      </c>
      <c r="N3263" s="0" t="n">
        <f aca="false">D3263*D3263</f>
        <v>0.140625</v>
      </c>
      <c r="O3263" s="0" t="n">
        <f aca="false">E3263*E3263</f>
        <v>0.25</v>
      </c>
      <c r="P3263" s="0" t="n">
        <f aca="false">F3263*F3263</f>
        <v>0.140625</v>
      </c>
      <c r="Q3263" s="0" t="n">
        <f aca="false">SUMPRODUCT(G3263:P3263,_XtX!$B$71:$K$71)</f>
        <v>47.4900142045455</v>
      </c>
      <c r="R3263" s="0" t="n">
        <f aca="false">SUMPRODUCT(MMULT(G3263:P3263,_XtX!$B$58:$K$67),G3263:P3263)</f>
        <v>0.14681230024858</v>
      </c>
      <c r="S3263" s="0" t="n">
        <f aca="false">04_回帰ANOVA!$K$19*04_回帰ANOVA!$K$14*SQRT(1+R3263)</f>
        <v>0.995664005771711</v>
      </c>
      <c r="T3263" s="0" t="n">
        <f aca="false">Q3263-S3263</f>
        <v>46.4943501987738</v>
      </c>
      <c r="U3263" s="0" t="n">
        <f aca="false">Q3263+S3263</f>
        <v>48.4856782103172</v>
      </c>
      <c r="V3263" s="54" t="b">
        <f aca="false">AND(D3263&gt;=01_因子設定!$L$5-0.000000001,D3263&lt;=01_因子設定!$M$5+0.000000001,E3263&gt;=01_因子設定!$L$6-0.000000001,E3263&lt;=01_因子設定!$M$6+0.000000001,F3263&gt;=01_因子設定!$L$7-0.000000001,F3263&lt;=01_因子設定!$M$7+0.000000001,IF(01_因子設定!$B$20="Box-Behnken",D3263^2+E3263^2+F3263^2&lt;=2+0.000000001,TRUE()))</f>
        <v>1</v>
      </c>
      <c r="W3263" s="55" t="n">
        <f aca="false">IF(V3263,IF(01_因子設定!$B$13="最大化",T3263-01_因子設定!$B$14,IF(01_因子設定!$B$13="最小化",01_因子設定!$B$15-U3263,MIN(T3263-01_因子設定!$B$14,01_因子設定!$B$15-U3263))),-1E+030)</f>
        <v>-2.00564980122624</v>
      </c>
      <c r="X3263" s="55" t="n">
        <f aca="false">IF(V3263,IF(01_因子設定!$B$13="最大化",Q3263,IF(01_因子設定!$B$13="最小化",-Q3263,-ABS(Q3263-01_因子設定!$B$16))),-1E+030)</f>
        <v>47.4900142045455</v>
      </c>
      <c r="Y3263" s="55" t="n">
        <f aca="false">W3263+ROW()*0.000000001</f>
        <v>-2.00564653822624</v>
      </c>
      <c r="Z3263" s="55" t="n">
        <f aca="false">X3263+ROW()*0.000000001</f>
        <v>47.4900174675455</v>
      </c>
    </row>
    <row r="3264" customFormat="false" ht="15" hidden="false" customHeight="false" outlineLevel="0" collapsed="false">
      <c r="A3264" s="0" t="n">
        <v>11</v>
      </c>
      <c r="B3264" s="0" t="n">
        <v>4</v>
      </c>
      <c r="C3264" s="0" t="n">
        <v>12</v>
      </c>
      <c r="D3264" s="0" t="n">
        <f aca="false">-1+A3264*0.125</f>
        <v>0.375</v>
      </c>
      <c r="E3264" s="0" t="n">
        <f aca="false">-1+B3264*0.125</f>
        <v>-0.5</v>
      </c>
      <c r="F3264" s="0" t="n">
        <f aca="false">-1+C3264*0.125</f>
        <v>0.5</v>
      </c>
      <c r="G3264" s="0" t="n">
        <f aca="false">1</f>
        <v>1</v>
      </c>
      <c r="H3264" s="0" t="n">
        <f aca="false">D3264</f>
        <v>0.375</v>
      </c>
      <c r="I3264" s="0" t="n">
        <f aca="false">E3264</f>
        <v>-0.5</v>
      </c>
      <c r="J3264" s="0" t="n">
        <f aca="false">F3264</f>
        <v>0.5</v>
      </c>
      <c r="K3264" s="0" t="n">
        <f aca="false">D3264*E3264</f>
        <v>-0.1875</v>
      </c>
      <c r="L3264" s="0" t="n">
        <f aca="false">D3264*F3264</f>
        <v>0.1875</v>
      </c>
      <c r="M3264" s="0" t="n">
        <f aca="false">E3264*F3264</f>
        <v>-0.25</v>
      </c>
      <c r="N3264" s="0" t="n">
        <f aca="false">D3264*D3264</f>
        <v>0.140625</v>
      </c>
      <c r="O3264" s="0" t="n">
        <f aca="false">E3264*E3264</f>
        <v>0.25</v>
      </c>
      <c r="P3264" s="0" t="n">
        <f aca="false">F3264*F3264</f>
        <v>0.25</v>
      </c>
      <c r="Q3264" s="0" t="n">
        <f aca="false">SUMPRODUCT(G3264:P3264,_XtX!$B$71:$K$71)</f>
        <v>47.49859375</v>
      </c>
      <c r="R3264" s="0" t="n">
        <f aca="false">SUMPRODUCT(MMULT(G3264:P3264,_XtX!$B$58:$K$67),G3264:P3264)</f>
        <v>0.15703125</v>
      </c>
      <c r="S3264" s="0" t="n">
        <f aca="false">04_回帰ANOVA!$K$19*04_回帰ANOVA!$K$14*SQRT(1+R3264)</f>
        <v>1.00009022049162</v>
      </c>
      <c r="T3264" s="0" t="n">
        <f aca="false">Q3264-S3264</f>
        <v>46.4985035295084</v>
      </c>
      <c r="U3264" s="0" t="n">
        <f aca="false">Q3264+S3264</f>
        <v>48.4986839704916</v>
      </c>
      <c r="V3264" s="54" t="b">
        <f aca="false">AND(D3264&gt;=01_因子設定!$L$5-0.000000001,D3264&lt;=01_因子設定!$M$5+0.000000001,E3264&gt;=01_因子設定!$L$6-0.000000001,E3264&lt;=01_因子設定!$M$6+0.000000001,F3264&gt;=01_因子設定!$L$7-0.000000001,F3264&lt;=01_因子設定!$M$7+0.000000001,IF(01_因子設定!$B$20="Box-Behnken",D3264^2+E3264^2+F3264^2&lt;=2+0.000000001,TRUE()))</f>
        <v>1</v>
      </c>
      <c r="W3264" s="55" t="n">
        <f aca="false">IF(V3264,IF(01_因子設定!$B$13="最大化",T3264-01_因子設定!$B$14,IF(01_因子設定!$B$13="最小化",01_因子設定!$B$15-U3264,MIN(T3264-01_因子設定!$B$14,01_因子設定!$B$15-U3264))),-1E+030)</f>
        <v>-2.00149647049161</v>
      </c>
      <c r="X3264" s="55" t="n">
        <f aca="false">IF(V3264,IF(01_因子設定!$B$13="最大化",Q3264,IF(01_因子設定!$B$13="最小化",-Q3264,-ABS(Q3264-01_因子設定!$B$16))),-1E+030)</f>
        <v>47.49859375</v>
      </c>
      <c r="Y3264" s="55" t="n">
        <f aca="false">W3264+ROW()*0.000000001</f>
        <v>-2.00149320649161</v>
      </c>
      <c r="Z3264" s="55" t="n">
        <f aca="false">X3264+ROW()*0.000000001</f>
        <v>47.498597014</v>
      </c>
    </row>
    <row r="3265" customFormat="false" ht="15" hidden="false" customHeight="false" outlineLevel="0" collapsed="false">
      <c r="A3265" s="0" t="n">
        <v>11</v>
      </c>
      <c r="B3265" s="0" t="n">
        <v>4</v>
      </c>
      <c r="C3265" s="0" t="n">
        <v>13</v>
      </c>
      <c r="D3265" s="0" t="n">
        <f aca="false">-1+A3265*0.125</f>
        <v>0.375</v>
      </c>
      <c r="E3265" s="0" t="n">
        <f aca="false">-1+B3265*0.125</f>
        <v>-0.5</v>
      </c>
      <c r="F3265" s="0" t="n">
        <f aca="false">-1+C3265*0.125</f>
        <v>0.625</v>
      </c>
      <c r="G3265" s="0" t="n">
        <f aca="false">1</f>
        <v>1</v>
      </c>
      <c r="H3265" s="0" t="n">
        <f aca="false">D3265</f>
        <v>0.375</v>
      </c>
      <c r="I3265" s="0" t="n">
        <f aca="false">E3265</f>
        <v>-0.5</v>
      </c>
      <c r="J3265" s="0" t="n">
        <f aca="false">F3265</f>
        <v>0.625</v>
      </c>
      <c r="K3265" s="0" t="n">
        <f aca="false">D3265*E3265</f>
        <v>-0.1875</v>
      </c>
      <c r="L3265" s="0" t="n">
        <f aca="false">D3265*F3265</f>
        <v>0.234375</v>
      </c>
      <c r="M3265" s="0" t="n">
        <f aca="false">E3265*F3265</f>
        <v>-0.3125</v>
      </c>
      <c r="N3265" s="0" t="n">
        <f aca="false">D3265*D3265</f>
        <v>0.140625</v>
      </c>
      <c r="O3265" s="0" t="n">
        <f aca="false">E3265*E3265</f>
        <v>0.25</v>
      </c>
      <c r="P3265" s="0" t="n">
        <f aca="false">F3265*F3265</f>
        <v>0.390625</v>
      </c>
      <c r="Q3265" s="0" t="n">
        <f aca="false">SUMPRODUCT(G3265:P3265,_XtX!$B$71:$K$71)</f>
        <v>47.4703835227273</v>
      </c>
      <c r="R3265" s="0" t="n">
        <f aca="false">SUMPRODUCT(MMULT(G3265:P3265,_XtX!$B$58:$K$67),G3265:P3265)</f>
        <v>0.182953990589489</v>
      </c>
      <c r="S3265" s="0" t="n">
        <f aca="false">04_回帰ANOVA!$K$19*04_回帰ANOVA!$K$14*SQRT(1+R3265)</f>
        <v>1.01123143807044</v>
      </c>
      <c r="T3265" s="0" t="n">
        <f aca="false">Q3265-S3265</f>
        <v>46.4591520846569</v>
      </c>
      <c r="U3265" s="0" t="n">
        <f aca="false">Q3265+S3265</f>
        <v>48.4816149607977</v>
      </c>
      <c r="V3265" s="54" t="b">
        <f aca="false">AND(D3265&gt;=01_因子設定!$L$5-0.000000001,D3265&lt;=01_因子設定!$M$5+0.000000001,E3265&gt;=01_因子設定!$L$6-0.000000001,E3265&lt;=01_因子設定!$M$6+0.000000001,F3265&gt;=01_因子設定!$L$7-0.000000001,F3265&lt;=01_因子設定!$M$7+0.000000001,IF(01_因子設定!$B$20="Box-Behnken",D3265^2+E3265^2+F3265^2&lt;=2+0.000000001,TRUE()))</f>
        <v>1</v>
      </c>
      <c r="W3265" s="55" t="n">
        <f aca="false">IF(V3265,IF(01_因子設定!$B$13="最大化",T3265-01_因子設定!$B$14,IF(01_因子設定!$B$13="最小化",01_因子設定!$B$15-U3265,MIN(T3265-01_因子設定!$B$14,01_因子設定!$B$15-U3265))),-1E+030)</f>
        <v>-2.04084791534315</v>
      </c>
      <c r="X3265" s="55" t="n">
        <f aca="false">IF(V3265,IF(01_因子設定!$B$13="最大化",Q3265,IF(01_因子設定!$B$13="最小化",-Q3265,-ABS(Q3265-01_因子設定!$B$16))),-1E+030)</f>
        <v>47.4703835227273</v>
      </c>
      <c r="Y3265" s="55" t="n">
        <f aca="false">W3265+ROW()*0.000000001</f>
        <v>-2.04084465034315</v>
      </c>
      <c r="Z3265" s="55" t="n">
        <f aca="false">X3265+ROW()*0.000000001</f>
        <v>47.4703867877273</v>
      </c>
    </row>
    <row r="3266" customFormat="false" ht="15" hidden="false" customHeight="false" outlineLevel="0" collapsed="false">
      <c r="A3266" s="0" t="n">
        <v>11</v>
      </c>
      <c r="B3266" s="0" t="n">
        <v>4</v>
      </c>
      <c r="C3266" s="0" t="n">
        <v>14</v>
      </c>
      <c r="D3266" s="0" t="n">
        <f aca="false">-1+A3266*0.125</f>
        <v>0.375</v>
      </c>
      <c r="E3266" s="0" t="n">
        <f aca="false">-1+B3266*0.125</f>
        <v>-0.5</v>
      </c>
      <c r="F3266" s="0" t="n">
        <f aca="false">-1+C3266*0.125</f>
        <v>0.75</v>
      </c>
      <c r="G3266" s="0" t="n">
        <f aca="false">1</f>
        <v>1</v>
      </c>
      <c r="H3266" s="0" t="n">
        <f aca="false">D3266</f>
        <v>0.375</v>
      </c>
      <c r="I3266" s="0" t="n">
        <f aca="false">E3266</f>
        <v>-0.5</v>
      </c>
      <c r="J3266" s="0" t="n">
        <f aca="false">F3266</f>
        <v>0.75</v>
      </c>
      <c r="K3266" s="0" t="n">
        <f aca="false">D3266*E3266</f>
        <v>-0.1875</v>
      </c>
      <c r="L3266" s="0" t="n">
        <f aca="false">D3266*F3266</f>
        <v>0.28125</v>
      </c>
      <c r="M3266" s="0" t="n">
        <f aca="false">E3266*F3266</f>
        <v>-0.375</v>
      </c>
      <c r="N3266" s="0" t="n">
        <f aca="false">D3266*D3266</f>
        <v>0.140625</v>
      </c>
      <c r="O3266" s="0" t="n">
        <f aca="false">E3266*E3266</f>
        <v>0.25</v>
      </c>
      <c r="P3266" s="0" t="n">
        <f aca="false">F3266*F3266</f>
        <v>0.5625</v>
      </c>
      <c r="Q3266" s="0" t="n">
        <f aca="false">SUMPRODUCT(G3266:P3266,_XtX!$B$71:$K$71)</f>
        <v>47.4053835227273</v>
      </c>
      <c r="R3266" s="0" t="n">
        <f aca="false">SUMPRODUCT(MMULT(G3266:P3266,_XtX!$B$58:$K$67),G3266:P3266)</f>
        <v>0.234168590198864</v>
      </c>
      <c r="S3266" s="0" t="n">
        <f aca="false">04_回帰ANOVA!$K$19*04_回帰ANOVA!$K$14*SQRT(1+R3266)</f>
        <v>1.03288954322488</v>
      </c>
      <c r="T3266" s="0" t="n">
        <f aca="false">Q3266-S3266</f>
        <v>46.3724939795024</v>
      </c>
      <c r="U3266" s="0" t="n">
        <f aca="false">Q3266+S3266</f>
        <v>48.4382730659522</v>
      </c>
      <c r="V3266" s="54" t="b">
        <f aca="false">AND(D3266&gt;=01_因子設定!$L$5-0.000000001,D3266&lt;=01_因子設定!$M$5+0.000000001,E3266&gt;=01_因子設定!$L$6-0.000000001,E3266&lt;=01_因子設定!$M$6+0.000000001,F3266&gt;=01_因子設定!$L$7-0.000000001,F3266&lt;=01_因子設定!$M$7+0.000000001,IF(01_因子設定!$B$20="Box-Behnken",D3266^2+E3266^2+F3266^2&lt;=2+0.000000001,TRUE()))</f>
        <v>1</v>
      </c>
      <c r="W3266" s="55" t="n">
        <f aca="false">IF(V3266,IF(01_因子設定!$B$13="最大化",T3266-01_因子設定!$B$14,IF(01_因子設定!$B$13="最小化",01_因子設定!$B$15-U3266,MIN(T3266-01_因子設定!$B$14,01_因子設定!$B$15-U3266))),-1E+030)</f>
        <v>-2.12750602049758</v>
      </c>
      <c r="X3266" s="55" t="n">
        <f aca="false">IF(V3266,IF(01_因子設定!$B$13="最大化",Q3266,IF(01_因子設定!$B$13="最小化",-Q3266,-ABS(Q3266-01_因子設定!$B$16))),-1E+030)</f>
        <v>47.4053835227273</v>
      </c>
      <c r="Y3266" s="55" t="n">
        <f aca="false">W3266+ROW()*0.000000001</f>
        <v>-2.12750275449758</v>
      </c>
      <c r="Z3266" s="55" t="n">
        <f aca="false">X3266+ROW()*0.000000001</f>
        <v>47.4053867887273</v>
      </c>
    </row>
    <row r="3267" customFormat="false" ht="15" hidden="false" customHeight="false" outlineLevel="0" collapsed="false">
      <c r="A3267" s="0" t="n">
        <v>11</v>
      </c>
      <c r="B3267" s="0" t="n">
        <v>4</v>
      </c>
      <c r="C3267" s="0" t="n">
        <v>15</v>
      </c>
      <c r="D3267" s="0" t="n">
        <f aca="false">-1+A3267*0.125</f>
        <v>0.375</v>
      </c>
      <c r="E3267" s="0" t="n">
        <f aca="false">-1+B3267*0.125</f>
        <v>-0.5</v>
      </c>
      <c r="F3267" s="0" t="n">
        <f aca="false">-1+C3267*0.125</f>
        <v>0.875</v>
      </c>
      <c r="G3267" s="0" t="n">
        <f aca="false">1</f>
        <v>1</v>
      </c>
      <c r="H3267" s="0" t="n">
        <f aca="false">D3267</f>
        <v>0.375</v>
      </c>
      <c r="I3267" s="0" t="n">
        <f aca="false">E3267</f>
        <v>-0.5</v>
      </c>
      <c r="J3267" s="0" t="n">
        <f aca="false">F3267</f>
        <v>0.875</v>
      </c>
      <c r="K3267" s="0" t="n">
        <f aca="false">D3267*E3267</f>
        <v>-0.1875</v>
      </c>
      <c r="L3267" s="0" t="n">
        <f aca="false">D3267*F3267</f>
        <v>0.328125</v>
      </c>
      <c r="M3267" s="0" t="n">
        <f aca="false">E3267*F3267</f>
        <v>-0.4375</v>
      </c>
      <c r="N3267" s="0" t="n">
        <f aca="false">D3267*D3267</f>
        <v>0.140625</v>
      </c>
      <c r="O3267" s="0" t="n">
        <f aca="false">E3267*E3267</f>
        <v>0.25</v>
      </c>
      <c r="P3267" s="0" t="n">
        <f aca="false">F3267*F3267</f>
        <v>0.765625</v>
      </c>
      <c r="Q3267" s="0" t="n">
        <f aca="false">SUMPRODUCT(G3267:P3267,_XtX!$B$71:$K$71)</f>
        <v>47.30359375</v>
      </c>
      <c r="R3267" s="0" t="n">
        <f aca="false">SUMPRODUCT(MMULT(G3267:P3267,_XtX!$B$58:$K$67),G3267:P3267)</f>
        <v>0.322393798828125</v>
      </c>
      <c r="S3267" s="0" t="n">
        <f aca="false">04_回帰ANOVA!$K$19*04_回帰ANOVA!$K$14*SQRT(1+R3267)</f>
        <v>1.06917067390712</v>
      </c>
      <c r="T3267" s="0" t="n">
        <f aca="false">Q3267-S3267</f>
        <v>46.2344230760929</v>
      </c>
      <c r="U3267" s="0" t="n">
        <f aca="false">Q3267+S3267</f>
        <v>48.3727644239071</v>
      </c>
      <c r="V3267" s="54" t="b">
        <f aca="false">AND(D3267&gt;=01_因子設定!$L$5-0.000000001,D3267&lt;=01_因子設定!$M$5+0.000000001,E3267&gt;=01_因子設定!$L$6-0.000000001,E3267&lt;=01_因子設定!$M$6+0.000000001,F3267&gt;=01_因子設定!$L$7-0.000000001,F3267&lt;=01_因子設定!$M$7+0.000000001,IF(01_因子設定!$B$20="Box-Behnken",D3267^2+E3267^2+F3267^2&lt;=2+0.000000001,TRUE()))</f>
        <v>1</v>
      </c>
      <c r="W3267" s="55" t="n">
        <f aca="false">IF(V3267,IF(01_因子設定!$B$13="最大化",T3267-01_因子設定!$B$14,IF(01_因子設定!$B$13="最小化",01_因子設定!$B$15-U3267,MIN(T3267-01_因子設定!$B$14,01_因子設定!$B$15-U3267))),-1E+030)</f>
        <v>-2.2655769239071</v>
      </c>
      <c r="X3267" s="55" t="n">
        <f aca="false">IF(V3267,IF(01_因子設定!$B$13="最大化",Q3267,IF(01_因子設定!$B$13="最小化",-Q3267,-ABS(Q3267-01_因子設定!$B$16))),-1E+030)</f>
        <v>47.30359375</v>
      </c>
      <c r="Y3267" s="55" t="n">
        <f aca="false">W3267+ROW()*0.000000001</f>
        <v>-2.2655736569071</v>
      </c>
      <c r="Z3267" s="55" t="n">
        <f aca="false">X3267+ROW()*0.000000001</f>
        <v>47.303597017</v>
      </c>
    </row>
    <row r="3268" customFormat="false" ht="15" hidden="false" customHeight="false" outlineLevel="0" collapsed="false">
      <c r="A3268" s="0" t="n">
        <v>11</v>
      </c>
      <c r="B3268" s="0" t="n">
        <v>4</v>
      </c>
      <c r="C3268" s="0" t="n">
        <v>16</v>
      </c>
      <c r="D3268" s="0" t="n">
        <f aca="false">-1+A3268*0.125</f>
        <v>0.375</v>
      </c>
      <c r="E3268" s="0" t="n">
        <f aca="false">-1+B3268*0.125</f>
        <v>-0.5</v>
      </c>
      <c r="F3268" s="0" t="n">
        <f aca="false">-1+C3268*0.125</f>
        <v>1</v>
      </c>
      <c r="G3268" s="0" t="n">
        <f aca="false">1</f>
        <v>1</v>
      </c>
      <c r="H3268" s="0" t="n">
        <f aca="false">D3268</f>
        <v>0.375</v>
      </c>
      <c r="I3268" s="0" t="n">
        <f aca="false">E3268</f>
        <v>-0.5</v>
      </c>
      <c r="J3268" s="0" t="n">
        <f aca="false">F3268</f>
        <v>1</v>
      </c>
      <c r="K3268" s="0" t="n">
        <f aca="false">D3268*E3268</f>
        <v>-0.1875</v>
      </c>
      <c r="L3268" s="0" t="n">
        <f aca="false">D3268*F3268</f>
        <v>0.375</v>
      </c>
      <c r="M3268" s="0" t="n">
        <f aca="false">E3268*F3268</f>
        <v>-0.5</v>
      </c>
      <c r="N3268" s="0" t="n">
        <f aca="false">D3268*D3268</f>
        <v>0.140625</v>
      </c>
      <c r="O3268" s="0" t="n">
        <f aca="false">E3268*E3268</f>
        <v>0.25</v>
      </c>
      <c r="P3268" s="0" t="n">
        <f aca="false">F3268*F3268</f>
        <v>1</v>
      </c>
      <c r="Q3268" s="0" t="n">
        <f aca="false">SUMPRODUCT(G3268:P3268,_XtX!$B$71:$K$71)</f>
        <v>47.1650142045455</v>
      </c>
      <c r="R3268" s="0" t="n">
        <f aca="false">SUMPRODUCT(MMULT(G3268:P3268,_XtX!$B$58:$K$67),G3268:P3268)</f>
        <v>0.461479048295455</v>
      </c>
      <c r="S3268" s="0" t="n">
        <f aca="false">04_回帰ANOVA!$K$19*04_回帰ANOVA!$K$14*SQRT(1+R3268)</f>
        <v>1.12399125658369</v>
      </c>
      <c r="T3268" s="0" t="n">
        <f aca="false">Q3268-S3268</f>
        <v>46.0410229479618</v>
      </c>
      <c r="U3268" s="0" t="n">
        <f aca="false">Q3268+S3268</f>
        <v>48.2890054611292</v>
      </c>
      <c r="V3268" s="54" t="b">
        <f aca="false">AND(D3268&gt;=01_因子設定!$L$5-0.000000001,D3268&lt;=01_因子設定!$M$5+0.000000001,E3268&gt;=01_因子設定!$L$6-0.000000001,E3268&lt;=01_因子設定!$M$6+0.000000001,F3268&gt;=01_因子設定!$L$7-0.000000001,F3268&lt;=01_因子設定!$M$7+0.000000001,IF(01_因子設定!$B$20="Box-Behnken",D3268^2+E3268^2+F3268^2&lt;=2+0.000000001,TRUE()))</f>
        <v>1</v>
      </c>
      <c r="W3268" s="55" t="n">
        <f aca="false">IF(V3268,IF(01_因子設定!$B$13="最大化",T3268-01_因子設定!$B$14,IF(01_因子設定!$B$13="最小化",01_因子設定!$B$15-U3268,MIN(T3268-01_因子設定!$B$14,01_因子設定!$B$15-U3268))),-1E+030)</f>
        <v>-2.45897705203821</v>
      </c>
      <c r="X3268" s="55" t="n">
        <f aca="false">IF(V3268,IF(01_因子設定!$B$13="最大化",Q3268,IF(01_因子設定!$B$13="最小化",-Q3268,-ABS(Q3268-01_因子設定!$B$16))),-1E+030)</f>
        <v>47.1650142045455</v>
      </c>
      <c r="Y3268" s="55" t="n">
        <f aca="false">W3268+ROW()*0.000000001</f>
        <v>-2.45897378403821</v>
      </c>
      <c r="Z3268" s="55" t="n">
        <f aca="false">X3268+ROW()*0.000000001</f>
        <v>47.1650174725455</v>
      </c>
    </row>
    <row r="3269" customFormat="false" ht="15" hidden="false" customHeight="false" outlineLevel="0" collapsed="false">
      <c r="A3269" s="0" t="n">
        <v>11</v>
      </c>
      <c r="B3269" s="0" t="n">
        <v>5</v>
      </c>
      <c r="C3269" s="0" t="n">
        <v>0</v>
      </c>
      <c r="D3269" s="0" t="n">
        <f aca="false">-1+A3269*0.125</f>
        <v>0.375</v>
      </c>
      <c r="E3269" s="0" t="n">
        <f aca="false">-1+B3269*0.125</f>
        <v>-0.375</v>
      </c>
      <c r="F3269" s="0" t="n">
        <f aca="false">-1+C3269*0.125</f>
        <v>-1</v>
      </c>
      <c r="G3269" s="0" t="n">
        <f aca="false">1</f>
        <v>1</v>
      </c>
      <c r="H3269" s="0" t="n">
        <f aca="false">D3269</f>
        <v>0.375</v>
      </c>
      <c r="I3269" s="0" t="n">
        <f aca="false">E3269</f>
        <v>-0.375</v>
      </c>
      <c r="J3269" s="0" t="n">
        <f aca="false">F3269</f>
        <v>-1</v>
      </c>
      <c r="K3269" s="0" t="n">
        <f aca="false">D3269*E3269</f>
        <v>-0.140625</v>
      </c>
      <c r="L3269" s="0" t="n">
        <f aca="false">D3269*F3269</f>
        <v>-0.375</v>
      </c>
      <c r="M3269" s="0" t="n">
        <f aca="false">E3269*F3269</f>
        <v>0.375</v>
      </c>
      <c r="N3269" s="0" t="n">
        <f aca="false">D3269*D3269</f>
        <v>0.140625</v>
      </c>
      <c r="O3269" s="0" t="n">
        <f aca="false">E3269*E3269</f>
        <v>0.140625</v>
      </c>
      <c r="P3269" s="0" t="n">
        <f aca="false">F3269*F3269</f>
        <v>1</v>
      </c>
      <c r="Q3269" s="0" t="n">
        <f aca="false">SUMPRODUCT(G3269:P3269,_XtX!$B$71:$K$71)</f>
        <v>45.4491690340909</v>
      </c>
      <c r="R3269" s="0" t="n">
        <f aca="false">SUMPRODUCT(MMULT(G3269:P3269,_XtX!$B$58:$K$67),G3269:P3269)</f>
        <v>0.463378351384943</v>
      </c>
      <c r="S3269" s="0" t="n">
        <f aca="false">04_回帰ANOVA!$K$19*04_回帰ANOVA!$K$14*SQRT(1+R3269)</f>
        <v>1.12472137547772</v>
      </c>
      <c r="T3269" s="0" t="n">
        <f aca="false">Q3269-S3269</f>
        <v>44.3244476586132</v>
      </c>
      <c r="U3269" s="0" t="n">
        <f aca="false">Q3269+S3269</f>
        <v>46.5738904095687</v>
      </c>
      <c r="V3269" s="54" t="b">
        <f aca="false">AND(D3269&gt;=01_因子設定!$L$5-0.000000001,D3269&lt;=01_因子設定!$M$5+0.000000001,E3269&gt;=01_因子設定!$L$6-0.000000001,E3269&lt;=01_因子設定!$M$6+0.000000001,F3269&gt;=01_因子設定!$L$7-0.000000001,F3269&lt;=01_因子設定!$M$7+0.000000001,IF(01_因子設定!$B$20="Box-Behnken",D3269^2+E3269^2+F3269^2&lt;=2+0.000000001,TRUE()))</f>
        <v>1</v>
      </c>
      <c r="W3269" s="55" t="n">
        <f aca="false">IF(V3269,IF(01_因子設定!$B$13="最大化",T3269-01_因子設定!$B$14,IF(01_因子設定!$B$13="最小化",01_因子設定!$B$15-U3269,MIN(T3269-01_因子設定!$B$14,01_因子設定!$B$15-U3269))),-1E+030)</f>
        <v>-4.17555234138678</v>
      </c>
      <c r="X3269" s="55" t="n">
        <f aca="false">IF(V3269,IF(01_因子設定!$B$13="最大化",Q3269,IF(01_因子設定!$B$13="最小化",-Q3269,-ABS(Q3269-01_因子設定!$B$16))),-1E+030)</f>
        <v>45.4491690340909</v>
      </c>
      <c r="Y3269" s="55" t="n">
        <f aca="false">W3269+ROW()*0.000000001</f>
        <v>-4.17554907238678</v>
      </c>
      <c r="Z3269" s="55" t="n">
        <f aca="false">X3269+ROW()*0.000000001</f>
        <v>45.4491723030909</v>
      </c>
    </row>
    <row r="3270" customFormat="false" ht="15" hidden="false" customHeight="false" outlineLevel="0" collapsed="false">
      <c r="A3270" s="0" t="n">
        <v>11</v>
      </c>
      <c r="B3270" s="0" t="n">
        <v>5</v>
      </c>
      <c r="C3270" s="0" t="n">
        <v>1</v>
      </c>
      <c r="D3270" s="0" t="n">
        <f aca="false">-1+A3270*0.125</f>
        <v>0.375</v>
      </c>
      <c r="E3270" s="0" t="n">
        <f aca="false">-1+B3270*0.125</f>
        <v>-0.375</v>
      </c>
      <c r="F3270" s="0" t="n">
        <f aca="false">-1+C3270*0.125</f>
        <v>-0.875</v>
      </c>
      <c r="G3270" s="0" t="n">
        <f aca="false">1</f>
        <v>1</v>
      </c>
      <c r="H3270" s="0" t="n">
        <f aca="false">D3270</f>
        <v>0.375</v>
      </c>
      <c r="I3270" s="0" t="n">
        <f aca="false">E3270</f>
        <v>-0.375</v>
      </c>
      <c r="J3270" s="0" t="n">
        <f aca="false">F3270</f>
        <v>-0.875</v>
      </c>
      <c r="K3270" s="0" t="n">
        <f aca="false">D3270*E3270</f>
        <v>-0.140625</v>
      </c>
      <c r="L3270" s="0" t="n">
        <f aca="false">D3270*F3270</f>
        <v>-0.328125</v>
      </c>
      <c r="M3270" s="0" t="n">
        <f aca="false">E3270*F3270</f>
        <v>0.328125</v>
      </c>
      <c r="N3270" s="0" t="n">
        <f aca="false">D3270*D3270</f>
        <v>0.140625</v>
      </c>
      <c r="O3270" s="0" t="n">
        <f aca="false">E3270*E3270</f>
        <v>0.140625</v>
      </c>
      <c r="P3270" s="0" t="n">
        <f aca="false">F3270*F3270</f>
        <v>0.765625</v>
      </c>
      <c r="Q3270" s="0" t="n">
        <f aca="false">SUMPRODUCT(G3270:P3270,_XtX!$B$71:$K$71)</f>
        <v>45.8694673295455</v>
      </c>
      <c r="R3270" s="0" t="n">
        <f aca="false">SUMPRODUCT(MMULT(G3270:P3270,_XtX!$B$58:$K$67),G3270:P3270)</f>
        <v>0.32050614790483</v>
      </c>
      <c r="S3270" s="0" t="n">
        <f aca="false">04_回帰ANOVA!$K$19*04_回帰ANOVA!$K$14*SQRT(1+R3270)</f>
        <v>1.06840730759619</v>
      </c>
      <c r="T3270" s="0" t="n">
        <f aca="false">Q3270-S3270</f>
        <v>44.8010600219493</v>
      </c>
      <c r="U3270" s="0" t="n">
        <f aca="false">Q3270+S3270</f>
        <v>46.9378746371417</v>
      </c>
      <c r="V3270" s="54" t="b">
        <f aca="false">AND(D3270&gt;=01_因子設定!$L$5-0.000000001,D3270&lt;=01_因子設定!$M$5+0.000000001,E3270&gt;=01_因子設定!$L$6-0.000000001,E3270&lt;=01_因子設定!$M$6+0.000000001,F3270&gt;=01_因子設定!$L$7-0.000000001,F3270&lt;=01_因子設定!$M$7+0.000000001,IF(01_因子設定!$B$20="Box-Behnken",D3270^2+E3270^2+F3270^2&lt;=2+0.000000001,TRUE()))</f>
        <v>1</v>
      </c>
      <c r="W3270" s="55" t="n">
        <f aca="false">IF(V3270,IF(01_因子設定!$B$13="最大化",T3270-01_因子設定!$B$14,IF(01_因子設定!$B$13="最小化",01_因子設定!$B$15-U3270,MIN(T3270-01_因子設定!$B$14,01_因子設定!$B$15-U3270))),-1E+030)</f>
        <v>-3.69893997805071</v>
      </c>
      <c r="X3270" s="55" t="n">
        <f aca="false">IF(V3270,IF(01_因子設定!$B$13="最大化",Q3270,IF(01_因子設定!$B$13="最小化",-Q3270,-ABS(Q3270-01_因子設定!$B$16))),-1E+030)</f>
        <v>45.8694673295455</v>
      </c>
      <c r="Y3270" s="55" t="n">
        <f aca="false">W3270+ROW()*0.000000001</f>
        <v>-3.69893670805071</v>
      </c>
      <c r="Z3270" s="55" t="n">
        <f aca="false">X3270+ROW()*0.000000001</f>
        <v>45.8694705995455</v>
      </c>
    </row>
    <row r="3271" customFormat="false" ht="15" hidden="false" customHeight="false" outlineLevel="0" collapsed="false">
      <c r="A3271" s="0" t="n">
        <v>11</v>
      </c>
      <c r="B3271" s="0" t="n">
        <v>5</v>
      </c>
      <c r="C3271" s="0" t="n">
        <v>2</v>
      </c>
      <c r="D3271" s="0" t="n">
        <f aca="false">-1+A3271*0.125</f>
        <v>0.375</v>
      </c>
      <c r="E3271" s="0" t="n">
        <f aca="false">-1+B3271*0.125</f>
        <v>-0.375</v>
      </c>
      <c r="F3271" s="0" t="n">
        <f aca="false">-1+C3271*0.125</f>
        <v>-0.75</v>
      </c>
      <c r="G3271" s="0" t="n">
        <f aca="false">1</f>
        <v>1</v>
      </c>
      <c r="H3271" s="0" t="n">
        <f aca="false">D3271</f>
        <v>0.375</v>
      </c>
      <c r="I3271" s="0" t="n">
        <f aca="false">E3271</f>
        <v>-0.375</v>
      </c>
      <c r="J3271" s="0" t="n">
        <f aca="false">F3271</f>
        <v>-0.75</v>
      </c>
      <c r="K3271" s="0" t="n">
        <f aca="false">D3271*E3271</f>
        <v>-0.140625</v>
      </c>
      <c r="L3271" s="0" t="n">
        <f aca="false">D3271*F3271</f>
        <v>-0.28125</v>
      </c>
      <c r="M3271" s="0" t="n">
        <f aca="false">E3271*F3271</f>
        <v>0.28125</v>
      </c>
      <c r="N3271" s="0" t="n">
        <f aca="false">D3271*D3271</f>
        <v>0.140625</v>
      </c>
      <c r="O3271" s="0" t="n">
        <f aca="false">E3271*E3271</f>
        <v>0.140625</v>
      </c>
      <c r="P3271" s="0" t="n">
        <f aca="false">F3271*F3271</f>
        <v>0.5625</v>
      </c>
      <c r="Q3271" s="0" t="n">
        <f aca="false">SUMPRODUCT(G3271:P3271,_XtX!$B$71:$K$71)</f>
        <v>46.2529758522728</v>
      </c>
      <c r="R3271" s="0" t="n">
        <f aca="false">SUMPRODUCT(MMULT(G3271:P3271,_XtX!$B$58:$K$67),G3271:P3271)</f>
        <v>0.228998912464489</v>
      </c>
      <c r="S3271" s="0" t="n">
        <f aca="false">04_回帰ANOVA!$K$19*04_回帰ANOVA!$K$14*SQRT(1+R3271)</f>
        <v>1.03072399242813</v>
      </c>
      <c r="T3271" s="0" t="n">
        <f aca="false">Q3271-S3271</f>
        <v>45.2222518598446</v>
      </c>
      <c r="U3271" s="0" t="n">
        <f aca="false">Q3271+S3271</f>
        <v>47.2836998447009</v>
      </c>
      <c r="V3271" s="54" t="b">
        <f aca="false">AND(D3271&gt;=01_因子設定!$L$5-0.000000001,D3271&lt;=01_因子設定!$M$5+0.000000001,E3271&gt;=01_因子設定!$L$6-0.000000001,E3271&lt;=01_因子設定!$M$6+0.000000001,F3271&gt;=01_因子設定!$L$7-0.000000001,F3271&lt;=01_因子設定!$M$7+0.000000001,IF(01_因子設定!$B$20="Box-Behnken",D3271^2+E3271^2+F3271^2&lt;=2+0.000000001,TRUE()))</f>
        <v>1</v>
      </c>
      <c r="W3271" s="55" t="n">
        <f aca="false">IF(V3271,IF(01_因子設定!$B$13="最大化",T3271-01_因子設定!$B$14,IF(01_因子設定!$B$13="最小化",01_因子設定!$B$15-U3271,MIN(T3271-01_因子設定!$B$14,01_因子設定!$B$15-U3271))),-1E+030)</f>
        <v>-3.27774814015538</v>
      </c>
      <c r="X3271" s="55" t="n">
        <f aca="false">IF(V3271,IF(01_因子設定!$B$13="最大化",Q3271,IF(01_因子設定!$B$13="最小化",-Q3271,-ABS(Q3271-01_因子設定!$B$16))),-1E+030)</f>
        <v>46.2529758522728</v>
      </c>
      <c r="Y3271" s="55" t="n">
        <f aca="false">W3271+ROW()*0.000000001</f>
        <v>-3.27774486915538</v>
      </c>
      <c r="Z3271" s="55" t="n">
        <f aca="false">X3271+ROW()*0.000000001</f>
        <v>46.2529791232727</v>
      </c>
    </row>
    <row r="3272" customFormat="false" ht="15" hidden="false" customHeight="false" outlineLevel="0" collapsed="false">
      <c r="A3272" s="0" t="n">
        <v>11</v>
      </c>
      <c r="B3272" s="0" t="n">
        <v>5</v>
      </c>
      <c r="C3272" s="0" t="n">
        <v>3</v>
      </c>
      <c r="D3272" s="0" t="n">
        <f aca="false">-1+A3272*0.125</f>
        <v>0.375</v>
      </c>
      <c r="E3272" s="0" t="n">
        <f aca="false">-1+B3272*0.125</f>
        <v>-0.375</v>
      </c>
      <c r="F3272" s="0" t="n">
        <f aca="false">-1+C3272*0.125</f>
        <v>-0.625</v>
      </c>
      <c r="G3272" s="0" t="n">
        <f aca="false">1</f>
        <v>1</v>
      </c>
      <c r="H3272" s="0" t="n">
        <f aca="false">D3272</f>
        <v>0.375</v>
      </c>
      <c r="I3272" s="0" t="n">
        <f aca="false">E3272</f>
        <v>-0.375</v>
      </c>
      <c r="J3272" s="0" t="n">
        <f aca="false">F3272</f>
        <v>-0.625</v>
      </c>
      <c r="K3272" s="0" t="n">
        <f aca="false">D3272*E3272</f>
        <v>-0.140625</v>
      </c>
      <c r="L3272" s="0" t="n">
        <f aca="false">D3272*F3272</f>
        <v>-0.234375</v>
      </c>
      <c r="M3272" s="0" t="n">
        <f aca="false">E3272*F3272</f>
        <v>0.234375</v>
      </c>
      <c r="N3272" s="0" t="n">
        <f aca="false">D3272*D3272</f>
        <v>0.140625</v>
      </c>
      <c r="O3272" s="0" t="n">
        <f aca="false">E3272*E3272</f>
        <v>0.140625</v>
      </c>
      <c r="P3272" s="0" t="n">
        <f aca="false">F3272*F3272</f>
        <v>0.390625</v>
      </c>
      <c r="Q3272" s="0" t="n">
        <f aca="false">SUMPRODUCT(G3272:P3272,_XtX!$B$71:$K$71)</f>
        <v>46.5996946022727</v>
      </c>
      <c r="R3272" s="0" t="n">
        <f aca="false">SUMPRODUCT(MMULT(G3272:P3272,_XtX!$B$58:$K$67),G3272:P3272)</f>
        <v>0.175007213245739</v>
      </c>
      <c r="S3272" s="0" t="n">
        <f aca="false">04_回帰ANOVA!$K$19*04_回帰ANOVA!$K$14*SQRT(1+R3272)</f>
        <v>1.0078291195273</v>
      </c>
      <c r="T3272" s="0" t="n">
        <f aca="false">Q3272-S3272</f>
        <v>45.5918654827454</v>
      </c>
      <c r="U3272" s="0" t="n">
        <f aca="false">Q3272+S3272</f>
        <v>47.6075237218</v>
      </c>
      <c r="V3272" s="54" t="b">
        <f aca="false">AND(D3272&gt;=01_因子設定!$L$5-0.000000001,D3272&lt;=01_因子設定!$M$5+0.000000001,E3272&gt;=01_因子設定!$L$6-0.000000001,E3272&lt;=01_因子設定!$M$6+0.000000001,F3272&gt;=01_因子設定!$L$7-0.000000001,F3272&lt;=01_因子設定!$M$7+0.000000001,IF(01_因子設定!$B$20="Box-Behnken",D3272^2+E3272^2+F3272^2&lt;=2+0.000000001,TRUE()))</f>
        <v>1</v>
      </c>
      <c r="W3272" s="55" t="n">
        <f aca="false">IF(V3272,IF(01_因子設定!$B$13="最大化",T3272-01_因子設定!$B$14,IF(01_因子設定!$B$13="最小化",01_因子設定!$B$15-U3272,MIN(T3272-01_因子設定!$B$14,01_因子設定!$B$15-U3272))),-1E+030)</f>
        <v>-2.90813451725456</v>
      </c>
      <c r="X3272" s="55" t="n">
        <f aca="false">IF(V3272,IF(01_因子設定!$B$13="最大化",Q3272,IF(01_因子設定!$B$13="最小化",-Q3272,-ABS(Q3272-01_因子設定!$B$16))),-1E+030)</f>
        <v>46.5996946022727</v>
      </c>
      <c r="Y3272" s="55" t="n">
        <f aca="false">W3272+ROW()*0.000000001</f>
        <v>-2.90813124525456</v>
      </c>
      <c r="Z3272" s="55" t="n">
        <f aca="false">X3272+ROW()*0.000000001</f>
        <v>46.5996978742727</v>
      </c>
    </row>
    <row r="3273" customFormat="false" ht="15" hidden="false" customHeight="false" outlineLevel="0" collapsed="false">
      <c r="A3273" s="0" t="n">
        <v>11</v>
      </c>
      <c r="B3273" s="0" t="n">
        <v>5</v>
      </c>
      <c r="C3273" s="0" t="n">
        <v>4</v>
      </c>
      <c r="D3273" s="0" t="n">
        <f aca="false">-1+A3273*0.125</f>
        <v>0.375</v>
      </c>
      <c r="E3273" s="0" t="n">
        <f aca="false">-1+B3273*0.125</f>
        <v>-0.375</v>
      </c>
      <c r="F3273" s="0" t="n">
        <f aca="false">-1+C3273*0.125</f>
        <v>-0.5</v>
      </c>
      <c r="G3273" s="0" t="n">
        <f aca="false">1</f>
        <v>1</v>
      </c>
      <c r="H3273" s="0" t="n">
        <f aca="false">D3273</f>
        <v>0.375</v>
      </c>
      <c r="I3273" s="0" t="n">
        <f aca="false">E3273</f>
        <v>-0.375</v>
      </c>
      <c r="J3273" s="0" t="n">
        <f aca="false">F3273</f>
        <v>-0.5</v>
      </c>
      <c r="K3273" s="0" t="n">
        <f aca="false">D3273*E3273</f>
        <v>-0.140625</v>
      </c>
      <c r="L3273" s="0" t="n">
        <f aca="false">D3273*F3273</f>
        <v>-0.1875</v>
      </c>
      <c r="M3273" s="0" t="n">
        <f aca="false">E3273*F3273</f>
        <v>0.1875</v>
      </c>
      <c r="N3273" s="0" t="n">
        <f aca="false">D3273*D3273</f>
        <v>0.140625</v>
      </c>
      <c r="O3273" s="0" t="n">
        <f aca="false">E3273*E3273</f>
        <v>0.140625</v>
      </c>
      <c r="P3273" s="0" t="n">
        <f aca="false">F3273*F3273</f>
        <v>0.25</v>
      </c>
      <c r="Q3273" s="0" t="n">
        <f aca="false">SUMPRODUCT(G3273:P3273,_XtX!$B$71:$K$71)</f>
        <v>46.9096235795455</v>
      </c>
      <c r="R3273" s="0" t="n">
        <f aca="false">SUMPRODUCT(MMULT(G3273:P3273,_XtX!$B$58:$K$67),G3273:P3273)</f>
        <v>0.14681230024858</v>
      </c>
      <c r="S3273" s="0" t="n">
        <f aca="false">04_回帰ANOVA!$K$19*04_回帰ANOVA!$K$14*SQRT(1+R3273)</f>
        <v>0.995664005771711</v>
      </c>
      <c r="T3273" s="0" t="n">
        <f aca="false">Q3273-S3273</f>
        <v>45.9139595737738</v>
      </c>
      <c r="U3273" s="0" t="n">
        <f aca="false">Q3273+S3273</f>
        <v>47.9052875853172</v>
      </c>
      <c r="V3273" s="54" t="b">
        <f aca="false">AND(D3273&gt;=01_因子設定!$L$5-0.000000001,D3273&lt;=01_因子設定!$M$5+0.000000001,E3273&gt;=01_因子設定!$L$6-0.000000001,E3273&lt;=01_因子設定!$M$6+0.000000001,F3273&gt;=01_因子設定!$L$7-0.000000001,F3273&lt;=01_因子設定!$M$7+0.000000001,IF(01_因子設定!$B$20="Box-Behnken",D3273^2+E3273^2+F3273^2&lt;=2+0.000000001,TRUE()))</f>
        <v>1</v>
      </c>
      <c r="W3273" s="55" t="n">
        <f aca="false">IF(V3273,IF(01_因子設定!$B$13="最大化",T3273-01_因子設定!$B$14,IF(01_因子設定!$B$13="最小化",01_因子設定!$B$15-U3273,MIN(T3273-01_因子設定!$B$14,01_因子設定!$B$15-U3273))),-1E+030)</f>
        <v>-2.58604042622624</v>
      </c>
      <c r="X3273" s="55" t="n">
        <f aca="false">IF(V3273,IF(01_因子設定!$B$13="最大化",Q3273,IF(01_因子設定!$B$13="最小化",-Q3273,-ABS(Q3273-01_因子設定!$B$16))),-1E+030)</f>
        <v>46.9096235795455</v>
      </c>
      <c r="Y3273" s="55" t="n">
        <f aca="false">W3273+ROW()*0.000000001</f>
        <v>-2.58603715322624</v>
      </c>
      <c r="Z3273" s="55" t="n">
        <f aca="false">X3273+ROW()*0.000000001</f>
        <v>46.9096268525455</v>
      </c>
    </row>
    <row r="3274" customFormat="false" ht="15" hidden="false" customHeight="false" outlineLevel="0" collapsed="false">
      <c r="A3274" s="0" t="n">
        <v>11</v>
      </c>
      <c r="B3274" s="0" t="n">
        <v>5</v>
      </c>
      <c r="C3274" s="0" t="n">
        <v>5</v>
      </c>
      <c r="D3274" s="0" t="n">
        <f aca="false">-1+A3274*0.125</f>
        <v>0.375</v>
      </c>
      <c r="E3274" s="0" t="n">
        <f aca="false">-1+B3274*0.125</f>
        <v>-0.375</v>
      </c>
      <c r="F3274" s="0" t="n">
        <f aca="false">-1+C3274*0.125</f>
        <v>-0.375</v>
      </c>
      <c r="G3274" s="0" t="n">
        <f aca="false">1</f>
        <v>1</v>
      </c>
      <c r="H3274" s="0" t="n">
        <f aca="false">D3274</f>
        <v>0.375</v>
      </c>
      <c r="I3274" s="0" t="n">
        <f aca="false">E3274</f>
        <v>-0.375</v>
      </c>
      <c r="J3274" s="0" t="n">
        <f aca="false">F3274</f>
        <v>-0.375</v>
      </c>
      <c r="K3274" s="0" t="n">
        <f aca="false">D3274*E3274</f>
        <v>-0.140625</v>
      </c>
      <c r="L3274" s="0" t="n">
        <f aca="false">D3274*F3274</f>
        <v>-0.140625</v>
      </c>
      <c r="M3274" s="0" t="n">
        <f aca="false">E3274*F3274</f>
        <v>0.140625</v>
      </c>
      <c r="N3274" s="0" t="n">
        <f aca="false">D3274*D3274</f>
        <v>0.140625</v>
      </c>
      <c r="O3274" s="0" t="n">
        <f aca="false">E3274*E3274</f>
        <v>0.140625</v>
      </c>
      <c r="P3274" s="0" t="n">
        <f aca="false">F3274*F3274</f>
        <v>0.140625</v>
      </c>
      <c r="Q3274" s="0" t="n">
        <f aca="false">SUMPRODUCT(G3274:P3274,_XtX!$B$71:$K$71)</f>
        <v>47.1827627840909</v>
      </c>
      <c r="R3274" s="0" t="n">
        <f aca="false">SUMPRODUCT(MMULT(G3274:P3274,_XtX!$B$58:$K$67),G3274:P3274)</f>
        <v>0.134826105291193</v>
      </c>
      <c r="S3274" s="0" t="n">
        <f aca="false">04_回帰ANOVA!$K$19*04_回帰ANOVA!$K$14*SQRT(1+R3274)</f>
        <v>0.990447123160393</v>
      </c>
      <c r="T3274" s="0" t="n">
        <f aca="false">Q3274-S3274</f>
        <v>46.1923156609305</v>
      </c>
      <c r="U3274" s="0" t="n">
        <f aca="false">Q3274+S3274</f>
        <v>48.1732099072513</v>
      </c>
      <c r="V3274" s="54" t="b">
        <f aca="false">AND(D3274&gt;=01_因子設定!$L$5-0.000000001,D3274&lt;=01_因子設定!$M$5+0.000000001,E3274&gt;=01_因子設定!$L$6-0.000000001,E3274&lt;=01_因子設定!$M$6+0.000000001,F3274&gt;=01_因子設定!$L$7-0.000000001,F3274&lt;=01_因子設定!$M$7+0.000000001,IF(01_因子設定!$B$20="Box-Behnken",D3274^2+E3274^2+F3274^2&lt;=2+0.000000001,TRUE()))</f>
        <v>1</v>
      </c>
      <c r="W3274" s="55" t="n">
        <f aca="false">IF(V3274,IF(01_因子設定!$B$13="最大化",T3274-01_因子設定!$B$14,IF(01_因子設定!$B$13="最小化",01_因子設定!$B$15-U3274,MIN(T3274-01_因子設定!$B$14,01_因子設定!$B$15-U3274))),-1E+030)</f>
        <v>-2.30768433906948</v>
      </c>
      <c r="X3274" s="55" t="n">
        <f aca="false">IF(V3274,IF(01_因子設定!$B$13="最大化",Q3274,IF(01_因子設定!$B$13="最小化",-Q3274,-ABS(Q3274-01_因子設定!$B$16))),-1E+030)</f>
        <v>47.1827627840909</v>
      </c>
      <c r="Y3274" s="55" t="n">
        <f aca="false">W3274+ROW()*0.000000001</f>
        <v>-2.30768106506948</v>
      </c>
      <c r="Z3274" s="55" t="n">
        <f aca="false">X3274+ROW()*0.000000001</f>
        <v>47.1827660580909</v>
      </c>
    </row>
    <row r="3275" customFormat="false" ht="15" hidden="false" customHeight="false" outlineLevel="0" collapsed="false">
      <c r="A3275" s="0" t="n">
        <v>11</v>
      </c>
      <c r="B3275" s="0" t="n">
        <v>5</v>
      </c>
      <c r="C3275" s="0" t="n">
        <v>6</v>
      </c>
      <c r="D3275" s="0" t="n">
        <f aca="false">-1+A3275*0.125</f>
        <v>0.375</v>
      </c>
      <c r="E3275" s="0" t="n">
        <f aca="false">-1+B3275*0.125</f>
        <v>-0.375</v>
      </c>
      <c r="F3275" s="0" t="n">
        <f aca="false">-1+C3275*0.125</f>
        <v>-0.25</v>
      </c>
      <c r="G3275" s="0" t="n">
        <f aca="false">1</f>
        <v>1</v>
      </c>
      <c r="H3275" s="0" t="n">
        <f aca="false">D3275</f>
        <v>0.375</v>
      </c>
      <c r="I3275" s="0" t="n">
        <f aca="false">E3275</f>
        <v>-0.375</v>
      </c>
      <c r="J3275" s="0" t="n">
        <f aca="false">F3275</f>
        <v>-0.25</v>
      </c>
      <c r="K3275" s="0" t="n">
        <f aca="false">D3275*E3275</f>
        <v>-0.140625</v>
      </c>
      <c r="L3275" s="0" t="n">
        <f aca="false">D3275*F3275</f>
        <v>-0.09375</v>
      </c>
      <c r="M3275" s="0" t="n">
        <f aca="false">E3275*F3275</f>
        <v>0.09375</v>
      </c>
      <c r="N3275" s="0" t="n">
        <f aca="false">D3275*D3275</f>
        <v>0.140625</v>
      </c>
      <c r="O3275" s="0" t="n">
        <f aca="false">E3275*E3275</f>
        <v>0.140625</v>
      </c>
      <c r="P3275" s="0" t="n">
        <f aca="false">F3275*F3275</f>
        <v>0.0625</v>
      </c>
      <c r="Q3275" s="0" t="n">
        <f aca="false">SUMPRODUCT(G3275:P3275,_XtX!$B$71:$K$71)</f>
        <v>47.4191122159091</v>
      </c>
      <c r="R3275" s="0" t="n">
        <f aca="false">SUMPRODUCT(MMULT(G3275:P3275,_XtX!$B$58:$K$67),G3275:P3275)</f>
        <v>0.131591242009943</v>
      </c>
      <c r="S3275" s="0" t="n">
        <f aca="false">04_回帰ANOVA!$K$19*04_回帰ANOVA!$K$14*SQRT(1+R3275)</f>
        <v>0.989034462873572</v>
      </c>
      <c r="T3275" s="0" t="n">
        <f aca="false">Q3275-S3275</f>
        <v>46.4300777530355</v>
      </c>
      <c r="U3275" s="0" t="n">
        <f aca="false">Q3275+S3275</f>
        <v>48.4081466787827</v>
      </c>
      <c r="V3275" s="54" t="b">
        <f aca="false">AND(D3275&gt;=01_因子設定!$L$5-0.000000001,D3275&lt;=01_因子設定!$M$5+0.000000001,E3275&gt;=01_因子設定!$L$6-0.000000001,E3275&lt;=01_因子設定!$M$6+0.000000001,F3275&gt;=01_因子設定!$L$7-0.000000001,F3275&lt;=01_因子設定!$M$7+0.000000001,IF(01_因子設定!$B$20="Box-Behnken",D3275^2+E3275^2+F3275^2&lt;=2+0.000000001,TRUE()))</f>
        <v>1</v>
      </c>
      <c r="W3275" s="55" t="n">
        <f aca="false">IF(V3275,IF(01_因子設定!$B$13="最大化",T3275-01_因子設定!$B$14,IF(01_因子設定!$B$13="最小化",01_因子設定!$B$15-U3275,MIN(T3275-01_因子設定!$B$14,01_因子設定!$B$15-U3275))),-1E+030)</f>
        <v>-2.06992224696447</v>
      </c>
      <c r="X3275" s="55" t="n">
        <f aca="false">IF(V3275,IF(01_因子設定!$B$13="最大化",Q3275,IF(01_因子設定!$B$13="最小化",-Q3275,-ABS(Q3275-01_因子設定!$B$16))),-1E+030)</f>
        <v>47.4191122159091</v>
      </c>
      <c r="Y3275" s="55" t="n">
        <f aca="false">W3275+ROW()*0.000000001</f>
        <v>-2.06991897196447</v>
      </c>
      <c r="Z3275" s="55" t="n">
        <f aca="false">X3275+ROW()*0.000000001</f>
        <v>47.4191154909091</v>
      </c>
    </row>
    <row r="3276" customFormat="false" ht="15" hidden="false" customHeight="false" outlineLevel="0" collapsed="false">
      <c r="A3276" s="0" t="n">
        <v>11</v>
      </c>
      <c r="B3276" s="0" t="n">
        <v>5</v>
      </c>
      <c r="C3276" s="0" t="n">
        <v>7</v>
      </c>
      <c r="D3276" s="0" t="n">
        <f aca="false">-1+A3276*0.125</f>
        <v>0.375</v>
      </c>
      <c r="E3276" s="0" t="n">
        <f aca="false">-1+B3276*0.125</f>
        <v>-0.375</v>
      </c>
      <c r="F3276" s="0" t="n">
        <f aca="false">-1+C3276*0.125</f>
        <v>-0.125</v>
      </c>
      <c r="G3276" s="0" t="n">
        <f aca="false">1</f>
        <v>1</v>
      </c>
      <c r="H3276" s="0" t="n">
        <f aca="false">D3276</f>
        <v>0.375</v>
      </c>
      <c r="I3276" s="0" t="n">
        <f aca="false">E3276</f>
        <v>-0.375</v>
      </c>
      <c r="J3276" s="0" t="n">
        <f aca="false">F3276</f>
        <v>-0.125</v>
      </c>
      <c r="K3276" s="0" t="n">
        <f aca="false">D3276*E3276</f>
        <v>-0.140625</v>
      </c>
      <c r="L3276" s="0" t="n">
        <f aca="false">D3276*F3276</f>
        <v>-0.046875</v>
      </c>
      <c r="M3276" s="0" t="n">
        <f aca="false">E3276*F3276</f>
        <v>0.046875</v>
      </c>
      <c r="N3276" s="0" t="n">
        <f aca="false">D3276*D3276</f>
        <v>0.140625</v>
      </c>
      <c r="O3276" s="0" t="n">
        <f aca="false">E3276*E3276</f>
        <v>0.140625</v>
      </c>
      <c r="P3276" s="0" t="n">
        <f aca="false">F3276*F3276</f>
        <v>0.015625</v>
      </c>
      <c r="Q3276" s="0" t="n">
        <f aca="false">SUMPRODUCT(G3276:P3276,_XtX!$B$71:$K$71)</f>
        <v>47.618671875</v>
      </c>
      <c r="R3276" s="0" t="n">
        <f aca="false">SUMPRODUCT(MMULT(G3276:P3276,_XtX!$B$58:$K$67),G3276:P3276)</f>
        <v>0.131781005859375</v>
      </c>
      <c r="S3276" s="0" t="n">
        <f aca="false">04_回帰ANOVA!$K$19*04_回帰ANOVA!$K$14*SQRT(1+R3276)</f>
        <v>0.989117388188007</v>
      </c>
      <c r="T3276" s="0" t="n">
        <f aca="false">Q3276-S3276</f>
        <v>46.629554486812</v>
      </c>
      <c r="U3276" s="0" t="n">
        <f aca="false">Q3276+S3276</f>
        <v>48.607789263188</v>
      </c>
      <c r="V3276" s="54" t="b">
        <f aca="false">AND(D3276&gt;=01_因子設定!$L$5-0.000000001,D3276&lt;=01_因子設定!$M$5+0.000000001,E3276&gt;=01_因子設定!$L$6-0.000000001,E3276&lt;=01_因子設定!$M$6+0.000000001,F3276&gt;=01_因子設定!$L$7-0.000000001,F3276&lt;=01_因子設定!$M$7+0.000000001,IF(01_因子設定!$B$20="Box-Behnken",D3276^2+E3276^2+F3276^2&lt;=2+0.000000001,TRUE()))</f>
        <v>1</v>
      </c>
      <c r="W3276" s="55" t="n">
        <f aca="false">IF(V3276,IF(01_因子設定!$B$13="最大化",T3276-01_因子設定!$B$14,IF(01_因子設定!$B$13="最小化",01_因子設定!$B$15-U3276,MIN(T3276-01_因子設定!$B$14,01_因子設定!$B$15-U3276))),-1E+030)</f>
        <v>-1.870445513188</v>
      </c>
      <c r="X3276" s="55" t="n">
        <f aca="false">IF(V3276,IF(01_因子設定!$B$13="最大化",Q3276,IF(01_因子設定!$B$13="最小化",-Q3276,-ABS(Q3276-01_因子設定!$B$16))),-1E+030)</f>
        <v>47.618671875</v>
      </c>
      <c r="Y3276" s="55" t="n">
        <f aca="false">W3276+ROW()*0.000000001</f>
        <v>-1.870442237188</v>
      </c>
      <c r="Z3276" s="55" t="n">
        <f aca="false">X3276+ROW()*0.000000001</f>
        <v>47.618675151</v>
      </c>
    </row>
    <row r="3277" customFormat="false" ht="15" hidden="false" customHeight="false" outlineLevel="0" collapsed="false">
      <c r="A3277" s="0" t="n">
        <v>11</v>
      </c>
      <c r="B3277" s="0" t="n">
        <v>5</v>
      </c>
      <c r="C3277" s="0" t="n">
        <v>8</v>
      </c>
      <c r="D3277" s="0" t="n">
        <f aca="false">-1+A3277*0.125</f>
        <v>0.375</v>
      </c>
      <c r="E3277" s="0" t="n">
        <f aca="false">-1+B3277*0.125</f>
        <v>-0.375</v>
      </c>
      <c r="F3277" s="0" t="n">
        <f aca="false">-1+C3277*0.125</f>
        <v>0</v>
      </c>
      <c r="G3277" s="0" t="n">
        <f aca="false">1</f>
        <v>1</v>
      </c>
      <c r="H3277" s="0" t="n">
        <f aca="false">D3277</f>
        <v>0.375</v>
      </c>
      <c r="I3277" s="0" t="n">
        <f aca="false">E3277</f>
        <v>-0.375</v>
      </c>
      <c r="J3277" s="0" t="n">
        <f aca="false">F3277</f>
        <v>0</v>
      </c>
      <c r="K3277" s="0" t="n">
        <f aca="false">D3277*E3277</f>
        <v>-0.140625</v>
      </c>
      <c r="L3277" s="0" t="n">
        <f aca="false">D3277*F3277</f>
        <v>0</v>
      </c>
      <c r="M3277" s="0" t="n">
        <f aca="false">E3277*F3277</f>
        <v>-0</v>
      </c>
      <c r="N3277" s="0" t="n">
        <f aca="false">D3277*D3277</f>
        <v>0.140625</v>
      </c>
      <c r="O3277" s="0" t="n">
        <f aca="false">E3277*E3277</f>
        <v>0.140625</v>
      </c>
      <c r="P3277" s="0" t="n">
        <f aca="false">F3277*F3277</f>
        <v>0</v>
      </c>
      <c r="Q3277" s="0" t="n">
        <f aca="false">SUMPRODUCT(G3277:P3277,_XtX!$B$71:$K$71)</f>
        <v>47.7814417613636</v>
      </c>
      <c r="R3277" s="0" t="n">
        <f aca="false">SUMPRODUCT(MMULT(G3277:P3277,_XtX!$B$58:$K$67),G3277:P3277)</f>
        <v>0.132199374112216</v>
      </c>
      <c r="S3277" s="0" t="n">
        <f aca="false">04_回帰ANOVA!$K$19*04_回帰ANOVA!$K$14*SQRT(1+R3277)</f>
        <v>0.989300187279118</v>
      </c>
      <c r="T3277" s="0" t="n">
        <f aca="false">Q3277-S3277</f>
        <v>46.7921415740845</v>
      </c>
      <c r="U3277" s="0" t="n">
        <f aca="false">Q3277+S3277</f>
        <v>48.7707419486428</v>
      </c>
      <c r="V3277" s="54" t="b">
        <f aca="false">AND(D3277&gt;=01_因子設定!$L$5-0.000000001,D3277&lt;=01_因子設定!$M$5+0.000000001,E3277&gt;=01_因子設定!$L$6-0.000000001,E3277&lt;=01_因子設定!$M$6+0.000000001,F3277&gt;=01_因子設定!$L$7-0.000000001,F3277&lt;=01_因子設定!$M$7+0.000000001,IF(01_因子設定!$B$20="Box-Behnken",D3277^2+E3277^2+F3277^2&lt;=2+0.000000001,TRUE()))</f>
        <v>1</v>
      </c>
      <c r="W3277" s="55" t="n">
        <f aca="false">IF(V3277,IF(01_因子設定!$B$13="最大化",T3277-01_因子設定!$B$14,IF(01_因子設定!$B$13="最小化",01_因子設定!$B$15-U3277,MIN(T3277-01_因子設定!$B$14,01_因子設定!$B$15-U3277))),-1E+030)</f>
        <v>-1.70785842591548</v>
      </c>
      <c r="X3277" s="55" t="n">
        <f aca="false">IF(V3277,IF(01_因子設定!$B$13="最大化",Q3277,IF(01_因子設定!$B$13="最小化",-Q3277,-ABS(Q3277-01_因子設定!$B$16))),-1E+030)</f>
        <v>47.7814417613636</v>
      </c>
      <c r="Y3277" s="55" t="n">
        <f aca="false">W3277+ROW()*0.000000001</f>
        <v>-1.70785514891548</v>
      </c>
      <c r="Z3277" s="55" t="n">
        <f aca="false">X3277+ROW()*0.000000001</f>
        <v>47.7814450383636</v>
      </c>
    </row>
    <row r="3278" customFormat="false" ht="15" hidden="false" customHeight="false" outlineLevel="0" collapsed="false">
      <c r="A3278" s="0" t="n">
        <v>11</v>
      </c>
      <c r="B3278" s="0" t="n">
        <v>5</v>
      </c>
      <c r="C3278" s="0" t="n">
        <v>9</v>
      </c>
      <c r="D3278" s="0" t="n">
        <f aca="false">-1+A3278*0.125</f>
        <v>0.375</v>
      </c>
      <c r="E3278" s="0" t="n">
        <f aca="false">-1+B3278*0.125</f>
        <v>-0.375</v>
      </c>
      <c r="F3278" s="0" t="n">
        <f aca="false">-1+C3278*0.125</f>
        <v>0.125</v>
      </c>
      <c r="G3278" s="0" t="n">
        <f aca="false">1</f>
        <v>1</v>
      </c>
      <c r="H3278" s="0" t="n">
        <f aca="false">D3278</f>
        <v>0.375</v>
      </c>
      <c r="I3278" s="0" t="n">
        <f aca="false">E3278</f>
        <v>-0.375</v>
      </c>
      <c r="J3278" s="0" t="n">
        <f aca="false">F3278</f>
        <v>0.125</v>
      </c>
      <c r="K3278" s="0" t="n">
        <f aca="false">D3278*E3278</f>
        <v>-0.140625</v>
      </c>
      <c r="L3278" s="0" t="n">
        <f aca="false">D3278*F3278</f>
        <v>0.046875</v>
      </c>
      <c r="M3278" s="0" t="n">
        <f aca="false">E3278*F3278</f>
        <v>-0.046875</v>
      </c>
      <c r="N3278" s="0" t="n">
        <f aca="false">D3278*D3278</f>
        <v>0.140625</v>
      </c>
      <c r="O3278" s="0" t="n">
        <f aca="false">E3278*E3278</f>
        <v>0.140625</v>
      </c>
      <c r="P3278" s="0" t="n">
        <f aca="false">F3278*F3278</f>
        <v>0.015625</v>
      </c>
      <c r="Q3278" s="0" t="n">
        <f aca="false">SUMPRODUCT(G3278:P3278,_XtX!$B$71:$K$71)</f>
        <v>47.907421875</v>
      </c>
      <c r="R3278" s="0" t="n">
        <f aca="false">SUMPRODUCT(MMULT(G3278:P3278,_XtX!$B$58:$K$67),G3278:P3278)</f>
        <v>0.131781005859375</v>
      </c>
      <c r="S3278" s="0" t="n">
        <f aca="false">04_回帰ANOVA!$K$19*04_回帰ANOVA!$K$14*SQRT(1+R3278)</f>
        <v>0.989117388188007</v>
      </c>
      <c r="T3278" s="0" t="n">
        <f aca="false">Q3278-S3278</f>
        <v>46.918304486812</v>
      </c>
      <c r="U3278" s="0" t="n">
        <f aca="false">Q3278+S3278</f>
        <v>48.896539263188</v>
      </c>
      <c r="V3278" s="54" t="b">
        <f aca="false">AND(D3278&gt;=01_因子設定!$L$5-0.000000001,D3278&lt;=01_因子設定!$M$5+0.000000001,E3278&gt;=01_因子設定!$L$6-0.000000001,E3278&lt;=01_因子設定!$M$6+0.000000001,F3278&gt;=01_因子設定!$L$7-0.000000001,F3278&lt;=01_因子設定!$M$7+0.000000001,IF(01_因子設定!$B$20="Box-Behnken",D3278^2+E3278^2+F3278^2&lt;=2+0.000000001,TRUE()))</f>
        <v>1</v>
      </c>
      <c r="W3278" s="55" t="n">
        <f aca="false">IF(V3278,IF(01_因子設定!$B$13="最大化",T3278-01_因子設定!$B$14,IF(01_因子設定!$B$13="最小化",01_因子設定!$B$15-U3278,MIN(T3278-01_因子設定!$B$14,01_因子設定!$B$15-U3278))),-1E+030)</f>
        <v>-1.581695513188</v>
      </c>
      <c r="X3278" s="55" t="n">
        <f aca="false">IF(V3278,IF(01_因子設定!$B$13="最大化",Q3278,IF(01_因子設定!$B$13="最小化",-Q3278,-ABS(Q3278-01_因子設定!$B$16))),-1E+030)</f>
        <v>47.907421875</v>
      </c>
      <c r="Y3278" s="55" t="n">
        <f aca="false">W3278+ROW()*0.000000001</f>
        <v>-1.581692235188</v>
      </c>
      <c r="Z3278" s="55" t="n">
        <f aca="false">X3278+ROW()*0.000000001</f>
        <v>47.907425153</v>
      </c>
    </row>
    <row r="3279" customFormat="false" ht="15" hidden="false" customHeight="false" outlineLevel="0" collapsed="false">
      <c r="A3279" s="0" t="n">
        <v>11</v>
      </c>
      <c r="B3279" s="0" t="n">
        <v>5</v>
      </c>
      <c r="C3279" s="0" t="n">
        <v>10</v>
      </c>
      <c r="D3279" s="0" t="n">
        <f aca="false">-1+A3279*0.125</f>
        <v>0.375</v>
      </c>
      <c r="E3279" s="0" t="n">
        <f aca="false">-1+B3279*0.125</f>
        <v>-0.375</v>
      </c>
      <c r="F3279" s="0" t="n">
        <f aca="false">-1+C3279*0.125</f>
        <v>0.25</v>
      </c>
      <c r="G3279" s="0" t="n">
        <f aca="false">1</f>
        <v>1</v>
      </c>
      <c r="H3279" s="0" t="n">
        <f aca="false">D3279</f>
        <v>0.375</v>
      </c>
      <c r="I3279" s="0" t="n">
        <f aca="false">E3279</f>
        <v>-0.375</v>
      </c>
      <c r="J3279" s="0" t="n">
        <f aca="false">F3279</f>
        <v>0.25</v>
      </c>
      <c r="K3279" s="0" t="n">
        <f aca="false">D3279*E3279</f>
        <v>-0.140625</v>
      </c>
      <c r="L3279" s="0" t="n">
        <f aca="false">D3279*F3279</f>
        <v>0.09375</v>
      </c>
      <c r="M3279" s="0" t="n">
        <f aca="false">E3279*F3279</f>
        <v>-0.09375</v>
      </c>
      <c r="N3279" s="0" t="n">
        <f aca="false">D3279*D3279</f>
        <v>0.140625</v>
      </c>
      <c r="O3279" s="0" t="n">
        <f aca="false">E3279*E3279</f>
        <v>0.140625</v>
      </c>
      <c r="P3279" s="0" t="n">
        <f aca="false">F3279*F3279</f>
        <v>0.0625</v>
      </c>
      <c r="Q3279" s="0" t="n">
        <f aca="false">SUMPRODUCT(G3279:P3279,_XtX!$B$71:$K$71)</f>
        <v>47.9966122159091</v>
      </c>
      <c r="R3279" s="0" t="n">
        <f aca="false">SUMPRODUCT(MMULT(G3279:P3279,_XtX!$B$58:$K$67),G3279:P3279)</f>
        <v>0.131591242009943</v>
      </c>
      <c r="S3279" s="0" t="n">
        <f aca="false">04_回帰ANOVA!$K$19*04_回帰ANOVA!$K$14*SQRT(1+R3279)</f>
        <v>0.989034462873572</v>
      </c>
      <c r="T3279" s="0" t="n">
        <f aca="false">Q3279-S3279</f>
        <v>47.0075777530355</v>
      </c>
      <c r="U3279" s="0" t="n">
        <f aca="false">Q3279+S3279</f>
        <v>48.9856466787827</v>
      </c>
      <c r="V3279" s="54" t="b">
        <f aca="false">AND(D3279&gt;=01_因子設定!$L$5-0.000000001,D3279&lt;=01_因子設定!$M$5+0.000000001,E3279&gt;=01_因子設定!$L$6-0.000000001,E3279&lt;=01_因子設定!$M$6+0.000000001,F3279&gt;=01_因子設定!$L$7-0.000000001,F3279&lt;=01_因子設定!$M$7+0.000000001,IF(01_因子設定!$B$20="Box-Behnken",D3279^2+E3279^2+F3279^2&lt;=2+0.000000001,TRUE()))</f>
        <v>1</v>
      </c>
      <c r="W3279" s="55" t="n">
        <f aca="false">IF(V3279,IF(01_因子設定!$B$13="最大化",T3279-01_因子設定!$B$14,IF(01_因子設定!$B$13="最小化",01_因子設定!$B$15-U3279,MIN(T3279-01_因子設定!$B$14,01_因子設定!$B$15-U3279))),-1E+030)</f>
        <v>-1.49242224696447</v>
      </c>
      <c r="X3279" s="55" t="n">
        <f aca="false">IF(V3279,IF(01_因子設定!$B$13="最大化",Q3279,IF(01_因子設定!$B$13="最小化",-Q3279,-ABS(Q3279-01_因子設定!$B$16))),-1E+030)</f>
        <v>47.9966122159091</v>
      </c>
      <c r="Y3279" s="55" t="n">
        <f aca="false">W3279+ROW()*0.000000001</f>
        <v>-1.49241896796447</v>
      </c>
      <c r="Z3279" s="55" t="n">
        <f aca="false">X3279+ROW()*0.000000001</f>
        <v>47.9966154949091</v>
      </c>
    </row>
    <row r="3280" customFormat="false" ht="15" hidden="false" customHeight="false" outlineLevel="0" collapsed="false">
      <c r="A3280" s="0" t="n">
        <v>11</v>
      </c>
      <c r="B3280" s="0" t="n">
        <v>5</v>
      </c>
      <c r="C3280" s="0" t="n">
        <v>11</v>
      </c>
      <c r="D3280" s="0" t="n">
        <f aca="false">-1+A3280*0.125</f>
        <v>0.375</v>
      </c>
      <c r="E3280" s="0" t="n">
        <f aca="false">-1+B3280*0.125</f>
        <v>-0.375</v>
      </c>
      <c r="F3280" s="0" t="n">
        <f aca="false">-1+C3280*0.125</f>
        <v>0.375</v>
      </c>
      <c r="G3280" s="0" t="n">
        <f aca="false">1</f>
        <v>1</v>
      </c>
      <c r="H3280" s="0" t="n">
        <f aca="false">D3280</f>
        <v>0.375</v>
      </c>
      <c r="I3280" s="0" t="n">
        <f aca="false">E3280</f>
        <v>-0.375</v>
      </c>
      <c r="J3280" s="0" t="n">
        <f aca="false">F3280</f>
        <v>0.375</v>
      </c>
      <c r="K3280" s="0" t="n">
        <f aca="false">D3280*E3280</f>
        <v>-0.140625</v>
      </c>
      <c r="L3280" s="0" t="n">
        <f aca="false">D3280*F3280</f>
        <v>0.140625</v>
      </c>
      <c r="M3280" s="0" t="n">
        <f aca="false">E3280*F3280</f>
        <v>-0.140625</v>
      </c>
      <c r="N3280" s="0" t="n">
        <f aca="false">D3280*D3280</f>
        <v>0.140625</v>
      </c>
      <c r="O3280" s="0" t="n">
        <f aca="false">E3280*E3280</f>
        <v>0.140625</v>
      </c>
      <c r="P3280" s="0" t="n">
        <f aca="false">F3280*F3280</f>
        <v>0.140625</v>
      </c>
      <c r="Q3280" s="0" t="n">
        <f aca="false">SUMPRODUCT(G3280:P3280,_XtX!$B$71:$K$71)</f>
        <v>48.0490127840909</v>
      </c>
      <c r="R3280" s="0" t="n">
        <f aca="false">SUMPRODUCT(MMULT(G3280:P3280,_XtX!$B$58:$K$67),G3280:P3280)</f>
        <v>0.134826105291193</v>
      </c>
      <c r="S3280" s="0" t="n">
        <f aca="false">04_回帰ANOVA!$K$19*04_回帰ANOVA!$K$14*SQRT(1+R3280)</f>
        <v>0.990447123160393</v>
      </c>
      <c r="T3280" s="0" t="n">
        <f aca="false">Q3280-S3280</f>
        <v>47.0585656609305</v>
      </c>
      <c r="U3280" s="0" t="n">
        <f aca="false">Q3280+S3280</f>
        <v>49.0394599072513</v>
      </c>
      <c r="V3280" s="54" t="b">
        <f aca="false">AND(D3280&gt;=01_因子設定!$L$5-0.000000001,D3280&lt;=01_因子設定!$M$5+0.000000001,E3280&gt;=01_因子設定!$L$6-0.000000001,E3280&lt;=01_因子設定!$M$6+0.000000001,F3280&gt;=01_因子設定!$L$7-0.000000001,F3280&lt;=01_因子設定!$M$7+0.000000001,IF(01_因子設定!$B$20="Box-Behnken",D3280^2+E3280^2+F3280^2&lt;=2+0.000000001,TRUE()))</f>
        <v>1</v>
      </c>
      <c r="W3280" s="55" t="n">
        <f aca="false">IF(V3280,IF(01_因子設定!$B$13="最大化",T3280-01_因子設定!$B$14,IF(01_因子設定!$B$13="最小化",01_因子設定!$B$15-U3280,MIN(T3280-01_因子設定!$B$14,01_因子設定!$B$15-U3280))),-1E+030)</f>
        <v>-1.44143433906947</v>
      </c>
      <c r="X3280" s="55" t="n">
        <f aca="false">IF(V3280,IF(01_因子設定!$B$13="最大化",Q3280,IF(01_因子設定!$B$13="最小化",-Q3280,-ABS(Q3280-01_因子設定!$B$16))),-1E+030)</f>
        <v>48.0490127840909</v>
      </c>
      <c r="Y3280" s="55" t="n">
        <f aca="false">W3280+ROW()*0.000000001</f>
        <v>-1.44143105906947</v>
      </c>
      <c r="Z3280" s="55" t="n">
        <f aca="false">X3280+ROW()*0.000000001</f>
        <v>48.0490160640909</v>
      </c>
    </row>
    <row r="3281" customFormat="false" ht="15" hidden="false" customHeight="false" outlineLevel="0" collapsed="false">
      <c r="A3281" s="0" t="n">
        <v>11</v>
      </c>
      <c r="B3281" s="0" t="n">
        <v>5</v>
      </c>
      <c r="C3281" s="0" t="n">
        <v>12</v>
      </c>
      <c r="D3281" s="0" t="n">
        <f aca="false">-1+A3281*0.125</f>
        <v>0.375</v>
      </c>
      <c r="E3281" s="0" t="n">
        <f aca="false">-1+B3281*0.125</f>
        <v>-0.375</v>
      </c>
      <c r="F3281" s="0" t="n">
        <f aca="false">-1+C3281*0.125</f>
        <v>0.5</v>
      </c>
      <c r="G3281" s="0" t="n">
        <f aca="false">1</f>
        <v>1</v>
      </c>
      <c r="H3281" s="0" t="n">
        <f aca="false">D3281</f>
        <v>0.375</v>
      </c>
      <c r="I3281" s="0" t="n">
        <f aca="false">E3281</f>
        <v>-0.375</v>
      </c>
      <c r="J3281" s="0" t="n">
        <f aca="false">F3281</f>
        <v>0.5</v>
      </c>
      <c r="K3281" s="0" t="n">
        <f aca="false">D3281*E3281</f>
        <v>-0.140625</v>
      </c>
      <c r="L3281" s="0" t="n">
        <f aca="false">D3281*F3281</f>
        <v>0.1875</v>
      </c>
      <c r="M3281" s="0" t="n">
        <f aca="false">E3281*F3281</f>
        <v>-0.1875</v>
      </c>
      <c r="N3281" s="0" t="n">
        <f aca="false">D3281*D3281</f>
        <v>0.140625</v>
      </c>
      <c r="O3281" s="0" t="n">
        <f aca="false">E3281*E3281</f>
        <v>0.140625</v>
      </c>
      <c r="P3281" s="0" t="n">
        <f aca="false">F3281*F3281</f>
        <v>0.25</v>
      </c>
      <c r="Q3281" s="0" t="n">
        <f aca="false">SUMPRODUCT(G3281:P3281,_XtX!$B$71:$K$71)</f>
        <v>48.0646235795455</v>
      </c>
      <c r="R3281" s="0" t="n">
        <f aca="false">SUMPRODUCT(MMULT(G3281:P3281,_XtX!$B$58:$K$67),G3281:P3281)</f>
        <v>0.14681230024858</v>
      </c>
      <c r="S3281" s="0" t="n">
        <f aca="false">04_回帰ANOVA!$K$19*04_回帰ANOVA!$K$14*SQRT(1+R3281)</f>
        <v>0.995664005771711</v>
      </c>
      <c r="T3281" s="0" t="n">
        <f aca="false">Q3281-S3281</f>
        <v>47.0689595737738</v>
      </c>
      <c r="U3281" s="0" t="n">
        <f aca="false">Q3281+S3281</f>
        <v>49.0602875853172</v>
      </c>
      <c r="V3281" s="54" t="b">
        <f aca="false">AND(D3281&gt;=01_因子設定!$L$5-0.000000001,D3281&lt;=01_因子設定!$M$5+0.000000001,E3281&gt;=01_因子設定!$L$6-0.000000001,E3281&lt;=01_因子設定!$M$6+0.000000001,F3281&gt;=01_因子設定!$L$7-0.000000001,F3281&lt;=01_因子設定!$M$7+0.000000001,IF(01_因子設定!$B$20="Box-Behnken",D3281^2+E3281^2+F3281^2&lt;=2+0.000000001,TRUE()))</f>
        <v>1</v>
      </c>
      <c r="W3281" s="55" t="n">
        <f aca="false">IF(V3281,IF(01_因子設定!$B$13="最大化",T3281-01_因子設定!$B$14,IF(01_因子設定!$B$13="最小化",01_因子設定!$B$15-U3281,MIN(T3281-01_因子設定!$B$14,01_因子設定!$B$15-U3281))),-1E+030)</f>
        <v>-1.43104042622624</v>
      </c>
      <c r="X3281" s="55" t="n">
        <f aca="false">IF(V3281,IF(01_因子設定!$B$13="最大化",Q3281,IF(01_因子設定!$B$13="最小化",-Q3281,-ABS(Q3281-01_因子設定!$B$16))),-1E+030)</f>
        <v>48.0646235795455</v>
      </c>
      <c r="Y3281" s="55" t="n">
        <f aca="false">W3281+ROW()*0.000000001</f>
        <v>-1.43103714522624</v>
      </c>
      <c r="Z3281" s="55" t="n">
        <f aca="false">X3281+ROW()*0.000000001</f>
        <v>48.0646268605455</v>
      </c>
    </row>
    <row r="3282" customFormat="false" ht="15" hidden="false" customHeight="false" outlineLevel="0" collapsed="false">
      <c r="A3282" s="0" t="n">
        <v>11</v>
      </c>
      <c r="B3282" s="0" t="n">
        <v>5</v>
      </c>
      <c r="C3282" s="0" t="n">
        <v>13</v>
      </c>
      <c r="D3282" s="0" t="n">
        <f aca="false">-1+A3282*0.125</f>
        <v>0.375</v>
      </c>
      <c r="E3282" s="0" t="n">
        <f aca="false">-1+B3282*0.125</f>
        <v>-0.375</v>
      </c>
      <c r="F3282" s="0" t="n">
        <f aca="false">-1+C3282*0.125</f>
        <v>0.625</v>
      </c>
      <c r="G3282" s="0" t="n">
        <f aca="false">1</f>
        <v>1</v>
      </c>
      <c r="H3282" s="0" t="n">
        <f aca="false">D3282</f>
        <v>0.375</v>
      </c>
      <c r="I3282" s="0" t="n">
        <f aca="false">E3282</f>
        <v>-0.375</v>
      </c>
      <c r="J3282" s="0" t="n">
        <f aca="false">F3282</f>
        <v>0.625</v>
      </c>
      <c r="K3282" s="0" t="n">
        <f aca="false">D3282*E3282</f>
        <v>-0.140625</v>
      </c>
      <c r="L3282" s="0" t="n">
        <f aca="false">D3282*F3282</f>
        <v>0.234375</v>
      </c>
      <c r="M3282" s="0" t="n">
        <f aca="false">E3282*F3282</f>
        <v>-0.234375</v>
      </c>
      <c r="N3282" s="0" t="n">
        <f aca="false">D3282*D3282</f>
        <v>0.140625</v>
      </c>
      <c r="O3282" s="0" t="n">
        <f aca="false">E3282*E3282</f>
        <v>0.140625</v>
      </c>
      <c r="P3282" s="0" t="n">
        <f aca="false">F3282*F3282</f>
        <v>0.390625</v>
      </c>
      <c r="Q3282" s="0" t="n">
        <f aca="false">SUMPRODUCT(G3282:P3282,_XtX!$B$71:$K$71)</f>
        <v>48.0434446022727</v>
      </c>
      <c r="R3282" s="0" t="n">
        <f aca="false">SUMPRODUCT(MMULT(G3282:P3282,_XtX!$B$58:$K$67),G3282:P3282)</f>
        <v>0.175007213245739</v>
      </c>
      <c r="S3282" s="0" t="n">
        <f aca="false">04_回帰ANOVA!$K$19*04_回帰ANOVA!$K$14*SQRT(1+R3282)</f>
        <v>1.0078291195273</v>
      </c>
      <c r="T3282" s="0" t="n">
        <f aca="false">Q3282-S3282</f>
        <v>47.0356154827454</v>
      </c>
      <c r="U3282" s="0" t="n">
        <f aca="false">Q3282+S3282</f>
        <v>49.0512737218</v>
      </c>
      <c r="V3282" s="54" t="b">
        <f aca="false">AND(D3282&gt;=01_因子設定!$L$5-0.000000001,D3282&lt;=01_因子設定!$M$5+0.000000001,E3282&gt;=01_因子設定!$L$6-0.000000001,E3282&lt;=01_因子設定!$M$6+0.000000001,F3282&gt;=01_因子設定!$L$7-0.000000001,F3282&lt;=01_因子設定!$M$7+0.000000001,IF(01_因子設定!$B$20="Box-Behnken",D3282^2+E3282^2+F3282^2&lt;=2+0.000000001,TRUE()))</f>
        <v>1</v>
      </c>
      <c r="W3282" s="55" t="n">
        <f aca="false">IF(V3282,IF(01_因子設定!$B$13="最大化",T3282-01_因子設定!$B$14,IF(01_因子設定!$B$13="最小化",01_因子設定!$B$15-U3282,MIN(T3282-01_因子設定!$B$14,01_因子設定!$B$15-U3282))),-1E+030)</f>
        <v>-1.46438451725456</v>
      </c>
      <c r="X3282" s="55" t="n">
        <f aca="false">IF(V3282,IF(01_因子設定!$B$13="最大化",Q3282,IF(01_因子設定!$B$13="最小化",-Q3282,-ABS(Q3282-01_因子設定!$B$16))),-1E+030)</f>
        <v>48.0434446022727</v>
      </c>
      <c r="Y3282" s="55" t="n">
        <f aca="false">W3282+ROW()*0.000000001</f>
        <v>-1.46438123525456</v>
      </c>
      <c r="Z3282" s="55" t="n">
        <f aca="false">X3282+ROW()*0.000000001</f>
        <v>48.0434478842727</v>
      </c>
    </row>
    <row r="3283" customFormat="false" ht="15" hidden="false" customHeight="false" outlineLevel="0" collapsed="false">
      <c r="A3283" s="0" t="n">
        <v>11</v>
      </c>
      <c r="B3283" s="0" t="n">
        <v>5</v>
      </c>
      <c r="C3283" s="0" t="n">
        <v>14</v>
      </c>
      <c r="D3283" s="0" t="n">
        <f aca="false">-1+A3283*0.125</f>
        <v>0.375</v>
      </c>
      <c r="E3283" s="0" t="n">
        <f aca="false">-1+B3283*0.125</f>
        <v>-0.375</v>
      </c>
      <c r="F3283" s="0" t="n">
        <f aca="false">-1+C3283*0.125</f>
        <v>0.75</v>
      </c>
      <c r="G3283" s="0" t="n">
        <f aca="false">1</f>
        <v>1</v>
      </c>
      <c r="H3283" s="0" t="n">
        <f aca="false">D3283</f>
        <v>0.375</v>
      </c>
      <c r="I3283" s="0" t="n">
        <f aca="false">E3283</f>
        <v>-0.375</v>
      </c>
      <c r="J3283" s="0" t="n">
        <f aca="false">F3283</f>
        <v>0.75</v>
      </c>
      <c r="K3283" s="0" t="n">
        <f aca="false">D3283*E3283</f>
        <v>-0.140625</v>
      </c>
      <c r="L3283" s="0" t="n">
        <f aca="false">D3283*F3283</f>
        <v>0.28125</v>
      </c>
      <c r="M3283" s="0" t="n">
        <f aca="false">E3283*F3283</f>
        <v>-0.28125</v>
      </c>
      <c r="N3283" s="0" t="n">
        <f aca="false">D3283*D3283</f>
        <v>0.140625</v>
      </c>
      <c r="O3283" s="0" t="n">
        <f aca="false">E3283*E3283</f>
        <v>0.140625</v>
      </c>
      <c r="P3283" s="0" t="n">
        <f aca="false">F3283*F3283</f>
        <v>0.5625</v>
      </c>
      <c r="Q3283" s="0" t="n">
        <f aca="false">SUMPRODUCT(G3283:P3283,_XtX!$B$71:$K$71)</f>
        <v>47.9854758522727</v>
      </c>
      <c r="R3283" s="0" t="n">
        <f aca="false">SUMPRODUCT(MMULT(G3283:P3283,_XtX!$B$58:$K$67),G3283:P3283)</f>
        <v>0.228998912464489</v>
      </c>
      <c r="S3283" s="0" t="n">
        <f aca="false">04_回帰ANOVA!$K$19*04_回帰ANOVA!$K$14*SQRT(1+R3283)</f>
        <v>1.03072399242813</v>
      </c>
      <c r="T3283" s="0" t="n">
        <f aca="false">Q3283-S3283</f>
        <v>46.9547518598446</v>
      </c>
      <c r="U3283" s="0" t="n">
        <f aca="false">Q3283+S3283</f>
        <v>49.0161998447009</v>
      </c>
      <c r="V3283" s="54" t="b">
        <f aca="false">AND(D3283&gt;=01_因子設定!$L$5-0.000000001,D3283&lt;=01_因子設定!$M$5+0.000000001,E3283&gt;=01_因子設定!$L$6-0.000000001,E3283&lt;=01_因子設定!$M$6+0.000000001,F3283&gt;=01_因子設定!$L$7-0.000000001,F3283&lt;=01_因子設定!$M$7+0.000000001,IF(01_因子設定!$B$20="Box-Behnken",D3283^2+E3283^2+F3283^2&lt;=2+0.000000001,TRUE()))</f>
        <v>1</v>
      </c>
      <c r="W3283" s="55" t="n">
        <f aca="false">IF(V3283,IF(01_因子設定!$B$13="最大化",T3283-01_因子設定!$B$14,IF(01_因子設定!$B$13="最小化",01_因子設定!$B$15-U3283,MIN(T3283-01_因子設定!$B$14,01_因子設定!$B$15-U3283))),-1E+030)</f>
        <v>-1.54524814015539</v>
      </c>
      <c r="X3283" s="55" t="n">
        <f aca="false">IF(V3283,IF(01_因子設定!$B$13="最大化",Q3283,IF(01_因子設定!$B$13="最小化",-Q3283,-ABS(Q3283-01_因子設定!$B$16))),-1E+030)</f>
        <v>47.9854758522727</v>
      </c>
      <c r="Y3283" s="55" t="n">
        <f aca="false">W3283+ROW()*0.000000001</f>
        <v>-1.54524485715539</v>
      </c>
      <c r="Z3283" s="55" t="n">
        <f aca="false">X3283+ROW()*0.000000001</f>
        <v>47.9854791352727</v>
      </c>
    </row>
    <row r="3284" customFormat="false" ht="15" hidden="false" customHeight="false" outlineLevel="0" collapsed="false">
      <c r="A3284" s="0" t="n">
        <v>11</v>
      </c>
      <c r="B3284" s="0" t="n">
        <v>5</v>
      </c>
      <c r="C3284" s="0" t="n">
        <v>15</v>
      </c>
      <c r="D3284" s="0" t="n">
        <f aca="false">-1+A3284*0.125</f>
        <v>0.375</v>
      </c>
      <c r="E3284" s="0" t="n">
        <f aca="false">-1+B3284*0.125</f>
        <v>-0.375</v>
      </c>
      <c r="F3284" s="0" t="n">
        <f aca="false">-1+C3284*0.125</f>
        <v>0.875</v>
      </c>
      <c r="G3284" s="0" t="n">
        <f aca="false">1</f>
        <v>1</v>
      </c>
      <c r="H3284" s="0" t="n">
        <f aca="false">D3284</f>
        <v>0.375</v>
      </c>
      <c r="I3284" s="0" t="n">
        <f aca="false">E3284</f>
        <v>-0.375</v>
      </c>
      <c r="J3284" s="0" t="n">
        <f aca="false">F3284</f>
        <v>0.875</v>
      </c>
      <c r="K3284" s="0" t="n">
        <f aca="false">D3284*E3284</f>
        <v>-0.140625</v>
      </c>
      <c r="L3284" s="0" t="n">
        <f aca="false">D3284*F3284</f>
        <v>0.328125</v>
      </c>
      <c r="M3284" s="0" t="n">
        <f aca="false">E3284*F3284</f>
        <v>-0.328125</v>
      </c>
      <c r="N3284" s="0" t="n">
        <f aca="false">D3284*D3284</f>
        <v>0.140625</v>
      </c>
      <c r="O3284" s="0" t="n">
        <f aca="false">E3284*E3284</f>
        <v>0.140625</v>
      </c>
      <c r="P3284" s="0" t="n">
        <f aca="false">F3284*F3284</f>
        <v>0.765625</v>
      </c>
      <c r="Q3284" s="0" t="n">
        <f aca="false">SUMPRODUCT(G3284:P3284,_XtX!$B$71:$K$71)</f>
        <v>47.8907173295455</v>
      </c>
      <c r="R3284" s="0" t="n">
        <f aca="false">SUMPRODUCT(MMULT(G3284:P3284,_XtX!$B$58:$K$67),G3284:P3284)</f>
        <v>0.32050614790483</v>
      </c>
      <c r="S3284" s="0" t="n">
        <f aca="false">04_回帰ANOVA!$K$19*04_回帰ANOVA!$K$14*SQRT(1+R3284)</f>
        <v>1.06840730759619</v>
      </c>
      <c r="T3284" s="0" t="n">
        <f aca="false">Q3284-S3284</f>
        <v>46.8223100219493</v>
      </c>
      <c r="U3284" s="0" t="n">
        <f aca="false">Q3284+S3284</f>
        <v>48.9591246371417</v>
      </c>
      <c r="V3284" s="54" t="b">
        <f aca="false">AND(D3284&gt;=01_因子設定!$L$5-0.000000001,D3284&lt;=01_因子設定!$M$5+0.000000001,E3284&gt;=01_因子設定!$L$6-0.000000001,E3284&lt;=01_因子設定!$M$6+0.000000001,F3284&gt;=01_因子設定!$L$7-0.000000001,F3284&lt;=01_因子設定!$M$7+0.000000001,IF(01_因子設定!$B$20="Box-Behnken",D3284^2+E3284^2+F3284^2&lt;=2+0.000000001,TRUE()))</f>
        <v>1</v>
      </c>
      <c r="W3284" s="55" t="n">
        <f aca="false">IF(V3284,IF(01_因子設定!$B$13="最大化",T3284-01_因子設定!$B$14,IF(01_因子設定!$B$13="最小化",01_因子設定!$B$15-U3284,MIN(T3284-01_因子設定!$B$14,01_因子設定!$B$15-U3284))),-1E+030)</f>
        <v>-1.67768997805072</v>
      </c>
      <c r="X3284" s="55" t="n">
        <f aca="false">IF(V3284,IF(01_因子設定!$B$13="最大化",Q3284,IF(01_因子設定!$B$13="最小化",-Q3284,-ABS(Q3284-01_因子設定!$B$16))),-1E+030)</f>
        <v>47.8907173295455</v>
      </c>
      <c r="Y3284" s="55" t="n">
        <f aca="false">W3284+ROW()*0.000000001</f>
        <v>-1.67768669405072</v>
      </c>
      <c r="Z3284" s="55" t="n">
        <f aca="false">X3284+ROW()*0.000000001</f>
        <v>47.8907206135455</v>
      </c>
    </row>
    <row r="3285" customFormat="false" ht="15" hidden="false" customHeight="false" outlineLevel="0" collapsed="false">
      <c r="A3285" s="0" t="n">
        <v>11</v>
      </c>
      <c r="B3285" s="0" t="n">
        <v>5</v>
      </c>
      <c r="C3285" s="0" t="n">
        <v>16</v>
      </c>
      <c r="D3285" s="0" t="n">
        <f aca="false">-1+A3285*0.125</f>
        <v>0.375</v>
      </c>
      <c r="E3285" s="0" t="n">
        <f aca="false">-1+B3285*0.125</f>
        <v>-0.375</v>
      </c>
      <c r="F3285" s="0" t="n">
        <f aca="false">-1+C3285*0.125</f>
        <v>1</v>
      </c>
      <c r="G3285" s="0" t="n">
        <f aca="false">1</f>
        <v>1</v>
      </c>
      <c r="H3285" s="0" t="n">
        <f aca="false">D3285</f>
        <v>0.375</v>
      </c>
      <c r="I3285" s="0" t="n">
        <f aca="false">E3285</f>
        <v>-0.375</v>
      </c>
      <c r="J3285" s="0" t="n">
        <f aca="false">F3285</f>
        <v>1</v>
      </c>
      <c r="K3285" s="0" t="n">
        <f aca="false">D3285*E3285</f>
        <v>-0.140625</v>
      </c>
      <c r="L3285" s="0" t="n">
        <f aca="false">D3285*F3285</f>
        <v>0.375</v>
      </c>
      <c r="M3285" s="0" t="n">
        <f aca="false">E3285*F3285</f>
        <v>-0.375</v>
      </c>
      <c r="N3285" s="0" t="n">
        <f aca="false">D3285*D3285</f>
        <v>0.140625</v>
      </c>
      <c r="O3285" s="0" t="n">
        <f aca="false">E3285*E3285</f>
        <v>0.140625</v>
      </c>
      <c r="P3285" s="0" t="n">
        <f aca="false">F3285*F3285</f>
        <v>1</v>
      </c>
      <c r="Q3285" s="0" t="n">
        <f aca="false">SUMPRODUCT(G3285:P3285,_XtX!$B$71:$K$71)</f>
        <v>47.7591690340909</v>
      </c>
      <c r="R3285" s="0" t="n">
        <f aca="false">SUMPRODUCT(MMULT(G3285:P3285,_XtX!$B$58:$K$67),G3285:P3285)</f>
        <v>0.463378351384943</v>
      </c>
      <c r="S3285" s="0" t="n">
        <f aca="false">04_回帰ANOVA!$K$19*04_回帰ANOVA!$K$14*SQRT(1+R3285)</f>
        <v>1.12472137547772</v>
      </c>
      <c r="T3285" s="0" t="n">
        <f aca="false">Q3285-S3285</f>
        <v>46.6344476586132</v>
      </c>
      <c r="U3285" s="0" t="n">
        <f aca="false">Q3285+S3285</f>
        <v>48.8838904095687</v>
      </c>
      <c r="V3285" s="54" t="b">
        <f aca="false">AND(D3285&gt;=01_因子設定!$L$5-0.000000001,D3285&lt;=01_因子設定!$M$5+0.000000001,E3285&gt;=01_因子設定!$L$6-0.000000001,E3285&lt;=01_因子設定!$M$6+0.000000001,F3285&gt;=01_因子設定!$L$7-0.000000001,F3285&lt;=01_因子設定!$M$7+0.000000001,IF(01_因子設定!$B$20="Box-Behnken",D3285^2+E3285^2+F3285^2&lt;=2+0.000000001,TRUE()))</f>
        <v>1</v>
      </c>
      <c r="W3285" s="55" t="n">
        <f aca="false">IF(V3285,IF(01_因子設定!$B$13="最大化",T3285-01_因子設定!$B$14,IF(01_因子設定!$B$13="最小化",01_因子設定!$B$15-U3285,MIN(T3285-01_因子設定!$B$14,01_因子設定!$B$15-U3285))),-1E+030)</f>
        <v>-1.86555234138678</v>
      </c>
      <c r="X3285" s="55" t="n">
        <f aca="false">IF(V3285,IF(01_因子設定!$B$13="最大化",Q3285,IF(01_因子設定!$B$13="最小化",-Q3285,-ABS(Q3285-01_因子設定!$B$16))),-1E+030)</f>
        <v>47.7591690340909</v>
      </c>
      <c r="Y3285" s="55" t="n">
        <f aca="false">W3285+ROW()*0.000000001</f>
        <v>-1.86554905638678</v>
      </c>
      <c r="Z3285" s="55" t="n">
        <f aca="false">X3285+ROW()*0.000000001</f>
        <v>47.7591723190909</v>
      </c>
    </row>
    <row r="3286" customFormat="false" ht="15" hidden="false" customHeight="false" outlineLevel="0" collapsed="false">
      <c r="A3286" s="0" t="n">
        <v>11</v>
      </c>
      <c r="B3286" s="0" t="n">
        <v>6</v>
      </c>
      <c r="C3286" s="0" t="n">
        <v>0</v>
      </c>
      <c r="D3286" s="0" t="n">
        <f aca="false">-1+A3286*0.125</f>
        <v>0.375</v>
      </c>
      <c r="E3286" s="0" t="n">
        <f aca="false">-1+B3286*0.125</f>
        <v>-0.25</v>
      </c>
      <c r="F3286" s="0" t="n">
        <f aca="false">-1+C3286*0.125</f>
        <v>-1</v>
      </c>
      <c r="G3286" s="0" t="n">
        <f aca="false">1</f>
        <v>1</v>
      </c>
      <c r="H3286" s="0" t="n">
        <f aca="false">D3286</f>
        <v>0.375</v>
      </c>
      <c r="I3286" s="0" t="n">
        <f aca="false">E3286</f>
        <v>-0.25</v>
      </c>
      <c r="J3286" s="0" t="n">
        <f aca="false">F3286</f>
        <v>-1</v>
      </c>
      <c r="K3286" s="0" t="n">
        <f aca="false">D3286*E3286</f>
        <v>-0.09375</v>
      </c>
      <c r="L3286" s="0" t="n">
        <f aca="false">D3286*F3286</f>
        <v>-0.375</v>
      </c>
      <c r="M3286" s="0" t="n">
        <f aca="false">E3286*F3286</f>
        <v>0.25</v>
      </c>
      <c r="N3286" s="0" t="n">
        <f aca="false">D3286*D3286</f>
        <v>0.140625</v>
      </c>
      <c r="O3286" s="0" t="n">
        <f aca="false">E3286*E3286</f>
        <v>0.0625</v>
      </c>
      <c r="P3286" s="0" t="n">
        <f aca="false">F3286*F3286</f>
        <v>1</v>
      </c>
      <c r="Q3286" s="0" t="n">
        <f aca="false">SUMPRODUCT(G3286:P3286,_XtX!$B$71:$K$71)</f>
        <v>45.8674715909091</v>
      </c>
      <c r="R3286" s="0" t="n">
        <f aca="false">SUMPRODUCT(MMULT(G3286:P3286,_XtX!$B$58:$K$67),G3286:P3286)</f>
        <v>0.470061700994318</v>
      </c>
      <c r="S3286" s="0" t="n">
        <f aca="false">04_回帰ANOVA!$K$19*04_回帰ANOVA!$K$14*SQRT(1+R3286)</f>
        <v>1.12728678965931</v>
      </c>
      <c r="T3286" s="0" t="n">
        <f aca="false">Q3286-S3286</f>
        <v>44.7401848012498</v>
      </c>
      <c r="U3286" s="0" t="n">
        <f aca="false">Q3286+S3286</f>
        <v>46.9947583805684</v>
      </c>
      <c r="V3286" s="54" t="b">
        <f aca="false">AND(D3286&gt;=01_因子設定!$L$5-0.000000001,D3286&lt;=01_因子設定!$M$5+0.000000001,E3286&gt;=01_因子設定!$L$6-0.000000001,E3286&lt;=01_因子設定!$M$6+0.000000001,F3286&gt;=01_因子設定!$L$7-0.000000001,F3286&lt;=01_因子設定!$M$7+0.000000001,IF(01_因子設定!$B$20="Box-Behnken",D3286^2+E3286^2+F3286^2&lt;=2+0.000000001,TRUE()))</f>
        <v>1</v>
      </c>
      <c r="W3286" s="55" t="n">
        <f aca="false">IF(V3286,IF(01_因子設定!$B$13="最大化",T3286-01_因子設定!$B$14,IF(01_因子設定!$B$13="最小化",01_因子設定!$B$15-U3286,MIN(T3286-01_因子設定!$B$14,01_因子設定!$B$15-U3286))),-1E+030)</f>
        <v>-3.75981519875019</v>
      </c>
      <c r="X3286" s="55" t="n">
        <f aca="false">IF(V3286,IF(01_因子設定!$B$13="最大化",Q3286,IF(01_因子設定!$B$13="最小化",-Q3286,-ABS(Q3286-01_因子設定!$B$16))),-1E+030)</f>
        <v>45.8674715909091</v>
      </c>
      <c r="Y3286" s="55" t="n">
        <f aca="false">W3286+ROW()*0.000000001</f>
        <v>-3.75981191275019</v>
      </c>
      <c r="Z3286" s="55" t="n">
        <f aca="false">X3286+ROW()*0.000000001</f>
        <v>45.8674748769091</v>
      </c>
    </row>
    <row r="3287" customFormat="false" ht="15" hidden="false" customHeight="false" outlineLevel="0" collapsed="false">
      <c r="A3287" s="0" t="n">
        <v>11</v>
      </c>
      <c r="B3287" s="0" t="n">
        <v>6</v>
      </c>
      <c r="C3287" s="0" t="n">
        <v>1</v>
      </c>
      <c r="D3287" s="0" t="n">
        <f aca="false">-1+A3287*0.125</f>
        <v>0.375</v>
      </c>
      <c r="E3287" s="0" t="n">
        <f aca="false">-1+B3287*0.125</f>
        <v>-0.25</v>
      </c>
      <c r="F3287" s="0" t="n">
        <f aca="false">-1+C3287*0.125</f>
        <v>-0.875</v>
      </c>
      <c r="G3287" s="0" t="n">
        <f aca="false">1</f>
        <v>1</v>
      </c>
      <c r="H3287" s="0" t="n">
        <f aca="false">D3287</f>
        <v>0.375</v>
      </c>
      <c r="I3287" s="0" t="n">
        <f aca="false">E3287</f>
        <v>-0.25</v>
      </c>
      <c r="J3287" s="0" t="n">
        <f aca="false">F3287</f>
        <v>-0.875</v>
      </c>
      <c r="K3287" s="0" t="n">
        <f aca="false">D3287*E3287</f>
        <v>-0.09375</v>
      </c>
      <c r="L3287" s="0" t="n">
        <f aca="false">D3287*F3287</f>
        <v>-0.328125</v>
      </c>
      <c r="M3287" s="0" t="n">
        <f aca="false">E3287*F3287</f>
        <v>0.21875</v>
      </c>
      <c r="N3287" s="0" t="n">
        <f aca="false">D3287*D3287</f>
        <v>0.140625</v>
      </c>
      <c r="O3287" s="0" t="n">
        <f aca="false">E3287*E3287</f>
        <v>0.0625</v>
      </c>
      <c r="P3287" s="0" t="n">
        <f aca="false">F3287*F3287</f>
        <v>0.765625</v>
      </c>
      <c r="Q3287" s="0" t="n">
        <f aca="false">SUMPRODUCT(G3287:P3287,_XtX!$B$71:$K$71)</f>
        <v>46.2948011363637</v>
      </c>
      <c r="R3287" s="0" t="n">
        <f aca="false">SUMPRODUCT(MMULT(G3287:P3287,_XtX!$B$58:$K$67),G3287:P3287)</f>
        <v>0.324484530362216</v>
      </c>
      <c r="S3287" s="0" t="n">
        <f aca="false">04_回帰ANOVA!$K$19*04_回帰ANOVA!$K$14*SQRT(1+R3287)</f>
        <v>1.07001553041279</v>
      </c>
      <c r="T3287" s="0" t="n">
        <f aca="false">Q3287-S3287</f>
        <v>45.2247856059509</v>
      </c>
      <c r="U3287" s="0" t="n">
        <f aca="false">Q3287+S3287</f>
        <v>47.3648166667765</v>
      </c>
      <c r="V3287" s="54" t="b">
        <f aca="false">AND(D3287&gt;=01_因子設定!$L$5-0.000000001,D3287&lt;=01_因子設定!$M$5+0.000000001,E3287&gt;=01_因子設定!$L$6-0.000000001,E3287&lt;=01_因子設定!$M$6+0.000000001,F3287&gt;=01_因子設定!$L$7-0.000000001,F3287&lt;=01_因子設定!$M$7+0.000000001,IF(01_因子設定!$B$20="Box-Behnken",D3287^2+E3287^2+F3287^2&lt;=2+0.000000001,TRUE()))</f>
        <v>1</v>
      </c>
      <c r="W3287" s="55" t="n">
        <f aca="false">IF(V3287,IF(01_因子設定!$B$13="最大化",T3287-01_因子設定!$B$14,IF(01_因子設定!$B$13="最小化",01_因子設定!$B$15-U3287,MIN(T3287-01_因子設定!$B$14,01_因子設定!$B$15-U3287))),-1E+030)</f>
        <v>-3.27521439404913</v>
      </c>
      <c r="X3287" s="55" t="n">
        <f aca="false">IF(V3287,IF(01_因子設定!$B$13="最大化",Q3287,IF(01_因子設定!$B$13="最小化",-Q3287,-ABS(Q3287-01_因子設定!$B$16))),-1E+030)</f>
        <v>46.2948011363637</v>
      </c>
      <c r="Y3287" s="55" t="n">
        <f aca="false">W3287+ROW()*0.000000001</f>
        <v>-3.27521110704913</v>
      </c>
      <c r="Z3287" s="55" t="n">
        <f aca="false">X3287+ROW()*0.000000001</f>
        <v>46.2948044233637</v>
      </c>
    </row>
    <row r="3288" customFormat="false" ht="15" hidden="false" customHeight="false" outlineLevel="0" collapsed="false">
      <c r="A3288" s="0" t="n">
        <v>11</v>
      </c>
      <c r="B3288" s="0" t="n">
        <v>6</v>
      </c>
      <c r="C3288" s="0" t="n">
        <v>2</v>
      </c>
      <c r="D3288" s="0" t="n">
        <f aca="false">-1+A3288*0.125</f>
        <v>0.375</v>
      </c>
      <c r="E3288" s="0" t="n">
        <f aca="false">-1+B3288*0.125</f>
        <v>-0.25</v>
      </c>
      <c r="F3288" s="0" t="n">
        <f aca="false">-1+C3288*0.125</f>
        <v>-0.75</v>
      </c>
      <c r="G3288" s="0" t="n">
        <f aca="false">1</f>
        <v>1</v>
      </c>
      <c r="H3288" s="0" t="n">
        <f aca="false">D3288</f>
        <v>0.375</v>
      </c>
      <c r="I3288" s="0" t="n">
        <f aca="false">E3288</f>
        <v>-0.25</v>
      </c>
      <c r="J3288" s="0" t="n">
        <f aca="false">F3288</f>
        <v>-0.75</v>
      </c>
      <c r="K3288" s="0" t="n">
        <f aca="false">D3288*E3288</f>
        <v>-0.09375</v>
      </c>
      <c r="L3288" s="0" t="n">
        <f aca="false">D3288*F3288</f>
        <v>-0.28125</v>
      </c>
      <c r="M3288" s="0" t="n">
        <f aca="false">E3288*F3288</f>
        <v>0.1875</v>
      </c>
      <c r="N3288" s="0" t="n">
        <f aca="false">D3288*D3288</f>
        <v>0.140625</v>
      </c>
      <c r="O3288" s="0" t="n">
        <f aca="false">E3288*E3288</f>
        <v>0.0625</v>
      </c>
      <c r="P3288" s="0" t="n">
        <f aca="false">F3288*F3288</f>
        <v>0.5625</v>
      </c>
      <c r="Q3288" s="0" t="n">
        <f aca="false">SUMPRODUCT(G3288:P3288,_XtX!$B$71:$K$71)</f>
        <v>46.6853409090909</v>
      </c>
      <c r="R3288" s="0" t="n">
        <f aca="false">SUMPRODUCT(MMULT(G3288:P3288,_XtX!$B$58:$K$67),G3288:P3288)</f>
        <v>0.230632990056818</v>
      </c>
      <c r="S3288" s="0" t="n">
        <f aca="false">04_回帰ANOVA!$K$19*04_回帰ANOVA!$K$14*SQRT(1+R3288)</f>
        <v>1.03140899038819</v>
      </c>
      <c r="T3288" s="0" t="n">
        <f aca="false">Q3288-S3288</f>
        <v>45.6539319187027</v>
      </c>
      <c r="U3288" s="0" t="n">
        <f aca="false">Q3288+S3288</f>
        <v>47.7167498994791</v>
      </c>
      <c r="V3288" s="54" t="b">
        <f aca="false">AND(D3288&gt;=01_因子設定!$L$5-0.000000001,D3288&lt;=01_因子設定!$M$5+0.000000001,E3288&gt;=01_因子設定!$L$6-0.000000001,E3288&lt;=01_因子設定!$M$6+0.000000001,F3288&gt;=01_因子設定!$L$7-0.000000001,F3288&lt;=01_因子設定!$M$7+0.000000001,IF(01_因子設定!$B$20="Box-Behnken",D3288^2+E3288^2+F3288^2&lt;=2+0.000000001,TRUE()))</f>
        <v>1</v>
      </c>
      <c r="W3288" s="55" t="n">
        <f aca="false">IF(V3288,IF(01_因子設定!$B$13="最大化",T3288-01_因子設定!$B$14,IF(01_因子設定!$B$13="最小化",01_因子設定!$B$15-U3288,MIN(T3288-01_因子設定!$B$14,01_因子設定!$B$15-U3288))),-1E+030)</f>
        <v>-2.84606808129726</v>
      </c>
      <c r="X3288" s="55" t="n">
        <f aca="false">IF(V3288,IF(01_因子設定!$B$13="最大化",Q3288,IF(01_因子設定!$B$13="最小化",-Q3288,-ABS(Q3288-01_因子設定!$B$16))),-1E+030)</f>
        <v>46.6853409090909</v>
      </c>
      <c r="Y3288" s="55" t="n">
        <f aca="false">W3288+ROW()*0.000000001</f>
        <v>-2.84606479329726</v>
      </c>
      <c r="Z3288" s="55" t="n">
        <f aca="false">X3288+ROW()*0.000000001</f>
        <v>46.6853441970909</v>
      </c>
    </row>
    <row r="3289" customFormat="false" ht="15" hidden="false" customHeight="false" outlineLevel="0" collapsed="false">
      <c r="A3289" s="0" t="n">
        <v>11</v>
      </c>
      <c r="B3289" s="0" t="n">
        <v>6</v>
      </c>
      <c r="C3289" s="0" t="n">
        <v>3</v>
      </c>
      <c r="D3289" s="0" t="n">
        <f aca="false">-1+A3289*0.125</f>
        <v>0.375</v>
      </c>
      <c r="E3289" s="0" t="n">
        <f aca="false">-1+B3289*0.125</f>
        <v>-0.25</v>
      </c>
      <c r="F3289" s="0" t="n">
        <f aca="false">-1+C3289*0.125</f>
        <v>-0.625</v>
      </c>
      <c r="G3289" s="0" t="n">
        <f aca="false">1</f>
        <v>1</v>
      </c>
      <c r="H3289" s="0" t="n">
        <f aca="false">D3289</f>
        <v>0.375</v>
      </c>
      <c r="I3289" s="0" t="n">
        <f aca="false">E3289</f>
        <v>-0.25</v>
      </c>
      <c r="J3289" s="0" t="n">
        <f aca="false">F3289</f>
        <v>-0.625</v>
      </c>
      <c r="K3289" s="0" t="n">
        <f aca="false">D3289*E3289</f>
        <v>-0.09375</v>
      </c>
      <c r="L3289" s="0" t="n">
        <f aca="false">D3289*F3289</f>
        <v>-0.234375</v>
      </c>
      <c r="M3289" s="0" t="n">
        <f aca="false">E3289*F3289</f>
        <v>0.15625</v>
      </c>
      <c r="N3289" s="0" t="n">
        <f aca="false">D3289*D3289</f>
        <v>0.140625</v>
      </c>
      <c r="O3289" s="0" t="n">
        <f aca="false">E3289*E3289</f>
        <v>0.0625</v>
      </c>
      <c r="P3289" s="0" t="n">
        <f aca="false">F3289*F3289</f>
        <v>0.390625</v>
      </c>
      <c r="Q3289" s="0" t="n">
        <f aca="false">SUMPRODUCT(G3289:P3289,_XtX!$B$71:$K$71)</f>
        <v>47.0390909090909</v>
      </c>
      <c r="R3289" s="0" t="n">
        <f aca="false">SUMPRODUCT(MMULT(G3289:P3289,_XtX!$B$58:$K$67),G3289:P3289)</f>
        <v>0.174657648259943</v>
      </c>
      <c r="S3289" s="0" t="n">
        <f aca="false">04_回帰ANOVA!$K$19*04_回帰ANOVA!$K$14*SQRT(1+R3289)</f>
        <v>1.00767919364845</v>
      </c>
      <c r="T3289" s="0" t="n">
        <f aca="false">Q3289-S3289</f>
        <v>46.0314117154425</v>
      </c>
      <c r="U3289" s="0" t="n">
        <f aca="false">Q3289+S3289</f>
        <v>48.0467701027394</v>
      </c>
      <c r="V3289" s="54" t="b">
        <f aca="false">AND(D3289&gt;=01_因子設定!$L$5-0.000000001,D3289&lt;=01_因子設定!$M$5+0.000000001,E3289&gt;=01_因子設定!$L$6-0.000000001,E3289&lt;=01_因子設定!$M$6+0.000000001,F3289&gt;=01_因子設定!$L$7-0.000000001,F3289&lt;=01_因子設定!$M$7+0.000000001,IF(01_因子設定!$B$20="Box-Behnken",D3289^2+E3289^2+F3289^2&lt;=2+0.000000001,TRUE()))</f>
        <v>1</v>
      </c>
      <c r="W3289" s="55" t="n">
        <f aca="false">IF(V3289,IF(01_因子設定!$B$13="最大化",T3289-01_因子設定!$B$14,IF(01_因子設定!$B$13="最小化",01_因子設定!$B$15-U3289,MIN(T3289-01_因子設定!$B$14,01_因子設定!$B$15-U3289))),-1E+030)</f>
        <v>-2.46858828455752</v>
      </c>
      <c r="X3289" s="55" t="n">
        <f aca="false">IF(V3289,IF(01_因子設定!$B$13="最大化",Q3289,IF(01_因子設定!$B$13="最小化",-Q3289,-ABS(Q3289-01_因子設定!$B$16))),-1E+030)</f>
        <v>47.0390909090909</v>
      </c>
      <c r="Y3289" s="55" t="n">
        <f aca="false">W3289+ROW()*0.000000001</f>
        <v>-2.46858499555752</v>
      </c>
      <c r="Z3289" s="55" t="n">
        <f aca="false">X3289+ROW()*0.000000001</f>
        <v>47.0390941980909</v>
      </c>
    </row>
    <row r="3290" customFormat="false" ht="15" hidden="false" customHeight="false" outlineLevel="0" collapsed="false">
      <c r="A3290" s="0" t="n">
        <v>11</v>
      </c>
      <c r="B3290" s="0" t="n">
        <v>6</v>
      </c>
      <c r="C3290" s="0" t="n">
        <v>4</v>
      </c>
      <c r="D3290" s="0" t="n">
        <f aca="false">-1+A3290*0.125</f>
        <v>0.375</v>
      </c>
      <c r="E3290" s="0" t="n">
        <f aca="false">-1+B3290*0.125</f>
        <v>-0.25</v>
      </c>
      <c r="F3290" s="0" t="n">
        <f aca="false">-1+C3290*0.125</f>
        <v>-0.5</v>
      </c>
      <c r="G3290" s="0" t="n">
        <f aca="false">1</f>
        <v>1</v>
      </c>
      <c r="H3290" s="0" t="n">
        <f aca="false">D3290</f>
        <v>0.375</v>
      </c>
      <c r="I3290" s="0" t="n">
        <f aca="false">E3290</f>
        <v>-0.25</v>
      </c>
      <c r="J3290" s="0" t="n">
        <f aca="false">F3290</f>
        <v>-0.5</v>
      </c>
      <c r="K3290" s="0" t="n">
        <f aca="false">D3290*E3290</f>
        <v>-0.09375</v>
      </c>
      <c r="L3290" s="0" t="n">
        <f aca="false">D3290*F3290</f>
        <v>-0.1875</v>
      </c>
      <c r="M3290" s="0" t="n">
        <f aca="false">E3290*F3290</f>
        <v>0.125</v>
      </c>
      <c r="N3290" s="0" t="n">
        <f aca="false">D3290*D3290</f>
        <v>0.140625</v>
      </c>
      <c r="O3290" s="0" t="n">
        <f aca="false">E3290*E3290</f>
        <v>0.0625</v>
      </c>
      <c r="P3290" s="0" t="n">
        <f aca="false">F3290*F3290</f>
        <v>0.25</v>
      </c>
      <c r="Q3290" s="0" t="n">
        <f aca="false">SUMPRODUCT(G3290:P3290,_XtX!$B$71:$K$71)</f>
        <v>47.3560511363637</v>
      </c>
      <c r="R3290" s="0" t="n">
        <f aca="false">SUMPRODUCT(MMULT(G3290:P3290,_XtX!$B$58:$K$67),G3290:P3290)</f>
        <v>0.144839754971591</v>
      </c>
      <c r="S3290" s="0" t="n">
        <f aca="false">04_回帰ANOVA!$K$19*04_回帰ANOVA!$K$14*SQRT(1+R3290)</f>
        <v>0.994807353995542</v>
      </c>
      <c r="T3290" s="0" t="n">
        <f aca="false">Q3290-S3290</f>
        <v>46.3612437823681</v>
      </c>
      <c r="U3290" s="0" t="n">
        <f aca="false">Q3290+S3290</f>
        <v>48.3508584903592</v>
      </c>
      <c r="V3290" s="54" t="b">
        <f aca="false">AND(D3290&gt;=01_因子設定!$L$5-0.000000001,D3290&lt;=01_因子設定!$M$5+0.000000001,E3290&gt;=01_因子設定!$L$6-0.000000001,E3290&lt;=01_因子設定!$M$6+0.000000001,F3290&gt;=01_因子設定!$L$7-0.000000001,F3290&lt;=01_因子設定!$M$7+0.000000001,IF(01_因子設定!$B$20="Box-Behnken",D3290^2+E3290^2+F3290^2&lt;=2+0.000000001,TRUE()))</f>
        <v>1</v>
      </c>
      <c r="W3290" s="55" t="n">
        <f aca="false">IF(V3290,IF(01_因子設定!$B$13="最大化",T3290-01_因子設定!$B$14,IF(01_因子設定!$B$13="最小化",01_因子設定!$B$15-U3290,MIN(T3290-01_因子設定!$B$14,01_因子設定!$B$15-U3290))),-1E+030)</f>
        <v>-2.13875621763189</v>
      </c>
      <c r="X3290" s="55" t="n">
        <f aca="false">IF(V3290,IF(01_因子設定!$B$13="最大化",Q3290,IF(01_因子設定!$B$13="最小化",-Q3290,-ABS(Q3290-01_因子設定!$B$16))),-1E+030)</f>
        <v>47.3560511363637</v>
      </c>
      <c r="Y3290" s="55" t="n">
        <f aca="false">W3290+ROW()*0.000000001</f>
        <v>-2.13875292763189</v>
      </c>
      <c r="Z3290" s="55" t="n">
        <f aca="false">X3290+ROW()*0.000000001</f>
        <v>47.3560544263637</v>
      </c>
    </row>
    <row r="3291" customFormat="false" ht="15" hidden="false" customHeight="false" outlineLevel="0" collapsed="false">
      <c r="A3291" s="0" t="n">
        <v>11</v>
      </c>
      <c r="B3291" s="0" t="n">
        <v>6</v>
      </c>
      <c r="C3291" s="0" t="n">
        <v>5</v>
      </c>
      <c r="D3291" s="0" t="n">
        <f aca="false">-1+A3291*0.125</f>
        <v>0.375</v>
      </c>
      <c r="E3291" s="0" t="n">
        <f aca="false">-1+B3291*0.125</f>
        <v>-0.25</v>
      </c>
      <c r="F3291" s="0" t="n">
        <f aca="false">-1+C3291*0.125</f>
        <v>-0.375</v>
      </c>
      <c r="G3291" s="0" t="n">
        <f aca="false">1</f>
        <v>1</v>
      </c>
      <c r="H3291" s="0" t="n">
        <f aca="false">D3291</f>
        <v>0.375</v>
      </c>
      <c r="I3291" s="0" t="n">
        <f aca="false">E3291</f>
        <v>-0.25</v>
      </c>
      <c r="J3291" s="0" t="n">
        <f aca="false">F3291</f>
        <v>-0.375</v>
      </c>
      <c r="K3291" s="0" t="n">
        <f aca="false">D3291*E3291</f>
        <v>-0.09375</v>
      </c>
      <c r="L3291" s="0" t="n">
        <f aca="false">D3291*F3291</f>
        <v>-0.140625</v>
      </c>
      <c r="M3291" s="0" t="n">
        <f aca="false">E3291*F3291</f>
        <v>0.09375</v>
      </c>
      <c r="N3291" s="0" t="n">
        <f aca="false">D3291*D3291</f>
        <v>0.140625</v>
      </c>
      <c r="O3291" s="0" t="n">
        <f aca="false">E3291*E3291</f>
        <v>0.0625</v>
      </c>
      <c r="P3291" s="0" t="n">
        <f aca="false">F3291*F3291</f>
        <v>0.140625</v>
      </c>
      <c r="Q3291" s="0" t="n">
        <f aca="false">SUMPRODUCT(G3291:P3291,_XtX!$B$71:$K$71)</f>
        <v>47.6362215909091</v>
      </c>
      <c r="R3291" s="0" t="n">
        <f aca="false">SUMPRODUCT(MMULT(G3291:P3291,_XtX!$B$58:$K$67),G3291:P3291)</f>
        <v>0.131591242009943</v>
      </c>
      <c r="S3291" s="0" t="n">
        <f aca="false">04_回帰ANOVA!$K$19*04_回帰ANOVA!$K$14*SQRT(1+R3291)</f>
        <v>0.989034462873572</v>
      </c>
      <c r="T3291" s="0" t="n">
        <f aca="false">Q3291-S3291</f>
        <v>46.6471871280355</v>
      </c>
      <c r="U3291" s="0" t="n">
        <f aca="false">Q3291+S3291</f>
        <v>48.6252560537827</v>
      </c>
      <c r="V3291" s="54" t="b">
        <f aca="false">AND(D3291&gt;=01_因子設定!$L$5-0.000000001,D3291&lt;=01_因子設定!$M$5+0.000000001,E3291&gt;=01_因子設定!$L$6-0.000000001,E3291&lt;=01_因子設定!$M$6+0.000000001,F3291&gt;=01_因子設定!$L$7-0.000000001,F3291&lt;=01_因子設定!$M$7+0.000000001,IF(01_因子設定!$B$20="Box-Behnken",D3291^2+E3291^2+F3291^2&lt;=2+0.000000001,TRUE()))</f>
        <v>1</v>
      </c>
      <c r="W3291" s="55" t="n">
        <f aca="false">IF(V3291,IF(01_因子設定!$B$13="最大化",T3291-01_因子設定!$B$14,IF(01_因子設定!$B$13="最小化",01_因子設定!$B$15-U3291,MIN(T3291-01_因子設定!$B$14,01_因子設定!$B$15-U3291))),-1E+030)</f>
        <v>-1.85281287196447</v>
      </c>
      <c r="X3291" s="55" t="n">
        <f aca="false">IF(V3291,IF(01_因子設定!$B$13="最大化",Q3291,IF(01_因子設定!$B$13="最小化",-Q3291,-ABS(Q3291-01_因子設定!$B$16))),-1E+030)</f>
        <v>47.6362215909091</v>
      </c>
      <c r="Y3291" s="55" t="n">
        <f aca="false">W3291+ROW()*0.000000001</f>
        <v>-1.85280958096447</v>
      </c>
      <c r="Z3291" s="55" t="n">
        <f aca="false">X3291+ROW()*0.000000001</f>
        <v>47.6362248819091</v>
      </c>
    </row>
    <row r="3292" customFormat="false" ht="15" hidden="false" customHeight="false" outlineLevel="0" collapsed="false">
      <c r="A3292" s="0" t="n">
        <v>11</v>
      </c>
      <c r="B3292" s="0" t="n">
        <v>6</v>
      </c>
      <c r="C3292" s="0" t="n">
        <v>6</v>
      </c>
      <c r="D3292" s="0" t="n">
        <f aca="false">-1+A3292*0.125</f>
        <v>0.375</v>
      </c>
      <c r="E3292" s="0" t="n">
        <f aca="false">-1+B3292*0.125</f>
        <v>-0.25</v>
      </c>
      <c r="F3292" s="0" t="n">
        <f aca="false">-1+C3292*0.125</f>
        <v>-0.25</v>
      </c>
      <c r="G3292" s="0" t="n">
        <f aca="false">1</f>
        <v>1</v>
      </c>
      <c r="H3292" s="0" t="n">
        <f aca="false">D3292</f>
        <v>0.375</v>
      </c>
      <c r="I3292" s="0" t="n">
        <f aca="false">E3292</f>
        <v>-0.25</v>
      </c>
      <c r="J3292" s="0" t="n">
        <f aca="false">F3292</f>
        <v>-0.25</v>
      </c>
      <c r="K3292" s="0" t="n">
        <f aca="false">D3292*E3292</f>
        <v>-0.09375</v>
      </c>
      <c r="L3292" s="0" t="n">
        <f aca="false">D3292*F3292</f>
        <v>-0.09375</v>
      </c>
      <c r="M3292" s="0" t="n">
        <f aca="false">E3292*F3292</f>
        <v>0.0625</v>
      </c>
      <c r="N3292" s="0" t="n">
        <f aca="false">D3292*D3292</f>
        <v>0.140625</v>
      </c>
      <c r="O3292" s="0" t="n">
        <f aca="false">E3292*E3292</f>
        <v>0.0625</v>
      </c>
      <c r="P3292" s="0" t="n">
        <f aca="false">F3292*F3292</f>
        <v>0.0625</v>
      </c>
      <c r="Q3292" s="0" t="n">
        <f aca="false">SUMPRODUCT(G3292:P3292,_XtX!$B$71:$K$71)</f>
        <v>47.8796022727273</v>
      </c>
      <c r="R3292" s="0" t="n">
        <f aca="false">SUMPRODUCT(MMULT(G3292:P3292,_XtX!$B$58:$K$67),G3292:P3292)</f>
        <v>0.127454723011364</v>
      </c>
      <c r="S3292" s="0" t="n">
        <f aca="false">04_回帰ANOVA!$K$19*04_回帰ANOVA!$K$14*SQRT(1+R3292)</f>
        <v>0.987225105686864</v>
      </c>
      <c r="T3292" s="0" t="n">
        <f aca="false">Q3292-S3292</f>
        <v>46.8923771670404</v>
      </c>
      <c r="U3292" s="0" t="n">
        <f aca="false">Q3292+S3292</f>
        <v>48.8668273784142</v>
      </c>
      <c r="V3292" s="54" t="b">
        <f aca="false">AND(D3292&gt;=01_因子設定!$L$5-0.000000001,D3292&lt;=01_因子設定!$M$5+0.000000001,E3292&gt;=01_因子設定!$L$6-0.000000001,E3292&lt;=01_因子設定!$M$6+0.000000001,F3292&gt;=01_因子設定!$L$7-0.000000001,F3292&lt;=01_因子設定!$M$7+0.000000001,IF(01_因子設定!$B$20="Box-Behnken",D3292^2+E3292^2+F3292^2&lt;=2+0.000000001,TRUE()))</f>
        <v>1</v>
      </c>
      <c r="W3292" s="55" t="n">
        <f aca="false">IF(V3292,IF(01_因子設定!$B$13="最大化",T3292-01_因子設定!$B$14,IF(01_因子設定!$B$13="最小化",01_因子設定!$B$15-U3292,MIN(T3292-01_因子設定!$B$14,01_因子設定!$B$15-U3292))),-1E+030)</f>
        <v>-1.60762283295959</v>
      </c>
      <c r="X3292" s="55" t="n">
        <f aca="false">IF(V3292,IF(01_因子設定!$B$13="最大化",Q3292,IF(01_因子設定!$B$13="最小化",-Q3292,-ABS(Q3292-01_因子設定!$B$16))),-1E+030)</f>
        <v>47.8796022727273</v>
      </c>
      <c r="Y3292" s="55" t="n">
        <f aca="false">W3292+ROW()*0.000000001</f>
        <v>-1.60761954095959</v>
      </c>
      <c r="Z3292" s="55" t="n">
        <f aca="false">X3292+ROW()*0.000000001</f>
        <v>47.8796055647273</v>
      </c>
    </row>
    <row r="3293" customFormat="false" ht="15" hidden="false" customHeight="false" outlineLevel="0" collapsed="false">
      <c r="A3293" s="0" t="n">
        <v>11</v>
      </c>
      <c r="B3293" s="0" t="n">
        <v>6</v>
      </c>
      <c r="C3293" s="0" t="n">
        <v>7</v>
      </c>
      <c r="D3293" s="0" t="n">
        <f aca="false">-1+A3293*0.125</f>
        <v>0.375</v>
      </c>
      <c r="E3293" s="0" t="n">
        <f aca="false">-1+B3293*0.125</f>
        <v>-0.25</v>
      </c>
      <c r="F3293" s="0" t="n">
        <f aca="false">-1+C3293*0.125</f>
        <v>-0.125</v>
      </c>
      <c r="G3293" s="0" t="n">
        <f aca="false">1</f>
        <v>1</v>
      </c>
      <c r="H3293" s="0" t="n">
        <f aca="false">D3293</f>
        <v>0.375</v>
      </c>
      <c r="I3293" s="0" t="n">
        <f aca="false">E3293</f>
        <v>-0.25</v>
      </c>
      <c r="J3293" s="0" t="n">
        <f aca="false">F3293</f>
        <v>-0.125</v>
      </c>
      <c r="K3293" s="0" t="n">
        <f aca="false">D3293*E3293</f>
        <v>-0.09375</v>
      </c>
      <c r="L3293" s="0" t="n">
        <f aca="false">D3293*F3293</f>
        <v>-0.046875</v>
      </c>
      <c r="M3293" s="0" t="n">
        <f aca="false">E3293*F3293</f>
        <v>0.03125</v>
      </c>
      <c r="N3293" s="0" t="n">
        <f aca="false">D3293*D3293</f>
        <v>0.140625</v>
      </c>
      <c r="O3293" s="0" t="n">
        <f aca="false">E3293*E3293</f>
        <v>0.0625</v>
      </c>
      <c r="P3293" s="0" t="n">
        <f aca="false">F3293*F3293</f>
        <v>0.015625</v>
      </c>
      <c r="Q3293" s="0" t="n">
        <f aca="false">SUMPRODUCT(G3293:P3293,_XtX!$B$71:$K$71)</f>
        <v>48.0861931818182</v>
      </c>
      <c r="R3293" s="0" t="n">
        <f aca="false">SUMPRODUCT(MMULT(G3293:P3293,_XtX!$B$58:$K$67),G3293:P3293)</f>
        <v>0.127103493430398</v>
      </c>
      <c r="S3293" s="0" t="n">
        <f aca="false">04_回帰ANOVA!$K$19*04_回帰ANOVA!$K$14*SQRT(1+R3293)</f>
        <v>0.987071321387587</v>
      </c>
      <c r="T3293" s="0" t="n">
        <f aca="false">Q3293-S3293</f>
        <v>47.0991218604306</v>
      </c>
      <c r="U3293" s="0" t="n">
        <f aca="false">Q3293+S3293</f>
        <v>49.0732645032058</v>
      </c>
      <c r="V3293" s="54" t="b">
        <f aca="false">AND(D3293&gt;=01_因子設定!$L$5-0.000000001,D3293&lt;=01_因子設定!$M$5+0.000000001,E3293&gt;=01_因子設定!$L$6-0.000000001,E3293&lt;=01_因子設定!$M$6+0.000000001,F3293&gt;=01_因子設定!$L$7-0.000000001,F3293&lt;=01_因子設定!$M$7+0.000000001,IF(01_因子設定!$B$20="Box-Behnken",D3293^2+E3293^2+F3293^2&lt;=2+0.000000001,TRUE()))</f>
        <v>1</v>
      </c>
      <c r="W3293" s="55" t="n">
        <f aca="false">IF(V3293,IF(01_因子設定!$B$13="最大化",T3293-01_因子設定!$B$14,IF(01_因子設定!$B$13="最小化",01_因子設定!$B$15-U3293,MIN(T3293-01_因子設定!$B$14,01_因子設定!$B$15-U3293))),-1E+030)</f>
        <v>-1.4008781395694</v>
      </c>
      <c r="X3293" s="55" t="n">
        <f aca="false">IF(V3293,IF(01_因子設定!$B$13="最大化",Q3293,IF(01_因子設定!$B$13="最小化",-Q3293,-ABS(Q3293-01_因子設定!$B$16))),-1E+030)</f>
        <v>48.0861931818182</v>
      </c>
      <c r="Y3293" s="55" t="n">
        <f aca="false">W3293+ROW()*0.000000001</f>
        <v>-1.4008748465694</v>
      </c>
      <c r="Z3293" s="55" t="n">
        <f aca="false">X3293+ROW()*0.000000001</f>
        <v>48.0861964748182</v>
      </c>
    </row>
    <row r="3294" customFormat="false" ht="15" hidden="false" customHeight="false" outlineLevel="0" collapsed="false">
      <c r="A3294" s="0" t="n">
        <v>11</v>
      </c>
      <c r="B3294" s="0" t="n">
        <v>6</v>
      </c>
      <c r="C3294" s="0" t="n">
        <v>8</v>
      </c>
      <c r="D3294" s="0" t="n">
        <f aca="false">-1+A3294*0.125</f>
        <v>0.375</v>
      </c>
      <c r="E3294" s="0" t="n">
        <f aca="false">-1+B3294*0.125</f>
        <v>-0.25</v>
      </c>
      <c r="F3294" s="0" t="n">
        <f aca="false">-1+C3294*0.125</f>
        <v>0</v>
      </c>
      <c r="G3294" s="0" t="n">
        <f aca="false">1</f>
        <v>1</v>
      </c>
      <c r="H3294" s="0" t="n">
        <f aca="false">D3294</f>
        <v>0.375</v>
      </c>
      <c r="I3294" s="0" t="n">
        <f aca="false">E3294</f>
        <v>-0.25</v>
      </c>
      <c r="J3294" s="0" t="n">
        <f aca="false">F3294</f>
        <v>0</v>
      </c>
      <c r="K3294" s="0" t="n">
        <f aca="false">D3294*E3294</f>
        <v>-0.09375</v>
      </c>
      <c r="L3294" s="0" t="n">
        <f aca="false">D3294*F3294</f>
        <v>0</v>
      </c>
      <c r="M3294" s="0" t="n">
        <f aca="false">E3294*F3294</f>
        <v>-0</v>
      </c>
      <c r="N3294" s="0" t="n">
        <f aca="false">D3294*D3294</f>
        <v>0.140625</v>
      </c>
      <c r="O3294" s="0" t="n">
        <f aca="false">E3294*E3294</f>
        <v>0.0625</v>
      </c>
      <c r="P3294" s="0" t="n">
        <f aca="false">F3294*F3294</f>
        <v>0</v>
      </c>
      <c r="Q3294" s="0" t="n">
        <f aca="false">SUMPRODUCT(G3294:P3294,_XtX!$B$71:$K$71)</f>
        <v>48.2559943181818</v>
      </c>
      <c r="R3294" s="0" t="n">
        <f aca="false">SUMPRODUCT(MMULT(G3294:P3294,_XtX!$B$58:$K$67),G3294:P3294)</f>
        <v>0.127341530539773</v>
      </c>
      <c r="S3294" s="0" t="n">
        <f aca="false">04_回帰ANOVA!$K$19*04_回帰ANOVA!$K$14*SQRT(1+R3294)</f>
        <v>0.987175547486288</v>
      </c>
      <c r="T3294" s="0" t="n">
        <f aca="false">Q3294-S3294</f>
        <v>47.2688187706955</v>
      </c>
      <c r="U3294" s="0" t="n">
        <f aca="false">Q3294+S3294</f>
        <v>49.2431698656681</v>
      </c>
      <c r="V3294" s="54" t="b">
        <f aca="false">AND(D3294&gt;=01_因子設定!$L$5-0.000000001,D3294&lt;=01_因子設定!$M$5+0.000000001,E3294&gt;=01_因子設定!$L$6-0.000000001,E3294&lt;=01_因子設定!$M$6+0.000000001,F3294&gt;=01_因子設定!$L$7-0.000000001,F3294&lt;=01_因子設定!$M$7+0.000000001,IF(01_因子設定!$B$20="Box-Behnken",D3294^2+E3294^2+F3294^2&lt;=2+0.000000001,TRUE()))</f>
        <v>1</v>
      </c>
      <c r="W3294" s="55" t="n">
        <f aca="false">IF(V3294,IF(01_因子設定!$B$13="最大化",T3294-01_因子設定!$B$14,IF(01_因子設定!$B$13="最小化",01_因子設定!$B$15-U3294,MIN(T3294-01_因子設定!$B$14,01_因子設定!$B$15-U3294))),-1E+030)</f>
        <v>-1.23118122930446</v>
      </c>
      <c r="X3294" s="55" t="n">
        <f aca="false">IF(V3294,IF(01_因子設定!$B$13="最大化",Q3294,IF(01_因子設定!$B$13="最小化",-Q3294,-ABS(Q3294-01_因子設定!$B$16))),-1E+030)</f>
        <v>48.2559943181818</v>
      </c>
      <c r="Y3294" s="55" t="n">
        <f aca="false">W3294+ROW()*0.000000001</f>
        <v>-1.23117793530446</v>
      </c>
      <c r="Z3294" s="55" t="n">
        <f aca="false">X3294+ROW()*0.000000001</f>
        <v>48.2559976121818</v>
      </c>
    </row>
    <row r="3295" customFormat="false" ht="15" hidden="false" customHeight="false" outlineLevel="0" collapsed="false">
      <c r="A3295" s="0" t="n">
        <v>11</v>
      </c>
      <c r="B3295" s="0" t="n">
        <v>6</v>
      </c>
      <c r="C3295" s="0" t="n">
        <v>9</v>
      </c>
      <c r="D3295" s="0" t="n">
        <f aca="false">-1+A3295*0.125</f>
        <v>0.375</v>
      </c>
      <c r="E3295" s="0" t="n">
        <f aca="false">-1+B3295*0.125</f>
        <v>-0.25</v>
      </c>
      <c r="F3295" s="0" t="n">
        <f aca="false">-1+C3295*0.125</f>
        <v>0.125</v>
      </c>
      <c r="G3295" s="0" t="n">
        <f aca="false">1</f>
        <v>1</v>
      </c>
      <c r="H3295" s="0" t="n">
        <f aca="false">D3295</f>
        <v>0.375</v>
      </c>
      <c r="I3295" s="0" t="n">
        <f aca="false">E3295</f>
        <v>-0.25</v>
      </c>
      <c r="J3295" s="0" t="n">
        <f aca="false">F3295</f>
        <v>0.125</v>
      </c>
      <c r="K3295" s="0" t="n">
        <f aca="false">D3295*E3295</f>
        <v>-0.09375</v>
      </c>
      <c r="L3295" s="0" t="n">
        <f aca="false">D3295*F3295</f>
        <v>0.046875</v>
      </c>
      <c r="M3295" s="0" t="n">
        <f aca="false">E3295*F3295</f>
        <v>-0.03125</v>
      </c>
      <c r="N3295" s="0" t="n">
        <f aca="false">D3295*D3295</f>
        <v>0.140625</v>
      </c>
      <c r="O3295" s="0" t="n">
        <f aca="false">E3295*E3295</f>
        <v>0.0625</v>
      </c>
      <c r="P3295" s="0" t="n">
        <f aca="false">F3295*F3295</f>
        <v>0.015625</v>
      </c>
      <c r="Q3295" s="0" t="n">
        <f aca="false">SUMPRODUCT(G3295:P3295,_XtX!$B$71:$K$71)</f>
        <v>48.3890056818182</v>
      </c>
      <c r="R3295" s="0" t="n">
        <f aca="false">SUMPRODUCT(MMULT(G3295:P3295,_XtX!$B$58:$K$67),G3295:P3295)</f>
        <v>0.127103493430398</v>
      </c>
      <c r="S3295" s="0" t="n">
        <f aca="false">04_回帰ANOVA!$K$19*04_回帰ANOVA!$K$14*SQRT(1+R3295)</f>
        <v>0.987071321387587</v>
      </c>
      <c r="T3295" s="0" t="n">
        <f aca="false">Q3295-S3295</f>
        <v>47.4019343604306</v>
      </c>
      <c r="U3295" s="0" t="n">
        <f aca="false">Q3295+S3295</f>
        <v>49.3760770032058</v>
      </c>
      <c r="V3295" s="54" t="b">
        <f aca="false">AND(D3295&gt;=01_因子設定!$L$5-0.000000001,D3295&lt;=01_因子設定!$M$5+0.000000001,E3295&gt;=01_因子設定!$L$6-0.000000001,E3295&lt;=01_因子設定!$M$6+0.000000001,F3295&gt;=01_因子設定!$L$7-0.000000001,F3295&lt;=01_因子設定!$M$7+0.000000001,IF(01_因子設定!$B$20="Box-Behnken",D3295^2+E3295^2+F3295^2&lt;=2+0.000000001,TRUE()))</f>
        <v>1</v>
      </c>
      <c r="W3295" s="55" t="n">
        <f aca="false">IF(V3295,IF(01_因子設定!$B$13="最大化",T3295-01_因子設定!$B$14,IF(01_因子設定!$B$13="最小化",01_因子設定!$B$15-U3295,MIN(T3295-01_因子設定!$B$14,01_因子設定!$B$15-U3295))),-1E+030)</f>
        <v>-1.0980656395694</v>
      </c>
      <c r="X3295" s="55" t="n">
        <f aca="false">IF(V3295,IF(01_因子設定!$B$13="最大化",Q3295,IF(01_因子設定!$B$13="最小化",-Q3295,-ABS(Q3295-01_因子設定!$B$16))),-1E+030)</f>
        <v>48.3890056818182</v>
      </c>
      <c r="Y3295" s="55" t="n">
        <f aca="false">W3295+ROW()*0.000000001</f>
        <v>-1.0980623445694</v>
      </c>
      <c r="Z3295" s="55" t="n">
        <f aca="false">X3295+ROW()*0.000000001</f>
        <v>48.3890089768182</v>
      </c>
    </row>
    <row r="3296" customFormat="false" ht="15" hidden="false" customHeight="false" outlineLevel="0" collapsed="false">
      <c r="A3296" s="0" t="n">
        <v>11</v>
      </c>
      <c r="B3296" s="0" t="n">
        <v>6</v>
      </c>
      <c r="C3296" s="0" t="n">
        <v>10</v>
      </c>
      <c r="D3296" s="0" t="n">
        <f aca="false">-1+A3296*0.125</f>
        <v>0.375</v>
      </c>
      <c r="E3296" s="0" t="n">
        <f aca="false">-1+B3296*0.125</f>
        <v>-0.25</v>
      </c>
      <c r="F3296" s="0" t="n">
        <f aca="false">-1+C3296*0.125</f>
        <v>0.25</v>
      </c>
      <c r="G3296" s="0" t="n">
        <f aca="false">1</f>
        <v>1</v>
      </c>
      <c r="H3296" s="0" t="n">
        <f aca="false">D3296</f>
        <v>0.375</v>
      </c>
      <c r="I3296" s="0" t="n">
        <f aca="false">E3296</f>
        <v>-0.25</v>
      </c>
      <c r="J3296" s="0" t="n">
        <f aca="false">F3296</f>
        <v>0.25</v>
      </c>
      <c r="K3296" s="0" t="n">
        <f aca="false">D3296*E3296</f>
        <v>-0.09375</v>
      </c>
      <c r="L3296" s="0" t="n">
        <f aca="false">D3296*F3296</f>
        <v>0.09375</v>
      </c>
      <c r="M3296" s="0" t="n">
        <f aca="false">E3296*F3296</f>
        <v>-0.0625</v>
      </c>
      <c r="N3296" s="0" t="n">
        <f aca="false">D3296*D3296</f>
        <v>0.140625</v>
      </c>
      <c r="O3296" s="0" t="n">
        <f aca="false">E3296*E3296</f>
        <v>0.0625</v>
      </c>
      <c r="P3296" s="0" t="n">
        <f aca="false">F3296*F3296</f>
        <v>0.0625</v>
      </c>
      <c r="Q3296" s="0" t="n">
        <f aca="false">SUMPRODUCT(G3296:P3296,_XtX!$B$71:$K$71)</f>
        <v>48.4852272727273</v>
      </c>
      <c r="R3296" s="0" t="n">
        <f aca="false">SUMPRODUCT(MMULT(G3296:P3296,_XtX!$B$58:$K$67),G3296:P3296)</f>
        <v>0.127454723011364</v>
      </c>
      <c r="S3296" s="0" t="n">
        <f aca="false">04_回帰ANOVA!$K$19*04_回帰ANOVA!$K$14*SQRT(1+R3296)</f>
        <v>0.987225105686864</v>
      </c>
      <c r="T3296" s="0" t="n">
        <f aca="false">Q3296-S3296</f>
        <v>47.4980021670404</v>
      </c>
      <c r="U3296" s="0" t="n">
        <f aca="false">Q3296+S3296</f>
        <v>49.4724523784142</v>
      </c>
      <c r="V3296" s="54" t="b">
        <f aca="false">AND(D3296&gt;=01_因子設定!$L$5-0.000000001,D3296&lt;=01_因子設定!$M$5+0.000000001,E3296&gt;=01_因子設定!$L$6-0.000000001,E3296&lt;=01_因子設定!$M$6+0.000000001,F3296&gt;=01_因子設定!$L$7-0.000000001,F3296&lt;=01_因子設定!$M$7+0.000000001,IF(01_因子設定!$B$20="Box-Behnken",D3296^2+E3296^2+F3296^2&lt;=2+0.000000001,TRUE()))</f>
        <v>1</v>
      </c>
      <c r="W3296" s="55" t="n">
        <f aca="false">IF(V3296,IF(01_因子設定!$B$13="最大化",T3296-01_因子設定!$B$14,IF(01_因子設定!$B$13="最小化",01_因子設定!$B$15-U3296,MIN(T3296-01_因子設定!$B$14,01_因子設定!$B$15-U3296))),-1E+030)</f>
        <v>-1.00199783295959</v>
      </c>
      <c r="X3296" s="55" t="n">
        <f aca="false">IF(V3296,IF(01_因子設定!$B$13="最大化",Q3296,IF(01_因子設定!$B$13="最小化",-Q3296,-ABS(Q3296-01_因子設定!$B$16))),-1E+030)</f>
        <v>48.4852272727273</v>
      </c>
      <c r="Y3296" s="55" t="n">
        <f aca="false">W3296+ROW()*0.000000001</f>
        <v>-1.00199453695959</v>
      </c>
      <c r="Z3296" s="55" t="n">
        <f aca="false">X3296+ROW()*0.000000001</f>
        <v>48.4852305687273</v>
      </c>
    </row>
    <row r="3297" customFormat="false" ht="15" hidden="false" customHeight="false" outlineLevel="0" collapsed="false">
      <c r="A3297" s="0" t="n">
        <v>11</v>
      </c>
      <c r="B3297" s="0" t="n">
        <v>6</v>
      </c>
      <c r="C3297" s="0" t="n">
        <v>11</v>
      </c>
      <c r="D3297" s="0" t="n">
        <f aca="false">-1+A3297*0.125</f>
        <v>0.375</v>
      </c>
      <c r="E3297" s="0" t="n">
        <f aca="false">-1+B3297*0.125</f>
        <v>-0.25</v>
      </c>
      <c r="F3297" s="0" t="n">
        <f aca="false">-1+C3297*0.125</f>
        <v>0.375</v>
      </c>
      <c r="G3297" s="0" t="n">
        <f aca="false">1</f>
        <v>1</v>
      </c>
      <c r="H3297" s="0" t="n">
        <f aca="false">D3297</f>
        <v>0.375</v>
      </c>
      <c r="I3297" s="0" t="n">
        <f aca="false">E3297</f>
        <v>-0.25</v>
      </c>
      <c r="J3297" s="0" t="n">
        <f aca="false">F3297</f>
        <v>0.375</v>
      </c>
      <c r="K3297" s="0" t="n">
        <f aca="false">D3297*E3297</f>
        <v>-0.09375</v>
      </c>
      <c r="L3297" s="0" t="n">
        <f aca="false">D3297*F3297</f>
        <v>0.140625</v>
      </c>
      <c r="M3297" s="0" t="n">
        <f aca="false">E3297*F3297</f>
        <v>-0.09375</v>
      </c>
      <c r="N3297" s="0" t="n">
        <f aca="false">D3297*D3297</f>
        <v>0.140625</v>
      </c>
      <c r="O3297" s="0" t="n">
        <f aca="false">E3297*E3297</f>
        <v>0.0625</v>
      </c>
      <c r="P3297" s="0" t="n">
        <f aca="false">F3297*F3297</f>
        <v>0.140625</v>
      </c>
      <c r="Q3297" s="0" t="n">
        <f aca="false">SUMPRODUCT(G3297:P3297,_XtX!$B$71:$K$71)</f>
        <v>48.5446590909091</v>
      </c>
      <c r="R3297" s="0" t="n">
        <f aca="false">SUMPRODUCT(MMULT(G3297:P3297,_XtX!$B$58:$K$67),G3297:P3297)</f>
        <v>0.131591242009943</v>
      </c>
      <c r="S3297" s="0" t="n">
        <f aca="false">04_回帰ANOVA!$K$19*04_回帰ANOVA!$K$14*SQRT(1+R3297)</f>
        <v>0.989034462873572</v>
      </c>
      <c r="T3297" s="0" t="n">
        <f aca="false">Q3297-S3297</f>
        <v>47.5556246280355</v>
      </c>
      <c r="U3297" s="0" t="n">
        <f aca="false">Q3297+S3297</f>
        <v>49.5336935537827</v>
      </c>
      <c r="V3297" s="54" t="b">
        <f aca="false">AND(D3297&gt;=01_因子設定!$L$5-0.000000001,D3297&lt;=01_因子設定!$M$5+0.000000001,E3297&gt;=01_因子設定!$L$6-0.000000001,E3297&lt;=01_因子設定!$M$6+0.000000001,F3297&gt;=01_因子設定!$L$7-0.000000001,F3297&lt;=01_因子設定!$M$7+0.000000001,IF(01_因子設定!$B$20="Box-Behnken",D3297^2+E3297^2+F3297^2&lt;=2+0.000000001,TRUE()))</f>
        <v>1</v>
      </c>
      <c r="W3297" s="55" t="n">
        <f aca="false">IF(V3297,IF(01_因子設定!$B$13="最大化",T3297-01_因子設定!$B$14,IF(01_因子設定!$B$13="最小化",01_因子設定!$B$15-U3297,MIN(T3297-01_因子設定!$B$14,01_因子設定!$B$15-U3297))),-1E+030)</f>
        <v>-0.944375371964469</v>
      </c>
      <c r="X3297" s="55" t="n">
        <f aca="false">IF(V3297,IF(01_因子設定!$B$13="最大化",Q3297,IF(01_因子設定!$B$13="最小化",-Q3297,-ABS(Q3297-01_因子設定!$B$16))),-1E+030)</f>
        <v>48.5446590909091</v>
      </c>
      <c r="Y3297" s="55" t="n">
        <f aca="false">W3297+ROW()*0.000000001</f>
        <v>-0.944372074964469</v>
      </c>
      <c r="Z3297" s="55" t="n">
        <f aca="false">X3297+ROW()*0.000000001</f>
        <v>48.5446623879091</v>
      </c>
    </row>
    <row r="3298" customFormat="false" ht="15" hidden="false" customHeight="false" outlineLevel="0" collapsed="false">
      <c r="A3298" s="0" t="n">
        <v>11</v>
      </c>
      <c r="B3298" s="0" t="n">
        <v>6</v>
      </c>
      <c r="C3298" s="0" t="n">
        <v>12</v>
      </c>
      <c r="D3298" s="0" t="n">
        <f aca="false">-1+A3298*0.125</f>
        <v>0.375</v>
      </c>
      <c r="E3298" s="0" t="n">
        <f aca="false">-1+B3298*0.125</f>
        <v>-0.25</v>
      </c>
      <c r="F3298" s="0" t="n">
        <f aca="false">-1+C3298*0.125</f>
        <v>0.5</v>
      </c>
      <c r="G3298" s="0" t="n">
        <f aca="false">1</f>
        <v>1</v>
      </c>
      <c r="H3298" s="0" t="n">
        <f aca="false">D3298</f>
        <v>0.375</v>
      </c>
      <c r="I3298" s="0" t="n">
        <f aca="false">E3298</f>
        <v>-0.25</v>
      </c>
      <c r="J3298" s="0" t="n">
        <f aca="false">F3298</f>
        <v>0.5</v>
      </c>
      <c r="K3298" s="0" t="n">
        <f aca="false">D3298*E3298</f>
        <v>-0.09375</v>
      </c>
      <c r="L3298" s="0" t="n">
        <f aca="false">D3298*F3298</f>
        <v>0.1875</v>
      </c>
      <c r="M3298" s="0" t="n">
        <f aca="false">E3298*F3298</f>
        <v>-0.125</v>
      </c>
      <c r="N3298" s="0" t="n">
        <f aca="false">D3298*D3298</f>
        <v>0.140625</v>
      </c>
      <c r="O3298" s="0" t="n">
        <f aca="false">E3298*E3298</f>
        <v>0.0625</v>
      </c>
      <c r="P3298" s="0" t="n">
        <f aca="false">F3298*F3298</f>
        <v>0.25</v>
      </c>
      <c r="Q3298" s="0" t="n">
        <f aca="false">SUMPRODUCT(G3298:P3298,_XtX!$B$71:$K$71)</f>
        <v>48.5673011363636</v>
      </c>
      <c r="R3298" s="0" t="n">
        <f aca="false">SUMPRODUCT(MMULT(G3298:P3298,_XtX!$B$58:$K$67),G3298:P3298)</f>
        <v>0.144839754971591</v>
      </c>
      <c r="S3298" s="0" t="n">
        <f aca="false">04_回帰ANOVA!$K$19*04_回帰ANOVA!$K$14*SQRT(1+R3298)</f>
        <v>0.994807353995542</v>
      </c>
      <c r="T3298" s="0" t="n">
        <f aca="false">Q3298-S3298</f>
        <v>47.5724937823681</v>
      </c>
      <c r="U3298" s="0" t="n">
        <f aca="false">Q3298+S3298</f>
        <v>49.5621084903592</v>
      </c>
      <c r="V3298" s="54" t="b">
        <f aca="false">AND(D3298&gt;=01_因子設定!$L$5-0.000000001,D3298&lt;=01_因子設定!$M$5+0.000000001,E3298&gt;=01_因子設定!$L$6-0.000000001,E3298&lt;=01_因子設定!$M$6+0.000000001,F3298&gt;=01_因子設定!$L$7-0.000000001,F3298&lt;=01_因子設定!$M$7+0.000000001,IF(01_因子設定!$B$20="Box-Behnken",D3298^2+E3298^2+F3298^2&lt;=2+0.000000001,TRUE()))</f>
        <v>1</v>
      </c>
      <c r="W3298" s="55" t="n">
        <f aca="false">IF(V3298,IF(01_因子設定!$B$13="最大化",T3298-01_因子設定!$B$14,IF(01_因子設定!$B$13="最小化",01_因子設定!$B$15-U3298,MIN(T3298-01_因子設定!$B$14,01_因子設定!$B$15-U3298))),-1E+030)</f>
        <v>-0.927506217631894</v>
      </c>
      <c r="X3298" s="55" t="n">
        <f aca="false">IF(V3298,IF(01_因子設定!$B$13="最大化",Q3298,IF(01_因子設定!$B$13="最小化",-Q3298,-ABS(Q3298-01_因子設定!$B$16))),-1E+030)</f>
        <v>48.5673011363636</v>
      </c>
      <c r="Y3298" s="55" t="n">
        <f aca="false">W3298+ROW()*0.000000001</f>
        <v>-0.927502919631894</v>
      </c>
      <c r="Z3298" s="55" t="n">
        <f aca="false">X3298+ROW()*0.000000001</f>
        <v>48.5673044343637</v>
      </c>
    </row>
    <row r="3299" customFormat="false" ht="15" hidden="false" customHeight="false" outlineLevel="0" collapsed="false">
      <c r="A3299" s="0" t="n">
        <v>11</v>
      </c>
      <c r="B3299" s="0" t="n">
        <v>6</v>
      </c>
      <c r="C3299" s="0" t="n">
        <v>13</v>
      </c>
      <c r="D3299" s="0" t="n">
        <f aca="false">-1+A3299*0.125</f>
        <v>0.375</v>
      </c>
      <c r="E3299" s="0" t="n">
        <f aca="false">-1+B3299*0.125</f>
        <v>-0.25</v>
      </c>
      <c r="F3299" s="0" t="n">
        <f aca="false">-1+C3299*0.125</f>
        <v>0.625</v>
      </c>
      <c r="G3299" s="0" t="n">
        <f aca="false">1</f>
        <v>1</v>
      </c>
      <c r="H3299" s="0" t="n">
        <f aca="false">D3299</f>
        <v>0.375</v>
      </c>
      <c r="I3299" s="0" t="n">
        <f aca="false">E3299</f>
        <v>-0.25</v>
      </c>
      <c r="J3299" s="0" t="n">
        <f aca="false">F3299</f>
        <v>0.625</v>
      </c>
      <c r="K3299" s="0" t="n">
        <f aca="false">D3299*E3299</f>
        <v>-0.09375</v>
      </c>
      <c r="L3299" s="0" t="n">
        <f aca="false">D3299*F3299</f>
        <v>0.234375</v>
      </c>
      <c r="M3299" s="0" t="n">
        <f aca="false">E3299*F3299</f>
        <v>-0.15625</v>
      </c>
      <c r="N3299" s="0" t="n">
        <f aca="false">D3299*D3299</f>
        <v>0.140625</v>
      </c>
      <c r="O3299" s="0" t="n">
        <f aca="false">E3299*E3299</f>
        <v>0.0625</v>
      </c>
      <c r="P3299" s="0" t="n">
        <f aca="false">F3299*F3299</f>
        <v>0.390625</v>
      </c>
      <c r="Q3299" s="0" t="n">
        <f aca="false">SUMPRODUCT(G3299:P3299,_XtX!$B$71:$K$71)</f>
        <v>48.5531534090909</v>
      </c>
      <c r="R3299" s="0" t="n">
        <f aca="false">SUMPRODUCT(MMULT(G3299:P3299,_XtX!$B$58:$K$67),G3299:P3299)</f>
        <v>0.174657648259943</v>
      </c>
      <c r="S3299" s="0" t="n">
        <f aca="false">04_回帰ANOVA!$K$19*04_回帰ANOVA!$K$14*SQRT(1+R3299)</f>
        <v>1.00767919364845</v>
      </c>
      <c r="T3299" s="0" t="n">
        <f aca="false">Q3299-S3299</f>
        <v>47.5454742154425</v>
      </c>
      <c r="U3299" s="0" t="n">
        <f aca="false">Q3299+S3299</f>
        <v>49.5608326027394</v>
      </c>
      <c r="V3299" s="54" t="b">
        <f aca="false">AND(D3299&gt;=01_因子設定!$L$5-0.000000001,D3299&lt;=01_因子設定!$M$5+0.000000001,E3299&gt;=01_因子設定!$L$6-0.000000001,E3299&lt;=01_因子設定!$M$6+0.000000001,F3299&gt;=01_因子設定!$L$7-0.000000001,F3299&lt;=01_因子設定!$M$7+0.000000001,IF(01_因子設定!$B$20="Box-Behnken",D3299^2+E3299^2+F3299^2&lt;=2+0.000000001,TRUE()))</f>
        <v>1</v>
      </c>
      <c r="W3299" s="55" t="n">
        <f aca="false">IF(V3299,IF(01_因子設定!$B$13="最大化",T3299-01_因子設定!$B$14,IF(01_因子設定!$B$13="最小化",01_因子設定!$B$15-U3299,MIN(T3299-01_因子設定!$B$14,01_因子設定!$B$15-U3299))),-1E+030)</f>
        <v>-0.954525784557518</v>
      </c>
      <c r="X3299" s="55" t="n">
        <f aca="false">IF(V3299,IF(01_因子設定!$B$13="最大化",Q3299,IF(01_因子設定!$B$13="最小化",-Q3299,-ABS(Q3299-01_因子設定!$B$16))),-1E+030)</f>
        <v>48.5531534090909</v>
      </c>
      <c r="Y3299" s="55" t="n">
        <f aca="false">W3299+ROW()*0.000000001</f>
        <v>-0.954522485557518</v>
      </c>
      <c r="Z3299" s="55" t="n">
        <f aca="false">X3299+ROW()*0.000000001</f>
        <v>48.5531567080909</v>
      </c>
    </row>
    <row r="3300" customFormat="false" ht="15" hidden="false" customHeight="false" outlineLevel="0" collapsed="false">
      <c r="A3300" s="0" t="n">
        <v>11</v>
      </c>
      <c r="B3300" s="0" t="n">
        <v>6</v>
      </c>
      <c r="C3300" s="0" t="n">
        <v>14</v>
      </c>
      <c r="D3300" s="0" t="n">
        <f aca="false">-1+A3300*0.125</f>
        <v>0.375</v>
      </c>
      <c r="E3300" s="0" t="n">
        <f aca="false">-1+B3300*0.125</f>
        <v>-0.25</v>
      </c>
      <c r="F3300" s="0" t="n">
        <f aca="false">-1+C3300*0.125</f>
        <v>0.75</v>
      </c>
      <c r="G3300" s="0" t="n">
        <f aca="false">1</f>
        <v>1</v>
      </c>
      <c r="H3300" s="0" t="n">
        <f aca="false">D3300</f>
        <v>0.375</v>
      </c>
      <c r="I3300" s="0" t="n">
        <f aca="false">E3300</f>
        <v>-0.25</v>
      </c>
      <c r="J3300" s="0" t="n">
        <f aca="false">F3300</f>
        <v>0.75</v>
      </c>
      <c r="K3300" s="0" t="n">
        <f aca="false">D3300*E3300</f>
        <v>-0.09375</v>
      </c>
      <c r="L3300" s="0" t="n">
        <f aca="false">D3300*F3300</f>
        <v>0.28125</v>
      </c>
      <c r="M3300" s="0" t="n">
        <f aca="false">E3300*F3300</f>
        <v>-0.1875</v>
      </c>
      <c r="N3300" s="0" t="n">
        <f aca="false">D3300*D3300</f>
        <v>0.140625</v>
      </c>
      <c r="O3300" s="0" t="n">
        <f aca="false">E3300*E3300</f>
        <v>0.0625</v>
      </c>
      <c r="P3300" s="0" t="n">
        <f aca="false">F3300*F3300</f>
        <v>0.5625</v>
      </c>
      <c r="Q3300" s="0" t="n">
        <f aca="false">SUMPRODUCT(G3300:P3300,_XtX!$B$71:$K$71)</f>
        <v>48.5022159090909</v>
      </c>
      <c r="R3300" s="0" t="n">
        <f aca="false">SUMPRODUCT(MMULT(G3300:P3300,_XtX!$B$58:$K$67),G3300:P3300)</f>
        <v>0.230632990056818</v>
      </c>
      <c r="S3300" s="0" t="n">
        <f aca="false">04_回帰ANOVA!$K$19*04_回帰ANOVA!$K$14*SQRT(1+R3300)</f>
        <v>1.03140899038819</v>
      </c>
      <c r="T3300" s="0" t="n">
        <f aca="false">Q3300-S3300</f>
        <v>47.4708069187027</v>
      </c>
      <c r="U3300" s="0" t="n">
        <f aca="false">Q3300+S3300</f>
        <v>49.5336248994791</v>
      </c>
      <c r="V3300" s="54" t="b">
        <f aca="false">AND(D3300&gt;=01_因子設定!$L$5-0.000000001,D3300&lt;=01_因子設定!$M$5+0.000000001,E3300&gt;=01_因子設定!$L$6-0.000000001,E3300&lt;=01_因子設定!$M$6+0.000000001,F3300&gt;=01_因子設定!$L$7-0.000000001,F3300&lt;=01_因子設定!$M$7+0.000000001,IF(01_因子設定!$B$20="Box-Behnken",D3300^2+E3300^2+F3300^2&lt;=2+0.000000001,TRUE()))</f>
        <v>1</v>
      </c>
      <c r="W3300" s="55" t="n">
        <f aca="false">IF(V3300,IF(01_因子設定!$B$13="最大化",T3300-01_因子設定!$B$14,IF(01_因子設定!$B$13="最小化",01_因子設定!$B$15-U3300,MIN(T3300-01_因子設定!$B$14,01_因子設定!$B$15-U3300))),-1E+030)</f>
        <v>-1.02919308129726</v>
      </c>
      <c r="X3300" s="55" t="n">
        <f aca="false">IF(V3300,IF(01_因子設定!$B$13="最大化",Q3300,IF(01_因子設定!$B$13="最小化",-Q3300,-ABS(Q3300-01_因子設定!$B$16))),-1E+030)</f>
        <v>48.5022159090909</v>
      </c>
      <c r="Y3300" s="55" t="n">
        <f aca="false">W3300+ROW()*0.000000001</f>
        <v>-1.02918978129726</v>
      </c>
      <c r="Z3300" s="55" t="n">
        <f aca="false">X3300+ROW()*0.000000001</f>
        <v>48.5022192090909</v>
      </c>
    </row>
    <row r="3301" customFormat="false" ht="15" hidden="false" customHeight="false" outlineLevel="0" collapsed="false">
      <c r="A3301" s="0" t="n">
        <v>11</v>
      </c>
      <c r="B3301" s="0" t="n">
        <v>6</v>
      </c>
      <c r="C3301" s="0" t="n">
        <v>15</v>
      </c>
      <c r="D3301" s="0" t="n">
        <f aca="false">-1+A3301*0.125</f>
        <v>0.375</v>
      </c>
      <c r="E3301" s="0" t="n">
        <f aca="false">-1+B3301*0.125</f>
        <v>-0.25</v>
      </c>
      <c r="F3301" s="0" t="n">
        <f aca="false">-1+C3301*0.125</f>
        <v>0.875</v>
      </c>
      <c r="G3301" s="0" t="n">
        <f aca="false">1</f>
        <v>1</v>
      </c>
      <c r="H3301" s="0" t="n">
        <f aca="false">D3301</f>
        <v>0.375</v>
      </c>
      <c r="I3301" s="0" t="n">
        <f aca="false">E3301</f>
        <v>-0.25</v>
      </c>
      <c r="J3301" s="0" t="n">
        <f aca="false">F3301</f>
        <v>0.875</v>
      </c>
      <c r="K3301" s="0" t="n">
        <f aca="false">D3301*E3301</f>
        <v>-0.09375</v>
      </c>
      <c r="L3301" s="0" t="n">
        <f aca="false">D3301*F3301</f>
        <v>0.328125</v>
      </c>
      <c r="M3301" s="0" t="n">
        <f aca="false">E3301*F3301</f>
        <v>-0.21875</v>
      </c>
      <c r="N3301" s="0" t="n">
        <f aca="false">D3301*D3301</f>
        <v>0.140625</v>
      </c>
      <c r="O3301" s="0" t="n">
        <f aca="false">E3301*E3301</f>
        <v>0.0625</v>
      </c>
      <c r="P3301" s="0" t="n">
        <f aca="false">F3301*F3301</f>
        <v>0.765625</v>
      </c>
      <c r="Q3301" s="0" t="n">
        <f aca="false">SUMPRODUCT(G3301:P3301,_XtX!$B$71:$K$71)</f>
        <v>48.4144886363637</v>
      </c>
      <c r="R3301" s="0" t="n">
        <f aca="false">SUMPRODUCT(MMULT(G3301:P3301,_XtX!$B$58:$K$67),G3301:P3301)</f>
        <v>0.324484530362216</v>
      </c>
      <c r="S3301" s="0" t="n">
        <f aca="false">04_回帰ANOVA!$K$19*04_回帰ANOVA!$K$14*SQRT(1+R3301)</f>
        <v>1.07001553041279</v>
      </c>
      <c r="T3301" s="0" t="n">
        <f aca="false">Q3301-S3301</f>
        <v>47.3444731059509</v>
      </c>
      <c r="U3301" s="0" t="n">
        <f aca="false">Q3301+S3301</f>
        <v>49.4845041667764</v>
      </c>
      <c r="V3301" s="54" t="b">
        <f aca="false">AND(D3301&gt;=01_因子設定!$L$5-0.000000001,D3301&lt;=01_因子設定!$M$5+0.000000001,E3301&gt;=01_因子設定!$L$6-0.000000001,E3301&lt;=01_因子設定!$M$6+0.000000001,F3301&gt;=01_因子設定!$L$7-0.000000001,F3301&lt;=01_因子設定!$M$7+0.000000001,IF(01_因子設定!$B$20="Box-Behnken",D3301^2+E3301^2+F3301^2&lt;=2+0.000000001,TRUE()))</f>
        <v>1</v>
      </c>
      <c r="W3301" s="55" t="n">
        <f aca="false">IF(V3301,IF(01_因子設定!$B$13="最大化",T3301-01_因子設定!$B$14,IF(01_因子設定!$B$13="最小化",01_因子設定!$B$15-U3301,MIN(T3301-01_因子設定!$B$14,01_因子設定!$B$15-U3301))),-1E+030)</f>
        <v>-1.15552689404913</v>
      </c>
      <c r="X3301" s="55" t="n">
        <f aca="false">IF(V3301,IF(01_因子設定!$B$13="最大化",Q3301,IF(01_因子設定!$B$13="最小化",-Q3301,-ABS(Q3301-01_因子設定!$B$16))),-1E+030)</f>
        <v>48.4144886363637</v>
      </c>
      <c r="Y3301" s="55" t="n">
        <f aca="false">W3301+ROW()*0.000000001</f>
        <v>-1.15552359304913</v>
      </c>
      <c r="Z3301" s="55" t="n">
        <f aca="false">X3301+ROW()*0.000000001</f>
        <v>48.4144919373637</v>
      </c>
    </row>
    <row r="3302" customFormat="false" ht="15" hidden="false" customHeight="false" outlineLevel="0" collapsed="false">
      <c r="A3302" s="0" t="n">
        <v>11</v>
      </c>
      <c r="B3302" s="0" t="n">
        <v>6</v>
      </c>
      <c r="C3302" s="0" t="n">
        <v>16</v>
      </c>
      <c r="D3302" s="0" t="n">
        <f aca="false">-1+A3302*0.125</f>
        <v>0.375</v>
      </c>
      <c r="E3302" s="0" t="n">
        <f aca="false">-1+B3302*0.125</f>
        <v>-0.25</v>
      </c>
      <c r="F3302" s="0" t="n">
        <f aca="false">-1+C3302*0.125</f>
        <v>1</v>
      </c>
      <c r="G3302" s="0" t="n">
        <f aca="false">1</f>
        <v>1</v>
      </c>
      <c r="H3302" s="0" t="n">
        <f aca="false">D3302</f>
        <v>0.375</v>
      </c>
      <c r="I3302" s="0" t="n">
        <f aca="false">E3302</f>
        <v>-0.25</v>
      </c>
      <c r="J3302" s="0" t="n">
        <f aca="false">F3302</f>
        <v>1</v>
      </c>
      <c r="K3302" s="0" t="n">
        <f aca="false">D3302*E3302</f>
        <v>-0.09375</v>
      </c>
      <c r="L3302" s="0" t="n">
        <f aca="false">D3302*F3302</f>
        <v>0.375</v>
      </c>
      <c r="M3302" s="0" t="n">
        <f aca="false">E3302*F3302</f>
        <v>-0.25</v>
      </c>
      <c r="N3302" s="0" t="n">
        <f aca="false">D3302*D3302</f>
        <v>0.140625</v>
      </c>
      <c r="O3302" s="0" t="n">
        <f aca="false">E3302*E3302</f>
        <v>0.0625</v>
      </c>
      <c r="P3302" s="0" t="n">
        <f aca="false">F3302*F3302</f>
        <v>1</v>
      </c>
      <c r="Q3302" s="0" t="n">
        <f aca="false">SUMPRODUCT(G3302:P3302,_XtX!$B$71:$K$71)</f>
        <v>48.2899715909091</v>
      </c>
      <c r="R3302" s="0" t="n">
        <f aca="false">SUMPRODUCT(MMULT(G3302:P3302,_XtX!$B$58:$K$67),G3302:P3302)</f>
        <v>0.470061700994318</v>
      </c>
      <c r="S3302" s="0" t="n">
        <f aca="false">04_回帰ANOVA!$K$19*04_回帰ANOVA!$K$14*SQRT(1+R3302)</f>
        <v>1.12728678965931</v>
      </c>
      <c r="T3302" s="0" t="n">
        <f aca="false">Q3302-S3302</f>
        <v>47.1626848012498</v>
      </c>
      <c r="U3302" s="0" t="n">
        <f aca="false">Q3302+S3302</f>
        <v>49.4172583805684</v>
      </c>
      <c r="V3302" s="54" t="b">
        <f aca="false">AND(D3302&gt;=01_因子設定!$L$5-0.000000001,D3302&lt;=01_因子設定!$M$5+0.000000001,E3302&gt;=01_因子設定!$L$6-0.000000001,E3302&lt;=01_因子設定!$M$6+0.000000001,F3302&gt;=01_因子設定!$L$7-0.000000001,F3302&lt;=01_因子設定!$M$7+0.000000001,IF(01_因子設定!$B$20="Box-Behnken",D3302^2+E3302^2+F3302^2&lt;=2+0.000000001,TRUE()))</f>
        <v>1</v>
      </c>
      <c r="W3302" s="55" t="n">
        <f aca="false">IF(V3302,IF(01_因子設定!$B$13="最大化",T3302-01_因子設定!$B$14,IF(01_因子設定!$B$13="最小化",01_因子設定!$B$15-U3302,MIN(T3302-01_因子設定!$B$14,01_因子設定!$B$15-U3302))),-1E+030)</f>
        <v>-1.33731519875019</v>
      </c>
      <c r="X3302" s="55" t="n">
        <f aca="false">IF(V3302,IF(01_因子設定!$B$13="最大化",Q3302,IF(01_因子設定!$B$13="最小化",-Q3302,-ABS(Q3302-01_因子設定!$B$16))),-1E+030)</f>
        <v>48.2899715909091</v>
      </c>
      <c r="Y3302" s="55" t="n">
        <f aca="false">W3302+ROW()*0.000000001</f>
        <v>-1.33731189675019</v>
      </c>
      <c r="Z3302" s="55" t="n">
        <f aca="false">X3302+ROW()*0.000000001</f>
        <v>48.2899748929091</v>
      </c>
    </row>
    <row r="3303" customFormat="false" ht="15" hidden="false" customHeight="false" outlineLevel="0" collapsed="false">
      <c r="A3303" s="0" t="n">
        <v>11</v>
      </c>
      <c r="B3303" s="0" t="n">
        <v>7</v>
      </c>
      <c r="C3303" s="0" t="n">
        <v>0</v>
      </c>
      <c r="D3303" s="0" t="n">
        <f aca="false">-1+A3303*0.125</f>
        <v>0.375</v>
      </c>
      <c r="E3303" s="0" t="n">
        <f aca="false">-1+B3303*0.125</f>
        <v>-0.125</v>
      </c>
      <c r="F3303" s="0" t="n">
        <f aca="false">-1+C3303*0.125</f>
        <v>-1</v>
      </c>
      <c r="G3303" s="0" t="n">
        <f aca="false">1</f>
        <v>1</v>
      </c>
      <c r="H3303" s="0" t="n">
        <f aca="false">D3303</f>
        <v>0.375</v>
      </c>
      <c r="I3303" s="0" t="n">
        <f aca="false">E3303</f>
        <v>-0.125</v>
      </c>
      <c r="J3303" s="0" t="n">
        <f aca="false">F3303</f>
        <v>-1</v>
      </c>
      <c r="K3303" s="0" t="n">
        <f aca="false">D3303*E3303</f>
        <v>-0.046875</v>
      </c>
      <c r="L3303" s="0" t="n">
        <f aca="false">D3303*F3303</f>
        <v>-0.375</v>
      </c>
      <c r="M3303" s="0" t="n">
        <f aca="false">E3303*F3303</f>
        <v>0.125</v>
      </c>
      <c r="N3303" s="0" t="n">
        <f aca="false">D3303*D3303</f>
        <v>0.140625</v>
      </c>
      <c r="O3303" s="0" t="n">
        <f aca="false">E3303*E3303</f>
        <v>0.015625</v>
      </c>
      <c r="P3303" s="0" t="n">
        <f aca="false">F3303*F3303</f>
        <v>1</v>
      </c>
      <c r="Q3303" s="0" t="n">
        <f aca="false">SUMPRODUCT(G3303:P3303,_XtX!$B$71:$K$71)</f>
        <v>46.222421875</v>
      </c>
      <c r="R3303" s="0" t="n">
        <f aca="false">SUMPRODUCT(MMULT(G3303:P3303,_XtX!$B$58:$K$67),G3303:P3303)</f>
        <v>0.476202392578125</v>
      </c>
      <c r="S3303" s="0" t="n">
        <f aca="false">04_回帰ANOVA!$K$19*04_回帰ANOVA!$K$14*SQRT(1+R3303)</f>
        <v>1.12963876802721</v>
      </c>
      <c r="T3303" s="0" t="n">
        <f aca="false">Q3303-S3303</f>
        <v>45.0927831069728</v>
      </c>
      <c r="U3303" s="0" t="n">
        <f aca="false">Q3303+S3303</f>
        <v>47.3520606430272</v>
      </c>
      <c r="V3303" s="54" t="b">
        <f aca="false">AND(D3303&gt;=01_因子設定!$L$5-0.000000001,D3303&lt;=01_因子設定!$M$5+0.000000001,E3303&gt;=01_因子設定!$L$6-0.000000001,E3303&lt;=01_因子設定!$M$6+0.000000001,F3303&gt;=01_因子設定!$L$7-0.000000001,F3303&lt;=01_因子設定!$M$7+0.000000001,IF(01_因子設定!$B$20="Box-Behnken",D3303^2+E3303^2+F3303^2&lt;=2+0.000000001,TRUE()))</f>
        <v>1</v>
      </c>
      <c r="W3303" s="55" t="n">
        <f aca="false">IF(V3303,IF(01_因子設定!$B$13="最大化",T3303-01_因子設定!$B$14,IF(01_因子設定!$B$13="最小化",01_因子設定!$B$15-U3303,MIN(T3303-01_因子設定!$B$14,01_因子設定!$B$15-U3303))),-1E+030)</f>
        <v>-3.40721689302718</v>
      </c>
      <c r="X3303" s="55" t="n">
        <f aca="false">IF(V3303,IF(01_因子設定!$B$13="最大化",Q3303,IF(01_因子設定!$B$13="最小化",-Q3303,-ABS(Q3303-01_因子設定!$B$16))),-1E+030)</f>
        <v>46.222421875</v>
      </c>
      <c r="Y3303" s="55" t="n">
        <f aca="false">W3303+ROW()*0.000000001</f>
        <v>-3.40721359002718</v>
      </c>
      <c r="Z3303" s="55" t="n">
        <f aca="false">X3303+ROW()*0.000000001</f>
        <v>46.222425178</v>
      </c>
    </row>
    <row r="3304" customFormat="false" ht="15" hidden="false" customHeight="false" outlineLevel="0" collapsed="false">
      <c r="A3304" s="0" t="n">
        <v>11</v>
      </c>
      <c r="B3304" s="0" t="n">
        <v>7</v>
      </c>
      <c r="C3304" s="0" t="n">
        <v>1</v>
      </c>
      <c r="D3304" s="0" t="n">
        <f aca="false">-1+A3304*0.125</f>
        <v>0.375</v>
      </c>
      <c r="E3304" s="0" t="n">
        <f aca="false">-1+B3304*0.125</f>
        <v>-0.125</v>
      </c>
      <c r="F3304" s="0" t="n">
        <f aca="false">-1+C3304*0.125</f>
        <v>-0.875</v>
      </c>
      <c r="G3304" s="0" t="n">
        <f aca="false">1</f>
        <v>1</v>
      </c>
      <c r="H3304" s="0" t="n">
        <f aca="false">D3304</f>
        <v>0.375</v>
      </c>
      <c r="I3304" s="0" t="n">
        <f aca="false">E3304</f>
        <v>-0.125</v>
      </c>
      <c r="J3304" s="0" t="n">
        <f aca="false">F3304</f>
        <v>-0.875</v>
      </c>
      <c r="K3304" s="0" t="n">
        <f aca="false">D3304*E3304</f>
        <v>-0.046875</v>
      </c>
      <c r="L3304" s="0" t="n">
        <f aca="false">D3304*F3304</f>
        <v>-0.328125</v>
      </c>
      <c r="M3304" s="0" t="n">
        <f aca="false">E3304*F3304</f>
        <v>0.109375</v>
      </c>
      <c r="N3304" s="0" t="n">
        <f aca="false">D3304*D3304</f>
        <v>0.140625</v>
      </c>
      <c r="O3304" s="0" t="n">
        <f aca="false">E3304*E3304</f>
        <v>0.015625</v>
      </c>
      <c r="P3304" s="0" t="n">
        <f aca="false">F3304*F3304</f>
        <v>0.765625</v>
      </c>
      <c r="Q3304" s="0" t="n">
        <f aca="false">SUMPRODUCT(G3304:P3304,_XtX!$B$71:$K$71)</f>
        <v>46.6567826704546</v>
      </c>
      <c r="R3304" s="0" t="n">
        <f aca="false">SUMPRODUCT(MMULT(G3304:P3304,_XtX!$B$58:$K$67),G3304:P3304)</f>
        <v>0.32900224165483</v>
      </c>
      <c r="S3304" s="0" t="n">
        <f aca="false">04_回帰ANOVA!$K$19*04_回帰ANOVA!$K$14*SQRT(1+R3304)</f>
        <v>1.07183884583628</v>
      </c>
      <c r="T3304" s="0" t="n">
        <f aca="false">Q3304-S3304</f>
        <v>45.5849438246183</v>
      </c>
      <c r="U3304" s="0" t="n">
        <f aca="false">Q3304+S3304</f>
        <v>47.7286215162908</v>
      </c>
      <c r="V3304" s="54" t="b">
        <f aca="false">AND(D3304&gt;=01_因子設定!$L$5-0.000000001,D3304&lt;=01_因子設定!$M$5+0.000000001,E3304&gt;=01_因子設定!$L$6-0.000000001,E3304&lt;=01_因子設定!$M$6+0.000000001,F3304&gt;=01_因子設定!$L$7-0.000000001,F3304&lt;=01_因子設定!$M$7+0.000000001,IF(01_因子設定!$B$20="Box-Behnken",D3304^2+E3304^2+F3304^2&lt;=2+0.000000001,TRUE()))</f>
        <v>1</v>
      </c>
      <c r="W3304" s="55" t="n">
        <f aca="false">IF(V3304,IF(01_因子設定!$B$13="最大化",T3304-01_因子設定!$B$14,IF(01_因子設定!$B$13="最小化",01_因子設定!$B$15-U3304,MIN(T3304-01_因子設定!$B$14,01_因子設定!$B$15-U3304))),-1E+030)</f>
        <v>-2.91505617538171</v>
      </c>
      <c r="X3304" s="55" t="n">
        <f aca="false">IF(V3304,IF(01_因子設定!$B$13="最大化",Q3304,IF(01_因子設定!$B$13="最小化",-Q3304,-ABS(Q3304-01_因子設定!$B$16))),-1E+030)</f>
        <v>46.6567826704546</v>
      </c>
      <c r="Y3304" s="55" t="n">
        <f aca="false">W3304+ROW()*0.000000001</f>
        <v>-2.91505287138171</v>
      </c>
      <c r="Z3304" s="55" t="n">
        <f aca="false">X3304+ROW()*0.000000001</f>
        <v>46.6567859744546</v>
      </c>
    </row>
    <row r="3305" customFormat="false" ht="15" hidden="false" customHeight="false" outlineLevel="0" collapsed="false">
      <c r="A3305" s="0" t="n">
        <v>11</v>
      </c>
      <c r="B3305" s="0" t="n">
        <v>7</v>
      </c>
      <c r="C3305" s="0" t="n">
        <v>2</v>
      </c>
      <c r="D3305" s="0" t="n">
        <f aca="false">-1+A3305*0.125</f>
        <v>0.375</v>
      </c>
      <c r="E3305" s="0" t="n">
        <f aca="false">-1+B3305*0.125</f>
        <v>-0.125</v>
      </c>
      <c r="F3305" s="0" t="n">
        <f aca="false">-1+C3305*0.125</f>
        <v>-0.75</v>
      </c>
      <c r="G3305" s="0" t="n">
        <f aca="false">1</f>
        <v>1</v>
      </c>
      <c r="H3305" s="0" t="n">
        <f aca="false">D3305</f>
        <v>0.375</v>
      </c>
      <c r="I3305" s="0" t="n">
        <f aca="false">E3305</f>
        <v>-0.125</v>
      </c>
      <c r="J3305" s="0" t="n">
        <f aca="false">F3305</f>
        <v>-0.75</v>
      </c>
      <c r="K3305" s="0" t="n">
        <f aca="false">D3305*E3305</f>
        <v>-0.046875</v>
      </c>
      <c r="L3305" s="0" t="n">
        <f aca="false">D3305*F3305</f>
        <v>-0.28125</v>
      </c>
      <c r="M3305" s="0" t="n">
        <f aca="false">E3305*F3305</f>
        <v>0.09375</v>
      </c>
      <c r="N3305" s="0" t="n">
        <f aca="false">D3305*D3305</f>
        <v>0.140625</v>
      </c>
      <c r="O3305" s="0" t="n">
        <f aca="false">E3305*E3305</f>
        <v>0.015625</v>
      </c>
      <c r="P3305" s="0" t="n">
        <f aca="false">F3305*F3305</f>
        <v>0.5625</v>
      </c>
      <c r="Q3305" s="0" t="n">
        <f aca="false">SUMPRODUCT(G3305:P3305,_XtX!$B$71:$K$71)</f>
        <v>47.0543536931818</v>
      </c>
      <c r="R3305" s="0" t="n">
        <f aca="false">SUMPRODUCT(MMULT(G3305:P3305,_XtX!$B$58:$K$67),G3305:P3305)</f>
        <v>0.233744118430398</v>
      </c>
      <c r="S3305" s="0" t="n">
        <f aca="false">04_回帰ANOVA!$K$19*04_回帰ANOVA!$K$14*SQRT(1+R3305)</f>
        <v>1.0327119053564</v>
      </c>
      <c r="T3305" s="0" t="n">
        <f aca="false">Q3305-S3305</f>
        <v>46.0216417878254</v>
      </c>
      <c r="U3305" s="0" t="n">
        <f aca="false">Q3305+S3305</f>
        <v>48.0870655985382</v>
      </c>
      <c r="V3305" s="54" t="b">
        <f aca="false">AND(D3305&gt;=01_因子設定!$L$5-0.000000001,D3305&lt;=01_因子設定!$M$5+0.000000001,E3305&gt;=01_因子設定!$L$6-0.000000001,E3305&lt;=01_因子設定!$M$6+0.000000001,F3305&gt;=01_因子設定!$L$7-0.000000001,F3305&lt;=01_因子設定!$M$7+0.000000001,IF(01_因子設定!$B$20="Box-Behnken",D3305^2+E3305^2+F3305^2&lt;=2+0.000000001,TRUE()))</f>
        <v>1</v>
      </c>
      <c r="W3305" s="55" t="n">
        <f aca="false">IF(V3305,IF(01_因子設定!$B$13="最大化",T3305-01_因子設定!$B$14,IF(01_因子設定!$B$13="最小化",01_因子設定!$B$15-U3305,MIN(T3305-01_因子設定!$B$14,01_因子設定!$B$15-U3305))),-1E+030)</f>
        <v>-2.47835821217456</v>
      </c>
      <c r="X3305" s="55" t="n">
        <f aca="false">IF(V3305,IF(01_因子設定!$B$13="最大化",Q3305,IF(01_因子設定!$B$13="最小化",-Q3305,-ABS(Q3305-01_因子設定!$B$16))),-1E+030)</f>
        <v>47.0543536931818</v>
      </c>
      <c r="Y3305" s="55" t="n">
        <f aca="false">W3305+ROW()*0.000000001</f>
        <v>-2.47835490717456</v>
      </c>
      <c r="Z3305" s="55" t="n">
        <f aca="false">X3305+ROW()*0.000000001</f>
        <v>47.0543569981818</v>
      </c>
    </row>
    <row r="3306" customFormat="false" ht="15" hidden="false" customHeight="false" outlineLevel="0" collapsed="false">
      <c r="A3306" s="0" t="n">
        <v>11</v>
      </c>
      <c r="B3306" s="0" t="n">
        <v>7</v>
      </c>
      <c r="C3306" s="0" t="n">
        <v>3</v>
      </c>
      <c r="D3306" s="0" t="n">
        <f aca="false">-1+A3306*0.125</f>
        <v>0.375</v>
      </c>
      <c r="E3306" s="0" t="n">
        <f aca="false">-1+B3306*0.125</f>
        <v>-0.125</v>
      </c>
      <c r="F3306" s="0" t="n">
        <f aca="false">-1+C3306*0.125</f>
        <v>-0.625</v>
      </c>
      <c r="G3306" s="0" t="n">
        <f aca="false">1</f>
        <v>1</v>
      </c>
      <c r="H3306" s="0" t="n">
        <f aca="false">D3306</f>
        <v>0.375</v>
      </c>
      <c r="I3306" s="0" t="n">
        <f aca="false">E3306</f>
        <v>-0.125</v>
      </c>
      <c r="J3306" s="0" t="n">
        <f aca="false">F3306</f>
        <v>-0.625</v>
      </c>
      <c r="K3306" s="0" t="n">
        <f aca="false">D3306*E3306</f>
        <v>-0.046875</v>
      </c>
      <c r="L3306" s="0" t="n">
        <f aca="false">D3306*F3306</f>
        <v>-0.234375</v>
      </c>
      <c r="M3306" s="0" t="n">
        <f aca="false">E3306*F3306</f>
        <v>0.078125</v>
      </c>
      <c r="N3306" s="0" t="n">
        <f aca="false">D3306*D3306</f>
        <v>0.140625</v>
      </c>
      <c r="O3306" s="0" t="n">
        <f aca="false">E3306*E3306</f>
        <v>0.015625</v>
      </c>
      <c r="P3306" s="0" t="n">
        <f aca="false">F3306*F3306</f>
        <v>0.390625</v>
      </c>
      <c r="Q3306" s="0" t="n">
        <f aca="false">SUMPRODUCT(G3306:P3306,_XtX!$B$71:$K$71)</f>
        <v>47.4151349431818</v>
      </c>
      <c r="R3306" s="0" t="n">
        <f aca="false">SUMPRODUCT(MMULT(G3306:P3306,_XtX!$B$58:$K$67),G3306:P3306)</f>
        <v>0.176578591086648</v>
      </c>
      <c r="S3306" s="0" t="n">
        <f aca="false">04_回帰ANOVA!$K$19*04_回帰ANOVA!$K$14*SQRT(1+R3306)</f>
        <v>1.00850279676269</v>
      </c>
      <c r="T3306" s="0" t="n">
        <f aca="false">Q3306-S3306</f>
        <v>46.4066321464191</v>
      </c>
      <c r="U3306" s="0" t="n">
        <f aca="false">Q3306+S3306</f>
        <v>48.4236377399445</v>
      </c>
      <c r="V3306" s="54" t="b">
        <f aca="false">AND(D3306&gt;=01_因子設定!$L$5-0.000000001,D3306&lt;=01_因子設定!$M$5+0.000000001,E3306&gt;=01_因子設定!$L$6-0.000000001,E3306&lt;=01_因子設定!$M$6+0.000000001,F3306&gt;=01_因子設定!$L$7-0.000000001,F3306&lt;=01_因子設定!$M$7+0.000000001,IF(01_因子設定!$B$20="Box-Behnken",D3306^2+E3306^2+F3306^2&lt;=2+0.000000001,TRUE()))</f>
        <v>1</v>
      </c>
      <c r="W3306" s="55" t="n">
        <f aca="false">IF(V3306,IF(01_因子設定!$B$13="最大化",T3306-01_因子設定!$B$14,IF(01_因子設定!$B$13="最小化",01_因子設定!$B$15-U3306,MIN(T3306-01_因子設定!$B$14,01_因子設定!$B$15-U3306))),-1E+030)</f>
        <v>-2.09336785358086</v>
      </c>
      <c r="X3306" s="55" t="n">
        <f aca="false">IF(V3306,IF(01_因子設定!$B$13="最大化",Q3306,IF(01_因子設定!$B$13="最小化",-Q3306,-ABS(Q3306-01_因子設定!$B$16))),-1E+030)</f>
        <v>47.4151349431818</v>
      </c>
      <c r="Y3306" s="55" t="n">
        <f aca="false">W3306+ROW()*0.000000001</f>
        <v>-2.09336454758086</v>
      </c>
      <c r="Z3306" s="55" t="n">
        <f aca="false">X3306+ROW()*0.000000001</f>
        <v>47.4151382491818</v>
      </c>
    </row>
    <row r="3307" customFormat="false" ht="15" hidden="false" customHeight="false" outlineLevel="0" collapsed="false">
      <c r="A3307" s="0" t="n">
        <v>11</v>
      </c>
      <c r="B3307" s="0" t="n">
        <v>7</v>
      </c>
      <c r="C3307" s="0" t="n">
        <v>4</v>
      </c>
      <c r="D3307" s="0" t="n">
        <f aca="false">-1+A3307*0.125</f>
        <v>0.375</v>
      </c>
      <c r="E3307" s="0" t="n">
        <f aca="false">-1+B3307*0.125</f>
        <v>-0.125</v>
      </c>
      <c r="F3307" s="0" t="n">
        <f aca="false">-1+C3307*0.125</f>
        <v>-0.5</v>
      </c>
      <c r="G3307" s="0" t="n">
        <f aca="false">1</f>
        <v>1</v>
      </c>
      <c r="H3307" s="0" t="n">
        <f aca="false">D3307</f>
        <v>0.375</v>
      </c>
      <c r="I3307" s="0" t="n">
        <f aca="false">E3307</f>
        <v>-0.125</v>
      </c>
      <c r="J3307" s="0" t="n">
        <f aca="false">F3307</f>
        <v>-0.5</v>
      </c>
      <c r="K3307" s="0" t="n">
        <f aca="false">D3307*E3307</f>
        <v>-0.046875</v>
      </c>
      <c r="L3307" s="0" t="n">
        <f aca="false">D3307*F3307</f>
        <v>-0.1875</v>
      </c>
      <c r="M3307" s="0" t="n">
        <f aca="false">E3307*F3307</f>
        <v>0.0625</v>
      </c>
      <c r="N3307" s="0" t="n">
        <f aca="false">D3307*D3307</f>
        <v>0.140625</v>
      </c>
      <c r="O3307" s="0" t="n">
        <f aca="false">E3307*E3307</f>
        <v>0.015625</v>
      </c>
      <c r="P3307" s="0" t="n">
        <f aca="false">F3307*F3307</f>
        <v>0.25</v>
      </c>
      <c r="Q3307" s="0" t="n">
        <f aca="false">SUMPRODUCT(G3307:P3307,_XtX!$B$71:$K$71)</f>
        <v>47.7391264204546</v>
      </c>
      <c r="R3307" s="0" t="n">
        <f aca="false">SUMPRODUCT(MMULT(G3307:P3307,_XtX!$B$58:$K$67),G3307:P3307)</f>
        <v>0.14578690962358</v>
      </c>
      <c r="S3307" s="0" t="n">
        <f aca="false">04_回帰ANOVA!$K$19*04_回帰ANOVA!$K$14*SQRT(1+R3307)</f>
        <v>0.995218783457917</v>
      </c>
      <c r="T3307" s="0" t="n">
        <f aca="false">Q3307-S3307</f>
        <v>46.7439076369966</v>
      </c>
      <c r="U3307" s="0" t="n">
        <f aca="false">Q3307+S3307</f>
        <v>48.7343452039125</v>
      </c>
      <c r="V3307" s="54" t="b">
        <f aca="false">AND(D3307&gt;=01_因子設定!$L$5-0.000000001,D3307&lt;=01_因子設定!$M$5+0.000000001,E3307&gt;=01_因子設定!$L$6-0.000000001,E3307&lt;=01_因子設定!$M$6+0.000000001,F3307&gt;=01_因子設定!$L$7-0.000000001,F3307&lt;=01_因子設定!$M$7+0.000000001,IF(01_因子設定!$B$20="Box-Behnken",D3307^2+E3307^2+F3307^2&lt;=2+0.000000001,TRUE()))</f>
        <v>1</v>
      </c>
      <c r="W3307" s="55" t="n">
        <f aca="false">IF(V3307,IF(01_因子設定!$B$13="最大化",T3307-01_因子設定!$B$14,IF(01_因子設定!$B$13="最小化",01_因子設定!$B$15-U3307,MIN(T3307-01_因子設定!$B$14,01_因子設定!$B$15-U3307))),-1E+030)</f>
        <v>-1.75609236300336</v>
      </c>
      <c r="X3307" s="55" t="n">
        <f aca="false">IF(V3307,IF(01_因子設定!$B$13="最大化",Q3307,IF(01_因子設定!$B$13="最小化",-Q3307,-ABS(Q3307-01_因子設定!$B$16))),-1E+030)</f>
        <v>47.7391264204546</v>
      </c>
      <c r="Y3307" s="55" t="n">
        <f aca="false">W3307+ROW()*0.000000001</f>
        <v>-1.75608905600336</v>
      </c>
      <c r="Z3307" s="55" t="n">
        <f aca="false">X3307+ROW()*0.000000001</f>
        <v>47.7391297274546</v>
      </c>
    </row>
    <row r="3308" customFormat="false" ht="15" hidden="false" customHeight="false" outlineLevel="0" collapsed="false">
      <c r="A3308" s="0" t="n">
        <v>11</v>
      </c>
      <c r="B3308" s="0" t="n">
        <v>7</v>
      </c>
      <c r="C3308" s="0" t="n">
        <v>5</v>
      </c>
      <c r="D3308" s="0" t="n">
        <f aca="false">-1+A3308*0.125</f>
        <v>0.375</v>
      </c>
      <c r="E3308" s="0" t="n">
        <f aca="false">-1+B3308*0.125</f>
        <v>-0.125</v>
      </c>
      <c r="F3308" s="0" t="n">
        <f aca="false">-1+C3308*0.125</f>
        <v>-0.375</v>
      </c>
      <c r="G3308" s="0" t="n">
        <f aca="false">1</f>
        <v>1</v>
      </c>
      <c r="H3308" s="0" t="n">
        <f aca="false">D3308</f>
        <v>0.375</v>
      </c>
      <c r="I3308" s="0" t="n">
        <f aca="false">E3308</f>
        <v>-0.125</v>
      </c>
      <c r="J3308" s="0" t="n">
        <f aca="false">F3308</f>
        <v>-0.375</v>
      </c>
      <c r="K3308" s="0" t="n">
        <f aca="false">D3308*E3308</f>
        <v>-0.046875</v>
      </c>
      <c r="L3308" s="0" t="n">
        <f aca="false">D3308*F3308</f>
        <v>-0.140625</v>
      </c>
      <c r="M3308" s="0" t="n">
        <f aca="false">E3308*F3308</f>
        <v>0.046875</v>
      </c>
      <c r="N3308" s="0" t="n">
        <f aca="false">D3308*D3308</f>
        <v>0.140625</v>
      </c>
      <c r="O3308" s="0" t="n">
        <f aca="false">E3308*E3308</f>
        <v>0.015625</v>
      </c>
      <c r="P3308" s="0" t="n">
        <f aca="false">F3308*F3308</f>
        <v>0.140625</v>
      </c>
      <c r="Q3308" s="0" t="n">
        <f aca="false">SUMPRODUCT(G3308:P3308,_XtX!$B$71:$K$71)</f>
        <v>48.026328125</v>
      </c>
      <c r="R3308" s="0" t="n">
        <f aca="false">SUMPRODUCT(MMULT(G3308:P3308,_XtX!$B$58:$K$67),G3308:P3308)</f>
        <v>0.131781005859375</v>
      </c>
      <c r="S3308" s="0" t="n">
        <f aca="false">04_回帰ANOVA!$K$19*04_回帰ANOVA!$K$14*SQRT(1+R3308)</f>
        <v>0.989117388188007</v>
      </c>
      <c r="T3308" s="0" t="n">
        <f aca="false">Q3308-S3308</f>
        <v>47.037210736812</v>
      </c>
      <c r="U3308" s="0" t="n">
        <f aca="false">Q3308+S3308</f>
        <v>49.015445513188</v>
      </c>
      <c r="V3308" s="54" t="b">
        <f aca="false">AND(D3308&gt;=01_因子設定!$L$5-0.000000001,D3308&lt;=01_因子設定!$M$5+0.000000001,E3308&gt;=01_因子設定!$L$6-0.000000001,E3308&lt;=01_因子設定!$M$6+0.000000001,F3308&gt;=01_因子設定!$L$7-0.000000001,F3308&lt;=01_因子設定!$M$7+0.000000001,IF(01_因子設定!$B$20="Box-Behnken",D3308^2+E3308^2+F3308^2&lt;=2+0.000000001,TRUE()))</f>
        <v>1</v>
      </c>
      <c r="W3308" s="55" t="n">
        <f aca="false">IF(V3308,IF(01_因子設定!$B$13="最大化",T3308-01_因子設定!$B$14,IF(01_因子設定!$B$13="最小化",01_因子設定!$B$15-U3308,MIN(T3308-01_因子設定!$B$14,01_因子設定!$B$15-U3308))),-1E+030)</f>
        <v>-1.462789263188</v>
      </c>
      <c r="X3308" s="55" t="n">
        <f aca="false">IF(V3308,IF(01_因子設定!$B$13="最大化",Q3308,IF(01_因子設定!$B$13="最小化",-Q3308,-ABS(Q3308-01_因子設定!$B$16))),-1E+030)</f>
        <v>48.026328125</v>
      </c>
      <c r="Y3308" s="55" t="n">
        <f aca="false">W3308+ROW()*0.000000001</f>
        <v>-1.462785955188</v>
      </c>
      <c r="Z3308" s="55" t="n">
        <f aca="false">X3308+ROW()*0.000000001</f>
        <v>48.026331433</v>
      </c>
    </row>
    <row r="3309" customFormat="false" ht="15" hidden="false" customHeight="false" outlineLevel="0" collapsed="false">
      <c r="A3309" s="0" t="n">
        <v>11</v>
      </c>
      <c r="B3309" s="0" t="n">
        <v>7</v>
      </c>
      <c r="C3309" s="0" t="n">
        <v>6</v>
      </c>
      <c r="D3309" s="0" t="n">
        <f aca="false">-1+A3309*0.125</f>
        <v>0.375</v>
      </c>
      <c r="E3309" s="0" t="n">
        <f aca="false">-1+B3309*0.125</f>
        <v>-0.125</v>
      </c>
      <c r="F3309" s="0" t="n">
        <f aca="false">-1+C3309*0.125</f>
        <v>-0.25</v>
      </c>
      <c r="G3309" s="0" t="n">
        <f aca="false">1</f>
        <v>1</v>
      </c>
      <c r="H3309" s="0" t="n">
        <f aca="false">D3309</f>
        <v>0.375</v>
      </c>
      <c r="I3309" s="0" t="n">
        <f aca="false">E3309</f>
        <v>-0.125</v>
      </c>
      <c r="J3309" s="0" t="n">
        <f aca="false">F3309</f>
        <v>-0.25</v>
      </c>
      <c r="K3309" s="0" t="n">
        <f aca="false">D3309*E3309</f>
        <v>-0.046875</v>
      </c>
      <c r="L3309" s="0" t="n">
        <f aca="false">D3309*F3309</f>
        <v>-0.09375</v>
      </c>
      <c r="M3309" s="0" t="n">
        <f aca="false">E3309*F3309</f>
        <v>0.03125</v>
      </c>
      <c r="N3309" s="0" t="n">
        <f aca="false">D3309*D3309</f>
        <v>0.140625</v>
      </c>
      <c r="O3309" s="0" t="n">
        <f aca="false">E3309*E3309</f>
        <v>0.015625</v>
      </c>
      <c r="P3309" s="0" t="n">
        <f aca="false">F3309*F3309</f>
        <v>0.0625</v>
      </c>
      <c r="Q3309" s="0" t="n">
        <f aca="false">SUMPRODUCT(G3309:P3309,_XtX!$B$71:$K$71)</f>
        <v>48.2767400568182</v>
      </c>
      <c r="R3309" s="0" t="n">
        <f aca="false">SUMPRODUCT(MMULT(G3309:P3309,_XtX!$B$58:$K$67),G3309:P3309)</f>
        <v>0.127103493430398</v>
      </c>
      <c r="S3309" s="0" t="n">
        <f aca="false">04_回帰ANOVA!$K$19*04_回帰ANOVA!$K$14*SQRT(1+R3309)</f>
        <v>0.987071321387587</v>
      </c>
      <c r="T3309" s="0" t="n">
        <f aca="false">Q3309-S3309</f>
        <v>47.2896687354306</v>
      </c>
      <c r="U3309" s="0" t="n">
        <f aca="false">Q3309+S3309</f>
        <v>49.2638113782058</v>
      </c>
      <c r="V3309" s="54" t="b">
        <f aca="false">AND(D3309&gt;=01_因子設定!$L$5-0.000000001,D3309&lt;=01_因子設定!$M$5+0.000000001,E3309&gt;=01_因子設定!$L$6-0.000000001,E3309&lt;=01_因子設定!$M$6+0.000000001,F3309&gt;=01_因子設定!$L$7-0.000000001,F3309&lt;=01_因子設定!$M$7+0.000000001,IF(01_因子設定!$B$20="Box-Behnken",D3309^2+E3309^2+F3309^2&lt;=2+0.000000001,TRUE()))</f>
        <v>1</v>
      </c>
      <c r="W3309" s="55" t="n">
        <f aca="false">IF(V3309,IF(01_因子設定!$B$13="最大化",T3309-01_因子設定!$B$14,IF(01_因子設定!$B$13="最小化",01_因子設定!$B$15-U3309,MIN(T3309-01_因子設定!$B$14,01_因子設定!$B$15-U3309))),-1E+030)</f>
        <v>-1.2103312645694</v>
      </c>
      <c r="X3309" s="55" t="n">
        <f aca="false">IF(V3309,IF(01_因子設定!$B$13="最大化",Q3309,IF(01_因子設定!$B$13="最小化",-Q3309,-ABS(Q3309-01_因子設定!$B$16))),-1E+030)</f>
        <v>48.2767400568182</v>
      </c>
      <c r="Y3309" s="55" t="n">
        <f aca="false">W3309+ROW()*0.000000001</f>
        <v>-1.2103279555694</v>
      </c>
      <c r="Z3309" s="55" t="n">
        <f aca="false">X3309+ROW()*0.000000001</f>
        <v>48.2767433658182</v>
      </c>
    </row>
    <row r="3310" customFormat="false" ht="15" hidden="false" customHeight="false" outlineLevel="0" collapsed="false">
      <c r="A3310" s="0" t="n">
        <v>11</v>
      </c>
      <c r="B3310" s="0" t="n">
        <v>7</v>
      </c>
      <c r="C3310" s="0" t="n">
        <v>7</v>
      </c>
      <c r="D3310" s="0" t="n">
        <f aca="false">-1+A3310*0.125</f>
        <v>0.375</v>
      </c>
      <c r="E3310" s="0" t="n">
        <f aca="false">-1+B3310*0.125</f>
        <v>-0.125</v>
      </c>
      <c r="F3310" s="0" t="n">
        <f aca="false">-1+C3310*0.125</f>
        <v>-0.125</v>
      </c>
      <c r="G3310" s="0" t="n">
        <f aca="false">1</f>
        <v>1</v>
      </c>
      <c r="H3310" s="0" t="n">
        <f aca="false">D3310</f>
        <v>0.375</v>
      </c>
      <c r="I3310" s="0" t="n">
        <f aca="false">E3310</f>
        <v>-0.125</v>
      </c>
      <c r="J3310" s="0" t="n">
        <f aca="false">F3310</f>
        <v>-0.125</v>
      </c>
      <c r="K3310" s="0" t="n">
        <f aca="false">D3310*E3310</f>
        <v>-0.046875</v>
      </c>
      <c r="L3310" s="0" t="n">
        <f aca="false">D3310*F3310</f>
        <v>-0.046875</v>
      </c>
      <c r="M3310" s="0" t="n">
        <f aca="false">E3310*F3310</f>
        <v>0.015625</v>
      </c>
      <c r="N3310" s="0" t="n">
        <f aca="false">D3310*D3310</f>
        <v>0.140625</v>
      </c>
      <c r="O3310" s="0" t="n">
        <f aca="false">E3310*E3310</f>
        <v>0.015625</v>
      </c>
      <c r="P3310" s="0" t="n">
        <f aca="false">F3310*F3310</f>
        <v>0.015625</v>
      </c>
      <c r="Q3310" s="0" t="n">
        <f aca="false">SUMPRODUCT(G3310:P3310,_XtX!$B$71:$K$71)</f>
        <v>48.4903622159091</v>
      </c>
      <c r="R3310" s="0" t="n">
        <f aca="false">SUMPRODUCT(MMULT(G3310:P3310,_XtX!$B$58:$K$67),G3310:P3310)</f>
        <v>0.126427667791193</v>
      </c>
      <c r="S3310" s="0" t="n">
        <f aca="false">04_回帰ANOVA!$K$19*04_回帰ANOVA!$K$14*SQRT(1+R3310)</f>
        <v>0.986775346732538</v>
      </c>
      <c r="T3310" s="0" t="n">
        <f aca="false">Q3310-S3310</f>
        <v>47.5035868691766</v>
      </c>
      <c r="U3310" s="0" t="n">
        <f aca="false">Q3310+S3310</f>
        <v>49.4771375626416</v>
      </c>
      <c r="V3310" s="54" t="b">
        <f aca="false">AND(D3310&gt;=01_因子設定!$L$5-0.000000001,D3310&lt;=01_因子設定!$M$5+0.000000001,E3310&gt;=01_因子設定!$L$6-0.000000001,E3310&lt;=01_因子設定!$M$6+0.000000001,F3310&gt;=01_因子設定!$L$7-0.000000001,F3310&lt;=01_因子設定!$M$7+0.000000001,IF(01_因子設定!$B$20="Box-Behnken",D3310^2+E3310^2+F3310^2&lt;=2+0.000000001,TRUE()))</f>
        <v>1</v>
      </c>
      <c r="W3310" s="55" t="n">
        <f aca="false">IF(V3310,IF(01_因子設定!$B$13="最大化",T3310-01_因子設定!$B$14,IF(01_因子設定!$B$13="最小化",01_因子設定!$B$15-U3310,MIN(T3310-01_因子設定!$B$14,01_因子設定!$B$15-U3310))),-1E+030)</f>
        <v>-0.996413130823441</v>
      </c>
      <c r="X3310" s="55" t="n">
        <f aca="false">IF(V3310,IF(01_因子設定!$B$13="最大化",Q3310,IF(01_因子設定!$B$13="最小化",-Q3310,-ABS(Q3310-01_因子設定!$B$16))),-1E+030)</f>
        <v>48.4903622159091</v>
      </c>
      <c r="Y3310" s="55" t="n">
        <f aca="false">W3310+ROW()*0.000000001</f>
        <v>-0.996409820823441</v>
      </c>
      <c r="Z3310" s="55" t="n">
        <f aca="false">X3310+ROW()*0.000000001</f>
        <v>48.4903655259091</v>
      </c>
    </row>
    <row r="3311" customFormat="false" ht="15" hidden="false" customHeight="false" outlineLevel="0" collapsed="false">
      <c r="A3311" s="0" t="n">
        <v>11</v>
      </c>
      <c r="B3311" s="0" t="n">
        <v>7</v>
      </c>
      <c r="C3311" s="0" t="n">
        <v>8</v>
      </c>
      <c r="D3311" s="0" t="n">
        <f aca="false">-1+A3311*0.125</f>
        <v>0.375</v>
      </c>
      <c r="E3311" s="0" t="n">
        <f aca="false">-1+B3311*0.125</f>
        <v>-0.125</v>
      </c>
      <c r="F3311" s="0" t="n">
        <f aca="false">-1+C3311*0.125</f>
        <v>0</v>
      </c>
      <c r="G3311" s="0" t="n">
        <f aca="false">1</f>
        <v>1</v>
      </c>
      <c r="H3311" s="0" t="n">
        <f aca="false">D3311</f>
        <v>0.375</v>
      </c>
      <c r="I3311" s="0" t="n">
        <f aca="false">E3311</f>
        <v>-0.125</v>
      </c>
      <c r="J3311" s="0" t="n">
        <f aca="false">F3311</f>
        <v>0</v>
      </c>
      <c r="K3311" s="0" t="n">
        <f aca="false">D3311*E3311</f>
        <v>-0.046875</v>
      </c>
      <c r="L3311" s="0" t="n">
        <f aca="false">D3311*F3311</f>
        <v>0</v>
      </c>
      <c r="M3311" s="0" t="n">
        <f aca="false">E3311*F3311</f>
        <v>-0</v>
      </c>
      <c r="N3311" s="0" t="n">
        <f aca="false">D3311*D3311</f>
        <v>0.140625</v>
      </c>
      <c r="O3311" s="0" t="n">
        <f aca="false">E3311*E3311</f>
        <v>0.015625</v>
      </c>
      <c r="P3311" s="0" t="n">
        <f aca="false">F3311*F3311</f>
        <v>0</v>
      </c>
      <c r="Q3311" s="0" t="n">
        <f aca="false">SUMPRODUCT(G3311:P3311,_XtX!$B$71:$K$71)</f>
        <v>48.6671946022727</v>
      </c>
      <c r="R3311" s="0" t="n">
        <f aca="false">SUMPRODUCT(MMULT(G3311:P3311,_XtX!$B$58:$K$67),G3311:P3311)</f>
        <v>0.126557506214489</v>
      </c>
      <c r="S3311" s="0" t="n">
        <f aca="false">04_回帰ANOVA!$K$19*04_回帰ANOVA!$K$14*SQRT(1+R3311)</f>
        <v>0.986832215747321</v>
      </c>
      <c r="T3311" s="0" t="n">
        <f aca="false">Q3311-S3311</f>
        <v>47.6803623865254</v>
      </c>
      <c r="U3311" s="0" t="n">
        <f aca="false">Q3311+S3311</f>
        <v>49.6540268180201</v>
      </c>
      <c r="V3311" s="54" t="b">
        <f aca="false">AND(D3311&gt;=01_因子設定!$L$5-0.000000001,D3311&lt;=01_因子設定!$M$5+0.000000001,E3311&gt;=01_因子設定!$L$6-0.000000001,E3311&lt;=01_因子設定!$M$6+0.000000001,F3311&gt;=01_因子設定!$L$7-0.000000001,F3311&lt;=01_因子設定!$M$7+0.000000001,IF(01_因子設定!$B$20="Box-Behnken",D3311^2+E3311^2+F3311^2&lt;=2+0.000000001,TRUE()))</f>
        <v>1</v>
      </c>
      <c r="W3311" s="55" t="n">
        <f aca="false">IF(V3311,IF(01_因子設定!$B$13="最大化",T3311-01_因子設定!$B$14,IF(01_因子設定!$B$13="最小化",01_因子設定!$B$15-U3311,MIN(T3311-01_因子設定!$B$14,01_因子設定!$B$15-U3311))),-1E+030)</f>
        <v>-0.819637613474583</v>
      </c>
      <c r="X3311" s="55" t="n">
        <f aca="false">IF(V3311,IF(01_因子設定!$B$13="最大化",Q3311,IF(01_因子設定!$B$13="最小化",-Q3311,-ABS(Q3311-01_因子設定!$B$16))),-1E+030)</f>
        <v>48.6671946022727</v>
      </c>
      <c r="Y3311" s="55" t="n">
        <f aca="false">W3311+ROW()*0.000000001</f>
        <v>-0.819634302474583</v>
      </c>
      <c r="Z3311" s="55" t="n">
        <f aca="false">X3311+ROW()*0.000000001</f>
        <v>48.6671979132727</v>
      </c>
    </row>
    <row r="3312" customFormat="false" ht="15" hidden="false" customHeight="false" outlineLevel="0" collapsed="false">
      <c r="A3312" s="0" t="n">
        <v>11</v>
      </c>
      <c r="B3312" s="0" t="n">
        <v>7</v>
      </c>
      <c r="C3312" s="0" t="n">
        <v>9</v>
      </c>
      <c r="D3312" s="0" t="n">
        <f aca="false">-1+A3312*0.125</f>
        <v>0.375</v>
      </c>
      <c r="E3312" s="0" t="n">
        <f aca="false">-1+B3312*0.125</f>
        <v>-0.125</v>
      </c>
      <c r="F3312" s="0" t="n">
        <f aca="false">-1+C3312*0.125</f>
        <v>0.125</v>
      </c>
      <c r="G3312" s="0" t="n">
        <f aca="false">1</f>
        <v>1</v>
      </c>
      <c r="H3312" s="0" t="n">
        <f aca="false">D3312</f>
        <v>0.375</v>
      </c>
      <c r="I3312" s="0" t="n">
        <f aca="false">E3312</f>
        <v>-0.125</v>
      </c>
      <c r="J3312" s="0" t="n">
        <f aca="false">F3312</f>
        <v>0.125</v>
      </c>
      <c r="K3312" s="0" t="n">
        <f aca="false">D3312*E3312</f>
        <v>-0.046875</v>
      </c>
      <c r="L3312" s="0" t="n">
        <f aca="false">D3312*F3312</f>
        <v>0.046875</v>
      </c>
      <c r="M3312" s="0" t="n">
        <f aca="false">E3312*F3312</f>
        <v>-0.015625</v>
      </c>
      <c r="N3312" s="0" t="n">
        <f aca="false">D3312*D3312</f>
        <v>0.140625</v>
      </c>
      <c r="O3312" s="0" t="n">
        <f aca="false">E3312*E3312</f>
        <v>0.015625</v>
      </c>
      <c r="P3312" s="0" t="n">
        <f aca="false">F3312*F3312</f>
        <v>0.015625</v>
      </c>
      <c r="Q3312" s="0" t="n">
        <f aca="false">SUMPRODUCT(G3312:P3312,_XtX!$B$71:$K$71)</f>
        <v>48.8072372159091</v>
      </c>
      <c r="R3312" s="0" t="n">
        <f aca="false">SUMPRODUCT(MMULT(G3312:P3312,_XtX!$B$58:$K$67),G3312:P3312)</f>
        <v>0.126427667791193</v>
      </c>
      <c r="S3312" s="0" t="n">
        <f aca="false">04_回帰ANOVA!$K$19*04_回帰ANOVA!$K$14*SQRT(1+R3312)</f>
        <v>0.986775346732538</v>
      </c>
      <c r="T3312" s="0" t="n">
        <f aca="false">Q3312-S3312</f>
        <v>47.8204618691766</v>
      </c>
      <c r="U3312" s="0" t="n">
        <f aca="false">Q3312+S3312</f>
        <v>49.7940125626416</v>
      </c>
      <c r="V3312" s="54" t="b">
        <f aca="false">AND(D3312&gt;=01_因子設定!$L$5-0.000000001,D3312&lt;=01_因子設定!$M$5+0.000000001,E3312&gt;=01_因子設定!$L$6-0.000000001,E3312&lt;=01_因子設定!$M$6+0.000000001,F3312&gt;=01_因子設定!$L$7-0.000000001,F3312&lt;=01_因子設定!$M$7+0.000000001,IF(01_因子設定!$B$20="Box-Behnken",D3312^2+E3312^2+F3312^2&lt;=2+0.000000001,TRUE()))</f>
        <v>1</v>
      </c>
      <c r="W3312" s="55" t="n">
        <f aca="false">IF(V3312,IF(01_因子設定!$B$13="最大化",T3312-01_因子設定!$B$14,IF(01_因子設定!$B$13="最小化",01_因子設定!$B$15-U3312,MIN(T3312-01_因子設定!$B$14,01_因子設定!$B$15-U3312))),-1E+030)</f>
        <v>-0.679538130823438</v>
      </c>
      <c r="X3312" s="55" t="n">
        <f aca="false">IF(V3312,IF(01_因子設定!$B$13="最大化",Q3312,IF(01_因子設定!$B$13="最小化",-Q3312,-ABS(Q3312-01_因子設定!$B$16))),-1E+030)</f>
        <v>48.8072372159091</v>
      </c>
      <c r="Y3312" s="55" t="n">
        <f aca="false">W3312+ROW()*0.000000001</f>
        <v>-0.679534818823438</v>
      </c>
      <c r="Z3312" s="55" t="n">
        <f aca="false">X3312+ROW()*0.000000001</f>
        <v>48.8072405279091</v>
      </c>
    </row>
    <row r="3313" customFormat="false" ht="15" hidden="false" customHeight="false" outlineLevel="0" collapsed="false">
      <c r="A3313" s="0" t="n">
        <v>11</v>
      </c>
      <c r="B3313" s="0" t="n">
        <v>7</v>
      </c>
      <c r="C3313" s="0" t="n">
        <v>10</v>
      </c>
      <c r="D3313" s="0" t="n">
        <f aca="false">-1+A3313*0.125</f>
        <v>0.375</v>
      </c>
      <c r="E3313" s="0" t="n">
        <f aca="false">-1+B3313*0.125</f>
        <v>-0.125</v>
      </c>
      <c r="F3313" s="0" t="n">
        <f aca="false">-1+C3313*0.125</f>
        <v>0.25</v>
      </c>
      <c r="G3313" s="0" t="n">
        <f aca="false">1</f>
        <v>1</v>
      </c>
      <c r="H3313" s="0" t="n">
        <f aca="false">D3313</f>
        <v>0.375</v>
      </c>
      <c r="I3313" s="0" t="n">
        <f aca="false">E3313</f>
        <v>-0.125</v>
      </c>
      <c r="J3313" s="0" t="n">
        <f aca="false">F3313</f>
        <v>0.25</v>
      </c>
      <c r="K3313" s="0" t="n">
        <f aca="false">D3313*E3313</f>
        <v>-0.046875</v>
      </c>
      <c r="L3313" s="0" t="n">
        <f aca="false">D3313*F3313</f>
        <v>0.09375</v>
      </c>
      <c r="M3313" s="0" t="n">
        <f aca="false">E3313*F3313</f>
        <v>-0.03125</v>
      </c>
      <c r="N3313" s="0" t="n">
        <f aca="false">D3313*D3313</f>
        <v>0.140625</v>
      </c>
      <c r="O3313" s="0" t="n">
        <f aca="false">E3313*E3313</f>
        <v>0.015625</v>
      </c>
      <c r="P3313" s="0" t="n">
        <f aca="false">F3313*F3313</f>
        <v>0.0625</v>
      </c>
      <c r="Q3313" s="0" t="n">
        <f aca="false">SUMPRODUCT(G3313:P3313,_XtX!$B$71:$K$71)</f>
        <v>48.9104900568182</v>
      </c>
      <c r="R3313" s="0" t="n">
        <f aca="false">SUMPRODUCT(MMULT(G3313:P3313,_XtX!$B$58:$K$67),G3313:P3313)</f>
        <v>0.127103493430398</v>
      </c>
      <c r="S3313" s="0" t="n">
        <f aca="false">04_回帰ANOVA!$K$19*04_回帰ANOVA!$K$14*SQRT(1+R3313)</f>
        <v>0.987071321387587</v>
      </c>
      <c r="T3313" s="0" t="n">
        <f aca="false">Q3313-S3313</f>
        <v>47.9234187354306</v>
      </c>
      <c r="U3313" s="0" t="n">
        <f aca="false">Q3313+S3313</f>
        <v>49.8975613782058</v>
      </c>
      <c r="V3313" s="54" t="b">
        <f aca="false">AND(D3313&gt;=01_因子設定!$L$5-0.000000001,D3313&lt;=01_因子設定!$M$5+0.000000001,E3313&gt;=01_因子設定!$L$6-0.000000001,E3313&lt;=01_因子設定!$M$6+0.000000001,F3313&gt;=01_因子設定!$L$7-0.000000001,F3313&lt;=01_因子設定!$M$7+0.000000001,IF(01_因子設定!$B$20="Box-Behnken",D3313^2+E3313^2+F3313^2&lt;=2+0.000000001,TRUE()))</f>
        <v>1</v>
      </c>
      <c r="W3313" s="55" t="n">
        <f aca="false">IF(V3313,IF(01_因子設定!$B$13="最大化",T3313-01_因子設定!$B$14,IF(01_因子設定!$B$13="最小化",01_因子設定!$B$15-U3313,MIN(T3313-01_因子設定!$B$14,01_因子設定!$B$15-U3313))),-1E+030)</f>
        <v>-0.576581264569398</v>
      </c>
      <c r="X3313" s="55" t="n">
        <f aca="false">IF(V3313,IF(01_因子設定!$B$13="最大化",Q3313,IF(01_因子設定!$B$13="最小化",-Q3313,-ABS(Q3313-01_因子設定!$B$16))),-1E+030)</f>
        <v>48.9104900568182</v>
      </c>
      <c r="Y3313" s="55" t="n">
        <f aca="false">W3313+ROW()*0.000000001</f>
        <v>-0.576577951569398</v>
      </c>
      <c r="Z3313" s="55" t="n">
        <f aca="false">X3313+ROW()*0.000000001</f>
        <v>48.9104933698182</v>
      </c>
    </row>
    <row r="3314" customFormat="false" ht="15" hidden="false" customHeight="false" outlineLevel="0" collapsed="false">
      <c r="A3314" s="0" t="n">
        <v>11</v>
      </c>
      <c r="B3314" s="0" t="n">
        <v>7</v>
      </c>
      <c r="C3314" s="0" t="n">
        <v>11</v>
      </c>
      <c r="D3314" s="0" t="n">
        <f aca="false">-1+A3314*0.125</f>
        <v>0.375</v>
      </c>
      <c r="E3314" s="0" t="n">
        <f aca="false">-1+B3314*0.125</f>
        <v>-0.125</v>
      </c>
      <c r="F3314" s="0" t="n">
        <f aca="false">-1+C3314*0.125</f>
        <v>0.375</v>
      </c>
      <c r="G3314" s="0" t="n">
        <f aca="false">1</f>
        <v>1</v>
      </c>
      <c r="H3314" s="0" t="n">
        <f aca="false">D3314</f>
        <v>0.375</v>
      </c>
      <c r="I3314" s="0" t="n">
        <f aca="false">E3314</f>
        <v>-0.125</v>
      </c>
      <c r="J3314" s="0" t="n">
        <f aca="false">F3314</f>
        <v>0.375</v>
      </c>
      <c r="K3314" s="0" t="n">
        <f aca="false">D3314*E3314</f>
        <v>-0.046875</v>
      </c>
      <c r="L3314" s="0" t="n">
        <f aca="false">D3314*F3314</f>
        <v>0.140625</v>
      </c>
      <c r="M3314" s="0" t="n">
        <f aca="false">E3314*F3314</f>
        <v>-0.046875</v>
      </c>
      <c r="N3314" s="0" t="n">
        <f aca="false">D3314*D3314</f>
        <v>0.140625</v>
      </c>
      <c r="O3314" s="0" t="n">
        <f aca="false">E3314*E3314</f>
        <v>0.015625</v>
      </c>
      <c r="P3314" s="0" t="n">
        <f aca="false">F3314*F3314</f>
        <v>0.140625</v>
      </c>
      <c r="Q3314" s="0" t="n">
        <f aca="false">SUMPRODUCT(G3314:P3314,_XtX!$B$71:$K$71)</f>
        <v>48.976953125</v>
      </c>
      <c r="R3314" s="0" t="n">
        <f aca="false">SUMPRODUCT(MMULT(G3314:P3314,_XtX!$B$58:$K$67),G3314:P3314)</f>
        <v>0.131781005859375</v>
      </c>
      <c r="S3314" s="0" t="n">
        <f aca="false">04_回帰ANOVA!$K$19*04_回帰ANOVA!$K$14*SQRT(1+R3314)</f>
        <v>0.989117388188007</v>
      </c>
      <c r="T3314" s="0" t="n">
        <f aca="false">Q3314-S3314</f>
        <v>47.987835736812</v>
      </c>
      <c r="U3314" s="0" t="n">
        <f aca="false">Q3314+S3314</f>
        <v>49.966070513188</v>
      </c>
      <c r="V3314" s="54" t="b">
        <f aca="false">AND(D3314&gt;=01_因子設定!$L$5-0.000000001,D3314&lt;=01_因子設定!$M$5+0.000000001,E3314&gt;=01_因子設定!$L$6-0.000000001,E3314&lt;=01_因子設定!$M$6+0.000000001,F3314&gt;=01_因子設定!$L$7-0.000000001,F3314&lt;=01_因子設定!$M$7+0.000000001,IF(01_因子設定!$B$20="Box-Behnken",D3314^2+E3314^2+F3314^2&lt;=2+0.000000001,TRUE()))</f>
        <v>1</v>
      </c>
      <c r="W3314" s="55" t="n">
        <f aca="false">IF(V3314,IF(01_因子設定!$B$13="最大化",T3314-01_因子設定!$B$14,IF(01_因子設定!$B$13="最小化",01_因子設定!$B$15-U3314,MIN(T3314-01_因子設定!$B$14,01_因子設定!$B$15-U3314))),-1E+030)</f>
        <v>-0.512164263187998</v>
      </c>
      <c r="X3314" s="55" t="n">
        <f aca="false">IF(V3314,IF(01_因子設定!$B$13="最大化",Q3314,IF(01_因子設定!$B$13="最小化",-Q3314,-ABS(Q3314-01_因子設定!$B$16))),-1E+030)</f>
        <v>48.976953125</v>
      </c>
      <c r="Y3314" s="55" t="n">
        <f aca="false">W3314+ROW()*0.000000001</f>
        <v>-0.512160949187998</v>
      </c>
      <c r="Z3314" s="55" t="n">
        <f aca="false">X3314+ROW()*0.000000001</f>
        <v>48.976956439</v>
      </c>
    </row>
    <row r="3315" customFormat="false" ht="15" hidden="false" customHeight="false" outlineLevel="0" collapsed="false">
      <c r="A3315" s="0" t="n">
        <v>11</v>
      </c>
      <c r="B3315" s="0" t="n">
        <v>7</v>
      </c>
      <c r="C3315" s="0" t="n">
        <v>12</v>
      </c>
      <c r="D3315" s="0" t="n">
        <f aca="false">-1+A3315*0.125</f>
        <v>0.375</v>
      </c>
      <c r="E3315" s="0" t="n">
        <f aca="false">-1+B3315*0.125</f>
        <v>-0.125</v>
      </c>
      <c r="F3315" s="0" t="n">
        <f aca="false">-1+C3315*0.125</f>
        <v>0.5</v>
      </c>
      <c r="G3315" s="0" t="n">
        <f aca="false">1</f>
        <v>1</v>
      </c>
      <c r="H3315" s="0" t="n">
        <f aca="false">D3315</f>
        <v>0.375</v>
      </c>
      <c r="I3315" s="0" t="n">
        <f aca="false">E3315</f>
        <v>-0.125</v>
      </c>
      <c r="J3315" s="0" t="n">
        <f aca="false">F3315</f>
        <v>0.5</v>
      </c>
      <c r="K3315" s="0" t="n">
        <f aca="false">D3315*E3315</f>
        <v>-0.046875</v>
      </c>
      <c r="L3315" s="0" t="n">
        <f aca="false">D3315*F3315</f>
        <v>0.1875</v>
      </c>
      <c r="M3315" s="0" t="n">
        <f aca="false">E3315*F3315</f>
        <v>-0.0625</v>
      </c>
      <c r="N3315" s="0" t="n">
        <f aca="false">D3315*D3315</f>
        <v>0.140625</v>
      </c>
      <c r="O3315" s="0" t="n">
        <f aca="false">E3315*E3315</f>
        <v>0.015625</v>
      </c>
      <c r="P3315" s="0" t="n">
        <f aca="false">F3315*F3315</f>
        <v>0.25</v>
      </c>
      <c r="Q3315" s="0" t="n">
        <f aca="false">SUMPRODUCT(G3315:P3315,_XtX!$B$71:$K$71)</f>
        <v>49.0066264204546</v>
      </c>
      <c r="R3315" s="0" t="n">
        <f aca="false">SUMPRODUCT(MMULT(G3315:P3315,_XtX!$B$58:$K$67),G3315:P3315)</f>
        <v>0.14578690962358</v>
      </c>
      <c r="S3315" s="0" t="n">
        <f aca="false">04_回帰ANOVA!$K$19*04_回帰ANOVA!$K$14*SQRT(1+R3315)</f>
        <v>0.995218783457917</v>
      </c>
      <c r="T3315" s="0" t="n">
        <f aca="false">Q3315-S3315</f>
        <v>48.0114076369966</v>
      </c>
      <c r="U3315" s="0" t="n">
        <f aca="false">Q3315+S3315</f>
        <v>50.0018452039125</v>
      </c>
      <c r="V3315" s="54" t="b">
        <f aca="false">AND(D3315&gt;=01_因子設定!$L$5-0.000000001,D3315&lt;=01_因子設定!$M$5+0.000000001,E3315&gt;=01_因子設定!$L$6-0.000000001,E3315&lt;=01_因子設定!$M$6+0.000000001,F3315&gt;=01_因子設定!$L$7-0.000000001,F3315&lt;=01_因子設定!$M$7+0.000000001,IF(01_因子設定!$B$20="Box-Behnken",D3315^2+E3315^2+F3315^2&lt;=2+0.000000001,TRUE()))</f>
        <v>1</v>
      </c>
      <c r="W3315" s="55" t="n">
        <f aca="false">IF(V3315,IF(01_因子設定!$B$13="最大化",T3315-01_因子設定!$B$14,IF(01_因子設定!$B$13="最小化",01_因子設定!$B$15-U3315,MIN(T3315-01_因子設定!$B$14,01_因子設定!$B$15-U3315))),-1E+030)</f>
        <v>-0.488592363003356</v>
      </c>
      <c r="X3315" s="55" t="n">
        <f aca="false">IF(V3315,IF(01_因子設定!$B$13="最大化",Q3315,IF(01_因子設定!$B$13="最小化",-Q3315,-ABS(Q3315-01_因子設定!$B$16))),-1E+030)</f>
        <v>49.0066264204546</v>
      </c>
      <c r="Y3315" s="55" t="n">
        <f aca="false">W3315+ROW()*0.000000001</f>
        <v>-0.488589048003356</v>
      </c>
      <c r="Z3315" s="55" t="n">
        <f aca="false">X3315+ROW()*0.000000001</f>
        <v>49.0066297354546</v>
      </c>
    </row>
    <row r="3316" customFormat="false" ht="15" hidden="false" customHeight="false" outlineLevel="0" collapsed="false">
      <c r="A3316" s="0" t="n">
        <v>11</v>
      </c>
      <c r="B3316" s="0" t="n">
        <v>7</v>
      </c>
      <c r="C3316" s="0" t="n">
        <v>13</v>
      </c>
      <c r="D3316" s="0" t="n">
        <f aca="false">-1+A3316*0.125</f>
        <v>0.375</v>
      </c>
      <c r="E3316" s="0" t="n">
        <f aca="false">-1+B3316*0.125</f>
        <v>-0.125</v>
      </c>
      <c r="F3316" s="0" t="n">
        <f aca="false">-1+C3316*0.125</f>
        <v>0.625</v>
      </c>
      <c r="G3316" s="0" t="n">
        <f aca="false">1</f>
        <v>1</v>
      </c>
      <c r="H3316" s="0" t="n">
        <f aca="false">D3316</f>
        <v>0.375</v>
      </c>
      <c r="I3316" s="0" t="n">
        <f aca="false">E3316</f>
        <v>-0.125</v>
      </c>
      <c r="J3316" s="0" t="n">
        <f aca="false">F3316</f>
        <v>0.625</v>
      </c>
      <c r="K3316" s="0" t="n">
        <f aca="false">D3316*E3316</f>
        <v>-0.046875</v>
      </c>
      <c r="L3316" s="0" t="n">
        <f aca="false">D3316*F3316</f>
        <v>0.234375</v>
      </c>
      <c r="M3316" s="0" t="n">
        <f aca="false">E3316*F3316</f>
        <v>-0.078125</v>
      </c>
      <c r="N3316" s="0" t="n">
        <f aca="false">D3316*D3316</f>
        <v>0.140625</v>
      </c>
      <c r="O3316" s="0" t="n">
        <f aca="false">E3316*E3316</f>
        <v>0.015625</v>
      </c>
      <c r="P3316" s="0" t="n">
        <f aca="false">F3316*F3316</f>
        <v>0.390625</v>
      </c>
      <c r="Q3316" s="0" t="n">
        <f aca="false">SUMPRODUCT(G3316:P3316,_XtX!$B$71:$K$71)</f>
        <v>48.9995099431818</v>
      </c>
      <c r="R3316" s="0" t="n">
        <f aca="false">SUMPRODUCT(MMULT(G3316:P3316,_XtX!$B$58:$K$67),G3316:P3316)</f>
        <v>0.176578591086648</v>
      </c>
      <c r="S3316" s="0" t="n">
        <f aca="false">04_回帰ANOVA!$K$19*04_回帰ANOVA!$K$14*SQRT(1+R3316)</f>
        <v>1.00850279676269</v>
      </c>
      <c r="T3316" s="0" t="n">
        <f aca="false">Q3316-S3316</f>
        <v>47.9910071464191</v>
      </c>
      <c r="U3316" s="0" t="n">
        <f aca="false">Q3316+S3316</f>
        <v>50.0080127399445</v>
      </c>
      <c r="V3316" s="54" t="b">
        <f aca="false">AND(D3316&gt;=01_因子設定!$L$5-0.000000001,D3316&lt;=01_因子設定!$M$5+0.000000001,E3316&gt;=01_因子設定!$L$6-0.000000001,E3316&lt;=01_因子設定!$M$6+0.000000001,F3316&gt;=01_因子設定!$L$7-0.000000001,F3316&lt;=01_因子設定!$M$7+0.000000001,IF(01_因子設定!$B$20="Box-Behnken",D3316^2+E3316^2+F3316^2&lt;=2+0.000000001,TRUE()))</f>
        <v>1</v>
      </c>
      <c r="W3316" s="55" t="n">
        <f aca="false">IF(V3316,IF(01_因子設定!$B$13="最大化",T3316-01_因子設定!$B$14,IF(01_因子設定!$B$13="最小化",01_因子設定!$B$15-U3316,MIN(T3316-01_因子設定!$B$14,01_因子設定!$B$15-U3316))),-1E+030)</f>
        <v>-0.508992853580857</v>
      </c>
      <c r="X3316" s="55" t="n">
        <f aca="false">IF(V3316,IF(01_因子設定!$B$13="最大化",Q3316,IF(01_因子設定!$B$13="最小化",-Q3316,-ABS(Q3316-01_因子設定!$B$16))),-1E+030)</f>
        <v>48.9995099431818</v>
      </c>
      <c r="Y3316" s="55" t="n">
        <f aca="false">W3316+ROW()*0.000000001</f>
        <v>-0.508989537580857</v>
      </c>
      <c r="Z3316" s="55" t="n">
        <f aca="false">X3316+ROW()*0.000000001</f>
        <v>48.9995132591818</v>
      </c>
    </row>
    <row r="3317" customFormat="false" ht="15" hidden="false" customHeight="false" outlineLevel="0" collapsed="false">
      <c r="A3317" s="0" t="n">
        <v>11</v>
      </c>
      <c r="B3317" s="0" t="n">
        <v>7</v>
      </c>
      <c r="C3317" s="0" t="n">
        <v>14</v>
      </c>
      <c r="D3317" s="0" t="n">
        <f aca="false">-1+A3317*0.125</f>
        <v>0.375</v>
      </c>
      <c r="E3317" s="0" t="n">
        <f aca="false">-1+B3317*0.125</f>
        <v>-0.125</v>
      </c>
      <c r="F3317" s="0" t="n">
        <f aca="false">-1+C3317*0.125</f>
        <v>0.75</v>
      </c>
      <c r="G3317" s="0" t="n">
        <f aca="false">1</f>
        <v>1</v>
      </c>
      <c r="H3317" s="0" t="n">
        <f aca="false">D3317</f>
        <v>0.375</v>
      </c>
      <c r="I3317" s="0" t="n">
        <f aca="false">E3317</f>
        <v>-0.125</v>
      </c>
      <c r="J3317" s="0" t="n">
        <f aca="false">F3317</f>
        <v>0.75</v>
      </c>
      <c r="K3317" s="0" t="n">
        <f aca="false">D3317*E3317</f>
        <v>-0.046875</v>
      </c>
      <c r="L3317" s="0" t="n">
        <f aca="false">D3317*F3317</f>
        <v>0.28125</v>
      </c>
      <c r="M3317" s="0" t="n">
        <f aca="false">E3317*F3317</f>
        <v>-0.09375</v>
      </c>
      <c r="N3317" s="0" t="n">
        <f aca="false">D3317*D3317</f>
        <v>0.140625</v>
      </c>
      <c r="O3317" s="0" t="n">
        <f aca="false">E3317*E3317</f>
        <v>0.015625</v>
      </c>
      <c r="P3317" s="0" t="n">
        <f aca="false">F3317*F3317</f>
        <v>0.5625</v>
      </c>
      <c r="Q3317" s="0" t="n">
        <f aca="false">SUMPRODUCT(G3317:P3317,_XtX!$B$71:$K$71)</f>
        <v>48.9556036931818</v>
      </c>
      <c r="R3317" s="0" t="n">
        <f aca="false">SUMPRODUCT(MMULT(G3317:P3317,_XtX!$B$58:$K$67),G3317:P3317)</f>
        <v>0.233744118430398</v>
      </c>
      <c r="S3317" s="0" t="n">
        <f aca="false">04_回帰ANOVA!$K$19*04_回帰ANOVA!$K$14*SQRT(1+R3317)</f>
        <v>1.0327119053564</v>
      </c>
      <c r="T3317" s="0" t="n">
        <f aca="false">Q3317-S3317</f>
        <v>47.9228917878254</v>
      </c>
      <c r="U3317" s="0" t="n">
        <f aca="false">Q3317+S3317</f>
        <v>49.9883155985382</v>
      </c>
      <c r="V3317" s="54" t="b">
        <f aca="false">AND(D3317&gt;=01_因子設定!$L$5-0.000000001,D3317&lt;=01_因子設定!$M$5+0.000000001,E3317&gt;=01_因子設定!$L$6-0.000000001,E3317&lt;=01_因子設定!$M$6+0.000000001,F3317&gt;=01_因子設定!$L$7-0.000000001,F3317&lt;=01_因子設定!$M$7+0.000000001,IF(01_因子設定!$B$20="Box-Behnken",D3317^2+E3317^2+F3317^2&lt;=2+0.000000001,TRUE()))</f>
        <v>1</v>
      </c>
      <c r="W3317" s="55" t="n">
        <f aca="false">IF(V3317,IF(01_因子設定!$B$13="最大化",T3317-01_因子設定!$B$14,IF(01_因子設定!$B$13="最小化",01_因子設定!$B$15-U3317,MIN(T3317-01_因子設定!$B$14,01_因子設定!$B$15-U3317))),-1E+030)</f>
        <v>-0.577108212174565</v>
      </c>
      <c r="X3317" s="55" t="n">
        <f aca="false">IF(V3317,IF(01_因子設定!$B$13="最大化",Q3317,IF(01_因子設定!$B$13="最小化",-Q3317,-ABS(Q3317-01_因子設定!$B$16))),-1E+030)</f>
        <v>48.9556036931818</v>
      </c>
      <c r="Y3317" s="55" t="n">
        <f aca="false">W3317+ROW()*0.000000001</f>
        <v>-0.577104895174565</v>
      </c>
      <c r="Z3317" s="55" t="n">
        <f aca="false">X3317+ROW()*0.000000001</f>
        <v>48.9556070101818</v>
      </c>
    </row>
    <row r="3318" customFormat="false" ht="15" hidden="false" customHeight="false" outlineLevel="0" collapsed="false">
      <c r="A3318" s="0" t="n">
        <v>11</v>
      </c>
      <c r="B3318" s="0" t="n">
        <v>7</v>
      </c>
      <c r="C3318" s="0" t="n">
        <v>15</v>
      </c>
      <c r="D3318" s="0" t="n">
        <f aca="false">-1+A3318*0.125</f>
        <v>0.375</v>
      </c>
      <c r="E3318" s="0" t="n">
        <f aca="false">-1+B3318*0.125</f>
        <v>-0.125</v>
      </c>
      <c r="F3318" s="0" t="n">
        <f aca="false">-1+C3318*0.125</f>
        <v>0.875</v>
      </c>
      <c r="G3318" s="0" t="n">
        <f aca="false">1</f>
        <v>1</v>
      </c>
      <c r="H3318" s="0" t="n">
        <f aca="false">D3318</f>
        <v>0.375</v>
      </c>
      <c r="I3318" s="0" t="n">
        <f aca="false">E3318</f>
        <v>-0.125</v>
      </c>
      <c r="J3318" s="0" t="n">
        <f aca="false">F3318</f>
        <v>0.875</v>
      </c>
      <c r="K3318" s="0" t="n">
        <f aca="false">D3318*E3318</f>
        <v>-0.046875</v>
      </c>
      <c r="L3318" s="0" t="n">
        <f aca="false">D3318*F3318</f>
        <v>0.328125</v>
      </c>
      <c r="M3318" s="0" t="n">
        <f aca="false">E3318*F3318</f>
        <v>-0.109375</v>
      </c>
      <c r="N3318" s="0" t="n">
        <f aca="false">D3318*D3318</f>
        <v>0.140625</v>
      </c>
      <c r="O3318" s="0" t="n">
        <f aca="false">E3318*E3318</f>
        <v>0.015625</v>
      </c>
      <c r="P3318" s="0" t="n">
        <f aca="false">F3318*F3318</f>
        <v>0.765625</v>
      </c>
      <c r="Q3318" s="0" t="n">
        <f aca="false">SUMPRODUCT(G3318:P3318,_XtX!$B$71:$K$71)</f>
        <v>48.8749076704546</v>
      </c>
      <c r="R3318" s="0" t="n">
        <f aca="false">SUMPRODUCT(MMULT(G3318:P3318,_XtX!$B$58:$K$67),G3318:P3318)</f>
        <v>0.32900224165483</v>
      </c>
      <c r="S3318" s="0" t="n">
        <f aca="false">04_回帰ANOVA!$K$19*04_回帰ANOVA!$K$14*SQRT(1+R3318)</f>
        <v>1.07183884583628</v>
      </c>
      <c r="T3318" s="0" t="n">
        <f aca="false">Q3318-S3318</f>
        <v>47.8030688246183</v>
      </c>
      <c r="U3318" s="0" t="n">
        <f aca="false">Q3318+S3318</f>
        <v>49.9467465162908</v>
      </c>
      <c r="V3318" s="54" t="b">
        <f aca="false">AND(D3318&gt;=01_因子設定!$L$5-0.000000001,D3318&lt;=01_因子設定!$M$5+0.000000001,E3318&gt;=01_因子設定!$L$6-0.000000001,E3318&lt;=01_因子設定!$M$6+0.000000001,F3318&gt;=01_因子設定!$L$7-0.000000001,F3318&lt;=01_因子設定!$M$7+0.000000001,IF(01_因子設定!$B$20="Box-Behnken",D3318^2+E3318^2+F3318^2&lt;=2+0.000000001,TRUE()))</f>
        <v>1</v>
      </c>
      <c r="W3318" s="55" t="n">
        <f aca="false">IF(V3318,IF(01_因子設定!$B$13="最大化",T3318-01_因子設定!$B$14,IF(01_因子設定!$B$13="最小化",01_因子設定!$B$15-U3318,MIN(T3318-01_因子設定!$B$14,01_因子設定!$B$15-U3318))),-1E+030)</f>
        <v>-0.696931175381707</v>
      </c>
      <c r="X3318" s="55" t="n">
        <f aca="false">IF(V3318,IF(01_因子設定!$B$13="最大化",Q3318,IF(01_因子設定!$B$13="最小化",-Q3318,-ABS(Q3318-01_因子設定!$B$16))),-1E+030)</f>
        <v>48.8749076704546</v>
      </c>
      <c r="Y3318" s="55" t="n">
        <f aca="false">W3318+ROW()*0.000000001</f>
        <v>-0.696927857381707</v>
      </c>
      <c r="Z3318" s="55" t="n">
        <f aca="false">X3318+ROW()*0.000000001</f>
        <v>48.8749109884546</v>
      </c>
    </row>
    <row r="3319" customFormat="false" ht="15" hidden="false" customHeight="false" outlineLevel="0" collapsed="false">
      <c r="A3319" s="0" t="n">
        <v>11</v>
      </c>
      <c r="B3319" s="0" t="n">
        <v>7</v>
      </c>
      <c r="C3319" s="0" t="n">
        <v>16</v>
      </c>
      <c r="D3319" s="0" t="n">
        <f aca="false">-1+A3319*0.125</f>
        <v>0.375</v>
      </c>
      <c r="E3319" s="0" t="n">
        <f aca="false">-1+B3319*0.125</f>
        <v>-0.125</v>
      </c>
      <c r="F3319" s="0" t="n">
        <f aca="false">-1+C3319*0.125</f>
        <v>1</v>
      </c>
      <c r="G3319" s="0" t="n">
        <f aca="false">1</f>
        <v>1</v>
      </c>
      <c r="H3319" s="0" t="n">
        <f aca="false">D3319</f>
        <v>0.375</v>
      </c>
      <c r="I3319" s="0" t="n">
        <f aca="false">E3319</f>
        <v>-0.125</v>
      </c>
      <c r="J3319" s="0" t="n">
        <f aca="false">F3319</f>
        <v>1</v>
      </c>
      <c r="K3319" s="0" t="n">
        <f aca="false">D3319*E3319</f>
        <v>-0.046875</v>
      </c>
      <c r="L3319" s="0" t="n">
        <f aca="false">D3319*F3319</f>
        <v>0.375</v>
      </c>
      <c r="M3319" s="0" t="n">
        <f aca="false">E3319*F3319</f>
        <v>-0.125</v>
      </c>
      <c r="N3319" s="0" t="n">
        <f aca="false">D3319*D3319</f>
        <v>0.140625</v>
      </c>
      <c r="O3319" s="0" t="n">
        <f aca="false">E3319*E3319</f>
        <v>0.015625</v>
      </c>
      <c r="P3319" s="0" t="n">
        <f aca="false">F3319*F3319</f>
        <v>1</v>
      </c>
      <c r="Q3319" s="0" t="n">
        <f aca="false">SUMPRODUCT(G3319:P3319,_XtX!$B$71:$K$71)</f>
        <v>48.757421875</v>
      </c>
      <c r="R3319" s="0" t="n">
        <f aca="false">SUMPRODUCT(MMULT(G3319:P3319,_XtX!$B$58:$K$67),G3319:P3319)</f>
        <v>0.476202392578125</v>
      </c>
      <c r="S3319" s="0" t="n">
        <f aca="false">04_回帰ANOVA!$K$19*04_回帰ANOVA!$K$14*SQRT(1+R3319)</f>
        <v>1.12963876802721</v>
      </c>
      <c r="T3319" s="0" t="n">
        <f aca="false">Q3319-S3319</f>
        <v>47.6277831069728</v>
      </c>
      <c r="U3319" s="0" t="n">
        <f aca="false">Q3319+S3319</f>
        <v>49.8870606430272</v>
      </c>
      <c r="V3319" s="54" t="b">
        <f aca="false">AND(D3319&gt;=01_因子設定!$L$5-0.000000001,D3319&lt;=01_因子設定!$M$5+0.000000001,E3319&gt;=01_因子設定!$L$6-0.000000001,E3319&lt;=01_因子設定!$M$6+0.000000001,F3319&gt;=01_因子設定!$L$7-0.000000001,F3319&lt;=01_因子設定!$M$7+0.000000001,IF(01_因子設定!$B$20="Box-Behnken",D3319^2+E3319^2+F3319^2&lt;=2+0.000000001,TRUE()))</f>
        <v>1</v>
      </c>
      <c r="W3319" s="55" t="n">
        <f aca="false">IF(V3319,IF(01_因子設定!$B$13="最大化",T3319-01_因子設定!$B$14,IF(01_因子設定!$B$13="最小化",01_因子設定!$B$15-U3319,MIN(T3319-01_因子設定!$B$14,01_因子設定!$B$15-U3319))),-1E+030)</f>
        <v>-0.872216893027179</v>
      </c>
      <c r="X3319" s="55" t="n">
        <f aca="false">IF(V3319,IF(01_因子設定!$B$13="最大化",Q3319,IF(01_因子設定!$B$13="最小化",-Q3319,-ABS(Q3319-01_因子設定!$B$16))),-1E+030)</f>
        <v>48.757421875</v>
      </c>
      <c r="Y3319" s="55" t="n">
        <f aca="false">W3319+ROW()*0.000000001</f>
        <v>-0.872213574027179</v>
      </c>
      <c r="Z3319" s="55" t="n">
        <f aca="false">X3319+ROW()*0.000000001</f>
        <v>48.757425194</v>
      </c>
    </row>
    <row r="3320" customFormat="false" ht="15" hidden="false" customHeight="false" outlineLevel="0" collapsed="false">
      <c r="A3320" s="0" t="n">
        <v>11</v>
      </c>
      <c r="B3320" s="0" t="n">
        <v>8</v>
      </c>
      <c r="C3320" s="0" t="n">
        <v>0</v>
      </c>
      <c r="D3320" s="0" t="n">
        <f aca="false">-1+A3320*0.125</f>
        <v>0.375</v>
      </c>
      <c r="E3320" s="0" t="n">
        <f aca="false">-1+B3320*0.125</f>
        <v>0</v>
      </c>
      <c r="F3320" s="0" t="n">
        <f aca="false">-1+C3320*0.125</f>
        <v>-1</v>
      </c>
      <c r="G3320" s="0" t="n">
        <f aca="false">1</f>
        <v>1</v>
      </c>
      <c r="H3320" s="0" t="n">
        <f aca="false">D3320</f>
        <v>0.375</v>
      </c>
      <c r="I3320" s="0" t="n">
        <f aca="false">E3320</f>
        <v>0</v>
      </c>
      <c r="J3320" s="0" t="n">
        <f aca="false">F3320</f>
        <v>-1</v>
      </c>
      <c r="K3320" s="0" t="n">
        <f aca="false">D3320*E3320</f>
        <v>0</v>
      </c>
      <c r="L3320" s="0" t="n">
        <f aca="false">D3320*F3320</f>
        <v>-0.375</v>
      </c>
      <c r="M3320" s="0" t="n">
        <f aca="false">E3320*F3320</f>
        <v>-0</v>
      </c>
      <c r="N3320" s="0" t="n">
        <f aca="false">D3320*D3320</f>
        <v>0.140625</v>
      </c>
      <c r="O3320" s="0" t="n">
        <f aca="false">E3320*E3320</f>
        <v>0</v>
      </c>
      <c r="P3320" s="0" t="n">
        <f aca="false">F3320*F3320</f>
        <v>1</v>
      </c>
      <c r="Q3320" s="0" t="n">
        <f aca="false">SUMPRODUCT(G3320:P3320,_XtX!$B$71:$K$71)</f>
        <v>46.5140198863637</v>
      </c>
      <c r="R3320" s="0" t="n">
        <f aca="false">SUMPRODUCT(MMULT(G3320:P3320,_XtX!$B$58:$K$67),G3320:P3320)</f>
        <v>0.478604403409091</v>
      </c>
      <c r="S3320" s="0" t="n">
        <f aca="false">04_回帰ANOVA!$K$19*04_回帰ANOVA!$K$14*SQRT(1+R3320)</f>
        <v>1.13055744343508</v>
      </c>
      <c r="T3320" s="0" t="n">
        <f aca="false">Q3320-S3320</f>
        <v>45.3834624429286</v>
      </c>
      <c r="U3320" s="0" t="n">
        <f aca="false">Q3320+S3320</f>
        <v>47.6445773297987</v>
      </c>
      <c r="V3320" s="54" t="b">
        <f aca="false">AND(D3320&gt;=01_因子設定!$L$5-0.000000001,D3320&lt;=01_因子設定!$M$5+0.000000001,E3320&gt;=01_因子設定!$L$6-0.000000001,E3320&lt;=01_因子設定!$M$6+0.000000001,F3320&gt;=01_因子設定!$L$7-0.000000001,F3320&lt;=01_因子設定!$M$7+0.000000001,IF(01_因子設定!$B$20="Box-Behnken",D3320^2+E3320^2+F3320^2&lt;=2+0.000000001,TRUE()))</f>
        <v>1</v>
      </c>
      <c r="W3320" s="55" t="n">
        <f aca="false">IF(V3320,IF(01_因子設定!$B$13="最大化",T3320-01_因子設定!$B$14,IF(01_因子設定!$B$13="最小化",01_因子設定!$B$15-U3320,MIN(T3320-01_因子設定!$B$14,01_因子設定!$B$15-U3320))),-1E+030)</f>
        <v>-3.11653755707142</v>
      </c>
      <c r="X3320" s="55" t="n">
        <f aca="false">IF(V3320,IF(01_因子設定!$B$13="最大化",Q3320,IF(01_因子設定!$B$13="最小化",-Q3320,-ABS(Q3320-01_因子設定!$B$16))),-1E+030)</f>
        <v>46.5140198863637</v>
      </c>
      <c r="Y3320" s="55" t="n">
        <f aca="false">W3320+ROW()*0.000000001</f>
        <v>-3.11653423707142</v>
      </c>
      <c r="Z3320" s="55" t="n">
        <f aca="false">X3320+ROW()*0.000000001</f>
        <v>46.5140232063637</v>
      </c>
    </row>
    <row r="3321" customFormat="false" ht="15" hidden="false" customHeight="false" outlineLevel="0" collapsed="false">
      <c r="A3321" s="0" t="n">
        <v>11</v>
      </c>
      <c r="B3321" s="0" t="n">
        <v>8</v>
      </c>
      <c r="C3321" s="0" t="n">
        <v>1</v>
      </c>
      <c r="D3321" s="0" t="n">
        <f aca="false">-1+A3321*0.125</f>
        <v>0.375</v>
      </c>
      <c r="E3321" s="0" t="n">
        <f aca="false">-1+B3321*0.125</f>
        <v>0</v>
      </c>
      <c r="F3321" s="0" t="n">
        <f aca="false">-1+C3321*0.125</f>
        <v>-0.875</v>
      </c>
      <c r="G3321" s="0" t="n">
        <f aca="false">1</f>
        <v>1</v>
      </c>
      <c r="H3321" s="0" t="n">
        <f aca="false">D3321</f>
        <v>0.375</v>
      </c>
      <c r="I3321" s="0" t="n">
        <f aca="false">E3321</f>
        <v>0</v>
      </c>
      <c r="J3321" s="0" t="n">
        <f aca="false">F3321</f>
        <v>-0.875</v>
      </c>
      <c r="K3321" s="0" t="n">
        <f aca="false">D3321*E3321</f>
        <v>0</v>
      </c>
      <c r="L3321" s="0" t="n">
        <f aca="false">D3321*F3321</f>
        <v>-0.328125</v>
      </c>
      <c r="M3321" s="0" t="n">
        <f aca="false">E3321*F3321</f>
        <v>-0</v>
      </c>
      <c r="N3321" s="0" t="n">
        <f aca="false">D3321*D3321</f>
        <v>0.140625</v>
      </c>
      <c r="O3321" s="0" t="n">
        <f aca="false">E3321*E3321</f>
        <v>0</v>
      </c>
      <c r="P3321" s="0" t="n">
        <f aca="false">F3321*F3321</f>
        <v>0.765625</v>
      </c>
      <c r="Q3321" s="0" t="n">
        <f aca="false">SUMPRODUCT(G3321:P3321,_XtX!$B$71:$K$71)</f>
        <v>46.9554119318182</v>
      </c>
      <c r="R3321" s="0" t="n">
        <f aca="false">SUMPRODUCT(MMULT(G3321:P3321,_XtX!$B$58:$K$67),G3321:P3321)</f>
        <v>0.330863259055398</v>
      </c>
      <c r="S3321" s="0" t="n">
        <f aca="false">04_回帰ANOVA!$K$19*04_回帰ANOVA!$K$14*SQRT(1+R3321)</f>
        <v>1.07258903754571</v>
      </c>
      <c r="T3321" s="0" t="n">
        <f aca="false">Q3321-S3321</f>
        <v>45.8828228942725</v>
      </c>
      <c r="U3321" s="0" t="n">
        <f aca="false">Q3321+S3321</f>
        <v>48.0280009693639</v>
      </c>
      <c r="V3321" s="54" t="b">
        <f aca="false">AND(D3321&gt;=01_因子設定!$L$5-0.000000001,D3321&lt;=01_因子設定!$M$5+0.000000001,E3321&gt;=01_因子設定!$L$6-0.000000001,E3321&lt;=01_因子設定!$M$6+0.000000001,F3321&gt;=01_因子設定!$L$7-0.000000001,F3321&lt;=01_因子設定!$M$7+0.000000001,IF(01_因子設定!$B$20="Box-Behnken",D3321^2+E3321^2+F3321^2&lt;=2+0.000000001,TRUE()))</f>
        <v>1</v>
      </c>
      <c r="W3321" s="55" t="n">
        <f aca="false">IF(V3321,IF(01_因子設定!$B$13="最大化",T3321-01_因子設定!$B$14,IF(01_因子設定!$B$13="最小化",01_因子設定!$B$15-U3321,MIN(T3321-01_因子設定!$B$14,01_因子設定!$B$15-U3321))),-1E+030)</f>
        <v>-2.6171771057275</v>
      </c>
      <c r="X3321" s="55" t="n">
        <f aca="false">IF(V3321,IF(01_因子設定!$B$13="最大化",Q3321,IF(01_因子設定!$B$13="最小化",-Q3321,-ABS(Q3321-01_因子設定!$B$16))),-1E+030)</f>
        <v>46.9554119318182</v>
      </c>
      <c r="Y3321" s="55" t="n">
        <f aca="false">W3321+ROW()*0.000000001</f>
        <v>-2.6171737847275</v>
      </c>
      <c r="Z3321" s="55" t="n">
        <f aca="false">X3321+ROW()*0.000000001</f>
        <v>46.9554152528182</v>
      </c>
    </row>
    <row r="3322" customFormat="false" ht="15" hidden="false" customHeight="false" outlineLevel="0" collapsed="false">
      <c r="A3322" s="0" t="n">
        <v>11</v>
      </c>
      <c r="B3322" s="0" t="n">
        <v>8</v>
      </c>
      <c r="C3322" s="0" t="n">
        <v>2</v>
      </c>
      <c r="D3322" s="0" t="n">
        <f aca="false">-1+A3322*0.125</f>
        <v>0.375</v>
      </c>
      <c r="E3322" s="0" t="n">
        <f aca="false">-1+B3322*0.125</f>
        <v>0</v>
      </c>
      <c r="F3322" s="0" t="n">
        <f aca="false">-1+C3322*0.125</f>
        <v>-0.75</v>
      </c>
      <c r="G3322" s="0" t="n">
        <f aca="false">1</f>
        <v>1</v>
      </c>
      <c r="H3322" s="0" t="n">
        <f aca="false">D3322</f>
        <v>0.375</v>
      </c>
      <c r="I3322" s="0" t="n">
        <f aca="false">E3322</f>
        <v>0</v>
      </c>
      <c r="J3322" s="0" t="n">
        <f aca="false">F3322</f>
        <v>-0.75</v>
      </c>
      <c r="K3322" s="0" t="n">
        <f aca="false">D3322*E3322</f>
        <v>0</v>
      </c>
      <c r="L3322" s="0" t="n">
        <f aca="false">D3322*F3322</f>
        <v>-0.28125</v>
      </c>
      <c r="M3322" s="0" t="n">
        <f aca="false">E3322*F3322</f>
        <v>-0</v>
      </c>
      <c r="N3322" s="0" t="n">
        <f aca="false">D3322*D3322</f>
        <v>0.140625</v>
      </c>
      <c r="O3322" s="0" t="n">
        <f aca="false">E3322*E3322</f>
        <v>0</v>
      </c>
      <c r="P3322" s="0" t="n">
        <f aca="false">F3322*F3322</f>
        <v>0.5625</v>
      </c>
      <c r="Q3322" s="0" t="n">
        <f aca="false">SUMPRODUCT(G3322:P3322,_XtX!$B$71:$K$71)</f>
        <v>47.3600142045455</v>
      </c>
      <c r="R3322" s="0" t="n">
        <f aca="false">SUMPRODUCT(MMULT(G3322:P3322,_XtX!$B$58:$K$67),G3322:P3322)</f>
        <v>0.235136274857955</v>
      </c>
      <c r="S3322" s="0" t="n">
        <f aca="false">04_回帰ANOVA!$K$19*04_回帰ANOVA!$K$14*SQRT(1+R3322)</f>
        <v>1.03329439695656</v>
      </c>
      <c r="T3322" s="0" t="n">
        <f aca="false">Q3322-S3322</f>
        <v>46.3267198075889</v>
      </c>
      <c r="U3322" s="0" t="n">
        <f aca="false">Q3322+S3322</f>
        <v>48.393308601502</v>
      </c>
      <c r="V3322" s="54" t="b">
        <f aca="false">AND(D3322&gt;=01_因子設定!$L$5-0.000000001,D3322&lt;=01_因子設定!$M$5+0.000000001,E3322&gt;=01_因子設定!$L$6-0.000000001,E3322&lt;=01_因子設定!$M$6+0.000000001,F3322&gt;=01_因子設定!$L$7-0.000000001,F3322&lt;=01_因子設定!$M$7+0.000000001,IF(01_因子設定!$B$20="Box-Behnken",D3322^2+E3322^2+F3322^2&lt;=2+0.000000001,TRUE()))</f>
        <v>1</v>
      </c>
      <c r="W3322" s="55" t="n">
        <f aca="false">IF(V3322,IF(01_因子設定!$B$13="最大化",T3322-01_因子設定!$B$14,IF(01_因子設定!$B$13="最小化",01_因子設定!$B$15-U3322,MIN(T3322-01_因子設定!$B$14,01_因子設定!$B$15-U3322))),-1E+030)</f>
        <v>-2.17328019241108</v>
      </c>
      <c r="X3322" s="55" t="n">
        <f aca="false">IF(V3322,IF(01_因子設定!$B$13="最大化",Q3322,IF(01_因子設定!$B$13="最小化",-Q3322,-ABS(Q3322-01_因子設定!$B$16))),-1E+030)</f>
        <v>47.3600142045455</v>
      </c>
      <c r="Y3322" s="55" t="n">
        <f aca="false">W3322+ROW()*0.000000001</f>
        <v>-2.17327687041108</v>
      </c>
      <c r="Z3322" s="55" t="n">
        <f aca="false">X3322+ROW()*0.000000001</f>
        <v>47.3600175265455</v>
      </c>
    </row>
    <row r="3323" customFormat="false" ht="15" hidden="false" customHeight="false" outlineLevel="0" collapsed="false">
      <c r="A3323" s="0" t="n">
        <v>11</v>
      </c>
      <c r="B3323" s="0" t="n">
        <v>8</v>
      </c>
      <c r="C3323" s="0" t="n">
        <v>3</v>
      </c>
      <c r="D3323" s="0" t="n">
        <f aca="false">-1+A3323*0.125</f>
        <v>0.375</v>
      </c>
      <c r="E3323" s="0" t="n">
        <f aca="false">-1+B3323*0.125</f>
        <v>0</v>
      </c>
      <c r="F3323" s="0" t="n">
        <f aca="false">-1+C3323*0.125</f>
        <v>-0.625</v>
      </c>
      <c r="G3323" s="0" t="n">
        <f aca="false">1</f>
        <v>1</v>
      </c>
      <c r="H3323" s="0" t="n">
        <f aca="false">D3323</f>
        <v>0.375</v>
      </c>
      <c r="I3323" s="0" t="n">
        <f aca="false">E3323</f>
        <v>0</v>
      </c>
      <c r="J3323" s="0" t="n">
        <f aca="false">F3323</f>
        <v>-0.625</v>
      </c>
      <c r="K3323" s="0" t="n">
        <f aca="false">D3323*E3323</f>
        <v>0</v>
      </c>
      <c r="L3323" s="0" t="n">
        <f aca="false">D3323*F3323</f>
        <v>-0.234375</v>
      </c>
      <c r="M3323" s="0" t="n">
        <f aca="false">E3323*F3323</f>
        <v>-0</v>
      </c>
      <c r="N3323" s="0" t="n">
        <f aca="false">D3323*D3323</f>
        <v>0.140625</v>
      </c>
      <c r="O3323" s="0" t="n">
        <f aca="false">E3323*E3323</f>
        <v>0</v>
      </c>
      <c r="P3323" s="0" t="n">
        <f aca="false">F3323*F3323</f>
        <v>0.390625</v>
      </c>
      <c r="Q3323" s="0" t="n">
        <f aca="false">SUMPRODUCT(G3323:P3323,_XtX!$B$71:$K$71)</f>
        <v>47.7278267045455</v>
      </c>
      <c r="R3323" s="0" t="n">
        <f aca="false">SUMPRODUCT(MMULT(G3323:P3323,_XtX!$B$58:$K$67),G3323:P3323)</f>
        <v>0.17757401899858</v>
      </c>
      <c r="S3323" s="0" t="n">
        <f aca="false">04_回帰ANOVA!$K$19*04_回帰ANOVA!$K$14*SQRT(1+R3323)</f>
        <v>1.00892932143276</v>
      </c>
      <c r="T3323" s="0" t="n">
        <f aca="false">Q3323-S3323</f>
        <v>46.7188973831127</v>
      </c>
      <c r="U3323" s="0" t="n">
        <f aca="false">Q3323+S3323</f>
        <v>48.7367560259782</v>
      </c>
      <c r="V3323" s="54" t="b">
        <f aca="false">AND(D3323&gt;=01_因子設定!$L$5-0.000000001,D3323&lt;=01_因子設定!$M$5+0.000000001,E3323&gt;=01_因子設定!$L$6-0.000000001,E3323&lt;=01_因子設定!$M$6+0.000000001,F3323&gt;=01_因子設定!$L$7-0.000000001,F3323&lt;=01_因子設定!$M$7+0.000000001,IF(01_因子設定!$B$20="Box-Behnken",D3323^2+E3323^2+F3323^2&lt;=2+0.000000001,TRUE()))</f>
        <v>1</v>
      </c>
      <c r="W3323" s="55" t="n">
        <f aca="false">IF(V3323,IF(01_因子設定!$B$13="最大化",T3323-01_因子設定!$B$14,IF(01_因子設定!$B$13="最小化",01_因子設定!$B$15-U3323,MIN(T3323-01_因子設定!$B$14,01_因子設定!$B$15-U3323))),-1E+030)</f>
        <v>-1.78110261688729</v>
      </c>
      <c r="X3323" s="55" t="n">
        <f aca="false">IF(V3323,IF(01_因子設定!$B$13="最大化",Q3323,IF(01_因子設定!$B$13="最小化",-Q3323,-ABS(Q3323-01_因子設定!$B$16))),-1E+030)</f>
        <v>47.7278267045455</v>
      </c>
      <c r="Y3323" s="55" t="n">
        <f aca="false">W3323+ROW()*0.000000001</f>
        <v>-1.78109929388729</v>
      </c>
      <c r="Z3323" s="55" t="n">
        <f aca="false">X3323+ROW()*0.000000001</f>
        <v>47.7278300275455</v>
      </c>
    </row>
    <row r="3324" customFormat="false" ht="15" hidden="false" customHeight="false" outlineLevel="0" collapsed="false">
      <c r="A3324" s="0" t="n">
        <v>11</v>
      </c>
      <c r="B3324" s="0" t="n">
        <v>8</v>
      </c>
      <c r="C3324" s="0" t="n">
        <v>4</v>
      </c>
      <c r="D3324" s="0" t="n">
        <f aca="false">-1+A3324*0.125</f>
        <v>0.375</v>
      </c>
      <c r="E3324" s="0" t="n">
        <f aca="false">-1+B3324*0.125</f>
        <v>0</v>
      </c>
      <c r="F3324" s="0" t="n">
        <f aca="false">-1+C3324*0.125</f>
        <v>-0.5</v>
      </c>
      <c r="G3324" s="0" t="n">
        <f aca="false">1</f>
        <v>1</v>
      </c>
      <c r="H3324" s="0" t="n">
        <f aca="false">D3324</f>
        <v>0.375</v>
      </c>
      <c r="I3324" s="0" t="n">
        <f aca="false">E3324</f>
        <v>0</v>
      </c>
      <c r="J3324" s="0" t="n">
        <f aca="false">F3324</f>
        <v>-0.5</v>
      </c>
      <c r="K3324" s="0" t="n">
        <f aca="false">D3324*E3324</f>
        <v>0</v>
      </c>
      <c r="L3324" s="0" t="n">
        <f aca="false">D3324*F3324</f>
        <v>-0.1875</v>
      </c>
      <c r="M3324" s="0" t="n">
        <f aca="false">E3324*F3324</f>
        <v>-0</v>
      </c>
      <c r="N3324" s="0" t="n">
        <f aca="false">D3324*D3324</f>
        <v>0.140625</v>
      </c>
      <c r="O3324" s="0" t="n">
        <f aca="false">E3324*E3324</f>
        <v>0</v>
      </c>
      <c r="P3324" s="0" t="n">
        <f aca="false">F3324*F3324</f>
        <v>0.25</v>
      </c>
      <c r="Q3324" s="0" t="n">
        <f aca="false">SUMPRODUCT(G3324:P3324,_XtX!$B$71:$K$71)</f>
        <v>48.0588494318182</v>
      </c>
      <c r="R3324" s="0" t="n">
        <f aca="false">SUMPRODUCT(MMULT(G3324:P3324,_XtX!$B$58:$K$67),G3324:P3324)</f>
        <v>0.146457741477273</v>
      </c>
      <c r="S3324" s="0" t="n">
        <f aca="false">04_回帰ANOVA!$K$19*04_回帰ANOVA!$K$14*SQRT(1+R3324)</f>
        <v>0.995510079668687</v>
      </c>
      <c r="T3324" s="0" t="n">
        <f aca="false">Q3324-S3324</f>
        <v>47.0633393521495</v>
      </c>
      <c r="U3324" s="0" t="n">
        <f aca="false">Q3324+S3324</f>
        <v>49.0543595114869</v>
      </c>
      <c r="V3324" s="54" t="b">
        <f aca="false">AND(D3324&gt;=01_因子設定!$L$5-0.000000001,D3324&lt;=01_因子設定!$M$5+0.000000001,E3324&gt;=01_因子設定!$L$6-0.000000001,E3324&lt;=01_因子設定!$M$6+0.000000001,F3324&gt;=01_因子設定!$L$7-0.000000001,F3324&lt;=01_因子設定!$M$7+0.000000001,IF(01_因子設定!$B$20="Box-Behnken",D3324^2+E3324^2+F3324^2&lt;=2+0.000000001,TRUE()))</f>
        <v>1</v>
      </c>
      <c r="W3324" s="55" t="n">
        <f aca="false">IF(V3324,IF(01_因子設定!$B$13="最大化",T3324-01_因子設定!$B$14,IF(01_因子設定!$B$13="最小化",01_因子設定!$B$15-U3324,MIN(T3324-01_因子設定!$B$14,01_因子設定!$B$15-U3324))),-1E+030)</f>
        <v>-1.43666064785049</v>
      </c>
      <c r="X3324" s="55" t="n">
        <f aca="false">IF(V3324,IF(01_因子設定!$B$13="最大化",Q3324,IF(01_因子設定!$B$13="最小化",-Q3324,-ABS(Q3324-01_因子設定!$B$16))),-1E+030)</f>
        <v>48.0588494318182</v>
      </c>
      <c r="Y3324" s="55" t="n">
        <f aca="false">W3324+ROW()*0.000000001</f>
        <v>-1.43665732385049</v>
      </c>
      <c r="Z3324" s="55" t="n">
        <f aca="false">X3324+ROW()*0.000000001</f>
        <v>48.0588527558182</v>
      </c>
    </row>
    <row r="3325" customFormat="false" ht="15" hidden="false" customHeight="false" outlineLevel="0" collapsed="false">
      <c r="A3325" s="0" t="n">
        <v>11</v>
      </c>
      <c r="B3325" s="0" t="n">
        <v>8</v>
      </c>
      <c r="C3325" s="0" t="n">
        <v>5</v>
      </c>
      <c r="D3325" s="0" t="n">
        <f aca="false">-1+A3325*0.125</f>
        <v>0.375</v>
      </c>
      <c r="E3325" s="0" t="n">
        <f aca="false">-1+B3325*0.125</f>
        <v>0</v>
      </c>
      <c r="F3325" s="0" t="n">
        <f aca="false">-1+C3325*0.125</f>
        <v>-0.375</v>
      </c>
      <c r="G3325" s="0" t="n">
        <f aca="false">1</f>
        <v>1</v>
      </c>
      <c r="H3325" s="0" t="n">
        <f aca="false">D3325</f>
        <v>0.375</v>
      </c>
      <c r="I3325" s="0" t="n">
        <f aca="false">E3325</f>
        <v>0</v>
      </c>
      <c r="J3325" s="0" t="n">
        <f aca="false">F3325</f>
        <v>-0.375</v>
      </c>
      <c r="K3325" s="0" t="n">
        <f aca="false">D3325*E3325</f>
        <v>0</v>
      </c>
      <c r="L3325" s="0" t="n">
        <f aca="false">D3325*F3325</f>
        <v>-0.140625</v>
      </c>
      <c r="M3325" s="0" t="n">
        <f aca="false">E3325*F3325</f>
        <v>-0</v>
      </c>
      <c r="N3325" s="0" t="n">
        <f aca="false">D3325*D3325</f>
        <v>0.140625</v>
      </c>
      <c r="O3325" s="0" t="n">
        <f aca="false">E3325*E3325</f>
        <v>0</v>
      </c>
      <c r="P3325" s="0" t="n">
        <f aca="false">F3325*F3325</f>
        <v>0.140625</v>
      </c>
      <c r="Q3325" s="0" t="n">
        <f aca="false">SUMPRODUCT(G3325:P3325,_XtX!$B$71:$K$71)</f>
        <v>48.3530823863636</v>
      </c>
      <c r="R3325" s="0" t="n">
        <f aca="false">SUMPRODUCT(MMULT(G3325:P3325,_XtX!$B$58:$K$67),G3325:P3325)</f>
        <v>0.132199374112216</v>
      </c>
      <c r="S3325" s="0" t="n">
        <f aca="false">04_回帰ANOVA!$K$19*04_回帰ANOVA!$K$14*SQRT(1+R3325)</f>
        <v>0.989300187279118</v>
      </c>
      <c r="T3325" s="0" t="n">
        <f aca="false">Q3325-S3325</f>
        <v>47.3637821990845</v>
      </c>
      <c r="U3325" s="0" t="n">
        <f aca="false">Q3325+S3325</f>
        <v>49.3423825736428</v>
      </c>
      <c r="V3325" s="54" t="b">
        <f aca="false">AND(D3325&gt;=01_因子設定!$L$5-0.000000001,D3325&lt;=01_因子設定!$M$5+0.000000001,E3325&gt;=01_因子設定!$L$6-0.000000001,E3325&lt;=01_因子設定!$M$6+0.000000001,F3325&gt;=01_因子設定!$L$7-0.000000001,F3325&lt;=01_因子設定!$M$7+0.000000001,IF(01_因子設定!$B$20="Box-Behnken",D3325^2+E3325^2+F3325^2&lt;=2+0.000000001,TRUE()))</f>
        <v>1</v>
      </c>
      <c r="W3325" s="55" t="n">
        <f aca="false">IF(V3325,IF(01_因子設定!$B$13="最大化",T3325-01_因子設定!$B$14,IF(01_因子設定!$B$13="最小化",01_因子設定!$B$15-U3325,MIN(T3325-01_因子設定!$B$14,01_因子設定!$B$15-U3325))),-1E+030)</f>
        <v>-1.13621780091547</v>
      </c>
      <c r="X3325" s="55" t="n">
        <f aca="false">IF(V3325,IF(01_因子設定!$B$13="最大化",Q3325,IF(01_因子設定!$B$13="最小化",-Q3325,-ABS(Q3325-01_因子設定!$B$16))),-1E+030)</f>
        <v>48.3530823863636</v>
      </c>
      <c r="Y3325" s="55" t="n">
        <f aca="false">W3325+ROW()*0.000000001</f>
        <v>-1.13621447591547</v>
      </c>
      <c r="Z3325" s="55" t="n">
        <f aca="false">X3325+ROW()*0.000000001</f>
        <v>48.3530857113637</v>
      </c>
    </row>
    <row r="3326" customFormat="false" ht="15" hidden="false" customHeight="false" outlineLevel="0" collapsed="false">
      <c r="A3326" s="0" t="n">
        <v>11</v>
      </c>
      <c r="B3326" s="0" t="n">
        <v>8</v>
      </c>
      <c r="C3326" s="0" t="n">
        <v>6</v>
      </c>
      <c r="D3326" s="0" t="n">
        <f aca="false">-1+A3326*0.125</f>
        <v>0.375</v>
      </c>
      <c r="E3326" s="0" t="n">
        <f aca="false">-1+B3326*0.125</f>
        <v>0</v>
      </c>
      <c r="F3326" s="0" t="n">
        <f aca="false">-1+C3326*0.125</f>
        <v>-0.25</v>
      </c>
      <c r="G3326" s="0" t="n">
        <f aca="false">1</f>
        <v>1</v>
      </c>
      <c r="H3326" s="0" t="n">
        <f aca="false">D3326</f>
        <v>0.375</v>
      </c>
      <c r="I3326" s="0" t="n">
        <f aca="false">E3326</f>
        <v>0</v>
      </c>
      <c r="J3326" s="0" t="n">
        <f aca="false">F3326</f>
        <v>-0.25</v>
      </c>
      <c r="K3326" s="0" t="n">
        <f aca="false">D3326*E3326</f>
        <v>0</v>
      </c>
      <c r="L3326" s="0" t="n">
        <f aca="false">D3326*F3326</f>
        <v>-0.09375</v>
      </c>
      <c r="M3326" s="0" t="n">
        <f aca="false">E3326*F3326</f>
        <v>-0</v>
      </c>
      <c r="N3326" s="0" t="n">
        <f aca="false">D3326*D3326</f>
        <v>0.140625</v>
      </c>
      <c r="O3326" s="0" t="n">
        <f aca="false">E3326*E3326</f>
        <v>0</v>
      </c>
      <c r="P3326" s="0" t="n">
        <f aca="false">F3326*F3326</f>
        <v>0.0625</v>
      </c>
      <c r="Q3326" s="0" t="n">
        <f aca="false">SUMPRODUCT(G3326:P3326,_XtX!$B$71:$K$71)</f>
        <v>48.6105255681818</v>
      </c>
      <c r="R3326" s="0" t="n">
        <f aca="false">SUMPRODUCT(MMULT(G3326:P3326,_XtX!$B$58:$K$67),G3326:P3326)</f>
        <v>0.127341530539773</v>
      </c>
      <c r="S3326" s="0" t="n">
        <f aca="false">04_回帰ANOVA!$K$19*04_回帰ANOVA!$K$14*SQRT(1+R3326)</f>
        <v>0.987175547486288</v>
      </c>
      <c r="T3326" s="0" t="n">
        <f aca="false">Q3326-S3326</f>
        <v>47.6233500206955</v>
      </c>
      <c r="U3326" s="0" t="n">
        <f aca="false">Q3326+S3326</f>
        <v>49.5977011156681</v>
      </c>
      <c r="V3326" s="54" t="b">
        <f aca="false">AND(D3326&gt;=01_因子設定!$L$5-0.000000001,D3326&lt;=01_因子設定!$M$5+0.000000001,E3326&gt;=01_因子設定!$L$6-0.000000001,E3326&lt;=01_因子設定!$M$6+0.000000001,F3326&gt;=01_因子設定!$L$7-0.000000001,F3326&lt;=01_因子設定!$M$7+0.000000001,IF(01_因子設定!$B$20="Box-Behnken",D3326^2+E3326^2+F3326^2&lt;=2+0.000000001,TRUE()))</f>
        <v>1</v>
      </c>
      <c r="W3326" s="55" t="n">
        <f aca="false">IF(V3326,IF(01_因子設定!$B$13="最大化",T3326-01_因子設定!$B$14,IF(01_因子設定!$B$13="最小化",01_因子設定!$B$15-U3326,MIN(T3326-01_因子設定!$B$14,01_因子設定!$B$15-U3326))),-1E+030)</f>
        <v>-0.87664997930446</v>
      </c>
      <c r="X3326" s="55" t="n">
        <f aca="false">IF(V3326,IF(01_因子設定!$B$13="最大化",Q3326,IF(01_因子設定!$B$13="最小化",-Q3326,-ABS(Q3326-01_因子設定!$B$16))),-1E+030)</f>
        <v>48.6105255681818</v>
      </c>
      <c r="Y3326" s="55" t="n">
        <f aca="false">W3326+ROW()*0.000000001</f>
        <v>-0.87664665330446</v>
      </c>
      <c r="Z3326" s="55" t="n">
        <f aca="false">X3326+ROW()*0.000000001</f>
        <v>48.6105288941818</v>
      </c>
    </row>
    <row r="3327" customFormat="false" ht="15" hidden="false" customHeight="false" outlineLevel="0" collapsed="false">
      <c r="A3327" s="0" t="n">
        <v>11</v>
      </c>
      <c r="B3327" s="0" t="n">
        <v>8</v>
      </c>
      <c r="C3327" s="0" t="n">
        <v>7</v>
      </c>
      <c r="D3327" s="0" t="n">
        <f aca="false">-1+A3327*0.125</f>
        <v>0.375</v>
      </c>
      <c r="E3327" s="0" t="n">
        <f aca="false">-1+B3327*0.125</f>
        <v>0</v>
      </c>
      <c r="F3327" s="0" t="n">
        <f aca="false">-1+C3327*0.125</f>
        <v>-0.125</v>
      </c>
      <c r="G3327" s="0" t="n">
        <f aca="false">1</f>
        <v>1</v>
      </c>
      <c r="H3327" s="0" t="n">
        <f aca="false">D3327</f>
        <v>0.375</v>
      </c>
      <c r="I3327" s="0" t="n">
        <f aca="false">E3327</f>
        <v>0</v>
      </c>
      <c r="J3327" s="0" t="n">
        <f aca="false">F3327</f>
        <v>-0.125</v>
      </c>
      <c r="K3327" s="0" t="n">
        <f aca="false">D3327*E3327</f>
        <v>0</v>
      </c>
      <c r="L3327" s="0" t="n">
        <f aca="false">D3327*F3327</f>
        <v>-0.046875</v>
      </c>
      <c r="M3327" s="0" t="n">
        <f aca="false">E3327*F3327</f>
        <v>-0</v>
      </c>
      <c r="N3327" s="0" t="n">
        <f aca="false">D3327*D3327</f>
        <v>0.140625</v>
      </c>
      <c r="O3327" s="0" t="n">
        <f aca="false">E3327*E3327</f>
        <v>0</v>
      </c>
      <c r="P3327" s="0" t="n">
        <f aca="false">F3327*F3327</f>
        <v>0.015625</v>
      </c>
      <c r="Q3327" s="0" t="n">
        <f aca="false">SUMPRODUCT(G3327:P3327,_XtX!$B$71:$K$71)</f>
        <v>48.8311789772727</v>
      </c>
      <c r="R3327" s="0" t="n">
        <f aca="false">SUMPRODUCT(MMULT(G3327:P3327,_XtX!$B$58:$K$67),G3327:P3327)</f>
        <v>0.126557506214489</v>
      </c>
      <c r="S3327" s="0" t="n">
        <f aca="false">04_回帰ANOVA!$K$19*04_回帰ANOVA!$K$14*SQRT(1+R3327)</f>
        <v>0.986832215747321</v>
      </c>
      <c r="T3327" s="0" t="n">
        <f aca="false">Q3327-S3327</f>
        <v>47.8443467615254</v>
      </c>
      <c r="U3327" s="0" t="n">
        <f aca="false">Q3327+S3327</f>
        <v>49.8180111930201</v>
      </c>
      <c r="V3327" s="54" t="b">
        <f aca="false">AND(D3327&gt;=01_因子設定!$L$5-0.000000001,D3327&lt;=01_因子設定!$M$5+0.000000001,E3327&gt;=01_因子設定!$L$6-0.000000001,E3327&lt;=01_因子設定!$M$6+0.000000001,F3327&gt;=01_因子設定!$L$7-0.000000001,F3327&lt;=01_因子設定!$M$7+0.000000001,IF(01_因子設定!$B$20="Box-Behnken",D3327^2+E3327^2+F3327^2&lt;=2+0.000000001,TRUE()))</f>
        <v>1</v>
      </c>
      <c r="W3327" s="55" t="n">
        <f aca="false">IF(V3327,IF(01_因子設定!$B$13="最大化",T3327-01_因子設定!$B$14,IF(01_因子設定!$B$13="最小化",01_因子設定!$B$15-U3327,MIN(T3327-01_因子設定!$B$14,01_因子設定!$B$15-U3327))),-1E+030)</f>
        <v>-0.655653238474585</v>
      </c>
      <c r="X3327" s="55" t="n">
        <f aca="false">IF(V3327,IF(01_因子設定!$B$13="最大化",Q3327,IF(01_因子設定!$B$13="最小化",-Q3327,-ABS(Q3327-01_因子設定!$B$16))),-1E+030)</f>
        <v>48.8311789772727</v>
      </c>
      <c r="Y3327" s="55" t="n">
        <f aca="false">W3327+ROW()*0.000000001</f>
        <v>-0.655649911474585</v>
      </c>
      <c r="Z3327" s="55" t="n">
        <f aca="false">X3327+ROW()*0.000000001</f>
        <v>48.8311823042727</v>
      </c>
    </row>
    <row r="3328" customFormat="false" ht="15" hidden="false" customHeight="false" outlineLevel="0" collapsed="false">
      <c r="A3328" s="0" t="n">
        <v>11</v>
      </c>
      <c r="B3328" s="0" t="n">
        <v>8</v>
      </c>
      <c r="C3328" s="0" t="n">
        <v>8</v>
      </c>
      <c r="D3328" s="0" t="n">
        <f aca="false">-1+A3328*0.125</f>
        <v>0.375</v>
      </c>
      <c r="E3328" s="0" t="n">
        <f aca="false">-1+B3328*0.125</f>
        <v>0</v>
      </c>
      <c r="F3328" s="0" t="n">
        <f aca="false">-1+C3328*0.125</f>
        <v>0</v>
      </c>
      <c r="G3328" s="0" t="n">
        <f aca="false">1</f>
        <v>1</v>
      </c>
      <c r="H3328" s="0" t="n">
        <f aca="false">D3328</f>
        <v>0.375</v>
      </c>
      <c r="I3328" s="0" t="n">
        <f aca="false">E3328</f>
        <v>0</v>
      </c>
      <c r="J3328" s="0" t="n">
        <f aca="false">F3328</f>
        <v>0</v>
      </c>
      <c r="K3328" s="0" t="n">
        <f aca="false">D3328*E3328</f>
        <v>0</v>
      </c>
      <c r="L3328" s="0" t="n">
        <f aca="false">D3328*F3328</f>
        <v>0</v>
      </c>
      <c r="M3328" s="0" t="n">
        <f aca="false">E3328*F3328</f>
        <v>0</v>
      </c>
      <c r="N3328" s="0" t="n">
        <f aca="false">D3328*D3328</f>
        <v>0.140625</v>
      </c>
      <c r="O3328" s="0" t="n">
        <f aca="false">E3328*E3328</f>
        <v>0</v>
      </c>
      <c r="P3328" s="0" t="n">
        <f aca="false">F3328*F3328</f>
        <v>0</v>
      </c>
      <c r="Q3328" s="0" t="n">
        <f aca="false">SUMPRODUCT(G3328:P3328,_XtX!$B$71:$K$71)</f>
        <v>49.0150426136364</v>
      </c>
      <c r="R3328" s="0" t="n">
        <f aca="false">SUMPRODUCT(MMULT(G3328:P3328,_XtX!$B$58:$K$67),G3328:P3328)</f>
        <v>0.126651278409091</v>
      </c>
      <c r="S3328" s="0" t="n">
        <f aca="false">04_回帰ANOVA!$K$19*04_回帰ANOVA!$K$14*SQRT(1+R3328)</f>
        <v>0.986873285775478</v>
      </c>
      <c r="T3328" s="0" t="n">
        <f aca="false">Q3328-S3328</f>
        <v>48.0281693278609</v>
      </c>
      <c r="U3328" s="0" t="n">
        <f aca="false">Q3328+S3328</f>
        <v>50.0019158994119</v>
      </c>
      <c r="V3328" s="54" t="b">
        <f aca="false">AND(D3328&gt;=01_因子設定!$L$5-0.000000001,D3328&lt;=01_因子設定!$M$5+0.000000001,E3328&gt;=01_因子設定!$L$6-0.000000001,E3328&lt;=01_因子設定!$M$6+0.000000001,F3328&gt;=01_因子設定!$L$7-0.000000001,F3328&lt;=01_因子設定!$M$7+0.000000001,IF(01_因子設定!$B$20="Box-Behnken",D3328^2+E3328^2+F3328^2&lt;=2+0.000000001,TRUE()))</f>
        <v>1</v>
      </c>
      <c r="W3328" s="55" t="n">
        <f aca="false">IF(V3328,IF(01_因子設定!$B$13="最大化",T3328-01_因子設定!$B$14,IF(01_因子設定!$B$13="最小化",01_因子設定!$B$15-U3328,MIN(T3328-01_因子設定!$B$14,01_因子設定!$B$15-U3328))),-1E+030)</f>
        <v>-0.471830672139113</v>
      </c>
      <c r="X3328" s="55" t="n">
        <f aca="false">IF(V3328,IF(01_因子設定!$B$13="最大化",Q3328,IF(01_因子設定!$B$13="最小化",-Q3328,-ABS(Q3328-01_因子設定!$B$16))),-1E+030)</f>
        <v>49.0150426136364</v>
      </c>
      <c r="Y3328" s="55" t="n">
        <f aca="false">W3328+ROW()*0.000000001</f>
        <v>-0.471827344139113</v>
      </c>
      <c r="Z3328" s="55" t="n">
        <f aca="false">X3328+ROW()*0.000000001</f>
        <v>49.0150459416364</v>
      </c>
    </row>
    <row r="3329" customFormat="false" ht="15" hidden="false" customHeight="false" outlineLevel="0" collapsed="false">
      <c r="A3329" s="0" t="n">
        <v>11</v>
      </c>
      <c r="B3329" s="0" t="n">
        <v>8</v>
      </c>
      <c r="C3329" s="0" t="n">
        <v>9</v>
      </c>
      <c r="D3329" s="0" t="n">
        <f aca="false">-1+A3329*0.125</f>
        <v>0.375</v>
      </c>
      <c r="E3329" s="0" t="n">
        <f aca="false">-1+B3329*0.125</f>
        <v>0</v>
      </c>
      <c r="F3329" s="0" t="n">
        <f aca="false">-1+C3329*0.125</f>
        <v>0.125</v>
      </c>
      <c r="G3329" s="0" t="n">
        <f aca="false">1</f>
        <v>1</v>
      </c>
      <c r="H3329" s="0" t="n">
        <f aca="false">D3329</f>
        <v>0.375</v>
      </c>
      <c r="I3329" s="0" t="n">
        <f aca="false">E3329</f>
        <v>0</v>
      </c>
      <c r="J3329" s="0" t="n">
        <f aca="false">F3329</f>
        <v>0.125</v>
      </c>
      <c r="K3329" s="0" t="n">
        <f aca="false">D3329*E3329</f>
        <v>0</v>
      </c>
      <c r="L3329" s="0" t="n">
        <f aca="false">D3329*F3329</f>
        <v>0.046875</v>
      </c>
      <c r="M3329" s="0" t="n">
        <f aca="false">E3329*F3329</f>
        <v>0</v>
      </c>
      <c r="N3329" s="0" t="n">
        <f aca="false">D3329*D3329</f>
        <v>0.140625</v>
      </c>
      <c r="O3329" s="0" t="n">
        <f aca="false">E3329*E3329</f>
        <v>0</v>
      </c>
      <c r="P3329" s="0" t="n">
        <f aca="false">F3329*F3329</f>
        <v>0.015625</v>
      </c>
      <c r="Q3329" s="0" t="n">
        <f aca="false">SUMPRODUCT(G3329:P3329,_XtX!$B$71:$K$71)</f>
        <v>49.1621164772727</v>
      </c>
      <c r="R3329" s="0" t="n">
        <f aca="false">SUMPRODUCT(MMULT(G3329:P3329,_XtX!$B$58:$K$67),G3329:P3329)</f>
        <v>0.126557506214489</v>
      </c>
      <c r="S3329" s="0" t="n">
        <f aca="false">04_回帰ANOVA!$K$19*04_回帰ANOVA!$K$14*SQRT(1+R3329)</f>
        <v>0.986832215747321</v>
      </c>
      <c r="T3329" s="0" t="n">
        <f aca="false">Q3329-S3329</f>
        <v>48.1752842615254</v>
      </c>
      <c r="U3329" s="0" t="n">
        <f aca="false">Q3329+S3329</f>
        <v>50.1489486930201</v>
      </c>
      <c r="V3329" s="54" t="b">
        <f aca="false">AND(D3329&gt;=01_因子設定!$L$5-0.000000001,D3329&lt;=01_因子設定!$M$5+0.000000001,E3329&gt;=01_因子設定!$L$6-0.000000001,E3329&lt;=01_因子設定!$M$6+0.000000001,F3329&gt;=01_因子設定!$L$7-0.000000001,F3329&lt;=01_因子設定!$M$7+0.000000001,IF(01_因子設定!$B$20="Box-Behnken",D3329^2+E3329^2+F3329^2&lt;=2+0.000000001,TRUE()))</f>
        <v>1</v>
      </c>
      <c r="W3329" s="55" t="n">
        <f aca="false">IF(V3329,IF(01_因子設定!$B$13="最大化",T3329-01_因子設定!$B$14,IF(01_因子設定!$B$13="最小化",01_因子設定!$B$15-U3329,MIN(T3329-01_因子設定!$B$14,01_因子設定!$B$15-U3329))),-1E+030)</f>
        <v>-0.324715738474588</v>
      </c>
      <c r="X3329" s="55" t="n">
        <f aca="false">IF(V3329,IF(01_因子設定!$B$13="最大化",Q3329,IF(01_因子設定!$B$13="最小化",-Q3329,-ABS(Q3329-01_因子設定!$B$16))),-1E+030)</f>
        <v>49.1621164772727</v>
      </c>
      <c r="Y3329" s="55" t="n">
        <f aca="false">W3329+ROW()*0.000000001</f>
        <v>-0.324712409474588</v>
      </c>
      <c r="Z3329" s="55" t="n">
        <f aca="false">X3329+ROW()*0.000000001</f>
        <v>49.1621198062727</v>
      </c>
    </row>
    <row r="3330" customFormat="false" ht="15" hidden="false" customHeight="false" outlineLevel="0" collapsed="false">
      <c r="A3330" s="0" t="n">
        <v>11</v>
      </c>
      <c r="B3330" s="0" t="n">
        <v>8</v>
      </c>
      <c r="C3330" s="0" t="n">
        <v>10</v>
      </c>
      <c r="D3330" s="0" t="n">
        <f aca="false">-1+A3330*0.125</f>
        <v>0.375</v>
      </c>
      <c r="E3330" s="0" t="n">
        <f aca="false">-1+B3330*0.125</f>
        <v>0</v>
      </c>
      <c r="F3330" s="0" t="n">
        <f aca="false">-1+C3330*0.125</f>
        <v>0.25</v>
      </c>
      <c r="G3330" s="0" t="n">
        <f aca="false">1</f>
        <v>1</v>
      </c>
      <c r="H3330" s="0" t="n">
        <f aca="false">D3330</f>
        <v>0.375</v>
      </c>
      <c r="I3330" s="0" t="n">
        <f aca="false">E3330</f>
        <v>0</v>
      </c>
      <c r="J3330" s="0" t="n">
        <f aca="false">F3330</f>
        <v>0.25</v>
      </c>
      <c r="K3330" s="0" t="n">
        <f aca="false">D3330*E3330</f>
        <v>0</v>
      </c>
      <c r="L3330" s="0" t="n">
        <f aca="false">D3330*F3330</f>
        <v>0.09375</v>
      </c>
      <c r="M3330" s="0" t="n">
        <f aca="false">E3330*F3330</f>
        <v>0</v>
      </c>
      <c r="N3330" s="0" t="n">
        <f aca="false">D3330*D3330</f>
        <v>0.140625</v>
      </c>
      <c r="O3330" s="0" t="n">
        <f aca="false">E3330*E3330</f>
        <v>0</v>
      </c>
      <c r="P3330" s="0" t="n">
        <f aca="false">F3330*F3330</f>
        <v>0.0625</v>
      </c>
      <c r="Q3330" s="0" t="n">
        <f aca="false">SUMPRODUCT(G3330:P3330,_XtX!$B$71:$K$71)</f>
        <v>49.2724005681818</v>
      </c>
      <c r="R3330" s="0" t="n">
        <f aca="false">SUMPRODUCT(MMULT(G3330:P3330,_XtX!$B$58:$K$67),G3330:P3330)</f>
        <v>0.127341530539773</v>
      </c>
      <c r="S3330" s="0" t="n">
        <f aca="false">04_回帰ANOVA!$K$19*04_回帰ANOVA!$K$14*SQRT(1+R3330)</f>
        <v>0.987175547486288</v>
      </c>
      <c r="T3330" s="0" t="n">
        <f aca="false">Q3330-S3330</f>
        <v>48.2852250206955</v>
      </c>
      <c r="U3330" s="0" t="n">
        <f aca="false">Q3330+S3330</f>
        <v>50.2595761156681</v>
      </c>
      <c r="V3330" s="54" t="b">
        <f aca="false">AND(D3330&gt;=01_因子設定!$L$5-0.000000001,D3330&lt;=01_因子設定!$M$5+0.000000001,E3330&gt;=01_因子設定!$L$6-0.000000001,E3330&lt;=01_因子設定!$M$6+0.000000001,F3330&gt;=01_因子設定!$L$7-0.000000001,F3330&lt;=01_因子設定!$M$7+0.000000001,IF(01_因子設定!$B$20="Box-Behnken",D3330^2+E3330^2+F3330^2&lt;=2+0.000000001,TRUE()))</f>
        <v>1</v>
      </c>
      <c r="W3330" s="55" t="n">
        <f aca="false">IF(V3330,IF(01_因子設定!$B$13="最大化",T3330-01_因子設定!$B$14,IF(01_因子設定!$B$13="最小化",01_因子設定!$B$15-U3330,MIN(T3330-01_因子設定!$B$14,01_因子設定!$B$15-U3330))),-1E+030)</f>
        <v>-0.214774979304465</v>
      </c>
      <c r="X3330" s="55" t="n">
        <f aca="false">IF(V3330,IF(01_因子設定!$B$13="最大化",Q3330,IF(01_因子設定!$B$13="最小化",-Q3330,-ABS(Q3330-01_因子設定!$B$16))),-1E+030)</f>
        <v>49.2724005681818</v>
      </c>
      <c r="Y3330" s="55" t="n">
        <f aca="false">W3330+ROW()*0.000000001</f>
        <v>-0.214771649304465</v>
      </c>
      <c r="Z3330" s="55" t="n">
        <f aca="false">X3330+ROW()*0.000000001</f>
        <v>49.2724038981818</v>
      </c>
    </row>
    <row r="3331" customFormat="false" ht="15" hidden="false" customHeight="false" outlineLevel="0" collapsed="false">
      <c r="A3331" s="0" t="n">
        <v>11</v>
      </c>
      <c r="B3331" s="0" t="n">
        <v>8</v>
      </c>
      <c r="C3331" s="0" t="n">
        <v>11</v>
      </c>
      <c r="D3331" s="0" t="n">
        <f aca="false">-1+A3331*0.125</f>
        <v>0.375</v>
      </c>
      <c r="E3331" s="0" t="n">
        <f aca="false">-1+B3331*0.125</f>
        <v>0</v>
      </c>
      <c r="F3331" s="0" t="n">
        <f aca="false">-1+C3331*0.125</f>
        <v>0.375</v>
      </c>
      <c r="G3331" s="0" t="n">
        <f aca="false">1</f>
        <v>1</v>
      </c>
      <c r="H3331" s="0" t="n">
        <f aca="false">D3331</f>
        <v>0.375</v>
      </c>
      <c r="I3331" s="0" t="n">
        <f aca="false">E3331</f>
        <v>0</v>
      </c>
      <c r="J3331" s="0" t="n">
        <f aca="false">F3331</f>
        <v>0.375</v>
      </c>
      <c r="K3331" s="0" t="n">
        <f aca="false">D3331*E3331</f>
        <v>0</v>
      </c>
      <c r="L3331" s="0" t="n">
        <f aca="false">D3331*F3331</f>
        <v>0.140625</v>
      </c>
      <c r="M3331" s="0" t="n">
        <f aca="false">E3331*F3331</f>
        <v>0</v>
      </c>
      <c r="N3331" s="0" t="n">
        <f aca="false">D3331*D3331</f>
        <v>0.140625</v>
      </c>
      <c r="O3331" s="0" t="n">
        <f aca="false">E3331*E3331</f>
        <v>0</v>
      </c>
      <c r="P3331" s="0" t="n">
        <f aca="false">F3331*F3331</f>
        <v>0.140625</v>
      </c>
      <c r="Q3331" s="0" t="n">
        <f aca="false">SUMPRODUCT(G3331:P3331,_XtX!$B$71:$K$71)</f>
        <v>49.3458948863636</v>
      </c>
      <c r="R3331" s="0" t="n">
        <f aca="false">SUMPRODUCT(MMULT(G3331:P3331,_XtX!$B$58:$K$67),G3331:P3331)</f>
        <v>0.132199374112216</v>
      </c>
      <c r="S3331" s="0" t="n">
        <f aca="false">04_回帰ANOVA!$K$19*04_回帰ANOVA!$K$14*SQRT(1+R3331)</f>
        <v>0.989300187279118</v>
      </c>
      <c r="T3331" s="0" t="n">
        <f aca="false">Q3331-S3331</f>
        <v>48.3565946990845</v>
      </c>
      <c r="U3331" s="0" t="n">
        <f aca="false">Q3331+S3331</f>
        <v>50.3351950736428</v>
      </c>
      <c r="V3331" s="54" t="b">
        <f aca="false">AND(D3331&gt;=01_因子設定!$L$5-0.000000001,D3331&lt;=01_因子設定!$M$5+0.000000001,E3331&gt;=01_因子設定!$L$6-0.000000001,E3331&lt;=01_因子設定!$M$6+0.000000001,F3331&gt;=01_因子設定!$L$7-0.000000001,F3331&lt;=01_因子設定!$M$7+0.000000001,IF(01_因子設定!$B$20="Box-Behnken",D3331^2+E3331^2+F3331^2&lt;=2+0.000000001,TRUE()))</f>
        <v>1</v>
      </c>
      <c r="W3331" s="55" t="n">
        <f aca="false">IF(V3331,IF(01_因子設定!$B$13="最大化",T3331-01_因子設定!$B$14,IF(01_因子設定!$B$13="最小化",01_因子設定!$B$15-U3331,MIN(T3331-01_因子設定!$B$14,01_因子設定!$B$15-U3331))),-1E+030)</f>
        <v>-0.143405300915475</v>
      </c>
      <c r="X3331" s="55" t="n">
        <f aca="false">IF(V3331,IF(01_因子設定!$B$13="最大化",Q3331,IF(01_因子設定!$B$13="最小化",-Q3331,-ABS(Q3331-01_因子設定!$B$16))),-1E+030)</f>
        <v>49.3458948863636</v>
      </c>
      <c r="Y3331" s="55" t="n">
        <f aca="false">W3331+ROW()*0.000000001</f>
        <v>-0.143401969915475</v>
      </c>
      <c r="Z3331" s="55" t="n">
        <f aca="false">X3331+ROW()*0.000000001</f>
        <v>49.3458982173637</v>
      </c>
    </row>
    <row r="3332" customFormat="false" ht="15" hidden="false" customHeight="false" outlineLevel="0" collapsed="false">
      <c r="A3332" s="0" t="n">
        <v>11</v>
      </c>
      <c r="B3332" s="0" t="n">
        <v>8</v>
      </c>
      <c r="C3332" s="0" t="n">
        <v>12</v>
      </c>
      <c r="D3332" s="0" t="n">
        <f aca="false">-1+A3332*0.125</f>
        <v>0.375</v>
      </c>
      <c r="E3332" s="0" t="n">
        <f aca="false">-1+B3332*0.125</f>
        <v>0</v>
      </c>
      <c r="F3332" s="0" t="n">
        <f aca="false">-1+C3332*0.125</f>
        <v>0.5</v>
      </c>
      <c r="G3332" s="0" t="n">
        <f aca="false">1</f>
        <v>1</v>
      </c>
      <c r="H3332" s="0" t="n">
        <f aca="false">D3332</f>
        <v>0.375</v>
      </c>
      <c r="I3332" s="0" t="n">
        <f aca="false">E3332</f>
        <v>0</v>
      </c>
      <c r="J3332" s="0" t="n">
        <f aca="false">F3332</f>
        <v>0.5</v>
      </c>
      <c r="K3332" s="0" t="n">
        <f aca="false">D3332*E3332</f>
        <v>0</v>
      </c>
      <c r="L3332" s="0" t="n">
        <f aca="false">D3332*F3332</f>
        <v>0.1875</v>
      </c>
      <c r="M3332" s="0" t="n">
        <f aca="false">E3332*F3332</f>
        <v>0</v>
      </c>
      <c r="N3332" s="0" t="n">
        <f aca="false">D3332*D3332</f>
        <v>0.140625</v>
      </c>
      <c r="O3332" s="0" t="n">
        <f aca="false">E3332*E3332</f>
        <v>0</v>
      </c>
      <c r="P3332" s="0" t="n">
        <f aca="false">F3332*F3332</f>
        <v>0.25</v>
      </c>
      <c r="Q3332" s="0" t="n">
        <f aca="false">SUMPRODUCT(G3332:P3332,_XtX!$B$71:$K$71)</f>
        <v>49.3825994318182</v>
      </c>
      <c r="R3332" s="0" t="n">
        <f aca="false">SUMPRODUCT(MMULT(G3332:P3332,_XtX!$B$58:$K$67),G3332:P3332)</f>
        <v>0.146457741477273</v>
      </c>
      <c r="S3332" s="0" t="n">
        <f aca="false">04_回帰ANOVA!$K$19*04_回帰ANOVA!$K$14*SQRT(1+R3332)</f>
        <v>0.995510079668687</v>
      </c>
      <c r="T3332" s="0" t="n">
        <f aca="false">Q3332-S3332</f>
        <v>48.3870893521495</v>
      </c>
      <c r="U3332" s="0" t="n">
        <f aca="false">Q3332+S3332</f>
        <v>50.3781095114869</v>
      </c>
      <c r="V3332" s="54" t="b">
        <f aca="false">AND(D3332&gt;=01_因子設定!$L$5-0.000000001,D3332&lt;=01_因子設定!$M$5+0.000000001,E3332&gt;=01_因子設定!$L$6-0.000000001,E3332&lt;=01_因子設定!$M$6+0.000000001,F3332&gt;=01_因子設定!$L$7-0.000000001,F3332&lt;=01_因子設定!$M$7+0.000000001,IF(01_因子設定!$B$20="Box-Behnken",D3332^2+E3332^2+F3332^2&lt;=2+0.000000001,TRUE()))</f>
        <v>1</v>
      </c>
      <c r="W3332" s="55" t="n">
        <f aca="false">IF(V3332,IF(01_因子設定!$B$13="最大化",T3332-01_因子設定!$B$14,IF(01_因子設定!$B$13="最小化",01_因子設定!$B$15-U3332,MIN(T3332-01_因子設定!$B$14,01_因子設定!$B$15-U3332))),-1E+030)</f>
        <v>-0.112910647850491</v>
      </c>
      <c r="X3332" s="55" t="n">
        <f aca="false">IF(V3332,IF(01_因子設定!$B$13="最大化",Q3332,IF(01_因子設定!$B$13="最小化",-Q3332,-ABS(Q3332-01_因子設定!$B$16))),-1E+030)</f>
        <v>49.3825994318182</v>
      </c>
      <c r="Y3332" s="55" t="n">
        <f aca="false">W3332+ROW()*0.000000001</f>
        <v>-0.112907315850491</v>
      </c>
      <c r="Z3332" s="55" t="n">
        <f aca="false">X3332+ROW()*0.000000001</f>
        <v>49.3826027638182</v>
      </c>
    </row>
    <row r="3333" customFormat="false" ht="15" hidden="false" customHeight="false" outlineLevel="0" collapsed="false">
      <c r="A3333" s="0" t="n">
        <v>11</v>
      </c>
      <c r="B3333" s="0" t="n">
        <v>8</v>
      </c>
      <c r="C3333" s="0" t="n">
        <v>13</v>
      </c>
      <c r="D3333" s="0" t="n">
        <f aca="false">-1+A3333*0.125</f>
        <v>0.375</v>
      </c>
      <c r="E3333" s="0" t="n">
        <f aca="false">-1+B3333*0.125</f>
        <v>0</v>
      </c>
      <c r="F3333" s="0" t="n">
        <f aca="false">-1+C3333*0.125</f>
        <v>0.625</v>
      </c>
      <c r="G3333" s="0" t="n">
        <f aca="false">1</f>
        <v>1</v>
      </c>
      <c r="H3333" s="0" t="n">
        <f aca="false">D3333</f>
        <v>0.375</v>
      </c>
      <c r="I3333" s="0" t="n">
        <f aca="false">E3333</f>
        <v>0</v>
      </c>
      <c r="J3333" s="0" t="n">
        <f aca="false">F3333</f>
        <v>0.625</v>
      </c>
      <c r="K3333" s="0" t="n">
        <f aca="false">D3333*E3333</f>
        <v>0</v>
      </c>
      <c r="L3333" s="0" t="n">
        <f aca="false">D3333*F3333</f>
        <v>0.234375</v>
      </c>
      <c r="M3333" s="0" t="n">
        <f aca="false">E3333*F3333</f>
        <v>0</v>
      </c>
      <c r="N3333" s="0" t="n">
        <f aca="false">D3333*D3333</f>
        <v>0.140625</v>
      </c>
      <c r="O3333" s="0" t="n">
        <f aca="false">E3333*E3333</f>
        <v>0</v>
      </c>
      <c r="P3333" s="0" t="n">
        <f aca="false">F3333*F3333</f>
        <v>0.390625</v>
      </c>
      <c r="Q3333" s="0" t="n">
        <f aca="false">SUMPRODUCT(G3333:P3333,_XtX!$B$71:$K$71)</f>
        <v>49.3825142045455</v>
      </c>
      <c r="R3333" s="0" t="n">
        <f aca="false">SUMPRODUCT(MMULT(G3333:P3333,_XtX!$B$58:$K$67),G3333:P3333)</f>
        <v>0.17757401899858</v>
      </c>
      <c r="S3333" s="0" t="n">
        <f aca="false">04_回帰ANOVA!$K$19*04_回帰ANOVA!$K$14*SQRT(1+R3333)</f>
        <v>1.00892932143276</v>
      </c>
      <c r="T3333" s="0" t="n">
        <f aca="false">Q3333-S3333</f>
        <v>48.3735848831127</v>
      </c>
      <c r="U3333" s="0" t="n">
        <f aca="false">Q3333+S3333</f>
        <v>50.3914435259782</v>
      </c>
      <c r="V3333" s="54" t="b">
        <f aca="false">AND(D3333&gt;=01_因子設定!$L$5-0.000000001,D3333&lt;=01_因子設定!$M$5+0.000000001,E3333&gt;=01_因子設定!$L$6-0.000000001,E3333&lt;=01_因子設定!$M$6+0.000000001,F3333&gt;=01_因子設定!$L$7-0.000000001,F3333&lt;=01_因子設定!$M$7+0.000000001,IF(01_因子設定!$B$20="Box-Behnken",D3333^2+E3333^2+F3333^2&lt;=2+0.000000001,TRUE()))</f>
        <v>1</v>
      </c>
      <c r="W3333" s="55" t="n">
        <f aca="false">IF(V3333,IF(01_因子設定!$B$13="最大化",T3333-01_因子設定!$B$14,IF(01_因子設定!$B$13="最小化",01_因子設定!$B$15-U3333,MIN(T3333-01_因子設定!$B$14,01_因子設定!$B$15-U3333))),-1E+030)</f>
        <v>-0.126415116887294</v>
      </c>
      <c r="X3333" s="55" t="n">
        <f aca="false">IF(V3333,IF(01_因子設定!$B$13="最大化",Q3333,IF(01_因子設定!$B$13="最小化",-Q3333,-ABS(Q3333-01_因子設定!$B$16))),-1E+030)</f>
        <v>49.3825142045455</v>
      </c>
      <c r="Y3333" s="55" t="n">
        <f aca="false">W3333+ROW()*0.000000001</f>
        <v>-0.126411783887294</v>
      </c>
      <c r="Z3333" s="55" t="n">
        <f aca="false">X3333+ROW()*0.000000001</f>
        <v>49.3825175375455</v>
      </c>
    </row>
    <row r="3334" customFormat="false" ht="15" hidden="false" customHeight="false" outlineLevel="0" collapsed="false">
      <c r="A3334" s="0" t="n">
        <v>11</v>
      </c>
      <c r="B3334" s="0" t="n">
        <v>8</v>
      </c>
      <c r="C3334" s="0" t="n">
        <v>14</v>
      </c>
      <c r="D3334" s="0" t="n">
        <f aca="false">-1+A3334*0.125</f>
        <v>0.375</v>
      </c>
      <c r="E3334" s="0" t="n">
        <f aca="false">-1+B3334*0.125</f>
        <v>0</v>
      </c>
      <c r="F3334" s="0" t="n">
        <f aca="false">-1+C3334*0.125</f>
        <v>0.75</v>
      </c>
      <c r="G3334" s="0" t="n">
        <f aca="false">1</f>
        <v>1</v>
      </c>
      <c r="H3334" s="0" t="n">
        <f aca="false">D3334</f>
        <v>0.375</v>
      </c>
      <c r="I3334" s="0" t="n">
        <f aca="false">E3334</f>
        <v>0</v>
      </c>
      <c r="J3334" s="0" t="n">
        <f aca="false">F3334</f>
        <v>0.75</v>
      </c>
      <c r="K3334" s="0" t="n">
        <f aca="false">D3334*E3334</f>
        <v>0</v>
      </c>
      <c r="L3334" s="0" t="n">
        <f aca="false">D3334*F3334</f>
        <v>0.28125</v>
      </c>
      <c r="M3334" s="0" t="n">
        <f aca="false">E3334*F3334</f>
        <v>0</v>
      </c>
      <c r="N3334" s="0" t="n">
        <f aca="false">D3334*D3334</f>
        <v>0.140625</v>
      </c>
      <c r="O3334" s="0" t="n">
        <f aca="false">E3334*E3334</f>
        <v>0</v>
      </c>
      <c r="P3334" s="0" t="n">
        <f aca="false">F3334*F3334</f>
        <v>0.5625</v>
      </c>
      <c r="Q3334" s="0" t="n">
        <f aca="false">SUMPRODUCT(G3334:P3334,_XtX!$B$71:$K$71)</f>
        <v>49.3456392045455</v>
      </c>
      <c r="R3334" s="0" t="n">
        <f aca="false">SUMPRODUCT(MMULT(G3334:P3334,_XtX!$B$58:$K$67),G3334:P3334)</f>
        <v>0.235136274857955</v>
      </c>
      <c r="S3334" s="0" t="n">
        <f aca="false">04_回帰ANOVA!$K$19*04_回帰ANOVA!$K$14*SQRT(1+R3334)</f>
        <v>1.03329439695656</v>
      </c>
      <c r="T3334" s="0" t="n">
        <f aca="false">Q3334-S3334</f>
        <v>48.3123448075889</v>
      </c>
      <c r="U3334" s="0" t="n">
        <f aca="false">Q3334+S3334</f>
        <v>50.378933601502</v>
      </c>
      <c r="V3334" s="54" t="b">
        <f aca="false">AND(D3334&gt;=01_因子設定!$L$5-0.000000001,D3334&lt;=01_因子設定!$M$5+0.000000001,E3334&gt;=01_因子設定!$L$6-0.000000001,E3334&lt;=01_因子設定!$M$6+0.000000001,F3334&gt;=01_因子設定!$L$7-0.000000001,F3334&lt;=01_因子設定!$M$7+0.000000001,IF(01_因子設定!$B$20="Box-Behnken",D3334^2+E3334^2+F3334^2&lt;=2+0.000000001,TRUE()))</f>
        <v>1</v>
      </c>
      <c r="W3334" s="55" t="n">
        <f aca="false">IF(V3334,IF(01_因子設定!$B$13="最大化",T3334-01_因子設定!$B$14,IF(01_因子設定!$B$13="最小化",01_因子設定!$B$15-U3334,MIN(T3334-01_因子設定!$B$14,01_因子設定!$B$15-U3334))),-1E+030)</f>
        <v>-0.187655192411086</v>
      </c>
      <c r="X3334" s="55" t="n">
        <f aca="false">IF(V3334,IF(01_因子設定!$B$13="最大化",Q3334,IF(01_因子設定!$B$13="最小化",-Q3334,-ABS(Q3334-01_因子設定!$B$16))),-1E+030)</f>
        <v>49.3456392045455</v>
      </c>
      <c r="Y3334" s="55" t="n">
        <f aca="false">W3334+ROW()*0.000000001</f>
        <v>-0.187651858411086</v>
      </c>
      <c r="Z3334" s="55" t="n">
        <f aca="false">X3334+ROW()*0.000000001</f>
        <v>49.3456425385455</v>
      </c>
    </row>
    <row r="3335" customFormat="false" ht="15" hidden="false" customHeight="false" outlineLevel="0" collapsed="false">
      <c r="A3335" s="0" t="n">
        <v>11</v>
      </c>
      <c r="B3335" s="0" t="n">
        <v>8</v>
      </c>
      <c r="C3335" s="0" t="n">
        <v>15</v>
      </c>
      <c r="D3335" s="0" t="n">
        <f aca="false">-1+A3335*0.125</f>
        <v>0.375</v>
      </c>
      <c r="E3335" s="0" t="n">
        <f aca="false">-1+B3335*0.125</f>
        <v>0</v>
      </c>
      <c r="F3335" s="0" t="n">
        <f aca="false">-1+C3335*0.125</f>
        <v>0.875</v>
      </c>
      <c r="G3335" s="0" t="n">
        <f aca="false">1</f>
        <v>1</v>
      </c>
      <c r="H3335" s="0" t="n">
        <f aca="false">D3335</f>
        <v>0.375</v>
      </c>
      <c r="I3335" s="0" t="n">
        <f aca="false">E3335</f>
        <v>0</v>
      </c>
      <c r="J3335" s="0" t="n">
        <f aca="false">F3335</f>
        <v>0.875</v>
      </c>
      <c r="K3335" s="0" t="n">
        <f aca="false">D3335*E3335</f>
        <v>0</v>
      </c>
      <c r="L3335" s="0" t="n">
        <f aca="false">D3335*F3335</f>
        <v>0.328125</v>
      </c>
      <c r="M3335" s="0" t="n">
        <f aca="false">E3335*F3335</f>
        <v>0</v>
      </c>
      <c r="N3335" s="0" t="n">
        <f aca="false">D3335*D3335</f>
        <v>0.140625</v>
      </c>
      <c r="O3335" s="0" t="n">
        <f aca="false">E3335*E3335</f>
        <v>0</v>
      </c>
      <c r="P3335" s="0" t="n">
        <f aca="false">F3335*F3335</f>
        <v>0.765625</v>
      </c>
      <c r="Q3335" s="0" t="n">
        <f aca="false">SUMPRODUCT(G3335:P3335,_XtX!$B$71:$K$71)</f>
        <v>49.2719744318182</v>
      </c>
      <c r="R3335" s="0" t="n">
        <f aca="false">SUMPRODUCT(MMULT(G3335:P3335,_XtX!$B$58:$K$67),G3335:P3335)</f>
        <v>0.330863259055398</v>
      </c>
      <c r="S3335" s="0" t="n">
        <f aca="false">04_回帰ANOVA!$K$19*04_回帰ANOVA!$K$14*SQRT(1+R3335)</f>
        <v>1.07258903754571</v>
      </c>
      <c r="T3335" s="0" t="n">
        <f aca="false">Q3335-S3335</f>
        <v>48.1993853942725</v>
      </c>
      <c r="U3335" s="0" t="n">
        <f aca="false">Q3335+S3335</f>
        <v>50.3445634693639</v>
      </c>
      <c r="V3335" s="54" t="b">
        <f aca="false">AND(D3335&gt;=01_因子設定!$L$5-0.000000001,D3335&lt;=01_因子設定!$M$5+0.000000001,E3335&gt;=01_因子設定!$L$6-0.000000001,E3335&lt;=01_因子設定!$M$6+0.000000001,F3335&gt;=01_因子設定!$L$7-0.000000001,F3335&lt;=01_因子設定!$M$7+0.000000001,IF(01_因子設定!$B$20="Box-Behnken",D3335^2+E3335^2+F3335^2&lt;=2+0.000000001,TRUE()))</f>
        <v>1</v>
      </c>
      <c r="W3335" s="55" t="n">
        <f aca="false">IF(V3335,IF(01_因子設定!$B$13="最大化",T3335-01_因子設定!$B$14,IF(01_因子設定!$B$13="最小化",01_因子設定!$B$15-U3335,MIN(T3335-01_因子設定!$B$14,01_因子設定!$B$15-U3335))),-1E+030)</f>
        <v>-0.300614605727503</v>
      </c>
      <c r="X3335" s="55" t="n">
        <f aca="false">IF(V3335,IF(01_因子設定!$B$13="最大化",Q3335,IF(01_因子設定!$B$13="最小化",-Q3335,-ABS(Q3335-01_因子設定!$B$16))),-1E+030)</f>
        <v>49.2719744318182</v>
      </c>
      <c r="Y3335" s="55" t="n">
        <f aca="false">W3335+ROW()*0.000000001</f>
        <v>-0.300611270727503</v>
      </c>
      <c r="Z3335" s="55" t="n">
        <f aca="false">X3335+ROW()*0.000000001</f>
        <v>49.2719777668182</v>
      </c>
    </row>
    <row r="3336" customFormat="false" ht="15" hidden="false" customHeight="false" outlineLevel="0" collapsed="false">
      <c r="A3336" s="0" t="n">
        <v>11</v>
      </c>
      <c r="B3336" s="0" t="n">
        <v>8</v>
      </c>
      <c r="C3336" s="0" t="n">
        <v>16</v>
      </c>
      <c r="D3336" s="0" t="n">
        <f aca="false">-1+A3336*0.125</f>
        <v>0.375</v>
      </c>
      <c r="E3336" s="0" t="n">
        <f aca="false">-1+B3336*0.125</f>
        <v>0</v>
      </c>
      <c r="F3336" s="0" t="n">
        <f aca="false">-1+C3336*0.125</f>
        <v>1</v>
      </c>
      <c r="G3336" s="0" t="n">
        <f aca="false">1</f>
        <v>1</v>
      </c>
      <c r="H3336" s="0" t="n">
        <f aca="false">D3336</f>
        <v>0.375</v>
      </c>
      <c r="I3336" s="0" t="n">
        <f aca="false">E3336</f>
        <v>0</v>
      </c>
      <c r="J3336" s="0" t="n">
        <f aca="false">F3336</f>
        <v>1</v>
      </c>
      <c r="K3336" s="0" t="n">
        <f aca="false">D3336*E3336</f>
        <v>0</v>
      </c>
      <c r="L3336" s="0" t="n">
        <f aca="false">D3336*F3336</f>
        <v>0.375</v>
      </c>
      <c r="M3336" s="0" t="n">
        <f aca="false">E3336*F3336</f>
        <v>0</v>
      </c>
      <c r="N3336" s="0" t="n">
        <f aca="false">D3336*D3336</f>
        <v>0.140625</v>
      </c>
      <c r="O3336" s="0" t="n">
        <f aca="false">E3336*E3336</f>
        <v>0</v>
      </c>
      <c r="P3336" s="0" t="n">
        <f aca="false">F3336*F3336</f>
        <v>1</v>
      </c>
      <c r="Q3336" s="0" t="n">
        <f aca="false">SUMPRODUCT(G3336:P3336,_XtX!$B$71:$K$71)</f>
        <v>49.1615198863637</v>
      </c>
      <c r="R3336" s="0" t="n">
        <f aca="false">SUMPRODUCT(MMULT(G3336:P3336,_XtX!$B$58:$K$67),G3336:P3336)</f>
        <v>0.478604403409091</v>
      </c>
      <c r="S3336" s="0" t="n">
        <f aca="false">04_回帰ANOVA!$K$19*04_回帰ANOVA!$K$14*SQRT(1+R3336)</f>
        <v>1.13055744343508</v>
      </c>
      <c r="T3336" s="0" t="n">
        <f aca="false">Q3336-S3336</f>
        <v>48.0309624429286</v>
      </c>
      <c r="U3336" s="0" t="n">
        <f aca="false">Q3336+S3336</f>
        <v>50.2920773297987</v>
      </c>
      <c r="V3336" s="54" t="b">
        <f aca="false">AND(D3336&gt;=01_因子設定!$L$5-0.000000001,D3336&lt;=01_因子設定!$M$5+0.000000001,E3336&gt;=01_因子設定!$L$6-0.000000001,E3336&lt;=01_因子設定!$M$6+0.000000001,F3336&gt;=01_因子設定!$L$7-0.000000001,F3336&lt;=01_因子設定!$M$7+0.000000001,IF(01_因子設定!$B$20="Box-Behnken",D3336^2+E3336^2+F3336^2&lt;=2+0.000000001,TRUE()))</f>
        <v>1</v>
      </c>
      <c r="W3336" s="55" t="n">
        <f aca="false">IF(V3336,IF(01_因子設定!$B$13="最大化",T3336-01_因子設定!$B$14,IF(01_因子設定!$B$13="最小化",01_因子設定!$B$15-U3336,MIN(T3336-01_因子設定!$B$14,01_因子設定!$B$15-U3336))),-1E+030)</f>
        <v>-0.469037557071417</v>
      </c>
      <c r="X3336" s="55" t="n">
        <f aca="false">IF(V3336,IF(01_因子設定!$B$13="最大化",Q3336,IF(01_因子設定!$B$13="最小化",-Q3336,-ABS(Q3336-01_因子設定!$B$16))),-1E+030)</f>
        <v>49.1615198863637</v>
      </c>
      <c r="Y3336" s="55" t="n">
        <f aca="false">W3336+ROW()*0.000000001</f>
        <v>-0.469034221071417</v>
      </c>
      <c r="Z3336" s="55" t="n">
        <f aca="false">X3336+ROW()*0.000000001</f>
        <v>49.1615232223637</v>
      </c>
    </row>
    <row r="3337" customFormat="false" ht="15" hidden="false" customHeight="false" outlineLevel="0" collapsed="false">
      <c r="A3337" s="0" t="n">
        <v>11</v>
      </c>
      <c r="B3337" s="0" t="n">
        <v>9</v>
      </c>
      <c r="C3337" s="0" t="n">
        <v>0</v>
      </c>
      <c r="D3337" s="0" t="n">
        <f aca="false">-1+A3337*0.125</f>
        <v>0.375</v>
      </c>
      <c r="E3337" s="0" t="n">
        <f aca="false">-1+B3337*0.125</f>
        <v>0.125</v>
      </c>
      <c r="F3337" s="0" t="n">
        <f aca="false">-1+C3337*0.125</f>
        <v>-1</v>
      </c>
      <c r="G3337" s="0" t="n">
        <f aca="false">1</f>
        <v>1</v>
      </c>
      <c r="H3337" s="0" t="n">
        <f aca="false">D3337</f>
        <v>0.375</v>
      </c>
      <c r="I3337" s="0" t="n">
        <f aca="false">E3337</f>
        <v>0.125</v>
      </c>
      <c r="J3337" s="0" t="n">
        <f aca="false">F3337</f>
        <v>-1</v>
      </c>
      <c r="K3337" s="0" t="n">
        <f aca="false">D3337*E3337</f>
        <v>0.046875</v>
      </c>
      <c r="L3337" s="0" t="n">
        <f aca="false">D3337*F3337</f>
        <v>-0.375</v>
      </c>
      <c r="M3337" s="0" t="n">
        <f aca="false">E3337*F3337</f>
        <v>-0.125</v>
      </c>
      <c r="N3337" s="0" t="n">
        <f aca="false">D3337*D3337</f>
        <v>0.140625</v>
      </c>
      <c r="O3337" s="0" t="n">
        <f aca="false">E3337*E3337</f>
        <v>0.015625</v>
      </c>
      <c r="P3337" s="0" t="n">
        <f aca="false">F3337*F3337</f>
        <v>1</v>
      </c>
      <c r="Q3337" s="0" t="n">
        <f aca="false">SUMPRODUCT(G3337:P3337,_XtX!$B$71:$K$71)</f>
        <v>46.742265625</v>
      </c>
      <c r="R3337" s="0" t="n">
        <f aca="false">SUMPRODUCT(MMULT(G3337:P3337,_XtX!$B$58:$K$67),G3337:P3337)</f>
        <v>0.476202392578125</v>
      </c>
      <c r="S3337" s="0" t="n">
        <f aca="false">04_回帰ANOVA!$K$19*04_回帰ANOVA!$K$14*SQRT(1+R3337)</f>
        <v>1.12963876802721</v>
      </c>
      <c r="T3337" s="0" t="n">
        <f aca="false">Q3337-S3337</f>
        <v>45.6126268569728</v>
      </c>
      <c r="U3337" s="0" t="n">
        <f aca="false">Q3337+S3337</f>
        <v>47.8719043930272</v>
      </c>
      <c r="V3337" s="54" t="b">
        <f aca="false">AND(D3337&gt;=01_因子設定!$L$5-0.000000001,D3337&lt;=01_因子設定!$M$5+0.000000001,E3337&gt;=01_因子設定!$L$6-0.000000001,E3337&lt;=01_因子設定!$M$6+0.000000001,F3337&gt;=01_因子設定!$L$7-0.000000001,F3337&lt;=01_因子設定!$M$7+0.000000001,IF(01_因子設定!$B$20="Box-Behnken",D3337^2+E3337^2+F3337^2&lt;=2+0.000000001,TRUE()))</f>
        <v>1</v>
      </c>
      <c r="W3337" s="55" t="n">
        <f aca="false">IF(V3337,IF(01_因子設定!$B$13="最大化",T3337-01_因子設定!$B$14,IF(01_因子設定!$B$13="最小化",01_因子設定!$B$15-U3337,MIN(T3337-01_因子設定!$B$14,01_因子設定!$B$15-U3337))),-1E+030)</f>
        <v>-2.88737314302718</v>
      </c>
      <c r="X3337" s="55" t="n">
        <f aca="false">IF(V3337,IF(01_因子設定!$B$13="最大化",Q3337,IF(01_因子設定!$B$13="最小化",-Q3337,-ABS(Q3337-01_因子設定!$B$16))),-1E+030)</f>
        <v>46.742265625</v>
      </c>
      <c r="Y3337" s="55" t="n">
        <f aca="false">W3337+ROW()*0.000000001</f>
        <v>-2.88736980602718</v>
      </c>
      <c r="Z3337" s="55" t="n">
        <f aca="false">X3337+ROW()*0.000000001</f>
        <v>46.742268962</v>
      </c>
    </row>
    <row r="3338" customFormat="false" ht="15" hidden="false" customHeight="false" outlineLevel="0" collapsed="false">
      <c r="A3338" s="0" t="n">
        <v>11</v>
      </c>
      <c r="B3338" s="0" t="n">
        <v>9</v>
      </c>
      <c r="C3338" s="0" t="n">
        <v>1</v>
      </c>
      <c r="D3338" s="0" t="n">
        <f aca="false">-1+A3338*0.125</f>
        <v>0.375</v>
      </c>
      <c r="E3338" s="0" t="n">
        <f aca="false">-1+B3338*0.125</f>
        <v>0.125</v>
      </c>
      <c r="F3338" s="0" t="n">
        <f aca="false">-1+C3338*0.125</f>
        <v>-0.875</v>
      </c>
      <c r="G3338" s="0" t="n">
        <f aca="false">1</f>
        <v>1</v>
      </c>
      <c r="H3338" s="0" t="n">
        <f aca="false">D3338</f>
        <v>0.375</v>
      </c>
      <c r="I3338" s="0" t="n">
        <f aca="false">E3338</f>
        <v>0.125</v>
      </c>
      <c r="J3338" s="0" t="n">
        <f aca="false">F3338</f>
        <v>-0.875</v>
      </c>
      <c r="K3338" s="0" t="n">
        <f aca="false">D3338*E3338</f>
        <v>0.046875</v>
      </c>
      <c r="L3338" s="0" t="n">
        <f aca="false">D3338*F3338</f>
        <v>-0.328125</v>
      </c>
      <c r="M3338" s="0" t="n">
        <f aca="false">E3338*F3338</f>
        <v>-0.109375</v>
      </c>
      <c r="N3338" s="0" t="n">
        <f aca="false">D3338*D3338</f>
        <v>0.140625</v>
      </c>
      <c r="O3338" s="0" t="n">
        <f aca="false">E3338*E3338</f>
        <v>0.015625</v>
      </c>
      <c r="P3338" s="0" t="n">
        <f aca="false">F3338*F3338</f>
        <v>0.765625</v>
      </c>
      <c r="Q3338" s="0" t="n">
        <f aca="false">SUMPRODUCT(G3338:P3338,_XtX!$B$71:$K$71)</f>
        <v>47.1906889204546</v>
      </c>
      <c r="R3338" s="0" t="n">
        <f aca="false">SUMPRODUCT(MMULT(G3338:P3338,_XtX!$B$58:$K$67),G3338:P3338)</f>
        <v>0.32900224165483</v>
      </c>
      <c r="S3338" s="0" t="n">
        <f aca="false">04_回帰ANOVA!$K$19*04_回帰ANOVA!$K$14*SQRT(1+R3338)</f>
        <v>1.07183884583628</v>
      </c>
      <c r="T3338" s="0" t="n">
        <f aca="false">Q3338-S3338</f>
        <v>46.1188500746183</v>
      </c>
      <c r="U3338" s="0" t="n">
        <f aca="false">Q3338+S3338</f>
        <v>48.2625277662908</v>
      </c>
      <c r="V3338" s="54" t="b">
        <f aca="false">AND(D3338&gt;=01_因子設定!$L$5-0.000000001,D3338&lt;=01_因子設定!$M$5+0.000000001,E3338&gt;=01_因子設定!$L$6-0.000000001,E3338&lt;=01_因子設定!$M$6+0.000000001,F3338&gt;=01_因子設定!$L$7-0.000000001,F3338&lt;=01_因子設定!$M$7+0.000000001,IF(01_因子設定!$B$20="Box-Behnken",D3338^2+E3338^2+F3338^2&lt;=2+0.000000001,TRUE()))</f>
        <v>1</v>
      </c>
      <c r="W3338" s="55" t="n">
        <f aca="false">IF(V3338,IF(01_因子設定!$B$13="最大化",T3338-01_因子設定!$B$14,IF(01_因子設定!$B$13="最小化",01_因子設定!$B$15-U3338,MIN(T3338-01_因子設定!$B$14,01_因子設定!$B$15-U3338))),-1E+030)</f>
        <v>-2.38114992538171</v>
      </c>
      <c r="X3338" s="55" t="n">
        <f aca="false">IF(V3338,IF(01_因子設定!$B$13="最大化",Q3338,IF(01_因子設定!$B$13="最小化",-Q3338,-ABS(Q3338-01_因子設定!$B$16))),-1E+030)</f>
        <v>47.1906889204546</v>
      </c>
      <c r="Y3338" s="55" t="n">
        <f aca="false">W3338+ROW()*0.000000001</f>
        <v>-2.38114658738171</v>
      </c>
      <c r="Z3338" s="55" t="n">
        <f aca="false">X3338+ROW()*0.000000001</f>
        <v>47.1906922584546</v>
      </c>
    </row>
    <row r="3339" customFormat="false" ht="15" hidden="false" customHeight="false" outlineLevel="0" collapsed="false">
      <c r="A3339" s="0" t="n">
        <v>11</v>
      </c>
      <c r="B3339" s="0" t="n">
        <v>9</v>
      </c>
      <c r="C3339" s="0" t="n">
        <v>2</v>
      </c>
      <c r="D3339" s="0" t="n">
        <f aca="false">-1+A3339*0.125</f>
        <v>0.375</v>
      </c>
      <c r="E3339" s="0" t="n">
        <f aca="false">-1+B3339*0.125</f>
        <v>0.125</v>
      </c>
      <c r="F3339" s="0" t="n">
        <f aca="false">-1+C3339*0.125</f>
        <v>-0.75</v>
      </c>
      <c r="G3339" s="0" t="n">
        <f aca="false">1</f>
        <v>1</v>
      </c>
      <c r="H3339" s="0" t="n">
        <f aca="false">D3339</f>
        <v>0.375</v>
      </c>
      <c r="I3339" s="0" t="n">
        <f aca="false">E3339</f>
        <v>0.125</v>
      </c>
      <c r="J3339" s="0" t="n">
        <f aca="false">F3339</f>
        <v>-0.75</v>
      </c>
      <c r="K3339" s="0" t="n">
        <f aca="false">D3339*E3339</f>
        <v>0.046875</v>
      </c>
      <c r="L3339" s="0" t="n">
        <f aca="false">D3339*F3339</f>
        <v>-0.28125</v>
      </c>
      <c r="M3339" s="0" t="n">
        <f aca="false">E3339*F3339</f>
        <v>-0.09375</v>
      </c>
      <c r="N3339" s="0" t="n">
        <f aca="false">D3339*D3339</f>
        <v>0.140625</v>
      </c>
      <c r="O3339" s="0" t="n">
        <f aca="false">E3339*E3339</f>
        <v>0.015625</v>
      </c>
      <c r="P3339" s="0" t="n">
        <f aca="false">F3339*F3339</f>
        <v>0.5625</v>
      </c>
      <c r="Q3339" s="0" t="n">
        <f aca="false">SUMPRODUCT(G3339:P3339,_XtX!$B$71:$K$71)</f>
        <v>47.6023224431818</v>
      </c>
      <c r="R3339" s="0" t="n">
        <f aca="false">SUMPRODUCT(MMULT(G3339:P3339,_XtX!$B$58:$K$67),G3339:P3339)</f>
        <v>0.233744118430398</v>
      </c>
      <c r="S3339" s="0" t="n">
        <f aca="false">04_回帰ANOVA!$K$19*04_回帰ANOVA!$K$14*SQRT(1+R3339)</f>
        <v>1.0327119053564</v>
      </c>
      <c r="T3339" s="0" t="n">
        <f aca="false">Q3339-S3339</f>
        <v>46.5696105378254</v>
      </c>
      <c r="U3339" s="0" t="n">
        <f aca="false">Q3339+S3339</f>
        <v>48.6350343485382</v>
      </c>
      <c r="V3339" s="54" t="b">
        <f aca="false">AND(D3339&gt;=01_因子設定!$L$5-0.000000001,D3339&lt;=01_因子設定!$M$5+0.000000001,E3339&gt;=01_因子設定!$L$6-0.000000001,E3339&lt;=01_因子設定!$M$6+0.000000001,F3339&gt;=01_因子設定!$L$7-0.000000001,F3339&lt;=01_因子設定!$M$7+0.000000001,IF(01_因子設定!$B$20="Box-Behnken",D3339^2+E3339^2+F3339^2&lt;=2+0.000000001,TRUE()))</f>
        <v>1</v>
      </c>
      <c r="W3339" s="55" t="n">
        <f aca="false">IF(V3339,IF(01_因子設定!$B$13="最大化",T3339-01_因子設定!$B$14,IF(01_因子設定!$B$13="最小化",01_因子設定!$B$15-U3339,MIN(T3339-01_因子設定!$B$14,01_因子設定!$B$15-U3339))),-1E+030)</f>
        <v>-1.93038946217457</v>
      </c>
      <c r="X3339" s="55" t="n">
        <f aca="false">IF(V3339,IF(01_因子設定!$B$13="最大化",Q3339,IF(01_因子設定!$B$13="最小化",-Q3339,-ABS(Q3339-01_因子設定!$B$16))),-1E+030)</f>
        <v>47.6023224431818</v>
      </c>
      <c r="Y3339" s="55" t="n">
        <f aca="false">W3339+ROW()*0.000000001</f>
        <v>-1.93038612317457</v>
      </c>
      <c r="Z3339" s="55" t="n">
        <f aca="false">X3339+ROW()*0.000000001</f>
        <v>47.6023257821818</v>
      </c>
    </row>
    <row r="3340" customFormat="false" ht="15" hidden="false" customHeight="false" outlineLevel="0" collapsed="false">
      <c r="A3340" s="0" t="n">
        <v>11</v>
      </c>
      <c r="B3340" s="0" t="n">
        <v>9</v>
      </c>
      <c r="C3340" s="0" t="n">
        <v>3</v>
      </c>
      <c r="D3340" s="0" t="n">
        <f aca="false">-1+A3340*0.125</f>
        <v>0.375</v>
      </c>
      <c r="E3340" s="0" t="n">
        <f aca="false">-1+B3340*0.125</f>
        <v>0.125</v>
      </c>
      <c r="F3340" s="0" t="n">
        <f aca="false">-1+C3340*0.125</f>
        <v>-0.625</v>
      </c>
      <c r="G3340" s="0" t="n">
        <f aca="false">1</f>
        <v>1</v>
      </c>
      <c r="H3340" s="0" t="n">
        <f aca="false">D3340</f>
        <v>0.375</v>
      </c>
      <c r="I3340" s="0" t="n">
        <f aca="false">E3340</f>
        <v>0.125</v>
      </c>
      <c r="J3340" s="0" t="n">
        <f aca="false">F3340</f>
        <v>-0.625</v>
      </c>
      <c r="K3340" s="0" t="n">
        <f aca="false">D3340*E3340</f>
        <v>0.046875</v>
      </c>
      <c r="L3340" s="0" t="n">
        <f aca="false">D3340*F3340</f>
        <v>-0.234375</v>
      </c>
      <c r="M3340" s="0" t="n">
        <f aca="false">E3340*F3340</f>
        <v>-0.078125</v>
      </c>
      <c r="N3340" s="0" t="n">
        <f aca="false">D3340*D3340</f>
        <v>0.140625</v>
      </c>
      <c r="O3340" s="0" t="n">
        <f aca="false">E3340*E3340</f>
        <v>0.015625</v>
      </c>
      <c r="P3340" s="0" t="n">
        <f aca="false">F3340*F3340</f>
        <v>0.390625</v>
      </c>
      <c r="Q3340" s="0" t="n">
        <f aca="false">SUMPRODUCT(G3340:P3340,_XtX!$B$71:$K$71)</f>
        <v>47.9771661931818</v>
      </c>
      <c r="R3340" s="0" t="n">
        <f aca="false">SUMPRODUCT(MMULT(G3340:P3340,_XtX!$B$58:$K$67),G3340:P3340)</f>
        <v>0.176578591086648</v>
      </c>
      <c r="S3340" s="0" t="n">
        <f aca="false">04_回帰ANOVA!$K$19*04_回帰ANOVA!$K$14*SQRT(1+R3340)</f>
        <v>1.00850279676269</v>
      </c>
      <c r="T3340" s="0" t="n">
        <f aca="false">Q3340-S3340</f>
        <v>46.9686633964191</v>
      </c>
      <c r="U3340" s="0" t="n">
        <f aca="false">Q3340+S3340</f>
        <v>48.9856689899445</v>
      </c>
      <c r="V3340" s="54" t="b">
        <f aca="false">AND(D3340&gt;=01_因子設定!$L$5-0.000000001,D3340&lt;=01_因子設定!$M$5+0.000000001,E3340&gt;=01_因子設定!$L$6-0.000000001,E3340&lt;=01_因子設定!$M$6+0.000000001,F3340&gt;=01_因子設定!$L$7-0.000000001,F3340&lt;=01_因子設定!$M$7+0.000000001,IF(01_因子設定!$B$20="Box-Behnken",D3340^2+E3340^2+F3340^2&lt;=2+0.000000001,TRUE()))</f>
        <v>1</v>
      </c>
      <c r="W3340" s="55" t="n">
        <f aca="false">IF(V3340,IF(01_因子設定!$B$13="最大化",T3340-01_因子設定!$B$14,IF(01_因子設定!$B$13="最小化",01_因子設定!$B$15-U3340,MIN(T3340-01_因子設定!$B$14,01_因子設定!$B$15-U3340))),-1E+030)</f>
        <v>-1.53133660358086</v>
      </c>
      <c r="X3340" s="55" t="n">
        <f aca="false">IF(V3340,IF(01_因子設定!$B$13="最大化",Q3340,IF(01_因子設定!$B$13="最小化",-Q3340,-ABS(Q3340-01_因子設定!$B$16))),-1E+030)</f>
        <v>47.9771661931818</v>
      </c>
      <c r="Y3340" s="55" t="n">
        <f aca="false">W3340+ROW()*0.000000001</f>
        <v>-1.53133326358086</v>
      </c>
      <c r="Z3340" s="55" t="n">
        <f aca="false">X3340+ROW()*0.000000001</f>
        <v>47.9771695331818</v>
      </c>
    </row>
    <row r="3341" customFormat="false" ht="15" hidden="false" customHeight="false" outlineLevel="0" collapsed="false">
      <c r="A3341" s="0" t="n">
        <v>11</v>
      </c>
      <c r="B3341" s="0" t="n">
        <v>9</v>
      </c>
      <c r="C3341" s="0" t="n">
        <v>4</v>
      </c>
      <c r="D3341" s="0" t="n">
        <f aca="false">-1+A3341*0.125</f>
        <v>0.375</v>
      </c>
      <c r="E3341" s="0" t="n">
        <f aca="false">-1+B3341*0.125</f>
        <v>0.125</v>
      </c>
      <c r="F3341" s="0" t="n">
        <f aca="false">-1+C3341*0.125</f>
        <v>-0.5</v>
      </c>
      <c r="G3341" s="0" t="n">
        <f aca="false">1</f>
        <v>1</v>
      </c>
      <c r="H3341" s="0" t="n">
        <f aca="false">D3341</f>
        <v>0.375</v>
      </c>
      <c r="I3341" s="0" t="n">
        <f aca="false">E3341</f>
        <v>0.125</v>
      </c>
      <c r="J3341" s="0" t="n">
        <f aca="false">F3341</f>
        <v>-0.5</v>
      </c>
      <c r="K3341" s="0" t="n">
        <f aca="false">D3341*E3341</f>
        <v>0.046875</v>
      </c>
      <c r="L3341" s="0" t="n">
        <f aca="false">D3341*F3341</f>
        <v>-0.1875</v>
      </c>
      <c r="M3341" s="0" t="n">
        <f aca="false">E3341*F3341</f>
        <v>-0.0625</v>
      </c>
      <c r="N3341" s="0" t="n">
        <f aca="false">D3341*D3341</f>
        <v>0.140625</v>
      </c>
      <c r="O3341" s="0" t="n">
        <f aca="false">E3341*E3341</f>
        <v>0.015625</v>
      </c>
      <c r="P3341" s="0" t="n">
        <f aca="false">F3341*F3341</f>
        <v>0.25</v>
      </c>
      <c r="Q3341" s="0" t="n">
        <f aca="false">SUMPRODUCT(G3341:P3341,_XtX!$B$71:$K$71)</f>
        <v>48.3152201704546</v>
      </c>
      <c r="R3341" s="0" t="n">
        <f aca="false">SUMPRODUCT(MMULT(G3341:P3341,_XtX!$B$58:$K$67),G3341:P3341)</f>
        <v>0.14578690962358</v>
      </c>
      <c r="S3341" s="0" t="n">
        <f aca="false">04_回帰ANOVA!$K$19*04_回帰ANOVA!$K$14*SQRT(1+R3341)</f>
        <v>0.995218783457917</v>
      </c>
      <c r="T3341" s="0" t="n">
        <f aca="false">Q3341-S3341</f>
        <v>47.3200013869966</v>
      </c>
      <c r="U3341" s="0" t="n">
        <f aca="false">Q3341+S3341</f>
        <v>49.3104389539125</v>
      </c>
      <c r="V3341" s="54" t="b">
        <f aca="false">AND(D3341&gt;=01_因子設定!$L$5-0.000000001,D3341&lt;=01_因子設定!$M$5+0.000000001,E3341&gt;=01_因子設定!$L$6-0.000000001,E3341&lt;=01_因子設定!$M$6+0.000000001,F3341&gt;=01_因子設定!$L$7-0.000000001,F3341&lt;=01_因子設定!$M$7+0.000000001,IF(01_因子設定!$B$20="Box-Behnken",D3341^2+E3341^2+F3341^2&lt;=2+0.000000001,TRUE()))</f>
        <v>1</v>
      </c>
      <c r="W3341" s="55" t="n">
        <f aca="false">IF(V3341,IF(01_因子設定!$B$13="最大化",T3341-01_因子設定!$B$14,IF(01_因子設定!$B$13="最小化",01_因子設定!$B$15-U3341,MIN(T3341-01_因子設定!$B$14,01_因子設定!$B$15-U3341))),-1E+030)</f>
        <v>-1.17999861300336</v>
      </c>
      <c r="X3341" s="55" t="n">
        <f aca="false">IF(V3341,IF(01_因子設定!$B$13="最大化",Q3341,IF(01_因子設定!$B$13="最小化",-Q3341,-ABS(Q3341-01_因子設定!$B$16))),-1E+030)</f>
        <v>48.3152201704546</v>
      </c>
      <c r="Y3341" s="55" t="n">
        <f aca="false">W3341+ROW()*0.000000001</f>
        <v>-1.17999527200336</v>
      </c>
      <c r="Z3341" s="55" t="n">
        <f aca="false">X3341+ROW()*0.000000001</f>
        <v>48.3152235114546</v>
      </c>
    </row>
    <row r="3342" customFormat="false" ht="15" hidden="false" customHeight="false" outlineLevel="0" collapsed="false">
      <c r="A3342" s="0" t="n">
        <v>11</v>
      </c>
      <c r="B3342" s="0" t="n">
        <v>9</v>
      </c>
      <c r="C3342" s="0" t="n">
        <v>5</v>
      </c>
      <c r="D3342" s="0" t="n">
        <f aca="false">-1+A3342*0.125</f>
        <v>0.375</v>
      </c>
      <c r="E3342" s="0" t="n">
        <f aca="false">-1+B3342*0.125</f>
        <v>0.125</v>
      </c>
      <c r="F3342" s="0" t="n">
        <f aca="false">-1+C3342*0.125</f>
        <v>-0.375</v>
      </c>
      <c r="G3342" s="0" t="n">
        <f aca="false">1</f>
        <v>1</v>
      </c>
      <c r="H3342" s="0" t="n">
        <f aca="false">D3342</f>
        <v>0.375</v>
      </c>
      <c r="I3342" s="0" t="n">
        <f aca="false">E3342</f>
        <v>0.125</v>
      </c>
      <c r="J3342" s="0" t="n">
        <f aca="false">F3342</f>
        <v>-0.375</v>
      </c>
      <c r="K3342" s="0" t="n">
        <f aca="false">D3342*E3342</f>
        <v>0.046875</v>
      </c>
      <c r="L3342" s="0" t="n">
        <f aca="false">D3342*F3342</f>
        <v>-0.140625</v>
      </c>
      <c r="M3342" s="0" t="n">
        <f aca="false">E3342*F3342</f>
        <v>-0.046875</v>
      </c>
      <c r="N3342" s="0" t="n">
        <f aca="false">D3342*D3342</f>
        <v>0.140625</v>
      </c>
      <c r="O3342" s="0" t="n">
        <f aca="false">E3342*E3342</f>
        <v>0.015625</v>
      </c>
      <c r="P3342" s="0" t="n">
        <f aca="false">F3342*F3342</f>
        <v>0.140625</v>
      </c>
      <c r="Q3342" s="0" t="n">
        <f aca="false">SUMPRODUCT(G3342:P3342,_XtX!$B$71:$K$71)</f>
        <v>48.616484375</v>
      </c>
      <c r="R3342" s="0" t="n">
        <f aca="false">SUMPRODUCT(MMULT(G3342:P3342,_XtX!$B$58:$K$67),G3342:P3342)</f>
        <v>0.131781005859375</v>
      </c>
      <c r="S3342" s="0" t="n">
        <f aca="false">04_回帰ANOVA!$K$19*04_回帰ANOVA!$K$14*SQRT(1+R3342)</f>
        <v>0.989117388188007</v>
      </c>
      <c r="T3342" s="0" t="n">
        <f aca="false">Q3342-S3342</f>
        <v>47.627366986812</v>
      </c>
      <c r="U3342" s="0" t="n">
        <f aca="false">Q3342+S3342</f>
        <v>49.605601763188</v>
      </c>
      <c r="V3342" s="54" t="b">
        <f aca="false">AND(D3342&gt;=01_因子設定!$L$5-0.000000001,D3342&lt;=01_因子設定!$M$5+0.000000001,E3342&gt;=01_因子設定!$L$6-0.000000001,E3342&lt;=01_因子設定!$M$6+0.000000001,F3342&gt;=01_因子設定!$L$7-0.000000001,F3342&lt;=01_因子設定!$M$7+0.000000001,IF(01_因子設定!$B$20="Box-Behnken",D3342^2+E3342^2+F3342^2&lt;=2+0.000000001,TRUE()))</f>
        <v>1</v>
      </c>
      <c r="W3342" s="55" t="n">
        <f aca="false">IF(V3342,IF(01_因子設定!$B$13="最大化",T3342-01_因子設定!$B$14,IF(01_因子設定!$B$13="最小化",01_因子設定!$B$15-U3342,MIN(T3342-01_因子設定!$B$14,01_因子設定!$B$15-U3342))),-1E+030)</f>
        <v>-0.872633013188001</v>
      </c>
      <c r="X3342" s="55" t="n">
        <f aca="false">IF(V3342,IF(01_因子設定!$B$13="最大化",Q3342,IF(01_因子設定!$B$13="最小化",-Q3342,-ABS(Q3342-01_因子設定!$B$16))),-1E+030)</f>
        <v>48.616484375</v>
      </c>
      <c r="Y3342" s="55" t="n">
        <f aca="false">W3342+ROW()*0.000000001</f>
        <v>-0.872629671188001</v>
      </c>
      <c r="Z3342" s="55" t="n">
        <f aca="false">X3342+ROW()*0.000000001</f>
        <v>48.616487717</v>
      </c>
    </row>
    <row r="3343" customFormat="false" ht="15" hidden="false" customHeight="false" outlineLevel="0" collapsed="false">
      <c r="A3343" s="0" t="n">
        <v>11</v>
      </c>
      <c r="B3343" s="0" t="n">
        <v>9</v>
      </c>
      <c r="C3343" s="0" t="n">
        <v>6</v>
      </c>
      <c r="D3343" s="0" t="n">
        <f aca="false">-1+A3343*0.125</f>
        <v>0.375</v>
      </c>
      <c r="E3343" s="0" t="n">
        <f aca="false">-1+B3343*0.125</f>
        <v>0.125</v>
      </c>
      <c r="F3343" s="0" t="n">
        <f aca="false">-1+C3343*0.125</f>
        <v>-0.25</v>
      </c>
      <c r="G3343" s="0" t="n">
        <f aca="false">1</f>
        <v>1</v>
      </c>
      <c r="H3343" s="0" t="n">
        <f aca="false">D3343</f>
        <v>0.375</v>
      </c>
      <c r="I3343" s="0" t="n">
        <f aca="false">E3343</f>
        <v>0.125</v>
      </c>
      <c r="J3343" s="0" t="n">
        <f aca="false">F3343</f>
        <v>-0.25</v>
      </c>
      <c r="K3343" s="0" t="n">
        <f aca="false">D3343*E3343</f>
        <v>0.046875</v>
      </c>
      <c r="L3343" s="0" t="n">
        <f aca="false">D3343*F3343</f>
        <v>-0.09375</v>
      </c>
      <c r="M3343" s="0" t="n">
        <f aca="false">E3343*F3343</f>
        <v>-0.03125</v>
      </c>
      <c r="N3343" s="0" t="n">
        <f aca="false">D3343*D3343</f>
        <v>0.140625</v>
      </c>
      <c r="O3343" s="0" t="n">
        <f aca="false">E3343*E3343</f>
        <v>0.015625</v>
      </c>
      <c r="P3343" s="0" t="n">
        <f aca="false">F3343*F3343</f>
        <v>0.0625</v>
      </c>
      <c r="Q3343" s="0" t="n">
        <f aca="false">SUMPRODUCT(G3343:P3343,_XtX!$B$71:$K$71)</f>
        <v>48.8809588068182</v>
      </c>
      <c r="R3343" s="0" t="n">
        <f aca="false">SUMPRODUCT(MMULT(G3343:P3343,_XtX!$B$58:$K$67),G3343:P3343)</f>
        <v>0.127103493430398</v>
      </c>
      <c r="S3343" s="0" t="n">
        <f aca="false">04_回帰ANOVA!$K$19*04_回帰ANOVA!$K$14*SQRT(1+R3343)</f>
        <v>0.987071321387587</v>
      </c>
      <c r="T3343" s="0" t="n">
        <f aca="false">Q3343-S3343</f>
        <v>47.8938874854306</v>
      </c>
      <c r="U3343" s="0" t="n">
        <f aca="false">Q3343+S3343</f>
        <v>49.8680301282058</v>
      </c>
      <c r="V3343" s="54" t="b">
        <f aca="false">AND(D3343&gt;=01_因子設定!$L$5-0.000000001,D3343&lt;=01_因子設定!$M$5+0.000000001,E3343&gt;=01_因子設定!$L$6-0.000000001,E3343&lt;=01_因子設定!$M$6+0.000000001,F3343&gt;=01_因子設定!$L$7-0.000000001,F3343&lt;=01_因子設定!$M$7+0.000000001,IF(01_因子設定!$B$20="Box-Behnken",D3343^2+E3343^2+F3343^2&lt;=2+0.000000001,TRUE()))</f>
        <v>1</v>
      </c>
      <c r="W3343" s="55" t="n">
        <f aca="false">IF(V3343,IF(01_因子設定!$B$13="最大化",T3343-01_因子設定!$B$14,IF(01_因子設定!$B$13="最小化",01_因子設定!$B$15-U3343,MIN(T3343-01_因子設定!$B$14,01_因子設定!$B$15-U3343))),-1E+030)</f>
        <v>-0.606112514569396</v>
      </c>
      <c r="X3343" s="55" t="n">
        <f aca="false">IF(V3343,IF(01_因子設定!$B$13="最大化",Q3343,IF(01_因子設定!$B$13="最小化",-Q3343,-ABS(Q3343-01_因子設定!$B$16))),-1E+030)</f>
        <v>48.8809588068182</v>
      </c>
      <c r="Y3343" s="55" t="n">
        <f aca="false">W3343+ROW()*0.000000001</f>
        <v>-0.606109171569396</v>
      </c>
      <c r="Z3343" s="55" t="n">
        <f aca="false">X3343+ROW()*0.000000001</f>
        <v>48.8809621498182</v>
      </c>
    </row>
    <row r="3344" customFormat="false" ht="15" hidden="false" customHeight="false" outlineLevel="0" collapsed="false">
      <c r="A3344" s="0" t="n">
        <v>11</v>
      </c>
      <c r="B3344" s="0" t="n">
        <v>9</v>
      </c>
      <c r="C3344" s="0" t="n">
        <v>7</v>
      </c>
      <c r="D3344" s="0" t="n">
        <f aca="false">-1+A3344*0.125</f>
        <v>0.375</v>
      </c>
      <c r="E3344" s="0" t="n">
        <f aca="false">-1+B3344*0.125</f>
        <v>0.125</v>
      </c>
      <c r="F3344" s="0" t="n">
        <f aca="false">-1+C3344*0.125</f>
        <v>-0.125</v>
      </c>
      <c r="G3344" s="0" t="n">
        <f aca="false">1</f>
        <v>1</v>
      </c>
      <c r="H3344" s="0" t="n">
        <f aca="false">D3344</f>
        <v>0.375</v>
      </c>
      <c r="I3344" s="0" t="n">
        <f aca="false">E3344</f>
        <v>0.125</v>
      </c>
      <c r="J3344" s="0" t="n">
        <f aca="false">F3344</f>
        <v>-0.125</v>
      </c>
      <c r="K3344" s="0" t="n">
        <f aca="false">D3344*E3344</f>
        <v>0.046875</v>
      </c>
      <c r="L3344" s="0" t="n">
        <f aca="false">D3344*F3344</f>
        <v>-0.046875</v>
      </c>
      <c r="M3344" s="0" t="n">
        <f aca="false">E3344*F3344</f>
        <v>-0.015625</v>
      </c>
      <c r="N3344" s="0" t="n">
        <f aca="false">D3344*D3344</f>
        <v>0.140625</v>
      </c>
      <c r="O3344" s="0" t="n">
        <f aca="false">E3344*E3344</f>
        <v>0.015625</v>
      </c>
      <c r="P3344" s="0" t="n">
        <f aca="false">F3344*F3344</f>
        <v>0.015625</v>
      </c>
      <c r="Q3344" s="0" t="n">
        <f aca="false">SUMPRODUCT(G3344:P3344,_XtX!$B$71:$K$71)</f>
        <v>49.1086434659091</v>
      </c>
      <c r="R3344" s="0" t="n">
        <f aca="false">SUMPRODUCT(MMULT(G3344:P3344,_XtX!$B$58:$K$67),G3344:P3344)</f>
        <v>0.126427667791193</v>
      </c>
      <c r="S3344" s="0" t="n">
        <f aca="false">04_回帰ANOVA!$K$19*04_回帰ANOVA!$K$14*SQRT(1+R3344)</f>
        <v>0.986775346732538</v>
      </c>
      <c r="T3344" s="0" t="n">
        <f aca="false">Q3344-S3344</f>
        <v>48.1218681191766</v>
      </c>
      <c r="U3344" s="0" t="n">
        <f aca="false">Q3344+S3344</f>
        <v>50.0954188126416</v>
      </c>
      <c r="V3344" s="54" t="b">
        <f aca="false">AND(D3344&gt;=01_因子設定!$L$5-0.000000001,D3344&lt;=01_因子設定!$M$5+0.000000001,E3344&gt;=01_因子設定!$L$6-0.000000001,E3344&lt;=01_因子設定!$M$6+0.000000001,F3344&gt;=01_因子設定!$L$7-0.000000001,F3344&lt;=01_因子設定!$M$7+0.000000001,IF(01_因子設定!$B$20="Box-Behnken",D3344^2+E3344^2+F3344^2&lt;=2+0.000000001,TRUE()))</f>
        <v>1</v>
      </c>
      <c r="W3344" s="55" t="n">
        <f aca="false">IF(V3344,IF(01_因子設定!$B$13="最大化",T3344-01_因子設定!$B$14,IF(01_因子設定!$B$13="最小化",01_因子設定!$B$15-U3344,MIN(T3344-01_因子設定!$B$14,01_因子設定!$B$15-U3344))),-1E+030)</f>
        <v>-0.378131880823439</v>
      </c>
      <c r="X3344" s="55" t="n">
        <f aca="false">IF(V3344,IF(01_因子設定!$B$13="最大化",Q3344,IF(01_因子設定!$B$13="最小化",-Q3344,-ABS(Q3344-01_因子設定!$B$16))),-1E+030)</f>
        <v>49.1086434659091</v>
      </c>
      <c r="Y3344" s="55" t="n">
        <f aca="false">W3344+ROW()*0.000000001</f>
        <v>-0.378128536823439</v>
      </c>
      <c r="Z3344" s="55" t="n">
        <f aca="false">X3344+ROW()*0.000000001</f>
        <v>49.1086468099091</v>
      </c>
    </row>
    <row r="3345" customFormat="false" ht="15" hidden="false" customHeight="false" outlineLevel="0" collapsed="false">
      <c r="A3345" s="0" t="n">
        <v>11</v>
      </c>
      <c r="B3345" s="0" t="n">
        <v>9</v>
      </c>
      <c r="C3345" s="0" t="n">
        <v>8</v>
      </c>
      <c r="D3345" s="0" t="n">
        <f aca="false">-1+A3345*0.125</f>
        <v>0.375</v>
      </c>
      <c r="E3345" s="0" t="n">
        <f aca="false">-1+B3345*0.125</f>
        <v>0.125</v>
      </c>
      <c r="F3345" s="0" t="n">
        <f aca="false">-1+C3345*0.125</f>
        <v>0</v>
      </c>
      <c r="G3345" s="0" t="n">
        <f aca="false">1</f>
        <v>1</v>
      </c>
      <c r="H3345" s="0" t="n">
        <f aca="false">D3345</f>
        <v>0.375</v>
      </c>
      <c r="I3345" s="0" t="n">
        <f aca="false">E3345</f>
        <v>0.125</v>
      </c>
      <c r="J3345" s="0" t="n">
        <f aca="false">F3345</f>
        <v>0</v>
      </c>
      <c r="K3345" s="0" t="n">
        <f aca="false">D3345*E3345</f>
        <v>0.046875</v>
      </c>
      <c r="L3345" s="0" t="n">
        <f aca="false">D3345*F3345</f>
        <v>0</v>
      </c>
      <c r="M3345" s="0" t="n">
        <f aca="false">E3345*F3345</f>
        <v>0</v>
      </c>
      <c r="N3345" s="0" t="n">
        <f aca="false">D3345*D3345</f>
        <v>0.140625</v>
      </c>
      <c r="O3345" s="0" t="n">
        <f aca="false">E3345*E3345</f>
        <v>0.015625</v>
      </c>
      <c r="P3345" s="0" t="n">
        <f aca="false">F3345*F3345</f>
        <v>0</v>
      </c>
      <c r="Q3345" s="0" t="n">
        <f aca="false">SUMPRODUCT(G3345:P3345,_XtX!$B$71:$K$71)</f>
        <v>49.2995383522727</v>
      </c>
      <c r="R3345" s="0" t="n">
        <f aca="false">SUMPRODUCT(MMULT(G3345:P3345,_XtX!$B$58:$K$67),G3345:P3345)</f>
        <v>0.126557506214489</v>
      </c>
      <c r="S3345" s="0" t="n">
        <f aca="false">04_回帰ANOVA!$K$19*04_回帰ANOVA!$K$14*SQRT(1+R3345)</f>
        <v>0.986832215747321</v>
      </c>
      <c r="T3345" s="0" t="n">
        <f aca="false">Q3345-S3345</f>
        <v>48.3127061365254</v>
      </c>
      <c r="U3345" s="0" t="n">
        <f aca="false">Q3345+S3345</f>
        <v>50.2863705680201</v>
      </c>
      <c r="V3345" s="54" t="b">
        <f aca="false">AND(D3345&gt;=01_因子設定!$L$5-0.000000001,D3345&lt;=01_因子設定!$M$5+0.000000001,E3345&gt;=01_因子設定!$L$6-0.000000001,E3345&lt;=01_因子設定!$M$6+0.000000001,F3345&gt;=01_因子設定!$L$7-0.000000001,F3345&lt;=01_因子設定!$M$7+0.000000001,IF(01_因子設定!$B$20="Box-Behnken",D3345^2+E3345^2+F3345^2&lt;=2+0.000000001,TRUE()))</f>
        <v>1</v>
      </c>
      <c r="W3345" s="55" t="n">
        <f aca="false">IF(V3345,IF(01_因子設定!$B$13="最大化",T3345-01_因子設定!$B$14,IF(01_因子設定!$B$13="最小化",01_因子設定!$B$15-U3345,MIN(T3345-01_因子設定!$B$14,01_因子設定!$B$15-U3345))),-1E+030)</f>
        <v>-0.187293863474586</v>
      </c>
      <c r="X3345" s="55" t="n">
        <f aca="false">IF(V3345,IF(01_因子設定!$B$13="最大化",Q3345,IF(01_因子設定!$B$13="最小化",-Q3345,-ABS(Q3345-01_因子設定!$B$16))),-1E+030)</f>
        <v>49.2995383522727</v>
      </c>
      <c r="Y3345" s="55" t="n">
        <f aca="false">W3345+ROW()*0.000000001</f>
        <v>-0.187290518474586</v>
      </c>
      <c r="Z3345" s="55" t="n">
        <f aca="false">X3345+ROW()*0.000000001</f>
        <v>49.2995416972727</v>
      </c>
    </row>
    <row r="3346" customFormat="false" ht="15" hidden="false" customHeight="false" outlineLevel="0" collapsed="false">
      <c r="A3346" s="0" t="n">
        <v>11</v>
      </c>
      <c r="B3346" s="0" t="n">
        <v>9</v>
      </c>
      <c r="C3346" s="0" t="n">
        <v>9</v>
      </c>
      <c r="D3346" s="0" t="n">
        <f aca="false">-1+A3346*0.125</f>
        <v>0.375</v>
      </c>
      <c r="E3346" s="0" t="n">
        <f aca="false">-1+B3346*0.125</f>
        <v>0.125</v>
      </c>
      <c r="F3346" s="0" t="n">
        <f aca="false">-1+C3346*0.125</f>
        <v>0.125</v>
      </c>
      <c r="G3346" s="0" t="n">
        <f aca="false">1</f>
        <v>1</v>
      </c>
      <c r="H3346" s="0" t="n">
        <f aca="false">D3346</f>
        <v>0.375</v>
      </c>
      <c r="I3346" s="0" t="n">
        <f aca="false">E3346</f>
        <v>0.125</v>
      </c>
      <c r="J3346" s="0" t="n">
        <f aca="false">F3346</f>
        <v>0.125</v>
      </c>
      <c r="K3346" s="0" t="n">
        <f aca="false">D3346*E3346</f>
        <v>0.046875</v>
      </c>
      <c r="L3346" s="0" t="n">
        <f aca="false">D3346*F3346</f>
        <v>0.046875</v>
      </c>
      <c r="M3346" s="0" t="n">
        <f aca="false">E3346*F3346</f>
        <v>0.015625</v>
      </c>
      <c r="N3346" s="0" t="n">
        <f aca="false">D3346*D3346</f>
        <v>0.140625</v>
      </c>
      <c r="O3346" s="0" t="n">
        <f aca="false">E3346*E3346</f>
        <v>0.015625</v>
      </c>
      <c r="P3346" s="0" t="n">
        <f aca="false">F3346*F3346</f>
        <v>0.015625</v>
      </c>
      <c r="Q3346" s="0" t="n">
        <f aca="false">SUMPRODUCT(G3346:P3346,_XtX!$B$71:$K$71)</f>
        <v>49.4536434659091</v>
      </c>
      <c r="R3346" s="0" t="n">
        <f aca="false">SUMPRODUCT(MMULT(G3346:P3346,_XtX!$B$58:$K$67),G3346:P3346)</f>
        <v>0.126427667791193</v>
      </c>
      <c r="S3346" s="0" t="n">
        <f aca="false">04_回帰ANOVA!$K$19*04_回帰ANOVA!$K$14*SQRT(1+R3346)</f>
        <v>0.986775346732538</v>
      </c>
      <c r="T3346" s="0" t="n">
        <f aca="false">Q3346-S3346</f>
        <v>48.4668681191766</v>
      </c>
      <c r="U3346" s="0" t="n">
        <f aca="false">Q3346+S3346</f>
        <v>50.4404188126416</v>
      </c>
      <c r="V3346" s="54" t="b">
        <f aca="false">AND(D3346&gt;=01_因子設定!$L$5-0.000000001,D3346&lt;=01_因子設定!$M$5+0.000000001,E3346&gt;=01_因子設定!$L$6-0.000000001,E3346&lt;=01_因子設定!$M$6+0.000000001,F3346&gt;=01_因子設定!$L$7-0.000000001,F3346&lt;=01_因子設定!$M$7+0.000000001,IF(01_因子設定!$B$20="Box-Behnken",D3346^2+E3346^2+F3346^2&lt;=2+0.000000001,TRUE()))</f>
        <v>1</v>
      </c>
      <c r="W3346" s="55" t="n">
        <f aca="false">IF(V3346,IF(01_因子設定!$B$13="最大化",T3346-01_因子設定!$B$14,IF(01_因子設定!$B$13="最小化",01_因子設定!$B$15-U3346,MIN(T3346-01_因子設定!$B$14,01_因子設定!$B$15-U3346))),-1E+030)</f>
        <v>-0.03313188082344</v>
      </c>
      <c r="X3346" s="55" t="n">
        <f aca="false">IF(V3346,IF(01_因子設定!$B$13="最大化",Q3346,IF(01_因子設定!$B$13="最小化",-Q3346,-ABS(Q3346-01_因子設定!$B$16))),-1E+030)</f>
        <v>49.4536434659091</v>
      </c>
      <c r="Y3346" s="55" t="n">
        <f aca="false">W3346+ROW()*0.000000001</f>
        <v>-0.03312853482344</v>
      </c>
      <c r="Z3346" s="55" t="n">
        <f aca="false">X3346+ROW()*0.000000001</f>
        <v>49.4536468119091</v>
      </c>
    </row>
    <row r="3347" customFormat="false" ht="15" hidden="false" customHeight="false" outlineLevel="0" collapsed="false">
      <c r="A3347" s="0" t="n">
        <v>11</v>
      </c>
      <c r="B3347" s="0" t="n">
        <v>9</v>
      </c>
      <c r="C3347" s="0" t="n">
        <v>10</v>
      </c>
      <c r="D3347" s="0" t="n">
        <f aca="false">-1+A3347*0.125</f>
        <v>0.375</v>
      </c>
      <c r="E3347" s="0" t="n">
        <f aca="false">-1+B3347*0.125</f>
        <v>0.125</v>
      </c>
      <c r="F3347" s="0" t="n">
        <f aca="false">-1+C3347*0.125</f>
        <v>0.25</v>
      </c>
      <c r="G3347" s="0" t="n">
        <f aca="false">1</f>
        <v>1</v>
      </c>
      <c r="H3347" s="0" t="n">
        <f aca="false">D3347</f>
        <v>0.375</v>
      </c>
      <c r="I3347" s="0" t="n">
        <f aca="false">E3347</f>
        <v>0.125</v>
      </c>
      <c r="J3347" s="0" t="n">
        <f aca="false">F3347</f>
        <v>0.25</v>
      </c>
      <c r="K3347" s="0" t="n">
        <f aca="false">D3347*E3347</f>
        <v>0.046875</v>
      </c>
      <c r="L3347" s="0" t="n">
        <f aca="false">D3347*F3347</f>
        <v>0.09375</v>
      </c>
      <c r="M3347" s="0" t="n">
        <f aca="false">E3347*F3347</f>
        <v>0.03125</v>
      </c>
      <c r="N3347" s="0" t="n">
        <f aca="false">D3347*D3347</f>
        <v>0.140625</v>
      </c>
      <c r="O3347" s="0" t="n">
        <f aca="false">E3347*E3347</f>
        <v>0.015625</v>
      </c>
      <c r="P3347" s="0" t="n">
        <f aca="false">F3347*F3347</f>
        <v>0.0625</v>
      </c>
      <c r="Q3347" s="0" t="n">
        <f aca="false">SUMPRODUCT(G3347:P3347,_XtX!$B$71:$K$71)</f>
        <v>49.5709588068182</v>
      </c>
      <c r="R3347" s="0" t="n">
        <f aca="false">SUMPRODUCT(MMULT(G3347:P3347,_XtX!$B$58:$K$67),G3347:P3347)</f>
        <v>0.127103493430398</v>
      </c>
      <c r="S3347" s="0" t="n">
        <f aca="false">04_回帰ANOVA!$K$19*04_回帰ANOVA!$K$14*SQRT(1+R3347)</f>
        <v>0.987071321387587</v>
      </c>
      <c r="T3347" s="0" t="n">
        <f aca="false">Q3347-S3347</f>
        <v>48.5838874854306</v>
      </c>
      <c r="U3347" s="0" t="n">
        <f aca="false">Q3347+S3347</f>
        <v>50.5580301282058</v>
      </c>
      <c r="V3347" s="54" t="b">
        <f aca="false">AND(D3347&gt;=01_因子設定!$L$5-0.000000001,D3347&lt;=01_因子設定!$M$5+0.000000001,E3347&gt;=01_因子設定!$L$6-0.000000001,E3347&lt;=01_因子設定!$M$6+0.000000001,F3347&gt;=01_因子設定!$L$7-0.000000001,F3347&lt;=01_因子設定!$M$7+0.000000001,IF(01_因子設定!$B$20="Box-Behnken",D3347^2+E3347^2+F3347^2&lt;=2+0.000000001,TRUE()))</f>
        <v>1</v>
      </c>
      <c r="W3347" s="55" t="n">
        <f aca="false">IF(V3347,IF(01_因子設定!$B$13="最大化",T3347-01_因子設定!$B$14,IF(01_因子設定!$B$13="最小化",01_因子設定!$B$15-U3347,MIN(T3347-01_因子設定!$B$14,01_因子設定!$B$15-U3347))),-1E+030)</f>
        <v>0.0838874854306013</v>
      </c>
      <c r="X3347" s="55" t="n">
        <f aca="false">IF(V3347,IF(01_因子設定!$B$13="最大化",Q3347,IF(01_因子設定!$B$13="最小化",-Q3347,-ABS(Q3347-01_因子設定!$B$16))),-1E+030)</f>
        <v>49.5709588068182</v>
      </c>
      <c r="Y3347" s="55" t="n">
        <f aca="false">W3347+ROW()*0.000000001</f>
        <v>0.0838908324306013</v>
      </c>
      <c r="Z3347" s="55" t="n">
        <f aca="false">X3347+ROW()*0.000000001</f>
        <v>49.5709621538182</v>
      </c>
    </row>
    <row r="3348" customFormat="false" ht="15" hidden="false" customHeight="false" outlineLevel="0" collapsed="false">
      <c r="A3348" s="0" t="n">
        <v>11</v>
      </c>
      <c r="B3348" s="0" t="n">
        <v>9</v>
      </c>
      <c r="C3348" s="0" t="n">
        <v>11</v>
      </c>
      <c r="D3348" s="0" t="n">
        <f aca="false">-1+A3348*0.125</f>
        <v>0.375</v>
      </c>
      <c r="E3348" s="0" t="n">
        <f aca="false">-1+B3348*0.125</f>
        <v>0.125</v>
      </c>
      <c r="F3348" s="0" t="n">
        <f aca="false">-1+C3348*0.125</f>
        <v>0.375</v>
      </c>
      <c r="G3348" s="0" t="n">
        <f aca="false">1</f>
        <v>1</v>
      </c>
      <c r="H3348" s="0" t="n">
        <f aca="false">D3348</f>
        <v>0.375</v>
      </c>
      <c r="I3348" s="0" t="n">
        <f aca="false">E3348</f>
        <v>0.125</v>
      </c>
      <c r="J3348" s="0" t="n">
        <f aca="false">F3348</f>
        <v>0.375</v>
      </c>
      <c r="K3348" s="0" t="n">
        <f aca="false">D3348*E3348</f>
        <v>0.046875</v>
      </c>
      <c r="L3348" s="0" t="n">
        <f aca="false">D3348*F3348</f>
        <v>0.140625</v>
      </c>
      <c r="M3348" s="0" t="n">
        <f aca="false">E3348*F3348</f>
        <v>0.046875</v>
      </c>
      <c r="N3348" s="0" t="n">
        <f aca="false">D3348*D3348</f>
        <v>0.140625</v>
      </c>
      <c r="O3348" s="0" t="n">
        <f aca="false">E3348*E3348</f>
        <v>0.015625</v>
      </c>
      <c r="P3348" s="0" t="n">
        <f aca="false">F3348*F3348</f>
        <v>0.140625</v>
      </c>
      <c r="Q3348" s="0" t="n">
        <f aca="false">SUMPRODUCT(G3348:P3348,_XtX!$B$71:$K$71)</f>
        <v>49.651484375</v>
      </c>
      <c r="R3348" s="0" t="n">
        <f aca="false">SUMPRODUCT(MMULT(G3348:P3348,_XtX!$B$58:$K$67),G3348:P3348)</f>
        <v>0.131781005859375</v>
      </c>
      <c r="S3348" s="0" t="n">
        <f aca="false">04_回帰ANOVA!$K$19*04_回帰ANOVA!$K$14*SQRT(1+R3348)</f>
        <v>0.989117388188007</v>
      </c>
      <c r="T3348" s="0" t="n">
        <f aca="false">Q3348-S3348</f>
        <v>48.662366986812</v>
      </c>
      <c r="U3348" s="0" t="n">
        <f aca="false">Q3348+S3348</f>
        <v>50.640601763188</v>
      </c>
      <c r="V3348" s="54" t="b">
        <f aca="false">AND(D3348&gt;=01_因子設定!$L$5-0.000000001,D3348&lt;=01_因子設定!$M$5+0.000000001,E3348&gt;=01_因子設定!$L$6-0.000000001,E3348&lt;=01_因子設定!$M$6+0.000000001,F3348&gt;=01_因子設定!$L$7-0.000000001,F3348&lt;=01_因子設定!$M$7+0.000000001,IF(01_因子設定!$B$20="Box-Behnken",D3348^2+E3348^2+F3348^2&lt;=2+0.000000001,TRUE()))</f>
        <v>1</v>
      </c>
      <c r="W3348" s="55" t="n">
        <f aca="false">IF(V3348,IF(01_因子設定!$B$13="最大化",T3348-01_因子設定!$B$14,IF(01_因子設定!$B$13="最小化",01_因子設定!$B$15-U3348,MIN(T3348-01_因子設定!$B$14,01_因子設定!$B$15-U3348))),-1E+030)</f>
        <v>0.162366986812003</v>
      </c>
      <c r="X3348" s="55" t="n">
        <f aca="false">IF(V3348,IF(01_因子設定!$B$13="最大化",Q3348,IF(01_因子設定!$B$13="最小化",-Q3348,-ABS(Q3348-01_因子設定!$B$16))),-1E+030)</f>
        <v>49.651484375</v>
      </c>
      <c r="Y3348" s="55" t="n">
        <f aca="false">W3348+ROW()*0.000000001</f>
        <v>0.162370334812003</v>
      </c>
      <c r="Z3348" s="55" t="n">
        <f aca="false">X3348+ROW()*0.000000001</f>
        <v>49.651487723</v>
      </c>
    </row>
    <row r="3349" customFormat="false" ht="15" hidden="false" customHeight="false" outlineLevel="0" collapsed="false">
      <c r="A3349" s="0" t="n">
        <v>11</v>
      </c>
      <c r="B3349" s="0" t="n">
        <v>9</v>
      </c>
      <c r="C3349" s="0" t="n">
        <v>12</v>
      </c>
      <c r="D3349" s="0" t="n">
        <f aca="false">-1+A3349*0.125</f>
        <v>0.375</v>
      </c>
      <c r="E3349" s="0" t="n">
        <f aca="false">-1+B3349*0.125</f>
        <v>0.125</v>
      </c>
      <c r="F3349" s="0" t="n">
        <f aca="false">-1+C3349*0.125</f>
        <v>0.5</v>
      </c>
      <c r="G3349" s="0" t="n">
        <f aca="false">1</f>
        <v>1</v>
      </c>
      <c r="H3349" s="0" t="n">
        <f aca="false">D3349</f>
        <v>0.375</v>
      </c>
      <c r="I3349" s="0" t="n">
        <f aca="false">E3349</f>
        <v>0.125</v>
      </c>
      <c r="J3349" s="0" t="n">
        <f aca="false">F3349</f>
        <v>0.5</v>
      </c>
      <c r="K3349" s="0" t="n">
        <f aca="false">D3349*E3349</f>
        <v>0.046875</v>
      </c>
      <c r="L3349" s="0" t="n">
        <f aca="false">D3349*F3349</f>
        <v>0.1875</v>
      </c>
      <c r="M3349" s="0" t="n">
        <f aca="false">E3349*F3349</f>
        <v>0.0625</v>
      </c>
      <c r="N3349" s="0" t="n">
        <f aca="false">D3349*D3349</f>
        <v>0.140625</v>
      </c>
      <c r="O3349" s="0" t="n">
        <f aca="false">E3349*E3349</f>
        <v>0.015625</v>
      </c>
      <c r="P3349" s="0" t="n">
        <f aca="false">F3349*F3349</f>
        <v>0.25</v>
      </c>
      <c r="Q3349" s="0" t="n">
        <f aca="false">SUMPRODUCT(G3349:P3349,_XtX!$B$71:$K$71)</f>
        <v>49.6952201704546</v>
      </c>
      <c r="R3349" s="0" t="n">
        <f aca="false">SUMPRODUCT(MMULT(G3349:P3349,_XtX!$B$58:$K$67),G3349:P3349)</f>
        <v>0.14578690962358</v>
      </c>
      <c r="S3349" s="0" t="n">
        <f aca="false">04_回帰ANOVA!$K$19*04_回帰ANOVA!$K$14*SQRT(1+R3349)</f>
        <v>0.995218783457917</v>
      </c>
      <c r="T3349" s="0" t="n">
        <f aca="false">Q3349-S3349</f>
        <v>48.7000013869966</v>
      </c>
      <c r="U3349" s="0" t="n">
        <f aca="false">Q3349+S3349</f>
        <v>50.6904389539125</v>
      </c>
      <c r="V3349" s="54" t="b">
        <f aca="false">AND(D3349&gt;=01_因子設定!$L$5-0.000000001,D3349&lt;=01_因子設定!$M$5+0.000000001,E3349&gt;=01_因子設定!$L$6-0.000000001,E3349&lt;=01_因子設定!$M$6+0.000000001,F3349&gt;=01_因子設定!$L$7-0.000000001,F3349&lt;=01_因子設定!$M$7+0.000000001,IF(01_因子設定!$B$20="Box-Behnken",D3349^2+E3349^2+F3349^2&lt;=2+0.000000001,TRUE()))</f>
        <v>1</v>
      </c>
      <c r="W3349" s="55" t="n">
        <f aca="false">IF(V3349,IF(01_因子設定!$B$13="最大化",T3349-01_因子設定!$B$14,IF(01_因子設定!$B$13="最小化",01_因子設定!$B$15-U3349,MIN(T3349-01_因子設定!$B$14,01_因子設定!$B$15-U3349))),-1E+030)</f>
        <v>0.20000138699664</v>
      </c>
      <c r="X3349" s="55" t="n">
        <f aca="false">IF(V3349,IF(01_因子設定!$B$13="最大化",Q3349,IF(01_因子設定!$B$13="最小化",-Q3349,-ABS(Q3349-01_因子設定!$B$16))),-1E+030)</f>
        <v>49.6952201704546</v>
      </c>
      <c r="Y3349" s="55" t="n">
        <f aca="false">W3349+ROW()*0.000000001</f>
        <v>0.20000473599664</v>
      </c>
      <c r="Z3349" s="55" t="n">
        <f aca="false">X3349+ROW()*0.000000001</f>
        <v>49.6952235194546</v>
      </c>
    </row>
    <row r="3350" customFormat="false" ht="15" hidden="false" customHeight="false" outlineLevel="0" collapsed="false">
      <c r="A3350" s="0" t="n">
        <v>11</v>
      </c>
      <c r="B3350" s="0" t="n">
        <v>9</v>
      </c>
      <c r="C3350" s="0" t="n">
        <v>13</v>
      </c>
      <c r="D3350" s="0" t="n">
        <f aca="false">-1+A3350*0.125</f>
        <v>0.375</v>
      </c>
      <c r="E3350" s="0" t="n">
        <f aca="false">-1+B3350*0.125</f>
        <v>0.125</v>
      </c>
      <c r="F3350" s="0" t="n">
        <f aca="false">-1+C3350*0.125</f>
        <v>0.625</v>
      </c>
      <c r="G3350" s="0" t="n">
        <f aca="false">1</f>
        <v>1</v>
      </c>
      <c r="H3350" s="0" t="n">
        <f aca="false">D3350</f>
        <v>0.375</v>
      </c>
      <c r="I3350" s="0" t="n">
        <f aca="false">E3350</f>
        <v>0.125</v>
      </c>
      <c r="J3350" s="0" t="n">
        <f aca="false">F3350</f>
        <v>0.625</v>
      </c>
      <c r="K3350" s="0" t="n">
        <f aca="false">D3350*E3350</f>
        <v>0.046875</v>
      </c>
      <c r="L3350" s="0" t="n">
        <f aca="false">D3350*F3350</f>
        <v>0.234375</v>
      </c>
      <c r="M3350" s="0" t="n">
        <f aca="false">E3350*F3350</f>
        <v>0.078125</v>
      </c>
      <c r="N3350" s="0" t="n">
        <f aca="false">D3350*D3350</f>
        <v>0.140625</v>
      </c>
      <c r="O3350" s="0" t="n">
        <f aca="false">E3350*E3350</f>
        <v>0.015625</v>
      </c>
      <c r="P3350" s="0" t="n">
        <f aca="false">F3350*F3350</f>
        <v>0.390625</v>
      </c>
      <c r="Q3350" s="0" t="n">
        <f aca="false">SUMPRODUCT(G3350:P3350,_XtX!$B$71:$K$71)</f>
        <v>49.7021661931818</v>
      </c>
      <c r="R3350" s="0" t="n">
        <f aca="false">SUMPRODUCT(MMULT(G3350:P3350,_XtX!$B$58:$K$67),G3350:P3350)</f>
        <v>0.176578591086648</v>
      </c>
      <c r="S3350" s="0" t="n">
        <f aca="false">04_回帰ANOVA!$K$19*04_回帰ANOVA!$K$14*SQRT(1+R3350)</f>
        <v>1.00850279676269</v>
      </c>
      <c r="T3350" s="0" t="n">
        <f aca="false">Q3350-S3350</f>
        <v>48.6936633964191</v>
      </c>
      <c r="U3350" s="0" t="n">
        <f aca="false">Q3350+S3350</f>
        <v>50.7106689899445</v>
      </c>
      <c r="V3350" s="54" t="b">
        <f aca="false">AND(D3350&gt;=01_因子設定!$L$5-0.000000001,D3350&lt;=01_因子設定!$M$5+0.000000001,E3350&gt;=01_因子設定!$L$6-0.000000001,E3350&lt;=01_因子設定!$M$6+0.000000001,F3350&gt;=01_因子設定!$L$7-0.000000001,F3350&lt;=01_因子設定!$M$7+0.000000001,IF(01_因子設定!$B$20="Box-Behnken",D3350^2+E3350^2+F3350^2&lt;=2+0.000000001,TRUE()))</f>
        <v>1</v>
      </c>
      <c r="W3350" s="55" t="n">
        <f aca="false">IF(V3350,IF(01_因子設定!$B$13="最大化",T3350-01_因子設定!$B$14,IF(01_因子設定!$B$13="最小化",01_因子設定!$B$15-U3350,MIN(T3350-01_因子設定!$B$14,01_因子設定!$B$15-U3350))),-1E+030)</f>
        <v>0.19366339641914</v>
      </c>
      <c r="X3350" s="55" t="n">
        <f aca="false">IF(V3350,IF(01_因子設定!$B$13="最大化",Q3350,IF(01_因子設定!$B$13="最小化",-Q3350,-ABS(Q3350-01_因子設定!$B$16))),-1E+030)</f>
        <v>49.7021661931818</v>
      </c>
      <c r="Y3350" s="55" t="n">
        <f aca="false">W3350+ROW()*0.000000001</f>
        <v>0.19366674641914</v>
      </c>
      <c r="Z3350" s="55" t="n">
        <f aca="false">X3350+ROW()*0.000000001</f>
        <v>49.7021695431818</v>
      </c>
    </row>
    <row r="3351" customFormat="false" ht="15" hidden="false" customHeight="false" outlineLevel="0" collapsed="false">
      <c r="A3351" s="0" t="n">
        <v>11</v>
      </c>
      <c r="B3351" s="0" t="n">
        <v>9</v>
      </c>
      <c r="C3351" s="0" t="n">
        <v>14</v>
      </c>
      <c r="D3351" s="0" t="n">
        <f aca="false">-1+A3351*0.125</f>
        <v>0.375</v>
      </c>
      <c r="E3351" s="0" t="n">
        <f aca="false">-1+B3351*0.125</f>
        <v>0.125</v>
      </c>
      <c r="F3351" s="0" t="n">
        <f aca="false">-1+C3351*0.125</f>
        <v>0.75</v>
      </c>
      <c r="G3351" s="0" t="n">
        <f aca="false">1</f>
        <v>1</v>
      </c>
      <c r="H3351" s="0" t="n">
        <f aca="false">D3351</f>
        <v>0.375</v>
      </c>
      <c r="I3351" s="0" t="n">
        <f aca="false">E3351</f>
        <v>0.125</v>
      </c>
      <c r="J3351" s="0" t="n">
        <f aca="false">F3351</f>
        <v>0.75</v>
      </c>
      <c r="K3351" s="0" t="n">
        <f aca="false">D3351*E3351</f>
        <v>0.046875</v>
      </c>
      <c r="L3351" s="0" t="n">
        <f aca="false">D3351*F3351</f>
        <v>0.28125</v>
      </c>
      <c r="M3351" s="0" t="n">
        <f aca="false">E3351*F3351</f>
        <v>0.09375</v>
      </c>
      <c r="N3351" s="0" t="n">
        <f aca="false">D3351*D3351</f>
        <v>0.140625</v>
      </c>
      <c r="O3351" s="0" t="n">
        <f aca="false">E3351*E3351</f>
        <v>0.015625</v>
      </c>
      <c r="P3351" s="0" t="n">
        <f aca="false">F3351*F3351</f>
        <v>0.5625</v>
      </c>
      <c r="Q3351" s="0" t="n">
        <f aca="false">SUMPRODUCT(G3351:P3351,_XtX!$B$71:$K$71)</f>
        <v>49.6723224431818</v>
      </c>
      <c r="R3351" s="0" t="n">
        <f aca="false">SUMPRODUCT(MMULT(G3351:P3351,_XtX!$B$58:$K$67),G3351:P3351)</f>
        <v>0.233744118430398</v>
      </c>
      <c r="S3351" s="0" t="n">
        <f aca="false">04_回帰ANOVA!$K$19*04_回帰ANOVA!$K$14*SQRT(1+R3351)</f>
        <v>1.0327119053564</v>
      </c>
      <c r="T3351" s="0" t="n">
        <f aca="false">Q3351-S3351</f>
        <v>48.6396105378254</v>
      </c>
      <c r="U3351" s="0" t="n">
        <f aca="false">Q3351+S3351</f>
        <v>50.7050343485382</v>
      </c>
      <c r="V3351" s="54" t="b">
        <f aca="false">AND(D3351&gt;=01_因子設定!$L$5-0.000000001,D3351&lt;=01_因子設定!$M$5+0.000000001,E3351&gt;=01_因子設定!$L$6-0.000000001,E3351&lt;=01_因子設定!$M$6+0.000000001,F3351&gt;=01_因子設定!$L$7-0.000000001,F3351&lt;=01_因子設定!$M$7+0.000000001,IF(01_因子設定!$B$20="Box-Behnken",D3351^2+E3351^2+F3351^2&lt;=2+0.000000001,TRUE()))</f>
        <v>1</v>
      </c>
      <c r="W3351" s="55" t="n">
        <f aca="false">IF(V3351,IF(01_因子設定!$B$13="最大化",T3351-01_因子設定!$B$14,IF(01_因子設定!$B$13="最小化",01_因子設定!$B$15-U3351,MIN(T3351-01_因子設定!$B$14,01_因子設定!$B$15-U3351))),-1E+030)</f>
        <v>0.139610537825433</v>
      </c>
      <c r="X3351" s="55" t="n">
        <f aca="false">IF(V3351,IF(01_因子設定!$B$13="最大化",Q3351,IF(01_因子設定!$B$13="最小化",-Q3351,-ABS(Q3351-01_因子設定!$B$16))),-1E+030)</f>
        <v>49.6723224431818</v>
      </c>
      <c r="Y3351" s="55" t="n">
        <f aca="false">W3351+ROW()*0.000000001</f>
        <v>0.139613888825433</v>
      </c>
      <c r="Z3351" s="55" t="n">
        <f aca="false">X3351+ROW()*0.000000001</f>
        <v>49.6723257941818</v>
      </c>
    </row>
    <row r="3352" customFormat="false" ht="15" hidden="false" customHeight="false" outlineLevel="0" collapsed="false">
      <c r="A3352" s="0" t="n">
        <v>11</v>
      </c>
      <c r="B3352" s="0" t="n">
        <v>9</v>
      </c>
      <c r="C3352" s="0" t="n">
        <v>15</v>
      </c>
      <c r="D3352" s="0" t="n">
        <f aca="false">-1+A3352*0.125</f>
        <v>0.375</v>
      </c>
      <c r="E3352" s="0" t="n">
        <f aca="false">-1+B3352*0.125</f>
        <v>0.125</v>
      </c>
      <c r="F3352" s="0" t="n">
        <f aca="false">-1+C3352*0.125</f>
        <v>0.875</v>
      </c>
      <c r="G3352" s="0" t="n">
        <f aca="false">1</f>
        <v>1</v>
      </c>
      <c r="H3352" s="0" t="n">
        <f aca="false">D3352</f>
        <v>0.375</v>
      </c>
      <c r="I3352" s="0" t="n">
        <f aca="false">E3352</f>
        <v>0.125</v>
      </c>
      <c r="J3352" s="0" t="n">
        <f aca="false">F3352</f>
        <v>0.875</v>
      </c>
      <c r="K3352" s="0" t="n">
        <f aca="false">D3352*E3352</f>
        <v>0.046875</v>
      </c>
      <c r="L3352" s="0" t="n">
        <f aca="false">D3352*F3352</f>
        <v>0.328125</v>
      </c>
      <c r="M3352" s="0" t="n">
        <f aca="false">E3352*F3352</f>
        <v>0.109375</v>
      </c>
      <c r="N3352" s="0" t="n">
        <f aca="false">D3352*D3352</f>
        <v>0.140625</v>
      </c>
      <c r="O3352" s="0" t="n">
        <f aca="false">E3352*E3352</f>
        <v>0.015625</v>
      </c>
      <c r="P3352" s="0" t="n">
        <f aca="false">F3352*F3352</f>
        <v>0.765625</v>
      </c>
      <c r="Q3352" s="0" t="n">
        <f aca="false">SUMPRODUCT(G3352:P3352,_XtX!$B$71:$K$71)</f>
        <v>49.6056889204546</v>
      </c>
      <c r="R3352" s="0" t="n">
        <f aca="false">SUMPRODUCT(MMULT(G3352:P3352,_XtX!$B$58:$K$67),G3352:P3352)</f>
        <v>0.32900224165483</v>
      </c>
      <c r="S3352" s="0" t="n">
        <f aca="false">04_回帰ANOVA!$K$19*04_回帰ANOVA!$K$14*SQRT(1+R3352)</f>
        <v>1.07183884583628</v>
      </c>
      <c r="T3352" s="0" t="n">
        <f aca="false">Q3352-S3352</f>
        <v>48.5338500746183</v>
      </c>
      <c r="U3352" s="0" t="n">
        <f aca="false">Q3352+S3352</f>
        <v>50.6775277662909</v>
      </c>
      <c r="V3352" s="54" t="b">
        <f aca="false">AND(D3352&gt;=01_因子設定!$L$5-0.000000001,D3352&lt;=01_因子設定!$M$5+0.000000001,E3352&gt;=01_因子設定!$L$6-0.000000001,E3352&lt;=01_因子設定!$M$6+0.000000001,F3352&gt;=01_因子設定!$L$7-0.000000001,F3352&lt;=01_因子設定!$M$7+0.000000001,IF(01_因子設定!$B$20="Box-Behnken",D3352^2+E3352^2+F3352^2&lt;=2+0.000000001,TRUE()))</f>
        <v>1</v>
      </c>
      <c r="W3352" s="55" t="n">
        <f aca="false">IF(V3352,IF(01_因子設定!$B$13="最大化",T3352-01_因子設定!$B$14,IF(01_因子設定!$B$13="最小化",01_因子設定!$B$15-U3352,MIN(T3352-01_因子設定!$B$14,01_因子設定!$B$15-U3352))),-1E+030)</f>
        <v>0.0338500746182859</v>
      </c>
      <c r="X3352" s="55" t="n">
        <f aca="false">IF(V3352,IF(01_因子設定!$B$13="最大化",Q3352,IF(01_因子設定!$B$13="最小化",-Q3352,-ABS(Q3352-01_因子設定!$B$16))),-1E+030)</f>
        <v>49.6056889204546</v>
      </c>
      <c r="Y3352" s="55" t="n">
        <f aca="false">W3352+ROW()*0.000000001</f>
        <v>0.0338534266182859</v>
      </c>
      <c r="Z3352" s="55" t="n">
        <f aca="false">X3352+ROW()*0.000000001</f>
        <v>49.6056922724546</v>
      </c>
    </row>
    <row r="3353" customFormat="false" ht="15" hidden="false" customHeight="false" outlineLevel="0" collapsed="false">
      <c r="A3353" s="0" t="n">
        <v>11</v>
      </c>
      <c r="B3353" s="0" t="n">
        <v>9</v>
      </c>
      <c r="C3353" s="0" t="n">
        <v>16</v>
      </c>
      <c r="D3353" s="0" t="n">
        <f aca="false">-1+A3353*0.125</f>
        <v>0.375</v>
      </c>
      <c r="E3353" s="0" t="n">
        <f aca="false">-1+B3353*0.125</f>
        <v>0.125</v>
      </c>
      <c r="F3353" s="0" t="n">
        <f aca="false">-1+C3353*0.125</f>
        <v>1</v>
      </c>
      <c r="G3353" s="0" t="n">
        <f aca="false">1</f>
        <v>1</v>
      </c>
      <c r="H3353" s="0" t="n">
        <f aca="false">D3353</f>
        <v>0.375</v>
      </c>
      <c r="I3353" s="0" t="n">
        <f aca="false">E3353</f>
        <v>0.125</v>
      </c>
      <c r="J3353" s="0" t="n">
        <f aca="false">F3353</f>
        <v>1</v>
      </c>
      <c r="K3353" s="0" t="n">
        <f aca="false">D3353*E3353</f>
        <v>0.046875</v>
      </c>
      <c r="L3353" s="0" t="n">
        <f aca="false">D3353*F3353</f>
        <v>0.375</v>
      </c>
      <c r="M3353" s="0" t="n">
        <f aca="false">E3353*F3353</f>
        <v>0.125</v>
      </c>
      <c r="N3353" s="0" t="n">
        <f aca="false">D3353*D3353</f>
        <v>0.140625</v>
      </c>
      <c r="O3353" s="0" t="n">
        <f aca="false">E3353*E3353</f>
        <v>0.015625</v>
      </c>
      <c r="P3353" s="0" t="n">
        <f aca="false">F3353*F3353</f>
        <v>1</v>
      </c>
      <c r="Q3353" s="0" t="n">
        <f aca="false">SUMPRODUCT(G3353:P3353,_XtX!$B$71:$K$71)</f>
        <v>49.502265625</v>
      </c>
      <c r="R3353" s="0" t="n">
        <f aca="false">SUMPRODUCT(MMULT(G3353:P3353,_XtX!$B$58:$K$67),G3353:P3353)</f>
        <v>0.476202392578125</v>
      </c>
      <c r="S3353" s="0" t="n">
        <f aca="false">04_回帰ANOVA!$K$19*04_回帰ANOVA!$K$14*SQRT(1+R3353)</f>
        <v>1.12963876802721</v>
      </c>
      <c r="T3353" s="0" t="n">
        <f aca="false">Q3353-S3353</f>
        <v>48.3726268569728</v>
      </c>
      <c r="U3353" s="0" t="n">
        <f aca="false">Q3353+S3353</f>
        <v>50.6319043930272</v>
      </c>
      <c r="V3353" s="54" t="b">
        <f aca="false">AND(D3353&gt;=01_因子設定!$L$5-0.000000001,D3353&lt;=01_因子設定!$M$5+0.000000001,E3353&gt;=01_因子設定!$L$6-0.000000001,E3353&lt;=01_因子設定!$M$6+0.000000001,F3353&gt;=01_因子設定!$L$7-0.000000001,F3353&lt;=01_因子設定!$M$7+0.000000001,IF(01_因子設定!$B$20="Box-Behnken",D3353^2+E3353^2+F3353^2&lt;=2+0.000000001,TRUE()))</f>
        <v>1</v>
      </c>
      <c r="W3353" s="55" t="n">
        <f aca="false">IF(V3353,IF(01_因子設定!$B$13="最大化",T3353-01_因子設定!$B$14,IF(01_因子設定!$B$13="最小化",01_因子設定!$B$15-U3353,MIN(T3353-01_因子設定!$B$14,01_因子設定!$B$15-U3353))),-1E+030)</f>
        <v>-0.127373143027178</v>
      </c>
      <c r="X3353" s="55" t="n">
        <f aca="false">IF(V3353,IF(01_因子設定!$B$13="最大化",Q3353,IF(01_因子設定!$B$13="最小化",-Q3353,-ABS(Q3353-01_因子設定!$B$16))),-1E+030)</f>
        <v>49.502265625</v>
      </c>
      <c r="Y3353" s="55" t="n">
        <f aca="false">W3353+ROW()*0.000000001</f>
        <v>-0.127369790027178</v>
      </c>
      <c r="Z3353" s="55" t="n">
        <f aca="false">X3353+ROW()*0.000000001</f>
        <v>49.502268978</v>
      </c>
    </row>
    <row r="3354" customFormat="false" ht="15" hidden="false" customHeight="false" outlineLevel="0" collapsed="false">
      <c r="A3354" s="0" t="n">
        <v>11</v>
      </c>
      <c r="B3354" s="0" t="n">
        <v>10</v>
      </c>
      <c r="C3354" s="0" t="n">
        <v>0</v>
      </c>
      <c r="D3354" s="0" t="n">
        <f aca="false">-1+A3354*0.125</f>
        <v>0.375</v>
      </c>
      <c r="E3354" s="0" t="n">
        <f aca="false">-1+B3354*0.125</f>
        <v>0.25</v>
      </c>
      <c r="F3354" s="0" t="n">
        <f aca="false">-1+C3354*0.125</f>
        <v>-1</v>
      </c>
      <c r="G3354" s="0" t="n">
        <f aca="false">1</f>
        <v>1</v>
      </c>
      <c r="H3354" s="0" t="n">
        <f aca="false">D3354</f>
        <v>0.375</v>
      </c>
      <c r="I3354" s="0" t="n">
        <f aca="false">E3354</f>
        <v>0.25</v>
      </c>
      <c r="J3354" s="0" t="n">
        <f aca="false">F3354</f>
        <v>-1</v>
      </c>
      <c r="K3354" s="0" t="n">
        <f aca="false">D3354*E3354</f>
        <v>0.09375</v>
      </c>
      <c r="L3354" s="0" t="n">
        <f aca="false">D3354*F3354</f>
        <v>-0.375</v>
      </c>
      <c r="M3354" s="0" t="n">
        <f aca="false">E3354*F3354</f>
        <v>-0.25</v>
      </c>
      <c r="N3354" s="0" t="n">
        <f aca="false">D3354*D3354</f>
        <v>0.140625</v>
      </c>
      <c r="O3354" s="0" t="n">
        <f aca="false">E3354*E3354</f>
        <v>0.0625</v>
      </c>
      <c r="P3354" s="0" t="n">
        <f aca="false">F3354*F3354</f>
        <v>1</v>
      </c>
      <c r="Q3354" s="0" t="n">
        <f aca="false">SUMPRODUCT(G3354:P3354,_XtX!$B$71:$K$71)</f>
        <v>46.9071590909091</v>
      </c>
      <c r="R3354" s="0" t="n">
        <f aca="false">SUMPRODUCT(MMULT(G3354:P3354,_XtX!$B$58:$K$67),G3354:P3354)</f>
        <v>0.470061700994318</v>
      </c>
      <c r="S3354" s="0" t="n">
        <f aca="false">04_回帰ANOVA!$K$19*04_回帰ANOVA!$K$14*SQRT(1+R3354)</f>
        <v>1.12728678965931</v>
      </c>
      <c r="T3354" s="0" t="n">
        <f aca="false">Q3354-S3354</f>
        <v>45.7798723012498</v>
      </c>
      <c r="U3354" s="0" t="n">
        <f aca="false">Q3354+S3354</f>
        <v>48.0344458805684</v>
      </c>
      <c r="V3354" s="54" t="b">
        <f aca="false">AND(D3354&gt;=01_因子設定!$L$5-0.000000001,D3354&lt;=01_因子設定!$M$5+0.000000001,E3354&gt;=01_因子設定!$L$6-0.000000001,E3354&lt;=01_因子設定!$M$6+0.000000001,F3354&gt;=01_因子設定!$L$7-0.000000001,F3354&lt;=01_因子設定!$M$7+0.000000001,IF(01_因子設定!$B$20="Box-Behnken",D3354^2+E3354^2+F3354^2&lt;=2+0.000000001,TRUE()))</f>
        <v>1</v>
      </c>
      <c r="W3354" s="55" t="n">
        <f aca="false">IF(V3354,IF(01_因子設定!$B$13="最大化",T3354-01_因子設定!$B$14,IF(01_因子設定!$B$13="最小化",01_因子設定!$B$15-U3354,MIN(T3354-01_因子設定!$B$14,01_因子設定!$B$15-U3354))),-1E+030)</f>
        <v>-2.72012769875019</v>
      </c>
      <c r="X3354" s="55" t="n">
        <f aca="false">IF(V3354,IF(01_因子設定!$B$13="最大化",Q3354,IF(01_因子設定!$B$13="最小化",-Q3354,-ABS(Q3354-01_因子設定!$B$16))),-1E+030)</f>
        <v>46.9071590909091</v>
      </c>
      <c r="Y3354" s="55" t="n">
        <f aca="false">W3354+ROW()*0.000000001</f>
        <v>-2.72012434475019</v>
      </c>
      <c r="Z3354" s="55" t="n">
        <f aca="false">X3354+ROW()*0.000000001</f>
        <v>46.9071624449091</v>
      </c>
    </row>
    <row r="3355" customFormat="false" ht="15" hidden="false" customHeight="false" outlineLevel="0" collapsed="false">
      <c r="A3355" s="0" t="n">
        <v>11</v>
      </c>
      <c r="B3355" s="0" t="n">
        <v>10</v>
      </c>
      <c r="C3355" s="0" t="n">
        <v>1</v>
      </c>
      <c r="D3355" s="0" t="n">
        <f aca="false">-1+A3355*0.125</f>
        <v>0.375</v>
      </c>
      <c r="E3355" s="0" t="n">
        <f aca="false">-1+B3355*0.125</f>
        <v>0.25</v>
      </c>
      <c r="F3355" s="0" t="n">
        <f aca="false">-1+C3355*0.125</f>
        <v>-0.875</v>
      </c>
      <c r="G3355" s="0" t="n">
        <f aca="false">1</f>
        <v>1</v>
      </c>
      <c r="H3355" s="0" t="n">
        <f aca="false">D3355</f>
        <v>0.375</v>
      </c>
      <c r="I3355" s="0" t="n">
        <f aca="false">E3355</f>
        <v>0.25</v>
      </c>
      <c r="J3355" s="0" t="n">
        <f aca="false">F3355</f>
        <v>-0.875</v>
      </c>
      <c r="K3355" s="0" t="n">
        <f aca="false">D3355*E3355</f>
        <v>0.09375</v>
      </c>
      <c r="L3355" s="0" t="n">
        <f aca="false">D3355*F3355</f>
        <v>-0.328125</v>
      </c>
      <c r="M3355" s="0" t="n">
        <f aca="false">E3355*F3355</f>
        <v>-0.21875</v>
      </c>
      <c r="N3355" s="0" t="n">
        <f aca="false">D3355*D3355</f>
        <v>0.140625</v>
      </c>
      <c r="O3355" s="0" t="n">
        <f aca="false">E3355*E3355</f>
        <v>0.0625</v>
      </c>
      <c r="P3355" s="0" t="n">
        <f aca="false">F3355*F3355</f>
        <v>0.765625</v>
      </c>
      <c r="Q3355" s="0" t="n">
        <f aca="false">SUMPRODUCT(G3355:P3355,_XtX!$B$71:$K$71)</f>
        <v>47.3626136363637</v>
      </c>
      <c r="R3355" s="0" t="n">
        <f aca="false">SUMPRODUCT(MMULT(G3355:P3355,_XtX!$B$58:$K$67),G3355:P3355)</f>
        <v>0.324484530362216</v>
      </c>
      <c r="S3355" s="0" t="n">
        <f aca="false">04_回帰ANOVA!$K$19*04_回帰ANOVA!$K$14*SQRT(1+R3355)</f>
        <v>1.07001553041279</v>
      </c>
      <c r="T3355" s="0" t="n">
        <f aca="false">Q3355-S3355</f>
        <v>46.2925981059509</v>
      </c>
      <c r="U3355" s="0" t="n">
        <f aca="false">Q3355+S3355</f>
        <v>48.4326291667764</v>
      </c>
      <c r="V3355" s="54" t="b">
        <f aca="false">AND(D3355&gt;=01_因子設定!$L$5-0.000000001,D3355&lt;=01_因子設定!$M$5+0.000000001,E3355&gt;=01_因子設定!$L$6-0.000000001,E3355&lt;=01_因子設定!$M$6+0.000000001,F3355&gt;=01_因子設定!$L$7-0.000000001,F3355&lt;=01_因子設定!$M$7+0.000000001,IF(01_因子設定!$B$20="Box-Behnken",D3355^2+E3355^2+F3355^2&lt;=2+0.000000001,TRUE()))</f>
        <v>1</v>
      </c>
      <c r="W3355" s="55" t="n">
        <f aca="false">IF(V3355,IF(01_因子設定!$B$13="最大化",T3355-01_因子設定!$B$14,IF(01_因子設定!$B$13="最小化",01_因子設定!$B$15-U3355,MIN(T3355-01_因子設定!$B$14,01_因子設定!$B$15-U3355))),-1E+030)</f>
        <v>-2.20740189404913</v>
      </c>
      <c r="X3355" s="55" t="n">
        <f aca="false">IF(V3355,IF(01_因子設定!$B$13="最大化",Q3355,IF(01_因子設定!$B$13="最小化",-Q3355,-ABS(Q3355-01_因子設定!$B$16))),-1E+030)</f>
        <v>47.3626136363637</v>
      </c>
      <c r="Y3355" s="55" t="n">
        <f aca="false">W3355+ROW()*0.000000001</f>
        <v>-2.20739853904913</v>
      </c>
      <c r="Z3355" s="55" t="n">
        <f aca="false">X3355+ROW()*0.000000001</f>
        <v>47.3626169913637</v>
      </c>
    </row>
    <row r="3356" customFormat="false" ht="15" hidden="false" customHeight="false" outlineLevel="0" collapsed="false">
      <c r="A3356" s="0" t="n">
        <v>11</v>
      </c>
      <c r="B3356" s="0" t="n">
        <v>10</v>
      </c>
      <c r="C3356" s="0" t="n">
        <v>2</v>
      </c>
      <c r="D3356" s="0" t="n">
        <f aca="false">-1+A3356*0.125</f>
        <v>0.375</v>
      </c>
      <c r="E3356" s="0" t="n">
        <f aca="false">-1+B3356*0.125</f>
        <v>0.25</v>
      </c>
      <c r="F3356" s="0" t="n">
        <f aca="false">-1+C3356*0.125</f>
        <v>-0.75</v>
      </c>
      <c r="G3356" s="0" t="n">
        <f aca="false">1</f>
        <v>1</v>
      </c>
      <c r="H3356" s="0" t="n">
        <f aca="false">D3356</f>
        <v>0.375</v>
      </c>
      <c r="I3356" s="0" t="n">
        <f aca="false">E3356</f>
        <v>0.25</v>
      </c>
      <c r="J3356" s="0" t="n">
        <f aca="false">F3356</f>
        <v>-0.75</v>
      </c>
      <c r="K3356" s="0" t="n">
        <f aca="false">D3356*E3356</f>
        <v>0.09375</v>
      </c>
      <c r="L3356" s="0" t="n">
        <f aca="false">D3356*F3356</f>
        <v>-0.28125</v>
      </c>
      <c r="M3356" s="0" t="n">
        <f aca="false">E3356*F3356</f>
        <v>-0.1875</v>
      </c>
      <c r="N3356" s="0" t="n">
        <f aca="false">D3356*D3356</f>
        <v>0.140625</v>
      </c>
      <c r="O3356" s="0" t="n">
        <f aca="false">E3356*E3356</f>
        <v>0.0625</v>
      </c>
      <c r="P3356" s="0" t="n">
        <f aca="false">F3356*F3356</f>
        <v>0.5625</v>
      </c>
      <c r="Q3356" s="0" t="n">
        <f aca="false">SUMPRODUCT(G3356:P3356,_XtX!$B$71:$K$71)</f>
        <v>47.7812784090909</v>
      </c>
      <c r="R3356" s="0" t="n">
        <f aca="false">SUMPRODUCT(MMULT(G3356:P3356,_XtX!$B$58:$K$67),G3356:P3356)</f>
        <v>0.230632990056818</v>
      </c>
      <c r="S3356" s="0" t="n">
        <f aca="false">04_回帰ANOVA!$K$19*04_回帰ANOVA!$K$14*SQRT(1+R3356)</f>
        <v>1.03140899038819</v>
      </c>
      <c r="T3356" s="0" t="n">
        <f aca="false">Q3356-S3356</f>
        <v>46.7498694187027</v>
      </c>
      <c r="U3356" s="0" t="n">
        <f aca="false">Q3356+S3356</f>
        <v>48.8126873994791</v>
      </c>
      <c r="V3356" s="54" t="b">
        <f aca="false">AND(D3356&gt;=01_因子設定!$L$5-0.000000001,D3356&lt;=01_因子設定!$M$5+0.000000001,E3356&gt;=01_因子設定!$L$6-0.000000001,E3356&lt;=01_因子設定!$M$6+0.000000001,F3356&gt;=01_因子設定!$L$7-0.000000001,F3356&lt;=01_因子設定!$M$7+0.000000001,IF(01_因子設定!$B$20="Box-Behnken",D3356^2+E3356^2+F3356^2&lt;=2+0.000000001,TRUE()))</f>
        <v>1</v>
      </c>
      <c r="W3356" s="55" t="n">
        <f aca="false">IF(V3356,IF(01_因子設定!$B$13="最大化",T3356-01_因子設定!$B$14,IF(01_因子設定!$B$13="最小化",01_因子設定!$B$15-U3356,MIN(T3356-01_因子設定!$B$14,01_因子設定!$B$15-U3356))),-1E+030)</f>
        <v>-1.75013058129726</v>
      </c>
      <c r="X3356" s="55" t="n">
        <f aca="false">IF(V3356,IF(01_因子設定!$B$13="最大化",Q3356,IF(01_因子設定!$B$13="最小化",-Q3356,-ABS(Q3356-01_因子設定!$B$16))),-1E+030)</f>
        <v>47.7812784090909</v>
      </c>
      <c r="Y3356" s="55" t="n">
        <f aca="false">W3356+ROW()*0.000000001</f>
        <v>-1.75012722529726</v>
      </c>
      <c r="Z3356" s="55" t="n">
        <f aca="false">X3356+ROW()*0.000000001</f>
        <v>47.7812817650909</v>
      </c>
    </row>
    <row r="3357" customFormat="false" ht="15" hidden="false" customHeight="false" outlineLevel="0" collapsed="false">
      <c r="A3357" s="0" t="n">
        <v>11</v>
      </c>
      <c r="B3357" s="0" t="n">
        <v>10</v>
      </c>
      <c r="C3357" s="0" t="n">
        <v>3</v>
      </c>
      <c r="D3357" s="0" t="n">
        <f aca="false">-1+A3357*0.125</f>
        <v>0.375</v>
      </c>
      <c r="E3357" s="0" t="n">
        <f aca="false">-1+B3357*0.125</f>
        <v>0.25</v>
      </c>
      <c r="F3357" s="0" t="n">
        <f aca="false">-1+C3357*0.125</f>
        <v>-0.625</v>
      </c>
      <c r="G3357" s="0" t="n">
        <f aca="false">1</f>
        <v>1</v>
      </c>
      <c r="H3357" s="0" t="n">
        <f aca="false">D3357</f>
        <v>0.375</v>
      </c>
      <c r="I3357" s="0" t="n">
        <f aca="false">E3357</f>
        <v>0.25</v>
      </c>
      <c r="J3357" s="0" t="n">
        <f aca="false">F3357</f>
        <v>-0.625</v>
      </c>
      <c r="K3357" s="0" t="n">
        <f aca="false">D3357*E3357</f>
        <v>0.09375</v>
      </c>
      <c r="L3357" s="0" t="n">
        <f aca="false">D3357*F3357</f>
        <v>-0.234375</v>
      </c>
      <c r="M3357" s="0" t="n">
        <f aca="false">E3357*F3357</f>
        <v>-0.15625</v>
      </c>
      <c r="N3357" s="0" t="n">
        <f aca="false">D3357*D3357</f>
        <v>0.140625</v>
      </c>
      <c r="O3357" s="0" t="n">
        <f aca="false">E3357*E3357</f>
        <v>0.0625</v>
      </c>
      <c r="P3357" s="0" t="n">
        <f aca="false">F3357*F3357</f>
        <v>0.390625</v>
      </c>
      <c r="Q3357" s="0" t="n">
        <f aca="false">SUMPRODUCT(G3357:P3357,_XtX!$B$71:$K$71)</f>
        <v>48.1631534090909</v>
      </c>
      <c r="R3357" s="0" t="n">
        <f aca="false">SUMPRODUCT(MMULT(G3357:P3357,_XtX!$B$58:$K$67),G3357:P3357)</f>
        <v>0.174657648259943</v>
      </c>
      <c r="S3357" s="0" t="n">
        <f aca="false">04_回帰ANOVA!$K$19*04_回帰ANOVA!$K$14*SQRT(1+R3357)</f>
        <v>1.00767919364845</v>
      </c>
      <c r="T3357" s="0" t="n">
        <f aca="false">Q3357-S3357</f>
        <v>47.1554742154425</v>
      </c>
      <c r="U3357" s="0" t="n">
        <f aca="false">Q3357+S3357</f>
        <v>49.1708326027394</v>
      </c>
      <c r="V3357" s="54" t="b">
        <f aca="false">AND(D3357&gt;=01_因子設定!$L$5-0.000000001,D3357&lt;=01_因子設定!$M$5+0.000000001,E3357&gt;=01_因子設定!$L$6-0.000000001,E3357&lt;=01_因子設定!$M$6+0.000000001,F3357&gt;=01_因子設定!$L$7-0.000000001,F3357&lt;=01_因子設定!$M$7+0.000000001,IF(01_因子設定!$B$20="Box-Behnken",D3357^2+E3357^2+F3357^2&lt;=2+0.000000001,TRUE()))</f>
        <v>1</v>
      </c>
      <c r="W3357" s="55" t="n">
        <f aca="false">IF(V3357,IF(01_因子設定!$B$13="最大化",T3357-01_因子設定!$B$14,IF(01_因子設定!$B$13="最小化",01_因子設定!$B$15-U3357,MIN(T3357-01_因子設定!$B$14,01_因子設定!$B$15-U3357))),-1E+030)</f>
        <v>-1.34452578455752</v>
      </c>
      <c r="X3357" s="55" t="n">
        <f aca="false">IF(V3357,IF(01_因子設定!$B$13="最大化",Q3357,IF(01_因子設定!$B$13="最小化",-Q3357,-ABS(Q3357-01_因子設定!$B$16))),-1E+030)</f>
        <v>48.1631534090909</v>
      </c>
      <c r="Y3357" s="55" t="n">
        <f aca="false">W3357+ROW()*0.000000001</f>
        <v>-1.34452242755752</v>
      </c>
      <c r="Z3357" s="55" t="n">
        <f aca="false">X3357+ROW()*0.000000001</f>
        <v>48.1631567660909</v>
      </c>
    </row>
    <row r="3358" customFormat="false" ht="15" hidden="false" customHeight="false" outlineLevel="0" collapsed="false">
      <c r="A3358" s="0" t="n">
        <v>11</v>
      </c>
      <c r="B3358" s="0" t="n">
        <v>10</v>
      </c>
      <c r="C3358" s="0" t="n">
        <v>4</v>
      </c>
      <c r="D3358" s="0" t="n">
        <f aca="false">-1+A3358*0.125</f>
        <v>0.375</v>
      </c>
      <c r="E3358" s="0" t="n">
        <f aca="false">-1+B3358*0.125</f>
        <v>0.25</v>
      </c>
      <c r="F3358" s="0" t="n">
        <f aca="false">-1+C3358*0.125</f>
        <v>-0.5</v>
      </c>
      <c r="G3358" s="0" t="n">
        <f aca="false">1</f>
        <v>1</v>
      </c>
      <c r="H3358" s="0" t="n">
        <f aca="false">D3358</f>
        <v>0.375</v>
      </c>
      <c r="I3358" s="0" t="n">
        <f aca="false">E3358</f>
        <v>0.25</v>
      </c>
      <c r="J3358" s="0" t="n">
        <f aca="false">F3358</f>
        <v>-0.5</v>
      </c>
      <c r="K3358" s="0" t="n">
        <f aca="false">D3358*E3358</f>
        <v>0.09375</v>
      </c>
      <c r="L3358" s="0" t="n">
        <f aca="false">D3358*F3358</f>
        <v>-0.1875</v>
      </c>
      <c r="M3358" s="0" t="n">
        <f aca="false">E3358*F3358</f>
        <v>-0.125</v>
      </c>
      <c r="N3358" s="0" t="n">
        <f aca="false">D3358*D3358</f>
        <v>0.140625</v>
      </c>
      <c r="O3358" s="0" t="n">
        <f aca="false">E3358*E3358</f>
        <v>0.0625</v>
      </c>
      <c r="P3358" s="0" t="n">
        <f aca="false">F3358*F3358</f>
        <v>0.25</v>
      </c>
      <c r="Q3358" s="0" t="n">
        <f aca="false">SUMPRODUCT(G3358:P3358,_XtX!$B$71:$K$71)</f>
        <v>48.5082386363637</v>
      </c>
      <c r="R3358" s="0" t="n">
        <f aca="false">SUMPRODUCT(MMULT(G3358:P3358,_XtX!$B$58:$K$67),G3358:P3358)</f>
        <v>0.144839754971591</v>
      </c>
      <c r="S3358" s="0" t="n">
        <f aca="false">04_回帰ANOVA!$K$19*04_回帰ANOVA!$K$14*SQRT(1+R3358)</f>
        <v>0.994807353995542</v>
      </c>
      <c r="T3358" s="0" t="n">
        <f aca="false">Q3358-S3358</f>
        <v>47.5134312823681</v>
      </c>
      <c r="U3358" s="0" t="n">
        <f aca="false">Q3358+S3358</f>
        <v>49.5030459903592</v>
      </c>
      <c r="V3358" s="54" t="b">
        <f aca="false">AND(D3358&gt;=01_因子設定!$L$5-0.000000001,D3358&lt;=01_因子設定!$M$5+0.000000001,E3358&gt;=01_因子設定!$L$6-0.000000001,E3358&lt;=01_因子設定!$M$6+0.000000001,F3358&gt;=01_因子設定!$L$7-0.000000001,F3358&lt;=01_因子設定!$M$7+0.000000001,IF(01_因子設定!$B$20="Box-Behnken",D3358^2+E3358^2+F3358^2&lt;=2+0.000000001,TRUE()))</f>
        <v>1</v>
      </c>
      <c r="W3358" s="55" t="n">
        <f aca="false">IF(V3358,IF(01_因子設定!$B$13="最大化",T3358-01_因子設定!$B$14,IF(01_因子設定!$B$13="最小化",01_因子設定!$B$15-U3358,MIN(T3358-01_因子設定!$B$14,01_因子設定!$B$15-U3358))),-1E+030)</f>
        <v>-0.98656871763189</v>
      </c>
      <c r="X3358" s="55" t="n">
        <f aca="false">IF(V3358,IF(01_因子設定!$B$13="最大化",Q3358,IF(01_因子設定!$B$13="最小化",-Q3358,-ABS(Q3358-01_因子設定!$B$16))),-1E+030)</f>
        <v>48.5082386363637</v>
      </c>
      <c r="Y3358" s="55" t="n">
        <f aca="false">W3358+ROW()*0.000000001</f>
        <v>-0.98656535963189</v>
      </c>
      <c r="Z3358" s="55" t="n">
        <f aca="false">X3358+ROW()*0.000000001</f>
        <v>48.5082419943637</v>
      </c>
    </row>
    <row r="3359" customFormat="false" ht="15" hidden="false" customHeight="false" outlineLevel="0" collapsed="false">
      <c r="A3359" s="0" t="n">
        <v>11</v>
      </c>
      <c r="B3359" s="0" t="n">
        <v>10</v>
      </c>
      <c r="C3359" s="0" t="n">
        <v>5</v>
      </c>
      <c r="D3359" s="0" t="n">
        <f aca="false">-1+A3359*0.125</f>
        <v>0.375</v>
      </c>
      <c r="E3359" s="0" t="n">
        <f aca="false">-1+B3359*0.125</f>
        <v>0.25</v>
      </c>
      <c r="F3359" s="0" t="n">
        <f aca="false">-1+C3359*0.125</f>
        <v>-0.375</v>
      </c>
      <c r="G3359" s="0" t="n">
        <f aca="false">1</f>
        <v>1</v>
      </c>
      <c r="H3359" s="0" t="n">
        <f aca="false">D3359</f>
        <v>0.375</v>
      </c>
      <c r="I3359" s="0" t="n">
        <f aca="false">E3359</f>
        <v>0.25</v>
      </c>
      <c r="J3359" s="0" t="n">
        <f aca="false">F3359</f>
        <v>-0.375</v>
      </c>
      <c r="K3359" s="0" t="n">
        <f aca="false">D3359*E3359</f>
        <v>0.09375</v>
      </c>
      <c r="L3359" s="0" t="n">
        <f aca="false">D3359*F3359</f>
        <v>-0.140625</v>
      </c>
      <c r="M3359" s="0" t="n">
        <f aca="false">E3359*F3359</f>
        <v>-0.09375</v>
      </c>
      <c r="N3359" s="0" t="n">
        <f aca="false">D3359*D3359</f>
        <v>0.140625</v>
      </c>
      <c r="O3359" s="0" t="n">
        <f aca="false">E3359*E3359</f>
        <v>0.0625</v>
      </c>
      <c r="P3359" s="0" t="n">
        <f aca="false">F3359*F3359</f>
        <v>0.140625</v>
      </c>
      <c r="Q3359" s="0" t="n">
        <f aca="false">SUMPRODUCT(G3359:P3359,_XtX!$B$71:$K$71)</f>
        <v>48.8165340909091</v>
      </c>
      <c r="R3359" s="0" t="n">
        <f aca="false">SUMPRODUCT(MMULT(G3359:P3359,_XtX!$B$58:$K$67),G3359:P3359)</f>
        <v>0.131591242009943</v>
      </c>
      <c r="S3359" s="0" t="n">
        <f aca="false">04_回帰ANOVA!$K$19*04_回帰ANOVA!$K$14*SQRT(1+R3359)</f>
        <v>0.989034462873572</v>
      </c>
      <c r="T3359" s="0" t="n">
        <f aca="false">Q3359-S3359</f>
        <v>47.8274996280355</v>
      </c>
      <c r="U3359" s="0" t="n">
        <f aca="false">Q3359+S3359</f>
        <v>49.8055685537827</v>
      </c>
      <c r="V3359" s="54" t="b">
        <f aca="false">AND(D3359&gt;=01_因子設定!$L$5-0.000000001,D3359&lt;=01_因子設定!$M$5+0.000000001,E3359&gt;=01_因子設定!$L$6-0.000000001,E3359&lt;=01_因子設定!$M$6+0.000000001,F3359&gt;=01_因子設定!$L$7-0.000000001,F3359&lt;=01_因子設定!$M$7+0.000000001,IF(01_因子設定!$B$20="Box-Behnken",D3359^2+E3359^2+F3359^2&lt;=2+0.000000001,TRUE()))</f>
        <v>1</v>
      </c>
      <c r="W3359" s="55" t="n">
        <f aca="false">IF(V3359,IF(01_因子設定!$B$13="最大化",T3359-01_因子設定!$B$14,IF(01_因子設定!$B$13="最小化",01_因子設定!$B$15-U3359,MIN(T3359-01_因子設定!$B$14,01_因子設定!$B$15-U3359))),-1E+030)</f>
        <v>-0.672500371964468</v>
      </c>
      <c r="X3359" s="55" t="n">
        <f aca="false">IF(V3359,IF(01_因子設定!$B$13="最大化",Q3359,IF(01_因子設定!$B$13="最小化",-Q3359,-ABS(Q3359-01_因子設定!$B$16))),-1E+030)</f>
        <v>48.8165340909091</v>
      </c>
      <c r="Y3359" s="55" t="n">
        <f aca="false">W3359+ROW()*0.000000001</f>
        <v>-0.672497012964468</v>
      </c>
      <c r="Z3359" s="55" t="n">
        <f aca="false">X3359+ROW()*0.000000001</f>
        <v>48.8165374499091</v>
      </c>
    </row>
    <row r="3360" customFormat="false" ht="15" hidden="false" customHeight="false" outlineLevel="0" collapsed="false">
      <c r="A3360" s="0" t="n">
        <v>11</v>
      </c>
      <c r="B3360" s="0" t="n">
        <v>10</v>
      </c>
      <c r="C3360" s="0" t="n">
        <v>6</v>
      </c>
      <c r="D3360" s="0" t="n">
        <f aca="false">-1+A3360*0.125</f>
        <v>0.375</v>
      </c>
      <c r="E3360" s="0" t="n">
        <f aca="false">-1+B3360*0.125</f>
        <v>0.25</v>
      </c>
      <c r="F3360" s="0" t="n">
        <f aca="false">-1+C3360*0.125</f>
        <v>-0.25</v>
      </c>
      <c r="G3360" s="0" t="n">
        <f aca="false">1</f>
        <v>1</v>
      </c>
      <c r="H3360" s="0" t="n">
        <f aca="false">D3360</f>
        <v>0.375</v>
      </c>
      <c r="I3360" s="0" t="n">
        <f aca="false">E3360</f>
        <v>0.25</v>
      </c>
      <c r="J3360" s="0" t="n">
        <f aca="false">F3360</f>
        <v>-0.25</v>
      </c>
      <c r="K3360" s="0" t="n">
        <f aca="false">D3360*E3360</f>
        <v>0.09375</v>
      </c>
      <c r="L3360" s="0" t="n">
        <f aca="false">D3360*F3360</f>
        <v>-0.09375</v>
      </c>
      <c r="M3360" s="0" t="n">
        <f aca="false">E3360*F3360</f>
        <v>-0.0625</v>
      </c>
      <c r="N3360" s="0" t="n">
        <f aca="false">D3360*D3360</f>
        <v>0.140625</v>
      </c>
      <c r="O3360" s="0" t="n">
        <f aca="false">E3360*E3360</f>
        <v>0.0625</v>
      </c>
      <c r="P3360" s="0" t="n">
        <f aca="false">F3360*F3360</f>
        <v>0.0625</v>
      </c>
      <c r="Q3360" s="0" t="n">
        <f aca="false">SUMPRODUCT(G3360:P3360,_XtX!$B$71:$K$71)</f>
        <v>49.0880397727273</v>
      </c>
      <c r="R3360" s="0" t="n">
        <f aca="false">SUMPRODUCT(MMULT(G3360:P3360,_XtX!$B$58:$K$67),G3360:P3360)</f>
        <v>0.127454723011364</v>
      </c>
      <c r="S3360" s="0" t="n">
        <f aca="false">04_回帰ANOVA!$K$19*04_回帰ANOVA!$K$14*SQRT(1+R3360)</f>
        <v>0.987225105686864</v>
      </c>
      <c r="T3360" s="0" t="n">
        <f aca="false">Q3360-S3360</f>
        <v>48.1008146670404</v>
      </c>
      <c r="U3360" s="0" t="n">
        <f aca="false">Q3360+S3360</f>
        <v>50.0752648784141</v>
      </c>
      <c r="V3360" s="54" t="b">
        <f aca="false">AND(D3360&gt;=01_因子設定!$L$5-0.000000001,D3360&lt;=01_因子設定!$M$5+0.000000001,E3360&gt;=01_因子設定!$L$6-0.000000001,E3360&lt;=01_因子設定!$M$6+0.000000001,F3360&gt;=01_因子設定!$L$7-0.000000001,F3360&lt;=01_因子設定!$M$7+0.000000001,IF(01_因子設定!$B$20="Box-Behnken",D3360^2+E3360^2+F3360^2&lt;=2+0.000000001,TRUE()))</f>
        <v>1</v>
      </c>
      <c r="W3360" s="55" t="n">
        <f aca="false">IF(V3360,IF(01_因子設定!$B$13="最大化",T3360-01_因子設定!$B$14,IF(01_因子設定!$B$13="最小化",01_因子設定!$B$15-U3360,MIN(T3360-01_因子設定!$B$14,01_因子設定!$B$15-U3360))),-1E+030)</f>
        <v>-0.39918533295959</v>
      </c>
      <c r="X3360" s="55" t="n">
        <f aca="false">IF(V3360,IF(01_因子設定!$B$13="最大化",Q3360,IF(01_因子設定!$B$13="最小化",-Q3360,-ABS(Q3360-01_因子設定!$B$16))),-1E+030)</f>
        <v>49.0880397727273</v>
      </c>
      <c r="Y3360" s="55" t="n">
        <f aca="false">W3360+ROW()*0.000000001</f>
        <v>-0.39918197295959</v>
      </c>
      <c r="Z3360" s="55" t="n">
        <f aca="false">X3360+ROW()*0.000000001</f>
        <v>49.0880431327273</v>
      </c>
    </row>
    <row r="3361" customFormat="false" ht="15" hidden="false" customHeight="false" outlineLevel="0" collapsed="false">
      <c r="A3361" s="0" t="n">
        <v>11</v>
      </c>
      <c r="B3361" s="0" t="n">
        <v>10</v>
      </c>
      <c r="C3361" s="0" t="n">
        <v>7</v>
      </c>
      <c r="D3361" s="0" t="n">
        <f aca="false">-1+A3361*0.125</f>
        <v>0.375</v>
      </c>
      <c r="E3361" s="0" t="n">
        <f aca="false">-1+B3361*0.125</f>
        <v>0.25</v>
      </c>
      <c r="F3361" s="0" t="n">
        <f aca="false">-1+C3361*0.125</f>
        <v>-0.125</v>
      </c>
      <c r="G3361" s="0" t="n">
        <f aca="false">1</f>
        <v>1</v>
      </c>
      <c r="H3361" s="0" t="n">
        <f aca="false">D3361</f>
        <v>0.375</v>
      </c>
      <c r="I3361" s="0" t="n">
        <f aca="false">E3361</f>
        <v>0.25</v>
      </c>
      <c r="J3361" s="0" t="n">
        <f aca="false">F3361</f>
        <v>-0.125</v>
      </c>
      <c r="K3361" s="0" t="n">
        <f aca="false">D3361*E3361</f>
        <v>0.09375</v>
      </c>
      <c r="L3361" s="0" t="n">
        <f aca="false">D3361*F3361</f>
        <v>-0.046875</v>
      </c>
      <c r="M3361" s="0" t="n">
        <f aca="false">E3361*F3361</f>
        <v>-0.03125</v>
      </c>
      <c r="N3361" s="0" t="n">
        <f aca="false">D3361*D3361</f>
        <v>0.140625</v>
      </c>
      <c r="O3361" s="0" t="n">
        <f aca="false">E3361*E3361</f>
        <v>0.0625</v>
      </c>
      <c r="P3361" s="0" t="n">
        <f aca="false">F3361*F3361</f>
        <v>0.015625</v>
      </c>
      <c r="Q3361" s="0" t="n">
        <f aca="false">SUMPRODUCT(G3361:P3361,_XtX!$B$71:$K$71)</f>
        <v>49.3227556818182</v>
      </c>
      <c r="R3361" s="0" t="n">
        <f aca="false">SUMPRODUCT(MMULT(G3361:P3361,_XtX!$B$58:$K$67),G3361:P3361)</f>
        <v>0.127103493430398</v>
      </c>
      <c r="S3361" s="0" t="n">
        <f aca="false">04_回帰ANOVA!$K$19*04_回帰ANOVA!$K$14*SQRT(1+R3361)</f>
        <v>0.987071321387587</v>
      </c>
      <c r="T3361" s="0" t="n">
        <f aca="false">Q3361-S3361</f>
        <v>48.3356843604306</v>
      </c>
      <c r="U3361" s="0" t="n">
        <f aca="false">Q3361+S3361</f>
        <v>50.3098270032058</v>
      </c>
      <c r="V3361" s="54" t="b">
        <f aca="false">AND(D3361&gt;=01_因子設定!$L$5-0.000000001,D3361&lt;=01_因子設定!$M$5+0.000000001,E3361&gt;=01_因子設定!$L$6-0.000000001,E3361&lt;=01_因子設定!$M$6+0.000000001,F3361&gt;=01_因子設定!$L$7-0.000000001,F3361&lt;=01_因子設定!$M$7+0.000000001,IF(01_因子設定!$B$20="Box-Behnken",D3361^2+E3361^2+F3361^2&lt;=2+0.000000001,TRUE()))</f>
        <v>1</v>
      </c>
      <c r="W3361" s="55" t="n">
        <f aca="false">IF(V3361,IF(01_因子設定!$B$13="最大化",T3361-01_因子設定!$B$14,IF(01_因子設定!$B$13="最小化",01_因子設定!$B$15-U3361,MIN(T3361-01_因子設定!$B$14,01_因子設定!$B$15-U3361))),-1E+030)</f>
        <v>-0.164315639569402</v>
      </c>
      <c r="X3361" s="55" t="n">
        <f aca="false">IF(V3361,IF(01_因子設定!$B$13="最大化",Q3361,IF(01_因子設定!$B$13="最小化",-Q3361,-ABS(Q3361-01_因子設定!$B$16))),-1E+030)</f>
        <v>49.3227556818182</v>
      </c>
      <c r="Y3361" s="55" t="n">
        <f aca="false">W3361+ROW()*0.000000001</f>
        <v>-0.164312278569402</v>
      </c>
      <c r="Z3361" s="55" t="n">
        <f aca="false">X3361+ROW()*0.000000001</f>
        <v>49.3227590428182</v>
      </c>
    </row>
    <row r="3362" customFormat="false" ht="15" hidden="false" customHeight="false" outlineLevel="0" collapsed="false">
      <c r="A3362" s="0" t="n">
        <v>11</v>
      </c>
      <c r="B3362" s="0" t="n">
        <v>10</v>
      </c>
      <c r="C3362" s="0" t="n">
        <v>8</v>
      </c>
      <c r="D3362" s="0" t="n">
        <f aca="false">-1+A3362*0.125</f>
        <v>0.375</v>
      </c>
      <c r="E3362" s="0" t="n">
        <f aca="false">-1+B3362*0.125</f>
        <v>0.25</v>
      </c>
      <c r="F3362" s="0" t="n">
        <f aca="false">-1+C3362*0.125</f>
        <v>0</v>
      </c>
      <c r="G3362" s="0" t="n">
        <f aca="false">1</f>
        <v>1</v>
      </c>
      <c r="H3362" s="0" t="n">
        <f aca="false">D3362</f>
        <v>0.375</v>
      </c>
      <c r="I3362" s="0" t="n">
        <f aca="false">E3362</f>
        <v>0.25</v>
      </c>
      <c r="J3362" s="0" t="n">
        <f aca="false">F3362</f>
        <v>0</v>
      </c>
      <c r="K3362" s="0" t="n">
        <f aca="false">D3362*E3362</f>
        <v>0.09375</v>
      </c>
      <c r="L3362" s="0" t="n">
        <f aca="false">D3362*F3362</f>
        <v>0</v>
      </c>
      <c r="M3362" s="0" t="n">
        <f aca="false">E3362*F3362</f>
        <v>0</v>
      </c>
      <c r="N3362" s="0" t="n">
        <f aca="false">D3362*D3362</f>
        <v>0.140625</v>
      </c>
      <c r="O3362" s="0" t="n">
        <f aca="false">E3362*E3362</f>
        <v>0.0625</v>
      </c>
      <c r="P3362" s="0" t="n">
        <f aca="false">F3362*F3362</f>
        <v>0</v>
      </c>
      <c r="Q3362" s="0" t="n">
        <f aca="false">SUMPRODUCT(G3362:P3362,_XtX!$B$71:$K$71)</f>
        <v>49.5206818181818</v>
      </c>
      <c r="R3362" s="0" t="n">
        <f aca="false">SUMPRODUCT(MMULT(G3362:P3362,_XtX!$B$58:$K$67),G3362:P3362)</f>
        <v>0.127341530539773</v>
      </c>
      <c r="S3362" s="0" t="n">
        <f aca="false">04_回帰ANOVA!$K$19*04_回帰ANOVA!$K$14*SQRT(1+R3362)</f>
        <v>0.987175547486288</v>
      </c>
      <c r="T3362" s="0" t="n">
        <f aca="false">Q3362-S3362</f>
        <v>48.5335062706955</v>
      </c>
      <c r="U3362" s="0" t="n">
        <f aca="false">Q3362+S3362</f>
        <v>50.5078573656681</v>
      </c>
      <c r="V3362" s="54" t="b">
        <f aca="false">AND(D3362&gt;=01_因子設定!$L$5-0.000000001,D3362&lt;=01_因子設定!$M$5+0.000000001,E3362&gt;=01_因子設定!$L$6-0.000000001,E3362&lt;=01_因子設定!$M$6+0.000000001,F3362&gt;=01_因子設定!$L$7-0.000000001,F3362&lt;=01_因子設定!$M$7+0.000000001,IF(01_因子設定!$B$20="Box-Behnken",D3362^2+E3362^2+F3362^2&lt;=2+0.000000001,TRUE()))</f>
        <v>1</v>
      </c>
      <c r="W3362" s="55" t="n">
        <f aca="false">IF(V3362,IF(01_因子設定!$B$13="最大化",T3362-01_因子設定!$B$14,IF(01_因子設定!$B$13="最小化",01_因子設定!$B$15-U3362,MIN(T3362-01_因子設定!$B$14,01_因子設定!$B$15-U3362))),-1E+030)</f>
        <v>0.0335062706955398</v>
      </c>
      <c r="X3362" s="55" t="n">
        <f aca="false">IF(V3362,IF(01_因子設定!$B$13="最大化",Q3362,IF(01_因子設定!$B$13="最小化",-Q3362,-ABS(Q3362-01_因子設定!$B$16))),-1E+030)</f>
        <v>49.5206818181818</v>
      </c>
      <c r="Y3362" s="55" t="n">
        <f aca="false">W3362+ROW()*0.000000001</f>
        <v>0.0335096326955398</v>
      </c>
      <c r="Z3362" s="55" t="n">
        <f aca="false">X3362+ROW()*0.000000001</f>
        <v>49.5206851801818</v>
      </c>
    </row>
    <row r="3363" customFormat="false" ht="15" hidden="false" customHeight="false" outlineLevel="0" collapsed="false">
      <c r="A3363" s="0" t="n">
        <v>11</v>
      </c>
      <c r="B3363" s="0" t="n">
        <v>10</v>
      </c>
      <c r="C3363" s="0" t="n">
        <v>9</v>
      </c>
      <c r="D3363" s="0" t="n">
        <f aca="false">-1+A3363*0.125</f>
        <v>0.375</v>
      </c>
      <c r="E3363" s="0" t="n">
        <f aca="false">-1+B3363*0.125</f>
        <v>0.25</v>
      </c>
      <c r="F3363" s="0" t="n">
        <f aca="false">-1+C3363*0.125</f>
        <v>0.125</v>
      </c>
      <c r="G3363" s="0" t="n">
        <f aca="false">1</f>
        <v>1</v>
      </c>
      <c r="H3363" s="0" t="n">
        <f aca="false">D3363</f>
        <v>0.375</v>
      </c>
      <c r="I3363" s="0" t="n">
        <f aca="false">E3363</f>
        <v>0.25</v>
      </c>
      <c r="J3363" s="0" t="n">
        <f aca="false">F3363</f>
        <v>0.125</v>
      </c>
      <c r="K3363" s="0" t="n">
        <f aca="false">D3363*E3363</f>
        <v>0.09375</v>
      </c>
      <c r="L3363" s="0" t="n">
        <f aca="false">D3363*F3363</f>
        <v>0.046875</v>
      </c>
      <c r="M3363" s="0" t="n">
        <f aca="false">E3363*F3363</f>
        <v>0.03125</v>
      </c>
      <c r="N3363" s="0" t="n">
        <f aca="false">D3363*D3363</f>
        <v>0.140625</v>
      </c>
      <c r="O3363" s="0" t="n">
        <f aca="false">E3363*E3363</f>
        <v>0.0625</v>
      </c>
      <c r="P3363" s="0" t="n">
        <f aca="false">F3363*F3363</f>
        <v>0.015625</v>
      </c>
      <c r="Q3363" s="0" t="n">
        <f aca="false">SUMPRODUCT(G3363:P3363,_XtX!$B$71:$K$71)</f>
        <v>49.6818181818182</v>
      </c>
      <c r="R3363" s="0" t="n">
        <f aca="false">SUMPRODUCT(MMULT(G3363:P3363,_XtX!$B$58:$K$67),G3363:P3363)</f>
        <v>0.127103493430398</v>
      </c>
      <c r="S3363" s="0" t="n">
        <f aca="false">04_回帰ANOVA!$K$19*04_回帰ANOVA!$K$14*SQRT(1+R3363)</f>
        <v>0.987071321387587</v>
      </c>
      <c r="T3363" s="0" t="n">
        <f aca="false">Q3363-S3363</f>
        <v>48.6947468604306</v>
      </c>
      <c r="U3363" s="0" t="n">
        <f aca="false">Q3363+S3363</f>
        <v>50.6688895032058</v>
      </c>
      <c r="V3363" s="54" t="b">
        <f aca="false">AND(D3363&gt;=01_因子設定!$L$5-0.000000001,D3363&lt;=01_因子設定!$M$5+0.000000001,E3363&gt;=01_因子設定!$L$6-0.000000001,E3363&lt;=01_因子設定!$M$6+0.000000001,F3363&gt;=01_因子設定!$L$7-0.000000001,F3363&lt;=01_因子設定!$M$7+0.000000001,IF(01_因子設定!$B$20="Box-Behnken",D3363^2+E3363^2+F3363^2&lt;=2+0.000000001,TRUE()))</f>
        <v>1</v>
      </c>
      <c r="W3363" s="55" t="n">
        <f aca="false">IF(V3363,IF(01_因子設定!$B$13="最大化",T3363-01_因子設定!$B$14,IF(01_因子設定!$B$13="最小化",01_因子設定!$B$15-U3363,MIN(T3363-01_因子設定!$B$14,01_因子設定!$B$15-U3363))),-1E+030)</f>
        <v>0.194746860430598</v>
      </c>
      <c r="X3363" s="55" t="n">
        <f aca="false">IF(V3363,IF(01_因子設定!$B$13="最大化",Q3363,IF(01_因子設定!$B$13="最小化",-Q3363,-ABS(Q3363-01_因子設定!$B$16))),-1E+030)</f>
        <v>49.6818181818182</v>
      </c>
      <c r="Y3363" s="55" t="n">
        <f aca="false">W3363+ROW()*0.000000001</f>
        <v>0.194750223430598</v>
      </c>
      <c r="Z3363" s="55" t="n">
        <f aca="false">X3363+ROW()*0.000000001</f>
        <v>49.6818215448182</v>
      </c>
    </row>
    <row r="3364" customFormat="false" ht="15" hidden="false" customHeight="false" outlineLevel="0" collapsed="false">
      <c r="A3364" s="0" t="n">
        <v>11</v>
      </c>
      <c r="B3364" s="0" t="n">
        <v>10</v>
      </c>
      <c r="C3364" s="0" t="n">
        <v>10</v>
      </c>
      <c r="D3364" s="0" t="n">
        <f aca="false">-1+A3364*0.125</f>
        <v>0.375</v>
      </c>
      <c r="E3364" s="0" t="n">
        <f aca="false">-1+B3364*0.125</f>
        <v>0.25</v>
      </c>
      <c r="F3364" s="0" t="n">
        <f aca="false">-1+C3364*0.125</f>
        <v>0.25</v>
      </c>
      <c r="G3364" s="0" t="n">
        <f aca="false">1</f>
        <v>1</v>
      </c>
      <c r="H3364" s="0" t="n">
        <f aca="false">D3364</f>
        <v>0.375</v>
      </c>
      <c r="I3364" s="0" t="n">
        <f aca="false">E3364</f>
        <v>0.25</v>
      </c>
      <c r="J3364" s="0" t="n">
        <f aca="false">F3364</f>
        <v>0.25</v>
      </c>
      <c r="K3364" s="0" t="n">
        <f aca="false">D3364*E3364</f>
        <v>0.09375</v>
      </c>
      <c r="L3364" s="0" t="n">
        <f aca="false">D3364*F3364</f>
        <v>0.09375</v>
      </c>
      <c r="M3364" s="0" t="n">
        <f aca="false">E3364*F3364</f>
        <v>0.0625</v>
      </c>
      <c r="N3364" s="0" t="n">
        <f aca="false">D3364*D3364</f>
        <v>0.140625</v>
      </c>
      <c r="O3364" s="0" t="n">
        <f aca="false">E3364*E3364</f>
        <v>0.0625</v>
      </c>
      <c r="P3364" s="0" t="n">
        <f aca="false">F3364*F3364</f>
        <v>0.0625</v>
      </c>
      <c r="Q3364" s="0" t="n">
        <f aca="false">SUMPRODUCT(G3364:P3364,_XtX!$B$71:$K$71)</f>
        <v>49.8061647727273</v>
      </c>
      <c r="R3364" s="0" t="n">
        <f aca="false">SUMPRODUCT(MMULT(G3364:P3364,_XtX!$B$58:$K$67),G3364:P3364)</f>
        <v>0.127454723011364</v>
      </c>
      <c r="S3364" s="0" t="n">
        <f aca="false">04_回帰ANOVA!$K$19*04_回帰ANOVA!$K$14*SQRT(1+R3364)</f>
        <v>0.987225105686864</v>
      </c>
      <c r="T3364" s="0" t="n">
        <f aca="false">Q3364-S3364</f>
        <v>48.8189396670404</v>
      </c>
      <c r="U3364" s="0" t="n">
        <f aca="false">Q3364+S3364</f>
        <v>50.7933898784141</v>
      </c>
      <c r="V3364" s="54" t="b">
        <f aca="false">AND(D3364&gt;=01_因子設定!$L$5-0.000000001,D3364&lt;=01_因子設定!$M$5+0.000000001,E3364&gt;=01_因子設定!$L$6-0.000000001,E3364&lt;=01_因子設定!$M$6+0.000000001,F3364&gt;=01_因子設定!$L$7-0.000000001,F3364&lt;=01_因子設定!$M$7+0.000000001,IF(01_因子設定!$B$20="Box-Behnken",D3364^2+E3364^2+F3364^2&lt;=2+0.000000001,TRUE()))</f>
        <v>1</v>
      </c>
      <c r="W3364" s="55" t="n">
        <f aca="false">IF(V3364,IF(01_因子設定!$B$13="最大化",T3364-01_因子設定!$B$14,IF(01_因子設定!$B$13="最小化",01_因子設定!$B$15-U3364,MIN(T3364-01_因子設定!$B$14,01_因子設定!$B$15-U3364))),-1E+030)</f>
        <v>0.318939667040411</v>
      </c>
      <c r="X3364" s="55" t="n">
        <f aca="false">IF(V3364,IF(01_因子設定!$B$13="最大化",Q3364,IF(01_因子設定!$B$13="最小化",-Q3364,-ABS(Q3364-01_因子設定!$B$16))),-1E+030)</f>
        <v>49.8061647727273</v>
      </c>
      <c r="Y3364" s="55" t="n">
        <f aca="false">W3364+ROW()*0.000000001</f>
        <v>0.318943031040411</v>
      </c>
      <c r="Z3364" s="55" t="n">
        <f aca="false">X3364+ROW()*0.000000001</f>
        <v>49.8061681367273</v>
      </c>
    </row>
    <row r="3365" customFormat="false" ht="15" hidden="false" customHeight="false" outlineLevel="0" collapsed="false">
      <c r="A3365" s="0" t="n">
        <v>11</v>
      </c>
      <c r="B3365" s="0" t="n">
        <v>10</v>
      </c>
      <c r="C3365" s="0" t="n">
        <v>11</v>
      </c>
      <c r="D3365" s="0" t="n">
        <f aca="false">-1+A3365*0.125</f>
        <v>0.375</v>
      </c>
      <c r="E3365" s="0" t="n">
        <f aca="false">-1+B3365*0.125</f>
        <v>0.25</v>
      </c>
      <c r="F3365" s="0" t="n">
        <f aca="false">-1+C3365*0.125</f>
        <v>0.375</v>
      </c>
      <c r="G3365" s="0" t="n">
        <f aca="false">1</f>
        <v>1</v>
      </c>
      <c r="H3365" s="0" t="n">
        <f aca="false">D3365</f>
        <v>0.375</v>
      </c>
      <c r="I3365" s="0" t="n">
        <f aca="false">E3365</f>
        <v>0.25</v>
      </c>
      <c r="J3365" s="0" t="n">
        <f aca="false">F3365</f>
        <v>0.375</v>
      </c>
      <c r="K3365" s="0" t="n">
        <f aca="false">D3365*E3365</f>
        <v>0.09375</v>
      </c>
      <c r="L3365" s="0" t="n">
        <f aca="false">D3365*F3365</f>
        <v>0.140625</v>
      </c>
      <c r="M3365" s="0" t="n">
        <f aca="false">E3365*F3365</f>
        <v>0.09375</v>
      </c>
      <c r="N3365" s="0" t="n">
        <f aca="false">D3365*D3365</f>
        <v>0.140625</v>
      </c>
      <c r="O3365" s="0" t="n">
        <f aca="false">E3365*E3365</f>
        <v>0.0625</v>
      </c>
      <c r="P3365" s="0" t="n">
        <f aca="false">F3365*F3365</f>
        <v>0.140625</v>
      </c>
      <c r="Q3365" s="0" t="n">
        <f aca="false">SUMPRODUCT(G3365:P3365,_XtX!$B$71:$K$71)</f>
        <v>49.8937215909091</v>
      </c>
      <c r="R3365" s="0" t="n">
        <f aca="false">SUMPRODUCT(MMULT(G3365:P3365,_XtX!$B$58:$K$67),G3365:P3365)</f>
        <v>0.131591242009943</v>
      </c>
      <c r="S3365" s="0" t="n">
        <f aca="false">04_回帰ANOVA!$K$19*04_回帰ANOVA!$K$14*SQRT(1+R3365)</f>
        <v>0.989034462873572</v>
      </c>
      <c r="T3365" s="0" t="n">
        <f aca="false">Q3365-S3365</f>
        <v>48.9046871280355</v>
      </c>
      <c r="U3365" s="0" t="n">
        <f aca="false">Q3365+S3365</f>
        <v>50.8827560537827</v>
      </c>
      <c r="V3365" s="54" t="b">
        <f aca="false">AND(D3365&gt;=01_因子設定!$L$5-0.000000001,D3365&lt;=01_因子設定!$M$5+0.000000001,E3365&gt;=01_因子設定!$L$6-0.000000001,E3365&lt;=01_因子設定!$M$6+0.000000001,F3365&gt;=01_因子設定!$L$7-0.000000001,F3365&lt;=01_因子設定!$M$7+0.000000001,IF(01_因子設定!$B$20="Box-Behnken",D3365^2+E3365^2+F3365^2&lt;=2+0.000000001,TRUE()))</f>
        <v>1</v>
      </c>
      <c r="W3365" s="55" t="n">
        <f aca="false">IF(V3365,IF(01_因子設定!$B$13="最大化",T3365-01_因子設定!$B$14,IF(01_因子設定!$B$13="最小化",01_因子設定!$B$15-U3365,MIN(T3365-01_因子設定!$B$14,01_因子設定!$B$15-U3365))),-1E+030)</f>
        <v>0.404687128035533</v>
      </c>
      <c r="X3365" s="55" t="n">
        <f aca="false">IF(V3365,IF(01_因子設定!$B$13="最大化",Q3365,IF(01_因子設定!$B$13="最小化",-Q3365,-ABS(Q3365-01_因子設定!$B$16))),-1E+030)</f>
        <v>49.8937215909091</v>
      </c>
      <c r="Y3365" s="55" t="n">
        <f aca="false">W3365+ROW()*0.000000001</f>
        <v>0.404690493035533</v>
      </c>
      <c r="Z3365" s="55" t="n">
        <f aca="false">X3365+ROW()*0.000000001</f>
        <v>49.8937249559091</v>
      </c>
    </row>
    <row r="3366" customFormat="false" ht="15" hidden="false" customHeight="false" outlineLevel="0" collapsed="false">
      <c r="A3366" s="0" t="n">
        <v>11</v>
      </c>
      <c r="B3366" s="0" t="n">
        <v>10</v>
      </c>
      <c r="C3366" s="0" t="n">
        <v>12</v>
      </c>
      <c r="D3366" s="0" t="n">
        <f aca="false">-1+A3366*0.125</f>
        <v>0.375</v>
      </c>
      <c r="E3366" s="0" t="n">
        <f aca="false">-1+B3366*0.125</f>
        <v>0.25</v>
      </c>
      <c r="F3366" s="0" t="n">
        <f aca="false">-1+C3366*0.125</f>
        <v>0.5</v>
      </c>
      <c r="G3366" s="0" t="n">
        <f aca="false">1</f>
        <v>1</v>
      </c>
      <c r="H3366" s="0" t="n">
        <f aca="false">D3366</f>
        <v>0.375</v>
      </c>
      <c r="I3366" s="0" t="n">
        <f aca="false">E3366</f>
        <v>0.25</v>
      </c>
      <c r="J3366" s="0" t="n">
        <f aca="false">F3366</f>
        <v>0.5</v>
      </c>
      <c r="K3366" s="0" t="n">
        <f aca="false">D3366*E3366</f>
        <v>0.09375</v>
      </c>
      <c r="L3366" s="0" t="n">
        <f aca="false">D3366*F3366</f>
        <v>0.1875</v>
      </c>
      <c r="M3366" s="0" t="n">
        <f aca="false">E3366*F3366</f>
        <v>0.125</v>
      </c>
      <c r="N3366" s="0" t="n">
        <f aca="false">D3366*D3366</f>
        <v>0.140625</v>
      </c>
      <c r="O3366" s="0" t="n">
        <f aca="false">E3366*E3366</f>
        <v>0.0625</v>
      </c>
      <c r="P3366" s="0" t="n">
        <f aca="false">F3366*F3366</f>
        <v>0.25</v>
      </c>
      <c r="Q3366" s="0" t="n">
        <f aca="false">SUMPRODUCT(G3366:P3366,_XtX!$B$71:$K$71)</f>
        <v>49.9444886363636</v>
      </c>
      <c r="R3366" s="0" t="n">
        <f aca="false">SUMPRODUCT(MMULT(G3366:P3366,_XtX!$B$58:$K$67),G3366:P3366)</f>
        <v>0.144839754971591</v>
      </c>
      <c r="S3366" s="0" t="n">
        <f aca="false">04_回帰ANOVA!$K$19*04_回帰ANOVA!$K$14*SQRT(1+R3366)</f>
        <v>0.994807353995542</v>
      </c>
      <c r="T3366" s="0" t="n">
        <f aca="false">Q3366-S3366</f>
        <v>48.9496812823681</v>
      </c>
      <c r="U3366" s="0" t="n">
        <f aca="false">Q3366+S3366</f>
        <v>50.9392959903592</v>
      </c>
      <c r="V3366" s="54" t="b">
        <f aca="false">AND(D3366&gt;=01_因子設定!$L$5-0.000000001,D3366&lt;=01_因子設定!$M$5+0.000000001,E3366&gt;=01_因子設定!$L$6-0.000000001,E3366&lt;=01_因子設定!$M$6+0.000000001,F3366&gt;=01_因子設定!$L$7-0.000000001,F3366&lt;=01_因子設定!$M$7+0.000000001,IF(01_因子設定!$B$20="Box-Behnken",D3366^2+E3366^2+F3366^2&lt;=2+0.000000001,TRUE()))</f>
        <v>1</v>
      </c>
      <c r="W3366" s="55" t="n">
        <f aca="false">IF(V3366,IF(01_因子設定!$B$13="最大化",T3366-01_因子設定!$B$14,IF(01_因子設定!$B$13="最小化",01_因子設定!$B$15-U3366,MIN(T3366-01_因子設定!$B$14,01_因子設定!$B$15-U3366))),-1E+030)</f>
        <v>0.449681282368104</v>
      </c>
      <c r="X3366" s="55" t="n">
        <f aca="false">IF(V3366,IF(01_因子設定!$B$13="最大化",Q3366,IF(01_因子設定!$B$13="最小化",-Q3366,-ABS(Q3366-01_因子設定!$B$16))),-1E+030)</f>
        <v>49.9444886363636</v>
      </c>
      <c r="Y3366" s="55" t="n">
        <f aca="false">W3366+ROW()*0.000000001</f>
        <v>0.449684648368104</v>
      </c>
      <c r="Z3366" s="55" t="n">
        <f aca="false">X3366+ROW()*0.000000001</f>
        <v>49.9444920023636</v>
      </c>
    </row>
    <row r="3367" customFormat="false" ht="15" hidden="false" customHeight="false" outlineLevel="0" collapsed="false">
      <c r="A3367" s="0" t="n">
        <v>11</v>
      </c>
      <c r="B3367" s="0" t="n">
        <v>10</v>
      </c>
      <c r="C3367" s="0" t="n">
        <v>13</v>
      </c>
      <c r="D3367" s="0" t="n">
        <f aca="false">-1+A3367*0.125</f>
        <v>0.375</v>
      </c>
      <c r="E3367" s="0" t="n">
        <f aca="false">-1+B3367*0.125</f>
        <v>0.25</v>
      </c>
      <c r="F3367" s="0" t="n">
        <f aca="false">-1+C3367*0.125</f>
        <v>0.625</v>
      </c>
      <c r="G3367" s="0" t="n">
        <f aca="false">1</f>
        <v>1</v>
      </c>
      <c r="H3367" s="0" t="n">
        <f aca="false">D3367</f>
        <v>0.375</v>
      </c>
      <c r="I3367" s="0" t="n">
        <f aca="false">E3367</f>
        <v>0.25</v>
      </c>
      <c r="J3367" s="0" t="n">
        <f aca="false">F3367</f>
        <v>0.625</v>
      </c>
      <c r="K3367" s="0" t="n">
        <f aca="false">D3367*E3367</f>
        <v>0.09375</v>
      </c>
      <c r="L3367" s="0" t="n">
        <f aca="false">D3367*F3367</f>
        <v>0.234375</v>
      </c>
      <c r="M3367" s="0" t="n">
        <f aca="false">E3367*F3367</f>
        <v>0.15625</v>
      </c>
      <c r="N3367" s="0" t="n">
        <f aca="false">D3367*D3367</f>
        <v>0.140625</v>
      </c>
      <c r="O3367" s="0" t="n">
        <f aca="false">E3367*E3367</f>
        <v>0.0625</v>
      </c>
      <c r="P3367" s="0" t="n">
        <f aca="false">F3367*F3367</f>
        <v>0.390625</v>
      </c>
      <c r="Q3367" s="0" t="n">
        <f aca="false">SUMPRODUCT(G3367:P3367,_XtX!$B$71:$K$71)</f>
        <v>49.9584659090909</v>
      </c>
      <c r="R3367" s="0" t="n">
        <f aca="false">SUMPRODUCT(MMULT(G3367:P3367,_XtX!$B$58:$K$67),G3367:P3367)</f>
        <v>0.174657648259943</v>
      </c>
      <c r="S3367" s="0" t="n">
        <f aca="false">04_回帰ANOVA!$K$19*04_回帰ANOVA!$K$14*SQRT(1+R3367)</f>
        <v>1.00767919364845</v>
      </c>
      <c r="T3367" s="0" t="n">
        <f aca="false">Q3367-S3367</f>
        <v>48.9507867154425</v>
      </c>
      <c r="U3367" s="0" t="n">
        <f aca="false">Q3367+S3367</f>
        <v>50.9661451027394</v>
      </c>
      <c r="V3367" s="54" t="b">
        <f aca="false">AND(D3367&gt;=01_因子設定!$L$5-0.000000001,D3367&lt;=01_因子設定!$M$5+0.000000001,E3367&gt;=01_因子設定!$L$6-0.000000001,E3367&lt;=01_因子設定!$M$6+0.000000001,F3367&gt;=01_因子設定!$L$7-0.000000001,F3367&lt;=01_因子設定!$M$7+0.000000001,IF(01_因子設定!$B$20="Box-Behnken",D3367^2+E3367^2+F3367^2&lt;=2+0.000000001,TRUE()))</f>
        <v>1</v>
      </c>
      <c r="W3367" s="55" t="n">
        <f aca="false">IF(V3367,IF(01_因子設定!$B$13="最大化",T3367-01_因子設定!$B$14,IF(01_因子設定!$B$13="最小化",01_因子設定!$B$15-U3367,MIN(T3367-01_因子設定!$B$14,01_因子設定!$B$15-U3367))),-1E+030)</f>
        <v>0.450786715442483</v>
      </c>
      <c r="X3367" s="55" t="n">
        <f aca="false">IF(V3367,IF(01_因子設定!$B$13="最大化",Q3367,IF(01_因子設定!$B$13="最小化",-Q3367,-ABS(Q3367-01_因子設定!$B$16))),-1E+030)</f>
        <v>49.9584659090909</v>
      </c>
      <c r="Y3367" s="55" t="n">
        <f aca="false">W3367+ROW()*0.000000001</f>
        <v>0.450790082442483</v>
      </c>
      <c r="Z3367" s="55" t="n">
        <f aca="false">X3367+ROW()*0.000000001</f>
        <v>49.9584692760909</v>
      </c>
    </row>
    <row r="3368" customFormat="false" ht="15" hidden="false" customHeight="false" outlineLevel="0" collapsed="false">
      <c r="A3368" s="0" t="n">
        <v>11</v>
      </c>
      <c r="B3368" s="0" t="n">
        <v>10</v>
      </c>
      <c r="C3368" s="0" t="n">
        <v>14</v>
      </c>
      <c r="D3368" s="0" t="n">
        <f aca="false">-1+A3368*0.125</f>
        <v>0.375</v>
      </c>
      <c r="E3368" s="0" t="n">
        <f aca="false">-1+B3368*0.125</f>
        <v>0.25</v>
      </c>
      <c r="F3368" s="0" t="n">
        <f aca="false">-1+C3368*0.125</f>
        <v>0.75</v>
      </c>
      <c r="G3368" s="0" t="n">
        <f aca="false">1</f>
        <v>1</v>
      </c>
      <c r="H3368" s="0" t="n">
        <f aca="false">D3368</f>
        <v>0.375</v>
      </c>
      <c r="I3368" s="0" t="n">
        <f aca="false">E3368</f>
        <v>0.25</v>
      </c>
      <c r="J3368" s="0" t="n">
        <f aca="false">F3368</f>
        <v>0.75</v>
      </c>
      <c r="K3368" s="0" t="n">
        <f aca="false">D3368*E3368</f>
        <v>0.09375</v>
      </c>
      <c r="L3368" s="0" t="n">
        <f aca="false">D3368*F3368</f>
        <v>0.28125</v>
      </c>
      <c r="M3368" s="0" t="n">
        <f aca="false">E3368*F3368</f>
        <v>0.1875</v>
      </c>
      <c r="N3368" s="0" t="n">
        <f aca="false">D3368*D3368</f>
        <v>0.140625</v>
      </c>
      <c r="O3368" s="0" t="n">
        <f aca="false">E3368*E3368</f>
        <v>0.0625</v>
      </c>
      <c r="P3368" s="0" t="n">
        <f aca="false">F3368*F3368</f>
        <v>0.5625</v>
      </c>
      <c r="Q3368" s="0" t="n">
        <f aca="false">SUMPRODUCT(G3368:P3368,_XtX!$B$71:$K$71)</f>
        <v>49.9356534090909</v>
      </c>
      <c r="R3368" s="0" t="n">
        <f aca="false">SUMPRODUCT(MMULT(G3368:P3368,_XtX!$B$58:$K$67),G3368:P3368)</f>
        <v>0.230632990056818</v>
      </c>
      <c r="S3368" s="0" t="n">
        <f aca="false">04_回帰ANOVA!$K$19*04_回帰ANOVA!$K$14*SQRT(1+R3368)</f>
        <v>1.03140899038819</v>
      </c>
      <c r="T3368" s="0" t="n">
        <f aca="false">Q3368-S3368</f>
        <v>48.9042444187027</v>
      </c>
      <c r="U3368" s="0" t="n">
        <f aca="false">Q3368+S3368</f>
        <v>50.9670623994791</v>
      </c>
      <c r="V3368" s="54" t="b">
        <f aca="false">AND(D3368&gt;=01_因子設定!$L$5-0.000000001,D3368&lt;=01_因子設定!$M$5+0.000000001,E3368&gt;=01_因子設定!$L$6-0.000000001,E3368&lt;=01_因子設定!$M$6+0.000000001,F3368&gt;=01_因子設定!$L$7-0.000000001,F3368&lt;=01_因子設定!$M$7+0.000000001,IF(01_因子設定!$B$20="Box-Behnken",D3368^2+E3368^2+F3368^2&lt;=2+0.000000001,TRUE()))</f>
        <v>1</v>
      </c>
      <c r="W3368" s="55" t="n">
        <f aca="false">IF(V3368,IF(01_因子設定!$B$13="最大化",T3368-01_因子設定!$B$14,IF(01_因子設定!$B$13="最小化",01_因子設定!$B$15-U3368,MIN(T3368-01_因子設定!$B$14,01_因子設定!$B$15-U3368))),-1E+030)</f>
        <v>0.404244418702739</v>
      </c>
      <c r="X3368" s="55" t="n">
        <f aca="false">IF(V3368,IF(01_因子設定!$B$13="最大化",Q3368,IF(01_因子設定!$B$13="最小化",-Q3368,-ABS(Q3368-01_因子設定!$B$16))),-1E+030)</f>
        <v>49.9356534090909</v>
      </c>
      <c r="Y3368" s="55" t="n">
        <f aca="false">W3368+ROW()*0.000000001</f>
        <v>0.404247786702739</v>
      </c>
      <c r="Z3368" s="55" t="n">
        <f aca="false">X3368+ROW()*0.000000001</f>
        <v>49.9356567770909</v>
      </c>
    </row>
    <row r="3369" customFormat="false" ht="15" hidden="false" customHeight="false" outlineLevel="0" collapsed="false">
      <c r="A3369" s="0" t="n">
        <v>11</v>
      </c>
      <c r="B3369" s="0" t="n">
        <v>10</v>
      </c>
      <c r="C3369" s="0" t="n">
        <v>15</v>
      </c>
      <c r="D3369" s="0" t="n">
        <f aca="false">-1+A3369*0.125</f>
        <v>0.375</v>
      </c>
      <c r="E3369" s="0" t="n">
        <f aca="false">-1+B3369*0.125</f>
        <v>0.25</v>
      </c>
      <c r="F3369" s="0" t="n">
        <f aca="false">-1+C3369*0.125</f>
        <v>0.875</v>
      </c>
      <c r="G3369" s="0" t="n">
        <f aca="false">1</f>
        <v>1</v>
      </c>
      <c r="H3369" s="0" t="n">
        <f aca="false">D3369</f>
        <v>0.375</v>
      </c>
      <c r="I3369" s="0" t="n">
        <f aca="false">E3369</f>
        <v>0.25</v>
      </c>
      <c r="J3369" s="0" t="n">
        <f aca="false">F3369</f>
        <v>0.875</v>
      </c>
      <c r="K3369" s="0" t="n">
        <f aca="false">D3369*E3369</f>
        <v>0.09375</v>
      </c>
      <c r="L3369" s="0" t="n">
        <f aca="false">D3369*F3369</f>
        <v>0.328125</v>
      </c>
      <c r="M3369" s="0" t="n">
        <f aca="false">E3369*F3369</f>
        <v>0.21875</v>
      </c>
      <c r="N3369" s="0" t="n">
        <f aca="false">D3369*D3369</f>
        <v>0.140625</v>
      </c>
      <c r="O3369" s="0" t="n">
        <f aca="false">E3369*E3369</f>
        <v>0.0625</v>
      </c>
      <c r="P3369" s="0" t="n">
        <f aca="false">F3369*F3369</f>
        <v>0.765625</v>
      </c>
      <c r="Q3369" s="0" t="n">
        <f aca="false">SUMPRODUCT(G3369:P3369,_XtX!$B$71:$K$71)</f>
        <v>49.8760511363637</v>
      </c>
      <c r="R3369" s="0" t="n">
        <f aca="false">SUMPRODUCT(MMULT(G3369:P3369,_XtX!$B$58:$K$67),G3369:P3369)</f>
        <v>0.324484530362216</v>
      </c>
      <c r="S3369" s="0" t="n">
        <f aca="false">04_回帰ANOVA!$K$19*04_回帰ANOVA!$K$14*SQRT(1+R3369)</f>
        <v>1.07001553041279</v>
      </c>
      <c r="T3369" s="0" t="n">
        <f aca="false">Q3369-S3369</f>
        <v>48.8060356059509</v>
      </c>
      <c r="U3369" s="0" t="n">
        <f aca="false">Q3369+S3369</f>
        <v>50.9460666667764</v>
      </c>
      <c r="V3369" s="54" t="b">
        <f aca="false">AND(D3369&gt;=01_因子設定!$L$5-0.000000001,D3369&lt;=01_因子設定!$M$5+0.000000001,E3369&gt;=01_因子設定!$L$6-0.000000001,E3369&lt;=01_因子設定!$M$6+0.000000001,F3369&gt;=01_因子設定!$L$7-0.000000001,F3369&lt;=01_因子設定!$M$7+0.000000001,IF(01_因子設定!$B$20="Box-Behnken",D3369^2+E3369^2+F3369^2&lt;=2+0.000000001,TRUE()))</f>
        <v>1</v>
      </c>
      <c r="W3369" s="55" t="n">
        <f aca="false">IF(V3369,IF(01_因子設定!$B$13="最大化",T3369-01_因子設定!$B$14,IF(01_因子設定!$B$13="最小化",01_因子設定!$B$15-U3369,MIN(T3369-01_因子設定!$B$14,01_因子設定!$B$15-U3369))),-1E+030)</f>
        <v>0.306035605950868</v>
      </c>
      <c r="X3369" s="55" t="n">
        <f aca="false">IF(V3369,IF(01_因子設定!$B$13="最大化",Q3369,IF(01_因子設定!$B$13="最小化",-Q3369,-ABS(Q3369-01_因子設定!$B$16))),-1E+030)</f>
        <v>49.8760511363637</v>
      </c>
      <c r="Y3369" s="55" t="n">
        <f aca="false">W3369+ROW()*0.000000001</f>
        <v>0.306038974950868</v>
      </c>
      <c r="Z3369" s="55" t="n">
        <f aca="false">X3369+ROW()*0.000000001</f>
        <v>49.8760545053637</v>
      </c>
    </row>
    <row r="3370" customFormat="false" ht="15" hidden="false" customHeight="false" outlineLevel="0" collapsed="false">
      <c r="A3370" s="0" t="n">
        <v>11</v>
      </c>
      <c r="B3370" s="0" t="n">
        <v>10</v>
      </c>
      <c r="C3370" s="0" t="n">
        <v>16</v>
      </c>
      <c r="D3370" s="0" t="n">
        <f aca="false">-1+A3370*0.125</f>
        <v>0.375</v>
      </c>
      <c r="E3370" s="0" t="n">
        <f aca="false">-1+B3370*0.125</f>
        <v>0.25</v>
      </c>
      <c r="F3370" s="0" t="n">
        <f aca="false">-1+C3370*0.125</f>
        <v>1</v>
      </c>
      <c r="G3370" s="0" t="n">
        <f aca="false">1</f>
        <v>1</v>
      </c>
      <c r="H3370" s="0" t="n">
        <f aca="false">D3370</f>
        <v>0.375</v>
      </c>
      <c r="I3370" s="0" t="n">
        <f aca="false">E3370</f>
        <v>0.25</v>
      </c>
      <c r="J3370" s="0" t="n">
        <f aca="false">F3370</f>
        <v>1</v>
      </c>
      <c r="K3370" s="0" t="n">
        <f aca="false">D3370*E3370</f>
        <v>0.09375</v>
      </c>
      <c r="L3370" s="0" t="n">
        <f aca="false">D3370*F3370</f>
        <v>0.375</v>
      </c>
      <c r="M3370" s="0" t="n">
        <f aca="false">E3370*F3370</f>
        <v>0.25</v>
      </c>
      <c r="N3370" s="0" t="n">
        <f aca="false">D3370*D3370</f>
        <v>0.140625</v>
      </c>
      <c r="O3370" s="0" t="n">
        <f aca="false">E3370*E3370</f>
        <v>0.0625</v>
      </c>
      <c r="P3370" s="0" t="n">
        <f aca="false">F3370*F3370</f>
        <v>1</v>
      </c>
      <c r="Q3370" s="0" t="n">
        <f aca="false">SUMPRODUCT(G3370:P3370,_XtX!$B$71:$K$71)</f>
        <v>49.7796590909091</v>
      </c>
      <c r="R3370" s="0" t="n">
        <f aca="false">SUMPRODUCT(MMULT(G3370:P3370,_XtX!$B$58:$K$67),G3370:P3370)</f>
        <v>0.470061700994318</v>
      </c>
      <c r="S3370" s="0" t="n">
        <f aca="false">04_回帰ANOVA!$K$19*04_回帰ANOVA!$K$14*SQRT(1+R3370)</f>
        <v>1.12728678965931</v>
      </c>
      <c r="T3370" s="0" t="n">
        <f aca="false">Q3370-S3370</f>
        <v>48.6523723012498</v>
      </c>
      <c r="U3370" s="0" t="n">
        <f aca="false">Q3370+S3370</f>
        <v>50.9069458805684</v>
      </c>
      <c r="V3370" s="54" t="b">
        <f aca="false">AND(D3370&gt;=01_因子設定!$L$5-0.000000001,D3370&lt;=01_因子設定!$M$5+0.000000001,E3370&gt;=01_因子設定!$L$6-0.000000001,E3370&lt;=01_因子設定!$M$6+0.000000001,F3370&gt;=01_因子設定!$L$7-0.000000001,F3370&lt;=01_因子設定!$M$7+0.000000001,IF(01_因子設定!$B$20="Box-Behnken",D3370^2+E3370^2+F3370^2&lt;=2+0.000000001,TRUE()))</f>
        <v>1</v>
      </c>
      <c r="W3370" s="55" t="n">
        <f aca="false">IF(V3370,IF(01_因子設定!$B$13="最大化",T3370-01_因子設定!$B$14,IF(01_因子設定!$B$13="最小化",01_因子設定!$B$15-U3370,MIN(T3370-01_因子設定!$B$14,01_因子設定!$B$15-U3370))),-1E+030)</f>
        <v>0.152372301249805</v>
      </c>
      <c r="X3370" s="55" t="n">
        <f aca="false">IF(V3370,IF(01_因子設定!$B$13="最大化",Q3370,IF(01_因子設定!$B$13="最小化",-Q3370,-ABS(Q3370-01_因子設定!$B$16))),-1E+030)</f>
        <v>49.7796590909091</v>
      </c>
      <c r="Y3370" s="55" t="n">
        <f aca="false">W3370+ROW()*0.000000001</f>
        <v>0.152375671249805</v>
      </c>
      <c r="Z3370" s="55" t="n">
        <f aca="false">X3370+ROW()*0.000000001</f>
        <v>49.7796624609091</v>
      </c>
    </row>
    <row r="3371" customFormat="false" ht="15" hidden="false" customHeight="false" outlineLevel="0" collapsed="false">
      <c r="A3371" s="0" t="n">
        <v>11</v>
      </c>
      <c r="B3371" s="0" t="n">
        <v>11</v>
      </c>
      <c r="C3371" s="0" t="n">
        <v>0</v>
      </c>
      <c r="D3371" s="0" t="n">
        <f aca="false">-1+A3371*0.125</f>
        <v>0.375</v>
      </c>
      <c r="E3371" s="0" t="n">
        <f aca="false">-1+B3371*0.125</f>
        <v>0.375</v>
      </c>
      <c r="F3371" s="0" t="n">
        <f aca="false">-1+C3371*0.125</f>
        <v>-1</v>
      </c>
      <c r="G3371" s="0" t="n">
        <f aca="false">1</f>
        <v>1</v>
      </c>
      <c r="H3371" s="0" t="n">
        <f aca="false">D3371</f>
        <v>0.375</v>
      </c>
      <c r="I3371" s="0" t="n">
        <f aca="false">E3371</f>
        <v>0.375</v>
      </c>
      <c r="J3371" s="0" t="n">
        <f aca="false">F3371</f>
        <v>-1</v>
      </c>
      <c r="K3371" s="0" t="n">
        <f aca="false">D3371*E3371</f>
        <v>0.140625</v>
      </c>
      <c r="L3371" s="0" t="n">
        <f aca="false">D3371*F3371</f>
        <v>-0.375</v>
      </c>
      <c r="M3371" s="0" t="n">
        <f aca="false">E3371*F3371</f>
        <v>-0.375</v>
      </c>
      <c r="N3371" s="0" t="n">
        <f aca="false">D3371*D3371</f>
        <v>0.140625</v>
      </c>
      <c r="O3371" s="0" t="n">
        <f aca="false">E3371*E3371</f>
        <v>0.140625</v>
      </c>
      <c r="P3371" s="0" t="n">
        <f aca="false">F3371*F3371</f>
        <v>1</v>
      </c>
      <c r="Q3371" s="0" t="n">
        <f aca="false">SUMPRODUCT(G3371:P3371,_XtX!$B$71:$K$71)</f>
        <v>47.0087002840909</v>
      </c>
      <c r="R3371" s="0" t="n">
        <f aca="false">SUMPRODUCT(MMULT(G3371:P3371,_XtX!$B$58:$K$67),G3371:P3371)</f>
        <v>0.463378351384943</v>
      </c>
      <c r="S3371" s="0" t="n">
        <f aca="false">04_回帰ANOVA!$K$19*04_回帰ANOVA!$K$14*SQRT(1+R3371)</f>
        <v>1.12472137547772</v>
      </c>
      <c r="T3371" s="0" t="n">
        <f aca="false">Q3371-S3371</f>
        <v>45.8839789086132</v>
      </c>
      <c r="U3371" s="0" t="n">
        <f aca="false">Q3371+S3371</f>
        <v>48.1334216595687</v>
      </c>
      <c r="V3371" s="54" t="b">
        <f aca="false">AND(D3371&gt;=01_因子設定!$L$5-0.000000001,D3371&lt;=01_因子設定!$M$5+0.000000001,E3371&gt;=01_因子設定!$L$6-0.000000001,E3371&lt;=01_因子設定!$M$6+0.000000001,F3371&gt;=01_因子設定!$L$7-0.000000001,F3371&lt;=01_因子設定!$M$7+0.000000001,IF(01_因子設定!$B$20="Box-Behnken",D3371^2+E3371^2+F3371^2&lt;=2+0.000000001,TRUE()))</f>
        <v>1</v>
      </c>
      <c r="W3371" s="55" t="n">
        <f aca="false">IF(V3371,IF(01_因子設定!$B$13="最大化",T3371-01_因子設定!$B$14,IF(01_因子設定!$B$13="最小化",01_因子設定!$B$15-U3371,MIN(T3371-01_因子設定!$B$14,01_因子設定!$B$15-U3371))),-1E+030)</f>
        <v>-2.61602109138678</v>
      </c>
      <c r="X3371" s="55" t="n">
        <f aca="false">IF(V3371,IF(01_因子設定!$B$13="最大化",Q3371,IF(01_因子設定!$B$13="最小化",-Q3371,-ABS(Q3371-01_因子設定!$B$16))),-1E+030)</f>
        <v>47.0087002840909</v>
      </c>
      <c r="Y3371" s="55" t="n">
        <f aca="false">W3371+ROW()*0.000000001</f>
        <v>-2.61601772038678</v>
      </c>
      <c r="Z3371" s="55" t="n">
        <f aca="false">X3371+ROW()*0.000000001</f>
        <v>47.0087036550909</v>
      </c>
    </row>
    <row r="3372" customFormat="false" ht="15" hidden="false" customHeight="false" outlineLevel="0" collapsed="false">
      <c r="A3372" s="0" t="n">
        <v>11</v>
      </c>
      <c r="B3372" s="0" t="n">
        <v>11</v>
      </c>
      <c r="C3372" s="0" t="n">
        <v>1</v>
      </c>
      <c r="D3372" s="0" t="n">
        <f aca="false">-1+A3372*0.125</f>
        <v>0.375</v>
      </c>
      <c r="E3372" s="0" t="n">
        <f aca="false">-1+B3372*0.125</f>
        <v>0.375</v>
      </c>
      <c r="F3372" s="0" t="n">
        <f aca="false">-1+C3372*0.125</f>
        <v>-0.875</v>
      </c>
      <c r="G3372" s="0" t="n">
        <f aca="false">1</f>
        <v>1</v>
      </c>
      <c r="H3372" s="0" t="n">
        <f aca="false">D3372</f>
        <v>0.375</v>
      </c>
      <c r="I3372" s="0" t="n">
        <f aca="false">E3372</f>
        <v>0.375</v>
      </c>
      <c r="J3372" s="0" t="n">
        <f aca="false">F3372</f>
        <v>-0.875</v>
      </c>
      <c r="K3372" s="0" t="n">
        <f aca="false">D3372*E3372</f>
        <v>0.140625</v>
      </c>
      <c r="L3372" s="0" t="n">
        <f aca="false">D3372*F3372</f>
        <v>-0.328125</v>
      </c>
      <c r="M3372" s="0" t="n">
        <f aca="false">E3372*F3372</f>
        <v>-0.328125</v>
      </c>
      <c r="N3372" s="0" t="n">
        <f aca="false">D3372*D3372</f>
        <v>0.140625</v>
      </c>
      <c r="O3372" s="0" t="n">
        <f aca="false">E3372*E3372</f>
        <v>0.140625</v>
      </c>
      <c r="P3372" s="0" t="n">
        <f aca="false">F3372*F3372</f>
        <v>0.765625</v>
      </c>
      <c r="Q3372" s="0" t="n">
        <f aca="false">SUMPRODUCT(G3372:P3372,_XtX!$B$71:$K$71)</f>
        <v>47.4711860795455</v>
      </c>
      <c r="R3372" s="0" t="n">
        <f aca="false">SUMPRODUCT(MMULT(G3372:P3372,_XtX!$B$58:$K$67),G3372:P3372)</f>
        <v>0.32050614790483</v>
      </c>
      <c r="S3372" s="0" t="n">
        <f aca="false">04_回帰ANOVA!$K$19*04_回帰ANOVA!$K$14*SQRT(1+R3372)</f>
        <v>1.06840730759619</v>
      </c>
      <c r="T3372" s="0" t="n">
        <f aca="false">Q3372-S3372</f>
        <v>46.4027787719493</v>
      </c>
      <c r="U3372" s="0" t="n">
        <f aca="false">Q3372+S3372</f>
        <v>48.5395933871417</v>
      </c>
      <c r="V3372" s="54" t="b">
        <f aca="false">AND(D3372&gt;=01_因子設定!$L$5-0.000000001,D3372&lt;=01_因子設定!$M$5+0.000000001,E3372&gt;=01_因子設定!$L$6-0.000000001,E3372&lt;=01_因子設定!$M$6+0.000000001,F3372&gt;=01_因子設定!$L$7-0.000000001,F3372&lt;=01_因子設定!$M$7+0.000000001,IF(01_因子設定!$B$20="Box-Behnken",D3372^2+E3372^2+F3372^2&lt;=2+0.000000001,TRUE()))</f>
        <v>1</v>
      </c>
      <c r="W3372" s="55" t="n">
        <f aca="false">IF(V3372,IF(01_因子設定!$B$13="最大化",T3372-01_因子設定!$B$14,IF(01_因子設定!$B$13="最小化",01_因子設定!$B$15-U3372,MIN(T3372-01_因子設定!$B$14,01_因子設定!$B$15-U3372))),-1E+030)</f>
        <v>-2.09722122805071</v>
      </c>
      <c r="X3372" s="55" t="n">
        <f aca="false">IF(V3372,IF(01_因子設定!$B$13="最大化",Q3372,IF(01_因子設定!$B$13="最小化",-Q3372,-ABS(Q3372-01_因子設定!$B$16))),-1E+030)</f>
        <v>47.4711860795455</v>
      </c>
      <c r="Y3372" s="55" t="n">
        <f aca="false">W3372+ROW()*0.000000001</f>
        <v>-2.09721785605071</v>
      </c>
      <c r="Z3372" s="55" t="n">
        <f aca="false">X3372+ROW()*0.000000001</f>
        <v>47.4711894515455</v>
      </c>
    </row>
    <row r="3373" customFormat="false" ht="15" hidden="false" customHeight="false" outlineLevel="0" collapsed="false">
      <c r="A3373" s="0" t="n">
        <v>11</v>
      </c>
      <c r="B3373" s="0" t="n">
        <v>11</v>
      </c>
      <c r="C3373" s="0" t="n">
        <v>2</v>
      </c>
      <c r="D3373" s="0" t="n">
        <f aca="false">-1+A3373*0.125</f>
        <v>0.375</v>
      </c>
      <c r="E3373" s="0" t="n">
        <f aca="false">-1+B3373*0.125</f>
        <v>0.375</v>
      </c>
      <c r="F3373" s="0" t="n">
        <f aca="false">-1+C3373*0.125</f>
        <v>-0.75</v>
      </c>
      <c r="G3373" s="0" t="n">
        <f aca="false">1</f>
        <v>1</v>
      </c>
      <c r="H3373" s="0" t="n">
        <f aca="false">D3373</f>
        <v>0.375</v>
      </c>
      <c r="I3373" s="0" t="n">
        <f aca="false">E3373</f>
        <v>0.375</v>
      </c>
      <c r="J3373" s="0" t="n">
        <f aca="false">F3373</f>
        <v>-0.75</v>
      </c>
      <c r="K3373" s="0" t="n">
        <f aca="false">D3373*E3373</f>
        <v>0.140625</v>
      </c>
      <c r="L3373" s="0" t="n">
        <f aca="false">D3373*F3373</f>
        <v>-0.28125</v>
      </c>
      <c r="M3373" s="0" t="n">
        <f aca="false">E3373*F3373</f>
        <v>-0.28125</v>
      </c>
      <c r="N3373" s="0" t="n">
        <f aca="false">D3373*D3373</f>
        <v>0.140625</v>
      </c>
      <c r="O3373" s="0" t="n">
        <f aca="false">E3373*E3373</f>
        <v>0.140625</v>
      </c>
      <c r="P3373" s="0" t="n">
        <f aca="false">F3373*F3373</f>
        <v>0.5625</v>
      </c>
      <c r="Q3373" s="0" t="n">
        <f aca="false">SUMPRODUCT(G3373:P3373,_XtX!$B$71:$K$71)</f>
        <v>47.8968821022727</v>
      </c>
      <c r="R3373" s="0" t="n">
        <f aca="false">SUMPRODUCT(MMULT(G3373:P3373,_XtX!$B$58:$K$67),G3373:P3373)</f>
        <v>0.228998912464489</v>
      </c>
      <c r="S3373" s="0" t="n">
        <f aca="false">04_回帰ANOVA!$K$19*04_回帰ANOVA!$K$14*SQRT(1+R3373)</f>
        <v>1.03072399242813</v>
      </c>
      <c r="T3373" s="0" t="n">
        <f aca="false">Q3373-S3373</f>
        <v>46.8661581098446</v>
      </c>
      <c r="U3373" s="0" t="n">
        <f aca="false">Q3373+S3373</f>
        <v>48.9276060947009</v>
      </c>
      <c r="V3373" s="54" t="b">
        <f aca="false">AND(D3373&gt;=01_因子設定!$L$5-0.000000001,D3373&lt;=01_因子設定!$M$5+0.000000001,E3373&gt;=01_因子設定!$L$6-0.000000001,E3373&lt;=01_因子設定!$M$6+0.000000001,F3373&gt;=01_因子設定!$L$7-0.000000001,F3373&lt;=01_因子設定!$M$7+0.000000001,IF(01_因子設定!$B$20="Box-Behnken",D3373^2+E3373^2+F3373^2&lt;=2+0.000000001,TRUE()))</f>
        <v>1</v>
      </c>
      <c r="W3373" s="55" t="n">
        <f aca="false">IF(V3373,IF(01_因子設定!$B$13="最大化",T3373-01_因子設定!$B$14,IF(01_因子設定!$B$13="最小化",01_因子設定!$B$15-U3373,MIN(T3373-01_因子設定!$B$14,01_因子設定!$B$15-U3373))),-1E+030)</f>
        <v>-1.63384189015539</v>
      </c>
      <c r="X3373" s="55" t="n">
        <f aca="false">IF(V3373,IF(01_因子設定!$B$13="最大化",Q3373,IF(01_因子設定!$B$13="最小化",-Q3373,-ABS(Q3373-01_因子設定!$B$16))),-1E+030)</f>
        <v>47.8968821022727</v>
      </c>
      <c r="Y3373" s="55" t="n">
        <f aca="false">W3373+ROW()*0.000000001</f>
        <v>-1.63383851715539</v>
      </c>
      <c r="Z3373" s="55" t="n">
        <f aca="false">X3373+ROW()*0.000000001</f>
        <v>47.8968854752727</v>
      </c>
    </row>
    <row r="3374" customFormat="false" ht="15" hidden="false" customHeight="false" outlineLevel="0" collapsed="false">
      <c r="A3374" s="0" t="n">
        <v>11</v>
      </c>
      <c r="B3374" s="0" t="n">
        <v>11</v>
      </c>
      <c r="C3374" s="0" t="n">
        <v>3</v>
      </c>
      <c r="D3374" s="0" t="n">
        <f aca="false">-1+A3374*0.125</f>
        <v>0.375</v>
      </c>
      <c r="E3374" s="0" t="n">
        <f aca="false">-1+B3374*0.125</f>
        <v>0.375</v>
      </c>
      <c r="F3374" s="0" t="n">
        <f aca="false">-1+C3374*0.125</f>
        <v>-0.625</v>
      </c>
      <c r="G3374" s="0" t="n">
        <f aca="false">1</f>
        <v>1</v>
      </c>
      <c r="H3374" s="0" t="n">
        <f aca="false">D3374</f>
        <v>0.375</v>
      </c>
      <c r="I3374" s="0" t="n">
        <f aca="false">E3374</f>
        <v>0.375</v>
      </c>
      <c r="J3374" s="0" t="n">
        <f aca="false">F3374</f>
        <v>-0.625</v>
      </c>
      <c r="K3374" s="0" t="n">
        <f aca="false">D3374*E3374</f>
        <v>0.140625</v>
      </c>
      <c r="L3374" s="0" t="n">
        <f aca="false">D3374*F3374</f>
        <v>-0.234375</v>
      </c>
      <c r="M3374" s="0" t="n">
        <f aca="false">E3374*F3374</f>
        <v>-0.234375</v>
      </c>
      <c r="N3374" s="0" t="n">
        <f aca="false">D3374*D3374</f>
        <v>0.140625</v>
      </c>
      <c r="O3374" s="0" t="n">
        <f aca="false">E3374*E3374</f>
        <v>0.140625</v>
      </c>
      <c r="P3374" s="0" t="n">
        <f aca="false">F3374*F3374</f>
        <v>0.390625</v>
      </c>
      <c r="Q3374" s="0" t="n">
        <f aca="false">SUMPRODUCT(G3374:P3374,_XtX!$B$71:$K$71)</f>
        <v>48.2857883522727</v>
      </c>
      <c r="R3374" s="0" t="n">
        <f aca="false">SUMPRODUCT(MMULT(G3374:P3374,_XtX!$B$58:$K$67),G3374:P3374)</f>
        <v>0.175007213245739</v>
      </c>
      <c r="S3374" s="0" t="n">
        <f aca="false">04_回帰ANOVA!$K$19*04_回帰ANOVA!$K$14*SQRT(1+R3374)</f>
        <v>1.0078291195273</v>
      </c>
      <c r="T3374" s="0" t="n">
        <f aca="false">Q3374-S3374</f>
        <v>47.2779592327454</v>
      </c>
      <c r="U3374" s="0" t="n">
        <f aca="false">Q3374+S3374</f>
        <v>49.2936174718</v>
      </c>
      <c r="V3374" s="54" t="b">
        <f aca="false">AND(D3374&gt;=01_因子設定!$L$5-0.000000001,D3374&lt;=01_因子設定!$M$5+0.000000001,E3374&gt;=01_因子設定!$L$6-0.000000001,E3374&lt;=01_因子設定!$M$6+0.000000001,F3374&gt;=01_因子設定!$L$7-0.000000001,F3374&lt;=01_因子設定!$M$7+0.000000001,IF(01_因子設定!$B$20="Box-Behnken",D3374^2+E3374^2+F3374^2&lt;=2+0.000000001,TRUE()))</f>
        <v>1</v>
      </c>
      <c r="W3374" s="55" t="n">
        <f aca="false">IF(V3374,IF(01_因子設定!$B$13="最大化",T3374-01_因子設定!$B$14,IF(01_因子設定!$B$13="最小化",01_因子設定!$B$15-U3374,MIN(T3374-01_因子設定!$B$14,01_因子設定!$B$15-U3374))),-1E+030)</f>
        <v>-1.22204076725456</v>
      </c>
      <c r="X3374" s="55" t="n">
        <f aca="false">IF(V3374,IF(01_因子設定!$B$13="最大化",Q3374,IF(01_因子設定!$B$13="最小化",-Q3374,-ABS(Q3374-01_因子設定!$B$16))),-1E+030)</f>
        <v>48.2857883522727</v>
      </c>
      <c r="Y3374" s="55" t="n">
        <f aca="false">W3374+ROW()*0.000000001</f>
        <v>-1.22203739325456</v>
      </c>
      <c r="Z3374" s="55" t="n">
        <f aca="false">X3374+ROW()*0.000000001</f>
        <v>48.2857917262727</v>
      </c>
    </row>
    <row r="3375" customFormat="false" ht="15" hidden="false" customHeight="false" outlineLevel="0" collapsed="false">
      <c r="A3375" s="0" t="n">
        <v>11</v>
      </c>
      <c r="B3375" s="0" t="n">
        <v>11</v>
      </c>
      <c r="C3375" s="0" t="n">
        <v>4</v>
      </c>
      <c r="D3375" s="0" t="n">
        <f aca="false">-1+A3375*0.125</f>
        <v>0.375</v>
      </c>
      <c r="E3375" s="0" t="n">
        <f aca="false">-1+B3375*0.125</f>
        <v>0.375</v>
      </c>
      <c r="F3375" s="0" t="n">
        <f aca="false">-1+C3375*0.125</f>
        <v>-0.5</v>
      </c>
      <c r="G3375" s="0" t="n">
        <f aca="false">1</f>
        <v>1</v>
      </c>
      <c r="H3375" s="0" t="n">
        <f aca="false">D3375</f>
        <v>0.375</v>
      </c>
      <c r="I3375" s="0" t="n">
        <f aca="false">E3375</f>
        <v>0.375</v>
      </c>
      <c r="J3375" s="0" t="n">
        <f aca="false">F3375</f>
        <v>-0.5</v>
      </c>
      <c r="K3375" s="0" t="n">
        <f aca="false">D3375*E3375</f>
        <v>0.140625</v>
      </c>
      <c r="L3375" s="0" t="n">
        <f aca="false">D3375*F3375</f>
        <v>-0.1875</v>
      </c>
      <c r="M3375" s="0" t="n">
        <f aca="false">E3375*F3375</f>
        <v>-0.1875</v>
      </c>
      <c r="N3375" s="0" t="n">
        <f aca="false">D3375*D3375</f>
        <v>0.140625</v>
      </c>
      <c r="O3375" s="0" t="n">
        <f aca="false">E3375*E3375</f>
        <v>0.140625</v>
      </c>
      <c r="P3375" s="0" t="n">
        <f aca="false">F3375*F3375</f>
        <v>0.25</v>
      </c>
      <c r="Q3375" s="0" t="n">
        <f aca="false">SUMPRODUCT(G3375:P3375,_XtX!$B$71:$K$71)</f>
        <v>48.6379048295455</v>
      </c>
      <c r="R3375" s="0" t="n">
        <f aca="false">SUMPRODUCT(MMULT(G3375:P3375,_XtX!$B$58:$K$67),G3375:P3375)</f>
        <v>0.14681230024858</v>
      </c>
      <c r="S3375" s="0" t="n">
        <f aca="false">04_回帰ANOVA!$K$19*04_回帰ANOVA!$K$14*SQRT(1+R3375)</f>
        <v>0.995664005771711</v>
      </c>
      <c r="T3375" s="0" t="n">
        <f aca="false">Q3375-S3375</f>
        <v>47.6422408237738</v>
      </c>
      <c r="U3375" s="0" t="n">
        <f aca="false">Q3375+S3375</f>
        <v>49.6335688353172</v>
      </c>
      <c r="V3375" s="54" t="b">
        <f aca="false">AND(D3375&gt;=01_因子設定!$L$5-0.000000001,D3375&lt;=01_因子設定!$M$5+0.000000001,E3375&gt;=01_因子設定!$L$6-0.000000001,E3375&lt;=01_因子設定!$M$6+0.000000001,F3375&gt;=01_因子設定!$L$7-0.000000001,F3375&lt;=01_因子設定!$M$7+0.000000001,IF(01_因子設定!$B$20="Box-Behnken",D3375^2+E3375^2+F3375^2&lt;=2+0.000000001,TRUE()))</f>
        <v>1</v>
      </c>
      <c r="W3375" s="55" t="n">
        <f aca="false">IF(V3375,IF(01_因子設定!$B$13="最大化",T3375-01_因子設定!$B$14,IF(01_因子設定!$B$13="最小化",01_因子設定!$B$15-U3375,MIN(T3375-01_因子設定!$B$14,01_因子設定!$B$15-U3375))),-1E+030)</f>
        <v>-0.857759176226246</v>
      </c>
      <c r="X3375" s="55" t="n">
        <f aca="false">IF(V3375,IF(01_因子設定!$B$13="最大化",Q3375,IF(01_因子設定!$B$13="最小化",-Q3375,-ABS(Q3375-01_因子設定!$B$16))),-1E+030)</f>
        <v>48.6379048295455</v>
      </c>
      <c r="Y3375" s="55" t="n">
        <f aca="false">W3375+ROW()*0.000000001</f>
        <v>-0.857755801226246</v>
      </c>
      <c r="Z3375" s="55" t="n">
        <f aca="false">X3375+ROW()*0.000000001</f>
        <v>48.6379082045455</v>
      </c>
    </row>
    <row r="3376" customFormat="false" ht="15" hidden="false" customHeight="false" outlineLevel="0" collapsed="false">
      <c r="A3376" s="0" t="n">
        <v>11</v>
      </c>
      <c r="B3376" s="0" t="n">
        <v>11</v>
      </c>
      <c r="C3376" s="0" t="n">
        <v>5</v>
      </c>
      <c r="D3376" s="0" t="n">
        <f aca="false">-1+A3376*0.125</f>
        <v>0.375</v>
      </c>
      <c r="E3376" s="0" t="n">
        <f aca="false">-1+B3376*0.125</f>
        <v>0.375</v>
      </c>
      <c r="F3376" s="0" t="n">
        <f aca="false">-1+C3376*0.125</f>
        <v>-0.375</v>
      </c>
      <c r="G3376" s="0" t="n">
        <f aca="false">1</f>
        <v>1</v>
      </c>
      <c r="H3376" s="0" t="n">
        <f aca="false">D3376</f>
        <v>0.375</v>
      </c>
      <c r="I3376" s="0" t="n">
        <f aca="false">E3376</f>
        <v>0.375</v>
      </c>
      <c r="J3376" s="0" t="n">
        <f aca="false">F3376</f>
        <v>-0.375</v>
      </c>
      <c r="K3376" s="0" t="n">
        <f aca="false">D3376*E3376</f>
        <v>0.140625</v>
      </c>
      <c r="L3376" s="0" t="n">
        <f aca="false">D3376*F3376</f>
        <v>-0.140625</v>
      </c>
      <c r="M3376" s="0" t="n">
        <f aca="false">E3376*F3376</f>
        <v>-0.140625</v>
      </c>
      <c r="N3376" s="0" t="n">
        <f aca="false">D3376*D3376</f>
        <v>0.140625</v>
      </c>
      <c r="O3376" s="0" t="n">
        <f aca="false">E3376*E3376</f>
        <v>0.140625</v>
      </c>
      <c r="P3376" s="0" t="n">
        <f aca="false">F3376*F3376</f>
        <v>0.140625</v>
      </c>
      <c r="Q3376" s="0" t="n">
        <f aca="false">SUMPRODUCT(G3376:P3376,_XtX!$B$71:$K$71)</f>
        <v>48.9532315340909</v>
      </c>
      <c r="R3376" s="0" t="n">
        <f aca="false">SUMPRODUCT(MMULT(G3376:P3376,_XtX!$B$58:$K$67),G3376:P3376)</f>
        <v>0.134826105291193</v>
      </c>
      <c r="S3376" s="0" t="n">
        <f aca="false">04_回帰ANOVA!$K$19*04_回帰ANOVA!$K$14*SQRT(1+R3376)</f>
        <v>0.990447123160393</v>
      </c>
      <c r="T3376" s="0" t="n">
        <f aca="false">Q3376-S3376</f>
        <v>47.9627844109305</v>
      </c>
      <c r="U3376" s="0" t="n">
        <f aca="false">Q3376+S3376</f>
        <v>49.9436786572513</v>
      </c>
      <c r="V3376" s="54" t="b">
        <f aca="false">AND(D3376&gt;=01_因子設定!$L$5-0.000000001,D3376&lt;=01_因子設定!$M$5+0.000000001,E3376&gt;=01_因子設定!$L$6-0.000000001,E3376&lt;=01_因子設定!$M$6+0.000000001,F3376&gt;=01_因子設定!$L$7-0.000000001,F3376&lt;=01_因子設定!$M$7+0.000000001,IF(01_因子設定!$B$20="Box-Behnken",D3376^2+E3376^2+F3376^2&lt;=2+0.000000001,TRUE()))</f>
        <v>1</v>
      </c>
      <c r="W3376" s="55" t="n">
        <f aca="false">IF(V3376,IF(01_因子設定!$B$13="最大化",T3376-01_因子設定!$B$14,IF(01_因子設定!$B$13="最小化",01_因子設定!$B$15-U3376,MIN(T3376-01_因子設定!$B$14,01_因子設定!$B$15-U3376))),-1E+030)</f>
        <v>-0.537215589069476</v>
      </c>
      <c r="X3376" s="55" t="n">
        <f aca="false">IF(V3376,IF(01_因子設定!$B$13="最大化",Q3376,IF(01_因子設定!$B$13="最小化",-Q3376,-ABS(Q3376-01_因子設定!$B$16))),-1E+030)</f>
        <v>48.9532315340909</v>
      </c>
      <c r="Y3376" s="55" t="n">
        <f aca="false">W3376+ROW()*0.000000001</f>
        <v>-0.537212213069476</v>
      </c>
      <c r="Z3376" s="55" t="n">
        <f aca="false">X3376+ROW()*0.000000001</f>
        <v>48.9532349100909</v>
      </c>
    </row>
    <row r="3377" customFormat="false" ht="15" hidden="false" customHeight="false" outlineLevel="0" collapsed="false">
      <c r="A3377" s="0" t="n">
        <v>11</v>
      </c>
      <c r="B3377" s="0" t="n">
        <v>11</v>
      </c>
      <c r="C3377" s="0" t="n">
        <v>6</v>
      </c>
      <c r="D3377" s="0" t="n">
        <f aca="false">-1+A3377*0.125</f>
        <v>0.375</v>
      </c>
      <c r="E3377" s="0" t="n">
        <f aca="false">-1+B3377*0.125</f>
        <v>0.375</v>
      </c>
      <c r="F3377" s="0" t="n">
        <f aca="false">-1+C3377*0.125</f>
        <v>-0.25</v>
      </c>
      <c r="G3377" s="0" t="n">
        <f aca="false">1</f>
        <v>1</v>
      </c>
      <c r="H3377" s="0" t="n">
        <f aca="false">D3377</f>
        <v>0.375</v>
      </c>
      <c r="I3377" s="0" t="n">
        <f aca="false">E3377</f>
        <v>0.375</v>
      </c>
      <c r="J3377" s="0" t="n">
        <f aca="false">F3377</f>
        <v>-0.25</v>
      </c>
      <c r="K3377" s="0" t="n">
        <f aca="false">D3377*E3377</f>
        <v>0.140625</v>
      </c>
      <c r="L3377" s="0" t="n">
        <f aca="false">D3377*F3377</f>
        <v>-0.09375</v>
      </c>
      <c r="M3377" s="0" t="n">
        <f aca="false">E3377*F3377</f>
        <v>-0.09375</v>
      </c>
      <c r="N3377" s="0" t="n">
        <f aca="false">D3377*D3377</f>
        <v>0.140625</v>
      </c>
      <c r="O3377" s="0" t="n">
        <f aca="false">E3377*E3377</f>
        <v>0.140625</v>
      </c>
      <c r="P3377" s="0" t="n">
        <f aca="false">F3377*F3377</f>
        <v>0.0625</v>
      </c>
      <c r="Q3377" s="0" t="n">
        <f aca="false">SUMPRODUCT(G3377:P3377,_XtX!$B$71:$K$71)</f>
        <v>49.2317684659091</v>
      </c>
      <c r="R3377" s="0" t="n">
        <f aca="false">SUMPRODUCT(MMULT(G3377:P3377,_XtX!$B$58:$K$67),G3377:P3377)</f>
        <v>0.131591242009943</v>
      </c>
      <c r="S3377" s="0" t="n">
        <f aca="false">04_回帰ANOVA!$K$19*04_回帰ANOVA!$K$14*SQRT(1+R3377)</f>
        <v>0.989034462873572</v>
      </c>
      <c r="T3377" s="0" t="n">
        <f aca="false">Q3377-S3377</f>
        <v>48.2427340030355</v>
      </c>
      <c r="U3377" s="0" t="n">
        <f aca="false">Q3377+S3377</f>
        <v>50.2208029287827</v>
      </c>
      <c r="V3377" s="54" t="b">
        <f aca="false">AND(D3377&gt;=01_因子設定!$L$5-0.000000001,D3377&lt;=01_因子設定!$M$5+0.000000001,E3377&gt;=01_因子設定!$L$6-0.000000001,E3377&lt;=01_因子設定!$M$6+0.000000001,F3377&gt;=01_因子設定!$L$7-0.000000001,F3377&lt;=01_因子設定!$M$7+0.000000001,IF(01_因子設定!$B$20="Box-Behnken",D3377^2+E3377^2+F3377^2&lt;=2+0.000000001,TRUE()))</f>
        <v>1</v>
      </c>
      <c r="W3377" s="55" t="n">
        <f aca="false">IF(V3377,IF(01_因子設定!$B$13="最大化",T3377-01_因子設定!$B$14,IF(01_因子設定!$B$13="最小化",01_因子設定!$B$15-U3377,MIN(T3377-01_因子設定!$B$14,01_因子設定!$B$15-U3377))),-1E+030)</f>
        <v>-0.25726599696447</v>
      </c>
      <c r="X3377" s="55" t="n">
        <f aca="false">IF(V3377,IF(01_因子設定!$B$13="最大化",Q3377,IF(01_因子設定!$B$13="最小化",-Q3377,-ABS(Q3377-01_因子設定!$B$16))),-1E+030)</f>
        <v>49.2317684659091</v>
      </c>
      <c r="Y3377" s="55" t="n">
        <f aca="false">W3377+ROW()*0.000000001</f>
        <v>-0.25726261996447</v>
      </c>
      <c r="Z3377" s="55" t="n">
        <f aca="false">X3377+ROW()*0.000000001</f>
        <v>49.2317718429091</v>
      </c>
    </row>
    <row r="3378" customFormat="false" ht="15" hidden="false" customHeight="false" outlineLevel="0" collapsed="false">
      <c r="A3378" s="0" t="n">
        <v>11</v>
      </c>
      <c r="B3378" s="0" t="n">
        <v>11</v>
      </c>
      <c r="C3378" s="0" t="n">
        <v>7</v>
      </c>
      <c r="D3378" s="0" t="n">
        <f aca="false">-1+A3378*0.125</f>
        <v>0.375</v>
      </c>
      <c r="E3378" s="0" t="n">
        <f aca="false">-1+B3378*0.125</f>
        <v>0.375</v>
      </c>
      <c r="F3378" s="0" t="n">
        <f aca="false">-1+C3378*0.125</f>
        <v>-0.125</v>
      </c>
      <c r="G3378" s="0" t="n">
        <f aca="false">1</f>
        <v>1</v>
      </c>
      <c r="H3378" s="0" t="n">
        <f aca="false">D3378</f>
        <v>0.375</v>
      </c>
      <c r="I3378" s="0" t="n">
        <f aca="false">E3378</f>
        <v>0.375</v>
      </c>
      <c r="J3378" s="0" t="n">
        <f aca="false">F3378</f>
        <v>-0.125</v>
      </c>
      <c r="K3378" s="0" t="n">
        <f aca="false">D3378*E3378</f>
        <v>0.140625</v>
      </c>
      <c r="L3378" s="0" t="n">
        <f aca="false">D3378*F3378</f>
        <v>-0.046875</v>
      </c>
      <c r="M3378" s="0" t="n">
        <f aca="false">E3378*F3378</f>
        <v>-0.046875</v>
      </c>
      <c r="N3378" s="0" t="n">
        <f aca="false">D3378*D3378</f>
        <v>0.140625</v>
      </c>
      <c r="O3378" s="0" t="n">
        <f aca="false">E3378*E3378</f>
        <v>0.140625</v>
      </c>
      <c r="P3378" s="0" t="n">
        <f aca="false">F3378*F3378</f>
        <v>0.015625</v>
      </c>
      <c r="Q3378" s="0" t="n">
        <f aca="false">SUMPRODUCT(G3378:P3378,_XtX!$B$71:$K$71)</f>
        <v>49.473515625</v>
      </c>
      <c r="R3378" s="0" t="n">
        <f aca="false">SUMPRODUCT(MMULT(G3378:P3378,_XtX!$B$58:$K$67),G3378:P3378)</f>
        <v>0.131781005859375</v>
      </c>
      <c r="S3378" s="0" t="n">
        <f aca="false">04_回帰ANOVA!$K$19*04_回帰ANOVA!$K$14*SQRT(1+R3378)</f>
        <v>0.989117388188007</v>
      </c>
      <c r="T3378" s="0" t="n">
        <f aca="false">Q3378-S3378</f>
        <v>48.484398236812</v>
      </c>
      <c r="U3378" s="0" t="n">
        <f aca="false">Q3378+S3378</f>
        <v>50.462633013188</v>
      </c>
      <c r="V3378" s="54" t="b">
        <f aca="false">AND(D3378&gt;=01_因子設定!$L$5-0.000000001,D3378&lt;=01_因子設定!$M$5+0.000000001,E3378&gt;=01_因子設定!$L$6-0.000000001,E3378&lt;=01_因子設定!$M$6+0.000000001,F3378&gt;=01_因子設定!$L$7-0.000000001,F3378&lt;=01_因子設定!$M$7+0.000000001,IF(01_因子設定!$B$20="Box-Behnken",D3378^2+E3378^2+F3378^2&lt;=2+0.000000001,TRUE()))</f>
        <v>1</v>
      </c>
      <c r="W3378" s="55" t="n">
        <f aca="false">IF(V3378,IF(01_因子設定!$B$13="最大化",T3378-01_因子設定!$B$14,IF(01_因子設定!$B$13="最小化",01_因子設定!$B$15-U3378,MIN(T3378-01_因子設定!$B$14,01_因子設定!$B$15-U3378))),-1E+030)</f>
        <v>-0.0156017631880019</v>
      </c>
      <c r="X3378" s="55" t="n">
        <f aca="false">IF(V3378,IF(01_因子設定!$B$13="最大化",Q3378,IF(01_因子設定!$B$13="最小化",-Q3378,-ABS(Q3378-01_因子設定!$B$16))),-1E+030)</f>
        <v>49.473515625</v>
      </c>
      <c r="Y3378" s="55" t="n">
        <f aca="false">W3378+ROW()*0.000000001</f>
        <v>-0.0155983851880019</v>
      </c>
      <c r="Z3378" s="55" t="n">
        <f aca="false">X3378+ROW()*0.000000001</f>
        <v>49.473519003</v>
      </c>
    </row>
    <row r="3379" customFormat="false" ht="15" hidden="false" customHeight="false" outlineLevel="0" collapsed="false">
      <c r="A3379" s="0" t="n">
        <v>11</v>
      </c>
      <c r="B3379" s="0" t="n">
        <v>11</v>
      </c>
      <c r="C3379" s="0" t="n">
        <v>8</v>
      </c>
      <c r="D3379" s="0" t="n">
        <f aca="false">-1+A3379*0.125</f>
        <v>0.375</v>
      </c>
      <c r="E3379" s="0" t="n">
        <f aca="false">-1+B3379*0.125</f>
        <v>0.375</v>
      </c>
      <c r="F3379" s="0" t="n">
        <f aca="false">-1+C3379*0.125</f>
        <v>0</v>
      </c>
      <c r="G3379" s="0" t="n">
        <f aca="false">1</f>
        <v>1</v>
      </c>
      <c r="H3379" s="0" t="n">
        <f aca="false">D3379</f>
        <v>0.375</v>
      </c>
      <c r="I3379" s="0" t="n">
        <f aca="false">E3379</f>
        <v>0.375</v>
      </c>
      <c r="J3379" s="0" t="n">
        <f aca="false">F3379</f>
        <v>0</v>
      </c>
      <c r="K3379" s="0" t="n">
        <f aca="false">D3379*E3379</f>
        <v>0.140625</v>
      </c>
      <c r="L3379" s="0" t="n">
        <f aca="false">D3379*F3379</f>
        <v>0</v>
      </c>
      <c r="M3379" s="0" t="n">
        <f aca="false">E3379*F3379</f>
        <v>0</v>
      </c>
      <c r="N3379" s="0" t="n">
        <f aca="false">D3379*D3379</f>
        <v>0.140625</v>
      </c>
      <c r="O3379" s="0" t="n">
        <f aca="false">E3379*E3379</f>
        <v>0.140625</v>
      </c>
      <c r="P3379" s="0" t="n">
        <f aca="false">F3379*F3379</f>
        <v>0</v>
      </c>
      <c r="Q3379" s="0" t="n">
        <f aca="false">SUMPRODUCT(G3379:P3379,_XtX!$B$71:$K$71)</f>
        <v>49.6784730113636</v>
      </c>
      <c r="R3379" s="0" t="n">
        <f aca="false">SUMPRODUCT(MMULT(G3379:P3379,_XtX!$B$58:$K$67),G3379:P3379)</f>
        <v>0.132199374112216</v>
      </c>
      <c r="S3379" s="0" t="n">
        <f aca="false">04_回帰ANOVA!$K$19*04_回帰ANOVA!$K$14*SQRT(1+R3379)</f>
        <v>0.989300187279118</v>
      </c>
      <c r="T3379" s="0" t="n">
        <f aca="false">Q3379-S3379</f>
        <v>48.6891728240845</v>
      </c>
      <c r="U3379" s="0" t="n">
        <f aca="false">Q3379+S3379</f>
        <v>50.6677731986428</v>
      </c>
      <c r="V3379" s="54" t="b">
        <f aca="false">AND(D3379&gt;=01_因子設定!$L$5-0.000000001,D3379&lt;=01_因子設定!$M$5+0.000000001,E3379&gt;=01_因子設定!$L$6-0.000000001,E3379&lt;=01_因子設定!$M$6+0.000000001,F3379&gt;=01_因子設定!$L$7-0.000000001,F3379&lt;=01_因子設定!$M$7+0.000000001,IF(01_因子設定!$B$20="Box-Behnken",D3379^2+E3379^2+F3379^2&lt;=2+0.000000001,TRUE()))</f>
        <v>1</v>
      </c>
      <c r="W3379" s="55" t="n">
        <f aca="false">IF(V3379,IF(01_因子設定!$B$13="最大化",T3379-01_因子設定!$B$14,IF(01_因子設定!$B$13="最小化",01_因子設定!$B$15-U3379,MIN(T3379-01_因子設定!$B$14,01_因子設定!$B$15-U3379))),-1E+030)</f>
        <v>0.189172824084523</v>
      </c>
      <c r="X3379" s="55" t="n">
        <f aca="false">IF(V3379,IF(01_因子設定!$B$13="最大化",Q3379,IF(01_因子設定!$B$13="最小化",-Q3379,-ABS(Q3379-01_因子設定!$B$16))),-1E+030)</f>
        <v>49.6784730113636</v>
      </c>
      <c r="Y3379" s="55" t="n">
        <f aca="false">W3379+ROW()*0.000000001</f>
        <v>0.189176203084523</v>
      </c>
      <c r="Z3379" s="55" t="n">
        <f aca="false">X3379+ROW()*0.000000001</f>
        <v>49.6784763903636</v>
      </c>
    </row>
    <row r="3380" customFormat="false" ht="15" hidden="false" customHeight="false" outlineLevel="0" collapsed="false">
      <c r="A3380" s="0" t="n">
        <v>11</v>
      </c>
      <c r="B3380" s="0" t="n">
        <v>11</v>
      </c>
      <c r="C3380" s="0" t="n">
        <v>9</v>
      </c>
      <c r="D3380" s="0" t="n">
        <f aca="false">-1+A3380*0.125</f>
        <v>0.375</v>
      </c>
      <c r="E3380" s="0" t="n">
        <f aca="false">-1+B3380*0.125</f>
        <v>0.375</v>
      </c>
      <c r="F3380" s="0" t="n">
        <f aca="false">-1+C3380*0.125</f>
        <v>0.125</v>
      </c>
      <c r="G3380" s="0" t="n">
        <f aca="false">1</f>
        <v>1</v>
      </c>
      <c r="H3380" s="0" t="n">
        <f aca="false">D3380</f>
        <v>0.375</v>
      </c>
      <c r="I3380" s="0" t="n">
        <f aca="false">E3380</f>
        <v>0.375</v>
      </c>
      <c r="J3380" s="0" t="n">
        <f aca="false">F3380</f>
        <v>0.125</v>
      </c>
      <c r="K3380" s="0" t="n">
        <f aca="false">D3380*E3380</f>
        <v>0.140625</v>
      </c>
      <c r="L3380" s="0" t="n">
        <f aca="false">D3380*F3380</f>
        <v>0.046875</v>
      </c>
      <c r="M3380" s="0" t="n">
        <f aca="false">E3380*F3380</f>
        <v>0.046875</v>
      </c>
      <c r="N3380" s="0" t="n">
        <f aca="false">D3380*D3380</f>
        <v>0.140625</v>
      </c>
      <c r="O3380" s="0" t="n">
        <f aca="false">E3380*E3380</f>
        <v>0.140625</v>
      </c>
      <c r="P3380" s="0" t="n">
        <f aca="false">F3380*F3380</f>
        <v>0.015625</v>
      </c>
      <c r="Q3380" s="0" t="n">
        <f aca="false">SUMPRODUCT(G3380:P3380,_XtX!$B$71:$K$71)</f>
        <v>49.846640625</v>
      </c>
      <c r="R3380" s="0" t="n">
        <f aca="false">SUMPRODUCT(MMULT(G3380:P3380,_XtX!$B$58:$K$67),G3380:P3380)</f>
        <v>0.131781005859375</v>
      </c>
      <c r="S3380" s="0" t="n">
        <f aca="false">04_回帰ANOVA!$K$19*04_回帰ANOVA!$K$14*SQRT(1+R3380)</f>
        <v>0.989117388188007</v>
      </c>
      <c r="T3380" s="0" t="n">
        <f aca="false">Q3380-S3380</f>
        <v>48.857523236812</v>
      </c>
      <c r="U3380" s="0" t="n">
        <f aca="false">Q3380+S3380</f>
        <v>50.835758013188</v>
      </c>
      <c r="V3380" s="54" t="b">
        <f aca="false">AND(D3380&gt;=01_因子設定!$L$5-0.000000001,D3380&lt;=01_因子設定!$M$5+0.000000001,E3380&gt;=01_因子設定!$L$6-0.000000001,E3380&lt;=01_因子設定!$M$6+0.000000001,F3380&gt;=01_因子設定!$L$7-0.000000001,F3380&lt;=01_因子設定!$M$7+0.000000001,IF(01_因子設定!$B$20="Box-Behnken",D3380^2+E3380^2+F3380^2&lt;=2+0.000000001,TRUE()))</f>
        <v>1</v>
      </c>
      <c r="W3380" s="55" t="n">
        <f aca="false">IF(V3380,IF(01_因子設定!$B$13="最大化",T3380-01_因子設定!$B$14,IF(01_因子設定!$B$13="最小化",01_因子設定!$B$15-U3380,MIN(T3380-01_因子設定!$B$14,01_因子設定!$B$15-U3380))),-1E+030)</f>
        <v>0.357523236812</v>
      </c>
      <c r="X3380" s="55" t="n">
        <f aca="false">IF(V3380,IF(01_因子設定!$B$13="最大化",Q3380,IF(01_因子設定!$B$13="最小化",-Q3380,-ABS(Q3380-01_因子設定!$B$16))),-1E+030)</f>
        <v>49.846640625</v>
      </c>
      <c r="Y3380" s="55" t="n">
        <f aca="false">W3380+ROW()*0.000000001</f>
        <v>0.357526616812</v>
      </c>
      <c r="Z3380" s="55" t="n">
        <f aca="false">X3380+ROW()*0.000000001</f>
        <v>49.846644005</v>
      </c>
    </row>
    <row r="3381" customFormat="false" ht="15" hidden="false" customHeight="false" outlineLevel="0" collapsed="false">
      <c r="A3381" s="0" t="n">
        <v>11</v>
      </c>
      <c r="B3381" s="0" t="n">
        <v>11</v>
      </c>
      <c r="C3381" s="0" t="n">
        <v>10</v>
      </c>
      <c r="D3381" s="0" t="n">
        <f aca="false">-1+A3381*0.125</f>
        <v>0.375</v>
      </c>
      <c r="E3381" s="0" t="n">
        <f aca="false">-1+B3381*0.125</f>
        <v>0.375</v>
      </c>
      <c r="F3381" s="0" t="n">
        <f aca="false">-1+C3381*0.125</f>
        <v>0.25</v>
      </c>
      <c r="G3381" s="0" t="n">
        <f aca="false">1</f>
        <v>1</v>
      </c>
      <c r="H3381" s="0" t="n">
        <f aca="false">D3381</f>
        <v>0.375</v>
      </c>
      <c r="I3381" s="0" t="n">
        <f aca="false">E3381</f>
        <v>0.375</v>
      </c>
      <c r="J3381" s="0" t="n">
        <f aca="false">F3381</f>
        <v>0.25</v>
      </c>
      <c r="K3381" s="0" t="n">
        <f aca="false">D3381*E3381</f>
        <v>0.140625</v>
      </c>
      <c r="L3381" s="0" t="n">
        <f aca="false">D3381*F3381</f>
        <v>0.09375</v>
      </c>
      <c r="M3381" s="0" t="n">
        <f aca="false">E3381*F3381</f>
        <v>0.09375</v>
      </c>
      <c r="N3381" s="0" t="n">
        <f aca="false">D3381*D3381</f>
        <v>0.140625</v>
      </c>
      <c r="O3381" s="0" t="n">
        <f aca="false">E3381*E3381</f>
        <v>0.140625</v>
      </c>
      <c r="P3381" s="0" t="n">
        <f aca="false">F3381*F3381</f>
        <v>0.0625</v>
      </c>
      <c r="Q3381" s="0" t="n">
        <f aca="false">SUMPRODUCT(G3381:P3381,_XtX!$B$71:$K$71)</f>
        <v>49.9780184659091</v>
      </c>
      <c r="R3381" s="0" t="n">
        <f aca="false">SUMPRODUCT(MMULT(G3381:P3381,_XtX!$B$58:$K$67),G3381:P3381)</f>
        <v>0.131591242009943</v>
      </c>
      <c r="S3381" s="0" t="n">
        <f aca="false">04_回帰ANOVA!$K$19*04_回帰ANOVA!$K$14*SQRT(1+R3381)</f>
        <v>0.989034462873572</v>
      </c>
      <c r="T3381" s="0" t="n">
        <f aca="false">Q3381-S3381</f>
        <v>48.9889840030355</v>
      </c>
      <c r="U3381" s="0" t="n">
        <f aca="false">Q3381+S3381</f>
        <v>50.9670529287827</v>
      </c>
      <c r="V3381" s="54" t="b">
        <f aca="false">AND(D3381&gt;=01_因子設定!$L$5-0.000000001,D3381&lt;=01_因子設定!$M$5+0.000000001,E3381&gt;=01_因子設定!$L$6-0.000000001,E3381&lt;=01_因子設定!$M$6+0.000000001,F3381&gt;=01_因子設定!$L$7-0.000000001,F3381&lt;=01_因子設定!$M$7+0.000000001,IF(01_因子設定!$B$20="Box-Behnken",D3381^2+E3381^2+F3381^2&lt;=2+0.000000001,TRUE()))</f>
        <v>1</v>
      </c>
      <c r="W3381" s="55" t="n">
        <f aca="false">IF(V3381,IF(01_因子設定!$B$13="最大化",T3381-01_因子設定!$B$14,IF(01_因子設定!$B$13="最小化",01_因子設定!$B$15-U3381,MIN(T3381-01_因子設定!$B$14,01_因子設定!$B$15-U3381))),-1E+030)</f>
        <v>0.488984003035533</v>
      </c>
      <c r="X3381" s="55" t="n">
        <f aca="false">IF(V3381,IF(01_因子設定!$B$13="最大化",Q3381,IF(01_因子設定!$B$13="最小化",-Q3381,-ABS(Q3381-01_因子設定!$B$16))),-1E+030)</f>
        <v>49.9780184659091</v>
      </c>
      <c r="Y3381" s="55" t="n">
        <f aca="false">W3381+ROW()*0.000000001</f>
        <v>0.488987384035533</v>
      </c>
      <c r="Z3381" s="55" t="n">
        <f aca="false">X3381+ROW()*0.000000001</f>
        <v>49.9780218469091</v>
      </c>
    </row>
    <row r="3382" customFormat="false" ht="15" hidden="false" customHeight="false" outlineLevel="0" collapsed="false">
      <c r="A3382" s="0" t="n">
        <v>11</v>
      </c>
      <c r="B3382" s="0" t="n">
        <v>11</v>
      </c>
      <c r="C3382" s="0" t="n">
        <v>11</v>
      </c>
      <c r="D3382" s="0" t="n">
        <f aca="false">-1+A3382*0.125</f>
        <v>0.375</v>
      </c>
      <c r="E3382" s="0" t="n">
        <f aca="false">-1+B3382*0.125</f>
        <v>0.375</v>
      </c>
      <c r="F3382" s="0" t="n">
        <f aca="false">-1+C3382*0.125</f>
        <v>0.375</v>
      </c>
      <c r="G3382" s="0" t="n">
        <f aca="false">1</f>
        <v>1</v>
      </c>
      <c r="H3382" s="0" t="n">
        <f aca="false">D3382</f>
        <v>0.375</v>
      </c>
      <c r="I3382" s="0" t="n">
        <f aca="false">E3382</f>
        <v>0.375</v>
      </c>
      <c r="J3382" s="0" t="n">
        <f aca="false">F3382</f>
        <v>0.375</v>
      </c>
      <c r="K3382" s="0" t="n">
        <f aca="false">D3382*E3382</f>
        <v>0.140625</v>
      </c>
      <c r="L3382" s="0" t="n">
        <f aca="false">D3382*F3382</f>
        <v>0.140625</v>
      </c>
      <c r="M3382" s="0" t="n">
        <f aca="false">E3382*F3382</f>
        <v>0.140625</v>
      </c>
      <c r="N3382" s="0" t="n">
        <f aca="false">D3382*D3382</f>
        <v>0.140625</v>
      </c>
      <c r="O3382" s="0" t="n">
        <f aca="false">E3382*E3382</f>
        <v>0.140625</v>
      </c>
      <c r="P3382" s="0" t="n">
        <f aca="false">F3382*F3382</f>
        <v>0.140625</v>
      </c>
      <c r="Q3382" s="0" t="n">
        <f aca="false">SUMPRODUCT(G3382:P3382,_XtX!$B$71:$K$71)</f>
        <v>50.0726065340909</v>
      </c>
      <c r="R3382" s="0" t="n">
        <f aca="false">SUMPRODUCT(MMULT(G3382:P3382,_XtX!$B$58:$K$67),G3382:P3382)</f>
        <v>0.134826105291193</v>
      </c>
      <c r="S3382" s="0" t="n">
        <f aca="false">04_回帰ANOVA!$K$19*04_回帰ANOVA!$K$14*SQRT(1+R3382)</f>
        <v>0.990447123160393</v>
      </c>
      <c r="T3382" s="0" t="n">
        <f aca="false">Q3382-S3382</f>
        <v>49.0821594109305</v>
      </c>
      <c r="U3382" s="0" t="n">
        <f aca="false">Q3382+S3382</f>
        <v>51.0630536572513</v>
      </c>
      <c r="V3382" s="54" t="b">
        <f aca="false">AND(D3382&gt;=01_因子設定!$L$5-0.000000001,D3382&lt;=01_因子設定!$M$5+0.000000001,E3382&gt;=01_因子設定!$L$6-0.000000001,E3382&lt;=01_因子設定!$M$6+0.000000001,F3382&gt;=01_因子設定!$L$7-0.000000001,F3382&lt;=01_因子設定!$M$7+0.000000001,IF(01_因子設定!$B$20="Box-Behnken",D3382^2+E3382^2+F3382^2&lt;=2+0.000000001,TRUE()))</f>
        <v>1</v>
      </c>
      <c r="W3382" s="55" t="n">
        <f aca="false">IF(V3382,IF(01_因子設定!$B$13="最大化",T3382-01_因子設定!$B$14,IF(01_因子設定!$B$13="最小化",01_因子設定!$B$15-U3382,MIN(T3382-01_因子設定!$B$14,01_因子設定!$B$15-U3382))),-1E+030)</f>
        <v>0.582159410930522</v>
      </c>
      <c r="X3382" s="55" t="n">
        <f aca="false">IF(V3382,IF(01_因子設定!$B$13="最大化",Q3382,IF(01_因子設定!$B$13="最小化",-Q3382,-ABS(Q3382-01_因子設定!$B$16))),-1E+030)</f>
        <v>50.0726065340909</v>
      </c>
      <c r="Y3382" s="55" t="n">
        <f aca="false">W3382+ROW()*0.000000001</f>
        <v>0.582162792930522</v>
      </c>
      <c r="Z3382" s="55" t="n">
        <f aca="false">X3382+ROW()*0.000000001</f>
        <v>50.0726099160909</v>
      </c>
    </row>
    <row r="3383" customFormat="false" ht="15" hidden="false" customHeight="false" outlineLevel="0" collapsed="false">
      <c r="A3383" s="0" t="n">
        <v>11</v>
      </c>
      <c r="B3383" s="0" t="n">
        <v>11</v>
      </c>
      <c r="C3383" s="0" t="n">
        <v>12</v>
      </c>
      <c r="D3383" s="0" t="n">
        <f aca="false">-1+A3383*0.125</f>
        <v>0.375</v>
      </c>
      <c r="E3383" s="0" t="n">
        <f aca="false">-1+B3383*0.125</f>
        <v>0.375</v>
      </c>
      <c r="F3383" s="0" t="n">
        <f aca="false">-1+C3383*0.125</f>
        <v>0.5</v>
      </c>
      <c r="G3383" s="0" t="n">
        <f aca="false">1</f>
        <v>1</v>
      </c>
      <c r="H3383" s="0" t="n">
        <f aca="false">D3383</f>
        <v>0.375</v>
      </c>
      <c r="I3383" s="0" t="n">
        <f aca="false">E3383</f>
        <v>0.375</v>
      </c>
      <c r="J3383" s="0" t="n">
        <f aca="false">F3383</f>
        <v>0.5</v>
      </c>
      <c r="K3383" s="0" t="n">
        <f aca="false">D3383*E3383</f>
        <v>0.140625</v>
      </c>
      <c r="L3383" s="0" t="n">
        <f aca="false">D3383*F3383</f>
        <v>0.1875</v>
      </c>
      <c r="M3383" s="0" t="n">
        <f aca="false">E3383*F3383</f>
        <v>0.1875</v>
      </c>
      <c r="N3383" s="0" t="n">
        <f aca="false">D3383*D3383</f>
        <v>0.140625</v>
      </c>
      <c r="O3383" s="0" t="n">
        <f aca="false">E3383*E3383</f>
        <v>0.140625</v>
      </c>
      <c r="P3383" s="0" t="n">
        <f aca="false">F3383*F3383</f>
        <v>0.25</v>
      </c>
      <c r="Q3383" s="0" t="n">
        <f aca="false">SUMPRODUCT(G3383:P3383,_XtX!$B$71:$K$71)</f>
        <v>50.1304048295455</v>
      </c>
      <c r="R3383" s="0" t="n">
        <f aca="false">SUMPRODUCT(MMULT(G3383:P3383,_XtX!$B$58:$K$67),G3383:P3383)</f>
        <v>0.14681230024858</v>
      </c>
      <c r="S3383" s="0" t="n">
        <f aca="false">04_回帰ANOVA!$K$19*04_回帰ANOVA!$K$14*SQRT(1+R3383)</f>
        <v>0.995664005771711</v>
      </c>
      <c r="T3383" s="0" t="n">
        <f aca="false">Q3383-S3383</f>
        <v>49.1347408237738</v>
      </c>
      <c r="U3383" s="0" t="n">
        <f aca="false">Q3383+S3383</f>
        <v>51.1260688353172</v>
      </c>
      <c r="V3383" s="54" t="b">
        <f aca="false">AND(D3383&gt;=01_因子設定!$L$5-0.000000001,D3383&lt;=01_因子設定!$M$5+0.000000001,E3383&gt;=01_因子設定!$L$6-0.000000001,E3383&lt;=01_因子設定!$M$6+0.000000001,F3383&gt;=01_因子設定!$L$7-0.000000001,F3383&lt;=01_因子設定!$M$7+0.000000001,IF(01_因子設定!$B$20="Box-Behnken",D3383^2+E3383^2+F3383^2&lt;=2+0.000000001,TRUE()))</f>
        <v>1</v>
      </c>
      <c r="W3383" s="55" t="n">
        <f aca="false">IF(V3383,IF(01_因子設定!$B$13="最大化",T3383-01_因子設定!$B$14,IF(01_因子設定!$B$13="最小化",01_因子設定!$B$15-U3383,MIN(T3383-01_因子設定!$B$14,01_因子設定!$B$15-U3383))),-1E+030)</f>
        <v>0.634740823773761</v>
      </c>
      <c r="X3383" s="55" t="n">
        <f aca="false">IF(V3383,IF(01_因子設定!$B$13="最大化",Q3383,IF(01_因子設定!$B$13="最小化",-Q3383,-ABS(Q3383-01_因子設定!$B$16))),-1E+030)</f>
        <v>50.1304048295455</v>
      </c>
      <c r="Y3383" s="55" t="n">
        <f aca="false">W3383+ROW()*0.000000001</f>
        <v>0.634744206773761</v>
      </c>
      <c r="Z3383" s="55" t="n">
        <f aca="false">X3383+ROW()*0.000000001</f>
        <v>50.1304082125455</v>
      </c>
    </row>
    <row r="3384" customFormat="false" ht="15" hidden="false" customHeight="false" outlineLevel="0" collapsed="false">
      <c r="A3384" s="0" t="n">
        <v>11</v>
      </c>
      <c r="B3384" s="0" t="n">
        <v>11</v>
      </c>
      <c r="C3384" s="0" t="n">
        <v>13</v>
      </c>
      <c r="D3384" s="0" t="n">
        <f aca="false">-1+A3384*0.125</f>
        <v>0.375</v>
      </c>
      <c r="E3384" s="0" t="n">
        <f aca="false">-1+B3384*0.125</f>
        <v>0.375</v>
      </c>
      <c r="F3384" s="0" t="n">
        <f aca="false">-1+C3384*0.125</f>
        <v>0.625</v>
      </c>
      <c r="G3384" s="0" t="n">
        <f aca="false">1</f>
        <v>1</v>
      </c>
      <c r="H3384" s="0" t="n">
        <f aca="false">D3384</f>
        <v>0.375</v>
      </c>
      <c r="I3384" s="0" t="n">
        <f aca="false">E3384</f>
        <v>0.375</v>
      </c>
      <c r="J3384" s="0" t="n">
        <f aca="false">F3384</f>
        <v>0.625</v>
      </c>
      <c r="K3384" s="0" t="n">
        <f aca="false">D3384*E3384</f>
        <v>0.140625</v>
      </c>
      <c r="L3384" s="0" t="n">
        <f aca="false">D3384*F3384</f>
        <v>0.234375</v>
      </c>
      <c r="M3384" s="0" t="n">
        <f aca="false">E3384*F3384</f>
        <v>0.234375</v>
      </c>
      <c r="N3384" s="0" t="n">
        <f aca="false">D3384*D3384</f>
        <v>0.140625</v>
      </c>
      <c r="O3384" s="0" t="n">
        <f aca="false">E3384*E3384</f>
        <v>0.140625</v>
      </c>
      <c r="P3384" s="0" t="n">
        <f aca="false">F3384*F3384</f>
        <v>0.390625</v>
      </c>
      <c r="Q3384" s="0" t="n">
        <f aca="false">SUMPRODUCT(G3384:P3384,_XtX!$B$71:$K$71)</f>
        <v>50.1514133522727</v>
      </c>
      <c r="R3384" s="0" t="n">
        <f aca="false">SUMPRODUCT(MMULT(G3384:P3384,_XtX!$B$58:$K$67),G3384:P3384)</f>
        <v>0.175007213245739</v>
      </c>
      <c r="S3384" s="0" t="n">
        <f aca="false">04_回帰ANOVA!$K$19*04_回帰ANOVA!$K$14*SQRT(1+R3384)</f>
        <v>1.0078291195273</v>
      </c>
      <c r="T3384" s="0" t="n">
        <f aca="false">Q3384-S3384</f>
        <v>49.1435842327454</v>
      </c>
      <c r="U3384" s="0" t="n">
        <f aca="false">Q3384+S3384</f>
        <v>51.1592424718</v>
      </c>
      <c r="V3384" s="54" t="b">
        <f aca="false">AND(D3384&gt;=01_因子設定!$L$5-0.000000001,D3384&lt;=01_因子設定!$M$5+0.000000001,E3384&gt;=01_因子設定!$L$6-0.000000001,E3384&lt;=01_因子設定!$M$6+0.000000001,F3384&gt;=01_因子設定!$L$7-0.000000001,F3384&lt;=01_因子設定!$M$7+0.000000001,IF(01_因子設定!$B$20="Box-Behnken",D3384^2+E3384^2+F3384^2&lt;=2+0.000000001,TRUE()))</f>
        <v>1</v>
      </c>
      <c r="W3384" s="55" t="n">
        <f aca="false">IF(V3384,IF(01_因子設定!$B$13="最大化",T3384-01_因子設定!$B$14,IF(01_因子設定!$B$13="最小化",01_因子設定!$B$15-U3384,MIN(T3384-01_因子設定!$B$14,01_因子設定!$B$15-U3384))),-1E+030)</f>
        <v>0.64358423274544</v>
      </c>
      <c r="X3384" s="55" t="n">
        <f aca="false">IF(V3384,IF(01_因子設定!$B$13="最大化",Q3384,IF(01_因子設定!$B$13="最小化",-Q3384,-ABS(Q3384-01_因子設定!$B$16))),-1E+030)</f>
        <v>50.1514133522727</v>
      </c>
      <c r="Y3384" s="55" t="n">
        <f aca="false">W3384+ROW()*0.000000001</f>
        <v>0.64358761674544</v>
      </c>
      <c r="Z3384" s="55" t="n">
        <f aca="false">X3384+ROW()*0.000000001</f>
        <v>50.1514167362727</v>
      </c>
    </row>
    <row r="3385" customFormat="false" ht="15" hidden="false" customHeight="false" outlineLevel="0" collapsed="false">
      <c r="A3385" s="0" t="n">
        <v>11</v>
      </c>
      <c r="B3385" s="0" t="n">
        <v>11</v>
      </c>
      <c r="C3385" s="0" t="n">
        <v>14</v>
      </c>
      <c r="D3385" s="0" t="n">
        <f aca="false">-1+A3385*0.125</f>
        <v>0.375</v>
      </c>
      <c r="E3385" s="0" t="n">
        <f aca="false">-1+B3385*0.125</f>
        <v>0.375</v>
      </c>
      <c r="F3385" s="0" t="n">
        <f aca="false">-1+C3385*0.125</f>
        <v>0.75</v>
      </c>
      <c r="G3385" s="0" t="n">
        <f aca="false">1</f>
        <v>1</v>
      </c>
      <c r="H3385" s="0" t="n">
        <f aca="false">D3385</f>
        <v>0.375</v>
      </c>
      <c r="I3385" s="0" t="n">
        <f aca="false">E3385</f>
        <v>0.375</v>
      </c>
      <c r="J3385" s="0" t="n">
        <f aca="false">F3385</f>
        <v>0.75</v>
      </c>
      <c r="K3385" s="0" t="n">
        <f aca="false">D3385*E3385</f>
        <v>0.140625</v>
      </c>
      <c r="L3385" s="0" t="n">
        <f aca="false">D3385*F3385</f>
        <v>0.28125</v>
      </c>
      <c r="M3385" s="0" t="n">
        <f aca="false">E3385*F3385</f>
        <v>0.28125</v>
      </c>
      <c r="N3385" s="0" t="n">
        <f aca="false">D3385*D3385</f>
        <v>0.140625</v>
      </c>
      <c r="O3385" s="0" t="n">
        <f aca="false">E3385*E3385</f>
        <v>0.140625</v>
      </c>
      <c r="P3385" s="0" t="n">
        <f aca="false">F3385*F3385</f>
        <v>0.5625</v>
      </c>
      <c r="Q3385" s="0" t="n">
        <f aca="false">SUMPRODUCT(G3385:P3385,_XtX!$B$71:$K$71)</f>
        <v>50.1356321022727</v>
      </c>
      <c r="R3385" s="0" t="n">
        <f aca="false">SUMPRODUCT(MMULT(G3385:P3385,_XtX!$B$58:$K$67),G3385:P3385)</f>
        <v>0.228998912464489</v>
      </c>
      <c r="S3385" s="0" t="n">
        <f aca="false">04_回帰ANOVA!$K$19*04_回帰ANOVA!$K$14*SQRT(1+R3385)</f>
        <v>1.03072399242813</v>
      </c>
      <c r="T3385" s="0" t="n">
        <f aca="false">Q3385-S3385</f>
        <v>49.1049081098446</v>
      </c>
      <c r="U3385" s="0" t="n">
        <f aca="false">Q3385+S3385</f>
        <v>51.1663560947009</v>
      </c>
      <c r="V3385" s="54" t="b">
        <f aca="false">AND(D3385&gt;=01_因子設定!$L$5-0.000000001,D3385&lt;=01_因子設定!$M$5+0.000000001,E3385&gt;=01_因子設定!$L$6-0.000000001,E3385&lt;=01_因子設定!$M$6+0.000000001,F3385&gt;=01_因子設定!$L$7-0.000000001,F3385&lt;=01_因子設定!$M$7+0.000000001,IF(01_因子設定!$B$20="Box-Behnken",D3385^2+E3385^2+F3385^2&lt;=2+0.000000001,TRUE()))</f>
        <v>1</v>
      </c>
      <c r="W3385" s="55" t="n">
        <f aca="false">IF(V3385,IF(01_因子設定!$B$13="最大化",T3385-01_因子設定!$B$14,IF(01_因子設定!$B$13="最小化",01_因子設定!$B$15-U3385,MIN(T3385-01_因子設定!$B$14,01_因子設定!$B$15-U3385))),-1E+030)</f>
        <v>0.604908109844615</v>
      </c>
      <c r="X3385" s="55" t="n">
        <f aca="false">IF(V3385,IF(01_因子設定!$B$13="最大化",Q3385,IF(01_因子設定!$B$13="最小化",-Q3385,-ABS(Q3385-01_因子設定!$B$16))),-1E+030)</f>
        <v>50.1356321022727</v>
      </c>
      <c r="Y3385" s="55" t="n">
        <f aca="false">W3385+ROW()*0.000000001</f>
        <v>0.604911494844615</v>
      </c>
      <c r="Z3385" s="55" t="n">
        <f aca="false">X3385+ROW()*0.000000001</f>
        <v>50.1356354872727</v>
      </c>
    </row>
    <row r="3386" customFormat="false" ht="15" hidden="false" customHeight="false" outlineLevel="0" collapsed="false">
      <c r="A3386" s="0" t="n">
        <v>11</v>
      </c>
      <c r="B3386" s="0" t="n">
        <v>11</v>
      </c>
      <c r="C3386" s="0" t="n">
        <v>15</v>
      </c>
      <c r="D3386" s="0" t="n">
        <f aca="false">-1+A3386*0.125</f>
        <v>0.375</v>
      </c>
      <c r="E3386" s="0" t="n">
        <f aca="false">-1+B3386*0.125</f>
        <v>0.375</v>
      </c>
      <c r="F3386" s="0" t="n">
        <f aca="false">-1+C3386*0.125</f>
        <v>0.875</v>
      </c>
      <c r="G3386" s="0" t="n">
        <f aca="false">1</f>
        <v>1</v>
      </c>
      <c r="H3386" s="0" t="n">
        <f aca="false">D3386</f>
        <v>0.375</v>
      </c>
      <c r="I3386" s="0" t="n">
        <f aca="false">E3386</f>
        <v>0.375</v>
      </c>
      <c r="J3386" s="0" t="n">
        <f aca="false">F3386</f>
        <v>0.875</v>
      </c>
      <c r="K3386" s="0" t="n">
        <f aca="false">D3386*E3386</f>
        <v>0.140625</v>
      </c>
      <c r="L3386" s="0" t="n">
        <f aca="false">D3386*F3386</f>
        <v>0.328125</v>
      </c>
      <c r="M3386" s="0" t="n">
        <f aca="false">E3386*F3386</f>
        <v>0.328125</v>
      </c>
      <c r="N3386" s="0" t="n">
        <f aca="false">D3386*D3386</f>
        <v>0.140625</v>
      </c>
      <c r="O3386" s="0" t="n">
        <f aca="false">E3386*E3386</f>
        <v>0.140625</v>
      </c>
      <c r="P3386" s="0" t="n">
        <f aca="false">F3386*F3386</f>
        <v>0.765625</v>
      </c>
      <c r="Q3386" s="0" t="n">
        <f aca="false">SUMPRODUCT(G3386:P3386,_XtX!$B$71:$K$71)</f>
        <v>50.0830610795455</v>
      </c>
      <c r="R3386" s="0" t="n">
        <f aca="false">SUMPRODUCT(MMULT(G3386:P3386,_XtX!$B$58:$K$67),G3386:P3386)</f>
        <v>0.32050614790483</v>
      </c>
      <c r="S3386" s="0" t="n">
        <f aca="false">04_回帰ANOVA!$K$19*04_回帰ANOVA!$K$14*SQRT(1+R3386)</f>
        <v>1.06840730759619</v>
      </c>
      <c r="T3386" s="0" t="n">
        <f aca="false">Q3386-S3386</f>
        <v>49.0146537719493</v>
      </c>
      <c r="U3386" s="0" t="n">
        <f aca="false">Q3386+S3386</f>
        <v>51.1514683871417</v>
      </c>
      <c r="V3386" s="54" t="b">
        <f aca="false">AND(D3386&gt;=01_因子設定!$L$5-0.000000001,D3386&lt;=01_因子設定!$M$5+0.000000001,E3386&gt;=01_因子設定!$L$6-0.000000001,E3386&lt;=01_因子設定!$M$6+0.000000001,F3386&gt;=01_因子設定!$L$7-0.000000001,F3386&lt;=01_因子設定!$M$7+0.000000001,IF(01_因子設定!$B$20="Box-Behnken",D3386^2+E3386^2+F3386^2&lt;=2+0.000000001,TRUE()))</f>
        <v>1</v>
      </c>
      <c r="W3386" s="55" t="n">
        <f aca="false">IF(V3386,IF(01_因子設定!$B$13="最大化",T3386-01_因子設定!$B$14,IF(01_因子設定!$B$13="最小化",01_因子設定!$B$15-U3386,MIN(T3386-01_因子設定!$B$14,01_因子設定!$B$15-U3386))),-1E+030)</f>
        <v>0.514653771949284</v>
      </c>
      <c r="X3386" s="55" t="n">
        <f aca="false">IF(V3386,IF(01_因子設定!$B$13="最大化",Q3386,IF(01_因子設定!$B$13="最小化",-Q3386,-ABS(Q3386-01_因子設定!$B$16))),-1E+030)</f>
        <v>50.0830610795455</v>
      </c>
      <c r="Y3386" s="55" t="n">
        <f aca="false">W3386+ROW()*0.000000001</f>
        <v>0.514657157949284</v>
      </c>
      <c r="Z3386" s="55" t="n">
        <f aca="false">X3386+ROW()*0.000000001</f>
        <v>50.0830644655455</v>
      </c>
    </row>
    <row r="3387" customFormat="false" ht="15" hidden="false" customHeight="false" outlineLevel="0" collapsed="false">
      <c r="A3387" s="0" t="n">
        <v>11</v>
      </c>
      <c r="B3387" s="0" t="n">
        <v>11</v>
      </c>
      <c r="C3387" s="0" t="n">
        <v>16</v>
      </c>
      <c r="D3387" s="0" t="n">
        <f aca="false">-1+A3387*0.125</f>
        <v>0.375</v>
      </c>
      <c r="E3387" s="0" t="n">
        <f aca="false">-1+B3387*0.125</f>
        <v>0.375</v>
      </c>
      <c r="F3387" s="0" t="n">
        <f aca="false">-1+C3387*0.125</f>
        <v>1</v>
      </c>
      <c r="G3387" s="0" t="n">
        <f aca="false">1</f>
        <v>1</v>
      </c>
      <c r="H3387" s="0" t="n">
        <f aca="false">D3387</f>
        <v>0.375</v>
      </c>
      <c r="I3387" s="0" t="n">
        <f aca="false">E3387</f>
        <v>0.375</v>
      </c>
      <c r="J3387" s="0" t="n">
        <f aca="false">F3387</f>
        <v>1</v>
      </c>
      <c r="K3387" s="0" t="n">
        <f aca="false">D3387*E3387</f>
        <v>0.140625</v>
      </c>
      <c r="L3387" s="0" t="n">
        <f aca="false">D3387*F3387</f>
        <v>0.375</v>
      </c>
      <c r="M3387" s="0" t="n">
        <f aca="false">E3387*F3387</f>
        <v>0.375</v>
      </c>
      <c r="N3387" s="0" t="n">
        <f aca="false">D3387*D3387</f>
        <v>0.140625</v>
      </c>
      <c r="O3387" s="0" t="n">
        <f aca="false">E3387*E3387</f>
        <v>0.140625</v>
      </c>
      <c r="P3387" s="0" t="n">
        <f aca="false">F3387*F3387</f>
        <v>1</v>
      </c>
      <c r="Q3387" s="0" t="n">
        <f aca="false">SUMPRODUCT(G3387:P3387,_XtX!$B$71:$K$71)</f>
        <v>49.9937002840909</v>
      </c>
      <c r="R3387" s="0" t="n">
        <f aca="false">SUMPRODUCT(MMULT(G3387:P3387,_XtX!$B$58:$K$67),G3387:P3387)</f>
        <v>0.463378351384943</v>
      </c>
      <c r="S3387" s="0" t="n">
        <f aca="false">04_回帰ANOVA!$K$19*04_回帰ANOVA!$K$14*SQRT(1+R3387)</f>
        <v>1.12472137547772</v>
      </c>
      <c r="T3387" s="0" t="n">
        <f aca="false">Q3387-S3387</f>
        <v>48.8689789086132</v>
      </c>
      <c r="U3387" s="0" t="n">
        <f aca="false">Q3387+S3387</f>
        <v>51.1184216595687</v>
      </c>
      <c r="V3387" s="54" t="b">
        <f aca="false">AND(D3387&gt;=01_因子設定!$L$5-0.000000001,D3387&lt;=01_因子設定!$M$5+0.000000001,E3387&gt;=01_因子設定!$L$6-0.000000001,E3387&lt;=01_因子設定!$M$6+0.000000001,F3387&gt;=01_因子設定!$L$7-0.000000001,F3387&lt;=01_因子設定!$M$7+0.000000001,IF(01_因子設定!$B$20="Box-Behnken",D3387^2+E3387^2+F3387^2&lt;=2+0.000000001,TRUE()))</f>
        <v>1</v>
      </c>
      <c r="W3387" s="55" t="n">
        <f aca="false">IF(V3387,IF(01_因子設定!$B$13="最大化",T3387-01_因子設定!$B$14,IF(01_因子設定!$B$13="最小化",01_因子設定!$B$15-U3387,MIN(T3387-01_因子設定!$B$14,01_因子設定!$B$15-U3387))),-1E+030)</f>
        <v>0.368978908613215</v>
      </c>
      <c r="X3387" s="55" t="n">
        <f aca="false">IF(V3387,IF(01_因子設定!$B$13="最大化",Q3387,IF(01_因子設定!$B$13="最小化",-Q3387,-ABS(Q3387-01_因子設定!$B$16))),-1E+030)</f>
        <v>49.9937002840909</v>
      </c>
      <c r="Y3387" s="55" t="n">
        <f aca="false">W3387+ROW()*0.000000001</f>
        <v>0.368982295613215</v>
      </c>
      <c r="Z3387" s="55" t="n">
        <f aca="false">X3387+ROW()*0.000000001</f>
        <v>49.9937036710909</v>
      </c>
    </row>
    <row r="3388" customFormat="false" ht="15" hidden="false" customHeight="false" outlineLevel="0" collapsed="false">
      <c r="A3388" s="0" t="n">
        <v>11</v>
      </c>
      <c r="B3388" s="0" t="n">
        <v>12</v>
      </c>
      <c r="C3388" s="0" t="n">
        <v>0</v>
      </c>
      <c r="D3388" s="0" t="n">
        <f aca="false">-1+A3388*0.125</f>
        <v>0.375</v>
      </c>
      <c r="E3388" s="0" t="n">
        <f aca="false">-1+B3388*0.125</f>
        <v>0.5</v>
      </c>
      <c r="F3388" s="0" t="n">
        <f aca="false">-1+C3388*0.125</f>
        <v>-1</v>
      </c>
      <c r="G3388" s="0" t="n">
        <f aca="false">1</f>
        <v>1</v>
      </c>
      <c r="H3388" s="0" t="n">
        <f aca="false">D3388</f>
        <v>0.375</v>
      </c>
      <c r="I3388" s="0" t="n">
        <f aca="false">E3388</f>
        <v>0.5</v>
      </c>
      <c r="J3388" s="0" t="n">
        <f aca="false">F3388</f>
        <v>-1</v>
      </c>
      <c r="K3388" s="0" t="n">
        <f aca="false">D3388*E3388</f>
        <v>0.1875</v>
      </c>
      <c r="L3388" s="0" t="n">
        <f aca="false">D3388*F3388</f>
        <v>-0.375</v>
      </c>
      <c r="M3388" s="0" t="n">
        <f aca="false">E3388*F3388</f>
        <v>-0.5</v>
      </c>
      <c r="N3388" s="0" t="n">
        <f aca="false">D3388*D3388</f>
        <v>0.140625</v>
      </c>
      <c r="O3388" s="0" t="n">
        <f aca="false">E3388*E3388</f>
        <v>0.25</v>
      </c>
      <c r="P3388" s="0" t="n">
        <f aca="false">F3388*F3388</f>
        <v>1</v>
      </c>
      <c r="Q3388" s="0" t="n">
        <f aca="false">SUMPRODUCT(G3388:P3388,_XtX!$B$71:$K$71)</f>
        <v>47.0468892045455</v>
      </c>
      <c r="R3388" s="0" t="n">
        <f aca="false">SUMPRODUCT(MMULT(G3388:P3388,_XtX!$B$58:$K$67),G3388:P3388)</f>
        <v>0.461479048295455</v>
      </c>
      <c r="S3388" s="0" t="n">
        <f aca="false">04_回帰ANOVA!$K$19*04_回帰ANOVA!$K$14*SQRT(1+R3388)</f>
        <v>1.12399125658369</v>
      </c>
      <c r="T3388" s="0" t="n">
        <f aca="false">Q3388-S3388</f>
        <v>45.9228979479618</v>
      </c>
      <c r="U3388" s="0" t="n">
        <f aca="false">Q3388+S3388</f>
        <v>48.1708804611292</v>
      </c>
      <c r="V3388" s="54" t="b">
        <f aca="false">AND(D3388&gt;=01_因子設定!$L$5-0.000000001,D3388&lt;=01_因子設定!$M$5+0.000000001,E3388&gt;=01_因子設定!$L$6-0.000000001,E3388&lt;=01_因子設定!$M$6+0.000000001,F3388&gt;=01_因子設定!$L$7-0.000000001,F3388&lt;=01_因子設定!$M$7+0.000000001,IF(01_因子設定!$B$20="Box-Behnken",D3388^2+E3388^2+F3388^2&lt;=2+0.000000001,TRUE()))</f>
        <v>1</v>
      </c>
      <c r="W3388" s="55" t="n">
        <f aca="false">IF(V3388,IF(01_因子設定!$B$13="最大化",T3388-01_因子設定!$B$14,IF(01_因子設定!$B$13="最小化",01_因子設定!$B$15-U3388,MIN(T3388-01_因子設定!$B$14,01_因子設定!$B$15-U3388))),-1E+030)</f>
        <v>-2.57710205203821</v>
      </c>
      <c r="X3388" s="55" t="n">
        <f aca="false">IF(V3388,IF(01_因子設定!$B$13="最大化",Q3388,IF(01_因子設定!$B$13="最小化",-Q3388,-ABS(Q3388-01_因子設定!$B$16))),-1E+030)</f>
        <v>47.0468892045455</v>
      </c>
      <c r="Y3388" s="55" t="n">
        <f aca="false">W3388+ROW()*0.000000001</f>
        <v>-2.57709866403821</v>
      </c>
      <c r="Z3388" s="55" t="n">
        <f aca="false">X3388+ROW()*0.000000001</f>
        <v>47.0468925925455</v>
      </c>
    </row>
    <row r="3389" customFormat="false" ht="15" hidden="false" customHeight="false" outlineLevel="0" collapsed="false">
      <c r="A3389" s="0" t="n">
        <v>11</v>
      </c>
      <c r="B3389" s="0" t="n">
        <v>12</v>
      </c>
      <c r="C3389" s="0" t="n">
        <v>1</v>
      </c>
      <c r="D3389" s="0" t="n">
        <f aca="false">-1+A3389*0.125</f>
        <v>0.375</v>
      </c>
      <c r="E3389" s="0" t="n">
        <f aca="false">-1+B3389*0.125</f>
        <v>0.5</v>
      </c>
      <c r="F3389" s="0" t="n">
        <f aca="false">-1+C3389*0.125</f>
        <v>-0.875</v>
      </c>
      <c r="G3389" s="0" t="n">
        <f aca="false">1</f>
        <v>1</v>
      </c>
      <c r="H3389" s="0" t="n">
        <f aca="false">D3389</f>
        <v>0.375</v>
      </c>
      <c r="I3389" s="0" t="n">
        <f aca="false">E3389</f>
        <v>0.5</v>
      </c>
      <c r="J3389" s="0" t="n">
        <f aca="false">F3389</f>
        <v>-0.875</v>
      </c>
      <c r="K3389" s="0" t="n">
        <f aca="false">D3389*E3389</f>
        <v>0.1875</v>
      </c>
      <c r="L3389" s="0" t="n">
        <f aca="false">D3389*F3389</f>
        <v>-0.328125</v>
      </c>
      <c r="M3389" s="0" t="n">
        <f aca="false">E3389*F3389</f>
        <v>-0.4375</v>
      </c>
      <c r="N3389" s="0" t="n">
        <f aca="false">D3389*D3389</f>
        <v>0.140625</v>
      </c>
      <c r="O3389" s="0" t="n">
        <f aca="false">E3389*E3389</f>
        <v>0.25</v>
      </c>
      <c r="P3389" s="0" t="n">
        <f aca="false">F3389*F3389</f>
        <v>0.765625</v>
      </c>
      <c r="Q3389" s="0" t="n">
        <f aca="false">SUMPRODUCT(G3389:P3389,_XtX!$B$71:$K$71)</f>
        <v>47.51640625</v>
      </c>
      <c r="R3389" s="0" t="n">
        <f aca="false">SUMPRODUCT(MMULT(G3389:P3389,_XtX!$B$58:$K$67),G3389:P3389)</f>
        <v>0.322393798828125</v>
      </c>
      <c r="S3389" s="0" t="n">
        <f aca="false">04_回帰ANOVA!$K$19*04_回帰ANOVA!$K$14*SQRT(1+R3389)</f>
        <v>1.06917067390712</v>
      </c>
      <c r="T3389" s="0" t="n">
        <f aca="false">Q3389-S3389</f>
        <v>46.4472355760929</v>
      </c>
      <c r="U3389" s="0" t="n">
        <f aca="false">Q3389+S3389</f>
        <v>48.5855769239071</v>
      </c>
      <c r="V3389" s="54" t="b">
        <f aca="false">AND(D3389&gt;=01_因子設定!$L$5-0.000000001,D3389&lt;=01_因子設定!$M$5+0.000000001,E3389&gt;=01_因子設定!$L$6-0.000000001,E3389&lt;=01_因子設定!$M$6+0.000000001,F3389&gt;=01_因子設定!$L$7-0.000000001,F3389&lt;=01_因子設定!$M$7+0.000000001,IF(01_因子設定!$B$20="Box-Behnken",D3389^2+E3389^2+F3389^2&lt;=2+0.000000001,TRUE()))</f>
        <v>1</v>
      </c>
      <c r="W3389" s="55" t="n">
        <f aca="false">IF(V3389,IF(01_因子設定!$B$13="最大化",T3389-01_因子設定!$B$14,IF(01_因子設定!$B$13="最小化",01_因子設定!$B$15-U3389,MIN(T3389-01_因子設定!$B$14,01_因子設定!$B$15-U3389))),-1E+030)</f>
        <v>-2.05276442390709</v>
      </c>
      <c r="X3389" s="55" t="n">
        <f aca="false">IF(V3389,IF(01_因子設定!$B$13="最大化",Q3389,IF(01_因子設定!$B$13="最小化",-Q3389,-ABS(Q3389-01_因子設定!$B$16))),-1E+030)</f>
        <v>47.51640625</v>
      </c>
      <c r="Y3389" s="55" t="n">
        <f aca="false">W3389+ROW()*0.000000001</f>
        <v>-2.05276103490709</v>
      </c>
      <c r="Z3389" s="55" t="n">
        <f aca="false">X3389+ROW()*0.000000001</f>
        <v>47.516409639</v>
      </c>
    </row>
    <row r="3390" customFormat="false" ht="15" hidden="false" customHeight="false" outlineLevel="0" collapsed="false">
      <c r="A3390" s="0" t="n">
        <v>11</v>
      </c>
      <c r="B3390" s="0" t="n">
        <v>12</v>
      </c>
      <c r="C3390" s="0" t="n">
        <v>2</v>
      </c>
      <c r="D3390" s="0" t="n">
        <f aca="false">-1+A3390*0.125</f>
        <v>0.375</v>
      </c>
      <c r="E3390" s="0" t="n">
        <f aca="false">-1+B3390*0.125</f>
        <v>0.5</v>
      </c>
      <c r="F3390" s="0" t="n">
        <f aca="false">-1+C3390*0.125</f>
        <v>-0.75</v>
      </c>
      <c r="G3390" s="0" t="n">
        <f aca="false">1</f>
        <v>1</v>
      </c>
      <c r="H3390" s="0" t="n">
        <f aca="false">D3390</f>
        <v>0.375</v>
      </c>
      <c r="I3390" s="0" t="n">
        <f aca="false">E3390</f>
        <v>0.5</v>
      </c>
      <c r="J3390" s="0" t="n">
        <f aca="false">F3390</f>
        <v>-0.75</v>
      </c>
      <c r="K3390" s="0" t="n">
        <f aca="false">D3390*E3390</f>
        <v>0.1875</v>
      </c>
      <c r="L3390" s="0" t="n">
        <f aca="false">D3390*F3390</f>
        <v>-0.28125</v>
      </c>
      <c r="M3390" s="0" t="n">
        <f aca="false">E3390*F3390</f>
        <v>-0.375</v>
      </c>
      <c r="N3390" s="0" t="n">
        <f aca="false">D3390*D3390</f>
        <v>0.140625</v>
      </c>
      <c r="O3390" s="0" t="n">
        <f aca="false">E3390*E3390</f>
        <v>0.25</v>
      </c>
      <c r="P3390" s="0" t="n">
        <f aca="false">F3390*F3390</f>
        <v>0.5625</v>
      </c>
      <c r="Q3390" s="0" t="n">
        <f aca="false">SUMPRODUCT(G3390:P3390,_XtX!$B$71:$K$71)</f>
        <v>47.9491335227273</v>
      </c>
      <c r="R3390" s="0" t="n">
        <f aca="false">SUMPRODUCT(MMULT(G3390:P3390,_XtX!$B$58:$K$67),G3390:P3390)</f>
        <v>0.234168590198864</v>
      </c>
      <c r="S3390" s="0" t="n">
        <f aca="false">04_回帰ANOVA!$K$19*04_回帰ANOVA!$K$14*SQRT(1+R3390)</f>
        <v>1.03288954322488</v>
      </c>
      <c r="T3390" s="0" t="n">
        <f aca="false">Q3390-S3390</f>
        <v>46.9162439795024</v>
      </c>
      <c r="U3390" s="0" t="n">
        <f aca="false">Q3390+S3390</f>
        <v>48.9820230659522</v>
      </c>
      <c r="V3390" s="54" t="b">
        <f aca="false">AND(D3390&gt;=01_因子設定!$L$5-0.000000001,D3390&lt;=01_因子設定!$M$5+0.000000001,E3390&gt;=01_因子設定!$L$6-0.000000001,E3390&lt;=01_因子設定!$M$6+0.000000001,F3390&gt;=01_因子設定!$L$7-0.000000001,F3390&lt;=01_因子設定!$M$7+0.000000001,IF(01_因子設定!$B$20="Box-Behnken",D3390^2+E3390^2+F3390^2&lt;=2+0.000000001,TRUE()))</f>
        <v>1</v>
      </c>
      <c r="W3390" s="55" t="n">
        <f aca="false">IF(V3390,IF(01_因子設定!$B$13="最大化",T3390-01_因子設定!$B$14,IF(01_因子設定!$B$13="最小化",01_因子設定!$B$15-U3390,MIN(T3390-01_因子設定!$B$14,01_因子設定!$B$15-U3390))),-1E+030)</f>
        <v>-1.58375602049759</v>
      </c>
      <c r="X3390" s="55" t="n">
        <f aca="false">IF(V3390,IF(01_因子設定!$B$13="最大化",Q3390,IF(01_因子設定!$B$13="最小化",-Q3390,-ABS(Q3390-01_因子設定!$B$16))),-1E+030)</f>
        <v>47.9491335227273</v>
      </c>
      <c r="Y3390" s="55" t="n">
        <f aca="false">W3390+ROW()*0.000000001</f>
        <v>-1.58375263049759</v>
      </c>
      <c r="Z3390" s="55" t="n">
        <f aca="false">X3390+ROW()*0.000000001</f>
        <v>47.9491369127273</v>
      </c>
    </row>
    <row r="3391" customFormat="false" ht="15" hidden="false" customHeight="false" outlineLevel="0" collapsed="false">
      <c r="A3391" s="0" t="n">
        <v>11</v>
      </c>
      <c r="B3391" s="0" t="n">
        <v>12</v>
      </c>
      <c r="C3391" s="0" t="n">
        <v>3</v>
      </c>
      <c r="D3391" s="0" t="n">
        <f aca="false">-1+A3391*0.125</f>
        <v>0.375</v>
      </c>
      <c r="E3391" s="0" t="n">
        <f aca="false">-1+B3391*0.125</f>
        <v>0.5</v>
      </c>
      <c r="F3391" s="0" t="n">
        <f aca="false">-1+C3391*0.125</f>
        <v>-0.625</v>
      </c>
      <c r="G3391" s="0" t="n">
        <f aca="false">1</f>
        <v>1</v>
      </c>
      <c r="H3391" s="0" t="n">
        <f aca="false">D3391</f>
        <v>0.375</v>
      </c>
      <c r="I3391" s="0" t="n">
        <f aca="false">E3391</f>
        <v>0.5</v>
      </c>
      <c r="J3391" s="0" t="n">
        <f aca="false">F3391</f>
        <v>-0.625</v>
      </c>
      <c r="K3391" s="0" t="n">
        <f aca="false">D3391*E3391</f>
        <v>0.1875</v>
      </c>
      <c r="L3391" s="0" t="n">
        <f aca="false">D3391*F3391</f>
        <v>-0.234375</v>
      </c>
      <c r="M3391" s="0" t="n">
        <f aca="false">E3391*F3391</f>
        <v>-0.3125</v>
      </c>
      <c r="N3391" s="0" t="n">
        <f aca="false">D3391*D3391</f>
        <v>0.140625</v>
      </c>
      <c r="O3391" s="0" t="n">
        <f aca="false">E3391*E3391</f>
        <v>0.25</v>
      </c>
      <c r="P3391" s="0" t="n">
        <f aca="false">F3391*F3391</f>
        <v>0.390625</v>
      </c>
      <c r="Q3391" s="0" t="n">
        <f aca="false">SUMPRODUCT(G3391:P3391,_XtX!$B$71:$K$71)</f>
        <v>48.3450710227273</v>
      </c>
      <c r="R3391" s="0" t="n">
        <f aca="false">SUMPRODUCT(MMULT(G3391:P3391,_XtX!$B$58:$K$67),G3391:P3391)</f>
        <v>0.182953990589489</v>
      </c>
      <c r="S3391" s="0" t="n">
        <f aca="false">04_回帰ANOVA!$K$19*04_回帰ANOVA!$K$14*SQRT(1+R3391)</f>
        <v>1.01123143807044</v>
      </c>
      <c r="T3391" s="0" t="n">
        <f aca="false">Q3391-S3391</f>
        <v>47.3338395846569</v>
      </c>
      <c r="U3391" s="0" t="n">
        <f aca="false">Q3391+S3391</f>
        <v>49.3563024607977</v>
      </c>
      <c r="V3391" s="54" t="b">
        <f aca="false">AND(D3391&gt;=01_因子設定!$L$5-0.000000001,D3391&lt;=01_因子設定!$M$5+0.000000001,E3391&gt;=01_因子設定!$L$6-0.000000001,E3391&lt;=01_因子設定!$M$6+0.000000001,F3391&gt;=01_因子設定!$L$7-0.000000001,F3391&lt;=01_因子設定!$M$7+0.000000001,IF(01_因子設定!$B$20="Box-Behnken",D3391^2+E3391^2+F3391^2&lt;=2+0.000000001,TRUE()))</f>
        <v>1</v>
      </c>
      <c r="W3391" s="55" t="n">
        <f aca="false">IF(V3391,IF(01_因子設定!$B$13="最大化",T3391-01_因子設定!$B$14,IF(01_因子設定!$B$13="最小化",01_因子設定!$B$15-U3391,MIN(T3391-01_因子設定!$B$14,01_因子設定!$B$15-U3391))),-1E+030)</f>
        <v>-1.16616041534315</v>
      </c>
      <c r="X3391" s="55" t="n">
        <f aca="false">IF(V3391,IF(01_因子設定!$B$13="最大化",Q3391,IF(01_因子設定!$B$13="最小化",-Q3391,-ABS(Q3391-01_因子設定!$B$16))),-1E+030)</f>
        <v>48.3450710227273</v>
      </c>
      <c r="Y3391" s="55" t="n">
        <f aca="false">W3391+ROW()*0.000000001</f>
        <v>-1.16615702434315</v>
      </c>
      <c r="Z3391" s="55" t="n">
        <f aca="false">X3391+ROW()*0.000000001</f>
        <v>48.3450744137273</v>
      </c>
    </row>
    <row r="3392" customFormat="false" ht="15" hidden="false" customHeight="false" outlineLevel="0" collapsed="false">
      <c r="A3392" s="0" t="n">
        <v>11</v>
      </c>
      <c r="B3392" s="0" t="n">
        <v>12</v>
      </c>
      <c r="C3392" s="0" t="n">
        <v>4</v>
      </c>
      <c r="D3392" s="0" t="n">
        <f aca="false">-1+A3392*0.125</f>
        <v>0.375</v>
      </c>
      <c r="E3392" s="0" t="n">
        <f aca="false">-1+B3392*0.125</f>
        <v>0.5</v>
      </c>
      <c r="F3392" s="0" t="n">
        <f aca="false">-1+C3392*0.125</f>
        <v>-0.5</v>
      </c>
      <c r="G3392" s="0" t="n">
        <f aca="false">1</f>
        <v>1</v>
      </c>
      <c r="H3392" s="0" t="n">
        <f aca="false">D3392</f>
        <v>0.375</v>
      </c>
      <c r="I3392" s="0" t="n">
        <f aca="false">E3392</f>
        <v>0.5</v>
      </c>
      <c r="J3392" s="0" t="n">
        <f aca="false">F3392</f>
        <v>-0.5</v>
      </c>
      <c r="K3392" s="0" t="n">
        <f aca="false">D3392*E3392</f>
        <v>0.1875</v>
      </c>
      <c r="L3392" s="0" t="n">
        <f aca="false">D3392*F3392</f>
        <v>-0.1875</v>
      </c>
      <c r="M3392" s="0" t="n">
        <f aca="false">E3392*F3392</f>
        <v>-0.25</v>
      </c>
      <c r="N3392" s="0" t="n">
        <f aca="false">D3392*D3392</f>
        <v>0.140625</v>
      </c>
      <c r="O3392" s="0" t="n">
        <f aca="false">E3392*E3392</f>
        <v>0.25</v>
      </c>
      <c r="P3392" s="0" t="n">
        <f aca="false">F3392*F3392</f>
        <v>0.25</v>
      </c>
      <c r="Q3392" s="0" t="n">
        <f aca="false">SUMPRODUCT(G3392:P3392,_XtX!$B$71:$K$71)</f>
        <v>48.70421875</v>
      </c>
      <c r="R3392" s="0" t="n">
        <f aca="false">SUMPRODUCT(MMULT(G3392:P3392,_XtX!$B$58:$K$67),G3392:P3392)</f>
        <v>0.15703125</v>
      </c>
      <c r="S3392" s="0" t="n">
        <f aca="false">04_回帰ANOVA!$K$19*04_回帰ANOVA!$K$14*SQRT(1+R3392)</f>
        <v>1.00009022049162</v>
      </c>
      <c r="T3392" s="0" t="n">
        <f aca="false">Q3392-S3392</f>
        <v>47.7041285295084</v>
      </c>
      <c r="U3392" s="0" t="n">
        <f aca="false">Q3392+S3392</f>
        <v>49.7043089704916</v>
      </c>
      <c r="V3392" s="54" t="b">
        <f aca="false">AND(D3392&gt;=01_因子設定!$L$5-0.000000001,D3392&lt;=01_因子設定!$M$5+0.000000001,E3392&gt;=01_因子設定!$L$6-0.000000001,E3392&lt;=01_因子設定!$M$6+0.000000001,F3392&gt;=01_因子設定!$L$7-0.000000001,F3392&lt;=01_因子設定!$M$7+0.000000001,IF(01_因子設定!$B$20="Box-Behnken",D3392^2+E3392^2+F3392^2&lt;=2+0.000000001,TRUE()))</f>
        <v>1</v>
      </c>
      <c r="W3392" s="55" t="n">
        <f aca="false">IF(V3392,IF(01_因子設定!$B$13="最大化",T3392-01_因子設定!$B$14,IF(01_因子設定!$B$13="最小化",01_因子設定!$B$15-U3392,MIN(T3392-01_因子設定!$B$14,01_因子設定!$B$15-U3392))),-1E+030)</f>
        <v>-0.795871470491612</v>
      </c>
      <c r="X3392" s="55" t="n">
        <f aca="false">IF(V3392,IF(01_因子設定!$B$13="最大化",Q3392,IF(01_因子設定!$B$13="最小化",-Q3392,-ABS(Q3392-01_因子設定!$B$16))),-1E+030)</f>
        <v>48.70421875</v>
      </c>
      <c r="Y3392" s="55" t="n">
        <f aca="false">W3392+ROW()*0.000000001</f>
        <v>-0.795868078491612</v>
      </c>
      <c r="Z3392" s="55" t="n">
        <f aca="false">X3392+ROW()*0.000000001</f>
        <v>48.704222142</v>
      </c>
    </row>
    <row r="3393" customFormat="false" ht="15" hidden="false" customHeight="false" outlineLevel="0" collapsed="false">
      <c r="A3393" s="0" t="n">
        <v>11</v>
      </c>
      <c r="B3393" s="0" t="n">
        <v>12</v>
      </c>
      <c r="C3393" s="0" t="n">
        <v>5</v>
      </c>
      <c r="D3393" s="0" t="n">
        <f aca="false">-1+A3393*0.125</f>
        <v>0.375</v>
      </c>
      <c r="E3393" s="0" t="n">
        <f aca="false">-1+B3393*0.125</f>
        <v>0.5</v>
      </c>
      <c r="F3393" s="0" t="n">
        <f aca="false">-1+C3393*0.125</f>
        <v>-0.375</v>
      </c>
      <c r="G3393" s="0" t="n">
        <f aca="false">1</f>
        <v>1</v>
      </c>
      <c r="H3393" s="0" t="n">
        <f aca="false">D3393</f>
        <v>0.375</v>
      </c>
      <c r="I3393" s="0" t="n">
        <f aca="false">E3393</f>
        <v>0.5</v>
      </c>
      <c r="J3393" s="0" t="n">
        <f aca="false">F3393</f>
        <v>-0.375</v>
      </c>
      <c r="K3393" s="0" t="n">
        <f aca="false">D3393*E3393</f>
        <v>0.1875</v>
      </c>
      <c r="L3393" s="0" t="n">
        <f aca="false">D3393*F3393</f>
        <v>-0.140625</v>
      </c>
      <c r="M3393" s="0" t="n">
        <f aca="false">E3393*F3393</f>
        <v>-0.1875</v>
      </c>
      <c r="N3393" s="0" t="n">
        <f aca="false">D3393*D3393</f>
        <v>0.140625</v>
      </c>
      <c r="O3393" s="0" t="n">
        <f aca="false">E3393*E3393</f>
        <v>0.25</v>
      </c>
      <c r="P3393" s="0" t="n">
        <f aca="false">F3393*F3393</f>
        <v>0.140625</v>
      </c>
      <c r="Q3393" s="0" t="n">
        <f aca="false">SUMPRODUCT(G3393:P3393,_XtX!$B$71:$K$71)</f>
        <v>49.0265767045455</v>
      </c>
      <c r="R3393" s="0" t="n">
        <f aca="false">SUMPRODUCT(MMULT(G3393:P3393,_XtX!$B$58:$K$67),G3393:P3393)</f>
        <v>0.14681230024858</v>
      </c>
      <c r="S3393" s="0" t="n">
        <f aca="false">04_回帰ANOVA!$K$19*04_回帰ANOVA!$K$14*SQRT(1+R3393)</f>
        <v>0.995664005771711</v>
      </c>
      <c r="T3393" s="0" t="n">
        <f aca="false">Q3393-S3393</f>
        <v>48.0309126987738</v>
      </c>
      <c r="U3393" s="0" t="n">
        <f aca="false">Q3393+S3393</f>
        <v>50.0222407103172</v>
      </c>
      <c r="V3393" s="54" t="b">
        <f aca="false">AND(D3393&gt;=01_因子設定!$L$5-0.000000001,D3393&lt;=01_因子設定!$M$5+0.000000001,E3393&gt;=01_因子設定!$L$6-0.000000001,E3393&lt;=01_因子設定!$M$6+0.000000001,F3393&gt;=01_因子設定!$L$7-0.000000001,F3393&lt;=01_因子設定!$M$7+0.000000001,IF(01_因子設定!$B$20="Box-Behnken",D3393^2+E3393^2+F3393^2&lt;=2+0.000000001,TRUE()))</f>
        <v>1</v>
      </c>
      <c r="W3393" s="55" t="n">
        <f aca="false">IF(V3393,IF(01_因子設定!$B$13="最大化",T3393-01_因子設定!$B$14,IF(01_因子設定!$B$13="最小化",01_因子設定!$B$15-U3393,MIN(T3393-01_因子設定!$B$14,01_因子設定!$B$15-U3393))),-1E+030)</f>
        <v>-0.469087301226246</v>
      </c>
      <c r="X3393" s="55" t="n">
        <f aca="false">IF(V3393,IF(01_因子設定!$B$13="最大化",Q3393,IF(01_因子設定!$B$13="最小化",-Q3393,-ABS(Q3393-01_因子設定!$B$16))),-1E+030)</f>
        <v>49.0265767045455</v>
      </c>
      <c r="Y3393" s="55" t="n">
        <f aca="false">W3393+ROW()*0.000000001</f>
        <v>-0.469083908226246</v>
      </c>
      <c r="Z3393" s="55" t="n">
        <f aca="false">X3393+ROW()*0.000000001</f>
        <v>49.0265800975455</v>
      </c>
    </row>
    <row r="3394" customFormat="false" ht="15" hidden="false" customHeight="false" outlineLevel="0" collapsed="false">
      <c r="A3394" s="0" t="n">
        <v>11</v>
      </c>
      <c r="B3394" s="0" t="n">
        <v>12</v>
      </c>
      <c r="C3394" s="0" t="n">
        <v>6</v>
      </c>
      <c r="D3394" s="0" t="n">
        <f aca="false">-1+A3394*0.125</f>
        <v>0.375</v>
      </c>
      <c r="E3394" s="0" t="n">
        <f aca="false">-1+B3394*0.125</f>
        <v>0.5</v>
      </c>
      <c r="F3394" s="0" t="n">
        <f aca="false">-1+C3394*0.125</f>
        <v>-0.25</v>
      </c>
      <c r="G3394" s="0" t="n">
        <f aca="false">1</f>
        <v>1</v>
      </c>
      <c r="H3394" s="0" t="n">
        <f aca="false">D3394</f>
        <v>0.375</v>
      </c>
      <c r="I3394" s="0" t="n">
        <f aca="false">E3394</f>
        <v>0.5</v>
      </c>
      <c r="J3394" s="0" t="n">
        <f aca="false">F3394</f>
        <v>-0.25</v>
      </c>
      <c r="K3394" s="0" t="n">
        <f aca="false">D3394*E3394</f>
        <v>0.1875</v>
      </c>
      <c r="L3394" s="0" t="n">
        <f aca="false">D3394*F3394</f>
        <v>-0.09375</v>
      </c>
      <c r="M3394" s="0" t="n">
        <f aca="false">E3394*F3394</f>
        <v>-0.125</v>
      </c>
      <c r="N3394" s="0" t="n">
        <f aca="false">D3394*D3394</f>
        <v>0.140625</v>
      </c>
      <c r="O3394" s="0" t="n">
        <f aca="false">E3394*E3394</f>
        <v>0.25</v>
      </c>
      <c r="P3394" s="0" t="n">
        <f aca="false">F3394*F3394</f>
        <v>0.0625</v>
      </c>
      <c r="Q3394" s="0" t="n">
        <f aca="false">SUMPRODUCT(G3394:P3394,_XtX!$B$71:$K$71)</f>
        <v>49.3121448863637</v>
      </c>
      <c r="R3394" s="0" t="n">
        <f aca="false">SUMPRODUCT(MMULT(G3394:P3394,_XtX!$B$58:$K$67),G3394:P3394)</f>
        <v>0.144839754971591</v>
      </c>
      <c r="S3394" s="0" t="n">
        <f aca="false">04_回帰ANOVA!$K$19*04_回帰ANOVA!$K$14*SQRT(1+R3394)</f>
        <v>0.994807353995542</v>
      </c>
      <c r="T3394" s="0" t="n">
        <f aca="false">Q3394-S3394</f>
        <v>48.3173375323681</v>
      </c>
      <c r="U3394" s="0" t="n">
        <f aca="false">Q3394+S3394</f>
        <v>50.3069522403592</v>
      </c>
      <c r="V3394" s="54" t="b">
        <f aca="false">AND(D3394&gt;=01_因子設定!$L$5-0.000000001,D3394&lt;=01_因子設定!$M$5+0.000000001,E3394&gt;=01_因子設定!$L$6-0.000000001,E3394&lt;=01_因子設定!$M$6+0.000000001,F3394&gt;=01_因子設定!$L$7-0.000000001,F3394&lt;=01_因子設定!$M$7+0.000000001,IF(01_因子設定!$B$20="Box-Behnken",D3394^2+E3394^2+F3394^2&lt;=2+0.000000001,TRUE()))</f>
        <v>1</v>
      </c>
      <c r="W3394" s="55" t="n">
        <f aca="false">IF(V3394,IF(01_因子設定!$B$13="最大化",T3394-01_因子設定!$B$14,IF(01_因子設定!$B$13="最小化",01_因子設定!$B$15-U3394,MIN(T3394-01_因子設定!$B$14,01_因子設定!$B$15-U3394))),-1E+030)</f>
        <v>-0.182662467631893</v>
      </c>
      <c r="X3394" s="55" t="n">
        <f aca="false">IF(V3394,IF(01_因子設定!$B$13="最大化",Q3394,IF(01_因子設定!$B$13="最小化",-Q3394,-ABS(Q3394-01_因子設定!$B$16))),-1E+030)</f>
        <v>49.3121448863637</v>
      </c>
      <c r="Y3394" s="55" t="n">
        <f aca="false">W3394+ROW()*0.000000001</f>
        <v>-0.182659073631893</v>
      </c>
      <c r="Z3394" s="55" t="n">
        <f aca="false">X3394+ROW()*0.000000001</f>
        <v>49.3121482803636</v>
      </c>
    </row>
    <row r="3395" customFormat="false" ht="15" hidden="false" customHeight="false" outlineLevel="0" collapsed="false">
      <c r="A3395" s="0" t="n">
        <v>11</v>
      </c>
      <c r="B3395" s="0" t="n">
        <v>12</v>
      </c>
      <c r="C3395" s="0" t="n">
        <v>7</v>
      </c>
      <c r="D3395" s="0" t="n">
        <f aca="false">-1+A3395*0.125</f>
        <v>0.375</v>
      </c>
      <c r="E3395" s="0" t="n">
        <f aca="false">-1+B3395*0.125</f>
        <v>0.5</v>
      </c>
      <c r="F3395" s="0" t="n">
        <f aca="false">-1+C3395*0.125</f>
        <v>-0.125</v>
      </c>
      <c r="G3395" s="0" t="n">
        <f aca="false">1</f>
        <v>1</v>
      </c>
      <c r="H3395" s="0" t="n">
        <f aca="false">D3395</f>
        <v>0.375</v>
      </c>
      <c r="I3395" s="0" t="n">
        <f aca="false">E3395</f>
        <v>0.5</v>
      </c>
      <c r="J3395" s="0" t="n">
        <f aca="false">F3395</f>
        <v>-0.125</v>
      </c>
      <c r="K3395" s="0" t="n">
        <f aca="false">D3395*E3395</f>
        <v>0.1875</v>
      </c>
      <c r="L3395" s="0" t="n">
        <f aca="false">D3395*F3395</f>
        <v>-0.046875</v>
      </c>
      <c r="M3395" s="0" t="n">
        <f aca="false">E3395*F3395</f>
        <v>-0.0625</v>
      </c>
      <c r="N3395" s="0" t="n">
        <f aca="false">D3395*D3395</f>
        <v>0.140625</v>
      </c>
      <c r="O3395" s="0" t="n">
        <f aca="false">E3395*E3395</f>
        <v>0.25</v>
      </c>
      <c r="P3395" s="0" t="n">
        <f aca="false">F3395*F3395</f>
        <v>0.015625</v>
      </c>
      <c r="Q3395" s="0" t="n">
        <f aca="false">SUMPRODUCT(G3395:P3395,_XtX!$B$71:$K$71)</f>
        <v>49.5609232954546</v>
      </c>
      <c r="R3395" s="0" t="n">
        <f aca="false">SUMPRODUCT(MMULT(G3395:P3395,_XtX!$B$58:$K$67),G3395:P3395)</f>
        <v>0.14578690962358</v>
      </c>
      <c r="S3395" s="0" t="n">
        <f aca="false">04_回帰ANOVA!$K$19*04_回帰ANOVA!$K$14*SQRT(1+R3395)</f>
        <v>0.995218783457917</v>
      </c>
      <c r="T3395" s="0" t="n">
        <f aca="false">Q3395-S3395</f>
        <v>48.5657045119966</v>
      </c>
      <c r="U3395" s="0" t="n">
        <f aca="false">Q3395+S3395</f>
        <v>50.5561420789125</v>
      </c>
      <c r="V3395" s="54" t="b">
        <f aca="false">AND(D3395&gt;=01_因子設定!$L$5-0.000000001,D3395&lt;=01_因子設定!$M$5+0.000000001,E3395&gt;=01_因子設定!$L$6-0.000000001,E3395&lt;=01_因子設定!$M$6+0.000000001,F3395&gt;=01_因子設定!$L$7-0.000000001,F3395&lt;=01_因子設定!$M$7+0.000000001,IF(01_因子設定!$B$20="Box-Behnken",D3395^2+E3395^2+F3395^2&lt;=2+0.000000001,TRUE()))</f>
        <v>1</v>
      </c>
      <c r="W3395" s="55" t="n">
        <f aca="false">IF(V3395,IF(01_因子設定!$B$13="最大化",T3395-01_因子設定!$B$14,IF(01_因子設定!$B$13="最小化",01_因子設定!$B$15-U3395,MIN(T3395-01_因子設定!$B$14,01_因子設定!$B$15-U3395))),-1E+030)</f>
        <v>0.0657045119966355</v>
      </c>
      <c r="X3395" s="55" t="n">
        <f aca="false">IF(V3395,IF(01_因子設定!$B$13="最大化",Q3395,IF(01_因子設定!$B$13="最小化",-Q3395,-ABS(Q3395-01_因子設定!$B$16))),-1E+030)</f>
        <v>49.5609232954546</v>
      </c>
      <c r="Y3395" s="55" t="n">
        <f aca="false">W3395+ROW()*0.000000001</f>
        <v>0.0657079069966355</v>
      </c>
      <c r="Z3395" s="55" t="n">
        <f aca="false">X3395+ROW()*0.000000001</f>
        <v>49.5609266904546</v>
      </c>
    </row>
    <row r="3396" customFormat="false" ht="15" hidden="false" customHeight="false" outlineLevel="0" collapsed="false">
      <c r="A3396" s="0" t="n">
        <v>11</v>
      </c>
      <c r="B3396" s="0" t="n">
        <v>12</v>
      </c>
      <c r="C3396" s="0" t="n">
        <v>8</v>
      </c>
      <c r="D3396" s="0" t="n">
        <f aca="false">-1+A3396*0.125</f>
        <v>0.375</v>
      </c>
      <c r="E3396" s="0" t="n">
        <f aca="false">-1+B3396*0.125</f>
        <v>0.5</v>
      </c>
      <c r="F3396" s="0" t="n">
        <f aca="false">-1+C3396*0.125</f>
        <v>0</v>
      </c>
      <c r="G3396" s="0" t="n">
        <f aca="false">1</f>
        <v>1</v>
      </c>
      <c r="H3396" s="0" t="n">
        <f aca="false">D3396</f>
        <v>0.375</v>
      </c>
      <c r="I3396" s="0" t="n">
        <f aca="false">E3396</f>
        <v>0.5</v>
      </c>
      <c r="J3396" s="0" t="n">
        <f aca="false">F3396</f>
        <v>0</v>
      </c>
      <c r="K3396" s="0" t="n">
        <f aca="false">D3396*E3396</f>
        <v>0.1875</v>
      </c>
      <c r="L3396" s="0" t="n">
        <f aca="false">D3396*F3396</f>
        <v>0</v>
      </c>
      <c r="M3396" s="0" t="n">
        <f aca="false">E3396*F3396</f>
        <v>0</v>
      </c>
      <c r="N3396" s="0" t="n">
        <f aca="false">D3396*D3396</f>
        <v>0.140625</v>
      </c>
      <c r="O3396" s="0" t="n">
        <f aca="false">E3396*E3396</f>
        <v>0.25</v>
      </c>
      <c r="P3396" s="0" t="n">
        <f aca="false">F3396*F3396</f>
        <v>0</v>
      </c>
      <c r="Q3396" s="0" t="n">
        <f aca="false">SUMPRODUCT(G3396:P3396,_XtX!$B$71:$K$71)</f>
        <v>49.7729119318182</v>
      </c>
      <c r="R3396" s="0" t="n">
        <f aca="false">SUMPRODUCT(MMULT(G3396:P3396,_XtX!$B$58:$K$67),G3396:P3396)</f>
        <v>0.146457741477273</v>
      </c>
      <c r="S3396" s="0" t="n">
        <f aca="false">04_回帰ANOVA!$K$19*04_回帰ANOVA!$K$14*SQRT(1+R3396)</f>
        <v>0.995510079668687</v>
      </c>
      <c r="T3396" s="0" t="n">
        <f aca="false">Q3396-S3396</f>
        <v>48.7774018521495</v>
      </c>
      <c r="U3396" s="0" t="n">
        <f aca="false">Q3396+S3396</f>
        <v>50.7684220114869</v>
      </c>
      <c r="V3396" s="54" t="b">
        <f aca="false">AND(D3396&gt;=01_因子設定!$L$5-0.000000001,D3396&lt;=01_因子設定!$M$5+0.000000001,E3396&gt;=01_因子設定!$L$6-0.000000001,E3396&lt;=01_因子設定!$M$6+0.000000001,F3396&gt;=01_因子設定!$L$7-0.000000001,F3396&lt;=01_因子設定!$M$7+0.000000001,IF(01_因子設定!$B$20="Box-Behnken",D3396^2+E3396^2+F3396^2&lt;=2+0.000000001,TRUE()))</f>
        <v>1</v>
      </c>
      <c r="W3396" s="55" t="n">
        <f aca="false">IF(V3396,IF(01_因子設定!$B$13="最大化",T3396-01_因子設定!$B$14,IF(01_因子設定!$B$13="最小化",01_因子設定!$B$15-U3396,MIN(T3396-01_因子設定!$B$14,01_因子設定!$B$15-U3396))),-1E+030)</f>
        <v>0.277401852149502</v>
      </c>
      <c r="X3396" s="55" t="n">
        <f aca="false">IF(V3396,IF(01_因子設定!$B$13="最大化",Q3396,IF(01_因子設定!$B$13="最小化",-Q3396,-ABS(Q3396-01_因子設定!$B$16))),-1E+030)</f>
        <v>49.7729119318182</v>
      </c>
      <c r="Y3396" s="55" t="n">
        <f aca="false">W3396+ROW()*0.000000001</f>
        <v>0.277405248149502</v>
      </c>
      <c r="Z3396" s="55" t="n">
        <f aca="false">X3396+ROW()*0.000000001</f>
        <v>49.7729153278182</v>
      </c>
    </row>
    <row r="3397" customFormat="false" ht="15" hidden="false" customHeight="false" outlineLevel="0" collapsed="false">
      <c r="A3397" s="0" t="n">
        <v>11</v>
      </c>
      <c r="B3397" s="0" t="n">
        <v>12</v>
      </c>
      <c r="C3397" s="0" t="n">
        <v>9</v>
      </c>
      <c r="D3397" s="0" t="n">
        <f aca="false">-1+A3397*0.125</f>
        <v>0.375</v>
      </c>
      <c r="E3397" s="0" t="n">
        <f aca="false">-1+B3397*0.125</f>
        <v>0.5</v>
      </c>
      <c r="F3397" s="0" t="n">
        <f aca="false">-1+C3397*0.125</f>
        <v>0.125</v>
      </c>
      <c r="G3397" s="0" t="n">
        <f aca="false">1</f>
        <v>1</v>
      </c>
      <c r="H3397" s="0" t="n">
        <f aca="false">D3397</f>
        <v>0.375</v>
      </c>
      <c r="I3397" s="0" t="n">
        <f aca="false">E3397</f>
        <v>0.5</v>
      </c>
      <c r="J3397" s="0" t="n">
        <f aca="false">F3397</f>
        <v>0.125</v>
      </c>
      <c r="K3397" s="0" t="n">
        <f aca="false">D3397*E3397</f>
        <v>0.1875</v>
      </c>
      <c r="L3397" s="0" t="n">
        <f aca="false">D3397*F3397</f>
        <v>0.046875</v>
      </c>
      <c r="M3397" s="0" t="n">
        <f aca="false">E3397*F3397</f>
        <v>0.0625</v>
      </c>
      <c r="N3397" s="0" t="n">
        <f aca="false">D3397*D3397</f>
        <v>0.140625</v>
      </c>
      <c r="O3397" s="0" t="n">
        <f aca="false">E3397*E3397</f>
        <v>0.25</v>
      </c>
      <c r="P3397" s="0" t="n">
        <f aca="false">F3397*F3397</f>
        <v>0.015625</v>
      </c>
      <c r="Q3397" s="0" t="n">
        <f aca="false">SUMPRODUCT(G3397:P3397,_XtX!$B$71:$K$71)</f>
        <v>49.9481107954546</v>
      </c>
      <c r="R3397" s="0" t="n">
        <f aca="false">SUMPRODUCT(MMULT(G3397:P3397,_XtX!$B$58:$K$67),G3397:P3397)</f>
        <v>0.14578690962358</v>
      </c>
      <c r="S3397" s="0" t="n">
        <f aca="false">04_回帰ANOVA!$K$19*04_回帰ANOVA!$K$14*SQRT(1+R3397)</f>
        <v>0.995218783457917</v>
      </c>
      <c r="T3397" s="0" t="n">
        <f aca="false">Q3397-S3397</f>
        <v>48.9528920119966</v>
      </c>
      <c r="U3397" s="0" t="n">
        <f aca="false">Q3397+S3397</f>
        <v>50.9433295789125</v>
      </c>
      <c r="V3397" s="54" t="b">
        <f aca="false">AND(D3397&gt;=01_因子設定!$L$5-0.000000001,D3397&lt;=01_因子設定!$M$5+0.000000001,E3397&gt;=01_因子設定!$L$6-0.000000001,E3397&lt;=01_因子設定!$M$6+0.000000001,F3397&gt;=01_因子設定!$L$7-0.000000001,F3397&lt;=01_因子設定!$M$7+0.000000001,IF(01_因子設定!$B$20="Box-Behnken",D3397^2+E3397^2+F3397^2&lt;=2+0.000000001,TRUE()))</f>
        <v>1</v>
      </c>
      <c r="W3397" s="55" t="n">
        <f aca="false">IF(V3397,IF(01_因子設定!$B$13="最大化",T3397-01_因子設定!$B$14,IF(01_因子設定!$B$13="最小化",01_因子設定!$B$15-U3397,MIN(T3397-01_因子設定!$B$14,01_因子設定!$B$15-U3397))),-1E+030)</f>
        <v>0.452892011996639</v>
      </c>
      <c r="X3397" s="55" t="n">
        <f aca="false">IF(V3397,IF(01_因子設定!$B$13="最大化",Q3397,IF(01_因子設定!$B$13="最小化",-Q3397,-ABS(Q3397-01_因子設定!$B$16))),-1E+030)</f>
        <v>49.9481107954546</v>
      </c>
      <c r="Y3397" s="55" t="n">
        <f aca="false">W3397+ROW()*0.000000001</f>
        <v>0.452895408996639</v>
      </c>
      <c r="Z3397" s="55" t="n">
        <f aca="false">X3397+ROW()*0.000000001</f>
        <v>49.9481141924546</v>
      </c>
    </row>
    <row r="3398" customFormat="false" ht="15" hidden="false" customHeight="false" outlineLevel="0" collapsed="false">
      <c r="A3398" s="0" t="n">
        <v>11</v>
      </c>
      <c r="B3398" s="0" t="n">
        <v>12</v>
      </c>
      <c r="C3398" s="0" t="n">
        <v>10</v>
      </c>
      <c r="D3398" s="0" t="n">
        <f aca="false">-1+A3398*0.125</f>
        <v>0.375</v>
      </c>
      <c r="E3398" s="0" t="n">
        <f aca="false">-1+B3398*0.125</f>
        <v>0.5</v>
      </c>
      <c r="F3398" s="0" t="n">
        <f aca="false">-1+C3398*0.125</f>
        <v>0.25</v>
      </c>
      <c r="G3398" s="0" t="n">
        <f aca="false">1</f>
        <v>1</v>
      </c>
      <c r="H3398" s="0" t="n">
        <f aca="false">D3398</f>
        <v>0.375</v>
      </c>
      <c r="I3398" s="0" t="n">
        <f aca="false">E3398</f>
        <v>0.5</v>
      </c>
      <c r="J3398" s="0" t="n">
        <f aca="false">F3398</f>
        <v>0.25</v>
      </c>
      <c r="K3398" s="0" t="n">
        <f aca="false">D3398*E3398</f>
        <v>0.1875</v>
      </c>
      <c r="L3398" s="0" t="n">
        <f aca="false">D3398*F3398</f>
        <v>0.09375</v>
      </c>
      <c r="M3398" s="0" t="n">
        <f aca="false">E3398*F3398</f>
        <v>0.125</v>
      </c>
      <c r="N3398" s="0" t="n">
        <f aca="false">D3398*D3398</f>
        <v>0.140625</v>
      </c>
      <c r="O3398" s="0" t="n">
        <f aca="false">E3398*E3398</f>
        <v>0.25</v>
      </c>
      <c r="P3398" s="0" t="n">
        <f aca="false">F3398*F3398</f>
        <v>0.0625</v>
      </c>
      <c r="Q3398" s="0" t="n">
        <f aca="false">SUMPRODUCT(G3398:P3398,_XtX!$B$71:$K$71)</f>
        <v>50.0865198863637</v>
      </c>
      <c r="R3398" s="0" t="n">
        <f aca="false">SUMPRODUCT(MMULT(G3398:P3398,_XtX!$B$58:$K$67),G3398:P3398)</f>
        <v>0.144839754971591</v>
      </c>
      <c r="S3398" s="0" t="n">
        <f aca="false">04_回帰ANOVA!$K$19*04_回帰ANOVA!$K$14*SQRT(1+R3398)</f>
        <v>0.994807353995542</v>
      </c>
      <c r="T3398" s="0" t="n">
        <f aca="false">Q3398-S3398</f>
        <v>49.0917125323681</v>
      </c>
      <c r="U3398" s="0" t="n">
        <f aca="false">Q3398+S3398</f>
        <v>51.0813272403592</v>
      </c>
      <c r="V3398" s="54" t="b">
        <f aca="false">AND(D3398&gt;=01_因子設定!$L$5-0.000000001,D3398&lt;=01_因子設定!$M$5+0.000000001,E3398&gt;=01_因子設定!$L$6-0.000000001,E3398&lt;=01_因子設定!$M$6+0.000000001,F3398&gt;=01_因子設定!$L$7-0.000000001,F3398&lt;=01_因子設定!$M$7+0.000000001,IF(01_因子設定!$B$20="Box-Behnken",D3398^2+E3398^2+F3398^2&lt;=2+0.000000001,TRUE()))</f>
        <v>1</v>
      </c>
      <c r="W3398" s="55" t="n">
        <f aca="false">IF(V3398,IF(01_因子設定!$B$13="最大化",T3398-01_因子設定!$B$14,IF(01_因子設定!$B$13="最小化",01_因子設定!$B$15-U3398,MIN(T3398-01_因子設定!$B$14,01_因子設定!$B$15-U3398))),-1E+030)</f>
        <v>0.591712532368106</v>
      </c>
      <c r="X3398" s="55" t="n">
        <f aca="false">IF(V3398,IF(01_因子設定!$B$13="最大化",Q3398,IF(01_因子設定!$B$13="最小化",-Q3398,-ABS(Q3398-01_因子設定!$B$16))),-1E+030)</f>
        <v>50.0865198863637</v>
      </c>
      <c r="Y3398" s="55" t="n">
        <f aca="false">W3398+ROW()*0.000000001</f>
        <v>0.591715930368106</v>
      </c>
      <c r="Z3398" s="55" t="n">
        <f aca="false">X3398+ROW()*0.000000001</f>
        <v>50.0865232843636</v>
      </c>
    </row>
    <row r="3399" customFormat="false" ht="15" hidden="false" customHeight="false" outlineLevel="0" collapsed="false">
      <c r="A3399" s="0" t="n">
        <v>11</v>
      </c>
      <c r="B3399" s="0" t="n">
        <v>12</v>
      </c>
      <c r="C3399" s="0" t="n">
        <v>11</v>
      </c>
      <c r="D3399" s="0" t="n">
        <f aca="false">-1+A3399*0.125</f>
        <v>0.375</v>
      </c>
      <c r="E3399" s="0" t="n">
        <f aca="false">-1+B3399*0.125</f>
        <v>0.5</v>
      </c>
      <c r="F3399" s="0" t="n">
        <f aca="false">-1+C3399*0.125</f>
        <v>0.375</v>
      </c>
      <c r="G3399" s="0" t="n">
        <f aca="false">1</f>
        <v>1</v>
      </c>
      <c r="H3399" s="0" t="n">
        <f aca="false">D3399</f>
        <v>0.375</v>
      </c>
      <c r="I3399" s="0" t="n">
        <f aca="false">E3399</f>
        <v>0.5</v>
      </c>
      <c r="J3399" s="0" t="n">
        <f aca="false">F3399</f>
        <v>0.375</v>
      </c>
      <c r="K3399" s="0" t="n">
        <f aca="false">D3399*E3399</f>
        <v>0.1875</v>
      </c>
      <c r="L3399" s="0" t="n">
        <f aca="false">D3399*F3399</f>
        <v>0.140625</v>
      </c>
      <c r="M3399" s="0" t="n">
        <f aca="false">E3399*F3399</f>
        <v>0.1875</v>
      </c>
      <c r="N3399" s="0" t="n">
        <f aca="false">D3399*D3399</f>
        <v>0.140625</v>
      </c>
      <c r="O3399" s="0" t="n">
        <f aca="false">E3399*E3399</f>
        <v>0.25</v>
      </c>
      <c r="P3399" s="0" t="n">
        <f aca="false">F3399*F3399</f>
        <v>0.140625</v>
      </c>
      <c r="Q3399" s="0" t="n">
        <f aca="false">SUMPRODUCT(G3399:P3399,_XtX!$B$71:$K$71)</f>
        <v>50.1881392045455</v>
      </c>
      <c r="R3399" s="0" t="n">
        <f aca="false">SUMPRODUCT(MMULT(G3399:P3399,_XtX!$B$58:$K$67),G3399:P3399)</f>
        <v>0.14681230024858</v>
      </c>
      <c r="S3399" s="0" t="n">
        <f aca="false">04_回帰ANOVA!$K$19*04_回帰ANOVA!$K$14*SQRT(1+R3399)</f>
        <v>0.995664005771711</v>
      </c>
      <c r="T3399" s="0" t="n">
        <f aca="false">Q3399-S3399</f>
        <v>49.1924751987738</v>
      </c>
      <c r="U3399" s="0" t="n">
        <f aca="false">Q3399+S3399</f>
        <v>51.1838032103172</v>
      </c>
      <c r="V3399" s="54" t="b">
        <f aca="false">AND(D3399&gt;=01_因子設定!$L$5-0.000000001,D3399&lt;=01_因子設定!$M$5+0.000000001,E3399&gt;=01_因子設定!$L$6-0.000000001,E3399&lt;=01_因子設定!$M$6+0.000000001,F3399&gt;=01_因子設定!$L$7-0.000000001,F3399&lt;=01_因子設定!$M$7+0.000000001,IF(01_因子設定!$B$20="Box-Behnken",D3399^2+E3399^2+F3399^2&lt;=2+0.000000001,TRUE()))</f>
        <v>1</v>
      </c>
      <c r="W3399" s="55" t="n">
        <f aca="false">IF(V3399,IF(01_因子設定!$B$13="最大化",T3399-01_因子設定!$B$14,IF(01_因子設定!$B$13="最小化",01_因子設定!$B$15-U3399,MIN(T3399-01_因子設定!$B$14,01_因子設定!$B$15-U3399))),-1E+030)</f>
        <v>0.692475198773757</v>
      </c>
      <c r="X3399" s="55" t="n">
        <f aca="false">IF(V3399,IF(01_因子設定!$B$13="最大化",Q3399,IF(01_因子設定!$B$13="最小化",-Q3399,-ABS(Q3399-01_因子設定!$B$16))),-1E+030)</f>
        <v>50.1881392045455</v>
      </c>
      <c r="Y3399" s="55" t="n">
        <f aca="false">W3399+ROW()*0.000000001</f>
        <v>0.692478597773757</v>
      </c>
      <c r="Z3399" s="55" t="n">
        <f aca="false">X3399+ROW()*0.000000001</f>
        <v>50.1881426035455</v>
      </c>
    </row>
    <row r="3400" customFormat="false" ht="15" hidden="false" customHeight="false" outlineLevel="0" collapsed="false">
      <c r="A3400" s="0" t="n">
        <v>11</v>
      </c>
      <c r="B3400" s="0" t="n">
        <v>12</v>
      </c>
      <c r="C3400" s="0" t="n">
        <v>12</v>
      </c>
      <c r="D3400" s="0" t="n">
        <f aca="false">-1+A3400*0.125</f>
        <v>0.375</v>
      </c>
      <c r="E3400" s="0" t="n">
        <f aca="false">-1+B3400*0.125</f>
        <v>0.5</v>
      </c>
      <c r="F3400" s="0" t="n">
        <f aca="false">-1+C3400*0.125</f>
        <v>0.5</v>
      </c>
      <c r="G3400" s="0" t="n">
        <f aca="false">1</f>
        <v>1</v>
      </c>
      <c r="H3400" s="0" t="n">
        <f aca="false">D3400</f>
        <v>0.375</v>
      </c>
      <c r="I3400" s="0" t="n">
        <f aca="false">E3400</f>
        <v>0.5</v>
      </c>
      <c r="J3400" s="0" t="n">
        <f aca="false">F3400</f>
        <v>0.5</v>
      </c>
      <c r="K3400" s="0" t="n">
        <f aca="false">D3400*E3400</f>
        <v>0.1875</v>
      </c>
      <c r="L3400" s="0" t="n">
        <f aca="false">D3400*F3400</f>
        <v>0.1875</v>
      </c>
      <c r="M3400" s="0" t="n">
        <f aca="false">E3400*F3400</f>
        <v>0.25</v>
      </c>
      <c r="N3400" s="0" t="n">
        <f aca="false">D3400*D3400</f>
        <v>0.140625</v>
      </c>
      <c r="O3400" s="0" t="n">
        <f aca="false">E3400*E3400</f>
        <v>0.25</v>
      </c>
      <c r="P3400" s="0" t="n">
        <f aca="false">F3400*F3400</f>
        <v>0.25</v>
      </c>
      <c r="Q3400" s="0" t="n">
        <f aca="false">SUMPRODUCT(G3400:P3400,_XtX!$B$71:$K$71)</f>
        <v>50.25296875</v>
      </c>
      <c r="R3400" s="0" t="n">
        <f aca="false">SUMPRODUCT(MMULT(G3400:P3400,_XtX!$B$58:$K$67),G3400:P3400)</f>
        <v>0.15703125</v>
      </c>
      <c r="S3400" s="0" t="n">
        <f aca="false">04_回帰ANOVA!$K$19*04_回帰ANOVA!$K$14*SQRT(1+R3400)</f>
        <v>1.00009022049162</v>
      </c>
      <c r="T3400" s="0" t="n">
        <f aca="false">Q3400-S3400</f>
        <v>49.2528785295084</v>
      </c>
      <c r="U3400" s="0" t="n">
        <f aca="false">Q3400+S3400</f>
        <v>51.2530589704916</v>
      </c>
      <c r="V3400" s="54" t="b">
        <f aca="false">AND(D3400&gt;=01_因子設定!$L$5-0.000000001,D3400&lt;=01_因子設定!$M$5+0.000000001,E3400&gt;=01_因子設定!$L$6-0.000000001,E3400&lt;=01_因子設定!$M$6+0.000000001,F3400&gt;=01_因子設定!$L$7-0.000000001,F3400&lt;=01_因子設定!$M$7+0.000000001,IF(01_因子設定!$B$20="Box-Behnken",D3400^2+E3400^2+F3400^2&lt;=2+0.000000001,TRUE()))</f>
        <v>1</v>
      </c>
      <c r="W3400" s="55" t="n">
        <f aca="false">IF(V3400,IF(01_因子設定!$B$13="最大化",T3400-01_因子設定!$B$14,IF(01_因子設定!$B$13="最小化",01_因子設定!$B$15-U3400,MIN(T3400-01_因子設定!$B$14,01_因子設定!$B$15-U3400))),-1E+030)</f>
        <v>0.752878529508394</v>
      </c>
      <c r="X3400" s="55" t="n">
        <f aca="false">IF(V3400,IF(01_因子設定!$B$13="最大化",Q3400,IF(01_因子設定!$B$13="最小化",-Q3400,-ABS(Q3400-01_因子設定!$B$16))),-1E+030)</f>
        <v>50.25296875</v>
      </c>
      <c r="Y3400" s="55" t="n">
        <f aca="false">W3400+ROW()*0.000000001</f>
        <v>0.752881929508394</v>
      </c>
      <c r="Z3400" s="55" t="n">
        <f aca="false">X3400+ROW()*0.000000001</f>
        <v>50.25297215</v>
      </c>
    </row>
    <row r="3401" customFormat="false" ht="15" hidden="false" customHeight="false" outlineLevel="0" collapsed="false">
      <c r="A3401" s="0" t="n">
        <v>11</v>
      </c>
      <c r="B3401" s="0" t="n">
        <v>12</v>
      </c>
      <c r="C3401" s="0" t="n">
        <v>13</v>
      </c>
      <c r="D3401" s="0" t="n">
        <f aca="false">-1+A3401*0.125</f>
        <v>0.375</v>
      </c>
      <c r="E3401" s="0" t="n">
        <f aca="false">-1+B3401*0.125</f>
        <v>0.5</v>
      </c>
      <c r="F3401" s="0" t="n">
        <f aca="false">-1+C3401*0.125</f>
        <v>0.625</v>
      </c>
      <c r="G3401" s="0" t="n">
        <f aca="false">1</f>
        <v>1</v>
      </c>
      <c r="H3401" s="0" t="n">
        <f aca="false">D3401</f>
        <v>0.375</v>
      </c>
      <c r="I3401" s="0" t="n">
        <f aca="false">E3401</f>
        <v>0.5</v>
      </c>
      <c r="J3401" s="0" t="n">
        <f aca="false">F3401</f>
        <v>0.625</v>
      </c>
      <c r="K3401" s="0" t="n">
        <f aca="false">D3401*E3401</f>
        <v>0.1875</v>
      </c>
      <c r="L3401" s="0" t="n">
        <f aca="false">D3401*F3401</f>
        <v>0.234375</v>
      </c>
      <c r="M3401" s="0" t="n">
        <f aca="false">E3401*F3401</f>
        <v>0.3125</v>
      </c>
      <c r="N3401" s="0" t="n">
        <f aca="false">D3401*D3401</f>
        <v>0.140625</v>
      </c>
      <c r="O3401" s="0" t="n">
        <f aca="false">E3401*E3401</f>
        <v>0.25</v>
      </c>
      <c r="P3401" s="0" t="n">
        <f aca="false">F3401*F3401</f>
        <v>0.390625</v>
      </c>
      <c r="Q3401" s="0" t="n">
        <f aca="false">SUMPRODUCT(G3401:P3401,_XtX!$B$71:$K$71)</f>
        <v>50.2810085227273</v>
      </c>
      <c r="R3401" s="0" t="n">
        <f aca="false">SUMPRODUCT(MMULT(G3401:P3401,_XtX!$B$58:$K$67),G3401:P3401)</f>
        <v>0.182953990589489</v>
      </c>
      <c r="S3401" s="0" t="n">
        <f aca="false">04_回帰ANOVA!$K$19*04_回帰ANOVA!$K$14*SQRT(1+R3401)</f>
        <v>1.01123143807044</v>
      </c>
      <c r="T3401" s="0" t="n">
        <f aca="false">Q3401-S3401</f>
        <v>49.2697770846569</v>
      </c>
      <c r="U3401" s="0" t="n">
        <f aca="false">Q3401+S3401</f>
        <v>51.2922399607977</v>
      </c>
      <c r="V3401" s="54" t="b">
        <f aca="false">AND(D3401&gt;=01_因子設定!$L$5-0.000000001,D3401&lt;=01_因子設定!$M$5+0.000000001,E3401&gt;=01_因子設定!$L$6-0.000000001,E3401&lt;=01_因子設定!$M$6+0.000000001,F3401&gt;=01_因子設定!$L$7-0.000000001,F3401&lt;=01_因子設定!$M$7+0.000000001,IF(01_因子設定!$B$20="Box-Behnken",D3401^2+E3401^2+F3401^2&lt;=2+0.000000001,TRUE()))</f>
        <v>1</v>
      </c>
      <c r="W3401" s="55" t="n">
        <f aca="false">IF(V3401,IF(01_因子設定!$B$13="最大化",T3401-01_因子設定!$B$14,IF(01_因子設定!$B$13="最小化",01_因子設定!$B$15-U3401,MIN(T3401-01_因子設定!$B$14,01_因子設定!$B$15-U3401))),-1E+030)</f>
        <v>0.769777084656852</v>
      </c>
      <c r="X3401" s="55" t="n">
        <f aca="false">IF(V3401,IF(01_因子設定!$B$13="最大化",Q3401,IF(01_因子設定!$B$13="最小化",-Q3401,-ABS(Q3401-01_因子設定!$B$16))),-1E+030)</f>
        <v>50.2810085227273</v>
      </c>
      <c r="Y3401" s="55" t="n">
        <f aca="false">W3401+ROW()*0.000000001</f>
        <v>0.769780485656852</v>
      </c>
      <c r="Z3401" s="55" t="n">
        <f aca="false">X3401+ROW()*0.000000001</f>
        <v>50.2810119237273</v>
      </c>
    </row>
    <row r="3402" customFormat="false" ht="15" hidden="false" customHeight="false" outlineLevel="0" collapsed="false">
      <c r="A3402" s="0" t="n">
        <v>11</v>
      </c>
      <c r="B3402" s="0" t="n">
        <v>12</v>
      </c>
      <c r="C3402" s="0" t="n">
        <v>14</v>
      </c>
      <c r="D3402" s="0" t="n">
        <f aca="false">-1+A3402*0.125</f>
        <v>0.375</v>
      </c>
      <c r="E3402" s="0" t="n">
        <f aca="false">-1+B3402*0.125</f>
        <v>0.5</v>
      </c>
      <c r="F3402" s="0" t="n">
        <f aca="false">-1+C3402*0.125</f>
        <v>0.75</v>
      </c>
      <c r="G3402" s="0" t="n">
        <f aca="false">1</f>
        <v>1</v>
      </c>
      <c r="H3402" s="0" t="n">
        <f aca="false">D3402</f>
        <v>0.375</v>
      </c>
      <c r="I3402" s="0" t="n">
        <f aca="false">E3402</f>
        <v>0.5</v>
      </c>
      <c r="J3402" s="0" t="n">
        <f aca="false">F3402</f>
        <v>0.75</v>
      </c>
      <c r="K3402" s="0" t="n">
        <f aca="false">D3402*E3402</f>
        <v>0.1875</v>
      </c>
      <c r="L3402" s="0" t="n">
        <f aca="false">D3402*F3402</f>
        <v>0.28125</v>
      </c>
      <c r="M3402" s="0" t="n">
        <f aca="false">E3402*F3402</f>
        <v>0.375</v>
      </c>
      <c r="N3402" s="0" t="n">
        <f aca="false">D3402*D3402</f>
        <v>0.140625</v>
      </c>
      <c r="O3402" s="0" t="n">
        <f aca="false">E3402*E3402</f>
        <v>0.25</v>
      </c>
      <c r="P3402" s="0" t="n">
        <f aca="false">F3402*F3402</f>
        <v>0.5625</v>
      </c>
      <c r="Q3402" s="0" t="n">
        <f aca="false">SUMPRODUCT(G3402:P3402,_XtX!$B$71:$K$71)</f>
        <v>50.2722585227273</v>
      </c>
      <c r="R3402" s="0" t="n">
        <f aca="false">SUMPRODUCT(MMULT(G3402:P3402,_XtX!$B$58:$K$67),G3402:P3402)</f>
        <v>0.234168590198864</v>
      </c>
      <c r="S3402" s="0" t="n">
        <f aca="false">04_回帰ANOVA!$K$19*04_回帰ANOVA!$K$14*SQRT(1+R3402)</f>
        <v>1.03288954322488</v>
      </c>
      <c r="T3402" s="0" t="n">
        <f aca="false">Q3402-S3402</f>
        <v>49.2393689795024</v>
      </c>
      <c r="U3402" s="0" t="n">
        <f aca="false">Q3402+S3402</f>
        <v>51.3051480659522</v>
      </c>
      <c r="V3402" s="54" t="b">
        <f aca="false">AND(D3402&gt;=01_因子設定!$L$5-0.000000001,D3402&lt;=01_因子設定!$M$5+0.000000001,E3402&gt;=01_因子設定!$L$6-0.000000001,E3402&lt;=01_因子設定!$M$6+0.000000001,F3402&gt;=01_因子設定!$L$7-0.000000001,F3402&lt;=01_因子設定!$M$7+0.000000001,IF(01_因子設定!$B$20="Box-Behnken",D3402^2+E3402^2+F3402^2&lt;=2+0.000000001,TRUE()))</f>
        <v>1</v>
      </c>
      <c r="W3402" s="55" t="n">
        <f aca="false">IF(V3402,IF(01_因子設定!$B$13="最大化",T3402-01_因子設定!$B$14,IF(01_因子設定!$B$13="最小化",01_因子設定!$B$15-U3402,MIN(T3402-01_因子設定!$B$14,01_因子設定!$B$15-U3402))),-1E+030)</f>
        <v>0.739368979502416</v>
      </c>
      <c r="X3402" s="55" t="n">
        <f aca="false">IF(V3402,IF(01_因子設定!$B$13="最大化",Q3402,IF(01_因子設定!$B$13="最小化",-Q3402,-ABS(Q3402-01_因子設定!$B$16))),-1E+030)</f>
        <v>50.2722585227273</v>
      </c>
      <c r="Y3402" s="55" t="n">
        <f aca="false">W3402+ROW()*0.000000001</f>
        <v>0.739372381502416</v>
      </c>
      <c r="Z3402" s="55" t="n">
        <f aca="false">X3402+ROW()*0.000000001</f>
        <v>50.2722619247273</v>
      </c>
    </row>
    <row r="3403" customFormat="false" ht="15" hidden="false" customHeight="false" outlineLevel="0" collapsed="false">
      <c r="A3403" s="0" t="n">
        <v>11</v>
      </c>
      <c r="B3403" s="0" t="n">
        <v>12</v>
      </c>
      <c r="C3403" s="0" t="n">
        <v>15</v>
      </c>
      <c r="D3403" s="0" t="n">
        <f aca="false">-1+A3403*0.125</f>
        <v>0.375</v>
      </c>
      <c r="E3403" s="0" t="n">
        <f aca="false">-1+B3403*0.125</f>
        <v>0.5</v>
      </c>
      <c r="F3403" s="0" t="n">
        <f aca="false">-1+C3403*0.125</f>
        <v>0.875</v>
      </c>
      <c r="G3403" s="0" t="n">
        <f aca="false">1</f>
        <v>1</v>
      </c>
      <c r="H3403" s="0" t="n">
        <f aca="false">D3403</f>
        <v>0.375</v>
      </c>
      <c r="I3403" s="0" t="n">
        <f aca="false">E3403</f>
        <v>0.5</v>
      </c>
      <c r="J3403" s="0" t="n">
        <f aca="false">F3403</f>
        <v>0.875</v>
      </c>
      <c r="K3403" s="0" t="n">
        <f aca="false">D3403*E3403</f>
        <v>0.1875</v>
      </c>
      <c r="L3403" s="0" t="n">
        <f aca="false">D3403*F3403</f>
        <v>0.328125</v>
      </c>
      <c r="M3403" s="0" t="n">
        <f aca="false">E3403*F3403</f>
        <v>0.4375</v>
      </c>
      <c r="N3403" s="0" t="n">
        <f aca="false">D3403*D3403</f>
        <v>0.140625</v>
      </c>
      <c r="O3403" s="0" t="n">
        <f aca="false">E3403*E3403</f>
        <v>0.25</v>
      </c>
      <c r="P3403" s="0" t="n">
        <f aca="false">F3403*F3403</f>
        <v>0.765625</v>
      </c>
      <c r="Q3403" s="0" t="n">
        <f aca="false">SUMPRODUCT(G3403:P3403,_XtX!$B$71:$K$71)</f>
        <v>50.22671875</v>
      </c>
      <c r="R3403" s="0" t="n">
        <f aca="false">SUMPRODUCT(MMULT(G3403:P3403,_XtX!$B$58:$K$67),G3403:P3403)</f>
        <v>0.322393798828125</v>
      </c>
      <c r="S3403" s="0" t="n">
        <f aca="false">04_回帰ANOVA!$K$19*04_回帰ANOVA!$K$14*SQRT(1+R3403)</f>
        <v>1.06917067390712</v>
      </c>
      <c r="T3403" s="0" t="n">
        <f aca="false">Q3403-S3403</f>
        <v>49.1575480760929</v>
      </c>
      <c r="U3403" s="0" t="n">
        <f aca="false">Q3403+S3403</f>
        <v>51.2958894239071</v>
      </c>
      <c r="V3403" s="54" t="b">
        <f aca="false">AND(D3403&gt;=01_因子設定!$L$5-0.000000001,D3403&lt;=01_因子設定!$M$5+0.000000001,E3403&gt;=01_因子設定!$L$6-0.000000001,E3403&lt;=01_因子設定!$M$6+0.000000001,F3403&gt;=01_因子設定!$L$7-0.000000001,F3403&lt;=01_因子設定!$M$7+0.000000001,IF(01_因子設定!$B$20="Box-Behnken",D3403^2+E3403^2+F3403^2&lt;=2+0.000000001,TRUE()))</f>
        <v>1</v>
      </c>
      <c r="W3403" s="55" t="n">
        <f aca="false">IF(V3403,IF(01_因子設定!$B$13="最大化",T3403-01_因子設定!$B$14,IF(01_因子設定!$B$13="最小化",01_因子設定!$B$15-U3403,MIN(T3403-01_因子設定!$B$14,01_因子設定!$B$15-U3403))),-1E+030)</f>
        <v>0.657548076092908</v>
      </c>
      <c r="X3403" s="55" t="n">
        <f aca="false">IF(V3403,IF(01_因子設定!$B$13="最大化",Q3403,IF(01_因子設定!$B$13="最小化",-Q3403,-ABS(Q3403-01_因子設定!$B$16))),-1E+030)</f>
        <v>50.22671875</v>
      </c>
      <c r="Y3403" s="55" t="n">
        <f aca="false">W3403+ROW()*0.000000001</f>
        <v>0.657551479092908</v>
      </c>
      <c r="Z3403" s="55" t="n">
        <f aca="false">X3403+ROW()*0.000000001</f>
        <v>50.226722153</v>
      </c>
    </row>
    <row r="3404" customFormat="false" ht="15" hidden="false" customHeight="false" outlineLevel="0" collapsed="false">
      <c r="A3404" s="0" t="n">
        <v>11</v>
      </c>
      <c r="B3404" s="0" t="n">
        <v>12</v>
      </c>
      <c r="C3404" s="0" t="n">
        <v>16</v>
      </c>
      <c r="D3404" s="0" t="n">
        <f aca="false">-1+A3404*0.125</f>
        <v>0.375</v>
      </c>
      <c r="E3404" s="0" t="n">
        <f aca="false">-1+B3404*0.125</f>
        <v>0.5</v>
      </c>
      <c r="F3404" s="0" t="n">
        <f aca="false">-1+C3404*0.125</f>
        <v>1</v>
      </c>
      <c r="G3404" s="0" t="n">
        <f aca="false">1</f>
        <v>1</v>
      </c>
      <c r="H3404" s="0" t="n">
        <f aca="false">D3404</f>
        <v>0.375</v>
      </c>
      <c r="I3404" s="0" t="n">
        <f aca="false">E3404</f>
        <v>0.5</v>
      </c>
      <c r="J3404" s="0" t="n">
        <f aca="false">F3404</f>
        <v>1</v>
      </c>
      <c r="K3404" s="0" t="n">
        <f aca="false">D3404*E3404</f>
        <v>0.1875</v>
      </c>
      <c r="L3404" s="0" t="n">
        <f aca="false">D3404*F3404</f>
        <v>0.375</v>
      </c>
      <c r="M3404" s="0" t="n">
        <f aca="false">E3404*F3404</f>
        <v>0.5</v>
      </c>
      <c r="N3404" s="0" t="n">
        <f aca="false">D3404*D3404</f>
        <v>0.140625</v>
      </c>
      <c r="O3404" s="0" t="n">
        <f aca="false">E3404*E3404</f>
        <v>0.25</v>
      </c>
      <c r="P3404" s="0" t="n">
        <f aca="false">F3404*F3404</f>
        <v>1</v>
      </c>
      <c r="Q3404" s="0" t="n">
        <f aca="false">SUMPRODUCT(G3404:P3404,_XtX!$B$71:$K$71)</f>
        <v>50.1443892045455</v>
      </c>
      <c r="R3404" s="0" t="n">
        <f aca="false">SUMPRODUCT(MMULT(G3404:P3404,_XtX!$B$58:$K$67),G3404:P3404)</f>
        <v>0.461479048295455</v>
      </c>
      <c r="S3404" s="0" t="n">
        <f aca="false">04_回帰ANOVA!$K$19*04_回帰ANOVA!$K$14*SQRT(1+R3404)</f>
        <v>1.12399125658369</v>
      </c>
      <c r="T3404" s="0" t="n">
        <f aca="false">Q3404-S3404</f>
        <v>49.0203979479618</v>
      </c>
      <c r="U3404" s="0" t="n">
        <f aca="false">Q3404+S3404</f>
        <v>51.2683804611292</v>
      </c>
      <c r="V3404" s="54" t="b">
        <f aca="false">AND(D3404&gt;=01_因子設定!$L$5-0.000000001,D3404&lt;=01_因子設定!$M$5+0.000000001,E3404&gt;=01_因子設定!$L$6-0.000000001,E3404&lt;=01_因子設定!$M$6+0.000000001,F3404&gt;=01_因子設定!$L$7-0.000000001,F3404&lt;=01_因子設定!$M$7+0.000000001,IF(01_因子設定!$B$20="Box-Behnken",D3404^2+E3404^2+F3404^2&lt;=2+0.000000001,TRUE()))</f>
        <v>1</v>
      </c>
      <c r="W3404" s="55" t="n">
        <f aca="false">IF(V3404,IF(01_因子設定!$B$13="最大化",T3404-01_因子設定!$B$14,IF(01_因子設定!$B$13="最小化",01_因子設定!$B$15-U3404,MIN(T3404-01_因子設定!$B$14,01_因子設定!$B$15-U3404))),-1E+030)</f>
        <v>0.520397947961797</v>
      </c>
      <c r="X3404" s="55" t="n">
        <f aca="false">IF(V3404,IF(01_因子設定!$B$13="最大化",Q3404,IF(01_因子設定!$B$13="最小化",-Q3404,-ABS(Q3404-01_因子設定!$B$16))),-1E+030)</f>
        <v>50.1443892045455</v>
      </c>
      <c r="Y3404" s="55" t="n">
        <f aca="false">W3404+ROW()*0.000000001</f>
        <v>0.520401351961797</v>
      </c>
      <c r="Z3404" s="55" t="n">
        <f aca="false">X3404+ROW()*0.000000001</f>
        <v>50.1443926085455</v>
      </c>
    </row>
    <row r="3405" customFormat="false" ht="15" hidden="false" customHeight="false" outlineLevel="0" collapsed="false">
      <c r="A3405" s="0" t="n">
        <v>11</v>
      </c>
      <c r="B3405" s="0" t="n">
        <v>13</v>
      </c>
      <c r="C3405" s="0" t="n">
        <v>0</v>
      </c>
      <c r="D3405" s="0" t="n">
        <f aca="false">-1+A3405*0.125</f>
        <v>0.375</v>
      </c>
      <c r="E3405" s="0" t="n">
        <f aca="false">-1+B3405*0.125</f>
        <v>0.625</v>
      </c>
      <c r="F3405" s="0" t="n">
        <f aca="false">-1+C3405*0.125</f>
        <v>-1</v>
      </c>
      <c r="G3405" s="0" t="n">
        <f aca="false">1</f>
        <v>1</v>
      </c>
      <c r="H3405" s="0" t="n">
        <f aca="false">D3405</f>
        <v>0.375</v>
      </c>
      <c r="I3405" s="0" t="n">
        <f aca="false">E3405</f>
        <v>0.625</v>
      </c>
      <c r="J3405" s="0" t="n">
        <f aca="false">F3405</f>
        <v>-1</v>
      </c>
      <c r="K3405" s="0" t="n">
        <f aca="false">D3405*E3405</f>
        <v>0.234375</v>
      </c>
      <c r="L3405" s="0" t="n">
        <f aca="false">D3405*F3405</f>
        <v>-0.375</v>
      </c>
      <c r="M3405" s="0" t="n">
        <f aca="false">E3405*F3405</f>
        <v>-0.625</v>
      </c>
      <c r="N3405" s="0" t="n">
        <f aca="false">D3405*D3405</f>
        <v>0.140625</v>
      </c>
      <c r="O3405" s="0" t="n">
        <f aca="false">E3405*E3405</f>
        <v>0.390625</v>
      </c>
      <c r="P3405" s="0" t="n">
        <f aca="false">F3405*F3405</f>
        <v>1</v>
      </c>
      <c r="Q3405" s="0" t="n">
        <f aca="false">SUMPRODUCT(G3405:P3405,_XtX!$B$71:$K$71)</f>
        <v>47.0217258522728</v>
      </c>
      <c r="R3405" s="0" t="n">
        <f aca="false">SUMPRODUCT(MMULT(G3405:P3405,_XtX!$B$58:$K$67),G3405:P3405)</f>
        <v>0.471821178089489</v>
      </c>
      <c r="S3405" s="0" t="n">
        <f aca="false">04_回帰ANOVA!$K$19*04_回帰ANOVA!$K$14*SQRT(1+R3405)</f>
        <v>1.12796119746125</v>
      </c>
      <c r="T3405" s="0" t="n">
        <f aca="false">Q3405-S3405</f>
        <v>45.8937646548115</v>
      </c>
      <c r="U3405" s="0" t="n">
        <f aca="false">Q3405+S3405</f>
        <v>48.149687049734</v>
      </c>
      <c r="V3405" s="54" t="b">
        <f aca="false">AND(D3405&gt;=01_因子設定!$L$5-0.000000001,D3405&lt;=01_因子設定!$M$5+0.000000001,E3405&gt;=01_因子設定!$L$6-0.000000001,E3405&lt;=01_因子設定!$M$6+0.000000001,F3405&gt;=01_因子設定!$L$7-0.000000001,F3405&lt;=01_因子設定!$M$7+0.000000001,IF(01_因子設定!$B$20="Box-Behnken",D3405^2+E3405^2+F3405^2&lt;=2+0.000000001,TRUE()))</f>
        <v>1</v>
      </c>
      <c r="W3405" s="55" t="n">
        <f aca="false">IF(V3405,IF(01_因子設定!$B$13="最大化",T3405-01_因子設定!$B$14,IF(01_因子設定!$B$13="最小化",01_因子設定!$B$15-U3405,MIN(T3405-01_因子設定!$B$14,01_因子設定!$B$15-U3405))),-1E+030)</f>
        <v>-2.6062353451885</v>
      </c>
      <c r="X3405" s="55" t="n">
        <f aca="false">IF(V3405,IF(01_因子設定!$B$13="最大化",Q3405,IF(01_因子設定!$B$13="最小化",-Q3405,-ABS(Q3405-01_因子設定!$B$16))),-1E+030)</f>
        <v>47.0217258522728</v>
      </c>
      <c r="Y3405" s="55" t="n">
        <f aca="false">W3405+ROW()*0.000000001</f>
        <v>-2.6062319401885</v>
      </c>
      <c r="Z3405" s="55" t="n">
        <f aca="false">X3405+ROW()*0.000000001</f>
        <v>47.0217292572728</v>
      </c>
    </row>
    <row r="3406" customFormat="false" ht="15" hidden="false" customHeight="false" outlineLevel="0" collapsed="false">
      <c r="A3406" s="0" t="n">
        <v>11</v>
      </c>
      <c r="B3406" s="0" t="n">
        <v>13</v>
      </c>
      <c r="C3406" s="0" t="n">
        <v>1</v>
      </c>
      <c r="D3406" s="0" t="n">
        <f aca="false">-1+A3406*0.125</f>
        <v>0.375</v>
      </c>
      <c r="E3406" s="0" t="n">
        <f aca="false">-1+B3406*0.125</f>
        <v>0.625</v>
      </c>
      <c r="F3406" s="0" t="n">
        <f aca="false">-1+C3406*0.125</f>
        <v>-0.875</v>
      </c>
      <c r="G3406" s="0" t="n">
        <f aca="false">1</f>
        <v>1</v>
      </c>
      <c r="H3406" s="0" t="n">
        <f aca="false">D3406</f>
        <v>0.375</v>
      </c>
      <c r="I3406" s="0" t="n">
        <f aca="false">E3406</f>
        <v>0.625</v>
      </c>
      <c r="J3406" s="0" t="n">
        <f aca="false">F3406</f>
        <v>-0.875</v>
      </c>
      <c r="K3406" s="0" t="n">
        <f aca="false">D3406*E3406</f>
        <v>0.234375</v>
      </c>
      <c r="L3406" s="0" t="n">
        <f aca="false">D3406*F3406</f>
        <v>-0.328125</v>
      </c>
      <c r="M3406" s="0" t="n">
        <f aca="false">E3406*F3406</f>
        <v>-0.546875</v>
      </c>
      <c r="N3406" s="0" t="n">
        <f aca="false">D3406*D3406</f>
        <v>0.140625</v>
      </c>
      <c r="O3406" s="0" t="n">
        <f aca="false">E3406*E3406</f>
        <v>0.390625</v>
      </c>
      <c r="P3406" s="0" t="n">
        <f aca="false">F3406*F3406</f>
        <v>0.765625</v>
      </c>
      <c r="Q3406" s="0" t="n">
        <f aca="false">SUMPRODUCT(G3406:P3406,_XtX!$B$71:$K$71)</f>
        <v>47.4982741477273</v>
      </c>
      <c r="R3406" s="0" t="n">
        <f aca="false">SUMPRODUCT(MMULT(G3406:P3406,_XtX!$B$58:$K$67),G3406:P3406)</f>
        <v>0.337604869495739</v>
      </c>
      <c r="S3406" s="0" t="n">
        <f aca="false">04_回帰ANOVA!$K$19*04_回帰ANOVA!$K$14*SQRT(1+R3406)</f>
        <v>1.07530225516193</v>
      </c>
      <c r="T3406" s="0" t="n">
        <f aca="false">Q3406-S3406</f>
        <v>46.4229718925654</v>
      </c>
      <c r="U3406" s="0" t="n">
        <f aca="false">Q3406+S3406</f>
        <v>48.5735764028892</v>
      </c>
      <c r="V3406" s="54" t="b">
        <f aca="false">AND(D3406&gt;=01_因子設定!$L$5-0.000000001,D3406&lt;=01_因子設定!$M$5+0.000000001,E3406&gt;=01_因子設定!$L$6-0.000000001,E3406&lt;=01_因子設定!$M$6+0.000000001,F3406&gt;=01_因子設定!$L$7-0.000000001,F3406&lt;=01_因子設定!$M$7+0.000000001,IF(01_因子設定!$B$20="Box-Behnken",D3406^2+E3406^2+F3406^2&lt;=2+0.000000001,TRUE()))</f>
        <v>1</v>
      </c>
      <c r="W3406" s="55" t="n">
        <f aca="false">IF(V3406,IF(01_因子設定!$B$13="最大化",T3406-01_因子設定!$B$14,IF(01_因子設定!$B$13="最小化",01_因子設定!$B$15-U3406,MIN(T3406-01_因子設定!$B$14,01_因子設定!$B$15-U3406))),-1E+030)</f>
        <v>-2.07702810743463</v>
      </c>
      <c r="X3406" s="55" t="n">
        <f aca="false">IF(V3406,IF(01_因子設定!$B$13="最大化",Q3406,IF(01_因子設定!$B$13="最小化",-Q3406,-ABS(Q3406-01_因子設定!$B$16))),-1E+030)</f>
        <v>47.4982741477273</v>
      </c>
      <c r="Y3406" s="55" t="n">
        <f aca="false">W3406+ROW()*0.000000001</f>
        <v>-2.07702470143463</v>
      </c>
      <c r="Z3406" s="55" t="n">
        <f aca="false">X3406+ROW()*0.000000001</f>
        <v>47.4982775537273</v>
      </c>
    </row>
    <row r="3407" customFormat="false" ht="15" hidden="false" customHeight="false" outlineLevel="0" collapsed="false">
      <c r="A3407" s="0" t="n">
        <v>11</v>
      </c>
      <c r="B3407" s="0" t="n">
        <v>13</v>
      </c>
      <c r="C3407" s="0" t="n">
        <v>2</v>
      </c>
      <c r="D3407" s="0" t="n">
        <f aca="false">-1+A3407*0.125</f>
        <v>0.375</v>
      </c>
      <c r="E3407" s="0" t="n">
        <f aca="false">-1+B3407*0.125</f>
        <v>0.625</v>
      </c>
      <c r="F3407" s="0" t="n">
        <f aca="false">-1+C3407*0.125</f>
        <v>-0.75</v>
      </c>
      <c r="G3407" s="0" t="n">
        <f aca="false">1</f>
        <v>1</v>
      </c>
      <c r="H3407" s="0" t="n">
        <f aca="false">D3407</f>
        <v>0.375</v>
      </c>
      <c r="I3407" s="0" t="n">
        <f aca="false">E3407</f>
        <v>0.625</v>
      </c>
      <c r="J3407" s="0" t="n">
        <f aca="false">F3407</f>
        <v>-0.75</v>
      </c>
      <c r="K3407" s="0" t="n">
        <f aca="false">D3407*E3407</f>
        <v>0.234375</v>
      </c>
      <c r="L3407" s="0" t="n">
        <f aca="false">D3407*F3407</f>
        <v>-0.28125</v>
      </c>
      <c r="M3407" s="0" t="n">
        <f aca="false">E3407*F3407</f>
        <v>-0.46875</v>
      </c>
      <c r="N3407" s="0" t="n">
        <f aca="false">D3407*D3407</f>
        <v>0.140625</v>
      </c>
      <c r="O3407" s="0" t="n">
        <f aca="false">E3407*E3407</f>
        <v>0.390625</v>
      </c>
      <c r="P3407" s="0" t="n">
        <f aca="false">F3407*F3407</f>
        <v>0.5625</v>
      </c>
      <c r="Q3407" s="0" t="n">
        <f aca="false">SUMPRODUCT(G3407:P3407,_XtX!$B$71:$K$71)</f>
        <v>47.9380326704546</v>
      </c>
      <c r="R3407" s="0" t="n">
        <f aca="false">SUMPRODUCT(MMULT(G3407:P3407,_XtX!$B$58:$K$67),G3407:P3407)</f>
        <v>0.25359940962358</v>
      </c>
      <c r="S3407" s="0" t="n">
        <f aca="false">04_回帰ANOVA!$K$19*04_回帰ANOVA!$K$14*SQRT(1+R3407)</f>
        <v>1.04098872464599</v>
      </c>
      <c r="T3407" s="0" t="n">
        <f aca="false">Q3407-S3407</f>
        <v>46.8970439458086</v>
      </c>
      <c r="U3407" s="0" t="n">
        <f aca="false">Q3407+S3407</f>
        <v>48.9790213951005</v>
      </c>
      <c r="V3407" s="54" t="b">
        <f aca="false">AND(D3407&gt;=01_因子設定!$L$5-0.000000001,D3407&lt;=01_因子設定!$M$5+0.000000001,E3407&gt;=01_因子設定!$L$6-0.000000001,E3407&lt;=01_因子設定!$M$6+0.000000001,F3407&gt;=01_因子設定!$L$7-0.000000001,F3407&lt;=01_因子設定!$M$7+0.000000001,IF(01_因子設定!$B$20="Box-Behnken",D3407^2+E3407^2+F3407^2&lt;=2+0.000000001,TRUE()))</f>
        <v>1</v>
      </c>
      <c r="W3407" s="55" t="n">
        <f aca="false">IF(V3407,IF(01_因子設定!$B$13="最大化",T3407-01_因子設定!$B$14,IF(01_因子設定!$B$13="最小化",01_因子設定!$B$15-U3407,MIN(T3407-01_因子設定!$B$14,01_因子設定!$B$15-U3407))),-1E+030)</f>
        <v>-1.60295605419142</v>
      </c>
      <c r="X3407" s="55" t="n">
        <f aca="false">IF(V3407,IF(01_因子設定!$B$13="最大化",Q3407,IF(01_因子設定!$B$13="最小化",-Q3407,-ABS(Q3407-01_因子設定!$B$16))),-1E+030)</f>
        <v>47.9380326704546</v>
      </c>
      <c r="Y3407" s="55" t="n">
        <f aca="false">W3407+ROW()*0.000000001</f>
        <v>-1.60295264719142</v>
      </c>
      <c r="Z3407" s="55" t="n">
        <f aca="false">X3407+ROW()*0.000000001</f>
        <v>47.9380360774546</v>
      </c>
    </row>
    <row r="3408" customFormat="false" ht="15" hidden="false" customHeight="false" outlineLevel="0" collapsed="false">
      <c r="A3408" s="0" t="n">
        <v>11</v>
      </c>
      <c r="B3408" s="0" t="n">
        <v>13</v>
      </c>
      <c r="C3408" s="0" t="n">
        <v>3</v>
      </c>
      <c r="D3408" s="0" t="n">
        <f aca="false">-1+A3408*0.125</f>
        <v>0.375</v>
      </c>
      <c r="E3408" s="0" t="n">
        <f aca="false">-1+B3408*0.125</f>
        <v>0.625</v>
      </c>
      <c r="F3408" s="0" t="n">
        <f aca="false">-1+C3408*0.125</f>
        <v>-0.625</v>
      </c>
      <c r="G3408" s="0" t="n">
        <f aca="false">1</f>
        <v>1</v>
      </c>
      <c r="H3408" s="0" t="n">
        <f aca="false">D3408</f>
        <v>0.375</v>
      </c>
      <c r="I3408" s="0" t="n">
        <f aca="false">E3408</f>
        <v>0.625</v>
      </c>
      <c r="J3408" s="0" t="n">
        <f aca="false">F3408</f>
        <v>-0.625</v>
      </c>
      <c r="K3408" s="0" t="n">
        <f aca="false">D3408*E3408</f>
        <v>0.234375</v>
      </c>
      <c r="L3408" s="0" t="n">
        <f aca="false">D3408*F3408</f>
        <v>-0.234375</v>
      </c>
      <c r="M3408" s="0" t="n">
        <f aca="false">E3408*F3408</f>
        <v>-0.390625</v>
      </c>
      <c r="N3408" s="0" t="n">
        <f aca="false">D3408*D3408</f>
        <v>0.140625</v>
      </c>
      <c r="O3408" s="0" t="n">
        <f aca="false">E3408*E3408</f>
        <v>0.390625</v>
      </c>
      <c r="P3408" s="0" t="n">
        <f aca="false">F3408*F3408</f>
        <v>0.390625</v>
      </c>
      <c r="Q3408" s="0" t="n">
        <f aca="false">SUMPRODUCT(G3408:P3408,_XtX!$B$71:$K$71)</f>
        <v>48.3410014204546</v>
      </c>
      <c r="R3408" s="0" t="n">
        <f aca="false">SUMPRODUCT(MMULT(G3408:P3408,_XtX!$B$58:$K$67),G3408:P3408)</f>
        <v>0.20595536665483</v>
      </c>
      <c r="S3408" s="0" t="n">
        <f aca="false">04_回帰ANOVA!$K$19*04_回帰ANOVA!$K$14*SQRT(1+R3408)</f>
        <v>1.02101530762963</v>
      </c>
      <c r="T3408" s="0" t="n">
        <f aca="false">Q3408-S3408</f>
        <v>47.3199861128249</v>
      </c>
      <c r="U3408" s="0" t="n">
        <f aca="false">Q3408+S3408</f>
        <v>49.3620167280842</v>
      </c>
      <c r="V3408" s="54" t="b">
        <f aca="false">AND(D3408&gt;=01_因子設定!$L$5-0.000000001,D3408&lt;=01_因子設定!$M$5+0.000000001,E3408&gt;=01_因子設定!$L$6-0.000000001,E3408&lt;=01_因子設定!$M$6+0.000000001,F3408&gt;=01_因子設定!$L$7-0.000000001,F3408&lt;=01_因子設定!$M$7+0.000000001,IF(01_因子設定!$B$20="Box-Behnken",D3408^2+E3408^2+F3408^2&lt;=2+0.000000001,TRUE()))</f>
        <v>1</v>
      </c>
      <c r="W3408" s="55" t="n">
        <f aca="false">IF(V3408,IF(01_因子設定!$B$13="最大化",T3408-01_因子設定!$B$14,IF(01_因子設定!$B$13="最小化",01_因子設定!$B$15-U3408,MIN(T3408-01_因子設定!$B$14,01_因子設定!$B$15-U3408))),-1E+030)</f>
        <v>-1.18001388717506</v>
      </c>
      <c r="X3408" s="55" t="n">
        <f aca="false">IF(V3408,IF(01_因子設定!$B$13="最大化",Q3408,IF(01_因子設定!$B$13="最小化",-Q3408,-ABS(Q3408-01_因子設定!$B$16))),-1E+030)</f>
        <v>48.3410014204546</v>
      </c>
      <c r="Y3408" s="55" t="n">
        <f aca="false">W3408+ROW()*0.000000001</f>
        <v>-1.18001047917506</v>
      </c>
      <c r="Z3408" s="55" t="n">
        <f aca="false">X3408+ROW()*0.000000001</f>
        <v>48.3410048284546</v>
      </c>
    </row>
    <row r="3409" customFormat="false" ht="15" hidden="false" customHeight="false" outlineLevel="0" collapsed="false">
      <c r="A3409" s="0" t="n">
        <v>11</v>
      </c>
      <c r="B3409" s="0" t="n">
        <v>13</v>
      </c>
      <c r="C3409" s="0" t="n">
        <v>4</v>
      </c>
      <c r="D3409" s="0" t="n">
        <f aca="false">-1+A3409*0.125</f>
        <v>0.375</v>
      </c>
      <c r="E3409" s="0" t="n">
        <f aca="false">-1+B3409*0.125</f>
        <v>0.625</v>
      </c>
      <c r="F3409" s="0" t="n">
        <f aca="false">-1+C3409*0.125</f>
        <v>-0.5</v>
      </c>
      <c r="G3409" s="0" t="n">
        <f aca="false">1</f>
        <v>1</v>
      </c>
      <c r="H3409" s="0" t="n">
        <f aca="false">D3409</f>
        <v>0.375</v>
      </c>
      <c r="I3409" s="0" t="n">
        <f aca="false">E3409</f>
        <v>0.625</v>
      </c>
      <c r="J3409" s="0" t="n">
        <f aca="false">F3409</f>
        <v>-0.5</v>
      </c>
      <c r="K3409" s="0" t="n">
        <f aca="false">D3409*E3409</f>
        <v>0.234375</v>
      </c>
      <c r="L3409" s="0" t="n">
        <f aca="false">D3409*F3409</f>
        <v>-0.1875</v>
      </c>
      <c r="M3409" s="0" t="n">
        <f aca="false">E3409*F3409</f>
        <v>-0.3125</v>
      </c>
      <c r="N3409" s="0" t="n">
        <f aca="false">D3409*D3409</f>
        <v>0.140625</v>
      </c>
      <c r="O3409" s="0" t="n">
        <f aca="false">E3409*E3409</f>
        <v>0.390625</v>
      </c>
      <c r="P3409" s="0" t="n">
        <f aca="false">F3409*F3409</f>
        <v>0.25</v>
      </c>
      <c r="Q3409" s="0" t="n">
        <f aca="false">SUMPRODUCT(G3409:P3409,_XtX!$B$71:$K$71)</f>
        <v>48.7071803977273</v>
      </c>
      <c r="R3409" s="0" t="n">
        <f aca="false">SUMPRODUCT(MMULT(G3409:P3409,_XtX!$B$58:$K$67),G3409:P3409)</f>
        <v>0.182953990589489</v>
      </c>
      <c r="S3409" s="0" t="n">
        <f aca="false">04_回帰ANOVA!$K$19*04_回帰ANOVA!$K$14*SQRT(1+R3409)</f>
        <v>1.01123143807044</v>
      </c>
      <c r="T3409" s="0" t="n">
        <f aca="false">Q3409-S3409</f>
        <v>47.6959489596568</v>
      </c>
      <c r="U3409" s="0" t="n">
        <f aca="false">Q3409+S3409</f>
        <v>49.7184118357977</v>
      </c>
      <c r="V3409" s="54" t="b">
        <f aca="false">AND(D3409&gt;=01_因子設定!$L$5-0.000000001,D3409&lt;=01_因子設定!$M$5+0.000000001,E3409&gt;=01_因子設定!$L$6-0.000000001,E3409&lt;=01_因子設定!$M$6+0.000000001,F3409&gt;=01_因子設定!$L$7-0.000000001,F3409&lt;=01_因子設定!$M$7+0.000000001,IF(01_因子設定!$B$20="Box-Behnken",D3409^2+E3409^2+F3409^2&lt;=2+0.000000001,TRUE()))</f>
        <v>1</v>
      </c>
      <c r="W3409" s="55" t="n">
        <f aca="false">IF(V3409,IF(01_因子設定!$B$13="最大化",T3409-01_因子設定!$B$14,IF(01_因子設定!$B$13="最小化",01_因子設定!$B$15-U3409,MIN(T3409-01_因子設定!$B$14,01_因子設定!$B$15-U3409))),-1E+030)</f>
        <v>-0.804051040343154</v>
      </c>
      <c r="X3409" s="55" t="n">
        <f aca="false">IF(V3409,IF(01_因子設定!$B$13="最大化",Q3409,IF(01_因子設定!$B$13="最小化",-Q3409,-ABS(Q3409-01_因子設定!$B$16))),-1E+030)</f>
        <v>48.7071803977273</v>
      </c>
      <c r="Y3409" s="55" t="n">
        <f aca="false">W3409+ROW()*0.000000001</f>
        <v>-0.804047631343154</v>
      </c>
      <c r="Z3409" s="55" t="n">
        <f aca="false">X3409+ROW()*0.000000001</f>
        <v>48.7071838067273</v>
      </c>
    </row>
    <row r="3410" customFormat="false" ht="15" hidden="false" customHeight="false" outlineLevel="0" collapsed="false">
      <c r="A3410" s="0" t="n">
        <v>11</v>
      </c>
      <c r="B3410" s="0" t="n">
        <v>13</v>
      </c>
      <c r="C3410" s="0" t="n">
        <v>5</v>
      </c>
      <c r="D3410" s="0" t="n">
        <f aca="false">-1+A3410*0.125</f>
        <v>0.375</v>
      </c>
      <c r="E3410" s="0" t="n">
        <f aca="false">-1+B3410*0.125</f>
        <v>0.625</v>
      </c>
      <c r="F3410" s="0" t="n">
        <f aca="false">-1+C3410*0.125</f>
        <v>-0.375</v>
      </c>
      <c r="G3410" s="0" t="n">
        <f aca="false">1</f>
        <v>1</v>
      </c>
      <c r="H3410" s="0" t="n">
        <f aca="false">D3410</f>
        <v>0.375</v>
      </c>
      <c r="I3410" s="0" t="n">
        <f aca="false">E3410</f>
        <v>0.625</v>
      </c>
      <c r="J3410" s="0" t="n">
        <f aca="false">F3410</f>
        <v>-0.375</v>
      </c>
      <c r="K3410" s="0" t="n">
        <f aca="false">D3410*E3410</f>
        <v>0.234375</v>
      </c>
      <c r="L3410" s="0" t="n">
        <f aca="false">D3410*F3410</f>
        <v>-0.140625</v>
      </c>
      <c r="M3410" s="0" t="n">
        <f aca="false">E3410*F3410</f>
        <v>-0.234375</v>
      </c>
      <c r="N3410" s="0" t="n">
        <f aca="false">D3410*D3410</f>
        <v>0.140625</v>
      </c>
      <c r="O3410" s="0" t="n">
        <f aca="false">E3410*E3410</f>
        <v>0.390625</v>
      </c>
      <c r="P3410" s="0" t="n">
        <f aca="false">F3410*F3410</f>
        <v>0.140625</v>
      </c>
      <c r="Q3410" s="0" t="n">
        <f aca="false">SUMPRODUCT(G3410:P3410,_XtX!$B$71:$K$71)</f>
        <v>49.0365696022727</v>
      </c>
      <c r="R3410" s="0" t="n">
        <f aca="false">SUMPRODUCT(MMULT(G3410:P3410,_XtX!$B$58:$K$67),G3410:P3410)</f>
        <v>0.175007213245739</v>
      </c>
      <c r="S3410" s="0" t="n">
        <f aca="false">04_回帰ANOVA!$K$19*04_回帰ANOVA!$K$14*SQRT(1+R3410)</f>
        <v>1.0078291195273</v>
      </c>
      <c r="T3410" s="0" t="n">
        <f aca="false">Q3410-S3410</f>
        <v>48.0287404827454</v>
      </c>
      <c r="U3410" s="0" t="n">
        <f aca="false">Q3410+S3410</f>
        <v>50.0443987218</v>
      </c>
      <c r="V3410" s="54" t="b">
        <f aca="false">AND(D3410&gt;=01_因子設定!$L$5-0.000000001,D3410&lt;=01_因子設定!$M$5+0.000000001,E3410&gt;=01_因子設定!$L$6-0.000000001,E3410&lt;=01_因子設定!$M$6+0.000000001,F3410&gt;=01_因子設定!$L$7-0.000000001,F3410&lt;=01_因子設定!$M$7+0.000000001,IF(01_因子設定!$B$20="Box-Behnken",D3410^2+E3410^2+F3410^2&lt;=2+0.000000001,TRUE()))</f>
        <v>1</v>
      </c>
      <c r="W3410" s="55" t="n">
        <f aca="false">IF(V3410,IF(01_因子設定!$B$13="最大化",T3410-01_因子設定!$B$14,IF(01_因子設定!$B$13="最小化",01_因子設定!$B$15-U3410,MIN(T3410-01_因子設定!$B$14,01_因子設定!$B$15-U3410))),-1E+030)</f>
        <v>-0.471259517254566</v>
      </c>
      <c r="X3410" s="55" t="n">
        <f aca="false">IF(V3410,IF(01_因子設定!$B$13="最大化",Q3410,IF(01_因子設定!$B$13="最小化",-Q3410,-ABS(Q3410-01_因子設定!$B$16))),-1E+030)</f>
        <v>49.0365696022727</v>
      </c>
      <c r="Y3410" s="55" t="n">
        <f aca="false">W3410+ROW()*0.000000001</f>
        <v>-0.471256107254566</v>
      </c>
      <c r="Z3410" s="55" t="n">
        <f aca="false">X3410+ROW()*0.000000001</f>
        <v>49.0365730122727</v>
      </c>
    </row>
    <row r="3411" customFormat="false" ht="15" hidden="false" customHeight="false" outlineLevel="0" collapsed="false">
      <c r="A3411" s="0" t="n">
        <v>11</v>
      </c>
      <c r="B3411" s="0" t="n">
        <v>13</v>
      </c>
      <c r="C3411" s="0" t="n">
        <v>6</v>
      </c>
      <c r="D3411" s="0" t="n">
        <f aca="false">-1+A3411*0.125</f>
        <v>0.375</v>
      </c>
      <c r="E3411" s="0" t="n">
        <f aca="false">-1+B3411*0.125</f>
        <v>0.625</v>
      </c>
      <c r="F3411" s="0" t="n">
        <f aca="false">-1+C3411*0.125</f>
        <v>-0.25</v>
      </c>
      <c r="G3411" s="0" t="n">
        <f aca="false">1</f>
        <v>1</v>
      </c>
      <c r="H3411" s="0" t="n">
        <f aca="false">D3411</f>
        <v>0.375</v>
      </c>
      <c r="I3411" s="0" t="n">
        <f aca="false">E3411</f>
        <v>0.625</v>
      </c>
      <c r="J3411" s="0" t="n">
        <f aca="false">F3411</f>
        <v>-0.25</v>
      </c>
      <c r="K3411" s="0" t="n">
        <f aca="false">D3411*E3411</f>
        <v>0.234375</v>
      </c>
      <c r="L3411" s="0" t="n">
        <f aca="false">D3411*F3411</f>
        <v>-0.09375</v>
      </c>
      <c r="M3411" s="0" t="n">
        <f aca="false">E3411*F3411</f>
        <v>-0.15625</v>
      </c>
      <c r="N3411" s="0" t="n">
        <f aca="false">D3411*D3411</f>
        <v>0.140625</v>
      </c>
      <c r="O3411" s="0" t="n">
        <f aca="false">E3411*E3411</f>
        <v>0.390625</v>
      </c>
      <c r="P3411" s="0" t="n">
        <f aca="false">F3411*F3411</f>
        <v>0.0625</v>
      </c>
      <c r="Q3411" s="0" t="n">
        <f aca="false">SUMPRODUCT(G3411:P3411,_XtX!$B$71:$K$71)</f>
        <v>49.3291690340909</v>
      </c>
      <c r="R3411" s="0" t="n">
        <f aca="false">SUMPRODUCT(MMULT(G3411:P3411,_XtX!$B$58:$K$67),G3411:P3411)</f>
        <v>0.174657648259943</v>
      </c>
      <c r="S3411" s="0" t="n">
        <f aca="false">04_回帰ANOVA!$K$19*04_回帰ANOVA!$K$14*SQRT(1+R3411)</f>
        <v>1.00767919364845</v>
      </c>
      <c r="T3411" s="0" t="n">
        <f aca="false">Q3411-S3411</f>
        <v>48.3214898404425</v>
      </c>
      <c r="U3411" s="0" t="n">
        <f aca="false">Q3411+S3411</f>
        <v>50.3368482277394</v>
      </c>
      <c r="V3411" s="54" t="b">
        <f aca="false">AND(D3411&gt;=01_因子設定!$L$5-0.000000001,D3411&lt;=01_因子設定!$M$5+0.000000001,E3411&gt;=01_因子設定!$L$6-0.000000001,E3411&lt;=01_因子設定!$M$6+0.000000001,F3411&gt;=01_因子設定!$L$7-0.000000001,F3411&lt;=01_因子設定!$M$7+0.000000001,IF(01_因子設定!$B$20="Box-Behnken",D3411^2+E3411^2+F3411^2&lt;=2+0.000000001,TRUE()))</f>
        <v>1</v>
      </c>
      <c r="W3411" s="55" t="n">
        <f aca="false">IF(V3411,IF(01_因子設定!$B$13="最大化",T3411-01_因子設定!$B$14,IF(01_因子設定!$B$13="最小化",01_因子設定!$B$15-U3411,MIN(T3411-01_因子設定!$B$14,01_因子設定!$B$15-U3411))),-1E+030)</f>
        <v>-0.178510159557526</v>
      </c>
      <c r="X3411" s="55" t="n">
        <f aca="false">IF(V3411,IF(01_因子設定!$B$13="最大化",Q3411,IF(01_因子設定!$B$13="最小化",-Q3411,-ABS(Q3411-01_因子設定!$B$16))),-1E+030)</f>
        <v>49.3291690340909</v>
      </c>
      <c r="Y3411" s="55" t="n">
        <f aca="false">W3411+ROW()*0.000000001</f>
        <v>-0.178506748557526</v>
      </c>
      <c r="Z3411" s="55" t="n">
        <f aca="false">X3411+ROW()*0.000000001</f>
        <v>49.3291724450909</v>
      </c>
    </row>
    <row r="3412" customFormat="false" ht="15" hidden="false" customHeight="false" outlineLevel="0" collapsed="false">
      <c r="A3412" s="0" t="n">
        <v>11</v>
      </c>
      <c r="B3412" s="0" t="n">
        <v>13</v>
      </c>
      <c r="C3412" s="0" t="n">
        <v>7</v>
      </c>
      <c r="D3412" s="0" t="n">
        <f aca="false">-1+A3412*0.125</f>
        <v>0.375</v>
      </c>
      <c r="E3412" s="0" t="n">
        <f aca="false">-1+B3412*0.125</f>
        <v>0.625</v>
      </c>
      <c r="F3412" s="0" t="n">
        <f aca="false">-1+C3412*0.125</f>
        <v>-0.125</v>
      </c>
      <c r="G3412" s="0" t="n">
        <f aca="false">1</f>
        <v>1</v>
      </c>
      <c r="H3412" s="0" t="n">
        <f aca="false">D3412</f>
        <v>0.375</v>
      </c>
      <c r="I3412" s="0" t="n">
        <f aca="false">E3412</f>
        <v>0.625</v>
      </c>
      <c r="J3412" s="0" t="n">
        <f aca="false">F3412</f>
        <v>-0.125</v>
      </c>
      <c r="K3412" s="0" t="n">
        <f aca="false">D3412*E3412</f>
        <v>0.234375</v>
      </c>
      <c r="L3412" s="0" t="n">
        <f aca="false">D3412*F3412</f>
        <v>-0.046875</v>
      </c>
      <c r="M3412" s="0" t="n">
        <f aca="false">E3412*F3412</f>
        <v>-0.078125</v>
      </c>
      <c r="N3412" s="0" t="n">
        <f aca="false">D3412*D3412</f>
        <v>0.140625</v>
      </c>
      <c r="O3412" s="0" t="n">
        <f aca="false">E3412*E3412</f>
        <v>0.390625</v>
      </c>
      <c r="P3412" s="0" t="n">
        <f aca="false">F3412*F3412</f>
        <v>0.015625</v>
      </c>
      <c r="Q3412" s="0" t="n">
        <f aca="false">SUMPRODUCT(G3412:P3412,_XtX!$B$71:$K$71)</f>
        <v>49.5849786931818</v>
      </c>
      <c r="R3412" s="0" t="n">
        <f aca="false">SUMPRODUCT(MMULT(G3412:P3412,_XtX!$B$58:$K$67),G3412:P3412)</f>
        <v>0.176578591086648</v>
      </c>
      <c r="S3412" s="0" t="n">
        <f aca="false">04_回帰ANOVA!$K$19*04_回帰ANOVA!$K$14*SQRT(1+R3412)</f>
        <v>1.00850279676269</v>
      </c>
      <c r="T3412" s="0" t="n">
        <f aca="false">Q3412-S3412</f>
        <v>48.5764758964191</v>
      </c>
      <c r="U3412" s="0" t="n">
        <f aca="false">Q3412+S3412</f>
        <v>50.5934814899445</v>
      </c>
      <c r="V3412" s="54" t="b">
        <f aca="false">AND(D3412&gt;=01_因子設定!$L$5-0.000000001,D3412&lt;=01_因子設定!$M$5+0.000000001,E3412&gt;=01_因子設定!$L$6-0.000000001,E3412&lt;=01_因子設定!$M$6+0.000000001,F3412&gt;=01_因子設定!$L$7-0.000000001,F3412&lt;=01_因子設定!$M$7+0.000000001,IF(01_因子設定!$B$20="Box-Behnken",D3412^2+E3412^2+F3412^2&lt;=2+0.000000001,TRUE()))</f>
        <v>1</v>
      </c>
      <c r="W3412" s="55" t="n">
        <f aca="false">IF(V3412,IF(01_因子設定!$B$13="最大化",T3412-01_因子設定!$B$14,IF(01_因子設定!$B$13="最小化",01_因子設定!$B$15-U3412,MIN(T3412-01_因子設定!$B$14,01_因子設定!$B$15-U3412))),-1E+030)</f>
        <v>0.076475896419133</v>
      </c>
      <c r="X3412" s="55" t="n">
        <f aca="false">IF(V3412,IF(01_因子設定!$B$13="最大化",Q3412,IF(01_因子設定!$B$13="最小化",-Q3412,-ABS(Q3412-01_因子設定!$B$16))),-1E+030)</f>
        <v>49.5849786931818</v>
      </c>
      <c r="Y3412" s="55" t="n">
        <f aca="false">W3412+ROW()*0.000000001</f>
        <v>0.076479308419133</v>
      </c>
      <c r="Z3412" s="55" t="n">
        <f aca="false">X3412+ROW()*0.000000001</f>
        <v>49.5849821051818</v>
      </c>
    </row>
    <row r="3413" customFormat="false" ht="15" hidden="false" customHeight="false" outlineLevel="0" collapsed="false">
      <c r="A3413" s="0" t="n">
        <v>11</v>
      </c>
      <c r="B3413" s="0" t="n">
        <v>13</v>
      </c>
      <c r="C3413" s="0" t="n">
        <v>8</v>
      </c>
      <c r="D3413" s="0" t="n">
        <f aca="false">-1+A3413*0.125</f>
        <v>0.375</v>
      </c>
      <c r="E3413" s="0" t="n">
        <f aca="false">-1+B3413*0.125</f>
        <v>0.625</v>
      </c>
      <c r="F3413" s="0" t="n">
        <f aca="false">-1+C3413*0.125</f>
        <v>0</v>
      </c>
      <c r="G3413" s="0" t="n">
        <f aca="false">1</f>
        <v>1</v>
      </c>
      <c r="H3413" s="0" t="n">
        <f aca="false">D3413</f>
        <v>0.375</v>
      </c>
      <c r="I3413" s="0" t="n">
        <f aca="false">E3413</f>
        <v>0.625</v>
      </c>
      <c r="J3413" s="0" t="n">
        <f aca="false">F3413</f>
        <v>0</v>
      </c>
      <c r="K3413" s="0" t="n">
        <f aca="false">D3413*E3413</f>
        <v>0.234375</v>
      </c>
      <c r="L3413" s="0" t="n">
        <f aca="false">D3413*F3413</f>
        <v>0</v>
      </c>
      <c r="M3413" s="0" t="n">
        <f aca="false">E3413*F3413</f>
        <v>0</v>
      </c>
      <c r="N3413" s="0" t="n">
        <f aca="false">D3413*D3413</f>
        <v>0.140625</v>
      </c>
      <c r="O3413" s="0" t="n">
        <f aca="false">E3413*E3413</f>
        <v>0.390625</v>
      </c>
      <c r="P3413" s="0" t="n">
        <f aca="false">F3413*F3413</f>
        <v>0</v>
      </c>
      <c r="Q3413" s="0" t="n">
        <f aca="false">SUMPRODUCT(G3413:P3413,_XtX!$B$71:$K$71)</f>
        <v>49.8039985795455</v>
      </c>
      <c r="R3413" s="0" t="n">
        <f aca="false">SUMPRODUCT(MMULT(G3413:P3413,_XtX!$B$58:$K$67),G3413:P3413)</f>
        <v>0.17757401899858</v>
      </c>
      <c r="S3413" s="0" t="n">
        <f aca="false">04_回帰ANOVA!$K$19*04_回帰ANOVA!$K$14*SQRT(1+R3413)</f>
        <v>1.00892932143276</v>
      </c>
      <c r="T3413" s="0" t="n">
        <f aca="false">Q3413-S3413</f>
        <v>48.7950692581127</v>
      </c>
      <c r="U3413" s="0" t="n">
        <f aca="false">Q3413+S3413</f>
        <v>50.8129279009782</v>
      </c>
      <c r="V3413" s="54" t="b">
        <f aca="false">AND(D3413&gt;=01_因子設定!$L$5-0.000000001,D3413&lt;=01_因子設定!$M$5+0.000000001,E3413&gt;=01_因子設定!$L$6-0.000000001,E3413&lt;=01_因子設定!$M$6+0.000000001,F3413&gt;=01_因子設定!$L$7-0.000000001,F3413&lt;=01_因子設定!$M$7+0.000000001,IF(01_因子設定!$B$20="Box-Behnken",D3413^2+E3413^2+F3413^2&lt;=2+0.000000001,TRUE()))</f>
        <v>1</v>
      </c>
      <c r="W3413" s="55" t="n">
        <f aca="false">IF(V3413,IF(01_因子設定!$B$13="最大化",T3413-01_因子設定!$B$14,IF(01_因子設定!$B$13="最小化",01_因子設定!$B$15-U3413,MIN(T3413-01_因子設定!$B$14,01_因子設定!$B$15-U3413))),-1E+030)</f>
        <v>0.295069258112704</v>
      </c>
      <c r="X3413" s="55" t="n">
        <f aca="false">IF(V3413,IF(01_因子設定!$B$13="最大化",Q3413,IF(01_因子設定!$B$13="最小化",-Q3413,-ABS(Q3413-01_因子設定!$B$16))),-1E+030)</f>
        <v>49.8039985795455</v>
      </c>
      <c r="Y3413" s="55" t="n">
        <f aca="false">W3413+ROW()*0.000000001</f>
        <v>0.295072671112704</v>
      </c>
      <c r="Z3413" s="55" t="n">
        <f aca="false">X3413+ROW()*0.000000001</f>
        <v>49.8040019925455</v>
      </c>
    </row>
    <row r="3414" customFormat="false" ht="15" hidden="false" customHeight="false" outlineLevel="0" collapsed="false">
      <c r="A3414" s="0" t="n">
        <v>11</v>
      </c>
      <c r="B3414" s="0" t="n">
        <v>13</v>
      </c>
      <c r="C3414" s="0" t="n">
        <v>9</v>
      </c>
      <c r="D3414" s="0" t="n">
        <f aca="false">-1+A3414*0.125</f>
        <v>0.375</v>
      </c>
      <c r="E3414" s="0" t="n">
        <f aca="false">-1+B3414*0.125</f>
        <v>0.625</v>
      </c>
      <c r="F3414" s="0" t="n">
        <f aca="false">-1+C3414*0.125</f>
        <v>0.125</v>
      </c>
      <c r="G3414" s="0" t="n">
        <f aca="false">1</f>
        <v>1</v>
      </c>
      <c r="H3414" s="0" t="n">
        <f aca="false">D3414</f>
        <v>0.375</v>
      </c>
      <c r="I3414" s="0" t="n">
        <f aca="false">E3414</f>
        <v>0.625</v>
      </c>
      <c r="J3414" s="0" t="n">
        <f aca="false">F3414</f>
        <v>0.125</v>
      </c>
      <c r="K3414" s="0" t="n">
        <f aca="false">D3414*E3414</f>
        <v>0.234375</v>
      </c>
      <c r="L3414" s="0" t="n">
        <f aca="false">D3414*F3414</f>
        <v>0.046875</v>
      </c>
      <c r="M3414" s="0" t="n">
        <f aca="false">E3414*F3414</f>
        <v>0.078125</v>
      </c>
      <c r="N3414" s="0" t="n">
        <f aca="false">D3414*D3414</f>
        <v>0.140625</v>
      </c>
      <c r="O3414" s="0" t="n">
        <f aca="false">E3414*E3414</f>
        <v>0.390625</v>
      </c>
      <c r="P3414" s="0" t="n">
        <f aca="false">F3414*F3414</f>
        <v>0.015625</v>
      </c>
      <c r="Q3414" s="0" t="n">
        <f aca="false">SUMPRODUCT(G3414:P3414,_XtX!$B$71:$K$71)</f>
        <v>49.9862286931818</v>
      </c>
      <c r="R3414" s="0" t="n">
        <f aca="false">SUMPRODUCT(MMULT(G3414:P3414,_XtX!$B$58:$K$67),G3414:P3414)</f>
        <v>0.176578591086648</v>
      </c>
      <c r="S3414" s="0" t="n">
        <f aca="false">04_回帰ANOVA!$K$19*04_回帰ANOVA!$K$14*SQRT(1+R3414)</f>
        <v>1.00850279676269</v>
      </c>
      <c r="T3414" s="0" t="n">
        <f aca="false">Q3414-S3414</f>
        <v>48.9777258964191</v>
      </c>
      <c r="U3414" s="0" t="n">
        <f aca="false">Q3414+S3414</f>
        <v>50.9947314899445</v>
      </c>
      <c r="V3414" s="54" t="b">
        <f aca="false">AND(D3414&gt;=01_因子設定!$L$5-0.000000001,D3414&lt;=01_因子設定!$M$5+0.000000001,E3414&gt;=01_因子設定!$L$6-0.000000001,E3414&lt;=01_因子設定!$M$6+0.000000001,F3414&gt;=01_因子設定!$L$7-0.000000001,F3414&lt;=01_因子設定!$M$7+0.000000001,IF(01_因子設定!$B$20="Box-Behnken",D3414^2+E3414^2+F3414^2&lt;=2+0.000000001,TRUE()))</f>
        <v>1</v>
      </c>
      <c r="W3414" s="55" t="n">
        <f aca="false">IF(V3414,IF(01_因子設定!$B$13="最大化",T3414-01_因子設定!$B$14,IF(01_因子設定!$B$13="最小化",01_因子設定!$B$15-U3414,MIN(T3414-01_因子設定!$B$14,01_因子設定!$B$15-U3414))),-1E+030)</f>
        <v>0.477725896419138</v>
      </c>
      <c r="X3414" s="55" t="n">
        <f aca="false">IF(V3414,IF(01_因子設定!$B$13="最大化",Q3414,IF(01_因子設定!$B$13="最小化",-Q3414,-ABS(Q3414-01_因子設定!$B$16))),-1E+030)</f>
        <v>49.9862286931818</v>
      </c>
      <c r="Y3414" s="55" t="n">
        <f aca="false">W3414+ROW()*0.000000001</f>
        <v>0.477729310419138</v>
      </c>
      <c r="Z3414" s="55" t="n">
        <f aca="false">X3414+ROW()*0.000000001</f>
        <v>49.9862321071818</v>
      </c>
    </row>
    <row r="3415" customFormat="false" ht="15" hidden="false" customHeight="false" outlineLevel="0" collapsed="false">
      <c r="A3415" s="0" t="n">
        <v>11</v>
      </c>
      <c r="B3415" s="0" t="n">
        <v>13</v>
      </c>
      <c r="C3415" s="0" t="n">
        <v>10</v>
      </c>
      <c r="D3415" s="0" t="n">
        <f aca="false">-1+A3415*0.125</f>
        <v>0.375</v>
      </c>
      <c r="E3415" s="0" t="n">
        <f aca="false">-1+B3415*0.125</f>
        <v>0.625</v>
      </c>
      <c r="F3415" s="0" t="n">
        <f aca="false">-1+C3415*0.125</f>
        <v>0.25</v>
      </c>
      <c r="G3415" s="0" t="n">
        <f aca="false">1</f>
        <v>1</v>
      </c>
      <c r="H3415" s="0" t="n">
        <f aca="false">D3415</f>
        <v>0.375</v>
      </c>
      <c r="I3415" s="0" t="n">
        <f aca="false">E3415</f>
        <v>0.625</v>
      </c>
      <c r="J3415" s="0" t="n">
        <f aca="false">F3415</f>
        <v>0.25</v>
      </c>
      <c r="K3415" s="0" t="n">
        <f aca="false">D3415*E3415</f>
        <v>0.234375</v>
      </c>
      <c r="L3415" s="0" t="n">
        <f aca="false">D3415*F3415</f>
        <v>0.09375</v>
      </c>
      <c r="M3415" s="0" t="n">
        <f aca="false">E3415*F3415</f>
        <v>0.15625</v>
      </c>
      <c r="N3415" s="0" t="n">
        <f aca="false">D3415*D3415</f>
        <v>0.140625</v>
      </c>
      <c r="O3415" s="0" t="n">
        <f aca="false">E3415*E3415</f>
        <v>0.390625</v>
      </c>
      <c r="P3415" s="0" t="n">
        <f aca="false">F3415*F3415</f>
        <v>0.0625</v>
      </c>
      <c r="Q3415" s="0" t="n">
        <f aca="false">SUMPRODUCT(G3415:P3415,_XtX!$B$71:$K$71)</f>
        <v>50.1316690340909</v>
      </c>
      <c r="R3415" s="0" t="n">
        <f aca="false">SUMPRODUCT(MMULT(G3415:P3415,_XtX!$B$58:$K$67),G3415:P3415)</f>
        <v>0.174657648259943</v>
      </c>
      <c r="S3415" s="0" t="n">
        <f aca="false">04_回帰ANOVA!$K$19*04_回帰ANOVA!$K$14*SQRT(1+R3415)</f>
        <v>1.00767919364845</v>
      </c>
      <c r="T3415" s="0" t="n">
        <f aca="false">Q3415-S3415</f>
        <v>49.1239898404425</v>
      </c>
      <c r="U3415" s="0" t="n">
        <f aca="false">Q3415+S3415</f>
        <v>51.1393482277394</v>
      </c>
      <c r="V3415" s="54" t="b">
        <f aca="false">AND(D3415&gt;=01_因子設定!$L$5-0.000000001,D3415&lt;=01_因子設定!$M$5+0.000000001,E3415&gt;=01_因子設定!$L$6-0.000000001,E3415&lt;=01_因子設定!$M$6+0.000000001,F3415&gt;=01_因子設定!$L$7-0.000000001,F3415&lt;=01_因子設定!$M$7+0.000000001,IF(01_因子設定!$B$20="Box-Behnken",D3415^2+E3415^2+F3415^2&lt;=2+0.000000001,TRUE()))</f>
        <v>1</v>
      </c>
      <c r="W3415" s="55" t="n">
        <f aca="false">IF(V3415,IF(01_因子設定!$B$13="最大化",T3415-01_因子設定!$B$14,IF(01_因子設定!$B$13="最小化",01_因子設定!$B$15-U3415,MIN(T3415-01_因子設定!$B$14,01_因子設定!$B$15-U3415))),-1E+030)</f>
        <v>0.623989840442476</v>
      </c>
      <c r="X3415" s="55" t="n">
        <f aca="false">IF(V3415,IF(01_因子設定!$B$13="最大化",Q3415,IF(01_因子設定!$B$13="最小化",-Q3415,-ABS(Q3415-01_因子設定!$B$16))),-1E+030)</f>
        <v>50.1316690340909</v>
      </c>
      <c r="Y3415" s="55" t="n">
        <f aca="false">W3415+ROW()*0.000000001</f>
        <v>0.623993255442476</v>
      </c>
      <c r="Z3415" s="55" t="n">
        <f aca="false">X3415+ROW()*0.000000001</f>
        <v>50.1316724490909</v>
      </c>
    </row>
    <row r="3416" customFormat="false" ht="15" hidden="false" customHeight="false" outlineLevel="0" collapsed="false">
      <c r="A3416" s="0" t="n">
        <v>11</v>
      </c>
      <c r="B3416" s="0" t="n">
        <v>13</v>
      </c>
      <c r="C3416" s="0" t="n">
        <v>11</v>
      </c>
      <c r="D3416" s="0" t="n">
        <f aca="false">-1+A3416*0.125</f>
        <v>0.375</v>
      </c>
      <c r="E3416" s="0" t="n">
        <f aca="false">-1+B3416*0.125</f>
        <v>0.625</v>
      </c>
      <c r="F3416" s="0" t="n">
        <f aca="false">-1+C3416*0.125</f>
        <v>0.375</v>
      </c>
      <c r="G3416" s="0" t="n">
        <f aca="false">1</f>
        <v>1</v>
      </c>
      <c r="H3416" s="0" t="n">
        <f aca="false">D3416</f>
        <v>0.375</v>
      </c>
      <c r="I3416" s="0" t="n">
        <f aca="false">E3416</f>
        <v>0.625</v>
      </c>
      <c r="J3416" s="0" t="n">
        <f aca="false">F3416</f>
        <v>0.375</v>
      </c>
      <c r="K3416" s="0" t="n">
        <f aca="false">D3416*E3416</f>
        <v>0.234375</v>
      </c>
      <c r="L3416" s="0" t="n">
        <f aca="false">D3416*F3416</f>
        <v>0.140625</v>
      </c>
      <c r="M3416" s="0" t="n">
        <f aca="false">E3416*F3416</f>
        <v>0.234375</v>
      </c>
      <c r="N3416" s="0" t="n">
        <f aca="false">D3416*D3416</f>
        <v>0.140625</v>
      </c>
      <c r="O3416" s="0" t="n">
        <f aca="false">E3416*E3416</f>
        <v>0.390625</v>
      </c>
      <c r="P3416" s="0" t="n">
        <f aca="false">F3416*F3416</f>
        <v>0.140625</v>
      </c>
      <c r="Q3416" s="0" t="n">
        <f aca="false">SUMPRODUCT(G3416:P3416,_XtX!$B$71:$K$71)</f>
        <v>50.2403196022727</v>
      </c>
      <c r="R3416" s="0" t="n">
        <f aca="false">SUMPRODUCT(MMULT(G3416:P3416,_XtX!$B$58:$K$67),G3416:P3416)</f>
        <v>0.175007213245739</v>
      </c>
      <c r="S3416" s="0" t="n">
        <f aca="false">04_回帰ANOVA!$K$19*04_回帰ANOVA!$K$14*SQRT(1+R3416)</f>
        <v>1.0078291195273</v>
      </c>
      <c r="T3416" s="0" t="n">
        <f aca="false">Q3416-S3416</f>
        <v>49.2324904827454</v>
      </c>
      <c r="U3416" s="0" t="n">
        <f aca="false">Q3416+S3416</f>
        <v>51.2481487218</v>
      </c>
      <c r="V3416" s="54" t="b">
        <f aca="false">AND(D3416&gt;=01_因子設定!$L$5-0.000000001,D3416&lt;=01_因子設定!$M$5+0.000000001,E3416&gt;=01_因子設定!$L$6-0.000000001,E3416&lt;=01_因子設定!$M$6+0.000000001,F3416&gt;=01_因子設定!$L$7-0.000000001,F3416&lt;=01_因子設定!$M$7+0.000000001,IF(01_因子設定!$B$20="Box-Behnken",D3416^2+E3416^2+F3416^2&lt;=2+0.000000001,TRUE()))</f>
        <v>1</v>
      </c>
      <c r="W3416" s="55" t="n">
        <f aca="false">IF(V3416,IF(01_因子設定!$B$13="最大化",T3416-01_因子設定!$B$14,IF(01_因子設定!$B$13="最小化",01_因子設定!$B$15-U3416,MIN(T3416-01_因子設定!$B$14,01_因子設定!$B$15-U3416))),-1E+030)</f>
        <v>0.732490482745433</v>
      </c>
      <c r="X3416" s="55" t="n">
        <f aca="false">IF(V3416,IF(01_因子設定!$B$13="最大化",Q3416,IF(01_因子設定!$B$13="最小化",-Q3416,-ABS(Q3416-01_因子設定!$B$16))),-1E+030)</f>
        <v>50.2403196022727</v>
      </c>
      <c r="Y3416" s="55" t="n">
        <f aca="false">W3416+ROW()*0.000000001</f>
        <v>0.732493898745433</v>
      </c>
      <c r="Z3416" s="55" t="n">
        <f aca="false">X3416+ROW()*0.000000001</f>
        <v>50.2403230182727</v>
      </c>
    </row>
    <row r="3417" customFormat="false" ht="15" hidden="false" customHeight="false" outlineLevel="0" collapsed="false">
      <c r="A3417" s="0" t="n">
        <v>11</v>
      </c>
      <c r="B3417" s="0" t="n">
        <v>13</v>
      </c>
      <c r="C3417" s="0" t="n">
        <v>12</v>
      </c>
      <c r="D3417" s="0" t="n">
        <f aca="false">-1+A3417*0.125</f>
        <v>0.375</v>
      </c>
      <c r="E3417" s="0" t="n">
        <f aca="false">-1+B3417*0.125</f>
        <v>0.625</v>
      </c>
      <c r="F3417" s="0" t="n">
        <f aca="false">-1+C3417*0.125</f>
        <v>0.5</v>
      </c>
      <c r="G3417" s="0" t="n">
        <f aca="false">1</f>
        <v>1</v>
      </c>
      <c r="H3417" s="0" t="n">
        <f aca="false">D3417</f>
        <v>0.375</v>
      </c>
      <c r="I3417" s="0" t="n">
        <f aca="false">E3417</f>
        <v>0.625</v>
      </c>
      <c r="J3417" s="0" t="n">
        <f aca="false">F3417</f>
        <v>0.5</v>
      </c>
      <c r="K3417" s="0" t="n">
        <f aca="false">D3417*E3417</f>
        <v>0.234375</v>
      </c>
      <c r="L3417" s="0" t="n">
        <f aca="false">D3417*F3417</f>
        <v>0.1875</v>
      </c>
      <c r="M3417" s="0" t="n">
        <f aca="false">E3417*F3417</f>
        <v>0.3125</v>
      </c>
      <c r="N3417" s="0" t="n">
        <f aca="false">D3417*D3417</f>
        <v>0.140625</v>
      </c>
      <c r="O3417" s="0" t="n">
        <f aca="false">E3417*E3417</f>
        <v>0.390625</v>
      </c>
      <c r="P3417" s="0" t="n">
        <f aca="false">F3417*F3417</f>
        <v>0.25</v>
      </c>
      <c r="Q3417" s="0" t="n">
        <f aca="false">SUMPRODUCT(G3417:P3417,_XtX!$B$71:$K$71)</f>
        <v>50.3121803977273</v>
      </c>
      <c r="R3417" s="0" t="n">
        <f aca="false">SUMPRODUCT(MMULT(G3417:P3417,_XtX!$B$58:$K$67),G3417:P3417)</f>
        <v>0.182953990589489</v>
      </c>
      <c r="S3417" s="0" t="n">
        <f aca="false">04_回帰ANOVA!$K$19*04_回帰ANOVA!$K$14*SQRT(1+R3417)</f>
        <v>1.01123143807044</v>
      </c>
      <c r="T3417" s="0" t="n">
        <f aca="false">Q3417-S3417</f>
        <v>49.3009489596568</v>
      </c>
      <c r="U3417" s="0" t="n">
        <f aca="false">Q3417+S3417</f>
        <v>51.3234118357977</v>
      </c>
      <c r="V3417" s="54" t="b">
        <f aca="false">AND(D3417&gt;=01_因子設定!$L$5-0.000000001,D3417&lt;=01_因子設定!$M$5+0.000000001,E3417&gt;=01_因子設定!$L$6-0.000000001,E3417&lt;=01_因子設定!$M$6+0.000000001,F3417&gt;=01_因子設定!$L$7-0.000000001,F3417&lt;=01_因子設定!$M$7+0.000000001,IF(01_因子設定!$B$20="Box-Behnken",D3417^2+E3417^2+F3417^2&lt;=2+0.000000001,TRUE()))</f>
        <v>1</v>
      </c>
      <c r="W3417" s="55" t="n">
        <f aca="false">IF(V3417,IF(01_因子設定!$B$13="最大化",T3417-01_因子設定!$B$14,IF(01_因子設定!$B$13="最小化",01_因子設定!$B$15-U3417,MIN(T3417-01_因子設定!$B$14,01_因子設定!$B$15-U3417))),-1E+030)</f>
        <v>0.800948959656843</v>
      </c>
      <c r="X3417" s="55" t="n">
        <f aca="false">IF(V3417,IF(01_因子設定!$B$13="最大化",Q3417,IF(01_因子設定!$B$13="最小化",-Q3417,-ABS(Q3417-01_因子設定!$B$16))),-1E+030)</f>
        <v>50.3121803977273</v>
      </c>
      <c r="Y3417" s="55" t="n">
        <f aca="false">W3417+ROW()*0.000000001</f>
        <v>0.800952376656843</v>
      </c>
      <c r="Z3417" s="55" t="n">
        <f aca="false">X3417+ROW()*0.000000001</f>
        <v>50.3121838147273</v>
      </c>
    </row>
    <row r="3418" customFormat="false" ht="15" hidden="false" customHeight="false" outlineLevel="0" collapsed="false">
      <c r="A3418" s="0" t="n">
        <v>11</v>
      </c>
      <c r="B3418" s="0" t="n">
        <v>13</v>
      </c>
      <c r="C3418" s="0" t="n">
        <v>13</v>
      </c>
      <c r="D3418" s="0" t="n">
        <f aca="false">-1+A3418*0.125</f>
        <v>0.375</v>
      </c>
      <c r="E3418" s="0" t="n">
        <f aca="false">-1+B3418*0.125</f>
        <v>0.625</v>
      </c>
      <c r="F3418" s="0" t="n">
        <f aca="false">-1+C3418*0.125</f>
        <v>0.625</v>
      </c>
      <c r="G3418" s="0" t="n">
        <f aca="false">1</f>
        <v>1</v>
      </c>
      <c r="H3418" s="0" t="n">
        <f aca="false">D3418</f>
        <v>0.375</v>
      </c>
      <c r="I3418" s="0" t="n">
        <f aca="false">E3418</f>
        <v>0.625</v>
      </c>
      <c r="J3418" s="0" t="n">
        <f aca="false">F3418</f>
        <v>0.625</v>
      </c>
      <c r="K3418" s="0" t="n">
        <f aca="false">D3418*E3418</f>
        <v>0.234375</v>
      </c>
      <c r="L3418" s="0" t="n">
        <f aca="false">D3418*F3418</f>
        <v>0.234375</v>
      </c>
      <c r="M3418" s="0" t="n">
        <f aca="false">E3418*F3418</f>
        <v>0.390625</v>
      </c>
      <c r="N3418" s="0" t="n">
        <f aca="false">D3418*D3418</f>
        <v>0.140625</v>
      </c>
      <c r="O3418" s="0" t="n">
        <f aca="false">E3418*E3418</f>
        <v>0.390625</v>
      </c>
      <c r="P3418" s="0" t="n">
        <f aca="false">F3418*F3418</f>
        <v>0.390625</v>
      </c>
      <c r="Q3418" s="0" t="n">
        <f aca="false">SUMPRODUCT(G3418:P3418,_XtX!$B$71:$K$71)</f>
        <v>50.3472514204546</v>
      </c>
      <c r="R3418" s="0" t="n">
        <f aca="false">SUMPRODUCT(MMULT(G3418:P3418,_XtX!$B$58:$K$67),G3418:P3418)</f>
        <v>0.20595536665483</v>
      </c>
      <c r="S3418" s="0" t="n">
        <f aca="false">04_回帰ANOVA!$K$19*04_回帰ANOVA!$K$14*SQRT(1+R3418)</f>
        <v>1.02101530762963</v>
      </c>
      <c r="T3418" s="0" t="n">
        <f aca="false">Q3418-S3418</f>
        <v>49.3262361128249</v>
      </c>
      <c r="U3418" s="0" t="n">
        <f aca="false">Q3418+S3418</f>
        <v>51.3682667280842</v>
      </c>
      <c r="V3418" s="54" t="b">
        <f aca="false">AND(D3418&gt;=01_因子設定!$L$5-0.000000001,D3418&lt;=01_因子設定!$M$5+0.000000001,E3418&gt;=01_因子設定!$L$6-0.000000001,E3418&lt;=01_因子設定!$M$6+0.000000001,F3418&gt;=01_因子設定!$L$7-0.000000001,F3418&lt;=01_因子設定!$M$7+0.000000001,IF(01_因子設定!$B$20="Box-Behnken",D3418^2+E3418^2+F3418^2&lt;=2+0.000000001,TRUE()))</f>
        <v>1</v>
      </c>
      <c r="W3418" s="55" t="n">
        <f aca="false">IF(V3418,IF(01_因子設定!$B$13="最大化",T3418-01_因子設定!$B$14,IF(01_因子設定!$B$13="最小化",01_因子設定!$B$15-U3418,MIN(T3418-01_因子設定!$B$14,01_因子設定!$B$15-U3418))),-1E+030)</f>
        <v>0.826236112824937</v>
      </c>
      <c r="X3418" s="55" t="n">
        <f aca="false">IF(V3418,IF(01_因子設定!$B$13="最大化",Q3418,IF(01_因子設定!$B$13="最小化",-Q3418,-ABS(Q3418-01_因子設定!$B$16))),-1E+030)</f>
        <v>50.3472514204546</v>
      </c>
      <c r="Y3418" s="55" t="n">
        <f aca="false">W3418+ROW()*0.000000001</f>
        <v>0.826239530824937</v>
      </c>
      <c r="Z3418" s="55" t="n">
        <f aca="false">X3418+ROW()*0.000000001</f>
        <v>50.3472548384546</v>
      </c>
    </row>
    <row r="3419" customFormat="false" ht="15" hidden="false" customHeight="false" outlineLevel="0" collapsed="false">
      <c r="A3419" s="0" t="n">
        <v>11</v>
      </c>
      <c r="B3419" s="0" t="n">
        <v>13</v>
      </c>
      <c r="C3419" s="0" t="n">
        <v>14</v>
      </c>
      <c r="D3419" s="0" t="n">
        <f aca="false">-1+A3419*0.125</f>
        <v>0.375</v>
      </c>
      <c r="E3419" s="0" t="n">
        <f aca="false">-1+B3419*0.125</f>
        <v>0.625</v>
      </c>
      <c r="F3419" s="0" t="n">
        <f aca="false">-1+C3419*0.125</f>
        <v>0.75</v>
      </c>
      <c r="G3419" s="0" t="n">
        <f aca="false">1</f>
        <v>1</v>
      </c>
      <c r="H3419" s="0" t="n">
        <f aca="false">D3419</f>
        <v>0.375</v>
      </c>
      <c r="I3419" s="0" t="n">
        <f aca="false">E3419</f>
        <v>0.625</v>
      </c>
      <c r="J3419" s="0" t="n">
        <f aca="false">F3419</f>
        <v>0.75</v>
      </c>
      <c r="K3419" s="0" t="n">
        <f aca="false">D3419*E3419</f>
        <v>0.234375</v>
      </c>
      <c r="L3419" s="0" t="n">
        <f aca="false">D3419*F3419</f>
        <v>0.28125</v>
      </c>
      <c r="M3419" s="0" t="n">
        <f aca="false">E3419*F3419</f>
        <v>0.46875</v>
      </c>
      <c r="N3419" s="0" t="n">
        <f aca="false">D3419*D3419</f>
        <v>0.140625</v>
      </c>
      <c r="O3419" s="0" t="n">
        <f aca="false">E3419*E3419</f>
        <v>0.390625</v>
      </c>
      <c r="P3419" s="0" t="n">
        <f aca="false">F3419*F3419</f>
        <v>0.5625</v>
      </c>
      <c r="Q3419" s="0" t="n">
        <f aca="false">SUMPRODUCT(G3419:P3419,_XtX!$B$71:$K$71)</f>
        <v>50.3455326704546</v>
      </c>
      <c r="R3419" s="0" t="n">
        <f aca="false">SUMPRODUCT(MMULT(G3419:P3419,_XtX!$B$58:$K$67),G3419:P3419)</f>
        <v>0.25359940962358</v>
      </c>
      <c r="S3419" s="0" t="n">
        <f aca="false">04_回帰ANOVA!$K$19*04_回帰ANOVA!$K$14*SQRT(1+R3419)</f>
        <v>1.04098872464599</v>
      </c>
      <c r="T3419" s="0" t="n">
        <f aca="false">Q3419-S3419</f>
        <v>49.3045439458086</v>
      </c>
      <c r="U3419" s="0" t="n">
        <f aca="false">Q3419+S3419</f>
        <v>51.3865213951006</v>
      </c>
      <c r="V3419" s="54" t="b">
        <f aca="false">AND(D3419&gt;=01_因子設定!$L$5-0.000000001,D3419&lt;=01_因子設定!$M$5+0.000000001,E3419&gt;=01_因子設定!$L$6-0.000000001,E3419&lt;=01_因子設定!$M$6+0.000000001,F3419&gt;=01_因子設定!$L$7-0.000000001,F3419&lt;=01_因子設定!$M$7+0.000000001,IF(01_因子設定!$B$20="Box-Behnken",D3419^2+E3419^2+F3419^2&lt;=2+0.000000001,TRUE()))</f>
        <v>1</v>
      </c>
      <c r="W3419" s="55" t="n">
        <f aca="false">IF(V3419,IF(01_因子設定!$B$13="最大化",T3419-01_因子設定!$B$14,IF(01_因子設定!$B$13="最小化",01_因子設定!$B$15-U3419,MIN(T3419-01_因子設定!$B$14,01_因子設定!$B$15-U3419))),-1E+030)</f>
        <v>0.804543945808582</v>
      </c>
      <c r="X3419" s="55" t="n">
        <f aca="false">IF(V3419,IF(01_因子設定!$B$13="最大化",Q3419,IF(01_因子設定!$B$13="最小化",-Q3419,-ABS(Q3419-01_因子設定!$B$16))),-1E+030)</f>
        <v>50.3455326704546</v>
      </c>
      <c r="Y3419" s="55" t="n">
        <f aca="false">W3419+ROW()*0.000000001</f>
        <v>0.804547364808582</v>
      </c>
      <c r="Z3419" s="55" t="n">
        <f aca="false">X3419+ROW()*0.000000001</f>
        <v>50.3455360894546</v>
      </c>
    </row>
    <row r="3420" customFormat="false" ht="15" hidden="false" customHeight="false" outlineLevel="0" collapsed="false">
      <c r="A3420" s="0" t="n">
        <v>11</v>
      </c>
      <c r="B3420" s="0" t="n">
        <v>13</v>
      </c>
      <c r="C3420" s="0" t="n">
        <v>15</v>
      </c>
      <c r="D3420" s="0" t="n">
        <f aca="false">-1+A3420*0.125</f>
        <v>0.375</v>
      </c>
      <c r="E3420" s="0" t="n">
        <f aca="false">-1+B3420*0.125</f>
        <v>0.625</v>
      </c>
      <c r="F3420" s="0" t="n">
        <f aca="false">-1+C3420*0.125</f>
        <v>0.875</v>
      </c>
      <c r="G3420" s="0" t="n">
        <f aca="false">1</f>
        <v>1</v>
      </c>
      <c r="H3420" s="0" t="n">
        <f aca="false">D3420</f>
        <v>0.375</v>
      </c>
      <c r="I3420" s="0" t="n">
        <f aca="false">E3420</f>
        <v>0.625</v>
      </c>
      <c r="J3420" s="0" t="n">
        <f aca="false">F3420</f>
        <v>0.875</v>
      </c>
      <c r="K3420" s="0" t="n">
        <f aca="false">D3420*E3420</f>
        <v>0.234375</v>
      </c>
      <c r="L3420" s="0" t="n">
        <f aca="false">D3420*F3420</f>
        <v>0.328125</v>
      </c>
      <c r="M3420" s="0" t="n">
        <f aca="false">E3420*F3420</f>
        <v>0.546875</v>
      </c>
      <c r="N3420" s="0" t="n">
        <f aca="false">D3420*D3420</f>
        <v>0.140625</v>
      </c>
      <c r="O3420" s="0" t="n">
        <f aca="false">E3420*E3420</f>
        <v>0.390625</v>
      </c>
      <c r="P3420" s="0" t="n">
        <f aca="false">F3420*F3420</f>
        <v>0.765625</v>
      </c>
      <c r="Q3420" s="0" t="n">
        <f aca="false">SUMPRODUCT(G3420:P3420,_XtX!$B$71:$K$71)</f>
        <v>50.3070241477273</v>
      </c>
      <c r="R3420" s="0" t="n">
        <f aca="false">SUMPRODUCT(MMULT(G3420:P3420,_XtX!$B$58:$K$67),G3420:P3420)</f>
        <v>0.337604869495739</v>
      </c>
      <c r="S3420" s="0" t="n">
        <f aca="false">04_回帰ANOVA!$K$19*04_回帰ANOVA!$K$14*SQRT(1+R3420)</f>
        <v>1.07530225516193</v>
      </c>
      <c r="T3420" s="0" t="n">
        <f aca="false">Q3420-S3420</f>
        <v>49.2317218925654</v>
      </c>
      <c r="U3420" s="0" t="n">
        <f aca="false">Q3420+S3420</f>
        <v>51.3823264028892</v>
      </c>
      <c r="V3420" s="54" t="b">
        <f aca="false">AND(D3420&gt;=01_因子設定!$L$5-0.000000001,D3420&lt;=01_因子設定!$M$5+0.000000001,E3420&gt;=01_因子設定!$L$6-0.000000001,E3420&lt;=01_因子設定!$M$6+0.000000001,F3420&gt;=01_因子設定!$L$7-0.000000001,F3420&lt;=01_因子設定!$M$7+0.000000001,IF(01_因子設定!$B$20="Box-Behnken",D3420^2+E3420^2+F3420^2&lt;=2+0.000000001,TRUE()))</f>
        <v>1</v>
      </c>
      <c r="W3420" s="55" t="n">
        <f aca="false">IF(V3420,IF(01_因子設定!$B$13="最大化",T3420-01_因子設定!$B$14,IF(01_因子設定!$B$13="最小化",01_因子設定!$B$15-U3420,MIN(T3420-01_因子設定!$B$14,01_因子設定!$B$15-U3420))),-1E+030)</f>
        <v>0.731721892565375</v>
      </c>
      <c r="X3420" s="55" t="n">
        <f aca="false">IF(V3420,IF(01_因子設定!$B$13="最大化",Q3420,IF(01_因子設定!$B$13="最小化",-Q3420,-ABS(Q3420-01_因子設定!$B$16))),-1E+030)</f>
        <v>50.3070241477273</v>
      </c>
      <c r="Y3420" s="55" t="n">
        <f aca="false">W3420+ROW()*0.000000001</f>
        <v>0.731725312565375</v>
      </c>
      <c r="Z3420" s="55" t="n">
        <f aca="false">X3420+ROW()*0.000000001</f>
        <v>50.3070275677273</v>
      </c>
    </row>
    <row r="3421" customFormat="false" ht="15" hidden="false" customHeight="false" outlineLevel="0" collapsed="false">
      <c r="A3421" s="0" t="n">
        <v>11</v>
      </c>
      <c r="B3421" s="0" t="n">
        <v>13</v>
      </c>
      <c r="C3421" s="0" t="n">
        <v>16</v>
      </c>
      <c r="D3421" s="0" t="n">
        <f aca="false">-1+A3421*0.125</f>
        <v>0.375</v>
      </c>
      <c r="E3421" s="0" t="n">
        <f aca="false">-1+B3421*0.125</f>
        <v>0.625</v>
      </c>
      <c r="F3421" s="0" t="n">
        <f aca="false">-1+C3421*0.125</f>
        <v>1</v>
      </c>
      <c r="G3421" s="0" t="n">
        <f aca="false">1</f>
        <v>1</v>
      </c>
      <c r="H3421" s="0" t="n">
        <f aca="false">D3421</f>
        <v>0.375</v>
      </c>
      <c r="I3421" s="0" t="n">
        <f aca="false">E3421</f>
        <v>0.625</v>
      </c>
      <c r="J3421" s="0" t="n">
        <f aca="false">F3421</f>
        <v>1</v>
      </c>
      <c r="K3421" s="0" t="n">
        <f aca="false">D3421*E3421</f>
        <v>0.234375</v>
      </c>
      <c r="L3421" s="0" t="n">
        <f aca="false">D3421*F3421</f>
        <v>0.375</v>
      </c>
      <c r="M3421" s="0" t="n">
        <f aca="false">E3421*F3421</f>
        <v>0.625</v>
      </c>
      <c r="N3421" s="0" t="n">
        <f aca="false">D3421*D3421</f>
        <v>0.140625</v>
      </c>
      <c r="O3421" s="0" t="n">
        <f aca="false">E3421*E3421</f>
        <v>0.390625</v>
      </c>
      <c r="P3421" s="0" t="n">
        <f aca="false">F3421*F3421</f>
        <v>1</v>
      </c>
      <c r="Q3421" s="0" t="n">
        <f aca="false">SUMPRODUCT(G3421:P3421,_XtX!$B$71:$K$71)</f>
        <v>50.2317258522728</v>
      </c>
      <c r="R3421" s="0" t="n">
        <f aca="false">SUMPRODUCT(MMULT(G3421:P3421,_XtX!$B$58:$K$67),G3421:P3421)</f>
        <v>0.471821178089489</v>
      </c>
      <c r="S3421" s="0" t="n">
        <f aca="false">04_回帰ANOVA!$K$19*04_回帰ANOVA!$K$14*SQRT(1+R3421)</f>
        <v>1.12796119746125</v>
      </c>
      <c r="T3421" s="0" t="n">
        <f aca="false">Q3421-S3421</f>
        <v>49.1037646548115</v>
      </c>
      <c r="U3421" s="0" t="n">
        <f aca="false">Q3421+S3421</f>
        <v>51.359687049734</v>
      </c>
      <c r="V3421" s="54" t="b">
        <f aca="false">AND(D3421&gt;=01_因子設定!$L$5-0.000000001,D3421&lt;=01_因子設定!$M$5+0.000000001,E3421&gt;=01_因子設定!$L$6-0.000000001,E3421&lt;=01_因子設定!$M$6+0.000000001,F3421&gt;=01_因子設定!$L$7-0.000000001,F3421&lt;=01_因子設定!$M$7+0.000000001,IF(01_因子設定!$B$20="Box-Behnken",D3421^2+E3421^2+F3421^2&lt;=2+0.000000001,TRUE()))</f>
        <v>1</v>
      </c>
      <c r="W3421" s="55" t="n">
        <f aca="false">IF(V3421,IF(01_因子設定!$B$13="最大化",T3421-01_因子設定!$B$14,IF(01_因子設定!$B$13="最小化",01_因子設定!$B$15-U3421,MIN(T3421-01_因子設定!$B$14,01_因子設定!$B$15-U3421))),-1E+030)</f>
        <v>0.603764654811499</v>
      </c>
      <c r="X3421" s="55" t="n">
        <f aca="false">IF(V3421,IF(01_因子設定!$B$13="最大化",Q3421,IF(01_因子設定!$B$13="最小化",-Q3421,-ABS(Q3421-01_因子設定!$B$16))),-1E+030)</f>
        <v>50.2317258522728</v>
      </c>
      <c r="Y3421" s="55" t="n">
        <f aca="false">W3421+ROW()*0.000000001</f>
        <v>0.603768075811499</v>
      </c>
      <c r="Z3421" s="55" t="n">
        <f aca="false">X3421+ROW()*0.000000001</f>
        <v>50.2317292732728</v>
      </c>
    </row>
    <row r="3422" customFormat="false" ht="15" hidden="false" customHeight="false" outlineLevel="0" collapsed="false">
      <c r="A3422" s="0" t="n">
        <v>11</v>
      </c>
      <c r="B3422" s="0" t="n">
        <v>14</v>
      </c>
      <c r="C3422" s="0" t="n">
        <v>0</v>
      </c>
      <c r="D3422" s="0" t="n">
        <f aca="false">-1+A3422*0.125</f>
        <v>0.375</v>
      </c>
      <c r="E3422" s="0" t="n">
        <f aca="false">-1+B3422*0.125</f>
        <v>0.75</v>
      </c>
      <c r="F3422" s="0" t="n">
        <f aca="false">-1+C3422*0.125</f>
        <v>-1</v>
      </c>
      <c r="G3422" s="0" t="n">
        <f aca="false">1</f>
        <v>1</v>
      </c>
      <c r="H3422" s="0" t="n">
        <f aca="false">D3422</f>
        <v>0.375</v>
      </c>
      <c r="I3422" s="0" t="n">
        <f aca="false">E3422</f>
        <v>0.75</v>
      </c>
      <c r="J3422" s="0" t="n">
        <f aca="false">F3422</f>
        <v>-1</v>
      </c>
      <c r="K3422" s="0" t="n">
        <f aca="false">D3422*E3422</f>
        <v>0.28125</v>
      </c>
      <c r="L3422" s="0" t="n">
        <f aca="false">D3422*F3422</f>
        <v>-0.375</v>
      </c>
      <c r="M3422" s="0" t="n">
        <f aca="false">E3422*F3422</f>
        <v>-0.75</v>
      </c>
      <c r="N3422" s="0" t="n">
        <f aca="false">D3422*D3422</f>
        <v>0.140625</v>
      </c>
      <c r="O3422" s="0" t="n">
        <f aca="false">E3422*E3422</f>
        <v>0.5625</v>
      </c>
      <c r="P3422" s="0" t="n">
        <f aca="false">F3422*F3422</f>
        <v>1</v>
      </c>
      <c r="Q3422" s="0" t="n">
        <f aca="false">SUMPRODUCT(G3422:P3422,_XtX!$B$71:$K$71)</f>
        <v>46.9332102272728</v>
      </c>
      <c r="R3422" s="0" t="n">
        <f aca="false">SUMPRODUCT(MMULT(G3422:P3422,_XtX!$B$58:$K$67),G3422:P3422)</f>
        <v>0.503992808948864</v>
      </c>
      <c r="S3422" s="0" t="n">
        <f aca="false">04_回帰ANOVA!$K$19*04_回帰ANOVA!$K$14*SQRT(1+R3422)</f>
        <v>1.14022226176226</v>
      </c>
      <c r="T3422" s="0" t="n">
        <f aca="false">Q3422-S3422</f>
        <v>45.7929879655105</v>
      </c>
      <c r="U3422" s="0" t="n">
        <f aca="false">Q3422+S3422</f>
        <v>48.073432489035</v>
      </c>
      <c r="V3422" s="54" t="b">
        <f aca="false">AND(D3422&gt;=01_因子設定!$L$5-0.000000001,D3422&lt;=01_因子設定!$M$5+0.000000001,E3422&gt;=01_因子設定!$L$6-0.000000001,E3422&lt;=01_因子設定!$M$6+0.000000001,F3422&gt;=01_因子設定!$L$7-0.000000001,F3422&lt;=01_因子設定!$M$7+0.000000001,IF(01_因子設定!$B$20="Box-Behnken",D3422^2+E3422^2+F3422^2&lt;=2+0.000000001,TRUE()))</f>
        <v>1</v>
      </c>
      <c r="W3422" s="55" t="n">
        <f aca="false">IF(V3422,IF(01_因子設定!$B$13="最大化",T3422-01_因子設定!$B$14,IF(01_因子設定!$B$13="最小化",01_因子設定!$B$15-U3422,MIN(T3422-01_因子設定!$B$14,01_因子設定!$B$15-U3422))),-1E+030)</f>
        <v>-2.70701203448951</v>
      </c>
      <c r="X3422" s="55" t="n">
        <f aca="false">IF(V3422,IF(01_因子設定!$B$13="最大化",Q3422,IF(01_因子設定!$B$13="最小化",-Q3422,-ABS(Q3422-01_因子設定!$B$16))),-1E+030)</f>
        <v>46.9332102272728</v>
      </c>
      <c r="Y3422" s="55" t="n">
        <f aca="false">W3422+ROW()*0.000000001</f>
        <v>-2.70700861248951</v>
      </c>
      <c r="Z3422" s="55" t="n">
        <f aca="false">X3422+ROW()*0.000000001</f>
        <v>46.9332136492728</v>
      </c>
    </row>
    <row r="3423" customFormat="false" ht="15" hidden="false" customHeight="false" outlineLevel="0" collapsed="false">
      <c r="A3423" s="0" t="n">
        <v>11</v>
      </c>
      <c r="B3423" s="0" t="n">
        <v>14</v>
      </c>
      <c r="C3423" s="0" t="n">
        <v>1</v>
      </c>
      <c r="D3423" s="0" t="n">
        <f aca="false">-1+A3423*0.125</f>
        <v>0.375</v>
      </c>
      <c r="E3423" s="0" t="n">
        <f aca="false">-1+B3423*0.125</f>
        <v>0.75</v>
      </c>
      <c r="F3423" s="0" t="n">
        <f aca="false">-1+C3423*0.125</f>
        <v>-0.875</v>
      </c>
      <c r="G3423" s="0" t="n">
        <f aca="false">1</f>
        <v>1</v>
      </c>
      <c r="H3423" s="0" t="n">
        <f aca="false">D3423</f>
        <v>0.375</v>
      </c>
      <c r="I3423" s="0" t="n">
        <f aca="false">E3423</f>
        <v>0.75</v>
      </c>
      <c r="J3423" s="0" t="n">
        <f aca="false">F3423</f>
        <v>-0.875</v>
      </c>
      <c r="K3423" s="0" t="n">
        <f aca="false">D3423*E3423</f>
        <v>0.28125</v>
      </c>
      <c r="L3423" s="0" t="n">
        <f aca="false">D3423*F3423</f>
        <v>-0.328125</v>
      </c>
      <c r="M3423" s="0" t="n">
        <f aca="false">E3423*F3423</f>
        <v>-0.65625</v>
      </c>
      <c r="N3423" s="0" t="n">
        <f aca="false">D3423*D3423</f>
        <v>0.140625</v>
      </c>
      <c r="O3423" s="0" t="n">
        <f aca="false">E3423*E3423</f>
        <v>0.5625</v>
      </c>
      <c r="P3423" s="0" t="n">
        <f aca="false">F3423*F3423</f>
        <v>0.765625</v>
      </c>
      <c r="Q3423" s="0" t="n">
        <f aca="false">SUMPRODUCT(G3423:P3423,_XtX!$B$71:$K$71)</f>
        <v>47.4167897727273</v>
      </c>
      <c r="R3423" s="0" t="n">
        <f aca="false">SUMPRODUCT(MMULT(G3423:P3423,_XtX!$B$58:$K$67),G3423:P3423)</f>
        <v>0.375727428089489</v>
      </c>
      <c r="S3423" s="0" t="n">
        <f aca="false">04_回帰ANOVA!$K$19*04_回帰ANOVA!$K$14*SQRT(1+R3423)</f>
        <v>1.09051798904087</v>
      </c>
      <c r="T3423" s="0" t="n">
        <f aca="false">Q3423-S3423</f>
        <v>46.3262717836864</v>
      </c>
      <c r="U3423" s="0" t="n">
        <f aca="false">Q3423+S3423</f>
        <v>48.5073077617682</v>
      </c>
      <c r="V3423" s="54" t="b">
        <f aca="false">AND(D3423&gt;=01_因子設定!$L$5-0.000000001,D3423&lt;=01_因子設定!$M$5+0.000000001,E3423&gt;=01_因子設定!$L$6-0.000000001,E3423&lt;=01_因子設定!$M$6+0.000000001,F3423&gt;=01_因子設定!$L$7-0.000000001,F3423&lt;=01_因子設定!$M$7+0.000000001,IF(01_因子設定!$B$20="Box-Behnken",D3423^2+E3423^2+F3423^2&lt;=2+0.000000001,TRUE()))</f>
        <v>1</v>
      </c>
      <c r="W3423" s="55" t="n">
        <f aca="false">IF(V3423,IF(01_因子設定!$B$13="最大化",T3423-01_因子設定!$B$14,IF(01_因子設定!$B$13="最小化",01_因子設定!$B$15-U3423,MIN(T3423-01_因子設定!$B$14,01_因子設定!$B$15-U3423))),-1E+030)</f>
        <v>-2.17372821631358</v>
      </c>
      <c r="X3423" s="55" t="n">
        <f aca="false">IF(V3423,IF(01_因子設定!$B$13="最大化",Q3423,IF(01_因子設定!$B$13="最小化",-Q3423,-ABS(Q3423-01_因子設定!$B$16))),-1E+030)</f>
        <v>47.4167897727273</v>
      </c>
      <c r="Y3423" s="55" t="n">
        <f aca="false">W3423+ROW()*0.000000001</f>
        <v>-2.17372479331358</v>
      </c>
      <c r="Z3423" s="55" t="n">
        <f aca="false">X3423+ROW()*0.000000001</f>
        <v>47.4167931957273</v>
      </c>
    </row>
    <row r="3424" customFormat="false" ht="15" hidden="false" customHeight="false" outlineLevel="0" collapsed="false">
      <c r="A3424" s="0" t="n">
        <v>11</v>
      </c>
      <c r="B3424" s="0" t="n">
        <v>14</v>
      </c>
      <c r="C3424" s="0" t="n">
        <v>2</v>
      </c>
      <c r="D3424" s="0" t="n">
        <f aca="false">-1+A3424*0.125</f>
        <v>0.375</v>
      </c>
      <c r="E3424" s="0" t="n">
        <f aca="false">-1+B3424*0.125</f>
        <v>0.75</v>
      </c>
      <c r="F3424" s="0" t="n">
        <f aca="false">-1+C3424*0.125</f>
        <v>-0.75</v>
      </c>
      <c r="G3424" s="0" t="n">
        <f aca="false">1</f>
        <v>1</v>
      </c>
      <c r="H3424" s="0" t="n">
        <f aca="false">D3424</f>
        <v>0.375</v>
      </c>
      <c r="I3424" s="0" t="n">
        <f aca="false">E3424</f>
        <v>0.75</v>
      </c>
      <c r="J3424" s="0" t="n">
        <f aca="false">F3424</f>
        <v>-0.75</v>
      </c>
      <c r="K3424" s="0" t="n">
        <f aca="false">D3424*E3424</f>
        <v>0.28125</v>
      </c>
      <c r="L3424" s="0" t="n">
        <f aca="false">D3424*F3424</f>
        <v>-0.28125</v>
      </c>
      <c r="M3424" s="0" t="n">
        <f aca="false">E3424*F3424</f>
        <v>-0.5625</v>
      </c>
      <c r="N3424" s="0" t="n">
        <f aca="false">D3424*D3424</f>
        <v>0.140625</v>
      </c>
      <c r="O3424" s="0" t="n">
        <f aca="false">E3424*E3424</f>
        <v>0.5625</v>
      </c>
      <c r="P3424" s="0" t="n">
        <f aca="false">F3424*F3424</f>
        <v>0.5625</v>
      </c>
      <c r="Q3424" s="0" t="n">
        <f aca="false">SUMPRODUCT(G3424:P3424,_XtX!$B$71:$K$71)</f>
        <v>47.8635795454546</v>
      </c>
      <c r="R3424" s="0" t="n">
        <f aca="false">SUMPRODUCT(MMULT(G3424:P3424,_XtX!$B$58:$K$67),G3424:P3424)</f>
        <v>0.296879438920455</v>
      </c>
      <c r="S3424" s="0" t="n">
        <f aca="false">04_回帰ANOVA!$K$19*04_回帰ANOVA!$K$14*SQRT(1+R3424)</f>
        <v>1.05880610927316</v>
      </c>
      <c r="T3424" s="0" t="n">
        <f aca="false">Q3424-S3424</f>
        <v>46.8047734361814</v>
      </c>
      <c r="U3424" s="0" t="n">
        <f aca="false">Q3424+S3424</f>
        <v>48.9223856547277</v>
      </c>
      <c r="V3424" s="54" t="b">
        <f aca="false">AND(D3424&gt;=01_因子設定!$L$5-0.000000001,D3424&lt;=01_因子設定!$M$5+0.000000001,E3424&gt;=01_因子設定!$L$6-0.000000001,E3424&lt;=01_因子設定!$M$6+0.000000001,F3424&gt;=01_因子設定!$L$7-0.000000001,F3424&lt;=01_因子設定!$M$7+0.000000001,IF(01_因子設定!$B$20="Box-Behnken",D3424^2+E3424^2+F3424^2&lt;=2+0.000000001,TRUE()))</f>
        <v>1</v>
      </c>
      <c r="W3424" s="55" t="n">
        <f aca="false">IF(V3424,IF(01_因子設定!$B$13="最大化",T3424-01_因子設定!$B$14,IF(01_因子設定!$B$13="最小化",01_因子設定!$B$15-U3424,MIN(T3424-01_因子設定!$B$14,01_因子設定!$B$15-U3424))),-1E+030)</f>
        <v>-1.6952265638186</v>
      </c>
      <c r="X3424" s="55" t="n">
        <f aca="false">IF(V3424,IF(01_因子設定!$B$13="最大化",Q3424,IF(01_因子設定!$B$13="最小化",-Q3424,-ABS(Q3424-01_因子設定!$B$16))),-1E+030)</f>
        <v>47.8635795454546</v>
      </c>
      <c r="Y3424" s="55" t="n">
        <f aca="false">W3424+ROW()*0.000000001</f>
        <v>-1.6952231398186</v>
      </c>
      <c r="Z3424" s="55" t="n">
        <f aca="false">X3424+ROW()*0.000000001</f>
        <v>47.8635829694546</v>
      </c>
    </row>
    <row r="3425" customFormat="false" ht="15" hidden="false" customHeight="false" outlineLevel="0" collapsed="false">
      <c r="A3425" s="0" t="n">
        <v>11</v>
      </c>
      <c r="B3425" s="0" t="n">
        <v>14</v>
      </c>
      <c r="C3425" s="0" t="n">
        <v>3</v>
      </c>
      <c r="D3425" s="0" t="n">
        <f aca="false">-1+A3425*0.125</f>
        <v>0.375</v>
      </c>
      <c r="E3425" s="0" t="n">
        <f aca="false">-1+B3425*0.125</f>
        <v>0.75</v>
      </c>
      <c r="F3425" s="0" t="n">
        <f aca="false">-1+C3425*0.125</f>
        <v>-0.625</v>
      </c>
      <c r="G3425" s="0" t="n">
        <f aca="false">1</f>
        <v>1</v>
      </c>
      <c r="H3425" s="0" t="n">
        <f aca="false">D3425</f>
        <v>0.375</v>
      </c>
      <c r="I3425" s="0" t="n">
        <f aca="false">E3425</f>
        <v>0.75</v>
      </c>
      <c r="J3425" s="0" t="n">
        <f aca="false">F3425</f>
        <v>-0.625</v>
      </c>
      <c r="K3425" s="0" t="n">
        <f aca="false">D3425*E3425</f>
        <v>0.28125</v>
      </c>
      <c r="L3425" s="0" t="n">
        <f aca="false">D3425*F3425</f>
        <v>-0.234375</v>
      </c>
      <c r="M3425" s="0" t="n">
        <f aca="false">E3425*F3425</f>
        <v>-0.46875</v>
      </c>
      <c r="N3425" s="0" t="n">
        <f aca="false">D3425*D3425</f>
        <v>0.140625</v>
      </c>
      <c r="O3425" s="0" t="n">
        <f aca="false">E3425*E3425</f>
        <v>0.5625</v>
      </c>
      <c r="P3425" s="0" t="n">
        <f aca="false">F3425*F3425</f>
        <v>0.390625</v>
      </c>
      <c r="Q3425" s="0" t="n">
        <f aca="false">SUMPRODUCT(G3425:P3425,_XtX!$B$71:$K$71)</f>
        <v>48.2735795454546</v>
      </c>
      <c r="R3425" s="0" t="n">
        <f aca="false">SUMPRODUCT(MMULT(G3425:P3425,_XtX!$B$58:$K$67),G3425:P3425)</f>
        <v>0.25359940962358</v>
      </c>
      <c r="S3425" s="0" t="n">
        <f aca="false">04_回帰ANOVA!$K$19*04_回帰ANOVA!$K$14*SQRT(1+R3425)</f>
        <v>1.04098872464599</v>
      </c>
      <c r="T3425" s="0" t="n">
        <f aca="false">Q3425-S3425</f>
        <v>47.2325908208086</v>
      </c>
      <c r="U3425" s="0" t="n">
        <f aca="false">Q3425+S3425</f>
        <v>49.3145682701005</v>
      </c>
      <c r="V3425" s="54" t="b">
        <f aca="false">AND(D3425&gt;=01_因子設定!$L$5-0.000000001,D3425&lt;=01_因子設定!$M$5+0.000000001,E3425&gt;=01_因子設定!$L$6-0.000000001,E3425&lt;=01_因子設定!$M$6+0.000000001,F3425&gt;=01_因子設定!$L$7-0.000000001,F3425&lt;=01_因子設定!$M$7+0.000000001,IF(01_因子設定!$B$20="Box-Behnken",D3425^2+E3425^2+F3425^2&lt;=2+0.000000001,TRUE()))</f>
        <v>1</v>
      </c>
      <c r="W3425" s="55" t="n">
        <f aca="false">IF(V3425,IF(01_因子設定!$B$13="最大化",T3425-01_因子設定!$B$14,IF(01_因子設定!$B$13="最小化",01_因子設定!$B$15-U3425,MIN(T3425-01_因子設定!$B$14,01_因子設定!$B$15-U3425))),-1E+030)</f>
        <v>-1.26740917919143</v>
      </c>
      <c r="X3425" s="55" t="n">
        <f aca="false">IF(V3425,IF(01_因子設定!$B$13="最大化",Q3425,IF(01_因子設定!$B$13="最小化",-Q3425,-ABS(Q3425-01_因子設定!$B$16))),-1E+030)</f>
        <v>48.2735795454546</v>
      </c>
      <c r="Y3425" s="55" t="n">
        <f aca="false">W3425+ROW()*0.000000001</f>
        <v>-1.26740575419143</v>
      </c>
      <c r="Z3425" s="55" t="n">
        <f aca="false">X3425+ROW()*0.000000001</f>
        <v>48.2735829704546</v>
      </c>
    </row>
    <row r="3426" customFormat="false" ht="15" hidden="false" customHeight="false" outlineLevel="0" collapsed="false">
      <c r="A3426" s="0" t="n">
        <v>11</v>
      </c>
      <c r="B3426" s="0" t="n">
        <v>14</v>
      </c>
      <c r="C3426" s="0" t="n">
        <v>4</v>
      </c>
      <c r="D3426" s="0" t="n">
        <f aca="false">-1+A3426*0.125</f>
        <v>0.375</v>
      </c>
      <c r="E3426" s="0" t="n">
        <f aca="false">-1+B3426*0.125</f>
        <v>0.75</v>
      </c>
      <c r="F3426" s="0" t="n">
        <f aca="false">-1+C3426*0.125</f>
        <v>-0.5</v>
      </c>
      <c r="G3426" s="0" t="n">
        <f aca="false">1</f>
        <v>1</v>
      </c>
      <c r="H3426" s="0" t="n">
        <f aca="false">D3426</f>
        <v>0.375</v>
      </c>
      <c r="I3426" s="0" t="n">
        <f aca="false">E3426</f>
        <v>0.75</v>
      </c>
      <c r="J3426" s="0" t="n">
        <f aca="false">F3426</f>
        <v>-0.5</v>
      </c>
      <c r="K3426" s="0" t="n">
        <f aca="false">D3426*E3426</f>
        <v>0.28125</v>
      </c>
      <c r="L3426" s="0" t="n">
        <f aca="false">D3426*F3426</f>
        <v>-0.1875</v>
      </c>
      <c r="M3426" s="0" t="n">
        <f aca="false">E3426*F3426</f>
        <v>-0.375</v>
      </c>
      <c r="N3426" s="0" t="n">
        <f aca="false">D3426*D3426</f>
        <v>0.140625</v>
      </c>
      <c r="O3426" s="0" t="n">
        <f aca="false">E3426*E3426</f>
        <v>0.5625</v>
      </c>
      <c r="P3426" s="0" t="n">
        <f aca="false">F3426*F3426</f>
        <v>0.25</v>
      </c>
      <c r="Q3426" s="0" t="n">
        <f aca="false">SUMPRODUCT(G3426:P3426,_XtX!$B$71:$K$71)</f>
        <v>48.6467897727273</v>
      </c>
      <c r="R3426" s="0" t="n">
        <f aca="false">SUMPRODUCT(MMULT(G3426:P3426,_XtX!$B$58:$K$67),G3426:P3426)</f>
        <v>0.234168590198864</v>
      </c>
      <c r="S3426" s="0" t="n">
        <f aca="false">04_回帰ANOVA!$K$19*04_回帰ANOVA!$K$14*SQRT(1+R3426)</f>
        <v>1.03288954322488</v>
      </c>
      <c r="T3426" s="0" t="n">
        <f aca="false">Q3426-S3426</f>
        <v>47.6139002295024</v>
      </c>
      <c r="U3426" s="0" t="n">
        <f aca="false">Q3426+S3426</f>
        <v>49.6796793159522</v>
      </c>
      <c r="V3426" s="54" t="b">
        <f aca="false">AND(D3426&gt;=01_因子設定!$L$5-0.000000001,D3426&lt;=01_因子設定!$M$5+0.000000001,E3426&gt;=01_因子設定!$L$6-0.000000001,E3426&lt;=01_因子設定!$M$6+0.000000001,F3426&gt;=01_因子設定!$L$7-0.000000001,F3426&lt;=01_因子設定!$M$7+0.000000001,IF(01_因子設定!$B$20="Box-Behnken",D3426^2+E3426^2+F3426^2&lt;=2+0.000000001,TRUE()))</f>
        <v>1</v>
      </c>
      <c r="W3426" s="55" t="n">
        <f aca="false">IF(V3426,IF(01_因子設定!$B$13="最大化",T3426-01_因子設定!$B$14,IF(01_因子設定!$B$13="最小化",01_因子設定!$B$15-U3426,MIN(T3426-01_因子設定!$B$14,01_因子設定!$B$15-U3426))),-1E+030)</f>
        <v>-0.886099770497587</v>
      </c>
      <c r="X3426" s="55" t="n">
        <f aca="false">IF(V3426,IF(01_因子設定!$B$13="最大化",Q3426,IF(01_因子設定!$B$13="最小化",-Q3426,-ABS(Q3426-01_因子設定!$B$16))),-1E+030)</f>
        <v>48.6467897727273</v>
      </c>
      <c r="Y3426" s="55" t="n">
        <f aca="false">W3426+ROW()*0.000000001</f>
        <v>-0.886096344497587</v>
      </c>
      <c r="Z3426" s="55" t="n">
        <f aca="false">X3426+ROW()*0.000000001</f>
        <v>48.6467931987273</v>
      </c>
    </row>
    <row r="3427" customFormat="false" ht="15" hidden="false" customHeight="false" outlineLevel="0" collapsed="false">
      <c r="A3427" s="0" t="n">
        <v>11</v>
      </c>
      <c r="B3427" s="0" t="n">
        <v>14</v>
      </c>
      <c r="C3427" s="0" t="n">
        <v>5</v>
      </c>
      <c r="D3427" s="0" t="n">
        <f aca="false">-1+A3427*0.125</f>
        <v>0.375</v>
      </c>
      <c r="E3427" s="0" t="n">
        <f aca="false">-1+B3427*0.125</f>
        <v>0.75</v>
      </c>
      <c r="F3427" s="0" t="n">
        <f aca="false">-1+C3427*0.125</f>
        <v>-0.375</v>
      </c>
      <c r="G3427" s="0" t="n">
        <f aca="false">1</f>
        <v>1</v>
      </c>
      <c r="H3427" s="0" t="n">
        <f aca="false">D3427</f>
        <v>0.375</v>
      </c>
      <c r="I3427" s="0" t="n">
        <f aca="false">E3427</f>
        <v>0.75</v>
      </c>
      <c r="J3427" s="0" t="n">
        <f aca="false">F3427</f>
        <v>-0.375</v>
      </c>
      <c r="K3427" s="0" t="n">
        <f aca="false">D3427*E3427</f>
        <v>0.28125</v>
      </c>
      <c r="L3427" s="0" t="n">
        <f aca="false">D3427*F3427</f>
        <v>-0.140625</v>
      </c>
      <c r="M3427" s="0" t="n">
        <f aca="false">E3427*F3427</f>
        <v>-0.28125</v>
      </c>
      <c r="N3427" s="0" t="n">
        <f aca="false">D3427*D3427</f>
        <v>0.140625</v>
      </c>
      <c r="O3427" s="0" t="n">
        <f aca="false">E3427*E3427</f>
        <v>0.5625</v>
      </c>
      <c r="P3427" s="0" t="n">
        <f aca="false">F3427*F3427</f>
        <v>0.140625</v>
      </c>
      <c r="Q3427" s="0" t="n">
        <f aca="false">SUMPRODUCT(G3427:P3427,_XtX!$B$71:$K$71)</f>
        <v>48.9832102272727</v>
      </c>
      <c r="R3427" s="0" t="n">
        <f aca="false">SUMPRODUCT(MMULT(G3427:P3427,_XtX!$B$58:$K$67),G3427:P3427)</f>
        <v>0.228998912464489</v>
      </c>
      <c r="S3427" s="0" t="n">
        <f aca="false">04_回帰ANOVA!$K$19*04_回帰ANOVA!$K$14*SQRT(1+R3427)</f>
        <v>1.03072399242813</v>
      </c>
      <c r="T3427" s="0" t="n">
        <f aca="false">Q3427-S3427</f>
        <v>47.9524862348446</v>
      </c>
      <c r="U3427" s="0" t="n">
        <f aca="false">Q3427+S3427</f>
        <v>50.0139342197009</v>
      </c>
      <c r="V3427" s="54" t="b">
        <f aca="false">AND(D3427&gt;=01_因子設定!$L$5-0.000000001,D3427&lt;=01_因子設定!$M$5+0.000000001,E3427&gt;=01_因子設定!$L$6-0.000000001,E3427&lt;=01_因子設定!$M$6+0.000000001,F3427&gt;=01_因子設定!$L$7-0.000000001,F3427&lt;=01_因子設定!$M$7+0.000000001,IF(01_因子設定!$B$20="Box-Behnken",D3427^2+E3427^2+F3427^2&lt;=2+0.000000001,TRUE()))</f>
        <v>1</v>
      </c>
      <c r="W3427" s="55" t="n">
        <f aca="false">IF(V3427,IF(01_因子設定!$B$13="最大化",T3427-01_因子設定!$B$14,IF(01_因子設定!$B$13="最小化",01_因子設定!$B$15-U3427,MIN(T3427-01_因子設定!$B$14,01_因子設定!$B$15-U3427))),-1E+030)</f>
        <v>-0.547513765155394</v>
      </c>
      <c r="X3427" s="55" t="n">
        <f aca="false">IF(V3427,IF(01_因子設定!$B$13="最大化",Q3427,IF(01_因子設定!$B$13="最小化",-Q3427,-ABS(Q3427-01_因子設定!$B$16))),-1E+030)</f>
        <v>48.9832102272727</v>
      </c>
      <c r="Y3427" s="55" t="n">
        <f aca="false">W3427+ROW()*0.000000001</f>
        <v>-0.547510338155394</v>
      </c>
      <c r="Z3427" s="55" t="n">
        <f aca="false">X3427+ROW()*0.000000001</f>
        <v>48.9832136542727</v>
      </c>
    </row>
    <row r="3428" customFormat="false" ht="15" hidden="false" customHeight="false" outlineLevel="0" collapsed="false">
      <c r="A3428" s="0" t="n">
        <v>11</v>
      </c>
      <c r="B3428" s="0" t="n">
        <v>14</v>
      </c>
      <c r="C3428" s="0" t="n">
        <v>6</v>
      </c>
      <c r="D3428" s="0" t="n">
        <f aca="false">-1+A3428*0.125</f>
        <v>0.375</v>
      </c>
      <c r="E3428" s="0" t="n">
        <f aca="false">-1+B3428*0.125</f>
        <v>0.75</v>
      </c>
      <c r="F3428" s="0" t="n">
        <f aca="false">-1+C3428*0.125</f>
        <v>-0.25</v>
      </c>
      <c r="G3428" s="0" t="n">
        <f aca="false">1</f>
        <v>1</v>
      </c>
      <c r="H3428" s="0" t="n">
        <f aca="false">D3428</f>
        <v>0.375</v>
      </c>
      <c r="I3428" s="0" t="n">
        <f aca="false">E3428</f>
        <v>0.75</v>
      </c>
      <c r="J3428" s="0" t="n">
        <f aca="false">F3428</f>
        <v>-0.25</v>
      </c>
      <c r="K3428" s="0" t="n">
        <f aca="false">D3428*E3428</f>
        <v>0.28125</v>
      </c>
      <c r="L3428" s="0" t="n">
        <f aca="false">D3428*F3428</f>
        <v>-0.09375</v>
      </c>
      <c r="M3428" s="0" t="n">
        <f aca="false">E3428*F3428</f>
        <v>-0.1875</v>
      </c>
      <c r="N3428" s="0" t="n">
        <f aca="false">D3428*D3428</f>
        <v>0.140625</v>
      </c>
      <c r="O3428" s="0" t="n">
        <f aca="false">E3428*E3428</f>
        <v>0.5625</v>
      </c>
      <c r="P3428" s="0" t="n">
        <f aca="false">F3428*F3428</f>
        <v>0.0625</v>
      </c>
      <c r="Q3428" s="0" t="n">
        <f aca="false">SUMPRODUCT(G3428:P3428,_XtX!$B$71:$K$71)</f>
        <v>49.2828409090909</v>
      </c>
      <c r="R3428" s="0" t="n">
        <f aca="false">SUMPRODUCT(MMULT(G3428:P3428,_XtX!$B$58:$K$67),G3428:P3428)</f>
        <v>0.230632990056818</v>
      </c>
      <c r="S3428" s="0" t="n">
        <f aca="false">04_回帰ANOVA!$K$19*04_回帰ANOVA!$K$14*SQRT(1+R3428)</f>
        <v>1.03140899038819</v>
      </c>
      <c r="T3428" s="0" t="n">
        <f aca="false">Q3428-S3428</f>
        <v>48.2514319187027</v>
      </c>
      <c r="U3428" s="0" t="n">
        <f aca="false">Q3428+S3428</f>
        <v>50.3142498994791</v>
      </c>
      <c r="V3428" s="54" t="b">
        <f aca="false">AND(D3428&gt;=01_因子設定!$L$5-0.000000001,D3428&lt;=01_因子設定!$M$5+0.000000001,E3428&gt;=01_因子設定!$L$6-0.000000001,E3428&lt;=01_因子設定!$M$6+0.000000001,F3428&gt;=01_因子設定!$L$7-0.000000001,F3428&lt;=01_因子設定!$M$7+0.000000001,IF(01_因子設定!$B$20="Box-Behnken",D3428^2+E3428^2+F3428^2&lt;=2+0.000000001,TRUE()))</f>
        <v>1</v>
      </c>
      <c r="W3428" s="55" t="n">
        <f aca="false">IF(V3428,IF(01_因子設定!$B$13="最大化",T3428-01_因子設定!$B$14,IF(01_因子設定!$B$13="最小化",01_因子設定!$B$15-U3428,MIN(T3428-01_因子設定!$B$14,01_因子設定!$B$15-U3428))),-1E+030)</f>
        <v>-0.248568081297272</v>
      </c>
      <c r="X3428" s="55" t="n">
        <f aca="false">IF(V3428,IF(01_因子設定!$B$13="最大化",Q3428,IF(01_因子設定!$B$13="最小化",-Q3428,-ABS(Q3428-01_因子設定!$B$16))),-1E+030)</f>
        <v>49.2828409090909</v>
      </c>
      <c r="Y3428" s="55" t="n">
        <f aca="false">W3428+ROW()*0.000000001</f>
        <v>-0.248564653297272</v>
      </c>
      <c r="Z3428" s="55" t="n">
        <f aca="false">X3428+ROW()*0.000000001</f>
        <v>49.2828443370909</v>
      </c>
    </row>
    <row r="3429" customFormat="false" ht="15" hidden="false" customHeight="false" outlineLevel="0" collapsed="false">
      <c r="A3429" s="0" t="n">
        <v>11</v>
      </c>
      <c r="B3429" s="0" t="n">
        <v>14</v>
      </c>
      <c r="C3429" s="0" t="n">
        <v>7</v>
      </c>
      <c r="D3429" s="0" t="n">
        <f aca="false">-1+A3429*0.125</f>
        <v>0.375</v>
      </c>
      <c r="E3429" s="0" t="n">
        <f aca="false">-1+B3429*0.125</f>
        <v>0.75</v>
      </c>
      <c r="F3429" s="0" t="n">
        <f aca="false">-1+C3429*0.125</f>
        <v>-0.125</v>
      </c>
      <c r="G3429" s="0" t="n">
        <f aca="false">1</f>
        <v>1</v>
      </c>
      <c r="H3429" s="0" t="n">
        <f aca="false">D3429</f>
        <v>0.375</v>
      </c>
      <c r="I3429" s="0" t="n">
        <f aca="false">E3429</f>
        <v>0.75</v>
      </c>
      <c r="J3429" s="0" t="n">
        <f aca="false">F3429</f>
        <v>-0.125</v>
      </c>
      <c r="K3429" s="0" t="n">
        <f aca="false">D3429*E3429</f>
        <v>0.28125</v>
      </c>
      <c r="L3429" s="0" t="n">
        <f aca="false">D3429*F3429</f>
        <v>-0.046875</v>
      </c>
      <c r="M3429" s="0" t="n">
        <f aca="false">E3429*F3429</f>
        <v>-0.09375</v>
      </c>
      <c r="N3429" s="0" t="n">
        <f aca="false">D3429*D3429</f>
        <v>0.140625</v>
      </c>
      <c r="O3429" s="0" t="n">
        <f aca="false">E3429*E3429</f>
        <v>0.5625</v>
      </c>
      <c r="P3429" s="0" t="n">
        <f aca="false">F3429*F3429</f>
        <v>0.015625</v>
      </c>
      <c r="Q3429" s="0" t="n">
        <f aca="false">SUMPRODUCT(G3429:P3429,_XtX!$B$71:$K$71)</f>
        <v>49.5456818181818</v>
      </c>
      <c r="R3429" s="0" t="n">
        <f aca="false">SUMPRODUCT(MMULT(G3429:P3429,_XtX!$B$58:$K$67),G3429:P3429)</f>
        <v>0.233744118430398</v>
      </c>
      <c r="S3429" s="0" t="n">
        <f aca="false">04_回帰ANOVA!$K$19*04_回帰ANOVA!$K$14*SQRT(1+R3429)</f>
        <v>1.0327119053564</v>
      </c>
      <c r="T3429" s="0" t="n">
        <f aca="false">Q3429-S3429</f>
        <v>48.5129699128254</v>
      </c>
      <c r="U3429" s="0" t="n">
        <f aca="false">Q3429+S3429</f>
        <v>50.5783937235382</v>
      </c>
      <c r="V3429" s="54" t="b">
        <f aca="false">AND(D3429&gt;=01_因子設定!$L$5-0.000000001,D3429&lt;=01_因子設定!$M$5+0.000000001,E3429&gt;=01_因子設定!$L$6-0.000000001,E3429&lt;=01_因子設定!$M$6+0.000000001,F3429&gt;=01_因子設定!$L$7-0.000000001,F3429&lt;=01_因子設定!$M$7+0.000000001,IF(01_因子設定!$B$20="Box-Behnken",D3429^2+E3429^2+F3429^2&lt;=2+0.000000001,TRUE()))</f>
        <v>1</v>
      </c>
      <c r="W3429" s="55" t="n">
        <f aca="false">IF(V3429,IF(01_因子設定!$B$13="最大化",T3429-01_因子設定!$B$14,IF(01_因子設定!$B$13="最小化",01_因子設定!$B$15-U3429,MIN(T3429-01_因子設定!$B$14,01_因子設定!$B$15-U3429))),-1E+030)</f>
        <v>0.0129699128254259</v>
      </c>
      <c r="X3429" s="55" t="n">
        <f aca="false">IF(V3429,IF(01_因子設定!$B$13="最大化",Q3429,IF(01_因子設定!$B$13="最小化",-Q3429,-ABS(Q3429-01_因子設定!$B$16))),-1E+030)</f>
        <v>49.5456818181818</v>
      </c>
      <c r="Y3429" s="55" t="n">
        <f aca="false">W3429+ROW()*0.000000001</f>
        <v>0.0129733418254259</v>
      </c>
      <c r="Z3429" s="55" t="n">
        <f aca="false">X3429+ROW()*0.000000001</f>
        <v>49.5456852471818</v>
      </c>
    </row>
    <row r="3430" customFormat="false" ht="15" hidden="false" customHeight="false" outlineLevel="0" collapsed="false">
      <c r="A3430" s="0" t="n">
        <v>11</v>
      </c>
      <c r="B3430" s="0" t="n">
        <v>14</v>
      </c>
      <c r="C3430" s="0" t="n">
        <v>8</v>
      </c>
      <c r="D3430" s="0" t="n">
        <f aca="false">-1+A3430*0.125</f>
        <v>0.375</v>
      </c>
      <c r="E3430" s="0" t="n">
        <f aca="false">-1+B3430*0.125</f>
        <v>0.75</v>
      </c>
      <c r="F3430" s="0" t="n">
        <f aca="false">-1+C3430*0.125</f>
        <v>0</v>
      </c>
      <c r="G3430" s="0" t="n">
        <f aca="false">1</f>
        <v>1</v>
      </c>
      <c r="H3430" s="0" t="n">
        <f aca="false">D3430</f>
        <v>0.375</v>
      </c>
      <c r="I3430" s="0" t="n">
        <f aca="false">E3430</f>
        <v>0.75</v>
      </c>
      <c r="J3430" s="0" t="n">
        <f aca="false">F3430</f>
        <v>0</v>
      </c>
      <c r="K3430" s="0" t="n">
        <f aca="false">D3430*E3430</f>
        <v>0.28125</v>
      </c>
      <c r="L3430" s="0" t="n">
        <f aca="false">D3430*F3430</f>
        <v>0</v>
      </c>
      <c r="M3430" s="0" t="n">
        <f aca="false">E3430*F3430</f>
        <v>0</v>
      </c>
      <c r="N3430" s="0" t="n">
        <f aca="false">D3430*D3430</f>
        <v>0.140625</v>
      </c>
      <c r="O3430" s="0" t="n">
        <f aca="false">E3430*E3430</f>
        <v>0.5625</v>
      </c>
      <c r="P3430" s="0" t="n">
        <f aca="false">F3430*F3430</f>
        <v>0</v>
      </c>
      <c r="Q3430" s="0" t="n">
        <f aca="false">SUMPRODUCT(G3430:P3430,_XtX!$B$71:$K$71)</f>
        <v>49.7717329545455</v>
      </c>
      <c r="R3430" s="0" t="n">
        <f aca="false">SUMPRODUCT(MMULT(G3430:P3430,_XtX!$B$58:$K$67),G3430:P3430)</f>
        <v>0.235136274857955</v>
      </c>
      <c r="S3430" s="0" t="n">
        <f aca="false">04_回帰ANOVA!$K$19*04_回帰ANOVA!$K$14*SQRT(1+R3430)</f>
        <v>1.03329439695656</v>
      </c>
      <c r="T3430" s="0" t="n">
        <f aca="false">Q3430-S3430</f>
        <v>48.7384385575889</v>
      </c>
      <c r="U3430" s="0" t="n">
        <f aca="false">Q3430+S3430</f>
        <v>50.805027351502</v>
      </c>
      <c r="V3430" s="54" t="b">
        <f aca="false">AND(D3430&gt;=01_因子設定!$L$5-0.000000001,D3430&lt;=01_因子設定!$M$5+0.000000001,E3430&gt;=01_因子設定!$L$6-0.000000001,E3430&lt;=01_因子設定!$M$6+0.000000001,F3430&gt;=01_因子設定!$L$7-0.000000001,F3430&lt;=01_因子設定!$M$7+0.000000001,IF(01_因子設定!$B$20="Box-Behnken",D3430^2+E3430^2+F3430^2&lt;=2+0.000000001,TRUE()))</f>
        <v>1</v>
      </c>
      <c r="W3430" s="55" t="n">
        <f aca="false">IF(V3430,IF(01_因子設定!$B$13="最大化",T3430-01_因子設定!$B$14,IF(01_因子設定!$B$13="最小化",01_因子設定!$B$15-U3430,MIN(T3430-01_因子設定!$B$14,01_因子設定!$B$15-U3430))),-1E+030)</f>
        <v>0.238438557588907</v>
      </c>
      <c r="X3430" s="55" t="n">
        <f aca="false">IF(V3430,IF(01_因子設定!$B$13="最大化",Q3430,IF(01_因子設定!$B$13="最小化",-Q3430,-ABS(Q3430-01_因子設定!$B$16))),-1E+030)</f>
        <v>49.7717329545455</v>
      </c>
      <c r="Y3430" s="55" t="n">
        <f aca="false">W3430+ROW()*0.000000001</f>
        <v>0.238441987588907</v>
      </c>
      <c r="Z3430" s="55" t="n">
        <f aca="false">X3430+ROW()*0.000000001</f>
        <v>49.7717363845455</v>
      </c>
    </row>
    <row r="3431" customFormat="false" ht="15" hidden="false" customHeight="false" outlineLevel="0" collapsed="false">
      <c r="A3431" s="0" t="n">
        <v>11</v>
      </c>
      <c r="B3431" s="0" t="n">
        <v>14</v>
      </c>
      <c r="C3431" s="0" t="n">
        <v>9</v>
      </c>
      <c r="D3431" s="0" t="n">
        <f aca="false">-1+A3431*0.125</f>
        <v>0.375</v>
      </c>
      <c r="E3431" s="0" t="n">
        <f aca="false">-1+B3431*0.125</f>
        <v>0.75</v>
      </c>
      <c r="F3431" s="0" t="n">
        <f aca="false">-1+C3431*0.125</f>
        <v>0.125</v>
      </c>
      <c r="G3431" s="0" t="n">
        <f aca="false">1</f>
        <v>1</v>
      </c>
      <c r="H3431" s="0" t="n">
        <f aca="false">D3431</f>
        <v>0.375</v>
      </c>
      <c r="I3431" s="0" t="n">
        <f aca="false">E3431</f>
        <v>0.75</v>
      </c>
      <c r="J3431" s="0" t="n">
        <f aca="false">F3431</f>
        <v>0.125</v>
      </c>
      <c r="K3431" s="0" t="n">
        <f aca="false">D3431*E3431</f>
        <v>0.28125</v>
      </c>
      <c r="L3431" s="0" t="n">
        <f aca="false">D3431*F3431</f>
        <v>0.046875</v>
      </c>
      <c r="M3431" s="0" t="n">
        <f aca="false">E3431*F3431</f>
        <v>0.09375</v>
      </c>
      <c r="N3431" s="0" t="n">
        <f aca="false">D3431*D3431</f>
        <v>0.140625</v>
      </c>
      <c r="O3431" s="0" t="n">
        <f aca="false">E3431*E3431</f>
        <v>0.5625</v>
      </c>
      <c r="P3431" s="0" t="n">
        <f aca="false">F3431*F3431</f>
        <v>0.015625</v>
      </c>
      <c r="Q3431" s="0" t="n">
        <f aca="false">SUMPRODUCT(G3431:P3431,_XtX!$B$71:$K$71)</f>
        <v>49.9609943181818</v>
      </c>
      <c r="R3431" s="0" t="n">
        <f aca="false">SUMPRODUCT(MMULT(G3431:P3431,_XtX!$B$58:$K$67),G3431:P3431)</f>
        <v>0.233744118430398</v>
      </c>
      <c r="S3431" s="0" t="n">
        <f aca="false">04_回帰ANOVA!$K$19*04_回帰ANOVA!$K$14*SQRT(1+R3431)</f>
        <v>1.0327119053564</v>
      </c>
      <c r="T3431" s="0" t="n">
        <f aca="false">Q3431-S3431</f>
        <v>48.9282824128254</v>
      </c>
      <c r="U3431" s="0" t="n">
        <f aca="false">Q3431+S3431</f>
        <v>50.9937062235382</v>
      </c>
      <c r="V3431" s="54" t="b">
        <f aca="false">AND(D3431&gt;=01_因子設定!$L$5-0.000000001,D3431&lt;=01_因子設定!$M$5+0.000000001,E3431&gt;=01_因子設定!$L$6-0.000000001,E3431&lt;=01_因子設定!$M$6+0.000000001,F3431&gt;=01_因子設定!$L$7-0.000000001,F3431&lt;=01_因子設定!$M$7+0.000000001,IF(01_因子設定!$B$20="Box-Behnken",D3431^2+E3431^2+F3431^2&lt;=2+0.000000001,TRUE()))</f>
        <v>1</v>
      </c>
      <c r="W3431" s="55" t="n">
        <f aca="false">IF(V3431,IF(01_因子設定!$B$13="最大化",T3431-01_因子設定!$B$14,IF(01_因子設定!$B$13="最小化",01_因子設定!$B$15-U3431,MIN(T3431-01_因子設定!$B$14,01_因子設定!$B$15-U3431))),-1E+030)</f>
        <v>0.428282412825425</v>
      </c>
      <c r="X3431" s="55" t="n">
        <f aca="false">IF(V3431,IF(01_因子設定!$B$13="最大化",Q3431,IF(01_因子設定!$B$13="最小化",-Q3431,-ABS(Q3431-01_因子設定!$B$16))),-1E+030)</f>
        <v>49.9609943181818</v>
      </c>
      <c r="Y3431" s="55" t="n">
        <f aca="false">W3431+ROW()*0.000000001</f>
        <v>0.428285843825425</v>
      </c>
      <c r="Z3431" s="55" t="n">
        <f aca="false">X3431+ROW()*0.000000001</f>
        <v>49.9609977491818</v>
      </c>
    </row>
    <row r="3432" customFormat="false" ht="15" hidden="false" customHeight="false" outlineLevel="0" collapsed="false">
      <c r="A3432" s="0" t="n">
        <v>11</v>
      </c>
      <c r="B3432" s="0" t="n">
        <v>14</v>
      </c>
      <c r="C3432" s="0" t="n">
        <v>10</v>
      </c>
      <c r="D3432" s="0" t="n">
        <f aca="false">-1+A3432*0.125</f>
        <v>0.375</v>
      </c>
      <c r="E3432" s="0" t="n">
        <f aca="false">-1+B3432*0.125</f>
        <v>0.75</v>
      </c>
      <c r="F3432" s="0" t="n">
        <f aca="false">-1+C3432*0.125</f>
        <v>0.25</v>
      </c>
      <c r="G3432" s="0" t="n">
        <f aca="false">1</f>
        <v>1</v>
      </c>
      <c r="H3432" s="0" t="n">
        <f aca="false">D3432</f>
        <v>0.375</v>
      </c>
      <c r="I3432" s="0" t="n">
        <f aca="false">E3432</f>
        <v>0.75</v>
      </c>
      <c r="J3432" s="0" t="n">
        <f aca="false">F3432</f>
        <v>0.25</v>
      </c>
      <c r="K3432" s="0" t="n">
        <f aca="false">D3432*E3432</f>
        <v>0.28125</v>
      </c>
      <c r="L3432" s="0" t="n">
        <f aca="false">D3432*F3432</f>
        <v>0.09375</v>
      </c>
      <c r="M3432" s="0" t="n">
        <f aca="false">E3432*F3432</f>
        <v>0.1875</v>
      </c>
      <c r="N3432" s="0" t="n">
        <f aca="false">D3432*D3432</f>
        <v>0.140625</v>
      </c>
      <c r="O3432" s="0" t="n">
        <f aca="false">E3432*E3432</f>
        <v>0.5625</v>
      </c>
      <c r="P3432" s="0" t="n">
        <f aca="false">F3432*F3432</f>
        <v>0.0625</v>
      </c>
      <c r="Q3432" s="0" t="n">
        <f aca="false">SUMPRODUCT(G3432:P3432,_XtX!$B$71:$K$71)</f>
        <v>50.1134659090909</v>
      </c>
      <c r="R3432" s="0" t="n">
        <f aca="false">SUMPRODUCT(MMULT(G3432:P3432,_XtX!$B$58:$K$67),G3432:P3432)</f>
        <v>0.230632990056818</v>
      </c>
      <c r="S3432" s="0" t="n">
        <f aca="false">04_回帰ANOVA!$K$19*04_回帰ANOVA!$K$14*SQRT(1+R3432)</f>
        <v>1.03140899038819</v>
      </c>
      <c r="T3432" s="0" t="n">
        <f aca="false">Q3432-S3432</f>
        <v>49.0820569187027</v>
      </c>
      <c r="U3432" s="0" t="n">
        <f aca="false">Q3432+S3432</f>
        <v>51.1448748994791</v>
      </c>
      <c r="V3432" s="54" t="b">
        <f aca="false">AND(D3432&gt;=01_因子設定!$L$5-0.000000001,D3432&lt;=01_因子設定!$M$5+0.000000001,E3432&gt;=01_因子設定!$L$6-0.000000001,E3432&lt;=01_因子設定!$M$6+0.000000001,F3432&gt;=01_因子設定!$L$7-0.000000001,F3432&lt;=01_因子設定!$M$7+0.000000001,IF(01_因子設定!$B$20="Box-Behnken",D3432^2+E3432^2+F3432^2&lt;=2+0.000000001,TRUE()))</f>
        <v>1</v>
      </c>
      <c r="W3432" s="55" t="n">
        <f aca="false">IF(V3432,IF(01_因子設定!$B$13="最大化",T3432-01_因子設定!$B$14,IF(01_因子設定!$B$13="最小化",01_因子設定!$B$15-U3432,MIN(T3432-01_因子設定!$B$14,01_因子設定!$B$15-U3432))),-1E+030)</f>
        <v>0.582056918702733</v>
      </c>
      <c r="X3432" s="55" t="n">
        <f aca="false">IF(V3432,IF(01_因子設定!$B$13="最大化",Q3432,IF(01_因子設定!$B$13="最小化",-Q3432,-ABS(Q3432-01_因子設定!$B$16))),-1E+030)</f>
        <v>50.1134659090909</v>
      </c>
      <c r="Y3432" s="55" t="n">
        <f aca="false">W3432+ROW()*0.000000001</f>
        <v>0.582060350702733</v>
      </c>
      <c r="Z3432" s="55" t="n">
        <f aca="false">X3432+ROW()*0.000000001</f>
        <v>50.1134693410909</v>
      </c>
    </row>
    <row r="3433" customFormat="false" ht="15" hidden="false" customHeight="false" outlineLevel="0" collapsed="false">
      <c r="A3433" s="0" t="n">
        <v>11</v>
      </c>
      <c r="B3433" s="0" t="n">
        <v>14</v>
      </c>
      <c r="C3433" s="0" t="n">
        <v>11</v>
      </c>
      <c r="D3433" s="0" t="n">
        <f aca="false">-1+A3433*0.125</f>
        <v>0.375</v>
      </c>
      <c r="E3433" s="0" t="n">
        <f aca="false">-1+B3433*0.125</f>
        <v>0.75</v>
      </c>
      <c r="F3433" s="0" t="n">
        <f aca="false">-1+C3433*0.125</f>
        <v>0.375</v>
      </c>
      <c r="G3433" s="0" t="n">
        <f aca="false">1</f>
        <v>1</v>
      </c>
      <c r="H3433" s="0" t="n">
        <f aca="false">D3433</f>
        <v>0.375</v>
      </c>
      <c r="I3433" s="0" t="n">
        <f aca="false">E3433</f>
        <v>0.75</v>
      </c>
      <c r="J3433" s="0" t="n">
        <f aca="false">F3433</f>
        <v>0.375</v>
      </c>
      <c r="K3433" s="0" t="n">
        <f aca="false">D3433*E3433</f>
        <v>0.28125</v>
      </c>
      <c r="L3433" s="0" t="n">
        <f aca="false">D3433*F3433</f>
        <v>0.140625</v>
      </c>
      <c r="M3433" s="0" t="n">
        <f aca="false">E3433*F3433</f>
        <v>0.28125</v>
      </c>
      <c r="N3433" s="0" t="n">
        <f aca="false">D3433*D3433</f>
        <v>0.140625</v>
      </c>
      <c r="O3433" s="0" t="n">
        <f aca="false">E3433*E3433</f>
        <v>0.5625</v>
      </c>
      <c r="P3433" s="0" t="n">
        <f aca="false">F3433*F3433</f>
        <v>0.140625</v>
      </c>
      <c r="Q3433" s="0" t="n">
        <f aca="false">SUMPRODUCT(G3433:P3433,_XtX!$B$71:$K$71)</f>
        <v>50.2291477272727</v>
      </c>
      <c r="R3433" s="0" t="n">
        <f aca="false">SUMPRODUCT(MMULT(G3433:P3433,_XtX!$B$58:$K$67),G3433:P3433)</f>
        <v>0.228998912464489</v>
      </c>
      <c r="S3433" s="0" t="n">
        <f aca="false">04_回帰ANOVA!$K$19*04_回帰ANOVA!$K$14*SQRT(1+R3433)</f>
        <v>1.03072399242813</v>
      </c>
      <c r="T3433" s="0" t="n">
        <f aca="false">Q3433-S3433</f>
        <v>49.1984237348446</v>
      </c>
      <c r="U3433" s="0" t="n">
        <f aca="false">Q3433+S3433</f>
        <v>51.2598717197009</v>
      </c>
      <c r="V3433" s="54" t="b">
        <f aca="false">AND(D3433&gt;=01_因子設定!$L$5-0.000000001,D3433&lt;=01_因子設定!$M$5+0.000000001,E3433&gt;=01_因子設定!$L$6-0.000000001,E3433&lt;=01_因子設定!$M$6+0.000000001,F3433&gt;=01_因子設定!$L$7-0.000000001,F3433&lt;=01_因子設定!$M$7+0.000000001,IF(01_因子設定!$B$20="Box-Behnken",D3433^2+E3433^2+F3433^2&lt;=2+0.000000001,TRUE()))</f>
        <v>1</v>
      </c>
      <c r="W3433" s="55" t="n">
        <f aca="false">IF(V3433,IF(01_因子設定!$B$13="最大化",T3433-01_因子設定!$B$14,IF(01_因子設定!$B$13="最小化",01_因子設定!$B$15-U3433,MIN(T3433-01_因子設定!$B$14,01_因子設定!$B$15-U3433))),-1E+030)</f>
        <v>0.69842373484461</v>
      </c>
      <c r="X3433" s="55" t="n">
        <f aca="false">IF(V3433,IF(01_因子設定!$B$13="最大化",Q3433,IF(01_因子設定!$B$13="最小化",-Q3433,-ABS(Q3433-01_因子設定!$B$16))),-1E+030)</f>
        <v>50.2291477272727</v>
      </c>
      <c r="Y3433" s="55" t="n">
        <f aca="false">W3433+ROW()*0.000000001</f>
        <v>0.69842716784461</v>
      </c>
      <c r="Z3433" s="55" t="n">
        <f aca="false">X3433+ROW()*0.000000001</f>
        <v>50.2291511602727</v>
      </c>
    </row>
    <row r="3434" customFormat="false" ht="15" hidden="false" customHeight="false" outlineLevel="0" collapsed="false">
      <c r="A3434" s="0" t="n">
        <v>11</v>
      </c>
      <c r="B3434" s="0" t="n">
        <v>14</v>
      </c>
      <c r="C3434" s="0" t="n">
        <v>12</v>
      </c>
      <c r="D3434" s="0" t="n">
        <f aca="false">-1+A3434*0.125</f>
        <v>0.375</v>
      </c>
      <c r="E3434" s="0" t="n">
        <f aca="false">-1+B3434*0.125</f>
        <v>0.75</v>
      </c>
      <c r="F3434" s="0" t="n">
        <f aca="false">-1+C3434*0.125</f>
        <v>0.5</v>
      </c>
      <c r="G3434" s="0" t="n">
        <f aca="false">1</f>
        <v>1</v>
      </c>
      <c r="H3434" s="0" t="n">
        <f aca="false">D3434</f>
        <v>0.375</v>
      </c>
      <c r="I3434" s="0" t="n">
        <f aca="false">E3434</f>
        <v>0.75</v>
      </c>
      <c r="J3434" s="0" t="n">
        <f aca="false">F3434</f>
        <v>0.5</v>
      </c>
      <c r="K3434" s="0" t="n">
        <f aca="false">D3434*E3434</f>
        <v>0.28125</v>
      </c>
      <c r="L3434" s="0" t="n">
        <f aca="false">D3434*F3434</f>
        <v>0.1875</v>
      </c>
      <c r="M3434" s="0" t="n">
        <f aca="false">E3434*F3434</f>
        <v>0.375</v>
      </c>
      <c r="N3434" s="0" t="n">
        <f aca="false">D3434*D3434</f>
        <v>0.140625</v>
      </c>
      <c r="O3434" s="0" t="n">
        <f aca="false">E3434*E3434</f>
        <v>0.5625</v>
      </c>
      <c r="P3434" s="0" t="n">
        <f aca="false">F3434*F3434</f>
        <v>0.25</v>
      </c>
      <c r="Q3434" s="0" t="n">
        <f aca="false">SUMPRODUCT(G3434:P3434,_XtX!$B$71:$K$71)</f>
        <v>50.3080397727273</v>
      </c>
      <c r="R3434" s="0" t="n">
        <f aca="false">SUMPRODUCT(MMULT(G3434:P3434,_XtX!$B$58:$K$67),G3434:P3434)</f>
        <v>0.234168590198864</v>
      </c>
      <c r="S3434" s="0" t="n">
        <f aca="false">04_回帰ANOVA!$K$19*04_回帰ANOVA!$K$14*SQRT(1+R3434)</f>
        <v>1.03288954322488</v>
      </c>
      <c r="T3434" s="0" t="n">
        <f aca="false">Q3434-S3434</f>
        <v>49.2751502295024</v>
      </c>
      <c r="U3434" s="0" t="n">
        <f aca="false">Q3434+S3434</f>
        <v>51.3409293159522</v>
      </c>
      <c r="V3434" s="54" t="b">
        <f aca="false">AND(D3434&gt;=01_因子設定!$L$5-0.000000001,D3434&lt;=01_因子設定!$M$5+0.000000001,E3434&gt;=01_因子設定!$L$6-0.000000001,E3434&lt;=01_因子設定!$M$6+0.000000001,F3434&gt;=01_因子設定!$L$7-0.000000001,F3434&lt;=01_因子設定!$M$7+0.000000001,IF(01_因子設定!$B$20="Box-Behnken",D3434^2+E3434^2+F3434^2&lt;=2+0.000000001,TRUE()))</f>
        <v>1</v>
      </c>
      <c r="W3434" s="55" t="n">
        <f aca="false">IF(V3434,IF(01_因子設定!$B$13="最大化",T3434-01_因子設定!$B$14,IF(01_因子設定!$B$13="最小化",01_因子設定!$B$15-U3434,MIN(T3434-01_因子設定!$B$14,01_因子設定!$B$15-U3434))),-1E+030)</f>
        <v>0.775150229502408</v>
      </c>
      <c r="X3434" s="55" t="n">
        <f aca="false">IF(V3434,IF(01_因子設定!$B$13="最大化",Q3434,IF(01_因子設定!$B$13="最小化",-Q3434,-ABS(Q3434-01_因子設定!$B$16))),-1E+030)</f>
        <v>50.3080397727273</v>
      </c>
      <c r="Y3434" s="55" t="n">
        <f aca="false">W3434+ROW()*0.000000001</f>
        <v>0.775153663502408</v>
      </c>
      <c r="Z3434" s="55" t="n">
        <f aca="false">X3434+ROW()*0.000000001</f>
        <v>50.3080432067273</v>
      </c>
    </row>
    <row r="3435" customFormat="false" ht="15" hidden="false" customHeight="false" outlineLevel="0" collapsed="false">
      <c r="A3435" s="0" t="n">
        <v>11</v>
      </c>
      <c r="B3435" s="0" t="n">
        <v>14</v>
      </c>
      <c r="C3435" s="0" t="n">
        <v>13</v>
      </c>
      <c r="D3435" s="0" t="n">
        <f aca="false">-1+A3435*0.125</f>
        <v>0.375</v>
      </c>
      <c r="E3435" s="0" t="n">
        <f aca="false">-1+B3435*0.125</f>
        <v>0.75</v>
      </c>
      <c r="F3435" s="0" t="n">
        <f aca="false">-1+C3435*0.125</f>
        <v>0.625</v>
      </c>
      <c r="G3435" s="0" t="n">
        <f aca="false">1</f>
        <v>1</v>
      </c>
      <c r="H3435" s="0" t="n">
        <f aca="false">D3435</f>
        <v>0.375</v>
      </c>
      <c r="I3435" s="0" t="n">
        <f aca="false">E3435</f>
        <v>0.75</v>
      </c>
      <c r="J3435" s="0" t="n">
        <f aca="false">F3435</f>
        <v>0.625</v>
      </c>
      <c r="K3435" s="0" t="n">
        <f aca="false">D3435*E3435</f>
        <v>0.28125</v>
      </c>
      <c r="L3435" s="0" t="n">
        <f aca="false">D3435*F3435</f>
        <v>0.234375</v>
      </c>
      <c r="M3435" s="0" t="n">
        <f aca="false">E3435*F3435</f>
        <v>0.46875</v>
      </c>
      <c r="N3435" s="0" t="n">
        <f aca="false">D3435*D3435</f>
        <v>0.140625</v>
      </c>
      <c r="O3435" s="0" t="n">
        <f aca="false">E3435*E3435</f>
        <v>0.5625</v>
      </c>
      <c r="P3435" s="0" t="n">
        <f aca="false">F3435*F3435</f>
        <v>0.390625</v>
      </c>
      <c r="Q3435" s="0" t="n">
        <f aca="false">SUMPRODUCT(G3435:P3435,_XtX!$B$71:$K$71)</f>
        <v>50.3501420454546</v>
      </c>
      <c r="R3435" s="0" t="n">
        <f aca="false">SUMPRODUCT(MMULT(G3435:P3435,_XtX!$B$58:$K$67),G3435:P3435)</f>
        <v>0.25359940962358</v>
      </c>
      <c r="S3435" s="0" t="n">
        <f aca="false">04_回帰ANOVA!$K$19*04_回帰ANOVA!$K$14*SQRT(1+R3435)</f>
        <v>1.04098872464599</v>
      </c>
      <c r="T3435" s="0" t="n">
        <f aca="false">Q3435-S3435</f>
        <v>49.3091533208086</v>
      </c>
      <c r="U3435" s="0" t="n">
        <f aca="false">Q3435+S3435</f>
        <v>51.3911307701005</v>
      </c>
      <c r="V3435" s="54" t="b">
        <f aca="false">AND(D3435&gt;=01_因子設定!$L$5-0.000000001,D3435&lt;=01_因子設定!$M$5+0.000000001,E3435&gt;=01_因子設定!$L$6-0.000000001,E3435&lt;=01_因子設定!$M$6+0.000000001,F3435&gt;=01_因子設定!$L$7-0.000000001,F3435&lt;=01_因子設定!$M$7+0.000000001,IF(01_因子設定!$B$20="Box-Behnken",D3435^2+E3435^2+F3435^2&lt;=2+0.000000001,TRUE()))</f>
        <v>1</v>
      </c>
      <c r="W3435" s="55" t="n">
        <f aca="false">IF(V3435,IF(01_因子設定!$B$13="最大化",T3435-01_因子設定!$B$14,IF(01_因子設定!$B$13="最小化",01_因子設定!$B$15-U3435,MIN(T3435-01_因子設定!$B$14,01_因子設定!$B$15-U3435))),-1E+030)</f>
        <v>0.809153320808576</v>
      </c>
      <c r="X3435" s="55" t="n">
        <f aca="false">IF(V3435,IF(01_因子設定!$B$13="最大化",Q3435,IF(01_因子設定!$B$13="最小化",-Q3435,-ABS(Q3435-01_因子設定!$B$16))),-1E+030)</f>
        <v>50.3501420454546</v>
      </c>
      <c r="Y3435" s="55" t="n">
        <f aca="false">W3435+ROW()*0.000000001</f>
        <v>0.809156755808576</v>
      </c>
      <c r="Z3435" s="55" t="n">
        <f aca="false">X3435+ROW()*0.000000001</f>
        <v>50.3501454804546</v>
      </c>
    </row>
    <row r="3436" customFormat="false" ht="15" hidden="false" customHeight="false" outlineLevel="0" collapsed="false">
      <c r="A3436" s="0" t="n">
        <v>11</v>
      </c>
      <c r="B3436" s="0" t="n">
        <v>14</v>
      </c>
      <c r="C3436" s="0" t="n">
        <v>14</v>
      </c>
      <c r="D3436" s="0" t="n">
        <f aca="false">-1+A3436*0.125</f>
        <v>0.375</v>
      </c>
      <c r="E3436" s="0" t="n">
        <f aca="false">-1+B3436*0.125</f>
        <v>0.75</v>
      </c>
      <c r="F3436" s="0" t="n">
        <f aca="false">-1+C3436*0.125</f>
        <v>0.75</v>
      </c>
      <c r="G3436" s="0" t="n">
        <f aca="false">1</f>
        <v>1</v>
      </c>
      <c r="H3436" s="0" t="n">
        <f aca="false">D3436</f>
        <v>0.375</v>
      </c>
      <c r="I3436" s="0" t="n">
        <f aca="false">E3436</f>
        <v>0.75</v>
      </c>
      <c r="J3436" s="0" t="n">
        <f aca="false">F3436</f>
        <v>0.75</v>
      </c>
      <c r="K3436" s="0" t="n">
        <f aca="false">D3436*E3436</f>
        <v>0.28125</v>
      </c>
      <c r="L3436" s="0" t="n">
        <f aca="false">D3436*F3436</f>
        <v>0.28125</v>
      </c>
      <c r="M3436" s="0" t="n">
        <f aca="false">E3436*F3436</f>
        <v>0.5625</v>
      </c>
      <c r="N3436" s="0" t="n">
        <f aca="false">D3436*D3436</f>
        <v>0.140625</v>
      </c>
      <c r="O3436" s="0" t="n">
        <f aca="false">E3436*E3436</f>
        <v>0.5625</v>
      </c>
      <c r="P3436" s="0" t="n">
        <f aca="false">F3436*F3436</f>
        <v>0.5625</v>
      </c>
      <c r="Q3436" s="0" t="n">
        <f aca="false">SUMPRODUCT(G3436:P3436,_XtX!$B$71:$K$71)</f>
        <v>50.3554545454546</v>
      </c>
      <c r="R3436" s="0" t="n">
        <f aca="false">SUMPRODUCT(MMULT(G3436:P3436,_XtX!$B$58:$K$67),G3436:P3436)</f>
        <v>0.296879438920455</v>
      </c>
      <c r="S3436" s="0" t="n">
        <f aca="false">04_回帰ANOVA!$K$19*04_回帰ANOVA!$K$14*SQRT(1+R3436)</f>
        <v>1.05880610927316</v>
      </c>
      <c r="T3436" s="0" t="n">
        <f aca="false">Q3436-S3436</f>
        <v>49.2966484361814</v>
      </c>
      <c r="U3436" s="0" t="n">
        <f aca="false">Q3436+S3436</f>
        <v>51.4142606547277</v>
      </c>
      <c r="V3436" s="54" t="b">
        <f aca="false">AND(D3436&gt;=01_因子設定!$L$5-0.000000001,D3436&lt;=01_因子設定!$M$5+0.000000001,E3436&gt;=01_因子設定!$L$6-0.000000001,E3436&lt;=01_因子設定!$M$6+0.000000001,F3436&gt;=01_因子設定!$L$7-0.000000001,F3436&lt;=01_因子設定!$M$7+0.000000001,IF(01_因子設定!$B$20="Box-Behnken",D3436^2+E3436^2+F3436^2&lt;=2+0.000000001,TRUE()))</f>
        <v>1</v>
      </c>
      <c r="W3436" s="55" t="n">
        <f aca="false">IF(V3436,IF(01_因子設定!$B$13="最大化",T3436-01_因子設定!$B$14,IF(01_因子設定!$B$13="最小化",01_因子設定!$B$15-U3436,MIN(T3436-01_因子設定!$B$14,01_因子設定!$B$15-U3436))),-1E+030)</f>
        <v>0.7966484361814</v>
      </c>
      <c r="X3436" s="55" t="n">
        <f aca="false">IF(V3436,IF(01_因子設定!$B$13="最大化",Q3436,IF(01_因子設定!$B$13="最小化",-Q3436,-ABS(Q3436-01_因子設定!$B$16))),-1E+030)</f>
        <v>50.3554545454546</v>
      </c>
      <c r="Y3436" s="55" t="n">
        <f aca="false">W3436+ROW()*0.000000001</f>
        <v>0.7966518721814</v>
      </c>
      <c r="Z3436" s="55" t="n">
        <f aca="false">X3436+ROW()*0.000000001</f>
        <v>50.3554579814546</v>
      </c>
    </row>
    <row r="3437" customFormat="false" ht="15" hidden="false" customHeight="false" outlineLevel="0" collapsed="false">
      <c r="A3437" s="0" t="n">
        <v>11</v>
      </c>
      <c r="B3437" s="0" t="n">
        <v>14</v>
      </c>
      <c r="C3437" s="0" t="n">
        <v>15</v>
      </c>
      <c r="D3437" s="0" t="n">
        <f aca="false">-1+A3437*0.125</f>
        <v>0.375</v>
      </c>
      <c r="E3437" s="0" t="n">
        <f aca="false">-1+B3437*0.125</f>
        <v>0.75</v>
      </c>
      <c r="F3437" s="0" t="n">
        <f aca="false">-1+C3437*0.125</f>
        <v>0.875</v>
      </c>
      <c r="G3437" s="0" t="n">
        <f aca="false">1</f>
        <v>1</v>
      </c>
      <c r="H3437" s="0" t="n">
        <f aca="false">D3437</f>
        <v>0.375</v>
      </c>
      <c r="I3437" s="0" t="n">
        <f aca="false">E3437</f>
        <v>0.75</v>
      </c>
      <c r="J3437" s="0" t="n">
        <f aca="false">F3437</f>
        <v>0.875</v>
      </c>
      <c r="K3437" s="0" t="n">
        <f aca="false">D3437*E3437</f>
        <v>0.28125</v>
      </c>
      <c r="L3437" s="0" t="n">
        <f aca="false">D3437*F3437</f>
        <v>0.328125</v>
      </c>
      <c r="M3437" s="0" t="n">
        <f aca="false">E3437*F3437</f>
        <v>0.65625</v>
      </c>
      <c r="N3437" s="0" t="n">
        <f aca="false">D3437*D3437</f>
        <v>0.140625</v>
      </c>
      <c r="O3437" s="0" t="n">
        <f aca="false">E3437*E3437</f>
        <v>0.5625</v>
      </c>
      <c r="P3437" s="0" t="n">
        <f aca="false">F3437*F3437</f>
        <v>0.765625</v>
      </c>
      <c r="Q3437" s="0" t="n">
        <f aca="false">SUMPRODUCT(G3437:P3437,_XtX!$B$71:$K$71)</f>
        <v>50.3239772727273</v>
      </c>
      <c r="R3437" s="0" t="n">
        <f aca="false">SUMPRODUCT(MMULT(G3437:P3437,_XtX!$B$58:$K$67),G3437:P3437)</f>
        <v>0.375727428089489</v>
      </c>
      <c r="S3437" s="0" t="n">
        <f aca="false">04_回帰ANOVA!$K$19*04_回帰ANOVA!$K$14*SQRT(1+R3437)</f>
        <v>1.09051798904087</v>
      </c>
      <c r="T3437" s="0" t="n">
        <f aca="false">Q3437-S3437</f>
        <v>49.2334592836864</v>
      </c>
      <c r="U3437" s="0" t="n">
        <f aca="false">Q3437+S3437</f>
        <v>51.4144952617682</v>
      </c>
      <c r="V3437" s="54" t="b">
        <f aca="false">AND(D3437&gt;=01_因子設定!$L$5-0.000000001,D3437&lt;=01_因子設定!$M$5+0.000000001,E3437&gt;=01_因子設定!$L$6-0.000000001,E3437&lt;=01_因子設定!$M$6+0.000000001,F3437&gt;=01_因子設定!$L$7-0.000000001,F3437&lt;=01_因子設定!$M$7+0.000000001,IF(01_因子設定!$B$20="Box-Behnken",D3437^2+E3437^2+F3437^2&lt;=2+0.000000001,TRUE()))</f>
        <v>1</v>
      </c>
      <c r="W3437" s="55" t="n">
        <f aca="false">IF(V3437,IF(01_因子設定!$B$13="最大化",T3437-01_因子設定!$B$14,IF(01_因子設定!$B$13="最小化",01_因子設定!$B$15-U3437,MIN(T3437-01_因子設定!$B$14,01_因子設定!$B$15-U3437))),-1E+030)</f>
        <v>0.733459283686422</v>
      </c>
      <c r="X3437" s="55" t="n">
        <f aca="false">IF(V3437,IF(01_因子設定!$B$13="最大化",Q3437,IF(01_因子設定!$B$13="最小化",-Q3437,-ABS(Q3437-01_因子設定!$B$16))),-1E+030)</f>
        <v>50.3239772727273</v>
      </c>
      <c r="Y3437" s="55" t="n">
        <f aca="false">W3437+ROW()*0.000000001</f>
        <v>0.733462720686422</v>
      </c>
      <c r="Z3437" s="55" t="n">
        <f aca="false">X3437+ROW()*0.000000001</f>
        <v>50.3239807097273</v>
      </c>
    </row>
    <row r="3438" customFormat="false" ht="15" hidden="false" customHeight="false" outlineLevel="0" collapsed="false">
      <c r="A3438" s="0" t="n">
        <v>11</v>
      </c>
      <c r="B3438" s="0" t="n">
        <v>14</v>
      </c>
      <c r="C3438" s="0" t="n">
        <v>16</v>
      </c>
      <c r="D3438" s="0" t="n">
        <f aca="false">-1+A3438*0.125</f>
        <v>0.375</v>
      </c>
      <c r="E3438" s="0" t="n">
        <f aca="false">-1+B3438*0.125</f>
        <v>0.75</v>
      </c>
      <c r="F3438" s="0" t="n">
        <f aca="false">-1+C3438*0.125</f>
        <v>1</v>
      </c>
      <c r="G3438" s="0" t="n">
        <f aca="false">1</f>
        <v>1</v>
      </c>
      <c r="H3438" s="0" t="n">
        <f aca="false">D3438</f>
        <v>0.375</v>
      </c>
      <c r="I3438" s="0" t="n">
        <f aca="false">E3438</f>
        <v>0.75</v>
      </c>
      <c r="J3438" s="0" t="n">
        <f aca="false">F3438</f>
        <v>1</v>
      </c>
      <c r="K3438" s="0" t="n">
        <f aca="false">D3438*E3438</f>
        <v>0.28125</v>
      </c>
      <c r="L3438" s="0" t="n">
        <f aca="false">D3438*F3438</f>
        <v>0.375</v>
      </c>
      <c r="M3438" s="0" t="n">
        <f aca="false">E3438*F3438</f>
        <v>0.75</v>
      </c>
      <c r="N3438" s="0" t="n">
        <f aca="false">D3438*D3438</f>
        <v>0.140625</v>
      </c>
      <c r="O3438" s="0" t="n">
        <f aca="false">E3438*E3438</f>
        <v>0.5625</v>
      </c>
      <c r="P3438" s="0" t="n">
        <f aca="false">F3438*F3438</f>
        <v>1</v>
      </c>
      <c r="Q3438" s="0" t="n">
        <f aca="false">SUMPRODUCT(G3438:P3438,_XtX!$B$71:$K$71)</f>
        <v>50.2557102272728</v>
      </c>
      <c r="R3438" s="0" t="n">
        <f aca="false">SUMPRODUCT(MMULT(G3438:P3438,_XtX!$B$58:$K$67),G3438:P3438)</f>
        <v>0.503992808948864</v>
      </c>
      <c r="S3438" s="0" t="n">
        <f aca="false">04_回帰ANOVA!$K$19*04_回帰ANOVA!$K$14*SQRT(1+R3438)</f>
        <v>1.14022226176226</v>
      </c>
      <c r="T3438" s="0" t="n">
        <f aca="false">Q3438-S3438</f>
        <v>49.1154879655105</v>
      </c>
      <c r="U3438" s="0" t="n">
        <f aca="false">Q3438+S3438</f>
        <v>51.395932489035</v>
      </c>
      <c r="V3438" s="54" t="b">
        <f aca="false">AND(D3438&gt;=01_因子設定!$L$5-0.000000001,D3438&lt;=01_因子設定!$M$5+0.000000001,E3438&gt;=01_因子設定!$L$6-0.000000001,E3438&lt;=01_因子設定!$M$6+0.000000001,F3438&gt;=01_因子設定!$L$7-0.000000001,F3438&lt;=01_因子設定!$M$7+0.000000001,IF(01_因子設定!$B$20="Box-Behnken",D3438^2+E3438^2+F3438^2&lt;=2+0.000000001,TRUE()))</f>
        <v>1</v>
      </c>
      <c r="W3438" s="55" t="n">
        <f aca="false">IF(V3438,IF(01_因子設定!$B$13="最大化",T3438-01_因子設定!$B$14,IF(01_因子設定!$B$13="最小化",01_因子設定!$B$15-U3438,MIN(T3438-01_因子設定!$B$14,01_因子設定!$B$15-U3438))),-1E+030)</f>
        <v>0.615487965510496</v>
      </c>
      <c r="X3438" s="55" t="n">
        <f aca="false">IF(V3438,IF(01_因子設定!$B$13="最大化",Q3438,IF(01_因子設定!$B$13="最小化",-Q3438,-ABS(Q3438-01_因子設定!$B$16))),-1E+030)</f>
        <v>50.2557102272728</v>
      </c>
      <c r="Y3438" s="55" t="n">
        <f aca="false">W3438+ROW()*0.000000001</f>
        <v>0.615491403510496</v>
      </c>
      <c r="Z3438" s="55" t="n">
        <f aca="false">X3438+ROW()*0.000000001</f>
        <v>50.2557136652728</v>
      </c>
    </row>
    <row r="3439" customFormat="false" ht="15" hidden="false" customHeight="false" outlineLevel="0" collapsed="false">
      <c r="A3439" s="0" t="n">
        <v>11</v>
      </c>
      <c r="B3439" s="0" t="n">
        <v>15</v>
      </c>
      <c r="C3439" s="0" t="n">
        <v>0</v>
      </c>
      <c r="D3439" s="0" t="n">
        <f aca="false">-1+A3439*0.125</f>
        <v>0.375</v>
      </c>
      <c r="E3439" s="0" t="n">
        <f aca="false">-1+B3439*0.125</f>
        <v>0.875</v>
      </c>
      <c r="F3439" s="0" t="n">
        <f aca="false">-1+C3439*0.125</f>
        <v>-1</v>
      </c>
      <c r="G3439" s="0" t="n">
        <f aca="false">1</f>
        <v>1</v>
      </c>
      <c r="H3439" s="0" t="n">
        <f aca="false">D3439</f>
        <v>0.375</v>
      </c>
      <c r="I3439" s="0" t="n">
        <f aca="false">E3439</f>
        <v>0.875</v>
      </c>
      <c r="J3439" s="0" t="n">
        <f aca="false">F3439</f>
        <v>-1</v>
      </c>
      <c r="K3439" s="0" t="n">
        <f aca="false">D3439*E3439</f>
        <v>0.328125</v>
      </c>
      <c r="L3439" s="0" t="n">
        <f aca="false">D3439*F3439</f>
        <v>-0.375</v>
      </c>
      <c r="M3439" s="0" t="n">
        <f aca="false">E3439*F3439</f>
        <v>-0.875</v>
      </c>
      <c r="N3439" s="0" t="n">
        <f aca="false">D3439*D3439</f>
        <v>0.140625</v>
      </c>
      <c r="O3439" s="0" t="n">
        <f aca="false">E3439*E3439</f>
        <v>0.765625</v>
      </c>
      <c r="P3439" s="0" t="n">
        <f aca="false">F3439*F3439</f>
        <v>1</v>
      </c>
      <c r="Q3439" s="0" t="n">
        <f aca="false">SUMPRODUCT(G3439:P3439,_XtX!$B$71:$K$71)</f>
        <v>46.7813423295455</v>
      </c>
      <c r="R3439" s="0" t="n">
        <f aca="false">SUMPRODUCT(MMULT(G3439:P3439,_XtX!$B$58:$K$67),G3439:P3439)</f>
        <v>0.56971269087358</v>
      </c>
      <c r="S3439" s="0" t="n">
        <f aca="false">04_回帰ANOVA!$K$19*04_回帰ANOVA!$K$14*SQRT(1+R3439)</f>
        <v>1.16486801567081</v>
      </c>
      <c r="T3439" s="0" t="n">
        <f aca="false">Q3439-S3439</f>
        <v>45.6164743138747</v>
      </c>
      <c r="U3439" s="0" t="n">
        <f aca="false">Q3439+S3439</f>
        <v>47.9462103452163</v>
      </c>
      <c r="V3439" s="54" t="b">
        <f aca="false">AND(D3439&gt;=01_因子設定!$L$5-0.000000001,D3439&lt;=01_因子設定!$M$5+0.000000001,E3439&gt;=01_因子設定!$L$6-0.000000001,E3439&lt;=01_因子設定!$M$6+0.000000001,F3439&gt;=01_因子設定!$L$7-0.000000001,F3439&lt;=01_因子設定!$M$7+0.000000001,IF(01_因子設定!$B$20="Box-Behnken",D3439^2+E3439^2+F3439^2&lt;=2+0.000000001,TRUE()))</f>
        <v>1</v>
      </c>
      <c r="W3439" s="55" t="n">
        <f aca="false">IF(V3439,IF(01_因子設定!$B$13="最大化",T3439-01_因子設定!$B$14,IF(01_因子設定!$B$13="最小化",01_因子設定!$B$15-U3439,MIN(T3439-01_因子設定!$B$14,01_因子設定!$B$15-U3439))),-1E+030)</f>
        <v>-2.88352568612532</v>
      </c>
      <c r="X3439" s="55" t="n">
        <f aca="false">IF(V3439,IF(01_因子設定!$B$13="最大化",Q3439,IF(01_因子設定!$B$13="最小化",-Q3439,-ABS(Q3439-01_因子設定!$B$16))),-1E+030)</f>
        <v>46.7813423295455</v>
      </c>
      <c r="Y3439" s="55" t="n">
        <f aca="false">W3439+ROW()*0.000000001</f>
        <v>-2.88352224712532</v>
      </c>
      <c r="Z3439" s="55" t="n">
        <f aca="false">X3439+ROW()*0.000000001</f>
        <v>46.7813457685455</v>
      </c>
    </row>
    <row r="3440" customFormat="false" ht="15" hidden="false" customHeight="false" outlineLevel="0" collapsed="false">
      <c r="A3440" s="0" t="n">
        <v>11</v>
      </c>
      <c r="B3440" s="0" t="n">
        <v>15</v>
      </c>
      <c r="C3440" s="0" t="n">
        <v>1</v>
      </c>
      <c r="D3440" s="0" t="n">
        <f aca="false">-1+A3440*0.125</f>
        <v>0.375</v>
      </c>
      <c r="E3440" s="0" t="n">
        <f aca="false">-1+B3440*0.125</f>
        <v>0.875</v>
      </c>
      <c r="F3440" s="0" t="n">
        <f aca="false">-1+C3440*0.125</f>
        <v>-0.875</v>
      </c>
      <c r="G3440" s="0" t="n">
        <f aca="false">1</f>
        <v>1</v>
      </c>
      <c r="H3440" s="0" t="n">
        <f aca="false">D3440</f>
        <v>0.375</v>
      </c>
      <c r="I3440" s="0" t="n">
        <f aca="false">E3440</f>
        <v>0.875</v>
      </c>
      <c r="J3440" s="0" t="n">
        <f aca="false">F3440</f>
        <v>-0.875</v>
      </c>
      <c r="K3440" s="0" t="n">
        <f aca="false">D3440*E3440</f>
        <v>0.328125</v>
      </c>
      <c r="L3440" s="0" t="n">
        <f aca="false">D3440*F3440</f>
        <v>-0.328125</v>
      </c>
      <c r="M3440" s="0" t="n">
        <f aca="false">E3440*F3440</f>
        <v>-0.765625</v>
      </c>
      <c r="N3440" s="0" t="n">
        <f aca="false">D3440*D3440</f>
        <v>0.140625</v>
      </c>
      <c r="O3440" s="0" t="n">
        <f aca="false">E3440*E3440</f>
        <v>0.765625</v>
      </c>
      <c r="P3440" s="0" t="n">
        <f aca="false">F3440*F3440</f>
        <v>0.765625</v>
      </c>
      <c r="Q3440" s="0" t="n">
        <f aca="false">SUMPRODUCT(G3440:P3440,_XtX!$B$71:$K$71)</f>
        <v>47.271953125</v>
      </c>
      <c r="R3440" s="0" t="n">
        <f aca="false">SUMPRODUCT(MMULT(G3440:P3440,_XtX!$B$58:$K$67),G3440:P3440)</f>
        <v>0.448480224609375</v>
      </c>
      <c r="S3440" s="0" t="n">
        <f aca="false">04_回帰ANOVA!$K$19*04_回帰ANOVA!$K$14*SQRT(1+R3440)</f>
        <v>1.11898153812985</v>
      </c>
      <c r="T3440" s="0" t="n">
        <f aca="false">Q3440-S3440</f>
        <v>46.1529715868702</v>
      </c>
      <c r="U3440" s="0" t="n">
        <f aca="false">Q3440+S3440</f>
        <v>48.3909346631299</v>
      </c>
      <c r="V3440" s="54" t="b">
        <f aca="false">AND(D3440&gt;=01_因子設定!$L$5-0.000000001,D3440&lt;=01_因子設定!$M$5+0.000000001,E3440&gt;=01_因子設定!$L$6-0.000000001,E3440&lt;=01_因子設定!$M$6+0.000000001,F3440&gt;=01_因子設定!$L$7-0.000000001,F3440&lt;=01_因子設定!$M$7+0.000000001,IF(01_因子設定!$B$20="Box-Behnken",D3440^2+E3440^2+F3440^2&lt;=2+0.000000001,TRUE()))</f>
        <v>1</v>
      </c>
      <c r="W3440" s="55" t="n">
        <f aca="false">IF(V3440,IF(01_因子設定!$B$13="最大化",T3440-01_因子設定!$B$14,IF(01_因子設定!$B$13="最小化",01_因子設定!$B$15-U3440,MIN(T3440-01_因子設定!$B$14,01_因子設定!$B$15-U3440))),-1E+030)</f>
        <v>-2.34702841312982</v>
      </c>
      <c r="X3440" s="55" t="n">
        <f aca="false">IF(V3440,IF(01_因子設定!$B$13="最大化",Q3440,IF(01_因子設定!$B$13="最小化",-Q3440,-ABS(Q3440-01_因子設定!$B$16))),-1E+030)</f>
        <v>47.271953125</v>
      </c>
      <c r="Y3440" s="55" t="n">
        <f aca="false">W3440+ROW()*0.000000001</f>
        <v>-2.34702497312982</v>
      </c>
      <c r="Z3440" s="55" t="n">
        <f aca="false">X3440+ROW()*0.000000001</f>
        <v>47.271956565</v>
      </c>
    </row>
    <row r="3441" customFormat="false" ht="15" hidden="false" customHeight="false" outlineLevel="0" collapsed="false">
      <c r="A3441" s="0" t="n">
        <v>11</v>
      </c>
      <c r="B3441" s="0" t="n">
        <v>15</v>
      </c>
      <c r="C3441" s="0" t="n">
        <v>2</v>
      </c>
      <c r="D3441" s="0" t="n">
        <f aca="false">-1+A3441*0.125</f>
        <v>0.375</v>
      </c>
      <c r="E3441" s="0" t="n">
        <f aca="false">-1+B3441*0.125</f>
        <v>0.875</v>
      </c>
      <c r="F3441" s="0" t="n">
        <f aca="false">-1+C3441*0.125</f>
        <v>-0.75</v>
      </c>
      <c r="G3441" s="0" t="n">
        <f aca="false">1</f>
        <v>1</v>
      </c>
      <c r="H3441" s="0" t="n">
        <f aca="false">D3441</f>
        <v>0.375</v>
      </c>
      <c r="I3441" s="0" t="n">
        <f aca="false">E3441</f>
        <v>0.875</v>
      </c>
      <c r="J3441" s="0" t="n">
        <f aca="false">F3441</f>
        <v>-0.75</v>
      </c>
      <c r="K3441" s="0" t="n">
        <f aca="false">D3441*E3441</f>
        <v>0.328125</v>
      </c>
      <c r="L3441" s="0" t="n">
        <f aca="false">D3441*F3441</f>
        <v>-0.28125</v>
      </c>
      <c r="M3441" s="0" t="n">
        <f aca="false">E3441*F3441</f>
        <v>-0.65625</v>
      </c>
      <c r="N3441" s="0" t="n">
        <f aca="false">D3441*D3441</f>
        <v>0.140625</v>
      </c>
      <c r="O3441" s="0" t="n">
        <f aca="false">E3441*E3441</f>
        <v>0.765625</v>
      </c>
      <c r="P3441" s="0" t="n">
        <f aca="false">F3441*F3441</f>
        <v>0.5625</v>
      </c>
      <c r="Q3441" s="0" t="n">
        <f aca="false">SUMPRODUCT(G3441:P3441,_XtX!$B$71:$K$71)</f>
        <v>47.7257741477273</v>
      </c>
      <c r="R3441" s="0" t="n">
        <f aca="false">SUMPRODUCT(MMULT(G3441:P3441,_XtX!$B$58:$K$67),G3441:P3441)</f>
        <v>0.375727428089489</v>
      </c>
      <c r="S3441" s="0" t="n">
        <f aca="false">04_回帰ANOVA!$K$19*04_回帰ANOVA!$K$14*SQRT(1+R3441)</f>
        <v>1.09051798904087</v>
      </c>
      <c r="T3441" s="0" t="n">
        <f aca="false">Q3441-S3441</f>
        <v>46.6352561586864</v>
      </c>
      <c r="U3441" s="0" t="n">
        <f aca="false">Q3441+S3441</f>
        <v>48.8162921367682</v>
      </c>
      <c r="V3441" s="54" t="b">
        <f aca="false">AND(D3441&gt;=01_因子設定!$L$5-0.000000001,D3441&lt;=01_因子設定!$M$5+0.000000001,E3441&gt;=01_因子設定!$L$6-0.000000001,E3441&lt;=01_因子設定!$M$6+0.000000001,F3441&gt;=01_因子設定!$L$7-0.000000001,F3441&lt;=01_因子設定!$M$7+0.000000001,IF(01_因子設定!$B$20="Box-Behnken",D3441^2+E3441^2+F3441^2&lt;=2+0.000000001,TRUE()))</f>
        <v>1</v>
      </c>
      <c r="W3441" s="55" t="n">
        <f aca="false">IF(V3441,IF(01_因子設定!$B$13="最大化",T3441-01_因子設定!$B$14,IF(01_因子設定!$B$13="最小化",01_因子設定!$B$15-U3441,MIN(T3441-01_因子設定!$B$14,01_因子設定!$B$15-U3441))),-1E+030)</f>
        <v>-1.86474384131358</v>
      </c>
      <c r="X3441" s="55" t="n">
        <f aca="false">IF(V3441,IF(01_因子設定!$B$13="最大化",Q3441,IF(01_因子設定!$B$13="最小化",-Q3441,-ABS(Q3441-01_因子設定!$B$16))),-1E+030)</f>
        <v>47.7257741477273</v>
      </c>
      <c r="Y3441" s="55" t="n">
        <f aca="false">W3441+ROW()*0.000000001</f>
        <v>-1.86474040031358</v>
      </c>
      <c r="Z3441" s="55" t="n">
        <f aca="false">X3441+ROW()*0.000000001</f>
        <v>47.7257775887273</v>
      </c>
    </row>
    <row r="3442" customFormat="false" ht="15" hidden="false" customHeight="false" outlineLevel="0" collapsed="false">
      <c r="A3442" s="0" t="n">
        <v>11</v>
      </c>
      <c r="B3442" s="0" t="n">
        <v>15</v>
      </c>
      <c r="C3442" s="0" t="n">
        <v>3</v>
      </c>
      <c r="D3442" s="0" t="n">
        <f aca="false">-1+A3442*0.125</f>
        <v>0.375</v>
      </c>
      <c r="E3442" s="0" t="n">
        <f aca="false">-1+B3442*0.125</f>
        <v>0.875</v>
      </c>
      <c r="F3442" s="0" t="n">
        <f aca="false">-1+C3442*0.125</f>
        <v>-0.625</v>
      </c>
      <c r="G3442" s="0" t="n">
        <f aca="false">1</f>
        <v>1</v>
      </c>
      <c r="H3442" s="0" t="n">
        <f aca="false">D3442</f>
        <v>0.375</v>
      </c>
      <c r="I3442" s="0" t="n">
        <f aca="false">E3442</f>
        <v>0.875</v>
      </c>
      <c r="J3442" s="0" t="n">
        <f aca="false">F3442</f>
        <v>-0.625</v>
      </c>
      <c r="K3442" s="0" t="n">
        <f aca="false">D3442*E3442</f>
        <v>0.328125</v>
      </c>
      <c r="L3442" s="0" t="n">
        <f aca="false">D3442*F3442</f>
        <v>-0.234375</v>
      </c>
      <c r="M3442" s="0" t="n">
        <f aca="false">E3442*F3442</f>
        <v>-0.546875</v>
      </c>
      <c r="N3442" s="0" t="n">
        <f aca="false">D3442*D3442</f>
        <v>0.140625</v>
      </c>
      <c r="O3442" s="0" t="n">
        <f aca="false">E3442*E3442</f>
        <v>0.765625</v>
      </c>
      <c r="P3442" s="0" t="n">
        <f aca="false">F3442*F3442</f>
        <v>0.390625</v>
      </c>
      <c r="Q3442" s="0" t="n">
        <f aca="false">SUMPRODUCT(G3442:P3442,_XtX!$B$71:$K$71)</f>
        <v>48.1428053977273</v>
      </c>
      <c r="R3442" s="0" t="n">
        <f aca="false">SUMPRODUCT(MMULT(G3442:P3442,_XtX!$B$58:$K$67),G3442:P3442)</f>
        <v>0.337604869495739</v>
      </c>
      <c r="S3442" s="0" t="n">
        <f aca="false">04_回帰ANOVA!$K$19*04_回帰ANOVA!$K$14*SQRT(1+R3442)</f>
        <v>1.07530225516193</v>
      </c>
      <c r="T3442" s="0" t="n">
        <f aca="false">Q3442-S3442</f>
        <v>47.0675031425654</v>
      </c>
      <c r="U3442" s="0" t="n">
        <f aca="false">Q3442+S3442</f>
        <v>49.2181076528892</v>
      </c>
      <c r="V3442" s="54" t="b">
        <f aca="false">AND(D3442&gt;=01_因子設定!$L$5-0.000000001,D3442&lt;=01_因子設定!$M$5+0.000000001,E3442&gt;=01_因子設定!$L$6-0.000000001,E3442&lt;=01_因子設定!$M$6+0.000000001,F3442&gt;=01_因子設定!$L$7-0.000000001,F3442&lt;=01_因子設定!$M$7+0.000000001,IF(01_因子設定!$B$20="Box-Behnken",D3442^2+E3442^2+F3442^2&lt;=2+0.000000001,TRUE()))</f>
        <v>1</v>
      </c>
      <c r="W3442" s="55" t="n">
        <f aca="false">IF(V3442,IF(01_因子設定!$B$13="最大化",T3442-01_因子設定!$B$14,IF(01_因子設定!$B$13="最小化",01_因子設定!$B$15-U3442,MIN(T3442-01_因子設定!$B$14,01_因子設定!$B$15-U3442))),-1E+030)</f>
        <v>-1.43249685743464</v>
      </c>
      <c r="X3442" s="55" t="n">
        <f aca="false">IF(V3442,IF(01_因子設定!$B$13="最大化",Q3442,IF(01_因子設定!$B$13="最小化",-Q3442,-ABS(Q3442-01_因子設定!$B$16))),-1E+030)</f>
        <v>48.1428053977273</v>
      </c>
      <c r="Y3442" s="55" t="n">
        <f aca="false">W3442+ROW()*0.000000001</f>
        <v>-1.43249341543464</v>
      </c>
      <c r="Z3442" s="55" t="n">
        <f aca="false">X3442+ROW()*0.000000001</f>
        <v>48.1428088397273</v>
      </c>
    </row>
    <row r="3443" customFormat="false" ht="15" hidden="false" customHeight="false" outlineLevel="0" collapsed="false">
      <c r="A3443" s="0" t="n">
        <v>11</v>
      </c>
      <c r="B3443" s="0" t="n">
        <v>15</v>
      </c>
      <c r="C3443" s="0" t="n">
        <v>4</v>
      </c>
      <c r="D3443" s="0" t="n">
        <f aca="false">-1+A3443*0.125</f>
        <v>0.375</v>
      </c>
      <c r="E3443" s="0" t="n">
        <f aca="false">-1+B3443*0.125</f>
        <v>0.875</v>
      </c>
      <c r="F3443" s="0" t="n">
        <f aca="false">-1+C3443*0.125</f>
        <v>-0.5</v>
      </c>
      <c r="G3443" s="0" t="n">
        <f aca="false">1</f>
        <v>1</v>
      </c>
      <c r="H3443" s="0" t="n">
        <f aca="false">D3443</f>
        <v>0.375</v>
      </c>
      <c r="I3443" s="0" t="n">
        <f aca="false">E3443</f>
        <v>0.875</v>
      </c>
      <c r="J3443" s="0" t="n">
        <f aca="false">F3443</f>
        <v>-0.5</v>
      </c>
      <c r="K3443" s="0" t="n">
        <f aca="false">D3443*E3443</f>
        <v>0.328125</v>
      </c>
      <c r="L3443" s="0" t="n">
        <f aca="false">D3443*F3443</f>
        <v>-0.1875</v>
      </c>
      <c r="M3443" s="0" t="n">
        <f aca="false">E3443*F3443</f>
        <v>-0.4375</v>
      </c>
      <c r="N3443" s="0" t="n">
        <f aca="false">D3443*D3443</f>
        <v>0.140625</v>
      </c>
      <c r="O3443" s="0" t="n">
        <f aca="false">E3443*E3443</f>
        <v>0.765625</v>
      </c>
      <c r="P3443" s="0" t="n">
        <f aca="false">F3443*F3443</f>
        <v>0.25</v>
      </c>
      <c r="Q3443" s="0" t="n">
        <f aca="false">SUMPRODUCT(G3443:P3443,_XtX!$B$71:$K$71)</f>
        <v>48.523046875</v>
      </c>
      <c r="R3443" s="0" t="n">
        <f aca="false">SUMPRODUCT(MMULT(G3443:P3443,_XtX!$B$58:$K$67),G3443:P3443)</f>
        <v>0.322393798828125</v>
      </c>
      <c r="S3443" s="0" t="n">
        <f aca="false">04_回帰ANOVA!$K$19*04_回帰ANOVA!$K$14*SQRT(1+R3443)</f>
        <v>1.06917067390712</v>
      </c>
      <c r="T3443" s="0" t="n">
        <f aca="false">Q3443-S3443</f>
        <v>47.4538762010929</v>
      </c>
      <c r="U3443" s="0" t="n">
        <f aca="false">Q3443+S3443</f>
        <v>49.5922175489071</v>
      </c>
      <c r="V3443" s="54" t="b">
        <f aca="false">AND(D3443&gt;=01_因子設定!$L$5-0.000000001,D3443&lt;=01_因子設定!$M$5+0.000000001,E3443&gt;=01_因子設定!$L$6-0.000000001,E3443&lt;=01_因子設定!$M$6+0.000000001,F3443&gt;=01_因子設定!$L$7-0.000000001,F3443&lt;=01_因子設定!$M$7+0.000000001,IF(01_因子設定!$B$20="Box-Behnken",D3443^2+E3443^2+F3443^2&lt;=2+0.000000001,TRUE()))</f>
        <v>1</v>
      </c>
      <c r="W3443" s="55" t="n">
        <f aca="false">IF(V3443,IF(01_因子設定!$B$13="最大化",T3443-01_因子設定!$B$14,IF(01_因子設定!$B$13="最小化",01_因子設定!$B$15-U3443,MIN(T3443-01_因子設定!$B$14,01_因子設定!$B$15-U3443))),-1E+030)</f>
        <v>-1.0461237989071</v>
      </c>
      <c r="X3443" s="55" t="n">
        <f aca="false">IF(V3443,IF(01_因子設定!$B$13="最大化",Q3443,IF(01_因子設定!$B$13="最小化",-Q3443,-ABS(Q3443-01_因子設定!$B$16))),-1E+030)</f>
        <v>48.523046875</v>
      </c>
      <c r="Y3443" s="55" t="n">
        <f aca="false">W3443+ROW()*0.000000001</f>
        <v>-1.0461203559071</v>
      </c>
      <c r="Z3443" s="55" t="n">
        <f aca="false">X3443+ROW()*0.000000001</f>
        <v>48.523050318</v>
      </c>
    </row>
    <row r="3444" customFormat="false" ht="15" hidden="false" customHeight="false" outlineLevel="0" collapsed="false">
      <c r="A3444" s="0" t="n">
        <v>11</v>
      </c>
      <c r="B3444" s="0" t="n">
        <v>15</v>
      </c>
      <c r="C3444" s="0" t="n">
        <v>5</v>
      </c>
      <c r="D3444" s="0" t="n">
        <f aca="false">-1+A3444*0.125</f>
        <v>0.375</v>
      </c>
      <c r="E3444" s="0" t="n">
        <f aca="false">-1+B3444*0.125</f>
        <v>0.875</v>
      </c>
      <c r="F3444" s="0" t="n">
        <f aca="false">-1+C3444*0.125</f>
        <v>-0.375</v>
      </c>
      <c r="G3444" s="0" t="n">
        <f aca="false">1</f>
        <v>1</v>
      </c>
      <c r="H3444" s="0" t="n">
        <f aca="false">D3444</f>
        <v>0.375</v>
      </c>
      <c r="I3444" s="0" t="n">
        <f aca="false">E3444</f>
        <v>0.875</v>
      </c>
      <c r="J3444" s="0" t="n">
        <f aca="false">F3444</f>
        <v>-0.375</v>
      </c>
      <c r="K3444" s="0" t="n">
        <f aca="false">D3444*E3444</f>
        <v>0.328125</v>
      </c>
      <c r="L3444" s="0" t="n">
        <f aca="false">D3444*F3444</f>
        <v>-0.140625</v>
      </c>
      <c r="M3444" s="0" t="n">
        <f aca="false">E3444*F3444</f>
        <v>-0.328125</v>
      </c>
      <c r="N3444" s="0" t="n">
        <f aca="false">D3444*D3444</f>
        <v>0.140625</v>
      </c>
      <c r="O3444" s="0" t="n">
        <f aca="false">E3444*E3444</f>
        <v>0.765625</v>
      </c>
      <c r="P3444" s="0" t="n">
        <f aca="false">F3444*F3444</f>
        <v>0.140625</v>
      </c>
      <c r="Q3444" s="0" t="n">
        <f aca="false">SUMPRODUCT(G3444:P3444,_XtX!$B$71:$K$71)</f>
        <v>48.8664985795455</v>
      </c>
      <c r="R3444" s="0" t="n">
        <f aca="false">SUMPRODUCT(MMULT(G3444:P3444,_XtX!$B$58:$K$67),G3444:P3444)</f>
        <v>0.32050614790483</v>
      </c>
      <c r="S3444" s="0" t="n">
        <f aca="false">04_回帰ANOVA!$K$19*04_回帰ANOVA!$K$14*SQRT(1+R3444)</f>
        <v>1.06840730759619</v>
      </c>
      <c r="T3444" s="0" t="n">
        <f aca="false">Q3444-S3444</f>
        <v>47.7980912719493</v>
      </c>
      <c r="U3444" s="0" t="n">
        <f aca="false">Q3444+S3444</f>
        <v>49.9349058871417</v>
      </c>
      <c r="V3444" s="54" t="b">
        <f aca="false">AND(D3444&gt;=01_因子設定!$L$5-0.000000001,D3444&lt;=01_因子設定!$M$5+0.000000001,E3444&gt;=01_因子設定!$L$6-0.000000001,E3444&lt;=01_因子設定!$M$6+0.000000001,F3444&gt;=01_因子設定!$L$7-0.000000001,F3444&lt;=01_因子設定!$M$7+0.000000001,IF(01_因子設定!$B$20="Box-Behnken",D3444^2+E3444^2+F3444^2&lt;=2+0.000000001,TRUE()))</f>
        <v>1</v>
      </c>
      <c r="W3444" s="55" t="n">
        <f aca="false">IF(V3444,IF(01_因子設定!$B$13="最大化",T3444-01_因子設定!$B$14,IF(01_因子設定!$B$13="最小化",01_因子設定!$B$15-U3444,MIN(T3444-01_因子設定!$B$14,01_因子設定!$B$15-U3444))),-1E+030)</f>
        <v>-0.701908728050725</v>
      </c>
      <c r="X3444" s="55" t="n">
        <f aca="false">IF(V3444,IF(01_因子設定!$B$13="最大化",Q3444,IF(01_因子設定!$B$13="最小化",-Q3444,-ABS(Q3444-01_因子設定!$B$16))),-1E+030)</f>
        <v>48.8664985795455</v>
      </c>
      <c r="Y3444" s="55" t="n">
        <f aca="false">W3444+ROW()*0.000000001</f>
        <v>-0.701905284050725</v>
      </c>
      <c r="Z3444" s="55" t="n">
        <f aca="false">X3444+ROW()*0.000000001</f>
        <v>48.8665020235455</v>
      </c>
    </row>
    <row r="3445" customFormat="false" ht="15" hidden="false" customHeight="false" outlineLevel="0" collapsed="false">
      <c r="A3445" s="0" t="n">
        <v>11</v>
      </c>
      <c r="B3445" s="0" t="n">
        <v>15</v>
      </c>
      <c r="C3445" s="0" t="n">
        <v>6</v>
      </c>
      <c r="D3445" s="0" t="n">
        <f aca="false">-1+A3445*0.125</f>
        <v>0.375</v>
      </c>
      <c r="E3445" s="0" t="n">
        <f aca="false">-1+B3445*0.125</f>
        <v>0.875</v>
      </c>
      <c r="F3445" s="0" t="n">
        <f aca="false">-1+C3445*0.125</f>
        <v>-0.25</v>
      </c>
      <c r="G3445" s="0" t="n">
        <f aca="false">1</f>
        <v>1</v>
      </c>
      <c r="H3445" s="0" t="n">
        <f aca="false">D3445</f>
        <v>0.375</v>
      </c>
      <c r="I3445" s="0" t="n">
        <f aca="false">E3445</f>
        <v>0.875</v>
      </c>
      <c r="J3445" s="0" t="n">
        <f aca="false">F3445</f>
        <v>-0.25</v>
      </c>
      <c r="K3445" s="0" t="n">
        <f aca="false">D3445*E3445</f>
        <v>0.328125</v>
      </c>
      <c r="L3445" s="0" t="n">
        <f aca="false">D3445*F3445</f>
        <v>-0.09375</v>
      </c>
      <c r="M3445" s="0" t="n">
        <f aca="false">E3445*F3445</f>
        <v>-0.21875</v>
      </c>
      <c r="N3445" s="0" t="n">
        <f aca="false">D3445*D3445</f>
        <v>0.140625</v>
      </c>
      <c r="O3445" s="0" t="n">
        <f aca="false">E3445*E3445</f>
        <v>0.765625</v>
      </c>
      <c r="P3445" s="0" t="n">
        <f aca="false">F3445*F3445</f>
        <v>0.0625</v>
      </c>
      <c r="Q3445" s="0" t="n">
        <f aca="false">SUMPRODUCT(G3445:P3445,_XtX!$B$71:$K$71)</f>
        <v>49.1731605113637</v>
      </c>
      <c r="R3445" s="0" t="n">
        <f aca="false">SUMPRODUCT(MMULT(G3445:P3445,_XtX!$B$58:$K$67),G3445:P3445)</f>
        <v>0.324484530362216</v>
      </c>
      <c r="S3445" s="0" t="n">
        <f aca="false">04_回帰ANOVA!$K$19*04_回帰ANOVA!$K$14*SQRT(1+R3445)</f>
        <v>1.07001553041279</v>
      </c>
      <c r="T3445" s="0" t="n">
        <f aca="false">Q3445-S3445</f>
        <v>48.1031449809509</v>
      </c>
      <c r="U3445" s="0" t="n">
        <f aca="false">Q3445+S3445</f>
        <v>50.2431760417764</v>
      </c>
      <c r="V3445" s="54" t="b">
        <f aca="false">AND(D3445&gt;=01_因子設定!$L$5-0.000000001,D3445&lt;=01_因子設定!$M$5+0.000000001,E3445&gt;=01_因子設定!$L$6-0.000000001,E3445&lt;=01_因子設定!$M$6+0.000000001,F3445&gt;=01_因子設定!$L$7-0.000000001,F3445&lt;=01_因子設定!$M$7+0.000000001,IF(01_因子設定!$B$20="Box-Behnken",D3445^2+E3445^2+F3445^2&lt;=2+0.000000001,TRUE()))</f>
        <v>1</v>
      </c>
      <c r="W3445" s="55" t="n">
        <f aca="false">IF(V3445,IF(01_因子設定!$B$13="最大化",T3445-01_因子設定!$B$14,IF(01_因子設定!$B$13="最小化",01_因子設定!$B$15-U3445,MIN(T3445-01_因子設定!$B$14,01_因子設定!$B$15-U3445))),-1E+030)</f>
        <v>-0.396855019049141</v>
      </c>
      <c r="X3445" s="55" t="n">
        <f aca="false">IF(V3445,IF(01_因子設定!$B$13="最大化",Q3445,IF(01_因子設定!$B$13="最小化",-Q3445,-ABS(Q3445-01_因子設定!$B$16))),-1E+030)</f>
        <v>49.1731605113637</v>
      </c>
      <c r="Y3445" s="55" t="n">
        <f aca="false">W3445+ROW()*0.000000001</f>
        <v>-0.396851574049141</v>
      </c>
      <c r="Z3445" s="55" t="n">
        <f aca="false">X3445+ROW()*0.000000001</f>
        <v>49.1731639563636</v>
      </c>
    </row>
    <row r="3446" customFormat="false" ht="15" hidden="false" customHeight="false" outlineLevel="0" collapsed="false">
      <c r="A3446" s="0" t="n">
        <v>11</v>
      </c>
      <c r="B3446" s="0" t="n">
        <v>15</v>
      </c>
      <c r="C3446" s="0" t="n">
        <v>7</v>
      </c>
      <c r="D3446" s="0" t="n">
        <f aca="false">-1+A3446*0.125</f>
        <v>0.375</v>
      </c>
      <c r="E3446" s="0" t="n">
        <f aca="false">-1+B3446*0.125</f>
        <v>0.875</v>
      </c>
      <c r="F3446" s="0" t="n">
        <f aca="false">-1+C3446*0.125</f>
        <v>-0.125</v>
      </c>
      <c r="G3446" s="0" t="n">
        <f aca="false">1</f>
        <v>1</v>
      </c>
      <c r="H3446" s="0" t="n">
        <f aca="false">D3446</f>
        <v>0.375</v>
      </c>
      <c r="I3446" s="0" t="n">
        <f aca="false">E3446</f>
        <v>0.875</v>
      </c>
      <c r="J3446" s="0" t="n">
        <f aca="false">F3446</f>
        <v>-0.125</v>
      </c>
      <c r="K3446" s="0" t="n">
        <f aca="false">D3446*E3446</f>
        <v>0.328125</v>
      </c>
      <c r="L3446" s="0" t="n">
        <f aca="false">D3446*F3446</f>
        <v>-0.046875</v>
      </c>
      <c r="M3446" s="0" t="n">
        <f aca="false">E3446*F3446</f>
        <v>-0.109375</v>
      </c>
      <c r="N3446" s="0" t="n">
        <f aca="false">D3446*D3446</f>
        <v>0.140625</v>
      </c>
      <c r="O3446" s="0" t="n">
        <f aca="false">E3446*E3446</f>
        <v>0.765625</v>
      </c>
      <c r="P3446" s="0" t="n">
        <f aca="false">F3446*F3446</f>
        <v>0.015625</v>
      </c>
      <c r="Q3446" s="0" t="n">
        <f aca="false">SUMPRODUCT(G3446:P3446,_XtX!$B$71:$K$71)</f>
        <v>49.4430326704546</v>
      </c>
      <c r="R3446" s="0" t="n">
        <f aca="false">SUMPRODUCT(MMULT(G3446:P3446,_XtX!$B$58:$K$67),G3446:P3446)</f>
        <v>0.32900224165483</v>
      </c>
      <c r="S3446" s="0" t="n">
        <f aca="false">04_回帰ANOVA!$K$19*04_回帰ANOVA!$K$14*SQRT(1+R3446)</f>
        <v>1.07183884583628</v>
      </c>
      <c r="T3446" s="0" t="n">
        <f aca="false">Q3446-S3446</f>
        <v>48.3711938246183</v>
      </c>
      <c r="U3446" s="0" t="n">
        <f aca="false">Q3446+S3446</f>
        <v>50.5148715162908</v>
      </c>
      <c r="V3446" s="54" t="b">
        <f aca="false">AND(D3446&gt;=01_因子設定!$L$5-0.000000001,D3446&lt;=01_因子設定!$M$5+0.000000001,E3446&gt;=01_因子設定!$L$6-0.000000001,E3446&lt;=01_因子設定!$M$6+0.000000001,F3446&gt;=01_因子設定!$L$7-0.000000001,F3446&lt;=01_因子設定!$M$7+0.000000001,IF(01_因子設定!$B$20="Box-Behnken",D3446^2+E3446^2+F3446^2&lt;=2+0.000000001,TRUE()))</f>
        <v>1</v>
      </c>
      <c r="W3446" s="55" t="n">
        <f aca="false">IF(V3446,IF(01_因子設定!$B$13="最大化",T3446-01_因子設定!$B$14,IF(01_因子設定!$B$13="最小化",01_因子設定!$B$15-U3446,MIN(T3446-01_因子設定!$B$14,01_因子設定!$B$15-U3446))),-1E+030)</f>
        <v>-0.128806175381726</v>
      </c>
      <c r="X3446" s="55" t="n">
        <f aca="false">IF(V3446,IF(01_因子設定!$B$13="最大化",Q3446,IF(01_因子設定!$B$13="最小化",-Q3446,-ABS(Q3446-01_因子設定!$B$16))),-1E+030)</f>
        <v>49.4430326704546</v>
      </c>
      <c r="Y3446" s="55" t="n">
        <f aca="false">W3446+ROW()*0.000000001</f>
        <v>-0.128802729381726</v>
      </c>
      <c r="Z3446" s="55" t="n">
        <f aca="false">X3446+ROW()*0.000000001</f>
        <v>49.4430361164546</v>
      </c>
    </row>
    <row r="3447" customFormat="false" ht="15" hidden="false" customHeight="false" outlineLevel="0" collapsed="false">
      <c r="A3447" s="0" t="n">
        <v>11</v>
      </c>
      <c r="B3447" s="0" t="n">
        <v>15</v>
      </c>
      <c r="C3447" s="0" t="n">
        <v>8</v>
      </c>
      <c r="D3447" s="0" t="n">
        <f aca="false">-1+A3447*0.125</f>
        <v>0.375</v>
      </c>
      <c r="E3447" s="0" t="n">
        <f aca="false">-1+B3447*0.125</f>
        <v>0.875</v>
      </c>
      <c r="F3447" s="0" t="n">
        <f aca="false">-1+C3447*0.125</f>
        <v>0</v>
      </c>
      <c r="G3447" s="0" t="n">
        <f aca="false">1</f>
        <v>1</v>
      </c>
      <c r="H3447" s="0" t="n">
        <f aca="false">D3447</f>
        <v>0.375</v>
      </c>
      <c r="I3447" s="0" t="n">
        <f aca="false">E3447</f>
        <v>0.875</v>
      </c>
      <c r="J3447" s="0" t="n">
        <f aca="false">F3447</f>
        <v>0</v>
      </c>
      <c r="K3447" s="0" t="n">
        <f aca="false">D3447*E3447</f>
        <v>0.328125</v>
      </c>
      <c r="L3447" s="0" t="n">
        <f aca="false">D3447*F3447</f>
        <v>0</v>
      </c>
      <c r="M3447" s="0" t="n">
        <f aca="false">E3447*F3447</f>
        <v>0</v>
      </c>
      <c r="N3447" s="0" t="n">
        <f aca="false">D3447*D3447</f>
        <v>0.140625</v>
      </c>
      <c r="O3447" s="0" t="n">
        <f aca="false">E3447*E3447</f>
        <v>0.765625</v>
      </c>
      <c r="P3447" s="0" t="n">
        <f aca="false">F3447*F3447</f>
        <v>0</v>
      </c>
      <c r="Q3447" s="0" t="n">
        <f aca="false">SUMPRODUCT(G3447:P3447,_XtX!$B$71:$K$71)</f>
        <v>49.6761150568182</v>
      </c>
      <c r="R3447" s="0" t="n">
        <f aca="false">SUMPRODUCT(MMULT(G3447:P3447,_XtX!$B$58:$K$67),G3447:P3447)</f>
        <v>0.330863259055398</v>
      </c>
      <c r="S3447" s="0" t="n">
        <f aca="false">04_回帰ANOVA!$K$19*04_回帰ANOVA!$K$14*SQRT(1+R3447)</f>
        <v>1.07258903754571</v>
      </c>
      <c r="T3447" s="0" t="n">
        <f aca="false">Q3447-S3447</f>
        <v>48.6035260192725</v>
      </c>
      <c r="U3447" s="0" t="n">
        <f aca="false">Q3447+S3447</f>
        <v>50.7487040943639</v>
      </c>
      <c r="V3447" s="54" t="b">
        <f aca="false">AND(D3447&gt;=01_因子設定!$L$5-0.000000001,D3447&lt;=01_因子設定!$M$5+0.000000001,E3447&gt;=01_因子設定!$L$6-0.000000001,E3447&lt;=01_因子設定!$M$6+0.000000001,F3447&gt;=01_因子設定!$L$7-0.000000001,F3447&lt;=01_因子設定!$M$7+0.000000001,IF(01_因子設定!$B$20="Box-Behnken",D3447^2+E3447^2+F3447^2&lt;=2+0.000000001,TRUE()))</f>
        <v>1</v>
      </c>
      <c r="W3447" s="55" t="n">
        <f aca="false">IF(V3447,IF(01_因子設定!$B$13="最大化",T3447-01_因子設定!$B$14,IF(01_因子設定!$B$13="最小化",01_因子設定!$B$15-U3447,MIN(T3447-01_因子設定!$B$14,01_因子設定!$B$15-U3447))),-1E+030)</f>
        <v>0.103526019272486</v>
      </c>
      <c r="X3447" s="55" t="n">
        <f aca="false">IF(V3447,IF(01_因子設定!$B$13="最大化",Q3447,IF(01_因子設定!$B$13="最小化",-Q3447,-ABS(Q3447-01_因子設定!$B$16))),-1E+030)</f>
        <v>49.6761150568182</v>
      </c>
      <c r="Y3447" s="55" t="n">
        <f aca="false">W3447+ROW()*0.000000001</f>
        <v>0.103529466272486</v>
      </c>
      <c r="Z3447" s="55" t="n">
        <f aca="false">X3447+ROW()*0.000000001</f>
        <v>49.6761185038182</v>
      </c>
    </row>
    <row r="3448" customFormat="false" ht="15" hidden="false" customHeight="false" outlineLevel="0" collapsed="false">
      <c r="A3448" s="0" t="n">
        <v>11</v>
      </c>
      <c r="B3448" s="0" t="n">
        <v>15</v>
      </c>
      <c r="C3448" s="0" t="n">
        <v>9</v>
      </c>
      <c r="D3448" s="0" t="n">
        <f aca="false">-1+A3448*0.125</f>
        <v>0.375</v>
      </c>
      <c r="E3448" s="0" t="n">
        <f aca="false">-1+B3448*0.125</f>
        <v>0.875</v>
      </c>
      <c r="F3448" s="0" t="n">
        <f aca="false">-1+C3448*0.125</f>
        <v>0.125</v>
      </c>
      <c r="G3448" s="0" t="n">
        <f aca="false">1</f>
        <v>1</v>
      </c>
      <c r="H3448" s="0" t="n">
        <f aca="false">D3448</f>
        <v>0.375</v>
      </c>
      <c r="I3448" s="0" t="n">
        <f aca="false">E3448</f>
        <v>0.875</v>
      </c>
      <c r="J3448" s="0" t="n">
        <f aca="false">F3448</f>
        <v>0.125</v>
      </c>
      <c r="K3448" s="0" t="n">
        <f aca="false">D3448*E3448</f>
        <v>0.328125</v>
      </c>
      <c r="L3448" s="0" t="n">
        <f aca="false">D3448*F3448</f>
        <v>0.046875</v>
      </c>
      <c r="M3448" s="0" t="n">
        <f aca="false">E3448*F3448</f>
        <v>0.109375</v>
      </c>
      <c r="N3448" s="0" t="n">
        <f aca="false">D3448*D3448</f>
        <v>0.140625</v>
      </c>
      <c r="O3448" s="0" t="n">
        <f aca="false">E3448*E3448</f>
        <v>0.765625</v>
      </c>
      <c r="P3448" s="0" t="n">
        <f aca="false">F3448*F3448</f>
        <v>0.015625</v>
      </c>
      <c r="Q3448" s="0" t="n">
        <f aca="false">SUMPRODUCT(G3448:P3448,_XtX!$B$71:$K$71)</f>
        <v>49.8724076704546</v>
      </c>
      <c r="R3448" s="0" t="n">
        <f aca="false">SUMPRODUCT(MMULT(G3448:P3448,_XtX!$B$58:$K$67),G3448:P3448)</f>
        <v>0.32900224165483</v>
      </c>
      <c r="S3448" s="0" t="n">
        <f aca="false">04_回帰ANOVA!$K$19*04_回帰ANOVA!$K$14*SQRT(1+R3448)</f>
        <v>1.07183884583628</v>
      </c>
      <c r="T3448" s="0" t="n">
        <f aca="false">Q3448-S3448</f>
        <v>48.8005688246183</v>
      </c>
      <c r="U3448" s="0" t="n">
        <f aca="false">Q3448+S3448</f>
        <v>50.9442465162908</v>
      </c>
      <c r="V3448" s="54" t="b">
        <f aca="false">AND(D3448&gt;=01_因子設定!$L$5-0.000000001,D3448&lt;=01_因子設定!$M$5+0.000000001,E3448&gt;=01_因子設定!$L$6-0.000000001,E3448&lt;=01_因子設定!$M$6+0.000000001,F3448&gt;=01_因子設定!$L$7-0.000000001,F3448&lt;=01_因子設定!$M$7+0.000000001,IF(01_因子設定!$B$20="Box-Behnken",D3448^2+E3448^2+F3448^2&lt;=2+0.000000001,TRUE()))</f>
        <v>1</v>
      </c>
      <c r="W3448" s="55" t="n">
        <f aca="false">IF(V3448,IF(01_因子設定!$B$13="最大化",T3448-01_因子設定!$B$14,IF(01_因子設定!$B$13="最小化",01_因子設定!$B$15-U3448,MIN(T3448-01_因子設定!$B$14,01_因子設定!$B$15-U3448))),-1E+030)</f>
        <v>0.300568824618281</v>
      </c>
      <c r="X3448" s="55" t="n">
        <f aca="false">IF(V3448,IF(01_因子設定!$B$13="最大化",Q3448,IF(01_因子設定!$B$13="最小化",-Q3448,-ABS(Q3448-01_因子設定!$B$16))),-1E+030)</f>
        <v>49.8724076704546</v>
      </c>
      <c r="Y3448" s="55" t="n">
        <f aca="false">W3448+ROW()*0.000000001</f>
        <v>0.300572272618281</v>
      </c>
      <c r="Z3448" s="55" t="n">
        <f aca="false">X3448+ROW()*0.000000001</f>
        <v>49.8724111184546</v>
      </c>
    </row>
    <row r="3449" customFormat="false" ht="15" hidden="false" customHeight="false" outlineLevel="0" collapsed="false">
      <c r="A3449" s="0" t="n">
        <v>11</v>
      </c>
      <c r="B3449" s="0" t="n">
        <v>15</v>
      </c>
      <c r="C3449" s="0" t="n">
        <v>10</v>
      </c>
      <c r="D3449" s="0" t="n">
        <f aca="false">-1+A3449*0.125</f>
        <v>0.375</v>
      </c>
      <c r="E3449" s="0" t="n">
        <f aca="false">-1+B3449*0.125</f>
        <v>0.875</v>
      </c>
      <c r="F3449" s="0" t="n">
        <f aca="false">-1+C3449*0.125</f>
        <v>0.25</v>
      </c>
      <c r="G3449" s="0" t="n">
        <f aca="false">1</f>
        <v>1</v>
      </c>
      <c r="H3449" s="0" t="n">
        <f aca="false">D3449</f>
        <v>0.375</v>
      </c>
      <c r="I3449" s="0" t="n">
        <f aca="false">E3449</f>
        <v>0.875</v>
      </c>
      <c r="J3449" s="0" t="n">
        <f aca="false">F3449</f>
        <v>0.25</v>
      </c>
      <c r="K3449" s="0" t="n">
        <f aca="false">D3449*E3449</f>
        <v>0.328125</v>
      </c>
      <c r="L3449" s="0" t="n">
        <f aca="false">D3449*F3449</f>
        <v>0.09375</v>
      </c>
      <c r="M3449" s="0" t="n">
        <f aca="false">E3449*F3449</f>
        <v>0.21875</v>
      </c>
      <c r="N3449" s="0" t="n">
        <f aca="false">D3449*D3449</f>
        <v>0.140625</v>
      </c>
      <c r="O3449" s="0" t="n">
        <f aca="false">E3449*E3449</f>
        <v>0.765625</v>
      </c>
      <c r="P3449" s="0" t="n">
        <f aca="false">F3449*F3449</f>
        <v>0.0625</v>
      </c>
      <c r="Q3449" s="0" t="n">
        <f aca="false">SUMPRODUCT(G3449:P3449,_XtX!$B$71:$K$71)</f>
        <v>50.0319105113637</v>
      </c>
      <c r="R3449" s="0" t="n">
        <f aca="false">SUMPRODUCT(MMULT(G3449:P3449,_XtX!$B$58:$K$67),G3449:P3449)</f>
        <v>0.324484530362216</v>
      </c>
      <c r="S3449" s="0" t="n">
        <f aca="false">04_回帰ANOVA!$K$19*04_回帰ANOVA!$K$14*SQRT(1+R3449)</f>
        <v>1.07001553041279</v>
      </c>
      <c r="T3449" s="0" t="n">
        <f aca="false">Q3449-S3449</f>
        <v>48.9618949809509</v>
      </c>
      <c r="U3449" s="0" t="n">
        <f aca="false">Q3449+S3449</f>
        <v>51.1019260417764</v>
      </c>
      <c r="V3449" s="54" t="b">
        <f aca="false">AND(D3449&gt;=01_因子設定!$L$5-0.000000001,D3449&lt;=01_因子設定!$M$5+0.000000001,E3449&gt;=01_因子設定!$L$6-0.000000001,E3449&lt;=01_因子設定!$M$6+0.000000001,F3449&gt;=01_因子設定!$L$7-0.000000001,F3449&lt;=01_因子設定!$M$7+0.000000001,IF(01_因子設定!$B$20="Box-Behnken",D3449^2+E3449^2+F3449^2&lt;=2+0.000000001,TRUE()))</f>
        <v>1</v>
      </c>
      <c r="W3449" s="55" t="n">
        <f aca="false">IF(V3449,IF(01_因子設定!$B$13="最大化",T3449-01_因子設定!$B$14,IF(01_因子設定!$B$13="最小化",01_因子設定!$B$15-U3449,MIN(T3449-01_因子設定!$B$14,01_因子設定!$B$15-U3449))),-1E+030)</f>
        <v>0.461894980950859</v>
      </c>
      <c r="X3449" s="55" t="n">
        <f aca="false">IF(V3449,IF(01_因子設定!$B$13="最大化",Q3449,IF(01_因子設定!$B$13="最小化",-Q3449,-ABS(Q3449-01_因子設定!$B$16))),-1E+030)</f>
        <v>50.0319105113637</v>
      </c>
      <c r="Y3449" s="55" t="n">
        <f aca="false">W3449+ROW()*0.000000001</f>
        <v>0.461898429950859</v>
      </c>
      <c r="Z3449" s="55" t="n">
        <f aca="false">X3449+ROW()*0.000000001</f>
        <v>50.0319139603636</v>
      </c>
    </row>
    <row r="3450" customFormat="false" ht="15" hidden="false" customHeight="false" outlineLevel="0" collapsed="false">
      <c r="A3450" s="0" t="n">
        <v>11</v>
      </c>
      <c r="B3450" s="0" t="n">
        <v>15</v>
      </c>
      <c r="C3450" s="0" t="n">
        <v>11</v>
      </c>
      <c r="D3450" s="0" t="n">
        <f aca="false">-1+A3450*0.125</f>
        <v>0.375</v>
      </c>
      <c r="E3450" s="0" t="n">
        <f aca="false">-1+B3450*0.125</f>
        <v>0.875</v>
      </c>
      <c r="F3450" s="0" t="n">
        <f aca="false">-1+C3450*0.125</f>
        <v>0.375</v>
      </c>
      <c r="G3450" s="0" t="n">
        <f aca="false">1</f>
        <v>1</v>
      </c>
      <c r="H3450" s="0" t="n">
        <f aca="false">D3450</f>
        <v>0.375</v>
      </c>
      <c r="I3450" s="0" t="n">
        <f aca="false">E3450</f>
        <v>0.875</v>
      </c>
      <c r="J3450" s="0" t="n">
        <f aca="false">F3450</f>
        <v>0.375</v>
      </c>
      <c r="K3450" s="0" t="n">
        <f aca="false">D3450*E3450</f>
        <v>0.328125</v>
      </c>
      <c r="L3450" s="0" t="n">
        <f aca="false">D3450*F3450</f>
        <v>0.140625</v>
      </c>
      <c r="M3450" s="0" t="n">
        <f aca="false">E3450*F3450</f>
        <v>0.328125</v>
      </c>
      <c r="N3450" s="0" t="n">
        <f aca="false">D3450*D3450</f>
        <v>0.140625</v>
      </c>
      <c r="O3450" s="0" t="n">
        <f aca="false">E3450*E3450</f>
        <v>0.765625</v>
      </c>
      <c r="P3450" s="0" t="n">
        <f aca="false">F3450*F3450</f>
        <v>0.140625</v>
      </c>
      <c r="Q3450" s="0" t="n">
        <f aca="false">SUMPRODUCT(G3450:P3450,_XtX!$B$71:$K$71)</f>
        <v>50.1546235795455</v>
      </c>
      <c r="R3450" s="0" t="n">
        <f aca="false">SUMPRODUCT(MMULT(G3450:P3450,_XtX!$B$58:$K$67),G3450:P3450)</f>
        <v>0.32050614790483</v>
      </c>
      <c r="S3450" s="0" t="n">
        <f aca="false">04_回帰ANOVA!$K$19*04_回帰ANOVA!$K$14*SQRT(1+R3450)</f>
        <v>1.06840730759619</v>
      </c>
      <c r="T3450" s="0" t="n">
        <f aca="false">Q3450-S3450</f>
        <v>49.0862162719493</v>
      </c>
      <c r="U3450" s="0" t="n">
        <f aca="false">Q3450+S3450</f>
        <v>51.2230308871417</v>
      </c>
      <c r="V3450" s="54" t="b">
        <f aca="false">AND(D3450&gt;=01_因子設定!$L$5-0.000000001,D3450&lt;=01_因子設定!$M$5+0.000000001,E3450&gt;=01_因子設定!$L$6-0.000000001,E3450&lt;=01_因子設定!$M$6+0.000000001,F3450&gt;=01_因子設定!$L$7-0.000000001,F3450&lt;=01_因子設定!$M$7+0.000000001,IF(01_因子設定!$B$20="Box-Behnken",D3450^2+E3450^2+F3450^2&lt;=2+0.000000001,TRUE()))</f>
        <v>1</v>
      </c>
      <c r="W3450" s="55" t="n">
        <f aca="false">IF(V3450,IF(01_因子設定!$B$13="最大化",T3450-01_因子設定!$B$14,IF(01_因子設定!$B$13="最小化",01_因子設定!$B$15-U3450,MIN(T3450-01_因子設定!$B$14,01_因子設定!$B$15-U3450))),-1E+030)</f>
        <v>0.586216271949276</v>
      </c>
      <c r="X3450" s="55" t="n">
        <f aca="false">IF(V3450,IF(01_因子設定!$B$13="最大化",Q3450,IF(01_因子設定!$B$13="最小化",-Q3450,-ABS(Q3450-01_因子設定!$B$16))),-1E+030)</f>
        <v>50.1546235795455</v>
      </c>
      <c r="Y3450" s="55" t="n">
        <f aca="false">W3450+ROW()*0.000000001</f>
        <v>0.586219721949276</v>
      </c>
      <c r="Z3450" s="55" t="n">
        <f aca="false">X3450+ROW()*0.000000001</f>
        <v>50.1546270295455</v>
      </c>
    </row>
    <row r="3451" customFormat="false" ht="15" hidden="false" customHeight="false" outlineLevel="0" collapsed="false">
      <c r="A3451" s="0" t="n">
        <v>11</v>
      </c>
      <c r="B3451" s="0" t="n">
        <v>15</v>
      </c>
      <c r="C3451" s="0" t="n">
        <v>12</v>
      </c>
      <c r="D3451" s="0" t="n">
        <f aca="false">-1+A3451*0.125</f>
        <v>0.375</v>
      </c>
      <c r="E3451" s="0" t="n">
        <f aca="false">-1+B3451*0.125</f>
        <v>0.875</v>
      </c>
      <c r="F3451" s="0" t="n">
        <f aca="false">-1+C3451*0.125</f>
        <v>0.5</v>
      </c>
      <c r="G3451" s="0" t="n">
        <f aca="false">1</f>
        <v>1</v>
      </c>
      <c r="H3451" s="0" t="n">
        <f aca="false">D3451</f>
        <v>0.375</v>
      </c>
      <c r="I3451" s="0" t="n">
        <f aca="false">E3451</f>
        <v>0.875</v>
      </c>
      <c r="J3451" s="0" t="n">
        <f aca="false">F3451</f>
        <v>0.5</v>
      </c>
      <c r="K3451" s="0" t="n">
        <f aca="false">D3451*E3451</f>
        <v>0.328125</v>
      </c>
      <c r="L3451" s="0" t="n">
        <f aca="false">D3451*F3451</f>
        <v>0.1875</v>
      </c>
      <c r="M3451" s="0" t="n">
        <f aca="false">E3451*F3451</f>
        <v>0.4375</v>
      </c>
      <c r="N3451" s="0" t="n">
        <f aca="false">D3451*D3451</f>
        <v>0.140625</v>
      </c>
      <c r="O3451" s="0" t="n">
        <f aca="false">E3451*E3451</f>
        <v>0.765625</v>
      </c>
      <c r="P3451" s="0" t="n">
        <f aca="false">F3451*F3451</f>
        <v>0.25</v>
      </c>
      <c r="Q3451" s="0" t="n">
        <f aca="false">SUMPRODUCT(G3451:P3451,_XtX!$B$71:$K$71)</f>
        <v>50.240546875</v>
      </c>
      <c r="R3451" s="0" t="n">
        <f aca="false">SUMPRODUCT(MMULT(G3451:P3451,_XtX!$B$58:$K$67),G3451:P3451)</f>
        <v>0.322393798828125</v>
      </c>
      <c r="S3451" s="0" t="n">
        <f aca="false">04_回帰ANOVA!$K$19*04_回帰ANOVA!$K$14*SQRT(1+R3451)</f>
        <v>1.06917067390712</v>
      </c>
      <c r="T3451" s="0" t="n">
        <f aca="false">Q3451-S3451</f>
        <v>49.1713762010929</v>
      </c>
      <c r="U3451" s="0" t="n">
        <f aca="false">Q3451+S3451</f>
        <v>51.3097175489071</v>
      </c>
      <c r="V3451" s="54" t="b">
        <f aca="false">AND(D3451&gt;=01_因子設定!$L$5-0.000000001,D3451&lt;=01_因子設定!$M$5+0.000000001,E3451&gt;=01_因子設定!$L$6-0.000000001,E3451&lt;=01_因子設定!$M$6+0.000000001,F3451&gt;=01_因子設定!$L$7-0.000000001,F3451&lt;=01_因子設定!$M$7+0.000000001,IF(01_因子設定!$B$20="Box-Behnken",D3451^2+E3451^2+F3451^2&lt;=2+0.000000001,TRUE()))</f>
        <v>1</v>
      </c>
      <c r="W3451" s="55" t="n">
        <f aca="false">IF(V3451,IF(01_因子設定!$B$13="最大化",T3451-01_因子設定!$B$14,IF(01_因子設定!$B$13="最小化",01_因子設定!$B$15-U3451,MIN(T3451-01_因子設定!$B$14,01_因子設定!$B$15-U3451))),-1E+030)</f>
        <v>0.671376201092897</v>
      </c>
      <c r="X3451" s="55" t="n">
        <f aca="false">IF(V3451,IF(01_因子設定!$B$13="最大化",Q3451,IF(01_因子設定!$B$13="最小化",-Q3451,-ABS(Q3451-01_因子設定!$B$16))),-1E+030)</f>
        <v>50.240546875</v>
      </c>
      <c r="Y3451" s="55" t="n">
        <f aca="false">W3451+ROW()*0.000000001</f>
        <v>0.671379652092897</v>
      </c>
      <c r="Z3451" s="55" t="n">
        <f aca="false">X3451+ROW()*0.000000001</f>
        <v>50.240550326</v>
      </c>
    </row>
    <row r="3452" customFormat="false" ht="15" hidden="false" customHeight="false" outlineLevel="0" collapsed="false">
      <c r="A3452" s="0" t="n">
        <v>11</v>
      </c>
      <c r="B3452" s="0" t="n">
        <v>15</v>
      </c>
      <c r="C3452" s="0" t="n">
        <v>13</v>
      </c>
      <c r="D3452" s="0" t="n">
        <f aca="false">-1+A3452*0.125</f>
        <v>0.375</v>
      </c>
      <c r="E3452" s="0" t="n">
        <f aca="false">-1+B3452*0.125</f>
        <v>0.875</v>
      </c>
      <c r="F3452" s="0" t="n">
        <f aca="false">-1+C3452*0.125</f>
        <v>0.625</v>
      </c>
      <c r="G3452" s="0" t="n">
        <f aca="false">1</f>
        <v>1</v>
      </c>
      <c r="H3452" s="0" t="n">
        <f aca="false">D3452</f>
        <v>0.375</v>
      </c>
      <c r="I3452" s="0" t="n">
        <f aca="false">E3452</f>
        <v>0.875</v>
      </c>
      <c r="J3452" s="0" t="n">
        <f aca="false">F3452</f>
        <v>0.625</v>
      </c>
      <c r="K3452" s="0" t="n">
        <f aca="false">D3452*E3452</f>
        <v>0.328125</v>
      </c>
      <c r="L3452" s="0" t="n">
        <f aca="false">D3452*F3452</f>
        <v>0.234375</v>
      </c>
      <c r="M3452" s="0" t="n">
        <f aca="false">E3452*F3452</f>
        <v>0.546875</v>
      </c>
      <c r="N3452" s="0" t="n">
        <f aca="false">D3452*D3452</f>
        <v>0.140625</v>
      </c>
      <c r="O3452" s="0" t="n">
        <f aca="false">E3452*E3452</f>
        <v>0.765625</v>
      </c>
      <c r="P3452" s="0" t="n">
        <f aca="false">F3452*F3452</f>
        <v>0.390625</v>
      </c>
      <c r="Q3452" s="0" t="n">
        <f aca="false">SUMPRODUCT(G3452:P3452,_XtX!$B$71:$K$71)</f>
        <v>50.2896803977273</v>
      </c>
      <c r="R3452" s="0" t="n">
        <f aca="false">SUMPRODUCT(MMULT(G3452:P3452,_XtX!$B$58:$K$67),G3452:P3452)</f>
        <v>0.337604869495739</v>
      </c>
      <c r="S3452" s="0" t="n">
        <f aca="false">04_回帰ANOVA!$K$19*04_回帰ANOVA!$K$14*SQRT(1+R3452)</f>
        <v>1.07530225516193</v>
      </c>
      <c r="T3452" s="0" t="n">
        <f aca="false">Q3452-S3452</f>
        <v>49.2143781425654</v>
      </c>
      <c r="U3452" s="0" t="n">
        <f aca="false">Q3452+S3452</f>
        <v>51.3649826528892</v>
      </c>
      <c r="V3452" s="54" t="b">
        <f aca="false">AND(D3452&gt;=01_因子設定!$L$5-0.000000001,D3452&lt;=01_因子設定!$M$5+0.000000001,E3452&gt;=01_因子設定!$L$6-0.000000001,E3452&lt;=01_因子設定!$M$6+0.000000001,F3452&gt;=01_因子設定!$L$7-0.000000001,F3452&lt;=01_因子設定!$M$7+0.000000001,IF(01_因子設定!$B$20="Box-Behnken",D3452^2+E3452^2+F3452^2&lt;=2+0.000000001,TRUE()))</f>
        <v>1</v>
      </c>
      <c r="W3452" s="55" t="n">
        <f aca="false">IF(V3452,IF(01_因子設定!$B$13="最大化",T3452-01_因子設定!$B$14,IF(01_因子設定!$B$13="最小化",01_因子設定!$B$15-U3452,MIN(T3452-01_因子設定!$B$14,01_因子設定!$B$15-U3452))),-1E+030)</f>
        <v>0.714378142565366</v>
      </c>
      <c r="X3452" s="55" t="n">
        <f aca="false">IF(V3452,IF(01_因子設定!$B$13="最大化",Q3452,IF(01_因子設定!$B$13="最小化",-Q3452,-ABS(Q3452-01_因子設定!$B$16))),-1E+030)</f>
        <v>50.2896803977273</v>
      </c>
      <c r="Y3452" s="55" t="n">
        <f aca="false">W3452+ROW()*0.000000001</f>
        <v>0.714381594565366</v>
      </c>
      <c r="Z3452" s="55" t="n">
        <f aca="false">X3452+ROW()*0.000000001</f>
        <v>50.2896838497273</v>
      </c>
    </row>
    <row r="3453" customFormat="false" ht="15" hidden="false" customHeight="false" outlineLevel="0" collapsed="false">
      <c r="A3453" s="0" t="n">
        <v>11</v>
      </c>
      <c r="B3453" s="0" t="n">
        <v>15</v>
      </c>
      <c r="C3453" s="0" t="n">
        <v>14</v>
      </c>
      <c r="D3453" s="0" t="n">
        <f aca="false">-1+A3453*0.125</f>
        <v>0.375</v>
      </c>
      <c r="E3453" s="0" t="n">
        <f aca="false">-1+B3453*0.125</f>
        <v>0.875</v>
      </c>
      <c r="F3453" s="0" t="n">
        <f aca="false">-1+C3453*0.125</f>
        <v>0.75</v>
      </c>
      <c r="G3453" s="0" t="n">
        <f aca="false">1</f>
        <v>1</v>
      </c>
      <c r="H3453" s="0" t="n">
        <f aca="false">D3453</f>
        <v>0.375</v>
      </c>
      <c r="I3453" s="0" t="n">
        <f aca="false">E3453</f>
        <v>0.875</v>
      </c>
      <c r="J3453" s="0" t="n">
        <f aca="false">F3453</f>
        <v>0.75</v>
      </c>
      <c r="K3453" s="0" t="n">
        <f aca="false">D3453*E3453</f>
        <v>0.328125</v>
      </c>
      <c r="L3453" s="0" t="n">
        <f aca="false">D3453*F3453</f>
        <v>0.28125</v>
      </c>
      <c r="M3453" s="0" t="n">
        <f aca="false">E3453*F3453</f>
        <v>0.65625</v>
      </c>
      <c r="N3453" s="0" t="n">
        <f aca="false">D3453*D3453</f>
        <v>0.140625</v>
      </c>
      <c r="O3453" s="0" t="n">
        <f aca="false">E3453*E3453</f>
        <v>0.765625</v>
      </c>
      <c r="P3453" s="0" t="n">
        <f aca="false">F3453*F3453</f>
        <v>0.5625</v>
      </c>
      <c r="Q3453" s="0" t="n">
        <f aca="false">SUMPRODUCT(G3453:P3453,_XtX!$B$71:$K$71)</f>
        <v>50.3020241477273</v>
      </c>
      <c r="R3453" s="0" t="n">
        <f aca="false">SUMPRODUCT(MMULT(G3453:P3453,_XtX!$B$58:$K$67),G3453:P3453)</f>
        <v>0.375727428089489</v>
      </c>
      <c r="S3453" s="0" t="n">
        <f aca="false">04_回帰ANOVA!$K$19*04_回帰ANOVA!$K$14*SQRT(1+R3453)</f>
        <v>1.09051798904087</v>
      </c>
      <c r="T3453" s="0" t="n">
        <f aca="false">Q3453-S3453</f>
        <v>49.2115061586864</v>
      </c>
      <c r="U3453" s="0" t="n">
        <f aca="false">Q3453+S3453</f>
        <v>51.3925421367682</v>
      </c>
      <c r="V3453" s="54" t="b">
        <f aca="false">AND(D3453&gt;=01_因子設定!$L$5-0.000000001,D3453&lt;=01_因子設定!$M$5+0.000000001,E3453&gt;=01_因子設定!$L$6-0.000000001,E3453&lt;=01_因子設定!$M$6+0.000000001,F3453&gt;=01_因子設定!$L$7-0.000000001,F3453&lt;=01_因子設定!$M$7+0.000000001,IF(01_因子設定!$B$20="Box-Behnken",D3453^2+E3453^2+F3453^2&lt;=2+0.000000001,TRUE()))</f>
        <v>1</v>
      </c>
      <c r="W3453" s="55" t="n">
        <f aca="false">IF(V3453,IF(01_因子設定!$B$13="最大化",T3453-01_因子設定!$B$14,IF(01_因子設定!$B$13="最小化",01_因子設定!$B$15-U3453,MIN(T3453-01_因子設定!$B$14,01_因子設定!$B$15-U3453))),-1E+030)</f>
        <v>0.711506158686419</v>
      </c>
      <c r="X3453" s="55" t="n">
        <f aca="false">IF(V3453,IF(01_因子設定!$B$13="最大化",Q3453,IF(01_因子設定!$B$13="最小化",-Q3453,-ABS(Q3453-01_因子設定!$B$16))),-1E+030)</f>
        <v>50.3020241477273</v>
      </c>
      <c r="Y3453" s="55" t="n">
        <f aca="false">W3453+ROW()*0.000000001</f>
        <v>0.711509611686419</v>
      </c>
      <c r="Z3453" s="55" t="n">
        <f aca="false">X3453+ROW()*0.000000001</f>
        <v>50.3020276007273</v>
      </c>
    </row>
    <row r="3454" customFormat="false" ht="15" hidden="false" customHeight="false" outlineLevel="0" collapsed="false">
      <c r="A3454" s="0" t="n">
        <v>11</v>
      </c>
      <c r="B3454" s="0" t="n">
        <v>15</v>
      </c>
      <c r="C3454" s="0" t="n">
        <v>15</v>
      </c>
      <c r="D3454" s="0" t="n">
        <f aca="false">-1+A3454*0.125</f>
        <v>0.375</v>
      </c>
      <c r="E3454" s="0" t="n">
        <f aca="false">-1+B3454*0.125</f>
        <v>0.875</v>
      </c>
      <c r="F3454" s="0" t="n">
        <f aca="false">-1+C3454*0.125</f>
        <v>0.875</v>
      </c>
      <c r="G3454" s="0" t="n">
        <f aca="false">1</f>
        <v>1</v>
      </c>
      <c r="H3454" s="0" t="n">
        <f aca="false">D3454</f>
        <v>0.375</v>
      </c>
      <c r="I3454" s="0" t="n">
        <f aca="false">E3454</f>
        <v>0.875</v>
      </c>
      <c r="J3454" s="0" t="n">
        <f aca="false">F3454</f>
        <v>0.875</v>
      </c>
      <c r="K3454" s="0" t="n">
        <f aca="false">D3454*E3454</f>
        <v>0.328125</v>
      </c>
      <c r="L3454" s="0" t="n">
        <f aca="false">D3454*F3454</f>
        <v>0.328125</v>
      </c>
      <c r="M3454" s="0" t="n">
        <f aca="false">E3454*F3454</f>
        <v>0.765625</v>
      </c>
      <c r="N3454" s="0" t="n">
        <f aca="false">D3454*D3454</f>
        <v>0.140625</v>
      </c>
      <c r="O3454" s="0" t="n">
        <f aca="false">E3454*E3454</f>
        <v>0.765625</v>
      </c>
      <c r="P3454" s="0" t="n">
        <f aca="false">F3454*F3454</f>
        <v>0.765625</v>
      </c>
      <c r="Q3454" s="0" t="n">
        <f aca="false">SUMPRODUCT(G3454:P3454,_XtX!$B$71:$K$71)</f>
        <v>50.277578125</v>
      </c>
      <c r="R3454" s="0" t="n">
        <f aca="false">SUMPRODUCT(MMULT(G3454:P3454,_XtX!$B$58:$K$67),G3454:P3454)</f>
        <v>0.448480224609375</v>
      </c>
      <c r="S3454" s="0" t="n">
        <f aca="false">04_回帰ANOVA!$K$19*04_回帰ANOVA!$K$14*SQRT(1+R3454)</f>
        <v>1.11898153812985</v>
      </c>
      <c r="T3454" s="0" t="n">
        <f aca="false">Q3454-S3454</f>
        <v>49.1585965868702</v>
      </c>
      <c r="U3454" s="0" t="n">
        <f aca="false">Q3454+S3454</f>
        <v>51.3965596631299</v>
      </c>
      <c r="V3454" s="54" t="b">
        <f aca="false">AND(D3454&gt;=01_因子設定!$L$5-0.000000001,D3454&lt;=01_因子設定!$M$5+0.000000001,E3454&gt;=01_因子設定!$L$6-0.000000001,E3454&lt;=01_因子設定!$M$6+0.000000001,F3454&gt;=01_因子設定!$L$7-0.000000001,F3454&lt;=01_因子設定!$M$7+0.000000001,IF(01_因子設定!$B$20="Box-Behnken",D3454^2+E3454^2+F3454^2&lt;=2+0.000000001,TRUE()))</f>
        <v>1</v>
      </c>
      <c r="W3454" s="55" t="n">
        <f aca="false">IF(V3454,IF(01_因子設定!$B$13="最大化",T3454-01_因子設定!$B$14,IF(01_因子設定!$B$13="最小化",01_因子設定!$B$15-U3454,MIN(T3454-01_因子設定!$B$14,01_因子設定!$B$15-U3454))),-1E+030)</f>
        <v>0.658596586870182</v>
      </c>
      <c r="X3454" s="55" t="n">
        <f aca="false">IF(V3454,IF(01_因子設定!$B$13="最大化",Q3454,IF(01_因子設定!$B$13="最小化",-Q3454,-ABS(Q3454-01_因子設定!$B$16))),-1E+030)</f>
        <v>50.277578125</v>
      </c>
      <c r="Y3454" s="55" t="n">
        <f aca="false">W3454+ROW()*0.000000001</f>
        <v>0.658600040870182</v>
      </c>
      <c r="Z3454" s="55" t="n">
        <f aca="false">X3454+ROW()*0.000000001</f>
        <v>50.277581579</v>
      </c>
    </row>
    <row r="3455" customFormat="false" ht="15" hidden="false" customHeight="false" outlineLevel="0" collapsed="false">
      <c r="A3455" s="0" t="n">
        <v>11</v>
      </c>
      <c r="B3455" s="0" t="n">
        <v>15</v>
      </c>
      <c r="C3455" s="0" t="n">
        <v>16</v>
      </c>
      <c r="D3455" s="0" t="n">
        <f aca="false">-1+A3455*0.125</f>
        <v>0.375</v>
      </c>
      <c r="E3455" s="0" t="n">
        <f aca="false">-1+B3455*0.125</f>
        <v>0.875</v>
      </c>
      <c r="F3455" s="0" t="n">
        <f aca="false">-1+C3455*0.125</f>
        <v>1</v>
      </c>
      <c r="G3455" s="0" t="n">
        <f aca="false">1</f>
        <v>1</v>
      </c>
      <c r="H3455" s="0" t="n">
        <f aca="false">D3455</f>
        <v>0.375</v>
      </c>
      <c r="I3455" s="0" t="n">
        <f aca="false">E3455</f>
        <v>0.875</v>
      </c>
      <c r="J3455" s="0" t="n">
        <f aca="false">F3455</f>
        <v>1</v>
      </c>
      <c r="K3455" s="0" t="n">
        <f aca="false">D3455*E3455</f>
        <v>0.328125</v>
      </c>
      <c r="L3455" s="0" t="n">
        <f aca="false">D3455*F3455</f>
        <v>0.375</v>
      </c>
      <c r="M3455" s="0" t="n">
        <f aca="false">E3455*F3455</f>
        <v>0.875</v>
      </c>
      <c r="N3455" s="0" t="n">
        <f aca="false">D3455*D3455</f>
        <v>0.140625</v>
      </c>
      <c r="O3455" s="0" t="n">
        <f aca="false">E3455*E3455</f>
        <v>0.765625</v>
      </c>
      <c r="P3455" s="0" t="n">
        <f aca="false">F3455*F3455</f>
        <v>1</v>
      </c>
      <c r="Q3455" s="0" t="n">
        <f aca="false">SUMPRODUCT(G3455:P3455,_XtX!$B$71:$K$71)</f>
        <v>50.2163423295455</v>
      </c>
      <c r="R3455" s="0" t="n">
        <f aca="false">SUMPRODUCT(MMULT(G3455:P3455,_XtX!$B$58:$K$67),G3455:P3455)</f>
        <v>0.56971269087358</v>
      </c>
      <c r="S3455" s="0" t="n">
        <f aca="false">04_回帰ANOVA!$K$19*04_回帰ANOVA!$K$14*SQRT(1+R3455)</f>
        <v>1.16486801567081</v>
      </c>
      <c r="T3455" s="0" t="n">
        <f aca="false">Q3455-S3455</f>
        <v>49.0514743138747</v>
      </c>
      <c r="U3455" s="0" t="n">
        <f aca="false">Q3455+S3455</f>
        <v>51.3812103452163</v>
      </c>
      <c r="V3455" s="54" t="b">
        <f aca="false">AND(D3455&gt;=01_因子設定!$L$5-0.000000001,D3455&lt;=01_因子設定!$M$5+0.000000001,E3455&gt;=01_因子設定!$L$6-0.000000001,E3455&lt;=01_因子設定!$M$6+0.000000001,F3455&gt;=01_因子設定!$L$7-0.000000001,F3455&lt;=01_因子設定!$M$7+0.000000001,IF(01_因子設定!$B$20="Box-Behnken",D3455^2+E3455^2+F3455^2&lt;=2+0.000000001,TRUE()))</f>
        <v>1</v>
      </c>
      <c r="W3455" s="55" t="n">
        <f aca="false">IF(V3455,IF(01_因子設定!$B$13="最大化",T3455-01_因子設定!$B$14,IF(01_因子設定!$B$13="最小化",01_因子設定!$B$15-U3455,MIN(T3455-01_因子設定!$B$14,01_因子設定!$B$15-U3455))),-1E+030)</f>
        <v>0.551474313874678</v>
      </c>
      <c r="X3455" s="55" t="n">
        <f aca="false">IF(V3455,IF(01_因子設定!$B$13="最大化",Q3455,IF(01_因子設定!$B$13="最小化",-Q3455,-ABS(Q3455-01_因子設定!$B$16))),-1E+030)</f>
        <v>50.2163423295455</v>
      </c>
      <c r="Y3455" s="55" t="n">
        <f aca="false">W3455+ROW()*0.000000001</f>
        <v>0.551477768874678</v>
      </c>
      <c r="Z3455" s="55" t="n">
        <f aca="false">X3455+ROW()*0.000000001</f>
        <v>50.2163457845455</v>
      </c>
    </row>
    <row r="3456" customFormat="false" ht="15" hidden="false" customHeight="false" outlineLevel="0" collapsed="false">
      <c r="A3456" s="0" t="n">
        <v>11</v>
      </c>
      <c r="B3456" s="0" t="n">
        <v>16</v>
      </c>
      <c r="C3456" s="0" t="n">
        <v>0</v>
      </c>
      <c r="D3456" s="0" t="n">
        <f aca="false">-1+A3456*0.125</f>
        <v>0.375</v>
      </c>
      <c r="E3456" s="0" t="n">
        <f aca="false">-1+B3456*0.125</f>
        <v>1</v>
      </c>
      <c r="F3456" s="0" t="n">
        <f aca="false">-1+C3456*0.125</f>
        <v>-1</v>
      </c>
      <c r="G3456" s="0" t="n">
        <f aca="false">1</f>
        <v>1</v>
      </c>
      <c r="H3456" s="0" t="n">
        <f aca="false">D3456</f>
        <v>0.375</v>
      </c>
      <c r="I3456" s="0" t="n">
        <f aca="false">E3456</f>
        <v>1</v>
      </c>
      <c r="J3456" s="0" t="n">
        <f aca="false">F3456</f>
        <v>-1</v>
      </c>
      <c r="K3456" s="0" t="n">
        <f aca="false">D3456*E3456</f>
        <v>0.375</v>
      </c>
      <c r="L3456" s="0" t="n">
        <f aca="false">D3456*F3456</f>
        <v>-0.375</v>
      </c>
      <c r="M3456" s="0" t="n">
        <f aca="false">E3456*F3456</f>
        <v>-1</v>
      </c>
      <c r="N3456" s="0" t="n">
        <f aca="false">D3456*D3456</f>
        <v>0.140625</v>
      </c>
      <c r="O3456" s="0" t="n">
        <f aca="false">E3456*E3456</f>
        <v>1</v>
      </c>
      <c r="P3456" s="0" t="n">
        <f aca="false">F3456*F3456</f>
        <v>1</v>
      </c>
      <c r="Q3456" s="0" t="n">
        <f aca="false">SUMPRODUCT(G3456:P3456,_XtX!$B$71:$K$71)</f>
        <v>46.5661221590909</v>
      </c>
      <c r="R3456" s="0" t="n">
        <f aca="false">SUMPRODUCT(MMULT(G3456:P3456,_XtX!$B$58:$K$67),G3456:P3456)</f>
        <v>0.682830255681818</v>
      </c>
      <c r="S3456" s="0" t="n">
        <f aca="false">04_回帰ANOVA!$K$19*04_回帰ANOVA!$K$14*SQRT(1+R3456)</f>
        <v>1.20610964896955</v>
      </c>
      <c r="T3456" s="0" t="n">
        <f aca="false">Q3456-S3456</f>
        <v>45.3600125101214</v>
      </c>
      <c r="U3456" s="0" t="n">
        <f aca="false">Q3456+S3456</f>
        <v>47.7722318080605</v>
      </c>
      <c r="V3456" s="54" t="b">
        <f aca="false">AND(D3456&gt;=01_因子設定!$L$5-0.000000001,D3456&lt;=01_因子設定!$M$5+0.000000001,E3456&gt;=01_因子設定!$L$6-0.000000001,E3456&lt;=01_因子設定!$M$6+0.000000001,F3456&gt;=01_因子設定!$L$7-0.000000001,F3456&lt;=01_因子設定!$M$7+0.000000001,IF(01_因子設定!$B$20="Box-Behnken",D3456^2+E3456^2+F3456^2&lt;=2+0.000000001,TRUE()))</f>
        <v>1</v>
      </c>
      <c r="W3456" s="55" t="n">
        <f aca="false">IF(V3456,IF(01_因子設定!$B$13="最大化",T3456-01_因子設定!$B$14,IF(01_因子設定!$B$13="最小化",01_因子設定!$B$15-U3456,MIN(T3456-01_因子設定!$B$14,01_因子設定!$B$15-U3456))),-1E+030)</f>
        <v>-3.13998748987861</v>
      </c>
      <c r="X3456" s="55" t="n">
        <f aca="false">IF(V3456,IF(01_因子設定!$B$13="最大化",Q3456,IF(01_因子設定!$B$13="最小化",-Q3456,-ABS(Q3456-01_因子設定!$B$16))),-1E+030)</f>
        <v>46.5661221590909</v>
      </c>
      <c r="Y3456" s="55" t="n">
        <f aca="false">W3456+ROW()*0.000000001</f>
        <v>-3.13998403387861</v>
      </c>
      <c r="Z3456" s="55" t="n">
        <f aca="false">X3456+ROW()*0.000000001</f>
        <v>46.5661256150909</v>
      </c>
    </row>
    <row r="3457" customFormat="false" ht="15" hidden="false" customHeight="false" outlineLevel="0" collapsed="false">
      <c r="A3457" s="0" t="n">
        <v>11</v>
      </c>
      <c r="B3457" s="0" t="n">
        <v>16</v>
      </c>
      <c r="C3457" s="0" t="n">
        <v>1</v>
      </c>
      <c r="D3457" s="0" t="n">
        <f aca="false">-1+A3457*0.125</f>
        <v>0.375</v>
      </c>
      <c r="E3457" s="0" t="n">
        <f aca="false">-1+B3457*0.125</f>
        <v>1</v>
      </c>
      <c r="F3457" s="0" t="n">
        <f aca="false">-1+C3457*0.125</f>
        <v>-0.875</v>
      </c>
      <c r="G3457" s="0" t="n">
        <f aca="false">1</f>
        <v>1</v>
      </c>
      <c r="H3457" s="0" t="n">
        <f aca="false">D3457</f>
        <v>0.375</v>
      </c>
      <c r="I3457" s="0" t="n">
        <f aca="false">E3457</f>
        <v>1</v>
      </c>
      <c r="J3457" s="0" t="n">
        <f aca="false">F3457</f>
        <v>-0.875</v>
      </c>
      <c r="K3457" s="0" t="n">
        <f aca="false">D3457*E3457</f>
        <v>0.375</v>
      </c>
      <c r="L3457" s="0" t="n">
        <f aca="false">D3457*F3457</f>
        <v>-0.328125</v>
      </c>
      <c r="M3457" s="0" t="n">
        <f aca="false">E3457*F3457</f>
        <v>-0.875</v>
      </c>
      <c r="N3457" s="0" t="n">
        <f aca="false">D3457*D3457</f>
        <v>0.140625</v>
      </c>
      <c r="O3457" s="0" t="n">
        <f aca="false">E3457*E3457</f>
        <v>1</v>
      </c>
      <c r="P3457" s="0" t="n">
        <f aca="false">F3457*F3457</f>
        <v>0.765625</v>
      </c>
      <c r="Q3457" s="0" t="n">
        <f aca="false">SUMPRODUCT(G3457:P3457,_XtX!$B$71:$K$71)</f>
        <v>47.0637642045455</v>
      </c>
      <c r="R3457" s="0" t="n">
        <f aca="false">SUMPRODUCT(MMULT(G3457:P3457,_XtX!$B$58:$K$67),G3457:P3457)</f>
        <v>0.56971269087358</v>
      </c>
      <c r="S3457" s="0" t="n">
        <f aca="false">04_回帰ANOVA!$K$19*04_回帰ANOVA!$K$14*SQRT(1+R3457)</f>
        <v>1.16486801567081</v>
      </c>
      <c r="T3457" s="0" t="n">
        <f aca="false">Q3457-S3457</f>
        <v>45.8988961888747</v>
      </c>
      <c r="U3457" s="0" t="n">
        <f aca="false">Q3457+S3457</f>
        <v>48.2286322202163</v>
      </c>
      <c r="V3457" s="54" t="b">
        <f aca="false">AND(D3457&gt;=01_因子設定!$L$5-0.000000001,D3457&lt;=01_因子設定!$M$5+0.000000001,E3457&gt;=01_因子設定!$L$6-0.000000001,E3457&lt;=01_因子設定!$M$6+0.000000001,F3457&gt;=01_因子設定!$L$7-0.000000001,F3457&lt;=01_因子設定!$M$7+0.000000001,IF(01_因子設定!$B$20="Box-Behnken",D3457^2+E3457^2+F3457^2&lt;=2+0.000000001,TRUE()))</f>
        <v>1</v>
      </c>
      <c r="W3457" s="55" t="n">
        <f aca="false">IF(V3457,IF(01_因子設定!$B$13="最大化",T3457-01_因子設定!$B$14,IF(01_因子設定!$B$13="最小化",01_因子設定!$B$15-U3457,MIN(T3457-01_因子設定!$B$14,01_因子設定!$B$15-U3457))),-1E+030)</f>
        <v>-2.60110381112533</v>
      </c>
      <c r="X3457" s="55" t="n">
        <f aca="false">IF(V3457,IF(01_因子設定!$B$13="最大化",Q3457,IF(01_因子設定!$B$13="最小化",-Q3457,-ABS(Q3457-01_因子設定!$B$16))),-1E+030)</f>
        <v>47.0637642045455</v>
      </c>
      <c r="Y3457" s="55" t="n">
        <f aca="false">W3457+ROW()*0.000000001</f>
        <v>-2.60110035412533</v>
      </c>
      <c r="Z3457" s="55" t="n">
        <f aca="false">X3457+ROW()*0.000000001</f>
        <v>47.0637676615455</v>
      </c>
    </row>
    <row r="3458" customFormat="false" ht="15" hidden="false" customHeight="false" outlineLevel="0" collapsed="false">
      <c r="A3458" s="0" t="n">
        <v>11</v>
      </c>
      <c r="B3458" s="0" t="n">
        <v>16</v>
      </c>
      <c r="C3458" s="0" t="n">
        <v>2</v>
      </c>
      <c r="D3458" s="0" t="n">
        <f aca="false">-1+A3458*0.125</f>
        <v>0.375</v>
      </c>
      <c r="E3458" s="0" t="n">
        <f aca="false">-1+B3458*0.125</f>
        <v>1</v>
      </c>
      <c r="F3458" s="0" t="n">
        <f aca="false">-1+C3458*0.125</f>
        <v>-0.75</v>
      </c>
      <c r="G3458" s="0" t="n">
        <f aca="false">1</f>
        <v>1</v>
      </c>
      <c r="H3458" s="0" t="n">
        <f aca="false">D3458</f>
        <v>0.375</v>
      </c>
      <c r="I3458" s="0" t="n">
        <f aca="false">E3458</f>
        <v>1</v>
      </c>
      <c r="J3458" s="0" t="n">
        <f aca="false">F3458</f>
        <v>-0.75</v>
      </c>
      <c r="K3458" s="0" t="n">
        <f aca="false">D3458*E3458</f>
        <v>0.375</v>
      </c>
      <c r="L3458" s="0" t="n">
        <f aca="false">D3458*F3458</f>
        <v>-0.28125</v>
      </c>
      <c r="M3458" s="0" t="n">
        <f aca="false">E3458*F3458</f>
        <v>-0.75</v>
      </c>
      <c r="N3458" s="0" t="n">
        <f aca="false">D3458*D3458</f>
        <v>0.140625</v>
      </c>
      <c r="O3458" s="0" t="n">
        <f aca="false">E3458*E3458</f>
        <v>1</v>
      </c>
      <c r="P3458" s="0" t="n">
        <f aca="false">F3458*F3458</f>
        <v>0.5625</v>
      </c>
      <c r="Q3458" s="0" t="n">
        <f aca="false">SUMPRODUCT(G3458:P3458,_XtX!$B$71:$K$71)</f>
        <v>47.5246164772727</v>
      </c>
      <c r="R3458" s="0" t="n">
        <f aca="false">SUMPRODUCT(MMULT(G3458:P3458,_XtX!$B$58:$K$67),G3458:P3458)</f>
        <v>0.503992808948864</v>
      </c>
      <c r="S3458" s="0" t="n">
        <f aca="false">04_回帰ANOVA!$K$19*04_回帰ANOVA!$K$14*SQRT(1+R3458)</f>
        <v>1.14022226176226</v>
      </c>
      <c r="T3458" s="0" t="n">
        <f aca="false">Q3458-S3458</f>
        <v>46.3843942155105</v>
      </c>
      <c r="U3458" s="0" t="n">
        <f aca="false">Q3458+S3458</f>
        <v>48.664838739035</v>
      </c>
      <c r="V3458" s="54" t="b">
        <f aca="false">AND(D3458&gt;=01_因子設定!$L$5-0.000000001,D3458&lt;=01_因子設定!$M$5+0.000000001,E3458&gt;=01_因子設定!$L$6-0.000000001,E3458&lt;=01_因子設定!$M$6+0.000000001,F3458&gt;=01_因子設定!$L$7-0.000000001,F3458&lt;=01_因子設定!$M$7+0.000000001,IF(01_因子設定!$B$20="Box-Behnken",D3458^2+E3458^2+F3458^2&lt;=2+0.000000001,TRUE()))</f>
        <v>1</v>
      </c>
      <c r="W3458" s="55" t="n">
        <f aca="false">IF(V3458,IF(01_因子設定!$B$13="最大化",T3458-01_因子設定!$B$14,IF(01_因子設定!$B$13="最小化",01_因子設定!$B$15-U3458,MIN(T3458-01_因子設定!$B$14,01_因子設定!$B$15-U3458))),-1E+030)</f>
        <v>-2.11560578448952</v>
      </c>
      <c r="X3458" s="55" t="n">
        <f aca="false">IF(V3458,IF(01_因子設定!$B$13="最大化",Q3458,IF(01_因子設定!$B$13="最小化",-Q3458,-ABS(Q3458-01_因子設定!$B$16))),-1E+030)</f>
        <v>47.5246164772727</v>
      </c>
      <c r="Y3458" s="55" t="n">
        <f aca="false">W3458+ROW()*0.000000001</f>
        <v>-2.11560232648952</v>
      </c>
      <c r="Z3458" s="55" t="n">
        <f aca="false">X3458+ROW()*0.000000001</f>
        <v>47.5246199352727</v>
      </c>
    </row>
    <row r="3459" customFormat="false" ht="15" hidden="false" customHeight="false" outlineLevel="0" collapsed="false">
      <c r="A3459" s="0" t="n">
        <v>11</v>
      </c>
      <c r="B3459" s="0" t="n">
        <v>16</v>
      </c>
      <c r="C3459" s="0" t="n">
        <v>3</v>
      </c>
      <c r="D3459" s="0" t="n">
        <f aca="false">-1+A3459*0.125</f>
        <v>0.375</v>
      </c>
      <c r="E3459" s="0" t="n">
        <f aca="false">-1+B3459*0.125</f>
        <v>1</v>
      </c>
      <c r="F3459" s="0" t="n">
        <f aca="false">-1+C3459*0.125</f>
        <v>-0.625</v>
      </c>
      <c r="G3459" s="0" t="n">
        <f aca="false">1</f>
        <v>1</v>
      </c>
      <c r="H3459" s="0" t="n">
        <f aca="false">D3459</f>
        <v>0.375</v>
      </c>
      <c r="I3459" s="0" t="n">
        <f aca="false">E3459</f>
        <v>1</v>
      </c>
      <c r="J3459" s="0" t="n">
        <f aca="false">F3459</f>
        <v>-0.625</v>
      </c>
      <c r="K3459" s="0" t="n">
        <f aca="false">D3459*E3459</f>
        <v>0.375</v>
      </c>
      <c r="L3459" s="0" t="n">
        <f aca="false">D3459*F3459</f>
        <v>-0.234375</v>
      </c>
      <c r="M3459" s="0" t="n">
        <f aca="false">E3459*F3459</f>
        <v>-0.625</v>
      </c>
      <c r="N3459" s="0" t="n">
        <f aca="false">D3459*D3459</f>
        <v>0.140625</v>
      </c>
      <c r="O3459" s="0" t="n">
        <f aca="false">E3459*E3459</f>
        <v>1</v>
      </c>
      <c r="P3459" s="0" t="n">
        <f aca="false">F3459*F3459</f>
        <v>0.390625</v>
      </c>
      <c r="Q3459" s="0" t="n">
        <f aca="false">SUMPRODUCT(G3459:P3459,_XtX!$B$71:$K$71)</f>
        <v>47.9486789772727</v>
      </c>
      <c r="R3459" s="0" t="n">
        <f aca="false">SUMPRODUCT(MMULT(G3459:P3459,_XtX!$B$58:$K$67),G3459:P3459)</f>
        <v>0.471821178089489</v>
      </c>
      <c r="S3459" s="0" t="n">
        <f aca="false">04_回帰ANOVA!$K$19*04_回帰ANOVA!$K$14*SQRT(1+R3459)</f>
        <v>1.12796119746125</v>
      </c>
      <c r="T3459" s="0" t="n">
        <f aca="false">Q3459-S3459</f>
        <v>46.8207177798115</v>
      </c>
      <c r="U3459" s="0" t="n">
        <f aca="false">Q3459+S3459</f>
        <v>49.076640174734</v>
      </c>
      <c r="V3459" s="54" t="b">
        <f aca="false">AND(D3459&gt;=01_因子設定!$L$5-0.000000001,D3459&lt;=01_因子設定!$M$5+0.000000001,E3459&gt;=01_因子設定!$L$6-0.000000001,E3459&lt;=01_因子設定!$M$6+0.000000001,F3459&gt;=01_因子設定!$L$7-0.000000001,F3459&lt;=01_因子設定!$M$7+0.000000001,IF(01_因子設定!$B$20="Box-Behnken",D3459^2+E3459^2+F3459^2&lt;=2+0.000000001,TRUE()))</f>
        <v>1</v>
      </c>
      <c r="W3459" s="55" t="n">
        <f aca="false">IF(V3459,IF(01_因子設定!$B$13="最大化",T3459-01_因子設定!$B$14,IF(01_因子設定!$B$13="最小化",01_因子設定!$B$15-U3459,MIN(T3459-01_因子設定!$B$14,01_因子設定!$B$15-U3459))),-1E+030)</f>
        <v>-1.67928222018851</v>
      </c>
      <c r="X3459" s="55" t="n">
        <f aca="false">IF(V3459,IF(01_因子設定!$B$13="最大化",Q3459,IF(01_因子設定!$B$13="最小化",-Q3459,-ABS(Q3459-01_因子設定!$B$16))),-1E+030)</f>
        <v>47.9486789772727</v>
      </c>
      <c r="Y3459" s="55" t="n">
        <f aca="false">W3459+ROW()*0.000000001</f>
        <v>-1.67927876118851</v>
      </c>
      <c r="Z3459" s="55" t="n">
        <f aca="false">X3459+ROW()*0.000000001</f>
        <v>47.9486824362727</v>
      </c>
    </row>
    <row r="3460" customFormat="false" ht="15" hidden="false" customHeight="false" outlineLevel="0" collapsed="false">
      <c r="A3460" s="0" t="n">
        <v>11</v>
      </c>
      <c r="B3460" s="0" t="n">
        <v>16</v>
      </c>
      <c r="C3460" s="0" t="n">
        <v>4</v>
      </c>
      <c r="D3460" s="0" t="n">
        <f aca="false">-1+A3460*0.125</f>
        <v>0.375</v>
      </c>
      <c r="E3460" s="0" t="n">
        <f aca="false">-1+B3460*0.125</f>
        <v>1</v>
      </c>
      <c r="F3460" s="0" t="n">
        <f aca="false">-1+C3460*0.125</f>
        <v>-0.5</v>
      </c>
      <c r="G3460" s="0" t="n">
        <f aca="false">1</f>
        <v>1</v>
      </c>
      <c r="H3460" s="0" t="n">
        <f aca="false">D3460</f>
        <v>0.375</v>
      </c>
      <c r="I3460" s="0" t="n">
        <f aca="false">E3460</f>
        <v>1</v>
      </c>
      <c r="J3460" s="0" t="n">
        <f aca="false">F3460</f>
        <v>-0.5</v>
      </c>
      <c r="K3460" s="0" t="n">
        <f aca="false">D3460*E3460</f>
        <v>0.375</v>
      </c>
      <c r="L3460" s="0" t="n">
        <f aca="false">D3460*F3460</f>
        <v>-0.1875</v>
      </c>
      <c r="M3460" s="0" t="n">
        <f aca="false">E3460*F3460</f>
        <v>-0.5</v>
      </c>
      <c r="N3460" s="0" t="n">
        <f aca="false">D3460*D3460</f>
        <v>0.140625</v>
      </c>
      <c r="O3460" s="0" t="n">
        <f aca="false">E3460*E3460</f>
        <v>1</v>
      </c>
      <c r="P3460" s="0" t="n">
        <f aca="false">F3460*F3460</f>
        <v>0.25</v>
      </c>
      <c r="Q3460" s="0" t="n">
        <f aca="false">SUMPRODUCT(G3460:P3460,_XtX!$B$71:$K$71)</f>
        <v>48.3359517045455</v>
      </c>
      <c r="R3460" s="0" t="n">
        <f aca="false">SUMPRODUCT(MMULT(G3460:P3460,_XtX!$B$58:$K$67),G3460:P3460)</f>
        <v>0.461479048295455</v>
      </c>
      <c r="S3460" s="0" t="n">
        <f aca="false">04_回帰ANOVA!$K$19*04_回帰ANOVA!$K$14*SQRT(1+R3460)</f>
        <v>1.12399125658369</v>
      </c>
      <c r="T3460" s="0" t="n">
        <f aca="false">Q3460-S3460</f>
        <v>47.2119604479618</v>
      </c>
      <c r="U3460" s="0" t="n">
        <f aca="false">Q3460+S3460</f>
        <v>49.4599429611292</v>
      </c>
      <c r="V3460" s="54" t="b">
        <f aca="false">AND(D3460&gt;=01_因子設定!$L$5-0.000000001,D3460&lt;=01_因子設定!$M$5+0.000000001,E3460&gt;=01_因子設定!$L$6-0.000000001,E3460&lt;=01_因子設定!$M$6+0.000000001,F3460&gt;=01_因子設定!$L$7-0.000000001,F3460&lt;=01_因子設定!$M$7+0.000000001,IF(01_因子設定!$B$20="Box-Behnken",D3460^2+E3460^2+F3460^2&lt;=2+0.000000001,TRUE()))</f>
        <v>1</v>
      </c>
      <c r="W3460" s="55" t="n">
        <f aca="false">IF(V3460,IF(01_因子設定!$B$13="最大化",T3460-01_因子設定!$B$14,IF(01_因子設定!$B$13="最小化",01_因子設定!$B$15-U3460,MIN(T3460-01_因子設定!$B$14,01_因子設定!$B$15-U3460))),-1E+030)</f>
        <v>-1.28803955203822</v>
      </c>
      <c r="X3460" s="55" t="n">
        <f aca="false">IF(V3460,IF(01_因子設定!$B$13="最大化",Q3460,IF(01_因子設定!$B$13="最小化",-Q3460,-ABS(Q3460-01_因子設定!$B$16))),-1E+030)</f>
        <v>48.3359517045455</v>
      </c>
      <c r="Y3460" s="55" t="n">
        <f aca="false">W3460+ROW()*0.000000001</f>
        <v>-1.28803609203822</v>
      </c>
      <c r="Z3460" s="55" t="n">
        <f aca="false">X3460+ROW()*0.000000001</f>
        <v>48.3359551645455</v>
      </c>
    </row>
    <row r="3461" customFormat="false" ht="15" hidden="false" customHeight="false" outlineLevel="0" collapsed="false">
      <c r="A3461" s="0" t="n">
        <v>11</v>
      </c>
      <c r="B3461" s="0" t="n">
        <v>16</v>
      </c>
      <c r="C3461" s="0" t="n">
        <v>5</v>
      </c>
      <c r="D3461" s="0" t="n">
        <f aca="false">-1+A3461*0.125</f>
        <v>0.375</v>
      </c>
      <c r="E3461" s="0" t="n">
        <f aca="false">-1+B3461*0.125</f>
        <v>1</v>
      </c>
      <c r="F3461" s="0" t="n">
        <f aca="false">-1+C3461*0.125</f>
        <v>-0.375</v>
      </c>
      <c r="G3461" s="0" t="n">
        <f aca="false">1</f>
        <v>1</v>
      </c>
      <c r="H3461" s="0" t="n">
        <f aca="false">D3461</f>
        <v>0.375</v>
      </c>
      <c r="I3461" s="0" t="n">
        <f aca="false">E3461</f>
        <v>1</v>
      </c>
      <c r="J3461" s="0" t="n">
        <f aca="false">F3461</f>
        <v>-0.375</v>
      </c>
      <c r="K3461" s="0" t="n">
        <f aca="false">D3461*E3461</f>
        <v>0.375</v>
      </c>
      <c r="L3461" s="0" t="n">
        <f aca="false">D3461*F3461</f>
        <v>-0.140625</v>
      </c>
      <c r="M3461" s="0" t="n">
        <f aca="false">E3461*F3461</f>
        <v>-0.375</v>
      </c>
      <c r="N3461" s="0" t="n">
        <f aca="false">D3461*D3461</f>
        <v>0.140625</v>
      </c>
      <c r="O3461" s="0" t="n">
        <f aca="false">E3461*E3461</f>
        <v>1</v>
      </c>
      <c r="P3461" s="0" t="n">
        <f aca="false">F3461*F3461</f>
        <v>0.140625</v>
      </c>
      <c r="Q3461" s="0" t="n">
        <f aca="false">SUMPRODUCT(G3461:P3461,_XtX!$B$71:$K$71)</f>
        <v>48.6864346590909</v>
      </c>
      <c r="R3461" s="0" t="n">
        <f aca="false">SUMPRODUCT(MMULT(G3461:P3461,_XtX!$B$58:$K$67),G3461:P3461)</f>
        <v>0.463378351384943</v>
      </c>
      <c r="S3461" s="0" t="n">
        <f aca="false">04_回帰ANOVA!$K$19*04_回帰ANOVA!$K$14*SQRT(1+R3461)</f>
        <v>1.12472137547772</v>
      </c>
      <c r="T3461" s="0" t="n">
        <f aca="false">Q3461-S3461</f>
        <v>47.5617132836132</v>
      </c>
      <c r="U3461" s="0" t="n">
        <f aca="false">Q3461+S3461</f>
        <v>49.8111560345686</v>
      </c>
      <c r="V3461" s="54" t="b">
        <f aca="false">AND(D3461&gt;=01_因子設定!$L$5-0.000000001,D3461&lt;=01_因子設定!$M$5+0.000000001,E3461&gt;=01_因子設定!$L$6-0.000000001,E3461&lt;=01_因子設定!$M$6+0.000000001,F3461&gt;=01_因子設定!$L$7-0.000000001,F3461&lt;=01_因子設定!$M$7+0.000000001,IF(01_因子設定!$B$20="Box-Behnken",D3461^2+E3461^2+F3461^2&lt;=2+0.000000001,TRUE()))</f>
        <v>1</v>
      </c>
      <c r="W3461" s="55" t="n">
        <f aca="false">IF(V3461,IF(01_因子設定!$B$13="最大化",T3461-01_因子設定!$B$14,IF(01_因子設定!$B$13="最小化",01_因子設定!$B$15-U3461,MIN(T3461-01_因子設定!$B$14,01_因子設定!$B$15-U3461))),-1E+030)</f>
        <v>-0.938286716386799</v>
      </c>
      <c r="X3461" s="55" t="n">
        <f aca="false">IF(V3461,IF(01_因子設定!$B$13="最大化",Q3461,IF(01_因子設定!$B$13="最小化",-Q3461,-ABS(Q3461-01_因子設定!$B$16))),-1E+030)</f>
        <v>48.6864346590909</v>
      </c>
      <c r="Y3461" s="55" t="n">
        <f aca="false">W3461+ROW()*0.000000001</f>
        <v>-0.938283255386799</v>
      </c>
      <c r="Z3461" s="55" t="n">
        <f aca="false">X3461+ROW()*0.000000001</f>
        <v>48.6864381200909</v>
      </c>
    </row>
    <row r="3462" customFormat="false" ht="15" hidden="false" customHeight="false" outlineLevel="0" collapsed="false">
      <c r="A3462" s="0" t="n">
        <v>11</v>
      </c>
      <c r="B3462" s="0" t="n">
        <v>16</v>
      </c>
      <c r="C3462" s="0" t="n">
        <v>6</v>
      </c>
      <c r="D3462" s="0" t="n">
        <f aca="false">-1+A3462*0.125</f>
        <v>0.375</v>
      </c>
      <c r="E3462" s="0" t="n">
        <f aca="false">-1+B3462*0.125</f>
        <v>1</v>
      </c>
      <c r="F3462" s="0" t="n">
        <f aca="false">-1+C3462*0.125</f>
        <v>-0.25</v>
      </c>
      <c r="G3462" s="0" t="n">
        <f aca="false">1</f>
        <v>1</v>
      </c>
      <c r="H3462" s="0" t="n">
        <f aca="false">D3462</f>
        <v>0.375</v>
      </c>
      <c r="I3462" s="0" t="n">
        <f aca="false">E3462</f>
        <v>1</v>
      </c>
      <c r="J3462" s="0" t="n">
        <f aca="false">F3462</f>
        <v>-0.25</v>
      </c>
      <c r="K3462" s="0" t="n">
        <f aca="false">D3462*E3462</f>
        <v>0.375</v>
      </c>
      <c r="L3462" s="0" t="n">
        <f aca="false">D3462*F3462</f>
        <v>-0.09375</v>
      </c>
      <c r="M3462" s="0" t="n">
        <f aca="false">E3462*F3462</f>
        <v>-0.25</v>
      </c>
      <c r="N3462" s="0" t="n">
        <f aca="false">D3462*D3462</f>
        <v>0.140625</v>
      </c>
      <c r="O3462" s="0" t="n">
        <f aca="false">E3462*E3462</f>
        <v>1</v>
      </c>
      <c r="P3462" s="0" t="n">
        <f aca="false">F3462*F3462</f>
        <v>0.0625</v>
      </c>
      <c r="Q3462" s="0" t="n">
        <f aca="false">SUMPRODUCT(G3462:P3462,_XtX!$B$71:$K$71)</f>
        <v>49.0001278409091</v>
      </c>
      <c r="R3462" s="0" t="n">
        <f aca="false">SUMPRODUCT(MMULT(G3462:P3462,_XtX!$B$58:$K$67),G3462:P3462)</f>
        <v>0.470061700994318</v>
      </c>
      <c r="S3462" s="0" t="n">
        <f aca="false">04_回帰ANOVA!$K$19*04_回帰ANOVA!$K$14*SQRT(1+R3462)</f>
        <v>1.12728678965931</v>
      </c>
      <c r="T3462" s="0" t="n">
        <f aca="false">Q3462-S3462</f>
        <v>47.8728410512498</v>
      </c>
      <c r="U3462" s="0" t="n">
        <f aca="false">Q3462+S3462</f>
        <v>50.1274146305684</v>
      </c>
      <c r="V3462" s="54" t="b">
        <f aca="false">AND(D3462&gt;=01_因子設定!$L$5-0.000000001,D3462&lt;=01_因子設定!$M$5+0.000000001,E3462&gt;=01_因子設定!$L$6-0.000000001,E3462&lt;=01_因子設定!$M$6+0.000000001,F3462&gt;=01_因子設定!$L$7-0.000000001,F3462&lt;=01_因子設定!$M$7+0.000000001,IF(01_因子設定!$B$20="Box-Behnken",D3462^2+E3462^2+F3462^2&lt;=2+0.000000001,TRUE()))</f>
        <v>1</v>
      </c>
      <c r="W3462" s="55" t="n">
        <f aca="false">IF(V3462,IF(01_因子設定!$B$13="最大化",T3462-01_因子設定!$B$14,IF(01_因子設定!$B$13="最小化",01_因子設定!$B$15-U3462,MIN(T3462-01_因子設定!$B$14,01_因子設定!$B$15-U3462))),-1E+030)</f>
        <v>-0.627158948750207</v>
      </c>
      <c r="X3462" s="55" t="n">
        <f aca="false">IF(V3462,IF(01_因子設定!$B$13="最大化",Q3462,IF(01_因子設定!$B$13="最小化",-Q3462,-ABS(Q3462-01_因子設定!$B$16))),-1E+030)</f>
        <v>49.0001278409091</v>
      </c>
      <c r="Y3462" s="55" t="n">
        <f aca="false">W3462+ROW()*0.000000001</f>
        <v>-0.627155486750207</v>
      </c>
      <c r="Z3462" s="55" t="n">
        <f aca="false">X3462+ROW()*0.000000001</f>
        <v>49.0001313029091</v>
      </c>
    </row>
    <row r="3463" customFormat="false" ht="15" hidden="false" customHeight="false" outlineLevel="0" collapsed="false">
      <c r="A3463" s="0" t="n">
        <v>11</v>
      </c>
      <c r="B3463" s="0" t="n">
        <v>16</v>
      </c>
      <c r="C3463" s="0" t="n">
        <v>7</v>
      </c>
      <c r="D3463" s="0" t="n">
        <f aca="false">-1+A3463*0.125</f>
        <v>0.375</v>
      </c>
      <c r="E3463" s="0" t="n">
        <f aca="false">-1+B3463*0.125</f>
        <v>1</v>
      </c>
      <c r="F3463" s="0" t="n">
        <f aca="false">-1+C3463*0.125</f>
        <v>-0.125</v>
      </c>
      <c r="G3463" s="0" t="n">
        <f aca="false">1</f>
        <v>1</v>
      </c>
      <c r="H3463" s="0" t="n">
        <f aca="false">D3463</f>
        <v>0.375</v>
      </c>
      <c r="I3463" s="0" t="n">
        <f aca="false">E3463</f>
        <v>1</v>
      </c>
      <c r="J3463" s="0" t="n">
        <f aca="false">F3463</f>
        <v>-0.125</v>
      </c>
      <c r="K3463" s="0" t="n">
        <f aca="false">D3463*E3463</f>
        <v>0.375</v>
      </c>
      <c r="L3463" s="0" t="n">
        <f aca="false">D3463*F3463</f>
        <v>-0.046875</v>
      </c>
      <c r="M3463" s="0" t="n">
        <f aca="false">E3463*F3463</f>
        <v>-0.125</v>
      </c>
      <c r="N3463" s="0" t="n">
        <f aca="false">D3463*D3463</f>
        <v>0.140625</v>
      </c>
      <c r="O3463" s="0" t="n">
        <f aca="false">E3463*E3463</f>
        <v>1</v>
      </c>
      <c r="P3463" s="0" t="n">
        <f aca="false">F3463*F3463</f>
        <v>0.015625</v>
      </c>
      <c r="Q3463" s="0" t="n">
        <f aca="false">SUMPRODUCT(G3463:P3463,_XtX!$B$71:$K$71)</f>
        <v>49.27703125</v>
      </c>
      <c r="R3463" s="0" t="n">
        <f aca="false">SUMPRODUCT(MMULT(G3463:P3463,_XtX!$B$58:$K$67),G3463:P3463)</f>
        <v>0.476202392578125</v>
      </c>
      <c r="S3463" s="0" t="n">
        <f aca="false">04_回帰ANOVA!$K$19*04_回帰ANOVA!$K$14*SQRT(1+R3463)</f>
        <v>1.12963876802721</v>
      </c>
      <c r="T3463" s="0" t="n">
        <f aca="false">Q3463-S3463</f>
        <v>48.1473924819728</v>
      </c>
      <c r="U3463" s="0" t="n">
        <f aca="false">Q3463+S3463</f>
        <v>50.4066700180272</v>
      </c>
      <c r="V3463" s="54" t="b">
        <f aca="false">AND(D3463&gt;=01_因子設定!$L$5-0.000000001,D3463&lt;=01_因子設定!$M$5+0.000000001,E3463&gt;=01_因子設定!$L$6-0.000000001,E3463&lt;=01_因子設定!$M$6+0.000000001,F3463&gt;=01_因子設定!$L$7-0.000000001,F3463&lt;=01_因子設定!$M$7+0.000000001,IF(01_因子設定!$B$20="Box-Behnken",D3463^2+E3463^2+F3463^2&lt;=2+0.000000001,TRUE()))</f>
        <v>1</v>
      </c>
      <c r="W3463" s="55" t="n">
        <f aca="false">IF(V3463,IF(01_因子設定!$B$13="最大化",T3463-01_因子設定!$B$14,IF(01_因子設定!$B$13="最小化",01_因子設定!$B$15-U3463,MIN(T3463-01_因子設定!$B$14,01_因子設定!$B$15-U3463))),-1E+030)</f>
        <v>-0.352607518027199</v>
      </c>
      <c r="X3463" s="55" t="n">
        <f aca="false">IF(V3463,IF(01_因子設定!$B$13="最大化",Q3463,IF(01_因子設定!$B$13="最小化",-Q3463,-ABS(Q3463-01_因子設定!$B$16))),-1E+030)</f>
        <v>49.27703125</v>
      </c>
      <c r="Y3463" s="55" t="n">
        <f aca="false">W3463+ROW()*0.000000001</f>
        <v>-0.352604055027199</v>
      </c>
      <c r="Z3463" s="55" t="n">
        <f aca="false">X3463+ROW()*0.000000001</f>
        <v>49.277034713</v>
      </c>
    </row>
    <row r="3464" customFormat="false" ht="15" hidden="false" customHeight="false" outlineLevel="0" collapsed="false">
      <c r="A3464" s="0" t="n">
        <v>11</v>
      </c>
      <c r="B3464" s="0" t="n">
        <v>16</v>
      </c>
      <c r="C3464" s="0" t="n">
        <v>8</v>
      </c>
      <c r="D3464" s="0" t="n">
        <f aca="false">-1+A3464*0.125</f>
        <v>0.375</v>
      </c>
      <c r="E3464" s="0" t="n">
        <f aca="false">-1+B3464*0.125</f>
        <v>1</v>
      </c>
      <c r="F3464" s="0" t="n">
        <f aca="false">-1+C3464*0.125</f>
        <v>0</v>
      </c>
      <c r="G3464" s="0" t="n">
        <f aca="false">1</f>
        <v>1</v>
      </c>
      <c r="H3464" s="0" t="n">
        <f aca="false">D3464</f>
        <v>0.375</v>
      </c>
      <c r="I3464" s="0" t="n">
        <f aca="false">E3464</f>
        <v>1</v>
      </c>
      <c r="J3464" s="0" t="n">
        <f aca="false">F3464</f>
        <v>0</v>
      </c>
      <c r="K3464" s="0" t="n">
        <f aca="false">D3464*E3464</f>
        <v>0.375</v>
      </c>
      <c r="L3464" s="0" t="n">
        <f aca="false">D3464*F3464</f>
        <v>0</v>
      </c>
      <c r="M3464" s="0" t="n">
        <f aca="false">E3464*F3464</f>
        <v>0</v>
      </c>
      <c r="N3464" s="0" t="n">
        <f aca="false">D3464*D3464</f>
        <v>0.140625</v>
      </c>
      <c r="O3464" s="0" t="n">
        <f aca="false">E3464*E3464</f>
        <v>1</v>
      </c>
      <c r="P3464" s="0" t="n">
        <f aca="false">F3464*F3464</f>
        <v>0</v>
      </c>
      <c r="Q3464" s="0" t="n">
        <f aca="false">SUMPRODUCT(G3464:P3464,_XtX!$B$71:$K$71)</f>
        <v>49.5171448863636</v>
      </c>
      <c r="R3464" s="0" t="n">
        <f aca="false">SUMPRODUCT(MMULT(G3464:P3464,_XtX!$B$58:$K$67),G3464:P3464)</f>
        <v>0.478604403409091</v>
      </c>
      <c r="S3464" s="0" t="n">
        <f aca="false">04_回帰ANOVA!$K$19*04_回帰ANOVA!$K$14*SQRT(1+R3464)</f>
        <v>1.13055744343508</v>
      </c>
      <c r="T3464" s="0" t="n">
        <f aca="false">Q3464-S3464</f>
        <v>48.3865874429286</v>
      </c>
      <c r="U3464" s="0" t="n">
        <f aca="false">Q3464+S3464</f>
        <v>50.6477023297987</v>
      </c>
      <c r="V3464" s="54" t="b">
        <f aca="false">AND(D3464&gt;=01_因子設定!$L$5-0.000000001,D3464&lt;=01_因子設定!$M$5+0.000000001,E3464&gt;=01_因子設定!$L$6-0.000000001,E3464&lt;=01_因子設定!$M$6+0.000000001,F3464&gt;=01_因子設定!$L$7-0.000000001,F3464&lt;=01_因子設定!$M$7+0.000000001,IF(01_因子設定!$B$20="Box-Behnken",D3464^2+E3464^2+F3464^2&lt;=2+0.000000001,TRUE()))</f>
        <v>1</v>
      </c>
      <c r="W3464" s="55" t="n">
        <f aca="false">IF(V3464,IF(01_因子設定!$B$13="最大化",T3464-01_因子設定!$B$14,IF(01_因子設定!$B$13="最小化",01_因子設定!$B$15-U3464,MIN(T3464-01_因子設定!$B$14,01_因子設定!$B$15-U3464))),-1E+030)</f>
        <v>-0.113412557071435</v>
      </c>
      <c r="X3464" s="55" t="n">
        <f aca="false">IF(V3464,IF(01_因子設定!$B$13="最大化",Q3464,IF(01_因子設定!$B$13="最小化",-Q3464,-ABS(Q3464-01_因子設定!$B$16))),-1E+030)</f>
        <v>49.5171448863636</v>
      </c>
      <c r="Y3464" s="55" t="n">
        <f aca="false">W3464+ROW()*0.000000001</f>
        <v>-0.113409093071435</v>
      </c>
      <c r="Z3464" s="55" t="n">
        <f aca="false">X3464+ROW()*0.000000001</f>
        <v>49.5171483503637</v>
      </c>
    </row>
    <row r="3465" customFormat="false" ht="15" hidden="false" customHeight="false" outlineLevel="0" collapsed="false">
      <c r="A3465" s="0" t="n">
        <v>11</v>
      </c>
      <c r="B3465" s="0" t="n">
        <v>16</v>
      </c>
      <c r="C3465" s="0" t="n">
        <v>9</v>
      </c>
      <c r="D3465" s="0" t="n">
        <f aca="false">-1+A3465*0.125</f>
        <v>0.375</v>
      </c>
      <c r="E3465" s="0" t="n">
        <f aca="false">-1+B3465*0.125</f>
        <v>1</v>
      </c>
      <c r="F3465" s="0" t="n">
        <f aca="false">-1+C3465*0.125</f>
        <v>0.125</v>
      </c>
      <c r="G3465" s="0" t="n">
        <f aca="false">1</f>
        <v>1</v>
      </c>
      <c r="H3465" s="0" t="n">
        <f aca="false">D3465</f>
        <v>0.375</v>
      </c>
      <c r="I3465" s="0" t="n">
        <f aca="false">E3465</f>
        <v>1</v>
      </c>
      <c r="J3465" s="0" t="n">
        <f aca="false">F3465</f>
        <v>0.125</v>
      </c>
      <c r="K3465" s="0" t="n">
        <f aca="false">D3465*E3465</f>
        <v>0.375</v>
      </c>
      <c r="L3465" s="0" t="n">
        <f aca="false">D3465*F3465</f>
        <v>0.046875</v>
      </c>
      <c r="M3465" s="0" t="n">
        <f aca="false">E3465*F3465</f>
        <v>0.125</v>
      </c>
      <c r="N3465" s="0" t="n">
        <f aca="false">D3465*D3465</f>
        <v>0.140625</v>
      </c>
      <c r="O3465" s="0" t="n">
        <f aca="false">E3465*E3465</f>
        <v>1</v>
      </c>
      <c r="P3465" s="0" t="n">
        <f aca="false">F3465*F3465</f>
        <v>0.015625</v>
      </c>
      <c r="Q3465" s="0" t="n">
        <f aca="false">SUMPRODUCT(G3465:P3465,_XtX!$B$71:$K$71)</f>
        <v>49.72046875</v>
      </c>
      <c r="R3465" s="0" t="n">
        <f aca="false">SUMPRODUCT(MMULT(G3465:P3465,_XtX!$B$58:$K$67),G3465:P3465)</f>
        <v>0.476202392578125</v>
      </c>
      <c r="S3465" s="0" t="n">
        <f aca="false">04_回帰ANOVA!$K$19*04_回帰ANOVA!$K$14*SQRT(1+R3465)</f>
        <v>1.12963876802721</v>
      </c>
      <c r="T3465" s="0" t="n">
        <f aca="false">Q3465-S3465</f>
        <v>48.5908299819728</v>
      </c>
      <c r="U3465" s="0" t="n">
        <f aca="false">Q3465+S3465</f>
        <v>50.8501075180272</v>
      </c>
      <c r="V3465" s="54" t="b">
        <f aca="false">AND(D3465&gt;=01_因子設定!$L$5-0.000000001,D3465&lt;=01_因子設定!$M$5+0.000000001,E3465&gt;=01_因子設定!$L$6-0.000000001,E3465&lt;=01_因子設定!$M$6+0.000000001,F3465&gt;=01_因子設定!$L$7-0.000000001,F3465&lt;=01_因子設定!$M$7+0.000000001,IF(01_因子設定!$B$20="Box-Behnken",D3465^2+E3465^2+F3465^2&lt;=2+0.000000001,TRUE()))</f>
        <v>1</v>
      </c>
      <c r="W3465" s="55" t="n">
        <f aca="false">IF(V3465,IF(01_因子設定!$B$13="最大化",T3465-01_因子設定!$B$14,IF(01_因子設定!$B$13="最小化",01_因子設定!$B$15-U3465,MIN(T3465-01_因子設定!$B$14,01_因子設定!$B$15-U3465))),-1E+030)</f>
        <v>0.0908299819728029</v>
      </c>
      <c r="X3465" s="55" t="n">
        <f aca="false">IF(V3465,IF(01_因子設定!$B$13="最大化",Q3465,IF(01_因子設定!$B$13="最小化",-Q3465,-ABS(Q3465-01_因子設定!$B$16))),-1E+030)</f>
        <v>49.72046875</v>
      </c>
      <c r="Y3465" s="55" t="n">
        <f aca="false">W3465+ROW()*0.000000001</f>
        <v>0.0908334469728029</v>
      </c>
      <c r="Z3465" s="55" t="n">
        <f aca="false">X3465+ROW()*0.000000001</f>
        <v>49.720472215</v>
      </c>
    </row>
    <row r="3466" customFormat="false" ht="15" hidden="false" customHeight="false" outlineLevel="0" collapsed="false">
      <c r="A3466" s="0" t="n">
        <v>11</v>
      </c>
      <c r="B3466" s="0" t="n">
        <v>16</v>
      </c>
      <c r="C3466" s="0" t="n">
        <v>10</v>
      </c>
      <c r="D3466" s="0" t="n">
        <f aca="false">-1+A3466*0.125</f>
        <v>0.375</v>
      </c>
      <c r="E3466" s="0" t="n">
        <f aca="false">-1+B3466*0.125</f>
        <v>1</v>
      </c>
      <c r="F3466" s="0" t="n">
        <f aca="false">-1+C3466*0.125</f>
        <v>0.25</v>
      </c>
      <c r="G3466" s="0" t="n">
        <f aca="false">1</f>
        <v>1</v>
      </c>
      <c r="H3466" s="0" t="n">
        <f aca="false">D3466</f>
        <v>0.375</v>
      </c>
      <c r="I3466" s="0" t="n">
        <f aca="false">E3466</f>
        <v>1</v>
      </c>
      <c r="J3466" s="0" t="n">
        <f aca="false">F3466</f>
        <v>0.25</v>
      </c>
      <c r="K3466" s="0" t="n">
        <f aca="false">D3466*E3466</f>
        <v>0.375</v>
      </c>
      <c r="L3466" s="0" t="n">
        <f aca="false">D3466*F3466</f>
        <v>0.09375</v>
      </c>
      <c r="M3466" s="0" t="n">
        <f aca="false">E3466*F3466</f>
        <v>0.25</v>
      </c>
      <c r="N3466" s="0" t="n">
        <f aca="false">D3466*D3466</f>
        <v>0.140625</v>
      </c>
      <c r="O3466" s="0" t="n">
        <f aca="false">E3466*E3466</f>
        <v>1</v>
      </c>
      <c r="P3466" s="0" t="n">
        <f aca="false">F3466*F3466</f>
        <v>0.0625</v>
      </c>
      <c r="Q3466" s="0" t="n">
        <f aca="false">SUMPRODUCT(G3466:P3466,_XtX!$B$71:$K$71)</f>
        <v>49.8870028409091</v>
      </c>
      <c r="R3466" s="0" t="n">
        <f aca="false">SUMPRODUCT(MMULT(G3466:P3466,_XtX!$B$58:$K$67),G3466:P3466)</f>
        <v>0.470061700994318</v>
      </c>
      <c r="S3466" s="0" t="n">
        <f aca="false">04_回帰ANOVA!$K$19*04_回帰ANOVA!$K$14*SQRT(1+R3466)</f>
        <v>1.12728678965931</v>
      </c>
      <c r="T3466" s="0" t="n">
        <f aca="false">Q3466-S3466</f>
        <v>48.7597160512498</v>
      </c>
      <c r="U3466" s="0" t="n">
        <f aca="false">Q3466+S3466</f>
        <v>51.0142896305684</v>
      </c>
      <c r="V3466" s="54" t="b">
        <f aca="false">AND(D3466&gt;=01_因子設定!$L$5-0.000000001,D3466&lt;=01_因子設定!$M$5+0.000000001,E3466&gt;=01_因子設定!$L$6-0.000000001,E3466&lt;=01_因子設定!$M$6+0.000000001,F3466&gt;=01_因子設定!$L$7-0.000000001,F3466&lt;=01_因子設定!$M$7+0.000000001,IF(01_因子設定!$B$20="Box-Behnken",D3466^2+E3466^2+F3466^2&lt;=2+0.000000001,TRUE()))</f>
        <v>1</v>
      </c>
      <c r="W3466" s="55" t="n">
        <f aca="false">IF(V3466,IF(01_因子設定!$B$13="最大化",T3466-01_因子設定!$B$14,IF(01_因子設定!$B$13="最小化",01_因子設定!$B$15-U3466,MIN(T3466-01_因子設定!$B$14,01_因子設定!$B$15-U3466))),-1E+030)</f>
        <v>0.259716051249796</v>
      </c>
      <c r="X3466" s="55" t="n">
        <f aca="false">IF(V3466,IF(01_因子設定!$B$13="最大化",Q3466,IF(01_因子設定!$B$13="最小化",-Q3466,-ABS(Q3466-01_因子設定!$B$16))),-1E+030)</f>
        <v>49.8870028409091</v>
      </c>
      <c r="Y3466" s="55" t="n">
        <f aca="false">W3466+ROW()*0.000000001</f>
        <v>0.259719517249796</v>
      </c>
      <c r="Z3466" s="55" t="n">
        <f aca="false">X3466+ROW()*0.000000001</f>
        <v>49.8870063069091</v>
      </c>
    </row>
    <row r="3467" customFormat="false" ht="15" hidden="false" customHeight="false" outlineLevel="0" collapsed="false">
      <c r="A3467" s="0" t="n">
        <v>11</v>
      </c>
      <c r="B3467" s="0" t="n">
        <v>16</v>
      </c>
      <c r="C3467" s="0" t="n">
        <v>11</v>
      </c>
      <c r="D3467" s="0" t="n">
        <f aca="false">-1+A3467*0.125</f>
        <v>0.375</v>
      </c>
      <c r="E3467" s="0" t="n">
        <f aca="false">-1+B3467*0.125</f>
        <v>1</v>
      </c>
      <c r="F3467" s="0" t="n">
        <f aca="false">-1+C3467*0.125</f>
        <v>0.375</v>
      </c>
      <c r="G3467" s="0" t="n">
        <f aca="false">1</f>
        <v>1</v>
      </c>
      <c r="H3467" s="0" t="n">
        <f aca="false">D3467</f>
        <v>0.375</v>
      </c>
      <c r="I3467" s="0" t="n">
        <f aca="false">E3467</f>
        <v>1</v>
      </c>
      <c r="J3467" s="0" t="n">
        <f aca="false">F3467</f>
        <v>0.375</v>
      </c>
      <c r="K3467" s="0" t="n">
        <f aca="false">D3467*E3467</f>
        <v>0.375</v>
      </c>
      <c r="L3467" s="0" t="n">
        <f aca="false">D3467*F3467</f>
        <v>0.140625</v>
      </c>
      <c r="M3467" s="0" t="n">
        <f aca="false">E3467*F3467</f>
        <v>0.375</v>
      </c>
      <c r="N3467" s="0" t="n">
        <f aca="false">D3467*D3467</f>
        <v>0.140625</v>
      </c>
      <c r="O3467" s="0" t="n">
        <f aca="false">E3467*E3467</f>
        <v>1</v>
      </c>
      <c r="P3467" s="0" t="n">
        <f aca="false">F3467*F3467</f>
        <v>0.140625</v>
      </c>
      <c r="Q3467" s="0" t="n">
        <f aca="false">SUMPRODUCT(G3467:P3467,_XtX!$B$71:$K$71)</f>
        <v>50.0167471590909</v>
      </c>
      <c r="R3467" s="0" t="n">
        <f aca="false">SUMPRODUCT(MMULT(G3467:P3467,_XtX!$B$58:$K$67),G3467:P3467)</f>
        <v>0.463378351384943</v>
      </c>
      <c r="S3467" s="0" t="n">
        <f aca="false">04_回帰ANOVA!$K$19*04_回帰ANOVA!$K$14*SQRT(1+R3467)</f>
        <v>1.12472137547772</v>
      </c>
      <c r="T3467" s="0" t="n">
        <f aca="false">Q3467-S3467</f>
        <v>48.8920257836132</v>
      </c>
      <c r="U3467" s="0" t="n">
        <f aca="false">Q3467+S3467</f>
        <v>51.1414685345686</v>
      </c>
      <c r="V3467" s="54" t="b">
        <f aca="false">AND(D3467&gt;=01_因子設定!$L$5-0.000000001,D3467&lt;=01_因子設定!$M$5+0.000000001,E3467&gt;=01_因子設定!$L$6-0.000000001,E3467&lt;=01_因子設定!$M$6+0.000000001,F3467&gt;=01_因子設定!$L$7-0.000000001,F3467&lt;=01_因子設定!$M$7+0.000000001,IF(01_因子設定!$B$20="Box-Behnken",D3467^2+E3467^2+F3467^2&lt;=2+0.000000001,TRUE()))</f>
        <v>1</v>
      </c>
      <c r="W3467" s="55" t="n">
        <f aca="false">IF(V3467,IF(01_因子設定!$B$13="最大化",T3467-01_因子設定!$B$14,IF(01_因子設定!$B$13="最小化",01_因子設定!$B$15-U3467,MIN(T3467-01_因子設定!$B$14,01_因子設定!$B$15-U3467))),-1E+030)</f>
        <v>0.3920257836132</v>
      </c>
      <c r="X3467" s="55" t="n">
        <f aca="false">IF(V3467,IF(01_因子設定!$B$13="最大化",Q3467,IF(01_因子設定!$B$13="最小化",-Q3467,-ABS(Q3467-01_因子設定!$B$16))),-1E+030)</f>
        <v>50.0167471590909</v>
      </c>
      <c r="Y3467" s="55" t="n">
        <f aca="false">W3467+ROW()*0.000000001</f>
        <v>0.3920292506132</v>
      </c>
      <c r="Z3467" s="55" t="n">
        <f aca="false">X3467+ROW()*0.000000001</f>
        <v>50.0167506260909</v>
      </c>
    </row>
    <row r="3468" customFormat="false" ht="15" hidden="false" customHeight="false" outlineLevel="0" collapsed="false">
      <c r="A3468" s="0" t="n">
        <v>11</v>
      </c>
      <c r="B3468" s="0" t="n">
        <v>16</v>
      </c>
      <c r="C3468" s="0" t="n">
        <v>12</v>
      </c>
      <c r="D3468" s="0" t="n">
        <f aca="false">-1+A3468*0.125</f>
        <v>0.375</v>
      </c>
      <c r="E3468" s="0" t="n">
        <f aca="false">-1+B3468*0.125</f>
        <v>1</v>
      </c>
      <c r="F3468" s="0" t="n">
        <f aca="false">-1+C3468*0.125</f>
        <v>0.5</v>
      </c>
      <c r="G3468" s="0" t="n">
        <f aca="false">1</f>
        <v>1</v>
      </c>
      <c r="H3468" s="0" t="n">
        <f aca="false">D3468</f>
        <v>0.375</v>
      </c>
      <c r="I3468" s="0" t="n">
        <f aca="false">E3468</f>
        <v>1</v>
      </c>
      <c r="J3468" s="0" t="n">
        <f aca="false">F3468</f>
        <v>0.5</v>
      </c>
      <c r="K3468" s="0" t="n">
        <f aca="false">D3468*E3468</f>
        <v>0.375</v>
      </c>
      <c r="L3468" s="0" t="n">
        <f aca="false">D3468*F3468</f>
        <v>0.1875</v>
      </c>
      <c r="M3468" s="0" t="n">
        <f aca="false">E3468*F3468</f>
        <v>0.5</v>
      </c>
      <c r="N3468" s="0" t="n">
        <f aca="false">D3468*D3468</f>
        <v>0.140625</v>
      </c>
      <c r="O3468" s="0" t="n">
        <f aca="false">E3468*E3468</f>
        <v>1</v>
      </c>
      <c r="P3468" s="0" t="n">
        <f aca="false">F3468*F3468</f>
        <v>0.25</v>
      </c>
      <c r="Q3468" s="0" t="n">
        <f aca="false">SUMPRODUCT(G3468:P3468,_XtX!$B$71:$K$71)</f>
        <v>50.1097017045455</v>
      </c>
      <c r="R3468" s="0" t="n">
        <f aca="false">SUMPRODUCT(MMULT(G3468:P3468,_XtX!$B$58:$K$67),G3468:P3468)</f>
        <v>0.461479048295455</v>
      </c>
      <c r="S3468" s="0" t="n">
        <f aca="false">04_回帰ANOVA!$K$19*04_回帰ANOVA!$K$14*SQRT(1+R3468)</f>
        <v>1.12399125658369</v>
      </c>
      <c r="T3468" s="0" t="n">
        <f aca="false">Q3468-S3468</f>
        <v>48.9857104479618</v>
      </c>
      <c r="U3468" s="0" t="n">
        <f aca="false">Q3468+S3468</f>
        <v>51.2336929611292</v>
      </c>
      <c r="V3468" s="54" t="b">
        <f aca="false">AND(D3468&gt;=01_因子設定!$L$5-0.000000001,D3468&lt;=01_因子設定!$M$5+0.000000001,E3468&gt;=01_因子設定!$L$6-0.000000001,E3468&lt;=01_因子設定!$M$6+0.000000001,F3468&gt;=01_因子設定!$L$7-0.000000001,F3468&lt;=01_因子設定!$M$7+0.000000001,IF(01_因子設定!$B$20="Box-Behnken",D3468^2+E3468^2+F3468^2&lt;=2+0.000000001,TRUE()))</f>
        <v>1</v>
      </c>
      <c r="W3468" s="55" t="n">
        <f aca="false">IF(V3468,IF(01_因子設定!$B$13="最大化",T3468-01_因子設定!$B$14,IF(01_因子設定!$B$13="最小化",01_因子設定!$B$15-U3468,MIN(T3468-01_因子設定!$B$14,01_因子設定!$B$15-U3468))),-1E+030)</f>
        <v>0.485710447961786</v>
      </c>
      <c r="X3468" s="55" t="n">
        <f aca="false">IF(V3468,IF(01_因子設定!$B$13="最大化",Q3468,IF(01_因子設定!$B$13="最小化",-Q3468,-ABS(Q3468-01_因子設定!$B$16))),-1E+030)</f>
        <v>50.1097017045455</v>
      </c>
      <c r="Y3468" s="55" t="n">
        <f aca="false">W3468+ROW()*0.000000001</f>
        <v>0.485713915961786</v>
      </c>
      <c r="Z3468" s="55" t="n">
        <f aca="false">X3468+ROW()*0.000000001</f>
        <v>50.1097051725455</v>
      </c>
    </row>
    <row r="3469" customFormat="false" ht="15" hidden="false" customHeight="false" outlineLevel="0" collapsed="false">
      <c r="A3469" s="0" t="n">
        <v>11</v>
      </c>
      <c r="B3469" s="0" t="n">
        <v>16</v>
      </c>
      <c r="C3469" s="0" t="n">
        <v>13</v>
      </c>
      <c r="D3469" s="0" t="n">
        <f aca="false">-1+A3469*0.125</f>
        <v>0.375</v>
      </c>
      <c r="E3469" s="0" t="n">
        <f aca="false">-1+B3469*0.125</f>
        <v>1</v>
      </c>
      <c r="F3469" s="0" t="n">
        <f aca="false">-1+C3469*0.125</f>
        <v>0.625</v>
      </c>
      <c r="G3469" s="0" t="n">
        <f aca="false">1</f>
        <v>1</v>
      </c>
      <c r="H3469" s="0" t="n">
        <f aca="false">D3469</f>
        <v>0.375</v>
      </c>
      <c r="I3469" s="0" t="n">
        <f aca="false">E3469</f>
        <v>1</v>
      </c>
      <c r="J3469" s="0" t="n">
        <f aca="false">F3469</f>
        <v>0.625</v>
      </c>
      <c r="K3469" s="0" t="n">
        <f aca="false">D3469*E3469</f>
        <v>0.375</v>
      </c>
      <c r="L3469" s="0" t="n">
        <f aca="false">D3469*F3469</f>
        <v>0.234375</v>
      </c>
      <c r="M3469" s="0" t="n">
        <f aca="false">E3469*F3469</f>
        <v>0.625</v>
      </c>
      <c r="N3469" s="0" t="n">
        <f aca="false">D3469*D3469</f>
        <v>0.140625</v>
      </c>
      <c r="O3469" s="0" t="n">
        <f aca="false">E3469*E3469</f>
        <v>1</v>
      </c>
      <c r="P3469" s="0" t="n">
        <f aca="false">F3469*F3469</f>
        <v>0.390625</v>
      </c>
      <c r="Q3469" s="0" t="n">
        <f aca="false">SUMPRODUCT(G3469:P3469,_XtX!$B$71:$K$71)</f>
        <v>50.1658664772727</v>
      </c>
      <c r="R3469" s="0" t="n">
        <f aca="false">SUMPRODUCT(MMULT(G3469:P3469,_XtX!$B$58:$K$67),G3469:P3469)</f>
        <v>0.471821178089489</v>
      </c>
      <c r="S3469" s="0" t="n">
        <f aca="false">04_回帰ANOVA!$K$19*04_回帰ANOVA!$K$14*SQRT(1+R3469)</f>
        <v>1.12796119746125</v>
      </c>
      <c r="T3469" s="0" t="n">
        <f aca="false">Q3469-S3469</f>
        <v>49.0379052798115</v>
      </c>
      <c r="U3469" s="0" t="n">
        <f aca="false">Q3469+S3469</f>
        <v>51.293827674734</v>
      </c>
      <c r="V3469" s="54" t="b">
        <f aca="false">AND(D3469&gt;=01_因子設定!$L$5-0.000000001,D3469&lt;=01_因子設定!$M$5+0.000000001,E3469&gt;=01_因子設定!$L$6-0.000000001,E3469&lt;=01_因子設定!$M$6+0.000000001,F3469&gt;=01_因子設定!$L$7-0.000000001,F3469&lt;=01_因子設定!$M$7+0.000000001,IF(01_因子設定!$B$20="Box-Behnken",D3469^2+E3469^2+F3469^2&lt;=2+0.000000001,TRUE()))</f>
        <v>1</v>
      </c>
      <c r="W3469" s="55" t="n">
        <f aca="false">IF(V3469,IF(01_因子設定!$B$13="最大化",T3469-01_因子設定!$B$14,IF(01_因子設定!$B$13="最小化",01_因子設定!$B$15-U3469,MIN(T3469-01_因子設定!$B$14,01_因子設定!$B$15-U3469))),-1E+030)</f>
        <v>0.53790527981149</v>
      </c>
      <c r="X3469" s="55" t="n">
        <f aca="false">IF(V3469,IF(01_因子設定!$B$13="最大化",Q3469,IF(01_因子設定!$B$13="最小化",-Q3469,-ABS(Q3469-01_因子設定!$B$16))),-1E+030)</f>
        <v>50.1658664772727</v>
      </c>
      <c r="Y3469" s="55" t="n">
        <f aca="false">W3469+ROW()*0.000000001</f>
        <v>0.53790874881149</v>
      </c>
      <c r="Z3469" s="55" t="n">
        <f aca="false">X3469+ROW()*0.000000001</f>
        <v>50.1658699462727</v>
      </c>
    </row>
    <row r="3470" customFormat="false" ht="15" hidden="false" customHeight="false" outlineLevel="0" collapsed="false">
      <c r="A3470" s="0" t="n">
        <v>11</v>
      </c>
      <c r="B3470" s="0" t="n">
        <v>16</v>
      </c>
      <c r="C3470" s="0" t="n">
        <v>14</v>
      </c>
      <c r="D3470" s="0" t="n">
        <f aca="false">-1+A3470*0.125</f>
        <v>0.375</v>
      </c>
      <c r="E3470" s="0" t="n">
        <f aca="false">-1+B3470*0.125</f>
        <v>1</v>
      </c>
      <c r="F3470" s="0" t="n">
        <f aca="false">-1+C3470*0.125</f>
        <v>0.75</v>
      </c>
      <c r="G3470" s="0" t="n">
        <f aca="false">1</f>
        <v>1</v>
      </c>
      <c r="H3470" s="0" t="n">
        <f aca="false">D3470</f>
        <v>0.375</v>
      </c>
      <c r="I3470" s="0" t="n">
        <f aca="false">E3470</f>
        <v>1</v>
      </c>
      <c r="J3470" s="0" t="n">
        <f aca="false">F3470</f>
        <v>0.75</v>
      </c>
      <c r="K3470" s="0" t="n">
        <f aca="false">D3470*E3470</f>
        <v>0.375</v>
      </c>
      <c r="L3470" s="0" t="n">
        <f aca="false">D3470*F3470</f>
        <v>0.28125</v>
      </c>
      <c r="M3470" s="0" t="n">
        <f aca="false">E3470*F3470</f>
        <v>0.75</v>
      </c>
      <c r="N3470" s="0" t="n">
        <f aca="false">D3470*D3470</f>
        <v>0.140625</v>
      </c>
      <c r="O3470" s="0" t="n">
        <f aca="false">E3470*E3470</f>
        <v>1</v>
      </c>
      <c r="P3470" s="0" t="n">
        <f aca="false">F3470*F3470</f>
        <v>0.5625</v>
      </c>
      <c r="Q3470" s="0" t="n">
        <f aca="false">SUMPRODUCT(G3470:P3470,_XtX!$B$71:$K$71)</f>
        <v>50.1852414772728</v>
      </c>
      <c r="R3470" s="0" t="n">
        <f aca="false">SUMPRODUCT(MMULT(G3470:P3470,_XtX!$B$58:$K$67),G3470:P3470)</f>
        <v>0.503992808948864</v>
      </c>
      <c r="S3470" s="0" t="n">
        <f aca="false">04_回帰ANOVA!$K$19*04_回帰ANOVA!$K$14*SQRT(1+R3470)</f>
        <v>1.14022226176226</v>
      </c>
      <c r="T3470" s="0" t="n">
        <f aca="false">Q3470-S3470</f>
        <v>49.0450192155105</v>
      </c>
      <c r="U3470" s="0" t="n">
        <f aca="false">Q3470+S3470</f>
        <v>51.325463739035</v>
      </c>
      <c r="V3470" s="54" t="b">
        <f aca="false">AND(D3470&gt;=01_因子設定!$L$5-0.000000001,D3470&lt;=01_因子設定!$M$5+0.000000001,E3470&gt;=01_因子設定!$L$6-0.000000001,E3470&lt;=01_因子設定!$M$6+0.000000001,F3470&gt;=01_因子設定!$L$7-0.000000001,F3470&lt;=01_因子設定!$M$7+0.000000001,IF(01_因子設定!$B$20="Box-Behnken",D3470^2+E3470^2+F3470^2&lt;=2+0.000000001,TRUE()))</f>
        <v>1</v>
      </c>
      <c r="W3470" s="55" t="n">
        <f aca="false">IF(V3470,IF(01_因子設定!$B$13="最大化",T3470-01_因子設定!$B$14,IF(01_因子設定!$B$13="最小化",01_因子設定!$B$15-U3470,MIN(T3470-01_因子設定!$B$14,01_因子設定!$B$15-U3470))),-1E+030)</f>
        <v>0.545019215510486</v>
      </c>
      <c r="X3470" s="55" t="n">
        <f aca="false">IF(V3470,IF(01_因子設定!$B$13="最大化",Q3470,IF(01_因子設定!$B$13="最小化",-Q3470,-ABS(Q3470-01_因子設定!$B$16))),-1E+030)</f>
        <v>50.1852414772728</v>
      </c>
      <c r="Y3470" s="55" t="n">
        <f aca="false">W3470+ROW()*0.000000001</f>
        <v>0.545022685510486</v>
      </c>
      <c r="Z3470" s="55" t="n">
        <f aca="false">X3470+ROW()*0.000000001</f>
        <v>50.1852449472728</v>
      </c>
    </row>
    <row r="3471" customFormat="false" ht="15" hidden="false" customHeight="false" outlineLevel="0" collapsed="false">
      <c r="A3471" s="0" t="n">
        <v>11</v>
      </c>
      <c r="B3471" s="0" t="n">
        <v>16</v>
      </c>
      <c r="C3471" s="0" t="n">
        <v>15</v>
      </c>
      <c r="D3471" s="0" t="n">
        <f aca="false">-1+A3471*0.125</f>
        <v>0.375</v>
      </c>
      <c r="E3471" s="0" t="n">
        <f aca="false">-1+B3471*0.125</f>
        <v>1</v>
      </c>
      <c r="F3471" s="0" t="n">
        <f aca="false">-1+C3471*0.125</f>
        <v>0.875</v>
      </c>
      <c r="G3471" s="0" t="n">
        <f aca="false">1</f>
        <v>1</v>
      </c>
      <c r="H3471" s="0" t="n">
        <f aca="false">D3471</f>
        <v>0.375</v>
      </c>
      <c r="I3471" s="0" t="n">
        <f aca="false">E3471</f>
        <v>1</v>
      </c>
      <c r="J3471" s="0" t="n">
        <f aca="false">F3471</f>
        <v>0.875</v>
      </c>
      <c r="K3471" s="0" t="n">
        <f aca="false">D3471*E3471</f>
        <v>0.375</v>
      </c>
      <c r="L3471" s="0" t="n">
        <f aca="false">D3471*F3471</f>
        <v>0.328125</v>
      </c>
      <c r="M3471" s="0" t="n">
        <f aca="false">E3471*F3471</f>
        <v>0.875</v>
      </c>
      <c r="N3471" s="0" t="n">
        <f aca="false">D3471*D3471</f>
        <v>0.140625</v>
      </c>
      <c r="O3471" s="0" t="n">
        <f aca="false">E3471*E3471</f>
        <v>1</v>
      </c>
      <c r="P3471" s="0" t="n">
        <f aca="false">F3471*F3471</f>
        <v>0.765625</v>
      </c>
      <c r="Q3471" s="0" t="n">
        <f aca="false">SUMPRODUCT(G3471:P3471,_XtX!$B$71:$K$71)</f>
        <v>50.1678267045455</v>
      </c>
      <c r="R3471" s="0" t="n">
        <f aca="false">SUMPRODUCT(MMULT(G3471:P3471,_XtX!$B$58:$K$67),G3471:P3471)</f>
        <v>0.56971269087358</v>
      </c>
      <c r="S3471" s="0" t="n">
        <f aca="false">04_回帰ANOVA!$K$19*04_回帰ANOVA!$K$14*SQRT(1+R3471)</f>
        <v>1.16486801567081</v>
      </c>
      <c r="T3471" s="0" t="n">
        <f aca="false">Q3471-S3471</f>
        <v>49.0029586888747</v>
      </c>
      <c r="U3471" s="0" t="n">
        <f aca="false">Q3471+S3471</f>
        <v>51.3326947202163</v>
      </c>
      <c r="V3471" s="54" t="b">
        <f aca="false">AND(D3471&gt;=01_因子設定!$L$5-0.000000001,D3471&lt;=01_因子設定!$M$5+0.000000001,E3471&gt;=01_因子設定!$L$6-0.000000001,E3471&lt;=01_因子設定!$M$6+0.000000001,F3471&gt;=01_因子設定!$L$7-0.000000001,F3471&lt;=01_因子設定!$M$7+0.000000001,IF(01_因子設定!$B$20="Box-Behnken",D3471^2+E3471^2+F3471^2&lt;=2+0.000000001,TRUE()))</f>
        <v>1</v>
      </c>
      <c r="W3471" s="55" t="n">
        <f aca="false">IF(V3471,IF(01_因子設定!$B$13="最大化",T3471-01_因子設定!$B$14,IF(01_因子設定!$B$13="最小化",01_因子設定!$B$15-U3471,MIN(T3471-01_因子設定!$B$14,01_因子設定!$B$15-U3471))),-1E+030)</f>
        <v>0.502958688874671</v>
      </c>
      <c r="X3471" s="55" t="n">
        <f aca="false">IF(V3471,IF(01_因子設定!$B$13="最大化",Q3471,IF(01_因子設定!$B$13="最小化",-Q3471,-ABS(Q3471-01_因子設定!$B$16))),-1E+030)</f>
        <v>50.1678267045455</v>
      </c>
      <c r="Y3471" s="55" t="n">
        <f aca="false">W3471+ROW()*0.000000001</f>
        <v>0.502962159874671</v>
      </c>
      <c r="Z3471" s="55" t="n">
        <f aca="false">X3471+ROW()*0.000000001</f>
        <v>50.1678301755455</v>
      </c>
    </row>
    <row r="3472" customFormat="false" ht="15" hidden="false" customHeight="false" outlineLevel="0" collapsed="false">
      <c r="A3472" s="0" t="n">
        <v>11</v>
      </c>
      <c r="B3472" s="0" t="n">
        <v>16</v>
      </c>
      <c r="C3472" s="0" t="n">
        <v>16</v>
      </c>
      <c r="D3472" s="0" t="n">
        <f aca="false">-1+A3472*0.125</f>
        <v>0.375</v>
      </c>
      <c r="E3472" s="0" t="n">
        <f aca="false">-1+B3472*0.125</f>
        <v>1</v>
      </c>
      <c r="F3472" s="0" t="n">
        <f aca="false">-1+C3472*0.125</f>
        <v>1</v>
      </c>
      <c r="G3472" s="0" t="n">
        <f aca="false">1</f>
        <v>1</v>
      </c>
      <c r="H3472" s="0" t="n">
        <f aca="false">D3472</f>
        <v>0.375</v>
      </c>
      <c r="I3472" s="0" t="n">
        <f aca="false">E3472</f>
        <v>1</v>
      </c>
      <c r="J3472" s="0" t="n">
        <f aca="false">F3472</f>
        <v>1</v>
      </c>
      <c r="K3472" s="0" t="n">
        <f aca="false">D3472*E3472</f>
        <v>0.375</v>
      </c>
      <c r="L3472" s="0" t="n">
        <f aca="false">D3472*F3472</f>
        <v>0.375</v>
      </c>
      <c r="M3472" s="0" t="n">
        <f aca="false">E3472*F3472</f>
        <v>1</v>
      </c>
      <c r="N3472" s="0" t="n">
        <f aca="false">D3472*D3472</f>
        <v>0.140625</v>
      </c>
      <c r="O3472" s="0" t="n">
        <f aca="false">E3472*E3472</f>
        <v>1</v>
      </c>
      <c r="P3472" s="0" t="n">
        <f aca="false">F3472*F3472</f>
        <v>1</v>
      </c>
      <c r="Q3472" s="0" t="n">
        <f aca="false">SUMPRODUCT(G3472:P3472,_XtX!$B$71:$K$71)</f>
        <v>50.1136221590909</v>
      </c>
      <c r="R3472" s="0" t="n">
        <f aca="false">SUMPRODUCT(MMULT(G3472:P3472,_XtX!$B$58:$K$67),G3472:P3472)</f>
        <v>0.682830255681818</v>
      </c>
      <c r="S3472" s="0" t="n">
        <f aca="false">04_回帰ANOVA!$K$19*04_回帰ANOVA!$K$14*SQRT(1+R3472)</f>
        <v>1.20610964896955</v>
      </c>
      <c r="T3472" s="0" t="n">
        <f aca="false">Q3472-S3472</f>
        <v>48.9075125101214</v>
      </c>
      <c r="U3472" s="0" t="n">
        <f aca="false">Q3472+S3472</f>
        <v>51.3197318080605</v>
      </c>
      <c r="V3472" s="54" t="b">
        <f aca="false">AND(D3472&gt;=01_因子設定!$L$5-0.000000001,D3472&lt;=01_因子設定!$M$5+0.000000001,E3472&gt;=01_因子設定!$L$6-0.000000001,E3472&lt;=01_因子設定!$M$6+0.000000001,F3472&gt;=01_因子設定!$L$7-0.000000001,F3472&lt;=01_因子設定!$M$7+0.000000001,IF(01_因子設定!$B$20="Box-Behnken",D3472^2+E3472^2+F3472^2&lt;=2+0.000000001,TRUE()))</f>
        <v>1</v>
      </c>
      <c r="W3472" s="55" t="n">
        <f aca="false">IF(V3472,IF(01_因子設定!$B$13="最大化",T3472-01_因子設定!$B$14,IF(01_因子設定!$B$13="最小化",01_因子設定!$B$15-U3472,MIN(T3472-01_因子設定!$B$14,01_因子設定!$B$15-U3472))),-1E+030)</f>
        <v>0.407512510121393</v>
      </c>
      <c r="X3472" s="55" t="n">
        <f aca="false">IF(V3472,IF(01_因子設定!$B$13="最大化",Q3472,IF(01_因子設定!$B$13="最小化",-Q3472,-ABS(Q3472-01_因子設定!$B$16))),-1E+030)</f>
        <v>50.1136221590909</v>
      </c>
      <c r="Y3472" s="55" t="n">
        <f aca="false">W3472+ROW()*0.000000001</f>
        <v>0.407515982121393</v>
      </c>
      <c r="Z3472" s="55" t="n">
        <f aca="false">X3472+ROW()*0.000000001</f>
        <v>50.1136256310909</v>
      </c>
    </row>
    <row r="3473" customFormat="false" ht="15" hidden="false" customHeight="false" outlineLevel="0" collapsed="false">
      <c r="A3473" s="0" t="n">
        <v>12</v>
      </c>
      <c r="B3473" s="0" t="n">
        <v>0</v>
      </c>
      <c r="C3473" s="0" t="n">
        <v>0</v>
      </c>
      <c r="D3473" s="0" t="n">
        <f aca="false">-1+A3473*0.125</f>
        <v>0.5</v>
      </c>
      <c r="E3473" s="0" t="n">
        <f aca="false">-1+B3473*0.125</f>
        <v>-1</v>
      </c>
      <c r="F3473" s="0" t="n">
        <f aca="false">-1+C3473*0.125</f>
        <v>-1</v>
      </c>
      <c r="G3473" s="0" t="n">
        <f aca="false">1</f>
        <v>1</v>
      </c>
      <c r="H3473" s="0" t="n">
        <f aca="false">D3473</f>
        <v>0.5</v>
      </c>
      <c r="I3473" s="0" t="n">
        <f aca="false">E3473</f>
        <v>-1</v>
      </c>
      <c r="J3473" s="0" t="n">
        <f aca="false">F3473</f>
        <v>-1</v>
      </c>
      <c r="K3473" s="0" t="n">
        <f aca="false">D3473*E3473</f>
        <v>-0.5</v>
      </c>
      <c r="L3473" s="0" t="n">
        <f aca="false">D3473*F3473</f>
        <v>-0.5</v>
      </c>
      <c r="M3473" s="0" t="n">
        <f aca="false">E3473*F3473</f>
        <v>1</v>
      </c>
      <c r="N3473" s="0" t="n">
        <f aca="false">D3473*D3473</f>
        <v>0.25</v>
      </c>
      <c r="O3473" s="0" t="n">
        <f aca="false">E3473*E3473</f>
        <v>1</v>
      </c>
      <c r="P3473" s="0" t="n">
        <f aca="false">F3473*F3473</f>
        <v>1</v>
      </c>
      <c r="Q3473" s="0" t="n">
        <f aca="false">SUMPRODUCT(G3473:P3473,_XtX!$B$71:$K$71)</f>
        <v>42.3295454545455</v>
      </c>
      <c r="R3473" s="0" t="n">
        <f aca="false">SUMPRODUCT(MMULT(G3473:P3473,_XtX!$B$58:$K$67),G3473:P3473)</f>
        <v>0.667045454545455</v>
      </c>
      <c r="S3473" s="0" t="n">
        <f aca="false">04_回帰ANOVA!$K$19*04_回帰ANOVA!$K$14*SQRT(1+R3473)</f>
        <v>1.200439720088</v>
      </c>
      <c r="T3473" s="0" t="n">
        <f aca="false">Q3473-S3473</f>
        <v>41.1291057344575</v>
      </c>
      <c r="U3473" s="0" t="n">
        <f aca="false">Q3473+S3473</f>
        <v>43.5299851746335</v>
      </c>
      <c r="V3473" s="54" t="b">
        <f aca="false">AND(D3473&gt;=01_因子設定!$L$5-0.000000001,D3473&lt;=01_因子設定!$M$5+0.000000001,E3473&gt;=01_因子設定!$L$6-0.000000001,E3473&lt;=01_因子設定!$M$6+0.000000001,F3473&gt;=01_因子設定!$L$7-0.000000001,F3473&lt;=01_因子設定!$M$7+0.000000001,IF(01_因子設定!$B$20="Box-Behnken",D3473^2+E3473^2+F3473^2&lt;=2+0.000000001,TRUE()))</f>
        <v>1</v>
      </c>
      <c r="W3473" s="55" t="n">
        <f aca="false">IF(V3473,IF(01_因子設定!$B$13="最大化",T3473-01_因子設定!$B$14,IF(01_因子設定!$B$13="最小化",01_因子設定!$B$15-U3473,MIN(T3473-01_因子設定!$B$14,01_因子設定!$B$15-U3473))),-1E+030)</f>
        <v>-7.37089426554252</v>
      </c>
      <c r="X3473" s="55" t="n">
        <f aca="false">IF(V3473,IF(01_因子設定!$B$13="最大化",Q3473,IF(01_因子設定!$B$13="最小化",-Q3473,-ABS(Q3473-01_因子設定!$B$16))),-1E+030)</f>
        <v>42.3295454545455</v>
      </c>
      <c r="Y3473" s="55" t="n">
        <f aca="false">W3473+ROW()*0.000000001</f>
        <v>-7.37089079254252</v>
      </c>
      <c r="Z3473" s="55" t="n">
        <f aca="false">X3473+ROW()*0.000000001</f>
        <v>42.3295489275455</v>
      </c>
    </row>
    <row r="3474" customFormat="false" ht="15" hidden="false" customHeight="false" outlineLevel="0" collapsed="false">
      <c r="A3474" s="0" t="n">
        <v>12</v>
      </c>
      <c r="B3474" s="0" t="n">
        <v>0</v>
      </c>
      <c r="C3474" s="0" t="n">
        <v>1</v>
      </c>
      <c r="D3474" s="0" t="n">
        <f aca="false">-1+A3474*0.125</f>
        <v>0.5</v>
      </c>
      <c r="E3474" s="0" t="n">
        <f aca="false">-1+B3474*0.125</f>
        <v>-1</v>
      </c>
      <c r="F3474" s="0" t="n">
        <f aca="false">-1+C3474*0.125</f>
        <v>-0.875</v>
      </c>
      <c r="G3474" s="0" t="n">
        <f aca="false">1</f>
        <v>1</v>
      </c>
      <c r="H3474" s="0" t="n">
        <f aca="false">D3474</f>
        <v>0.5</v>
      </c>
      <c r="I3474" s="0" t="n">
        <f aca="false">E3474</f>
        <v>-1</v>
      </c>
      <c r="J3474" s="0" t="n">
        <f aca="false">F3474</f>
        <v>-0.875</v>
      </c>
      <c r="K3474" s="0" t="n">
        <f aca="false">D3474*E3474</f>
        <v>-0.5</v>
      </c>
      <c r="L3474" s="0" t="n">
        <f aca="false">D3474*F3474</f>
        <v>-0.4375</v>
      </c>
      <c r="M3474" s="0" t="n">
        <f aca="false">E3474*F3474</f>
        <v>0.875</v>
      </c>
      <c r="N3474" s="0" t="n">
        <f aca="false">D3474*D3474</f>
        <v>0.25</v>
      </c>
      <c r="O3474" s="0" t="n">
        <f aca="false">E3474*E3474</f>
        <v>1</v>
      </c>
      <c r="P3474" s="0" t="n">
        <f aca="false">F3474*F3474</f>
        <v>0.765625</v>
      </c>
      <c r="Q3474" s="0" t="n">
        <f aca="false">SUMPRODUCT(G3474:P3474,_XtX!$B$71:$K$71)</f>
        <v>42.71234375</v>
      </c>
      <c r="R3474" s="0" t="n">
        <f aca="false">SUMPRODUCT(MMULT(G3474:P3474,_XtX!$B$58:$K$67),G3474:P3474)</f>
        <v>0.55771484375</v>
      </c>
      <c r="S3474" s="0" t="n">
        <f aca="false">04_回帰ANOVA!$K$19*04_回帰ANOVA!$K$14*SQRT(1+R3474)</f>
        <v>1.16040773556467</v>
      </c>
      <c r="T3474" s="0" t="n">
        <f aca="false">Q3474-S3474</f>
        <v>41.5519360144354</v>
      </c>
      <c r="U3474" s="0" t="n">
        <f aca="false">Q3474+S3474</f>
        <v>43.8727514855647</v>
      </c>
      <c r="V3474" s="54" t="b">
        <f aca="false">AND(D3474&gt;=01_因子設定!$L$5-0.000000001,D3474&lt;=01_因子設定!$M$5+0.000000001,E3474&gt;=01_因子設定!$L$6-0.000000001,E3474&lt;=01_因子設定!$M$6+0.000000001,F3474&gt;=01_因子設定!$L$7-0.000000001,F3474&lt;=01_因子設定!$M$7+0.000000001,IF(01_因子設定!$B$20="Box-Behnken",D3474^2+E3474^2+F3474^2&lt;=2+0.000000001,TRUE()))</f>
        <v>1</v>
      </c>
      <c r="W3474" s="55" t="n">
        <f aca="false">IF(V3474,IF(01_因子設定!$B$13="最大化",T3474-01_因子設定!$B$14,IF(01_因子設定!$B$13="最小化",01_因子設定!$B$15-U3474,MIN(T3474-01_因子設定!$B$14,01_因子設定!$B$15-U3474))),-1E+030)</f>
        <v>-6.94806398556465</v>
      </c>
      <c r="X3474" s="55" t="n">
        <f aca="false">IF(V3474,IF(01_因子設定!$B$13="最大化",Q3474,IF(01_因子設定!$B$13="最小化",-Q3474,-ABS(Q3474-01_因子設定!$B$16))),-1E+030)</f>
        <v>42.71234375</v>
      </c>
      <c r="Y3474" s="55" t="n">
        <f aca="false">W3474+ROW()*0.000000001</f>
        <v>-6.94806051156465</v>
      </c>
      <c r="Z3474" s="55" t="n">
        <f aca="false">X3474+ROW()*0.000000001</f>
        <v>42.712347224</v>
      </c>
    </row>
    <row r="3475" customFormat="false" ht="15" hidden="false" customHeight="false" outlineLevel="0" collapsed="false">
      <c r="A3475" s="0" t="n">
        <v>12</v>
      </c>
      <c r="B3475" s="0" t="n">
        <v>0</v>
      </c>
      <c r="C3475" s="0" t="n">
        <v>2</v>
      </c>
      <c r="D3475" s="0" t="n">
        <f aca="false">-1+A3475*0.125</f>
        <v>0.5</v>
      </c>
      <c r="E3475" s="0" t="n">
        <f aca="false">-1+B3475*0.125</f>
        <v>-1</v>
      </c>
      <c r="F3475" s="0" t="n">
        <f aca="false">-1+C3475*0.125</f>
        <v>-0.75</v>
      </c>
      <c r="G3475" s="0" t="n">
        <f aca="false">1</f>
        <v>1</v>
      </c>
      <c r="H3475" s="0" t="n">
        <f aca="false">D3475</f>
        <v>0.5</v>
      </c>
      <c r="I3475" s="0" t="n">
        <f aca="false">E3475</f>
        <v>-1</v>
      </c>
      <c r="J3475" s="0" t="n">
        <f aca="false">F3475</f>
        <v>-0.75</v>
      </c>
      <c r="K3475" s="0" t="n">
        <f aca="false">D3475*E3475</f>
        <v>-0.5</v>
      </c>
      <c r="L3475" s="0" t="n">
        <f aca="false">D3475*F3475</f>
        <v>-0.375</v>
      </c>
      <c r="M3475" s="0" t="n">
        <f aca="false">E3475*F3475</f>
        <v>0.75</v>
      </c>
      <c r="N3475" s="0" t="n">
        <f aca="false">D3475*D3475</f>
        <v>0.25</v>
      </c>
      <c r="O3475" s="0" t="n">
        <f aca="false">E3475*E3475</f>
        <v>1</v>
      </c>
      <c r="P3475" s="0" t="n">
        <f aca="false">F3475*F3475</f>
        <v>0.5625</v>
      </c>
      <c r="Q3475" s="0" t="n">
        <f aca="false">SUMPRODUCT(G3475:P3475,_XtX!$B$71:$K$71)</f>
        <v>43.0583522727273</v>
      </c>
      <c r="R3475" s="0" t="n">
        <f aca="false">SUMPRODUCT(MMULT(G3475:P3475,_XtX!$B$58:$K$67),G3475:P3475)</f>
        <v>0.495276988636364</v>
      </c>
      <c r="S3475" s="0" t="n">
        <f aca="false">04_回帰ANOVA!$K$19*04_回帰ANOVA!$K$14*SQRT(1+R3475)</f>
        <v>1.13691359828352</v>
      </c>
      <c r="T3475" s="0" t="n">
        <f aca="false">Q3475-S3475</f>
        <v>41.9214386744438</v>
      </c>
      <c r="U3475" s="0" t="n">
        <f aca="false">Q3475+S3475</f>
        <v>44.1952658710108</v>
      </c>
      <c r="V3475" s="54" t="b">
        <f aca="false">AND(D3475&gt;=01_因子設定!$L$5-0.000000001,D3475&lt;=01_因子設定!$M$5+0.000000001,E3475&gt;=01_因子設定!$L$6-0.000000001,E3475&lt;=01_因子設定!$M$6+0.000000001,F3475&gt;=01_因子設定!$L$7-0.000000001,F3475&lt;=01_因子設定!$M$7+0.000000001,IF(01_因子設定!$B$20="Box-Behnken",D3475^2+E3475^2+F3475^2&lt;=2+0.000000001,TRUE()))</f>
        <v>1</v>
      </c>
      <c r="W3475" s="55" t="n">
        <f aca="false">IF(V3475,IF(01_因子設定!$B$13="最大化",T3475-01_因子設定!$B$14,IF(01_因子設定!$B$13="最小化",01_因子設定!$B$15-U3475,MIN(T3475-01_因子設定!$B$14,01_因子設定!$B$15-U3475))),-1E+030)</f>
        <v>-6.57856132555623</v>
      </c>
      <c r="X3475" s="55" t="n">
        <f aca="false">IF(V3475,IF(01_因子設定!$B$13="最大化",Q3475,IF(01_因子設定!$B$13="最小化",-Q3475,-ABS(Q3475-01_因子設定!$B$16))),-1E+030)</f>
        <v>43.0583522727273</v>
      </c>
      <c r="Y3475" s="55" t="n">
        <f aca="false">W3475+ROW()*0.000000001</f>
        <v>-6.57855785055623</v>
      </c>
      <c r="Z3475" s="55" t="n">
        <f aca="false">X3475+ROW()*0.000000001</f>
        <v>43.0583557477273</v>
      </c>
    </row>
    <row r="3476" customFormat="false" ht="15" hidden="false" customHeight="false" outlineLevel="0" collapsed="false">
      <c r="A3476" s="0" t="n">
        <v>12</v>
      </c>
      <c r="B3476" s="0" t="n">
        <v>0</v>
      </c>
      <c r="C3476" s="0" t="n">
        <v>3</v>
      </c>
      <c r="D3476" s="0" t="n">
        <f aca="false">-1+A3476*0.125</f>
        <v>0.5</v>
      </c>
      <c r="E3476" s="0" t="n">
        <f aca="false">-1+B3476*0.125</f>
        <v>-1</v>
      </c>
      <c r="F3476" s="0" t="n">
        <f aca="false">-1+C3476*0.125</f>
        <v>-0.625</v>
      </c>
      <c r="G3476" s="0" t="n">
        <f aca="false">1</f>
        <v>1</v>
      </c>
      <c r="H3476" s="0" t="n">
        <f aca="false">D3476</f>
        <v>0.5</v>
      </c>
      <c r="I3476" s="0" t="n">
        <f aca="false">E3476</f>
        <v>-1</v>
      </c>
      <c r="J3476" s="0" t="n">
        <f aca="false">F3476</f>
        <v>-0.625</v>
      </c>
      <c r="K3476" s="0" t="n">
        <f aca="false">D3476*E3476</f>
        <v>-0.5</v>
      </c>
      <c r="L3476" s="0" t="n">
        <f aca="false">D3476*F3476</f>
        <v>-0.3125</v>
      </c>
      <c r="M3476" s="0" t="n">
        <f aca="false">E3476*F3476</f>
        <v>0.625</v>
      </c>
      <c r="N3476" s="0" t="n">
        <f aca="false">D3476*D3476</f>
        <v>0.25</v>
      </c>
      <c r="O3476" s="0" t="n">
        <f aca="false">E3476*E3476</f>
        <v>1</v>
      </c>
      <c r="P3476" s="0" t="n">
        <f aca="false">F3476*F3476</f>
        <v>0.390625</v>
      </c>
      <c r="Q3476" s="0" t="n">
        <f aca="false">SUMPRODUCT(G3476:P3476,_XtX!$B$71:$K$71)</f>
        <v>43.3675710227273</v>
      </c>
      <c r="R3476" s="0" t="n">
        <f aca="false">SUMPRODUCT(MMULT(G3476:P3476,_XtX!$B$58:$K$67),G3476:P3476)</f>
        <v>0.465882457386364</v>
      </c>
      <c r="S3476" s="0" t="n">
        <f aca="false">04_回帰ANOVA!$K$19*04_回帰ANOVA!$K$14*SQRT(1+R3476)</f>
        <v>1.12568326538173</v>
      </c>
      <c r="T3476" s="0" t="n">
        <f aca="false">Q3476-S3476</f>
        <v>42.2418877573456</v>
      </c>
      <c r="U3476" s="0" t="n">
        <f aca="false">Q3476+S3476</f>
        <v>44.493254288109</v>
      </c>
      <c r="V3476" s="54" t="b">
        <f aca="false">AND(D3476&gt;=01_因子設定!$L$5-0.000000001,D3476&lt;=01_因子設定!$M$5+0.000000001,E3476&gt;=01_因子設定!$L$6-0.000000001,E3476&lt;=01_因子設定!$M$6+0.000000001,F3476&gt;=01_因子設定!$L$7-0.000000001,F3476&lt;=01_因子設定!$M$7+0.000000001,IF(01_因子設定!$B$20="Box-Behnken",D3476^2+E3476^2+F3476^2&lt;=2+0.000000001,TRUE()))</f>
        <v>1</v>
      </c>
      <c r="W3476" s="55" t="n">
        <f aca="false">IF(V3476,IF(01_因子設定!$B$13="最大化",T3476-01_因子設定!$B$14,IF(01_因子設定!$B$13="最小化",01_因子設定!$B$15-U3476,MIN(T3476-01_因子設定!$B$14,01_因子設定!$B$15-U3476))),-1E+030)</f>
        <v>-6.25811224265443</v>
      </c>
      <c r="X3476" s="55" t="n">
        <f aca="false">IF(V3476,IF(01_因子設定!$B$13="最大化",Q3476,IF(01_因子設定!$B$13="最小化",-Q3476,-ABS(Q3476-01_因子設定!$B$16))),-1E+030)</f>
        <v>43.3675710227273</v>
      </c>
      <c r="Y3476" s="55" t="n">
        <f aca="false">W3476+ROW()*0.000000001</f>
        <v>-6.25810876665443</v>
      </c>
      <c r="Z3476" s="55" t="n">
        <f aca="false">X3476+ROW()*0.000000001</f>
        <v>43.3675744987273</v>
      </c>
    </row>
    <row r="3477" customFormat="false" ht="15" hidden="false" customHeight="false" outlineLevel="0" collapsed="false">
      <c r="A3477" s="0" t="n">
        <v>12</v>
      </c>
      <c r="B3477" s="0" t="n">
        <v>0</v>
      </c>
      <c r="C3477" s="0" t="n">
        <v>4</v>
      </c>
      <c r="D3477" s="0" t="n">
        <f aca="false">-1+A3477*0.125</f>
        <v>0.5</v>
      </c>
      <c r="E3477" s="0" t="n">
        <f aca="false">-1+B3477*0.125</f>
        <v>-1</v>
      </c>
      <c r="F3477" s="0" t="n">
        <f aca="false">-1+C3477*0.125</f>
        <v>-0.5</v>
      </c>
      <c r="G3477" s="0" t="n">
        <f aca="false">1</f>
        <v>1</v>
      </c>
      <c r="H3477" s="0" t="n">
        <f aca="false">D3477</f>
        <v>0.5</v>
      </c>
      <c r="I3477" s="0" t="n">
        <f aca="false">E3477</f>
        <v>-1</v>
      </c>
      <c r="J3477" s="0" t="n">
        <f aca="false">F3477</f>
        <v>-0.5</v>
      </c>
      <c r="K3477" s="0" t="n">
        <f aca="false">D3477*E3477</f>
        <v>-0.5</v>
      </c>
      <c r="L3477" s="0" t="n">
        <f aca="false">D3477*F3477</f>
        <v>-0.25</v>
      </c>
      <c r="M3477" s="0" t="n">
        <f aca="false">E3477*F3477</f>
        <v>0.5</v>
      </c>
      <c r="N3477" s="0" t="n">
        <f aca="false">D3477*D3477</f>
        <v>0.25</v>
      </c>
      <c r="O3477" s="0" t="n">
        <f aca="false">E3477*E3477</f>
        <v>1</v>
      </c>
      <c r="P3477" s="0" t="n">
        <f aca="false">F3477*F3477</f>
        <v>0.25</v>
      </c>
      <c r="Q3477" s="0" t="n">
        <f aca="false">SUMPRODUCT(G3477:P3477,_XtX!$B$71:$K$71)</f>
        <v>43.64</v>
      </c>
      <c r="R3477" s="0" t="n">
        <f aca="false">SUMPRODUCT(MMULT(G3477:P3477,_XtX!$B$58:$K$67),G3477:P3477)</f>
        <v>0.4578125</v>
      </c>
      <c r="S3477" s="0" t="n">
        <f aca="false">04_回帰ANOVA!$K$19*04_回帰ANOVA!$K$14*SQRT(1+R3477)</f>
        <v>1.12258044051089</v>
      </c>
      <c r="T3477" s="0" t="n">
        <f aca="false">Q3477-S3477</f>
        <v>42.5174195594891</v>
      </c>
      <c r="U3477" s="0" t="n">
        <f aca="false">Q3477+S3477</f>
        <v>44.7625804405109</v>
      </c>
      <c r="V3477" s="54" t="b">
        <f aca="false">AND(D3477&gt;=01_因子設定!$L$5-0.000000001,D3477&lt;=01_因子設定!$M$5+0.000000001,E3477&gt;=01_因子設定!$L$6-0.000000001,E3477&lt;=01_因子設定!$M$6+0.000000001,F3477&gt;=01_因子設定!$L$7-0.000000001,F3477&lt;=01_因子設定!$M$7+0.000000001,IF(01_因子設定!$B$20="Box-Behnken",D3477^2+E3477^2+F3477^2&lt;=2+0.000000001,TRUE()))</f>
        <v>1</v>
      </c>
      <c r="W3477" s="55" t="n">
        <f aca="false">IF(V3477,IF(01_因子設定!$B$13="最大化",T3477-01_因子設定!$B$14,IF(01_因子設定!$B$13="最小化",01_因子設定!$B$15-U3477,MIN(T3477-01_因子設定!$B$14,01_因子設定!$B$15-U3477))),-1E+030)</f>
        <v>-5.98258044051087</v>
      </c>
      <c r="X3477" s="55" t="n">
        <f aca="false">IF(V3477,IF(01_因子設定!$B$13="最大化",Q3477,IF(01_因子設定!$B$13="最小化",-Q3477,-ABS(Q3477-01_因子設定!$B$16))),-1E+030)</f>
        <v>43.64</v>
      </c>
      <c r="Y3477" s="55" t="n">
        <f aca="false">W3477+ROW()*0.000000001</f>
        <v>-5.98257696351087</v>
      </c>
      <c r="Z3477" s="55" t="n">
        <f aca="false">X3477+ROW()*0.000000001</f>
        <v>43.640003477</v>
      </c>
    </row>
    <row r="3478" customFormat="false" ht="15" hidden="false" customHeight="false" outlineLevel="0" collapsed="false">
      <c r="A3478" s="0" t="n">
        <v>12</v>
      </c>
      <c r="B3478" s="0" t="n">
        <v>0</v>
      </c>
      <c r="C3478" s="0" t="n">
        <v>5</v>
      </c>
      <c r="D3478" s="0" t="n">
        <f aca="false">-1+A3478*0.125</f>
        <v>0.5</v>
      </c>
      <c r="E3478" s="0" t="n">
        <f aca="false">-1+B3478*0.125</f>
        <v>-1</v>
      </c>
      <c r="F3478" s="0" t="n">
        <f aca="false">-1+C3478*0.125</f>
        <v>-0.375</v>
      </c>
      <c r="G3478" s="0" t="n">
        <f aca="false">1</f>
        <v>1</v>
      </c>
      <c r="H3478" s="0" t="n">
        <f aca="false">D3478</f>
        <v>0.5</v>
      </c>
      <c r="I3478" s="0" t="n">
        <f aca="false">E3478</f>
        <v>-1</v>
      </c>
      <c r="J3478" s="0" t="n">
        <f aca="false">F3478</f>
        <v>-0.375</v>
      </c>
      <c r="K3478" s="0" t="n">
        <f aca="false">D3478*E3478</f>
        <v>-0.5</v>
      </c>
      <c r="L3478" s="0" t="n">
        <f aca="false">D3478*F3478</f>
        <v>-0.1875</v>
      </c>
      <c r="M3478" s="0" t="n">
        <f aca="false">E3478*F3478</f>
        <v>0.375</v>
      </c>
      <c r="N3478" s="0" t="n">
        <f aca="false">D3478*D3478</f>
        <v>0.25</v>
      </c>
      <c r="O3478" s="0" t="n">
        <f aca="false">E3478*E3478</f>
        <v>1</v>
      </c>
      <c r="P3478" s="0" t="n">
        <f aca="false">F3478*F3478</f>
        <v>0.140625</v>
      </c>
      <c r="Q3478" s="0" t="n">
        <f aca="false">SUMPRODUCT(G3478:P3478,_XtX!$B$71:$K$71)</f>
        <v>43.8756392045455</v>
      </c>
      <c r="R3478" s="0" t="n">
        <f aca="false">SUMPRODUCT(MMULT(G3478:P3478,_XtX!$B$58:$K$67),G3478:P3478)</f>
        <v>0.461479048295455</v>
      </c>
      <c r="S3478" s="0" t="n">
        <f aca="false">04_回帰ANOVA!$K$19*04_回帰ANOVA!$K$14*SQRT(1+R3478)</f>
        <v>1.12399125658369</v>
      </c>
      <c r="T3478" s="0" t="n">
        <f aca="false">Q3478-S3478</f>
        <v>42.7516479479618</v>
      </c>
      <c r="U3478" s="0" t="n">
        <f aca="false">Q3478+S3478</f>
        <v>44.9996304611292</v>
      </c>
      <c r="V3478" s="54" t="b">
        <f aca="false">AND(D3478&gt;=01_因子設定!$L$5-0.000000001,D3478&lt;=01_因子設定!$M$5+0.000000001,E3478&gt;=01_因子設定!$L$6-0.000000001,E3478&lt;=01_因子設定!$M$6+0.000000001,F3478&gt;=01_因子設定!$L$7-0.000000001,F3478&lt;=01_因子設定!$M$7+0.000000001,IF(01_因子設定!$B$20="Box-Behnken",D3478^2+E3478^2+F3478^2&lt;=2+0.000000001,TRUE()))</f>
        <v>1</v>
      </c>
      <c r="W3478" s="55" t="n">
        <f aca="false">IF(V3478,IF(01_因子設定!$B$13="最大化",T3478-01_因子設定!$B$14,IF(01_因子設定!$B$13="最小化",01_因子設定!$B$15-U3478,MIN(T3478-01_因子設定!$B$14,01_因子設定!$B$15-U3478))),-1E+030)</f>
        <v>-5.74835205203822</v>
      </c>
      <c r="X3478" s="55" t="n">
        <f aca="false">IF(V3478,IF(01_因子設定!$B$13="最大化",Q3478,IF(01_因子設定!$B$13="最小化",-Q3478,-ABS(Q3478-01_因子設定!$B$16))),-1E+030)</f>
        <v>43.8756392045455</v>
      </c>
      <c r="Y3478" s="55" t="n">
        <f aca="false">W3478+ROW()*0.000000001</f>
        <v>-5.74834857403822</v>
      </c>
      <c r="Z3478" s="55" t="n">
        <f aca="false">X3478+ROW()*0.000000001</f>
        <v>43.8756426825455</v>
      </c>
    </row>
    <row r="3479" customFormat="false" ht="15" hidden="false" customHeight="false" outlineLevel="0" collapsed="false">
      <c r="A3479" s="0" t="n">
        <v>12</v>
      </c>
      <c r="B3479" s="0" t="n">
        <v>0</v>
      </c>
      <c r="C3479" s="0" t="n">
        <v>6</v>
      </c>
      <c r="D3479" s="0" t="n">
        <f aca="false">-1+A3479*0.125</f>
        <v>0.5</v>
      </c>
      <c r="E3479" s="0" t="n">
        <f aca="false">-1+B3479*0.125</f>
        <v>-1</v>
      </c>
      <c r="F3479" s="0" t="n">
        <f aca="false">-1+C3479*0.125</f>
        <v>-0.25</v>
      </c>
      <c r="G3479" s="0" t="n">
        <f aca="false">1</f>
        <v>1</v>
      </c>
      <c r="H3479" s="0" t="n">
        <f aca="false">D3479</f>
        <v>0.5</v>
      </c>
      <c r="I3479" s="0" t="n">
        <f aca="false">E3479</f>
        <v>-1</v>
      </c>
      <c r="J3479" s="0" t="n">
        <f aca="false">F3479</f>
        <v>-0.25</v>
      </c>
      <c r="K3479" s="0" t="n">
        <f aca="false">D3479*E3479</f>
        <v>-0.5</v>
      </c>
      <c r="L3479" s="0" t="n">
        <f aca="false">D3479*F3479</f>
        <v>-0.125</v>
      </c>
      <c r="M3479" s="0" t="n">
        <f aca="false">E3479*F3479</f>
        <v>0.25</v>
      </c>
      <c r="N3479" s="0" t="n">
        <f aca="false">D3479*D3479</f>
        <v>0.25</v>
      </c>
      <c r="O3479" s="0" t="n">
        <f aca="false">E3479*E3479</f>
        <v>1</v>
      </c>
      <c r="P3479" s="0" t="n">
        <f aca="false">F3479*F3479</f>
        <v>0.0625</v>
      </c>
      <c r="Q3479" s="0" t="n">
        <f aca="false">SUMPRODUCT(G3479:P3479,_XtX!$B$71:$K$71)</f>
        <v>44.0744886363637</v>
      </c>
      <c r="R3479" s="0" t="n">
        <f aca="false">SUMPRODUCT(MMULT(G3479:P3479,_XtX!$B$58:$K$67),G3479:P3479)</f>
        <v>0.469424715909091</v>
      </c>
      <c r="S3479" s="0" t="n">
        <f aca="false">04_回帰ANOVA!$K$19*04_回帰ANOVA!$K$14*SQRT(1+R3479)</f>
        <v>1.12704253369596</v>
      </c>
      <c r="T3479" s="0" t="n">
        <f aca="false">Q3479-S3479</f>
        <v>42.9474461026677</v>
      </c>
      <c r="U3479" s="0" t="n">
        <f aca="false">Q3479+S3479</f>
        <v>45.2015311700596</v>
      </c>
      <c r="V3479" s="54" t="b">
        <f aca="false">AND(D3479&gt;=01_因子設定!$L$5-0.000000001,D3479&lt;=01_因子設定!$M$5+0.000000001,E3479&gt;=01_因子設定!$L$6-0.000000001,E3479&lt;=01_因子設定!$M$6+0.000000001,F3479&gt;=01_因子設定!$L$7-0.000000001,F3479&lt;=01_因子設定!$M$7+0.000000001,IF(01_因子設定!$B$20="Box-Behnken",D3479^2+E3479^2+F3479^2&lt;=2+0.000000001,TRUE()))</f>
        <v>1</v>
      </c>
      <c r="W3479" s="55" t="n">
        <f aca="false">IF(V3479,IF(01_因子設定!$B$13="最大化",T3479-01_因子設定!$B$14,IF(01_因子設定!$B$13="最小化",01_因子設定!$B$15-U3479,MIN(T3479-01_因子設定!$B$14,01_因子設定!$B$15-U3479))),-1E+030)</f>
        <v>-5.55255389733231</v>
      </c>
      <c r="X3479" s="55" t="n">
        <f aca="false">IF(V3479,IF(01_因子設定!$B$13="最大化",Q3479,IF(01_因子設定!$B$13="最小化",-Q3479,-ABS(Q3479-01_因子設定!$B$16))),-1E+030)</f>
        <v>44.0744886363637</v>
      </c>
      <c r="Y3479" s="55" t="n">
        <f aca="false">W3479+ROW()*0.000000001</f>
        <v>-5.55255041833231</v>
      </c>
      <c r="Z3479" s="55" t="n">
        <f aca="false">X3479+ROW()*0.000000001</f>
        <v>44.0744921153637</v>
      </c>
    </row>
    <row r="3480" customFormat="false" ht="15" hidden="false" customHeight="false" outlineLevel="0" collapsed="false">
      <c r="A3480" s="0" t="n">
        <v>12</v>
      </c>
      <c r="B3480" s="0" t="n">
        <v>0</v>
      </c>
      <c r="C3480" s="0" t="n">
        <v>7</v>
      </c>
      <c r="D3480" s="0" t="n">
        <f aca="false">-1+A3480*0.125</f>
        <v>0.5</v>
      </c>
      <c r="E3480" s="0" t="n">
        <f aca="false">-1+B3480*0.125</f>
        <v>-1</v>
      </c>
      <c r="F3480" s="0" t="n">
        <f aca="false">-1+C3480*0.125</f>
        <v>-0.125</v>
      </c>
      <c r="G3480" s="0" t="n">
        <f aca="false">1</f>
        <v>1</v>
      </c>
      <c r="H3480" s="0" t="n">
        <f aca="false">D3480</f>
        <v>0.5</v>
      </c>
      <c r="I3480" s="0" t="n">
        <f aca="false">E3480</f>
        <v>-1</v>
      </c>
      <c r="J3480" s="0" t="n">
        <f aca="false">F3480</f>
        <v>-0.125</v>
      </c>
      <c r="K3480" s="0" t="n">
        <f aca="false">D3480*E3480</f>
        <v>-0.5</v>
      </c>
      <c r="L3480" s="0" t="n">
        <f aca="false">D3480*F3480</f>
        <v>-0.0625</v>
      </c>
      <c r="M3480" s="0" t="n">
        <f aca="false">E3480*F3480</f>
        <v>0.125</v>
      </c>
      <c r="N3480" s="0" t="n">
        <f aca="false">D3480*D3480</f>
        <v>0.25</v>
      </c>
      <c r="O3480" s="0" t="n">
        <f aca="false">E3480*E3480</f>
        <v>1</v>
      </c>
      <c r="P3480" s="0" t="n">
        <f aca="false">F3480*F3480</f>
        <v>0.015625</v>
      </c>
      <c r="Q3480" s="0" t="n">
        <f aca="false">SUMPRODUCT(G3480:P3480,_XtX!$B$71:$K$71)</f>
        <v>44.2365482954546</v>
      </c>
      <c r="R3480" s="0" t="n">
        <f aca="false">SUMPRODUCT(MMULT(G3480:P3480,_XtX!$B$58:$K$67),G3480:P3480)</f>
        <v>0.476322798295455</v>
      </c>
      <c r="S3480" s="0" t="n">
        <f aca="false">04_回帰ANOVA!$K$19*04_回帰ANOVA!$K$14*SQRT(1+R3480)</f>
        <v>1.12968483630128</v>
      </c>
      <c r="T3480" s="0" t="n">
        <f aca="false">Q3480-S3480</f>
        <v>43.1068634591533</v>
      </c>
      <c r="U3480" s="0" t="n">
        <f aca="false">Q3480+S3480</f>
        <v>45.3662331317558</v>
      </c>
      <c r="V3480" s="54" t="b">
        <f aca="false">AND(D3480&gt;=01_因子設定!$L$5-0.000000001,D3480&lt;=01_因子設定!$M$5+0.000000001,E3480&gt;=01_因子設定!$L$6-0.000000001,E3480&lt;=01_因子設定!$M$6+0.000000001,F3480&gt;=01_因子設定!$L$7-0.000000001,F3480&lt;=01_因子設定!$M$7+0.000000001,IF(01_因子設定!$B$20="Box-Behnken",D3480^2+E3480^2+F3480^2&lt;=2+0.000000001,TRUE()))</f>
        <v>1</v>
      </c>
      <c r="W3480" s="55" t="n">
        <f aca="false">IF(V3480,IF(01_因子設定!$B$13="最大化",T3480-01_因子設定!$B$14,IF(01_因子設定!$B$13="最小化",01_因子設定!$B$15-U3480,MIN(T3480-01_因子設定!$B$14,01_因子設定!$B$15-U3480))),-1E+030)</f>
        <v>-5.39313654084673</v>
      </c>
      <c r="X3480" s="55" t="n">
        <f aca="false">IF(V3480,IF(01_因子設定!$B$13="最大化",Q3480,IF(01_因子設定!$B$13="最小化",-Q3480,-ABS(Q3480-01_因子設定!$B$16))),-1E+030)</f>
        <v>44.2365482954546</v>
      </c>
      <c r="Y3480" s="55" t="n">
        <f aca="false">W3480+ROW()*0.000000001</f>
        <v>-5.39313306084673</v>
      </c>
      <c r="Z3480" s="55" t="n">
        <f aca="false">X3480+ROW()*0.000000001</f>
        <v>44.2365517754546</v>
      </c>
    </row>
    <row r="3481" customFormat="false" ht="15" hidden="false" customHeight="false" outlineLevel="0" collapsed="false">
      <c r="A3481" s="0" t="n">
        <v>12</v>
      </c>
      <c r="B3481" s="0" t="n">
        <v>0</v>
      </c>
      <c r="C3481" s="0" t="n">
        <v>8</v>
      </c>
      <c r="D3481" s="0" t="n">
        <f aca="false">-1+A3481*0.125</f>
        <v>0.5</v>
      </c>
      <c r="E3481" s="0" t="n">
        <f aca="false">-1+B3481*0.125</f>
        <v>-1</v>
      </c>
      <c r="F3481" s="0" t="n">
        <f aca="false">-1+C3481*0.125</f>
        <v>0</v>
      </c>
      <c r="G3481" s="0" t="n">
        <f aca="false">1</f>
        <v>1</v>
      </c>
      <c r="H3481" s="0" t="n">
        <f aca="false">D3481</f>
        <v>0.5</v>
      </c>
      <c r="I3481" s="0" t="n">
        <f aca="false">E3481</f>
        <v>-1</v>
      </c>
      <c r="J3481" s="0" t="n">
        <f aca="false">F3481</f>
        <v>0</v>
      </c>
      <c r="K3481" s="0" t="n">
        <f aca="false">D3481*E3481</f>
        <v>-0.5</v>
      </c>
      <c r="L3481" s="0" t="n">
        <f aca="false">D3481*F3481</f>
        <v>0</v>
      </c>
      <c r="M3481" s="0" t="n">
        <f aca="false">E3481*F3481</f>
        <v>-0</v>
      </c>
      <c r="N3481" s="0" t="n">
        <f aca="false">D3481*D3481</f>
        <v>0.25</v>
      </c>
      <c r="O3481" s="0" t="n">
        <f aca="false">E3481*E3481</f>
        <v>1</v>
      </c>
      <c r="P3481" s="0" t="n">
        <f aca="false">F3481*F3481</f>
        <v>0</v>
      </c>
      <c r="Q3481" s="0" t="n">
        <f aca="false">SUMPRODUCT(G3481:P3481,_XtX!$B$71:$K$71)</f>
        <v>44.3618181818182</v>
      </c>
      <c r="R3481" s="0" t="n">
        <f aca="false">SUMPRODUCT(MMULT(G3481:P3481,_XtX!$B$58:$K$67),G3481:P3481)</f>
        <v>0.478977272727273</v>
      </c>
      <c r="S3481" s="0" t="n">
        <f aca="false">04_回帰ANOVA!$K$19*04_回帰ANOVA!$K$14*SQRT(1+R3481)</f>
        <v>1.13069998447216</v>
      </c>
      <c r="T3481" s="0" t="n">
        <f aca="false">Q3481-S3481</f>
        <v>43.231118197346</v>
      </c>
      <c r="U3481" s="0" t="n">
        <f aca="false">Q3481+S3481</f>
        <v>45.4925181662904</v>
      </c>
      <c r="V3481" s="54" t="b">
        <f aca="false">AND(D3481&gt;=01_因子設定!$L$5-0.000000001,D3481&lt;=01_因子設定!$M$5+0.000000001,E3481&gt;=01_因子設定!$L$6-0.000000001,E3481&lt;=01_因子設定!$M$6+0.000000001,F3481&gt;=01_因子設定!$L$7-0.000000001,F3481&lt;=01_因子設定!$M$7+0.000000001,IF(01_因子設定!$B$20="Box-Behnken",D3481^2+E3481^2+F3481^2&lt;=2+0.000000001,TRUE()))</f>
        <v>1</v>
      </c>
      <c r="W3481" s="55" t="n">
        <f aca="false">IF(V3481,IF(01_因子設定!$B$13="最大化",T3481-01_因子設定!$B$14,IF(01_因子設定!$B$13="最小化",01_因子設定!$B$15-U3481,MIN(T3481-01_因子設定!$B$14,01_因子設定!$B$15-U3481))),-1E+030)</f>
        <v>-5.26888180265397</v>
      </c>
      <c r="X3481" s="55" t="n">
        <f aca="false">IF(V3481,IF(01_因子設定!$B$13="最大化",Q3481,IF(01_因子設定!$B$13="最小化",-Q3481,-ABS(Q3481-01_因子設定!$B$16))),-1E+030)</f>
        <v>44.3618181818182</v>
      </c>
      <c r="Y3481" s="55" t="n">
        <f aca="false">W3481+ROW()*0.000000001</f>
        <v>-5.26887832165397</v>
      </c>
      <c r="Z3481" s="55" t="n">
        <f aca="false">X3481+ROW()*0.000000001</f>
        <v>44.3618216628182</v>
      </c>
    </row>
    <row r="3482" customFormat="false" ht="15" hidden="false" customHeight="false" outlineLevel="0" collapsed="false">
      <c r="A3482" s="0" t="n">
        <v>12</v>
      </c>
      <c r="B3482" s="0" t="n">
        <v>0</v>
      </c>
      <c r="C3482" s="0" t="n">
        <v>9</v>
      </c>
      <c r="D3482" s="0" t="n">
        <f aca="false">-1+A3482*0.125</f>
        <v>0.5</v>
      </c>
      <c r="E3482" s="0" t="n">
        <f aca="false">-1+B3482*0.125</f>
        <v>-1</v>
      </c>
      <c r="F3482" s="0" t="n">
        <f aca="false">-1+C3482*0.125</f>
        <v>0.125</v>
      </c>
      <c r="G3482" s="0" t="n">
        <f aca="false">1</f>
        <v>1</v>
      </c>
      <c r="H3482" s="0" t="n">
        <f aca="false">D3482</f>
        <v>0.5</v>
      </c>
      <c r="I3482" s="0" t="n">
        <f aca="false">E3482</f>
        <v>-1</v>
      </c>
      <c r="J3482" s="0" t="n">
        <f aca="false">F3482</f>
        <v>0.125</v>
      </c>
      <c r="K3482" s="0" t="n">
        <f aca="false">D3482*E3482</f>
        <v>-0.5</v>
      </c>
      <c r="L3482" s="0" t="n">
        <f aca="false">D3482*F3482</f>
        <v>0.0625</v>
      </c>
      <c r="M3482" s="0" t="n">
        <f aca="false">E3482*F3482</f>
        <v>-0.125</v>
      </c>
      <c r="N3482" s="0" t="n">
        <f aca="false">D3482*D3482</f>
        <v>0.25</v>
      </c>
      <c r="O3482" s="0" t="n">
        <f aca="false">E3482*E3482</f>
        <v>1</v>
      </c>
      <c r="P3482" s="0" t="n">
        <f aca="false">F3482*F3482</f>
        <v>0.015625</v>
      </c>
      <c r="Q3482" s="0" t="n">
        <f aca="false">SUMPRODUCT(G3482:P3482,_XtX!$B$71:$K$71)</f>
        <v>44.4502982954546</v>
      </c>
      <c r="R3482" s="0" t="n">
        <f aca="false">SUMPRODUCT(MMULT(G3482:P3482,_XtX!$B$58:$K$67),G3482:P3482)</f>
        <v>0.476322798295455</v>
      </c>
      <c r="S3482" s="0" t="n">
        <f aca="false">04_回帰ANOVA!$K$19*04_回帰ANOVA!$K$14*SQRT(1+R3482)</f>
        <v>1.12968483630128</v>
      </c>
      <c r="T3482" s="0" t="n">
        <f aca="false">Q3482-S3482</f>
        <v>43.3206134591533</v>
      </c>
      <c r="U3482" s="0" t="n">
        <f aca="false">Q3482+S3482</f>
        <v>45.5799831317558</v>
      </c>
      <c r="V3482" s="54" t="b">
        <f aca="false">AND(D3482&gt;=01_因子設定!$L$5-0.000000001,D3482&lt;=01_因子設定!$M$5+0.000000001,E3482&gt;=01_因子設定!$L$6-0.000000001,E3482&lt;=01_因子設定!$M$6+0.000000001,F3482&gt;=01_因子設定!$L$7-0.000000001,F3482&lt;=01_因子設定!$M$7+0.000000001,IF(01_因子設定!$B$20="Box-Behnken",D3482^2+E3482^2+F3482^2&lt;=2+0.000000001,TRUE()))</f>
        <v>1</v>
      </c>
      <c r="W3482" s="55" t="n">
        <f aca="false">IF(V3482,IF(01_因子設定!$B$13="最大化",T3482-01_因子設定!$B$14,IF(01_因子設定!$B$13="最小化",01_因子設定!$B$15-U3482,MIN(T3482-01_因子設定!$B$14,01_因子設定!$B$15-U3482))),-1E+030)</f>
        <v>-5.17938654084673</v>
      </c>
      <c r="X3482" s="55" t="n">
        <f aca="false">IF(V3482,IF(01_因子設定!$B$13="最大化",Q3482,IF(01_因子設定!$B$13="最小化",-Q3482,-ABS(Q3482-01_因子設定!$B$16))),-1E+030)</f>
        <v>44.4502982954546</v>
      </c>
      <c r="Y3482" s="55" t="n">
        <f aca="false">W3482+ROW()*0.000000001</f>
        <v>-5.17938305884673</v>
      </c>
      <c r="Z3482" s="55" t="n">
        <f aca="false">X3482+ROW()*0.000000001</f>
        <v>44.4503017774546</v>
      </c>
    </row>
    <row r="3483" customFormat="false" ht="15" hidden="false" customHeight="false" outlineLevel="0" collapsed="false">
      <c r="A3483" s="0" t="n">
        <v>12</v>
      </c>
      <c r="B3483" s="0" t="n">
        <v>0</v>
      </c>
      <c r="C3483" s="0" t="n">
        <v>10</v>
      </c>
      <c r="D3483" s="0" t="n">
        <f aca="false">-1+A3483*0.125</f>
        <v>0.5</v>
      </c>
      <c r="E3483" s="0" t="n">
        <f aca="false">-1+B3483*0.125</f>
        <v>-1</v>
      </c>
      <c r="F3483" s="0" t="n">
        <f aca="false">-1+C3483*0.125</f>
        <v>0.25</v>
      </c>
      <c r="G3483" s="0" t="n">
        <f aca="false">1</f>
        <v>1</v>
      </c>
      <c r="H3483" s="0" t="n">
        <f aca="false">D3483</f>
        <v>0.5</v>
      </c>
      <c r="I3483" s="0" t="n">
        <f aca="false">E3483</f>
        <v>-1</v>
      </c>
      <c r="J3483" s="0" t="n">
        <f aca="false">F3483</f>
        <v>0.25</v>
      </c>
      <c r="K3483" s="0" t="n">
        <f aca="false">D3483*E3483</f>
        <v>-0.5</v>
      </c>
      <c r="L3483" s="0" t="n">
        <f aca="false">D3483*F3483</f>
        <v>0.125</v>
      </c>
      <c r="M3483" s="0" t="n">
        <f aca="false">E3483*F3483</f>
        <v>-0.25</v>
      </c>
      <c r="N3483" s="0" t="n">
        <f aca="false">D3483*D3483</f>
        <v>0.25</v>
      </c>
      <c r="O3483" s="0" t="n">
        <f aca="false">E3483*E3483</f>
        <v>1</v>
      </c>
      <c r="P3483" s="0" t="n">
        <f aca="false">F3483*F3483</f>
        <v>0.0625</v>
      </c>
      <c r="Q3483" s="0" t="n">
        <f aca="false">SUMPRODUCT(G3483:P3483,_XtX!$B$71:$K$71)</f>
        <v>44.5019886363637</v>
      </c>
      <c r="R3483" s="0" t="n">
        <f aca="false">SUMPRODUCT(MMULT(G3483:P3483,_XtX!$B$58:$K$67),G3483:P3483)</f>
        <v>0.469424715909091</v>
      </c>
      <c r="S3483" s="0" t="n">
        <f aca="false">04_回帰ANOVA!$K$19*04_回帰ANOVA!$K$14*SQRT(1+R3483)</f>
        <v>1.12704253369596</v>
      </c>
      <c r="T3483" s="0" t="n">
        <f aca="false">Q3483-S3483</f>
        <v>43.3749461026677</v>
      </c>
      <c r="U3483" s="0" t="n">
        <f aca="false">Q3483+S3483</f>
        <v>45.6290311700596</v>
      </c>
      <c r="V3483" s="54" t="b">
        <f aca="false">AND(D3483&gt;=01_因子設定!$L$5-0.000000001,D3483&lt;=01_因子設定!$M$5+0.000000001,E3483&gt;=01_因子設定!$L$6-0.000000001,E3483&lt;=01_因子設定!$M$6+0.000000001,F3483&gt;=01_因子設定!$L$7-0.000000001,F3483&lt;=01_因子設定!$M$7+0.000000001,IF(01_因子設定!$B$20="Box-Behnken",D3483^2+E3483^2+F3483^2&lt;=2+0.000000001,TRUE()))</f>
        <v>1</v>
      </c>
      <c r="W3483" s="55" t="n">
        <f aca="false">IF(V3483,IF(01_因子設定!$B$13="最大化",T3483-01_因子設定!$B$14,IF(01_因子設定!$B$13="最小化",01_因子設定!$B$15-U3483,MIN(T3483-01_因子設定!$B$14,01_因子設定!$B$15-U3483))),-1E+030)</f>
        <v>-5.12505389733231</v>
      </c>
      <c r="X3483" s="55" t="n">
        <f aca="false">IF(V3483,IF(01_因子設定!$B$13="最大化",Q3483,IF(01_因子設定!$B$13="最小化",-Q3483,-ABS(Q3483-01_因子設定!$B$16))),-1E+030)</f>
        <v>44.5019886363637</v>
      </c>
      <c r="Y3483" s="55" t="n">
        <f aca="false">W3483+ROW()*0.000000001</f>
        <v>-5.12505041433231</v>
      </c>
      <c r="Z3483" s="55" t="n">
        <f aca="false">X3483+ROW()*0.000000001</f>
        <v>44.5019921193637</v>
      </c>
    </row>
    <row r="3484" customFormat="false" ht="15" hidden="false" customHeight="false" outlineLevel="0" collapsed="false">
      <c r="A3484" s="0" t="n">
        <v>12</v>
      </c>
      <c r="B3484" s="0" t="n">
        <v>0</v>
      </c>
      <c r="C3484" s="0" t="n">
        <v>11</v>
      </c>
      <c r="D3484" s="0" t="n">
        <f aca="false">-1+A3484*0.125</f>
        <v>0.5</v>
      </c>
      <c r="E3484" s="0" t="n">
        <f aca="false">-1+B3484*0.125</f>
        <v>-1</v>
      </c>
      <c r="F3484" s="0" t="n">
        <f aca="false">-1+C3484*0.125</f>
        <v>0.375</v>
      </c>
      <c r="G3484" s="0" t="n">
        <f aca="false">1</f>
        <v>1</v>
      </c>
      <c r="H3484" s="0" t="n">
        <f aca="false">D3484</f>
        <v>0.5</v>
      </c>
      <c r="I3484" s="0" t="n">
        <f aca="false">E3484</f>
        <v>-1</v>
      </c>
      <c r="J3484" s="0" t="n">
        <f aca="false">F3484</f>
        <v>0.375</v>
      </c>
      <c r="K3484" s="0" t="n">
        <f aca="false">D3484*E3484</f>
        <v>-0.5</v>
      </c>
      <c r="L3484" s="0" t="n">
        <f aca="false">D3484*F3484</f>
        <v>0.1875</v>
      </c>
      <c r="M3484" s="0" t="n">
        <f aca="false">E3484*F3484</f>
        <v>-0.375</v>
      </c>
      <c r="N3484" s="0" t="n">
        <f aca="false">D3484*D3484</f>
        <v>0.25</v>
      </c>
      <c r="O3484" s="0" t="n">
        <f aca="false">E3484*E3484</f>
        <v>1</v>
      </c>
      <c r="P3484" s="0" t="n">
        <f aca="false">F3484*F3484</f>
        <v>0.140625</v>
      </c>
      <c r="Q3484" s="0" t="n">
        <f aca="false">SUMPRODUCT(G3484:P3484,_XtX!$B$71:$K$71)</f>
        <v>44.5168892045455</v>
      </c>
      <c r="R3484" s="0" t="n">
        <f aca="false">SUMPRODUCT(MMULT(G3484:P3484,_XtX!$B$58:$K$67),G3484:P3484)</f>
        <v>0.461479048295455</v>
      </c>
      <c r="S3484" s="0" t="n">
        <f aca="false">04_回帰ANOVA!$K$19*04_回帰ANOVA!$K$14*SQRT(1+R3484)</f>
        <v>1.12399125658369</v>
      </c>
      <c r="T3484" s="0" t="n">
        <f aca="false">Q3484-S3484</f>
        <v>43.3928979479618</v>
      </c>
      <c r="U3484" s="0" t="n">
        <f aca="false">Q3484+S3484</f>
        <v>45.6408804611292</v>
      </c>
      <c r="V3484" s="54" t="b">
        <f aca="false">AND(D3484&gt;=01_因子設定!$L$5-0.000000001,D3484&lt;=01_因子設定!$M$5+0.000000001,E3484&gt;=01_因子設定!$L$6-0.000000001,E3484&lt;=01_因子設定!$M$6+0.000000001,F3484&gt;=01_因子設定!$L$7-0.000000001,F3484&lt;=01_因子設定!$M$7+0.000000001,IF(01_因子設定!$B$20="Box-Behnken",D3484^2+E3484^2+F3484^2&lt;=2+0.000000001,TRUE()))</f>
        <v>1</v>
      </c>
      <c r="W3484" s="55" t="n">
        <f aca="false">IF(V3484,IF(01_因子設定!$B$13="最大化",T3484-01_因子設定!$B$14,IF(01_因子設定!$B$13="最小化",01_因子設定!$B$15-U3484,MIN(T3484-01_因子設定!$B$14,01_因子設定!$B$15-U3484))),-1E+030)</f>
        <v>-5.10710205203822</v>
      </c>
      <c r="X3484" s="55" t="n">
        <f aca="false">IF(V3484,IF(01_因子設定!$B$13="最大化",Q3484,IF(01_因子設定!$B$13="最小化",-Q3484,-ABS(Q3484-01_因子設定!$B$16))),-1E+030)</f>
        <v>44.5168892045455</v>
      </c>
      <c r="Y3484" s="55" t="n">
        <f aca="false">W3484+ROW()*0.000000001</f>
        <v>-5.10709856803822</v>
      </c>
      <c r="Z3484" s="55" t="n">
        <f aca="false">X3484+ROW()*0.000000001</f>
        <v>44.5168926885455</v>
      </c>
    </row>
    <row r="3485" customFormat="false" ht="15" hidden="false" customHeight="false" outlineLevel="0" collapsed="false">
      <c r="A3485" s="0" t="n">
        <v>12</v>
      </c>
      <c r="B3485" s="0" t="n">
        <v>0</v>
      </c>
      <c r="C3485" s="0" t="n">
        <v>12</v>
      </c>
      <c r="D3485" s="0" t="n">
        <f aca="false">-1+A3485*0.125</f>
        <v>0.5</v>
      </c>
      <c r="E3485" s="0" t="n">
        <f aca="false">-1+B3485*0.125</f>
        <v>-1</v>
      </c>
      <c r="F3485" s="0" t="n">
        <f aca="false">-1+C3485*0.125</f>
        <v>0.5</v>
      </c>
      <c r="G3485" s="0" t="n">
        <f aca="false">1</f>
        <v>1</v>
      </c>
      <c r="H3485" s="0" t="n">
        <f aca="false">D3485</f>
        <v>0.5</v>
      </c>
      <c r="I3485" s="0" t="n">
        <f aca="false">E3485</f>
        <v>-1</v>
      </c>
      <c r="J3485" s="0" t="n">
        <f aca="false">F3485</f>
        <v>0.5</v>
      </c>
      <c r="K3485" s="0" t="n">
        <f aca="false">D3485*E3485</f>
        <v>-0.5</v>
      </c>
      <c r="L3485" s="0" t="n">
        <f aca="false">D3485*F3485</f>
        <v>0.25</v>
      </c>
      <c r="M3485" s="0" t="n">
        <f aca="false">E3485*F3485</f>
        <v>-0.5</v>
      </c>
      <c r="N3485" s="0" t="n">
        <f aca="false">D3485*D3485</f>
        <v>0.25</v>
      </c>
      <c r="O3485" s="0" t="n">
        <f aca="false">E3485*E3485</f>
        <v>1</v>
      </c>
      <c r="P3485" s="0" t="n">
        <f aca="false">F3485*F3485</f>
        <v>0.25</v>
      </c>
      <c r="Q3485" s="0" t="n">
        <f aca="false">SUMPRODUCT(G3485:P3485,_XtX!$B$71:$K$71)</f>
        <v>44.495</v>
      </c>
      <c r="R3485" s="0" t="n">
        <f aca="false">SUMPRODUCT(MMULT(G3485:P3485,_XtX!$B$58:$K$67),G3485:P3485)</f>
        <v>0.4578125</v>
      </c>
      <c r="S3485" s="0" t="n">
        <f aca="false">04_回帰ANOVA!$K$19*04_回帰ANOVA!$K$14*SQRT(1+R3485)</f>
        <v>1.12258044051089</v>
      </c>
      <c r="T3485" s="0" t="n">
        <f aca="false">Q3485-S3485</f>
        <v>43.3724195594891</v>
      </c>
      <c r="U3485" s="0" t="n">
        <f aca="false">Q3485+S3485</f>
        <v>45.6175804405109</v>
      </c>
      <c r="V3485" s="54" t="b">
        <f aca="false">AND(D3485&gt;=01_因子設定!$L$5-0.000000001,D3485&lt;=01_因子設定!$M$5+0.000000001,E3485&gt;=01_因子設定!$L$6-0.000000001,E3485&lt;=01_因子設定!$M$6+0.000000001,F3485&gt;=01_因子設定!$L$7-0.000000001,F3485&lt;=01_因子設定!$M$7+0.000000001,IF(01_因子設定!$B$20="Box-Behnken",D3485^2+E3485^2+F3485^2&lt;=2+0.000000001,TRUE()))</f>
        <v>1</v>
      </c>
      <c r="W3485" s="55" t="n">
        <f aca="false">IF(V3485,IF(01_因子設定!$B$13="最大化",T3485-01_因子設定!$B$14,IF(01_因子設定!$B$13="最小化",01_因子設定!$B$15-U3485,MIN(T3485-01_因子設定!$B$14,01_因子設定!$B$15-U3485))),-1E+030)</f>
        <v>-5.12758044051088</v>
      </c>
      <c r="X3485" s="55" t="n">
        <f aca="false">IF(V3485,IF(01_因子設定!$B$13="最大化",Q3485,IF(01_因子設定!$B$13="最小化",-Q3485,-ABS(Q3485-01_因子設定!$B$16))),-1E+030)</f>
        <v>44.495</v>
      </c>
      <c r="Y3485" s="55" t="n">
        <f aca="false">W3485+ROW()*0.000000001</f>
        <v>-5.12757695551088</v>
      </c>
      <c r="Z3485" s="55" t="n">
        <f aca="false">X3485+ROW()*0.000000001</f>
        <v>44.495003485</v>
      </c>
    </row>
    <row r="3486" customFormat="false" ht="15" hidden="false" customHeight="false" outlineLevel="0" collapsed="false">
      <c r="A3486" s="0" t="n">
        <v>12</v>
      </c>
      <c r="B3486" s="0" t="n">
        <v>0</v>
      </c>
      <c r="C3486" s="0" t="n">
        <v>13</v>
      </c>
      <c r="D3486" s="0" t="n">
        <f aca="false">-1+A3486*0.125</f>
        <v>0.5</v>
      </c>
      <c r="E3486" s="0" t="n">
        <f aca="false">-1+B3486*0.125</f>
        <v>-1</v>
      </c>
      <c r="F3486" s="0" t="n">
        <f aca="false">-1+C3486*0.125</f>
        <v>0.625</v>
      </c>
      <c r="G3486" s="0" t="n">
        <f aca="false">1</f>
        <v>1</v>
      </c>
      <c r="H3486" s="0" t="n">
        <f aca="false">D3486</f>
        <v>0.5</v>
      </c>
      <c r="I3486" s="0" t="n">
        <f aca="false">E3486</f>
        <v>-1</v>
      </c>
      <c r="J3486" s="0" t="n">
        <f aca="false">F3486</f>
        <v>0.625</v>
      </c>
      <c r="K3486" s="0" t="n">
        <f aca="false">D3486*E3486</f>
        <v>-0.5</v>
      </c>
      <c r="L3486" s="0" t="n">
        <f aca="false">D3486*F3486</f>
        <v>0.3125</v>
      </c>
      <c r="M3486" s="0" t="n">
        <f aca="false">E3486*F3486</f>
        <v>-0.625</v>
      </c>
      <c r="N3486" s="0" t="n">
        <f aca="false">D3486*D3486</f>
        <v>0.25</v>
      </c>
      <c r="O3486" s="0" t="n">
        <f aca="false">E3486*E3486</f>
        <v>1</v>
      </c>
      <c r="P3486" s="0" t="n">
        <f aca="false">F3486*F3486</f>
        <v>0.390625</v>
      </c>
      <c r="Q3486" s="0" t="n">
        <f aca="false">SUMPRODUCT(G3486:P3486,_XtX!$B$71:$K$71)</f>
        <v>44.4363210227273</v>
      </c>
      <c r="R3486" s="0" t="n">
        <f aca="false">SUMPRODUCT(MMULT(G3486:P3486,_XtX!$B$58:$K$67),G3486:P3486)</f>
        <v>0.465882457386364</v>
      </c>
      <c r="S3486" s="0" t="n">
        <f aca="false">04_回帰ANOVA!$K$19*04_回帰ANOVA!$K$14*SQRT(1+R3486)</f>
        <v>1.12568326538173</v>
      </c>
      <c r="T3486" s="0" t="n">
        <f aca="false">Q3486-S3486</f>
        <v>43.3106377573456</v>
      </c>
      <c r="U3486" s="0" t="n">
        <f aca="false">Q3486+S3486</f>
        <v>45.562004288109</v>
      </c>
      <c r="V3486" s="54" t="b">
        <f aca="false">AND(D3486&gt;=01_因子設定!$L$5-0.000000001,D3486&lt;=01_因子設定!$M$5+0.000000001,E3486&gt;=01_因子設定!$L$6-0.000000001,E3486&lt;=01_因子設定!$M$6+0.000000001,F3486&gt;=01_因子設定!$L$7-0.000000001,F3486&lt;=01_因子設定!$M$7+0.000000001,IF(01_因子設定!$B$20="Box-Behnken",D3486^2+E3486^2+F3486^2&lt;=2+0.000000001,TRUE()))</f>
        <v>1</v>
      </c>
      <c r="W3486" s="55" t="n">
        <f aca="false">IF(V3486,IF(01_因子設定!$B$13="最大化",T3486-01_因子設定!$B$14,IF(01_因子設定!$B$13="最小化",01_因子設定!$B$15-U3486,MIN(T3486-01_因子設定!$B$14,01_因子設定!$B$15-U3486))),-1E+030)</f>
        <v>-5.18936224265443</v>
      </c>
      <c r="X3486" s="55" t="n">
        <f aca="false">IF(V3486,IF(01_因子設定!$B$13="最大化",Q3486,IF(01_因子設定!$B$13="最小化",-Q3486,-ABS(Q3486-01_因子設定!$B$16))),-1E+030)</f>
        <v>44.4363210227273</v>
      </c>
      <c r="Y3486" s="55" t="n">
        <f aca="false">W3486+ROW()*0.000000001</f>
        <v>-5.18935875665443</v>
      </c>
      <c r="Z3486" s="55" t="n">
        <f aca="false">X3486+ROW()*0.000000001</f>
        <v>44.4363245087273</v>
      </c>
    </row>
    <row r="3487" customFormat="false" ht="15" hidden="false" customHeight="false" outlineLevel="0" collapsed="false">
      <c r="A3487" s="0" t="n">
        <v>12</v>
      </c>
      <c r="B3487" s="0" t="n">
        <v>0</v>
      </c>
      <c r="C3487" s="0" t="n">
        <v>14</v>
      </c>
      <c r="D3487" s="0" t="n">
        <f aca="false">-1+A3487*0.125</f>
        <v>0.5</v>
      </c>
      <c r="E3487" s="0" t="n">
        <f aca="false">-1+B3487*0.125</f>
        <v>-1</v>
      </c>
      <c r="F3487" s="0" t="n">
        <f aca="false">-1+C3487*0.125</f>
        <v>0.75</v>
      </c>
      <c r="G3487" s="0" t="n">
        <f aca="false">1</f>
        <v>1</v>
      </c>
      <c r="H3487" s="0" t="n">
        <f aca="false">D3487</f>
        <v>0.5</v>
      </c>
      <c r="I3487" s="0" t="n">
        <f aca="false">E3487</f>
        <v>-1</v>
      </c>
      <c r="J3487" s="0" t="n">
        <f aca="false">F3487</f>
        <v>0.75</v>
      </c>
      <c r="K3487" s="0" t="n">
        <f aca="false">D3487*E3487</f>
        <v>-0.5</v>
      </c>
      <c r="L3487" s="0" t="n">
        <f aca="false">D3487*F3487</f>
        <v>0.375</v>
      </c>
      <c r="M3487" s="0" t="n">
        <f aca="false">E3487*F3487</f>
        <v>-0.75</v>
      </c>
      <c r="N3487" s="0" t="n">
        <f aca="false">D3487*D3487</f>
        <v>0.25</v>
      </c>
      <c r="O3487" s="0" t="n">
        <f aca="false">E3487*E3487</f>
        <v>1</v>
      </c>
      <c r="P3487" s="0" t="n">
        <f aca="false">F3487*F3487</f>
        <v>0.5625</v>
      </c>
      <c r="Q3487" s="0" t="n">
        <f aca="false">SUMPRODUCT(G3487:P3487,_XtX!$B$71:$K$71)</f>
        <v>44.3408522727273</v>
      </c>
      <c r="R3487" s="0" t="n">
        <f aca="false">SUMPRODUCT(MMULT(G3487:P3487,_XtX!$B$58:$K$67),G3487:P3487)</f>
        <v>0.495276988636364</v>
      </c>
      <c r="S3487" s="0" t="n">
        <f aca="false">04_回帰ANOVA!$K$19*04_回帰ANOVA!$K$14*SQRT(1+R3487)</f>
        <v>1.13691359828352</v>
      </c>
      <c r="T3487" s="0" t="n">
        <f aca="false">Q3487-S3487</f>
        <v>43.2039386744438</v>
      </c>
      <c r="U3487" s="0" t="n">
        <f aca="false">Q3487+S3487</f>
        <v>45.4777658710108</v>
      </c>
      <c r="V3487" s="54" t="b">
        <f aca="false">AND(D3487&gt;=01_因子設定!$L$5-0.000000001,D3487&lt;=01_因子設定!$M$5+0.000000001,E3487&gt;=01_因子設定!$L$6-0.000000001,E3487&lt;=01_因子設定!$M$6+0.000000001,F3487&gt;=01_因子設定!$L$7-0.000000001,F3487&lt;=01_因子設定!$M$7+0.000000001,IF(01_因子設定!$B$20="Box-Behnken",D3487^2+E3487^2+F3487^2&lt;=2+0.000000001,TRUE()))</f>
        <v>1</v>
      </c>
      <c r="W3487" s="55" t="n">
        <f aca="false">IF(V3487,IF(01_因子設定!$B$13="最大化",T3487-01_因子設定!$B$14,IF(01_因子設定!$B$13="最小化",01_因子設定!$B$15-U3487,MIN(T3487-01_因子設定!$B$14,01_因子設定!$B$15-U3487))),-1E+030)</f>
        <v>-5.29606132555623</v>
      </c>
      <c r="X3487" s="55" t="n">
        <f aca="false">IF(V3487,IF(01_因子設定!$B$13="最大化",Q3487,IF(01_因子設定!$B$13="最小化",-Q3487,-ABS(Q3487-01_因子設定!$B$16))),-1E+030)</f>
        <v>44.3408522727273</v>
      </c>
      <c r="Y3487" s="55" t="n">
        <f aca="false">W3487+ROW()*0.000000001</f>
        <v>-5.29605783855623</v>
      </c>
      <c r="Z3487" s="55" t="n">
        <f aca="false">X3487+ROW()*0.000000001</f>
        <v>44.3408557597273</v>
      </c>
    </row>
    <row r="3488" customFormat="false" ht="15" hidden="false" customHeight="false" outlineLevel="0" collapsed="false">
      <c r="A3488" s="0" t="n">
        <v>12</v>
      </c>
      <c r="B3488" s="0" t="n">
        <v>0</v>
      </c>
      <c r="C3488" s="0" t="n">
        <v>15</v>
      </c>
      <c r="D3488" s="0" t="n">
        <f aca="false">-1+A3488*0.125</f>
        <v>0.5</v>
      </c>
      <c r="E3488" s="0" t="n">
        <f aca="false">-1+B3488*0.125</f>
        <v>-1</v>
      </c>
      <c r="F3488" s="0" t="n">
        <f aca="false">-1+C3488*0.125</f>
        <v>0.875</v>
      </c>
      <c r="G3488" s="0" t="n">
        <f aca="false">1</f>
        <v>1</v>
      </c>
      <c r="H3488" s="0" t="n">
        <f aca="false">D3488</f>
        <v>0.5</v>
      </c>
      <c r="I3488" s="0" t="n">
        <f aca="false">E3488</f>
        <v>-1</v>
      </c>
      <c r="J3488" s="0" t="n">
        <f aca="false">F3488</f>
        <v>0.875</v>
      </c>
      <c r="K3488" s="0" t="n">
        <f aca="false">D3488*E3488</f>
        <v>-0.5</v>
      </c>
      <c r="L3488" s="0" t="n">
        <f aca="false">D3488*F3488</f>
        <v>0.4375</v>
      </c>
      <c r="M3488" s="0" t="n">
        <f aca="false">E3488*F3488</f>
        <v>-0.875</v>
      </c>
      <c r="N3488" s="0" t="n">
        <f aca="false">D3488*D3488</f>
        <v>0.25</v>
      </c>
      <c r="O3488" s="0" t="n">
        <f aca="false">E3488*E3488</f>
        <v>1</v>
      </c>
      <c r="P3488" s="0" t="n">
        <f aca="false">F3488*F3488</f>
        <v>0.765625</v>
      </c>
      <c r="Q3488" s="0" t="n">
        <f aca="false">SUMPRODUCT(G3488:P3488,_XtX!$B$71:$K$71)</f>
        <v>44.20859375</v>
      </c>
      <c r="R3488" s="0" t="n">
        <f aca="false">SUMPRODUCT(MMULT(G3488:P3488,_XtX!$B$58:$K$67),G3488:P3488)</f>
        <v>0.55771484375</v>
      </c>
      <c r="S3488" s="0" t="n">
        <f aca="false">04_回帰ANOVA!$K$19*04_回帰ANOVA!$K$14*SQRT(1+R3488)</f>
        <v>1.16040773556467</v>
      </c>
      <c r="T3488" s="0" t="n">
        <f aca="false">Q3488-S3488</f>
        <v>43.0481860144353</v>
      </c>
      <c r="U3488" s="0" t="n">
        <f aca="false">Q3488+S3488</f>
        <v>45.3690014855647</v>
      </c>
      <c r="V3488" s="54" t="b">
        <f aca="false">AND(D3488&gt;=01_因子設定!$L$5-0.000000001,D3488&lt;=01_因子設定!$M$5+0.000000001,E3488&gt;=01_因子設定!$L$6-0.000000001,E3488&lt;=01_因子設定!$M$6+0.000000001,F3488&gt;=01_因子設定!$L$7-0.000000001,F3488&lt;=01_因子設定!$M$7+0.000000001,IF(01_因子設定!$B$20="Box-Behnken",D3488^2+E3488^2+F3488^2&lt;=2+0.000000001,TRUE()))</f>
        <v>1</v>
      </c>
      <c r="W3488" s="55" t="n">
        <f aca="false">IF(V3488,IF(01_因子設定!$B$13="最大化",T3488-01_因子設定!$B$14,IF(01_因子設定!$B$13="最小化",01_因子設定!$B$15-U3488,MIN(T3488-01_因子設定!$B$14,01_因子設定!$B$15-U3488))),-1E+030)</f>
        <v>-5.45181398556466</v>
      </c>
      <c r="X3488" s="55" t="n">
        <f aca="false">IF(V3488,IF(01_因子設定!$B$13="最大化",Q3488,IF(01_因子設定!$B$13="最小化",-Q3488,-ABS(Q3488-01_因子設定!$B$16))),-1E+030)</f>
        <v>44.20859375</v>
      </c>
      <c r="Y3488" s="55" t="n">
        <f aca="false">W3488+ROW()*0.000000001</f>
        <v>-5.45181049756466</v>
      </c>
      <c r="Z3488" s="55" t="n">
        <f aca="false">X3488+ROW()*0.000000001</f>
        <v>44.208597238</v>
      </c>
    </row>
    <row r="3489" customFormat="false" ht="15" hidden="false" customHeight="false" outlineLevel="0" collapsed="false">
      <c r="A3489" s="0" t="n">
        <v>12</v>
      </c>
      <c r="B3489" s="0" t="n">
        <v>0</v>
      </c>
      <c r="C3489" s="0" t="n">
        <v>16</v>
      </c>
      <c r="D3489" s="0" t="n">
        <f aca="false">-1+A3489*0.125</f>
        <v>0.5</v>
      </c>
      <c r="E3489" s="0" t="n">
        <f aca="false">-1+B3489*0.125</f>
        <v>-1</v>
      </c>
      <c r="F3489" s="0" t="n">
        <f aca="false">-1+C3489*0.125</f>
        <v>1</v>
      </c>
      <c r="G3489" s="0" t="n">
        <f aca="false">1</f>
        <v>1</v>
      </c>
      <c r="H3489" s="0" t="n">
        <f aca="false">D3489</f>
        <v>0.5</v>
      </c>
      <c r="I3489" s="0" t="n">
        <f aca="false">E3489</f>
        <v>-1</v>
      </c>
      <c r="J3489" s="0" t="n">
        <f aca="false">F3489</f>
        <v>1</v>
      </c>
      <c r="K3489" s="0" t="n">
        <f aca="false">D3489*E3489</f>
        <v>-0.5</v>
      </c>
      <c r="L3489" s="0" t="n">
        <f aca="false">D3489*F3489</f>
        <v>0.5</v>
      </c>
      <c r="M3489" s="0" t="n">
        <f aca="false">E3489*F3489</f>
        <v>-1</v>
      </c>
      <c r="N3489" s="0" t="n">
        <f aca="false">D3489*D3489</f>
        <v>0.25</v>
      </c>
      <c r="O3489" s="0" t="n">
        <f aca="false">E3489*E3489</f>
        <v>1</v>
      </c>
      <c r="P3489" s="0" t="n">
        <f aca="false">F3489*F3489</f>
        <v>1</v>
      </c>
      <c r="Q3489" s="0" t="n">
        <f aca="false">SUMPRODUCT(G3489:P3489,_XtX!$B$71:$K$71)</f>
        <v>44.0395454545455</v>
      </c>
      <c r="R3489" s="0" t="n">
        <f aca="false">SUMPRODUCT(MMULT(G3489:P3489,_XtX!$B$58:$K$67),G3489:P3489)</f>
        <v>0.667045454545455</v>
      </c>
      <c r="S3489" s="0" t="n">
        <f aca="false">04_回帰ANOVA!$K$19*04_回帰ANOVA!$K$14*SQRT(1+R3489)</f>
        <v>1.200439720088</v>
      </c>
      <c r="T3489" s="0" t="n">
        <f aca="false">Q3489-S3489</f>
        <v>42.8391057344575</v>
      </c>
      <c r="U3489" s="0" t="n">
        <f aca="false">Q3489+S3489</f>
        <v>45.2399851746335</v>
      </c>
      <c r="V3489" s="54" t="b">
        <f aca="false">AND(D3489&gt;=01_因子設定!$L$5-0.000000001,D3489&lt;=01_因子設定!$M$5+0.000000001,E3489&gt;=01_因子設定!$L$6-0.000000001,E3489&lt;=01_因子設定!$M$6+0.000000001,F3489&gt;=01_因子設定!$L$7-0.000000001,F3489&lt;=01_因子設定!$M$7+0.000000001,IF(01_因子設定!$B$20="Box-Behnken",D3489^2+E3489^2+F3489^2&lt;=2+0.000000001,TRUE()))</f>
        <v>1</v>
      </c>
      <c r="W3489" s="55" t="n">
        <f aca="false">IF(V3489,IF(01_因子設定!$B$13="最大化",T3489-01_因子設定!$B$14,IF(01_因子設定!$B$13="最小化",01_因子設定!$B$15-U3489,MIN(T3489-01_因子設定!$B$14,01_因子設定!$B$15-U3489))),-1E+030)</f>
        <v>-5.66089426554252</v>
      </c>
      <c r="X3489" s="55" t="n">
        <f aca="false">IF(V3489,IF(01_因子設定!$B$13="最大化",Q3489,IF(01_因子設定!$B$13="最小化",-Q3489,-ABS(Q3489-01_因子設定!$B$16))),-1E+030)</f>
        <v>44.0395454545455</v>
      </c>
      <c r="Y3489" s="55" t="n">
        <f aca="false">W3489+ROW()*0.000000001</f>
        <v>-5.66089077654252</v>
      </c>
      <c r="Z3489" s="55" t="n">
        <f aca="false">X3489+ROW()*0.000000001</f>
        <v>44.0395489435455</v>
      </c>
    </row>
    <row r="3490" customFormat="false" ht="15" hidden="false" customHeight="false" outlineLevel="0" collapsed="false">
      <c r="A3490" s="0" t="n">
        <v>12</v>
      </c>
      <c r="B3490" s="0" t="n">
        <v>1</v>
      </c>
      <c r="C3490" s="0" t="n">
        <v>0</v>
      </c>
      <c r="D3490" s="0" t="n">
        <f aca="false">-1+A3490*0.125</f>
        <v>0.5</v>
      </c>
      <c r="E3490" s="0" t="n">
        <f aca="false">-1+B3490*0.125</f>
        <v>-0.875</v>
      </c>
      <c r="F3490" s="0" t="n">
        <f aca="false">-1+C3490*0.125</f>
        <v>-1</v>
      </c>
      <c r="G3490" s="0" t="n">
        <f aca="false">1</f>
        <v>1</v>
      </c>
      <c r="H3490" s="0" t="n">
        <f aca="false">D3490</f>
        <v>0.5</v>
      </c>
      <c r="I3490" s="0" t="n">
        <f aca="false">E3490</f>
        <v>-0.875</v>
      </c>
      <c r="J3490" s="0" t="n">
        <f aca="false">F3490</f>
        <v>-1</v>
      </c>
      <c r="K3490" s="0" t="n">
        <f aca="false">D3490*E3490</f>
        <v>-0.4375</v>
      </c>
      <c r="L3490" s="0" t="n">
        <f aca="false">D3490*F3490</f>
        <v>-0.5</v>
      </c>
      <c r="M3490" s="0" t="n">
        <f aca="false">E3490*F3490</f>
        <v>0.875</v>
      </c>
      <c r="N3490" s="0" t="n">
        <f aca="false">D3490*D3490</f>
        <v>0.25</v>
      </c>
      <c r="O3490" s="0" t="n">
        <f aca="false">E3490*E3490</f>
        <v>0.765625</v>
      </c>
      <c r="P3490" s="0" t="n">
        <f aca="false">F3490*F3490</f>
        <v>1</v>
      </c>
      <c r="Q3490" s="0" t="n">
        <f aca="false">SUMPRODUCT(G3490:P3490,_XtX!$B$71:$K$71)</f>
        <v>43.08375</v>
      </c>
      <c r="R3490" s="0" t="n">
        <f aca="false">SUMPRODUCT(MMULT(G3490:P3490,_XtX!$B$58:$K$67),G3490:P3490)</f>
        <v>0.55771484375</v>
      </c>
      <c r="S3490" s="0" t="n">
        <f aca="false">04_回帰ANOVA!$K$19*04_回帰ANOVA!$K$14*SQRT(1+R3490)</f>
        <v>1.16040773556467</v>
      </c>
      <c r="T3490" s="0" t="n">
        <f aca="false">Q3490-S3490</f>
        <v>41.9233422644354</v>
      </c>
      <c r="U3490" s="0" t="n">
        <f aca="false">Q3490+S3490</f>
        <v>44.2441577355647</v>
      </c>
      <c r="V3490" s="54" t="b">
        <f aca="false">AND(D3490&gt;=01_因子設定!$L$5-0.000000001,D3490&lt;=01_因子設定!$M$5+0.000000001,E3490&gt;=01_因子設定!$L$6-0.000000001,E3490&lt;=01_因子設定!$M$6+0.000000001,F3490&gt;=01_因子設定!$L$7-0.000000001,F3490&lt;=01_因子設定!$M$7+0.000000001,IF(01_因子設定!$B$20="Box-Behnken",D3490^2+E3490^2+F3490^2&lt;=2+0.000000001,TRUE()))</f>
        <v>1</v>
      </c>
      <c r="W3490" s="55" t="n">
        <f aca="false">IF(V3490,IF(01_因子設定!$B$13="最大化",T3490-01_因子設定!$B$14,IF(01_因子設定!$B$13="最小化",01_因子設定!$B$15-U3490,MIN(T3490-01_因子設定!$B$14,01_因子設定!$B$15-U3490))),-1E+030)</f>
        <v>-6.57665773556465</v>
      </c>
      <c r="X3490" s="55" t="n">
        <f aca="false">IF(V3490,IF(01_因子設定!$B$13="最大化",Q3490,IF(01_因子設定!$B$13="最小化",-Q3490,-ABS(Q3490-01_因子設定!$B$16))),-1E+030)</f>
        <v>43.08375</v>
      </c>
      <c r="Y3490" s="55" t="n">
        <f aca="false">W3490+ROW()*0.000000001</f>
        <v>-6.57665424556465</v>
      </c>
      <c r="Z3490" s="55" t="n">
        <f aca="false">X3490+ROW()*0.000000001</f>
        <v>43.08375349</v>
      </c>
    </row>
    <row r="3491" customFormat="false" ht="15" hidden="false" customHeight="false" outlineLevel="0" collapsed="false">
      <c r="A3491" s="0" t="n">
        <v>12</v>
      </c>
      <c r="B3491" s="0" t="n">
        <v>1</v>
      </c>
      <c r="C3491" s="0" t="n">
        <v>1</v>
      </c>
      <c r="D3491" s="0" t="n">
        <f aca="false">-1+A3491*0.125</f>
        <v>0.5</v>
      </c>
      <c r="E3491" s="0" t="n">
        <f aca="false">-1+B3491*0.125</f>
        <v>-0.875</v>
      </c>
      <c r="F3491" s="0" t="n">
        <f aca="false">-1+C3491*0.125</f>
        <v>-0.875</v>
      </c>
      <c r="G3491" s="0" t="n">
        <f aca="false">1</f>
        <v>1</v>
      </c>
      <c r="H3491" s="0" t="n">
        <f aca="false">D3491</f>
        <v>0.5</v>
      </c>
      <c r="I3491" s="0" t="n">
        <f aca="false">E3491</f>
        <v>-0.875</v>
      </c>
      <c r="J3491" s="0" t="n">
        <f aca="false">F3491</f>
        <v>-0.875</v>
      </c>
      <c r="K3491" s="0" t="n">
        <f aca="false">D3491*E3491</f>
        <v>-0.4375</v>
      </c>
      <c r="L3491" s="0" t="n">
        <f aca="false">D3491*F3491</f>
        <v>-0.4375</v>
      </c>
      <c r="M3491" s="0" t="n">
        <f aca="false">E3491*F3491</f>
        <v>0.765625</v>
      </c>
      <c r="N3491" s="0" t="n">
        <f aca="false">D3491*D3491</f>
        <v>0.25</v>
      </c>
      <c r="O3491" s="0" t="n">
        <f aca="false">E3491*E3491</f>
        <v>0.765625</v>
      </c>
      <c r="P3491" s="0" t="n">
        <f aca="false">F3491*F3491</f>
        <v>0.765625</v>
      </c>
      <c r="Q3491" s="0" t="n">
        <f aca="false">SUMPRODUCT(G3491:P3491,_XtX!$B$71:$K$71)</f>
        <v>43.4735795454546</v>
      </c>
      <c r="R3491" s="0" t="n">
        <f aca="false">SUMPRODUCT(MMULT(G3491:P3491,_XtX!$B$58:$K$67),G3491:P3491)</f>
        <v>0.44026933149858</v>
      </c>
      <c r="S3491" s="0" t="n">
        <f aca="false">04_回帰ANOVA!$K$19*04_回帰ANOVA!$K$14*SQRT(1+R3491)</f>
        <v>1.11580548667718</v>
      </c>
      <c r="T3491" s="0" t="n">
        <f aca="false">Q3491-S3491</f>
        <v>42.3577740587774</v>
      </c>
      <c r="U3491" s="0" t="n">
        <f aca="false">Q3491+S3491</f>
        <v>44.5893850321318</v>
      </c>
      <c r="V3491" s="54" t="b">
        <f aca="false">AND(D3491&gt;=01_因子設定!$L$5-0.000000001,D3491&lt;=01_因子設定!$M$5+0.000000001,E3491&gt;=01_因子設定!$L$6-0.000000001,E3491&lt;=01_因子設定!$M$6+0.000000001,F3491&gt;=01_因子設定!$L$7-0.000000001,F3491&lt;=01_因子設定!$M$7+0.000000001,IF(01_因子設定!$B$20="Box-Behnken",D3491^2+E3491^2+F3491^2&lt;=2+0.000000001,TRUE()))</f>
        <v>1</v>
      </c>
      <c r="W3491" s="55" t="n">
        <f aca="false">IF(V3491,IF(01_因子設定!$B$13="最大化",T3491-01_因子設定!$B$14,IF(01_因子設定!$B$13="最小化",01_因子設定!$B$15-U3491,MIN(T3491-01_因子設定!$B$14,01_因子設定!$B$15-U3491))),-1E+030)</f>
        <v>-6.14222594122261</v>
      </c>
      <c r="X3491" s="55" t="n">
        <f aca="false">IF(V3491,IF(01_因子設定!$B$13="最大化",Q3491,IF(01_因子設定!$B$13="最小化",-Q3491,-ABS(Q3491-01_因子設定!$B$16))),-1E+030)</f>
        <v>43.4735795454546</v>
      </c>
      <c r="Y3491" s="55" t="n">
        <f aca="false">W3491+ROW()*0.000000001</f>
        <v>-6.14222245022261</v>
      </c>
      <c r="Z3491" s="55" t="n">
        <f aca="false">X3491+ROW()*0.000000001</f>
        <v>43.4735830364546</v>
      </c>
    </row>
    <row r="3492" customFormat="false" ht="15" hidden="false" customHeight="false" outlineLevel="0" collapsed="false">
      <c r="A3492" s="0" t="n">
        <v>12</v>
      </c>
      <c r="B3492" s="0" t="n">
        <v>1</v>
      </c>
      <c r="C3492" s="0" t="n">
        <v>2</v>
      </c>
      <c r="D3492" s="0" t="n">
        <f aca="false">-1+A3492*0.125</f>
        <v>0.5</v>
      </c>
      <c r="E3492" s="0" t="n">
        <f aca="false">-1+B3492*0.125</f>
        <v>-0.875</v>
      </c>
      <c r="F3492" s="0" t="n">
        <f aca="false">-1+C3492*0.125</f>
        <v>-0.75</v>
      </c>
      <c r="G3492" s="0" t="n">
        <f aca="false">1</f>
        <v>1</v>
      </c>
      <c r="H3492" s="0" t="n">
        <f aca="false">D3492</f>
        <v>0.5</v>
      </c>
      <c r="I3492" s="0" t="n">
        <f aca="false">E3492</f>
        <v>-0.875</v>
      </c>
      <c r="J3492" s="0" t="n">
        <f aca="false">F3492</f>
        <v>-0.75</v>
      </c>
      <c r="K3492" s="0" t="n">
        <f aca="false">D3492*E3492</f>
        <v>-0.4375</v>
      </c>
      <c r="L3492" s="0" t="n">
        <f aca="false">D3492*F3492</f>
        <v>-0.375</v>
      </c>
      <c r="M3492" s="0" t="n">
        <f aca="false">E3492*F3492</f>
        <v>0.65625</v>
      </c>
      <c r="N3492" s="0" t="n">
        <f aca="false">D3492*D3492</f>
        <v>0.25</v>
      </c>
      <c r="O3492" s="0" t="n">
        <f aca="false">E3492*E3492</f>
        <v>0.765625</v>
      </c>
      <c r="P3492" s="0" t="n">
        <f aca="false">F3492*F3492</f>
        <v>0.5625</v>
      </c>
      <c r="Q3492" s="0" t="n">
        <f aca="false">SUMPRODUCT(G3492:P3492,_XtX!$B$71:$K$71)</f>
        <v>43.8266193181818</v>
      </c>
      <c r="R3492" s="0" t="n">
        <f aca="false">SUMPRODUCT(MMULT(G3492:P3492,_XtX!$B$58:$K$67),G3492:P3492)</f>
        <v>0.370798561789773</v>
      </c>
      <c r="S3492" s="0" t="n">
        <f aca="false">04_回帰ANOVA!$K$19*04_回帰ANOVA!$K$14*SQRT(1+R3492)</f>
        <v>1.08856271788237</v>
      </c>
      <c r="T3492" s="0" t="n">
        <f aca="false">Q3492-S3492</f>
        <v>42.7380566002995</v>
      </c>
      <c r="U3492" s="0" t="n">
        <f aca="false">Q3492+S3492</f>
        <v>44.9151820360642</v>
      </c>
      <c r="V3492" s="54" t="b">
        <f aca="false">AND(D3492&gt;=01_因子設定!$L$5-0.000000001,D3492&lt;=01_因子設定!$M$5+0.000000001,E3492&gt;=01_因子設定!$L$6-0.000000001,E3492&lt;=01_因子設定!$M$6+0.000000001,F3492&gt;=01_因子設定!$L$7-0.000000001,F3492&lt;=01_因子設定!$M$7+0.000000001,IF(01_因子設定!$B$20="Box-Behnken",D3492^2+E3492^2+F3492^2&lt;=2+0.000000001,TRUE()))</f>
        <v>1</v>
      </c>
      <c r="W3492" s="55" t="n">
        <f aca="false">IF(V3492,IF(01_因子設定!$B$13="最大化",T3492-01_因子設定!$B$14,IF(01_因子設定!$B$13="最小化",01_因子設定!$B$15-U3492,MIN(T3492-01_因子設定!$B$14,01_因子設定!$B$15-U3492))),-1E+030)</f>
        <v>-5.76194339970054</v>
      </c>
      <c r="X3492" s="55" t="n">
        <f aca="false">IF(V3492,IF(01_因子設定!$B$13="最大化",Q3492,IF(01_因子設定!$B$13="最小化",-Q3492,-ABS(Q3492-01_因子設定!$B$16))),-1E+030)</f>
        <v>43.8266193181818</v>
      </c>
      <c r="Y3492" s="55" t="n">
        <f aca="false">W3492+ROW()*0.000000001</f>
        <v>-5.76193990770054</v>
      </c>
      <c r="Z3492" s="55" t="n">
        <f aca="false">X3492+ROW()*0.000000001</f>
        <v>43.8266228101818</v>
      </c>
    </row>
    <row r="3493" customFormat="false" ht="15" hidden="false" customHeight="false" outlineLevel="0" collapsed="false">
      <c r="A3493" s="0" t="n">
        <v>12</v>
      </c>
      <c r="B3493" s="0" t="n">
        <v>1</v>
      </c>
      <c r="C3493" s="0" t="n">
        <v>3</v>
      </c>
      <c r="D3493" s="0" t="n">
        <f aca="false">-1+A3493*0.125</f>
        <v>0.5</v>
      </c>
      <c r="E3493" s="0" t="n">
        <f aca="false">-1+B3493*0.125</f>
        <v>-0.875</v>
      </c>
      <c r="F3493" s="0" t="n">
        <f aca="false">-1+C3493*0.125</f>
        <v>-0.625</v>
      </c>
      <c r="G3493" s="0" t="n">
        <f aca="false">1</f>
        <v>1</v>
      </c>
      <c r="H3493" s="0" t="n">
        <f aca="false">D3493</f>
        <v>0.5</v>
      </c>
      <c r="I3493" s="0" t="n">
        <f aca="false">E3493</f>
        <v>-0.875</v>
      </c>
      <c r="J3493" s="0" t="n">
        <f aca="false">F3493</f>
        <v>-0.625</v>
      </c>
      <c r="K3493" s="0" t="n">
        <f aca="false">D3493*E3493</f>
        <v>-0.4375</v>
      </c>
      <c r="L3493" s="0" t="n">
        <f aca="false">D3493*F3493</f>
        <v>-0.3125</v>
      </c>
      <c r="M3493" s="0" t="n">
        <f aca="false">E3493*F3493</f>
        <v>0.546875</v>
      </c>
      <c r="N3493" s="0" t="n">
        <f aca="false">D3493*D3493</f>
        <v>0.25</v>
      </c>
      <c r="O3493" s="0" t="n">
        <f aca="false">E3493*E3493</f>
        <v>0.765625</v>
      </c>
      <c r="P3493" s="0" t="n">
        <f aca="false">F3493*F3493</f>
        <v>0.390625</v>
      </c>
      <c r="Q3493" s="0" t="n">
        <f aca="false">SUMPRODUCT(G3493:P3493,_XtX!$B$71:$K$71)</f>
        <v>44.1428693181818</v>
      </c>
      <c r="R3493" s="0" t="n">
        <f aca="false">SUMPRODUCT(MMULT(G3493:P3493,_XtX!$B$58:$K$67),G3493:P3493)</f>
        <v>0.335453102805398</v>
      </c>
      <c r="S3493" s="0" t="n">
        <f aca="false">04_回帰ANOVA!$K$19*04_回帰ANOVA!$K$14*SQRT(1+R3493)</f>
        <v>1.07443700305628</v>
      </c>
      <c r="T3493" s="0" t="n">
        <f aca="false">Q3493-S3493</f>
        <v>43.0684323151256</v>
      </c>
      <c r="U3493" s="0" t="n">
        <f aca="false">Q3493+S3493</f>
        <v>45.2173063212381</v>
      </c>
      <c r="V3493" s="54" t="b">
        <f aca="false">AND(D3493&gt;=01_因子設定!$L$5-0.000000001,D3493&lt;=01_因子設定!$M$5+0.000000001,E3493&gt;=01_因子設定!$L$6-0.000000001,E3493&lt;=01_因子設定!$M$6+0.000000001,F3493&gt;=01_因子設定!$L$7-0.000000001,F3493&lt;=01_因子設定!$M$7+0.000000001,IF(01_因子設定!$B$20="Box-Behnken",D3493^2+E3493^2+F3493^2&lt;=2+0.000000001,TRUE()))</f>
        <v>1</v>
      </c>
      <c r="W3493" s="55" t="n">
        <f aca="false">IF(V3493,IF(01_因子設定!$B$13="最大化",T3493-01_因子設定!$B$14,IF(01_因子設定!$B$13="最小化",01_因子設定!$B$15-U3493,MIN(T3493-01_因子設定!$B$14,01_因子設定!$B$15-U3493))),-1E+030)</f>
        <v>-5.43156768487444</v>
      </c>
      <c r="X3493" s="55" t="n">
        <f aca="false">IF(V3493,IF(01_因子設定!$B$13="最大化",Q3493,IF(01_因子設定!$B$13="最小化",-Q3493,-ABS(Q3493-01_因子設定!$B$16))),-1E+030)</f>
        <v>44.1428693181818</v>
      </c>
      <c r="Y3493" s="55" t="n">
        <f aca="false">W3493+ROW()*0.000000001</f>
        <v>-5.43156419187444</v>
      </c>
      <c r="Z3493" s="55" t="n">
        <f aca="false">X3493+ROW()*0.000000001</f>
        <v>44.1428728111818</v>
      </c>
    </row>
    <row r="3494" customFormat="false" ht="15" hidden="false" customHeight="false" outlineLevel="0" collapsed="false">
      <c r="A3494" s="0" t="n">
        <v>12</v>
      </c>
      <c r="B3494" s="0" t="n">
        <v>1</v>
      </c>
      <c r="C3494" s="0" t="n">
        <v>4</v>
      </c>
      <c r="D3494" s="0" t="n">
        <f aca="false">-1+A3494*0.125</f>
        <v>0.5</v>
      </c>
      <c r="E3494" s="0" t="n">
        <f aca="false">-1+B3494*0.125</f>
        <v>-0.875</v>
      </c>
      <c r="F3494" s="0" t="n">
        <f aca="false">-1+C3494*0.125</f>
        <v>-0.5</v>
      </c>
      <c r="G3494" s="0" t="n">
        <f aca="false">1</f>
        <v>1</v>
      </c>
      <c r="H3494" s="0" t="n">
        <f aca="false">D3494</f>
        <v>0.5</v>
      </c>
      <c r="I3494" s="0" t="n">
        <f aca="false">E3494</f>
        <v>-0.875</v>
      </c>
      <c r="J3494" s="0" t="n">
        <f aca="false">F3494</f>
        <v>-0.5</v>
      </c>
      <c r="K3494" s="0" t="n">
        <f aca="false">D3494*E3494</f>
        <v>-0.4375</v>
      </c>
      <c r="L3494" s="0" t="n">
        <f aca="false">D3494*F3494</f>
        <v>-0.25</v>
      </c>
      <c r="M3494" s="0" t="n">
        <f aca="false">E3494*F3494</f>
        <v>0.4375</v>
      </c>
      <c r="N3494" s="0" t="n">
        <f aca="false">D3494*D3494</f>
        <v>0.25</v>
      </c>
      <c r="O3494" s="0" t="n">
        <f aca="false">E3494*E3494</f>
        <v>0.765625</v>
      </c>
      <c r="P3494" s="0" t="n">
        <f aca="false">F3494*F3494</f>
        <v>0.25</v>
      </c>
      <c r="Q3494" s="0" t="n">
        <f aca="false">SUMPRODUCT(G3494:P3494,_XtX!$B$71:$K$71)</f>
        <v>44.4223295454546</v>
      </c>
      <c r="R3494" s="0" t="n">
        <f aca="false">SUMPRODUCT(MMULT(G3494:P3494,_XtX!$B$58:$K$67),G3494:P3494)</f>
        <v>0.322514204545455</v>
      </c>
      <c r="S3494" s="0" t="n">
        <f aca="false">04_回帰ANOVA!$K$19*04_回帰ANOVA!$K$14*SQRT(1+R3494)</f>
        <v>1.0692193475064</v>
      </c>
      <c r="T3494" s="0" t="n">
        <f aca="false">Q3494-S3494</f>
        <v>43.3531101979482</v>
      </c>
      <c r="U3494" s="0" t="n">
        <f aca="false">Q3494+S3494</f>
        <v>45.491548892961</v>
      </c>
      <c r="V3494" s="54" t="b">
        <f aca="false">AND(D3494&gt;=01_因子設定!$L$5-0.000000001,D3494&lt;=01_因子設定!$M$5+0.000000001,E3494&gt;=01_因子設定!$L$6-0.000000001,E3494&lt;=01_因子設定!$M$6+0.000000001,F3494&gt;=01_因子設定!$L$7-0.000000001,F3494&lt;=01_因子設定!$M$7+0.000000001,IF(01_因子設定!$B$20="Box-Behnken",D3494^2+E3494^2+F3494^2&lt;=2+0.000000001,TRUE()))</f>
        <v>1</v>
      </c>
      <c r="W3494" s="55" t="n">
        <f aca="false">IF(V3494,IF(01_因子設定!$B$13="最大化",T3494-01_因子設定!$B$14,IF(01_因子設定!$B$13="最小化",01_因子設定!$B$15-U3494,MIN(T3494-01_因子設定!$B$14,01_因子設定!$B$15-U3494))),-1E+030)</f>
        <v>-5.14688980205185</v>
      </c>
      <c r="X3494" s="55" t="n">
        <f aca="false">IF(V3494,IF(01_因子設定!$B$13="最大化",Q3494,IF(01_因子設定!$B$13="最小化",-Q3494,-ABS(Q3494-01_因子設定!$B$16))),-1E+030)</f>
        <v>44.4223295454546</v>
      </c>
      <c r="Y3494" s="55" t="n">
        <f aca="false">W3494+ROW()*0.000000001</f>
        <v>-5.14688630805185</v>
      </c>
      <c r="Z3494" s="55" t="n">
        <f aca="false">X3494+ROW()*0.000000001</f>
        <v>44.4223330394546</v>
      </c>
    </row>
    <row r="3495" customFormat="false" ht="15" hidden="false" customHeight="false" outlineLevel="0" collapsed="false">
      <c r="A3495" s="0" t="n">
        <v>12</v>
      </c>
      <c r="B3495" s="0" t="n">
        <v>1</v>
      </c>
      <c r="C3495" s="0" t="n">
        <v>5</v>
      </c>
      <c r="D3495" s="0" t="n">
        <f aca="false">-1+A3495*0.125</f>
        <v>0.5</v>
      </c>
      <c r="E3495" s="0" t="n">
        <f aca="false">-1+B3495*0.125</f>
        <v>-0.875</v>
      </c>
      <c r="F3495" s="0" t="n">
        <f aca="false">-1+C3495*0.125</f>
        <v>-0.375</v>
      </c>
      <c r="G3495" s="0" t="n">
        <f aca="false">1</f>
        <v>1</v>
      </c>
      <c r="H3495" s="0" t="n">
        <f aca="false">D3495</f>
        <v>0.5</v>
      </c>
      <c r="I3495" s="0" t="n">
        <f aca="false">E3495</f>
        <v>-0.875</v>
      </c>
      <c r="J3495" s="0" t="n">
        <f aca="false">F3495</f>
        <v>-0.375</v>
      </c>
      <c r="K3495" s="0" t="n">
        <f aca="false">D3495*E3495</f>
        <v>-0.4375</v>
      </c>
      <c r="L3495" s="0" t="n">
        <f aca="false">D3495*F3495</f>
        <v>-0.1875</v>
      </c>
      <c r="M3495" s="0" t="n">
        <f aca="false">E3495*F3495</f>
        <v>0.328125</v>
      </c>
      <c r="N3495" s="0" t="n">
        <f aca="false">D3495*D3495</f>
        <v>0.25</v>
      </c>
      <c r="O3495" s="0" t="n">
        <f aca="false">E3495*E3495</f>
        <v>0.765625</v>
      </c>
      <c r="P3495" s="0" t="n">
        <f aca="false">F3495*F3495</f>
        <v>0.140625</v>
      </c>
      <c r="Q3495" s="0" t="n">
        <f aca="false">SUMPRODUCT(G3495:P3495,_XtX!$B$71:$K$71)</f>
        <v>44.665</v>
      </c>
      <c r="R3495" s="0" t="n">
        <f aca="false">SUMPRODUCT(MMULT(G3495:P3495,_XtX!$B$58:$K$67),G3495:P3495)</f>
        <v>0.322393798828125</v>
      </c>
      <c r="S3495" s="0" t="n">
        <f aca="false">04_回帰ANOVA!$K$19*04_回帰ANOVA!$K$14*SQRT(1+R3495)</f>
        <v>1.06917067390712</v>
      </c>
      <c r="T3495" s="0" t="n">
        <f aca="false">Q3495-S3495</f>
        <v>43.5958293260929</v>
      </c>
      <c r="U3495" s="0" t="n">
        <f aca="false">Q3495+S3495</f>
        <v>45.7341706739071</v>
      </c>
      <c r="V3495" s="54" t="b">
        <f aca="false">AND(D3495&gt;=01_因子設定!$L$5-0.000000001,D3495&lt;=01_因子設定!$M$5+0.000000001,E3495&gt;=01_因子設定!$L$6-0.000000001,E3495&lt;=01_因子設定!$M$6+0.000000001,F3495&gt;=01_因子設定!$L$7-0.000000001,F3495&lt;=01_因子設定!$M$7+0.000000001,IF(01_因子設定!$B$20="Box-Behnken",D3495^2+E3495^2+F3495^2&lt;=2+0.000000001,TRUE()))</f>
        <v>1</v>
      </c>
      <c r="W3495" s="55" t="n">
        <f aca="false">IF(V3495,IF(01_因子設定!$B$13="最大化",T3495-01_因子設定!$B$14,IF(01_因子設定!$B$13="最小化",01_因子設定!$B$15-U3495,MIN(T3495-01_因子設定!$B$14,01_因子設定!$B$15-U3495))),-1E+030)</f>
        <v>-4.9041706739071</v>
      </c>
      <c r="X3495" s="55" t="n">
        <f aca="false">IF(V3495,IF(01_因子設定!$B$13="最大化",Q3495,IF(01_因子設定!$B$13="最小化",-Q3495,-ABS(Q3495-01_因子設定!$B$16))),-1E+030)</f>
        <v>44.665</v>
      </c>
      <c r="Y3495" s="55" t="n">
        <f aca="false">W3495+ROW()*0.000000001</f>
        <v>-4.9041671789071</v>
      </c>
      <c r="Z3495" s="55" t="n">
        <f aca="false">X3495+ROW()*0.000000001</f>
        <v>44.665003495</v>
      </c>
    </row>
    <row r="3496" customFormat="false" ht="15" hidden="false" customHeight="false" outlineLevel="0" collapsed="false">
      <c r="A3496" s="0" t="n">
        <v>12</v>
      </c>
      <c r="B3496" s="0" t="n">
        <v>1</v>
      </c>
      <c r="C3496" s="0" t="n">
        <v>6</v>
      </c>
      <c r="D3496" s="0" t="n">
        <f aca="false">-1+A3496*0.125</f>
        <v>0.5</v>
      </c>
      <c r="E3496" s="0" t="n">
        <f aca="false">-1+B3496*0.125</f>
        <v>-0.875</v>
      </c>
      <c r="F3496" s="0" t="n">
        <f aca="false">-1+C3496*0.125</f>
        <v>-0.25</v>
      </c>
      <c r="G3496" s="0" t="n">
        <f aca="false">1</f>
        <v>1</v>
      </c>
      <c r="H3496" s="0" t="n">
        <f aca="false">D3496</f>
        <v>0.5</v>
      </c>
      <c r="I3496" s="0" t="n">
        <f aca="false">E3496</f>
        <v>-0.875</v>
      </c>
      <c r="J3496" s="0" t="n">
        <f aca="false">F3496</f>
        <v>-0.25</v>
      </c>
      <c r="K3496" s="0" t="n">
        <f aca="false">D3496*E3496</f>
        <v>-0.4375</v>
      </c>
      <c r="L3496" s="0" t="n">
        <f aca="false">D3496*F3496</f>
        <v>-0.125</v>
      </c>
      <c r="M3496" s="0" t="n">
        <f aca="false">E3496*F3496</f>
        <v>0.21875</v>
      </c>
      <c r="N3496" s="0" t="n">
        <f aca="false">D3496*D3496</f>
        <v>0.25</v>
      </c>
      <c r="O3496" s="0" t="n">
        <f aca="false">E3496*E3496</f>
        <v>0.765625</v>
      </c>
      <c r="P3496" s="0" t="n">
        <f aca="false">F3496*F3496</f>
        <v>0.0625</v>
      </c>
      <c r="Q3496" s="0" t="n">
        <f aca="false">SUMPRODUCT(G3496:P3496,_XtX!$B$71:$K$71)</f>
        <v>44.8708806818182</v>
      </c>
      <c r="R3496" s="0" t="n">
        <f aca="false">SUMPRODUCT(MMULT(G3496:P3496,_XtX!$B$58:$K$67),G3496:P3496)</f>
        <v>0.327634499289773</v>
      </c>
      <c r="S3496" s="0" t="n">
        <f aca="false">04_回帰ANOVA!$K$19*04_回帰ANOVA!$K$14*SQRT(1+R3496)</f>
        <v>1.07128716250217</v>
      </c>
      <c r="T3496" s="0" t="n">
        <f aca="false">Q3496-S3496</f>
        <v>43.799593519316</v>
      </c>
      <c r="U3496" s="0" t="n">
        <f aca="false">Q3496+S3496</f>
        <v>45.9421678443204</v>
      </c>
      <c r="V3496" s="54" t="b">
        <f aca="false">AND(D3496&gt;=01_因子設定!$L$5-0.000000001,D3496&lt;=01_因子設定!$M$5+0.000000001,E3496&gt;=01_因子設定!$L$6-0.000000001,E3496&lt;=01_因子設定!$M$6+0.000000001,F3496&gt;=01_因子設定!$L$7-0.000000001,F3496&lt;=01_因子設定!$M$7+0.000000001,IF(01_因子設定!$B$20="Box-Behnken",D3496^2+E3496^2+F3496^2&lt;=2+0.000000001,TRUE()))</f>
        <v>1</v>
      </c>
      <c r="W3496" s="55" t="n">
        <f aca="false">IF(V3496,IF(01_因子設定!$B$13="最大化",T3496-01_因子設定!$B$14,IF(01_因子設定!$B$13="最小化",01_因子設定!$B$15-U3496,MIN(T3496-01_因子設定!$B$14,01_因子設定!$B$15-U3496))),-1E+030)</f>
        <v>-4.70040648068398</v>
      </c>
      <c r="X3496" s="55" t="n">
        <f aca="false">IF(V3496,IF(01_因子設定!$B$13="最大化",Q3496,IF(01_因子設定!$B$13="最小化",-Q3496,-ABS(Q3496-01_因子設定!$B$16))),-1E+030)</f>
        <v>44.8708806818182</v>
      </c>
      <c r="Y3496" s="55" t="n">
        <f aca="false">W3496+ROW()*0.000000001</f>
        <v>-4.70040298468398</v>
      </c>
      <c r="Z3496" s="55" t="n">
        <f aca="false">X3496+ROW()*0.000000001</f>
        <v>44.8708841778182</v>
      </c>
    </row>
    <row r="3497" customFormat="false" ht="15" hidden="false" customHeight="false" outlineLevel="0" collapsed="false">
      <c r="A3497" s="0" t="n">
        <v>12</v>
      </c>
      <c r="B3497" s="0" t="n">
        <v>1</v>
      </c>
      <c r="C3497" s="0" t="n">
        <v>7</v>
      </c>
      <c r="D3497" s="0" t="n">
        <f aca="false">-1+A3497*0.125</f>
        <v>0.5</v>
      </c>
      <c r="E3497" s="0" t="n">
        <f aca="false">-1+B3497*0.125</f>
        <v>-0.875</v>
      </c>
      <c r="F3497" s="0" t="n">
        <f aca="false">-1+C3497*0.125</f>
        <v>-0.125</v>
      </c>
      <c r="G3497" s="0" t="n">
        <f aca="false">1</f>
        <v>1</v>
      </c>
      <c r="H3497" s="0" t="n">
        <f aca="false">D3497</f>
        <v>0.5</v>
      </c>
      <c r="I3497" s="0" t="n">
        <f aca="false">E3497</f>
        <v>-0.875</v>
      </c>
      <c r="J3497" s="0" t="n">
        <f aca="false">F3497</f>
        <v>-0.125</v>
      </c>
      <c r="K3497" s="0" t="n">
        <f aca="false">D3497*E3497</f>
        <v>-0.4375</v>
      </c>
      <c r="L3497" s="0" t="n">
        <f aca="false">D3497*F3497</f>
        <v>-0.0625</v>
      </c>
      <c r="M3497" s="0" t="n">
        <f aca="false">E3497*F3497</f>
        <v>0.109375</v>
      </c>
      <c r="N3497" s="0" t="n">
        <f aca="false">D3497*D3497</f>
        <v>0.25</v>
      </c>
      <c r="O3497" s="0" t="n">
        <f aca="false">E3497*E3497</f>
        <v>0.765625</v>
      </c>
      <c r="P3497" s="0" t="n">
        <f aca="false">F3497*F3497</f>
        <v>0.015625</v>
      </c>
      <c r="Q3497" s="0" t="n">
        <f aca="false">SUMPRODUCT(G3497:P3497,_XtX!$B$71:$K$71)</f>
        <v>45.0399715909091</v>
      </c>
      <c r="R3497" s="0" t="n">
        <f aca="false">SUMPRODUCT(MMULT(G3497:P3497,_XtX!$B$58:$K$67),G3497:P3497)</f>
        <v>0.332909601384943</v>
      </c>
      <c r="S3497" s="0" t="n">
        <f aca="false">04_回帰ANOVA!$K$19*04_回帰ANOVA!$K$14*SQRT(1+R3497)</f>
        <v>1.07341333007404</v>
      </c>
      <c r="T3497" s="0" t="n">
        <f aca="false">Q3497-S3497</f>
        <v>43.9665582608351</v>
      </c>
      <c r="U3497" s="0" t="n">
        <f aca="false">Q3497+S3497</f>
        <v>46.1133849209831</v>
      </c>
      <c r="V3497" s="54" t="b">
        <f aca="false">AND(D3497&gt;=01_因子設定!$L$5-0.000000001,D3497&lt;=01_因子設定!$M$5+0.000000001,E3497&gt;=01_因子設定!$L$6-0.000000001,E3497&lt;=01_因子設定!$M$6+0.000000001,F3497&gt;=01_因子設定!$L$7-0.000000001,F3497&lt;=01_因子設定!$M$7+0.000000001,IF(01_因子設定!$B$20="Box-Behnken",D3497^2+E3497^2+F3497^2&lt;=2+0.000000001,TRUE()))</f>
        <v>1</v>
      </c>
      <c r="W3497" s="55" t="n">
        <f aca="false">IF(V3497,IF(01_因子設定!$B$13="最大化",T3497-01_因子設定!$B$14,IF(01_因子設定!$B$13="最小化",01_因子設定!$B$15-U3497,MIN(T3497-01_因子設定!$B$14,01_因子設定!$B$15-U3497))),-1E+030)</f>
        <v>-4.53344173916494</v>
      </c>
      <c r="X3497" s="55" t="n">
        <f aca="false">IF(V3497,IF(01_因子設定!$B$13="最大化",Q3497,IF(01_因子設定!$B$13="最小化",-Q3497,-ABS(Q3497-01_因子設定!$B$16))),-1E+030)</f>
        <v>45.0399715909091</v>
      </c>
      <c r="Y3497" s="55" t="n">
        <f aca="false">W3497+ROW()*0.000000001</f>
        <v>-4.53343824216494</v>
      </c>
      <c r="Z3497" s="55" t="n">
        <f aca="false">X3497+ROW()*0.000000001</f>
        <v>45.0399750879091</v>
      </c>
    </row>
    <row r="3498" customFormat="false" ht="15" hidden="false" customHeight="false" outlineLevel="0" collapsed="false">
      <c r="A3498" s="0" t="n">
        <v>12</v>
      </c>
      <c r="B3498" s="0" t="n">
        <v>1</v>
      </c>
      <c r="C3498" s="0" t="n">
        <v>8</v>
      </c>
      <c r="D3498" s="0" t="n">
        <f aca="false">-1+A3498*0.125</f>
        <v>0.5</v>
      </c>
      <c r="E3498" s="0" t="n">
        <f aca="false">-1+B3498*0.125</f>
        <v>-0.875</v>
      </c>
      <c r="F3498" s="0" t="n">
        <f aca="false">-1+C3498*0.125</f>
        <v>0</v>
      </c>
      <c r="G3498" s="0" t="n">
        <f aca="false">1</f>
        <v>1</v>
      </c>
      <c r="H3498" s="0" t="n">
        <f aca="false">D3498</f>
        <v>0.5</v>
      </c>
      <c r="I3498" s="0" t="n">
        <f aca="false">E3498</f>
        <v>-0.875</v>
      </c>
      <c r="J3498" s="0" t="n">
        <f aca="false">F3498</f>
        <v>0</v>
      </c>
      <c r="K3498" s="0" t="n">
        <f aca="false">D3498*E3498</f>
        <v>-0.4375</v>
      </c>
      <c r="L3498" s="0" t="n">
        <f aca="false">D3498*F3498</f>
        <v>0</v>
      </c>
      <c r="M3498" s="0" t="n">
        <f aca="false">E3498*F3498</f>
        <v>-0</v>
      </c>
      <c r="N3498" s="0" t="n">
        <f aca="false">D3498*D3498</f>
        <v>0.25</v>
      </c>
      <c r="O3498" s="0" t="n">
        <f aca="false">E3498*E3498</f>
        <v>0.765625</v>
      </c>
      <c r="P3498" s="0" t="n">
        <f aca="false">F3498*F3498</f>
        <v>0</v>
      </c>
      <c r="Q3498" s="0" t="n">
        <f aca="false">SUMPRODUCT(G3498:P3498,_XtX!$B$71:$K$71)</f>
        <v>45.1722727272727</v>
      </c>
      <c r="R3498" s="0" t="n">
        <f aca="false">SUMPRODUCT(MMULT(G3498:P3498,_XtX!$B$58:$K$67),G3498:P3498)</f>
        <v>0.335023082386364</v>
      </c>
      <c r="S3498" s="0" t="n">
        <f aca="false">04_回帰ANOVA!$K$19*04_回帰ANOVA!$K$14*SQRT(1+R3498)</f>
        <v>1.07426400295275</v>
      </c>
      <c r="T3498" s="0" t="n">
        <f aca="false">Q3498-S3498</f>
        <v>44.09800872432</v>
      </c>
      <c r="U3498" s="0" t="n">
        <f aca="false">Q3498+S3498</f>
        <v>46.2465367302255</v>
      </c>
      <c r="V3498" s="54" t="b">
        <f aca="false">AND(D3498&gt;=01_因子設定!$L$5-0.000000001,D3498&lt;=01_因子設定!$M$5+0.000000001,E3498&gt;=01_因子設定!$L$6-0.000000001,E3498&lt;=01_因子設定!$M$6+0.000000001,F3498&gt;=01_因子設定!$L$7-0.000000001,F3498&lt;=01_因子設定!$M$7+0.000000001,IF(01_因子設定!$B$20="Box-Behnken",D3498^2+E3498^2+F3498^2&lt;=2+0.000000001,TRUE()))</f>
        <v>1</v>
      </c>
      <c r="W3498" s="55" t="n">
        <f aca="false">IF(V3498,IF(01_因子設定!$B$13="最大化",T3498-01_因子設定!$B$14,IF(01_因子設定!$B$13="最小化",01_因子設定!$B$15-U3498,MIN(T3498-01_因子設定!$B$14,01_因子設定!$B$15-U3498))),-1E+030)</f>
        <v>-4.40199127568002</v>
      </c>
      <c r="X3498" s="55" t="n">
        <f aca="false">IF(V3498,IF(01_因子設定!$B$13="最大化",Q3498,IF(01_因子設定!$B$13="最小化",-Q3498,-ABS(Q3498-01_因子設定!$B$16))),-1E+030)</f>
        <v>45.1722727272727</v>
      </c>
      <c r="Y3498" s="55" t="n">
        <f aca="false">W3498+ROW()*0.000000001</f>
        <v>-4.40198777768002</v>
      </c>
      <c r="Z3498" s="55" t="n">
        <f aca="false">X3498+ROW()*0.000000001</f>
        <v>45.1722762252727</v>
      </c>
    </row>
    <row r="3499" customFormat="false" ht="15" hidden="false" customHeight="false" outlineLevel="0" collapsed="false">
      <c r="A3499" s="0" t="n">
        <v>12</v>
      </c>
      <c r="B3499" s="0" t="n">
        <v>1</v>
      </c>
      <c r="C3499" s="0" t="n">
        <v>9</v>
      </c>
      <c r="D3499" s="0" t="n">
        <f aca="false">-1+A3499*0.125</f>
        <v>0.5</v>
      </c>
      <c r="E3499" s="0" t="n">
        <f aca="false">-1+B3499*0.125</f>
        <v>-0.875</v>
      </c>
      <c r="F3499" s="0" t="n">
        <f aca="false">-1+C3499*0.125</f>
        <v>0.125</v>
      </c>
      <c r="G3499" s="0" t="n">
        <f aca="false">1</f>
        <v>1</v>
      </c>
      <c r="H3499" s="0" t="n">
        <f aca="false">D3499</f>
        <v>0.5</v>
      </c>
      <c r="I3499" s="0" t="n">
        <f aca="false">E3499</f>
        <v>-0.875</v>
      </c>
      <c r="J3499" s="0" t="n">
        <f aca="false">F3499</f>
        <v>0.125</v>
      </c>
      <c r="K3499" s="0" t="n">
        <f aca="false">D3499*E3499</f>
        <v>-0.4375</v>
      </c>
      <c r="L3499" s="0" t="n">
        <f aca="false">D3499*F3499</f>
        <v>0.0625</v>
      </c>
      <c r="M3499" s="0" t="n">
        <f aca="false">E3499*F3499</f>
        <v>-0.109375</v>
      </c>
      <c r="N3499" s="0" t="n">
        <f aca="false">D3499*D3499</f>
        <v>0.25</v>
      </c>
      <c r="O3499" s="0" t="n">
        <f aca="false">E3499*E3499</f>
        <v>0.765625</v>
      </c>
      <c r="P3499" s="0" t="n">
        <f aca="false">F3499*F3499</f>
        <v>0.015625</v>
      </c>
      <c r="Q3499" s="0" t="n">
        <f aca="false">SUMPRODUCT(G3499:P3499,_XtX!$B$71:$K$71)</f>
        <v>45.2677840909091</v>
      </c>
      <c r="R3499" s="0" t="n">
        <f aca="false">SUMPRODUCT(MMULT(G3499:P3499,_XtX!$B$58:$K$67),G3499:P3499)</f>
        <v>0.332909601384943</v>
      </c>
      <c r="S3499" s="0" t="n">
        <f aca="false">04_回帰ANOVA!$K$19*04_回帰ANOVA!$K$14*SQRT(1+R3499)</f>
        <v>1.07341333007404</v>
      </c>
      <c r="T3499" s="0" t="n">
        <f aca="false">Q3499-S3499</f>
        <v>44.1943707608351</v>
      </c>
      <c r="U3499" s="0" t="n">
        <f aca="false">Q3499+S3499</f>
        <v>46.3411974209831</v>
      </c>
      <c r="V3499" s="54" t="b">
        <f aca="false">AND(D3499&gt;=01_因子設定!$L$5-0.000000001,D3499&lt;=01_因子設定!$M$5+0.000000001,E3499&gt;=01_因子設定!$L$6-0.000000001,E3499&lt;=01_因子設定!$M$6+0.000000001,F3499&gt;=01_因子設定!$L$7-0.000000001,F3499&lt;=01_因子設定!$M$7+0.000000001,IF(01_因子設定!$B$20="Box-Behnken",D3499^2+E3499^2+F3499^2&lt;=2+0.000000001,TRUE()))</f>
        <v>1</v>
      </c>
      <c r="W3499" s="55" t="n">
        <f aca="false">IF(V3499,IF(01_因子設定!$B$13="最大化",T3499-01_因子設定!$B$14,IF(01_因子設定!$B$13="最小化",01_因子設定!$B$15-U3499,MIN(T3499-01_因子設定!$B$14,01_因子設定!$B$15-U3499))),-1E+030)</f>
        <v>-4.30562923916494</v>
      </c>
      <c r="X3499" s="55" t="n">
        <f aca="false">IF(V3499,IF(01_因子設定!$B$13="最大化",Q3499,IF(01_因子設定!$B$13="最小化",-Q3499,-ABS(Q3499-01_因子設定!$B$16))),-1E+030)</f>
        <v>45.2677840909091</v>
      </c>
      <c r="Y3499" s="55" t="n">
        <f aca="false">W3499+ROW()*0.000000001</f>
        <v>-4.30562574016494</v>
      </c>
      <c r="Z3499" s="55" t="n">
        <f aca="false">X3499+ROW()*0.000000001</f>
        <v>45.2677875899091</v>
      </c>
    </row>
    <row r="3500" customFormat="false" ht="15" hidden="false" customHeight="false" outlineLevel="0" collapsed="false">
      <c r="A3500" s="0" t="n">
        <v>12</v>
      </c>
      <c r="B3500" s="0" t="n">
        <v>1</v>
      </c>
      <c r="C3500" s="0" t="n">
        <v>10</v>
      </c>
      <c r="D3500" s="0" t="n">
        <f aca="false">-1+A3500*0.125</f>
        <v>0.5</v>
      </c>
      <c r="E3500" s="0" t="n">
        <f aca="false">-1+B3500*0.125</f>
        <v>-0.875</v>
      </c>
      <c r="F3500" s="0" t="n">
        <f aca="false">-1+C3500*0.125</f>
        <v>0.25</v>
      </c>
      <c r="G3500" s="0" t="n">
        <f aca="false">1</f>
        <v>1</v>
      </c>
      <c r="H3500" s="0" t="n">
        <f aca="false">D3500</f>
        <v>0.5</v>
      </c>
      <c r="I3500" s="0" t="n">
        <f aca="false">E3500</f>
        <v>-0.875</v>
      </c>
      <c r="J3500" s="0" t="n">
        <f aca="false">F3500</f>
        <v>0.25</v>
      </c>
      <c r="K3500" s="0" t="n">
        <f aca="false">D3500*E3500</f>
        <v>-0.4375</v>
      </c>
      <c r="L3500" s="0" t="n">
        <f aca="false">D3500*F3500</f>
        <v>0.125</v>
      </c>
      <c r="M3500" s="0" t="n">
        <f aca="false">E3500*F3500</f>
        <v>-0.21875</v>
      </c>
      <c r="N3500" s="0" t="n">
        <f aca="false">D3500*D3500</f>
        <v>0.25</v>
      </c>
      <c r="O3500" s="0" t="n">
        <f aca="false">E3500*E3500</f>
        <v>0.765625</v>
      </c>
      <c r="P3500" s="0" t="n">
        <f aca="false">F3500*F3500</f>
        <v>0.0625</v>
      </c>
      <c r="Q3500" s="0" t="n">
        <f aca="false">SUMPRODUCT(G3500:P3500,_XtX!$B$71:$K$71)</f>
        <v>45.3265056818182</v>
      </c>
      <c r="R3500" s="0" t="n">
        <f aca="false">SUMPRODUCT(MMULT(G3500:P3500,_XtX!$B$58:$K$67),G3500:P3500)</f>
        <v>0.327634499289773</v>
      </c>
      <c r="S3500" s="0" t="n">
        <f aca="false">04_回帰ANOVA!$K$19*04_回帰ANOVA!$K$14*SQRT(1+R3500)</f>
        <v>1.07128716250217</v>
      </c>
      <c r="T3500" s="0" t="n">
        <f aca="false">Q3500-S3500</f>
        <v>44.255218519316</v>
      </c>
      <c r="U3500" s="0" t="n">
        <f aca="false">Q3500+S3500</f>
        <v>46.3977928443204</v>
      </c>
      <c r="V3500" s="54" t="b">
        <f aca="false">AND(D3500&gt;=01_因子設定!$L$5-0.000000001,D3500&lt;=01_因子設定!$M$5+0.000000001,E3500&gt;=01_因子設定!$L$6-0.000000001,E3500&lt;=01_因子設定!$M$6+0.000000001,F3500&gt;=01_因子設定!$L$7-0.000000001,F3500&lt;=01_因子設定!$M$7+0.000000001,IF(01_因子設定!$B$20="Box-Behnken",D3500^2+E3500^2+F3500^2&lt;=2+0.000000001,TRUE()))</f>
        <v>1</v>
      </c>
      <c r="W3500" s="55" t="n">
        <f aca="false">IF(V3500,IF(01_因子設定!$B$13="最大化",T3500-01_因子設定!$B$14,IF(01_因子設定!$B$13="最小化",01_因子設定!$B$15-U3500,MIN(T3500-01_因子設定!$B$14,01_因子設定!$B$15-U3500))),-1E+030)</f>
        <v>-4.24478148068398</v>
      </c>
      <c r="X3500" s="55" t="n">
        <f aca="false">IF(V3500,IF(01_因子設定!$B$13="最大化",Q3500,IF(01_因子設定!$B$13="最小化",-Q3500,-ABS(Q3500-01_因子設定!$B$16))),-1E+030)</f>
        <v>45.3265056818182</v>
      </c>
      <c r="Y3500" s="55" t="n">
        <f aca="false">W3500+ROW()*0.000000001</f>
        <v>-4.24477798068398</v>
      </c>
      <c r="Z3500" s="55" t="n">
        <f aca="false">X3500+ROW()*0.000000001</f>
        <v>45.3265091818182</v>
      </c>
    </row>
    <row r="3501" customFormat="false" ht="15" hidden="false" customHeight="false" outlineLevel="0" collapsed="false">
      <c r="A3501" s="0" t="n">
        <v>12</v>
      </c>
      <c r="B3501" s="0" t="n">
        <v>1</v>
      </c>
      <c r="C3501" s="0" t="n">
        <v>11</v>
      </c>
      <c r="D3501" s="0" t="n">
        <f aca="false">-1+A3501*0.125</f>
        <v>0.5</v>
      </c>
      <c r="E3501" s="0" t="n">
        <f aca="false">-1+B3501*0.125</f>
        <v>-0.875</v>
      </c>
      <c r="F3501" s="0" t="n">
        <f aca="false">-1+C3501*0.125</f>
        <v>0.375</v>
      </c>
      <c r="G3501" s="0" t="n">
        <f aca="false">1</f>
        <v>1</v>
      </c>
      <c r="H3501" s="0" t="n">
        <f aca="false">D3501</f>
        <v>0.5</v>
      </c>
      <c r="I3501" s="0" t="n">
        <f aca="false">E3501</f>
        <v>-0.875</v>
      </c>
      <c r="J3501" s="0" t="n">
        <f aca="false">F3501</f>
        <v>0.375</v>
      </c>
      <c r="K3501" s="0" t="n">
        <f aca="false">D3501*E3501</f>
        <v>-0.4375</v>
      </c>
      <c r="L3501" s="0" t="n">
        <f aca="false">D3501*F3501</f>
        <v>0.1875</v>
      </c>
      <c r="M3501" s="0" t="n">
        <f aca="false">E3501*F3501</f>
        <v>-0.328125</v>
      </c>
      <c r="N3501" s="0" t="n">
        <f aca="false">D3501*D3501</f>
        <v>0.25</v>
      </c>
      <c r="O3501" s="0" t="n">
        <f aca="false">E3501*E3501</f>
        <v>0.765625</v>
      </c>
      <c r="P3501" s="0" t="n">
        <f aca="false">F3501*F3501</f>
        <v>0.140625</v>
      </c>
      <c r="Q3501" s="0" t="n">
        <f aca="false">SUMPRODUCT(G3501:P3501,_XtX!$B$71:$K$71)</f>
        <v>45.3484375</v>
      </c>
      <c r="R3501" s="0" t="n">
        <f aca="false">SUMPRODUCT(MMULT(G3501:P3501,_XtX!$B$58:$K$67),G3501:P3501)</f>
        <v>0.322393798828125</v>
      </c>
      <c r="S3501" s="0" t="n">
        <f aca="false">04_回帰ANOVA!$K$19*04_回帰ANOVA!$K$14*SQRT(1+R3501)</f>
        <v>1.06917067390712</v>
      </c>
      <c r="T3501" s="0" t="n">
        <f aca="false">Q3501-S3501</f>
        <v>44.2792668260929</v>
      </c>
      <c r="U3501" s="0" t="n">
        <f aca="false">Q3501+S3501</f>
        <v>46.4176081739071</v>
      </c>
      <c r="V3501" s="54" t="b">
        <f aca="false">AND(D3501&gt;=01_因子設定!$L$5-0.000000001,D3501&lt;=01_因子設定!$M$5+0.000000001,E3501&gt;=01_因子設定!$L$6-0.000000001,E3501&lt;=01_因子設定!$M$6+0.000000001,F3501&gt;=01_因子設定!$L$7-0.000000001,F3501&lt;=01_因子設定!$M$7+0.000000001,IF(01_因子設定!$B$20="Box-Behnken",D3501^2+E3501^2+F3501^2&lt;=2+0.000000001,TRUE()))</f>
        <v>1</v>
      </c>
      <c r="W3501" s="55" t="n">
        <f aca="false">IF(V3501,IF(01_因子設定!$B$13="最大化",T3501-01_因子設定!$B$14,IF(01_因子設定!$B$13="最小化",01_因子設定!$B$15-U3501,MIN(T3501-01_因子設定!$B$14,01_因子設定!$B$15-U3501))),-1E+030)</f>
        <v>-4.22073317390711</v>
      </c>
      <c r="X3501" s="55" t="n">
        <f aca="false">IF(V3501,IF(01_因子設定!$B$13="最大化",Q3501,IF(01_因子設定!$B$13="最小化",-Q3501,-ABS(Q3501-01_因子設定!$B$16))),-1E+030)</f>
        <v>45.3484375</v>
      </c>
      <c r="Y3501" s="55" t="n">
        <f aca="false">W3501+ROW()*0.000000001</f>
        <v>-4.22072967290711</v>
      </c>
      <c r="Z3501" s="55" t="n">
        <f aca="false">X3501+ROW()*0.000000001</f>
        <v>45.348441001</v>
      </c>
    </row>
    <row r="3502" customFormat="false" ht="15" hidden="false" customHeight="false" outlineLevel="0" collapsed="false">
      <c r="A3502" s="0" t="n">
        <v>12</v>
      </c>
      <c r="B3502" s="0" t="n">
        <v>1</v>
      </c>
      <c r="C3502" s="0" t="n">
        <v>12</v>
      </c>
      <c r="D3502" s="0" t="n">
        <f aca="false">-1+A3502*0.125</f>
        <v>0.5</v>
      </c>
      <c r="E3502" s="0" t="n">
        <f aca="false">-1+B3502*0.125</f>
        <v>-0.875</v>
      </c>
      <c r="F3502" s="0" t="n">
        <f aca="false">-1+C3502*0.125</f>
        <v>0.5</v>
      </c>
      <c r="G3502" s="0" t="n">
        <f aca="false">1</f>
        <v>1</v>
      </c>
      <c r="H3502" s="0" t="n">
        <f aca="false">D3502</f>
        <v>0.5</v>
      </c>
      <c r="I3502" s="0" t="n">
        <f aca="false">E3502</f>
        <v>-0.875</v>
      </c>
      <c r="J3502" s="0" t="n">
        <f aca="false">F3502</f>
        <v>0.5</v>
      </c>
      <c r="K3502" s="0" t="n">
        <f aca="false">D3502*E3502</f>
        <v>-0.4375</v>
      </c>
      <c r="L3502" s="0" t="n">
        <f aca="false">D3502*F3502</f>
        <v>0.25</v>
      </c>
      <c r="M3502" s="0" t="n">
        <f aca="false">E3502*F3502</f>
        <v>-0.4375</v>
      </c>
      <c r="N3502" s="0" t="n">
        <f aca="false">D3502*D3502</f>
        <v>0.25</v>
      </c>
      <c r="O3502" s="0" t="n">
        <f aca="false">E3502*E3502</f>
        <v>0.765625</v>
      </c>
      <c r="P3502" s="0" t="n">
        <f aca="false">F3502*F3502</f>
        <v>0.25</v>
      </c>
      <c r="Q3502" s="0" t="n">
        <f aca="false">SUMPRODUCT(G3502:P3502,_XtX!$B$71:$K$71)</f>
        <v>45.3335795454546</v>
      </c>
      <c r="R3502" s="0" t="n">
        <f aca="false">SUMPRODUCT(MMULT(G3502:P3502,_XtX!$B$58:$K$67),G3502:P3502)</f>
        <v>0.322514204545455</v>
      </c>
      <c r="S3502" s="0" t="n">
        <f aca="false">04_回帰ANOVA!$K$19*04_回帰ANOVA!$K$14*SQRT(1+R3502)</f>
        <v>1.0692193475064</v>
      </c>
      <c r="T3502" s="0" t="n">
        <f aca="false">Q3502-S3502</f>
        <v>44.2643601979482</v>
      </c>
      <c r="U3502" s="0" t="n">
        <f aca="false">Q3502+S3502</f>
        <v>46.402798892961</v>
      </c>
      <c r="V3502" s="54" t="b">
        <f aca="false">AND(D3502&gt;=01_因子設定!$L$5-0.000000001,D3502&lt;=01_因子設定!$M$5+0.000000001,E3502&gt;=01_因子設定!$L$6-0.000000001,E3502&lt;=01_因子設定!$M$6+0.000000001,F3502&gt;=01_因子設定!$L$7-0.000000001,F3502&lt;=01_因子設定!$M$7+0.000000001,IF(01_因子設定!$B$20="Box-Behnken",D3502^2+E3502^2+F3502^2&lt;=2+0.000000001,TRUE()))</f>
        <v>1</v>
      </c>
      <c r="W3502" s="55" t="n">
        <f aca="false">IF(V3502,IF(01_因子設定!$B$13="最大化",T3502-01_因子設定!$B$14,IF(01_因子設定!$B$13="最小化",01_因子設定!$B$15-U3502,MIN(T3502-01_因子設定!$B$14,01_因子設定!$B$15-U3502))),-1E+030)</f>
        <v>-4.23563980205185</v>
      </c>
      <c r="X3502" s="55" t="n">
        <f aca="false">IF(V3502,IF(01_因子設定!$B$13="最大化",Q3502,IF(01_因子設定!$B$13="最小化",-Q3502,-ABS(Q3502-01_因子設定!$B$16))),-1E+030)</f>
        <v>45.3335795454546</v>
      </c>
      <c r="Y3502" s="55" t="n">
        <f aca="false">W3502+ROW()*0.000000001</f>
        <v>-4.23563630005185</v>
      </c>
      <c r="Z3502" s="55" t="n">
        <f aca="false">X3502+ROW()*0.000000001</f>
        <v>45.3335830474546</v>
      </c>
    </row>
    <row r="3503" customFormat="false" ht="15" hidden="false" customHeight="false" outlineLevel="0" collapsed="false">
      <c r="A3503" s="0" t="n">
        <v>12</v>
      </c>
      <c r="B3503" s="0" t="n">
        <v>1</v>
      </c>
      <c r="C3503" s="0" t="n">
        <v>13</v>
      </c>
      <c r="D3503" s="0" t="n">
        <f aca="false">-1+A3503*0.125</f>
        <v>0.5</v>
      </c>
      <c r="E3503" s="0" t="n">
        <f aca="false">-1+B3503*0.125</f>
        <v>-0.875</v>
      </c>
      <c r="F3503" s="0" t="n">
        <f aca="false">-1+C3503*0.125</f>
        <v>0.625</v>
      </c>
      <c r="G3503" s="0" t="n">
        <f aca="false">1</f>
        <v>1</v>
      </c>
      <c r="H3503" s="0" t="n">
        <f aca="false">D3503</f>
        <v>0.5</v>
      </c>
      <c r="I3503" s="0" t="n">
        <f aca="false">E3503</f>
        <v>-0.875</v>
      </c>
      <c r="J3503" s="0" t="n">
        <f aca="false">F3503</f>
        <v>0.625</v>
      </c>
      <c r="K3503" s="0" t="n">
        <f aca="false">D3503*E3503</f>
        <v>-0.4375</v>
      </c>
      <c r="L3503" s="0" t="n">
        <f aca="false">D3503*F3503</f>
        <v>0.3125</v>
      </c>
      <c r="M3503" s="0" t="n">
        <f aca="false">E3503*F3503</f>
        <v>-0.546875</v>
      </c>
      <c r="N3503" s="0" t="n">
        <f aca="false">D3503*D3503</f>
        <v>0.25</v>
      </c>
      <c r="O3503" s="0" t="n">
        <f aca="false">E3503*E3503</f>
        <v>0.765625</v>
      </c>
      <c r="P3503" s="0" t="n">
        <f aca="false">F3503*F3503</f>
        <v>0.390625</v>
      </c>
      <c r="Q3503" s="0" t="n">
        <f aca="false">SUMPRODUCT(G3503:P3503,_XtX!$B$71:$K$71)</f>
        <v>45.2819318181818</v>
      </c>
      <c r="R3503" s="0" t="n">
        <f aca="false">SUMPRODUCT(MMULT(G3503:P3503,_XtX!$B$58:$K$67),G3503:P3503)</f>
        <v>0.335453102805398</v>
      </c>
      <c r="S3503" s="0" t="n">
        <f aca="false">04_回帰ANOVA!$K$19*04_回帰ANOVA!$K$14*SQRT(1+R3503)</f>
        <v>1.07443700305628</v>
      </c>
      <c r="T3503" s="0" t="n">
        <f aca="false">Q3503-S3503</f>
        <v>44.2074948151256</v>
      </c>
      <c r="U3503" s="0" t="n">
        <f aca="false">Q3503+S3503</f>
        <v>46.3563688212381</v>
      </c>
      <c r="V3503" s="54" t="b">
        <f aca="false">AND(D3503&gt;=01_因子設定!$L$5-0.000000001,D3503&lt;=01_因子設定!$M$5+0.000000001,E3503&gt;=01_因子設定!$L$6-0.000000001,E3503&lt;=01_因子設定!$M$6+0.000000001,F3503&gt;=01_因子設定!$L$7-0.000000001,F3503&lt;=01_因子設定!$M$7+0.000000001,IF(01_因子設定!$B$20="Box-Behnken",D3503^2+E3503^2+F3503^2&lt;=2+0.000000001,TRUE()))</f>
        <v>1</v>
      </c>
      <c r="W3503" s="55" t="n">
        <f aca="false">IF(V3503,IF(01_因子設定!$B$13="最大化",T3503-01_因子設定!$B$14,IF(01_因子設定!$B$13="最小化",01_因子設定!$B$15-U3503,MIN(T3503-01_因子設定!$B$14,01_因子設定!$B$15-U3503))),-1E+030)</f>
        <v>-4.29250518487444</v>
      </c>
      <c r="X3503" s="55" t="n">
        <f aca="false">IF(V3503,IF(01_因子設定!$B$13="最大化",Q3503,IF(01_因子設定!$B$13="最小化",-Q3503,-ABS(Q3503-01_因子設定!$B$16))),-1E+030)</f>
        <v>45.2819318181818</v>
      </c>
      <c r="Y3503" s="55" t="n">
        <f aca="false">W3503+ROW()*0.000000001</f>
        <v>-4.29250168187444</v>
      </c>
      <c r="Z3503" s="55" t="n">
        <f aca="false">X3503+ROW()*0.000000001</f>
        <v>45.2819353211818</v>
      </c>
    </row>
    <row r="3504" customFormat="false" ht="15" hidden="false" customHeight="false" outlineLevel="0" collapsed="false">
      <c r="A3504" s="0" t="n">
        <v>12</v>
      </c>
      <c r="B3504" s="0" t="n">
        <v>1</v>
      </c>
      <c r="C3504" s="0" t="n">
        <v>14</v>
      </c>
      <c r="D3504" s="0" t="n">
        <f aca="false">-1+A3504*0.125</f>
        <v>0.5</v>
      </c>
      <c r="E3504" s="0" t="n">
        <f aca="false">-1+B3504*0.125</f>
        <v>-0.875</v>
      </c>
      <c r="F3504" s="0" t="n">
        <f aca="false">-1+C3504*0.125</f>
        <v>0.75</v>
      </c>
      <c r="G3504" s="0" t="n">
        <f aca="false">1</f>
        <v>1</v>
      </c>
      <c r="H3504" s="0" t="n">
        <f aca="false">D3504</f>
        <v>0.5</v>
      </c>
      <c r="I3504" s="0" t="n">
        <f aca="false">E3504</f>
        <v>-0.875</v>
      </c>
      <c r="J3504" s="0" t="n">
        <f aca="false">F3504</f>
        <v>0.75</v>
      </c>
      <c r="K3504" s="0" t="n">
        <f aca="false">D3504*E3504</f>
        <v>-0.4375</v>
      </c>
      <c r="L3504" s="0" t="n">
        <f aca="false">D3504*F3504</f>
        <v>0.375</v>
      </c>
      <c r="M3504" s="0" t="n">
        <f aca="false">E3504*F3504</f>
        <v>-0.65625</v>
      </c>
      <c r="N3504" s="0" t="n">
        <f aca="false">D3504*D3504</f>
        <v>0.25</v>
      </c>
      <c r="O3504" s="0" t="n">
        <f aca="false">E3504*E3504</f>
        <v>0.765625</v>
      </c>
      <c r="P3504" s="0" t="n">
        <f aca="false">F3504*F3504</f>
        <v>0.5625</v>
      </c>
      <c r="Q3504" s="0" t="n">
        <f aca="false">SUMPRODUCT(G3504:P3504,_XtX!$B$71:$K$71)</f>
        <v>45.1934943181818</v>
      </c>
      <c r="R3504" s="0" t="n">
        <f aca="false">SUMPRODUCT(MMULT(G3504:P3504,_XtX!$B$58:$K$67),G3504:P3504)</f>
        <v>0.370798561789773</v>
      </c>
      <c r="S3504" s="0" t="n">
        <f aca="false">04_回帰ANOVA!$K$19*04_回帰ANOVA!$K$14*SQRT(1+R3504)</f>
        <v>1.08856271788237</v>
      </c>
      <c r="T3504" s="0" t="n">
        <f aca="false">Q3504-S3504</f>
        <v>44.1049316002995</v>
      </c>
      <c r="U3504" s="0" t="n">
        <f aca="false">Q3504+S3504</f>
        <v>46.2820570360642</v>
      </c>
      <c r="V3504" s="54" t="b">
        <f aca="false">AND(D3504&gt;=01_因子設定!$L$5-0.000000001,D3504&lt;=01_因子設定!$M$5+0.000000001,E3504&gt;=01_因子設定!$L$6-0.000000001,E3504&lt;=01_因子設定!$M$6+0.000000001,F3504&gt;=01_因子設定!$L$7-0.000000001,F3504&lt;=01_因子設定!$M$7+0.000000001,IF(01_因子設定!$B$20="Box-Behnken",D3504^2+E3504^2+F3504^2&lt;=2+0.000000001,TRUE()))</f>
        <v>1</v>
      </c>
      <c r="W3504" s="55" t="n">
        <f aca="false">IF(V3504,IF(01_因子設定!$B$13="最大化",T3504-01_因子設定!$B$14,IF(01_因子設定!$B$13="最小化",01_因子設定!$B$15-U3504,MIN(T3504-01_因子設定!$B$14,01_因子設定!$B$15-U3504))),-1E+030)</f>
        <v>-4.39506839970054</v>
      </c>
      <c r="X3504" s="55" t="n">
        <f aca="false">IF(V3504,IF(01_因子設定!$B$13="最大化",Q3504,IF(01_因子設定!$B$13="最小化",-Q3504,-ABS(Q3504-01_因子設定!$B$16))),-1E+030)</f>
        <v>45.1934943181818</v>
      </c>
      <c r="Y3504" s="55" t="n">
        <f aca="false">W3504+ROW()*0.000000001</f>
        <v>-4.39506489570054</v>
      </c>
      <c r="Z3504" s="55" t="n">
        <f aca="false">X3504+ROW()*0.000000001</f>
        <v>45.1934978221818</v>
      </c>
    </row>
    <row r="3505" customFormat="false" ht="15" hidden="false" customHeight="false" outlineLevel="0" collapsed="false">
      <c r="A3505" s="0" t="n">
        <v>12</v>
      </c>
      <c r="B3505" s="0" t="n">
        <v>1</v>
      </c>
      <c r="C3505" s="0" t="n">
        <v>15</v>
      </c>
      <c r="D3505" s="0" t="n">
        <f aca="false">-1+A3505*0.125</f>
        <v>0.5</v>
      </c>
      <c r="E3505" s="0" t="n">
        <f aca="false">-1+B3505*0.125</f>
        <v>-0.875</v>
      </c>
      <c r="F3505" s="0" t="n">
        <f aca="false">-1+C3505*0.125</f>
        <v>0.875</v>
      </c>
      <c r="G3505" s="0" t="n">
        <f aca="false">1</f>
        <v>1</v>
      </c>
      <c r="H3505" s="0" t="n">
        <f aca="false">D3505</f>
        <v>0.5</v>
      </c>
      <c r="I3505" s="0" t="n">
        <f aca="false">E3505</f>
        <v>-0.875</v>
      </c>
      <c r="J3505" s="0" t="n">
        <f aca="false">F3505</f>
        <v>0.875</v>
      </c>
      <c r="K3505" s="0" t="n">
        <f aca="false">D3505*E3505</f>
        <v>-0.4375</v>
      </c>
      <c r="L3505" s="0" t="n">
        <f aca="false">D3505*F3505</f>
        <v>0.4375</v>
      </c>
      <c r="M3505" s="0" t="n">
        <f aca="false">E3505*F3505</f>
        <v>-0.765625</v>
      </c>
      <c r="N3505" s="0" t="n">
        <f aca="false">D3505*D3505</f>
        <v>0.25</v>
      </c>
      <c r="O3505" s="0" t="n">
        <f aca="false">E3505*E3505</f>
        <v>0.765625</v>
      </c>
      <c r="P3505" s="0" t="n">
        <f aca="false">F3505*F3505</f>
        <v>0.765625</v>
      </c>
      <c r="Q3505" s="0" t="n">
        <f aca="false">SUMPRODUCT(G3505:P3505,_XtX!$B$71:$K$71)</f>
        <v>45.0682670454546</v>
      </c>
      <c r="R3505" s="0" t="n">
        <f aca="false">SUMPRODUCT(MMULT(G3505:P3505,_XtX!$B$58:$K$67),G3505:P3505)</f>
        <v>0.44026933149858</v>
      </c>
      <c r="S3505" s="0" t="n">
        <f aca="false">04_回帰ANOVA!$K$19*04_回帰ANOVA!$K$14*SQRT(1+R3505)</f>
        <v>1.11580548667718</v>
      </c>
      <c r="T3505" s="0" t="n">
        <f aca="false">Q3505-S3505</f>
        <v>43.9524615587774</v>
      </c>
      <c r="U3505" s="0" t="n">
        <f aca="false">Q3505+S3505</f>
        <v>46.1840725321318</v>
      </c>
      <c r="V3505" s="54" t="b">
        <f aca="false">AND(D3505&gt;=01_因子設定!$L$5-0.000000001,D3505&lt;=01_因子設定!$M$5+0.000000001,E3505&gt;=01_因子設定!$L$6-0.000000001,E3505&lt;=01_因子設定!$M$6+0.000000001,F3505&gt;=01_因子設定!$L$7-0.000000001,F3505&lt;=01_因子設定!$M$7+0.000000001,IF(01_因子設定!$B$20="Box-Behnken",D3505^2+E3505^2+F3505^2&lt;=2+0.000000001,TRUE()))</f>
        <v>1</v>
      </c>
      <c r="W3505" s="55" t="n">
        <f aca="false">IF(V3505,IF(01_因子設定!$B$13="最大化",T3505-01_因子設定!$B$14,IF(01_因子設定!$B$13="最小化",01_因子設定!$B$15-U3505,MIN(T3505-01_因子設定!$B$14,01_因子設定!$B$15-U3505))),-1E+030)</f>
        <v>-4.54753844122261</v>
      </c>
      <c r="X3505" s="55" t="n">
        <f aca="false">IF(V3505,IF(01_因子設定!$B$13="最大化",Q3505,IF(01_因子設定!$B$13="最小化",-Q3505,-ABS(Q3505-01_因子設定!$B$16))),-1E+030)</f>
        <v>45.0682670454546</v>
      </c>
      <c r="Y3505" s="55" t="n">
        <f aca="false">W3505+ROW()*0.000000001</f>
        <v>-4.54753493622261</v>
      </c>
      <c r="Z3505" s="55" t="n">
        <f aca="false">X3505+ROW()*0.000000001</f>
        <v>45.0682705504546</v>
      </c>
    </row>
    <row r="3506" customFormat="false" ht="15" hidden="false" customHeight="false" outlineLevel="0" collapsed="false">
      <c r="A3506" s="0" t="n">
        <v>12</v>
      </c>
      <c r="B3506" s="0" t="n">
        <v>1</v>
      </c>
      <c r="C3506" s="0" t="n">
        <v>16</v>
      </c>
      <c r="D3506" s="0" t="n">
        <f aca="false">-1+A3506*0.125</f>
        <v>0.5</v>
      </c>
      <c r="E3506" s="0" t="n">
        <f aca="false">-1+B3506*0.125</f>
        <v>-0.875</v>
      </c>
      <c r="F3506" s="0" t="n">
        <f aca="false">-1+C3506*0.125</f>
        <v>1</v>
      </c>
      <c r="G3506" s="0" t="n">
        <f aca="false">1</f>
        <v>1</v>
      </c>
      <c r="H3506" s="0" t="n">
        <f aca="false">D3506</f>
        <v>0.5</v>
      </c>
      <c r="I3506" s="0" t="n">
        <f aca="false">E3506</f>
        <v>-0.875</v>
      </c>
      <c r="J3506" s="0" t="n">
        <f aca="false">F3506</f>
        <v>1</v>
      </c>
      <c r="K3506" s="0" t="n">
        <f aca="false">D3506*E3506</f>
        <v>-0.4375</v>
      </c>
      <c r="L3506" s="0" t="n">
        <f aca="false">D3506*F3506</f>
        <v>0.5</v>
      </c>
      <c r="M3506" s="0" t="n">
        <f aca="false">E3506*F3506</f>
        <v>-0.875</v>
      </c>
      <c r="N3506" s="0" t="n">
        <f aca="false">D3506*D3506</f>
        <v>0.25</v>
      </c>
      <c r="O3506" s="0" t="n">
        <f aca="false">E3506*E3506</f>
        <v>0.765625</v>
      </c>
      <c r="P3506" s="0" t="n">
        <f aca="false">F3506*F3506</f>
        <v>1</v>
      </c>
      <c r="Q3506" s="0" t="n">
        <f aca="false">SUMPRODUCT(G3506:P3506,_XtX!$B$71:$K$71)</f>
        <v>44.90625</v>
      </c>
      <c r="R3506" s="0" t="n">
        <f aca="false">SUMPRODUCT(MMULT(G3506:P3506,_XtX!$B$58:$K$67),G3506:P3506)</f>
        <v>0.55771484375</v>
      </c>
      <c r="S3506" s="0" t="n">
        <f aca="false">04_回帰ANOVA!$K$19*04_回帰ANOVA!$K$14*SQRT(1+R3506)</f>
        <v>1.16040773556467</v>
      </c>
      <c r="T3506" s="0" t="n">
        <f aca="false">Q3506-S3506</f>
        <v>43.7458422644354</v>
      </c>
      <c r="U3506" s="0" t="n">
        <f aca="false">Q3506+S3506</f>
        <v>46.0666577355647</v>
      </c>
      <c r="V3506" s="54" t="b">
        <f aca="false">AND(D3506&gt;=01_因子設定!$L$5-0.000000001,D3506&lt;=01_因子設定!$M$5+0.000000001,E3506&gt;=01_因子設定!$L$6-0.000000001,E3506&lt;=01_因子設定!$M$6+0.000000001,F3506&gt;=01_因子設定!$L$7-0.000000001,F3506&lt;=01_因子設定!$M$7+0.000000001,IF(01_因子設定!$B$20="Box-Behnken",D3506^2+E3506^2+F3506^2&lt;=2+0.000000001,TRUE()))</f>
        <v>1</v>
      </c>
      <c r="W3506" s="55" t="n">
        <f aca="false">IF(V3506,IF(01_因子設定!$B$13="最大化",T3506-01_因子設定!$B$14,IF(01_因子設定!$B$13="最小化",01_因子設定!$B$15-U3506,MIN(T3506-01_因子設定!$B$14,01_因子設定!$B$15-U3506))),-1E+030)</f>
        <v>-4.75415773556465</v>
      </c>
      <c r="X3506" s="55" t="n">
        <f aca="false">IF(V3506,IF(01_因子設定!$B$13="最大化",Q3506,IF(01_因子設定!$B$13="最小化",-Q3506,-ABS(Q3506-01_因子設定!$B$16))),-1E+030)</f>
        <v>44.90625</v>
      </c>
      <c r="Y3506" s="55" t="n">
        <f aca="false">W3506+ROW()*0.000000001</f>
        <v>-4.75415422956465</v>
      </c>
      <c r="Z3506" s="55" t="n">
        <f aca="false">X3506+ROW()*0.000000001</f>
        <v>44.906253506</v>
      </c>
    </row>
    <row r="3507" customFormat="false" ht="15" hidden="false" customHeight="false" outlineLevel="0" collapsed="false">
      <c r="A3507" s="0" t="n">
        <v>12</v>
      </c>
      <c r="B3507" s="0" t="n">
        <v>2</v>
      </c>
      <c r="C3507" s="0" t="n">
        <v>0</v>
      </c>
      <c r="D3507" s="0" t="n">
        <f aca="false">-1+A3507*0.125</f>
        <v>0.5</v>
      </c>
      <c r="E3507" s="0" t="n">
        <f aca="false">-1+B3507*0.125</f>
        <v>-0.75</v>
      </c>
      <c r="F3507" s="0" t="n">
        <f aca="false">-1+C3507*0.125</f>
        <v>-1</v>
      </c>
      <c r="G3507" s="0" t="n">
        <f aca="false">1</f>
        <v>1</v>
      </c>
      <c r="H3507" s="0" t="n">
        <f aca="false">D3507</f>
        <v>0.5</v>
      </c>
      <c r="I3507" s="0" t="n">
        <f aca="false">E3507</f>
        <v>-0.75</v>
      </c>
      <c r="J3507" s="0" t="n">
        <f aca="false">F3507</f>
        <v>-1</v>
      </c>
      <c r="K3507" s="0" t="n">
        <f aca="false">D3507*E3507</f>
        <v>-0.375</v>
      </c>
      <c r="L3507" s="0" t="n">
        <f aca="false">D3507*F3507</f>
        <v>-0.5</v>
      </c>
      <c r="M3507" s="0" t="n">
        <f aca="false">E3507*F3507</f>
        <v>0.75</v>
      </c>
      <c r="N3507" s="0" t="n">
        <f aca="false">D3507*D3507</f>
        <v>0.25</v>
      </c>
      <c r="O3507" s="0" t="n">
        <f aca="false">E3507*E3507</f>
        <v>0.5625</v>
      </c>
      <c r="P3507" s="0" t="n">
        <f aca="false">F3507*F3507</f>
        <v>1</v>
      </c>
      <c r="Q3507" s="0" t="n">
        <f aca="false">SUMPRODUCT(G3507:P3507,_XtX!$B$71:$K$71)</f>
        <v>43.7746022727273</v>
      </c>
      <c r="R3507" s="0" t="n">
        <f aca="false">SUMPRODUCT(MMULT(G3507:P3507,_XtX!$B$58:$K$67),G3507:P3507)</f>
        <v>0.495276988636364</v>
      </c>
      <c r="S3507" s="0" t="n">
        <f aca="false">04_回帰ANOVA!$K$19*04_回帰ANOVA!$K$14*SQRT(1+R3507)</f>
        <v>1.13691359828352</v>
      </c>
      <c r="T3507" s="0" t="n">
        <f aca="false">Q3507-S3507</f>
        <v>42.6376886744438</v>
      </c>
      <c r="U3507" s="0" t="n">
        <f aca="false">Q3507+S3507</f>
        <v>44.9115158710108</v>
      </c>
      <c r="V3507" s="54" t="b">
        <f aca="false">AND(D3507&gt;=01_因子設定!$L$5-0.000000001,D3507&lt;=01_因子設定!$M$5+0.000000001,E3507&gt;=01_因子設定!$L$6-0.000000001,E3507&lt;=01_因子設定!$M$6+0.000000001,F3507&gt;=01_因子設定!$L$7-0.000000001,F3507&lt;=01_因子設定!$M$7+0.000000001,IF(01_因子設定!$B$20="Box-Behnken",D3507^2+E3507^2+F3507^2&lt;=2+0.000000001,TRUE()))</f>
        <v>1</v>
      </c>
      <c r="W3507" s="55" t="n">
        <f aca="false">IF(V3507,IF(01_因子設定!$B$13="最大化",T3507-01_因子設定!$B$14,IF(01_因子設定!$B$13="最小化",01_因子設定!$B$15-U3507,MIN(T3507-01_因子設定!$B$14,01_因子設定!$B$15-U3507))),-1E+030)</f>
        <v>-5.86231132555622</v>
      </c>
      <c r="X3507" s="55" t="n">
        <f aca="false">IF(V3507,IF(01_因子設定!$B$13="最大化",Q3507,IF(01_因子設定!$B$13="最小化",-Q3507,-ABS(Q3507-01_因子設定!$B$16))),-1E+030)</f>
        <v>43.7746022727273</v>
      </c>
      <c r="Y3507" s="55" t="n">
        <f aca="false">W3507+ROW()*0.000000001</f>
        <v>-5.86230781855622</v>
      </c>
      <c r="Z3507" s="55" t="n">
        <f aca="false">X3507+ROW()*0.000000001</f>
        <v>43.7746057797273</v>
      </c>
    </row>
    <row r="3508" customFormat="false" ht="15" hidden="false" customHeight="false" outlineLevel="0" collapsed="false">
      <c r="A3508" s="0" t="n">
        <v>12</v>
      </c>
      <c r="B3508" s="0" t="n">
        <v>2</v>
      </c>
      <c r="C3508" s="0" t="n">
        <v>1</v>
      </c>
      <c r="D3508" s="0" t="n">
        <f aca="false">-1+A3508*0.125</f>
        <v>0.5</v>
      </c>
      <c r="E3508" s="0" t="n">
        <f aca="false">-1+B3508*0.125</f>
        <v>-0.75</v>
      </c>
      <c r="F3508" s="0" t="n">
        <f aca="false">-1+C3508*0.125</f>
        <v>-0.875</v>
      </c>
      <c r="G3508" s="0" t="n">
        <f aca="false">1</f>
        <v>1</v>
      </c>
      <c r="H3508" s="0" t="n">
        <f aca="false">D3508</f>
        <v>0.5</v>
      </c>
      <c r="I3508" s="0" t="n">
        <f aca="false">E3508</f>
        <v>-0.75</v>
      </c>
      <c r="J3508" s="0" t="n">
        <f aca="false">F3508</f>
        <v>-0.875</v>
      </c>
      <c r="K3508" s="0" t="n">
        <f aca="false">D3508*E3508</f>
        <v>-0.375</v>
      </c>
      <c r="L3508" s="0" t="n">
        <f aca="false">D3508*F3508</f>
        <v>-0.4375</v>
      </c>
      <c r="M3508" s="0" t="n">
        <f aca="false">E3508*F3508</f>
        <v>0.65625</v>
      </c>
      <c r="N3508" s="0" t="n">
        <f aca="false">D3508*D3508</f>
        <v>0.25</v>
      </c>
      <c r="O3508" s="0" t="n">
        <f aca="false">E3508*E3508</f>
        <v>0.5625</v>
      </c>
      <c r="P3508" s="0" t="n">
        <f aca="false">F3508*F3508</f>
        <v>0.765625</v>
      </c>
      <c r="Q3508" s="0" t="n">
        <f aca="false">SUMPRODUCT(G3508:P3508,_XtX!$B$71:$K$71)</f>
        <v>44.1714630681818</v>
      </c>
      <c r="R3508" s="0" t="n">
        <f aca="false">SUMPRODUCT(MMULT(G3508:P3508,_XtX!$B$58:$K$67),G3508:P3508)</f>
        <v>0.370798561789773</v>
      </c>
      <c r="S3508" s="0" t="n">
        <f aca="false">04_回帰ANOVA!$K$19*04_回帰ANOVA!$K$14*SQRT(1+R3508)</f>
        <v>1.08856271788237</v>
      </c>
      <c r="T3508" s="0" t="n">
        <f aca="false">Q3508-S3508</f>
        <v>43.0829003502995</v>
      </c>
      <c r="U3508" s="0" t="n">
        <f aca="false">Q3508+S3508</f>
        <v>45.2600257860642</v>
      </c>
      <c r="V3508" s="54" t="b">
        <f aca="false">AND(D3508&gt;=01_因子設定!$L$5-0.000000001,D3508&lt;=01_因子設定!$M$5+0.000000001,E3508&gt;=01_因子設定!$L$6-0.000000001,E3508&lt;=01_因子設定!$M$6+0.000000001,F3508&gt;=01_因子設定!$L$7-0.000000001,F3508&lt;=01_因子設定!$M$7+0.000000001,IF(01_因子設定!$B$20="Box-Behnken",D3508^2+E3508^2+F3508^2&lt;=2+0.000000001,TRUE()))</f>
        <v>1</v>
      </c>
      <c r="W3508" s="55" t="n">
        <f aca="false">IF(V3508,IF(01_因子設定!$B$13="最大化",T3508-01_因子設定!$B$14,IF(01_因子設定!$B$13="最小化",01_因子設定!$B$15-U3508,MIN(T3508-01_因子設定!$B$14,01_因子設定!$B$15-U3508))),-1E+030)</f>
        <v>-5.41709964970054</v>
      </c>
      <c r="X3508" s="55" t="n">
        <f aca="false">IF(V3508,IF(01_因子設定!$B$13="最大化",Q3508,IF(01_因子設定!$B$13="最小化",-Q3508,-ABS(Q3508-01_因子設定!$B$16))),-1E+030)</f>
        <v>44.1714630681818</v>
      </c>
      <c r="Y3508" s="55" t="n">
        <f aca="false">W3508+ROW()*0.000000001</f>
        <v>-5.41709614170054</v>
      </c>
      <c r="Z3508" s="55" t="n">
        <f aca="false">X3508+ROW()*0.000000001</f>
        <v>44.1714665761818</v>
      </c>
    </row>
    <row r="3509" customFormat="false" ht="15" hidden="false" customHeight="false" outlineLevel="0" collapsed="false">
      <c r="A3509" s="0" t="n">
        <v>12</v>
      </c>
      <c r="B3509" s="0" t="n">
        <v>2</v>
      </c>
      <c r="C3509" s="0" t="n">
        <v>2</v>
      </c>
      <c r="D3509" s="0" t="n">
        <f aca="false">-1+A3509*0.125</f>
        <v>0.5</v>
      </c>
      <c r="E3509" s="0" t="n">
        <f aca="false">-1+B3509*0.125</f>
        <v>-0.75</v>
      </c>
      <c r="F3509" s="0" t="n">
        <f aca="false">-1+C3509*0.125</f>
        <v>-0.75</v>
      </c>
      <c r="G3509" s="0" t="n">
        <f aca="false">1</f>
        <v>1</v>
      </c>
      <c r="H3509" s="0" t="n">
        <f aca="false">D3509</f>
        <v>0.5</v>
      </c>
      <c r="I3509" s="0" t="n">
        <f aca="false">E3509</f>
        <v>-0.75</v>
      </c>
      <c r="J3509" s="0" t="n">
        <f aca="false">F3509</f>
        <v>-0.75</v>
      </c>
      <c r="K3509" s="0" t="n">
        <f aca="false">D3509*E3509</f>
        <v>-0.375</v>
      </c>
      <c r="L3509" s="0" t="n">
        <f aca="false">D3509*F3509</f>
        <v>-0.375</v>
      </c>
      <c r="M3509" s="0" t="n">
        <f aca="false">E3509*F3509</f>
        <v>0.5625</v>
      </c>
      <c r="N3509" s="0" t="n">
        <f aca="false">D3509*D3509</f>
        <v>0.25</v>
      </c>
      <c r="O3509" s="0" t="n">
        <f aca="false">E3509*E3509</f>
        <v>0.5625</v>
      </c>
      <c r="P3509" s="0" t="n">
        <f aca="false">F3509*F3509</f>
        <v>0.5625</v>
      </c>
      <c r="Q3509" s="0" t="n">
        <f aca="false">SUMPRODUCT(G3509:P3509,_XtX!$B$71:$K$71)</f>
        <v>44.5315340909091</v>
      </c>
      <c r="R3509" s="0" t="n">
        <f aca="false">SUMPRODUCT(MMULT(G3509:P3509,_XtX!$B$58:$K$67),G3509:P3509)</f>
        <v>0.295232599431818</v>
      </c>
      <c r="S3509" s="0" t="n">
        <f aca="false">04_回帰ANOVA!$K$19*04_回帰ANOVA!$K$14*SQRT(1+R3509)</f>
        <v>1.05813363442154</v>
      </c>
      <c r="T3509" s="0" t="n">
        <f aca="false">Q3509-S3509</f>
        <v>43.4734004564876</v>
      </c>
      <c r="U3509" s="0" t="n">
        <f aca="false">Q3509+S3509</f>
        <v>45.5896677253307</v>
      </c>
      <c r="V3509" s="54" t="b">
        <f aca="false">AND(D3509&gt;=01_因子設定!$L$5-0.000000001,D3509&lt;=01_因子設定!$M$5+0.000000001,E3509&gt;=01_因子設定!$L$6-0.000000001,E3509&lt;=01_因子設定!$M$6+0.000000001,F3509&gt;=01_因子設定!$L$7-0.000000001,F3509&lt;=01_因子設定!$M$7+0.000000001,IF(01_因子設定!$B$20="Box-Behnken",D3509^2+E3509^2+F3509^2&lt;=2+0.000000001,TRUE()))</f>
        <v>1</v>
      </c>
      <c r="W3509" s="55" t="n">
        <f aca="false">IF(V3509,IF(01_因子設定!$B$13="最大化",T3509-01_因子設定!$B$14,IF(01_因子設定!$B$13="最小化",01_因子設定!$B$15-U3509,MIN(T3509-01_因子設定!$B$14,01_因子設定!$B$15-U3509))),-1E+030)</f>
        <v>-5.02659954351243</v>
      </c>
      <c r="X3509" s="55" t="n">
        <f aca="false">IF(V3509,IF(01_因子設定!$B$13="最大化",Q3509,IF(01_因子設定!$B$13="最小化",-Q3509,-ABS(Q3509-01_因子設定!$B$16))),-1E+030)</f>
        <v>44.5315340909091</v>
      </c>
      <c r="Y3509" s="55" t="n">
        <f aca="false">W3509+ROW()*0.000000001</f>
        <v>-5.02659603451243</v>
      </c>
      <c r="Z3509" s="55" t="n">
        <f aca="false">X3509+ROW()*0.000000001</f>
        <v>44.5315375999091</v>
      </c>
    </row>
    <row r="3510" customFormat="false" ht="15" hidden="false" customHeight="false" outlineLevel="0" collapsed="false">
      <c r="A3510" s="0" t="n">
        <v>12</v>
      </c>
      <c r="B3510" s="0" t="n">
        <v>2</v>
      </c>
      <c r="C3510" s="0" t="n">
        <v>3</v>
      </c>
      <c r="D3510" s="0" t="n">
        <f aca="false">-1+A3510*0.125</f>
        <v>0.5</v>
      </c>
      <c r="E3510" s="0" t="n">
        <f aca="false">-1+B3510*0.125</f>
        <v>-0.75</v>
      </c>
      <c r="F3510" s="0" t="n">
        <f aca="false">-1+C3510*0.125</f>
        <v>-0.625</v>
      </c>
      <c r="G3510" s="0" t="n">
        <f aca="false">1</f>
        <v>1</v>
      </c>
      <c r="H3510" s="0" t="n">
        <f aca="false">D3510</f>
        <v>0.5</v>
      </c>
      <c r="I3510" s="0" t="n">
        <f aca="false">E3510</f>
        <v>-0.75</v>
      </c>
      <c r="J3510" s="0" t="n">
        <f aca="false">F3510</f>
        <v>-0.625</v>
      </c>
      <c r="K3510" s="0" t="n">
        <f aca="false">D3510*E3510</f>
        <v>-0.375</v>
      </c>
      <c r="L3510" s="0" t="n">
        <f aca="false">D3510*F3510</f>
        <v>-0.3125</v>
      </c>
      <c r="M3510" s="0" t="n">
        <f aca="false">E3510*F3510</f>
        <v>0.46875</v>
      </c>
      <c r="N3510" s="0" t="n">
        <f aca="false">D3510*D3510</f>
        <v>0.25</v>
      </c>
      <c r="O3510" s="0" t="n">
        <f aca="false">E3510*E3510</f>
        <v>0.5625</v>
      </c>
      <c r="P3510" s="0" t="n">
        <f aca="false">F3510*F3510</f>
        <v>0.390625</v>
      </c>
      <c r="Q3510" s="0" t="n">
        <f aca="false">SUMPRODUCT(G3510:P3510,_XtX!$B$71:$K$71)</f>
        <v>44.8548153409091</v>
      </c>
      <c r="R3510" s="0" t="n">
        <f aca="false">SUMPRODUCT(MMULT(G3510:P3510,_XtX!$B$58:$K$67),G3510:P3510)</f>
        <v>0.254729669744318</v>
      </c>
      <c r="S3510" s="0" t="n">
        <f aca="false">04_回帰ANOVA!$K$19*04_回帰ANOVA!$K$14*SQRT(1+R3510)</f>
        <v>1.04145790281631</v>
      </c>
      <c r="T3510" s="0" t="n">
        <f aca="false">Q3510-S3510</f>
        <v>43.8133574380928</v>
      </c>
      <c r="U3510" s="0" t="n">
        <f aca="false">Q3510+S3510</f>
        <v>45.8962732437254</v>
      </c>
      <c r="V3510" s="54" t="b">
        <f aca="false">AND(D3510&gt;=01_因子設定!$L$5-0.000000001,D3510&lt;=01_因子設定!$M$5+0.000000001,E3510&gt;=01_因子設定!$L$6-0.000000001,E3510&lt;=01_因子設定!$M$6+0.000000001,F3510&gt;=01_因子設定!$L$7-0.000000001,F3510&lt;=01_因子設定!$M$7+0.000000001,IF(01_因子設定!$B$20="Box-Behnken",D3510^2+E3510^2+F3510^2&lt;=2+0.000000001,TRUE()))</f>
        <v>1</v>
      </c>
      <c r="W3510" s="55" t="n">
        <f aca="false">IF(V3510,IF(01_因子設定!$B$13="最大化",T3510-01_因子設定!$B$14,IF(01_因子設定!$B$13="最小化",01_因子設定!$B$15-U3510,MIN(T3510-01_因子設定!$B$14,01_因子設定!$B$15-U3510))),-1E+030)</f>
        <v>-4.68664256190721</v>
      </c>
      <c r="X3510" s="55" t="n">
        <f aca="false">IF(V3510,IF(01_因子設定!$B$13="最大化",Q3510,IF(01_因子設定!$B$13="最小化",-Q3510,-ABS(Q3510-01_因子設定!$B$16))),-1E+030)</f>
        <v>44.8548153409091</v>
      </c>
      <c r="Y3510" s="55" t="n">
        <f aca="false">W3510+ROW()*0.000000001</f>
        <v>-4.68663905190721</v>
      </c>
      <c r="Z3510" s="55" t="n">
        <f aca="false">X3510+ROW()*0.000000001</f>
        <v>44.8548188509091</v>
      </c>
    </row>
    <row r="3511" customFormat="false" ht="15" hidden="false" customHeight="false" outlineLevel="0" collapsed="false">
      <c r="A3511" s="0" t="n">
        <v>12</v>
      </c>
      <c r="B3511" s="0" t="n">
        <v>2</v>
      </c>
      <c r="C3511" s="0" t="n">
        <v>4</v>
      </c>
      <c r="D3511" s="0" t="n">
        <f aca="false">-1+A3511*0.125</f>
        <v>0.5</v>
      </c>
      <c r="E3511" s="0" t="n">
        <f aca="false">-1+B3511*0.125</f>
        <v>-0.75</v>
      </c>
      <c r="F3511" s="0" t="n">
        <f aca="false">-1+C3511*0.125</f>
        <v>-0.5</v>
      </c>
      <c r="G3511" s="0" t="n">
        <f aca="false">1</f>
        <v>1</v>
      </c>
      <c r="H3511" s="0" t="n">
        <f aca="false">D3511</f>
        <v>0.5</v>
      </c>
      <c r="I3511" s="0" t="n">
        <f aca="false">E3511</f>
        <v>-0.75</v>
      </c>
      <c r="J3511" s="0" t="n">
        <f aca="false">F3511</f>
        <v>-0.5</v>
      </c>
      <c r="K3511" s="0" t="n">
        <f aca="false">D3511*E3511</f>
        <v>-0.375</v>
      </c>
      <c r="L3511" s="0" t="n">
        <f aca="false">D3511*F3511</f>
        <v>-0.25</v>
      </c>
      <c r="M3511" s="0" t="n">
        <f aca="false">E3511*F3511</f>
        <v>0.375</v>
      </c>
      <c r="N3511" s="0" t="n">
        <f aca="false">D3511*D3511</f>
        <v>0.25</v>
      </c>
      <c r="O3511" s="0" t="n">
        <f aca="false">E3511*E3511</f>
        <v>0.5625</v>
      </c>
      <c r="P3511" s="0" t="n">
        <f aca="false">F3511*F3511</f>
        <v>0.25</v>
      </c>
      <c r="Q3511" s="0" t="n">
        <f aca="false">SUMPRODUCT(G3511:P3511,_XtX!$B$71:$K$71)</f>
        <v>45.1413068181818</v>
      </c>
      <c r="R3511" s="0" t="n">
        <f aca="false">SUMPRODUCT(MMULT(G3511:P3511,_XtX!$B$58:$K$67),G3511:P3511)</f>
        <v>0.237571022727273</v>
      </c>
      <c r="S3511" s="0" t="n">
        <f aca="false">04_回帰ANOVA!$K$19*04_回帰ANOVA!$K$14*SQRT(1+R3511)</f>
        <v>1.0343123302758</v>
      </c>
      <c r="T3511" s="0" t="n">
        <f aca="false">Q3511-S3511</f>
        <v>44.106994487906</v>
      </c>
      <c r="U3511" s="0" t="n">
        <f aca="false">Q3511+S3511</f>
        <v>46.1756191484576</v>
      </c>
      <c r="V3511" s="54" t="b">
        <f aca="false">AND(D3511&gt;=01_因子設定!$L$5-0.000000001,D3511&lt;=01_因子設定!$M$5+0.000000001,E3511&gt;=01_因子設定!$L$6-0.000000001,E3511&lt;=01_因子設定!$M$6+0.000000001,F3511&gt;=01_因子設定!$L$7-0.000000001,F3511&lt;=01_因子設定!$M$7+0.000000001,IF(01_因子設定!$B$20="Box-Behnken",D3511^2+E3511^2+F3511^2&lt;=2+0.000000001,TRUE()))</f>
        <v>1</v>
      </c>
      <c r="W3511" s="55" t="n">
        <f aca="false">IF(V3511,IF(01_因子設定!$B$13="最大化",T3511-01_因子設定!$B$14,IF(01_因子設定!$B$13="最小化",01_因子設定!$B$15-U3511,MIN(T3511-01_因子設定!$B$14,01_因子設定!$B$15-U3511))),-1E+030)</f>
        <v>-4.39300551209397</v>
      </c>
      <c r="X3511" s="55" t="n">
        <f aca="false">IF(V3511,IF(01_因子設定!$B$13="最大化",Q3511,IF(01_因子設定!$B$13="最小化",-Q3511,-ABS(Q3511-01_因子設定!$B$16))),-1E+030)</f>
        <v>45.1413068181818</v>
      </c>
      <c r="Y3511" s="55" t="n">
        <f aca="false">W3511+ROW()*0.000000001</f>
        <v>-4.39300200109397</v>
      </c>
      <c r="Z3511" s="55" t="n">
        <f aca="false">X3511+ROW()*0.000000001</f>
        <v>45.1413103291818</v>
      </c>
    </row>
    <row r="3512" customFormat="false" ht="15" hidden="false" customHeight="false" outlineLevel="0" collapsed="false">
      <c r="A3512" s="0" t="n">
        <v>12</v>
      </c>
      <c r="B3512" s="0" t="n">
        <v>2</v>
      </c>
      <c r="C3512" s="0" t="n">
        <v>5</v>
      </c>
      <c r="D3512" s="0" t="n">
        <f aca="false">-1+A3512*0.125</f>
        <v>0.5</v>
      </c>
      <c r="E3512" s="0" t="n">
        <f aca="false">-1+B3512*0.125</f>
        <v>-0.75</v>
      </c>
      <c r="F3512" s="0" t="n">
        <f aca="false">-1+C3512*0.125</f>
        <v>-0.375</v>
      </c>
      <c r="G3512" s="0" t="n">
        <f aca="false">1</f>
        <v>1</v>
      </c>
      <c r="H3512" s="0" t="n">
        <f aca="false">D3512</f>
        <v>0.5</v>
      </c>
      <c r="I3512" s="0" t="n">
        <f aca="false">E3512</f>
        <v>-0.75</v>
      </c>
      <c r="J3512" s="0" t="n">
        <f aca="false">F3512</f>
        <v>-0.375</v>
      </c>
      <c r="K3512" s="0" t="n">
        <f aca="false">D3512*E3512</f>
        <v>-0.375</v>
      </c>
      <c r="L3512" s="0" t="n">
        <f aca="false">D3512*F3512</f>
        <v>-0.1875</v>
      </c>
      <c r="M3512" s="0" t="n">
        <f aca="false">E3512*F3512</f>
        <v>0.28125</v>
      </c>
      <c r="N3512" s="0" t="n">
        <f aca="false">D3512*D3512</f>
        <v>0.25</v>
      </c>
      <c r="O3512" s="0" t="n">
        <f aca="false">E3512*E3512</f>
        <v>0.5625</v>
      </c>
      <c r="P3512" s="0" t="n">
        <f aca="false">F3512*F3512</f>
        <v>0.140625</v>
      </c>
      <c r="Q3512" s="0" t="n">
        <f aca="false">SUMPRODUCT(G3512:P3512,_XtX!$B$71:$K$71)</f>
        <v>45.3910085227273</v>
      </c>
      <c r="R3512" s="0" t="n">
        <f aca="false">SUMPRODUCT(MMULT(G3512:P3512,_XtX!$B$58:$K$67),G3512:P3512)</f>
        <v>0.234168590198864</v>
      </c>
      <c r="S3512" s="0" t="n">
        <f aca="false">04_回帰ANOVA!$K$19*04_回帰ANOVA!$K$14*SQRT(1+R3512)</f>
        <v>1.03288954322488</v>
      </c>
      <c r="T3512" s="0" t="n">
        <f aca="false">Q3512-S3512</f>
        <v>44.3581189795024</v>
      </c>
      <c r="U3512" s="0" t="n">
        <f aca="false">Q3512+S3512</f>
        <v>46.4238980659522</v>
      </c>
      <c r="V3512" s="54" t="b">
        <f aca="false">AND(D3512&gt;=01_因子設定!$L$5-0.000000001,D3512&lt;=01_因子設定!$M$5+0.000000001,E3512&gt;=01_因子設定!$L$6-0.000000001,E3512&lt;=01_因子設定!$M$6+0.000000001,F3512&gt;=01_因子設定!$L$7-0.000000001,F3512&lt;=01_因子設定!$M$7+0.000000001,IF(01_因子設定!$B$20="Box-Behnken",D3512^2+E3512^2+F3512^2&lt;=2+0.000000001,TRUE()))</f>
        <v>1</v>
      </c>
      <c r="W3512" s="55" t="n">
        <f aca="false">IF(V3512,IF(01_因子設定!$B$13="最大化",T3512-01_因子設定!$B$14,IF(01_因子設定!$B$13="最小化",01_因子設定!$B$15-U3512,MIN(T3512-01_因子設定!$B$14,01_因子設定!$B$15-U3512))),-1E+030)</f>
        <v>-4.14188102049759</v>
      </c>
      <c r="X3512" s="55" t="n">
        <f aca="false">IF(V3512,IF(01_因子設定!$B$13="最大化",Q3512,IF(01_因子設定!$B$13="最小化",-Q3512,-ABS(Q3512-01_因子設定!$B$16))),-1E+030)</f>
        <v>45.3910085227273</v>
      </c>
      <c r="Y3512" s="55" t="n">
        <f aca="false">W3512+ROW()*0.000000001</f>
        <v>-4.14187750849759</v>
      </c>
      <c r="Z3512" s="55" t="n">
        <f aca="false">X3512+ROW()*0.000000001</f>
        <v>45.3910120347273</v>
      </c>
    </row>
    <row r="3513" customFormat="false" ht="15" hidden="false" customHeight="false" outlineLevel="0" collapsed="false">
      <c r="A3513" s="0" t="n">
        <v>12</v>
      </c>
      <c r="B3513" s="0" t="n">
        <v>2</v>
      </c>
      <c r="C3513" s="0" t="n">
        <v>6</v>
      </c>
      <c r="D3513" s="0" t="n">
        <f aca="false">-1+A3513*0.125</f>
        <v>0.5</v>
      </c>
      <c r="E3513" s="0" t="n">
        <f aca="false">-1+B3513*0.125</f>
        <v>-0.75</v>
      </c>
      <c r="F3513" s="0" t="n">
        <f aca="false">-1+C3513*0.125</f>
        <v>-0.25</v>
      </c>
      <c r="G3513" s="0" t="n">
        <f aca="false">1</f>
        <v>1</v>
      </c>
      <c r="H3513" s="0" t="n">
        <f aca="false">D3513</f>
        <v>0.5</v>
      </c>
      <c r="I3513" s="0" t="n">
        <f aca="false">E3513</f>
        <v>-0.75</v>
      </c>
      <c r="J3513" s="0" t="n">
        <f aca="false">F3513</f>
        <v>-0.25</v>
      </c>
      <c r="K3513" s="0" t="n">
        <f aca="false">D3513*E3513</f>
        <v>-0.375</v>
      </c>
      <c r="L3513" s="0" t="n">
        <f aca="false">D3513*F3513</f>
        <v>-0.125</v>
      </c>
      <c r="M3513" s="0" t="n">
        <f aca="false">E3513*F3513</f>
        <v>0.1875</v>
      </c>
      <c r="N3513" s="0" t="n">
        <f aca="false">D3513*D3513</f>
        <v>0.25</v>
      </c>
      <c r="O3513" s="0" t="n">
        <f aca="false">E3513*E3513</f>
        <v>0.5625</v>
      </c>
      <c r="P3513" s="0" t="n">
        <f aca="false">F3513*F3513</f>
        <v>0.0625</v>
      </c>
      <c r="Q3513" s="0" t="n">
        <f aca="false">SUMPRODUCT(G3513:P3513,_XtX!$B$71:$K$71)</f>
        <v>45.6039204545455</v>
      </c>
      <c r="R3513" s="0" t="n">
        <f aca="false">SUMPRODUCT(MMULT(G3513:P3513,_XtX!$B$58:$K$67),G3513:P3513)</f>
        <v>0.237064985795455</v>
      </c>
      <c r="S3513" s="0" t="n">
        <f aca="false">04_回帰ANOVA!$K$19*04_回帰ANOVA!$K$14*SQRT(1+R3513)</f>
        <v>1.03410084594745</v>
      </c>
      <c r="T3513" s="0" t="n">
        <f aca="false">Q3513-S3513</f>
        <v>44.569819608598</v>
      </c>
      <c r="U3513" s="0" t="n">
        <f aca="false">Q3513+S3513</f>
        <v>46.6380213004929</v>
      </c>
      <c r="V3513" s="54" t="b">
        <f aca="false">AND(D3513&gt;=01_因子設定!$L$5-0.000000001,D3513&lt;=01_因子設定!$M$5+0.000000001,E3513&gt;=01_因子設定!$L$6-0.000000001,E3513&lt;=01_因子設定!$M$6+0.000000001,F3513&gt;=01_因子設定!$L$7-0.000000001,F3513&lt;=01_因子設定!$M$7+0.000000001,IF(01_因子設定!$B$20="Box-Behnken",D3513^2+E3513^2+F3513^2&lt;=2+0.000000001,TRUE()))</f>
        <v>1</v>
      </c>
      <c r="W3513" s="55" t="n">
        <f aca="false">IF(V3513,IF(01_因子設定!$B$13="最大化",T3513-01_因子設定!$B$14,IF(01_因子設定!$B$13="最小化",01_因子設定!$B$15-U3513,MIN(T3513-01_因子設定!$B$14,01_因子設定!$B$15-U3513))),-1E+030)</f>
        <v>-3.93018039140198</v>
      </c>
      <c r="X3513" s="55" t="n">
        <f aca="false">IF(V3513,IF(01_因子設定!$B$13="最大化",Q3513,IF(01_因子設定!$B$13="最小化",-Q3513,-ABS(Q3513-01_因子設定!$B$16))),-1E+030)</f>
        <v>45.6039204545455</v>
      </c>
      <c r="Y3513" s="55" t="n">
        <f aca="false">W3513+ROW()*0.000000001</f>
        <v>-3.93017687840198</v>
      </c>
      <c r="Z3513" s="55" t="n">
        <f aca="false">X3513+ROW()*0.000000001</f>
        <v>45.6039239675455</v>
      </c>
    </row>
    <row r="3514" customFormat="false" ht="15" hidden="false" customHeight="false" outlineLevel="0" collapsed="false">
      <c r="A3514" s="0" t="n">
        <v>12</v>
      </c>
      <c r="B3514" s="0" t="n">
        <v>2</v>
      </c>
      <c r="C3514" s="0" t="n">
        <v>7</v>
      </c>
      <c r="D3514" s="0" t="n">
        <f aca="false">-1+A3514*0.125</f>
        <v>0.5</v>
      </c>
      <c r="E3514" s="0" t="n">
        <f aca="false">-1+B3514*0.125</f>
        <v>-0.75</v>
      </c>
      <c r="F3514" s="0" t="n">
        <f aca="false">-1+C3514*0.125</f>
        <v>-0.125</v>
      </c>
      <c r="G3514" s="0" t="n">
        <f aca="false">1</f>
        <v>1</v>
      </c>
      <c r="H3514" s="0" t="n">
        <f aca="false">D3514</f>
        <v>0.5</v>
      </c>
      <c r="I3514" s="0" t="n">
        <f aca="false">E3514</f>
        <v>-0.75</v>
      </c>
      <c r="J3514" s="0" t="n">
        <f aca="false">F3514</f>
        <v>-0.125</v>
      </c>
      <c r="K3514" s="0" t="n">
        <f aca="false">D3514*E3514</f>
        <v>-0.375</v>
      </c>
      <c r="L3514" s="0" t="n">
        <f aca="false">D3514*F3514</f>
        <v>-0.0625</v>
      </c>
      <c r="M3514" s="0" t="n">
        <f aca="false">E3514*F3514</f>
        <v>0.09375</v>
      </c>
      <c r="N3514" s="0" t="n">
        <f aca="false">D3514*D3514</f>
        <v>0.25</v>
      </c>
      <c r="O3514" s="0" t="n">
        <f aca="false">E3514*E3514</f>
        <v>0.5625</v>
      </c>
      <c r="P3514" s="0" t="n">
        <f aca="false">F3514*F3514</f>
        <v>0.015625</v>
      </c>
      <c r="Q3514" s="0" t="n">
        <f aca="false">SUMPRODUCT(G3514:P3514,_XtX!$B$71:$K$71)</f>
        <v>45.7800426136364</v>
      </c>
      <c r="R3514" s="0" t="n">
        <f aca="false">SUMPRODUCT(MMULT(G3514:P3514,_XtX!$B$58:$K$67),G3514:P3514)</f>
        <v>0.240933504971591</v>
      </c>
      <c r="S3514" s="0" t="n">
        <f aca="false">04_回帰ANOVA!$K$19*04_回帰ANOVA!$K$14*SQRT(1+R3514)</f>
        <v>1.03571649118863</v>
      </c>
      <c r="T3514" s="0" t="n">
        <f aca="false">Q3514-S3514</f>
        <v>44.7443261224477</v>
      </c>
      <c r="U3514" s="0" t="n">
        <f aca="false">Q3514+S3514</f>
        <v>46.815759104825</v>
      </c>
      <c r="V3514" s="54" t="b">
        <f aca="false">AND(D3514&gt;=01_因子設定!$L$5-0.000000001,D3514&lt;=01_因子設定!$M$5+0.000000001,E3514&gt;=01_因子設定!$L$6-0.000000001,E3514&lt;=01_因子設定!$M$6+0.000000001,F3514&gt;=01_因子設定!$L$7-0.000000001,F3514&lt;=01_因子設定!$M$7+0.000000001,IF(01_因子設定!$B$20="Box-Behnken",D3514^2+E3514^2+F3514^2&lt;=2+0.000000001,TRUE()))</f>
        <v>1</v>
      </c>
      <c r="W3514" s="55" t="n">
        <f aca="false">IF(V3514,IF(01_因子設定!$B$13="最大化",T3514-01_因子設定!$B$14,IF(01_因子設定!$B$13="最小化",01_因子設定!$B$15-U3514,MIN(T3514-01_因子設定!$B$14,01_因子設定!$B$15-U3514))),-1E+030)</f>
        <v>-3.75567387755225</v>
      </c>
      <c r="X3514" s="55" t="n">
        <f aca="false">IF(V3514,IF(01_因子設定!$B$13="最大化",Q3514,IF(01_因子設定!$B$13="最小化",-Q3514,-ABS(Q3514-01_因子設定!$B$16))),-1E+030)</f>
        <v>45.7800426136364</v>
      </c>
      <c r="Y3514" s="55" t="n">
        <f aca="false">W3514+ROW()*0.000000001</f>
        <v>-3.75567036355226</v>
      </c>
      <c r="Z3514" s="55" t="n">
        <f aca="false">X3514+ROW()*0.000000001</f>
        <v>45.7800461276364</v>
      </c>
    </row>
    <row r="3515" customFormat="false" ht="15" hidden="false" customHeight="false" outlineLevel="0" collapsed="false">
      <c r="A3515" s="0" t="n">
        <v>12</v>
      </c>
      <c r="B3515" s="0" t="n">
        <v>2</v>
      </c>
      <c r="C3515" s="0" t="n">
        <v>8</v>
      </c>
      <c r="D3515" s="0" t="n">
        <f aca="false">-1+A3515*0.125</f>
        <v>0.5</v>
      </c>
      <c r="E3515" s="0" t="n">
        <f aca="false">-1+B3515*0.125</f>
        <v>-0.75</v>
      </c>
      <c r="F3515" s="0" t="n">
        <f aca="false">-1+C3515*0.125</f>
        <v>0</v>
      </c>
      <c r="G3515" s="0" t="n">
        <f aca="false">1</f>
        <v>1</v>
      </c>
      <c r="H3515" s="0" t="n">
        <f aca="false">D3515</f>
        <v>0.5</v>
      </c>
      <c r="I3515" s="0" t="n">
        <f aca="false">E3515</f>
        <v>-0.75</v>
      </c>
      <c r="J3515" s="0" t="n">
        <f aca="false">F3515</f>
        <v>0</v>
      </c>
      <c r="K3515" s="0" t="n">
        <f aca="false">D3515*E3515</f>
        <v>-0.375</v>
      </c>
      <c r="L3515" s="0" t="n">
        <f aca="false">D3515*F3515</f>
        <v>0</v>
      </c>
      <c r="M3515" s="0" t="n">
        <f aca="false">E3515*F3515</f>
        <v>-0</v>
      </c>
      <c r="N3515" s="0" t="n">
        <f aca="false">D3515*D3515</f>
        <v>0.25</v>
      </c>
      <c r="O3515" s="0" t="n">
        <f aca="false">E3515*E3515</f>
        <v>0.5625</v>
      </c>
      <c r="P3515" s="0" t="n">
        <f aca="false">F3515*F3515</f>
        <v>0</v>
      </c>
      <c r="Q3515" s="0" t="n">
        <f aca="false">SUMPRODUCT(G3515:P3515,_XtX!$B$71:$K$71)</f>
        <v>45.919375</v>
      </c>
      <c r="R3515" s="0" t="n">
        <f aca="false">SUMPRODUCT(MMULT(G3515:P3515,_XtX!$B$58:$K$67),G3515:P3515)</f>
        <v>0.242578125</v>
      </c>
      <c r="S3515" s="0" t="n">
        <f aca="false">04_回帰ANOVA!$K$19*04_回帰ANOVA!$K$14*SQRT(1+R3515)</f>
        <v>1.03640258600455</v>
      </c>
      <c r="T3515" s="0" t="n">
        <f aca="false">Q3515-S3515</f>
        <v>44.8829724139955</v>
      </c>
      <c r="U3515" s="0" t="n">
        <f aca="false">Q3515+S3515</f>
        <v>46.9557775860046</v>
      </c>
      <c r="V3515" s="54" t="b">
        <f aca="false">AND(D3515&gt;=01_因子設定!$L$5-0.000000001,D3515&lt;=01_因子設定!$M$5+0.000000001,E3515&gt;=01_因子設定!$L$6-0.000000001,E3515&lt;=01_因子設定!$M$6+0.000000001,F3515&gt;=01_因子設定!$L$7-0.000000001,F3515&lt;=01_因子設定!$M$7+0.000000001,IF(01_因子設定!$B$20="Box-Behnken",D3515^2+E3515^2+F3515^2&lt;=2+0.000000001,TRUE()))</f>
        <v>1</v>
      </c>
      <c r="W3515" s="55" t="n">
        <f aca="false">IF(V3515,IF(01_因子設定!$B$13="最大化",T3515-01_因子設定!$B$14,IF(01_因子設定!$B$13="最小化",01_因子設定!$B$15-U3515,MIN(T3515-01_因子設定!$B$14,01_因子設定!$B$15-U3515))),-1E+030)</f>
        <v>-3.61702758600454</v>
      </c>
      <c r="X3515" s="55" t="n">
        <f aca="false">IF(V3515,IF(01_因子設定!$B$13="最大化",Q3515,IF(01_因子設定!$B$13="最小化",-Q3515,-ABS(Q3515-01_因子設定!$B$16))),-1E+030)</f>
        <v>45.919375</v>
      </c>
      <c r="Y3515" s="55" t="n">
        <f aca="false">W3515+ROW()*0.000000001</f>
        <v>-3.61702407100454</v>
      </c>
      <c r="Z3515" s="55" t="n">
        <f aca="false">X3515+ROW()*0.000000001</f>
        <v>45.919378515</v>
      </c>
    </row>
    <row r="3516" customFormat="false" ht="15" hidden="false" customHeight="false" outlineLevel="0" collapsed="false">
      <c r="A3516" s="0" t="n">
        <v>12</v>
      </c>
      <c r="B3516" s="0" t="n">
        <v>2</v>
      </c>
      <c r="C3516" s="0" t="n">
        <v>9</v>
      </c>
      <c r="D3516" s="0" t="n">
        <f aca="false">-1+A3516*0.125</f>
        <v>0.5</v>
      </c>
      <c r="E3516" s="0" t="n">
        <f aca="false">-1+B3516*0.125</f>
        <v>-0.75</v>
      </c>
      <c r="F3516" s="0" t="n">
        <f aca="false">-1+C3516*0.125</f>
        <v>0.125</v>
      </c>
      <c r="G3516" s="0" t="n">
        <f aca="false">1</f>
        <v>1</v>
      </c>
      <c r="H3516" s="0" t="n">
        <f aca="false">D3516</f>
        <v>0.5</v>
      </c>
      <c r="I3516" s="0" t="n">
        <f aca="false">E3516</f>
        <v>-0.75</v>
      </c>
      <c r="J3516" s="0" t="n">
        <f aca="false">F3516</f>
        <v>0.125</v>
      </c>
      <c r="K3516" s="0" t="n">
        <f aca="false">D3516*E3516</f>
        <v>-0.375</v>
      </c>
      <c r="L3516" s="0" t="n">
        <f aca="false">D3516*F3516</f>
        <v>0.0625</v>
      </c>
      <c r="M3516" s="0" t="n">
        <f aca="false">E3516*F3516</f>
        <v>-0.09375</v>
      </c>
      <c r="N3516" s="0" t="n">
        <f aca="false">D3516*D3516</f>
        <v>0.25</v>
      </c>
      <c r="O3516" s="0" t="n">
        <f aca="false">E3516*E3516</f>
        <v>0.5625</v>
      </c>
      <c r="P3516" s="0" t="n">
        <f aca="false">F3516*F3516</f>
        <v>0.015625</v>
      </c>
      <c r="Q3516" s="0" t="n">
        <f aca="false">SUMPRODUCT(G3516:P3516,_XtX!$B$71:$K$71)</f>
        <v>46.0219176136364</v>
      </c>
      <c r="R3516" s="0" t="n">
        <f aca="false">SUMPRODUCT(MMULT(G3516:P3516,_XtX!$B$58:$K$67),G3516:P3516)</f>
        <v>0.240933504971591</v>
      </c>
      <c r="S3516" s="0" t="n">
        <f aca="false">04_回帰ANOVA!$K$19*04_回帰ANOVA!$K$14*SQRT(1+R3516)</f>
        <v>1.03571649118863</v>
      </c>
      <c r="T3516" s="0" t="n">
        <f aca="false">Q3516-S3516</f>
        <v>44.9862011224477</v>
      </c>
      <c r="U3516" s="0" t="n">
        <f aca="false">Q3516+S3516</f>
        <v>47.057634104825</v>
      </c>
      <c r="V3516" s="54" t="b">
        <f aca="false">AND(D3516&gt;=01_因子設定!$L$5-0.000000001,D3516&lt;=01_因子設定!$M$5+0.000000001,E3516&gt;=01_因子設定!$L$6-0.000000001,E3516&lt;=01_因子設定!$M$6+0.000000001,F3516&gt;=01_因子設定!$L$7-0.000000001,F3516&lt;=01_因子設定!$M$7+0.000000001,IF(01_因子設定!$B$20="Box-Behnken",D3516^2+E3516^2+F3516^2&lt;=2+0.000000001,TRUE()))</f>
        <v>1</v>
      </c>
      <c r="W3516" s="55" t="n">
        <f aca="false">IF(V3516,IF(01_因子設定!$B$13="最大化",T3516-01_因子設定!$B$14,IF(01_因子設定!$B$13="最小化",01_因子設定!$B$15-U3516,MIN(T3516-01_因子設定!$B$14,01_因子設定!$B$15-U3516))),-1E+030)</f>
        <v>-3.51379887755225</v>
      </c>
      <c r="X3516" s="55" t="n">
        <f aca="false">IF(V3516,IF(01_因子設定!$B$13="最大化",Q3516,IF(01_因子設定!$B$13="最小化",-Q3516,-ABS(Q3516-01_因子設定!$B$16))),-1E+030)</f>
        <v>46.0219176136364</v>
      </c>
      <c r="Y3516" s="55" t="n">
        <f aca="false">W3516+ROW()*0.000000001</f>
        <v>-3.51379536155225</v>
      </c>
      <c r="Z3516" s="55" t="n">
        <f aca="false">X3516+ROW()*0.000000001</f>
        <v>46.0219211296364</v>
      </c>
    </row>
    <row r="3517" customFormat="false" ht="15" hidden="false" customHeight="false" outlineLevel="0" collapsed="false">
      <c r="A3517" s="0" t="n">
        <v>12</v>
      </c>
      <c r="B3517" s="0" t="n">
        <v>2</v>
      </c>
      <c r="C3517" s="0" t="n">
        <v>10</v>
      </c>
      <c r="D3517" s="0" t="n">
        <f aca="false">-1+A3517*0.125</f>
        <v>0.5</v>
      </c>
      <c r="E3517" s="0" t="n">
        <f aca="false">-1+B3517*0.125</f>
        <v>-0.75</v>
      </c>
      <c r="F3517" s="0" t="n">
        <f aca="false">-1+C3517*0.125</f>
        <v>0.25</v>
      </c>
      <c r="G3517" s="0" t="n">
        <f aca="false">1</f>
        <v>1</v>
      </c>
      <c r="H3517" s="0" t="n">
        <f aca="false">D3517</f>
        <v>0.5</v>
      </c>
      <c r="I3517" s="0" t="n">
        <f aca="false">E3517</f>
        <v>-0.75</v>
      </c>
      <c r="J3517" s="0" t="n">
        <f aca="false">F3517</f>
        <v>0.25</v>
      </c>
      <c r="K3517" s="0" t="n">
        <f aca="false">D3517*E3517</f>
        <v>-0.375</v>
      </c>
      <c r="L3517" s="0" t="n">
        <f aca="false">D3517*F3517</f>
        <v>0.125</v>
      </c>
      <c r="M3517" s="0" t="n">
        <f aca="false">E3517*F3517</f>
        <v>-0.1875</v>
      </c>
      <c r="N3517" s="0" t="n">
        <f aca="false">D3517*D3517</f>
        <v>0.25</v>
      </c>
      <c r="O3517" s="0" t="n">
        <f aca="false">E3517*E3517</f>
        <v>0.5625</v>
      </c>
      <c r="P3517" s="0" t="n">
        <f aca="false">F3517*F3517</f>
        <v>0.0625</v>
      </c>
      <c r="Q3517" s="0" t="n">
        <f aca="false">SUMPRODUCT(G3517:P3517,_XtX!$B$71:$K$71)</f>
        <v>46.0876704545455</v>
      </c>
      <c r="R3517" s="0" t="n">
        <f aca="false">SUMPRODUCT(MMULT(G3517:P3517,_XtX!$B$58:$K$67),G3517:P3517)</f>
        <v>0.237064985795455</v>
      </c>
      <c r="S3517" s="0" t="n">
        <f aca="false">04_回帰ANOVA!$K$19*04_回帰ANOVA!$K$14*SQRT(1+R3517)</f>
        <v>1.03410084594745</v>
      </c>
      <c r="T3517" s="0" t="n">
        <f aca="false">Q3517-S3517</f>
        <v>45.053569608598</v>
      </c>
      <c r="U3517" s="0" t="n">
        <f aca="false">Q3517+S3517</f>
        <v>47.1217713004929</v>
      </c>
      <c r="V3517" s="54" t="b">
        <f aca="false">AND(D3517&gt;=01_因子設定!$L$5-0.000000001,D3517&lt;=01_因子設定!$M$5+0.000000001,E3517&gt;=01_因子設定!$L$6-0.000000001,E3517&lt;=01_因子設定!$M$6+0.000000001,F3517&gt;=01_因子設定!$L$7-0.000000001,F3517&lt;=01_因子設定!$M$7+0.000000001,IF(01_因子設定!$B$20="Box-Behnken",D3517^2+E3517^2+F3517^2&lt;=2+0.000000001,TRUE()))</f>
        <v>1</v>
      </c>
      <c r="W3517" s="55" t="n">
        <f aca="false">IF(V3517,IF(01_因子設定!$B$13="最大化",T3517-01_因子設定!$B$14,IF(01_因子設定!$B$13="最小化",01_因子設定!$B$15-U3517,MIN(T3517-01_因子設定!$B$14,01_因子設定!$B$15-U3517))),-1E+030)</f>
        <v>-3.44643039140198</v>
      </c>
      <c r="X3517" s="55" t="n">
        <f aca="false">IF(V3517,IF(01_因子設定!$B$13="最大化",Q3517,IF(01_因子設定!$B$13="最小化",-Q3517,-ABS(Q3517-01_因子設定!$B$16))),-1E+030)</f>
        <v>46.0876704545455</v>
      </c>
      <c r="Y3517" s="55" t="n">
        <f aca="false">W3517+ROW()*0.000000001</f>
        <v>-3.44642687440198</v>
      </c>
      <c r="Z3517" s="55" t="n">
        <f aca="false">X3517+ROW()*0.000000001</f>
        <v>46.0876739715455</v>
      </c>
    </row>
    <row r="3518" customFormat="false" ht="15" hidden="false" customHeight="false" outlineLevel="0" collapsed="false">
      <c r="A3518" s="0" t="n">
        <v>12</v>
      </c>
      <c r="B3518" s="0" t="n">
        <v>2</v>
      </c>
      <c r="C3518" s="0" t="n">
        <v>11</v>
      </c>
      <c r="D3518" s="0" t="n">
        <f aca="false">-1+A3518*0.125</f>
        <v>0.5</v>
      </c>
      <c r="E3518" s="0" t="n">
        <f aca="false">-1+B3518*0.125</f>
        <v>-0.75</v>
      </c>
      <c r="F3518" s="0" t="n">
        <f aca="false">-1+C3518*0.125</f>
        <v>0.375</v>
      </c>
      <c r="G3518" s="0" t="n">
        <f aca="false">1</f>
        <v>1</v>
      </c>
      <c r="H3518" s="0" t="n">
        <f aca="false">D3518</f>
        <v>0.5</v>
      </c>
      <c r="I3518" s="0" t="n">
        <f aca="false">E3518</f>
        <v>-0.75</v>
      </c>
      <c r="J3518" s="0" t="n">
        <f aca="false">F3518</f>
        <v>0.375</v>
      </c>
      <c r="K3518" s="0" t="n">
        <f aca="false">D3518*E3518</f>
        <v>-0.375</v>
      </c>
      <c r="L3518" s="0" t="n">
        <f aca="false">D3518*F3518</f>
        <v>0.1875</v>
      </c>
      <c r="M3518" s="0" t="n">
        <f aca="false">E3518*F3518</f>
        <v>-0.28125</v>
      </c>
      <c r="N3518" s="0" t="n">
        <f aca="false">D3518*D3518</f>
        <v>0.25</v>
      </c>
      <c r="O3518" s="0" t="n">
        <f aca="false">E3518*E3518</f>
        <v>0.5625</v>
      </c>
      <c r="P3518" s="0" t="n">
        <f aca="false">F3518*F3518</f>
        <v>0.140625</v>
      </c>
      <c r="Q3518" s="0" t="n">
        <f aca="false">SUMPRODUCT(G3518:P3518,_XtX!$B$71:$K$71)</f>
        <v>46.1166335227273</v>
      </c>
      <c r="R3518" s="0" t="n">
        <f aca="false">SUMPRODUCT(MMULT(G3518:P3518,_XtX!$B$58:$K$67),G3518:P3518)</f>
        <v>0.234168590198864</v>
      </c>
      <c r="S3518" s="0" t="n">
        <f aca="false">04_回帰ANOVA!$K$19*04_回帰ANOVA!$K$14*SQRT(1+R3518)</f>
        <v>1.03288954322488</v>
      </c>
      <c r="T3518" s="0" t="n">
        <f aca="false">Q3518-S3518</f>
        <v>45.0837439795024</v>
      </c>
      <c r="U3518" s="0" t="n">
        <f aca="false">Q3518+S3518</f>
        <v>47.1495230659522</v>
      </c>
      <c r="V3518" s="54" t="b">
        <f aca="false">AND(D3518&gt;=01_因子設定!$L$5-0.000000001,D3518&lt;=01_因子設定!$M$5+0.000000001,E3518&gt;=01_因子設定!$L$6-0.000000001,E3518&lt;=01_因子設定!$M$6+0.000000001,F3518&gt;=01_因子設定!$L$7-0.000000001,F3518&lt;=01_因子設定!$M$7+0.000000001,IF(01_因子設定!$B$20="Box-Behnken",D3518^2+E3518^2+F3518^2&lt;=2+0.000000001,TRUE()))</f>
        <v>1</v>
      </c>
      <c r="W3518" s="55" t="n">
        <f aca="false">IF(V3518,IF(01_因子設定!$B$13="最大化",T3518-01_因子設定!$B$14,IF(01_因子設定!$B$13="最小化",01_因子設定!$B$15-U3518,MIN(T3518-01_因子設定!$B$14,01_因子設定!$B$15-U3518))),-1E+030)</f>
        <v>-3.41625602049759</v>
      </c>
      <c r="X3518" s="55" t="n">
        <f aca="false">IF(V3518,IF(01_因子設定!$B$13="最大化",Q3518,IF(01_因子設定!$B$13="最小化",-Q3518,-ABS(Q3518-01_因子設定!$B$16))),-1E+030)</f>
        <v>46.1166335227273</v>
      </c>
      <c r="Y3518" s="55" t="n">
        <f aca="false">W3518+ROW()*0.000000001</f>
        <v>-3.41625250249759</v>
      </c>
      <c r="Z3518" s="55" t="n">
        <f aca="false">X3518+ROW()*0.000000001</f>
        <v>46.1166370407273</v>
      </c>
    </row>
    <row r="3519" customFormat="false" ht="15" hidden="false" customHeight="false" outlineLevel="0" collapsed="false">
      <c r="A3519" s="0" t="n">
        <v>12</v>
      </c>
      <c r="B3519" s="0" t="n">
        <v>2</v>
      </c>
      <c r="C3519" s="0" t="n">
        <v>12</v>
      </c>
      <c r="D3519" s="0" t="n">
        <f aca="false">-1+A3519*0.125</f>
        <v>0.5</v>
      </c>
      <c r="E3519" s="0" t="n">
        <f aca="false">-1+B3519*0.125</f>
        <v>-0.75</v>
      </c>
      <c r="F3519" s="0" t="n">
        <f aca="false">-1+C3519*0.125</f>
        <v>0.5</v>
      </c>
      <c r="G3519" s="0" t="n">
        <f aca="false">1</f>
        <v>1</v>
      </c>
      <c r="H3519" s="0" t="n">
        <f aca="false">D3519</f>
        <v>0.5</v>
      </c>
      <c r="I3519" s="0" t="n">
        <f aca="false">E3519</f>
        <v>-0.75</v>
      </c>
      <c r="J3519" s="0" t="n">
        <f aca="false">F3519</f>
        <v>0.5</v>
      </c>
      <c r="K3519" s="0" t="n">
        <f aca="false">D3519*E3519</f>
        <v>-0.375</v>
      </c>
      <c r="L3519" s="0" t="n">
        <f aca="false">D3519*F3519</f>
        <v>0.25</v>
      </c>
      <c r="M3519" s="0" t="n">
        <f aca="false">E3519*F3519</f>
        <v>-0.375</v>
      </c>
      <c r="N3519" s="0" t="n">
        <f aca="false">D3519*D3519</f>
        <v>0.25</v>
      </c>
      <c r="O3519" s="0" t="n">
        <f aca="false">E3519*E3519</f>
        <v>0.5625</v>
      </c>
      <c r="P3519" s="0" t="n">
        <f aca="false">F3519*F3519</f>
        <v>0.25</v>
      </c>
      <c r="Q3519" s="0" t="n">
        <f aca="false">SUMPRODUCT(G3519:P3519,_XtX!$B$71:$K$71)</f>
        <v>46.1088068181818</v>
      </c>
      <c r="R3519" s="0" t="n">
        <f aca="false">SUMPRODUCT(MMULT(G3519:P3519,_XtX!$B$58:$K$67),G3519:P3519)</f>
        <v>0.237571022727273</v>
      </c>
      <c r="S3519" s="0" t="n">
        <f aca="false">04_回帰ANOVA!$K$19*04_回帰ANOVA!$K$14*SQRT(1+R3519)</f>
        <v>1.0343123302758</v>
      </c>
      <c r="T3519" s="0" t="n">
        <f aca="false">Q3519-S3519</f>
        <v>45.074494487906</v>
      </c>
      <c r="U3519" s="0" t="n">
        <f aca="false">Q3519+S3519</f>
        <v>47.1431191484576</v>
      </c>
      <c r="V3519" s="54" t="b">
        <f aca="false">AND(D3519&gt;=01_因子設定!$L$5-0.000000001,D3519&lt;=01_因子設定!$M$5+0.000000001,E3519&gt;=01_因子設定!$L$6-0.000000001,E3519&lt;=01_因子設定!$M$6+0.000000001,F3519&gt;=01_因子設定!$L$7-0.000000001,F3519&lt;=01_因子設定!$M$7+0.000000001,IF(01_因子設定!$B$20="Box-Behnken",D3519^2+E3519^2+F3519^2&lt;=2+0.000000001,TRUE()))</f>
        <v>1</v>
      </c>
      <c r="W3519" s="55" t="n">
        <f aca="false">IF(V3519,IF(01_因子設定!$B$13="最大化",T3519-01_因子設定!$B$14,IF(01_因子設定!$B$13="最小化",01_因子設定!$B$15-U3519,MIN(T3519-01_因子設定!$B$14,01_因子設定!$B$15-U3519))),-1E+030)</f>
        <v>-3.42550551209397</v>
      </c>
      <c r="X3519" s="55" t="n">
        <f aca="false">IF(V3519,IF(01_因子設定!$B$13="最大化",Q3519,IF(01_因子設定!$B$13="最小化",-Q3519,-ABS(Q3519-01_因子設定!$B$16))),-1E+030)</f>
        <v>46.1088068181818</v>
      </c>
      <c r="Y3519" s="55" t="n">
        <f aca="false">W3519+ROW()*0.000000001</f>
        <v>-3.42550199309397</v>
      </c>
      <c r="Z3519" s="55" t="n">
        <f aca="false">X3519+ROW()*0.000000001</f>
        <v>46.1088103371818</v>
      </c>
    </row>
    <row r="3520" customFormat="false" ht="15" hidden="false" customHeight="false" outlineLevel="0" collapsed="false">
      <c r="A3520" s="0" t="n">
        <v>12</v>
      </c>
      <c r="B3520" s="0" t="n">
        <v>2</v>
      </c>
      <c r="C3520" s="0" t="n">
        <v>13</v>
      </c>
      <c r="D3520" s="0" t="n">
        <f aca="false">-1+A3520*0.125</f>
        <v>0.5</v>
      </c>
      <c r="E3520" s="0" t="n">
        <f aca="false">-1+B3520*0.125</f>
        <v>-0.75</v>
      </c>
      <c r="F3520" s="0" t="n">
        <f aca="false">-1+C3520*0.125</f>
        <v>0.625</v>
      </c>
      <c r="G3520" s="0" t="n">
        <f aca="false">1</f>
        <v>1</v>
      </c>
      <c r="H3520" s="0" t="n">
        <f aca="false">D3520</f>
        <v>0.5</v>
      </c>
      <c r="I3520" s="0" t="n">
        <f aca="false">E3520</f>
        <v>-0.75</v>
      </c>
      <c r="J3520" s="0" t="n">
        <f aca="false">F3520</f>
        <v>0.625</v>
      </c>
      <c r="K3520" s="0" t="n">
        <f aca="false">D3520*E3520</f>
        <v>-0.375</v>
      </c>
      <c r="L3520" s="0" t="n">
        <f aca="false">D3520*F3520</f>
        <v>0.3125</v>
      </c>
      <c r="M3520" s="0" t="n">
        <f aca="false">E3520*F3520</f>
        <v>-0.46875</v>
      </c>
      <c r="N3520" s="0" t="n">
        <f aca="false">D3520*D3520</f>
        <v>0.25</v>
      </c>
      <c r="O3520" s="0" t="n">
        <f aca="false">E3520*E3520</f>
        <v>0.5625</v>
      </c>
      <c r="P3520" s="0" t="n">
        <f aca="false">F3520*F3520</f>
        <v>0.390625</v>
      </c>
      <c r="Q3520" s="0" t="n">
        <f aca="false">SUMPRODUCT(G3520:P3520,_XtX!$B$71:$K$71)</f>
        <v>46.0641903409091</v>
      </c>
      <c r="R3520" s="0" t="n">
        <f aca="false">SUMPRODUCT(MMULT(G3520:P3520,_XtX!$B$58:$K$67),G3520:P3520)</f>
        <v>0.254729669744318</v>
      </c>
      <c r="S3520" s="0" t="n">
        <f aca="false">04_回帰ANOVA!$K$19*04_回帰ANOVA!$K$14*SQRT(1+R3520)</f>
        <v>1.04145790281631</v>
      </c>
      <c r="T3520" s="0" t="n">
        <f aca="false">Q3520-S3520</f>
        <v>45.0227324380928</v>
      </c>
      <c r="U3520" s="0" t="n">
        <f aca="false">Q3520+S3520</f>
        <v>47.1056482437254</v>
      </c>
      <c r="V3520" s="54" t="b">
        <f aca="false">AND(D3520&gt;=01_因子設定!$L$5-0.000000001,D3520&lt;=01_因子設定!$M$5+0.000000001,E3520&gt;=01_因子設定!$L$6-0.000000001,E3520&lt;=01_因子設定!$M$6+0.000000001,F3520&gt;=01_因子設定!$L$7-0.000000001,F3520&lt;=01_因子設定!$M$7+0.000000001,IF(01_因子設定!$B$20="Box-Behnken",D3520^2+E3520^2+F3520^2&lt;=2+0.000000001,TRUE()))</f>
        <v>1</v>
      </c>
      <c r="W3520" s="55" t="n">
        <f aca="false">IF(V3520,IF(01_因子設定!$B$13="最大化",T3520-01_因子設定!$B$14,IF(01_因子設定!$B$13="最小化",01_因子設定!$B$15-U3520,MIN(T3520-01_因子設定!$B$14,01_因子設定!$B$15-U3520))),-1E+030)</f>
        <v>-3.4772675619072</v>
      </c>
      <c r="X3520" s="55" t="n">
        <f aca="false">IF(V3520,IF(01_因子設定!$B$13="最大化",Q3520,IF(01_因子設定!$B$13="最小化",-Q3520,-ABS(Q3520-01_因子設定!$B$16))),-1E+030)</f>
        <v>46.0641903409091</v>
      </c>
      <c r="Y3520" s="55" t="n">
        <f aca="false">W3520+ROW()*0.000000001</f>
        <v>-3.4772640419072</v>
      </c>
      <c r="Z3520" s="55" t="n">
        <f aca="false">X3520+ROW()*0.000000001</f>
        <v>46.0641938609091</v>
      </c>
    </row>
    <row r="3521" customFormat="false" ht="15" hidden="false" customHeight="false" outlineLevel="0" collapsed="false">
      <c r="A3521" s="0" t="n">
        <v>12</v>
      </c>
      <c r="B3521" s="0" t="n">
        <v>2</v>
      </c>
      <c r="C3521" s="0" t="n">
        <v>14</v>
      </c>
      <c r="D3521" s="0" t="n">
        <f aca="false">-1+A3521*0.125</f>
        <v>0.5</v>
      </c>
      <c r="E3521" s="0" t="n">
        <f aca="false">-1+B3521*0.125</f>
        <v>-0.75</v>
      </c>
      <c r="F3521" s="0" t="n">
        <f aca="false">-1+C3521*0.125</f>
        <v>0.75</v>
      </c>
      <c r="G3521" s="0" t="n">
        <f aca="false">1</f>
        <v>1</v>
      </c>
      <c r="H3521" s="0" t="n">
        <f aca="false">D3521</f>
        <v>0.5</v>
      </c>
      <c r="I3521" s="0" t="n">
        <f aca="false">E3521</f>
        <v>-0.75</v>
      </c>
      <c r="J3521" s="0" t="n">
        <f aca="false">F3521</f>
        <v>0.75</v>
      </c>
      <c r="K3521" s="0" t="n">
        <f aca="false">D3521*E3521</f>
        <v>-0.375</v>
      </c>
      <c r="L3521" s="0" t="n">
        <f aca="false">D3521*F3521</f>
        <v>0.375</v>
      </c>
      <c r="M3521" s="0" t="n">
        <f aca="false">E3521*F3521</f>
        <v>-0.5625</v>
      </c>
      <c r="N3521" s="0" t="n">
        <f aca="false">D3521*D3521</f>
        <v>0.25</v>
      </c>
      <c r="O3521" s="0" t="n">
        <f aca="false">E3521*E3521</f>
        <v>0.5625</v>
      </c>
      <c r="P3521" s="0" t="n">
        <f aca="false">F3521*F3521</f>
        <v>0.5625</v>
      </c>
      <c r="Q3521" s="0" t="n">
        <f aca="false">SUMPRODUCT(G3521:P3521,_XtX!$B$71:$K$71)</f>
        <v>45.9827840909091</v>
      </c>
      <c r="R3521" s="0" t="n">
        <f aca="false">SUMPRODUCT(MMULT(G3521:P3521,_XtX!$B$58:$K$67),G3521:P3521)</f>
        <v>0.295232599431818</v>
      </c>
      <c r="S3521" s="0" t="n">
        <f aca="false">04_回帰ANOVA!$K$19*04_回帰ANOVA!$K$14*SQRT(1+R3521)</f>
        <v>1.05813363442154</v>
      </c>
      <c r="T3521" s="0" t="n">
        <f aca="false">Q3521-S3521</f>
        <v>44.9246504564876</v>
      </c>
      <c r="U3521" s="0" t="n">
        <f aca="false">Q3521+S3521</f>
        <v>47.0409177253306</v>
      </c>
      <c r="V3521" s="54" t="b">
        <f aca="false">AND(D3521&gt;=01_因子設定!$L$5-0.000000001,D3521&lt;=01_因子設定!$M$5+0.000000001,E3521&gt;=01_因子設定!$L$6-0.000000001,E3521&lt;=01_因子設定!$M$6+0.000000001,F3521&gt;=01_因子設定!$L$7-0.000000001,F3521&lt;=01_因子設定!$M$7+0.000000001,IF(01_因子設定!$B$20="Box-Behnken",D3521^2+E3521^2+F3521^2&lt;=2+0.000000001,TRUE()))</f>
        <v>1</v>
      </c>
      <c r="W3521" s="55" t="n">
        <f aca="false">IF(V3521,IF(01_因子設定!$B$13="最大化",T3521-01_因子設定!$B$14,IF(01_因子設定!$B$13="最小化",01_因子設定!$B$15-U3521,MIN(T3521-01_因子設定!$B$14,01_因子設定!$B$15-U3521))),-1E+030)</f>
        <v>-3.57534954351243</v>
      </c>
      <c r="X3521" s="55" t="n">
        <f aca="false">IF(V3521,IF(01_因子設定!$B$13="最大化",Q3521,IF(01_因子設定!$B$13="最小化",-Q3521,-ABS(Q3521-01_因子設定!$B$16))),-1E+030)</f>
        <v>45.9827840909091</v>
      </c>
      <c r="Y3521" s="55" t="n">
        <f aca="false">W3521+ROW()*0.000000001</f>
        <v>-3.57534602251243</v>
      </c>
      <c r="Z3521" s="55" t="n">
        <f aca="false">X3521+ROW()*0.000000001</f>
        <v>45.9827876119091</v>
      </c>
    </row>
    <row r="3522" customFormat="false" ht="15" hidden="false" customHeight="false" outlineLevel="0" collapsed="false">
      <c r="A3522" s="0" t="n">
        <v>12</v>
      </c>
      <c r="B3522" s="0" t="n">
        <v>2</v>
      </c>
      <c r="C3522" s="0" t="n">
        <v>15</v>
      </c>
      <c r="D3522" s="0" t="n">
        <f aca="false">-1+A3522*0.125</f>
        <v>0.5</v>
      </c>
      <c r="E3522" s="0" t="n">
        <f aca="false">-1+B3522*0.125</f>
        <v>-0.75</v>
      </c>
      <c r="F3522" s="0" t="n">
        <f aca="false">-1+C3522*0.125</f>
        <v>0.875</v>
      </c>
      <c r="G3522" s="0" t="n">
        <f aca="false">1</f>
        <v>1</v>
      </c>
      <c r="H3522" s="0" t="n">
        <f aca="false">D3522</f>
        <v>0.5</v>
      </c>
      <c r="I3522" s="0" t="n">
        <f aca="false">E3522</f>
        <v>-0.75</v>
      </c>
      <c r="J3522" s="0" t="n">
        <f aca="false">F3522</f>
        <v>0.875</v>
      </c>
      <c r="K3522" s="0" t="n">
        <f aca="false">D3522*E3522</f>
        <v>-0.375</v>
      </c>
      <c r="L3522" s="0" t="n">
        <f aca="false">D3522*F3522</f>
        <v>0.4375</v>
      </c>
      <c r="M3522" s="0" t="n">
        <f aca="false">E3522*F3522</f>
        <v>-0.65625</v>
      </c>
      <c r="N3522" s="0" t="n">
        <f aca="false">D3522*D3522</f>
        <v>0.25</v>
      </c>
      <c r="O3522" s="0" t="n">
        <f aca="false">E3522*E3522</f>
        <v>0.5625</v>
      </c>
      <c r="P3522" s="0" t="n">
        <f aca="false">F3522*F3522</f>
        <v>0.765625</v>
      </c>
      <c r="Q3522" s="0" t="n">
        <f aca="false">SUMPRODUCT(G3522:P3522,_XtX!$B$71:$K$71)</f>
        <v>45.8645880681818</v>
      </c>
      <c r="R3522" s="0" t="n">
        <f aca="false">SUMPRODUCT(MMULT(G3522:P3522,_XtX!$B$58:$K$67),G3522:P3522)</f>
        <v>0.370798561789773</v>
      </c>
      <c r="S3522" s="0" t="n">
        <f aca="false">04_回帰ANOVA!$K$19*04_回帰ANOVA!$K$14*SQRT(1+R3522)</f>
        <v>1.08856271788237</v>
      </c>
      <c r="T3522" s="0" t="n">
        <f aca="false">Q3522-S3522</f>
        <v>44.7760253502995</v>
      </c>
      <c r="U3522" s="0" t="n">
        <f aca="false">Q3522+S3522</f>
        <v>46.9531507860642</v>
      </c>
      <c r="V3522" s="54" t="b">
        <f aca="false">AND(D3522&gt;=01_因子設定!$L$5-0.000000001,D3522&lt;=01_因子設定!$M$5+0.000000001,E3522&gt;=01_因子設定!$L$6-0.000000001,E3522&lt;=01_因子設定!$M$6+0.000000001,F3522&gt;=01_因子設定!$L$7-0.000000001,F3522&lt;=01_因子設定!$M$7+0.000000001,IF(01_因子設定!$B$20="Box-Behnken",D3522^2+E3522^2+F3522^2&lt;=2+0.000000001,TRUE()))</f>
        <v>1</v>
      </c>
      <c r="W3522" s="55" t="n">
        <f aca="false">IF(V3522,IF(01_因子設定!$B$13="最大化",T3522-01_因子設定!$B$14,IF(01_因子設定!$B$13="最小化",01_因子設定!$B$15-U3522,MIN(T3522-01_因子設定!$B$14,01_因子設定!$B$15-U3522))),-1E+030)</f>
        <v>-3.72397464970054</v>
      </c>
      <c r="X3522" s="55" t="n">
        <f aca="false">IF(V3522,IF(01_因子設定!$B$13="最大化",Q3522,IF(01_因子設定!$B$13="最小化",-Q3522,-ABS(Q3522-01_因子設定!$B$16))),-1E+030)</f>
        <v>45.8645880681818</v>
      </c>
      <c r="Y3522" s="55" t="n">
        <f aca="false">W3522+ROW()*0.000000001</f>
        <v>-3.72397112770054</v>
      </c>
      <c r="Z3522" s="55" t="n">
        <f aca="false">X3522+ROW()*0.000000001</f>
        <v>45.8645915901818</v>
      </c>
    </row>
    <row r="3523" customFormat="false" ht="15" hidden="false" customHeight="false" outlineLevel="0" collapsed="false">
      <c r="A3523" s="0" t="n">
        <v>12</v>
      </c>
      <c r="B3523" s="0" t="n">
        <v>2</v>
      </c>
      <c r="C3523" s="0" t="n">
        <v>16</v>
      </c>
      <c r="D3523" s="0" t="n">
        <f aca="false">-1+A3523*0.125</f>
        <v>0.5</v>
      </c>
      <c r="E3523" s="0" t="n">
        <f aca="false">-1+B3523*0.125</f>
        <v>-0.75</v>
      </c>
      <c r="F3523" s="0" t="n">
        <f aca="false">-1+C3523*0.125</f>
        <v>1</v>
      </c>
      <c r="G3523" s="0" t="n">
        <f aca="false">1</f>
        <v>1</v>
      </c>
      <c r="H3523" s="0" t="n">
        <f aca="false">D3523</f>
        <v>0.5</v>
      </c>
      <c r="I3523" s="0" t="n">
        <f aca="false">E3523</f>
        <v>-0.75</v>
      </c>
      <c r="J3523" s="0" t="n">
        <f aca="false">F3523</f>
        <v>1</v>
      </c>
      <c r="K3523" s="0" t="n">
        <f aca="false">D3523*E3523</f>
        <v>-0.375</v>
      </c>
      <c r="L3523" s="0" t="n">
        <f aca="false">D3523*F3523</f>
        <v>0.5</v>
      </c>
      <c r="M3523" s="0" t="n">
        <f aca="false">E3523*F3523</f>
        <v>-0.75</v>
      </c>
      <c r="N3523" s="0" t="n">
        <f aca="false">D3523*D3523</f>
        <v>0.25</v>
      </c>
      <c r="O3523" s="0" t="n">
        <f aca="false">E3523*E3523</f>
        <v>0.5625</v>
      </c>
      <c r="P3523" s="0" t="n">
        <f aca="false">F3523*F3523</f>
        <v>1</v>
      </c>
      <c r="Q3523" s="0" t="n">
        <f aca="false">SUMPRODUCT(G3523:P3523,_XtX!$B$71:$K$71)</f>
        <v>45.7096022727273</v>
      </c>
      <c r="R3523" s="0" t="n">
        <f aca="false">SUMPRODUCT(MMULT(G3523:P3523,_XtX!$B$58:$K$67),G3523:P3523)</f>
        <v>0.495276988636364</v>
      </c>
      <c r="S3523" s="0" t="n">
        <f aca="false">04_回帰ANOVA!$K$19*04_回帰ANOVA!$K$14*SQRT(1+R3523)</f>
        <v>1.13691359828352</v>
      </c>
      <c r="T3523" s="0" t="n">
        <f aca="false">Q3523-S3523</f>
        <v>44.5726886744438</v>
      </c>
      <c r="U3523" s="0" t="n">
        <f aca="false">Q3523+S3523</f>
        <v>46.8465158710108</v>
      </c>
      <c r="V3523" s="54" t="b">
        <f aca="false">AND(D3523&gt;=01_因子設定!$L$5-0.000000001,D3523&lt;=01_因子設定!$M$5+0.000000001,E3523&gt;=01_因子設定!$L$6-0.000000001,E3523&lt;=01_因子設定!$M$6+0.000000001,F3523&gt;=01_因子設定!$L$7-0.000000001,F3523&lt;=01_因子設定!$M$7+0.000000001,IF(01_因子設定!$B$20="Box-Behnken",D3523^2+E3523^2+F3523^2&lt;=2+0.000000001,TRUE()))</f>
        <v>1</v>
      </c>
      <c r="W3523" s="55" t="n">
        <f aca="false">IF(V3523,IF(01_因子設定!$B$13="最大化",T3523-01_因子設定!$B$14,IF(01_因子設定!$B$13="最小化",01_因子設定!$B$15-U3523,MIN(T3523-01_因子設定!$B$14,01_因子設定!$B$15-U3523))),-1E+030)</f>
        <v>-3.92731132555623</v>
      </c>
      <c r="X3523" s="55" t="n">
        <f aca="false">IF(V3523,IF(01_因子設定!$B$13="最大化",Q3523,IF(01_因子設定!$B$13="最小化",-Q3523,-ABS(Q3523-01_因子設定!$B$16))),-1E+030)</f>
        <v>45.7096022727273</v>
      </c>
      <c r="Y3523" s="55" t="n">
        <f aca="false">W3523+ROW()*0.000000001</f>
        <v>-3.92730780255623</v>
      </c>
      <c r="Z3523" s="55" t="n">
        <f aca="false">X3523+ROW()*0.000000001</f>
        <v>45.7096057957273</v>
      </c>
    </row>
    <row r="3524" customFormat="false" ht="15" hidden="false" customHeight="false" outlineLevel="0" collapsed="false">
      <c r="A3524" s="0" t="n">
        <v>12</v>
      </c>
      <c r="B3524" s="0" t="n">
        <v>3</v>
      </c>
      <c r="C3524" s="0" t="n">
        <v>0</v>
      </c>
      <c r="D3524" s="0" t="n">
        <f aca="false">-1+A3524*0.125</f>
        <v>0.5</v>
      </c>
      <c r="E3524" s="0" t="n">
        <f aca="false">-1+B3524*0.125</f>
        <v>-0.625</v>
      </c>
      <c r="F3524" s="0" t="n">
        <f aca="false">-1+C3524*0.125</f>
        <v>-1</v>
      </c>
      <c r="G3524" s="0" t="n">
        <f aca="false">1</f>
        <v>1</v>
      </c>
      <c r="H3524" s="0" t="n">
        <f aca="false">D3524</f>
        <v>0.5</v>
      </c>
      <c r="I3524" s="0" t="n">
        <f aca="false">E3524</f>
        <v>-0.625</v>
      </c>
      <c r="J3524" s="0" t="n">
        <f aca="false">F3524</f>
        <v>-1</v>
      </c>
      <c r="K3524" s="0" t="n">
        <f aca="false">D3524*E3524</f>
        <v>-0.3125</v>
      </c>
      <c r="L3524" s="0" t="n">
        <f aca="false">D3524*F3524</f>
        <v>-0.5</v>
      </c>
      <c r="M3524" s="0" t="n">
        <f aca="false">E3524*F3524</f>
        <v>0.625</v>
      </c>
      <c r="N3524" s="0" t="n">
        <f aca="false">D3524*D3524</f>
        <v>0.25</v>
      </c>
      <c r="O3524" s="0" t="n">
        <f aca="false">E3524*E3524</f>
        <v>0.390625</v>
      </c>
      <c r="P3524" s="0" t="n">
        <f aca="false">F3524*F3524</f>
        <v>1</v>
      </c>
      <c r="Q3524" s="0" t="n">
        <f aca="false">SUMPRODUCT(G3524:P3524,_XtX!$B$71:$K$71)</f>
        <v>44.4021022727273</v>
      </c>
      <c r="R3524" s="0" t="n">
        <f aca="false">SUMPRODUCT(MMULT(G3524:P3524,_XtX!$B$58:$K$67),G3524:P3524)</f>
        <v>0.465882457386364</v>
      </c>
      <c r="S3524" s="0" t="n">
        <f aca="false">04_回帰ANOVA!$K$19*04_回帰ANOVA!$K$14*SQRT(1+R3524)</f>
        <v>1.12568326538173</v>
      </c>
      <c r="T3524" s="0" t="n">
        <f aca="false">Q3524-S3524</f>
        <v>43.2764190073456</v>
      </c>
      <c r="U3524" s="0" t="n">
        <f aca="false">Q3524+S3524</f>
        <v>45.527785538109</v>
      </c>
      <c r="V3524" s="54" t="b">
        <f aca="false">AND(D3524&gt;=01_因子設定!$L$5-0.000000001,D3524&lt;=01_因子設定!$M$5+0.000000001,E3524&gt;=01_因子設定!$L$6-0.000000001,E3524&lt;=01_因子設定!$M$6+0.000000001,F3524&gt;=01_因子設定!$L$7-0.000000001,F3524&lt;=01_因子設定!$M$7+0.000000001,IF(01_因子設定!$B$20="Box-Behnken",D3524^2+E3524^2+F3524^2&lt;=2+0.000000001,TRUE()))</f>
        <v>1</v>
      </c>
      <c r="W3524" s="55" t="n">
        <f aca="false">IF(V3524,IF(01_因子設定!$B$13="最大化",T3524-01_因子設定!$B$14,IF(01_因子設定!$B$13="最小化",01_因子設定!$B$15-U3524,MIN(T3524-01_因子設定!$B$14,01_因子設定!$B$15-U3524))),-1E+030)</f>
        <v>-5.22358099265443</v>
      </c>
      <c r="X3524" s="55" t="n">
        <f aca="false">IF(V3524,IF(01_因子設定!$B$13="最大化",Q3524,IF(01_因子設定!$B$13="最小化",-Q3524,-ABS(Q3524-01_因子設定!$B$16))),-1E+030)</f>
        <v>44.4021022727273</v>
      </c>
      <c r="Y3524" s="55" t="n">
        <f aca="false">W3524+ROW()*0.000000001</f>
        <v>-5.22357746865443</v>
      </c>
      <c r="Z3524" s="55" t="n">
        <f aca="false">X3524+ROW()*0.000000001</f>
        <v>44.4021057967273</v>
      </c>
    </row>
    <row r="3525" customFormat="false" ht="15" hidden="false" customHeight="false" outlineLevel="0" collapsed="false">
      <c r="A3525" s="0" t="n">
        <v>12</v>
      </c>
      <c r="B3525" s="0" t="n">
        <v>3</v>
      </c>
      <c r="C3525" s="0" t="n">
        <v>1</v>
      </c>
      <c r="D3525" s="0" t="n">
        <f aca="false">-1+A3525*0.125</f>
        <v>0.5</v>
      </c>
      <c r="E3525" s="0" t="n">
        <f aca="false">-1+B3525*0.125</f>
        <v>-0.625</v>
      </c>
      <c r="F3525" s="0" t="n">
        <f aca="false">-1+C3525*0.125</f>
        <v>-0.875</v>
      </c>
      <c r="G3525" s="0" t="n">
        <f aca="false">1</f>
        <v>1</v>
      </c>
      <c r="H3525" s="0" t="n">
        <f aca="false">D3525</f>
        <v>0.5</v>
      </c>
      <c r="I3525" s="0" t="n">
        <f aca="false">E3525</f>
        <v>-0.625</v>
      </c>
      <c r="J3525" s="0" t="n">
        <f aca="false">F3525</f>
        <v>-0.875</v>
      </c>
      <c r="K3525" s="0" t="n">
        <f aca="false">D3525*E3525</f>
        <v>-0.3125</v>
      </c>
      <c r="L3525" s="0" t="n">
        <f aca="false">D3525*F3525</f>
        <v>-0.4375</v>
      </c>
      <c r="M3525" s="0" t="n">
        <f aca="false">E3525*F3525</f>
        <v>0.546875</v>
      </c>
      <c r="N3525" s="0" t="n">
        <f aca="false">D3525*D3525</f>
        <v>0.25</v>
      </c>
      <c r="O3525" s="0" t="n">
        <f aca="false">E3525*E3525</f>
        <v>0.390625</v>
      </c>
      <c r="P3525" s="0" t="n">
        <f aca="false">F3525*F3525</f>
        <v>0.765625</v>
      </c>
      <c r="Q3525" s="0" t="n">
        <f aca="false">SUMPRODUCT(G3525:P3525,_XtX!$B$71:$K$71)</f>
        <v>44.8059943181818</v>
      </c>
      <c r="R3525" s="0" t="n">
        <f aca="false">SUMPRODUCT(MMULT(G3525:P3525,_XtX!$B$58:$K$67),G3525:P3525)</f>
        <v>0.335453102805398</v>
      </c>
      <c r="S3525" s="0" t="n">
        <f aca="false">04_回帰ANOVA!$K$19*04_回帰ANOVA!$K$14*SQRT(1+R3525)</f>
        <v>1.07443700305628</v>
      </c>
      <c r="T3525" s="0" t="n">
        <f aca="false">Q3525-S3525</f>
        <v>43.7315573151256</v>
      </c>
      <c r="U3525" s="0" t="n">
        <f aca="false">Q3525+S3525</f>
        <v>45.8804313212381</v>
      </c>
      <c r="V3525" s="54" t="b">
        <f aca="false">AND(D3525&gt;=01_因子設定!$L$5-0.000000001,D3525&lt;=01_因子設定!$M$5+0.000000001,E3525&gt;=01_因子設定!$L$6-0.000000001,E3525&lt;=01_因子設定!$M$6+0.000000001,F3525&gt;=01_因子設定!$L$7-0.000000001,F3525&lt;=01_因子設定!$M$7+0.000000001,IF(01_因子設定!$B$20="Box-Behnken",D3525^2+E3525^2+F3525^2&lt;=2+0.000000001,TRUE()))</f>
        <v>1</v>
      </c>
      <c r="W3525" s="55" t="n">
        <f aca="false">IF(V3525,IF(01_因子設定!$B$13="最大化",T3525-01_因子設定!$B$14,IF(01_因子設定!$B$13="最小化",01_因子設定!$B$15-U3525,MIN(T3525-01_因子設定!$B$14,01_因子設定!$B$15-U3525))),-1E+030)</f>
        <v>-4.76844268487444</v>
      </c>
      <c r="X3525" s="55" t="n">
        <f aca="false">IF(V3525,IF(01_因子設定!$B$13="最大化",Q3525,IF(01_因子設定!$B$13="最小化",-Q3525,-ABS(Q3525-01_因子設定!$B$16))),-1E+030)</f>
        <v>44.8059943181818</v>
      </c>
      <c r="Y3525" s="55" t="n">
        <f aca="false">W3525+ROW()*0.000000001</f>
        <v>-4.76843915987444</v>
      </c>
      <c r="Z3525" s="55" t="n">
        <f aca="false">X3525+ROW()*0.000000001</f>
        <v>44.8059978431818</v>
      </c>
    </row>
    <row r="3526" customFormat="false" ht="15" hidden="false" customHeight="false" outlineLevel="0" collapsed="false">
      <c r="A3526" s="0" t="n">
        <v>12</v>
      </c>
      <c r="B3526" s="0" t="n">
        <v>3</v>
      </c>
      <c r="C3526" s="0" t="n">
        <v>2</v>
      </c>
      <c r="D3526" s="0" t="n">
        <f aca="false">-1+A3526*0.125</f>
        <v>0.5</v>
      </c>
      <c r="E3526" s="0" t="n">
        <f aca="false">-1+B3526*0.125</f>
        <v>-0.625</v>
      </c>
      <c r="F3526" s="0" t="n">
        <f aca="false">-1+C3526*0.125</f>
        <v>-0.75</v>
      </c>
      <c r="G3526" s="0" t="n">
        <f aca="false">1</f>
        <v>1</v>
      </c>
      <c r="H3526" s="0" t="n">
        <f aca="false">D3526</f>
        <v>0.5</v>
      </c>
      <c r="I3526" s="0" t="n">
        <f aca="false">E3526</f>
        <v>-0.625</v>
      </c>
      <c r="J3526" s="0" t="n">
        <f aca="false">F3526</f>
        <v>-0.75</v>
      </c>
      <c r="K3526" s="0" t="n">
        <f aca="false">D3526*E3526</f>
        <v>-0.3125</v>
      </c>
      <c r="L3526" s="0" t="n">
        <f aca="false">D3526*F3526</f>
        <v>-0.375</v>
      </c>
      <c r="M3526" s="0" t="n">
        <f aca="false">E3526*F3526</f>
        <v>0.46875</v>
      </c>
      <c r="N3526" s="0" t="n">
        <f aca="false">D3526*D3526</f>
        <v>0.25</v>
      </c>
      <c r="O3526" s="0" t="n">
        <f aca="false">E3526*E3526</f>
        <v>0.390625</v>
      </c>
      <c r="P3526" s="0" t="n">
        <f aca="false">F3526*F3526</f>
        <v>0.5625</v>
      </c>
      <c r="Q3526" s="0" t="n">
        <f aca="false">SUMPRODUCT(G3526:P3526,_XtX!$B$71:$K$71)</f>
        <v>45.1730965909091</v>
      </c>
      <c r="R3526" s="0" t="n">
        <f aca="false">SUMPRODUCT(MMULT(G3526:P3526,_XtX!$B$58:$K$67),G3526:P3526)</f>
        <v>0.254729669744318</v>
      </c>
      <c r="S3526" s="0" t="n">
        <f aca="false">04_回帰ANOVA!$K$19*04_回帰ANOVA!$K$14*SQRT(1+R3526)</f>
        <v>1.04145790281631</v>
      </c>
      <c r="T3526" s="0" t="n">
        <f aca="false">Q3526-S3526</f>
        <v>44.1316386880928</v>
      </c>
      <c r="U3526" s="0" t="n">
        <f aca="false">Q3526+S3526</f>
        <v>46.2145544937254</v>
      </c>
      <c r="V3526" s="54" t="b">
        <f aca="false">AND(D3526&gt;=01_因子設定!$L$5-0.000000001,D3526&lt;=01_因子設定!$M$5+0.000000001,E3526&gt;=01_因子設定!$L$6-0.000000001,E3526&lt;=01_因子設定!$M$6+0.000000001,F3526&gt;=01_因子設定!$L$7-0.000000001,F3526&lt;=01_因子設定!$M$7+0.000000001,IF(01_因子設定!$B$20="Box-Behnken",D3526^2+E3526^2+F3526^2&lt;=2+0.000000001,TRUE()))</f>
        <v>1</v>
      </c>
      <c r="W3526" s="55" t="n">
        <f aca="false">IF(V3526,IF(01_因子設定!$B$13="最大化",T3526-01_因子設定!$B$14,IF(01_因子設定!$B$13="最小化",01_因子設定!$B$15-U3526,MIN(T3526-01_因子設定!$B$14,01_因子設定!$B$15-U3526))),-1E+030)</f>
        <v>-4.3683613119072</v>
      </c>
      <c r="X3526" s="55" t="n">
        <f aca="false">IF(V3526,IF(01_因子設定!$B$13="最大化",Q3526,IF(01_因子設定!$B$13="最小化",-Q3526,-ABS(Q3526-01_因子設定!$B$16))),-1E+030)</f>
        <v>45.1730965909091</v>
      </c>
      <c r="Y3526" s="55" t="n">
        <f aca="false">W3526+ROW()*0.000000001</f>
        <v>-4.3683577859072</v>
      </c>
      <c r="Z3526" s="55" t="n">
        <f aca="false">X3526+ROW()*0.000000001</f>
        <v>45.1731001169091</v>
      </c>
    </row>
    <row r="3527" customFormat="false" ht="15" hidden="false" customHeight="false" outlineLevel="0" collapsed="false">
      <c r="A3527" s="0" t="n">
        <v>12</v>
      </c>
      <c r="B3527" s="0" t="n">
        <v>3</v>
      </c>
      <c r="C3527" s="0" t="n">
        <v>3</v>
      </c>
      <c r="D3527" s="0" t="n">
        <f aca="false">-1+A3527*0.125</f>
        <v>0.5</v>
      </c>
      <c r="E3527" s="0" t="n">
        <f aca="false">-1+B3527*0.125</f>
        <v>-0.625</v>
      </c>
      <c r="F3527" s="0" t="n">
        <f aca="false">-1+C3527*0.125</f>
        <v>-0.625</v>
      </c>
      <c r="G3527" s="0" t="n">
        <f aca="false">1</f>
        <v>1</v>
      </c>
      <c r="H3527" s="0" t="n">
        <f aca="false">D3527</f>
        <v>0.5</v>
      </c>
      <c r="I3527" s="0" t="n">
        <f aca="false">E3527</f>
        <v>-0.625</v>
      </c>
      <c r="J3527" s="0" t="n">
        <f aca="false">F3527</f>
        <v>-0.625</v>
      </c>
      <c r="K3527" s="0" t="n">
        <f aca="false">D3527*E3527</f>
        <v>-0.3125</v>
      </c>
      <c r="L3527" s="0" t="n">
        <f aca="false">D3527*F3527</f>
        <v>-0.3125</v>
      </c>
      <c r="M3527" s="0" t="n">
        <f aca="false">E3527*F3527</f>
        <v>0.390625</v>
      </c>
      <c r="N3527" s="0" t="n">
        <f aca="false">D3527*D3527</f>
        <v>0.25</v>
      </c>
      <c r="O3527" s="0" t="n">
        <f aca="false">E3527*E3527</f>
        <v>0.390625</v>
      </c>
      <c r="P3527" s="0" t="n">
        <f aca="false">F3527*F3527</f>
        <v>0.390625</v>
      </c>
      <c r="Q3527" s="0" t="n">
        <f aca="false">SUMPRODUCT(G3527:P3527,_XtX!$B$71:$K$71)</f>
        <v>45.5034090909091</v>
      </c>
      <c r="R3527" s="0" t="n">
        <f aca="false">SUMPRODUCT(MMULT(G3527:P3527,_XtX!$B$58:$K$67),G3527:P3527)</f>
        <v>0.209862726384943</v>
      </c>
      <c r="S3527" s="0" t="n">
        <f aca="false">04_回帰ANOVA!$K$19*04_回帰ANOVA!$K$14*SQRT(1+R3527)</f>
        <v>1.0226680420112</v>
      </c>
      <c r="T3527" s="0" t="n">
        <f aca="false">Q3527-S3527</f>
        <v>44.4807410488979</v>
      </c>
      <c r="U3527" s="0" t="n">
        <f aca="false">Q3527+S3527</f>
        <v>46.5260771329203</v>
      </c>
      <c r="V3527" s="54" t="b">
        <f aca="false">AND(D3527&gt;=01_因子設定!$L$5-0.000000001,D3527&lt;=01_因子設定!$M$5+0.000000001,E3527&gt;=01_因子設定!$L$6-0.000000001,E3527&lt;=01_因子設定!$M$6+0.000000001,F3527&gt;=01_因子設定!$L$7-0.000000001,F3527&lt;=01_因子設定!$M$7+0.000000001,IF(01_因子設定!$B$20="Box-Behnken",D3527^2+E3527^2+F3527^2&lt;=2+0.000000001,TRUE()))</f>
        <v>1</v>
      </c>
      <c r="W3527" s="55" t="n">
        <f aca="false">IF(V3527,IF(01_因子設定!$B$13="最大化",T3527-01_因子設定!$B$14,IF(01_因子設定!$B$13="最小化",01_因子設定!$B$15-U3527,MIN(T3527-01_因子設定!$B$14,01_因子設定!$B$15-U3527))),-1E+030)</f>
        <v>-4.0192589511021</v>
      </c>
      <c r="X3527" s="55" t="n">
        <f aca="false">IF(V3527,IF(01_因子設定!$B$13="最大化",Q3527,IF(01_因子設定!$B$13="最小化",-Q3527,-ABS(Q3527-01_因子設定!$B$16))),-1E+030)</f>
        <v>45.5034090909091</v>
      </c>
      <c r="Y3527" s="55" t="n">
        <f aca="false">W3527+ROW()*0.000000001</f>
        <v>-4.0192554241021</v>
      </c>
      <c r="Z3527" s="55" t="n">
        <f aca="false">X3527+ROW()*0.000000001</f>
        <v>45.5034126179091</v>
      </c>
    </row>
    <row r="3528" customFormat="false" ht="15" hidden="false" customHeight="false" outlineLevel="0" collapsed="false">
      <c r="A3528" s="0" t="n">
        <v>12</v>
      </c>
      <c r="B3528" s="0" t="n">
        <v>3</v>
      </c>
      <c r="C3528" s="0" t="n">
        <v>4</v>
      </c>
      <c r="D3528" s="0" t="n">
        <f aca="false">-1+A3528*0.125</f>
        <v>0.5</v>
      </c>
      <c r="E3528" s="0" t="n">
        <f aca="false">-1+B3528*0.125</f>
        <v>-0.625</v>
      </c>
      <c r="F3528" s="0" t="n">
        <f aca="false">-1+C3528*0.125</f>
        <v>-0.5</v>
      </c>
      <c r="G3528" s="0" t="n">
        <f aca="false">1</f>
        <v>1</v>
      </c>
      <c r="H3528" s="0" t="n">
        <f aca="false">D3528</f>
        <v>0.5</v>
      </c>
      <c r="I3528" s="0" t="n">
        <f aca="false">E3528</f>
        <v>-0.625</v>
      </c>
      <c r="J3528" s="0" t="n">
        <f aca="false">F3528</f>
        <v>-0.5</v>
      </c>
      <c r="K3528" s="0" t="n">
        <f aca="false">D3528*E3528</f>
        <v>-0.3125</v>
      </c>
      <c r="L3528" s="0" t="n">
        <f aca="false">D3528*F3528</f>
        <v>-0.25</v>
      </c>
      <c r="M3528" s="0" t="n">
        <f aca="false">E3528*F3528</f>
        <v>0.3125</v>
      </c>
      <c r="N3528" s="0" t="n">
        <f aca="false">D3528*D3528</f>
        <v>0.25</v>
      </c>
      <c r="O3528" s="0" t="n">
        <f aca="false">E3528*E3528</f>
        <v>0.390625</v>
      </c>
      <c r="P3528" s="0" t="n">
        <f aca="false">F3528*F3528</f>
        <v>0.25</v>
      </c>
      <c r="Q3528" s="0" t="n">
        <f aca="false">SUMPRODUCT(G3528:P3528,_XtX!$B$71:$K$71)</f>
        <v>45.7969318181818</v>
      </c>
      <c r="R3528" s="0" t="n">
        <f aca="false">SUMPRODUCT(MMULT(G3528:P3528,_XtX!$B$58:$K$67),G3528:P3528)</f>
        <v>0.189133522727273</v>
      </c>
      <c r="S3528" s="0" t="n">
        <f aca="false">04_回帰ANOVA!$K$19*04_回帰ANOVA!$K$14*SQRT(1+R3528)</f>
        <v>1.0138692404042</v>
      </c>
      <c r="T3528" s="0" t="n">
        <f aca="false">Q3528-S3528</f>
        <v>44.7830625777776</v>
      </c>
      <c r="U3528" s="0" t="n">
        <f aca="false">Q3528+S3528</f>
        <v>46.810801058586</v>
      </c>
      <c r="V3528" s="54" t="b">
        <f aca="false">AND(D3528&gt;=01_因子設定!$L$5-0.000000001,D3528&lt;=01_因子設定!$M$5+0.000000001,E3528&gt;=01_因子設定!$L$6-0.000000001,E3528&lt;=01_因子設定!$M$6+0.000000001,F3528&gt;=01_因子設定!$L$7-0.000000001,F3528&lt;=01_因子設定!$M$7+0.000000001,IF(01_因子設定!$B$20="Box-Behnken",D3528^2+E3528^2+F3528^2&lt;=2+0.000000001,TRUE()))</f>
        <v>1</v>
      </c>
      <c r="W3528" s="55" t="n">
        <f aca="false">IF(V3528,IF(01_因子設定!$B$13="最大化",T3528-01_因子設定!$B$14,IF(01_因子設定!$B$13="最小化",01_因子設定!$B$15-U3528,MIN(T3528-01_因子設定!$B$14,01_因子設定!$B$15-U3528))),-1E+030)</f>
        <v>-3.71693742222237</v>
      </c>
      <c r="X3528" s="55" t="n">
        <f aca="false">IF(V3528,IF(01_因子設定!$B$13="最大化",Q3528,IF(01_因子設定!$B$13="最小化",-Q3528,-ABS(Q3528-01_因子設定!$B$16))),-1E+030)</f>
        <v>45.7969318181818</v>
      </c>
      <c r="Y3528" s="55" t="n">
        <f aca="false">W3528+ROW()*0.000000001</f>
        <v>-3.71693389422237</v>
      </c>
      <c r="Z3528" s="55" t="n">
        <f aca="false">X3528+ROW()*0.000000001</f>
        <v>45.7969353461818</v>
      </c>
    </row>
    <row r="3529" customFormat="false" ht="15" hidden="false" customHeight="false" outlineLevel="0" collapsed="false">
      <c r="A3529" s="0" t="n">
        <v>12</v>
      </c>
      <c r="B3529" s="0" t="n">
        <v>3</v>
      </c>
      <c r="C3529" s="0" t="n">
        <v>5</v>
      </c>
      <c r="D3529" s="0" t="n">
        <f aca="false">-1+A3529*0.125</f>
        <v>0.5</v>
      </c>
      <c r="E3529" s="0" t="n">
        <f aca="false">-1+B3529*0.125</f>
        <v>-0.625</v>
      </c>
      <c r="F3529" s="0" t="n">
        <f aca="false">-1+C3529*0.125</f>
        <v>-0.375</v>
      </c>
      <c r="G3529" s="0" t="n">
        <f aca="false">1</f>
        <v>1</v>
      </c>
      <c r="H3529" s="0" t="n">
        <f aca="false">D3529</f>
        <v>0.5</v>
      </c>
      <c r="I3529" s="0" t="n">
        <f aca="false">E3529</f>
        <v>-0.625</v>
      </c>
      <c r="J3529" s="0" t="n">
        <f aca="false">F3529</f>
        <v>-0.375</v>
      </c>
      <c r="K3529" s="0" t="n">
        <f aca="false">D3529*E3529</f>
        <v>-0.3125</v>
      </c>
      <c r="L3529" s="0" t="n">
        <f aca="false">D3529*F3529</f>
        <v>-0.1875</v>
      </c>
      <c r="M3529" s="0" t="n">
        <f aca="false">E3529*F3529</f>
        <v>0.234375</v>
      </c>
      <c r="N3529" s="0" t="n">
        <f aca="false">D3529*D3529</f>
        <v>0.25</v>
      </c>
      <c r="O3529" s="0" t="n">
        <f aca="false">E3529*E3529</f>
        <v>0.390625</v>
      </c>
      <c r="P3529" s="0" t="n">
        <f aca="false">F3529*F3529</f>
        <v>0.140625</v>
      </c>
      <c r="Q3529" s="0" t="n">
        <f aca="false">SUMPRODUCT(G3529:P3529,_XtX!$B$71:$K$71)</f>
        <v>46.0536647727273</v>
      </c>
      <c r="R3529" s="0" t="n">
        <f aca="false">SUMPRODUCT(MMULT(G3529:P3529,_XtX!$B$58:$K$67),G3529:P3529)</f>
        <v>0.182953990589489</v>
      </c>
      <c r="S3529" s="0" t="n">
        <f aca="false">04_回帰ANOVA!$K$19*04_回帰ANOVA!$K$14*SQRT(1+R3529)</f>
        <v>1.01123143807044</v>
      </c>
      <c r="T3529" s="0" t="n">
        <f aca="false">Q3529-S3529</f>
        <v>45.0424333346568</v>
      </c>
      <c r="U3529" s="0" t="n">
        <f aca="false">Q3529+S3529</f>
        <v>47.0648962107977</v>
      </c>
      <c r="V3529" s="54" t="b">
        <f aca="false">AND(D3529&gt;=01_因子設定!$L$5-0.000000001,D3529&lt;=01_因子設定!$M$5+0.000000001,E3529&gt;=01_因子設定!$L$6-0.000000001,E3529&lt;=01_因子設定!$M$6+0.000000001,F3529&gt;=01_因子設定!$L$7-0.000000001,F3529&lt;=01_因子設定!$M$7+0.000000001,IF(01_因子設定!$B$20="Box-Behnken",D3529^2+E3529^2+F3529^2&lt;=2+0.000000001,TRUE()))</f>
        <v>1</v>
      </c>
      <c r="W3529" s="55" t="n">
        <f aca="false">IF(V3529,IF(01_因子設定!$B$13="最大化",T3529-01_因子設定!$B$14,IF(01_因子設定!$B$13="最小化",01_因子設定!$B$15-U3529,MIN(T3529-01_因子設定!$B$14,01_因子設定!$B$15-U3529))),-1E+030)</f>
        <v>-3.45756666534316</v>
      </c>
      <c r="X3529" s="55" t="n">
        <f aca="false">IF(V3529,IF(01_因子設定!$B$13="最大化",Q3529,IF(01_因子設定!$B$13="最小化",-Q3529,-ABS(Q3529-01_因子設定!$B$16))),-1E+030)</f>
        <v>46.0536647727273</v>
      </c>
      <c r="Y3529" s="55" t="n">
        <f aca="false">W3529+ROW()*0.000000001</f>
        <v>-3.45756313634316</v>
      </c>
      <c r="Z3529" s="55" t="n">
        <f aca="false">X3529+ROW()*0.000000001</f>
        <v>46.0536683017273</v>
      </c>
    </row>
    <row r="3530" customFormat="false" ht="15" hidden="false" customHeight="false" outlineLevel="0" collapsed="false">
      <c r="A3530" s="0" t="n">
        <v>12</v>
      </c>
      <c r="B3530" s="0" t="n">
        <v>3</v>
      </c>
      <c r="C3530" s="0" t="n">
        <v>6</v>
      </c>
      <c r="D3530" s="0" t="n">
        <f aca="false">-1+A3530*0.125</f>
        <v>0.5</v>
      </c>
      <c r="E3530" s="0" t="n">
        <f aca="false">-1+B3530*0.125</f>
        <v>-0.625</v>
      </c>
      <c r="F3530" s="0" t="n">
        <f aca="false">-1+C3530*0.125</f>
        <v>-0.25</v>
      </c>
      <c r="G3530" s="0" t="n">
        <f aca="false">1</f>
        <v>1</v>
      </c>
      <c r="H3530" s="0" t="n">
        <f aca="false">D3530</f>
        <v>0.5</v>
      </c>
      <c r="I3530" s="0" t="n">
        <f aca="false">E3530</f>
        <v>-0.625</v>
      </c>
      <c r="J3530" s="0" t="n">
        <f aca="false">F3530</f>
        <v>-0.25</v>
      </c>
      <c r="K3530" s="0" t="n">
        <f aca="false">D3530*E3530</f>
        <v>-0.3125</v>
      </c>
      <c r="L3530" s="0" t="n">
        <f aca="false">D3530*F3530</f>
        <v>-0.125</v>
      </c>
      <c r="M3530" s="0" t="n">
        <f aca="false">E3530*F3530</f>
        <v>0.15625</v>
      </c>
      <c r="N3530" s="0" t="n">
        <f aca="false">D3530*D3530</f>
        <v>0.25</v>
      </c>
      <c r="O3530" s="0" t="n">
        <f aca="false">E3530*E3530</f>
        <v>0.390625</v>
      </c>
      <c r="P3530" s="0" t="n">
        <f aca="false">F3530*F3530</f>
        <v>0.0625</v>
      </c>
      <c r="Q3530" s="0" t="n">
        <f aca="false">SUMPRODUCT(G3530:P3530,_XtX!$B$71:$K$71)</f>
        <v>46.2736079545455</v>
      </c>
      <c r="R3530" s="0" t="n">
        <f aca="false">SUMPRODUCT(MMULT(G3530:P3530,_XtX!$B$58:$K$67),G3530:P3530)</f>
        <v>0.183866743607955</v>
      </c>
      <c r="S3530" s="0" t="n">
        <f aca="false">04_回帰ANOVA!$K$19*04_回帰ANOVA!$K$14*SQRT(1+R3530)</f>
        <v>1.01162148983013</v>
      </c>
      <c r="T3530" s="0" t="n">
        <f aca="false">Q3530-S3530</f>
        <v>45.2619864647153</v>
      </c>
      <c r="U3530" s="0" t="n">
        <f aca="false">Q3530+S3530</f>
        <v>47.2852294443756</v>
      </c>
      <c r="V3530" s="54" t="b">
        <f aca="false">AND(D3530&gt;=01_因子設定!$L$5-0.000000001,D3530&lt;=01_因子設定!$M$5+0.000000001,E3530&gt;=01_因子設定!$L$6-0.000000001,E3530&lt;=01_因子設定!$M$6+0.000000001,F3530&gt;=01_因子設定!$L$7-0.000000001,F3530&lt;=01_因子設定!$M$7+0.000000001,IF(01_因子設定!$B$20="Box-Behnken",D3530^2+E3530^2+F3530^2&lt;=2+0.000000001,TRUE()))</f>
        <v>1</v>
      </c>
      <c r="W3530" s="55" t="n">
        <f aca="false">IF(V3530,IF(01_因子設定!$B$13="最大化",T3530-01_因子設定!$B$14,IF(01_因子設定!$B$13="最小化",01_因子設定!$B$15-U3530,MIN(T3530-01_因子設定!$B$14,01_因子設定!$B$15-U3530))),-1E+030)</f>
        <v>-3.23801353528467</v>
      </c>
      <c r="X3530" s="55" t="n">
        <f aca="false">IF(V3530,IF(01_因子設定!$B$13="最大化",Q3530,IF(01_因子設定!$B$13="最小化",-Q3530,-ABS(Q3530-01_因子設定!$B$16))),-1E+030)</f>
        <v>46.2736079545455</v>
      </c>
      <c r="Y3530" s="55" t="n">
        <f aca="false">W3530+ROW()*0.000000001</f>
        <v>-3.23801000528467</v>
      </c>
      <c r="Z3530" s="55" t="n">
        <f aca="false">X3530+ROW()*0.000000001</f>
        <v>46.2736114845455</v>
      </c>
    </row>
    <row r="3531" customFormat="false" ht="15" hidden="false" customHeight="false" outlineLevel="0" collapsed="false">
      <c r="A3531" s="0" t="n">
        <v>12</v>
      </c>
      <c r="B3531" s="0" t="n">
        <v>3</v>
      </c>
      <c r="C3531" s="0" t="n">
        <v>7</v>
      </c>
      <c r="D3531" s="0" t="n">
        <f aca="false">-1+A3531*0.125</f>
        <v>0.5</v>
      </c>
      <c r="E3531" s="0" t="n">
        <f aca="false">-1+B3531*0.125</f>
        <v>-0.625</v>
      </c>
      <c r="F3531" s="0" t="n">
        <f aca="false">-1+C3531*0.125</f>
        <v>-0.125</v>
      </c>
      <c r="G3531" s="0" t="n">
        <f aca="false">1</f>
        <v>1</v>
      </c>
      <c r="H3531" s="0" t="n">
        <f aca="false">D3531</f>
        <v>0.5</v>
      </c>
      <c r="I3531" s="0" t="n">
        <f aca="false">E3531</f>
        <v>-0.625</v>
      </c>
      <c r="J3531" s="0" t="n">
        <f aca="false">F3531</f>
        <v>-0.125</v>
      </c>
      <c r="K3531" s="0" t="n">
        <f aca="false">D3531*E3531</f>
        <v>-0.3125</v>
      </c>
      <c r="L3531" s="0" t="n">
        <f aca="false">D3531*F3531</f>
        <v>-0.0625</v>
      </c>
      <c r="M3531" s="0" t="n">
        <f aca="false">E3531*F3531</f>
        <v>0.078125</v>
      </c>
      <c r="N3531" s="0" t="n">
        <f aca="false">D3531*D3531</f>
        <v>0.25</v>
      </c>
      <c r="O3531" s="0" t="n">
        <f aca="false">E3531*E3531</f>
        <v>0.390625</v>
      </c>
      <c r="P3531" s="0" t="n">
        <f aca="false">F3531*F3531</f>
        <v>0.015625</v>
      </c>
      <c r="Q3531" s="0" t="n">
        <f aca="false">SUMPRODUCT(G3531:P3531,_XtX!$B$71:$K$71)</f>
        <v>46.4567613636364</v>
      </c>
      <c r="R3531" s="0" t="n">
        <f aca="false">SUMPRODUCT(MMULT(G3531:P3531,_XtX!$B$58:$K$67),G3531:P3531)</f>
        <v>0.186545077237216</v>
      </c>
      <c r="S3531" s="0" t="n">
        <f aca="false">04_回帰ANOVA!$K$19*04_回帰ANOVA!$K$14*SQRT(1+R3531)</f>
        <v>1.01276516970713</v>
      </c>
      <c r="T3531" s="0" t="n">
        <f aca="false">Q3531-S3531</f>
        <v>45.4439961939292</v>
      </c>
      <c r="U3531" s="0" t="n">
        <f aca="false">Q3531+S3531</f>
        <v>47.4695265333435</v>
      </c>
      <c r="V3531" s="54" t="b">
        <f aca="false">AND(D3531&gt;=01_因子設定!$L$5-0.000000001,D3531&lt;=01_因子設定!$M$5+0.000000001,E3531&gt;=01_因子設定!$L$6-0.000000001,E3531&lt;=01_因子設定!$M$6+0.000000001,F3531&gt;=01_因子設定!$L$7-0.000000001,F3531&lt;=01_因子設定!$M$7+0.000000001,IF(01_因子設定!$B$20="Box-Behnken",D3531^2+E3531^2+F3531^2&lt;=2+0.000000001,TRUE()))</f>
        <v>1</v>
      </c>
      <c r="W3531" s="55" t="n">
        <f aca="false">IF(V3531,IF(01_因子設定!$B$13="最大化",T3531-01_因子設定!$B$14,IF(01_因子設定!$B$13="最小化",01_因子設定!$B$15-U3531,MIN(T3531-01_因子設定!$B$14,01_因子設定!$B$15-U3531))),-1E+030)</f>
        <v>-3.05600380607076</v>
      </c>
      <c r="X3531" s="55" t="n">
        <f aca="false">IF(V3531,IF(01_因子設定!$B$13="最大化",Q3531,IF(01_因子設定!$B$13="最小化",-Q3531,-ABS(Q3531-01_因子設定!$B$16))),-1E+030)</f>
        <v>46.4567613636364</v>
      </c>
      <c r="Y3531" s="55" t="n">
        <f aca="false">W3531+ROW()*0.000000001</f>
        <v>-3.05600027507076</v>
      </c>
      <c r="Z3531" s="55" t="n">
        <f aca="false">X3531+ROW()*0.000000001</f>
        <v>46.4567648946364</v>
      </c>
    </row>
    <row r="3532" customFormat="false" ht="15" hidden="false" customHeight="false" outlineLevel="0" collapsed="false">
      <c r="A3532" s="0" t="n">
        <v>12</v>
      </c>
      <c r="B3532" s="0" t="n">
        <v>3</v>
      </c>
      <c r="C3532" s="0" t="n">
        <v>8</v>
      </c>
      <c r="D3532" s="0" t="n">
        <f aca="false">-1+A3532*0.125</f>
        <v>0.5</v>
      </c>
      <c r="E3532" s="0" t="n">
        <f aca="false">-1+B3532*0.125</f>
        <v>-0.625</v>
      </c>
      <c r="F3532" s="0" t="n">
        <f aca="false">-1+C3532*0.125</f>
        <v>0</v>
      </c>
      <c r="G3532" s="0" t="n">
        <f aca="false">1</f>
        <v>1</v>
      </c>
      <c r="H3532" s="0" t="n">
        <f aca="false">D3532</f>
        <v>0.5</v>
      </c>
      <c r="I3532" s="0" t="n">
        <f aca="false">E3532</f>
        <v>-0.625</v>
      </c>
      <c r="J3532" s="0" t="n">
        <f aca="false">F3532</f>
        <v>0</v>
      </c>
      <c r="K3532" s="0" t="n">
        <f aca="false">D3532*E3532</f>
        <v>-0.3125</v>
      </c>
      <c r="L3532" s="0" t="n">
        <f aca="false">D3532*F3532</f>
        <v>0</v>
      </c>
      <c r="M3532" s="0" t="n">
        <f aca="false">E3532*F3532</f>
        <v>-0</v>
      </c>
      <c r="N3532" s="0" t="n">
        <f aca="false">D3532*D3532</f>
        <v>0.25</v>
      </c>
      <c r="O3532" s="0" t="n">
        <f aca="false">E3532*E3532</f>
        <v>0.390625</v>
      </c>
      <c r="P3532" s="0" t="n">
        <f aca="false">F3532*F3532</f>
        <v>0</v>
      </c>
      <c r="Q3532" s="0" t="n">
        <f aca="false">SUMPRODUCT(G3532:P3532,_XtX!$B$71:$K$71)</f>
        <v>46.603125</v>
      </c>
      <c r="R3532" s="0" t="n">
        <f aca="false">SUMPRODUCT(MMULT(G3532:P3532,_XtX!$B$58:$K$67),G3532:P3532)</f>
        <v>0.18779296875</v>
      </c>
      <c r="S3532" s="0" t="n">
        <f aca="false">04_回帰ANOVA!$K$19*04_回帰ANOVA!$K$14*SQRT(1+R3532)</f>
        <v>1.01329759319777</v>
      </c>
      <c r="T3532" s="0" t="n">
        <f aca="false">Q3532-S3532</f>
        <v>45.5898274068022</v>
      </c>
      <c r="U3532" s="0" t="n">
        <f aca="false">Q3532+S3532</f>
        <v>47.6164225931978</v>
      </c>
      <c r="V3532" s="54" t="b">
        <f aca="false">AND(D3532&gt;=01_因子設定!$L$5-0.000000001,D3532&lt;=01_因子設定!$M$5+0.000000001,E3532&gt;=01_因子設定!$L$6-0.000000001,E3532&lt;=01_因子設定!$M$6+0.000000001,F3532&gt;=01_因子設定!$L$7-0.000000001,F3532&lt;=01_因子設定!$M$7+0.000000001,IF(01_因子設定!$B$20="Box-Behnken",D3532^2+E3532^2+F3532^2&lt;=2+0.000000001,TRUE()))</f>
        <v>1</v>
      </c>
      <c r="W3532" s="55" t="n">
        <f aca="false">IF(V3532,IF(01_因子設定!$B$13="最大化",T3532-01_因子設定!$B$14,IF(01_因子設定!$B$13="最小化",01_因子設定!$B$15-U3532,MIN(T3532-01_因子設定!$B$14,01_因子設定!$B$15-U3532))),-1E+030)</f>
        <v>-2.91017259319776</v>
      </c>
      <c r="X3532" s="55" t="n">
        <f aca="false">IF(V3532,IF(01_因子設定!$B$13="最大化",Q3532,IF(01_因子設定!$B$13="最小化",-Q3532,-ABS(Q3532-01_因子設定!$B$16))),-1E+030)</f>
        <v>46.603125</v>
      </c>
      <c r="Y3532" s="55" t="n">
        <f aca="false">W3532+ROW()*0.000000001</f>
        <v>-2.91016906119776</v>
      </c>
      <c r="Z3532" s="55" t="n">
        <f aca="false">X3532+ROW()*0.000000001</f>
        <v>46.603128532</v>
      </c>
    </row>
    <row r="3533" customFormat="false" ht="15" hidden="false" customHeight="false" outlineLevel="0" collapsed="false">
      <c r="A3533" s="0" t="n">
        <v>12</v>
      </c>
      <c r="B3533" s="0" t="n">
        <v>3</v>
      </c>
      <c r="C3533" s="0" t="n">
        <v>9</v>
      </c>
      <c r="D3533" s="0" t="n">
        <f aca="false">-1+A3533*0.125</f>
        <v>0.5</v>
      </c>
      <c r="E3533" s="0" t="n">
        <f aca="false">-1+B3533*0.125</f>
        <v>-0.625</v>
      </c>
      <c r="F3533" s="0" t="n">
        <f aca="false">-1+C3533*0.125</f>
        <v>0.125</v>
      </c>
      <c r="G3533" s="0" t="n">
        <f aca="false">1</f>
        <v>1</v>
      </c>
      <c r="H3533" s="0" t="n">
        <f aca="false">D3533</f>
        <v>0.5</v>
      </c>
      <c r="I3533" s="0" t="n">
        <f aca="false">E3533</f>
        <v>-0.625</v>
      </c>
      <c r="J3533" s="0" t="n">
        <f aca="false">F3533</f>
        <v>0.125</v>
      </c>
      <c r="K3533" s="0" t="n">
        <f aca="false">D3533*E3533</f>
        <v>-0.3125</v>
      </c>
      <c r="L3533" s="0" t="n">
        <f aca="false">D3533*F3533</f>
        <v>0.0625</v>
      </c>
      <c r="M3533" s="0" t="n">
        <f aca="false">E3533*F3533</f>
        <v>-0.078125</v>
      </c>
      <c r="N3533" s="0" t="n">
        <f aca="false">D3533*D3533</f>
        <v>0.25</v>
      </c>
      <c r="O3533" s="0" t="n">
        <f aca="false">E3533*E3533</f>
        <v>0.390625</v>
      </c>
      <c r="P3533" s="0" t="n">
        <f aca="false">F3533*F3533</f>
        <v>0.015625</v>
      </c>
      <c r="Q3533" s="0" t="n">
        <f aca="false">SUMPRODUCT(G3533:P3533,_XtX!$B$71:$K$71)</f>
        <v>46.7126988636364</v>
      </c>
      <c r="R3533" s="0" t="n">
        <f aca="false">SUMPRODUCT(MMULT(G3533:P3533,_XtX!$B$58:$K$67),G3533:P3533)</f>
        <v>0.186545077237216</v>
      </c>
      <c r="S3533" s="0" t="n">
        <f aca="false">04_回帰ANOVA!$K$19*04_回帰ANOVA!$K$14*SQRT(1+R3533)</f>
        <v>1.01276516970713</v>
      </c>
      <c r="T3533" s="0" t="n">
        <f aca="false">Q3533-S3533</f>
        <v>45.6999336939292</v>
      </c>
      <c r="U3533" s="0" t="n">
        <f aca="false">Q3533+S3533</f>
        <v>47.7254640333435</v>
      </c>
      <c r="V3533" s="54" t="b">
        <f aca="false">AND(D3533&gt;=01_因子設定!$L$5-0.000000001,D3533&lt;=01_因子設定!$M$5+0.000000001,E3533&gt;=01_因子設定!$L$6-0.000000001,E3533&lt;=01_因子設定!$M$6+0.000000001,F3533&gt;=01_因子設定!$L$7-0.000000001,F3533&lt;=01_因子設定!$M$7+0.000000001,IF(01_因子設定!$B$20="Box-Behnken",D3533^2+E3533^2+F3533^2&lt;=2+0.000000001,TRUE()))</f>
        <v>1</v>
      </c>
      <c r="W3533" s="55" t="n">
        <f aca="false">IF(V3533,IF(01_因子設定!$B$13="最大化",T3533-01_因子設定!$B$14,IF(01_因子設定!$B$13="最小化",01_因子設定!$B$15-U3533,MIN(T3533-01_因子設定!$B$14,01_因子設定!$B$15-U3533))),-1E+030)</f>
        <v>-2.80006630607076</v>
      </c>
      <c r="X3533" s="55" t="n">
        <f aca="false">IF(V3533,IF(01_因子設定!$B$13="最大化",Q3533,IF(01_因子設定!$B$13="最小化",-Q3533,-ABS(Q3533-01_因子設定!$B$16))),-1E+030)</f>
        <v>46.7126988636364</v>
      </c>
      <c r="Y3533" s="55" t="n">
        <f aca="false">W3533+ROW()*0.000000001</f>
        <v>-2.80006277307076</v>
      </c>
      <c r="Z3533" s="55" t="n">
        <f aca="false">X3533+ROW()*0.000000001</f>
        <v>46.7127023966364</v>
      </c>
    </row>
    <row r="3534" customFormat="false" ht="15" hidden="false" customHeight="false" outlineLevel="0" collapsed="false">
      <c r="A3534" s="0" t="n">
        <v>12</v>
      </c>
      <c r="B3534" s="0" t="n">
        <v>3</v>
      </c>
      <c r="C3534" s="0" t="n">
        <v>10</v>
      </c>
      <c r="D3534" s="0" t="n">
        <f aca="false">-1+A3534*0.125</f>
        <v>0.5</v>
      </c>
      <c r="E3534" s="0" t="n">
        <f aca="false">-1+B3534*0.125</f>
        <v>-0.625</v>
      </c>
      <c r="F3534" s="0" t="n">
        <f aca="false">-1+C3534*0.125</f>
        <v>0.25</v>
      </c>
      <c r="G3534" s="0" t="n">
        <f aca="false">1</f>
        <v>1</v>
      </c>
      <c r="H3534" s="0" t="n">
        <f aca="false">D3534</f>
        <v>0.5</v>
      </c>
      <c r="I3534" s="0" t="n">
        <f aca="false">E3534</f>
        <v>-0.625</v>
      </c>
      <c r="J3534" s="0" t="n">
        <f aca="false">F3534</f>
        <v>0.25</v>
      </c>
      <c r="K3534" s="0" t="n">
        <f aca="false">D3534*E3534</f>
        <v>-0.3125</v>
      </c>
      <c r="L3534" s="0" t="n">
        <f aca="false">D3534*F3534</f>
        <v>0.125</v>
      </c>
      <c r="M3534" s="0" t="n">
        <f aca="false">E3534*F3534</f>
        <v>-0.15625</v>
      </c>
      <c r="N3534" s="0" t="n">
        <f aca="false">D3534*D3534</f>
        <v>0.25</v>
      </c>
      <c r="O3534" s="0" t="n">
        <f aca="false">E3534*E3534</f>
        <v>0.390625</v>
      </c>
      <c r="P3534" s="0" t="n">
        <f aca="false">F3534*F3534</f>
        <v>0.0625</v>
      </c>
      <c r="Q3534" s="0" t="n">
        <f aca="false">SUMPRODUCT(G3534:P3534,_XtX!$B$71:$K$71)</f>
        <v>46.7854829545455</v>
      </c>
      <c r="R3534" s="0" t="n">
        <f aca="false">SUMPRODUCT(MMULT(G3534:P3534,_XtX!$B$58:$K$67),G3534:P3534)</f>
        <v>0.183866743607955</v>
      </c>
      <c r="S3534" s="0" t="n">
        <f aca="false">04_回帰ANOVA!$K$19*04_回帰ANOVA!$K$14*SQRT(1+R3534)</f>
        <v>1.01162148983013</v>
      </c>
      <c r="T3534" s="0" t="n">
        <f aca="false">Q3534-S3534</f>
        <v>45.7738614647153</v>
      </c>
      <c r="U3534" s="0" t="n">
        <f aca="false">Q3534+S3534</f>
        <v>47.7971044443756</v>
      </c>
      <c r="V3534" s="54" t="b">
        <f aca="false">AND(D3534&gt;=01_因子設定!$L$5-0.000000001,D3534&lt;=01_因子設定!$M$5+0.000000001,E3534&gt;=01_因子設定!$L$6-0.000000001,E3534&lt;=01_因子設定!$M$6+0.000000001,F3534&gt;=01_因子設定!$L$7-0.000000001,F3534&lt;=01_因子設定!$M$7+0.000000001,IF(01_因子設定!$B$20="Box-Behnken",D3534^2+E3534^2+F3534^2&lt;=2+0.000000001,TRUE()))</f>
        <v>1</v>
      </c>
      <c r="W3534" s="55" t="n">
        <f aca="false">IF(V3534,IF(01_因子設定!$B$13="最大化",T3534-01_因子設定!$B$14,IF(01_因子設定!$B$13="最小化",01_因子設定!$B$15-U3534,MIN(T3534-01_因子設定!$B$14,01_因子設定!$B$15-U3534))),-1E+030)</f>
        <v>-2.72613853528467</v>
      </c>
      <c r="X3534" s="55" t="n">
        <f aca="false">IF(V3534,IF(01_因子設定!$B$13="最大化",Q3534,IF(01_因子設定!$B$13="最小化",-Q3534,-ABS(Q3534-01_因子設定!$B$16))),-1E+030)</f>
        <v>46.7854829545455</v>
      </c>
      <c r="Y3534" s="55" t="n">
        <f aca="false">W3534+ROW()*0.000000001</f>
        <v>-2.72613500128467</v>
      </c>
      <c r="Z3534" s="55" t="n">
        <f aca="false">X3534+ROW()*0.000000001</f>
        <v>46.7854864885455</v>
      </c>
    </row>
    <row r="3535" customFormat="false" ht="15" hidden="false" customHeight="false" outlineLevel="0" collapsed="false">
      <c r="A3535" s="0" t="n">
        <v>12</v>
      </c>
      <c r="B3535" s="0" t="n">
        <v>3</v>
      </c>
      <c r="C3535" s="0" t="n">
        <v>11</v>
      </c>
      <c r="D3535" s="0" t="n">
        <f aca="false">-1+A3535*0.125</f>
        <v>0.5</v>
      </c>
      <c r="E3535" s="0" t="n">
        <f aca="false">-1+B3535*0.125</f>
        <v>-0.625</v>
      </c>
      <c r="F3535" s="0" t="n">
        <f aca="false">-1+C3535*0.125</f>
        <v>0.375</v>
      </c>
      <c r="G3535" s="0" t="n">
        <f aca="false">1</f>
        <v>1</v>
      </c>
      <c r="H3535" s="0" t="n">
        <f aca="false">D3535</f>
        <v>0.5</v>
      </c>
      <c r="I3535" s="0" t="n">
        <f aca="false">E3535</f>
        <v>-0.625</v>
      </c>
      <c r="J3535" s="0" t="n">
        <f aca="false">F3535</f>
        <v>0.375</v>
      </c>
      <c r="K3535" s="0" t="n">
        <f aca="false">D3535*E3535</f>
        <v>-0.3125</v>
      </c>
      <c r="L3535" s="0" t="n">
        <f aca="false">D3535*F3535</f>
        <v>0.1875</v>
      </c>
      <c r="M3535" s="0" t="n">
        <f aca="false">E3535*F3535</f>
        <v>-0.234375</v>
      </c>
      <c r="N3535" s="0" t="n">
        <f aca="false">D3535*D3535</f>
        <v>0.25</v>
      </c>
      <c r="O3535" s="0" t="n">
        <f aca="false">E3535*E3535</f>
        <v>0.390625</v>
      </c>
      <c r="P3535" s="0" t="n">
        <f aca="false">F3535*F3535</f>
        <v>0.140625</v>
      </c>
      <c r="Q3535" s="0" t="n">
        <f aca="false">SUMPRODUCT(G3535:P3535,_XtX!$B$71:$K$71)</f>
        <v>46.8214772727273</v>
      </c>
      <c r="R3535" s="0" t="n">
        <f aca="false">SUMPRODUCT(MMULT(G3535:P3535,_XtX!$B$58:$K$67),G3535:P3535)</f>
        <v>0.182953990589489</v>
      </c>
      <c r="S3535" s="0" t="n">
        <f aca="false">04_回帰ANOVA!$K$19*04_回帰ANOVA!$K$14*SQRT(1+R3535)</f>
        <v>1.01123143807044</v>
      </c>
      <c r="T3535" s="0" t="n">
        <f aca="false">Q3535-S3535</f>
        <v>45.8102458346568</v>
      </c>
      <c r="U3535" s="0" t="n">
        <f aca="false">Q3535+S3535</f>
        <v>47.8327087107977</v>
      </c>
      <c r="V3535" s="54" t="b">
        <f aca="false">AND(D3535&gt;=01_因子設定!$L$5-0.000000001,D3535&lt;=01_因子設定!$M$5+0.000000001,E3535&gt;=01_因子設定!$L$6-0.000000001,E3535&lt;=01_因子設定!$M$6+0.000000001,F3535&gt;=01_因子設定!$L$7-0.000000001,F3535&lt;=01_因子設定!$M$7+0.000000001,IF(01_因子設定!$B$20="Box-Behnken",D3535^2+E3535^2+F3535^2&lt;=2+0.000000001,TRUE()))</f>
        <v>1</v>
      </c>
      <c r="W3535" s="55" t="n">
        <f aca="false">IF(V3535,IF(01_因子設定!$B$13="最大化",T3535-01_因子設定!$B$14,IF(01_因子設定!$B$13="最小化",01_因子設定!$B$15-U3535,MIN(T3535-01_因子設定!$B$14,01_因子設定!$B$15-U3535))),-1E+030)</f>
        <v>-2.68975416534316</v>
      </c>
      <c r="X3535" s="55" t="n">
        <f aca="false">IF(V3535,IF(01_因子設定!$B$13="最大化",Q3535,IF(01_因子設定!$B$13="最小化",-Q3535,-ABS(Q3535-01_因子設定!$B$16))),-1E+030)</f>
        <v>46.8214772727273</v>
      </c>
      <c r="Y3535" s="55" t="n">
        <f aca="false">W3535+ROW()*0.000000001</f>
        <v>-2.68975063034316</v>
      </c>
      <c r="Z3535" s="55" t="n">
        <f aca="false">X3535+ROW()*0.000000001</f>
        <v>46.8214808077273</v>
      </c>
    </row>
    <row r="3536" customFormat="false" ht="15" hidden="false" customHeight="false" outlineLevel="0" collapsed="false">
      <c r="A3536" s="0" t="n">
        <v>12</v>
      </c>
      <c r="B3536" s="0" t="n">
        <v>3</v>
      </c>
      <c r="C3536" s="0" t="n">
        <v>12</v>
      </c>
      <c r="D3536" s="0" t="n">
        <f aca="false">-1+A3536*0.125</f>
        <v>0.5</v>
      </c>
      <c r="E3536" s="0" t="n">
        <f aca="false">-1+B3536*0.125</f>
        <v>-0.625</v>
      </c>
      <c r="F3536" s="0" t="n">
        <f aca="false">-1+C3536*0.125</f>
        <v>0.5</v>
      </c>
      <c r="G3536" s="0" t="n">
        <f aca="false">1</f>
        <v>1</v>
      </c>
      <c r="H3536" s="0" t="n">
        <f aca="false">D3536</f>
        <v>0.5</v>
      </c>
      <c r="I3536" s="0" t="n">
        <f aca="false">E3536</f>
        <v>-0.625</v>
      </c>
      <c r="J3536" s="0" t="n">
        <f aca="false">F3536</f>
        <v>0.5</v>
      </c>
      <c r="K3536" s="0" t="n">
        <f aca="false">D3536*E3536</f>
        <v>-0.3125</v>
      </c>
      <c r="L3536" s="0" t="n">
        <f aca="false">D3536*F3536</f>
        <v>0.25</v>
      </c>
      <c r="M3536" s="0" t="n">
        <f aca="false">E3536*F3536</f>
        <v>-0.3125</v>
      </c>
      <c r="N3536" s="0" t="n">
        <f aca="false">D3536*D3536</f>
        <v>0.25</v>
      </c>
      <c r="O3536" s="0" t="n">
        <f aca="false">E3536*E3536</f>
        <v>0.390625</v>
      </c>
      <c r="P3536" s="0" t="n">
        <f aca="false">F3536*F3536</f>
        <v>0.25</v>
      </c>
      <c r="Q3536" s="0" t="n">
        <f aca="false">SUMPRODUCT(G3536:P3536,_XtX!$B$71:$K$71)</f>
        <v>46.8206818181818</v>
      </c>
      <c r="R3536" s="0" t="n">
        <f aca="false">SUMPRODUCT(MMULT(G3536:P3536,_XtX!$B$58:$K$67),G3536:P3536)</f>
        <v>0.189133522727273</v>
      </c>
      <c r="S3536" s="0" t="n">
        <f aca="false">04_回帰ANOVA!$K$19*04_回帰ANOVA!$K$14*SQRT(1+R3536)</f>
        <v>1.0138692404042</v>
      </c>
      <c r="T3536" s="0" t="n">
        <f aca="false">Q3536-S3536</f>
        <v>45.8068125777776</v>
      </c>
      <c r="U3536" s="0" t="n">
        <f aca="false">Q3536+S3536</f>
        <v>47.834551058586</v>
      </c>
      <c r="V3536" s="54" t="b">
        <f aca="false">AND(D3536&gt;=01_因子設定!$L$5-0.000000001,D3536&lt;=01_因子設定!$M$5+0.000000001,E3536&gt;=01_因子設定!$L$6-0.000000001,E3536&lt;=01_因子設定!$M$6+0.000000001,F3536&gt;=01_因子設定!$L$7-0.000000001,F3536&lt;=01_因子設定!$M$7+0.000000001,IF(01_因子設定!$B$20="Box-Behnken",D3536^2+E3536^2+F3536^2&lt;=2+0.000000001,TRUE()))</f>
        <v>1</v>
      </c>
      <c r="W3536" s="55" t="n">
        <f aca="false">IF(V3536,IF(01_因子設定!$B$13="最大化",T3536-01_因子設定!$B$14,IF(01_因子設定!$B$13="最小化",01_因子設定!$B$15-U3536,MIN(T3536-01_因子設定!$B$14,01_因子設定!$B$15-U3536))),-1E+030)</f>
        <v>-2.69318742222237</v>
      </c>
      <c r="X3536" s="55" t="n">
        <f aca="false">IF(V3536,IF(01_因子設定!$B$13="最大化",Q3536,IF(01_因子設定!$B$13="最小化",-Q3536,-ABS(Q3536-01_因子設定!$B$16))),-1E+030)</f>
        <v>46.8206818181818</v>
      </c>
      <c r="Y3536" s="55" t="n">
        <f aca="false">W3536+ROW()*0.000000001</f>
        <v>-2.69318388622237</v>
      </c>
      <c r="Z3536" s="55" t="n">
        <f aca="false">X3536+ROW()*0.000000001</f>
        <v>46.8206853541818</v>
      </c>
    </row>
    <row r="3537" customFormat="false" ht="15" hidden="false" customHeight="false" outlineLevel="0" collapsed="false">
      <c r="A3537" s="0" t="n">
        <v>12</v>
      </c>
      <c r="B3537" s="0" t="n">
        <v>3</v>
      </c>
      <c r="C3537" s="0" t="n">
        <v>13</v>
      </c>
      <c r="D3537" s="0" t="n">
        <f aca="false">-1+A3537*0.125</f>
        <v>0.5</v>
      </c>
      <c r="E3537" s="0" t="n">
        <f aca="false">-1+B3537*0.125</f>
        <v>-0.625</v>
      </c>
      <c r="F3537" s="0" t="n">
        <f aca="false">-1+C3537*0.125</f>
        <v>0.625</v>
      </c>
      <c r="G3537" s="0" t="n">
        <f aca="false">1</f>
        <v>1</v>
      </c>
      <c r="H3537" s="0" t="n">
        <f aca="false">D3537</f>
        <v>0.5</v>
      </c>
      <c r="I3537" s="0" t="n">
        <f aca="false">E3537</f>
        <v>-0.625</v>
      </c>
      <c r="J3537" s="0" t="n">
        <f aca="false">F3537</f>
        <v>0.625</v>
      </c>
      <c r="K3537" s="0" t="n">
        <f aca="false">D3537*E3537</f>
        <v>-0.3125</v>
      </c>
      <c r="L3537" s="0" t="n">
        <f aca="false">D3537*F3537</f>
        <v>0.3125</v>
      </c>
      <c r="M3537" s="0" t="n">
        <f aca="false">E3537*F3537</f>
        <v>-0.390625</v>
      </c>
      <c r="N3537" s="0" t="n">
        <f aca="false">D3537*D3537</f>
        <v>0.25</v>
      </c>
      <c r="O3537" s="0" t="n">
        <f aca="false">E3537*E3537</f>
        <v>0.390625</v>
      </c>
      <c r="P3537" s="0" t="n">
        <f aca="false">F3537*F3537</f>
        <v>0.390625</v>
      </c>
      <c r="Q3537" s="0" t="n">
        <f aca="false">SUMPRODUCT(G3537:P3537,_XtX!$B$71:$K$71)</f>
        <v>46.7830965909091</v>
      </c>
      <c r="R3537" s="0" t="n">
        <f aca="false">SUMPRODUCT(MMULT(G3537:P3537,_XtX!$B$58:$K$67),G3537:P3537)</f>
        <v>0.209862726384943</v>
      </c>
      <c r="S3537" s="0" t="n">
        <f aca="false">04_回帰ANOVA!$K$19*04_回帰ANOVA!$K$14*SQRT(1+R3537)</f>
        <v>1.0226680420112</v>
      </c>
      <c r="T3537" s="0" t="n">
        <f aca="false">Q3537-S3537</f>
        <v>45.7604285488979</v>
      </c>
      <c r="U3537" s="0" t="n">
        <f aca="false">Q3537+S3537</f>
        <v>47.8057646329203</v>
      </c>
      <c r="V3537" s="54" t="b">
        <f aca="false">AND(D3537&gt;=01_因子設定!$L$5-0.000000001,D3537&lt;=01_因子設定!$M$5+0.000000001,E3537&gt;=01_因子設定!$L$6-0.000000001,E3537&lt;=01_因子設定!$M$6+0.000000001,F3537&gt;=01_因子設定!$L$7-0.000000001,F3537&lt;=01_因子設定!$M$7+0.000000001,IF(01_因子設定!$B$20="Box-Behnken",D3537^2+E3537^2+F3537^2&lt;=2+0.000000001,TRUE()))</f>
        <v>1</v>
      </c>
      <c r="W3537" s="55" t="n">
        <f aca="false">IF(V3537,IF(01_因子設定!$B$13="最大化",T3537-01_因子設定!$B$14,IF(01_因子設定!$B$13="最小化",01_因子設定!$B$15-U3537,MIN(T3537-01_因子設定!$B$14,01_因子設定!$B$15-U3537))),-1E+030)</f>
        <v>-2.73957145110209</v>
      </c>
      <c r="X3537" s="55" t="n">
        <f aca="false">IF(V3537,IF(01_因子設定!$B$13="最大化",Q3537,IF(01_因子設定!$B$13="最小化",-Q3537,-ABS(Q3537-01_因子設定!$B$16))),-1E+030)</f>
        <v>46.7830965909091</v>
      </c>
      <c r="Y3537" s="55" t="n">
        <f aca="false">W3537+ROW()*0.000000001</f>
        <v>-2.73956791410209</v>
      </c>
      <c r="Z3537" s="55" t="n">
        <f aca="false">X3537+ROW()*0.000000001</f>
        <v>46.7831001279091</v>
      </c>
    </row>
    <row r="3538" customFormat="false" ht="15" hidden="false" customHeight="false" outlineLevel="0" collapsed="false">
      <c r="A3538" s="0" t="n">
        <v>12</v>
      </c>
      <c r="B3538" s="0" t="n">
        <v>3</v>
      </c>
      <c r="C3538" s="0" t="n">
        <v>14</v>
      </c>
      <c r="D3538" s="0" t="n">
        <f aca="false">-1+A3538*0.125</f>
        <v>0.5</v>
      </c>
      <c r="E3538" s="0" t="n">
        <f aca="false">-1+B3538*0.125</f>
        <v>-0.625</v>
      </c>
      <c r="F3538" s="0" t="n">
        <f aca="false">-1+C3538*0.125</f>
        <v>0.75</v>
      </c>
      <c r="G3538" s="0" t="n">
        <f aca="false">1</f>
        <v>1</v>
      </c>
      <c r="H3538" s="0" t="n">
        <f aca="false">D3538</f>
        <v>0.5</v>
      </c>
      <c r="I3538" s="0" t="n">
        <f aca="false">E3538</f>
        <v>-0.625</v>
      </c>
      <c r="J3538" s="0" t="n">
        <f aca="false">F3538</f>
        <v>0.75</v>
      </c>
      <c r="K3538" s="0" t="n">
        <f aca="false">D3538*E3538</f>
        <v>-0.3125</v>
      </c>
      <c r="L3538" s="0" t="n">
        <f aca="false">D3538*F3538</f>
        <v>0.375</v>
      </c>
      <c r="M3538" s="0" t="n">
        <f aca="false">E3538*F3538</f>
        <v>-0.46875</v>
      </c>
      <c r="N3538" s="0" t="n">
        <f aca="false">D3538*D3538</f>
        <v>0.25</v>
      </c>
      <c r="O3538" s="0" t="n">
        <f aca="false">E3538*E3538</f>
        <v>0.390625</v>
      </c>
      <c r="P3538" s="0" t="n">
        <f aca="false">F3538*F3538</f>
        <v>0.5625</v>
      </c>
      <c r="Q3538" s="0" t="n">
        <f aca="false">SUMPRODUCT(G3538:P3538,_XtX!$B$71:$K$71)</f>
        <v>46.7087215909091</v>
      </c>
      <c r="R3538" s="0" t="n">
        <f aca="false">SUMPRODUCT(MMULT(G3538:P3538,_XtX!$B$58:$K$67),G3538:P3538)</f>
        <v>0.254729669744318</v>
      </c>
      <c r="S3538" s="0" t="n">
        <f aca="false">04_回帰ANOVA!$K$19*04_回帰ANOVA!$K$14*SQRT(1+R3538)</f>
        <v>1.04145790281631</v>
      </c>
      <c r="T3538" s="0" t="n">
        <f aca="false">Q3538-S3538</f>
        <v>45.6672636880928</v>
      </c>
      <c r="U3538" s="0" t="n">
        <f aca="false">Q3538+S3538</f>
        <v>47.7501794937254</v>
      </c>
      <c r="V3538" s="54" t="b">
        <f aca="false">AND(D3538&gt;=01_因子設定!$L$5-0.000000001,D3538&lt;=01_因子設定!$M$5+0.000000001,E3538&gt;=01_因子設定!$L$6-0.000000001,E3538&lt;=01_因子設定!$M$6+0.000000001,F3538&gt;=01_因子設定!$L$7-0.000000001,F3538&lt;=01_因子設定!$M$7+0.000000001,IF(01_因子設定!$B$20="Box-Behnken",D3538^2+E3538^2+F3538^2&lt;=2+0.000000001,TRUE()))</f>
        <v>1</v>
      </c>
      <c r="W3538" s="55" t="n">
        <f aca="false">IF(V3538,IF(01_因子設定!$B$13="最大化",T3538-01_因子設定!$B$14,IF(01_因子設定!$B$13="最小化",01_因子設定!$B$15-U3538,MIN(T3538-01_因子設定!$B$14,01_因子設定!$B$15-U3538))),-1E+030)</f>
        <v>-2.8327363119072</v>
      </c>
      <c r="X3538" s="55" t="n">
        <f aca="false">IF(V3538,IF(01_因子設定!$B$13="最大化",Q3538,IF(01_因子設定!$B$13="最小化",-Q3538,-ABS(Q3538-01_因子設定!$B$16))),-1E+030)</f>
        <v>46.7087215909091</v>
      </c>
      <c r="Y3538" s="55" t="n">
        <f aca="false">W3538+ROW()*0.000000001</f>
        <v>-2.8327327739072</v>
      </c>
      <c r="Z3538" s="55" t="n">
        <f aca="false">X3538+ROW()*0.000000001</f>
        <v>46.7087251289091</v>
      </c>
    </row>
    <row r="3539" customFormat="false" ht="15" hidden="false" customHeight="false" outlineLevel="0" collapsed="false">
      <c r="A3539" s="0" t="n">
        <v>12</v>
      </c>
      <c r="B3539" s="0" t="n">
        <v>3</v>
      </c>
      <c r="C3539" s="0" t="n">
        <v>15</v>
      </c>
      <c r="D3539" s="0" t="n">
        <f aca="false">-1+A3539*0.125</f>
        <v>0.5</v>
      </c>
      <c r="E3539" s="0" t="n">
        <f aca="false">-1+B3539*0.125</f>
        <v>-0.625</v>
      </c>
      <c r="F3539" s="0" t="n">
        <f aca="false">-1+C3539*0.125</f>
        <v>0.875</v>
      </c>
      <c r="G3539" s="0" t="n">
        <f aca="false">1</f>
        <v>1</v>
      </c>
      <c r="H3539" s="0" t="n">
        <f aca="false">D3539</f>
        <v>0.5</v>
      </c>
      <c r="I3539" s="0" t="n">
        <f aca="false">E3539</f>
        <v>-0.625</v>
      </c>
      <c r="J3539" s="0" t="n">
        <f aca="false">F3539</f>
        <v>0.875</v>
      </c>
      <c r="K3539" s="0" t="n">
        <f aca="false">D3539*E3539</f>
        <v>-0.3125</v>
      </c>
      <c r="L3539" s="0" t="n">
        <f aca="false">D3539*F3539</f>
        <v>0.4375</v>
      </c>
      <c r="M3539" s="0" t="n">
        <f aca="false">E3539*F3539</f>
        <v>-0.546875</v>
      </c>
      <c r="N3539" s="0" t="n">
        <f aca="false">D3539*D3539</f>
        <v>0.25</v>
      </c>
      <c r="O3539" s="0" t="n">
        <f aca="false">E3539*E3539</f>
        <v>0.390625</v>
      </c>
      <c r="P3539" s="0" t="n">
        <f aca="false">F3539*F3539</f>
        <v>0.765625</v>
      </c>
      <c r="Q3539" s="0" t="n">
        <f aca="false">SUMPRODUCT(G3539:P3539,_XtX!$B$71:$K$71)</f>
        <v>46.5975568181818</v>
      </c>
      <c r="R3539" s="0" t="n">
        <f aca="false">SUMPRODUCT(MMULT(G3539:P3539,_XtX!$B$58:$K$67),G3539:P3539)</f>
        <v>0.335453102805398</v>
      </c>
      <c r="S3539" s="0" t="n">
        <f aca="false">04_回帰ANOVA!$K$19*04_回帰ANOVA!$K$14*SQRT(1+R3539)</f>
        <v>1.07443700305628</v>
      </c>
      <c r="T3539" s="0" t="n">
        <f aca="false">Q3539-S3539</f>
        <v>45.5231198151256</v>
      </c>
      <c r="U3539" s="0" t="n">
        <f aca="false">Q3539+S3539</f>
        <v>47.6719938212381</v>
      </c>
      <c r="V3539" s="54" t="b">
        <f aca="false">AND(D3539&gt;=01_因子設定!$L$5-0.000000001,D3539&lt;=01_因子設定!$M$5+0.000000001,E3539&gt;=01_因子設定!$L$6-0.000000001,E3539&lt;=01_因子設定!$M$6+0.000000001,F3539&gt;=01_因子設定!$L$7-0.000000001,F3539&lt;=01_因子設定!$M$7+0.000000001,IF(01_因子設定!$B$20="Box-Behnken",D3539^2+E3539^2+F3539^2&lt;=2+0.000000001,TRUE()))</f>
        <v>1</v>
      </c>
      <c r="W3539" s="55" t="n">
        <f aca="false">IF(V3539,IF(01_因子設定!$B$13="最大化",T3539-01_因子設定!$B$14,IF(01_因子設定!$B$13="最小化",01_因子設定!$B$15-U3539,MIN(T3539-01_因子設定!$B$14,01_因子設定!$B$15-U3539))),-1E+030)</f>
        <v>-2.97688018487444</v>
      </c>
      <c r="X3539" s="55" t="n">
        <f aca="false">IF(V3539,IF(01_因子設定!$B$13="最大化",Q3539,IF(01_因子設定!$B$13="最小化",-Q3539,-ABS(Q3539-01_因子設定!$B$16))),-1E+030)</f>
        <v>46.5975568181818</v>
      </c>
      <c r="Y3539" s="55" t="n">
        <f aca="false">W3539+ROW()*0.000000001</f>
        <v>-2.97687664587444</v>
      </c>
      <c r="Z3539" s="55" t="n">
        <f aca="false">X3539+ROW()*0.000000001</f>
        <v>46.5975603571818</v>
      </c>
    </row>
    <row r="3540" customFormat="false" ht="15" hidden="false" customHeight="false" outlineLevel="0" collapsed="false">
      <c r="A3540" s="0" t="n">
        <v>12</v>
      </c>
      <c r="B3540" s="0" t="n">
        <v>3</v>
      </c>
      <c r="C3540" s="0" t="n">
        <v>16</v>
      </c>
      <c r="D3540" s="0" t="n">
        <f aca="false">-1+A3540*0.125</f>
        <v>0.5</v>
      </c>
      <c r="E3540" s="0" t="n">
        <f aca="false">-1+B3540*0.125</f>
        <v>-0.625</v>
      </c>
      <c r="F3540" s="0" t="n">
        <f aca="false">-1+C3540*0.125</f>
        <v>1</v>
      </c>
      <c r="G3540" s="0" t="n">
        <f aca="false">1</f>
        <v>1</v>
      </c>
      <c r="H3540" s="0" t="n">
        <f aca="false">D3540</f>
        <v>0.5</v>
      </c>
      <c r="I3540" s="0" t="n">
        <f aca="false">E3540</f>
        <v>-0.625</v>
      </c>
      <c r="J3540" s="0" t="n">
        <f aca="false">F3540</f>
        <v>1</v>
      </c>
      <c r="K3540" s="0" t="n">
        <f aca="false">D3540*E3540</f>
        <v>-0.3125</v>
      </c>
      <c r="L3540" s="0" t="n">
        <f aca="false">D3540*F3540</f>
        <v>0.5</v>
      </c>
      <c r="M3540" s="0" t="n">
        <f aca="false">E3540*F3540</f>
        <v>-0.625</v>
      </c>
      <c r="N3540" s="0" t="n">
        <f aca="false">D3540*D3540</f>
        <v>0.25</v>
      </c>
      <c r="O3540" s="0" t="n">
        <f aca="false">E3540*E3540</f>
        <v>0.390625</v>
      </c>
      <c r="P3540" s="0" t="n">
        <f aca="false">F3540*F3540</f>
        <v>1</v>
      </c>
      <c r="Q3540" s="0" t="n">
        <f aca="false">SUMPRODUCT(G3540:P3540,_XtX!$B$71:$K$71)</f>
        <v>46.4496022727273</v>
      </c>
      <c r="R3540" s="0" t="n">
        <f aca="false">SUMPRODUCT(MMULT(G3540:P3540,_XtX!$B$58:$K$67),G3540:P3540)</f>
        <v>0.465882457386364</v>
      </c>
      <c r="S3540" s="0" t="n">
        <f aca="false">04_回帰ANOVA!$K$19*04_回帰ANOVA!$K$14*SQRT(1+R3540)</f>
        <v>1.12568326538173</v>
      </c>
      <c r="T3540" s="0" t="n">
        <f aca="false">Q3540-S3540</f>
        <v>45.3239190073456</v>
      </c>
      <c r="U3540" s="0" t="n">
        <f aca="false">Q3540+S3540</f>
        <v>47.575285538109</v>
      </c>
      <c r="V3540" s="54" t="b">
        <f aca="false">AND(D3540&gt;=01_因子設定!$L$5-0.000000001,D3540&lt;=01_因子設定!$M$5+0.000000001,E3540&gt;=01_因子設定!$L$6-0.000000001,E3540&lt;=01_因子設定!$M$6+0.000000001,F3540&gt;=01_因子設定!$L$7-0.000000001,F3540&lt;=01_因子設定!$M$7+0.000000001,IF(01_因子設定!$B$20="Box-Behnken",D3540^2+E3540^2+F3540^2&lt;=2+0.000000001,TRUE()))</f>
        <v>1</v>
      </c>
      <c r="W3540" s="55" t="n">
        <f aca="false">IF(V3540,IF(01_因子設定!$B$13="最大化",T3540-01_因子設定!$B$14,IF(01_因子設定!$B$13="最小化",01_因子設定!$B$15-U3540,MIN(T3540-01_因子設定!$B$14,01_因子設定!$B$15-U3540))),-1E+030)</f>
        <v>-3.17608099265443</v>
      </c>
      <c r="X3540" s="55" t="n">
        <f aca="false">IF(V3540,IF(01_因子設定!$B$13="最大化",Q3540,IF(01_因子設定!$B$13="最小化",-Q3540,-ABS(Q3540-01_因子設定!$B$16))),-1E+030)</f>
        <v>46.4496022727273</v>
      </c>
      <c r="Y3540" s="55" t="n">
        <f aca="false">W3540+ROW()*0.000000001</f>
        <v>-3.17607745265443</v>
      </c>
      <c r="Z3540" s="55" t="n">
        <f aca="false">X3540+ROW()*0.000000001</f>
        <v>46.4496058127273</v>
      </c>
    </row>
    <row r="3541" customFormat="false" ht="15" hidden="false" customHeight="false" outlineLevel="0" collapsed="false">
      <c r="A3541" s="0" t="n">
        <v>12</v>
      </c>
      <c r="B3541" s="0" t="n">
        <v>4</v>
      </c>
      <c r="C3541" s="0" t="n">
        <v>0</v>
      </c>
      <c r="D3541" s="0" t="n">
        <f aca="false">-1+A3541*0.125</f>
        <v>0.5</v>
      </c>
      <c r="E3541" s="0" t="n">
        <f aca="false">-1+B3541*0.125</f>
        <v>-0.5</v>
      </c>
      <c r="F3541" s="0" t="n">
        <f aca="false">-1+C3541*0.125</f>
        <v>-1</v>
      </c>
      <c r="G3541" s="0" t="n">
        <f aca="false">1</f>
        <v>1</v>
      </c>
      <c r="H3541" s="0" t="n">
        <f aca="false">D3541</f>
        <v>0.5</v>
      </c>
      <c r="I3541" s="0" t="n">
        <f aca="false">E3541</f>
        <v>-0.5</v>
      </c>
      <c r="J3541" s="0" t="n">
        <f aca="false">F3541</f>
        <v>-1</v>
      </c>
      <c r="K3541" s="0" t="n">
        <f aca="false">D3541*E3541</f>
        <v>-0.25</v>
      </c>
      <c r="L3541" s="0" t="n">
        <f aca="false">D3541*F3541</f>
        <v>-0.5</v>
      </c>
      <c r="M3541" s="0" t="n">
        <f aca="false">E3541*F3541</f>
        <v>0.5</v>
      </c>
      <c r="N3541" s="0" t="n">
        <f aca="false">D3541*D3541</f>
        <v>0.25</v>
      </c>
      <c r="O3541" s="0" t="n">
        <f aca="false">E3541*E3541</f>
        <v>0.25</v>
      </c>
      <c r="P3541" s="0" t="n">
        <f aca="false">F3541*F3541</f>
        <v>1</v>
      </c>
      <c r="Q3541" s="0" t="n">
        <f aca="false">SUMPRODUCT(G3541:P3541,_XtX!$B$71:$K$71)</f>
        <v>44.96625</v>
      </c>
      <c r="R3541" s="0" t="n">
        <f aca="false">SUMPRODUCT(MMULT(G3541:P3541,_XtX!$B$58:$K$67),G3541:P3541)</f>
        <v>0.4578125</v>
      </c>
      <c r="S3541" s="0" t="n">
        <f aca="false">04_回帰ANOVA!$K$19*04_回帰ANOVA!$K$14*SQRT(1+R3541)</f>
        <v>1.12258044051089</v>
      </c>
      <c r="T3541" s="0" t="n">
        <f aca="false">Q3541-S3541</f>
        <v>43.8436695594891</v>
      </c>
      <c r="U3541" s="0" t="n">
        <f aca="false">Q3541+S3541</f>
        <v>46.0888304405109</v>
      </c>
      <c r="V3541" s="54" t="b">
        <f aca="false">AND(D3541&gt;=01_因子設定!$L$5-0.000000001,D3541&lt;=01_因子設定!$M$5+0.000000001,E3541&gt;=01_因子設定!$L$6-0.000000001,E3541&lt;=01_因子設定!$M$6+0.000000001,F3541&gt;=01_因子設定!$L$7-0.000000001,F3541&lt;=01_因子設定!$M$7+0.000000001,IF(01_因子設定!$B$20="Box-Behnken",D3541^2+E3541^2+F3541^2&lt;=2+0.000000001,TRUE()))</f>
        <v>1</v>
      </c>
      <c r="W3541" s="55" t="n">
        <f aca="false">IF(V3541,IF(01_因子設定!$B$13="最大化",T3541-01_因子設定!$B$14,IF(01_因子設定!$B$13="最小化",01_因子設定!$B$15-U3541,MIN(T3541-01_因子設定!$B$14,01_因子設定!$B$15-U3541))),-1E+030)</f>
        <v>-4.65633044051086</v>
      </c>
      <c r="X3541" s="55" t="n">
        <f aca="false">IF(V3541,IF(01_因子設定!$B$13="最大化",Q3541,IF(01_因子設定!$B$13="最小化",-Q3541,-ABS(Q3541-01_因子設定!$B$16))),-1E+030)</f>
        <v>44.96625</v>
      </c>
      <c r="Y3541" s="55" t="n">
        <f aca="false">W3541+ROW()*0.000000001</f>
        <v>-4.65632689951086</v>
      </c>
      <c r="Z3541" s="55" t="n">
        <f aca="false">X3541+ROW()*0.000000001</f>
        <v>44.966253541</v>
      </c>
    </row>
    <row r="3542" customFormat="false" ht="15" hidden="false" customHeight="false" outlineLevel="0" collapsed="false">
      <c r="A3542" s="0" t="n">
        <v>12</v>
      </c>
      <c r="B3542" s="0" t="n">
        <v>4</v>
      </c>
      <c r="C3542" s="0" t="n">
        <v>1</v>
      </c>
      <c r="D3542" s="0" t="n">
        <f aca="false">-1+A3542*0.125</f>
        <v>0.5</v>
      </c>
      <c r="E3542" s="0" t="n">
        <f aca="false">-1+B3542*0.125</f>
        <v>-0.5</v>
      </c>
      <c r="F3542" s="0" t="n">
        <f aca="false">-1+C3542*0.125</f>
        <v>-0.875</v>
      </c>
      <c r="G3542" s="0" t="n">
        <f aca="false">1</f>
        <v>1</v>
      </c>
      <c r="H3542" s="0" t="n">
        <f aca="false">D3542</f>
        <v>0.5</v>
      </c>
      <c r="I3542" s="0" t="n">
        <f aca="false">E3542</f>
        <v>-0.5</v>
      </c>
      <c r="J3542" s="0" t="n">
        <f aca="false">F3542</f>
        <v>-0.875</v>
      </c>
      <c r="K3542" s="0" t="n">
        <f aca="false">D3542*E3542</f>
        <v>-0.25</v>
      </c>
      <c r="L3542" s="0" t="n">
        <f aca="false">D3542*F3542</f>
        <v>-0.4375</v>
      </c>
      <c r="M3542" s="0" t="n">
        <f aca="false">E3542*F3542</f>
        <v>0.4375</v>
      </c>
      <c r="N3542" s="0" t="n">
        <f aca="false">D3542*D3542</f>
        <v>0.25</v>
      </c>
      <c r="O3542" s="0" t="n">
        <f aca="false">E3542*E3542</f>
        <v>0.25</v>
      </c>
      <c r="P3542" s="0" t="n">
        <f aca="false">F3542*F3542</f>
        <v>0.765625</v>
      </c>
      <c r="Q3542" s="0" t="n">
        <f aca="false">SUMPRODUCT(G3542:P3542,_XtX!$B$71:$K$71)</f>
        <v>45.3771732954546</v>
      </c>
      <c r="R3542" s="0" t="n">
        <f aca="false">SUMPRODUCT(MMULT(G3542:P3542,_XtX!$B$58:$K$67),G3542:P3542)</f>
        <v>0.322514204545455</v>
      </c>
      <c r="S3542" s="0" t="n">
        <f aca="false">04_回帰ANOVA!$K$19*04_回帰ANOVA!$K$14*SQRT(1+R3542)</f>
        <v>1.0692193475064</v>
      </c>
      <c r="T3542" s="0" t="n">
        <f aca="false">Q3542-S3542</f>
        <v>44.3079539479482</v>
      </c>
      <c r="U3542" s="0" t="n">
        <f aca="false">Q3542+S3542</f>
        <v>46.446392642961</v>
      </c>
      <c r="V3542" s="54" t="b">
        <f aca="false">AND(D3542&gt;=01_因子設定!$L$5-0.000000001,D3542&lt;=01_因子設定!$M$5+0.000000001,E3542&gt;=01_因子設定!$L$6-0.000000001,E3542&lt;=01_因子設定!$M$6+0.000000001,F3542&gt;=01_因子設定!$L$7-0.000000001,F3542&lt;=01_因子設定!$M$7+0.000000001,IF(01_因子設定!$B$20="Box-Behnken",D3542^2+E3542^2+F3542^2&lt;=2+0.000000001,TRUE()))</f>
        <v>1</v>
      </c>
      <c r="W3542" s="55" t="n">
        <f aca="false">IF(V3542,IF(01_因子設定!$B$13="最大化",T3542-01_因子設定!$B$14,IF(01_因子設定!$B$13="最小化",01_因子設定!$B$15-U3542,MIN(T3542-01_因子設定!$B$14,01_因子設定!$B$15-U3542))),-1E+030)</f>
        <v>-4.19204605205184</v>
      </c>
      <c r="X3542" s="55" t="n">
        <f aca="false">IF(V3542,IF(01_因子設定!$B$13="最大化",Q3542,IF(01_因子設定!$B$13="最小化",-Q3542,-ABS(Q3542-01_因子設定!$B$16))),-1E+030)</f>
        <v>45.3771732954546</v>
      </c>
      <c r="Y3542" s="55" t="n">
        <f aca="false">W3542+ROW()*0.000000001</f>
        <v>-4.19204251005184</v>
      </c>
      <c r="Z3542" s="55" t="n">
        <f aca="false">X3542+ROW()*0.000000001</f>
        <v>45.3771768374546</v>
      </c>
    </row>
    <row r="3543" customFormat="false" ht="15" hidden="false" customHeight="false" outlineLevel="0" collapsed="false">
      <c r="A3543" s="0" t="n">
        <v>12</v>
      </c>
      <c r="B3543" s="0" t="n">
        <v>4</v>
      </c>
      <c r="C3543" s="0" t="n">
        <v>2</v>
      </c>
      <c r="D3543" s="0" t="n">
        <f aca="false">-1+A3543*0.125</f>
        <v>0.5</v>
      </c>
      <c r="E3543" s="0" t="n">
        <f aca="false">-1+B3543*0.125</f>
        <v>-0.5</v>
      </c>
      <c r="F3543" s="0" t="n">
        <f aca="false">-1+C3543*0.125</f>
        <v>-0.75</v>
      </c>
      <c r="G3543" s="0" t="n">
        <f aca="false">1</f>
        <v>1</v>
      </c>
      <c r="H3543" s="0" t="n">
        <f aca="false">D3543</f>
        <v>0.5</v>
      </c>
      <c r="I3543" s="0" t="n">
        <f aca="false">E3543</f>
        <v>-0.5</v>
      </c>
      <c r="J3543" s="0" t="n">
        <f aca="false">F3543</f>
        <v>-0.75</v>
      </c>
      <c r="K3543" s="0" t="n">
        <f aca="false">D3543*E3543</f>
        <v>-0.25</v>
      </c>
      <c r="L3543" s="0" t="n">
        <f aca="false">D3543*F3543</f>
        <v>-0.375</v>
      </c>
      <c r="M3543" s="0" t="n">
        <f aca="false">E3543*F3543</f>
        <v>0.375</v>
      </c>
      <c r="N3543" s="0" t="n">
        <f aca="false">D3543*D3543</f>
        <v>0.25</v>
      </c>
      <c r="O3543" s="0" t="n">
        <f aca="false">E3543*E3543</f>
        <v>0.25</v>
      </c>
      <c r="P3543" s="0" t="n">
        <f aca="false">F3543*F3543</f>
        <v>0.5625</v>
      </c>
      <c r="Q3543" s="0" t="n">
        <f aca="false">SUMPRODUCT(G3543:P3543,_XtX!$B$71:$K$71)</f>
        <v>45.7513068181818</v>
      </c>
      <c r="R3543" s="0" t="n">
        <f aca="false">SUMPRODUCT(MMULT(G3543:P3543,_XtX!$B$58:$K$67),G3543:P3543)</f>
        <v>0.237571022727273</v>
      </c>
      <c r="S3543" s="0" t="n">
        <f aca="false">04_回帰ANOVA!$K$19*04_回帰ANOVA!$K$14*SQRT(1+R3543)</f>
        <v>1.0343123302758</v>
      </c>
      <c r="T3543" s="0" t="n">
        <f aca="false">Q3543-S3543</f>
        <v>44.716994487906</v>
      </c>
      <c r="U3543" s="0" t="n">
        <f aca="false">Q3543+S3543</f>
        <v>46.7856191484576</v>
      </c>
      <c r="V3543" s="54" t="b">
        <f aca="false">AND(D3543&gt;=01_因子設定!$L$5-0.000000001,D3543&lt;=01_因子設定!$M$5+0.000000001,E3543&gt;=01_因子設定!$L$6-0.000000001,E3543&lt;=01_因子設定!$M$6+0.000000001,F3543&gt;=01_因子設定!$L$7-0.000000001,F3543&lt;=01_因子設定!$M$7+0.000000001,IF(01_因子設定!$B$20="Box-Behnken",D3543^2+E3543^2+F3543^2&lt;=2+0.000000001,TRUE()))</f>
        <v>1</v>
      </c>
      <c r="W3543" s="55" t="n">
        <f aca="false">IF(V3543,IF(01_因子設定!$B$13="最大化",T3543-01_因子設定!$B$14,IF(01_因子設定!$B$13="最小化",01_因子設定!$B$15-U3543,MIN(T3543-01_因子設定!$B$14,01_因子設定!$B$15-U3543))),-1E+030)</f>
        <v>-3.78300551209397</v>
      </c>
      <c r="X3543" s="55" t="n">
        <f aca="false">IF(V3543,IF(01_因子設定!$B$13="最大化",Q3543,IF(01_因子設定!$B$13="最小化",-Q3543,-ABS(Q3543-01_因子設定!$B$16))),-1E+030)</f>
        <v>45.7513068181818</v>
      </c>
      <c r="Y3543" s="55" t="n">
        <f aca="false">W3543+ROW()*0.000000001</f>
        <v>-3.78300196909397</v>
      </c>
      <c r="Z3543" s="55" t="n">
        <f aca="false">X3543+ROW()*0.000000001</f>
        <v>45.7513103611818</v>
      </c>
    </row>
    <row r="3544" customFormat="false" ht="15" hidden="false" customHeight="false" outlineLevel="0" collapsed="false">
      <c r="A3544" s="0" t="n">
        <v>12</v>
      </c>
      <c r="B3544" s="0" t="n">
        <v>4</v>
      </c>
      <c r="C3544" s="0" t="n">
        <v>3</v>
      </c>
      <c r="D3544" s="0" t="n">
        <f aca="false">-1+A3544*0.125</f>
        <v>0.5</v>
      </c>
      <c r="E3544" s="0" t="n">
        <f aca="false">-1+B3544*0.125</f>
        <v>-0.5</v>
      </c>
      <c r="F3544" s="0" t="n">
        <f aca="false">-1+C3544*0.125</f>
        <v>-0.625</v>
      </c>
      <c r="G3544" s="0" t="n">
        <f aca="false">1</f>
        <v>1</v>
      </c>
      <c r="H3544" s="0" t="n">
        <f aca="false">D3544</f>
        <v>0.5</v>
      </c>
      <c r="I3544" s="0" t="n">
        <f aca="false">E3544</f>
        <v>-0.5</v>
      </c>
      <c r="J3544" s="0" t="n">
        <f aca="false">F3544</f>
        <v>-0.625</v>
      </c>
      <c r="K3544" s="0" t="n">
        <f aca="false">D3544*E3544</f>
        <v>-0.25</v>
      </c>
      <c r="L3544" s="0" t="n">
        <f aca="false">D3544*F3544</f>
        <v>-0.3125</v>
      </c>
      <c r="M3544" s="0" t="n">
        <f aca="false">E3544*F3544</f>
        <v>0.3125</v>
      </c>
      <c r="N3544" s="0" t="n">
        <f aca="false">D3544*D3544</f>
        <v>0.25</v>
      </c>
      <c r="O3544" s="0" t="n">
        <f aca="false">E3544*E3544</f>
        <v>0.25</v>
      </c>
      <c r="P3544" s="0" t="n">
        <f aca="false">F3544*F3544</f>
        <v>0.390625</v>
      </c>
      <c r="Q3544" s="0" t="n">
        <f aca="false">SUMPRODUCT(G3544:P3544,_XtX!$B$71:$K$71)</f>
        <v>46.0886505681818</v>
      </c>
      <c r="R3544" s="0" t="n">
        <f aca="false">SUMPRODUCT(MMULT(G3544:P3544,_XtX!$B$58:$K$67),G3544:P3544)</f>
        <v>0.189133522727273</v>
      </c>
      <c r="S3544" s="0" t="n">
        <f aca="false">04_回帰ANOVA!$K$19*04_回帰ANOVA!$K$14*SQRT(1+R3544)</f>
        <v>1.0138692404042</v>
      </c>
      <c r="T3544" s="0" t="n">
        <f aca="false">Q3544-S3544</f>
        <v>45.0747813277776</v>
      </c>
      <c r="U3544" s="0" t="n">
        <f aca="false">Q3544+S3544</f>
        <v>47.102519808586</v>
      </c>
      <c r="V3544" s="54" t="b">
        <f aca="false">AND(D3544&gt;=01_因子設定!$L$5-0.000000001,D3544&lt;=01_因子設定!$M$5+0.000000001,E3544&gt;=01_因子設定!$L$6-0.000000001,E3544&lt;=01_因子設定!$M$6+0.000000001,F3544&gt;=01_因子設定!$L$7-0.000000001,F3544&lt;=01_因子設定!$M$7+0.000000001,IF(01_因子設定!$B$20="Box-Behnken",D3544^2+E3544^2+F3544^2&lt;=2+0.000000001,TRUE()))</f>
        <v>1</v>
      </c>
      <c r="W3544" s="55" t="n">
        <f aca="false">IF(V3544,IF(01_因子設定!$B$13="最大化",T3544-01_因子設定!$B$14,IF(01_因子設定!$B$13="最小化",01_因子設定!$B$15-U3544,MIN(T3544-01_因子設定!$B$14,01_因子設定!$B$15-U3544))),-1E+030)</f>
        <v>-3.42521867222236</v>
      </c>
      <c r="X3544" s="55" t="n">
        <f aca="false">IF(V3544,IF(01_因子設定!$B$13="最大化",Q3544,IF(01_因子設定!$B$13="最小化",-Q3544,-ABS(Q3544-01_因子設定!$B$16))),-1E+030)</f>
        <v>46.0886505681818</v>
      </c>
      <c r="Y3544" s="55" t="n">
        <f aca="false">W3544+ROW()*0.000000001</f>
        <v>-3.42521512822236</v>
      </c>
      <c r="Z3544" s="55" t="n">
        <f aca="false">X3544+ROW()*0.000000001</f>
        <v>46.0886541121818</v>
      </c>
    </row>
    <row r="3545" customFormat="false" ht="15" hidden="false" customHeight="false" outlineLevel="0" collapsed="false">
      <c r="A3545" s="0" t="n">
        <v>12</v>
      </c>
      <c r="B3545" s="0" t="n">
        <v>4</v>
      </c>
      <c r="C3545" s="0" t="n">
        <v>4</v>
      </c>
      <c r="D3545" s="0" t="n">
        <f aca="false">-1+A3545*0.125</f>
        <v>0.5</v>
      </c>
      <c r="E3545" s="0" t="n">
        <f aca="false">-1+B3545*0.125</f>
        <v>-0.5</v>
      </c>
      <c r="F3545" s="0" t="n">
        <f aca="false">-1+C3545*0.125</f>
        <v>-0.5</v>
      </c>
      <c r="G3545" s="0" t="n">
        <f aca="false">1</f>
        <v>1</v>
      </c>
      <c r="H3545" s="0" t="n">
        <f aca="false">D3545</f>
        <v>0.5</v>
      </c>
      <c r="I3545" s="0" t="n">
        <f aca="false">E3545</f>
        <v>-0.5</v>
      </c>
      <c r="J3545" s="0" t="n">
        <f aca="false">F3545</f>
        <v>-0.5</v>
      </c>
      <c r="K3545" s="0" t="n">
        <f aca="false">D3545*E3545</f>
        <v>-0.25</v>
      </c>
      <c r="L3545" s="0" t="n">
        <f aca="false">D3545*F3545</f>
        <v>-0.25</v>
      </c>
      <c r="M3545" s="0" t="n">
        <f aca="false">E3545*F3545</f>
        <v>0.25</v>
      </c>
      <c r="N3545" s="0" t="n">
        <f aca="false">D3545*D3545</f>
        <v>0.25</v>
      </c>
      <c r="O3545" s="0" t="n">
        <f aca="false">E3545*E3545</f>
        <v>0.25</v>
      </c>
      <c r="P3545" s="0" t="n">
        <f aca="false">F3545*F3545</f>
        <v>0.25</v>
      </c>
      <c r="Q3545" s="0" t="n">
        <f aca="false">SUMPRODUCT(G3545:P3545,_XtX!$B$71:$K$71)</f>
        <v>46.3892045454546</v>
      </c>
      <c r="R3545" s="0" t="n">
        <f aca="false">SUMPRODUCT(MMULT(G3545:P3545,_XtX!$B$58:$K$67),G3545:P3545)</f>
        <v>0.165482954545455</v>
      </c>
      <c r="S3545" s="0" t="n">
        <f aca="false">04_回帰ANOVA!$K$19*04_回帰ANOVA!$K$14*SQRT(1+R3545)</f>
        <v>1.00373622729159</v>
      </c>
      <c r="T3545" s="0" t="n">
        <f aca="false">Q3545-S3545</f>
        <v>45.385468318163</v>
      </c>
      <c r="U3545" s="0" t="n">
        <f aca="false">Q3545+S3545</f>
        <v>47.3929407727461</v>
      </c>
      <c r="V3545" s="54" t="b">
        <f aca="false">AND(D3545&gt;=01_因子設定!$L$5-0.000000001,D3545&lt;=01_因子設定!$M$5+0.000000001,E3545&gt;=01_因子設定!$L$6-0.000000001,E3545&lt;=01_因子設定!$M$6+0.000000001,F3545&gt;=01_因子設定!$L$7-0.000000001,F3545&lt;=01_因子設定!$M$7+0.000000001,IF(01_因子設定!$B$20="Box-Behnken",D3545^2+E3545^2+F3545^2&lt;=2+0.000000001,TRUE()))</f>
        <v>1</v>
      </c>
      <c r="W3545" s="55" t="n">
        <f aca="false">IF(V3545,IF(01_因子設定!$B$13="最大化",T3545-01_因子設定!$B$14,IF(01_因子設定!$B$13="最小化",01_因子設定!$B$15-U3545,MIN(T3545-01_因子設定!$B$14,01_因子設定!$B$15-U3545))),-1E+030)</f>
        <v>-3.11453168183703</v>
      </c>
      <c r="X3545" s="55" t="n">
        <f aca="false">IF(V3545,IF(01_因子設定!$B$13="最大化",Q3545,IF(01_因子設定!$B$13="最小化",-Q3545,-ABS(Q3545-01_因子設定!$B$16))),-1E+030)</f>
        <v>46.3892045454546</v>
      </c>
      <c r="Y3545" s="55" t="n">
        <f aca="false">W3545+ROW()*0.000000001</f>
        <v>-3.11452813683703</v>
      </c>
      <c r="Z3545" s="55" t="n">
        <f aca="false">X3545+ROW()*0.000000001</f>
        <v>46.3892080904546</v>
      </c>
    </row>
    <row r="3546" customFormat="false" ht="15" hidden="false" customHeight="false" outlineLevel="0" collapsed="false">
      <c r="A3546" s="0" t="n">
        <v>12</v>
      </c>
      <c r="B3546" s="0" t="n">
        <v>4</v>
      </c>
      <c r="C3546" s="0" t="n">
        <v>5</v>
      </c>
      <c r="D3546" s="0" t="n">
        <f aca="false">-1+A3546*0.125</f>
        <v>0.5</v>
      </c>
      <c r="E3546" s="0" t="n">
        <f aca="false">-1+B3546*0.125</f>
        <v>-0.5</v>
      </c>
      <c r="F3546" s="0" t="n">
        <f aca="false">-1+C3546*0.125</f>
        <v>-0.375</v>
      </c>
      <c r="G3546" s="0" t="n">
        <f aca="false">1</f>
        <v>1</v>
      </c>
      <c r="H3546" s="0" t="n">
        <f aca="false">D3546</f>
        <v>0.5</v>
      </c>
      <c r="I3546" s="0" t="n">
        <f aca="false">E3546</f>
        <v>-0.5</v>
      </c>
      <c r="J3546" s="0" t="n">
        <f aca="false">F3546</f>
        <v>-0.375</v>
      </c>
      <c r="K3546" s="0" t="n">
        <f aca="false">D3546*E3546</f>
        <v>-0.25</v>
      </c>
      <c r="L3546" s="0" t="n">
        <f aca="false">D3546*F3546</f>
        <v>-0.1875</v>
      </c>
      <c r="M3546" s="0" t="n">
        <f aca="false">E3546*F3546</f>
        <v>0.1875</v>
      </c>
      <c r="N3546" s="0" t="n">
        <f aca="false">D3546*D3546</f>
        <v>0.25</v>
      </c>
      <c r="O3546" s="0" t="n">
        <f aca="false">E3546*E3546</f>
        <v>0.25</v>
      </c>
      <c r="P3546" s="0" t="n">
        <f aca="false">F3546*F3546</f>
        <v>0.140625</v>
      </c>
      <c r="Q3546" s="0" t="n">
        <f aca="false">SUMPRODUCT(G3546:P3546,_XtX!$B$71:$K$71)</f>
        <v>46.65296875</v>
      </c>
      <c r="R3546" s="0" t="n">
        <f aca="false">SUMPRODUCT(MMULT(G3546:P3546,_XtX!$B$58:$K$67),G3546:P3546)</f>
        <v>0.15703125</v>
      </c>
      <c r="S3546" s="0" t="n">
        <f aca="false">04_回帰ANOVA!$K$19*04_回帰ANOVA!$K$14*SQRT(1+R3546)</f>
        <v>1.00009022049162</v>
      </c>
      <c r="T3546" s="0" t="n">
        <f aca="false">Q3546-S3546</f>
        <v>45.6528785295084</v>
      </c>
      <c r="U3546" s="0" t="n">
        <f aca="false">Q3546+S3546</f>
        <v>47.6530589704916</v>
      </c>
      <c r="V3546" s="54" t="b">
        <f aca="false">AND(D3546&gt;=01_因子設定!$L$5-0.000000001,D3546&lt;=01_因子設定!$M$5+0.000000001,E3546&gt;=01_因子設定!$L$6-0.000000001,E3546&lt;=01_因子設定!$M$6+0.000000001,F3546&gt;=01_因子設定!$L$7-0.000000001,F3546&lt;=01_因子設定!$M$7+0.000000001,IF(01_因子設定!$B$20="Box-Behnken",D3546^2+E3546^2+F3546^2&lt;=2+0.000000001,TRUE()))</f>
        <v>1</v>
      </c>
      <c r="W3546" s="55" t="n">
        <f aca="false">IF(V3546,IF(01_因子設定!$B$13="最大化",T3546-01_因子設定!$B$14,IF(01_因子設定!$B$13="最小化",01_因子設定!$B$15-U3546,MIN(T3546-01_因子設定!$B$14,01_因子設定!$B$15-U3546))),-1E+030)</f>
        <v>-2.84712147049162</v>
      </c>
      <c r="X3546" s="55" t="n">
        <f aca="false">IF(V3546,IF(01_因子設定!$B$13="最大化",Q3546,IF(01_因子設定!$B$13="最小化",-Q3546,-ABS(Q3546-01_因子設定!$B$16))),-1E+030)</f>
        <v>46.65296875</v>
      </c>
      <c r="Y3546" s="55" t="n">
        <f aca="false">W3546+ROW()*0.000000001</f>
        <v>-2.84711792449162</v>
      </c>
      <c r="Z3546" s="55" t="n">
        <f aca="false">X3546+ROW()*0.000000001</f>
        <v>46.652972296</v>
      </c>
    </row>
    <row r="3547" customFormat="false" ht="15" hidden="false" customHeight="false" outlineLevel="0" collapsed="false">
      <c r="A3547" s="0" t="n">
        <v>12</v>
      </c>
      <c r="B3547" s="0" t="n">
        <v>4</v>
      </c>
      <c r="C3547" s="0" t="n">
        <v>6</v>
      </c>
      <c r="D3547" s="0" t="n">
        <f aca="false">-1+A3547*0.125</f>
        <v>0.5</v>
      </c>
      <c r="E3547" s="0" t="n">
        <f aca="false">-1+B3547*0.125</f>
        <v>-0.5</v>
      </c>
      <c r="F3547" s="0" t="n">
        <f aca="false">-1+C3547*0.125</f>
        <v>-0.25</v>
      </c>
      <c r="G3547" s="0" t="n">
        <f aca="false">1</f>
        <v>1</v>
      </c>
      <c r="H3547" s="0" t="n">
        <f aca="false">D3547</f>
        <v>0.5</v>
      </c>
      <c r="I3547" s="0" t="n">
        <f aca="false">E3547</f>
        <v>-0.5</v>
      </c>
      <c r="J3547" s="0" t="n">
        <f aca="false">F3547</f>
        <v>-0.25</v>
      </c>
      <c r="K3547" s="0" t="n">
        <f aca="false">D3547*E3547</f>
        <v>-0.25</v>
      </c>
      <c r="L3547" s="0" t="n">
        <f aca="false">D3547*F3547</f>
        <v>-0.125</v>
      </c>
      <c r="M3547" s="0" t="n">
        <f aca="false">E3547*F3547</f>
        <v>0.125</v>
      </c>
      <c r="N3547" s="0" t="n">
        <f aca="false">D3547*D3547</f>
        <v>0.25</v>
      </c>
      <c r="O3547" s="0" t="n">
        <f aca="false">E3547*E3547</f>
        <v>0.25</v>
      </c>
      <c r="P3547" s="0" t="n">
        <f aca="false">F3547*F3547</f>
        <v>0.0625</v>
      </c>
      <c r="Q3547" s="0" t="n">
        <f aca="false">SUMPRODUCT(G3547:P3547,_XtX!$B$71:$K$71)</f>
        <v>46.8799431818182</v>
      </c>
      <c r="R3547" s="0" t="n">
        <f aca="false">SUMPRODUCT(MMULT(G3547:P3547,_XtX!$B$58:$K$67),G3547:P3547)</f>
        <v>0.156321022727273</v>
      </c>
      <c r="S3547" s="0" t="n">
        <f aca="false">04_回帰ANOVA!$K$19*04_回帰ANOVA!$K$14*SQRT(1+R3547)</f>
        <v>0.999783227753172</v>
      </c>
      <c r="T3547" s="0" t="n">
        <f aca="false">Q3547-S3547</f>
        <v>45.880159954065</v>
      </c>
      <c r="U3547" s="0" t="n">
        <f aca="false">Q3547+S3547</f>
        <v>47.8797264095714</v>
      </c>
      <c r="V3547" s="54" t="b">
        <f aca="false">AND(D3547&gt;=01_因子設定!$L$5-0.000000001,D3547&lt;=01_因子設定!$M$5+0.000000001,E3547&gt;=01_因子設定!$L$6-0.000000001,E3547&lt;=01_因子設定!$M$6+0.000000001,F3547&gt;=01_因子設定!$L$7-0.000000001,F3547&lt;=01_因子設定!$M$7+0.000000001,IF(01_因子設定!$B$20="Box-Behnken",D3547^2+E3547^2+F3547^2&lt;=2+0.000000001,TRUE()))</f>
        <v>1</v>
      </c>
      <c r="W3547" s="55" t="n">
        <f aca="false">IF(V3547,IF(01_因子設定!$B$13="最大化",T3547-01_因子設定!$B$14,IF(01_因子設定!$B$13="最小化",01_因子設定!$B$15-U3547,MIN(T3547-01_因子設定!$B$14,01_因子設定!$B$15-U3547))),-1E+030)</f>
        <v>-2.61984004593498</v>
      </c>
      <c r="X3547" s="55" t="n">
        <f aca="false">IF(V3547,IF(01_因子設定!$B$13="最大化",Q3547,IF(01_因子設定!$B$13="最小化",-Q3547,-ABS(Q3547-01_因子設定!$B$16))),-1E+030)</f>
        <v>46.8799431818182</v>
      </c>
      <c r="Y3547" s="55" t="n">
        <f aca="false">W3547+ROW()*0.000000001</f>
        <v>-2.61983649893498</v>
      </c>
      <c r="Z3547" s="55" t="n">
        <f aca="false">X3547+ROW()*0.000000001</f>
        <v>46.8799467288182</v>
      </c>
    </row>
    <row r="3548" customFormat="false" ht="15" hidden="false" customHeight="false" outlineLevel="0" collapsed="false">
      <c r="A3548" s="0" t="n">
        <v>12</v>
      </c>
      <c r="B3548" s="0" t="n">
        <v>4</v>
      </c>
      <c r="C3548" s="0" t="n">
        <v>7</v>
      </c>
      <c r="D3548" s="0" t="n">
        <f aca="false">-1+A3548*0.125</f>
        <v>0.5</v>
      </c>
      <c r="E3548" s="0" t="n">
        <f aca="false">-1+B3548*0.125</f>
        <v>-0.5</v>
      </c>
      <c r="F3548" s="0" t="n">
        <f aca="false">-1+C3548*0.125</f>
        <v>-0.125</v>
      </c>
      <c r="G3548" s="0" t="n">
        <f aca="false">1</f>
        <v>1</v>
      </c>
      <c r="H3548" s="0" t="n">
        <f aca="false">D3548</f>
        <v>0.5</v>
      </c>
      <c r="I3548" s="0" t="n">
        <f aca="false">E3548</f>
        <v>-0.5</v>
      </c>
      <c r="J3548" s="0" t="n">
        <f aca="false">F3548</f>
        <v>-0.125</v>
      </c>
      <c r="K3548" s="0" t="n">
        <f aca="false">D3548*E3548</f>
        <v>-0.25</v>
      </c>
      <c r="L3548" s="0" t="n">
        <f aca="false">D3548*F3548</f>
        <v>-0.0625</v>
      </c>
      <c r="M3548" s="0" t="n">
        <f aca="false">E3548*F3548</f>
        <v>0.0625</v>
      </c>
      <c r="N3548" s="0" t="n">
        <f aca="false">D3548*D3548</f>
        <v>0.25</v>
      </c>
      <c r="O3548" s="0" t="n">
        <f aca="false">E3548*E3548</f>
        <v>0.25</v>
      </c>
      <c r="P3548" s="0" t="n">
        <f aca="false">F3548*F3548</f>
        <v>0.015625</v>
      </c>
      <c r="Q3548" s="0" t="n">
        <f aca="false">SUMPRODUCT(G3548:P3548,_XtX!$B$71:$K$71)</f>
        <v>47.0701278409091</v>
      </c>
      <c r="R3548" s="0" t="n">
        <f aca="false">SUMPRODUCT(MMULT(G3548:P3548,_XtX!$B$58:$K$67),G3548:P3548)</f>
        <v>0.158025568181818</v>
      </c>
      <c r="S3548" s="0" t="n">
        <f aca="false">04_回帰ANOVA!$K$19*04_回帰ANOVA!$K$14*SQRT(1+R3548)</f>
        <v>1.00051985207691</v>
      </c>
      <c r="T3548" s="0" t="n">
        <f aca="false">Q3548-S3548</f>
        <v>46.0696079888322</v>
      </c>
      <c r="U3548" s="0" t="n">
        <f aca="false">Q3548+S3548</f>
        <v>48.070647692986</v>
      </c>
      <c r="V3548" s="54" t="b">
        <f aca="false">AND(D3548&gt;=01_因子設定!$L$5-0.000000001,D3548&lt;=01_因子設定!$M$5+0.000000001,E3548&gt;=01_因子設定!$L$6-0.000000001,E3548&lt;=01_因子設定!$M$6+0.000000001,F3548&gt;=01_因子設定!$L$7-0.000000001,F3548&lt;=01_因子設定!$M$7+0.000000001,IF(01_因子設定!$B$20="Box-Behnken",D3548^2+E3548^2+F3548^2&lt;=2+0.000000001,TRUE()))</f>
        <v>1</v>
      </c>
      <c r="W3548" s="55" t="n">
        <f aca="false">IF(V3548,IF(01_因子設定!$B$13="最大化",T3548-01_因子設定!$B$14,IF(01_因子設定!$B$13="最小化",01_因子設定!$B$15-U3548,MIN(T3548-01_因子設定!$B$14,01_因子設定!$B$15-U3548))),-1E+030)</f>
        <v>-2.43039201116781</v>
      </c>
      <c r="X3548" s="55" t="n">
        <f aca="false">IF(V3548,IF(01_因子設定!$B$13="最大化",Q3548,IF(01_因子設定!$B$13="最小化",-Q3548,-ABS(Q3548-01_因子設定!$B$16))),-1E+030)</f>
        <v>47.0701278409091</v>
      </c>
      <c r="Y3548" s="55" t="n">
        <f aca="false">W3548+ROW()*0.000000001</f>
        <v>-2.43038846316781</v>
      </c>
      <c r="Z3548" s="55" t="n">
        <f aca="false">X3548+ROW()*0.000000001</f>
        <v>47.0701313889091</v>
      </c>
    </row>
    <row r="3549" customFormat="false" ht="15" hidden="false" customHeight="false" outlineLevel="0" collapsed="false">
      <c r="A3549" s="0" t="n">
        <v>12</v>
      </c>
      <c r="B3549" s="0" t="n">
        <v>4</v>
      </c>
      <c r="C3549" s="0" t="n">
        <v>8</v>
      </c>
      <c r="D3549" s="0" t="n">
        <f aca="false">-1+A3549*0.125</f>
        <v>0.5</v>
      </c>
      <c r="E3549" s="0" t="n">
        <f aca="false">-1+B3549*0.125</f>
        <v>-0.5</v>
      </c>
      <c r="F3549" s="0" t="n">
        <f aca="false">-1+C3549*0.125</f>
        <v>0</v>
      </c>
      <c r="G3549" s="0" t="n">
        <f aca="false">1</f>
        <v>1</v>
      </c>
      <c r="H3549" s="0" t="n">
        <f aca="false">D3549</f>
        <v>0.5</v>
      </c>
      <c r="I3549" s="0" t="n">
        <f aca="false">E3549</f>
        <v>-0.5</v>
      </c>
      <c r="J3549" s="0" t="n">
        <f aca="false">F3549</f>
        <v>0</v>
      </c>
      <c r="K3549" s="0" t="n">
        <f aca="false">D3549*E3549</f>
        <v>-0.25</v>
      </c>
      <c r="L3549" s="0" t="n">
        <f aca="false">D3549*F3549</f>
        <v>0</v>
      </c>
      <c r="M3549" s="0" t="n">
        <f aca="false">E3549*F3549</f>
        <v>-0</v>
      </c>
      <c r="N3549" s="0" t="n">
        <f aca="false">D3549*D3549</f>
        <v>0.25</v>
      </c>
      <c r="O3549" s="0" t="n">
        <f aca="false">E3549*E3549</f>
        <v>0.25</v>
      </c>
      <c r="P3549" s="0" t="n">
        <f aca="false">F3549*F3549</f>
        <v>0</v>
      </c>
      <c r="Q3549" s="0" t="n">
        <f aca="false">SUMPRODUCT(G3549:P3549,_XtX!$B$71:$K$71)</f>
        <v>47.2235227272727</v>
      </c>
      <c r="R3549" s="0" t="n">
        <f aca="false">SUMPRODUCT(MMULT(G3549:P3549,_XtX!$B$58:$K$67),G3549:P3549)</f>
        <v>0.158948863636364</v>
      </c>
      <c r="S3549" s="0" t="n">
        <f aca="false">04_回帰ANOVA!$K$19*04_回帰ANOVA!$K$14*SQRT(1+R3549)</f>
        <v>1.00091863056612</v>
      </c>
      <c r="T3549" s="0" t="n">
        <f aca="false">Q3549-S3549</f>
        <v>46.2226040967066</v>
      </c>
      <c r="U3549" s="0" t="n">
        <f aca="false">Q3549+S3549</f>
        <v>48.2244413578389</v>
      </c>
      <c r="V3549" s="54" t="b">
        <f aca="false">AND(D3549&gt;=01_因子設定!$L$5-0.000000001,D3549&lt;=01_因子設定!$M$5+0.000000001,E3549&gt;=01_因子設定!$L$6-0.000000001,E3549&lt;=01_因子設定!$M$6+0.000000001,F3549&gt;=01_因子設定!$L$7-0.000000001,F3549&lt;=01_因子設定!$M$7+0.000000001,IF(01_因子設定!$B$20="Box-Behnken",D3549^2+E3549^2+F3549^2&lt;=2+0.000000001,TRUE()))</f>
        <v>1</v>
      </c>
      <c r="W3549" s="55" t="n">
        <f aca="false">IF(V3549,IF(01_因子設定!$B$13="最大化",T3549-01_因子設定!$B$14,IF(01_因子設定!$B$13="最小化",01_因子設定!$B$15-U3549,MIN(T3549-01_因子設定!$B$14,01_因子設定!$B$15-U3549))),-1E+030)</f>
        <v>-2.27739590329339</v>
      </c>
      <c r="X3549" s="55" t="n">
        <f aca="false">IF(V3549,IF(01_因子設定!$B$13="最大化",Q3549,IF(01_因子設定!$B$13="最小化",-Q3549,-ABS(Q3549-01_因子設定!$B$16))),-1E+030)</f>
        <v>47.2235227272727</v>
      </c>
      <c r="Y3549" s="55" t="n">
        <f aca="false">W3549+ROW()*0.000000001</f>
        <v>-2.27739235429339</v>
      </c>
      <c r="Z3549" s="55" t="n">
        <f aca="false">X3549+ROW()*0.000000001</f>
        <v>47.2235262762727</v>
      </c>
    </row>
    <row r="3550" customFormat="false" ht="15" hidden="false" customHeight="false" outlineLevel="0" collapsed="false">
      <c r="A3550" s="0" t="n">
        <v>12</v>
      </c>
      <c r="B3550" s="0" t="n">
        <v>4</v>
      </c>
      <c r="C3550" s="0" t="n">
        <v>9</v>
      </c>
      <c r="D3550" s="0" t="n">
        <f aca="false">-1+A3550*0.125</f>
        <v>0.5</v>
      </c>
      <c r="E3550" s="0" t="n">
        <f aca="false">-1+B3550*0.125</f>
        <v>-0.5</v>
      </c>
      <c r="F3550" s="0" t="n">
        <f aca="false">-1+C3550*0.125</f>
        <v>0.125</v>
      </c>
      <c r="G3550" s="0" t="n">
        <f aca="false">1</f>
        <v>1</v>
      </c>
      <c r="H3550" s="0" t="n">
        <f aca="false">D3550</f>
        <v>0.5</v>
      </c>
      <c r="I3550" s="0" t="n">
        <f aca="false">E3550</f>
        <v>-0.5</v>
      </c>
      <c r="J3550" s="0" t="n">
        <f aca="false">F3550</f>
        <v>0.125</v>
      </c>
      <c r="K3550" s="0" t="n">
        <f aca="false">D3550*E3550</f>
        <v>-0.25</v>
      </c>
      <c r="L3550" s="0" t="n">
        <f aca="false">D3550*F3550</f>
        <v>0.0625</v>
      </c>
      <c r="M3550" s="0" t="n">
        <f aca="false">E3550*F3550</f>
        <v>-0.0625</v>
      </c>
      <c r="N3550" s="0" t="n">
        <f aca="false">D3550*D3550</f>
        <v>0.25</v>
      </c>
      <c r="O3550" s="0" t="n">
        <f aca="false">E3550*E3550</f>
        <v>0.25</v>
      </c>
      <c r="P3550" s="0" t="n">
        <f aca="false">F3550*F3550</f>
        <v>0.015625</v>
      </c>
      <c r="Q3550" s="0" t="n">
        <f aca="false">SUMPRODUCT(G3550:P3550,_XtX!$B$71:$K$71)</f>
        <v>47.3401278409091</v>
      </c>
      <c r="R3550" s="0" t="n">
        <f aca="false">SUMPRODUCT(MMULT(G3550:P3550,_XtX!$B$58:$K$67),G3550:P3550)</f>
        <v>0.158025568181818</v>
      </c>
      <c r="S3550" s="0" t="n">
        <f aca="false">04_回帰ANOVA!$K$19*04_回帰ANOVA!$K$14*SQRT(1+R3550)</f>
        <v>1.00051985207691</v>
      </c>
      <c r="T3550" s="0" t="n">
        <f aca="false">Q3550-S3550</f>
        <v>46.3396079888322</v>
      </c>
      <c r="U3550" s="0" t="n">
        <f aca="false">Q3550+S3550</f>
        <v>48.340647692986</v>
      </c>
      <c r="V3550" s="54" t="b">
        <f aca="false">AND(D3550&gt;=01_因子設定!$L$5-0.000000001,D3550&lt;=01_因子設定!$M$5+0.000000001,E3550&gt;=01_因子設定!$L$6-0.000000001,E3550&lt;=01_因子設定!$M$6+0.000000001,F3550&gt;=01_因子設定!$L$7-0.000000001,F3550&lt;=01_因子設定!$M$7+0.000000001,IF(01_因子設定!$B$20="Box-Behnken",D3550^2+E3550^2+F3550^2&lt;=2+0.000000001,TRUE()))</f>
        <v>1</v>
      </c>
      <c r="W3550" s="55" t="n">
        <f aca="false">IF(V3550,IF(01_因子設定!$B$13="最大化",T3550-01_因子設定!$B$14,IF(01_因子設定!$B$13="最小化",01_因子設定!$B$15-U3550,MIN(T3550-01_因子設定!$B$14,01_因子設定!$B$15-U3550))),-1E+030)</f>
        <v>-2.16039201116781</v>
      </c>
      <c r="X3550" s="55" t="n">
        <f aca="false">IF(V3550,IF(01_因子設定!$B$13="最大化",Q3550,IF(01_因子設定!$B$13="最小化",-Q3550,-ABS(Q3550-01_因子設定!$B$16))),-1E+030)</f>
        <v>47.3401278409091</v>
      </c>
      <c r="Y3550" s="55" t="n">
        <f aca="false">W3550+ROW()*0.000000001</f>
        <v>-2.16038846116781</v>
      </c>
      <c r="Z3550" s="55" t="n">
        <f aca="false">X3550+ROW()*0.000000001</f>
        <v>47.3401313909091</v>
      </c>
    </row>
    <row r="3551" customFormat="false" ht="15" hidden="false" customHeight="false" outlineLevel="0" collapsed="false">
      <c r="A3551" s="0" t="n">
        <v>12</v>
      </c>
      <c r="B3551" s="0" t="n">
        <v>4</v>
      </c>
      <c r="C3551" s="0" t="n">
        <v>10</v>
      </c>
      <c r="D3551" s="0" t="n">
        <f aca="false">-1+A3551*0.125</f>
        <v>0.5</v>
      </c>
      <c r="E3551" s="0" t="n">
        <f aca="false">-1+B3551*0.125</f>
        <v>-0.5</v>
      </c>
      <c r="F3551" s="0" t="n">
        <f aca="false">-1+C3551*0.125</f>
        <v>0.25</v>
      </c>
      <c r="G3551" s="0" t="n">
        <f aca="false">1</f>
        <v>1</v>
      </c>
      <c r="H3551" s="0" t="n">
        <f aca="false">D3551</f>
        <v>0.5</v>
      </c>
      <c r="I3551" s="0" t="n">
        <f aca="false">E3551</f>
        <v>-0.5</v>
      </c>
      <c r="J3551" s="0" t="n">
        <f aca="false">F3551</f>
        <v>0.25</v>
      </c>
      <c r="K3551" s="0" t="n">
        <f aca="false">D3551*E3551</f>
        <v>-0.25</v>
      </c>
      <c r="L3551" s="0" t="n">
        <f aca="false">D3551*F3551</f>
        <v>0.125</v>
      </c>
      <c r="M3551" s="0" t="n">
        <f aca="false">E3551*F3551</f>
        <v>-0.125</v>
      </c>
      <c r="N3551" s="0" t="n">
        <f aca="false">D3551*D3551</f>
        <v>0.25</v>
      </c>
      <c r="O3551" s="0" t="n">
        <f aca="false">E3551*E3551</f>
        <v>0.25</v>
      </c>
      <c r="P3551" s="0" t="n">
        <f aca="false">F3551*F3551</f>
        <v>0.0625</v>
      </c>
      <c r="Q3551" s="0" t="n">
        <f aca="false">SUMPRODUCT(G3551:P3551,_XtX!$B$71:$K$71)</f>
        <v>47.4199431818182</v>
      </c>
      <c r="R3551" s="0" t="n">
        <f aca="false">SUMPRODUCT(MMULT(G3551:P3551,_XtX!$B$58:$K$67),G3551:P3551)</f>
        <v>0.156321022727273</v>
      </c>
      <c r="S3551" s="0" t="n">
        <f aca="false">04_回帰ANOVA!$K$19*04_回帰ANOVA!$K$14*SQRT(1+R3551)</f>
        <v>0.999783227753172</v>
      </c>
      <c r="T3551" s="0" t="n">
        <f aca="false">Q3551-S3551</f>
        <v>46.420159954065</v>
      </c>
      <c r="U3551" s="0" t="n">
        <f aca="false">Q3551+S3551</f>
        <v>48.4197264095714</v>
      </c>
      <c r="V3551" s="54" t="b">
        <f aca="false">AND(D3551&gt;=01_因子設定!$L$5-0.000000001,D3551&lt;=01_因子設定!$M$5+0.000000001,E3551&gt;=01_因子設定!$L$6-0.000000001,E3551&lt;=01_因子設定!$M$6+0.000000001,F3551&gt;=01_因子設定!$L$7-0.000000001,F3551&lt;=01_因子設定!$M$7+0.000000001,IF(01_因子設定!$B$20="Box-Behnken",D3551^2+E3551^2+F3551^2&lt;=2+0.000000001,TRUE()))</f>
        <v>1</v>
      </c>
      <c r="W3551" s="55" t="n">
        <f aca="false">IF(V3551,IF(01_因子設定!$B$13="最大化",T3551-01_因子設定!$B$14,IF(01_因子設定!$B$13="最小化",01_因子設定!$B$15-U3551,MIN(T3551-01_因子設定!$B$14,01_因子設定!$B$15-U3551))),-1E+030)</f>
        <v>-2.07984004593498</v>
      </c>
      <c r="X3551" s="55" t="n">
        <f aca="false">IF(V3551,IF(01_因子設定!$B$13="最大化",Q3551,IF(01_因子設定!$B$13="最小化",-Q3551,-ABS(Q3551-01_因子設定!$B$16))),-1E+030)</f>
        <v>47.4199431818182</v>
      </c>
      <c r="Y3551" s="55" t="n">
        <f aca="false">W3551+ROW()*0.000000001</f>
        <v>-2.07983649493498</v>
      </c>
      <c r="Z3551" s="55" t="n">
        <f aca="false">X3551+ROW()*0.000000001</f>
        <v>47.4199467328182</v>
      </c>
    </row>
    <row r="3552" customFormat="false" ht="15" hidden="false" customHeight="false" outlineLevel="0" collapsed="false">
      <c r="A3552" s="0" t="n">
        <v>12</v>
      </c>
      <c r="B3552" s="0" t="n">
        <v>4</v>
      </c>
      <c r="C3552" s="0" t="n">
        <v>11</v>
      </c>
      <c r="D3552" s="0" t="n">
        <f aca="false">-1+A3552*0.125</f>
        <v>0.5</v>
      </c>
      <c r="E3552" s="0" t="n">
        <f aca="false">-1+B3552*0.125</f>
        <v>-0.5</v>
      </c>
      <c r="F3552" s="0" t="n">
        <f aca="false">-1+C3552*0.125</f>
        <v>0.375</v>
      </c>
      <c r="G3552" s="0" t="n">
        <f aca="false">1</f>
        <v>1</v>
      </c>
      <c r="H3552" s="0" t="n">
        <f aca="false">D3552</f>
        <v>0.5</v>
      </c>
      <c r="I3552" s="0" t="n">
        <f aca="false">E3552</f>
        <v>-0.5</v>
      </c>
      <c r="J3552" s="0" t="n">
        <f aca="false">F3552</f>
        <v>0.375</v>
      </c>
      <c r="K3552" s="0" t="n">
        <f aca="false">D3552*E3552</f>
        <v>-0.25</v>
      </c>
      <c r="L3552" s="0" t="n">
        <f aca="false">D3552*F3552</f>
        <v>0.1875</v>
      </c>
      <c r="M3552" s="0" t="n">
        <f aca="false">E3552*F3552</f>
        <v>-0.1875</v>
      </c>
      <c r="N3552" s="0" t="n">
        <f aca="false">D3552*D3552</f>
        <v>0.25</v>
      </c>
      <c r="O3552" s="0" t="n">
        <f aca="false">E3552*E3552</f>
        <v>0.25</v>
      </c>
      <c r="P3552" s="0" t="n">
        <f aca="false">F3552*F3552</f>
        <v>0.140625</v>
      </c>
      <c r="Q3552" s="0" t="n">
        <f aca="false">SUMPRODUCT(G3552:P3552,_XtX!$B$71:$K$71)</f>
        <v>47.46296875</v>
      </c>
      <c r="R3552" s="0" t="n">
        <f aca="false">SUMPRODUCT(MMULT(G3552:P3552,_XtX!$B$58:$K$67),G3552:P3552)</f>
        <v>0.15703125</v>
      </c>
      <c r="S3552" s="0" t="n">
        <f aca="false">04_回帰ANOVA!$K$19*04_回帰ANOVA!$K$14*SQRT(1+R3552)</f>
        <v>1.00009022049162</v>
      </c>
      <c r="T3552" s="0" t="n">
        <f aca="false">Q3552-S3552</f>
        <v>46.4628785295084</v>
      </c>
      <c r="U3552" s="0" t="n">
        <f aca="false">Q3552+S3552</f>
        <v>48.4630589704916</v>
      </c>
      <c r="V3552" s="54" t="b">
        <f aca="false">AND(D3552&gt;=01_因子設定!$L$5-0.000000001,D3552&lt;=01_因子設定!$M$5+0.000000001,E3552&gt;=01_因子設定!$L$6-0.000000001,E3552&lt;=01_因子設定!$M$6+0.000000001,F3552&gt;=01_因子設定!$L$7-0.000000001,F3552&lt;=01_因子設定!$M$7+0.000000001,IF(01_因子設定!$B$20="Box-Behnken",D3552^2+E3552^2+F3552^2&lt;=2+0.000000001,TRUE()))</f>
        <v>1</v>
      </c>
      <c r="W3552" s="55" t="n">
        <f aca="false">IF(V3552,IF(01_因子設定!$B$13="最大化",T3552-01_因子設定!$B$14,IF(01_因子設定!$B$13="最小化",01_因子設定!$B$15-U3552,MIN(T3552-01_因子設定!$B$14,01_因子設定!$B$15-U3552))),-1E+030)</f>
        <v>-2.03712147049161</v>
      </c>
      <c r="X3552" s="55" t="n">
        <f aca="false">IF(V3552,IF(01_因子設定!$B$13="最大化",Q3552,IF(01_因子設定!$B$13="最小化",-Q3552,-ABS(Q3552-01_因子設定!$B$16))),-1E+030)</f>
        <v>47.46296875</v>
      </c>
      <c r="Y3552" s="55" t="n">
        <f aca="false">W3552+ROW()*0.000000001</f>
        <v>-2.03711791849161</v>
      </c>
      <c r="Z3552" s="55" t="n">
        <f aca="false">X3552+ROW()*0.000000001</f>
        <v>47.462972302</v>
      </c>
    </row>
    <row r="3553" customFormat="false" ht="15" hidden="false" customHeight="false" outlineLevel="0" collapsed="false">
      <c r="A3553" s="0" t="n">
        <v>12</v>
      </c>
      <c r="B3553" s="0" t="n">
        <v>4</v>
      </c>
      <c r="C3553" s="0" t="n">
        <v>12</v>
      </c>
      <c r="D3553" s="0" t="n">
        <f aca="false">-1+A3553*0.125</f>
        <v>0.5</v>
      </c>
      <c r="E3553" s="0" t="n">
        <f aca="false">-1+B3553*0.125</f>
        <v>-0.5</v>
      </c>
      <c r="F3553" s="0" t="n">
        <f aca="false">-1+C3553*0.125</f>
        <v>0.5</v>
      </c>
      <c r="G3553" s="0" t="n">
        <f aca="false">1</f>
        <v>1</v>
      </c>
      <c r="H3553" s="0" t="n">
        <f aca="false">D3553</f>
        <v>0.5</v>
      </c>
      <c r="I3553" s="0" t="n">
        <f aca="false">E3553</f>
        <v>-0.5</v>
      </c>
      <c r="J3553" s="0" t="n">
        <f aca="false">F3553</f>
        <v>0.5</v>
      </c>
      <c r="K3553" s="0" t="n">
        <f aca="false">D3553*E3553</f>
        <v>-0.25</v>
      </c>
      <c r="L3553" s="0" t="n">
        <f aca="false">D3553*F3553</f>
        <v>0.25</v>
      </c>
      <c r="M3553" s="0" t="n">
        <f aca="false">E3553*F3553</f>
        <v>-0.25</v>
      </c>
      <c r="N3553" s="0" t="n">
        <f aca="false">D3553*D3553</f>
        <v>0.25</v>
      </c>
      <c r="O3553" s="0" t="n">
        <f aca="false">E3553*E3553</f>
        <v>0.25</v>
      </c>
      <c r="P3553" s="0" t="n">
        <f aca="false">F3553*F3553</f>
        <v>0.25</v>
      </c>
      <c r="Q3553" s="0" t="n">
        <f aca="false">SUMPRODUCT(G3553:P3553,_XtX!$B$71:$K$71)</f>
        <v>47.4692045454546</v>
      </c>
      <c r="R3553" s="0" t="n">
        <f aca="false">SUMPRODUCT(MMULT(G3553:P3553,_XtX!$B$58:$K$67),G3553:P3553)</f>
        <v>0.165482954545455</v>
      </c>
      <c r="S3553" s="0" t="n">
        <f aca="false">04_回帰ANOVA!$K$19*04_回帰ANOVA!$K$14*SQRT(1+R3553)</f>
        <v>1.00373622729159</v>
      </c>
      <c r="T3553" s="0" t="n">
        <f aca="false">Q3553-S3553</f>
        <v>46.465468318163</v>
      </c>
      <c r="U3553" s="0" t="n">
        <f aca="false">Q3553+S3553</f>
        <v>48.4729407727461</v>
      </c>
      <c r="V3553" s="54" t="b">
        <f aca="false">AND(D3553&gt;=01_因子設定!$L$5-0.000000001,D3553&lt;=01_因子設定!$M$5+0.000000001,E3553&gt;=01_因子設定!$L$6-0.000000001,E3553&lt;=01_因子設定!$M$6+0.000000001,F3553&gt;=01_因子設定!$L$7-0.000000001,F3553&lt;=01_因子設定!$M$7+0.000000001,IF(01_因子設定!$B$20="Box-Behnken",D3553^2+E3553^2+F3553^2&lt;=2+0.000000001,TRUE()))</f>
        <v>1</v>
      </c>
      <c r="W3553" s="55" t="n">
        <f aca="false">IF(V3553,IF(01_因子設定!$B$13="最大化",T3553-01_因子設定!$B$14,IF(01_因子設定!$B$13="最小化",01_因子設定!$B$15-U3553,MIN(T3553-01_因子設定!$B$14,01_因子設定!$B$15-U3553))),-1E+030)</f>
        <v>-2.03453168183702</v>
      </c>
      <c r="X3553" s="55" t="n">
        <f aca="false">IF(V3553,IF(01_因子設定!$B$13="最大化",Q3553,IF(01_因子設定!$B$13="最小化",-Q3553,-ABS(Q3553-01_因子設定!$B$16))),-1E+030)</f>
        <v>47.4692045454546</v>
      </c>
      <c r="Y3553" s="55" t="n">
        <f aca="false">W3553+ROW()*0.000000001</f>
        <v>-2.03452812883702</v>
      </c>
      <c r="Z3553" s="55" t="n">
        <f aca="false">X3553+ROW()*0.000000001</f>
        <v>47.4692080984546</v>
      </c>
    </row>
    <row r="3554" customFormat="false" ht="15" hidden="false" customHeight="false" outlineLevel="0" collapsed="false">
      <c r="A3554" s="0" t="n">
        <v>12</v>
      </c>
      <c r="B3554" s="0" t="n">
        <v>4</v>
      </c>
      <c r="C3554" s="0" t="n">
        <v>13</v>
      </c>
      <c r="D3554" s="0" t="n">
        <f aca="false">-1+A3554*0.125</f>
        <v>0.5</v>
      </c>
      <c r="E3554" s="0" t="n">
        <f aca="false">-1+B3554*0.125</f>
        <v>-0.5</v>
      </c>
      <c r="F3554" s="0" t="n">
        <f aca="false">-1+C3554*0.125</f>
        <v>0.625</v>
      </c>
      <c r="G3554" s="0" t="n">
        <f aca="false">1</f>
        <v>1</v>
      </c>
      <c r="H3554" s="0" t="n">
        <f aca="false">D3554</f>
        <v>0.5</v>
      </c>
      <c r="I3554" s="0" t="n">
        <f aca="false">E3554</f>
        <v>-0.5</v>
      </c>
      <c r="J3554" s="0" t="n">
        <f aca="false">F3554</f>
        <v>0.625</v>
      </c>
      <c r="K3554" s="0" t="n">
        <f aca="false">D3554*E3554</f>
        <v>-0.25</v>
      </c>
      <c r="L3554" s="0" t="n">
        <f aca="false">D3554*F3554</f>
        <v>0.3125</v>
      </c>
      <c r="M3554" s="0" t="n">
        <f aca="false">E3554*F3554</f>
        <v>-0.3125</v>
      </c>
      <c r="N3554" s="0" t="n">
        <f aca="false">D3554*D3554</f>
        <v>0.25</v>
      </c>
      <c r="O3554" s="0" t="n">
        <f aca="false">E3554*E3554</f>
        <v>0.25</v>
      </c>
      <c r="P3554" s="0" t="n">
        <f aca="false">F3554*F3554</f>
        <v>0.390625</v>
      </c>
      <c r="Q3554" s="0" t="n">
        <f aca="false">SUMPRODUCT(G3554:P3554,_XtX!$B$71:$K$71)</f>
        <v>47.4386505681818</v>
      </c>
      <c r="R3554" s="0" t="n">
        <f aca="false">SUMPRODUCT(MMULT(G3554:P3554,_XtX!$B$58:$K$67),G3554:P3554)</f>
        <v>0.189133522727273</v>
      </c>
      <c r="S3554" s="0" t="n">
        <f aca="false">04_回帰ANOVA!$K$19*04_回帰ANOVA!$K$14*SQRT(1+R3554)</f>
        <v>1.0138692404042</v>
      </c>
      <c r="T3554" s="0" t="n">
        <f aca="false">Q3554-S3554</f>
        <v>46.4247813277776</v>
      </c>
      <c r="U3554" s="0" t="n">
        <f aca="false">Q3554+S3554</f>
        <v>48.452519808586</v>
      </c>
      <c r="V3554" s="54" t="b">
        <f aca="false">AND(D3554&gt;=01_因子設定!$L$5-0.000000001,D3554&lt;=01_因子設定!$M$5+0.000000001,E3554&gt;=01_因子設定!$L$6-0.000000001,E3554&lt;=01_因子設定!$M$6+0.000000001,F3554&gt;=01_因子設定!$L$7-0.000000001,F3554&lt;=01_因子設定!$M$7+0.000000001,IF(01_因子設定!$B$20="Box-Behnken",D3554^2+E3554^2+F3554^2&lt;=2+0.000000001,TRUE()))</f>
        <v>1</v>
      </c>
      <c r="W3554" s="55" t="n">
        <f aca="false">IF(V3554,IF(01_因子設定!$B$13="最大化",T3554-01_因子設定!$B$14,IF(01_因子設定!$B$13="最小化",01_因子設定!$B$15-U3554,MIN(T3554-01_因子設定!$B$14,01_因子設定!$B$15-U3554))),-1E+030)</f>
        <v>-2.07521867222237</v>
      </c>
      <c r="X3554" s="55" t="n">
        <f aca="false">IF(V3554,IF(01_因子設定!$B$13="最大化",Q3554,IF(01_因子設定!$B$13="最小化",-Q3554,-ABS(Q3554-01_因子設定!$B$16))),-1E+030)</f>
        <v>47.4386505681818</v>
      </c>
      <c r="Y3554" s="55" t="n">
        <f aca="false">W3554+ROW()*0.000000001</f>
        <v>-2.07521511822237</v>
      </c>
      <c r="Z3554" s="55" t="n">
        <f aca="false">X3554+ROW()*0.000000001</f>
        <v>47.4386541221818</v>
      </c>
    </row>
    <row r="3555" customFormat="false" ht="15" hidden="false" customHeight="false" outlineLevel="0" collapsed="false">
      <c r="A3555" s="0" t="n">
        <v>12</v>
      </c>
      <c r="B3555" s="0" t="n">
        <v>4</v>
      </c>
      <c r="C3555" s="0" t="n">
        <v>14</v>
      </c>
      <c r="D3555" s="0" t="n">
        <f aca="false">-1+A3555*0.125</f>
        <v>0.5</v>
      </c>
      <c r="E3555" s="0" t="n">
        <f aca="false">-1+B3555*0.125</f>
        <v>-0.5</v>
      </c>
      <c r="F3555" s="0" t="n">
        <f aca="false">-1+C3555*0.125</f>
        <v>0.75</v>
      </c>
      <c r="G3555" s="0" t="n">
        <f aca="false">1</f>
        <v>1</v>
      </c>
      <c r="H3555" s="0" t="n">
        <f aca="false">D3555</f>
        <v>0.5</v>
      </c>
      <c r="I3555" s="0" t="n">
        <f aca="false">E3555</f>
        <v>-0.5</v>
      </c>
      <c r="J3555" s="0" t="n">
        <f aca="false">F3555</f>
        <v>0.75</v>
      </c>
      <c r="K3555" s="0" t="n">
        <f aca="false">D3555*E3555</f>
        <v>-0.25</v>
      </c>
      <c r="L3555" s="0" t="n">
        <f aca="false">D3555*F3555</f>
        <v>0.375</v>
      </c>
      <c r="M3555" s="0" t="n">
        <f aca="false">E3555*F3555</f>
        <v>-0.375</v>
      </c>
      <c r="N3555" s="0" t="n">
        <f aca="false">D3555*D3555</f>
        <v>0.25</v>
      </c>
      <c r="O3555" s="0" t="n">
        <f aca="false">E3555*E3555</f>
        <v>0.25</v>
      </c>
      <c r="P3555" s="0" t="n">
        <f aca="false">F3555*F3555</f>
        <v>0.5625</v>
      </c>
      <c r="Q3555" s="0" t="n">
        <f aca="false">SUMPRODUCT(G3555:P3555,_XtX!$B$71:$K$71)</f>
        <v>47.3713068181818</v>
      </c>
      <c r="R3555" s="0" t="n">
        <f aca="false">SUMPRODUCT(MMULT(G3555:P3555,_XtX!$B$58:$K$67),G3555:P3555)</f>
        <v>0.237571022727273</v>
      </c>
      <c r="S3555" s="0" t="n">
        <f aca="false">04_回帰ANOVA!$K$19*04_回帰ANOVA!$K$14*SQRT(1+R3555)</f>
        <v>1.0343123302758</v>
      </c>
      <c r="T3555" s="0" t="n">
        <f aca="false">Q3555-S3555</f>
        <v>46.336994487906</v>
      </c>
      <c r="U3555" s="0" t="n">
        <f aca="false">Q3555+S3555</f>
        <v>48.4056191484576</v>
      </c>
      <c r="V3555" s="54" t="b">
        <f aca="false">AND(D3555&gt;=01_因子設定!$L$5-0.000000001,D3555&lt;=01_因子設定!$M$5+0.000000001,E3555&gt;=01_因子設定!$L$6-0.000000001,E3555&lt;=01_因子設定!$M$6+0.000000001,F3555&gt;=01_因子設定!$L$7-0.000000001,F3555&lt;=01_因子設定!$M$7+0.000000001,IF(01_因子設定!$B$20="Box-Behnken",D3555^2+E3555^2+F3555^2&lt;=2+0.000000001,TRUE()))</f>
        <v>1</v>
      </c>
      <c r="W3555" s="55" t="n">
        <f aca="false">IF(V3555,IF(01_因子設定!$B$13="最大化",T3555-01_因子設定!$B$14,IF(01_因子設定!$B$13="最小化",01_因子設定!$B$15-U3555,MIN(T3555-01_因子設定!$B$14,01_因子設定!$B$15-U3555))),-1E+030)</f>
        <v>-2.16300551209397</v>
      </c>
      <c r="X3555" s="55" t="n">
        <f aca="false">IF(V3555,IF(01_因子設定!$B$13="最大化",Q3555,IF(01_因子設定!$B$13="最小化",-Q3555,-ABS(Q3555-01_因子設定!$B$16))),-1E+030)</f>
        <v>47.3713068181818</v>
      </c>
      <c r="Y3555" s="55" t="n">
        <f aca="false">W3555+ROW()*0.000000001</f>
        <v>-2.16300195709397</v>
      </c>
      <c r="Z3555" s="55" t="n">
        <f aca="false">X3555+ROW()*0.000000001</f>
        <v>47.3713103731818</v>
      </c>
    </row>
    <row r="3556" customFormat="false" ht="15" hidden="false" customHeight="false" outlineLevel="0" collapsed="false">
      <c r="A3556" s="0" t="n">
        <v>12</v>
      </c>
      <c r="B3556" s="0" t="n">
        <v>4</v>
      </c>
      <c r="C3556" s="0" t="n">
        <v>15</v>
      </c>
      <c r="D3556" s="0" t="n">
        <f aca="false">-1+A3556*0.125</f>
        <v>0.5</v>
      </c>
      <c r="E3556" s="0" t="n">
        <f aca="false">-1+B3556*0.125</f>
        <v>-0.5</v>
      </c>
      <c r="F3556" s="0" t="n">
        <f aca="false">-1+C3556*0.125</f>
        <v>0.875</v>
      </c>
      <c r="G3556" s="0" t="n">
        <f aca="false">1</f>
        <v>1</v>
      </c>
      <c r="H3556" s="0" t="n">
        <f aca="false">D3556</f>
        <v>0.5</v>
      </c>
      <c r="I3556" s="0" t="n">
        <f aca="false">E3556</f>
        <v>-0.5</v>
      </c>
      <c r="J3556" s="0" t="n">
        <f aca="false">F3556</f>
        <v>0.875</v>
      </c>
      <c r="K3556" s="0" t="n">
        <f aca="false">D3556*E3556</f>
        <v>-0.25</v>
      </c>
      <c r="L3556" s="0" t="n">
        <f aca="false">D3556*F3556</f>
        <v>0.4375</v>
      </c>
      <c r="M3556" s="0" t="n">
        <f aca="false">E3556*F3556</f>
        <v>-0.4375</v>
      </c>
      <c r="N3556" s="0" t="n">
        <f aca="false">D3556*D3556</f>
        <v>0.25</v>
      </c>
      <c r="O3556" s="0" t="n">
        <f aca="false">E3556*E3556</f>
        <v>0.25</v>
      </c>
      <c r="P3556" s="0" t="n">
        <f aca="false">F3556*F3556</f>
        <v>0.765625</v>
      </c>
      <c r="Q3556" s="0" t="n">
        <f aca="false">SUMPRODUCT(G3556:P3556,_XtX!$B$71:$K$71)</f>
        <v>47.2671732954546</v>
      </c>
      <c r="R3556" s="0" t="n">
        <f aca="false">SUMPRODUCT(MMULT(G3556:P3556,_XtX!$B$58:$K$67),G3556:P3556)</f>
        <v>0.322514204545455</v>
      </c>
      <c r="S3556" s="0" t="n">
        <f aca="false">04_回帰ANOVA!$K$19*04_回帰ANOVA!$K$14*SQRT(1+R3556)</f>
        <v>1.0692193475064</v>
      </c>
      <c r="T3556" s="0" t="n">
        <f aca="false">Q3556-S3556</f>
        <v>46.1979539479482</v>
      </c>
      <c r="U3556" s="0" t="n">
        <f aca="false">Q3556+S3556</f>
        <v>48.336392642961</v>
      </c>
      <c r="V3556" s="54" t="b">
        <f aca="false">AND(D3556&gt;=01_因子設定!$L$5-0.000000001,D3556&lt;=01_因子設定!$M$5+0.000000001,E3556&gt;=01_因子設定!$L$6-0.000000001,E3556&lt;=01_因子設定!$M$6+0.000000001,F3556&gt;=01_因子設定!$L$7-0.000000001,F3556&lt;=01_因子設定!$M$7+0.000000001,IF(01_因子設定!$B$20="Box-Behnken",D3556^2+E3556^2+F3556^2&lt;=2+0.000000001,TRUE()))</f>
        <v>1</v>
      </c>
      <c r="W3556" s="55" t="n">
        <f aca="false">IF(V3556,IF(01_因子設定!$B$13="最大化",T3556-01_因子設定!$B$14,IF(01_因子設定!$B$13="最小化",01_因子設定!$B$15-U3556,MIN(T3556-01_因子設定!$B$14,01_因子設定!$B$15-U3556))),-1E+030)</f>
        <v>-2.30204605205184</v>
      </c>
      <c r="X3556" s="55" t="n">
        <f aca="false">IF(V3556,IF(01_因子設定!$B$13="最大化",Q3556,IF(01_因子設定!$B$13="最小化",-Q3556,-ABS(Q3556-01_因子設定!$B$16))),-1E+030)</f>
        <v>47.2671732954546</v>
      </c>
      <c r="Y3556" s="55" t="n">
        <f aca="false">W3556+ROW()*0.000000001</f>
        <v>-2.30204249605184</v>
      </c>
      <c r="Z3556" s="55" t="n">
        <f aca="false">X3556+ROW()*0.000000001</f>
        <v>47.2671768514546</v>
      </c>
    </row>
    <row r="3557" customFormat="false" ht="15" hidden="false" customHeight="false" outlineLevel="0" collapsed="false">
      <c r="A3557" s="0" t="n">
        <v>12</v>
      </c>
      <c r="B3557" s="0" t="n">
        <v>4</v>
      </c>
      <c r="C3557" s="0" t="n">
        <v>16</v>
      </c>
      <c r="D3557" s="0" t="n">
        <f aca="false">-1+A3557*0.125</f>
        <v>0.5</v>
      </c>
      <c r="E3557" s="0" t="n">
        <f aca="false">-1+B3557*0.125</f>
        <v>-0.5</v>
      </c>
      <c r="F3557" s="0" t="n">
        <f aca="false">-1+C3557*0.125</f>
        <v>1</v>
      </c>
      <c r="G3557" s="0" t="n">
        <f aca="false">1</f>
        <v>1</v>
      </c>
      <c r="H3557" s="0" t="n">
        <f aca="false">D3557</f>
        <v>0.5</v>
      </c>
      <c r="I3557" s="0" t="n">
        <f aca="false">E3557</f>
        <v>-0.5</v>
      </c>
      <c r="J3557" s="0" t="n">
        <f aca="false">F3557</f>
        <v>1</v>
      </c>
      <c r="K3557" s="0" t="n">
        <f aca="false">D3557*E3557</f>
        <v>-0.25</v>
      </c>
      <c r="L3557" s="0" t="n">
        <f aca="false">D3557*F3557</f>
        <v>0.5</v>
      </c>
      <c r="M3557" s="0" t="n">
        <f aca="false">E3557*F3557</f>
        <v>-0.5</v>
      </c>
      <c r="N3557" s="0" t="n">
        <f aca="false">D3557*D3557</f>
        <v>0.25</v>
      </c>
      <c r="O3557" s="0" t="n">
        <f aca="false">E3557*E3557</f>
        <v>0.25</v>
      </c>
      <c r="P3557" s="0" t="n">
        <f aca="false">F3557*F3557</f>
        <v>1</v>
      </c>
      <c r="Q3557" s="0" t="n">
        <f aca="false">SUMPRODUCT(G3557:P3557,_XtX!$B$71:$K$71)</f>
        <v>47.12625</v>
      </c>
      <c r="R3557" s="0" t="n">
        <f aca="false">SUMPRODUCT(MMULT(G3557:P3557,_XtX!$B$58:$K$67),G3557:P3557)</f>
        <v>0.4578125</v>
      </c>
      <c r="S3557" s="0" t="n">
        <f aca="false">04_回帰ANOVA!$K$19*04_回帰ANOVA!$K$14*SQRT(1+R3557)</f>
        <v>1.12258044051089</v>
      </c>
      <c r="T3557" s="0" t="n">
        <f aca="false">Q3557-S3557</f>
        <v>46.0036695594891</v>
      </c>
      <c r="U3557" s="0" t="n">
        <f aca="false">Q3557+S3557</f>
        <v>48.2488304405109</v>
      </c>
      <c r="V3557" s="54" t="b">
        <f aca="false">AND(D3557&gt;=01_因子設定!$L$5-0.000000001,D3557&lt;=01_因子設定!$M$5+0.000000001,E3557&gt;=01_因子設定!$L$6-0.000000001,E3557&lt;=01_因子設定!$M$6+0.000000001,F3557&gt;=01_因子設定!$L$7-0.000000001,F3557&lt;=01_因子設定!$M$7+0.000000001,IF(01_因子設定!$B$20="Box-Behnken",D3557^2+E3557^2+F3557^2&lt;=2+0.000000001,TRUE()))</f>
        <v>1</v>
      </c>
      <c r="W3557" s="55" t="n">
        <f aca="false">IF(V3557,IF(01_因子設定!$B$13="最大化",T3557-01_因子設定!$B$14,IF(01_因子設定!$B$13="最小化",01_因子設定!$B$15-U3557,MIN(T3557-01_因子設定!$B$14,01_因子設定!$B$15-U3557))),-1E+030)</f>
        <v>-2.49633044051086</v>
      </c>
      <c r="X3557" s="55" t="n">
        <f aca="false">IF(V3557,IF(01_因子設定!$B$13="最大化",Q3557,IF(01_因子設定!$B$13="最小化",-Q3557,-ABS(Q3557-01_因子設定!$B$16))),-1E+030)</f>
        <v>47.12625</v>
      </c>
      <c r="Y3557" s="55" t="n">
        <f aca="false">W3557+ROW()*0.000000001</f>
        <v>-2.49632688351086</v>
      </c>
      <c r="Z3557" s="55" t="n">
        <f aca="false">X3557+ROW()*0.000000001</f>
        <v>47.126253557</v>
      </c>
    </row>
    <row r="3558" customFormat="false" ht="15" hidden="false" customHeight="false" outlineLevel="0" collapsed="false">
      <c r="A3558" s="0" t="n">
        <v>12</v>
      </c>
      <c r="B3558" s="0" t="n">
        <v>5</v>
      </c>
      <c r="C3558" s="0" t="n">
        <v>0</v>
      </c>
      <c r="D3558" s="0" t="n">
        <f aca="false">-1+A3558*0.125</f>
        <v>0.5</v>
      </c>
      <c r="E3558" s="0" t="n">
        <f aca="false">-1+B3558*0.125</f>
        <v>-0.375</v>
      </c>
      <c r="F3558" s="0" t="n">
        <f aca="false">-1+C3558*0.125</f>
        <v>-1</v>
      </c>
      <c r="G3558" s="0" t="n">
        <f aca="false">1</f>
        <v>1</v>
      </c>
      <c r="H3558" s="0" t="n">
        <f aca="false">D3558</f>
        <v>0.5</v>
      </c>
      <c r="I3558" s="0" t="n">
        <f aca="false">E3558</f>
        <v>-0.375</v>
      </c>
      <c r="J3558" s="0" t="n">
        <f aca="false">F3558</f>
        <v>-1</v>
      </c>
      <c r="K3558" s="0" t="n">
        <f aca="false">D3558*E3558</f>
        <v>-0.1875</v>
      </c>
      <c r="L3558" s="0" t="n">
        <f aca="false">D3558*F3558</f>
        <v>-0.5</v>
      </c>
      <c r="M3558" s="0" t="n">
        <f aca="false">E3558*F3558</f>
        <v>0.375</v>
      </c>
      <c r="N3558" s="0" t="n">
        <f aca="false">D3558*D3558</f>
        <v>0.25</v>
      </c>
      <c r="O3558" s="0" t="n">
        <f aca="false">E3558*E3558</f>
        <v>0.140625</v>
      </c>
      <c r="P3558" s="0" t="n">
        <f aca="false">F3558*F3558</f>
        <v>1</v>
      </c>
      <c r="Q3558" s="0" t="n">
        <f aca="false">SUMPRODUCT(G3558:P3558,_XtX!$B$71:$K$71)</f>
        <v>45.4670454545455</v>
      </c>
      <c r="R3558" s="0" t="n">
        <f aca="false">SUMPRODUCT(MMULT(G3558:P3558,_XtX!$B$58:$K$67),G3558:P3558)</f>
        <v>0.461479048295455</v>
      </c>
      <c r="S3558" s="0" t="n">
        <f aca="false">04_回帰ANOVA!$K$19*04_回帰ANOVA!$K$14*SQRT(1+R3558)</f>
        <v>1.12399125658369</v>
      </c>
      <c r="T3558" s="0" t="n">
        <f aca="false">Q3558-S3558</f>
        <v>44.3430541979618</v>
      </c>
      <c r="U3558" s="0" t="n">
        <f aca="false">Q3558+S3558</f>
        <v>46.5910367111292</v>
      </c>
      <c r="V3558" s="54" t="b">
        <f aca="false">AND(D3558&gt;=01_因子設定!$L$5-0.000000001,D3558&lt;=01_因子設定!$M$5+0.000000001,E3558&gt;=01_因子設定!$L$6-0.000000001,E3558&lt;=01_因子設定!$M$6+0.000000001,F3558&gt;=01_因子設定!$L$7-0.000000001,F3558&lt;=01_因子設定!$M$7+0.000000001,IF(01_因子設定!$B$20="Box-Behnken",D3558^2+E3558^2+F3558^2&lt;=2+0.000000001,TRUE()))</f>
        <v>1</v>
      </c>
      <c r="W3558" s="55" t="n">
        <f aca="false">IF(V3558,IF(01_因子設定!$B$13="最大化",T3558-01_因子設定!$B$14,IF(01_因子設定!$B$13="最小化",01_因子設定!$B$15-U3558,MIN(T3558-01_因子設定!$B$14,01_因子設定!$B$15-U3558))),-1E+030)</f>
        <v>-4.15694580203821</v>
      </c>
      <c r="X3558" s="55" t="n">
        <f aca="false">IF(V3558,IF(01_因子設定!$B$13="最大化",Q3558,IF(01_因子設定!$B$13="最小化",-Q3558,-ABS(Q3558-01_因子設定!$B$16))),-1E+030)</f>
        <v>45.4670454545455</v>
      </c>
      <c r="Y3558" s="55" t="n">
        <f aca="false">W3558+ROW()*0.000000001</f>
        <v>-4.15694224403821</v>
      </c>
      <c r="Z3558" s="55" t="n">
        <f aca="false">X3558+ROW()*0.000000001</f>
        <v>45.4670490125455</v>
      </c>
    </row>
    <row r="3559" customFormat="false" ht="15" hidden="false" customHeight="false" outlineLevel="0" collapsed="false">
      <c r="A3559" s="0" t="n">
        <v>12</v>
      </c>
      <c r="B3559" s="0" t="n">
        <v>5</v>
      </c>
      <c r="C3559" s="0" t="n">
        <v>1</v>
      </c>
      <c r="D3559" s="0" t="n">
        <f aca="false">-1+A3559*0.125</f>
        <v>0.5</v>
      </c>
      <c r="E3559" s="0" t="n">
        <f aca="false">-1+B3559*0.125</f>
        <v>-0.375</v>
      </c>
      <c r="F3559" s="0" t="n">
        <f aca="false">-1+C3559*0.125</f>
        <v>-0.875</v>
      </c>
      <c r="G3559" s="0" t="n">
        <f aca="false">1</f>
        <v>1</v>
      </c>
      <c r="H3559" s="0" t="n">
        <f aca="false">D3559</f>
        <v>0.5</v>
      </c>
      <c r="I3559" s="0" t="n">
        <f aca="false">E3559</f>
        <v>-0.375</v>
      </c>
      <c r="J3559" s="0" t="n">
        <f aca="false">F3559</f>
        <v>-0.875</v>
      </c>
      <c r="K3559" s="0" t="n">
        <f aca="false">D3559*E3559</f>
        <v>-0.1875</v>
      </c>
      <c r="L3559" s="0" t="n">
        <f aca="false">D3559*F3559</f>
        <v>-0.4375</v>
      </c>
      <c r="M3559" s="0" t="n">
        <f aca="false">E3559*F3559</f>
        <v>0.328125</v>
      </c>
      <c r="N3559" s="0" t="n">
        <f aca="false">D3559*D3559</f>
        <v>0.25</v>
      </c>
      <c r="O3559" s="0" t="n">
        <f aca="false">E3559*E3559</f>
        <v>0.140625</v>
      </c>
      <c r="P3559" s="0" t="n">
        <f aca="false">F3559*F3559</f>
        <v>0.765625</v>
      </c>
      <c r="Q3559" s="0" t="n">
        <f aca="false">SUMPRODUCT(G3559:P3559,_XtX!$B$71:$K$71)</f>
        <v>45.885</v>
      </c>
      <c r="R3559" s="0" t="n">
        <f aca="false">SUMPRODUCT(MMULT(G3559:P3559,_XtX!$B$58:$K$67),G3559:P3559)</f>
        <v>0.322393798828125</v>
      </c>
      <c r="S3559" s="0" t="n">
        <f aca="false">04_回帰ANOVA!$K$19*04_回帰ANOVA!$K$14*SQRT(1+R3559)</f>
        <v>1.06917067390712</v>
      </c>
      <c r="T3559" s="0" t="n">
        <f aca="false">Q3559-S3559</f>
        <v>44.8158293260929</v>
      </c>
      <c r="U3559" s="0" t="n">
        <f aca="false">Q3559+S3559</f>
        <v>46.9541706739071</v>
      </c>
      <c r="V3559" s="54" t="b">
        <f aca="false">AND(D3559&gt;=01_因子設定!$L$5-0.000000001,D3559&lt;=01_因子設定!$M$5+0.000000001,E3559&gt;=01_因子設定!$L$6-0.000000001,E3559&lt;=01_因子設定!$M$6+0.000000001,F3559&gt;=01_因子設定!$L$7-0.000000001,F3559&lt;=01_因子設定!$M$7+0.000000001,IF(01_因子設定!$B$20="Box-Behnken",D3559^2+E3559^2+F3559^2&lt;=2+0.000000001,TRUE()))</f>
        <v>1</v>
      </c>
      <c r="W3559" s="55" t="n">
        <f aca="false">IF(V3559,IF(01_因子設定!$B$13="最大化",T3559-01_因子設定!$B$14,IF(01_因子設定!$B$13="最小化",01_因子設定!$B$15-U3559,MIN(T3559-01_因子設定!$B$14,01_因子設定!$B$15-U3559))),-1E+030)</f>
        <v>-3.6841706739071</v>
      </c>
      <c r="X3559" s="55" t="n">
        <f aca="false">IF(V3559,IF(01_因子設定!$B$13="最大化",Q3559,IF(01_因子設定!$B$13="最小化",-Q3559,-ABS(Q3559-01_因子設定!$B$16))),-1E+030)</f>
        <v>45.885</v>
      </c>
      <c r="Y3559" s="55" t="n">
        <f aca="false">W3559+ROW()*0.000000001</f>
        <v>-3.6841671149071</v>
      </c>
      <c r="Z3559" s="55" t="n">
        <f aca="false">X3559+ROW()*0.000000001</f>
        <v>45.885003559</v>
      </c>
    </row>
    <row r="3560" customFormat="false" ht="15" hidden="false" customHeight="false" outlineLevel="0" collapsed="false">
      <c r="A3560" s="0" t="n">
        <v>12</v>
      </c>
      <c r="B3560" s="0" t="n">
        <v>5</v>
      </c>
      <c r="C3560" s="0" t="n">
        <v>2</v>
      </c>
      <c r="D3560" s="0" t="n">
        <f aca="false">-1+A3560*0.125</f>
        <v>0.5</v>
      </c>
      <c r="E3560" s="0" t="n">
        <f aca="false">-1+B3560*0.125</f>
        <v>-0.375</v>
      </c>
      <c r="F3560" s="0" t="n">
        <f aca="false">-1+C3560*0.125</f>
        <v>-0.75</v>
      </c>
      <c r="G3560" s="0" t="n">
        <f aca="false">1</f>
        <v>1</v>
      </c>
      <c r="H3560" s="0" t="n">
        <f aca="false">D3560</f>
        <v>0.5</v>
      </c>
      <c r="I3560" s="0" t="n">
        <f aca="false">E3560</f>
        <v>-0.375</v>
      </c>
      <c r="J3560" s="0" t="n">
        <f aca="false">F3560</f>
        <v>-0.75</v>
      </c>
      <c r="K3560" s="0" t="n">
        <f aca="false">D3560*E3560</f>
        <v>-0.1875</v>
      </c>
      <c r="L3560" s="0" t="n">
        <f aca="false">D3560*F3560</f>
        <v>-0.375</v>
      </c>
      <c r="M3560" s="0" t="n">
        <f aca="false">E3560*F3560</f>
        <v>0.28125</v>
      </c>
      <c r="N3560" s="0" t="n">
        <f aca="false">D3560*D3560</f>
        <v>0.25</v>
      </c>
      <c r="O3560" s="0" t="n">
        <f aca="false">E3560*E3560</f>
        <v>0.140625</v>
      </c>
      <c r="P3560" s="0" t="n">
        <f aca="false">F3560*F3560</f>
        <v>0.5625</v>
      </c>
      <c r="Q3560" s="0" t="n">
        <f aca="false">SUMPRODUCT(G3560:P3560,_XtX!$B$71:$K$71)</f>
        <v>46.2661647727273</v>
      </c>
      <c r="R3560" s="0" t="n">
        <f aca="false">SUMPRODUCT(MMULT(G3560:P3560,_XtX!$B$58:$K$67),G3560:P3560)</f>
        <v>0.234168590198864</v>
      </c>
      <c r="S3560" s="0" t="n">
        <f aca="false">04_回帰ANOVA!$K$19*04_回帰ANOVA!$K$14*SQRT(1+R3560)</f>
        <v>1.03288954322488</v>
      </c>
      <c r="T3560" s="0" t="n">
        <f aca="false">Q3560-S3560</f>
        <v>45.2332752295024</v>
      </c>
      <c r="U3560" s="0" t="n">
        <f aca="false">Q3560+S3560</f>
        <v>47.2990543159522</v>
      </c>
      <c r="V3560" s="54" t="b">
        <f aca="false">AND(D3560&gt;=01_因子設定!$L$5-0.000000001,D3560&lt;=01_因子設定!$M$5+0.000000001,E3560&gt;=01_因子設定!$L$6-0.000000001,E3560&lt;=01_因子設定!$M$6+0.000000001,F3560&gt;=01_因子設定!$L$7-0.000000001,F3560&lt;=01_因子設定!$M$7+0.000000001,IF(01_因子設定!$B$20="Box-Behnken",D3560^2+E3560^2+F3560^2&lt;=2+0.000000001,TRUE()))</f>
        <v>1</v>
      </c>
      <c r="W3560" s="55" t="n">
        <f aca="false">IF(V3560,IF(01_因子設定!$B$13="最大化",T3560-01_因子設定!$B$14,IF(01_因子設定!$B$13="最小化",01_因子設定!$B$15-U3560,MIN(T3560-01_因子設定!$B$14,01_因子設定!$B$15-U3560))),-1E+030)</f>
        <v>-3.26672477049759</v>
      </c>
      <c r="X3560" s="55" t="n">
        <f aca="false">IF(V3560,IF(01_因子設定!$B$13="最大化",Q3560,IF(01_因子設定!$B$13="最小化",-Q3560,-ABS(Q3560-01_因子設定!$B$16))),-1E+030)</f>
        <v>46.2661647727273</v>
      </c>
      <c r="Y3560" s="55" t="n">
        <f aca="false">W3560+ROW()*0.000000001</f>
        <v>-3.26672121049759</v>
      </c>
      <c r="Z3560" s="55" t="n">
        <f aca="false">X3560+ROW()*0.000000001</f>
        <v>46.2661683327273</v>
      </c>
    </row>
    <row r="3561" customFormat="false" ht="15" hidden="false" customHeight="false" outlineLevel="0" collapsed="false">
      <c r="A3561" s="0" t="n">
        <v>12</v>
      </c>
      <c r="B3561" s="0" t="n">
        <v>5</v>
      </c>
      <c r="C3561" s="0" t="n">
        <v>3</v>
      </c>
      <c r="D3561" s="0" t="n">
        <f aca="false">-1+A3561*0.125</f>
        <v>0.5</v>
      </c>
      <c r="E3561" s="0" t="n">
        <f aca="false">-1+B3561*0.125</f>
        <v>-0.375</v>
      </c>
      <c r="F3561" s="0" t="n">
        <f aca="false">-1+C3561*0.125</f>
        <v>-0.625</v>
      </c>
      <c r="G3561" s="0" t="n">
        <f aca="false">1</f>
        <v>1</v>
      </c>
      <c r="H3561" s="0" t="n">
        <f aca="false">D3561</f>
        <v>0.5</v>
      </c>
      <c r="I3561" s="0" t="n">
        <f aca="false">E3561</f>
        <v>-0.375</v>
      </c>
      <c r="J3561" s="0" t="n">
        <f aca="false">F3561</f>
        <v>-0.625</v>
      </c>
      <c r="K3561" s="0" t="n">
        <f aca="false">D3561*E3561</f>
        <v>-0.1875</v>
      </c>
      <c r="L3561" s="0" t="n">
        <f aca="false">D3561*F3561</f>
        <v>-0.3125</v>
      </c>
      <c r="M3561" s="0" t="n">
        <f aca="false">E3561*F3561</f>
        <v>0.234375</v>
      </c>
      <c r="N3561" s="0" t="n">
        <f aca="false">D3561*D3561</f>
        <v>0.25</v>
      </c>
      <c r="O3561" s="0" t="n">
        <f aca="false">E3561*E3561</f>
        <v>0.140625</v>
      </c>
      <c r="P3561" s="0" t="n">
        <f aca="false">F3561*F3561</f>
        <v>0.390625</v>
      </c>
      <c r="Q3561" s="0" t="n">
        <f aca="false">SUMPRODUCT(G3561:P3561,_XtX!$B$71:$K$71)</f>
        <v>46.6105397727273</v>
      </c>
      <c r="R3561" s="0" t="n">
        <f aca="false">SUMPRODUCT(MMULT(G3561:P3561,_XtX!$B$58:$K$67),G3561:P3561)</f>
        <v>0.182953990589489</v>
      </c>
      <c r="S3561" s="0" t="n">
        <f aca="false">04_回帰ANOVA!$K$19*04_回帰ANOVA!$K$14*SQRT(1+R3561)</f>
        <v>1.01123143807044</v>
      </c>
      <c r="T3561" s="0" t="n">
        <f aca="false">Q3561-S3561</f>
        <v>45.5993083346569</v>
      </c>
      <c r="U3561" s="0" t="n">
        <f aca="false">Q3561+S3561</f>
        <v>47.6217712107977</v>
      </c>
      <c r="V3561" s="54" t="b">
        <f aca="false">AND(D3561&gt;=01_因子設定!$L$5-0.000000001,D3561&lt;=01_因子設定!$M$5+0.000000001,E3561&gt;=01_因子設定!$L$6-0.000000001,E3561&lt;=01_因子設定!$M$6+0.000000001,F3561&gt;=01_因子設定!$L$7-0.000000001,F3561&lt;=01_因子設定!$M$7+0.000000001,IF(01_因子設定!$B$20="Box-Behnken",D3561^2+E3561^2+F3561^2&lt;=2+0.000000001,TRUE()))</f>
        <v>1</v>
      </c>
      <c r="W3561" s="55" t="n">
        <f aca="false">IF(V3561,IF(01_因子設定!$B$13="最大化",T3561-01_因子設定!$B$14,IF(01_因子設定!$B$13="最小化",01_因子設定!$B$15-U3561,MIN(T3561-01_因子設定!$B$14,01_因子設定!$B$15-U3561))),-1E+030)</f>
        <v>-2.90069166534315</v>
      </c>
      <c r="X3561" s="55" t="n">
        <f aca="false">IF(V3561,IF(01_因子設定!$B$13="最大化",Q3561,IF(01_因子設定!$B$13="最小化",-Q3561,-ABS(Q3561-01_因子設定!$B$16))),-1E+030)</f>
        <v>46.6105397727273</v>
      </c>
      <c r="Y3561" s="55" t="n">
        <f aca="false">W3561+ROW()*0.000000001</f>
        <v>-2.90068810434315</v>
      </c>
      <c r="Z3561" s="55" t="n">
        <f aca="false">X3561+ROW()*0.000000001</f>
        <v>46.6105433337273</v>
      </c>
    </row>
    <row r="3562" customFormat="false" ht="15" hidden="false" customHeight="false" outlineLevel="0" collapsed="false">
      <c r="A3562" s="0" t="n">
        <v>12</v>
      </c>
      <c r="B3562" s="0" t="n">
        <v>5</v>
      </c>
      <c r="C3562" s="0" t="n">
        <v>4</v>
      </c>
      <c r="D3562" s="0" t="n">
        <f aca="false">-1+A3562*0.125</f>
        <v>0.5</v>
      </c>
      <c r="E3562" s="0" t="n">
        <f aca="false">-1+B3562*0.125</f>
        <v>-0.375</v>
      </c>
      <c r="F3562" s="0" t="n">
        <f aca="false">-1+C3562*0.125</f>
        <v>-0.5</v>
      </c>
      <c r="G3562" s="0" t="n">
        <f aca="false">1</f>
        <v>1</v>
      </c>
      <c r="H3562" s="0" t="n">
        <f aca="false">D3562</f>
        <v>0.5</v>
      </c>
      <c r="I3562" s="0" t="n">
        <f aca="false">E3562</f>
        <v>-0.375</v>
      </c>
      <c r="J3562" s="0" t="n">
        <f aca="false">F3562</f>
        <v>-0.5</v>
      </c>
      <c r="K3562" s="0" t="n">
        <f aca="false">D3562*E3562</f>
        <v>-0.1875</v>
      </c>
      <c r="L3562" s="0" t="n">
        <f aca="false">D3562*F3562</f>
        <v>-0.25</v>
      </c>
      <c r="M3562" s="0" t="n">
        <f aca="false">E3562*F3562</f>
        <v>0.1875</v>
      </c>
      <c r="N3562" s="0" t="n">
        <f aca="false">D3562*D3562</f>
        <v>0.25</v>
      </c>
      <c r="O3562" s="0" t="n">
        <f aca="false">E3562*E3562</f>
        <v>0.140625</v>
      </c>
      <c r="P3562" s="0" t="n">
        <f aca="false">F3562*F3562</f>
        <v>0.25</v>
      </c>
      <c r="Q3562" s="0" t="n">
        <f aca="false">SUMPRODUCT(G3562:P3562,_XtX!$B$71:$K$71)</f>
        <v>46.918125</v>
      </c>
      <c r="R3562" s="0" t="n">
        <f aca="false">SUMPRODUCT(MMULT(G3562:P3562,_XtX!$B$58:$K$67),G3562:P3562)</f>
        <v>0.15703125</v>
      </c>
      <c r="S3562" s="0" t="n">
        <f aca="false">04_回帰ANOVA!$K$19*04_回帰ANOVA!$K$14*SQRT(1+R3562)</f>
        <v>1.00009022049162</v>
      </c>
      <c r="T3562" s="0" t="n">
        <f aca="false">Q3562-S3562</f>
        <v>45.9180347795084</v>
      </c>
      <c r="U3562" s="0" t="n">
        <f aca="false">Q3562+S3562</f>
        <v>47.9182152204916</v>
      </c>
      <c r="V3562" s="54" t="b">
        <f aca="false">AND(D3562&gt;=01_因子設定!$L$5-0.000000001,D3562&lt;=01_因子設定!$M$5+0.000000001,E3562&gt;=01_因子設定!$L$6-0.000000001,E3562&lt;=01_因子設定!$M$6+0.000000001,F3562&gt;=01_因子設定!$L$7-0.000000001,F3562&lt;=01_因子設定!$M$7+0.000000001,IF(01_因子設定!$B$20="Box-Behnken",D3562^2+E3562^2+F3562^2&lt;=2+0.000000001,TRUE()))</f>
        <v>1</v>
      </c>
      <c r="W3562" s="55" t="n">
        <f aca="false">IF(V3562,IF(01_因子設定!$B$13="最大化",T3562-01_因子設定!$B$14,IF(01_因子設定!$B$13="最小化",01_因子設定!$B$15-U3562,MIN(T3562-01_因子設定!$B$14,01_因子設定!$B$15-U3562))),-1E+030)</f>
        <v>-2.58196522049161</v>
      </c>
      <c r="X3562" s="55" t="n">
        <f aca="false">IF(V3562,IF(01_因子設定!$B$13="最大化",Q3562,IF(01_因子設定!$B$13="最小化",-Q3562,-ABS(Q3562-01_因子設定!$B$16))),-1E+030)</f>
        <v>46.918125</v>
      </c>
      <c r="Y3562" s="55" t="n">
        <f aca="false">W3562+ROW()*0.000000001</f>
        <v>-2.58196165849161</v>
      </c>
      <c r="Z3562" s="55" t="n">
        <f aca="false">X3562+ROW()*0.000000001</f>
        <v>46.918128562</v>
      </c>
    </row>
    <row r="3563" customFormat="false" ht="15" hidden="false" customHeight="false" outlineLevel="0" collapsed="false">
      <c r="A3563" s="0" t="n">
        <v>12</v>
      </c>
      <c r="B3563" s="0" t="n">
        <v>5</v>
      </c>
      <c r="C3563" s="0" t="n">
        <v>5</v>
      </c>
      <c r="D3563" s="0" t="n">
        <f aca="false">-1+A3563*0.125</f>
        <v>0.5</v>
      </c>
      <c r="E3563" s="0" t="n">
        <f aca="false">-1+B3563*0.125</f>
        <v>-0.375</v>
      </c>
      <c r="F3563" s="0" t="n">
        <f aca="false">-1+C3563*0.125</f>
        <v>-0.375</v>
      </c>
      <c r="G3563" s="0" t="n">
        <f aca="false">1</f>
        <v>1</v>
      </c>
      <c r="H3563" s="0" t="n">
        <f aca="false">D3563</f>
        <v>0.5</v>
      </c>
      <c r="I3563" s="0" t="n">
        <f aca="false">E3563</f>
        <v>-0.375</v>
      </c>
      <c r="J3563" s="0" t="n">
        <f aca="false">F3563</f>
        <v>-0.375</v>
      </c>
      <c r="K3563" s="0" t="n">
        <f aca="false">D3563*E3563</f>
        <v>-0.1875</v>
      </c>
      <c r="L3563" s="0" t="n">
        <f aca="false">D3563*F3563</f>
        <v>-0.1875</v>
      </c>
      <c r="M3563" s="0" t="n">
        <f aca="false">E3563*F3563</f>
        <v>0.140625</v>
      </c>
      <c r="N3563" s="0" t="n">
        <f aca="false">D3563*D3563</f>
        <v>0.25</v>
      </c>
      <c r="O3563" s="0" t="n">
        <f aca="false">E3563*E3563</f>
        <v>0.140625</v>
      </c>
      <c r="P3563" s="0" t="n">
        <f aca="false">F3563*F3563</f>
        <v>0.140625</v>
      </c>
      <c r="Q3563" s="0" t="n">
        <f aca="false">SUMPRODUCT(G3563:P3563,_XtX!$B$71:$K$71)</f>
        <v>47.1889204545455</v>
      </c>
      <c r="R3563" s="0" t="n">
        <f aca="false">SUMPRODUCT(MMULT(G3563:P3563,_XtX!$B$58:$K$67),G3563:P3563)</f>
        <v>0.14681230024858</v>
      </c>
      <c r="S3563" s="0" t="n">
        <f aca="false">04_回帰ANOVA!$K$19*04_回帰ANOVA!$K$14*SQRT(1+R3563)</f>
        <v>0.995664005771711</v>
      </c>
      <c r="T3563" s="0" t="n">
        <f aca="false">Q3563-S3563</f>
        <v>46.1932564487738</v>
      </c>
      <c r="U3563" s="0" t="n">
        <f aca="false">Q3563+S3563</f>
        <v>48.1845844603172</v>
      </c>
      <c r="V3563" s="54" t="b">
        <f aca="false">AND(D3563&gt;=01_因子設定!$L$5-0.000000001,D3563&lt;=01_因子設定!$M$5+0.000000001,E3563&gt;=01_因子設定!$L$6-0.000000001,E3563&lt;=01_因子設定!$M$6+0.000000001,F3563&gt;=01_因子設定!$L$7-0.000000001,F3563&lt;=01_因子設定!$M$7+0.000000001,IF(01_因子設定!$B$20="Box-Behnken",D3563^2+E3563^2+F3563^2&lt;=2+0.000000001,TRUE()))</f>
        <v>1</v>
      </c>
      <c r="W3563" s="55" t="n">
        <f aca="false">IF(V3563,IF(01_因子設定!$B$13="最大化",T3563-01_因子設定!$B$14,IF(01_因子設定!$B$13="最小化",01_因子設定!$B$15-U3563,MIN(T3563-01_因子設定!$B$14,01_因子設定!$B$15-U3563))),-1E+030)</f>
        <v>-2.30674355122625</v>
      </c>
      <c r="X3563" s="55" t="n">
        <f aca="false">IF(V3563,IF(01_因子設定!$B$13="最大化",Q3563,IF(01_因子設定!$B$13="最小化",-Q3563,-ABS(Q3563-01_因子設定!$B$16))),-1E+030)</f>
        <v>47.1889204545455</v>
      </c>
      <c r="Y3563" s="55" t="n">
        <f aca="false">W3563+ROW()*0.000000001</f>
        <v>-2.30673998822625</v>
      </c>
      <c r="Z3563" s="55" t="n">
        <f aca="false">X3563+ROW()*0.000000001</f>
        <v>47.1889240175455</v>
      </c>
    </row>
    <row r="3564" customFormat="false" ht="15" hidden="false" customHeight="false" outlineLevel="0" collapsed="false">
      <c r="A3564" s="0" t="n">
        <v>12</v>
      </c>
      <c r="B3564" s="0" t="n">
        <v>5</v>
      </c>
      <c r="C3564" s="0" t="n">
        <v>6</v>
      </c>
      <c r="D3564" s="0" t="n">
        <f aca="false">-1+A3564*0.125</f>
        <v>0.5</v>
      </c>
      <c r="E3564" s="0" t="n">
        <f aca="false">-1+B3564*0.125</f>
        <v>-0.375</v>
      </c>
      <c r="F3564" s="0" t="n">
        <f aca="false">-1+C3564*0.125</f>
        <v>-0.25</v>
      </c>
      <c r="G3564" s="0" t="n">
        <f aca="false">1</f>
        <v>1</v>
      </c>
      <c r="H3564" s="0" t="n">
        <f aca="false">D3564</f>
        <v>0.5</v>
      </c>
      <c r="I3564" s="0" t="n">
        <f aca="false">E3564</f>
        <v>-0.375</v>
      </c>
      <c r="J3564" s="0" t="n">
        <f aca="false">F3564</f>
        <v>-0.25</v>
      </c>
      <c r="K3564" s="0" t="n">
        <f aca="false">D3564*E3564</f>
        <v>-0.1875</v>
      </c>
      <c r="L3564" s="0" t="n">
        <f aca="false">D3564*F3564</f>
        <v>-0.125</v>
      </c>
      <c r="M3564" s="0" t="n">
        <f aca="false">E3564*F3564</f>
        <v>0.09375</v>
      </c>
      <c r="N3564" s="0" t="n">
        <f aca="false">D3564*D3564</f>
        <v>0.25</v>
      </c>
      <c r="O3564" s="0" t="n">
        <f aca="false">E3564*E3564</f>
        <v>0.140625</v>
      </c>
      <c r="P3564" s="0" t="n">
        <f aca="false">F3564*F3564</f>
        <v>0.0625</v>
      </c>
      <c r="Q3564" s="0" t="n">
        <f aca="false">SUMPRODUCT(G3564:P3564,_XtX!$B$71:$K$71)</f>
        <v>47.4229261363636</v>
      </c>
      <c r="R3564" s="0" t="n">
        <f aca="false">SUMPRODUCT(MMULT(G3564:P3564,_XtX!$B$58:$K$67),G3564:P3564)</f>
        <v>0.144839754971591</v>
      </c>
      <c r="S3564" s="0" t="n">
        <f aca="false">04_回帰ANOVA!$K$19*04_回帰ANOVA!$K$14*SQRT(1+R3564)</f>
        <v>0.994807353995542</v>
      </c>
      <c r="T3564" s="0" t="n">
        <f aca="false">Q3564-S3564</f>
        <v>46.4281187823681</v>
      </c>
      <c r="U3564" s="0" t="n">
        <f aca="false">Q3564+S3564</f>
        <v>48.4177334903592</v>
      </c>
      <c r="V3564" s="54" t="b">
        <f aca="false">AND(D3564&gt;=01_因子設定!$L$5-0.000000001,D3564&lt;=01_因子設定!$M$5+0.000000001,E3564&gt;=01_因子設定!$L$6-0.000000001,E3564&lt;=01_因子設定!$M$6+0.000000001,F3564&gt;=01_因子設定!$L$7-0.000000001,F3564&lt;=01_因子設定!$M$7+0.000000001,IF(01_因子設定!$B$20="Box-Behnken",D3564^2+E3564^2+F3564^2&lt;=2+0.000000001,TRUE()))</f>
        <v>1</v>
      </c>
      <c r="W3564" s="55" t="n">
        <f aca="false">IF(V3564,IF(01_因子設定!$B$13="最大化",T3564-01_因子設定!$B$14,IF(01_因子設定!$B$13="最小化",01_因子設定!$B$15-U3564,MIN(T3564-01_因子設定!$B$14,01_因子設定!$B$15-U3564))),-1E+030)</f>
        <v>-2.0718812176319</v>
      </c>
      <c r="X3564" s="55" t="n">
        <f aca="false">IF(V3564,IF(01_因子設定!$B$13="最大化",Q3564,IF(01_因子設定!$B$13="最小化",-Q3564,-ABS(Q3564-01_因子設定!$B$16))),-1E+030)</f>
        <v>47.4229261363636</v>
      </c>
      <c r="Y3564" s="55" t="n">
        <f aca="false">W3564+ROW()*0.000000001</f>
        <v>-2.0718776536319</v>
      </c>
      <c r="Z3564" s="55" t="n">
        <f aca="false">X3564+ROW()*0.000000001</f>
        <v>47.4229297003636</v>
      </c>
    </row>
    <row r="3565" customFormat="false" ht="15" hidden="false" customHeight="false" outlineLevel="0" collapsed="false">
      <c r="A3565" s="0" t="n">
        <v>12</v>
      </c>
      <c r="B3565" s="0" t="n">
        <v>5</v>
      </c>
      <c r="C3565" s="0" t="n">
        <v>7</v>
      </c>
      <c r="D3565" s="0" t="n">
        <f aca="false">-1+A3565*0.125</f>
        <v>0.5</v>
      </c>
      <c r="E3565" s="0" t="n">
        <f aca="false">-1+B3565*0.125</f>
        <v>-0.375</v>
      </c>
      <c r="F3565" s="0" t="n">
        <f aca="false">-1+C3565*0.125</f>
        <v>-0.125</v>
      </c>
      <c r="G3565" s="0" t="n">
        <f aca="false">1</f>
        <v>1</v>
      </c>
      <c r="H3565" s="0" t="n">
        <f aca="false">D3565</f>
        <v>0.5</v>
      </c>
      <c r="I3565" s="0" t="n">
        <f aca="false">E3565</f>
        <v>-0.375</v>
      </c>
      <c r="J3565" s="0" t="n">
        <f aca="false">F3565</f>
        <v>-0.125</v>
      </c>
      <c r="K3565" s="0" t="n">
        <f aca="false">D3565*E3565</f>
        <v>-0.1875</v>
      </c>
      <c r="L3565" s="0" t="n">
        <f aca="false">D3565*F3565</f>
        <v>-0.0625</v>
      </c>
      <c r="M3565" s="0" t="n">
        <f aca="false">E3565*F3565</f>
        <v>0.046875</v>
      </c>
      <c r="N3565" s="0" t="n">
        <f aca="false">D3565*D3565</f>
        <v>0.25</v>
      </c>
      <c r="O3565" s="0" t="n">
        <f aca="false">E3565*E3565</f>
        <v>0.140625</v>
      </c>
      <c r="P3565" s="0" t="n">
        <f aca="false">F3565*F3565</f>
        <v>0.015625</v>
      </c>
      <c r="Q3565" s="0" t="n">
        <f aca="false">SUMPRODUCT(G3565:P3565,_XtX!$B$71:$K$71)</f>
        <v>47.6201420454546</v>
      </c>
      <c r="R3565" s="0" t="n">
        <f aca="false">SUMPRODUCT(MMULT(G3565:P3565,_XtX!$B$58:$K$67),G3565:P3565)</f>
        <v>0.14578690962358</v>
      </c>
      <c r="S3565" s="0" t="n">
        <f aca="false">04_回帰ANOVA!$K$19*04_回帰ANOVA!$K$14*SQRT(1+R3565)</f>
        <v>0.995218783457917</v>
      </c>
      <c r="T3565" s="0" t="n">
        <f aca="false">Q3565-S3565</f>
        <v>46.6249232619966</v>
      </c>
      <c r="U3565" s="0" t="n">
        <f aca="false">Q3565+S3565</f>
        <v>48.6153608289125</v>
      </c>
      <c r="V3565" s="54" t="b">
        <f aca="false">AND(D3565&gt;=01_因子設定!$L$5-0.000000001,D3565&lt;=01_因子設定!$M$5+0.000000001,E3565&gt;=01_因子設定!$L$6-0.000000001,E3565&lt;=01_因子設定!$M$6+0.000000001,F3565&gt;=01_因子設定!$L$7-0.000000001,F3565&lt;=01_因子設定!$M$7+0.000000001,IF(01_因子設定!$B$20="Box-Behnken",D3565^2+E3565^2+F3565^2&lt;=2+0.000000001,TRUE()))</f>
        <v>1</v>
      </c>
      <c r="W3565" s="55" t="n">
        <f aca="false">IF(V3565,IF(01_因子設定!$B$13="最大化",T3565-01_因子設定!$B$14,IF(01_因子設定!$B$13="最小化",01_因子設定!$B$15-U3565,MIN(T3565-01_因子設定!$B$14,01_因子設定!$B$15-U3565))),-1E+030)</f>
        <v>-1.87507673800337</v>
      </c>
      <c r="X3565" s="55" t="n">
        <f aca="false">IF(V3565,IF(01_因子設定!$B$13="最大化",Q3565,IF(01_因子設定!$B$13="最小化",-Q3565,-ABS(Q3565-01_因子設定!$B$16))),-1E+030)</f>
        <v>47.6201420454546</v>
      </c>
      <c r="Y3565" s="55" t="n">
        <f aca="false">W3565+ROW()*0.000000001</f>
        <v>-1.87507317300337</v>
      </c>
      <c r="Z3565" s="55" t="n">
        <f aca="false">X3565+ROW()*0.000000001</f>
        <v>47.6201456104546</v>
      </c>
    </row>
    <row r="3566" customFormat="false" ht="15" hidden="false" customHeight="false" outlineLevel="0" collapsed="false">
      <c r="A3566" s="0" t="n">
        <v>12</v>
      </c>
      <c r="B3566" s="0" t="n">
        <v>5</v>
      </c>
      <c r="C3566" s="0" t="n">
        <v>8</v>
      </c>
      <c r="D3566" s="0" t="n">
        <f aca="false">-1+A3566*0.125</f>
        <v>0.5</v>
      </c>
      <c r="E3566" s="0" t="n">
        <f aca="false">-1+B3566*0.125</f>
        <v>-0.375</v>
      </c>
      <c r="F3566" s="0" t="n">
        <f aca="false">-1+C3566*0.125</f>
        <v>0</v>
      </c>
      <c r="G3566" s="0" t="n">
        <f aca="false">1</f>
        <v>1</v>
      </c>
      <c r="H3566" s="0" t="n">
        <f aca="false">D3566</f>
        <v>0.5</v>
      </c>
      <c r="I3566" s="0" t="n">
        <f aca="false">E3566</f>
        <v>-0.375</v>
      </c>
      <c r="J3566" s="0" t="n">
        <f aca="false">F3566</f>
        <v>0</v>
      </c>
      <c r="K3566" s="0" t="n">
        <f aca="false">D3566*E3566</f>
        <v>-0.1875</v>
      </c>
      <c r="L3566" s="0" t="n">
        <f aca="false">D3566*F3566</f>
        <v>0</v>
      </c>
      <c r="M3566" s="0" t="n">
        <f aca="false">E3566*F3566</f>
        <v>-0</v>
      </c>
      <c r="N3566" s="0" t="n">
        <f aca="false">D3566*D3566</f>
        <v>0.25</v>
      </c>
      <c r="O3566" s="0" t="n">
        <f aca="false">E3566*E3566</f>
        <v>0.140625</v>
      </c>
      <c r="P3566" s="0" t="n">
        <f aca="false">F3566*F3566</f>
        <v>0</v>
      </c>
      <c r="Q3566" s="0" t="n">
        <f aca="false">SUMPRODUCT(G3566:P3566,_XtX!$B$71:$K$71)</f>
        <v>47.7805681818182</v>
      </c>
      <c r="R3566" s="0" t="n">
        <f aca="false">SUMPRODUCT(MMULT(G3566:P3566,_XtX!$B$58:$K$67),G3566:P3566)</f>
        <v>0.146457741477273</v>
      </c>
      <c r="S3566" s="0" t="n">
        <f aca="false">04_回帰ANOVA!$K$19*04_回帰ANOVA!$K$14*SQRT(1+R3566)</f>
        <v>0.995510079668687</v>
      </c>
      <c r="T3566" s="0" t="n">
        <f aca="false">Q3566-S3566</f>
        <v>46.7850581021495</v>
      </c>
      <c r="U3566" s="0" t="n">
        <f aca="false">Q3566+S3566</f>
        <v>48.7760782614869</v>
      </c>
      <c r="V3566" s="54" t="b">
        <f aca="false">AND(D3566&gt;=01_因子設定!$L$5-0.000000001,D3566&lt;=01_因子設定!$M$5+0.000000001,E3566&gt;=01_因子設定!$L$6-0.000000001,E3566&lt;=01_因子設定!$M$6+0.000000001,F3566&gt;=01_因子設定!$L$7-0.000000001,F3566&lt;=01_因子設定!$M$7+0.000000001,IF(01_因子設定!$B$20="Box-Behnken",D3566^2+E3566^2+F3566^2&lt;=2+0.000000001,TRUE()))</f>
        <v>1</v>
      </c>
      <c r="W3566" s="55" t="n">
        <f aca="false">IF(V3566,IF(01_因子設定!$B$13="最大化",T3566-01_因子設定!$B$14,IF(01_因子設定!$B$13="最小化",01_因子設定!$B$15-U3566,MIN(T3566-01_因子設定!$B$14,01_因子設定!$B$15-U3566))),-1E+030)</f>
        <v>-1.71494189785049</v>
      </c>
      <c r="X3566" s="55" t="n">
        <f aca="false">IF(V3566,IF(01_因子設定!$B$13="最大化",Q3566,IF(01_因子設定!$B$13="最小化",-Q3566,-ABS(Q3566-01_因子設定!$B$16))),-1E+030)</f>
        <v>47.7805681818182</v>
      </c>
      <c r="Y3566" s="55" t="n">
        <f aca="false">W3566+ROW()*0.000000001</f>
        <v>-1.71493833185049</v>
      </c>
      <c r="Z3566" s="55" t="n">
        <f aca="false">X3566+ROW()*0.000000001</f>
        <v>47.7805717478182</v>
      </c>
    </row>
    <row r="3567" customFormat="false" ht="15" hidden="false" customHeight="false" outlineLevel="0" collapsed="false">
      <c r="A3567" s="0" t="n">
        <v>12</v>
      </c>
      <c r="B3567" s="0" t="n">
        <v>5</v>
      </c>
      <c r="C3567" s="0" t="n">
        <v>9</v>
      </c>
      <c r="D3567" s="0" t="n">
        <f aca="false">-1+A3567*0.125</f>
        <v>0.5</v>
      </c>
      <c r="E3567" s="0" t="n">
        <f aca="false">-1+B3567*0.125</f>
        <v>-0.375</v>
      </c>
      <c r="F3567" s="0" t="n">
        <f aca="false">-1+C3567*0.125</f>
        <v>0.125</v>
      </c>
      <c r="G3567" s="0" t="n">
        <f aca="false">1</f>
        <v>1</v>
      </c>
      <c r="H3567" s="0" t="n">
        <f aca="false">D3567</f>
        <v>0.5</v>
      </c>
      <c r="I3567" s="0" t="n">
        <f aca="false">E3567</f>
        <v>-0.375</v>
      </c>
      <c r="J3567" s="0" t="n">
        <f aca="false">F3567</f>
        <v>0.125</v>
      </c>
      <c r="K3567" s="0" t="n">
        <f aca="false">D3567*E3567</f>
        <v>-0.1875</v>
      </c>
      <c r="L3567" s="0" t="n">
        <f aca="false">D3567*F3567</f>
        <v>0.0625</v>
      </c>
      <c r="M3567" s="0" t="n">
        <f aca="false">E3567*F3567</f>
        <v>-0.046875</v>
      </c>
      <c r="N3567" s="0" t="n">
        <f aca="false">D3567*D3567</f>
        <v>0.25</v>
      </c>
      <c r="O3567" s="0" t="n">
        <f aca="false">E3567*E3567</f>
        <v>0.140625</v>
      </c>
      <c r="P3567" s="0" t="n">
        <f aca="false">F3567*F3567</f>
        <v>0.015625</v>
      </c>
      <c r="Q3567" s="0" t="n">
        <f aca="false">SUMPRODUCT(G3567:P3567,_XtX!$B$71:$K$71)</f>
        <v>47.9042045454546</v>
      </c>
      <c r="R3567" s="0" t="n">
        <f aca="false">SUMPRODUCT(MMULT(G3567:P3567,_XtX!$B$58:$K$67),G3567:P3567)</f>
        <v>0.14578690962358</v>
      </c>
      <c r="S3567" s="0" t="n">
        <f aca="false">04_回帰ANOVA!$K$19*04_回帰ANOVA!$K$14*SQRT(1+R3567)</f>
        <v>0.995218783457917</v>
      </c>
      <c r="T3567" s="0" t="n">
        <f aca="false">Q3567-S3567</f>
        <v>46.9089857619966</v>
      </c>
      <c r="U3567" s="0" t="n">
        <f aca="false">Q3567+S3567</f>
        <v>48.8994233289125</v>
      </c>
      <c r="V3567" s="54" t="b">
        <f aca="false">AND(D3567&gt;=01_因子設定!$L$5-0.000000001,D3567&lt;=01_因子設定!$M$5+0.000000001,E3567&gt;=01_因子設定!$L$6-0.000000001,E3567&lt;=01_因子設定!$M$6+0.000000001,F3567&gt;=01_因子設定!$L$7-0.000000001,F3567&lt;=01_因子設定!$M$7+0.000000001,IF(01_因子設定!$B$20="Box-Behnken",D3567^2+E3567^2+F3567^2&lt;=2+0.000000001,TRUE()))</f>
        <v>1</v>
      </c>
      <c r="W3567" s="55" t="n">
        <f aca="false">IF(V3567,IF(01_因子設定!$B$13="最大化",T3567-01_因子設定!$B$14,IF(01_因子設定!$B$13="最小化",01_因子設定!$B$15-U3567,MIN(T3567-01_因子設定!$B$14,01_因子設定!$B$15-U3567))),-1E+030)</f>
        <v>-1.59101423800337</v>
      </c>
      <c r="X3567" s="55" t="n">
        <f aca="false">IF(V3567,IF(01_因子設定!$B$13="最大化",Q3567,IF(01_因子設定!$B$13="最小化",-Q3567,-ABS(Q3567-01_因子設定!$B$16))),-1E+030)</f>
        <v>47.9042045454546</v>
      </c>
      <c r="Y3567" s="55" t="n">
        <f aca="false">W3567+ROW()*0.000000001</f>
        <v>-1.59101067100337</v>
      </c>
      <c r="Z3567" s="55" t="n">
        <f aca="false">X3567+ROW()*0.000000001</f>
        <v>47.9042081124546</v>
      </c>
    </row>
    <row r="3568" customFormat="false" ht="15" hidden="false" customHeight="false" outlineLevel="0" collapsed="false">
      <c r="A3568" s="0" t="n">
        <v>12</v>
      </c>
      <c r="B3568" s="0" t="n">
        <v>5</v>
      </c>
      <c r="C3568" s="0" t="n">
        <v>10</v>
      </c>
      <c r="D3568" s="0" t="n">
        <f aca="false">-1+A3568*0.125</f>
        <v>0.5</v>
      </c>
      <c r="E3568" s="0" t="n">
        <f aca="false">-1+B3568*0.125</f>
        <v>-0.375</v>
      </c>
      <c r="F3568" s="0" t="n">
        <f aca="false">-1+C3568*0.125</f>
        <v>0.25</v>
      </c>
      <c r="G3568" s="0" t="n">
        <f aca="false">1</f>
        <v>1</v>
      </c>
      <c r="H3568" s="0" t="n">
        <f aca="false">D3568</f>
        <v>0.5</v>
      </c>
      <c r="I3568" s="0" t="n">
        <f aca="false">E3568</f>
        <v>-0.375</v>
      </c>
      <c r="J3568" s="0" t="n">
        <f aca="false">F3568</f>
        <v>0.25</v>
      </c>
      <c r="K3568" s="0" t="n">
        <f aca="false">D3568*E3568</f>
        <v>-0.1875</v>
      </c>
      <c r="L3568" s="0" t="n">
        <f aca="false">D3568*F3568</f>
        <v>0.125</v>
      </c>
      <c r="M3568" s="0" t="n">
        <f aca="false">E3568*F3568</f>
        <v>-0.09375</v>
      </c>
      <c r="N3568" s="0" t="n">
        <f aca="false">D3568*D3568</f>
        <v>0.25</v>
      </c>
      <c r="O3568" s="0" t="n">
        <f aca="false">E3568*E3568</f>
        <v>0.140625</v>
      </c>
      <c r="P3568" s="0" t="n">
        <f aca="false">F3568*F3568</f>
        <v>0.0625</v>
      </c>
      <c r="Q3568" s="0" t="n">
        <f aca="false">SUMPRODUCT(G3568:P3568,_XtX!$B$71:$K$71)</f>
        <v>47.9910511363636</v>
      </c>
      <c r="R3568" s="0" t="n">
        <f aca="false">SUMPRODUCT(MMULT(G3568:P3568,_XtX!$B$58:$K$67),G3568:P3568)</f>
        <v>0.144839754971591</v>
      </c>
      <c r="S3568" s="0" t="n">
        <f aca="false">04_回帰ANOVA!$K$19*04_回帰ANOVA!$K$14*SQRT(1+R3568)</f>
        <v>0.994807353995542</v>
      </c>
      <c r="T3568" s="0" t="n">
        <f aca="false">Q3568-S3568</f>
        <v>46.9962437823681</v>
      </c>
      <c r="U3568" s="0" t="n">
        <f aca="false">Q3568+S3568</f>
        <v>48.9858584903592</v>
      </c>
      <c r="V3568" s="54" t="b">
        <f aca="false">AND(D3568&gt;=01_因子設定!$L$5-0.000000001,D3568&lt;=01_因子設定!$M$5+0.000000001,E3568&gt;=01_因子設定!$L$6-0.000000001,E3568&lt;=01_因子設定!$M$6+0.000000001,F3568&gt;=01_因子設定!$L$7-0.000000001,F3568&lt;=01_因子設定!$M$7+0.000000001,IF(01_因子設定!$B$20="Box-Behnken",D3568^2+E3568^2+F3568^2&lt;=2+0.000000001,TRUE()))</f>
        <v>1</v>
      </c>
      <c r="W3568" s="55" t="n">
        <f aca="false">IF(V3568,IF(01_因子設定!$B$13="最大化",T3568-01_因子設定!$B$14,IF(01_因子設定!$B$13="最小化",01_因子設定!$B$15-U3568,MIN(T3568-01_因子設定!$B$14,01_因子設定!$B$15-U3568))),-1E+030)</f>
        <v>-1.5037562176319</v>
      </c>
      <c r="X3568" s="55" t="n">
        <f aca="false">IF(V3568,IF(01_因子設定!$B$13="最大化",Q3568,IF(01_因子設定!$B$13="最小化",-Q3568,-ABS(Q3568-01_因子設定!$B$16))),-1E+030)</f>
        <v>47.9910511363636</v>
      </c>
      <c r="Y3568" s="55" t="n">
        <f aca="false">W3568+ROW()*0.000000001</f>
        <v>-1.5037526496319</v>
      </c>
      <c r="Z3568" s="55" t="n">
        <f aca="false">X3568+ROW()*0.000000001</f>
        <v>47.9910547043636</v>
      </c>
    </row>
    <row r="3569" customFormat="false" ht="15" hidden="false" customHeight="false" outlineLevel="0" collapsed="false">
      <c r="A3569" s="0" t="n">
        <v>12</v>
      </c>
      <c r="B3569" s="0" t="n">
        <v>5</v>
      </c>
      <c r="C3569" s="0" t="n">
        <v>11</v>
      </c>
      <c r="D3569" s="0" t="n">
        <f aca="false">-1+A3569*0.125</f>
        <v>0.5</v>
      </c>
      <c r="E3569" s="0" t="n">
        <f aca="false">-1+B3569*0.125</f>
        <v>-0.375</v>
      </c>
      <c r="F3569" s="0" t="n">
        <f aca="false">-1+C3569*0.125</f>
        <v>0.375</v>
      </c>
      <c r="G3569" s="0" t="n">
        <f aca="false">1</f>
        <v>1</v>
      </c>
      <c r="H3569" s="0" t="n">
        <f aca="false">D3569</f>
        <v>0.5</v>
      </c>
      <c r="I3569" s="0" t="n">
        <f aca="false">E3569</f>
        <v>-0.375</v>
      </c>
      <c r="J3569" s="0" t="n">
        <f aca="false">F3569</f>
        <v>0.375</v>
      </c>
      <c r="K3569" s="0" t="n">
        <f aca="false">D3569*E3569</f>
        <v>-0.1875</v>
      </c>
      <c r="L3569" s="0" t="n">
        <f aca="false">D3569*F3569</f>
        <v>0.1875</v>
      </c>
      <c r="M3569" s="0" t="n">
        <f aca="false">E3569*F3569</f>
        <v>-0.140625</v>
      </c>
      <c r="N3569" s="0" t="n">
        <f aca="false">D3569*D3569</f>
        <v>0.25</v>
      </c>
      <c r="O3569" s="0" t="n">
        <f aca="false">E3569*E3569</f>
        <v>0.140625</v>
      </c>
      <c r="P3569" s="0" t="n">
        <f aca="false">F3569*F3569</f>
        <v>0.140625</v>
      </c>
      <c r="Q3569" s="0" t="n">
        <f aca="false">SUMPRODUCT(G3569:P3569,_XtX!$B$71:$K$71)</f>
        <v>48.0411079545455</v>
      </c>
      <c r="R3569" s="0" t="n">
        <f aca="false">SUMPRODUCT(MMULT(G3569:P3569,_XtX!$B$58:$K$67),G3569:P3569)</f>
        <v>0.14681230024858</v>
      </c>
      <c r="S3569" s="0" t="n">
        <f aca="false">04_回帰ANOVA!$K$19*04_回帰ANOVA!$K$14*SQRT(1+R3569)</f>
        <v>0.995664005771711</v>
      </c>
      <c r="T3569" s="0" t="n">
        <f aca="false">Q3569-S3569</f>
        <v>47.0454439487738</v>
      </c>
      <c r="U3569" s="0" t="n">
        <f aca="false">Q3569+S3569</f>
        <v>49.0367719603172</v>
      </c>
      <c r="V3569" s="54" t="b">
        <f aca="false">AND(D3569&gt;=01_因子設定!$L$5-0.000000001,D3569&lt;=01_因子設定!$M$5+0.000000001,E3569&gt;=01_因子設定!$L$6-0.000000001,E3569&lt;=01_因子設定!$M$6+0.000000001,F3569&gt;=01_因子設定!$L$7-0.000000001,F3569&lt;=01_因子設定!$M$7+0.000000001,IF(01_因子設定!$B$20="Box-Behnken",D3569^2+E3569^2+F3569^2&lt;=2+0.000000001,TRUE()))</f>
        <v>1</v>
      </c>
      <c r="W3569" s="55" t="n">
        <f aca="false">IF(V3569,IF(01_因子設定!$B$13="最大化",T3569-01_因子設定!$B$14,IF(01_因子設定!$B$13="最小化",01_因子設定!$B$15-U3569,MIN(T3569-01_因子設定!$B$14,01_因子設定!$B$15-U3569))),-1E+030)</f>
        <v>-1.45455605122625</v>
      </c>
      <c r="X3569" s="55" t="n">
        <f aca="false">IF(V3569,IF(01_因子設定!$B$13="最大化",Q3569,IF(01_因子設定!$B$13="最小化",-Q3569,-ABS(Q3569-01_因子設定!$B$16))),-1E+030)</f>
        <v>48.0411079545455</v>
      </c>
      <c r="Y3569" s="55" t="n">
        <f aca="false">W3569+ROW()*0.000000001</f>
        <v>-1.45455248222625</v>
      </c>
      <c r="Z3569" s="55" t="n">
        <f aca="false">X3569+ROW()*0.000000001</f>
        <v>48.0411115235455</v>
      </c>
    </row>
    <row r="3570" customFormat="false" ht="15" hidden="false" customHeight="false" outlineLevel="0" collapsed="false">
      <c r="A3570" s="0" t="n">
        <v>12</v>
      </c>
      <c r="B3570" s="0" t="n">
        <v>5</v>
      </c>
      <c r="C3570" s="0" t="n">
        <v>12</v>
      </c>
      <c r="D3570" s="0" t="n">
        <f aca="false">-1+A3570*0.125</f>
        <v>0.5</v>
      </c>
      <c r="E3570" s="0" t="n">
        <f aca="false">-1+B3570*0.125</f>
        <v>-0.375</v>
      </c>
      <c r="F3570" s="0" t="n">
        <f aca="false">-1+C3570*0.125</f>
        <v>0.5</v>
      </c>
      <c r="G3570" s="0" t="n">
        <f aca="false">1</f>
        <v>1</v>
      </c>
      <c r="H3570" s="0" t="n">
        <f aca="false">D3570</f>
        <v>0.5</v>
      </c>
      <c r="I3570" s="0" t="n">
        <f aca="false">E3570</f>
        <v>-0.375</v>
      </c>
      <c r="J3570" s="0" t="n">
        <f aca="false">F3570</f>
        <v>0.5</v>
      </c>
      <c r="K3570" s="0" t="n">
        <f aca="false">D3570*E3570</f>
        <v>-0.1875</v>
      </c>
      <c r="L3570" s="0" t="n">
        <f aca="false">D3570*F3570</f>
        <v>0.25</v>
      </c>
      <c r="M3570" s="0" t="n">
        <f aca="false">E3570*F3570</f>
        <v>-0.1875</v>
      </c>
      <c r="N3570" s="0" t="n">
        <f aca="false">D3570*D3570</f>
        <v>0.25</v>
      </c>
      <c r="O3570" s="0" t="n">
        <f aca="false">E3570*E3570</f>
        <v>0.140625</v>
      </c>
      <c r="P3570" s="0" t="n">
        <f aca="false">F3570*F3570</f>
        <v>0.25</v>
      </c>
      <c r="Q3570" s="0" t="n">
        <f aca="false">SUMPRODUCT(G3570:P3570,_XtX!$B$71:$K$71)</f>
        <v>48.054375</v>
      </c>
      <c r="R3570" s="0" t="n">
        <f aca="false">SUMPRODUCT(MMULT(G3570:P3570,_XtX!$B$58:$K$67),G3570:P3570)</f>
        <v>0.15703125</v>
      </c>
      <c r="S3570" s="0" t="n">
        <f aca="false">04_回帰ANOVA!$K$19*04_回帰ANOVA!$K$14*SQRT(1+R3570)</f>
        <v>1.00009022049162</v>
      </c>
      <c r="T3570" s="0" t="n">
        <f aca="false">Q3570-S3570</f>
        <v>47.0542847795084</v>
      </c>
      <c r="U3570" s="0" t="n">
        <f aca="false">Q3570+S3570</f>
        <v>49.0544652204916</v>
      </c>
      <c r="V3570" s="54" t="b">
        <f aca="false">AND(D3570&gt;=01_因子設定!$L$5-0.000000001,D3570&lt;=01_因子設定!$M$5+0.000000001,E3570&gt;=01_因子設定!$L$6-0.000000001,E3570&lt;=01_因子設定!$M$6+0.000000001,F3570&gt;=01_因子設定!$L$7-0.000000001,F3570&lt;=01_因子設定!$M$7+0.000000001,IF(01_因子設定!$B$20="Box-Behnken",D3570^2+E3570^2+F3570^2&lt;=2+0.000000001,TRUE()))</f>
        <v>1</v>
      </c>
      <c r="W3570" s="55" t="n">
        <f aca="false">IF(V3570,IF(01_因子設定!$B$13="最大化",T3570-01_因子設定!$B$14,IF(01_因子設定!$B$13="最小化",01_因子設定!$B$15-U3570,MIN(T3570-01_因子設定!$B$14,01_因子設定!$B$15-U3570))),-1E+030)</f>
        <v>-1.44571522049161</v>
      </c>
      <c r="X3570" s="55" t="n">
        <f aca="false">IF(V3570,IF(01_因子設定!$B$13="最大化",Q3570,IF(01_因子設定!$B$13="最小化",-Q3570,-ABS(Q3570-01_因子設定!$B$16))),-1E+030)</f>
        <v>48.054375</v>
      </c>
      <c r="Y3570" s="55" t="n">
        <f aca="false">W3570+ROW()*0.000000001</f>
        <v>-1.44571165049161</v>
      </c>
      <c r="Z3570" s="55" t="n">
        <f aca="false">X3570+ROW()*0.000000001</f>
        <v>48.05437857</v>
      </c>
    </row>
    <row r="3571" customFormat="false" ht="15" hidden="false" customHeight="false" outlineLevel="0" collapsed="false">
      <c r="A3571" s="0" t="n">
        <v>12</v>
      </c>
      <c r="B3571" s="0" t="n">
        <v>5</v>
      </c>
      <c r="C3571" s="0" t="n">
        <v>13</v>
      </c>
      <c r="D3571" s="0" t="n">
        <f aca="false">-1+A3571*0.125</f>
        <v>0.5</v>
      </c>
      <c r="E3571" s="0" t="n">
        <f aca="false">-1+B3571*0.125</f>
        <v>-0.375</v>
      </c>
      <c r="F3571" s="0" t="n">
        <f aca="false">-1+C3571*0.125</f>
        <v>0.625</v>
      </c>
      <c r="G3571" s="0" t="n">
        <f aca="false">1</f>
        <v>1</v>
      </c>
      <c r="H3571" s="0" t="n">
        <f aca="false">D3571</f>
        <v>0.5</v>
      </c>
      <c r="I3571" s="0" t="n">
        <f aca="false">E3571</f>
        <v>-0.375</v>
      </c>
      <c r="J3571" s="0" t="n">
        <f aca="false">F3571</f>
        <v>0.625</v>
      </c>
      <c r="K3571" s="0" t="n">
        <f aca="false">D3571*E3571</f>
        <v>-0.1875</v>
      </c>
      <c r="L3571" s="0" t="n">
        <f aca="false">D3571*F3571</f>
        <v>0.3125</v>
      </c>
      <c r="M3571" s="0" t="n">
        <f aca="false">E3571*F3571</f>
        <v>-0.234375</v>
      </c>
      <c r="N3571" s="0" t="n">
        <f aca="false">D3571*D3571</f>
        <v>0.25</v>
      </c>
      <c r="O3571" s="0" t="n">
        <f aca="false">E3571*E3571</f>
        <v>0.140625</v>
      </c>
      <c r="P3571" s="0" t="n">
        <f aca="false">F3571*F3571</f>
        <v>0.390625</v>
      </c>
      <c r="Q3571" s="0" t="n">
        <f aca="false">SUMPRODUCT(G3571:P3571,_XtX!$B$71:$K$71)</f>
        <v>48.0308522727273</v>
      </c>
      <c r="R3571" s="0" t="n">
        <f aca="false">SUMPRODUCT(MMULT(G3571:P3571,_XtX!$B$58:$K$67),G3571:P3571)</f>
        <v>0.182953990589489</v>
      </c>
      <c r="S3571" s="0" t="n">
        <f aca="false">04_回帰ANOVA!$K$19*04_回帰ANOVA!$K$14*SQRT(1+R3571)</f>
        <v>1.01123143807044</v>
      </c>
      <c r="T3571" s="0" t="n">
        <f aca="false">Q3571-S3571</f>
        <v>47.0196208346569</v>
      </c>
      <c r="U3571" s="0" t="n">
        <f aca="false">Q3571+S3571</f>
        <v>49.0420837107977</v>
      </c>
      <c r="V3571" s="54" t="b">
        <f aca="false">AND(D3571&gt;=01_因子設定!$L$5-0.000000001,D3571&lt;=01_因子設定!$M$5+0.000000001,E3571&gt;=01_因子設定!$L$6-0.000000001,E3571&lt;=01_因子設定!$M$6+0.000000001,F3571&gt;=01_因子設定!$L$7-0.000000001,F3571&lt;=01_因子設定!$M$7+0.000000001,IF(01_因子設定!$B$20="Box-Behnken",D3571^2+E3571^2+F3571^2&lt;=2+0.000000001,TRUE()))</f>
        <v>1</v>
      </c>
      <c r="W3571" s="55" t="n">
        <f aca="false">IF(V3571,IF(01_因子設定!$B$13="最大化",T3571-01_因子設定!$B$14,IF(01_因子設定!$B$13="最小化",01_因子設定!$B$15-U3571,MIN(T3571-01_因子設定!$B$14,01_因子設定!$B$15-U3571))),-1E+030)</f>
        <v>-1.48037916534315</v>
      </c>
      <c r="X3571" s="55" t="n">
        <f aca="false">IF(V3571,IF(01_因子設定!$B$13="最大化",Q3571,IF(01_因子設定!$B$13="最小化",-Q3571,-ABS(Q3571-01_因子設定!$B$16))),-1E+030)</f>
        <v>48.0308522727273</v>
      </c>
      <c r="Y3571" s="55" t="n">
        <f aca="false">W3571+ROW()*0.000000001</f>
        <v>-1.48037559434315</v>
      </c>
      <c r="Z3571" s="55" t="n">
        <f aca="false">X3571+ROW()*0.000000001</f>
        <v>48.0308558437273</v>
      </c>
    </row>
    <row r="3572" customFormat="false" ht="15" hidden="false" customHeight="false" outlineLevel="0" collapsed="false">
      <c r="A3572" s="0" t="n">
        <v>12</v>
      </c>
      <c r="B3572" s="0" t="n">
        <v>5</v>
      </c>
      <c r="C3572" s="0" t="n">
        <v>14</v>
      </c>
      <c r="D3572" s="0" t="n">
        <f aca="false">-1+A3572*0.125</f>
        <v>0.5</v>
      </c>
      <c r="E3572" s="0" t="n">
        <f aca="false">-1+B3572*0.125</f>
        <v>-0.375</v>
      </c>
      <c r="F3572" s="0" t="n">
        <f aca="false">-1+C3572*0.125</f>
        <v>0.75</v>
      </c>
      <c r="G3572" s="0" t="n">
        <f aca="false">1</f>
        <v>1</v>
      </c>
      <c r="H3572" s="0" t="n">
        <f aca="false">D3572</f>
        <v>0.5</v>
      </c>
      <c r="I3572" s="0" t="n">
        <f aca="false">E3572</f>
        <v>-0.375</v>
      </c>
      <c r="J3572" s="0" t="n">
        <f aca="false">F3572</f>
        <v>0.75</v>
      </c>
      <c r="K3572" s="0" t="n">
        <f aca="false">D3572*E3572</f>
        <v>-0.1875</v>
      </c>
      <c r="L3572" s="0" t="n">
        <f aca="false">D3572*F3572</f>
        <v>0.375</v>
      </c>
      <c r="M3572" s="0" t="n">
        <f aca="false">E3572*F3572</f>
        <v>-0.28125</v>
      </c>
      <c r="N3572" s="0" t="n">
        <f aca="false">D3572*D3572</f>
        <v>0.25</v>
      </c>
      <c r="O3572" s="0" t="n">
        <f aca="false">E3572*E3572</f>
        <v>0.140625</v>
      </c>
      <c r="P3572" s="0" t="n">
        <f aca="false">F3572*F3572</f>
        <v>0.5625</v>
      </c>
      <c r="Q3572" s="0" t="n">
        <f aca="false">SUMPRODUCT(G3572:P3572,_XtX!$B$71:$K$71)</f>
        <v>47.9705397727273</v>
      </c>
      <c r="R3572" s="0" t="n">
        <f aca="false">SUMPRODUCT(MMULT(G3572:P3572,_XtX!$B$58:$K$67),G3572:P3572)</f>
        <v>0.234168590198864</v>
      </c>
      <c r="S3572" s="0" t="n">
        <f aca="false">04_回帰ANOVA!$K$19*04_回帰ANOVA!$K$14*SQRT(1+R3572)</f>
        <v>1.03288954322488</v>
      </c>
      <c r="T3572" s="0" t="n">
        <f aca="false">Q3572-S3572</f>
        <v>46.9376502295024</v>
      </c>
      <c r="U3572" s="0" t="n">
        <f aca="false">Q3572+S3572</f>
        <v>49.0034293159522</v>
      </c>
      <c r="V3572" s="54" t="b">
        <f aca="false">AND(D3572&gt;=01_因子設定!$L$5-0.000000001,D3572&lt;=01_因子設定!$M$5+0.000000001,E3572&gt;=01_因子設定!$L$6-0.000000001,E3572&lt;=01_因子設定!$M$6+0.000000001,F3572&gt;=01_因子設定!$L$7-0.000000001,F3572&lt;=01_因子設定!$M$7+0.000000001,IF(01_因子設定!$B$20="Box-Behnken",D3572^2+E3572^2+F3572^2&lt;=2+0.000000001,TRUE()))</f>
        <v>1</v>
      </c>
      <c r="W3572" s="55" t="n">
        <f aca="false">IF(V3572,IF(01_因子設定!$B$13="最大化",T3572-01_因子設定!$B$14,IF(01_因子設定!$B$13="最小化",01_因子設定!$B$15-U3572,MIN(T3572-01_因子設定!$B$14,01_因子設定!$B$15-U3572))),-1E+030)</f>
        <v>-1.56234977049759</v>
      </c>
      <c r="X3572" s="55" t="n">
        <f aca="false">IF(V3572,IF(01_因子設定!$B$13="最大化",Q3572,IF(01_因子設定!$B$13="最小化",-Q3572,-ABS(Q3572-01_因子設定!$B$16))),-1E+030)</f>
        <v>47.9705397727273</v>
      </c>
      <c r="Y3572" s="55" t="n">
        <f aca="false">W3572+ROW()*0.000000001</f>
        <v>-1.56234619849759</v>
      </c>
      <c r="Z3572" s="55" t="n">
        <f aca="false">X3572+ROW()*0.000000001</f>
        <v>47.9705433447273</v>
      </c>
    </row>
    <row r="3573" customFormat="false" ht="15" hidden="false" customHeight="false" outlineLevel="0" collapsed="false">
      <c r="A3573" s="0" t="n">
        <v>12</v>
      </c>
      <c r="B3573" s="0" t="n">
        <v>5</v>
      </c>
      <c r="C3573" s="0" t="n">
        <v>15</v>
      </c>
      <c r="D3573" s="0" t="n">
        <f aca="false">-1+A3573*0.125</f>
        <v>0.5</v>
      </c>
      <c r="E3573" s="0" t="n">
        <f aca="false">-1+B3573*0.125</f>
        <v>-0.375</v>
      </c>
      <c r="F3573" s="0" t="n">
        <f aca="false">-1+C3573*0.125</f>
        <v>0.875</v>
      </c>
      <c r="G3573" s="0" t="n">
        <f aca="false">1</f>
        <v>1</v>
      </c>
      <c r="H3573" s="0" t="n">
        <f aca="false">D3573</f>
        <v>0.5</v>
      </c>
      <c r="I3573" s="0" t="n">
        <f aca="false">E3573</f>
        <v>-0.375</v>
      </c>
      <c r="J3573" s="0" t="n">
        <f aca="false">F3573</f>
        <v>0.875</v>
      </c>
      <c r="K3573" s="0" t="n">
        <f aca="false">D3573*E3573</f>
        <v>-0.1875</v>
      </c>
      <c r="L3573" s="0" t="n">
        <f aca="false">D3573*F3573</f>
        <v>0.4375</v>
      </c>
      <c r="M3573" s="0" t="n">
        <f aca="false">E3573*F3573</f>
        <v>-0.328125</v>
      </c>
      <c r="N3573" s="0" t="n">
        <f aca="false">D3573*D3573</f>
        <v>0.25</v>
      </c>
      <c r="O3573" s="0" t="n">
        <f aca="false">E3573*E3573</f>
        <v>0.140625</v>
      </c>
      <c r="P3573" s="0" t="n">
        <f aca="false">F3573*F3573</f>
        <v>0.765625</v>
      </c>
      <c r="Q3573" s="0" t="n">
        <f aca="false">SUMPRODUCT(G3573:P3573,_XtX!$B$71:$K$71)</f>
        <v>47.8734375</v>
      </c>
      <c r="R3573" s="0" t="n">
        <f aca="false">SUMPRODUCT(MMULT(G3573:P3573,_XtX!$B$58:$K$67),G3573:P3573)</f>
        <v>0.322393798828125</v>
      </c>
      <c r="S3573" s="0" t="n">
        <f aca="false">04_回帰ANOVA!$K$19*04_回帰ANOVA!$K$14*SQRT(1+R3573)</f>
        <v>1.06917067390712</v>
      </c>
      <c r="T3573" s="0" t="n">
        <f aca="false">Q3573-S3573</f>
        <v>46.8042668260929</v>
      </c>
      <c r="U3573" s="0" t="n">
        <f aca="false">Q3573+S3573</f>
        <v>48.9426081739071</v>
      </c>
      <c r="V3573" s="54" t="b">
        <f aca="false">AND(D3573&gt;=01_因子設定!$L$5-0.000000001,D3573&lt;=01_因子設定!$M$5+0.000000001,E3573&gt;=01_因子設定!$L$6-0.000000001,E3573&lt;=01_因子設定!$M$6+0.000000001,F3573&gt;=01_因子設定!$L$7-0.000000001,F3573&lt;=01_因子設定!$M$7+0.000000001,IF(01_因子設定!$B$20="Box-Behnken",D3573^2+E3573^2+F3573^2&lt;=2+0.000000001,TRUE()))</f>
        <v>1</v>
      </c>
      <c r="W3573" s="55" t="n">
        <f aca="false">IF(V3573,IF(01_因子設定!$B$13="最大化",T3573-01_因子設定!$B$14,IF(01_因子設定!$B$13="最小化",01_因子設定!$B$15-U3573,MIN(T3573-01_因子設定!$B$14,01_因子設定!$B$15-U3573))),-1E+030)</f>
        <v>-1.69573317390709</v>
      </c>
      <c r="X3573" s="55" t="n">
        <f aca="false">IF(V3573,IF(01_因子設定!$B$13="最大化",Q3573,IF(01_因子設定!$B$13="最小化",-Q3573,-ABS(Q3573-01_因子設定!$B$16))),-1E+030)</f>
        <v>47.8734375</v>
      </c>
      <c r="Y3573" s="55" t="n">
        <f aca="false">W3573+ROW()*0.000000001</f>
        <v>-1.69572960090709</v>
      </c>
      <c r="Z3573" s="55" t="n">
        <f aca="false">X3573+ROW()*0.000000001</f>
        <v>47.873441073</v>
      </c>
    </row>
    <row r="3574" customFormat="false" ht="15" hidden="false" customHeight="false" outlineLevel="0" collapsed="false">
      <c r="A3574" s="0" t="n">
        <v>12</v>
      </c>
      <c r="B3574" s="0" t="n">
        <v>5</v>
      </c>
      <c r="C3574" s="0" t="n">
        <v>16</v>
      </c>
      <c r="D3574" s="0" t="n">
        <f aca="false">-1+A3574*0.125</f>
        <v>0.5</v>
      </c>
      <c r="E3574" s="0" t="n">
        <f aca="false">-1+B3574*0.125</f>
        <v>-0.375</v>
      </c>
      <c r="F3574" s="0" t="n">
        <f aca="false">-1+C3574*0.125</f>
        <v>1</v>
      </c>
      <c r="G3574" s="0" t="n">
        <f aca="false">1</f>
        <v>1</v>
      </c>
      <c r="H3574" s="0" t="n">
        <f aca="false">D3574</f>
        <v>0.5</v>
      </c>
      <c r="I3574" s="0" t="n">
        <f aca="false">E3574</f>
        <v>-0.375</v>
      </c>
      <c r="J3574" s="0" t="n">
        <f aca="false">F3574</f>
        <v>1</v>
      </c>
      <c r="K3574" s="0" t="n">
        <f aca="false">D3574*E3574</f>
        <v>-0.1875</v>
      </c>
      <c r="L3574" s="0" t="n">
        <f aca="false">D3574*F3574</f>
        <v>0.5</v>
      </c>
      <c r="M3574" s="0" t="n">
        <f aca="false">E3574*F3574</f>
        <v>-0.375</v>
      </c>
      <c r="N3574" s="0" t="n">
        <f aca="false">D3574*D3574</f>
        <v>0.25</v>
      </c>
      <c r="O3574" s="0" t="n">
        <f aca="false">E3574*E3574</f>
        <v>0.140625</v>
      </c>
      <c r="P3574" s="0" t="n">
        <f aca="false">F3574*F3574</f>
        <v>1</v>
      </c>
      <c r="Q3574" s="0" t="n">
        <f aca="false">SUMPRODUCT(G3574:P3574,_XtX!$B$71:$K$71)</f>
        <v>47.7395454545455</v>
      </c>
      <c r="R3574" s="0" t="n">
        <f aca="false">SUMPRODUCT(MMULT(G3574:P3574,_XtX!$B$58:$K$67),G3574:P3574)</f>
        <v>0.461479048295455</v>
      </c>
      <c r="S3574" s="0" t="n">
        <f aca="false">04_回帰ANOVA!$K$19*04_回帰ANOVA!$K$14*SQRT(1+R3574)</f>
        <v>1.12399125658369</v>
      </c>
      <c r="T3574" s="0" t="n">
        <f aca="false">Q3574-S3574</f>
        <v>46.6155541979618</v>
      </c>
      <c r="U3574" s="0" t="n">
        <f aca="false">Q3574+S3574</f>
        <v>48.8635367111292</v>
      </c>
      <c r="V3574" s="54" t="b">
        <f aca="false">AND(D3574&gt;=01_因子設定!$L$5-0.000000001,D3574&lt;=01_因子設定!$M$5+0.000000001,E3574&gt;=01_因子設定!$L$6-0.000000001,E3574&lt;=01_因子設定!$M$6+0.000000001,F3574&gt;=01_因子設定!$L$7-0.000000001,F3574&lt;=01_因子設定!$M$7+0.000000001,IF(01_因子設定!$B$20="Box-Behnken",D3574^2+E3574^2+F3574^2&lt;=2+0.000000001,TRUE()))</f>
        <v>1</v>
      </c>
      <c r="W3574" s="55" t="n">
        <f aca="false">IF(V3574,IF(01_因子設定!$B$13="最大化",T3574-01_因子設定!$B$14,IF(01_因子設定!$B$13="最小化",01_因子設定!$B$15-U3574,MIN(T3574-01_因子設定!$B$14,01_因子設定!$B$15-U3574))),-1E+030)</f>
        <v>-1.88444580203821</v>
      </c>
      <c r="X3574" s="55" t="n">
        <f aca="false">IF(V3574,IF(01_因子設定!$B$13="最大化",Q3574,IF(01_因子設定!$B$13="最小化",-Q3574,-ABS(Q3574-01_因子設定!$B$16))),-1E+030)</f>
        <v>47.7395454545455</v>
      </c>
      <c r="Y3574" s="55" t="n">
        <f aca="false">W3574+ROW()*0.000000001</f>
        <v>-1.88444222803821</v>
      </c>
      <c r="Z3574" s="55" t="n">
        <f aca="false">X3574+ROW()*0.000000001</f>
        <v>47.7395490285455</v>
      </c>
    </row>
    <row r="3575" customFormat="false" ht="15" hidden="false" customHeight="false" outlineLevel="0" collapsed="false">
      <c r="A3575" s="0" t="n">
        <v>12</v>
      </c>
      <c r="B3575" s="0" t="n">
        <v>6</v>
      </c>
      <c r="C3575" s="0" t="n">
        <v>0</v>
      </c>
      <c r="D3575" s="0" t="n">
        <f aca="false">-1+A3575*0.125</f>
        <v>0.5</v>
      </c>
      <c r="E3575" s="0" t="n">
        <f aca="false">-1+B3575*0.125</f>
        <v>-0.25</v>
      </c>
      <c r="F3575" s="0" t="n">
        <f aca="false">-1+C3575*0.125</f>
        <v>-1</v>
      </c>
      <c r="G3575" s="0" t="n">
        <f aca="false">1</f>
        <v>1</v>
      </c>
      <c r="H3575" s="0" t="n">
        <f aca="false">D3575</f>
        <v>0.5</v>
      </c>
      <c r="I3575" s="0" t="n">
        <f aca="false">E3575</f>
        <v>-0.25</v>
      </c>
      <c r="J3575" s="0" t="n">
        <f aca="false">F3575</f>
        <v>-1</v>
      </c>
      <c r="K3575" s="0" t="n">
        <f aca="false">D3575*E3575</f>
        <v>-0.125</v>
      </c>
      <c r="L3575" s="0" t="n">
        <f aca="false">D3575*F3575</f>
        <v>-0.5</v>
      </c>
      <c r="M3575" s="0" t="n">
        <f aca="false">E3575*F3575</f>
        <v>0.25</v>
      </c>
      <c r="N3575" s="0" t="n">
        <f aca="false">D3575*D3575</f>
        <v>0.25</v>
      </c>
      <c r="O3575" s="0" t="n">
        <f aca="false">E3575*E3575</f>
        <v>0.0625</v>
      </c>
      <c r="P3575" s="0" t="n">
        <f aca="false">F3575*F3575</f>
        <v>1</v>
      </c>
      <c r="Q3575" s="0" t="n">
        <f aca="false">SUMPRODUCT(G3575:P3575,_XtX!$B$71:$K$71)</f>
        <v>45.9044886363637</v>
      </c>
      <c r="R3575" s="0" t="n">
        <f aca="false">SUMPRODUCT(MMULT(G3575:P3575,_XtX!$B$58:$K$67),G3575:P3575)</f>
        <v>0.469424715909091</v>
      </c>
      <c r="S3575" s="0" t="n">
        <f aca="false">04_回帰ANOVA!$K$19*04_回帰ANOVA!$K$14*SQRT(1+R3575)</f>
        <v>1.12704253369596</v>
      </c>
      <c r="T3575" s="0" t="n">
        <f aca="false">Q3575-S3575</f>
        <v>44.7774461026677</v>
      </c>
      <c r="U3575" s="0" t="n">
        <f aca="false">Q3575+S3575</f>
        <v>47.0315311700596</v>
      </c>
      <c r="V3575" s="54" t="b">
        <f aca="false">AND(D3575&gt;=01_因子設定!$L$5-0.000000001,D3575&lt;=01_因子設定!$M$5+0.000000001,E3575&gt;=01_因子設定!$L$6-0.000000001,E3575&lt;=01_因子設定!$M$6+0.000000001,F3575&gt;=01_因子設定!$L$7-0.000000001,F3575&lt;=01_因子設定!$M$7+0.000000001,IF(01_因子設定!$B$20="Box-Behnken",D3575^2+E3575^2+F3575^2&lt;=2+0.000000001,TRUE()))</f>
        <v>1</v>
      </c>
      <c r="W3575" s="55" t="n">
        <f aca="false">IF(V3575,IF(01_因子設定!$B$13="最大化",T3575-01_因子設定!$B$14,IF(01_因子設定!$B$13="最小化",01_因子設定!$B$15-U3575,MIN(T3575-01_因子設定!$B$14,01_因子設定!$B$15-U3575))),-1E+030)</f>
        <v>-3.7225538973323</v>
      </c>
      <c r="X3575" s="55" t="n">
        <f aca="false">IF(V3575,IF(01_因子設定!$B$13="最大化",Q3575,IF(01_因子設定!$B$13="最小化",-Q3575,-ABS(Q3575-01_因子設定!$B$16))),-1E+030)</f>
        <v>45.9044886363637</v>
      </c>
      <c r="Y3575" s="55" t="n">
        <f aca="false">W3575+ROW()*0.000000001</f>
        <v>-3.7225503223323</v>
      </c>
      <c r="Z3575" s="55" t="n">
        <f aca="false">X3575+ROW()*0.000000001</f>
        <v>45.9044922113637</v>
      </c>
    </row>
    <row r="3576" customFormat="false" ht="15" hidden="false" customHeight="false" outlineLevel="0" collapsed="false">
      <c r="A3576" s="0" t="n">
        <v>12</v>
      </c>
      <c r="B3576" s="0" t="n">
        <v>6</v>
      </c>
      <c r="C3576" s="0" t="n">
        <v>1</v>
      </c>
      <c r="D3576" s="0" t="n">
        <f aca="false">-1+A3576*0.125</f>
        <v>0.5</v>
      </c>
      <c r="E3576" s="0" t="n">
        <f aca="false">-1+B3576*0.125</f>
        <v>-0.25</v>
      </c>
      <c r="F3576" s="0" t="n">
        <f aca="false">-1+C3576*0.125</f>
        <v>-0.875</v>
      </c>
      <c r="G3576" s="0" t="n">
        <f aca="false">1</f>
        <v>1</v>
      </c>
      <c r="H3576" s="0" t="n">
        <f aca="false">D3576</f>
        <v>0.5</v>
      </c>
      <c r="I3576" s="0" t="n">
        <f aca="false">E3576</f>
        <v>-0.25</v>
      </c>
      <c r="J3576" s="0" t="n">
        <f aca="false">F3576</f>
        <v>-0.875</v>
      </c>
      <c r="K3576" s="0" t="n">
        <f aca="false">D3576*E3576</f>
        <v>-0.125</v>
      </c>
      <c r="L3576" s="0" t="n">
        <f aca="false">D3576*F3576</f>
        <v>-0.4375</v>
      </c>
      <c r="M3576" s="0" t="n">
        <f aca="false">E3576*F3576</f>
        <v>0.21875</v>
      </c>
      <c r="N3576" s="0" t="n">
        <f aca="false">D3576*D3576</f>
        <v>0.25</v>
      </c>
      <c r="O3576" s="0" t="n">
        <f aca="false">E3576*E3576</f>
        <v>0.0625</v>
      </c>
      <c r="P3576" s="0" t="n">
        <f aca="false">F3576*F3576</f>
        <v>0.765625</v>
      </c>
      <c r="Q3576" s="0" t="n">
        <f aca="false">SUMPRODUCT(G3576:P3576,_XtX!$B$71:$K$71)</f>
        <v>46.3294744318182</v>
      </c>
      <c r="R3576" s="0" t="n">
        <f aca="false">SUMPRODUCT(MMULT(G3576:P3576,_XtX!$B$58:$K$67),G3576:P3576)</f>
        <v>0.327634499289773</v>
      </c>
      <c r="S3576" s="0" t="n">
        <f aca="false">04_回帰ANOVA!$K$19*04_回帰ANOVA!$K$14*SQRT(1+R3576)</f>
        <v>1.07128716250217</v>
      </c>
      <c r="T3576" s="0" t="n">
        <f aca="false">Q3576-S3576</f>
        <v>45.258187269316</v>
      </c>
      <c r="U3576" s="0" t="n">
        <f aca="false">Q3576+S3576</f>
        <v>47.4007615943204</v>
      </c>
      <c r="V3576" s="54" t="b">
        <f aca="false">AND(D3576&gt;=01_因子設定!$L$5-0.000000001,D3576&lt;=01_因子設定!$M$5+0.000000001,E3576&gt;=01_因子設定!$L$6-0.000000001,E3576&lt;=01_因子設定!$M$6+0.000000001,F3576&gt;=01_因子設定!$L$7-0.000000001,F3576&lt;=01_因子設定!$M$7+0.000000001,IF(01_因子設定!$B$20="Box-Behnken",D3576^2+E3576^2+F3576^2&lt;=2+0.000000001,TRUE()))</f>
        <v>1</v>
      </c>
      <c r="W3576" s="55" t="n">
        <f aca="false">IF(V3576,IF(01_因子設定!$B$13="最大化",T3576-01_因子設定!$B$14,IF(01_因子設定!$B$13="最小化",01_因子設定!$B$15-U3576,MIN(T3576-01_因子設定!$B$14,01_因子設定!$B$15-U3576))),-1E+030)</f>
        <v>-3.24181273068398</v>
      </c>
      <c r="X3576" s="55" t="n">
        <f aca="false">IF(V3576,IF(01_因子設定!$B$13="最大化",Q3576,IF(01_因子設定!$B$13="最小化",-Q3576,-ABS(Q3576-01_因子設定!$B$16))),-1E+030)</f>
        <v>46.3294744318182</v>
      </c>
      <c r="Y3576" s="55" t="n">
        <f aca="false">W3576+ROW()*0.000000001</f>
        <v>-3.24180915468398</v>
      </c>
      <c r="Z3576" s="55" t="n">
        <f aca="false">X3576+ROW()*0.000000001</f>
        <v>46.3294780078182</v>
      </c>
    </row>
    <row r="3577" customFormat="false" ht="15" hidden="false" customHeight="false" outlineLevel="0" collapsed="false">
      <c r="A3577" s="0" t="n">
        <v>12</v>
      </c>
      <c r="B3577" s="0" t="n">
        <v>6</v>
      </c>
      <c r="C3577" s="0" t="n">
        <v>2</v>
      </c>
      <c r="D3577" s="0" t="n">
        <f aca="false">-1+A3577*0.125</f>
        <v>0.5</v>
      </c>
      <c r="E3577" s="0" t="n">
        <f aca="false">-1+B3577*0.125</f>
        <v>-0.25</v>
      </c>
      <c r="F3577" s="0" t="n">
        <f aca="false">-1+C3577*0.125</f>
        <v>-0.75</v>
      </c>
      <c r="G3577" s="0" t="n">
        <f aca="false">1</f>
        <v>1</v>
      </c>
      <c r="H3577" s="0" t="n">
        <f aca="false">D3577</f>
        <v>0.5</v>
      </c>
      <c r="I3577" s="0" t="n">
        <f aca="false">E3577</f>
        <v>-0.25</v>
      </c>
      <c r="J3577" s="0" t="n">
        <f aca="false">F3577</f>
        <v>-0.75</v>
      </c>
      <c r="K3577" s="0" t="n">
        <f aca="false">D3577*E3577</f>
        <v>-0.125</v>
      </c>
      <c r="L3577" s="0" t="n">
        <f aca="false">D3577*F3577</f>
        <v>-0.375</v>
      </c>
      <c r="M3577" s="0" t="n">
        <f aca="false">E3577*F3577</f>
        <v>0.1875</v>
      </c>
      <c r="N3577" s="0" t="n">
        <f aca="false">D3577*D3577</f>
        <v>0.25</v>
      </c>
      <c r="O3577" s="0" t="n">
        <f aca="false">E3577*E3577</f>
        <v>0.0625</v>
      </c>
      <c r="P3577" s="0" t="n">
        <f aca="false">F3577*F3577</f>
        <v>0.5625</v>
      </c>
      <c r="Q3577" s="0" t="n">
        <f aca="false">SUMPRODUCT(G3577:P3577,_XtX!$B$71:$K$71)</f>
        <v>46.7176704545455</v>
      </c>
      <c r="R3577" s="0" t="n">
        <f aca="false">SUMPRODUCT(MMULT(G3577:P3577,_XtX!$B$58:$K$67),G3577:P3577)</f>
        <v>0.237064985795455</v>
      </c>
      <c r="S3577" s="0" t="n">
        <f aca="false">04_回帰ANOVA!$K$19*04_回帰ANOVA!$K$14*SQRT(1+R3577)</f>
        <v>1.03410084594745</v>
      </c>
      <c r="T3577" s="0" t="n">
        <f aca="false">Q3577-S3577</f>
        <v>45.683569608598</v>
      </c>
      <c r="U3577" s="0" t="n">
        <f aca="false">Q3577+S3577</f>
        <v>47.7517713004929</v>
      </c>
      <c r="V3577" s="54" t="b">
        <f aca="false">AND(D3577&gt;=01_因子設定!$L$5-0.000000001,D3577&lt;=01_因子設定!$M$5+0.000000001,E3577&gt;=01_因子設定!$L$6-0.000000001,E3577&lt;=01_因子設定!$M$6+0.000000001,F3577&gt;=01_因子設定!$L$7-0.000000001,F3577&lt;=01_因子設定!$M$7+0.000000001,IF(01_因子設定!$B$20="Box-Behnken",D3577^2+E3577^2+F3577^2&lt;=2+0.000000001,TRUE()))</f>
        <v>1</v>
      </c>
      <c r="W3577" s="55" t="n">
        <f aca="false">IF(V3577,IF(01_因子設定!$B$13="最大化",T3577-01_因子設定!$B$14,IF(01_因子設定!$B$13="最小化",01_因子設定!$B$15-U3577,MIN(T3577-01_因子設定!$B$14,01_因子設定!$B$15-U3577))),-1E+030)</f>
        <v>-2.81643039140197</v>
      </c>
      <c r="X3577" s="55" t="n">
        <f aca="false">IF(V3577,IF(01_因子設定!$B$13="最大化",Q3577,IF(01_因子設定!$B$13="最小化",-Q3577,-ABS(Q3577-01_因子設定!$B$16))),-1E+030)</f>
        <v>46.7176704545455</v>
      </c>
      <c r="Y3577" s="55" t="n">
        <f aca="false">W3577+ROW()*0.000000001</f>
        <v>-2.81642681440197</v>
      </c>
      <c r="Z3577" s="55" t="n">
        <f aca="false">X3577+ROW()*0.000000001</f>
        <v>46.7176740315455</v>
      </c>
    </row>
    <row r="3578" customFormat="false" ht="15" hidden="false" customHeight="false" outlineLevel="0" collapsed="false">
      <c r="A3578" s="0" t="n">
        <v>12</v>
      </c>
      <c r="B3578" s="0" t="n">
        <v>6</v>
      </c>
      <c r="C3578" s="0" t="n">
        <v>3</v>
      </c>
      <c r="D3578" s="0" t="n">
        <f aca="false">-1+A3578*0.125</f>
        <v>0.5</v>
      </c>
      <c r="E3578" s="0" t="n">
        <f aca="false">-1+B3578*0.125</f>
        <v>-0.25</v>
      </c>
      <c r="F3578" s="0" t="n">
        <f aca="false">-1+C3578*0.125</f>
        <v>-0.625</v>
      </c>
      <c r="G3578" s="0" t="n">
        <f aca="false">1</f>
        <v>1</v>
      </c>
      <c r="H3578" s="0" t="n">
        <f aca="false">D3578</f>
        <v>0.5</v>
      </c>
      <c r="I3578" s="0" t="n">
        <f aca="false">E3578</f>
        <v>-0.25</v>
      </c>
      <c r="J3578" s="0" t="n">
        <f aca="false">F3578</f>
        <v>-0.625</v>
      </c>
      <c r="K3578" s="0" t="n">
        <f aca="false">D3578*E3578</f>
        <v>-0.125</v>
      </c>
      <c r="L3578" s="0" t="n">
        <f aca="false">D3578*F3578</f>
        <v>-0.3125</v>
      </c>
      <c r="M3578" s="0" t="n">
        <f aca="false">E3578*F3578</f>
        <v>0.15625</v>
      </c>
      <c r="N3578" s="0" t="n">
        <f aca="false">D3578*D3578</f>
        <v>0.25</v>
      </c>
      <c r="O3578" s="0" t="n">
        <f aca="false">E3578*E3578</f>
        <v>0.0625</v>
      </c>
      <c r="P3578" s="0" t="n">
        <f aca="false">F3578*F3578</f>
        <v>0.390625</v>
      </c>
      <c r="Q3578" s="0" t="n">
        <f aca="false">SUMPRODUCT(G3578:P3578,_XtX!$B$71:$K$71)</f>
        <v>47.0690767045455</v>
      </c>
      <c r="R3578" s="0" t="n">
        <f aca="false">SUMPRODUCT(MMULT(G3578:P3578,_XtX!$B$58:$K$67),G3578:P3578)</f>
        <v>0.183866743607955</v>
      </c>
      <c r="S3578" s="0" t="n">
        <f aca="false">04_回帰ANOVA!$K$19*04_回帰ANOVA!$K$14*SQRT(1+R3578)</f>
        <v>1.01162148983013</v>
      </c>
      <c r="T3578" s="0" t="n">
        <f aca="false">Q3578-S3578</f>
        <v>46.0574552147153</v>
      </c>
      <c r="U3578" s="0" t="n">
        <f aca="false">Q3578+S3578</f>
        <v>48.0806981943756</v>
      </c>
      <c r="V3578" s="54" t="b">
        <f aca="false">AND(D3578&gt;=01_因子設定!$L$5-0.000000001,D3578&lt;=01_因子設定!$M$5+0.000000001,E3578&gt;=01_因子設定!$L$6-0.000000001,E3578&lt;=01_因子設定!$M$6+0.000000001,F3578&gt;=01_因子設定!$L$7-0.000000001,F3578&lt;=01_因子設定!$M$7+0.000000001,IF(01_因子設定!$B$20="Box-Behnken",D3578^2+E3578^2+F3578^2&lt;=2+0.000000001,TRUE()))</f>
        <v>1</v>
      </c>
      <c r="W3578" s="55" t="n">
        <f aca="false">IF(V3578,IF(01_因子設定!$B$13="最大化",T3578-01_因子設定!$B$14,IF(01_因子設定!$B$13="最小化",01_因子設定!$B$15-U3578,MIN(T3578-01_因子設定!$B$14,01_因子設定!$B$15-U3578))),-1E+030)</f>
        <v>-2.44254478528467</v>
      </c>
      <c r="X3578" s="55" t="n">
        <f aca="false">IF(V3578,IF(01_因子設定!$B$13="最大化",Q3578,IF(01_因子設定!$B$13="最小化",-Q3578,-ABS(Q3578-01_因子設定!$B$16))),-1E+030)</f>
        <v>47.0690767045455</v>
      </c>
      <c r="Y3578" s="55" t="n">
        <f aca="false">W3578+ROW()*0.000000001</f>
        <v>-2.44254120728467</v>
      </c>
      <c r="Z3578" s="55" t="n">
        <f aca="false">X3578+ROW()*0.000000001</f>
        <v>47.0690802825455</v>
      </c>
    </row>
    <row r="3579" customFormat="false" ht="15" hidden="false" customHeight="false" outlineLevel="0" collapsed="false">
      <c r="A3579" s="0" t="n">
        <v>12</v>
      </c>
      <c r="B3579" s="0" t="n">
        <v>6</v>
      </c>
      <c r="C3579" s="0" t="n">
        <v>4</v>
      </c>
      <c r="D3579" s="0" t="n">
        <f aca="false">-1+A3579*0.125</f>
        <v>0.5</v>
      </c>
      <c r="E3579" s="0" t="n">
        <f aca="false">-1+B3579*0.125</f>
        <v>-0.25</v>
      </c>
      <c r="F3579" s="0" t="n">
        <f aca="false">-1+C3579*0.125</f>
        <v>-0.5</v>
      </c>
      <c r="G3579" s="0" t="n">
        <f aca="false">1</f>
        <v>1</v>
      </c>
      <c r="H3579" s="0" t="n">
        <f aca="false">D3579</f>
        <v>0.5</v>
      </c>
      <c r="I3579" s="0" t="n">
        <f aca="false">E3579</f>
        <v>-0.25</v>
      </c>
      <c r="J3579" s="0" t="n">
        <f aca="false">F3579</f>
        <v>-0.5</v>
      </c>
      <c r="K3579" s="0" t="n">
        <f aca="false">D3579*E3579</f>
        <v>-0.125</v>
      </c>
      <c r="L3579" s="0" t="n">
        <f aca="false">D3579*F3579</f>
        <v>-0.25</v>
      </c>
      <c r="M3579" s="0" t="n">
        <f aca="false">E3579*F3579</f>
        <v>0.125</v>
      </c>
      <c r="N3579" s="0" t="n">
        <f aca="false">D3579*D3579</f>
        <v>0.25</v>
      </c>
      <c r="O3579" s="0" t="n">
        <f aca="false">E3579*E3579</f>
        <v>0.0625</v>
      </c>
      <c r="P3579" s="0" t="n">
        <f aca="false">F3579*F3579</f>
        <v>0.25</v>
      </c>
      <c r="Q3579" s="0" t="n">
        <f aca="false">SUMPRODUCT(G3579:P3579,_XtX!$B$71:$K$71)</f>
        <v>47.3836931818182</v>
      </c>
      <c r="R3579" s="0" t="n">
        <f aca="false">SUMPRODUCT(MMULT(G3579:P3579,_XtX!$B$58:$K$67),G3579:P3579)</f>
        <v>0.156321022727273</v>
      </c>
      <c r="S3579" s="0" t="n">
        <f aca="false">04_回帰ANOVA!$K$19*04_回帰ANOVA!$K$14*SQRT(1+R3579)</f>
        <v>0.999783227753172</v>
      </c>
      <c r="T3579" s="0" t="n">
        <f aca="false">Q3579-S3579</f>
        <v>46.383909954065</v>
      </c>
      <c r="U3579" s="0" t="n">
        <f aca="false">Q3579+S3579</f>
        <v>48.3834764095714</v>
      </c>
      <c r="V3579" s="54" t="b">
        <f aca="false">AND(D3579&gt;=01_因子設定!$L$5-0.000000001,D3579&lt;=01_因子設定!$M$5+0.000000001,E3579&gt;=01_因子設定!$L$6-0.000000001,E3579&lt;=01_因子設定!$M$6+0.000000001,F3579&gt;=01_因子設定!$L$7-0.000000001,F3579&lt;=01_因子設定!$M$7+0.000000001,IF(01_因子設定!$B$20="Box-Behnken",D3579^2+E3579^2+F3579^2&lt;=2+0.000000001,TRUE()))</f>
        <v>1</v>
      </c>
      <c r="W3579" s="55" t="n">
        <f aca="false">IF(V3579,IF(01_因子設定!$B$13="最大化",T3579-01_因子設定!$B$14,IF(01_因子設定!$B$13="最小化",01_因子設定!$B$15-U3579,MIN(T3579-01_因子設定!$B$14,01_因子設定!$B$15-U3579))),-1E+030)</f>
        <v>-2.11609004593498</v>
      </c>
      <c r="X3579" s="55" t="n">
        <f aca="false">IF(V3579,IF(01_因子設定!$B$13="最大化",Q3579,IF(01_因子設定!$B$13="最小化",-Q3579,-ABS(Q3579-01_因子設定!$B$16))),-1E+030)</f>
        <v>47.3836931818182</v>
      </c>
      <c r="Y3579" s="55" t="n">
        <f aca="false">W3579+ROW()*0.000000001</f>
        <v>-2.11608646693498</v>
      </c>
      <c r="Z3579" s="55" t="n">
        <f aca="false">X3579+ROW()*0.000000001</f>
        <v>47.3836967608182</v>
      </c>
    </row>
    <row r="3580" customFormat="false" ht="15" hidden="false" customHeight="false" outlineLevel="0" collapsed="false">
      <c r="A3580" s="0" t="n">
        <v>12</v>
      </c>
      <c r="B3580" s="0" t="n">
        <v>6</v>
      </c>
      <c r="C3580" s="0" t="n">
        <v>5</v>
      </c>
      <c r="D3580" s="0" t="n">
        <f aca="false">-1+A3580*0.125</f>
        <v>0.5</v>
      </c>
      <c r="E3580" s="0" t="n">
        <f aca="false">-1+B3580*0.125</f>
        <v>-0.25</v>
      </c>
      <c r="F3580" s="0" t="n">
        <f aca="false">-1+C3580*0.125</f>
        <v>-0.375</v>
      </c>
      <c r="G3580" s="0" t="n">
        <f aca="false">1</f>
        <v>1</v>
      </c>
      <c r="H3580" s="0" t="n">
        <f aca="false">D3580</f>
        <v>0.5</v>
      </c>
      <c r="I3580" s="0" t="n">
        <f aca="false">E3580</f>
        <v>-0.25</v>
      </c>
      <c r="J3580" s="0" t="n">
        <f aca="false">F3580</f>
        <v>-0.375</v>
      </c>
      <c r="K3580" s="0" t="n">
        <f aca="false">D3580*E3580</f>
        <v>-0.125</v>
      </c>
      <c r="L3580" s="0" t="n">
        <f aca="false">D3580*F3580</f>
        <v>-0.1875</v>
      </c>
      <c r="M3580" s="0" t="n">
        <f aca="false">E3580*F3580</f>
        <v>0.09375</v>
      </c>
      <c r="N3580" s="0" t="n">
        <f aca="false">D3580*D3580</f>
        <v>0.25</v>
      </c>
      <c r="O3580" s="0" t="n">
        <f aca="false">E3580*E3580</f>
        <v>0.0625</v>
      </c>
      <c r="P3580" s="0" t="n">
        <f aca="false">F3580*F3580</f>
        <v>0.140625</v>
      </c>
      <c r="Q3580" s="0" t="n">
        <f aca="false">SUMPRODUCT(G3580:P3580,_XtX!$B$71:$K$71)</f>
        <v>47.6615198863636</v>
      </c>
      <c r="R3580" s="0" t="n">
        <f aca="false">SUMPRODUCT(MMULT(G3580:P3580,_XtX!$B$58:$K$67),G3580:P3580)</f>
        <v>0.144839754971591</v>
      </c>
      <c r="S3580" s="0" t="n">
        <f aca="false">04_回帰ANOVA!$K$19*04_回帰ANOVA!$K$14*SQRT(1+R3580)</f>
        <v>0.994807353995542</v>
      </c>
      <c r="T3580" s="0" t="n">
        <f aca="false">Q3580-S3580</f>
        <v>46.6667125323681</v>
      </c>
      <c r="U3580" s="0" t="n">
        <f aca="false">Q3580+S3580</f>
        <v>48.6563272403592</v>
      </c>
      <c r="V3580" s="54" t="b">
        <f aca="false">AND(D3580&gt;=01_因子設定!$L$5-0.000000001,D3580&lt;=01_因子設定!$M$5+0.000000001,E3580&gt;=01_因子設定!$L$6-0.000000001,E3580&lt;=01_因子設定!$M$6+0.000000001,F3580&gt;=01_因子設定!$L$7-0.000000001,F3580&lt;=01_因子設定!$M$7+0.000000001,IF(01_因子設定!$B$20="Box-Behnken",D3580^2+E3580^2+F3580^2&lt;=2+0.000000001,TRUE()))</f>
        <v>1</v>
      </c>
      <c r="W3580" s="55" t="n">
        <f aca="false">IF(V3580,IF(01_因子設定!$B$13="最大化",T3580-01_因子設定!$B$14,IF(01_因子設定!$B$13="最小化",01_因子設定!$B$15-U3580,MIN(T3580-01_因子設定!$B$14,01_因子設定!$B$15-U3580))),-1E+030)</f>
        <v>-1.8332874676319</v>
      </c>
      <c r="X3580" s="55" t="n">
        <f aca="false">IF(V3580,IF(01_因子設定!$B$13="最大化",Q3580,IF(01_因子設定!$B$13="最小化",-Q3580,-ABS(Q3580-01_因子設定!$B$16))),-1E+030)</f>
        <v>47.6615198863636</v>
      </c>
      <c r="Y3580" s="55" t="n">
        <f aca="false">W3580+ROW()*0.000000001</f>
        <v>-1.8332838876319</v>
      </c>
      <c r="Z3580" s="55" t="n">
        <f aca="false">X3580+ROW()*0.000000001</f>
        <v>47.6615234663636</v>
      </c>
    </row>
    <row r="3581" customFormat="false" ht="15" hidden="false" customHeight="false" outlineLevel="0" collapsed="false">
      <c r="A3581" s="0" t="n">
        <v>12</v>
      </c>
      <c r="B3581" s="0" t="n">
        <v>6</v>
      </c>
      <c r="C3581" s="0" t="n">
        <v>6</v>
      </c>
      <c r="D3581" s="0" t="n">
        <f aca="false">-1+A3581*0.125</f>
        <v>0.5</v>
      </c>
      <c r="E3581" s="0" t="n">
        <f aca="false">-1+B3581*0.125</f>
        <v>-0.25</v>
      </c>
      <c r="F3581" s="0" t="n">
        <f aca="false">-1+C3581*0.125</f>
        <v>-0.25</v>
      </c>
      <c r="G3581" s="0" t="n">
        <f aca="false">1</f>
        <v>1</v>
      </c>
      <c r="H3581" s="0" t="n">
        <f aca="false">D3581</f>
        <v>0.5</v>
      </c>
      <c r="I3581" s="0" t="n">
        <f aca="false">E3581</f>
        <v>-0.25</v>
      </c>
      <c r="J3581" s="0" t="n">
        <f aca="false">F3581</f>
        <v>-0.25</v>
      </c>
      <c r="K3581" s="0" t="n">
        <f aca="false">D3581*E3581</f>
        <v>-0.125</v>
      </c>
      <c r="L3581" s="0" t="n">
        <f aca="false">D3581*F3581</f>
        <v>-0.125</v>
      </c>
      <c r="M3581" s="0" t="n">
        <f aca="false">E3581*F3581</f>
        <v>0.0625</v>
      </c>
      <c r="N3581" s="0" t="n">
        <f aca="false">D3581*D3581</f>
        <v>0.25</v>
      </c>
      <c r="O3581" s="0" t="n">
        <f aca="false">E3581*E3581</f>
        <v>0.0625</v>
      </c>
      <c r="P3581" s="0" t="n">
        <f aca="false">F3581*F3581</f>
        <v>0.0625</v>
      </c>
      <c r="Q3581" s="0" t="n">
        <f aca="false">SUMPRODUCT(G3581:P3581,_XtX!$B$71:$K$71)</f>
        <v>47.9025568181818</v>
      </c>
      <c r="R3581" s="0" t="n">
        <f aca="false">SUMPRODUCT(MMULT(G3581:P3581,_XtX!$B$58:$K$67),G3581:P3581)</f>
        <v>0.141965553977273</v>
      </c>
      <c r="S3581" s="0" t="n">
        <f aca="false">04_回帰ANOVA!$K$19*04_回帰ANOVA!$K$14*SQRT(1+R3581)</f>
        <v>0.993557802198625</v>
      </c>
      <c r="T3581" s="0" t="n">
        <f aca="false">Q3581-S3581</f>
        <v>46.9089990159832</v>
      </c>
      <c r="U3581" s="0" t="n">
        <f aca="false">Q3581+S3581</f>
        <v>48.8961146203804</v>
      </c>
      <c r="V3581" s="54" t="b">
        <f aca="false">AND(D3581&gt;=01_因子設定!$L$5-0.000000001,D3581&lt;=01_因子設定!$M$5+0.000000001,E3581&gt;=01_因子設定!$L$6-0.000000001,E3581&lt;=01_因子設定!$M$6+0.000000001,F3581&gt;=01_因子設定!$L$7-0.000000001,F3581&lt;=01_因子設定!$M$7+0.000000001,IF(01_因子設定!$B$20="Box-Behnken",D3581^2+E3581^2+F3581^2&lt;=2+0.000000001,TRUE()))</f>
        <v>1</v>
      </c>
      <c r="W3581" s="55" t="n">
        <f aca="false">IF(V3581,IF(01_因子設定!$B$13="最大化",T3581-01_因子設定!$B$14,IF(01_因子設定!$B$13="最小化",01_因子設定!$B$15-U3581,MIN(T3581-01_因子設定!$B$14,01_因子設定!$B$15-U3581))),-1E+030)</f>
        <v>-1.5910009840168</v>
      </c>
      <c r="X3581" s="55" t="n">
        <f aca="false">IF(V3581,IF(01_因子設定!$B$13="最大化",Q3581,IF(01_因子設定!$B$13="最小化",-Q3581,-ABS(Q3581-01_因子設定!$B$16))),-1E+030)</f>
        <v>47.9025568181818</v>
      </c>
      <c r="Y3581" s="55" t="n">
        <f aca="false">W3581+ROW()*0.000000001</f>
        <v>-1.5909974030168</v>
      </c>
      <c r="Z3581" s="55" t="n">
        <f aca="false">X3581+ROW()*0.000000001</f>
        <v>47.9025603991818</v>
      </c>
    </row>
    <row r="3582" customFormat="false" ht="15" hidden="false" customHeight="false" outlineLevel="0" collapsed="false">
      <c r="A3582" s="0" t="n">
        <v>12</v>
      </c>
      <c r="B3582" s="0" t="n">
        <v>6</v>
      </c>
      <c r="C3582" s="0" t="n">
        <v>7</v>
      </c>
      <c r="D3582" s="0" t="n">
        <f aca="false">-1+A3582*0.125</f>
        <v>0.5</v>
      </c>
      <c r="E3582" s="0" t="n">
        <f aca="false">-1+B3582*0.125</f>
        <v>-0.25</v>
      </c>
      <c r="F3582" s="0" t="n">
        <f aca="false">-1+C3582*0.125</f>
        <v>-0.125</v>
      </c>
      <c r="G3582" s="0" t="n">
        <f aca="false">1</f>
        <v>1</v>
      </c>
      <c r="H3582" s="0" t="n">
        <f aca="false">D3582</f>
        <v>0.5</v>
      </c>
      <c r="I3582" s="0" t="n">
        <f aca="false">E3582</f>
        <v>-0.25</v>
      </c>
      <c r="J3582" s="0" t="n">
        <f aca="false">F3582</f>
        <v>-0.125</v>
      </c>
      <c r="K3582" s="0" t="n">
        <f aca="false">D3582*E3582</f>
        <v>-0.125</v>
      </c>
      <c r="L3582" s="0" t="n">
        <f aca="false">D3582*F3582</f>
        <v>-0.0625</v>
      </c>
      <c r="M3582" s="0" t="n">
        <f aca="false">E3582*F3582</f>
        <v>0.03125</v>
      </c>
      <c r="N3582" s="0" t="n">
        <f aca="false">D3582*D3582</f>
        <v>0.25</v>
      </c>
      <c r="O3582" s="0" t="n">
        <f aca="false">E3582*E3582</f>
        <v>0.0625</v>
      </c>
      <c r="P3582" s="0" t="n">
        <f aca="false">F3582*F3582</f>
        <v>0.015625</v>
      </c>
      <c r="Q3582" s="0" t="n">
        <f aca="false">SUMPRODUCT(G3582:P3582,_XtX!$B$71:$K$71)</f>
        <v>48.1068039772727</v>
      </c>
      <c r="R3582" s="0" t="n">
        <f aca="false">SUMPRODUCT(MMULT(G3582:P3582,_XtX!$B$58:$K$67),G3582:P3582)</f>
        <v>0.142371715198864</v>
      </c>
      <c r="S3582" s="0" t="n">
        <f aca="false">04_回帰ANOVA!$K$19*04_回帰ANOVA!$K$14*SQRT(1+R3582)</f>
        <v>0.99373447511735</v>
      </c>
      <c r="T3582" s="0" t="n">
        <f aca="false">Q3582-S3582</f>
        <v>47.1130695021554</v>
      </c>
      <c r="U3582" s="0" t="n">
        <f aca="false">Q3582+S3582</f>
        <v>49.1005384523901</v>
      </c>
      <c r="V3582" s="54" t="b">
        <f aca="false">AND(D3582&gt;=01_因子設定!$L$5-0.000000001,D3582&lt;=01_因子設定!$M$5+0.000000001,E3582&gt;=01_因子設定!$L$6-0.000000001,E3582&lt;=01_因子設定!$M$6+0.000000001,F3582&gt;=01_因子設定!$L$7-0.000000001,F3582&lt;=01_因子設定!$M$7+0.000000001,IF(01_因子設定!$B$20="Box-Behnken",D3582^2+E3582^2+F3582^2&lt;=2+0.000000001,TRUE()))</f>
        <v>1</v>
      </c>
      <c r="W3582" s="55" t="n">
        <f aca="false">IF(V3582,IF(01_因子設定!$B$13="最大化",T3582-01_因子設定!$B$14,IF(01_因子設定!$B$13="最小化",01_因子設定!$B$15-U3582,MIN(T3582-01_因子設定!$B$14,01_因子設定!$B$15-U3582))),-1E+030)</f>
        <v>-1.38693049784462</v>
      </c>
      <c r="X3582" s="55" t="n">
        <f aca="false">IF(V3582,IF(01_因子設定!$B$13="最大化",Q3582,IF(01_因子設定!$B$13="最小化",-Q3582,-ABS(Q3582-01_因子設定!$B$16))),-1E+030)</f>
        <v>48.1068039772727</v>
      </c>
      <c r="Y3582" s="55" t="n">
        <f aca="false">W3582+ROW()*0.000000001</f>
        <v>-1.38692691584462</v>
      </c>
      <c r="Z3582" s="55" t="n">
        <f aca="false">X3582+ROW()*0.000000001</f>
        <v>48.1068075592727</v>
      </c>
    </row>
    <row r="3583" customFormat="false" ht="15" hidden="false" customHeight="false" outlineLevel="0" collapsed="false">
      <c r="A3583" s="0" t="n">
        <v>12</v>
      </c>
      <c r="B3583" s="0" t="n">
        <v>6</v>
      </c>
      <c r="C3583" s="0" t="n">
        <v>8</v>
      </c>
      <c r="D3583" s="0" t="n">
        <f aca="false">-1+A3583*0.125</f>
        <v>0.5</v>
      </c>
      <c r="E3583" s="0" t="n">
        <f aca="false">-1+B3583*0.125</f>
        <v>-0.25</v>
      </c>
      <c r="F3583" s="0" t="n">
        <f aca="false">-1+C3583*0.125</f>
        <v>0</v>
      </c>
      <c r="G3583" s="0" t="n">
        <f aca="false">1</f>
        <v>1</v>
      </c>
      <c r="H3583" s="0" t="n">
        <f aca="false">D3583</f>
        <v>0.5</v>
      </c>
      <c r="I3583" s="0" t="n">
        <f aca="false">E3583</f>
        <v>-0.25</v>
      </c>
      <c r="J3583" s="0" t="n">
        <f aca="false">F3583</f>
        <v>0</v>
      </c>
      <c r="K3583" s="0" t="n">
        <f aca="false">D3583*E3583</f>
        <v>-0.125</v>
      </c>
      <c r="L3583" s="0" t="n">
        <f aca="false">D3583*F3583</f>
        <v>0</v>
      </c>
      <c r="M3583" s="0" t="n">
        <f aca="false">E3583*F3583</f>
        <v>-0</v>
      </c>
      <c r="N3583" s="0" t="n">
        <f aca="false">D3583*D3583</f>
        <v>0.25</v>
      </c>
      <c r="O3583" s="0" t="n">
        <f aca="false">E3583*E3583</f>
        <v>0.0625</v>
      </c>
      <c r="P3583" s="0" t="n">
        <f aca="false">F3583*F3583</f>
        <v>0</v>
      </c>
      <c r="Q3583" s="0" t="n">
        <f aca="false">SUMPRODUCT(G3583:P3583,_XtX!$B$71:$K$71)</f>
        <v>48.2742613636364</v>
      </c>
      <c r="R3583" s="0" t="n">
        <f aca="false">SUMPRODUCT(MMULT(G3583:P3583,_XtX!$B$58:$K$67),G3583:P3583)</f>
        <v>0.142862215909091</v>
      </c>
      <c r="S3583" s="0" t="n">
        <f aca="false">04_回帰ANOVA!$K$19*04_回帰ANOVA!$K$14*SQRT(1+R3583)</f>
        <v>0.993947792354123</v>
      </c>
      <c r="T3583" s="0" t="n">
        <f aca="false">Q3583-S3583</f>
        <v>47.2803135712823</v>
      </c>
      <c r="U3583" s="0" t="n">
        <f aca="false">Q3583+S3583</f>
        <v>49.2682091559905</v>
      </c>
      <c r="V3583" s="54" t="b">
        <f aca="false">AND(D3583&gt;=01_因子設定!$L$5-0.000000001,D3583&lt;=01_因子設定!$M$5+0.000000001,E3583&gt;=01_因子設定!$L$6-0.000000001,E3583&lt;=01_因子設定!$M$6+0.000000001,F3583&gt;=01_因子設定!$L$7-0.000000001,F3583&lt;=01_因子設定!$M$7+0.000000001,IF(01_因子設定!$B$20="Box-Behnken",D3583^2+E3583^2+F3583^2&lt;=2+0.000000001,TRUE()))</f>
        <v>1</v>
      </c>
      <c r="W3583" s="55" t="n">
        <f aca="false">IF(V3583,IF(01_因子設定!$B$13="最大化",T3583-01_因子設定!$B$14,IF(01_因子設定!$B$13="最小化",01_因子設定!$B$15-U3583,MIN(T3583-01_因子設定!$B$14,01_因子設定!$B$15-U3583))),-1E+030)</f>
        <v>-1.21968642871775</v>
      </c>
      <c r="X3583" s="55" t="n">
        <f aca="false">IF(V3583,IF(01_因子設定!$B$13="最大化",Q3583,IF(01_因子設定!$B$13="最小化",-Q3583,-ABS(Q3583-01_因子設定!$B$16))),-1E+030)</f>
        <v>48.2742613636364</v>
      </c>
      <c r="Y3583" s="55" t="n">
        <f aca="false">W3583+ROW()*0.000000001</f>
        <v>-1.21968284571775</v>
      </c>
      <c r="Z3583" s="55" t="n">
        <f aca="false">X3583+ROW()*0.000000001</f>
        <v>48.2742649466364</v>
      </c>
    </row>
    <row r="3584" customFormat="false" ht="15" hidden="false" customHeight="false" outlineLevel="0" collapsed="false">
      <c r="A3584" s="0" t="n">
        <v>12</v>
      </c>
      <c r="B3584" s="0" t="n">
        <v>6</v>
      </c>
      <c r="C3584" s="0" t="n">
        <v>9</v>
      </c>
      <c r="D3584" s="0" t="n">
        <f aca="false">-1+A3584*0.125</f>
        <v>0.5</v>
      </c>
      <c r="E3584" s="0" t="n">
        <f aca="false">-1+B3584*0.125</f>
        <v>-0.25</v>
      </c>
      <c r="F3584" s="0" t="n">
        <f aca="false">-1+C3584*0.125</f>
        <v>0.125</v>
      </c>
      <c r="G3584" s="0" t="n">
        <f aca="false">1</f>
        <v>1</v>
      </c>
      <c r="H3584" s="0" t="n">
        <f aca="false">D3584</f>
        <v>0.5</v>
      </c>
      <c r="I3584" s="0" t="n">
        <f aca="false">E3584</f>
        <v>-0.25</v>
      </c>
      <c r="J3584" s="0" t="n">
        <f aca="false">F3584</f>
        <v>0.125</v>
      </c>
      <c r="K3584" s="0" t="n">
        <f aca="false">D3584*E3584</f>
        <v>-0.125</v>
      </c>
      <c r="L3584" s="0" t="n">
        <f aca="false">D3584*F3584</f>
        <v>0.0625</v>
      </c>
      <c r="M3584" s="0" t="n">
        <f aca="false">E3584*F3584</f>
        <v>-0.03125</v>
      </c>
      <c r="N3584" s="0" t="n">
        <f aca="false">D3584*D3584</f>
        <v>0.25</v>
      </c>
      <c r="O3584" s="0" t="n">
        <f aca="false">E3584*E3584</f>
        <v>0.0625</v>
      </c>
      <c r="P3584" s="0" t="n">
        <f aca="false">F3584*F3584</f>
        <v>0.015625</v>
      </c>
      <c r="Q3584" s="0" t="n">
        <f aca="false">SUMPRODUCT(G3584:P3584,_XtX!$B$71:$K$71)</f>
        <v>48.4049289772727</v>
      </c>
      <c r="R3584" s="0" t="n">
        <f aca="false">SUMPRODUCT(MMULT(G3584:P3584,_XtX!$B$58:$K$67),G3584:P3584)</f>
        <v>0.142371715198864</v>
      </c>
      <c r="S3584" s="0" t="n">
        <f aca="false">04_回帰ANOVA!$K$19*04_回帰ANOVA!$K$14*SQRT(1+R3584)</f>
        <v>0.99373447511735</v>
      </c>
      <c r="T3584" s="0" t="n">
        <f aca="false">Q3584-S3584</f>
        <v>47.4111945021554</v>
      </c>
      <c r="U3584" s="0" t="n">
        <f aca="false">Q3584+S3584</f>
        <v>49.3986634523901</v>
      </c>
      <c r="V3584" s="54" t="b">
        <f aca="false">AND(D3584&gt;=01_因子設定!$L$5-0.000000001,D3584&lt;=01_因子設定!$M$5+0.000000001,E3584&gt;=01_因子設定!$L$6-0.000000001,E3584&lt;=01_因子設定!$M$6+0.000000001,F3584&gt;=01_因子設定!$L$7-0.000000001,F3584&lt;=01_因子設定!$M$7+0.000000001,IF(01_因子設定!$B$20="Box-Behnken",D3584^2+E3584^2+F3584^2&lt;=2+0.000000001,TRUE()))</f>
        <v>1</v>
      </c>
      <c r="W3584" s="55" t="n">
        <f aca="false">IF(V3584,IF(01_因子設定!$B$13="最大化",T3584-01_因子設定!$B$14,IF(01_因子設定!$B$13="最小化",01_因子設定!$B$15-U3584,MIN(T3584-01_因子設定!$B$14,01_因子設定!$B$15-U3584))),-1E+030)</f>
        <v>-1.08880549784462</v>
      </c>
      <c r="X3584" s="55" t="n">
        <f aca="false">IF(V3584,IF(01_因子設定!$B$13="最大化",Q3584,IF(01_因子設定!$B$13="最小化",-Q3584,-ABS(Q3584-01_因子設定!$B$16))),-1E+030)</f>
        <v>48.4049289772727</v>
      </c>
      <c r="Y3584" s="55" t="n">
        <f aca="false">W3584+ROW()*0.000000001</f>
        <v>-1.08880191384462</v>
      </c>
      <c r="Z3584" s="55" t="n">
        <f aca="false">X3584+ROW()*0.000000001</f>
        <v>48.4049325612727</v>
      </c>
    </row>
    <row r="3585" customFormat="false" ht="15" hidden="false" customHeight="false" outlineLevel="0" collapsed="false">
      <c r="A3585" s="0" t="n">
        <v>12</v>
      </c>
      <c r="B3585" s="0" t="n">
        <v>6</v>
      </c>
      <c r="C3585" s="0" t="n">
        <v>10</v>
      </c>
      <c r="D3585" s="0" t="n">
        <f aca="false">-1+A3585*0.125</f>
        <v>0.5</v>
      </c>
      <c r="E3585" s="0" t="n">
        <f aca="false">-1+B3585*0.125</f>
        <v>-0.25</v>
      </c>
      <c r="F3585" s="0" t="n">
        <f aca="false">-1+C3585*0.125</f>
        <v>0.25</v>
      </c>
      <c r="G3585" s="0" t="n">
        <f aca="false">1</f>
        <v>1</v>
      </c>
      <c r="H3585" s="0" t="n">
        <f aca="false">D3585</f>
        <v>0.5</v>
      </c>
      <c r="I3585" s="0" t="n">
        <f aca="false">E3585</f>
        <v>-0.25</v>
      </c>
      <c r="J3585" s="0" t="n">
        <f aca="false">F3585</f>
        <v>0.25</v>
      </c>
      <c r="K3585" s="0" t="n">
        <f aca="false">D3585*E3585</f>
        <v>-0.125</v>
      </c>
      <c r="L3585" s="0" t="n">
        <f aca="false">D3585*F3585</f>
        <v>0.125</v>
      </c>
      <c r="M3585" s="0" t="n">
        <f aca="false">E3585*F3585</f>
        <v>-0.0625</v>
      </c>
      <c r="N3585" s="0" t="n">
        <f aca="false">D3585*D3585</f>
        <v>0.25</v>
      </c>
      <c r="O3585" s="0" t="n">
        <f aca="false">E3585*E3585</f>
        <v>0.0625</v>
      </c>
      <c r="P3585" s="0" t="n">
        <f aca="false">F3585*F3585</f>
        <v>0.0625</v>
      </c>
      <c r="Q3585" s="0" t="n">
        <f aca="false">SUMPRODUCT(G3585:P3585,_XtX!$B$71:$K$71)</f>
        <v>48.4988068181818</v>
      </c>
      <c r="R3585" s="0" t="n">
        <f aca="false">SUMPRODUCT(MMULT(G3585:P3585,_XtX!$B$58:$K$67),G3585:P3585)</f>
        <v>0.141965553977273</v>
      </c>
      <c r="S3585" s="0" t="n">
        <f aca="false">04_回帰ANOVA!$K$19*04_回帰ANOVA!$K$14*SQRT(1+R3585)</f>
        <v>0.993557802198625</v>
      </c>
      <c r="T3585" s="0" t="n">
        <f aca="false">Q3585-S3585</f>
        <v>47.5052490159832</v>
      </c>
      <c r="U3585" s="0" t="n">
        <f aca="false">Q3585+S3585</f>
        <v>49.4923646203805</v>
      </c>
      <c r="V3585" s="54" t="b">
        <f aca="false">AND(D3585&gt;=01_因子設定!$L$5-0.000000001,D3585&lt;=01_因子設定!$M$5+0.000000001,E3585&gt;=01_因子設定!$L$6-0.000000001,E3585&lt;=01_因子設定!$M$6+0.000000001,F3585&gt;=01_因子設定!$L$7-0.000000001,F3585&lt;=01_因子設定!$M$7+0.000000001,IF(01_因子設定!$B$20="Box-Behnken",D3585^2+E3585^2+F3585^2&lt;=2+0.000000001,TRUE()))</f>
        <v>1</v>
      </c>
      <c r="W3585" s="55" t="n">
        <f aca="false">IF(V3585,IF(01_因子設定!$B$13="最大化",T3585-01_因子設定!$B$14,IF(01_因子設定!$B$13="最小化",01_因子設定!$B$15-U3585,MIN(T3585-01_因子設定!$B$14,01_因子設定!$B$15-U3585))),-1E+030)</f>
        <v>-0.994750984016797</v>
      </c>
      <c r="X3585" s="55" t="n">
        <f aca="false">IF(V3585,IF(01_因子設定!$B$13="最大化",Q3585,IF(01_因子設定!$B$13="最小化",-Q3585,-ABS(Q3585-01_因子設定!$B$16))),-1E+030)</f>
        <v>48.4988068181818</v>
      </c>
      <c r="Y3585" s="55" t="n">
        <f aca="false">W3585+ROW()*0.000000001</f>
        <v>-0.994747399016797</v>
      </c>
      <c r="Z3585" s="55" t="n">
        <f aca="false">X3585+ROW()*0.000000001</f>
        <v>48.4988104031818</v>
      </c>
    </row>
    <row r="3586" customFormat="false" ht="15" hidden="false" customHeight="false" outlineLevel="0" collapsed="false">
      <c r="A3586" s="0" t="n">
        <v>12</v>
      </c>
      <c r="B3586" s="0" t="n">
        <v>6</v>
      </c>
      <c r="C3586" s="0" t="n">
        <v>11</v>
      </c>
      <c r="D3586" s="0" t="n">
        <f aca="false">-1+A3586*0.125</f>
        <v>0.5</v>
      </c>
      <c r="E3586" s="0" t="n">
        <f aca="false">-1+B3586*0.125</f>
        <v>-0.25</v>
      </c>
      <c r="F3586" s="0" t="n">
        <f aca="false">-1+C3586*0.125</f>
        <v>0.375</v>
      </c>
      <c r="G3586" s="0" t="n">
        <f aca="false">1</f>
        <v>1</v>
      </c>
      <c r="H3586" s="0" t="n">
        <f aca="false">D3586</f>
        <v>0.5</v>
      </c>
      <c r="I3586" s="0" t="n">
        <f aca="false">E3586</f>
        <v>-0.25</v>
      </c>
      <c r="J3586" s="0" t="n">
        <f aca="false">F3586</f>
        <v>0.375</v>
      </c>
      <c r="K3586" s="0" t="n">
        <f aca="false">D3586*E3586</f>
        <v>-0.125</v>
      </c>
      <c r="L3586" s="0" t="n">
        <f aca="false">D3586*F3586</f>
        <v>0.1875</v>
      </c>
      <c r="M3586" s="0" t="n">
        <f aca="false">E3586*F3586</f>
        <v>-0.09375</v>
      </c>
      <c r="N3586" s="0" t="n">
        <f aca="false">D3586*D3586</f>
        <v>0.25</v>
      </c>
      <c r="O3586" s="0" t="n">
        <f aca="false">E3586*E3586</f>
        <v>0.0625</v>
      </c>
      <c r="P3586" s="0" t="n">
        <f aca="false">F3586*F3586</f>
        <v>0.140625</v>
      </c>
      <c r="Q3586" s="0" t="n">
        <f aca="false">SUMPRODUCT(G3586:P3586,_XtX!$B$71:$K$71)</f>
        <v>48.5558948863636</v>
      </c>
      <c r="R3586" s="0" t="n">
        <f aca="false">SUMPRODUCT(MMULT(G3586:P3586,_XtX!$B$58:$K$67),G3586:P3586)</f>
        <v>0.144839754971591</v>
      </c>
      <c r="S3586" s="0" t="n">
        <f aca="false">04_回帰ANOVA!$K$19*04_回帰ANOVA!$K$14*SQRT(1+R3586)</f>
        <v>0.994807353995542</v>
      </c>
      <c r="T3586" s="0" t="n">
        <f aca="false">Q3586-S3586</f>
        <v>47.5610875323681</v>
      </c>
      <c r="U3586" s="0" t="n">
        <f aca="false">Q3586+S3586</f>
        <v>49.5507022403592</v>
      </c>
      <c r="V3586" s="54" t="b">
        <f aca="false">AND(D3586&gt;=01_因子設定!$L$5-0.000000001,D3586&lt;=01_因子設定!$M$5+0.000000001,E3586&gt;=01_因子設定!$L$6-0.000000001,E3586&lt;=01_因子設定!$M$6+0.000000001,F3586&gt;=01_因子設定!$L$7-0.000000001,F3586&lt;=01_因子設定!$M$7+0.000000001,IF(01_因子設定!$B$20="Box-Behnken",D3586^2+E3586^2+F3586^2&lt;=2+0.000000001,TRUE()))</f>
        <v>1</v>
      </c>
      <c r="W3586" s="55" t="n">
        <f aca="false">IF(V3586,IF(01_因子設定!$B$13="最大化",T3586-01_因子設定!$B$14,IF(01_因子設定!$B$13="最小化",01_因子設定!$B$15-U3586,MIN(T3586-01_因子設定!$B$14,01_因子設定!$B$15-U3586))),-1E+030)</f>
        <v>-0.938912467631894</v>
      </c>
      <c r="X3586" s="55" t="n">
        <f aca="false">IF(V3586,IF(01_因子設定!$B$13="最大化",Q3586,IF(01_因子設定!$B$13="最小化",-Q3586,-ABS(Q3586-01_因子設定!$B$16))),-1E+030)</f>
        <v>48.5558948863636</v>
      </c>
      <c r="Y3586" s="55" t="n">
        <f aca="false">W3586+ROW()*0.000000001</f>
        <v>-0.938908881631894</v>
      </c>
      <c r="Z3586" s="55" t="n">
        <f aca="false">X3586+ROW()*0.000000001</f>
        <v>48.5558984723636</v>
      </c>
    </row>
    <row r="3587" customFormat="false" ht="15" hidden="false" customHeight="false" outlineLevel="0" collapsed="false">
      <c r="A3587" s="0" t="n">
        <v>12</v>
      </c>
      <c r="B3587" s="0" t="n">
        <v>6</v>
      </c>
      <c r="C3587" s="0" t="n">
        <v>12</v>
      </c>
      <c r="D3587" s="0" t="n">
        <f aca="false">-1+A3587*0.125</f>
        <v>0.5</v>
      </c>
      <c r="E3587" s="0" t="n">
        <f aca="false">-1+B3587*0.125</f>
        <v>-0.25</v>
      </c>
      <c r="F3587" s="0" t="n">
        <f aca="false">-1+C3587*0.125</f>
        <v>0.5</v>
      </c>
      <c r="G3587" s="0" t="n">
        <f aca="false">1</f>
        <v>1</v>
      </c>
      <c r="H3587" s="0" t="n">
        <f aca="false">D3587</f>
        <v>0.5</v>
      </c>
      <c r="I3587" s="0" t="n">
        <f aca="false">E3587</f>
        <v>-0.25</v>
      </c>
      <c r="J3587" s="0" t="n">
        <f aca="false">F3587</f>
        <v>0.5</v>
      </c>
      <c r="K3587" s="0" t="n">
        <f aca="false">D3587*E3587</f>
        <v>-0.125</v>
      </c>
      <c r="L3587" s="0" t="n">
        <f aca="false">D3587*F3587</f>
        <v>0.25</v>
      </c>
      <c r="M3587" s="0" t="n">
        <f aca="false">E3587*F3587</f>
        <v>-0.125</v>
      </c>
      <c r="N3587" s="0" t="n">
        <f aca="false">D3587*D3587</f>
        <v>0.25</v>
      </c>
      <c r="O3587" s="0" t="n">
        <f aca="false">E3587*E3587</f>
        <v>0.0625</v>
      </c>
      <c r="P3587" s="0" t="n">
        <f aca="false">F3587*F3587</f>
        <v>0.25</v>
      </c>
      <c r="Q3587" s="0" t="n">
        <f aca="false">SUMPRODUCT(G3587:P3587,_XtX!$B$71:$K$71)</f>
        <v>48.5761931818182</v>
      </c>
      <c r="R3587" s="0" t="n">
        <f aca="false">SUMPRODUCT(MMULT(G3587:P3587,_XtX!$B$58:$K$67),G3587:P3587)</f>
        <v>0.156321022727273</v>
      </c>
      <c r="S3587" s="0" t="n">
        <f aca="false">04_回帰ANOVA!$K$19*04_回帰ANOVA!$K$14*SQRT(1+R3587)</f>
        <v>0.999783227753172</v>
      </c>
      <c r="T3587" s="0" t="n">
        <f aca="false">Q3587-S3587</f>
        <v>47.576409954065</v>
      </c>
      <c r="U3587" s="0" t="n">
        <f aca="false">Q3587+S3587</f>
        <v>49.5759764095714</v>
      </c>
      <c r="V3587" s="54" t="b">
        <f aca="false">AND(D3587&gt;=01_因子設定!$L$5-0.000000001,D3587&lt;=01_因子設定!$M$5+0.000000001,E3587&gt;=01_因子設定!$L$6-0.000000001,E3587&lt;=01_因子設定!$M$6+0.000000001,F3587&gt;=01_因子設定!$L$7-0.000000001,F3587&lt;=01_因子設定!$M$7+0.000000001,IF(01_因子設定!$B$20="Box-Behnken",D3587^2+E3587^2+F3587^2&lt;=2+0.000000001,TRUE()))</f>
        <v>1</v>
      </c>
      <c r="W3587" s="55" t="n">
        <f aca="false">IF(V3587,IF(01_因子設定!$B$13="最大化",T3587-01_因子設定!$B$14,IF(01_因子設定!$B$13="最小化",01_因子設定!$B$15-U3587,MIN(T3587-01_因子設定!$B$14,01_因子設定!$B$15-U3587))),-1E+030)</f>
        <v>-0.923590045934979</v>
      </c>
      <c r="X3587" s="55" t="n">
        <f aca="false">IF(V3587,IF(01_因子設定!$B$13="最大化",Q3587,IF(01_因子設定!$B$13="最小化",-Q3587,-ABS(Q3587-01_因子設定!$B$16))),-1E+030)</f>
        <v>48.5761931818182</v>
      </c>
      <c r="Y3587" s="55" t="n">
        <f aca="false">W3587+ROW()*0.000000001</f>
        <v>-0.923586458934979</v>
      </c>
      <c r="Z3587" s="55" t="n">
        <f aca="false">X3587+ROW()*0.000000001</f>
        <v>48.5761967688182</v>
      </c>
    </row>
    <row r="3588" customFormat="false" ht="15" hidden="false" customHeight="false" outlineLevel="0" collapsed="false">
      <c r="A3588" s="0" t="n">
        <v>12</v>
      </c>
      <c r="B3588" s="0" t="n">
        <v>6</v>
      </c>
      <c r="C3588" s="0" t="n">
        <v>13</v>
      </c>
      <c r="D3588" s="0" t="n">
        <f aca="false">-1+A3588*0.125</f>
        <v>0.5</v>
      </c>
      <c r="E3588" s="0" t="n">
        <f aca="false">-1+B3588*0.125</f>
        <v>-0.25</v>
      </c>
      <c r="F3588" s="0" t="n">
        <f aca="false">-1+C3588*0.125</f>
        <v>0.625</v>
      </c>
      <c r="G3588" s="0" t="n">
        <f aca="false">1</f>
        <v>1</v>
      </c>
      <c r="H3588" s="0" t="n">
        <f aca="false">D3588</f>
        <v>0.5</v>
      </c>
      <c r="I3588" s="0" t="n">
        <f aca="false">E3588</f>
        <v>-0.25</v>
      </c>
      <c r="J3588" s="0" t="n">
        <f aca="false">F3588</f>
        <v>0.625</v>
      </c>
      <c r="K3588" s="0" t="n">
        <f aca="false">D3588*E3588</f>
        <v>-0.125</v>
      </c>
      <c r="L3588" s="0" t="n">
        <f aca="false">D3588*F3588</f>
        <v>0.3125</v>
      </c>
      <c r="M3588" s="0" t="n">
        <f aca="false">E3588*F3588</f>
        <v>-0.15625</v>
      </c>
      <c r="N3588" s="0" t="n">
        <f aca="false">D3588*D3588</f>
        <v>0.25</v>
      </c>
      <c r="O3588" s="0" t="n">
        <f aca="false">E3588*E3588</f>
        <v>0.0625</v>
      </c>
      <c r="P3588" s="0" t="n">
        <f aca="false">F3588*F3588</f>
        <v>0.390625</v>
      </c>
      <c r="Q3588" s="0" t="n">
        <f aca="false">SUMPRODUCT(G3588:P3588,_XtX!$B$71:$K$71)</f>
        <v>48.5597017045455</v>
      </c>
      <c r="R3588" s="0" t="n">
        <f aca="false">SUMPRODUCT(MMULT(G3588:P3588,_XtX!$B$58:$K$67),G3588:P3588)</f>
        <v>0.183866743607955</v>
      </c>
      <c r="S3588" s="0" t="n">
        <f aca="false">04_回帰ANOVA!$K$19*04_回帰ANOVA!$K$14*SQRT(1+R3588)</f>
        <v>1.01162148983013</v>
      </c>
      <c r="T3588" s="0" t="n">
        <f aca="false">Q3588-S3588</f>
        <v>47.5480802147153</v>
      </c>
      <c r="U3588" s="0" t="n">
        <f aca="false">Q3588+S3588</f>
        <v>49.5713231943756</v>
      </c>
      <c r="V3588" s="54" t="b">
        <f aca="false">AND(D3588&gt;=01_因子設定!$L$5-0.000000001,D3588&lt;=01_因子設定!$M$5+0.000000001,E3588&gt;=01_因子設定!$L$6-0.000000001,E3588&lt;=01_因子設定!$M$6+0.000000001,F3588&gt;=01_因子設定!$L$7-0.000000001,F3588&lt;=01_因子設定!$M$7+0.000000001,IF(01_因子設定!$B$20="Box-Behnken",D3588^2+E3588^2+F3588^2&lt;=2+0.000000001,TRUE()))</f>
        <v>1</v>
      </c>
      <c r="W3588" s="55" t="n">
        <f aca="false">IF(V3588,IF(01_因子設定!$B$13="最大化",T3588-01_因子設定!$B$14,IF(01_因子設定!$B$13="最小化",01_因子設定!$B$15-U3588,MIN(T3588-01_因子設定!$B$14,01_因子設定!$B$15-U3588))),-1E+030)</f>
        <v>-0.951919785284666</v>
      </c>
      <c r="X3588" s="55" t="n">
        <f aca="false">IF(V3588,IF(01_因子設定!$B$13="最大化",Q3588,IF(01_因子設定!$B$13="最小化",-Q3588,-ABS(Q3588-01_因子設定!$B$16))),-1E+030)</f>
        <v>48.5597017045455</v>
      </c>
      <c r="Y3588" s="55" t="n">
        <f aca="false">W3588+ROW()*0.000000001</f>
        <v>-0.951916197284666</v>
      </c>
      <c r="Z3588" s="55" t="n">
        <f aca="false">X3588+ROW()*0.000000001</f>
        <v>48.5597052925455</v>
      </c>
    </row>
    <row r="3589" customFormat="false" ht="15" hidden="false" customHeight="false" outlineLevel="0" collapsed="false">
      <c r="A3589" s="0" t="n">
        <v>12</v>
      </c>
      <c r="B3589" s="0" t="n">
        <v>6</v>
      </c>
      <c r="C3589" s="0" t="n">
        <v>14</v>
      </c>
      <c r="D3589" s="0" t="n">
        <f aca="false">-1+A3589*0.125</f>
        <v>0.5</v>
      </c>
      <c r="E3589" s="0" t="n">
        <f aca="false">-1+B3589*0.125</f>
        <v>-0.25</v>
      </c>
      <c r="F3589" s="0" t="n">
        <f aca="false">-1+C3589*0.125</f>
        <v>0.75</v>
      </c>
      <c r="G3589" s="0" t="n">
        <f aca="false">1</f>
        <v>1</v>
      </c>
      <c r="H3589" s="0" t="n">
        <f aca="false">D3589</f>
        <v>0.5</v>
      </c>
      <c r="I3589" s="0" t="n">
        <f aca="false">E3589</f>
        <v>-0.25</v>
      </c>
      <c r="J3589" s="0" t="n">
        <f aca="false">F3589</f>
        <v>0.75</v>
      </c>
      <c r="K3589" s="0" t="n">
        <f aca="false">D3589*E3589</f>
        <v>-0.125</v>
      </c>
      <c r="L3589" s="0" t="n">
        <f aca="false">D3589*F3589</f>
        <v>0.375</v>
      </c>
      <c r="M3589" s="0" t="n">
        <f aca="false">E3589*F3589</f>
        <v>-0.1875</v>
      </c>
      <c r="N3589" s="0" t="n">
        <f aca="false">D3589*D3589</f>
        <v>0.25</v>
      </c>
      <c r="O3589" s="0" t="n">
        <f aca="false">E3589*E3589</f>
        <v>0.0625</v>
      </c>
      <c r="P3589" s="0" t="n">
        <f aca="false">F3589*F3589</f>
        <v>0.5625</v>
      </c>
      <c r="Q3589" s="0" t="n">
        <f aca="false">SUMPRODUCT(G3589:P3589,_XtX!$B$71:$K$71)</f>
        <v>48.5064204545455</v>
      </c>
      <c r="R3589" s="0" t="n">
        <f aca="false">SUMPRODUCT(MMULT(G3589:P3589,_XtX!$B$58:$K$67),G3589:P3589)</f>
        <v>0.237064985795455</v>
      </c>
      <c r="S3589" s="0" t="n">
        <f aca="false">04_回帰ANOVA!$K$19*04_回帰ANOVA!$K$14*SQRT(1+R3589)</f>
        <v>1.03410084594745</v>
      </c>
      <c r="T3589" s="0" t="n">
        <f aca="false">Q3589-S3589</f>
        <v>47.472319608598</v>
      </c>
      <c r="U3589" s="0" t="n">
        <f aca="false">Q3589+S3589</f>
        <v>49.5405213004929</v>
      </c>
      <c r="V3589" s="54" t="b">
        <f aca="false">AND(D3589&gt;=01_因子設定!$L$5-0.000000001,D3589&lt;=01_因子設定!$M$5+0.000000001,E3589&gt;=01_因子設定!$L$6-0.000000001,E3589&lt;=01_因子設定!$M$6+0.000000001,F3589&gt;=01_因子設定!$L$7-0.000000001,F3589&lt;=01_因子設定!$M$7+0.000000001,IF(01_因子設定!$B$20="Box-Behnken",D3589^2+E3589^2+F3589^2&lt;=2+0.000000001,TRUE()))</f>
        <v>1</v>
      </c>
      <c r="W3589" s="55" t="n">
        <f aca="false">IF(V3589,IF(01_因子設定!$B$13="最大化",T3589-01_因子設定!$B$14,IF(01_因子設定!$B$13="最小化",01_因子設定!$B$15-U3589,MIN(T3589-01_因子設定!$B$14,01_因子設定!$B$15-U3589))),-1E+030)</f>
        <v>-1.02768039140197</v>
      </c>
      <c r="X3589" s="55" t="n">
        <f aca="false">IF(V3589,IF(01_因子設定!$B$13="最大化",Q3589,IF(01_因子設定!$B$13="最小化",-Q3589,-ABS(Q3589-01_因子設定!$B$16))),-1E+030)</f>
        <v>48.5064204545455</v>
      </c>
      <c r="Y3589" s="55" t="n">
        <f aca="false">W3589+ROW()*0.000000001</f>
        <v>-1.02767680240197</v>
      </c>
      <c r="Z3589" s="55" t="n">
        <f aca="false">X3589+ROW()*0.000000001</f>
        <v>48.5064240435455</v>
      </c>
    </row>
    <row r="3590" customFormat="false" ht="15" hidden="false" customHeight="false" outlineLevel="0" collapsed="false">
      <c r="A3590" s="0" t="n">
        <v>12</v>
      </c>
      <c r="B3590" s="0" t="n">
        <v>6</v>
      </c>
      <c r="C3590" s="0" t="n">
        <v>15</v>
      </c>
      <c r="D3590" s="0" t="n">
        <f aca="false">-1+A3590*0.125</f>
        <v>0.5</v>
      </c>
      <c r="E3590" s="0" t="n">
        <f aca="false">-1+B3590*0.125</f>
        <v>-0.25</v>
      </c>
      <c r="F3590" s="0" t="n">
        <f aca="false">-1+C3590*0.125</f>
        <v>0.875</v>
      </c>
      <c r="G3590" s="0" t="n">
        <f aca="false">1</f>
        <v>1</v>
      </c>
      <c r="H3590" s="0" t="n">
        <f aca="false">D3590</f>
        <v>0.5</v>
      </c>
      <c r="I3590" s="0" t="n">
        <f aca="false">E3590</f>
        <v>-0.25</v>
      </c>
      <c r="J3590" s="0" t="n">
        <f aca="false">F3590</f>
        <v>0.875</v>
      </c>
      <c r="K3590" s="0" t="n">
        <f aca="false">D3590*E3590</f>
        <v>-0.125</v>
      </c>
      <c r="L3590" s="0" t="n">
        <f aca="false">D3590*F3590</f>
        <v>0.4375</v>
      </c>
      <c r="M3590" s="0" t="n">
        <f aca="false">E3590*F3590</f>
        <v>-0.21875</v>
      </c>
      <c r="N3590" s="0" t="n">
        <f aca="false">D3590*D3590</f>
        <v>0.25</v>
      </c>
      <c r="O3590" s="0" t="n">
        <f aca="false">E3590*E3590</f>
        <v>0.0625</v>
      </c>
      <c r="P3590" s="0" t="n">
        <f aca="false">F3590*F3590</f>
        <v>0.765625</v>
      </c>
      <c r="Q3590" s="0" t="n">
        <f aca="false">SUMPRODUCT(G3590:P3590,_XtX!$B$71:$K$71)</f>
        <v>48.4163494318182</v>
      </c>
      <c r="R3590" s="0" t="n">
        <f aca="false">SUMPRODUCT(MMULT(G3590:P3590,_XtX!$B$58:$K$67),G3590:P3590)</f>
        <v>0.327634499289773</v>
      </c>
      <c r="S3590" s="0" t="n">
        <f aca="false">04_回帰ANOVA!$K$19*04_回帰ANOVA!$K$14*SQRT(1+R3590)</f>
        <v>1.07128716250217</v>
      </c>
      <c r="T3590" s="0" t="n">
        <f aca="false">Q3590-S3590</f>
        <v>47.345062269316</v>
      </c>
      <c r="U3590" s="0" t="n">
        <f aca="false">Q3590+S3590</f>
        <v>49.4876365943204</v>
      </c>
      <c r="V3590" s="54" t="b">
        <f aca="false">AND(D3590&gt;=01_因子設定!$L$5-0.000000001,D3590&lt;=01_因子設定!$M$5+0.000000001,E3590&gt;=01_因子設定!$L$6-0.000000001,E3590&lt;=01_因子設定!$M$6+0.000000001,F3590&gt;=01_因子設定!$L$7-0.000000001,F3590&lt;=01_因子設定!$M$7+0.000000001,IF(01_因子設定!$B$20="Box-Behnken",D3590^2+E3590^2+F3590^2&lt;=2+0.000000001,TRUE()))</f>
        <v>1</v>
      </c>
      <c r="W3590" s="55" t="n">
        <f aca="false">IF(V3590,IF(01_因子設定!$B$13="最大化",T3590-01_因子設定!$B$14,IF(01_因子設定!$B$13="最小化",01_因子設定!$B$15-U3590,MIN(T3590-01_因子設定!$B$14,01_因子設定!$B$15-U3590))),-1E+030)</f>
        <v>-1.15493773068397</v>
      </c>
      <c r="X3590" s="55" t="n">
        <f aca="false">IF(V3590,IF(01_因子設定!$B$13="最大化",Q3590,IF(01_因子設定!$B$13="最小化",-Q3590,-ABS(Q3590-01_因子設定!$B$16))),-1E+030)</f>
        <v>48.4163494318182</v>
      </c>
      <c r="Y3590" s="55" t="n">
        <f aca="false">W3590+ROW()*0.000000001</f>
        <v>-1.15493414068397</v>
      </c>
      <c r="Z3590" s="55" t="n">
        <f aca="false">X3590+ROW()*0.000000001</f>
        <v>48.4163530218182</v>
      </c>
    </row>
    <row r="3591" customFormat="false" ht="15" hidden="false" customHeight="false" outlineLevel="0" collapsed="false">
      <c r="A3591" s="0" t="n">
        <v>12</v>
      </c>
      <c r="B3591" s="0" t="n">
        <v>6</v>
      </c>
      <c r="C3591" s="0" t="n">
        <v>16</v>
      </c>
      <c r="D3591" s="0" t="n">
        <f aca="false">-1+A3591*0.125</f>
        <v>0.5</v>
      </c>
      <c r="E3591" s="0" t="n">
        <f aca="false">-1+B3591*0.125</f>
        <v>-0.25</v>
      </c>
      <c r="F3591" s="0" t="n">
        <f aca="false">-1+C3591*0.125</f>
        <v>1</v>
      </c>
      <c r="G3591" s="0" t="n">
        <f aca="false">1</f>
        <v>1</v>
      </c>
      <c r="H3591" s="0" t="n">
        <f aca="false">D3591</f>
        <v>0.5</v>
      </c>
      <c r="I3591" s="0" t="n">
        <f aca="false">E3591</f>
        <v>-0.25</v>
      </c>
      <c r="J3591" s="0" t="n">
        <f aca="false">F3591</f>
        <v>1</v>
      </c>
      <c r="K3591" s="0" t="n">
        <f aca="false">D3591*E3591</f>
        <v>-0.125</v>
      </c>
      <c r="L3591" s="0" t="n">
        <f aca="false">D3591*F3591</f>
        <v>0.5</v>
      </c>
      <c r="M3591" s="0" t="n">
        <f aca="false">E3591*F3591</f>
        <v>-0.25</v>
      </c>
      <c r="N3591" s="0" t="n">
        <f aca="false">D3591*D3591</f>
        <v>0.25</v>
      </c>
      <c r="O3591" s="0" t="n">
        <f aca="false">E3591*E3591</f>
        <v>0.0625</v>
      </c>
      <c r="P3591" s="0" t="n">
        <f aca="false">F3591*F3591</f>
        <v>1</v>
      </c>
      <c r="Q3591" s="0" t="n">
        <f aca="false">SUMPRODUCT(G3591:P3591,_XtX!$B$71:$K$71)</f>
        <v>48.2894886363637</v>
      </c>
      <c r="R3591" s="0" t="n">
        <f aca="false">SUMPRODUCT(MMULT(G3591:P3591,_XtX!$B$58:$K$67),G3591:P3591)</f>
        <v>0.469424715909091</v>
      </c>
      <c r="S3591" s="0" t="n">
        <f aca="false">04_回帰ANOVA!$K$19*04_回帰ANOVA!$K$14*SQRT(1+R3591)</f>
        <v>1.12704253369596</v>
      </c>
      <c r="T3591" s="0" t="n">
        <f aca="false">Q3591-S3591</f>
        <v>47.1624461026677</v>
      </c>
      <c r="U3591" s="0" t="n">
        <f aca="false">Q3591+S3591</f>
        <v>49.4165311700596</v>
      </c>
      <c r="V3591" s="54" t="b">
        <f aca="false">AND(D3591&gt;=01_因子設定!$L$5-0.000000001,D3591&lt;=01_因子設定!$M$5+0.000000001,E3591&gt;=01_因子設定!$L$6-0.000000001,E3591&lt;=01_因子設定!$M$6+0.000000001,F3591&gt;=01_因子設定!$L$7-0.000000001,F3591&lt;=01_因子設定!$M$7+0.000000001,IF(01_因子設定!$B$20="Box-Behnken",D3591^2+E3591^2+F3591^2&lt;=2+0.000000001,TRUE()))</f>
        <v>1</v>
      </c>
      <c r="W3591" s="55" t="n">
        <f aca="false">IF(V3591,IF(01_因子設定!$B$13="最大化",T3591-01_因子設定!$B$14,IF(01_因子設定!$B$13="最小化",01_因子設定!$B$15-U3591,MIN(T3591-01_因子設定!$B$14,01_因子設定!$B$15-U3591))),-1E+030)</f>
        <v>-1.3375538973323</v>
      </c>
      <c r="X3591" s="55" t="n">
        <f aca="false">IF(V3591,IF(01_因子設定!$B$13="最大化",Q3591,IF(01_因子設定!$B$13="最小化",-Q3591,-ABS(Q3591-01_因子設定!$B$16))),-1E+030)</f>
        <v>48.2894886363637</v>
      </c>
      <c r="Y3591" s="55" t="n">
        <f aca="false">W3591+ROW()*0.000000001</f>
        <v>-1.3375503063323</v>
      </c>
      <c r="Z3591" s="55" t="n">
        <f aca="false">X3591+ROW()*0.000000001</f>
        <v>48.2894922273637</v>
      </c>
    </row>
    <row r="3592" customFormat="false" ht="15" hidden="false" customHeight="false" outlineLevel="0" collapsed="false">
      <c r="A3592" s="0" t="n">
        <v>12</v>
      </c>
      <c r="B3592" s="0" t="n">
        <v>7</v>
      </c>
      <c r="C3592" s="0" t="n">
        <v>0</v>
      </c>
      <c r="D3592" s="0" t="n">
        <f aca="false">-1+A3592*0.125</f>
        <v>0.5</v>
      </c>
      <c r="E3592" s="0" t="n">
        <f aca="false">-1+B3592*0.125</f>
        <v>-0.125</v>
      </c>
      <c r="F3592" s="0" t="n">
        <f aca="false">-1+C3592*0.125</f>
        <v>-1</v>
      </c>
      <c r="G3592" s="0" t="n">
        <f aca="false">1</f>
        <v>1</v>
      </c>
      <c r="H3592" s="0" t="n">
        <f aca="false">D3592</f>
        <v>0.5</v>
      </c>
      <c r="I3592" s="0" t="n">
        <f aca="false">E3592</f>
        <v>-0.125</v>
      </c>
      <c r="J3592" s="0" t="n">
        <f aca="false">F3592</f>
        <v>-1</v>
      </c>
      <c r="K3592" s="0" t="n">
        <f aca="false">D3592*E3592</f>
        <v>-0.0625</v>
      </c>
      <c r="L3592" s="0" t="n">
        <f aca="false">D3592*F3592</f>
        <v>-0.5</v>
      </c>
      <c r="M3592" s="0" t="n">
        <f aca="false">E3592*F3592</f>
        <v>0.125</v>
      </c>
      <c r="N3592" s="0" t="n">
        <f aca="false">D3592*D3592</f>
        <v>0.25</v>
      </c>
      <c r="O3592" s="0" t="n">
        <f aca="false">E3592*E3592</f>
        <v>0.015625</v>
      </c>
      <c r="P3592" s="0" t="n">
        <f aca="false">F3592*F3592</f>
        <v>1</v>
      </c>
      <c r="Q3592" s="0" t="n">
        <f aca="false">SUMPRODUCT(G3592:P3592,_XtX!$B$71:$K$71)</f>
        <v>46.2785795454546</v>
      </c>
      <c r="R3592" s="0" t="n">
        <f aca="false">SUMPRODUCT(MMULT(G3592:P3592,_XtX!$B$58:$K$67),G3592:P3592)</f>
        <v>0.476322798295455</v>
      </c>
      <c r="S3592" s="0" t="n">
        <f aca="false">04_回帰ANOVA!$K$19*04_回帰ANOVA!$K$14*SQRT(1+R3592)</f>
        <v>1.12968483630128</v>
      </c>
      <c r="T3592" s="0" t="n">
        <f aca="false">Q3592-S3592</f>
        <v>45.1488947091533</v>
      </c>
      <c r="U3592" s="0" t="n">
        <f aca="false">Q3592+S3592</f>
        <v>47.4082643817559</v>
      </c>
      <c r="V3592" s="54" t="b">
        <f aca="false">AND(D3592&gt;=01_因子設定!$L$5-0.000000001,D3592&lt;=01_因子設定!$M$5+0.000000001,E3592&gt;=01_因子設定!$L$6-0.000000001,E3592&lt;=01_因子設定!$M$6+0.000000001,F3592&gt;=01_因子設定!$L$7-0.000000001,F3592&lt;=01_因子設定!$M$7+0.000000001,IF(01_因子設定!$B$20="Box-Behnken",D3592^2+E3592^2+F3592^2&lt;=2+0.000000001,TRUE()))</f>
        <v>1</v>
      </c>
      <c r="W3592" s="55" t="n">
        <f aca="false">IF(V3592,IF(01_因子設定!$B$13="最大化",T3592-01_因子設定!$B$14,IF(01_因子設定!$B$13="最小化",01_因子設定!$B$15-U3592,MIN(T3592-01_因子設定!$B$14,01_因子設定!$B$15-U3592))),-1E+030)</f>
        <v>-3.35110529084671</v>
      </c>
      <c r="X3592" s="55" t="n">
        <f aca="false">IF(V3592,IF(01_因子設定!$B$13="最大化",Q3592,IF(01_因子設定!$B$13="最小化",-Q3592,-ABS(Q3592-01_因子設定!$B$16))),-1E+030)</f>
        <v>46.2785795454546</v>
      </c>
      <c r="Y3592" s="55" t="n">
        <f aca="false">W3592+ROW()*0.000000001</f>
        <v>-3.35110169884671</v>
      </c>
      <c r="Z3592" s="55" t="n">
        <f aca="false">X3592+ROW()*0.000000001</f>
        <v>46.2785831374546</v>
      </c>
    </row>
    <row r="3593" customFormat="false" ht="15" hidden="false" customHeight="false" outlineLevel="0" collapsed="false">
      <c r="A3593" s="0" t="n">
        <v>12</v>
      </c>
      <c r="B3593" s="0" t="n">
        <v>7</v>
      </c>
      <c r="C3593" s="0" t="n">
        <v>1</v>
      </c>
      <c r="D3593" s="0" t="n">
        <f aca="false">-1+A3593*0.125</f>
        <v>0.5</v>
      </c>
      <c r="E3593" s="0" t="n">
        <f aca="false">-1+B3593*0.125</f>
        <v>-0.125</v>
      </c>
      <c r="F3593" s="0" t="n">
        <f aca="false">-1+C3593*0.125</f>
        <v>-0.875</v>
      </c>
      <c r="G3593" s="0" t="n">
        <f aca="false">1</f>
        <v>1</v>
      </c>
      <c r="H3593" s="0" t="n">
        <f aca="false">D3593</f>
        <v>0.5</v>
      </c>
      <c r="I3593" s="0" t="n">
        <f aca="false">E3593</f>
        <v>-0.125</v>
      </c>
      <c r="J3593" s="0" t="n">
        <f aca="false">F3593</f>
        <v>-0.875</v>
      </c>
      <c r="K3593" s="0" t="n">
        <f aca="false">D3593*E3593</f>
        <v>-0.0625</v>
      </c>
      <c r="L3593" s="0" t="n">
        <f aca="false">D3593*F3593</f>
        <v>-0.4375</v>
      </c>
      <c r="M3593" s="0" t="n">
        <f aca="false">E3593*F3593</f>
        <v>0.109375</v>
      </c>
      <c r="N3593" s="0" t="n">
        <f aca="false">D3593*D3593</f>
        <v>0.25</v>
      </c>
      <c r="O3593" s="0" t="n">
        <f aca="false">E3593*E3593</f>
        <v>0.015625</v>
      </c>
      <c r="P3593" s="0" t="n">
        <f aca="false">F3593*F3593</f>
        <v>0.765625</v>
      </c>
      <c r="Q3593" s="0" t="n">
        <f aca="false">SUMPRODUCT(G3593:P3593,_XtX!$B$71:$K$71)</f>
        <v>46.7105965909091</v>
      </c>
      <c r="R3593" s="0" t="n">
        <f aca="false">SUMPRODUCT(MMULT(G3593:P3593,_XtX!$B$58:$K$67),G3593:P3593)</f>
        <v>0.332909601384943</v>
      </c>
      <c r="S3593" s="0" t="n">
        <f aca="false">04_回帰ANOVA!$K$19*04_回帰ANOVA!$K$14*SQRT(1+R3593)</f>
        <v>1.07341333007404</v>
      </c>
      <c r="T3593" s="0" t="n">
        <f aca="false">Q3593-S3593</f>
        <v>45.6371832608351</v>
      </c>
      <c r="U3593" s="0" t="n">
        <f aca="false">Q3593+S3593</f>
        <v>47.7840099209832</v>
      </c>
      <c r="V3593" s="54" t="b">
        <f aca="false">AND(D3593&gt;=01_因子設定!$L$5-0.000000001,D3593&lt;=01_因子設定!$M$5+0.000000001,E3593&gt;=01_因子設定!$L$6-0.000000001,E3593&lt;=01_因子設定!$M$6+0.000000001,F3593&gt;=01_因子設定!$L$7-0.000000001,F3593&lt;=01_因子設定!$M$7+0.000000001,IF(01_因子設定!$B$20="Box-Behnken",D3593^2+E3593^2+F3593^2&lt;=2+0.000000001,TRUE()))</f>
        <v>1</v>
      </c>
      <c r="W3593" s="55" t="n">
        <f aca="false">IF(V3593,IF(01_因子設定!$B$13="最大化",T3593-01_因子設定!$B$14,IF(01_因子設定!$B$13="最小化",01_因子設定!$B$15-U3593,MIN(T3593-01_因子設定!$B$14,01_因子設定!$B$15-U3593))),-1E+030)</f>
        <v>-2.86281673916493</v>
      </c>
      <c r="X3593" s="55" t="n">
        <f aca="false">IF(V3593,IF(01_因子設定!$B$13="最大化",Q3593,IF(01_因子設定!$B$13="最小化",-Q3593,-ABS(Q3593-01_因子設定!$B$16))),-1E+030)</f>
        <v>46.7105965909091</v>
      </c>
      <c r="Y3593" s="55" t="n">
        <f aca="false">W3593+ROW()*0.000000001</f>
        <v>-2.86281314616493</v>
      </c>
      <c r="Z3593" s="55" t="n">
        <f aca="false">X3593+ROW()*0.000000001</f>
        <v>46.7106001839091</v>
      </c>
    </row>
    <row r="3594" customFormat="false" ht="15" hidden="false" customHeight="false" outlineLevel="0" collapsed="false">
      <c r="A3594" s="0" t="n">
        <v>12</v>
      </c>
      <c r="B3594" s="0" t="n">
        <v>7</v>
      </c>
      <c r="C3594" s="0" t="n">
        <v>2</v>
      </c>
      <c r="D3594" s="0" t="n">
        <f aca="false">-1+A3594*0.125</f>
        <v>0.5</v>
      </c>
      <c r="E3594" s="0" t="n">
        <f aca="false">-1+B3594*0.125</f>
        <v>-0.125</v>
      </c>
      <c r="F3594" s="0" t="n">
        <f aca="false">-1+C3594*0.125</f>
        <v>-0.75</v>
      </c>
      <c r="G3594" s="0" t="n">
        <f aca="false">1</f>
        <v>1</v>
      </c>
      <c r="H3594" s="0" t="n">
        <f aca="false">D3594</f>
        <v>0.5</v>
      </c>
      <c r="I3594" s="0" t="n">
        <f aca="false">E3594</f>
        <v>-0.125</v>
      </c>
      <c r="J3594" s="0" t="n">
        <f aca="false">F3594</f>
        <v>-0.75</v>
      </c>
      <c r="K3594" s="0" t="n">
        <f aca="false">D3594*E3594</f>
        <v>-0.0625</v>
      </c>
      <c r="L3594" s="0" t="n">
        <f aca="false">D3594*F3594</f>
        <v>-0.375</v>
      </c>
      <c r="M3594" s="0" t="n">
        <f aca="false">E3594*F3594</f>
        <v>0.09375</v>
      </c>
      <c r="N3594" s="0" t="n">
        <f aca="false">D3594*D3594</f>
        <v>0.25</v>
      </c>
      <c r="O3594" s="0" t="n">
        <f aca="false">E3594*E3594</f>
        <v>0.015625</v>
      </c>
      <c r="P3594" s="0" t="n">
        <f aca="false">F3594*F3594</f>
        <v>0.5625</v>
      </c>
      <c r="Q3594" s="0" t="n">
        <f aca="false">SUMPRODUCT(G3594:P3594,_XtX!$B$71:$K$71)</f>
        <v>47.1058238636364</v>
      </c>
      <c r="R3594" s="0" t="n">
        <f aca="false">SUMPRODUCT(MMULT(G3594:P3594,_XtX!$B$58:$K$67),G3594:P3594)</f>
        <v>0.240933504971591</v>
      </c>
      <c r="S3594" s="0" t="n">
        <f aca="false">04_回帰ANOVA!$K$19*04_回帰ANOVA!$K$14*SQRT(1+R3594)</f>
        <v>1.03571649118863</v>
      </c>
      <c r="T3594" s="0" t="n">
        <f aca="false">Q3594-S3594</f>
        <v>46.0701073724478</v>
      </c>
      <c r="U3594" s="0" t="n">
        <f aca="false">Q3594+S3594</f>
        <v>48.141540354825</v>
      </c>
      <c r="V3594" s="54" t="b">
        <f aca="false">AND(D3594&gt;=01_因子設定!$L$5-0.000000001,D3594&lt;=01_因子設定!$M$5+0.000000001,E3594&gt;=01_因子設定!$L$6-0.000000001,E3594&lt;=01_因子設定!$M$6+0.000000001,F3594&gt;=01_因子設定!$L$7-0.000000001,F3594&lt;=01_因子設定!$M$7+0.000000001,IF(01_因子設定!$B$20="Box-Behnken",D3594^2+E3594^2+F3594^2&lt;=2+0.000000001,TRUE()))</f>
        <v>1</v>
      </c>
      <c r="W3594" s="55" t="n">
        <f aca="false">IF(V3594,IF(01_因子設定!$B$13="最大化",T3594-01_因子設定!$B$14,IF(01_因子設定!$B$13="最小化",01_因子設定!$B$15-U3594,MIN(T3594-01_因子設定!$B$14,01_因子設定!$B$15-U3594))),-1E+030)</f>
        <v>-2.42989262755224</v>
      </c>
      <c r="X3594" s="55" t="n">
        <f aca="false">IF(V3594,IF(01_因子設定!$B$13="最大化",Q3594,IF(01_因子設定!$B$13="最小化",-Q3594,-ABS(Q3594-01_因子設定!$B$16))),-1E+030)</f>
        <v>47.1058238636364</v>
      </c>
      <c r="Y3594" s="55" t="n">
        <f aca="false">W3594+ROW()*0.000000001</f>
        <v>-2.42988903355224</v>
      </c>
      <c r="Z3594" s="55" t="n">
        <f aca="false">X3594+ROW()*0.000000001</f>
        <v>47.1058274576364</v>
      </c>
    </row>
    <row r="3595" customFormat="false" ht="15" hidden="false" customHeight="false" outlineLevel="0" collapsed="false">
      <c r="A3595" s="0" t="n">
        <v>12</v>
      </c>
      <c r="B3595" s="0" t="n">
        <v>7</v>
      </c>
      <c r="C3595" s="0" t="n">
        <v>3</v>
      </c>
      <c r="D3595" s="0" t="n">
        <f aca="false">-1+A3595*0.125</f>
        <v>0.5</v>
      </c>
      <c r="E3595" s="0" t="n">
        <f aca="false">-1+B3595*0.125</f>
        <v>-0.125</v>
      </c>
      <c r="F3595" s="0" t="n">
        <f aca="false">-1+C3595*0.125</f>
        <v>-0.625</v>
      </c>
      <c r="G3595" s="0" t="n">
        <f aca="false">1</f>
        <v>1</v>
      </c>
      <c r="H3595" s="0" t="n">
        <f aca="false">D3595</f>
        <v>0.5</v>
      </c>
      <c r="I3595" s="0" t="n">
        <f aca="false">E3595</f>
        <v>-0.125</v>
      </c>
      <c r="J3595" s="0" t="n">
        <f aca="false">F3595</f>
        <v>-0.625</v>
      </c>
      <c r="K3595" s="0" t="n">
        <f aca="false">D3595*E3595</f>
        <v>-0.0625</v>
      </c>
      <c r="L3595" s="0" t="n">
        <f aca="false">D3595*F3595</f>
        <v>-0.3125</v>
      </c>
      <c r="M3595" s="0" t="n">
        <f aca="false">E3595*F3595</f>
        <v>0.078125</v>
      </c>
      <c r="N3595" s="0" t="n">
        <f aca="false">D3595*D3595</f>
        <v>0.25</v>
      </c>
      <c r="O3595" s="0" t="n">
        <f aca="false">E3595*E3595</f>
        <v>0.015625</v>
      </c>
      <c r="P3595" s="0" t="n">
        <f aca="false">F3595*F3595</f>
        <v>0.390625</v>
      </c>
      <c r="Q3595" s="0" t="n">
        <f aca="false">SUMPRODUCT(G3595:P3595,_XtX!$B$71:$K$71)</f>
        <v>47.4642613636364</v>
      </c>
      <c r="R3595" s="0" t="n">
        <f aca="false">SUMPRODUCT(MMULT(G3595:P3595,_XtX!$B$58:$K$67),G3595:P3595)</f>
        <v>0.186545077237216</v>
      </c>
      <c r="S3595" s="0" t="n">
        <f aca="false">04_回帰ANOVA!$K$19*04_回帰ANOVA!$K$14*SQRT(1+R3595)</f>
        <v>1.01276516970713</v>
      </c>
      <c r="T3595" s="0" t="n">
        <f aca="false">Q3595-S3595</f>
        <v>46.4514961939292</v>
      </c>
      <c r="U3595" s="0" t="n">
        <f aca="false">Q3595+S3595</f>
        <v>48.4770265333435</v>
      </c>
      <c r="V3595" s="54" t="b">
        <f aca="false">AND(D3595&gt;=01_因子設定!$L$5-0.000000001,D3595&lt;=01_因子設定!$M$5+0.000000001,E3595&gt;=01_因子設定!$L$6-0.000000001,E3595&lt;=01_因子設定!$M$6+0.000000001,F3595&gt;=01_因子設定!$L$7-0.000000001,F3595&lt;=01_因子設定!$M$7+0.000000001,IF(01_因子設定!$B$20="Box-Behnken",D3595^2+E3595^2+F3595^2&lt;=2+0.000000001,TRUE()))</f>
        <v>1</v>
      </c>
      <c r="W3595" s="55" t="n">
        <f aca="false">IF(V3595,IF(01_因子設定!$B$13="最大化",T3595-01_因子設定!$B$14,IF(01_因子設定!$B$13="最小化",01_因子設定!$B$15-U3595,MIN(T3595-01_因子設定!$B$14,01_因子設定!$B$15-U3595))),-1E+030)</f>
        <v>-2.04850380607076</v>
      </c>
      <c r="X3595" s="55" t="n">
        <f aca="false">IF(V3595,IF(01_因子設定!$B$13="最大化",Q3595,IF(01_因子設定!$B$13="最小化",-Q3595,-ABS(Q3595-01_因子設定!$B$16))),-1E+030)</f>
        <v>47.4642613636364</v>
      </c>
      <c r="Y3595" s="55" t="n">
        <f aca="false">W3595+ROW()*0.000000001</f>
        <v>-2.04850021107076</v>
      </c>
      <c r="Z3595" s="55" t="n">
        <f aca="false">X3595+ROW()*0.000000001</f>
        <v>47.4642649586364</v>
      </c>
    </row>
    <row r="3596" customFormat="false" ht="15" hidden="false" customHeight="false" outlineLevel="0" collapsed="false">
      <c r="A3596" s="0" t="n">
        <v>12</v>
      </c>
      <c r="B3596" s="0" t="n">
        <v>7</v>
      </c>
      <c r="C3596" s="0" t="n">
        <v>4</v>
      </c>
      <c r="D3596" s="0" t="n">
        <f aca="false">-1+A3596*0.125</f>
        <v>0.5</v>
      </c>
      <c r="E3596" s="0" t="n">
        <f aca="false">-1+B3596*0.125</f>
        <v>-0.125</v>
      </c>
      <c r="F3596" s="0" t="n">
        <f aca="false">-1+C3596*0.125</f>
        <v>-0.5</v>
      </c>
      <c r="G3596" s="0" t="n">
        <f aca="false">1</f>
        <v>1</v>
      </c>
      <c r="H3596" s="0" t="n">
        <f aca="false">D3596</f>
        <v>0.5</v>
      </c>
      <c r="I3596" s="0" t="n">
        <f aca="false">E3596</f>
        <v>-0.125</v>
      </c>
      <c r="J3596" s="0" t="n">
        <f aca="false">F3596</f>
        <v>-0.5</v>
      </c>
      <c r="K3596" s="0" t="n">
        <f aca="false">D3596*E3596</f>
        <v>-0.0625</v>
      </c>
      <c r="L3596" s="0" t="n">
        <f aca="false">D3596*F3596</f>
        <v>-0.25</v>
      </c>
      <c r="M3596" s="0" t="n">
        <f aca="false">E3596*F3596</f>
        <v>0.0625</v>
      </c>
      <c r="N3596" s="0" t="n">
        <f aca="false">D3596*D3596</f>
        <v>0.25</v>
      </c>
      <c r="O3596" s="0" t="n">
        <f aca="false">E3596*E3596</f>
        <v>0.015625</v>
      </c>
      <c r="P3596" s="0" t="n">
        <f aca="false">F3596*F3596</f>
        <v>0.25</v>
      </c>
      <c r="Q3596" s="0" t="n">
        <f aca="false">SUMPRODUCT(G3596:P3596,_XtX!$B$71:$K$71)</f>
        <v>47.7859090909091</v>
      </c>
      <c r="R3596" s="0" t="n">
        <f aca="false">SUMPRODUCT(MMULT(G3596:P3596,_XtX!$B$58:$K$67),G3596:P3596)</f>
        <v>0.158025568181818</v>
      </c>
      <c r="S3596" s="0" t="n">
        <f aca="false">04_回帰ANOVA!$K$19*04_回帰ANOVA!$K$14*SQRT(1+R3596)</f>
        <v>1.00051985207691</v>
      </c>
      <c r="T3596" s="0" t="n">
        <f aca="false">Q3596-S3596</f>
        <v>46.7853892388322</v>
      </c>
      <c r="U3596" s="0" t="n">
        <f aca="false">Q3596+S3596</f>
        <v>48.786428942986</v>
      </c>
      <c r="V3596" s="54" t="b">
        <f aca="false">AND(D3596&gt;=01_因子設定!$L$5-0.000000001,D3596&lt;=01_因子設定!$M$5+0.000000001,E3596&gt;=01_因子設定!$L$6-0.000000001,E3596&lt;=01_因子設定!$M$6+0.000000001,F3596&gt;=01_因子設定!$L$7-0.000000001,F3596&lt;=01_因子設定!$M$7+0.000000001,IF(01_因子設定!$B$20="Box-Behnken",D3596^2+E3596^2+F3596^2&lt;=2+0.000000001,TRUE()))</f>
        <v>1</v>
      </c>
      <c r="W3596" s="55" t="n">
        <f aca="false">IF(V3596,IF(01_因子設定!$B$13="最大化",T3596-01_因子設定!$B$14,IF(01_因子設定!$B$13="最小化",01_因子設定!$B$15-U3596,MIN(T3596-01_因子設定!$B$14,01_因子設定!$B$15-U3596))),-1E+030)</f>
        <v>-1.7146107611678</v>
      </c>
      <c r="X3596" s="55" t="n">
        <f aca="false">IF(V3596,IF(01_因子設定!$B$13="最大化",Q3596,IF(01_因子設定!$B$13="最小化",-Q3596,-ABS(Q3596-01_因子設定!$B$16))),-1E+030)</f>
        <v>47.7859090909091</v>
      </c>
      <c r="Y3596" s="55" t="n">
        <f aca="false">W3596+ROW()*0.000000001</f>
        <v>-1.7146071651678</v>
      </c>
      <c r="Z3596" s="55" t="n">
        <f aca="false">X3596+ROW()*0.000000001</f>
        <v>47.7859126869091</v>
      </c>
    </row>
    <row r="3597" customFormat="false" ht="15" hidden="false" customHeight="false" outlineLevel="0" collapsed="false">
      <c r="A3597" s="0" t="n">
        <v>12</v>
      </c>
      <c r="B3597" s="0" t="n">
        <v>7</v>
      </c>
      <c r="C3597" s="0" t="n">
        <v>5</v>
      </c>
      <c r="D3597" s="0" t="n">
        <f aca="false">-1+A3597*0.125</f>
        <v>0.5</v>
      </c>
      <c r="E3597" s="0" t="n">
        <f aca="false">-1+B3597*0.125</f>
        <v>-0.125</v>
      </c>
      <c r="F3597" s="0" t="n">
        <f aca="false">-1+C3597*0.125</f>
        <v>-0.375</v>
      </c>
      <c r="G3597" s="0" t="n">
        <f aca="false">1</f>
        <v>1</v>
      </c>
      <c r="H3597" s="0" t="n">
        <f aca="false">D3597</f>
        <v>0.5</v>
      </c>
      <c r="I3597" s="0" t="n">
        <f aca="false">E3597</f>
        <v>-0.125</v>
      </c>
      <c r="J3597" s="0" t="n">
        <f aca="false">F3597</f>
        <v>-0.375</v>
      </c>
      <c r="K3597" s="0" t="n">
        <f aca="false">D3597*E3597</f>
        <v>-0.0625</v>
      </c>
      <c r="L3597" s="0" t="n">
        <f aca="false">D3597*F3597</f>
        <v>-0.1875</v>
      </c>
      <c r="M3597" s="0" t="n">
        <f aca="false">E3597*F3597</f>
        <v>0.046875</v>
      </c>
      <c r="N3597" s="0" t="n">
        <f aca="false">D3597*D3597</f>
        <v>0.25</v>
      </c>
      <c r="O3597" s="0" t="n">
        <f aca="false">E3597*E3597</f>
        <v>0.015625</v>
      </c>
      <c r="P3597" s="0" t="n">
        <f aca="false">F3597*F3597</f>
        <v>0.140625</v>
      </c>
      <c r="Q3597" s="0" t="n">
        <f aca="false">SUMPRODUCT(G3597:P3597,_XtX!$B$71:$K$71)</f>
        <v>48.0707670454546</v>
      </c>
      <c r="R3597" s="0" t="n">
        <f aca="false">SUMPRODUCT(MMULT(G3597:P3597,_XtX!$B$58:$K$67),G3597:P3597)</f>
        <v>0.14578690962358</v>
      </c>
      <c r="S3597" s="0" t="n">
        <f aca="false">04_回帰ANOVA!$K$19*04_回帰ANOVA!$K$14*SQRT(1+R3597)</f>
        <v>0.995218783457917</v>
      </c>
      <c r="T3597" s="0" t="n">
        <f aca="false">Q3597-S3597</f>
        <v>47.0755482619966</v>
      </c>
      <c r="U3597" s="0" t="n">
        <f aca="false">Q3597+S3597</f>
        <v>49.0659858289125</v>
      </c>
      <c r="V3597" s="54" t="b">
        <f aca="false">AND(D3597&gt;=01_因子設定!$L$5-0.000000001,D3597&lt;=01_因子設定!$M$5+0.000000001,E3597&gt;=01_因子設定!$L$6-0.000000001,E3597&lt;=01_因子設定!$M$6+0.000000001,F3597&gt;=01_因子設定!$L$7-0.000000001,F3597&lt;=01_因子設定!$M$7+0.000000001,IF(01_因子設定!$B$20="Box-Behnken",D3597^2+E3597^2+F3597^2&lt;=2+0.000000001,TRUE()))</f>
        <v>1</v>
      </c>
      <c r="W3597" s="55" t="n">
        <f aca="false">IF(V3597,IF(01_因子設定!$B$13="最大化",T3597-01_因子設定!$B$14,IF(01_因子設定!$B$13="最小化",01_因子設定!$B$15-U3597,MIN(T3597-01_因子設定!$B$14,01_因子設定!$B$15-U3597))),-1E+030)</f>
        <v>-1.42445173800336</v>
      </c>
      <c r="X3597" s="55" t="n">
        <f aca="false">IF(V3597,IF(01_因子設定!$B$13="最大化",Q3597,IF(01_因子設定!$B$13="最小化",-Q3597,-ABS(Q3597-01_因子設定!$B$16))),-1E+030)</f>
        <v>48.0707670454546</v>
      </c>
      <c r="Y3597" s="55" t="n">
        <f aca="false">W3597+ROW()*0.000000001</f>
        <v>-1.42444814100336</v>
      </c>
      <c r="Z3597" s="55" t="n">
        <f aca="false">X3597+ROW()*0.000000001</f>
        <v>48.0707706424546</v>
      </c>
    </row>
    <row r="3598" customFormat="false" ht="15" hidden="false" customHeight="false" outlineLevel="0" collapsed="false">
      <c r="A3598" s="0" t="n">
        <v>12</v>
      </c>
      <c r="B3598" s="0" t="n">
        <v>7</v>
      </c>
      <c r="C3598" s="0" t="n">
        <v>6</v>
      </c>
      <c r="D3598" s="0" t="n">
        <f aca="false">-1+A3598*0.125</f>
        <v>0.5</v>
      </c>
      <c r="E3598" s="0" t="n">
        <f aca="false">-1+B3598*0.125</f>
        <v>-0.125</v>
      </c>
      <c r="F3598" s="0" t="n">
        <f aca="false">-1+C3598*0.125</f>
        <v>-0.25</v>
      </c>
      <c r="G3598" s="0" t="n">
        <f aca="false">1</f>
        <v>1</v>
      </c>
      <c r="H3598" s="0" t="n">
        <f aca="false">D3598</f>
        <v>0.5</v>
      </c>
      <c r="I3598" s="0" t="n">
        <f aca="false">E3598</f>
        <v>-0.125</v>
      </c>
      <c r="J3598" s="0" t="n">
        <f aca="false">F3598</f>
        <v>-0.25</v>
      </c>
      <c r="K3598" s="0" t="n">
        <f aca="false">D3598*E3598</f>
        <v>-0.0625</v>
      </c>
      <c r="L3598" s="0" t="n">
        <f aca="false">D3598*F3598</f>
        <v>-0.125</v>
      </c>
      <c r="M3598" s="0" t="n">
        <f aca="false">E3598*F3598</f>
        <v>0.03125</v>
      </c>
      <c r="N3598" s="0" t="n">
        <f aca="false">D3598*D3598</f>
        <v>0.25</v>
      </c>
      <c r="O3598" s="0" t="n">
        <f aca="false">E3598*E3598</f>
        <v>0.015625</v>
      </c>
      <c r="P3598" s="0" t="n">
        <f aca="false">F3598*F3598</f>
        <v>0.0625</v>
      </c>
      <c r="Q3598" s="0" t="n">
        <f aca="false">SUMPRODUCT(G3598:P3598,_XtX!$B$71:$K$71)</f>
        <v>48.3188352272727</v>
      </c>
      <c r="R3598" s="0" t="n">
        <f aca="false">SUMPRODUCT(MMULT(G3598:P3598,_XtX!$B$58:$K$67),G3598:P3598)</f>
        <v>0.142371715198864</v>
      </c>
      <c r="S3598" s="0" t="n">
        <f aca="false">04_回帰ANOVA!$K$19*04_回帰ANOVA!$K$14*SQRT(1+R3598)</f>
        <v>0.99373447511735</v>
      </c>
      <c r="T3598" s="0" t="n">
        <f aca="false">Q3598-S3598</f>
        <v>47.3251007521554</v>
      </c>
      <c r="U3598" s="0" t="n">
        <f aca="false">Q3598+S3598</f>
        <v>49.3125697023901</v>
      </c>
      <c r="V3598" s="54" t="b">
        <f aca="false">AND(D3598&gt;=01_因子設定!$L$5-0.000000001,D3598&lt;=01_因子設定!$M$5+0.000000001,E3598&gt;=01_因子設定!$L$6-0.000000001,E3598&lt;=01_因子設定!$M$6+0.000000001,F3598&gt;=01_因子設定!$L$7-0.000000001,F3598&lt;=01_因子設定!$M$7+0.000000001,IF(01_因子設定!$B$20="Box-Behnken",D3598^2+E3598^2+F3598^2&lt;=2+0.000000001,TRUE()))</f>
        <v>1</v>
      </c>
      <c r="W3598" s="55" t="n">
        <f aca="false">IF(V3598,IF(01_因子設定!$B$13="最大化",T3598-01_因子設定!$B$14,IF(01_因子設定!$B$13="最小化",01_因子設定!$B$15-U3598,MIN(T3598-01_因子設定!$B$14,01_因子設定!$B$15-U3598))),-1E+030)</f>
        <v>-1.17489924784461</v>
      </c>
      <c r="X3598" s="55" t="n">
        <f aca="false">IF(V3598,IF(01_因子設定!$B$13="最大化",Q3598,IF(01_因子設定!$B$13="最小化",-Q3598,-ABS(Q3598-01_因子設定!$B$16))),-1E+030)</f>
        <v>48.3188352272727</v>
      </c>
      <c r="Y3598" s="55" t="n">
        <f aca="false">W3598+ROW()*0.000000001</f>
        <v>-1.17489564984461</v>
      </c>
      <c r="Z3598" s="55" t="n">
        <f aca="false">X3598+ROW()*0.000000001</f>
        <v>48.3188388252727</v>
      </c>
    </row>
    <row r="3599" customFormat="false" ht="15" hidden="false" customHeight="false" outlineLevel="0" collapsed="false">
      <c r="A3599" s="0" t="n">
        <v>12</v>
      </c>
      <c r="B3599" s="0" t="n">
        <v>7</v>
      </c>
      <c r="C3599" s="0" t="n">
        <v>7</v>
      </c>
      <c r="D3599" s="0" t="n">
        <f aca="false">-1+A3599*0.125</f>
        <v>0.5</v>
      </c>
      <c r="E3599" s="0" t="n">
        <f aca="false">-1+B3599*0.125</f>
        <v>-0.125</v>
      </c>
      <c r="F3599" s="0" t="n">
        <f aca="false">-1+C3599*0.125</f>
        <v>-0.125</v>
      </c>
      <c r="G3599" s="0" t="n">
        <f aca="false">1</f>
        <v>1</v>
      </c>
      <c r="H3599" s="0" t="n">
        <f aca="false">D3599</f>
        <v>0.5</v>
      </c>
      <c r="I3599" s="0" t="n">
        <f aca="false">E3599</f>
        <v>-0.125</v>
      </c>
      <c r="J3599" s="0" t="n">
        <f aca="false">F3599</f>
        <v>-0.125</v>
      </c>
      <c r="K3599" s="0" t="n">
        <f aca="false">D3599*E3599</f>
        <v>-0.0625</v>
      </c>
      <c r="L3599" s="0" t="n">
        <f aca="false">D3599*F3599</f>
        <v>-0.0625</v>
      </c>
      <c r="M3599" s="0" t="n">
        <f aca="false">E3599*F3599</f>
        <v>0.015625</v>
      </c>
      <c r="N3599" s="0" t="n">
        <f aca="false">D3599*D3599</f>
        <v>0.25</v>
      </c>
      <c r="O3599" s="0" t="n">
        <f aca="false">E3599*E3599</f>
        <v>0.015625</v>
      </c>
      <c r="P3599" s="0" t="n">
        <f aca="false">F3599*F3599</f>
        <v>0.015625</v>
      </c>
      <c r="Q3599" s="0" t="n">
        <f aca="false">SUMPRODUCT(G3599:P3599,_XtX!$B$71:$K$71)</f>
        <v>48.5301136363636</v>
      </c>
      <c r="R3599" s="0" t="n">
        <f aca="false">SUMPRODUCT(MMULT(G3599:P3599,_XtX!$B$58:$K$67),G3599:P3599)</f>
        <v>0.142453280362216</v>
      </c>
      <c r="S3599" s="0" t="n">
        <f aca="false">04_回帰ANOVA!$K$19*04_回帰ANOVA!$K$14*SQRT(1+R3599)</f>
        <v>0.99376995072785</v>
      </c>
      <c r="T3599" s="0" t="n">
        <f aca="false">Q3599-S3599</f>
        <v>47.5363436856358</v>
      </c>
      <c r="U3599" s="0" t="n">
        <f aca="false">Q3599+S3599</f>
        <v>49.5238835870915</v>
      </c>
      <c r="V3599" s="54" t="b">
        <f aca="false">AND(D3599&gt;=01_因子設定!$L$5-0.000000001,D3599&lt;=01_因子設定!$M$5+0.000000001,E3599&gt;=01_因子設定!$L$6-0.000000001,E3599&lt;=01_因子設定!$M$6+0.000000001,F3599&gt;=01_因子設定!$L$7-0.000000001,F3599&lt;=01_因子設定!$M$7+0.000000001,IF(01_因子設定!$B$20="Box-Behnken",D3599^2+E3599^2+F3599^2&lt;=2+0.000000001,TRUE()))</f>
        <v>1</v>
      </c>
      <c r="W3599" s="55" t="n">
        <f aca="false">IF(V3599,IF(01_因子設定!$B$13="最大化",T3599-01_因子設定!$B$14,IF(01_因子設定!$B$13="最小化",01_因子設定!$B$15-U3599,MIN(T3599-01_因子設定!$B$14,01_因子設定!$B$15-U3599))),-1E+030)</f>
        <v>-0.963656314364208</v>
      </c>
      <c r="X3599" s="55" t="n">
        <f aca="false">IF(V3599,IF(01_因子設定!$B$13="最大化",Q3599,IF(01_因子設定!$B$13="最小化",-Q3599,-ABS(Q3599-01_因子設定!$B$16))),-1E+030)</f>
        <v>48.5301136363636</v>
      </c>
      <c r="Y3599" s="55" t="n">
        <f aca="false">W3599+ROW()*0.000000001</f>
        <v>-0.963652715364208</v>
      </c>
      <c r="Z3599" s="55" t="n">
        <f aca="false">X3599+ROW()*0.000000001</f>
        <v>48.5301172353637</v>
      </c>
    </row>
    <row r="3600" customFormat="false" ht="15" hidden="false" customHeight="false" outlineLevel="0" collapsed="false">
      <c r="A3600" s="0" t="n">
        <v>12</v>
      </c>
      <c r="B3600" s="0" t="n">
        <v>7</v>
      </c>
      <c r="C3600" s="0" t="n">
        <v>8</v>
      </c>
      <c r="D3600" s="0" t="n">
        <f aca="false">-1+A3600*0.125</f>
        <v>0.5</v>
      </c>
      <c r="E3600" s="0" t="n">
        <f aca="false">-1+B3600*0.125</f>
        <v>-0.125</v>
      </c>
      <c r="F3600" s="0" t="n">
        <f aca="false">-1+C3600*0.125</f>
        <v>0</v>
      </c>
      <c r="G3600" s="0" t="n">
        <f aca="false">1</f>
        <v>1</v>
      </c>
      <c r="H3600" s="0" t="n">
        <f aca="false">D3600</f>
        <v>0.5</v>
      </c>
      <c r="I3600" s="0" t="n">
        <f aca="false">E3600</f>
        <v>-0.125</v>
      </c>
      <c r="J3600" s="0" t="n">
        <f aca="false">F3600</f>
        <v>0</v>
      </c>
      <c r="K3600" s="0" t="n">
        <f aca="false">D3600*E3600</f>
        <v>-0.0625</v>
      </c>
      <c r="L3600" s="0" t="n">
        <f aca="false">D3600*F3600</f>
        <v>0</v>
      </c>
      <c r="M3600" s="0" t="n">
        <f aca="false">E3600*F3600</f>
        <v>-0</v>
      </c>
      <c r="N3600" s="0" t="n">
        <f aca="false">D3600*D3600</f>
        <v>0.25</v>
      </c>
      <c r="O3600" s="0" t="n">
        <f aca="false">E3600*E3600</f>
        <v>0.015625</v>
      </c>
      <c r="P3600" s="0" t="n">
        <f aca="false">F3600*F3600</f>
        <v>0</v>
      </c>
      <c r="Q3600" s="0" t="n">
        <f aca="false">SUMPRODUCT(G3600:P3600,_XtX!$B$71:$K$71)</f>
        <v>48.7046022727273</v>
      </c>
      <c r="R3600" s="0" t="n">
        <f aca="false">SUMPRODUCT(MMULT(G3600:P3600,_XtX!$B$58:$K$67),G3600:P3600)</f>
        <v>0.142835582386364</v>
      </c>
      <c r="S3600" s="0" t="n">
        <f aca="false">04_回帰ANOVA!$K$19*04_回帰ANOVA!$K$14*SQRT(1+R3600)</f>
        <v>0.993936210693193</v>
      </c>
      <c r="T3600" s="0" t="n">
        <f aca="false">Q3600-S3600</f>
        <v>47.7106660620341</v>
      </c>
      <c r="U3600" s="0" t="n">
        <f aca="false">Q3600+S3600</f>
        <v>49.6985384834205</v>
      </c>
      <c r="V3600" s="54" t="b">
        <f aca="false">AND(D3600&gt;=01_因子設定!$L$5-0.000000001,D3600&lt;=01_因子設定!$M$5+0.000000001,E3600&gt;=01_因子設定!$L$6-0.000000001,E3600&lt;=01_因子設定!$M$6+0.000000001,F3600&gt;=01_因子設定!$L$7-0.000000001,F3600&lt;=01_因子設定!$M$7+0.000000001,IF(01_因子設定!$B$20="Box-Behnken",D3600^2+E3600^2+F3600^2&lt;=2+0.000000001,TRUE()))</f>
        <v>1</v>
      </c>
      <c r="W3600" s="55" t="n">
        <f aca="false">IF(V3600,IF(01_因子設定!$B$13="最大化",T3600-01_因子設定!$B$14,IF(01_因子設定!$B$13="最小化",01_因子設定!$B$15-U3600,MIN(T3600-01_因子設定!$B$14,01_因子設定!$B$15-U3600))),-1E+030)</f>
        <v>-0.789333937965914</v>
      </c>
      <c r="X3600" s="55" t="n">
        <f aca="false">IF(V3600,IF(01_因子設定!$B$13="最大化",Q3600,IF(01_因子設定!$B$13="最小化",-Q3600,-ABS(Q3600-01_因子設定!$B$16))),-1E+030)</f>
        <v>48.7046022727273</v>
      </c>
      <c r="Y3600" s="55" t="n">
        <f aca="false">W3600+ROW()*0.000000001</f>
        <v>-0.789330337965914</v>
      </c>
      <c r="Z3600" s="55" t="n">
        <f aca="false">X3600+ROW()*0.000000001</f>
        <v>48.7046058727273</v>
      </c>
    </row>
    <row r="3601" customFormat="false" ht="15" hidden="false" customHeight="false" outlineLevel="0" collapsed="false">
      <c r="A3601" s="0" t="n">
        <v>12</v>
      </c>
      <c r="B3601" s="0" t="n">
        <v>7</v>
      </c>
      <c r="C3601" s="0" t="n">
        <v>9</v>
      </c>
      <c r="D3601" s="0" t="n">
        <f aca="false">-1+A3601*0.125</f>
        <v>0.5</v>
      </c>
      <c r="E3601" s="0" t="n">
        <f aca="false">-1+B3601*0.125</f>
        <v>-0.125</v>
      </c>
      <c r="F3601" s="0" t="n">
        <f aca="false">-1+C3601*0.125</f>
        <v>0.125</v>
      </c>
      <c r="G3601" s="0" t="n">
        <f aca="false">1</f>
        <v>1</v>
      </c>
      <c r="H3601" s="0" t="n">
        <f aca="false">D3601</f>
        <v>0.5</v>
      </c>
      <c r="I3601" s="0" t="n">
        <f aca="false">E3601</f>
        <v>-0.125</v>
      </c>
      <c r="J3601" s="0" t="n">
        <f aca="false">F3601</f>
        <v>0.125</v>
      </c>
      <c r="K3601" s="0" t="n">
        <f aca="false">D3601*E3601</f>
        <v>-0.0625</v>
      </c>
      <c r="L3601" s="0" t="n">
        <f aca="false">D3601*F3601</f>
        <v>0.0625</v>
      </c>
      <c r="M3601" s="0" t="n">
        <f aca="false">E3601*F3601</f>
        <v>-0.015625</v>
      </c>
      <c r="N3601" s="0" t="n">
        <f aca="false">D3601*D3601</f>
        <v>0.25</v>
      </c>
      <c r="O3601" s="0" t="n">
        <f aca="false">E3601*E3601</f>
        <v>0.015625</v>
      </c>
      <c r="P3601" s="0" t="n">
        <f aca="false">F3601*F3601</f>
        <v>0.015625</v>
      </c>
      <c r="Q3601" s="0" t="n">
        <f aca="false">SUMPRODUCT(G3601:P3601,_XtX!$B$71:$K$71)</f>
        <v>48.8423011363636</v>
      </c>
      <c r="R3601" s="0" t="n">
        <f aca="false">SUMPRODUCT(MMULT(G3601:P3601,_XtX!$B$58:$K$67),G3601:P3601)</f>
        <v>0.142453280362216</v>
      </c>
      <c r="S3601" s="0" t="n">
        <f aca="false">04_回帰ANOVA!$K$19*04_回帰ANOVA!$K$14*SQRT(1+R3601)</f>
        <v>0.99376995072785</v>
      </c>
      <c r="T3601" s="0" t="n">
        <f aca="false">Q3601-S3601</f>
        <v>47.8485311856358</v>
      </c>
      <c r="U3601" s="0" t="n">
        <f aca="false">Q3601+S3601</f>
        <v>49.8360710870915</v>
      </c>
      <c r="V3601" s="54" t="b">
        <f aca="false">AND(D3601&gt;=01_因子設定!$L$5-0.000000001,D3601&lt;=01_因子設定!$M$5+0.000000001,E3601&gt;=01_因子設定!$L$6-0.000000001,E3601&lt;=01_因子設定!$M$6+0.000000001,F3601&gt;=01_因子設定!$L$7-0.000000001,F3601&lt;=01_因子設定!$M$7+0.000000001,IF(01_因子設定!$B$20="Box-Behnken",D3601^2+E3601^2+F3601^2&lt;=2+0.000000001,TRUE()))</f>
        <v>1</v>
      </c>
      <c r="W3601" s="55" t="n">
        <f aca="false">IF(V3601,IF(01_因子設定!$B$13="最大化",T3601-01_因子設定!$B$14,IF(01_因子設定!$B$13="最小化",01_因子設定!$B$15-U3601,MIN(T3601-01_因子設定!$B$14,01_因子設定!$B$15-U3601))),-1E+030)</f>
        <v>-0.651468814364215</v>
      </c>
      <c r="X3601" s="55" t="n">
        <f aca="false">IF(V3601,IF(01_因子設定!$B$13="最大化",Q3601,IF(01_因子設定!$B$13="最小化",-Q3601,-ABS(Q3601-01_因子設定!$B$16))),-1E+030)</f>
        <v>48.8423011363636</v>
      </c>
      <c r="Y3601" s="55" t="n">
        <f aca="false">W3601+ROW()*0.000000001</f>
        <v>-0.651465213364215</v>
      </c>
      <c r="Z3601" s="55" t="n">
        <f aca="false">X3601+ROW()*0.000000001</f>
        <v>48.8423047373636</v>
      </c>
    </row>
    <row r="3602" customFormat="false" ht="15" hidden="false" customHeight="false" outlineLevel="0" collapsed="false">
      <c r="A3602" s="0" t="n">
        <v>12</v>
      </c>
      <c r="B3602" s="0" t="n">
        <v>7</v>
      </c>
      <c r="C3602" s="0" t="n">
        <v>10</v>
      </c>
      <c r="D3602" s="0" t="n">
        <f aca="false">-1+A3602*0.125</f>
        <v>0.5</v>
      </c>
      <c r="E3602" s="0" t="n">
        <f aca="false">-1+B3602*0.125</f>
        <v>-0.125</v>
      </c>
      <c r="F3602" s="0" t="n">
        <f aca="false">-1+C3602*0.125</f>
        <v>0.25</v>
      </c>
      <c r="G3602" s="0" t="n">
        <f aca="false">1</f>
        <v>1</v>
      </c>
      <c r="H3602" s="0" t="n">
        <f aca="false">D3602</f>
        <v>0.5</v>
      </c>
      <c r="I3602" s="0" t="n">
        <f aca="false">E3602</f>
        <v>-0.125</v>
      </c>
      <c r="J3602" s="0" t="n">
        <f aca="false">F3602</f>
        <v>0.25</v>
      </c>
      <c r="K3602" s="0" t="n">
        <f aca="false">D3602*E3602</f>
        <v>-0.0625</v>
      </c>
      <c r="L3602" s="0" t="n">
        <f aca="false">D3602*F3602</f>
        <v>0.125</v>
      </c>
      <c r="M3602" s="0" t="n">
        <f aca="false">E3602*F3602</f>
        <v>-0.03125</v>
      </c>
      <c r="N3602" s="0" t="n">
        <f aca="false">D3602*D3602</f>
        <v>0.25</v>
      </c>
      <c r="O3602" s="0" t="n">
        <f aca="false">E3602*E3602</f>
        <v>0.015625</v>
      </c>
      <c r="P3602" s="0" t="n">
        <f aca="false">F3602*F3602</f>
        <v>0.0625</v>
      </c>
      <c r="Q3602" s="0" t="n">
        <f aca="false">SUMPRODUCT(G3602:P3602,_XtX!$B$71:$K$71)</f>
        <v>48.9432102272727</v>
      </c>
      <c r="R3602" s="0" t="n">
        <f aca="false">SUMPRODUCT(MMULT(G3602:P3602,_XtX!$B$58:$K$67),G3602:P3602)</f>
        <v>0.142371715198864</v>
      </c>
      <c r="S3602" s="0" t="n">
        <f aca="false">04_回帰ANOVA!$K$19*04_回帰ANOVA!$K$14*SQRT(1+R3602)</f>
        <v>0.99373447511735</v>
      </c>
      <c r="T3602" s="0" t="n">
        <f aca="false">Q3602-S3602</f>
        <v>47.9494757521554</v>
      </c>
      <c r="U3602" s="0" t="n">
        <f aca="false">Q3602+S3602</f>
        <v>49.9369447023901</v>
      </c>
      <c r="V3602" s="54" t="b">
        <f aca="false">AND(D3602&gt;=01_因子設定!$L$5-0.000000001,D3602&lt;=01_因子設定!$M$5+0.000000001,E3602&gt;=01_因子設定!$L$6-0.000000001,E3602&lt;=01_因子設定!$M$6+0.000000001,F3602&gt;=01_因子設定!$L$7-0.000000001,F3602&lt;=01_因子設定!$M$7+0.000000001,IF(01_因子設定!$B$20="Box-Behnken",D3602^2+E3602^2+F3602^2&lt;=2+0.000000001,TRUE()))</f>
        <v>1</v>
      </c>
      <c r="W3602" s="55" t="n">
        <f aca="false">IF(V3602,IF(01_因子設定!$B$13="最大化",T3602-01_因子設定!$B$14,IF(01_因子設定!$B$13="最小化",01_因子設定!$B$15-U3602,MIN(T3602-01_因子設定!$B$14,01_因子設定!$B$15-U3602))),-1E+030)</f>
        <v>-0.550524247844614</v>
      </c>
      <c r="X3602" s="55" t="n">
        <f aca="false">IF(V3602,IF(01_因子設定!$B$13="最大化",Q3602,IF(01_因子設定!$B$13="最小化",-Q3602,-ABS(Q3602-01_因子設定!$B$16))),-1E+030)</f>
        <v>48.9432102272727</v>
      </c>
      <c r="Y3602" s="55" t="n">
        <f aca="false">W3602+ROW()*0.000000001</f>
        <v>-0.550520645844614</v>
      </c>
      <c r="Z3602" s="55" t="n">
        <f aca="false">X3602+ROW()*0.000000001</f>
        <v>48.9432138292727</v>
      </c>
    </row>
    <row r="3603" customFormat="false" ht="15" hidden="false" customHeight="false" outlineLevel="0" collapsed="false">
      <c r="A3603" s="0" t="n">
        <v>12</v>
      </c>
      <c r="B3603" s="0" t="n">
        <v>7</v>
      </c>
      <c r="C3603" s="0" t="n">
        <v>11</v>
      </c>
      <c r="D3603" s="0" t="n">
        <f aca="false">-1+A3603*0.125</f>
        <v>0.5</v>
      </c>
      <c r="E3603" s="0" t="n">
        <f aca="false">-1+B3603*0.125</f>
        <v>-0.125</v>
      </c>
      <c r="F3603" s="0" t="n">
        <f aca="false">-1+C3603*0.125</f>
        <v>0.375</v>
      </c>
      <c r="G3603" s="0" t="n">
        <f aca="false">1</f>
        <v>1</v>
      </c>
      <c r="H3603" s="0" t="n">
        <f aca="false">D3603</f>
        <v>0.5</v>
      </c>
      <c r="I3603" s="0" t="n">
        <f aca="false">E3603</f>
        <v>-0.125</v>
      </c>
      <c r="J3603" s="0" t="n">
        <f aca="false">F3603</f>
        <v>0.375</v>
      </c>
      <c r="K3603" s="0" t="n">
        <f aca="false">D3603*E3603</f>
        <v>-0.0625</v>
      </c>
      <c r="L3603" s="0" t="n">
        <f aca="false">D3603*F3603</f>
        <v>0.1875</v>
      </c>
      <c r="M3603" s="0" t="n">
        <f aca="false">E3603*F3603</f>
        <v>-0.046875</v>
      </c>
      <c r="N3603" s="0" t="n">
        <f aca="false">D3603*D3603</f>
        <v>0.25</v>
      </c>
      <c r="O3603" s="0" t="n">
        <f aca="false">E3603*E3603</f>
        <v>0.015625</v>
      </c>
      <c r="P3603" s="0" t="n">
        <f aca="false">F3603*F3603</f>
        <v>0.140625</v>
      </c>
      <c r="Q3603" s="0" t="n">
        <f aca="false">SUMPRODUCT(G3603:P3603,_XtX!$B$71:$K$71)</f>
        <v>49.0073295454546</v>
      </c>
      <c r="R3603" s="0" t="n">
        <f aca="false">SUMPRODUCT(MMULT(G3603:P3603,_XtX!$B$58:$K$67),G3603:P3603)</f>
        <v>0.14578690962358</v>
      </c>
      <c r="S3603" s="0" t="n">
        <f aca="false">04_回帰ANOVA!$K$19*04_回帰ANOVA!$K$14*SQRT(1+R3603)</f>
        <v>0.995218783457917</v>
      </c>
      <c r="T3603" s="0" t="n">
        <f aca="false">Q3603-S3603</f>
        <v>48.0121107619966</v>
      </c>
      <c r="U3603" s="0" t="n">
        <f aca="false">Q3603+S3603</f>
        <v>50.0025483289125</v>
      </c>
      <c r="V3603" s="54" t="b">
        <f aca="false">AND(D3603&gt;=01_因子設定!$L$5-0.000000001,D3603&lt;=01_因子設定!$M$5+0.000000001,E3603&gt;=01_因子設定!$L$6-0.000000001,E3603&lt;=01_因子設定!$M$6+0.000000001,F3603&gt;=01_因子設定!$L$7-0.000000001,F3603&lt;=01_因子設定!$M$7+0.000000001,IF(01_因子設定!$B$20="Box-Behnken",D3603^2+E3603^2+F3603^2&lt;=2+0.000000001,TRUE()))</f>
        <v>1</v>
      </c>
      <c r="W3603" s="55" t="n">
        <f aca="false">IF(V3603,IF(01_因子設定!$B$13="最大化",T3603-01_因子設定!$B$14,IF(01_因子設定!$B$13="最小化",01_因子設定!$B$15-U3603,MIN(T3603-01_因子設定!$B$14,01_因子設定!$B$15-U3603))),-1E+030)</f>
        <v>-0.487889238003362</v>
      </c>
      <c r="X3603" s="55" t="n">
        <f aca="false">IF(V3603,IF(01_因子設定!$B$13="最大化",Q3603,IF(01_因子設定!$B$13="最小化",-Q3603,-ABS(Q3603-01_因子設定!$B$16))),-1E+030)</f>
        <v>49.0073295454546</v>
      </c>
      <c r="Y3603" s="55" t="n">
        <f aca="false">W3603+ROW()*0.000000001</f>
        <v>-0.487885635003362</v>
      </c>
      <c r="Z3603" s="55" t="n">
        <f aca="false">X3603+ROW()*0.000000001</f>
        <v>49.0073331484546</v>
      </c>
    </row>
    <row r="3604" customFormat="false" ht="15" hidden="false" customHeight="false" outlineLevel="0" collapsed="false">
      <c r="A3604" s="0" t="n">
        <v>12</v>
      </c>
      <c r="B3604" s="0" t="n">
        <v>7</v>
      </c>
      <c r="C3604" s="0" t="n">
        <v>12</v>
      </c>
      <c r="D3604" s="0" t="n">
        <f aca="false">-1+A3604*0.125</f>
        <v>0.5</v>
      </c>
      <c r="E3604" s="0" t="n">
        <f aca="false">-1+B3604*0.125</f>
        <v>-0.125</v>
      </c>
      <c r="F3604" s="0" t="n">
        <f aca="false">-1+C3604*0.125</f>
        <v>0.5</v>
      </c>
      <c r="G3604" s="0" t="n">
        <f aca="false">1</f>
        <v>1</v>
      </c>
      <c r="H3604" s="0" t="n">
        <f aca="false">D3604</f>
        <v>0.5</v>
      </c>
      <c r="I3604" s="0" t="n">
        <f aca="false">E3604</f>
        <v>-0.125</v>
      </c>
      <c r="J3604" s="0" t="n">
        <f aca="false">F3604</f>
        <v>0.5</v>
      </c>
      <c r="K3604" s="0" t="n">
        <f aca="false">D3604*E3604</f>
        <v>-0.0625</v>
      </c>
      <c r="L3604" s="0" t="n">
        <f aca="false">D3604*F3604</f>
        <v>0.25</v>
      </c>
      <c r="M3604" s="0" t="n">
        <f aca="false">E3604*F3604</f>
        <v>-0.0625</v>
      </c>
      <c r="N3604" s="0" t="n">
        <f aca="false">D3604*D3604</f>
        <v>0.25</v>
      </c>
      <c r="O3604" s="0" t="n">
        <f aca="false">E3604*E3604</f>
        <v>0.015625</v>
      </c>
      <c r="P3604" s="0" t="n">
        <f aca="false">F3604*F3604</f>
        <v>0.25</v>
      </c>
      <c r="Q3604" s="0" t="n">
        <f aca="false">SUMPRODUCT(G3604:P3604,_XtX!$B$71:$K$71)</f>
        <v>49.0346590909091</v>
      </c>
      <c r="R3604" s="0" t="n">
        <f aca="false">SUMPRODUCT(MMULT(G3604:P3604,_XtX!$B$58:$K$67),G3604:P3604)</f>
        <v>0.158025568181818</v>
      </c>
      <c r="S3604" s="0" t="n">
        <f aca="false">04_回帰ANOVA!$K$19*04_回帰ANOVA!$K$14*SQRT(1+R3604)</f>
        <v>1.00051985207691</v>
      </c>
      <c r="T3604" s="0" t="n">
        <f aca="false">Q3604-S3604</f>
        <v>48.0341392388322</v>
      </c>
      <c r="U3604" s="0" t="n">
        <f aca="false">Q3604+S3604</f>
        <v>50.035178942986</v>
      </c>
      <c r="V3604" s="54" t="b">
        <f aca="false">AND(D3604&gt;=01_因子設定!$L$5-0.000000001,D3604&lt;=01_因子設定!$M$5+0.000000001,E3604&gt;=01_因子設定!$L$6-0.000000001,E3604&lt;=01_因子設定!$M$6+0.000000001,F3604&gt;=01_因子設定!$L$7-0.000000001,F3604&lt;=01_因子設定!$M$7+0.000000001,IF(01_因子設定!$B$20="Box-Behnken",D3604^2+E3604^2+F3604^2&lt;=2+0.000000001,TRUE()))</f>
        <v>1</v>
      </c>
      <c r="W3604" s="55" t="n">
        <f aca="false">IF(V3604,IF(01_因子設定!$B$13="最大化",T3604-01_因子設定!$B$14,IF(01_因子設定!$B$13="最小化",01_因子設定!$B$15-U3604,MIN(T3604-01_因子設定!$B$14,01_因子設定!$B$15-U3604))),-1E+030)</f>
        <v>-0.465860761167804</v>
      </c>
      <c r="X3604" s="55" t="n">
        <f aca="false">IF(V3604,IF(01_因子設定!$B$13="最大化",Q3604,IF(01_因子設定!$B$13="最小化",-Q3604,-ABS(Q3604-01_因子設定!$B$16))),-1E+030)</f>
        <v>49.0346590909091</v>
      </c>
      <c r="Y3604" s="55" t="n">
        <f aca="false">W3604+ROW()*0.000000001</f>
        <v>-0.465857157167804</v>
      </c>
      <c r="Z3604" s="55" t="n">
        <f aca="false">X3604+ROW()*0.000000001</f>
        <v>49.0346626949091</v>
      </c>
    </row>
    <row r="3605" customFormat="false" ht="15" hidden="false" customHeight="false" outlineLevel="0" collapsed="false">
      <c r="A3605" s="0" t="n">
        <v>12</v>
      </c>
      <c r="B3605" s="0" t="n">
        <v>7</v>
      </c>
      <c r="C3605" s="0" t="n">
        <v>13</v>
      </c>
      <c r="D3605" s="0" t="n">
        <f aca="false">-1+A3605*0.125</f>
        <v>0.5</v>
      </c>
      <c r="E3605" s="0" t="n">
        <f aca="false">-1+B3605*0.125</f>
        <v>-0.125</v>
      </c>
      <c r="F3605" s="0" t="n">
        <f aca="false">-1+C3605*0.125</f>
        <v>0.625</v>
      </c>
      <c r="G3605" s="0" t="n">
        <f aca="false">1</f>
        <v>1</v>
      </c>
      <c r="H3605" s="0" t="n">
        <f aca="false">D3605</f>
        <v>0.5</v>
      </c>
      <c r="I3605" s="0" t="n">
        <f aca="false">E3605</f>
        <v>-0.125</v>
      </c>
      <c r="J3605" s="0" t="n">
        <f aca="false">F3605</f>
        <v>0.625</v>
      </c>
      <c r="K3605" s="0" t="n">
        <f aca="false">D3605*E3605</f>
        <v>-0.0625</v>
      </c>
      <c r="L3605" s="0" t="n">
        <f aca="false">D3605*F3605</f>
        <v>0.3125</v>
      </c>
      <c r="M3605" s="0" t="n">
        <f aca="false">E3605*F3605</f>
        <v>-0.078125</v>
      </c>
      <c r="N3605" s="0" t="n">
        <f aca="false">D3605*D3605</f>
        <v>0.25</v>
      </c>
      <c r="O3605" s="0" t="n">
        <f aca="false">E3605*E3605</f>
        <v>0.015625</v>
      </c>
      <c r="P3605" s="0" t="n">
        <f aca="false">F3605*F3605</f>
        <v>0.390625</v>
      </c>
      <c r="Q3605" s="0" t="n">
        <f aca="false">SUMPRODUCT(G3605:P3605,_XtX!$B$71:$K$71)</f>
        <v>49.0251988636364</v>
      </c>
      <c r="R3605" s="0" t="n">
        <f aca="false">SUMPRODUCT(MMULT(G3605:P3605,_XtX!$B$58:$K$67),G3605:P3605)</f>
        <v>0.186545077237216</v>
      </c>
      <c r="S3605" s="0" t="n">
        <f aca="false">04_回帰ANOVA!$K$19*04_回帰ANOVA!$K$14*SQRT(1+R3605)</f>
        <v>1.01276516970713</v>
      </c>
      <c r="T3605" s="0" t="n">
        <f aca="false">Q3605-S3605</f>
        <v>48.0124336939292</v>
      </c>
      <c r="U3605" s="0" t="n">
        <f aca="false">Q3605+S3605</f>
        <v>50.0379640333435</v>
      </c>
      <c r="V3605" s="54" t="b">
        <f aca="false">AND(D3605&gt;=01_因子設定!$L$5-0.000000001,D3605&lt;=01_因子設定!$M$5+0.000000001,E3605&gt;=01_因子設定!$L$6-0.000000001,E3605&lt;=01_因子設定!$M$6+0.000000001,F3605&gt;=01_因子設定!$L$7-0.000000001,F3605&lt;=01_因子設定!$M$7+0.000000001,IF(01_因子設定!$B$20="Box-Behnken",D3605^2+E3605^2+F3605^2&lt;=2+0.000000001,TRUE()))</f>
        <v>1</v>
      </c>
      <c r="W3605" s="55" t="n">
        <f aca="false">IF(V3605,IF(01_因子設定!$B$13="最大化",T3605-01_因子設定!$B$14,IF(01_因子設定!$B$13="最小化",01_因子設定!$B$15-U3605,MIN(T3605-01_因子設定!$B$14,01_因子設定!$B$15-U3605))),-1E+030)</f>
        <v>-0.487566306070754</v>
      </c>
      <c r="X3605" s="55" t="n">
        <f aca="false">IF(V3605,IF(01_因子設定!$B$13="最大化",Q3605,IF(01_因子設定!$B$13="最小化",-Q3605,-ABS(Q3605-01_因子設定!$B$16))),-1E+030)</f>
        <v>49.0251988636364</v>
      </c>
      <c r="Y3605" s="55" t="n">
        <f aca="false">W3605+ROW()*0.000000001</f>
        <v>-0.487562701070754</v>
      </c>
      <c r="Z3605" s="55" t="n">
        <f aca="false">X3605+ROW()*0.000000001</f>
        <v>49.0252024686364</v>
      </c>
    </row>
    <row r="3606" customFormat="false" ht="15" hidden="false" customHeight="false" outlineLevel="0" collapsed="false">
      <c r="A3606" s="0" t="n">
        <v>12</v>
      </c>
      <c r="B3606" s="0" t="n">
        <v>7</v>
      </c>
      <c r="C3606" s="0" t="n">
        <v>14</v>
      </c>
      <c r="D3606" s="0" t="n">
        <f aca="false">-1+A3606*0.125</f>
        <v>0.5</v>
      </c>
      <c r="E3606" s="0" t="n">
        <f aca="false">-1+B3606*0.125</f>
        <v>-0.125</v>
      </c>
      <c r="F3606" s="0" t="n">
        <f aca="false">-1+C3606*0.125</f>
        <v>0.75</v>
      </c>
      <c r="G3606" s="0" t="n">
        <f aca="false">1</f>
        <v>1</v>
      </c>
      <c r="H3606" s="0" t="n">
        <f aca="false">D3606</f>
        <v>0.5</v>
      </c>
      <c r="I3606" s="0" t="n">
        <f aca="false">E3606</f>
        <v>-0.125</v>
      </c>
      <c r="J3606" s="0" t="n">
        <f aca="false">F3606</f>
        <v>0.75</v>
      </c>
      <c r="K3606" s="0" t="n">
        <f aca="false">D3606*E3606</f>
        <v>-0.0625</v>
      </c>
      <c r="L3606" s="0" t="n">
        <f aca="false">D3606*F3606</f>
        <v>0.375</v>
      </c>
      <c r="M3606" s="0" t="n">
        <f aca="false">E3606*F3606</f>
        <v>-0.09375</v>
      </c>
      <c r="N3606" s="0" t="n">
        <f aca="false">D3606*D3606</f>
        <v>0.25</v>
      </c>
      <c r="O3606" s="0" t="n">
        <f aca="false">E3606*E3606</f>
        <v>0.015625</v>
      </c>
      <c r="P3606" s="0" t="n">
        <f aca="false">F3606*F3606</f>
        <v>0.5625</v>
      </c>
      <c r="Q3606" s="0" t="n">
        <f aca="false">SUMPRODUCT(G3606:P3606,_XtX!$B$71:$K$71)</f>
        <v>48.9789488636364</v>
      </c>
      <c r="R3606" s="0" t="n">
        <f aca="false">SUMPRODUCT(MMULT(G3606:P3606,_XtX!$B$58:$K$67),G3606:P3606)</f>
        <v>0.240933504971591</v>
      </c>
      <c r="S3606" s="0" t="n">
        <f aca="false">04_回帰ANOVA!$K$19*04_回帰ANOVA!$K$14*SQRT(1+R3606)</f>
        <v>1.03571649118863</v>
      </c>
      <c r="T3606" s="0" t="n">
        <f aca="false">Q3606-S3606</f>
        <v>47.9432323724478</v>
      </c>
      <c r="U3606" s="0" t="n">
        <f aca="false">Q3606+S3606</f>
        <v>50.014665354825</v>
      </c>
      <c r="V3606" s="54" t="b">
        <f aca="false">AND(D3606&gt;=01_因子設定!$L$5-0.000000001,D3606&lt;=01_因子設定!$M$5+0.000000001,E3606&gt;=01_因子設定!$L$6-0.000000001,E3606&lt;=01_因子設定!$M$6+0.000000001,F3606&gt;=01_因子設定!$L$7-0.000000001,F3606&lt;=01_因子設定!$M$7+0.000000001,IF(01_因子設定!$B$20="Box-Behnken",D3606^2+E3606^2+F3606^2&lt;=2+0.000000001,TRUE()))</f>
        <v>1</v>
      </c>
      <c r="W3606" s="55" t="n">
        <f aca="false">IF(V3606,IF(01_因子設定!$B$13="最大化",T3606-01_因子設定!$B$14,IF(01_因子設定!$B$13="最小化",01_因子設定!$B$15-U3606,MIN(T3606-01_因子設定!$B$14,01_因子設定!$B$15-U3606))),-1E+030)</f>
        <v>-0.556767627552247</v>
      </c>
      <c r="X3606" s="55" t="n">
        <f aca="false">IF(V3606,IF(01_因子設定!$B$13="最大化",Q3606,IF(01_因子設定!$B$13="最小化",-Q3606,-ABS(Q3606-01_因子設定!$B$16))),-1E+030)</f>
        <v>48.9789488636364</v>
      </c>
      <c r="Y3606" s="55" t="n">
        <f aca="false">W3606+ROW()*0.000000001</f>
        <v>-0.556764021552247</v>
      </c>
      <c r="Z3606" s="55" t="n">
        <f aca="false">X3606+ROW()*0.000000001</f>
        <v>48.9789524696364</v>
      </c>
    </row>
    <row r="3607" customFormat="false" ht="15" hidden="false" customHeight="false" outlineLevel="0" collapsed="false">
      <c r="A3607" s="0" t="n">
        <v>12</v>
      </c>
      <c r="B3607" s="0" t="n">
        <v>7</v>
      </c>
      <c r="C3607" s="0" t="n">
        <v>15</v>
      </c>
      <c r="D3607" s="0" t="n">
        <f aca="false">-1+A3607*0.125</f>
        <v>0.5</v>
      </c>
      <c r="E3607" s="0" t="n">
        <f aca="false">-1+B3607*0.125</f>
        <v>-0.125</v>
      </c>
      <c r="F3607" s="0" t="n">
        <f aca="false">-1+C3607*0.125</f>
        <v>0.875</v>
      </c>
      <c r="G3607" s="0" t="n">
        <f aca="false">1</f>
        <v>1</v>
      </c>
      <c r="H3607" s="0" t="n">
        <f aca="false">D3607</f>
        <v>0.5</v>
      </c>
      <c r="I3607" s="0" t="n">
        <f aca="false">E3607</f>
        <v>-0.125</v>
      </c>
      <c r="J3607" s="0" t="n">
        <f aca="false">F3607</f>
        <v>0.875</v>
      </c>
      <c r="K3607" s="0" t="n">
        <f aca="false">D3607*E3607</f>
        <v>-0.0625</v>
      </c>
      <c r="L3607" s="0" t="n">
        <f aca="false">D3607*F3607</f>
        <v>0.4375</v>
      </c>
      <c r="M3607" s="0" t="n">
        <f aca="false">E3607*F3607</f>
        <v>-0.109375</v>
      </c>
      <c r="N3607" s="0" t="n">
        <f aca="false">D3607*D3607</f>
        <v>0.25</v>
      </c>
      <c r="O3607" s="0" t="n">
        <f aca="false">E3607*E3607</f>
        <v>0.015625</v>
      </c>
      <c r="P3607" s="0" t="n">
        <f aca="false">F3607*F3607</f>
        <v>0.765625</v>
      </c>
      <c r="Q3607" s="0" t="n">
        <f aca="false">SUMPRODUCT(G3607:P3607,_XtX!$B$71:$K$71)</f>
        <v>48.8959090909091</v>
      </c>
      <c r="R3607" s="0" t="n">
        <f aca="false">SUMPRODUCT(MMULT(G3607:P3607,_XtX!$B$58:$K$67),G3607:P3607)</f>
        <v>0.332909601384943</v>
      </c>
      <c r="S3607" s="0" t="n">
        <f aca="false">04_回帰ANOVA!$K$19*04_回帰ANOVA!$K$14*SQRT(1+R3607)</f>
        <v>1.07341333007404</v>
      </c>
      <c r="T3607" s="0" t="n">
        <f aca="false">Q3607-S3607</f>
        <v>47.8224957608351</v>
      </c>
      <c r="U3607" s="0" t="n">
        <f aca="false">Q3607+S3607</f>
        <v>49.9693224209832</v>
      </c>
      <c r="V3607" s="54" t="b">
        <f aca="false">AND(D3607&gt;=01_因子設定!$L$5-0.000000001,D3607&lt;=01_因子設定!$M$5+0.000000001,E3607&gt;=01_因子設定!$L$6-0.000000001,E3607&lt;=01_因子設定!$M$6+0.000000001,F3607&gt;=01_因子設定!$L$7-0.000000001,F3607&lt;=01_因子設定!$M$7+0.000000001,IF(01_因子設定!$B$20="Box-Behnken",D3607^2+E3607^2+F3607^2&lt;=2+0.000000001,TRUE()))</f>
        <v>1</v>
      </c>
      <c r="W3607" s="55" t="n">
        <f aca="false">IF(V3607,IF(01_因子設定!$B$13="最大化",T3607-01_因子設定!$B$14,IF(01_因子設定!$B$13="最小化",01_因子設定!$B$15-U3607,MIN(T3607-01_因子設定!$B$14,01_因子設定!$B$15-U3607))),-1E+030)</f>
        <v>-0.677504239164932</v>
      </c>
      <c r="X3607" s="55" t="n">
        <f aca="false">IF(V3607,IF(01_因子設定!$B$13="最大化",Q3607,IF(01_因子設定!$B$13="最小化",-Q3607,-ABS(Q3607-01_因子設定!$B$16))),-1E+030)</f>
        <v>48.8959090909091</v>
      </c>
      <c r="Y3607" s="55" t="n">
        <f aca="false">W3607+ROW()*0.000000001</f>
        <v>-0.677500632164932</v>
      </c>
      <c r="Z3607" s="55" t="n">
        <f aca="false">X3607+ROW()*0.000000001</f>
        <v>48.8959126979091</v>
      </c>
    </row>
    <row r="3608" customFormat="false" ht="15" hidden="false" customHeight="false" outlineLevel="0" collapsed="false">
      <c r="A3608" s="0" t="n">
        <v>12</v>
      </c>
      <c r="B3608" s="0" t="n">
        <v>7</v>
      </c>
      <c r="C3608" s="0" t="n">
        <v>16</v>
      </c>
      <c r="D3608" s="0" t="n">
        <f aca="false">-1+A3608*0.125</f>
        <v>0.5</v>
      </c>
      <c r="E3608" s="0" t="n">
        <f aca="false">-1+B3608*0.125</f>
        <v>-0.125</v>
      </c>
      <c r="F3608" s="0" t="n">
        <f aca="false">-1+C3608*0.125</f>
        <v>1</v>
      </c>
      <c r="G3608" s="0" t="n">
        <f aca="false">1</f>
        <v>1</v>
      </c>
      <c r="H3608" s="0" t="n">
        <f aca="false">D3608</f>
        <v>0.5</v>
      </c>
      <c r="I3608" s="0" t="n">
        <f aca="false">E3608</f>
        <v>-0.125</v>
      </c>
      <c r="J3608" s="0" t="n">
        <f aca="false">F3608</f>
        <v>1</v>
      </c>
      <c r="K3608" s="0" t="n">
        <f aca="false">D3608*E3608</f>
        <v>-0.0625</v>
      </c>
      <c r="L3608" s="0" t="n">
        <f aca="false">D3608*F3608</f>
        <v>0.5</v>
      </c>
      <c r="M3608" s="0" t="n">
        <f aca="false">E3608*F3608</f>
        <v>-0.125</v>
      </c>
      <c r="N3608" s="0" t="n">
        <f aca="false">D3608*D3608</f>
        <v>0.25</v>
      </c>
      <c r="O3608" s="0" t="n">
        <f aca="false">E3608*E3608</f>
        <v>0.015625</v>
      </c>
      <c r="P3608" s="0" t="n">
        <f aca="false">F3608*F3608</f>
        <v>1</v>
      </c>
      <c r="Q3608" s="0" t="n">
        <f aca="false">SUMPRODUCT(G3608:P3608,_XtX!$B$71:$K$71)</f>
        <v>48.7760795454546</v>
      </c>
      <c r="R3608" s="0" t="n">
        <f aca="false">SUMPRODUCT(MMULT(G3608:P3608,_XtX!$B$58:$K$67),G3608:P3608)</f>
        <v>0.476322798295455</v>
      </c>
      <c r="S3608" s="0" t="n">
        <f aca="false">04_回帰ANOVA!$K$19*04_回帰ANOVA!$K$14*SQRT(1+R3608)</f>
        <v>1.12968483630128</v>
      </c>
      <c r="T3608" s="0" t="n">
        <f aca="false">Q3608-S3608</f>
        <v>47.6463947091533</v>
      </c>
      <c r="U3608" s="0" t="n">
        <f aca="false">Q3608+S3608</f>
        <v>49.9057643817559</v>
      </c>
      <c r="V3608" s="54" t="b">
        <f aca="false">AND(D3608&gt;=01_因子設定!$L$5-0.000000001,D3608&lt;=01_因子設定!$M$5+0.000000001,E3608&gt;=01_因子設定!$L$6-0.000000001,E3608&lt;=01_因子設定!$M$6+0.000000001,F3608&gt;=01_因子設定!$L$7-0.000000001,F3608&lt;=01_因子設定!$M$7+0.000000001,IF(01_因子設定!$B$20="Box-Behnken",D3608^2+E3608^2+F3608^2&lt;=2+0.000000001,TRUE()))</f>
        <v>1</v>
      </c>
      <c r="W3608" s="55" t="n">
        <f aca="false">IF(V3608,IF(01_因子設定!$B$13="最大化",T3608-01_因子設定!$B$14,IF(01_因子設定!$B$13="最小化",01_因子設定!$B$15-U3608,MIN(T3608-01_因子設定!$B$14,01_因子設定!$B$15-U3608))),-1E+030)</f>
        <v>-0.853605290846708</v>
      </c>
      <c r="X3608" s="55" t="n">
        <f aca="false">IF(V3608,IF(01_因子設定!$B$13="最大化",Q3608,IF(01_因子設定!$B$13="最小化",-Q3608,-ABS(Q3608-01_因子設定!$B$16))),-1E+030)</f>
        <v>48.7760795454546</v>
      </c>
      <c r="Y3608" s="55" t="n">
        <f aca="false">W3608+ROW()*0.000000001</f>
        <v>-0.853601682846709</v>
      </c>
      <c r="Z3608" s="55" t="n">
        <f aca="false">X3608+ROW()*0.000000001</f>
        <v>48.7760831534546</v>
      </c>
    </row>
    <row r="3609" customFormat="false" ht="15" hidden="false" customHeight="false" outlineLevel="0" collapsed="false">
      <c r="A3609" s="0" t="n">
        <v>12</v>
      </c>
      <c r="B3609" s="0" t="n">
        <v>8</v>
      </c>
      <c r="C3609" s="0" t="n">
        <v>0</v>
      </c>
      <c r="D3609" s="0" t="n">
        <f aca="false">-1+A3609*0.125</f>
        <v>0.5</v>
      </c>
      <c r="E3609" s="0" t="n">
        <f aca="false">-1+B3609*0.125</f>
        <v>0</v>
      </c>
      <c r="F3609" s="0" t="n">
        <f aca="false">-1+C3609*0.125</f>
        <v>-1</v>
      </c>
      <c r="G3609" s="0" t="n">
        <f aca="false">1</f>
        <v>1</v>
      </c>
      <c r="H3609" s="0" t="n">
        <f aca="false">D3609</f>
        <v>0.5</v>
      </c>
      <c r="I3609" s="0" t="n">
        <f aca="false">E3609</f>
        <v>0</v>
      </c>
      <c r="J3609" s="0" t="n">
        <f aca="false">F3609</f>
        <v>-1</v>
      </c>
      <c r="K3609" s="0" t="n">
        <f aca="false">D3609*E3609</f>
        <v>0</v>
      </c>
      <c r="L3609" s="0" t="n">
        <f aca="false">D3609*F3609</f>
        <v>-0.5</v>
      </c>
      <c r="M3609" s="0" t="n">
        <f aca="false">E3609*F3609</f>
        <v>-0</v>
      </c>
      <c r="N3609" s="0" t="n">
        <f aca="false">D3609*D3609</f>
        <v>0.25</v>
      </c>
      <c r="O3609" s="0" t="n">
        <f aca="false">E3609*E3609</f>
        <v>0</v>
      </c>
      <c r="P3609" s="0" t="n">
        <f aca="false">F3609*F3609</f>
        <v>1</v>
      </c>
      <c r="Q3609" s="0" t="n">
        <f aca="false">SUMPRODUCT(G3609:P3609,_XtX!$B$71:$K$71)</f>
        <v>46.5893181818182</v>
      </c>
      <c r="R3609" s="0" t="n">
        <f aca="false">SUMPRODUCT(MMULT(G3609:P3609,_XtX!$B$58:$K$67),G3609:P3609)</f>
        <v>0.478977272727273</v>
      </c>
      <c r="S3609" s="0" t="n">
        <f aca="false">04_回帰ANOVA!$K$19*04_回帰ANOVA!$K$14*SQRT(1+R3609)</f>
        <v>1.13069998447216</v>
      </c>
      <c r="T3609" s="0" t="n">
        <f aca="false">Q3609-S3609</f>
        <v>45.4586181973461</v>
      </c>
      <c r="U3609" s="0" t="n">
        <f aca="false">Q3609+S3609</f>
        <v>47.7200181662904</v>
      </c>
      <c r="V3609" s="54" t="b">
        <f aca="false">AND(D3609&gt;=01_因子設定!$L$5-0.000000001,D3609&lt;=01_因子設定!$M$5+0.000000001,E3609&gt;=01_因子設定!$L$6-0.000000001,E3609&lt;=01_因子設定!$M$6+0.000000001,F3609&gt;=01_因子設定!$L$7-0.000000001,F3609&lt;=01_因子設定!$M$7+0.000000001,IF(01_因子設定!$B$20="Box-Behnken",D3609^2+E3609^2+F3609^2&lt;=2+0.000000001,TRUE()))</f>
        <v>1</v>
      </c>
      <c r="W3609" s="55" t="n">
        <f aca="false">IF(V3609,IF(01_因子設定!$B$13="最大化",T3609-01_因子設定!$B$14,IF(01_因子設定!$B$13="最小化",01_因子設定!$B$15-U3609,MIN(T3609-01_因子設定!$B$14,01_因子設定!$B$15-U3609))),-1E+030)</f>
        <v>-3.04138180265395</v>
      </c>
      <c r="X3609" s="55" t="n">
        <f aca="false">IF(V3609,IF(01_因子設定!$B$13="最大化",Q3609,IF(01_因子設定!$B$13="最小化",-Q3609,-ABS(Q3609-01_因子設定!$B$16))),-1E+030)</f>
        <v>46.5893181818182</v>
      </c>
      <c r="Y3609" s="55" t="n">
        <f aca="false">W3609+ROW()*0.000000001</f>
        <v>-3.04137819365395</v>
      </c>
      <c r="Z3609" s="55" t="n">
        <f aca="false">X3609+ROW()*0.000000001</f>
        <v>46.5893217908182</v>
      </c>
    </row>
    <row r="3610" customFormat="false" ht="15" hidden="false" customHeight="false" outlineLevel="0" collapsed="false">
      <c r="A3610" s="0" t="n">
        <v>12</v>
      </c>
      <c r="B3610" s="0" t="n">
        <v>8</v>
      </c>
      <c r="C3610" s="0" t="n">
        <v>1</v>
      </c>
      <c r="D3610" s="0" t="n">
        <f aca="false">-1+A3610*0.125</f>
        <v>0.5</v>
      </c>
      <c r="E3610" s="0" t="n">
        <f aca="false">-1+B3610*0.125</f>
        <v>0</v>
      </c>
      <c r="F3610" s="0" t="n">
        <f aca="false">-1+C3610*0.125</f>
        <v>-0.875</v>
      </c>
      <c r="G3610" s="0" t="n">
        <f aca="false">1</f>
        <v>1</v>
      </c>
      <c r="H3610" s="0" t="n">
        <f aca="false">D3610</f>
        <v>0.5</v>
      </c>
      <c r="I3610" s="0" t="n">
        <f aca="false">E3610</f>
        <v>0</v>
      </c>
      <c r="J3610" s="0" t="n">
        <f aca="false">F3610</f>
        <v>-0.875</v>
      </c>
      <c r="K3610" s="0" t="n">
        <f aca="false">D3610*E3610</f>
        <v>0</v>
      </c>
      <c r="L3610" s="0" t="n">
        <f aca="false">D3610*F3610</f>
        <v>-0.4375</v>
      </c>
      <c r="M3610" s="0" t="n">
        <f aca="false">E3610*F3610</f>
        <v>-0</v>
      </c>
      <c r="N3610" s="0" t="n">
        <f aca="false">D3610*D3610</f>
        <v>0.25</v>
      </c>
      <c r="O3610" s="0" t="n">
        <f aca="false">E3610*E3610</f>
        <v>0</v>
      </c>
      <c r="P3610" s="0" t="n">
        <f aca="false">F3610*F3610</f>
        <v>0.765625</v>
      </c>
      <c r="Q3610" s="0" t="n">
        <f aca="false">SUMPRODUCT(G3610:P3610,_XtX!$B$71:$K$71)</f>
        <v>47.0283664772728</v>
      </c>
      <c r="R3610" s="0" t="n">
        <f aca="false">SUMPRODUCT(MMULT(G3610:P3610,_XtX!$B$58:$K$67),G3610:P3610)</f>
        <v>0.335023082386364</v>
      </c>
      <c r="S3610" s="0" t="n">
        <f aca="false">04_回帰ANOVA!$K$19*04_回帰ANOVA!$K$14*SQRT(1+R3610)</f>
        <v>1.07426400295275</v>
      </c>
      <c r="T3610" s="0" t="n">
        <f aca="false">Q3610-S3610</f>
        <v>45.95410247432</v>
      </c>
      <c r="U3610" s="0" t="n">
        <f aca="false">Q3610+S3610</f>
        <v>48.1026304802255</v>
      </c>
      <c r="V3610" s="54" t="b">
        <f aca="false">AND(D3610&gt;=01_因子設定!$L$5-0.000000001,D3610&lt;=01_因子設定!$M$5+0.000000001,E3610&gt;=01_因子設定!$L$6-0.000000001,E3610&lt;=01_因子設定!$M$6+0.000000001,F3610&gt;=01_因子設定!$L$7-0.000000001,F3610&lt;=01_因子設定!$M$7+0.000000001,IF(01_因子設定!$B$20="Box-Behnken",D3610^2+E3610^2+F3610^2&lt;=2+0.000000001,TRUE()))</f>
        <v>1</v>
      </c>
      <c r="W3610" s="55" t="n">
        <f aca="false">IF(V3610,IF(01_因子設定!$B$13="最大化",T3610-01_因子設定!$B$14,IF(01_因子設定!$B$13="最小化",01_因子設定!$B$15-U3610,MIN(T3610-01_因子設定!$B$14,01_因子設定!$B$15-U3610))),-1E+030)</f>
        <v>-2.54589752568</v>
      </c>
      <c r="X3610" s="55" t="n">
        <f aca="false">IF(V3610,IF(01_因子設定!$B$13="最大化",Q3610,IF(01_因子設定!$B$13="最小化",-Q3610,-ABS(Q3610-01_因子設定!$B$16))),-1E+030)</f>
        <v>47.0283664772728</v>
      </c>
      <c r="Y3610" s="55" t="n">
        <f aca="false">W3610+ROW()*0.000000001</f>
        <v>-2.54589391568</v>
      </c>
      <c r="Z3610" s="55" t="n">
        <f aca="false">X3610+ROW()*0.000000001</f>
        <v>47.0283700872728</v>
      </c>
    </row>
    <row r="3611" customFormat="false" ht="15" hidden="false" customHeight="false" outlineLevel="0" collapsed="false">
      <c r="A3611" s="0" t="n">
        <v>12</v>
      </c>
      <c r="B3611" s="0" t="n">
        <v>8</v>
      </c>
      <c r="C3611" s="0" t="n">
        <v>2</v>
      </c>
      <c r="D3611" s="0" t="n">
        <f aca="false">-1+A3611*0.125</f>
        <v>0.5</v>
      </c>
      <c r="E3611" s="0" t="n">
        <f aca="false">-1+B3611*0.125</f>
        <v>0</v>
      </c>
      <c r="F3611" s="0" t="n">
        <f aca="false">-1+C3611*0.125</f>
        <v>-0.75</v>
      </c>
      <c r="G3611" s="0" t="n">
        <f aca="false">1</f>
        <v>1</v>
      </c>
      <c r="H3611" s="0" t="n">
        <f aca="false">D3611</f>
        <v>0.5</v>
      </c>
      <c r="I3611" s="0" t="n">
        <f aca="false">E3611</f>
        <v>0</v>
      </c>
      <c r="J3611" s="0" t="n">
        <f aca="false">F3611</f>
        <v>-0.75</v>
      </c>
      <c r="K3611" s="0" t="n">
        <f aca="false">D3611*E3611</f>
        <v>0</v>
      </c>
      <c r="L3611" s="0" t="n">
        <f aca="false">D3611*F3611</f>
        <v>-0.375</v>
      </c>
      <c r="M3611" s="0" t="n">
        <f aca="false">E3611*F3611</f>
        <v>-0</v>
      </c>
      <c r="N3611" s="0" t="n">
        <f aca="false">D3611*D3611</f>
        <v>0.25</v>
      </c>
      <c r="O3611" s="0" t="n">
        <f aca="false">E3611*E3611</f>
        <v>0</v>
      </c>
      <c r="P3611" s="0" t="n">
        <f aca="false">F3611*F3611</f>
        <v>0.5625</v>
      </c>
      <c r="Q3611" s="0" t="n">
        <f aca="false">SUMPRODUCT(G3611:P3611,_XtX!$B$71:$K$71)</f>
        <v>47.430625</v>
      </c>
      <c r="R3611" s="0" t="n">
        <f aca="false">SUMPRODUCT(MMULT(G3611:P3611,_XtX!$B$58:$K$67),G3611:P3611)</f>
        <v>0.242578125</v>
      </c>
      <c r="S3611" s="0" t="n">
        <f aca="false">04_回帰ANOVA!$K$19*04_回帰ANOVA!$K$14*SQRT(1+R3611)</f>
        <v>1.03640258600455</v>
      </c>
      <c r="T3611" s="0" t="n">
        <f aca="false">Q3611-S3611</f>
        <v>46.3942224139955</v>
      </c>
      <c r="U3611" s="0" t="n">
        <f aca="false">Q3611+S3611</f>
        <v>48.4670275860046</v>
      </c>
      <c r="V3611" s="54" t="b">
        <f aca="false">AND(D3611&gt;=01_因子設定!$L$5-0.000000001,D3611&lt;=01_因子設定!$M$5+0.000000001,E3611&gt;=01_因子設定!$L$6-0.000000001,E3611&lt;=01_因子設定!$M$6+0.000000001,F3611&gt;=01_因子設定!$L$7-0.000000001,F3611&lt;=01_因子設定!$M$7+0.000000001,IF(01_因子設定!$B$20="Box-Behnken",D3611^2+E3611^2+F3611^2&lt;=2+0.000000001,TRUE()))</f>
        <v>1</v>
      </c>
      <c r="W3611" s="55" t="n">
        <f aca="false">IF(V3611,IF(01_因子設定!$B$13="最大化",T3611-01_因子設定!$B$14,IF(01_因子設定!$B$13="最小化",01_因子設定!$B$15-U3611,MIN(T3611-01_因子設定!$B$14,01_因子設定!$B$15-U3611))),-1E+030)</f>
        <v>-2.10577758600454</v>
      </c>
      <c r="X3611" s="55" t="n">
        <f aca="false">IF(V3611,IF(01_因子設定!$B$13="最大化",Q3611,IF(01_因子設定!$B$13="最小化",-Q3611,-ABS(Q3611-01_因子設定!$B$16))),-1E+030)</f>
        <v>47.430625</v>
      </c>
      <c r="Y3611" s="55" t="n">
        <f aca="false">W3611+ROW()*0.000000001</f>
        <v>-2.10577397500454</v>
      </c>
      <c r="Z3611" s="55" t="n">
        <f aca="false">X3611+ROW()*0.000000001</f>
        <v>47.430628611</v>
      </c>
    </row>
    <row r="3612" customFormat="false" ht="15" hidden="false" customHeight="false" outlineLevel="0" collapsed="false">
      <c r="A3612" s="0" t="n">
        <v>12</v>
      </c>
      <c r="B3612" s="0" t="n">
        <v>8</v>
      </c>
      <c r="C3612" s="0" t="n">
        <v>3</v>
      </c>
      <c r="D3612" s="0" t="n">
        <f aca="false">-1+A3612*0.125</f>
        <v>0.5</v>
      </c>
      <c r="E3612" s="0" t="n">
        <f aca="false">-1+B3612*0.125</f>
        <v>0</v>
      </c>
      <c r="F3612" s="0" t="n">
        <f aca="false">-1+C3612*0.125</f>
        <v>-0.625</v>
      </c>
      <c r="G3612" s="0" t="n">
        <f aca="false">1</f>
        <v>1</v>
      </c>
      <c r="H3612" s="0" t="n">
        <f aca="false">D3612</f>
        <v>0.5</v>
      </c>
      <c r="I3612" s="0" t="n">
        <f aca="false">E3612</f>
        <v>0</v>
      </c>
      <c r="J3612" s="0" t="n">
        <f aca="false">F3612</f>
        <v>-0.625</v>
      </c>
      <c r="K3612" s="0" t="n">
        <f aca="false">D3612*E3612</f>
        <v>0</v>
      </c>
      <c r="L3612" s="0" t="n">
        <f aca="false">D3612*F3612</f>
        <v>-0.3125</v>
      </c>
      <c r="M3612" s="0" t="n">
        <f aca="false">E3612*F3612</f>
        <v>-0</v>
      </c>
      <c r="N3612" s="0" t="n">
        <f aca="false">D3612*D3612</f>
        <v>0.25</v>
      </c>
      <c r="O3612" s="0" t="n">
        <f aca="false">E3612*E3612</f>
        <v>0</v>
      </c>
      <c r="P3612" s="0" t="n">
        <f aca="false">F3612*F3612</f>
        <v>0.390625</v>
      </c>
      <c r="Q3612" s="0" t="n">
        <f aca="false">SUMPRODUCT(G3612:P3612,_XtX!$B$71:$K$71)</f>
        <v>47.79609375</v>
      </c>
      <c r="R3612" s="0" t="n">
        <f aca="false">SUMPRODUCT(MMULT(G3612:P3612,_XtX!$B$58:$K$67),G3612:P3612)</f>
        <v>0.18779296875</v>
      </c>
      <c r="S3612" s="0" t="n">
        <f aca="false">04_回帰ANOVA!$K$19*04_回帰ANOVA!$K$14*SQRT(1+R3612)</f>
        <v>1.01329759319777</v>
      </c>
      <c r="T3612" s="0" t="n">
        <f aca="false">Q3612-S3612</f>
        <v>46.7827961568022</v>
      </c>
      <c r="U3612" s="0" t="n">
        <f aca="false">Q3612+S3612</f>
        <v>48.8093913431978</v>
      </c>
      <c r="V3612" s="54" t="b">
        <f aca="false">AND(D3612&gt;=01_因子設定!$L$5-0.000000001,D3612&lt;=01_因子設定!$M$5+0.000000001,E3612&gt;=01_因子設定!$L$6-0.000000001,E3612&lt;=01_因子設定!$M$6+0.000000001,F3612&gt;=01_因子設定!$L$7-0.000000001,F3612&lt;=01_因子設定!$M$7+0.000000001,IF(01_因子設定!$B$20="Box-Behnken",D3612^2+E3612^2+F3612^2&lt;=2+0.000000001,TRUE()))</f>
        <v>1</v>
      </c>
      <c r="W3612" s="55" t="n">
        <f aca="false">IF(V3612,IF(01_因子設定!$B$13="最大化",T3612-01_因子設定!$B$14,IF(01_因子設定!$B$13="最小化",01_因子設定!$B$15-U3612,MIN(T3612-01_因子設定!$B$14,01_因子設定!$B$15-U3612))),-1E+030)</f>
        <v>-1.71720384319776</v>
      </c>
      <c r="X3612" s="55" t="n">
        <f aca="false">IF(V3612,IF(01_因子設定!$B$13="最大化",Q3612,IF(01_因子設定!$B$13="最小化",-Q3612,-ABS(Q3612-01_因子設定!$B$16))),-1E+030)</f>
        <v>47.79609375</v>
      </c>
      <c r="Y3612" s="55" t="n">
        <f aca="false">W3612+ROW()*0.000000001</f>
        <v>-1.71720023119776</v>
      </c>
      <c r="Z3612" s="55" t="n">
        <f aca="false">X3612+ROW()*0.000000001</f>
        <v>47.796097362</v>
      </c>
    </row>
    <row r="3613" customFormat="false" ht="15" hidden="false" customHeight="false" outlineLevel="0" collapsed="false">
      <c r="A3613" s="0" t="n">
        <v>12</v>
      </c>
      <c r="B3613" s="0" t="n">
        <v>8</v>
      </c>
      <c r="C3613" s="0" t="n">
        <v>4</v>
      </c>
      <c r="D3613" s="0" t="n">
        <f aca="false">-1+A3613*0.125</f>
        <v>0.5</v>
      </c>
      <c r="E3613" s="0" t="n">
        <f aca="false">-1+B3613*0.125</f>
        <v>0</v>
      </c>
      <c r="F3613" s="0" t="n">
        <f aca="false">-1+C3613*0.125</f>
        <v>-0.5</v>
      </c>
      <c r="G3613" s="0" t="n">
        <f aca="false">1</f>
        <v>1</v>
      </c>
      <c r="H3613" s="0" t="n">
        <f aca="false">D3613</f>
        <v>0.5</v>
      </c>
      <c r="I3613" s="0" t="n">
        <f aca="false">E3613</f>
        <v>0</v>
      </c>
      <c r="J3613" s="0" t="n">
        <f aca="false">F3613</f>
        <v>-0.5</v>
      </c>
      <c r="K3613" s="0" t="n">
        <f aca="false">D3613*E3613</f>
        <v>0</v>
      </c>
      <c r="L3613" s="0" t="n">
        <f aca="false">D3613*F3613</f>
        <v>-0.25</v>
      </c>
      <c r="M3613" s="0" t="n">
        <f aca="false">E3613*F3613</f>
        <v>-0</v>
      </c>
      <c r="N3613" s="0" t="n">
        <f aca="false">D3613*D3613</f>
        <v>0.25</v>
      </c>
      <c r="O3613" s="0" t="n">
        <f aca="false">E3613*E3613</f>
        <v>0</v>
      </c>
      <c r="P3613" s="0" t="n">
        <f aca="false">F3613*F3613</f>
        <v>0.25</v>
      </c>
      <c r="Q3613" s="0" t="n">
        <f aca="false">SUMPRODUCT(G3613:P3613,_XtX!$B$71:$K$71)</f>
        <v>48.1247727272727</v>
      </c>
      <c r="R3613" s="0" t="n">
        <f aca="false">SUMPRODUCT(MMULT(G3613:P3613,_XtX!$B$58:$K$67),G3613:P3613)</f>
        <v>0.158948863636364</v>
      </c>
      <c r="S3613" s="0" t="n">
        <f aca="false">04_回帰ANOVA!$K$19*04_回帰ANOVA!$K$14*SQRT(1+R3613)</f>
        <v>1.00091863056612</v>
      </c>
      <c r="T3613" s="0" t="n">
        <f aca="false">Q3613-S3613</f>
        <v>47.1238540967066</v>
      </c>
      <c r="U3613" s="0" t="n">
        <f aca="false">Q3613+S3613</f>
        <v>49.1256913578389</v>
      </c>
      <c r="V3613" s="54" t="b">
        <f aca="false">AND(D3613&gt;=01_因子設定!$L$5-0.000000001,D3613&lt;=01_因子設定!$M$5+0.000000001,E3613&gt;=01_因子設定!$L$6-0.000000001,E3613&lt;=01_因子設定!$M$6+0.000000001,F3613&gt;=01_因子設定!$L$7-0.000000001,F3613&lt;=01_因子設定!$M$7+0.000000001,IF(01_因子設定!$B$20="Box-Behnken",D3613^2+E3613^2+F3613^2&lt;=2+0.000000001,TRUE()))</f>
        <v>1</v>
      </c>
      <c r="W3613" s="55" t="n">
        <f aca="false">IF(V3613,IF(01_因子設定!$B$13="最大化",T3613-01_因子設定!$B$14,IF(01_因子設定!$B$13="最小化",01_因子設定!$B$15-U3613,MIN(T3613-01_因子設定!$B$14,01_因子設定!$B$15-U3613))),-1E+030)</f>
        <v>-1.37614590329338</v>
      </c>
      <c r="X3613" s="55" t="n">
        <f aca="false">IF(V3613,IF(01_因子設定!$B$13="最大化",Q3613,IF(01_因子設定!$B$13="最小化",-Q3613,-ABS(Q3613-01_因子設定!$B$16))),-1E+030)</f>
        <v>48.1247727272727</v>
      </c>
      <c r="Y3613" s="55" t="n">
        <f aca="false">W3613+ROW()*0.000000001</f>
        <v>-1.37614229029338</v>
      </c>
      <c r="Z3613" s="55" t="n">
        <f aca="false">X3613+ROW()*0.000000001</f>
        <v>48.1247763402727</v>
      </c>
    </row>
    <row r="3614" customFormat="false" ht="15" hidden="false" customHeight="false" outlineLevel="0" collapsed="false">
      <c r="A3614" s="0" t="n">
        <v>12</v>
      </c>
      <c r="B3614" s="0" t="n">
        <v>8</v>
      </c>
      <c r="C3614" s="0" t="n">
        <v>5</v>
      </c>
      <c r="D3614" s="0" t="n">
        <f aca="false">-1+A3614*0.125</f>
        <v>0.5</v>
      </c>
      <c r="E3614" s="0" t="n">
        <f aca="false">-1+B3614*0.125</f>
        <v>0</v>
      </c>
      <c r="F3614" s="0" t="n">
        <f aca="false">-1+C3614*0.125</f>
        <v>-0.375</v>
      </c>
      <c r="G3614" s="0" t="n">
        <f aca="false">1</f>
        <v>1</v>
      </c>
      <c r="H3614" s="0" t="n">
        <f aca="false">D3614</f>
        <v>0.5</v>
      </c>
      <c r="I3614" s="0" t="n">
        <f aca="false">E3614</f>
        <v>0</v>
      </c>
      <c r="J3614" s="0" t="n">
        <f aca="false">F3614</f>
        <v>-0.375</v>
      </c>
      <c r="K3614" s="0" t="n">
        <f aca="false">D3614*E3614</f>
        <v>0</v>
      </c>
      <c r="L3614" s="0" t="n">
        <f aca="false">D3614*F3614</f>
        <v>-0.1875</v>
      </c>
      <c r="M3614" s="0" t="n">
        <f aca="false">E3614*F3614</f>
        <v>-0</v>
      </c>
      <c r="N3614" s="0" t="n">
        <f aca="false">D3614*D3614</f>
        <v>0.25</v>
      </c>
      <c r="O3614" s="0" t="n">
        <f aca="false">E3614*E3614</f>
        <v>0</v>
      </c>
      <c r="P3614" s="0" t="n">
        <f aca="false">F3614*F3614</f>
        <v>0.140625</v>
      </c>
      <c r="Q3614" s="0" t="n">
        <f aca="false">SUMPRODUCT(G3614:P3614,_XtX!$B$71:$K$71)</f>
        <v>48.4166619318182</v>
      </c>
      <c r="R3614" s="0" t="n">
        <f aca="false">SUMPRODUCT(MMULT(G3614:P3614,_XtX!$B$58:$K$67),G3614:P3614)</f>
        <v>0.146457741477273</v>
      </c>
      <c r="S3614" s="0" t="n">
        <f aca="false">04_回帰ANOVA!$K$19*04_回帰ANOVA!$K$14*SQRT(1+R3614)</f>
        <v>0.995510079668687</v>
      </c>
      <c r="T3614" s="0" t="n">
        <f aca="false">Q3614-S3614</f>
        <v>47.4211518521495</v>
      </c>
      <c r="U3614" s="0" t="n">
        <f aca="false">Q3614+S3614</f>
        <v>49.4121720114869</v>
      </c>
      <c r="V3614" s="54" t="b">
        <f aca="false">AND(D3614&gt;=01_因子設定!$L$5-0.000000001,D3614&lt;=01_因子設定!$M$5+0.000000001,E3614&gt;=01_因子設定!$L$6-0.000000001,E3614&lt;=01_因子設定!$M$6+0.000000001,F3614&gt;=01_因子設定!$L$7-0.000000001,F3614&lt;=01_因子設定!$M$7+0.000000001,IF(01_因子設定!$B$20="Box-Behnken",D3614^2+E3614^2+F3614^2&lt;=2+0.000000001,TRUE()))</f>
        <v>1</v>
      </c>
      <c r="W3614" s="55" t="n">
        <f aca="false">IF(V3614,IF(01_因子設定!$B$13="最大化",T3614-01_因子設定!$B$14,IF(01_因子設定!$B$13="最小化",01_因子設定!$B$15-U3614,MIN(T3614-01_因子設定!$B$14,01_因子設定!$B$15-U3614))),-1E+030)</f>
        <v>-1.07884814785049</v>
      </c>
      <c r="X3614" s="55" t="n">
        <f aca="false">IF(V3614,IF(01_因子設定!$B$13="最大化",Q3614,IF(01_因子設定!$B$13="最小化",-Q3614,-ABS(Q3614-01_因子設定!$B$16))),-1E+030)</f>
        <v>48.4166619318182</v>
      </c>
      <c r="Y3614" s="55" t="n">
        <f aca="false">W3614+ROW()*0.000000001</f>
        <v>-1.07884453385049</v>
      </c>
      <c r="Z3614" s="55" t="n">
        <f aca="false">X3614+ROW()*0.000000001</f>
        <v>48.4166655458182</v>
      </c>
    </row>
    <row r="3615" customFormat="false" ht="15" hidden="false" customHeight="false" outlineLevel="0" collapsed="false">
      <c r="A3615" s="0" t="n">
        <v>12</v>
      </c>
      <c r="B3615" s="0" t="n">
        <v>8</v>
      </c>
      <c r="C3615" s="0" t="n">
        <v>6</v>
      </c>
      <c r="D3615" s="0" t="n">
        <f aca="false">-1+A3615*0.125</f>
        <v>0.5</v>
      </c>
      <c r="E3615" s="0" t="n">
        <f aca="false">-1+B3615*0.125</f>
        <v>0</v>
      </c>
      <c r="F3615" s="0" t="n">
        <f aca="false">-1+C3615*0.125</f>
        <v>-0.25</v>
      </c>
      <c r="G3615" s="0" t="n">
        <f aca="false">1</f>
        <v>1</v>
      </c>
      <c r="H3615" s="0" t="n">
        <f aca="false">D3615</f>
        <v>0.5</v>
      </c>
      <c r="I3615" s="0" t="n">
        <f aca="false">E3615</f>
        <v>0</v>
      </c>
      <c r="J3615" s="0" t="n">
        <f aca="false">F3615</f>
        <v>-0.25</v>
      </c>
      <c r="K3615" s="0" t="n">
        <f aca="false">D3615*E3615</f>
        <v>0</v>
      </c>
      <c r="L3615" s="0" t="n">
        <f aca="false">D3615*F3615</f>
        <v>-0.125</v>
      </c>
      <c r="M3615" s="0" t="n">
        <f aca="false">E3615*F3615</f>
        <v>-0</v>
      </c>
      <c r="N3615" s="0" t="n">
        <f aca="false">D3615*D3615</f>
        <v>0.25</v>
      </c>
      <c r="O3615" s="0" t="n">
        <f aca="false">E3615*E3615</f>
        <v>0</v>
      </c>
      <c r="P3615" s="0" t="n">
        <f aca="false">F3615*F3615</f>
        <v>0.0625</v>
      </c>
      <c r="Q3615" s="0" t="n">
        <f aca="false">SUMPRODUCT(G3615:P3615,_XtX!$B$71:$K$71)</f>
        <v>48.6717613636364</v>
      </c>
      <c r="R3615" s="0" t="n">
        <f aca="false">SUMPRODUCT(MMULT(G3615:P3615,_XtX!$B$58:$K$67),G3615:P3615)</f>
        <v>0.142862215909091</v>
      </c>
      <c r="S3615" s="0" t="n">
        <f aca="false">04_回帰ANOVA!$K$19*04_回帰ANOVA!$K$14*SQRT(1+R3615)</f>
        <v>0.993947792354123</v>
      </c>
      <c r="T3615" s="0" t="n">
        <f aca="false">Q3615-S3615</f>
        <v>47.6778135712823</v>
      </c>
      <c r="U3615" s="0" t="n">
        <f aca="false">Q3615+S3615</f>
        <v>49.6657091559905</v>
      </c>
      <c r="V3615" s="54" t="b">
        <f aca="false">AND(D3615&gt;=01_因子設定!$L$5-0.000000001,D3615&lt;=01_因子設定!$M$5+0.000000001,E3615&gt;=01_因子設定!$L$6-0.000000001,E3615&lt;=01_因子設定!$M$6+0.000000001,F3615&gt;=01_因子設定!$L$7-0.000000001,F3615&lt;=01_因子設定!$M$7+0.000000001,IF(01_因子設定!$B$20="Box-Behnken",D3615^2+E3615^2+F3615^2&lt;=2+0.000000001,TRUE()))</f>
        <v>1</v>
      </c>
      <c r="W3615" s="55" t="n">
        <f aca="false">IF(V3615,IF(01_因子設定!$B$13="最大化",T3615-01_因子設定!$B$14,IF(01_因子設定!$B$13="最小化",01_因子設定!$B$15-U3615,MIN(T3615-01_因子設定!$B$14,01_因子設定!$B$15-U3615))),-1E+030)</f>
        <v>-0.82218642871775</v>
      </c>
      <c r="X3615" s="55" t="n">
        <f aca="false">IF(V3615,IF(01_因子設定!$B$13="最大化",Q3615,IF(01_因子設定!$B$13="最小化",-Q3615,-ABS(Q3615-01_因子設定!$B$16))),-1E+030)</f>
        <v>48.6717613636364</v>
      </c>
      <c r="Y3615" s="55" t="n">
        <f aca="false">W3615+ROW()*0.000000001</f>
        <v>-0.82218281371775</v>
      </c>
      <c r="Z3615" s="55" t="n">
        <f aca="false">X3615+ROW()*0.000000001</f>
        <v>48.6717649786364</v>
      </c>
    </row>
    <row r="3616" customFormat="false" ht="15" hidden="false" customHeight="false" outlineLevel="0" collapsed="false">
      <c r="A3616" s="0" t="n">
        <v>12</v>
      </c>
      <c r="B3616" s="0" t="n">
        <v>8</v>
      </c>
      <c r="C3616" s="0" t="n">
        <v>7</v>
      </c>
      <c r="D3616" s="0" t="n">
        <f aca="false">-1+A3616*0.125</f>
        <v>0.5</v>
      </c>
      <c r="E3616" s="0" t="n">
        <f aca="false">-1+B3616*0.125</f>
        <v>0</v>
      </c>
      <c r="F3616" s="0" t="n">
        <f aca="false">-1+C3616*0.125</f>
        <v>-0.125</v>
      </c>
      <c r="G3616" s="0" t="n">
        <f aca="false">1</f>
        <v>1</v>
      </c>
      <c r="H3616" s="0" t="n">
        <f aca="false">D3616</f>
        <v>0.5</v>
      </c>
      <c r="I3616" s="0" t="n">
        <f aca="false">E3616</f>
        <v>0</v>
      </c>
      <c r="J3616" s="0" t="n">
        <f aca="false">F3616</f>
        <v>-0.125</v>
      </c>
      <c r="K3616" s="0" t="n">
        <f aca="false">D3616*E3616</f>
        <v>0</v>
      </c>
      <c r="L3616" s="0" t="n">
        <f aca="false">D3616*F3616</f>
        <v>-0.0625</v>
      </c>
      <c r="M3616" s="0" t="n">
        <f aca="false">E3616*F3616</f>
        <v>-0</v>
      </c>
      <c r="N3616" s="0" t="n">
        <f aca="false">D3616*D3616</f>
        <v>0.25</v>
      </c>
      <c r="O3616" s="0" t="n">
        <f aca="false">E3616*E3616</f>
        <v>0</v>
      </c>
      <c r="P3616" s="0" t="n">
        <f aca="false">F3616*F3616</f>
        <v>0.015625</v>
      </c>
      <c r="Q3616" s="0" t="n">
        <f aca="false">SUMPRODUCT(G3616:P3616,_XtX!$B$71:$K$71)</f>
        <v>48.8900710227273</v>
      </c>
      <c r="R3616" s="0" t="n">
        <f aca="false">SUMPRODUCT(MMULT(G3616:P3616,_XtX!$B$58:$K$67),G3616:P3616)</f>
        <v>0.142835582386364</v>
      </c>
      <c r="S3616" s="0" t="n">
        <f aca="false">04_回帰ANOVA!$K$19*04_回帰ANOVA!$K$14*SQRT(1+R3616)</f>
        <v>0.993936210693193</v>
      </c>
      <c r="T3616" s="0" t="n">
        <f aca="false">Q3616-S3616</f>
        <v>47.8961348120341</v>
      </c>
      <c r="U3616" s="0" t="n">
        <f aca="false">Q3616+S3616</f>
        <v>49.8840072334205</v>
      </c>
      <c r="V3616" s="54" t="b">
        <f aca="false">AND(D3616&gt;=01_因子設定!$L$5-0.000000001,D3616&lt;=01_因子設定!$M$5+0.000000001,E3616&gt;=01_因子設定!$L$6-0.000000001,E3616&lt;=01_因子設定!$M$6+0.000000001,F3616&gt;=01_因子設定!$L$7-0.000000001,F3616&lt;=01_因子設定!$M$7+0.000000001,IF(01_因子設定!$B$20="Box-Behnken",D3616^2+E3616^2+F3616^2&lt;=2+0.000000001,TRUE()))</f>
        <v>1</v>
      </c>
      <c r="W3616" s="55" t="n">
        <f aca="false">IF(V3616,IF(01_因子設定!$B$13="最大化",T3616-01_因子設定!$B$14,IF(01_因子設定!$B$13="最小化",01_因子設定!$B$15-U3616,MIN(T3616-01_因子設定!$B$14,01_因子設定!$B$15-U3616))),-1E+030)</f>
        <v>-0.603865187965916</v>
      </c>
      <c r="X3616" s="55" t="n">
        <f aca="false">IF(V3616,IF(01_因子設定!$B$13="最大化",Q3616,IF(01_因子設定!$B$13="最小化",-Q3616,-ABS(Q3616-01_因子設定!$B$16))),-1E+030)</f>
        <v>48.8900710227273</v>
      </c>
      <c r="Y3616" s="55" t="n">
        <f aca="false">W3616+ROW()*0.000000001</f>
        <v>-0.603861571965916</v>
      </c>
      <c r="Z3616" s="55" t="n">
        <f aca="false">X3616+ROW()*0.000000001</f>
        <v>48.8900746387273</v>
      </c>
    </row>
    <row r="3617" customFormat="false" ht="15" hidden="false" customHeight="false" outlineLevel="0" collapsed="false">
      <c r="A3617" s="0" t="n">
        <v>12</v>
      </c>
      <c r="B3617" s="0" t="n">
        <v>8</v>
      </c>
      <c r="C3617" s="0" t="n">
        <v>8</v>
      </c>
      <c r="D3617" s="0" t="n">
        <f aca="false">-1+A3617*0.125</f>
        <v>0.5</v>
      </c>
      <c r="E3617" s="0" t="n">
        <f aca="false">-1+B3617*0.125</f>
        <v>0</v>
      </c>
      <c r="F3617" s="0" t="n">
        <f aca="false">-1+C3617*0.125</f>
        <v>0</v>
      </c>
      <c r="G3617" s="0" t="n">
        <f aca="false">1</f>
        <v>1</v>
      </c>
      <c r="H3617" s="0" t="n">
        <f aca="false">D3617</f>
        <v>0.5</v>
      </c>
      <c r="I3617" s="0" t="n">
        <f aca="false">E3617</f>
        <v>0</v>
      </c>
      <c r="J3617" s="0" t="n">
        <f aca="false">F3617</f>
        <v>0</v>
      </c>
      <c r="K3617" s="0" t="n">
        <f aca="false">D3617*E3617</f>
        <v>0</v>
      </c>
      <c r="L3617" s="0" t="n">
        <f aca="false">D3617*F3617</f>
        <v>0</v>
      </c>
      <c r="M3617" s="0" t="n">
        <f aca="false">E3617*F3617</f>
        <v>0</v>
      </c>
      <c r="N3617" s="0" t="n">
        <f aca="false">D3617*D3617</f>
        <v>0.25</v>
      </c>
      <c r="O3617" s="0" t="n">
        <f aca="false">E3617*E3617</f>
        <v>0</v>
      </c>
      <c r="P3617" s="0" t="n">
        <f aca="false">F3617*F3617</f>
        <v>0</v>
      </c>
      <c r="Q3617" s="0" t="n">
        <f aca="false">SUMPRODUCT(G3617:P3617,_XtX!$B$71:$K$71)</f>
        <v>49.0715909090909</v>
      </c>
      <c r="R3617" s="0" t="n">
        <f aca="false">SUMPRODUCT(MMULT(G3617:P3617,_XtX!$B$58:$K$67),G3617:P3617)</f>
        <v>0.143181818181818</v>
      </c>
      <c r="S3617" s="0" t="n">
        <f aca="false">04_回帰ANOVA!$K$19*04_回帰ANOVA!$K$14*SQRT(1+R3617)</f>
        <v>0.994086761760527</v>
      </c>
      <c r="T3617" s="0" t="n">
        <f aca="false">Q3617-S3617</f>
        <v>48.0775041473304</v>
      </c>
      <c r="U3617" s="0" t="n">
        <f aca="false">Q3617+S3617</f>
        <v>50.0656776708514</v>
      </c>
      <c r="V3617" s="54" t="b">
        <f aca="false">AND(D3617&gt;=01_因子設定!$L$5-0.000000001,D3617&lt;=01_因子設定!$M$5+0.000000001,E3617&gt;=01_因子設定!$L$6-0.000000001,E3617&lt;=01_因子設定!$M$6+0.000000001,F3617&gt;=01_因子設定!$L$7-0.000000001,F3617&lt;=01_因子設定!$M$7+0.000000001,IF(01_因子設定!$B$20="Box-Behnken",D3617^2+E3617^2+F3617^2&lt;=2+0.000000001,TRUE()))</f>
        <v>1</v>
      </c>
      <c r="W3617" s="55" t="n">
        <f aca="false">IF(V3617,IF(01_因子設定!$B$13="最大化",T3617-01_因子設定!$B$14,IF(01_因子設定!$B$13="最小化",01_因子設定!$B$15-U3617,MIN(T3617-01_因子設定!$B$14,01_因子設定!$B$15-U3617))),-1E+030)</f>
        <v>-0.422495852669613</v>
      </c>
      <c r="X3617" s="55" t="n">
        <f aca="false">IF(V3617,IF(01_因子設定!$B$13="最大化",Q3617,IF(01_因子設定!$B$13="最小化",-Q3617,-ABS(Q3617-01_因子設定!$B$16))),-1E+030)</f>
        <v>49.0715909090909</v>
      </c>
      <c r="Y3617" s="55" t="n">
        <f aca="false">W3617+ROW()*0.000000001</f>
        <v>-0.422492235669613</v>
      </c>
      <c r="Z3617" s="55" t="n">
        <f aca="false">X3617+ROW()*0.000000001</f>
        <v>49.0715945260909</v>
      </c>
    </row>
    <row r="3618" customFormat="false" ht="15" hidden="false" customHeight="false" outlineLevel="0" collapsed="false">
      <c r="A3618" s="0" t="n">
        <v>12</v>
      </c>
      <c r="B3618" s="0" t="n">
        <v>8</v>
      </c>
      <c r="C3618" s="0" t="n">
        <v>9</v>
      </c>
      <c r="D3618" s="0" t="n">
        <f aca="false">-1+A3618*0.125</f>
        <v>0.5</v>
      </c>
      <c r="E3618" s="0" t="n">
        <f aca="false">-1+B3618*0.125</f>
        <v>0</v>
      </c>
      <c r="F3618" s="0" t="n">
        <f aca="false">-1+C3618*0.125</f>
        <v>0.125</v>
      </c>
      <c r="G3618" s="0" t="n">
        <f aca="false">1</f>
        <v>1</v>
      </c>
      <c r="H3618" s="0" t="n">
        <f aca="false">D3618</f>
        <v>0.5</v>
      </c>
      <c r="I3618" s="0" t="n">
        <f aca="false">E3618</f>
        <v>0</v>
      </c>
      <c r="J3618" s="0" t="n">
        <f aca="false">F3618</f>
        <v>0.125</v>
      </c>
      <c r="K3618" s="0" t="n">
        <f aca="false">D3618*E3618</f>
        <v>0</v>
      </c>
      <c r="L3618" s="0" t="n">
        <f aca="false">D3618*F3618</f>
        <v>0.0625</v>
      </c>
      <c r="M3618" s="0" t="n">
        <f aca="false">E3618*F3618</f>
        <v>0</v>
      </c>
      <c r="N3618" s="0" t="n">
        <f aca="false">D3618*D3618</f>
        <v>0.25</v>
      </c>
      <c r="O3618" s="0" t="n">
        <f aca="false">E3618*E3618</f>
        <v>0</v>
      </c>
      <c r="P3618" s="0" t="n">
        <f aca="false">F3618*F3618</f>
        <v>0.015625</v>
      </c>
      <c r="Q3618" s="0" t="n">
        <f aca="false">SUMPRODUCT(G3618:P3618,_XtX!$B$71:$K$71)</f>
        <v>49.2163210227273</v>
      </c>
      <c r="R3618" s="0" t="n">
        <f aca="false">SUMPRODUCT(MMULT(G3618:P3618,_XtX!$B$58:$K$67),G3618:P3618)</f>
        <v>0.142835582386364</v>
      </c>
      <c r="S3618" s="0" t="n">
        <f aca="false">04_回帰ANOVA!$K$19*04_回帰ANOVA!$K$14*SQRT(1+R3618)</f>
        <v>0.993936210693193</v>
      </c>
      <c r="T3618" s="0" t="n">
        <f aca="false">Q3618-S3618</f>
        <v>48.2223848120341</v>
      </c>
      <c r="U3618" s="0" t="n">
        <f aca="false">Q3618+S3618</f>
        <v>50.2102572334205</v>
      </c>
      <c r="V3618" s="54" t="b">
        <f aca="false">AND(D3618&gt;=01_因子設定!$L$5-0.000000001,D3618&lt;=01_因子設定!$M$5+0.000000001,E3618&gt;=01_因子設定!$L$6-0.000000001,E3618&lt;=01_因子設定!$M$6+0.000000001,F3618&gt;=01_因子設定!$L$7-0.000000001,F3618&lt;=01_因子設定!$M$7+0.000000001,IF(01_因子設定!$B$20="Box-Behnken",D3618^2+E3618^2+F3618^2&lt;=2+0.000000001,TRUE()))</f>
        <v>1</v>
      </c>
      <c r="W3618" s="55" t="n">
        <f aca="false">IF(V3618,IF(01_因子設定!$B$13="最大化",T3618-01_因子設定!$B$14,IF(01_因子設定!$B$13="最小化",01_因子設定!$B$15-U3618,MIN(T3618-01_因子設定!$B$14,01_因子設定!$B$15-U3618))),-1E+030)</f>
        <v>-0.277615187965914</v>
      </c>
      <c r="X3618" s="55" t="n">
        <f aca="false">IF(V3618,IF(01_因子設定!$B$13="最大化",Q3618,IF(01_因子設定!$B$13="最小化",-Q3618,-ABS(Q3618-01_因子設定!$B$16))),-1E+030)</f>
        <v>49.2163210227273</v>
      </c>
      <c r="Y3618" s="55" t="n">
        <f aca="false">W3618+ROW()*0.000000001</f>
        <v>-0.277611569965914</v>
      </c>
      <c r="Z3618" s="55" t="n">
        <f aca="false">X3618+ROW()*0.000000001</f>
        <v>49.2163246407273</v>
      </c>
    </row>
    <row r="3619" customFormat="false" ht="15" hidden="false" customHeight="false" outlineLevel="0" collapsed="false">
      <c r="A3619" s="0" t="n">
        <v>12</v>
      </c>
      <c r="B3619" s="0" t="n">
        <v>8</v>
      </c>
      <c r="C3619" s="0" t="n">
        <v>10</v>
      </c>
      <c r="D3619" s="0" t="n">
        <f aca="false">-1+A3619*0.125</f>
        <v>0.5</v>
      </c>
      <c r="E3619" s="0" t="n">
        <f aca="false">-1+B3619*0.125</f>
        <v>0</v>
      </c>
      <c r="F3619" s="0" t="n">
        <f aca="false">-1+C3619*0.125</f>
        <v>0.25</v>
      </c>
      <c r="G3619" s="0" t="n">
        <f aca="false">1</f>
        <v>1</v>
      </c>
      <c r="H3619" s="0" t="n">
        <f aca="false">D3619</f>
        <v>0.5</v>
      </c>
      <c r="I3619" s="0" t="n">
        <f aca="false">E3619</f>
        <v>0</v>
      </c>
      <c r="J3619" s="0" t="n">
        <f aca="false">F3619</f>
        <v>0.25</v>
      </c>
      <c r="K3619" s="0" t="n">
        <f aca="false">D3619*E3619</f>
        <v>0</v>
      </c>
      <c r="L3619" s="0" t="n">
        <f aca="false">D3619*F3619</f>
        <v>0.125</v>
      </c>
      <c r="M3619" s="0" t="n">
        <f aca="false">E3619*F3619</f>
        <v>0</v>
      </c>
      <c r="N3619" s="0" t="n">
        <f aca="false">D3619*D3619</f>
        <v>0.25</v>
      </c>
      <c r="O3619" s="0" t="n">
        <f aca="false">E3619*E3619</f>
        <v>0</v>
      </c>
      <c r="P3619" s="0" t="n">
        <f aca="false">F3619*F3619</f>
        <v>0.0625</v>
      </c>
      <c r="Q3619" s="0" t="n">
        <f aca="false">SUMPRODUCT(G3619:P3619,_XtX!$B$71:$K$71)</f>
        <v>49.3242613636364</v>
      </c>
      <c r="R3619" s="0" t="n">
        <f aca="false">SUMPRODUCT(MMULT(G3619:P3619,_XtX!$B$58:$K$67),G3619:P3619)</f>
        <v>0.142862215909091</v>
      </c>
      <c r="S3619" s="0" t="n">
        <f aca="false">04_回帰ANOVA!$K$19*04_回帰ANOVA!$K$14*SQRT(1+R3619)</f>
        <v>0.993947792354123</v>
      </c>
      <c r="T3619" s="0" t="n">
        <f aca="false">Q3619-S3619</f>
        <v>48.3303135712823</v>
      </c>
      <c r="U3619" s="0" t="n">
        <f aca="false">Q3619+S3619</f>
        <v>50.3182091559905</v>
      </c>
      <c r="V3619" s="54" t="b">
        <f aca="false">AND(D3619&gt;=01_因子設定!$L$5-0.000000001,D3619&lt;=01_因子設定!$M$5+0.000000001,E3619&gt;=01_因子設定!$L$6-0.000000001,E3619&lt;=01_因子設定!$M$6+0.000000001,F3619&gt;=01_因子設定!$L$7-0.000000001,F3619&lt;=01_因子設定!$M$7+0.000000001,IF(01_因子設定!$B$20="Box-Behnken",D3619^2+E3619^2+F3619^2&lt;=2+0.000000001,TRUE()))</f>
        <v>1</v>
      </c>
      <c r="W3619" s="55" t="n">
        <f aca="false">IF(V3619,IF(01_因子設定!$B$13="最大化",T3619-01_因子設定!$B$14,IF(01_因子設定!$B$13="最小化",01_因子設定!$B$15-U3619,MIN(T3619-01_因子設定!$B$14,01_因子設定!$B$15-U3619))),-1E+030)</f>
        <v>-0.169686428717753</v>
      </c>
      <c r="X3619" s="55" t="n">
        <f aca="false">IF(V3619,IF(01_因子設定!$B$13="最大化",Q3619,IF(01_因子設定!$B$13="最小化",-Q3619,-ABS(Q3619-01_因子設定!$B$16))),-1E+030)</f>
        <v>49.3242613636364</v>
      </c>
      <c r="Y3619" s="55" t="n">
        <f aca="false">W3619+ROW()*0.000000001</f>
        <v>-0.169682809717753</v>
      </c>
      <c r="Z3619" s="55" t="n">
        <f aca="false">X3619+ROW()*0.000000001</f>
        <v>49.3242649826364</v>
      </c>
    </row>
    <row r="3620" customFormat="false" ht="15" hidden="false" customHeight="false" outlineLevel="0" collapsed="false">
      <c r="A3620" s="0" t="n">
        <v>12</v>
      </c>
      <c r="B3620" s="0" t="n">
        <v>8</v>
      </c>
      <c r="C3620" s="0" t="n">
        <v>11</v>
      </c>
      <c r="D3620" s="0" t="n">
        <f aca="false">-1+A3620*0.125</f>
        <v>0.5</v>
      </c>
      <c r="E3620" s="0" t="n">
        <f aca="false">-1+B3620*0.125</f>
        <v>0</v>
      </c>
      <c r="F3620" s="0" t="n">
        <f aca="false">-1+C3620*0.125</f>
        <v>0.375</v>
      </c>
      <c r="G3620" s="0" t="n">
        <f aca="false">1</f>
        <v>1</v>
      </c>
      <c r="H3620" s="0" t="n">
        <f aca="false">D3620</f>
        <v>0.5</v>
      </c>
      <c r="I3620" s="0" t="n">
        <f aca="false">E3620</f>
        <v>0</v>
      </c>
      <c r="J3620" s="0" t="n">
        <f aca="false">F3620</f>
        <v>0.375</v>
      </c>
      <c r="K3620" s="0" t="n">
        <f aca="false">D3620*E3620</f>
        <v>0</v>
      </c>
      <c r="L3620" s="0" t="n">
        <f aca="false">D3620*F3620</f>
        <v>0.1875</v>
      </c>
      <c r="M3620" s="0" t="n">
        <f aca="false">E3620*F3620</f>
        <v>0</v>
      </c>
      <c r="N3620" s="0" t="n">
        <f aca="false">D3620*D3620</f>
        <v>0.25</v>
      </c>
      <c r="O3620" s="0" t="n">
        <f aca="false">E3620*E3620</f>
        <v>0</v>
      </c>
      <c r="P3620" s="0" t="n">
        <f aca="false">F3620*F3620</f>
        <v>0.140625</v>
      </c>
      <c r="Q3620" s="0" t="n">
        <f aca="false">SUMPRODUCT(G3620:P3620,_XtX!$B$71:$K$71)</f>
        <v>49.3954119318182</v>
      </c>
      <c r="R3620" s="0" t="n">
        <f aca="false">SUMPRODUCT(MMULT(G3620:P3620,_XtX!$B$58:$K$67),G3620:P3620)</f>
        <v>0.146457741477273</v>
      </c>
      <c r="S3620" s="0" t="n">
        <f aca="false">04_回帰ANOVA!$K$19*04_回帰ANOVA!$K$14*SQRT(1+R3620)</f>
        <v>0.995510079668687</v>
      </c>
      <c r="T3620" s="0" t="n">
        <f aca="false">Q3620-S3620</f>
        <v>48.3999018521495</v>
      </c>
      <c r="U3620" s="0" t="n">
        <f aca="false">Q3620+S3620</f>
        <v>50.3909220114869</v>
      </c>
      <c r="V3620" s="54" t="b">
        <f aca="false">AND(D3620&gt;=01_因子設定!$L$5-0.000000001,D3620&lt;=01_因子設定!$M$5+0.000000001,E3620&gt;=01_因子設定!$L$6-0.000000001,E3620&lt;=01_因子設定!$M$6+0.000000001,F3620&gt;=01_因子設定!$L$7-0.000000001,F3620&lt;=01_因子設定!$M$7+0.000000001,IF(01_因子設定!$B$20="Box-Behnken",D3620^2+E3620^2+F3620^2&lt;=2+0.000000001,TRUE()))</f>
        <v>1</v>
      </c>
      <c r="W3620" s="55" t="n">
        <f aca="false">IF(V3620,IF(01_因子設定!$B$13="最大化",T3620-01_因子設定!$B$14,IF(01_因子設定!$B$13="最小化",01_因子設定!$B$15-U3620,MIN(T3620-01_因子設定!$B$14,01_因子設定!$B$15-U3620))),-1E+030)</f>
        <v>-0.100098147850495</v>
      </c>
      <c r="X3620" s="55" t="n">
        <f aca="false">IF(V3620,IF(01_因子設定!$B$13="最大化",Q3620,IF(01_因子設定!$B$13="最小化",-Q3620,-ABS(Q3620-01_因子設定!$B$16))),-1E+030)</f>
        <v>49.3954119318182</v>
      </c>
      <c r="Y3620" s="55" t="n">
        <f aca="false">W3620+ROW()*0.000000001</f>
        <v>-0.100094527850495</v>
      </c>
      <c r="Z3620" s="55" t="n">
        <f aca="false">X3620+ROW()*0.000000001</f>
        <v>49.3954155518182</v>
      </c>
    </row>
    <row r="3621" customFormat="false" ht="15" hidden="false" customHeight="false" outlineLevel="0" collapsed="false">
      <c r="A3621" s="0" t="n">
        <v>12</v>
      </c>
      <c r="B3621" s="0" t="n">
        <v>8</v>
      </c>
      <c r="C3621" s="0" t="n">
        <v>12</v>
      </c>
      <c r="D3621" s="0" t="n">
        <f aca="false">-1+A3621*0.125</f>
        <v>0.5</v>
      </c>
      <c r="E3621" s="0" t="n">
        <f aca="false">-1+B3621*0.125</f>
        <v>0</v>
      </c>
      <c r="F3621" s="0" t="n">
        <f aca="false">-1+C3621*0.125</f>
        <v>0.5</v>
      </c>
      <c r="G3621" s="0" t="n">
        <f aca="false">1</f>
        <v>1</v>
      </c>
      <c r="H3621" s="0" t="n">
        <f aca="false">D3621</f>
        <v>0.5</v>
      </c>
      <c r="I3621" s="0" t="n">
        <f aca="false">E3621</f>
        <v>0</v>
      </c>
      <c r="J3621" s="0" t="n">
        <f aca="false">F3621</f>
        <v>0.5</v>
      </c>
      <c r="K3621" s="0" t="n">
        <f aca="false">D3621*E3621</f>
        <v>0</v>
      </c>
      <c r="L3621" s="0" t="n">
        <f aca="false">D3621*F3621</f>
        <v>0.25</v>
      </c>
      <c r="M3621" s="0" t="n">
        <f aca="false">E3621*F3621</f>
        <v>0</v>
      </c>
      <c r="N3621" s="0" t="n">
        <f aca="false">D3621*D3621</f>
        <v>0.25</v>
      </c>
      <c r="O3621" s="0" t="n">
        <f aca="false">E3621*E3621</f>
        <v>0</v>
      </c>
      <c r="P3621" s="0" t="n">
        <f aca="false">F3621*F3621</f>
        <v>0.25</v>
      </c>
      <c r="Q3621" s="0" t="n">
        <f aca="false">SUMPRODUCT(G3621:P3621,_XtX!$B$71:$K$71)</f>
        <v>49.4297727272727</v>
      </c>
      <c r="R3621" s="0" t="n">
        <f aca="false">SUMPRODUCT(MMULT(G3621:P3621,_XtX!$B$58:$K$67),G3621:P3621)</f>
        <v>0.158948863636364</v>
      </c>
      <c r="S3621" s="0" t="n">
        <f aca="false">04_回帰ANOVA!$K$19*04_回帰ANOVA!$K$14*SQRT(1+R3621)</f>
        <v>1.00091863056612</v>
      </c>
      <c r="T3621" s="0" t="n">
        <f aca="false">Q3621-S3621</f>
        <v>48.4288540967066</v>
      </c>
      <c r="U3621" s="0" t="n">
        <f aca="false">Q3621+S3621</f>
        <v>50.4306913578389</v>
      </c>
      <c r="V3621" s="54" t="b">
        <f aca="false">AND(D3621&gt;=01_因子設定!$L$5-0.000000001,D3621&lt;=01_因子設定!$M$5+0.000000001,E3621&gt;=01_因子設定!$L$6-0.000000001,E3621&lt;=01_因子設定!$M$6+0.000000001,F3621&gt;=01_因子設定!$L$7-0.000000001,F3621&lt;=01_因子設定!$M$7+0.000000001,IF(01_因子設定!$B$20="Box-Behnken",D3621^2+E3621^2+F3621^2&lt;=2+0.000000001,TRUE()))</f>
        <v>1</v>
      </c>
      <c r="W3621" s="55" t="n">
        <f aca="false">IF(V3621,IF(01_因子設定!$B$13="最大化",T3621-01_因子設定!$B$14,IF(01_因子設定!$B$13="最小化",01_因子設定!$B$15-U3621,MIN(T3621-01_因子設定!$B$14,01_因子設定!$B$15-U3621))),-1E+030)</f>
        <v>-0.0711459032933846</v>
      </c>
      <c r="X3621" s="55" t="n">
        <f aca="false">IF(V3621,IF(01_因子設定!$B$13="最大化",Q3621,IF(01_因子設定!$B$13="最小化",-Q3621,-ABS(Q3621-01_因子設定!$B$16))),-1E+030)</f>
        <v>49.4297727272727</v>
      </c>
      <c r="Y3621" s="55" t="n">
        <f aca="false">W3621+ROW()*0.000000001</f>
        <v>-0.0711422822933846</v>
      </c>
      <c r="Z3621" s="55" t="n">
        <f aca="false">X3621+ROW()*0.000000001</f>
        <v>49.4297763482727</v>
      </c>
    </row>
    <row r="3622" customFormat="false" ht="15" hidden="false" customHeight="false" outlineLevel="0" collapsed="false">
      <c r="A3622" s="0" t="n">
        <v>12</v>
      </c>
      <c r="B3622" s="0" t="n">
        <v>8</v>
      </c>
      <c r="C3622" s="0" t="n">
        <v>13</v>
      </c>
      <c r="D3622" s="0" t="n">
        <f aca="false">-1+A3622*0.125</f>
        <v>0.5</v>
      </c>
      <c r="E3622" s="0" t="n">
        <f aca="false">-1+B3622*0.125</f>
        <v>0</v>
      </c>
      <c r="F3622" s="0" t="n">
        <f aca="false">-1+C3622*0.125</f>
        <v>0.625</v>
      </c>
      <c r="G3622" s="0" t="n">
        <f aca="false">1</f>
        <v>1</v>
      </c>
      <c r="H3622" s="0" t="n">
        <f aca="false">D3622</f>
        <v>0.5</v>
      </c>
      <c r="I3622" s="0" t="n">
        <f aca="false">E3622</f>
        <v>0</v>
      </c>
      <c r="J3622" s="0" t="n">
        <f aca="false">F3622</f>
        <v>0.625</v>
      </c>
      <c r="K3622" s="0" t="n">
        <f aca="false">D3622*E3622</f>
        <v>0</v>
      </c>
      <c r="L3622" s="0" t="n">
        <f aca="false">D3622*F3622</f>
        <v>0.3125</v>
      </c>
      <c r="M3622" s="0" t="n">
        <f aca="false">E3622*F3622</f>
        <v>0</v>
      </c>
      <c r="N3622" s="0" t="n">
        <f aca="false">D3622*D3622</f>
        <v>0.25</v>
      </c>
      <c r="O3622" s="0" t="n">
        <f aca="false">E3622*E3622</f>
        <v>0</v>
      </c>
      <c r="P3622" s="0" t="n">
        <f aca="false">F3622*F3622</f>
        <v>0.390625</v>
      </c>
      <c r="Q3622" s="0" t="n">
        <f aca="false">SUMPRODUCT(G3622:P3622,_XtX!$B$71:$K$71)</f>
        <v>49.42734375</v>
      </c>
      <c r="R3622" s="0" t="n">
        <f aca="false">SUMPRODUCT(MMULT(G3622:P3622,_XtX!$B$58:$K$67),G3622:P3622)</f>
        <v>0.18779296875</v>
      </c>
      <c r="S3622" s="0" t="n">
        <f aca="false">04_回帰ANOVA!$K$19*04_回帰ANOVA!$K$14*SQRT(1+R3622)</f>
        <v>1.01329759319777</v>
      </c>
      <c r="T3622" s="0" t="n">
        <f aca="false">Q3622-S3622</f>
        <v>48.4140461568022</v>
      </c>
      <c r="U3622" s="0" t="n">
        <f aca="false">Q3622+S3622</f>
        <v>50.4406413431978</v>
      </c>
      <c r="V3622" s="54" t="b">
        <f aca="false">AND(D3622&gt;=01_因子設定!$L$5-0.000000001,D3622&lt;=01_因子設定!$M$5+0.000000001,E3622&gt;=01_因子設定!$L$6-0.000000001,E3622&lt;=01_因子設定!$M$6+0.000000001,F3622&gt;=01_因子設定!$L$7-0.000000001,F3622&lt;=01_因子設定!$M$7+0.000000001,IF(01_因子設定!$B$20="Box-Behnken",D3622^2+E3622^2+F3622^2&lt;=2+0.000000001,TRUE()))</f>
        <v>1</v>
      </c>
      <c r="W3622" s="55" t="n">
        <f aca="false">IF(V3622,IF(01_因子設定!$B$13="最大化",T3622-01_因子設定!$B$14,IF(01_因子設定!$B$13="最小化",01_因子設定!$B$15-U3622,MIN(T3622-01_因子設定!$B$14,01_因子設定!$B$15-U3622))),-1E+030)</f>
        <v>-0.0859538431977569</v>
      </c>
      <c r="X3622" s="55" t="n">
        <f aca="false">IF(V3622,IF(01_因子設定!$B$13="最大化",Q3622,IF(01_因子設定!$B$13="最小化",-Q3622,-ABS(Q3622-01_因子設定!$B$16))),-1E+030)</f>
        <v>49.42734375</v>
      </c>
      <c r="Y3622" s="55" t="n">
        <f aca="false">W3622+ROW()*0.000000001</f>
        <v>-0.0859502211977569</v>
      </c>
      <c r="Z3622" s="55" t="n">
        <f aca="false">X3622+ROW()*0.000000001</f>
        <v>49.427347372</v>
      </c>
    </row>
    <row r="3623" customFormat="false" ht="15" hidden="false" customHeight="false" outlineLevel="0" collapsed="false">
      <c r="A3623" s="0" t="n">
        <v>12</v>
      </c>
      <c r="B3623" s="0" t="n">
        <v>8</v>
      </c>
      <c r="C3623" s="0" t="n">
        <v>14</v>
      </c>
      <c r="D3623" s="0" t="n">
        <f aca="false">-1+A3623*0.125</f>
        <v>0.5</v>
      </c>
      <c r="E3623" s="0" t="n">
        <f aca="false">-1+B3623*0.125</f>
        <v>0</v>
      </c>
      <c r="F3623" s="0" t="n">
        <f aca="false">-1+C3623*0.125</f>
        <v>0.75</v>
      </c>
      <c r="G3623" s="0" t="n">
        <f aca="false">1</f>
        <v>1</v>
      </c>
      <c r="H3623" s="0" t="n">
        <f aca="false">D3623</f>
        <v>0.5</v>
      </c>
      <c r="I3623" s="0" t="n">
        <f aca="false">E3623</f>
        <v>0</v>
      </c>
      <c r="J3623" s="0" t="n">
        <f aca="false">F3623</f>
        <v>0.75</v>
      </c>
      <c r="K3623" s="0" t="n">
        <f aca="false">D3623*E3623</f>
        <v>0</v>
      </c>
      <c r="L3623" s="0" t="n">
        <f aca="false">D3623*F3623</f>
        <v>0.375</v>
      </c>
      <c r="M3623" s="0" t="n">
        <f aca="false">E3623*F3623</f>
        <v>0</v>
      </c>
      <c r="N3623" s="0" t="n">
        <f aca="false">D3623*D3623</f>
        <v>0.25</v>
      </c>
      <c r="O3623" s="0" t="n">
        <f aca="false">E3623*E3623</f>
        <v>0</v>
      </c>
      <c r="P3623" s="0" t="n">
        <f aca="false">F3623*F3623</f>
        <v>0.5625</v>
      </c>
      <c r="Q3623" s="0" t="n">
        <f aca="false">SUMPRODUCT(G3623:P3623,_XtX!$B$71:$K$71)</f>
        <v>49.388125</v>
      </c>
      <c r="R3623" s="0" t="n">
        <f aca="false">SUMPRODUCT(MMULT(G3623:P3623,_XtX!$B$58:$K$67),G3623:P3623)</f>
        <v>0.242578125</v>
      </c>
      <c r="S3623" s="0" t="n">
        <f aca="false">04_回帰ANOVA!$K$19*04_回帰ANOVA!$K$14*SQRT(1+R3623)</f>
        <v>1.03640258600455</v>
      </c>
      <c r="T3623" s="0" t="n">
        <f aca="false">Q3623-S3623</f>
        <v>48.3517224139955</v>
      </c>
      <c r="U3623" s="0" t="n">
        <f aca="false">Q3623+S3623</f>
        <v>50.4245275860046</v>
      </c>
      <c r="V3623" s="54" t="b">
        <f aca="false">AND(D3623&gt;=01_因子設定!$L$5-0.000000001,D3623&lt;=01_因子設定!$M$5+0.000000001,E3623&gt;=01_因子設定!$L$6-0.000000001,E3623&lt;=01_因子設定!$M$6+0.000000001,F3623&gt;=01_因子設定!$L$7-0.000000001,F3623&lt;=01_因子設定!$M$7+0.000000001,IF(01_因子設定!$B$20="Box-Behnken",D3623^2+E3623^2+F3623^2&lt;=2+0.000000001,TRUE()))</f>
        <v>1</v>
      </c>
      <c r="W3623" s="55" t="n">
        <f aca="false">IF(V3623,IF(01_因子設定!$B$13="最大化",T3623-01_因子設定!$B$14,IF(01_因子設定!$B$13="最小化",01_因子設定!$B$15-U3623,MIN(T3623-01_因子設定!$B$14,01_因子設定!$B$15-U3623))),-1E+030)</f>
        <v>-0.148277586004532</v>
      </c>
      <c r="X3623" s="55" t="n">
        <f aca="false">IF(V3623,IF(01_因子設定!$B$13="最大化",Q3623,IF(01_因子設定!$B$13="最小化",-Q3623,-ABS(Q3623-01_因子設定!$B$16))),-1E+030)</f>
        <v>49.388125</v>
      </c>
      <c r="Y3623" s="55" t="n">
        <f aca="false">W3623+ROW()*0.000000001</f>
        <v>-0.148273963004532</v>
      </c>
      <c r="Z3623" s="55" t="n">
        <f aca="false">X3623+ROW()*0.000000001</f>
        <v>49.388128623</v>
      </c>
    </row>
    <row r="3624" customFormat="false" ht="15" hidden="false" customHeight="false" outlineLevel="0" collapsed="false">
      <c r="A3624" s="0" t="n">
        <v>12</v>
      </c>
      <c r="B3624" s="0" t="n">
        <v>8</v>
      </c>
      <c r="C3624" s="0" t="n">
        <v>15</v>
      </c>
      <c r="D3624" s="0" t="n">
        <f aca="false">-1+A3624*0.125</f>
        <v>0.5</v>
      </c>
      <c r="E3624" s="0" t="n">
        <f aca="false">-1+B3624*0.125</f>
        <v>0</v>
      </c>
      <c r="F3624" s="0" t="n">
        <f aca="false">-1+C3624*0.125</f>
        <v>0.875</v>
      </c>
      <c r="G3624" s="0" t="n">
        <f aca="false">1</f>
        <v>1</v>
      </c>
      <c r="H3624" s="0" t="n">
        <f aca="false">D3624</f>
        <v>0.5</v>
      </c>
      <c r="I3624" s="0" t="n">
        <f aca="false">E3624</f>
        <v>0</v>
      </c>
      <c r="J3624" s="0" t="n">
        <f aca="false">F3624</f>
        <v>0.875</v>
      </c>
      <c r="K3624" s="0" t="n">
        <f aca="false">D3624*E3624</f>
        <v>0</v>
      </c>
      <c r="L3624" s="0" t="n">
        <f aca="false">D3624*F3624</f>
        <v>0.4375</v>
      </c>
      <c r="M3624" s="0" t="n">
        <f aca="false">E3624*F3624</f>
        <v>0</v>
      </c>
      <c r="N3624" s="0" t="n">
        <f aca="false">D3624*D3624</f>
        <v>0.25</v>
      </c>
      <c r="O3624" s="0" t="n">
        <f aca="false">E3624*E3624</f>
        <v>0</v>
      </c>
      <c r="P3624" s="0" t="n">
        <f aca="false">F3624*F3624</f>
        <v>0.765625</v>
      </c>
      <c r="Q3624" s="0" t="n">
        <f aca="false">SUMPRODUCT(G3624:P3624,_XtX!$B$71:$K$71)</f>
        <v>49.3121164772727</v>
      </c>
      <c r="R3624" s="0" t="n">
        <f aca="false">SUMPRODUCT(MMULT(G3624:P3624,_XtX!$B$58:$K$67),G3624:P3624)</f>
        <v>0.335023082386364</v>
      </c>
      <c r="S3624" s="0" t="n">
        <f aca="false">04_回帰ANOVA!$K$19*04_回帰ANOVA!$K$14*SQRT(1+R3624)</f>
        <v>1.07426400295275</v>
      </c>
      <c r="T3624" s="0" t="n">
        <f aca="false">Q3624-S3624</f>
        <v>48.23785247432</v>
      </c>
      <c r="U3624" s="0" t="n">
        <f aca="false">Q3624+S3624</f>
        <v>50.3863804802255</v>
      </c>
      <c r="V3624" s="54" t="b">
        <f aca="false">AND(D3624&gt;=01_因子設定!$L$5-0.000000001,D3624&lt;=01_因子設定!$M$5+0.000000001,E3624&gt;=01_因子設定!$L$6-0.000000001,E3624&lt;=01_因子設定!$M$6+0.000000001,F3624&gt;=01_因子設定!$L$7-0.000000001,F3624&lt;=01_因子設定!$M$7+0.000000001,IF(01_因子設定!$B$20="Box-Behnken",D3624^2+E3624^2+F3624^2&lt;=2+0.000000001,TRUE()))</f>
        <v>1</v>
      </c>
      <c r="W3624" s="55" t="n">
        <f aca="false">IF(V3624,IF(01_因子設定!$B$13="最大化",T3624-01_因子設定!$B$14,IF(01_因子設定!$B$13="最小化",01_因子設定!$B$15-U3624,MIN(T3624-01_因子設定!$B$14,01_因子設定!$B$15-U3624))),-1E+030)</f>
        <v>-0.262147525680007</v>
      </c>
      <c r="X3624" s="55" t="n">
        <f aca="false">IF(V3624,IF(01_因子設定!$B$13="最大化",Q3624,IF(01_因子設定!$B$13="最小化",-Q3624,-ABS(Q3624-01_因子設定!$B$16))),-1E+030)</f>
        <v>49.3121164772727</v>
      </c>
      <c r="Y3624" s="55" t="n">
        <f aca="false">W3624+ROW()*0.000000001</f>
        <v>-0.262143901680007</v>
      </c>
      <c r="Z3624" s="55" t="n">
        <f aca="false">X3624+ROW()*0.000000001</f>
        <v>49.3121201012728</v>
      </c>
    </row>
    <row r="3625" customFormat="false" ht="15" hidden="false" customHeight="false" outlineLevel="0" collapsed="false">
      <c r="A3625" s="0" t="n">
        <v>12</v>
      </c>
      <c r="B3625" s="0" t="n">
        <v>8</v>
      </c>
      <c r="C3625" s="0" t="n">
        <v>16</v>
      </c>
      <c r="D3625" s="0" t="n">
        <f aca="false">-1+A3625*0.125</f>
        <v>0.5</v>
      </c>
      <c r="E3625" s="0" t="n">
        <f aca="false">-1+B3625*0.125</f>
        <v>0</v>
      </c>
      <c r="F3625" s="0" t="n">
        <f aca="false">-1+C3625*0.125</f>
        <v>1</v>
      </c>
      <c r="G3625" s="0" t="n">
        <f aca="false">1</f>
        <v>1</v>
      </c>
      <c r="H3625" s="0" t="n">
        <f aca="false">D3625</f>
        <v>0.5</v>
      </c>
      <c r="I3625" s="0" t="n">
        <f aca="false">E3625</f>
        <v>0</v>
      </c>
      <c r="J3625" s="0" t="n">
        <f aca="false">F3625</f>
        <v>1</v>
      </c>
      <c r="K3625" s="0" t="n">
        <f aca="false">D3625*E3625</f>
        <v>0</v>
      </c>
      <c r="L3625" s="0" t="n">
        <f aca="false">D3625*F3625</f>
        <v>0.5</v>
      </c>
      <c r="M3625" s="0" t="n">
        <f aca="false">E3625*F3625</f>
        <v>0</v>
      </c>
      <c r="N3625" s="0" t="n">
        <f aca="false">D3625*D3625</f>
        <v>0.25</v>
      </c>
      <c r="O3625" s="0" t="n">
        <f aca="false">E3625*E3625</f>
        <v>0</v>
      </c>
      <c r="P3625" s="0" t="n">
        <f aca="false">F3625*F3625</f>
        <v>1</v>
      </c>
      <c r="Q3625" s="0" t="n">
        <f aca="false">SUMPRODUCT(G3625:P3625,_XtX!$B$71:$K$71)</f>
        <v>49.1993181818182</v>
      </c>
      <c r="R3625" s="0" t="n">
        <f aca="false">SUMPRODUCT(MMULT(G3625:P3625,_XtX!$B$58:$K$67),G3625:P3625)</f>
        <v>0.478977272727273</v>
      </c>
      <c r="S3625" s="0" t="n">
        <f aca="false">04_回帰ANOVA!$K$19*04_回帰ANOVA!$K$14*SQRT(1+R3625)</f>
        <v>1.13069998447216</v>
      </c>
      <c r="T3625" s="0" t="n">
        <f aca="false">Q3625-S3625</f>
        <v>48.0686181973461</v>
      </c>
      <c r="U3625" s="0" t="n">
        <f aca="false">Q3625+S3625</f>
        <v>50.3300181662904</v>
      </c>
      <c r="V3625" s="54" t="b">
        <f aca="false">AND(D3625&gt;=01_因子設定!$L$5-0.000000001,D3625&lt;=01_因子設定!$M$5+0.000000001,E3625&gt;=01_因子設定!$L$6-0.000000001,E3625&lt;=01_因子設定!$M$6+0.000000001,F3625&gt;=01_因子設定!$L$7-0.000000001,F3625&lt;=01_因子設定!$M$7+0.000000001,IF(01_因子設定!$B$20="Box-Behnken",D3625^2+E3625^2+F3625^2&lt;=2+0.000000001,TRUE()))</f>
        <v>1</v>
      </c>
      <c r="W3625" s="55" t="n">
        <f aca="false">IF(V3625,IF(01_因子設定!$B$13="最大化",T3625-01_因子設定!$B$14,IF(01_因子設定!$B$13="最小化",01_因子設定!$B$15-U3625,MIN(T3625-01_因子設定!$B$14,01_因子設定!$B$15-U3625))),-1E+030)</f>
        <v>-0.431381802653952</v>
      </c>
      <c r="X3625" s="55" t="n">
        <f aca="false">IF(V3625,IF(01_因子設定!$B$13="最大化",Q3625,IF(01_因子設定!$B$13="最小化",-Q3625,-ABS(Q3625-01_因子設定!$B$16))),-1E+030)</f>
        <v>49.1993181818182</v>
      </c>
      <c r="Y3625" s="55" t="n">
        <f aca="false">W3625+ROW()*0.000000001</f>
        <v>-0.431378177653952</v>
      </c>
      <c r="Z3625" s="55" t="n">
        <f aca="false">X3625+ROW()*0.000000001</f>
        <v>49.1993218068182</v>
      </c>
    </row>
    <row r="3626" customFormat="false" ht="15" hidden="false" customHeight="false" outlineLevel="0" collapsed="false">
      <c r="A3626" s="0" t="n">
        <v>12</v>
      </c>
      <c r="B3626" s="0" t="n">
        <v>9</v>
      </c>
      <c r="C3626" s="0" t="n">
        <v>0</v>
      </c>
      <c r="D3626" s="0" t="n">
        <f aca="false">-1+A3626*0.125</f>
        <v>0.5</v>
      </c>
      <c r="E3626" s="0" t="n">
        <f aca="false">-1+B3626*0.125</f>
        <v>0.125</v>
      </c>
      <c r="F3626" s="0" t="n">
        <f aca="false">-1+C3626*0.125</f>
        <v>-1</v>
      </c>
      <c r="G3626" s="0" t="n">
        <f aca="false">1</f>
        <v>1</v>
      </c>
      <c r="H3626" s="0" t="n">
        <f aca="false">D3626</f>
        <v>0.5</v>
      </c>
      <c r="I3626" s="0" t="n">
        <f aca="false">E3626</f>
        <v>0.125</v>
      </c>
      <c r="J3626" s="0" t="n">
        <f aca="false">F3626</f>
        <v>-1</v>
      </c>
      <c r="K3626" s="0" t="n">
        <f aca="false">D3626*E3626</f>
        <v>0.0625</v>
      </c>
      <c r="L3626" s="0" t="n">
        <f aca="false">D3626*F3626</f>
        <v>-0.5</v>
      </c>
      <c r="M3626" s="0" t="n">
        <f aca="false">E3626*F3626</f>
        <v>-0.125</v>
      </c>
      <c r="N3626" s="0" t="n">
        <f aca="false">D3626*D3626</f>
        <v>0.25</v>
      </c>
      <c r="O3626" s="0" t="n">
        <f aca="false">E3626*E3626</f>
        <v>0.015625</v>
      </c>
      <c r="P3626" s="0" t="n">
        <f aca="false">F3626*F3626</f>
        <v>1</v>
      </c>
      <c r="Q3626" s="0" t="n">
        <f aca="false">SUMPRODUCT(G3626:P3626,_XtX!$B$71:$K$71)</f>
        <v>46.8367045454546</v>
      </c>
      <c r="R3626" s="0" t="n">
        <f aca="false">SUMPRODUCT(MMULT(G3626:P3626,_XtX!$B$58:$K$67),G3626:P3626)</f>
        <v>0.476322798295455</v>
      </c>
      <c r="S3626" s="0" t="n">
        <f aca="false">04_回帰ANOVA!$K$19*04_回帰ANOVA!$K$14*SQRT(1+R3626)</f>
        <v>1.12968483630128</v>
      </c>
      <c r="T3626" s="0" t="n">
        <f aca="false">Q3626-S3626</f>
        <v>45.7070197091533</v>
      </c>
      <c r="U3626" s="0" t="n">
        <f aca="false">Q3626+S3626</f>
        <v>47.9663893817558</v>
      </c>
      <c r="V3626" s="54" t="b">
        <f aca="false">AND(D3626&gt;=01_因子設定!$L$5-0.000000001,D3626&lt;=01_因子設定!$M$5+0.000000001,E3626&gt;=01_因子設定!$L$6-0.000000001,E3626&lt;=01_因子設定!$M$6+0.000000001,F3626&gt;=01_因子設定!$L$7-0.000000001,F3626&lt;=01_因子設定!$M$7+0.000000001,IF(01_因子設定!$B$20="Box-Behnken",D3626^2+E3626^2+F3626^2&lt;=2+0.000000001,TRUE()))</f>
        <v>1</v>
      </c>
      <c r="W3626" s="55" t="n">
        <f aca="false">IF(V3626,IF(01_因子設定!$B$13="最大化",T3626-01_因子設定!$B$14,IF(01_因子設定!$B$13="最小化",01_因子設定!$B$15-U3626,MIN(T3626-01_因子設定!$B$14,01_因子設定!$B$15-U3626))),-1E+030)</f>
        <v>-2.79298029084671</v>
      </c>
      <c r="X3626" s="55" t="n">
        <f aca="false">IF(V3626,IF(01_因子設定!$B$13="最大化",Q3626,IF(01_因子設定!$B$13="最小化",-Q3626,-ABS(Q3626-01_因子設定!$B$16))),-1E+030)</f>
        <v>46.8367045454546</v>
      </c>
      <c r="Y3626" s="55" t="n">
        <f aca="false">W3626+ROW()*0.000000001</f>
        <v>-2.79297666484671</v>
      </c>
      <c r="Z3626" s="55" t="n">
        <f aca="false">X3626+ROW()*0.000000001</f>
        <v>46.8367081714546</v>
      </c>
    </row>
    <row r="3627" customFormat="false" ht="15" hidden="false" customHeight="false" outlineLevel="0" collapsed="false">
      <c r="A3627" s="0" t="n">
        <v>12</v>
      </c>
      <c r="B3627" s="0" t="n">
        <v>9</v>
      </c>
      <c r="C3627" s="0" t="n">
        <v>1</v>
      </c>
      <c r="D3627" s="0" t="n">
        <f aca="false">-1+A3627*0.125</f>
        <v>0.5</v>
      </c>
      <c r="E3627" s="0" t="n">
        <f aca="false">-1+B3627*0.125</f>
        <v>0.125</v>
      </c>
      <c r="F3627" s="0" t="n">
        <f aca="false">-1+C3627*0.125</f>
        <v>-0.875</v>
      </c>
      <c r="G3627" s="0" t="n">
        <f aca="false">1</f>
        <v>1</v>
      </c>
      <c r="H3627" s="0" t="n">
        <f aca="false">D3627</f>
        <v>0.5</v>
      </c>
      <c r="I3627" s="0" t="n">
        <f aca="false">E3627</f>
        <v>0.125</v>
      </c>
      <c r="J3627" s="0" t="n">
        <f aca="false">F3627</f>
        <v>-0.875</v>
      </c>
      <c r="K3627" s="0" t="n">
        <f aca="false">D3627*E3627</f>
        <v>0.0625</v>
      </c>
      <c r="L3627" s="0" t="n">
        <f aca="false">D3627*F3627</f>
        <v>-0.4375</v>
      </c>
      <c r="M3627" s="0" t="n">
        <f aca="false">E3627*F3627</f>
        <v>-0.109375</v>
      </c>
      <c r="N3627" s="0" t="n">
        <f aca="false">D3627*D3627</f>
        <v>0.25</v>
      </c>
      <c r="O3627" s="0" t="n">
        <f aca="false">E3627*E3627</f>
        <v>0.015625</v>
      </c>
      <c r="P3627" s="0" t="n">
        <f aca="false">F3627*F3627</f>
        <v>0.765625</v>
      </c>
      <c r="Q3627" s="0" t="n">
        <f aca="false">SUMPRODUCT(G3627:P3627,_XtX!$B$71:$K$71)</f>
        <v>47.2827840909091</v>
      </c>
      <c r="R3627" s="0" t="n">
        <f aca="false">SUMPRODUCT(MMULT(G3627:P3627,_XtX!$B$58:$K$67),G3627:P3627)</f>
        <v>0.332909601384943</v>
      </c>
      <c r="S3627" s="0" t="n">
        <f aca="false">04_回帰ANOVA!$K$19*04_回帰ANOVA!$K$14*SQRT(1+R3627)</f>
        <v>1.07341333007404</v>
      </c>
      <c r="T3627" s="0" t="n">
        <f aca="false">Q3627-S3627</f>
        <v>46.2093707608351</v>
      </c>
      <c r="U3627" s="0" t="n">
        <f aca="false">Q3627+S3627</f>
        <v>48.3561974209832</v>
      </c>
      <c r="V3627" s="54" t="b">
        <f aca="false">AND(D3627&gt;=01_因子設定!$L$5-0.000000001,D3627&lt;=01_因子設定!$M$5+0.000000001,E3627&gt;=01_因子設定!$L$6-0.000000001,E3627&lt;=01_因子設定!$M$6+0.000000001,F3627&gt;=01_因子設定!$L$7-0.000000001,F3627&lt;=01_因子設定!$M$7+0.000000001,IF(01_因子設定!$B$20="Box-Behnken",D3627^2+E3627^2+F3627^2&lt;=2+0.000000001,TRUE()))</f>
        <v>1</v>
      </c>
      <c r="W3627" s="55" t="n">
        <f aca="false">IF(V3627,IF(01_因子設定!$B$13="最大化",T3627-01_因子設定!$B$14,IF(01_因子設定!$B$13="最小化",01_因子設定!$B$15-U3627,MIN(T3627-01_因子設定!$B$14,01_因子設定!$B$15-U3627))),-1E+030)</f>
        <v>-2.29062923916493</v>
      </c>
      <c r="X3627" s="55" t="n">
        <f aca="false">IF(V3627,IF(01_因子設定!$B$13="最大化",Q3627,IF(01_因子設定!$B$13="最小化",-Q3627,-ABS(Q3627-01_因子設定!$B$16))),-1E+030)</f>
        <v>47.2827840909091</v>
      </c>
      <c r="Y3627" s="55" t="n">
        <f aca="false">W3627+ROW()*0.000000001</f>
        <v>-2.29062561216493</v>
      </c>
      <c r="Z3627" s="55" t="n">
        <f aca="false">X3627+ROW()*0.000000001</f>
        <v>47.2827877179091</v>
      </c>
    </row>
    <row r="3628" customFormat="false" ht="15" hidden="false" customHeight="false" outlineLevel="0" collapsed="false">
      <c r="A3628" s="0" t="n">
        <v>12</v>
      </c>
      <c r="B3628" s="0" t="n">
        <v>9</v>
      </c>
      <c r="C3628" s="0" t="n">
        <v>2</v>
      </c>
      <c r="D3628" s="0" t="n">
        <f aca="false">-1+A3628*0.125</f>
        <v>0.5</v>
      </c>
      <c r="E3628" s="0" t="n">
        <f aca="false">-1+B3628*0.125</f>
        <v>0.125</v>
      </c>
      <c r="F3628" s="0" t="n">
        <f aca="false">-1+C3628*0.125</f>
        <v>-0.75</v>
      </c>
      <c r="G3628" s="0" t="n">
        <f aca="false">1</f>
        <v>1</v>
      </c>
      <c r="H3628" s="0" t="n">
        <f aca="false">D3628</f>
        <v>0.5</v>
      </c>
      <c r="I3628" s="0" t="n">
        <f aca="false">E3628</f>
        <v>0.125</v>
      </c>
      <c r="J3628" s="0" t="n">
        <f aca="false">F3628</f>
        <v>-0.75</v>
      </c>
      <c r="K3628" s="0" t="n">
        <f aca="false">D3628*E3628</f>
        <v>0.0625</v>
      </c>
      <c r="L3628" s="0" t="n">
        <f aca="false">D3628*F3628</f>
        <v>-0.375</v>
      </c>
      <c r="M3628" s="0" t="n">
        <f aca="false">E3628*F3628</f>
        <v>-0.09375</v>
      </c>
      <c r="N3628" s="0" t="n">
        <f aca="false">D3628*D3628</f>
        <v>0.25</v>
      </c>
      <c r="O3628" s="0" t="n">
        <f aca="false">E3628*E3628</f>
        <v>0.015625</v>
      </c>
      <c r="P3628" s="0" t="n">
        <f aca="false">F3628*F3628</f>
        <v>0.5625</v>
      </c>
      <c r="Q3628" s="0" t="n">
        <f aca="false">SUMPRODUCT(G3628:P3628,_XtX!$B$71:$K$71)</f>
        <v>47.6920738636364</v>
      </c>
      <c r="R3628" s="0" t="n">
        <f aca="false">SUMPRODUCT(MMULT(G3628:P3628,_XtX!$B$58:$K$67),G3628:P3628)</f>
        <v>0.240933504971591</v>
      </c>
      <c r="S3628" s="0" t="n">
        <f aca="false">04_回帰ANOVA!$K$19*04_回帰ANOVA!$K$14*SQRT(1+R3628)</f>
        <v>1.03571649118863</v>
      </c>
      <c r="T3628" s="0" t="n">
        <f aca="false">Q3628-S3628</f>
        <v>46.6563573724478</v>
      </c>
      <c r="U3628" s="0" t="n">
        <f aca="false">Q3628+S3628</f>
        <v>48.727790354825</v>
      </c>
      <c r="V3628" s="54" t="b">
        <f aca="false">AND(D3628&gt;=01_因子設定!$L$5-0.000000001,D3628&lt;=01_因子設定!$M$5+0.000000001,E3628&gt;=01_因子設定!$L$6-0.000000001,E3628&lt;=01_因子設定!$M$6+0.000000001,F3628&gt;=01_因子設定!$L$7-0.000000001,F3628&lt;=01_因子設定!$M$7+0.000000001,IF(01_因子設定!$B$20="Box-Behnken",D3628^2+E3628^2+F3628^2&lt;=2+0.000000001,TRUE()))</f>
        <v>1</v>
      </c>
      <c r="W3628" s="55" t="n">
        <f aca="false">IF(V3628,IF(01_因子設定!$B$13="最大化",T3628-01_因子設定!$B$14,IF(01_因子設定!$B$13="最小化",01_因子設定!$B$15-U3628,MIN(T3628-01_因子設定!$B$14,01_因子設定!$B$15-U3628))),-1E+030)</f>
        <v>-1.84364262755224</v>
      </c>
      <c r="X3628" s="55" t="n">
        <f aca="false">IF(V3628,IF(01_因子設定!$B$13="最大化",Q3628,IF(01_因子設定!$B$13="最小化",-Q3628,-ABS(Q3628-01_因子設定!$B$16))),-1E+030)</f>
        <v>47.6920738636364</v>
      </c>
      <c r="Y3628" s="55" t="n">
        <f aca="false">W3628+ROW()*0.000000001</f>
        <v>-1.84363899955224</v>
      </c>
      <c r="Z3628" s="55" t="n">
        <f aca="false">X3628+ROW()*0.000000001</f>
        <v>47.6920774916364</v>
      </c>
    </row>
    <row r="3629" customFormat="false" ht="15" hidden="false" customHeight="false" outlineLevel="0" collapsed="false">
      <c r="A3629" s="0" t="n">
        <v>12</v>
      </c>
      <c r="B3629" s="0" t="n">
        <v>9</v>
      </c>
      <c r="C3629" s="0" t="n">
        <v>3</v>
      </c>
      <c r="D3629" s="0" t="n">
        <f aca="false">-1+A3629*0.125</f>
        <v>0.5</v>
      </c>
      <c r="E3629" s="0" t="n">
        <f aca="false">-1+B3629*0.125</f>
        <v>0.125</v>
      </c>
      <c r="F3629" s="0" t="n">
        <f aca="false">-1+C3629*0.125</f>
        <v>-0.625</v>
      </c>
      <c r="G3629" s="0" t="n">
        <f aca="false">1</f>
        <v>1</v>
      </c>
      <c r="H3629" s="0" t="n">
        <f aca="false">D3629</f>
        <v>0.5</v>
      </c>
      <c r="I3629" s="0" t="n">
        <f aca="false">E3629</f>
        <v>0.125</v>
      </c>
      <c r="J3629" s="0" t="n">
        <f aca="false">F3629</f>
        <v>-0.625</v>
      </c>
      <c r="K3629" s="0" t="n">
        <f aca="false">D3629*E3629</f>
        <v>0.0625</v>
      </c>
      <c r="L3629" s="0" t="n">
        <f aca="false">D3629*F3629</f>
        <v>-0.3125</v>
      </c>
      <c r="M3629" s="0" t="n">
        <f aca="false">E3629*F3629</f>
        <v>-0.078125</v>
      </c>
      <c r="N3629" s="0" t="n">
        <f aca="false">D3629*D3629</f>
        <v>0.25</v>
      </c>
      <c r="O3629" s="0" t="n">
        <f aca="false">E3629*E3629</f>
        <v>0.015625</v>
      </c>
      <c r="P3629" s="0" t="n">
        <f aca="false">F3629*F3629</f>
        <v>0.390625</v>
      </c>
      <c r="Q3629" s="0" t="n">
        <f aca="false">SUMPRODUCT(G3629:P3629,_XtX!$B$71:$K$71)</f>
        <v>48.0645738636364</v>
      </c>
      <c r="R3629" s="0" t="n">
        <f aca="false">SUMPRODUCT(MMULT(G3629:P3629,_XtX!$B$58:$K$67),G3629:P3629)</f>
        <v>0.186545077237216</v>
      </c>
      <c r="S3629" s="0" t="n">
        <f aca="false">04_回帰ANOVA!$K$19*04_回帰ANOVA!$K$14*SQRT(1+R3629)</f>
        <v>1.01276516970713</v>
      </c>
      <c r="T3629" s="0" t="n">
        <f aca="false">Q3629-S3629</f>
        <v>47.0518086939292</v>
      </c>
      <c r="U3629" s="0" t="n">
        <f aca="false">Q3629+S3629</f>
        <v>49.0773390333435</v>
      </c>
      <c r="V3629" s="54" t="b">
        <f aca="false">AND(D3629&gt;=01_因子設定!$L$5-0.000000001,D3629&lt;=01_因子設定!$M$5+0.000000001,E3629&gt;=01_因子設定!$L$6-0.000000001,E3629&lt;=01_因子設定!$M$6+0.000000001,F3629&gt;=01_因子設定!$L$7-0.000000001,F3629&lt;=01_因子設定!$M$7+0.000000001,IF(01_因子設定!$B$20="Box-Behnken",D3629^2+E3629^2+F3629^2&lt;=2+0.000000001,TRUE()))</f>
        <v>1</v>
      </c>
      <c r="W3629" s="55" t="n">
        <f aca="false">IF(V3629,IF(01_因子設定!$B$13="最大化",T3629-01_因子設定!$B$14,IF(01_因子設定!$B$13="最小化",01_因子設定!$B$15-U3629,MIN(T3629-01_因子設定!$B$14,01_因子設定!$B$15-U3629))),-1E+030)</f>
        <v>-1.44819130607075</v>
      </c>
      <c r="X3629" s="55" t="n">
        <f aca="false">IF(V3629,IF(01_因子設定!$B$13="最大化",Q3629,IF(01_因子設定!$B$13="最小化",-Q3629,-ABS(Q3629-01_因子設定!$B$16))),-1E+030)</f>
        <v>48.0645738636364</v>
      </c>
      <c r="Y3629" s="55" t="n">
        <f aca="false">W3629+ROW()*0.000000001</f>
        <v>-1.44818767707075</v>
      </c>
      <c r="Z3629" s="55" t="n">
        <f aca="false">X3629+ROW()*0.000000001</f>
        <v>48.0645774926364</v>
      </c>
    </row>
    <row r="3630" customFormat="false" ht="15" hidden="false" customHeight="false" outlineLevel="0" collapsed="false">
      <c r="A3630" s="0" t="n">
        <v>12</v>
      </c>
      <c r="B3630" s="0" t="n">
        <v>9</v>
      </c>
      <c r="C3630" s="0" t="n">
        <v>4</v>
      </c>
      <c r="D3630" s="0" t="n">
        <f aca="false">-1+A3630*0.125</f>
        <v>0.5</v>
      </c>
      <c r="E3630" s="0" t="n">
        <f aca="false">-1+B3630*0.125</f>
        <v>0.125</v>
      </c>
      <c r="F3630" s="0" t="n">
        <f aca="false">-1+C3630*0.125</f>
        <v>-0.5</v>
      </c>
      <c r="G3630" s="0" t="n">
        <f aca="false">1</f>
        <v>1</v>
      </c>
      <c r="H3630" s="0" t="n">
        <f aca="false">D3630</f>
        <v>0.5</v>
      </c>
      <c r="I3630" s="0" t="n">
        <f aca="false">E3630</f>
        <v>0.125</v>
      </c>
      <c r="J3630" s="0" t="n">
        <f aca="false">F3630</f>
        <v>-0.5</v>
      </c>
      <c r="K3630" s="0" t="n">
        <f aca="false">D3630*E3630</f>
        <v>0.0625</v>
      </c>
      <c r="L3630" s="0" t="n">
        <f aca="false">D3630*F3630</f>
        <v>-0.25</v>
      </c>
      <c r="M3630" s="0" t="n">
        <f aca="false">E3630*F3630</f>
        <v>-0.0625</v>
      </c>
      <c r="N3630" s="0" t="n">
        <f aca="false">D3630*D3630</f>
        <v>0.25</v>
      </c>
      <c r="O3630" s="0" t="n">
        <f aca="false">E3630*E3630</f>
        <v>0.015625</v>
      </c>
      <c r="P3630" s="0" t="n">
        <f aca="false">F3630*F3630</f>
        <v>0.25</v>
      </c>
      <c r="Q3630" s="0" t="n">
        <f aca="false">SUMPRODUCT(G3630:P3630,_XtX!$B$71:$K$71)</f>
        <v>48.4002840909091</v>
      </c>
      <c r="R3630" s="0" t="n">
        <f aca="false">SUMPRODUCT(MMULT(G3630:P3630,_XtX!$B$58:$K$67),G3630:P3630)</f>
        <v>0.158025568181818</v>
      </c>
      <c r="S3630" s="0" t="n">
        <f aca="false">04_回帰ANOVA!$K$19*04_回帰ANOVA!$K$14*SQRT(1+R3630)</f>
        <v>1.00051985207691</v>
      </c>
      <c r="T3630" s="0" t="n">
        <f aca="false">Q3630-S3630</f>
        <v>47.3997642388322</v>
      </c>
      <c r="U3630" s="0" t="n">
        <f aca="false">Q3630+S3630</f>
        <v>49.400803942986</v>
      </c>
      <c r="V3630" s="54" t="b">
        <f aca="false">AND(D3630&gt;=01_因子設定!$L$5-0.000000001,D3630&lt;=01_因子設定!$M$5+0.000000001,E3630&gt;=01_因子設定!$L$6-0.000000001,E3630&lt;=01_因子設定!$M$6+0.000000001,F3630&gt;=01_因子設定!$L$7-0.000000001,F3630&lt;=01_因子設定!$M$7+0.000000001,IF(01_因子設定!$B$20="Box-Behnken",D3630^2+E3630^2+F3630^2&lt;=2+0.000000001,TRUE()))</f>
        <v>1</v>
      </c>
      <c r="W3630" s="55" t="n">
        <f aca="false">IF(V3630,IF(01_因子設定!$B$13="最大化",T3630-01_因子設定!$B$14,IF(01_因子設定!$B$13="最小化",01_因子設定!$B$15-U3630,MIN(T3630-01_因子設定!$B$14,01_因子設定!$B$15-U3630))),-1E+030)</f>
        <v>-1.10023576116781</v>
      </c>
      <c r="X3630" s="55" t="n">
        <f aca="false">IF(V3630,IF(01_因子設定!$B$13="最大化",Q3630,IF(01_因子設定!$B$13="最小化",-Q3630,-ABS(Q3630-01_因子設定!$B$16))),-1E+030)</f>
        <v>48.4002840909091</v>
      </c>
      <c r="Y3630" s="55" t="n">
        <f aca="false">W3630+ROW()*0.000000001</f>
        <v>-1.10023213116781</v>
      </c>
      <c r="Z3630" s="55" t="n">
        <f aca="false">X3630+ROW()*0.000000001</f>
        <v>48.4002877209091</v>
      </c>
    </row>
    <row r="3631" customFormat="false" ht="15" hidden="false" customHeight="false" outlineLevel="0" collapsed="false">
      <c r="A3631" s="0" t="n">
        <v>12</v>
      </c>
      <c r="B3631" s="0" t="n">
        <v>9</v>
      </c>
      <c r="C3631" s="0" t="n">
        <v>5</v>
      </c>
      <c r="D3631" s="0" t="n">
        <f aca="false">-1+A3631*0.125</f>
        <v>0.5</v>
      </c>
      <c r="E3631" s="0" t="n">
        <f aca="false">-1+B3631*0.125</f>
        <v>0.125</v>
      </c>
      <c r="F3631" s="0" t="n">
        <f aca="false">-1+C3631*0.125</f>
        <v>-0.375</v>
      </c>
      <c r="G3631" s="0" t="n">
        <f aca="false">1</f>
        <v>1</v>
      </c>
      <c r="H3631" s="0" t="n">
        <f aca="false">D3631</f>
        <v>0.5</v>
      </c>
      <c r="I3631" s="0" t="n">
        <f aca="false">E3631</f>
        <v>0.125</v>
      </c>
      <c r="J3631" s="0" t="n">
        <f aca="false">F3631</f>
        <v>-0.375</v>
      </c>
      <c r="K3631" s="0" t="n">
        <f aca="false">D3631*E3631</f>
        <v>0.0625</v>
      </c>
      <c r="L3631" s="0" t="n">
        <f aca="false">D3631*F3631</f>
        <v>-0.1875</v>
      </c>
      <c r="M3631" s="0" t="n">
        <f aca="false">E3631*F3631</f>
        <v>-0.046875</v>
      </c>
      <c r="N3631" s="0" t="n">
        <f aca="false">D3631*D3631</f>
        <v>0.25</v>
      </c>
      <c r="O3631" s="0" t="n">
        <f aca="false">E3631*E3631</f>
        <v>0.015625</v>
      </c>
      <c r="P3631" s="0" t="n">
        <f aca="false">F3631*F3631</f>
        <v>0.140625</v>
      </c>
      <c r="Q3631" s="0" t="n">
        <f aca="false">SUMPRODUCT(G3631:P3631,_XtX!$B$71:$K$71)</f>
        <v>48.6992045454546</v>
      </c>
      <c r="R3631" s="0" t="n">
        <f aca="false">SUMPRODUCT(MMULT(G3631:P3631,_XtX!$B$58:$K$67),G3631:P3631)</f>
        <v>0.14578690962358</v>
      </c>
      <c r="S3631" s="0" t="n">
        <f aca="false">04_回帰ANOVA!$K$19*04_回帰ANOVA!$K$14*SQRT(1+R3631)</f>
        <v>0.995218783457917</v>
      </c>
      <c r="T3631" s="0" t="n">
        <f aca="false">Q3631-S3631</f>
        <v>47.7039857619966</v>
      </c>
      <c r="U3631" s="0" t="n">
        <f aca="false">Q3631+S3631</f>
        <v>49.6944233289125</v>
      </c>
      <c r="V3631" s="54" t="b">
        <f aca="false">AND(D3631&gt;=01_因子設定!$L$5-0.000000001,D3631&lt;=01_因子設定!$M$5+0.000000001,E3631&gt;=01_因子設定!$L$6-0.000000001,E3631&lt;=01_因子設定!$M$6+0.000000001,F3631&gt;=01_因子設定!$L$7-0.000000001,F3631&lt;=01_因子設定!$M$7+0.000000001,IF(01_因子設定!$B$20="Box-Behnken",D3631^2+E3631^2+F3631^2&lt;=2+0.000000001,TRUE()))</f>
        <v>1</v>
      </c>
      <c r="W3631" s="55" t="n">
        <f aca="false">IF(V3631,IF(01_因子設定!$B$13="最大化",T3631-01_因子設定!$B$14,IF(01_因子設定!$B$13="最小化",01_因子設定!$B$15-U3631,MIN(T3631-01_因子設定!$B$14,01_因子設定!$B$15-U3631))),-1E+030)</f>
        <v>-0.796014238003366</v>
      </c>
      <c r="X3631" s="55" t="n">
        <f aca="false">IF(V3631,IF(01_因子設定!$B$13="最大化",Q3631,IF(01_因子設定!$B$13="最小化",-Q3631,-ABS(Q3631-01_因子設定!$B$16))),-1E+030)</f>
        <v>48.6992045454546</v>
      </c>
      <c r="Y3631" s="55" t="n">
        <f aca="false">W3631+ROW()*0.000000001</f>
        <v>-0.796010607003366</v>
      </c>
      <c r="Z3631" s="55" t="n">
        <f aca="false">X3631+ROW()*0.000000001</f>
        <v>48.6992081764546</v>
      </c>
    </row>
    <row r="3632" customFormat="false" ht="15" hidden="false" customHeight="false" outlineLevel="0" collapsed="false">
      <c r="A3632" s="0" t="n">
        <v>12</v>
      </c>
      <c r="B3632" s="0" t="n">
        <v>9</v>
      </c>
      <c r="C3632" s="0" t="n">
        <v>6</v>
      </c>
      <c r="D3632" s="0" t="n">
        <f aca="false">-1+A3632*0.125</f>
        <v>0.5</v>
      </c>
      <c r="E3632" s="0" t="n">
        <f aca="false">-1+B3632*0.125</f>
        <v>0.125</v>
      </c>
      <c r="F3632" s="0" t="n">
        <f aca="false">-1+C3632*0.125</f>
        <v>-0.25</v>
      </c>
      <c r="G3632" s="0" t="n">
        <f aca="false">1</f>
        <v>1</v>
      </c>
      <c r="H3632" s="0" t="n">
        <f aca="false">D3632</f>
        <v>0.5</v>
      </c>
      <c r="I3632" s="0" t="n">
        <f aca="false">E3632</f>
        <v>0.125</v>
      </c>
      <c r="J3632" s="0" t="n">
        <f aca="false">F3632</f>
        <v>-0.25</v>
      </c>
      <c r="K3632" s="0" t="n">
        <f aca="false">D3632*E3632</f>
        <v>0.0625</v>
      </c>
      <c r="L3632" s="0" t="n">
        <f aca="false">D3632*F3632</f>
        <v>-0.125</v>
      </c>
      <c r="M3632" s="0" t="n">
        <f aca="false">E3632*F3632</f>
        <v>-0.03125</v>
      </c>
      <c r="N3632" s="0" t="n">
        <f aca="false">D3632*D3632</f>
        <v>0.25</v>
      </c>
      <c r="O3632" s="0" t="n">
        <f aca="false">E3632*E3632</f>
        <v>0.015625</v>
      </c>
      <c r="P3632" s="0" t="n">
        <f aca="false">F3632*F3632</f>
        <v>0.0625</v>
      </c>
      <c r="Q3632" s="0" t="n">
        <f aca="false">SUMPRODUCT(G3632:P3632,_XtX!$B$71:$K$71)</f>
        <v>48.9613352272727</v>
      </c>
      <c r="R3632" s="0" t="n">
        <f aca="false">SUMPRODUCT(MMULT(G3632:P3632,_XtX!$B$58:$K$67),G3632:P3632)</f>
        <v>0.142371715198864</v>
      </c>
      <c r="S3632" s="0" t="n">
        <f aca="false">04_回帰ANOVA!$K$19*04_回帰ANOVA!$K$14*SQRT(1+R3632)</f>
        <v>0.99373447511735</v>
      </c>
      <c r="T3632" s="0" t="n">
        <f aca="false">Q3632-S3632</f>
        <v>47.9676007521554</v>
      </c>
      <c r="U3632" s="0" t="n">
        <f aca="false">Q3632+S3632</f>
        <v>49.9550697023901</v>
      </c>
      <c r="V3632" s="54" t="b">
        <f aca="false">AND(D3632&gt;=01_因子設定!$L$5-0.000000001,D3632&lt;=01_因子設定!$M$5+0.000000001,E3632&gt;=01_因子設定!$L$6-0.000000001,E3632&lt;=01_因子設定!$M$6+0.000000001,F3632&gt;=01_因子設定!$L$7-0.000000001,F3632&lt;=01_因子設定!$M$7+0.000000001,IF(01_因子設定!$B$20="Box-Behnken",D3632^2+E3632^2+F3632^2&lt;=2+0.000000001,TRUE()))</f>
        <v>1</v>
      </c>
      <c r="W3632" s="55" t="n">
        <f aca="false">IF(V3632,IF(01_因子設定!$B$13="最大化",T3632-01_因子設定!$B$14,IF(01_因子設定!$B$13="最小化",01_因子設定!$B$15-U3632,MIN(T3632-01_因子設定!$B$14,01_因子設定!$B$15-U3632))),-1E+030)</f>
        <v>-0.532399247844616</v>
      </c>
      <c r="X3632" s="55" t="n">
        <f aca="false">IF(V3632,IF(01_因子設定!$B$13="最大化",Q3632,IF(01_因子設定!$B$13="最小化",-Q3632,-ABS(Q3632-01_因子設定!$B$16))),-1E+030)</f>
        <v>48.9613352272727</v>
      </c>
      <c r="Y3632" s="55" t="n">
        <f aca="false">W3632+ROW()*0.000000001</f>
        <v>-0.532395615844616</v>
      </c>
      <c r="Z3632" s="55" t="n">
        <f aca="false">X3632+ROW()*0.000000001</f>
        <v>48.9613388592727</v>
      </c>
    </row>
    <row r="3633" customFormat="false" ht="15" hidden="false" customHeight="false" outlineLevel="0" collapsed="false">
      <c r="A3633" s="0" t="n">
        <v>12</v>
      </c>
      <c r="B3633" s="0" t="n">
        <v>9</v>
      </c>
      <c r="C3633" s="0" t="n">
        <v>7</v>
      </c>
      <c r="D3633" s="0" t="n">
        <f aca="false">-1+A3633*0.125</f>
        <v>0.5</v>
      </c>
      <c r="E3633" s="0" t="n">
        <f aca="false">-1+B3633*0.125</f>
        <v>0.125</v>
      </c>
      <c r="F3633" s="0" t="n">
        <f aca="false">-1+C3633*0.125</f>
        <v>-0.125</v>
      </c>
      <c r="G3633" s="0" t="n">
        <f aca="false">1</f>
        <v>1</v>
      </c>
      <c r="H3633" s="0" t="n">
        <f aca="false">D3633</f>
        <v>0.5</v>
      </c>
      <c r="I3633" s="0" t="n">
        <f aca="false">E3633</f>
        <v>0.125</v>
      </c>
      <c r="J3633" s="0" t="n">
        <f aca="false">F3633</f>
        <v>-0.125</v>
      </c>
      <c r="K3633" s="0" t="n">
        <f aca="false">D3633*E3633</f>
        <v>0.0625</v>
      </c>
      <c r="L3633" s="0" t="n">
        <f aca="false">D3633*F3633</f>
        <v>-0.0625</v>
      </c>
      <c r="M3633" s="0" t="n">
        <f aca="false">E3633*F3633</f>
        <v>-0.015625</v>
      </c>
      <c r="N3633" s="0" t="n">
        <f aca="false">D3633*D3633</f>
        <v>0.25</v>
      </c>
      <c r="O3633" s="0" t="n">
        <f aca="false">E3633*E3633</f>
        <v>0.015625</v>
      </c>
      <c r="P3633" s="0" t="n">
        <f aca="false">F3633*F3633</f>
        <v>0.015625</v>
      </c>
      <c r="Q3633" s="0" t="n">
        <f aca="false">SUMPRODUCT(G3633:P3633,_XtX!$B$71:$K$71)</f>
        <v>49.1866761363636</v>
      </c>
      <c r="R3633" s="0" t="n">
        <f aca="false">SUMPRODUCT(MMULT(G3633:P3633,_XtX!$B$58:$K$67),G3633:P3633)</f>
        <v>0.142453280362216</v>
      </c>
      <c r="S3633" s="0" t="n">
        <f aca="false">04_回帰ANOVA!$K$19*04_回帰ANOVA!$K$14*SQRT(1+R3633)</f>
        <v>0.99376995072785</v>
      </c>
      <c r="T3633" s="0" t="n">
        <f aca="false">Q3633-S3633</f>
        <v>48.1929061856358</v>
      </c>
      <c r="U3633" s="0" t="n">
        <f aca="false">Q3633+S3633</f>
        <v>50.1804460870915</v>
      </c>
      <c r="V3633" s="54" t="b">
        <f aca="false">AND(D3633&gt;=01_因子設定!$L$5-0.000000001,D3633&lt;=01_因子設定!$M$5+0.000000001,E3633&gt;=01_因子設定!$L$6-0.000000001,E3633&lt;=01_因子設定!$M$6+0.000000001,F3633&gt;=01_因子設定!$L$7-0.000000001,F3633&lt;=01_因子設定!$M$7+0.000000001,IF(01_因子設定!$B$20="Box-Behnken",D3633^2+E3633^2+F3633^2&lt;=2+0.000000001,TRUE()))</f>
        <v>1</v>
      </c>
      <c r="W3633" s="55" t="n">
        <f aca="false">IF(V3633,IF(01_因子設定!$B$13="最大化",T3633-01_因子設定!$B$14,IF(01_因子設定!$B$13="最小化",01_因子設定!$B$15-U3633,MIN(T3633-01_因子設定!$B$14,01_因子設定!$B$15-U3633))),-1E+030)</f>
        <v>-0.307093814364208</v>
      </c>
      <c r="X3633" s="55" t="n">
        <f aca="false">IF(V3633,IF(01_因子設定!$B$13="最大化",Q3633,IF(01_因子設定!$B$13="最小化",-Q3633,-ABS(Q3633-01_因子設定!$B$16))),-1E+030)</f>
        <v>49.1866761363636</v>
      </c>
      <c r="Y3633" s="55" t="n">
        <f aca="false">W3633+ROW()*0.000000001</f>
        <v>-0.307090181364208</v>
      </c>
      <c r="Z3633" s="55" t="n">
        <f aca="false">X3633+ROW()*0.000000001</f>
        <v>49.1866797693636</v>
      </c>
    </row>
    <row r="3634" customFormat="false" ht="15" hidden="false" customHeight="false" outlineLevel="0" collapsed="false">
      <c r="A3634" s="0" t="n">
        <v>12</v>
      </c>
      <c r="B3634" s="0" t="n">
        <v>9</v>
      </c>
      <c r="C3634" s="0" t="n">
        <v>8</v>
      </c>
      <c r="D3634" s="0" t="n">
        <f aca="false">-1+A3634*0.125</f>
        <v>0.5</v>
      </c>
      <c r="E3634" s="0" t="n">
        <f aca="false">-1+B3634*0.125</f>
        <v>0.125</v>
      </c>
      <c r="F3634" s="0" t="n">
        <f aca="false">-1+C3634*0.125</f>
        <v>0</v>
      </c>
      <c r="G3634" s="0" t="n">
        <f aca="false">1</f>
        <v>1</v>
      </c>
      <c r="H3634" s="0" t="n">
        <f aca="false">D3634</f>
        <v>0.5</v>
      </c>
      <c r="I3634" s="0" t="n">
        <f aca="false">E3634</f>
        <v>0.125</v>
      </c>
      <c r="J3634" s="0" t="n">
        <f aca="false">F3634</f>
        <v>0</v>
      </c>
      <c r="K3634" s="0" t="n">
        <f aca="false">D3634*E3634</f>
        <v>0.0625</v>
      </c>
      <c r="L3634" s="0" t="n">
        <f aca="false">D3634*F3634</f>
        <v>0</v>
      </c>
      <c r="M3634" s="0" t="n">
        <f aca="false">E3634*F3634</f>
        <v>0</v>
      </c>
      <c r="N3634" s="0" t="n">
        <f aca="false">D3634*D3634</f>
        <v>0.25</v>
      </c>
      <c r="O3634" s="0" t="n">
        <f aca="false">E3634*E3634</f>
        <v>0.015625</v>
      </c>
      <c r="P3634" s="0" t="n">
        <f aca="false">F3634*F3634</f>
        <v>0</v>
      </c>
      <c r="Q3634" s="0" t="n">
        <f aca="false">SUMPRODUCT(G3634:P3634,_XtX!$B$71:$K$71)</f>
        <v>49.3752272727273</v>
      </c>
      <c r="R3634" s="0" t="n">
        <f aca="false">SUMPRODUCT(MMULT(G3634:P3634,_XtX!$B$58:$K$67),G3634:P3634)</f>
        <v>0.142835582386364</v>
      </c>
      <c r="S3634" s="0" t="n">
        <f aca="false">04_回帰ANOVA!$K$19*04_回帰ANOVA!$K$14*SQRT(1+R3634)</f>
        <v>0.993936210693193</v>
      </c>
      <c r="T3634" s="0" t="n">
        <f aca="false">Q3634-S3634</f>
        <v>48.3812910620341</v>
      </c>
      <c r="U3634" s="0" t="n">
        <f aca="false">Q3634+S3634</f>
        <v>50.3691634834205</v>
      </c>
      <c r="V3634" s="54" t="b">
        <f aca="false">AND(D3634&gt;=01_因子設定!$L$5-0.000000001,D3634&lt;=01_因子設定!$M$5+0.000000001,E3634&gt;=01_因子設定!$L$6-0.000000001,E3634&lt;=01_因子設定!$M$6+0.000000001,F3634&gt;=01_因子設定!$L$7-0.000000001,F3634&lt;=01_因子設定!$M$7+0.000000001,IF(01_因子設定!$B$20="Box-Behnken",D3634^2+E3634^2+F3634^2&lt;=2+0.000000001,TRUE()))</f>
        <v>1</v>
      </c>
      <c r="W3634" s="55" t="n">
        <f aca="false">IF(V3634,IF(01_因子設定!$B$13="最大化",T3634-01_因子設定!$B$14,IF(01_因子設定!$B$13="最小化",01_因子設定!$B$15-U3634,MIN(T3634-01_因子設定!$B$14,01_因子設定!$B$15-U3634))),-1E+030)</f>
        <v>-0.118708937965913</v>
      </c>
      <c r="X3634" s="55" t="n">
        <f aca="false">IF(V3634,IF(01_因子設定!$B$13="最大化",Q3634,IF(01_因子設定!$B$13="最小化",-Q3634,-ABS(Q3634-01_因子設定!$B$16))),-1E+030)</f>
        <v>49.3752272727273</v>
      </c>
      <c r="Y3634" s="55" t="n">
        <f aca="false">W3634+ROW()*0.000000001</f>
        <v>-0.118705303965913</v>
      </c>
      <c r="Z3634" s="55" t="n">
        <f aca="false">X3634+ROW()*0.000000001</f>
        <v>49.3752309067273</v>
      </c>
    </row>
    <row r="3635" customFormat="false" ht="15" hidden="false" customHeight="false" outlineLevel="0" collapsed="false">
      <c r="A3635" s="0" t="n">
        <v>12</v>
      </c>
      <c r="B3635" s="0" t="n">
        <v>9</v>
      </c>
      <c r="C3635" s="0" t="n">
        <v>9</v>
      </c>
      <c r="D3635" s="0" t="n">
        <f aca="false">-1+A3635*0.125</f>
        <v>0.5</v>
      </c>
      <c r="E3635" s="0" t="n">
        <f aca="false">-1+B3635*0.125</f>
        <v>0.125</v>
      </c>
      <c r="F3635" s="0" t="n">
        <f aca="false">-1+C3635*0.125</f>
        <v>0.125</v>
      </c>
      <c r="G3635" s="0" t="n">
        <f aca="false">1</f>
        <v>1</v>
      </c>
      <c r="H3635" s="0" t="n">
        <f aca="false">D3635</f>
        <v>0.5</v>
      </c>
      <c r="I3635" s="0" t="n">
        <f aca="false">E3635</f>
        <v>0.125</v>
      </c>
      <c r="J3635" s="0" t="n">
        <f aca="false">F3635</f>
        <v>0.125</v>
      </c>
      <c r="K3635" s="0" t="n">
        <f aca="false">D3635*E3635</f>
        <v>0.0625</v>
      </c>
      <c r="L3635" s="0" t="n">
        <f aca="false">D3635*F3635</f>
        <v>0.0625</v>
      </c>
      <c r="M3635" s="0" t="n">
        <f aca="false">E3635*F3635</f>
        <v>0.015625</v>
      </c>
      <c r="N3635" s="0" t="n">
        <f aca="false">D3635*D3635</f>
        <v>0.25</v>
      </c>
      <c r="O3635" s="0" t="n">
        <f aca="false">E3635*E3635</f>
        <v>0.015625</v>
      </c>
      <c r="P3635" s="0" t="n">
        <f aca="false">F3635*F3635</f>
        <v>0.015625</v>
      </c>
      <c r="Q3635" s="0" t="n">
        <f aca="false">SUMPRODUCT(G3635:P3635,_XtX!$B$71:$K$71)</f>
        <v>49.5269886363636</v>
      </c>
      <c r="R3635" s="0" t="n">
        <f aca="false">SUMPRODUCT(MMULT(G3635:P3635,_XtX!$B$58:$K$67),G3635:P3635)</f>
        <v>0.142453280362216</v>
      </c>
      <c r="S3635" s="0" t="n">
        <f aca="false">04_回帰ANOVA!$K$19*04_回帰ANOVA!$K$14*SQRT(1+R3635)</f>
        <v>0.99376995072785</v>
      </c>
      <c r="T3635" s="0" t="n">
        <f aca="false">Q3635-S3635</f>
        <v>48.5332186856358</v>
      </c>
      <c r="U3635" s="0" t="n">
        <f aca="false">Q3635+S3635</f>
        <v>50.5207585870915</v>
      </c>
      <c r="V3635" s="54" t="b">
        <f aca="false">AND(D3635&gt;=01_因子設定!$L$5-0.000000001,D3635&lt;=01_因子設定!$M$5+0.000000001,E3635&gt;=01_因子設定!$L$6-0.000000001,E3635&lt;=01_因子設定!$M$6+0.000000001,F3635&gt;=01_因子設定!$L$7-0.000000001,F3635&lt;=01_因子設定!$M$7+0.000000001,IF(01_因子設定!$B$20="Box-Behnken",D3635^2+E3635^2+F3635^2&lt;=2+0.000000001,TRUE()))</f>
        <v>1</v>
      </c>
      <c r="W3635" s="55" t="n">
        <f aca="false">IF(V3635,IF(01_因子設定!$B$13="最大化",T3635-01_因子設定!$B$14,IF(01_因子設定!$B$13="最小化",01_因子設定!$B$15-U3635,MIN(T3635-01_因子設定!$B$14,01_因子設定!$B$15-U3635))),-1E+030)</f>
        <v>0.0332186856357879</v>
      </c>
      <c r="X3635" s="55" t="n">
        <f aca="false">IF(V3635,IF(01_因子設定!$B$13="最大化",Q3635,IF(01_因子設定!$B$13="最小化",-Q3635,-ABS(Q3635-01_因子設定!$B$16))),-1E+030)</f>
        <v>49.5269886363636</v>
      </c>
      <c r="Y3635" s="55" t="n">
        <f aca="false">W3635+ROW()*0.000000001</f>
        <v>0.0332223206357879</v>
      </c>
      <c r="Z3635" s="55" t="n">
        <f aca="false">X3635+ROW()*0.000000001</f>
        <v>49.5269922713636</v>
      </c>
    </row>
    <row r="3636" customFormat="false" ht="15" hidden="false" customHeight="false" outlineLevel="0" collapsed="false">
      <c r="A3636" s="0" t="n">
        <v>12</v>
      </c>
      <c r="B3636" s="0" t="n">
        <v>9</v>
      </c>
      <c r="C3636" s="0" t="n">
        <v>10</v>
      </c>
      <c r="D3636" s="0" t="n">
        <f aca="false">-1+A3636*0.125</f>
        <v>0.5</v>
      </c>
      <c r="E3636" s="0" t="n">
        <f aca="false">-1+B3636*0.125</f>
        <v>0.125</v>
      </c>
      <c r="F3636" s="0" t="n">
        <f aca="false">-1+C3636*0.125</f>
        <v>0.25</v>
      </c>
      <c r="G3636" s="0" t="n">
        <f aca="false">1</f>
        <v>1</v>
      </c>
      <c r="H3636" s="0" t="n">
        <f aca="false">D3636</f>
        <v>0.5</v>
      </c>
      <c r="I3636" s="0" t="n">
        <f aca="false">E3636</f>
        <v>0.125</v>
      </c>
      <c r="J3636" s="0" t="n">
        <f aca="false">F3636</f>
        <v>0.25</v>
      </c>
      <c r="K3636" s="0" t="n">
        <f aca="false">D3636*E3636</f>
        <v>0.0625</v>
      </c>
      <c r="L3636" s="0" t="n">
        <f aca="false">D3636*F3636</f>
        <v>0.125</v>
      </c>
      <c r="M3636" s="0" t="n">
        <f aca="false">E3636*F3636</f>
        <v>0.03125</v>
      </c>
      <c r="N3636" s="0" t="n">
        <f aca="false">D3636*D3636</f>
        <v>0.25</v>
      </c>
      <c r="O3636" s="0" t="n">
        <f aca="false">E3636*E3636</f>
        <v>0.015625</v>
      </c>
      <c r="P3636" s="0" t="n">
        <f aca="false">F3636*F3636</f>
        <v>0.0625</v>
      </c>
      <c r="Q3636" s="0" t="n">
        <f aca="false">SUMPRODUCT(G3636:P3636,_XtX!$B$71:$K$71)</f>
        <v>49.6419602272727</v>
      </c>
      <c r="R3636" s="0" t="n">
        <f aca="false">SUMPRODUCT(MMULT(G3636:P3636,_XtX!$B$58:$K$67),G3636:P3636)</f>
        <v>0.142371715198864</v>
      </c>
      <c r="S3636" s="0" t="n">
        <f aca="false">04_回帰ANOVA!$K$19*04_回帰ANOVA!$K$14*SQRT(1+R3636)</f>
        <v>0.99373447511735</v>
      </c>
      <c r="T3636" s="0" t="n">
        <f aca="false">Q3636-S3636</f>
        <v>48.6482257521554</v>
      </c>
      <c r="U3636" s="0" t="n">
        <f aca="false">Q3636+S3636</f>
        <v>50.6356947023901</v>
      </c>
      <c r="V3636" s="54" t="b">
        <f aca="false">AND(D3636&gt;=01_因子設定!$L$5-0.000000001,D3636&lt;=01_因子設定!$M$5+0.000000001,E3636&gt;=01_因子設定!$L$6-0.000000001,E3636&lt;=01_因子設定!$M$6+0.000000001,F3636&gt;=01_因子設定!$L$7-0.000000001,F3636&lt;=01_因子設定!$M$7+0.000000001,IF(01_因子設定!$B$20="Box-Behnken",D3636^2+E3636^2+F3636^2&lt;=2+0.000000001,TRUE()))</f>
        <v>1</v>
      </c>
      <c r="W3636" s="55" t="n">
        <f aca="false">IF(V3636,IF(01_因子設定!$B$13="最大化",T3636-01_因子設定!$B$14,IF(01_因子設定!$B$13="最小化",01_因子設定!$B$15-U3636,MIN(T3636-01_因子設定!$B$14,01_因子設定!$B$15-U3636))),-1E+030)</f>
        <v>0.148225752155383</v>
      </c>
      <c r="X3636" s="55" t="n">
        <f aca="false">IF(V3636,IF(01_因子設定!$B$13="最大化",Q3636,IF(01_因子設定!$B$13="最小化",-Q3636,-ABS(Q3636-01_因子設定!$B$16))),-1E+030)</f>
        <v>49.6419602272727</v>
      </c>
      <c r="Y3636" s="55" t="n">
        <f aca="false">W3636+ROW()*0.000000001</f>
        <v>0.148229388155383</v>
      </c>
      <c r="Z3636" s="55" t="n">
        <f aca="false">X3636+ROW()*0.000000001</f>
        <v>49.6419638632727</v>
      </c>
    </row>
    <row r="3637" customFormat="false" ht="15" hidden="false" customHeight="false" outlineLevel="0" collapsed="false">
      <c r="A3637" s="0" t="n">
        <v>12</v>
      </c>
      <c r="B3637" s="0" t="n">
        <v>9</v>
      </c>
      <c r="C3637" s="0" t="n">
        <v>11</v>
      </c>
      <c r="D3637" s="0" t="n">
        <f aca="false">-1+A3637*0.125</f>
        <v>0.5</v>
      </c>
      <c r="E3637" s="0" t="n">
        <f aca="false">-1+B3637*0.125</f>
        <v>0.125</v>
      </c>
      <c r="F3637" s="0" t="n">
        <f aca="false">-1+C3637*0.125</f>
        <v>0.375</v>
      </c>
      <c r="G3637" s="0" t="n">
        <f aca="false">1</f>
        <v>1</v>
      </c>
      <c r="H3637" s="0" t="n">
        <f aca="false">D3637</f>
        <v>0.5</v>
      </c>
      <c r="I3637" s="0" t="n">
        <f aca="false">E3637</f>
        <v>0.125</v>
      </c>
      <c r="J3637" s="0" t="n">
        <f aca="false">F3637</f>
        <v>0.375</v>
      </c>
      <c r="K3637" s="0" t="n">
        <f aca="false">D3637*E3637</f>
        <v>0.0625</v>
      </c>
      <c r="L3637" s="0" t="n">
        <f aca="false">D3637*F3637</f>
        <v>0.1875</v>
      </c>
      <c r="M3637" s="0" t="n">
        <f aca="false">E3637*F3637</f>
        <v>0.046875</v>
      </c>
      <c r="N3637" s="0" t="n">
        <f aca="false">D3637*D3637</f>
        <v>0.25</v>
      </c>
      <c r="O3637" s="0" t="n">
        <f aca="false">E3637*E3637</f>
        <v>0.015625</v>
      </c>
      <c r="P3637" s="0" t="n">
        <f aca="false">F3637*F3637</f>
        <v>0.140625</v>
      </c>
      <c r="Q3637" s="0" t="n">
        <f aca="false">SUMPRODUCT(G3637:P3637,_XtX!$B$71:$K$71)</f>
        <v>49.7201420454546</v>
      </c>
      <c r="R3637" s="0" t="n">
        <f aca="false">SUMPRODUCT(MMULT(G3637:P3637,_XtX!$B$58:$K$67),G3637:P3637)</f>
        <v>0.14578690962358</v>
      </c>
      <c r="S3637" s="0" t="n">
        <f aca="false">04_回帰ANOVA!$K$19*04_回帰ANOVA!$K$14*SQRT(1+R3637)</f>
        <v>0.995218783457917</v>
      </c>
      <c r="T3637" s="0" t="n">
        <f aca="false">Q3637-S3637</f>
        <v>48.7249232619966</v>
      </c>
      <c r="U3637" s="0" t="n">
        <f aca="false">Q3637+S3637</f>
        <v>50.7153608289125</v>
      </c>
      <c r="V3637" s="54" t="b">
        <f aca="false">AND(D3637&gt;=01_因子設定!$L$5-0.000000001,D3637&lt;=01_因子設定!$M$5+0.000000001,E3637&gt;=01_因子設定!$L$6-0.000000001,E3637&lt;=01_因子設定!$M$6+0.000000001,F3637&gt;=01_因子設定!$L$7-0.000000001,F3637&lt;=01_因子設定!$M$7+0.000000001,IF(01_因子設定!$B$20="Box-Behnken",D3637^2+E3637^2+F3637^2&lt;=2+0.000000001,TRUE()))</f>
        <v>1</v>
      </c>
      <c r="W3637" s="55" t="n">
        <f aca="false">IF(V3637,IF(01_因子設定!$B$13="最大化",T3637-01_因子設定!$B$14,IF(01_因子設定!$B$13="最小化",01_因子設定!$B$15-U3637,MIN(T3637-01_因子設定!$B$14,01_因子設定!$B$15-U3637))),-1E+030)</f>
        <v>0.224923261996636</v>
      </c>
      <c r="X3637" s="55" t="n">
        <f aca="false">IF(V3637,IF(01_因子設定!$B$13="最大化",Q3637,IF(01_因子設定!$B$13="最小化",-Q3637,-ABS(Q3637-01_因子設定!$B$16))),-1E+030)</f>
        <v>49.7201420454546</v>
      </c>
      <c r="Y3637" s="55" t="n">
        <f aca="false">W3637+ROW()*0.000000001</f>
        <v>0.224926898996636</v>
      </c>
      <c r="Z3637" s="55" t="n">
        <f aca="false">X3637+ROW()*0.000000001</f>
        <v>49.7201456824546</v>
      </c>
    </row>
    <row r="3638" customFormat="false" ht="15" hidden="false" customHeight="false" outlineLevel="0" collapsed="false">
      <c r="A3638" s="0" t="n">
        <v>12</v>
      </c>
      <c r="B3638" s="0" t="n">
        <v>9</v>
      </c>
      <c r="C3638" s="0" t="n">
        <v>12</v>
      </c>
      <c r="D3638" s="0" t="n">
        <f aca="false">-1+A3638*0.125</f>
        <v>0.5</v>
      </c>
      <c r="E3638" s="0" t="n">
        <f aca="false">-1+B3638*0.125</f>
        <v>0.125</v>
      </c>
      <c r="F3638" s="0" t="n">
        <f aca="false">-1+C3638*0.125</f>
        <v>0.5</v>
      </c>
      <c r="G3638" s="0" t="n">
        <f aca="false">1</f>
        <v>1</v>
      </c>
      <c r="H3638" s="0" t="n">
        <f aca="false">D3638</f>
        <v>0.5</v>
      </c>
      <c r="I3638" s="0" t="n">
        <f aca="false">E3638</f>
        <v>0.125</v>
      </c>
      <c r="J3638" s="0" t="n">
        <f aca="false">F3638</f>
        <v>0.5</v>
      </c>
      <c r="K3638" s="0" t="n">
        <f aca="false">D3638*E3638</f>
        <v>0.0625</v>
      </c>
      <c r="L3638" s="0" t="n">
        <f aca="false">D3638*F3638</f>
        <v>0.25</v>
      </c>
      <c r="M3638" s="0" t="n">
        <f aca="false">E3638*F3638</f>
        <v>0.0625</v>
      </c>
      <c r="N3638" s="0" t="n">
        <f aca="false">D3638*D3638</f>
        <v>0.25</v>
      </c>
      <c r="O3638" s="0" t="n">
        <f aca="false">E3638*E3638</f>
        <v>0.015625</v>
      </c>
      <c r="P3638" s="0" t="n">
        <f aca="false">F3638*F3638</f>
        <v>0.25</v>
      </c>
      <c r="Q3638" s="0" t="n">
        <f aca="false">SUMPRODUCT(G3638:P3638,_XtX!$B$71:$K$71)</f>
        <v>49.7615340909091</v>
      </c>
      <c r="R3638" s="0" t="n">
        <f aca="false">SUMPRODUCT(MMULT(G3638:P3638,_XtX!$B$58:$K$67),G3638:P3638)</f>
        <v>0.158025568181818</v>
      </c>
      <c r="S3638" s="0" t="n">
        <f aca="false">04_回帰ANOVA!$K$19*04_回帰ANOVA!$K$14*SQRT(1+R3638)</f>
        <v>1.00051985207691</v>
      </c>
      <c r="T3638" s="0" t="n">
        <f aca="false">Q3638-S3638</f>
        <v>48.7610142388322</v>
      </c>
      <c r="U3638" s="0" t="n">
        <f aca="false">Q3638+S3638</f>
        <v>50.762053942986</v>
      </c>
      <c r="V3638" s="54" t="b">
        <f aca="false">AND(D3638&gt;=01_因子設定!$L$5-0.000000001,D3638&lt;=01_因子設定!$M$5+0.000000001,E3638&gt;=01_因子設定!$L$6-0.000000001,E3638&lt;=01_因子設定!$M$6+0.000000001,F3638&gt;=01_因子設定!$L$7-0.000000001,F3638&lt;=01_因子設定!$M$7+0.000000001,IF(01_因子設定!$B$20="Box-Behnken",D3638^2+E3638^2+F3638^2&lt;=2+0.000000001,TRUE()))</f>
        <v>1</v>
      </c>
      <c r="W3638" s="55" t="n">
        <f aca="false">IF(V3638,IF(01_因子設定!$B$13="最大化",T3638-01_因子設定!$B$14,IF(01_因子設定!$B$13="最小化",01_因子設定!$B$15-U3638,MIN(T3638-01_因子設定!$B$14,01_因子設定!$B$15-U3638))),-1E+030)</f>
        <v>0.261014238832196</v>
      </c>
      <c r="X3638" s="55" t="n">
        <f aca="false">IF(V3638,IF(01_因子設定!$B$13="最大化",Q3638,IF(01_因子設定!$B$13="最小化",-Q3638,-ABS(Q3638-01_因子設定!$B$16))),-1E+030)</f>
        <v>49.7615340909091</v>
      </c>
      <c r="Y3638" s="55" t="n">
        <f aca="false">W3638+ROW()*0.000000001</f>
        <v>0.261017876832196</v>
      </c>
      <c r="Z3638" s="55" t="n">
        <f aca="false">X3638+ROW()*0.000000001</f>
        <v>49.7615377289091</v>
      </c>
    </row>
    <row r="3639" customFormat="false" ht="15" hidden="false" customHeight="false" outlineLevel="0" collapsed="false">
      <c r="A3639" s="0" t="n">
        <v>12</v>
      </c>
      <c r="B3639" s="0" t="n">
        <v>9</v>
      </c>
      <c r="C3639" s="0" t="n">
        <v>13</v>
      </c>
      <c r="D3639" s="0" t="n">
        <f aca="false">-1+A3639*0.125</f>
        <v>0.5</v>
      </c>
      <c r="E3639" s="0" t="n">
        <f aca="false">-1+B3639*0.125</f>
        <v>0.125</v>
      </c>
      <c r="F3639" s="0" t="n">
        <f aca="false">-1+C3639*0.125</f>
        <v>0.625</v>
      </c>
      <c r="G3639" s="0" t="n">
        <f aca="false">1</f>
        <v>1</v>
      </c>
      <c r="H3639" s="0" t="n">
        <f aca="false">D3639</f>
        <v>0.5</v>
      </c>
      <c r="I3639" s="0" t="n">
        <f aca="false">E3639</f>
        <v>0.125</v>
      </c>
      <c r="J3639" s="0" t="n">
        <f aca="false">F3639</f>
        <v>0.625</v>
      </c>
      <c r="K3639" s="0" t="n">
        <f aca="false">D3639*E3639</f>
        <v>0.0625</v>
      </c>
      <c r="L3639" s="0" t="n">
        <f aca="false">D3639*F3639</f>
        <v>0.3125</v>
      </c>
      <c r="M3639" s="0" t="n">
        <f aca="false">E3639*F3639</f>
        <v>0.078125</v>
      </c>
      <c r="N3639" s="0" t="n">
        <f aca="false">D3639*D3639</f>
        <v>0.25</v>
      </c>
      <c r="O3639" s="0" t="n">
        <f aca="false">E3639*E3639</f>
        <v>0.015625</v>
      </c>
      <c r="P3639" s="0" t="n">
        <f aca="false">F3639*F3639</f>
        <v>0.390625</v>
      </c>
      <c r="Q3639" s="0" t="n">
        <f aca="false">SUMPRODUCT(G3639:P3639,_XtX!$B$71:$K$71)</f>
        <v>49.7661363636364</v>
      </c>
      <c r="R3639" s="0" t="n">
        <f aca="false">SUMPRODUCT(MMULT(G3639:P3639,_XtX!$B$58:$K$67),G3639:P3639)</f>
        <v>0.186545077237216</v>
      </c>
      <c r="S3639" s="0" t="n">
        <f aca="false">04_回帰ANOVA!$K$19*04_回帰ANOVA!$K$14*SQRT(1+R3639)</f>
        <v>1.01276516970713</v>
      </c>
      <c r="T3639" s="0" t="n">
        <f aca="false">Q3639-S3639</f>
        <v>48.7533711939293</v>
      </c>
      <c r="U3639" s="0" t="n">
        <f aca="false">Q3639+S3639</f>
        <v>50.7789015333435</v>
      </c>
      <c r="V3639" s="54" t="b">
        <f aca="false">AND(D3639&gt;=01_因子設定!$L$5-0.000000001,D3639&lt;=01_因子設定!$M$5+0.000000001,E3639&gt;=01_因子設定!$L$6-0.000000001,E3639&lt;=01_因子設定!$M$6+0.000000001,F3639&gt;=01_因子設定!$L$7-0.000000001,F3639&lt;=01_因子設定!$M$7+0.000000001,IF(01_因子設定!$B$20="Box-Behnken",D3639^2+E3639^2+F3639^2&lt;=2+0.000000001,TRUE()))</f>
        <v>1</v>
      </c>
      <c r="W3639" s="55" t="n">
        <f aca="false">IF(V3639,IF(01_因子設定!$B$13="最大化",T3639-01_因子設定!$B$14,IF(01_因子設定!$B$13="最小化",01_因子設定!$B$15-U3639,MIN(T3639-01_因子設定!$B$14,01_因子設定!$B$15-U3639))),-1E+030)</f>
        <v>0.253371193929247</v>
      </c>
      <c r="X3639" s="55" t="n">
        <f aca="false">IF(V3639,IF(01_因子設定!$B$13="最大化",Q3639,IF(01_因子設定!$B$13="最小化",-Q3639,-ABS(Q3639-01_因子設定!$B$16))),-1E+030)</f>
        <v>49.7661363636364</v>
      </c>
      <c r="Y3639" s="55" t="n">
        <f aca="false">W3639+ROW()*0.000000001</f>
        <v>0.253374832929247</v>
      </c>
      <c r="Z3639" s="55" t="n">
        <f aca="false">X3639+ROW()*0.000000001</f>
        <v>49.7661400026364</v>
      </c>
    </row>
    <row r="3640" customFormat="false" ht="15" hidden="false" customHeight="false" outlineLevel="0" collapsed="false">
      <c r="A3640" s="0" t="n">
        <v>12</v>
      </c>
      <c r="B3640" s="0" t="n">
        <v>9</v>
      </c>
      <c r="C3640" s="0" t="n">
        <v>14</v>
      </c>
      <c r="D3640" s="0" t="n">
        <f aca="false">-1+A3640*0.125</f>
        <v>0.5</v>
      </c>
      <c r="E3640" s="0" t="n">
        <f aca="false">-1+B3640*0.125</f>
        <v>0.125</v>
      </c>
      <c r="F3640" s="0" t="n">
        <f aca="false">-1+C3640*0.125</f>
        <v>0.75</v>
      </c>
      <c r="G3640" s="0" t="n">
        <f aca="false">1</f>
        <v>1</v>
      </c>
      <c r="H3640" s="0" t="n">
        <f aca="false">D3640</f>
        <v>0.5</v>
      </c>
      <c r="I3640" s="0" t="n">
        <f aca="false">E3640</f>
        <v>0.125</v>
      </c>
      <c r="J3640" s="0" t="n">
        <f aca="false">F3640</f>
        <v>0.75</v>
      </c>
      <c r="K3640" s="0" t="n">
        <f aca="false">D3640*E3640</f>
        <v>0.0625</v>
      </c>
      <c r="L3640" s="0" t="n">
        <f aca="false">D3640*F3640</f>
        <v>0.375</v>
      </c>
      <c r="M3640" s="0" t="n">
        <f aca="false">E3640*F3640</f>
        <v>0.09375</v>
      </c>
      <c r="N3640" s="0" t="n">
        <f aca="false">D3640*D3640</f>
        <v>0.25</v>
      </c>
      <c r="O3640" s="0" t="n">
        <f aca="false">E3640*E3640</f>
        <v>0.015625</v>
      </c>
      <c r="P3640" s="0" t="n">
        <f aca="false">F3640*F3640</f>
        <v>0.5625</v>
      </c>
      <c r="Q3640" s="0" t="n">
        <f aca="false">SUMPRODUCT(G3640:P3640,_XtX!$B$71:$K$71)</f>
        <v>49.7339488636364</v>
      </c>
      <c r="R3640" s="0" t="n">
        <f aca="false">SUMPRODUCT(MMULT(G3640:P3640,_XtX!$B$58:$K$67),G3640:P3640)</f>
        <v>0.240933504971591</v>
      </c>
      <c r="S3640" s="0" t="n">
        <f aca="false">04_回帰ANOVA!$K$19*04_回帰ANOVA!$K$14*SQRT(1+R3640)</f>
        <v>1.03571649118863</v>
      </c>
      <c r="T3640" s="0" t="n">
        <f aca="false">Q3640-S3640</f>
        <v>48.6982323724478</v>
      </c>
      <c r="U3640" s="0" t="n">
        <f aca="false">Q3640+S3640</f>
        <v>50.769665354825</v>
      </c>
      <c r="V3640" s="54" t="b">
        <f aca="false">AND(D3640&gt;=01_因子設定!$L$5-0.000000001,D3640&lt;=01_因子設定!$M$5+0.000000001,E3640&gt;=01_因子設定!$L$6-0.000000001,E3640&lt;=01_因子設定!$M$6+0.000000001,F3640&gt;=01_因子設定!$L$7-0.000000001,F3640&lt;=01_因子設定!$M$7+0.000000001,IF(01_因子設定!$B$20="Box-Behnken",D3640^2+E3640^2+F3640^2&lt;=2+0.000000001,TRUE()))</f>
        <v>1</v>
      </c>
      <c r="W3640" s="55" t="n">
        <f aca="false">IF(V3640,IF(01_因子設定!$B$13="最大化",T3640-01_因子設定!$B$14,IF(01_因子設定!$B$13="最小化",01_因子設定!$B$15-U3640,MIN(T3640-01_因子設定!$B$14,01_因子設定!$B$15-U3640))),-1E+030)</f>
        <v>0.198232372447755</v>
      </c>
      <c r="X3640" s="55" t="n">
        <f aca="false">IF(V3640,IF(01_因子設定!$B$13="最大化",Q3640,IF(01_因子設定!$B$13="最小化",-Q3640,-ABS(Q3640-01_因子設定!$B$16))),-1E+030)</f>
        <v>49.7339488636364</v>
      </c>
      <c r="Y3640" s="55" t="n">
        <f aca="false">W3640+ROW()*0.000000001</f>
        <v>0.198236012447755</v>
      </c>
      <c r="Z3640" s="55" t="n">
        <f aca="false">X3640+ROW()*0.000000001</f>
        <v>49.7339525036364</v>
      </c>
    </row>
    <row r="3641" customFormat="false" ht="15" hidden="false" customHeight="false" outlineLevel="0" collapsed="false">
      <c r="A3641" s="0" t="n">
        <v>12</v>
      </c>
      <c r="B3641" s="0" t="n">
        <v>9</v>
      </c>
      <c r="C3641" s="0" t="n">
        <v>15</v>
      </c>
      <c r="D3641" s="0" t="n">
        <f aca="false">-1+A3641*0.125</f>
        <v>0.5</v>
      </c>
      <c r="E3641" s="0" t="n">
        <f aca="false">-1+B3641*0.125</f>
        <v>0.125</v>
      </c>
      <c r="F3641" s="0" t="n">
        <f aca="false">-1+C3641*0.125</f>
        <v>0.875</v>
      </c>
      <c r="G3641" s="0" t="n">
        <f aca="false">1</f>
        <v>1</v>
      </c>
      <c r="H3641" s="0" t="n">
        <f aca="false">D3641</f>
        <v>0.5</v>
      </c>
      <c r="I3641" s="0" t="n">
        <f aca="false">E3641</f>
        <v>0.125</v>
      </c>
      <c r="J3641" s="0" t="n">
        <f aca="false">F3641</f>
        <v>0.875</v>
      </c>
      <c r="K3641" s="0" t="n">
        <f aca="false">D3641*E3641</f>
        <v>0.0625</v>
      </c>
      <c r="L3641" s="0" t="n">
        <f aca="false">D3641*F3641</f>
        <v>0.4375</v>
      </c>
      <c r="M3641" s="0" t="n">
        <f aca="false">E3641*F3641</f>
        <v>0.109375</v>
      </c>
      <c r="N3641" s="0" t="n">
        <f aca="false">D3641*D3641</f>
        <v>0.25</v>
      </c>
      <c r="O3641" s="0" t="n">
        <f aca="false">E3641*E3641</f>
        <v>0.015625</v>
      </c>
      <c r="P3641" s="0" t="n">
        <f aca="false">F3641*F3641</f>
        <v>0.765625</v>
      </c>
      <c r="Q3641" s="0" t="n">
        <f aca="false">SUMPRODUCT(G3641:P3641,_XtX!$B$71:$K$71)</f>
        <v>49.6649715909091</v>
      </c>
      <c r="R3641" s="0" t="n">
        <f aca="false">SUMPRODUCT(MMULT(G3641:P3641,_XtX!$B$58:$K$67),G3641:P3641)</f>
        <v>0.332909601384943</v>
      </c>
      <c r="S3641" s="0" t="n">
        <f aca="false">04_回帰ANOVA!$K$19*04_回帰ANOVA!$K$14*SQRT(1+R3641)</f>
        <v>1.07341333007404</v>
      </c>
      <c r="T3641" s="0" t="n">
        <f aca="false">Q3641-S3641</f>
        <v>48.5915582608351</v>
      </c>
      <c r="U3641" s="0" t="n">
        <f aca="false">Q3641+S3641</f>
        <v>50.7383849209832</v>
      </c>
      <c r="V3641" s="54" t="b">
        <f aca="false">AND(D3641&gt;=01_因子設定!$L$5-0.000000001,D3641&lt;=01_因子設定!$M$5+0.000000001,E3641&gt;=01_因子設定!$L$6-0.000000001,E3641&lt;=01_因子設定!$M$6+0.000000001,F3641&gt;=01_因子設定!$L$7-0.000000001,F3641&lt;=01_因子設定!$M$7+0.000000001,IF(01_因子設定!$B$20="Box-Behnken",D3641^2+E3641^2+F3641^2&lt;=2+0.000000001,TRUE()))</f>
        <v>1</v>
      </c>
      <c r="W3641" s="55" t="n">
        <f aca="false">IF(V3641,IF(01_因子設定!$B$13="最大化",T3641-01_因子設定!$B$14,IF(01_因子設定!$B$13="最小化",01_因子設定!$B$15-U3641,MIN(T3641-01_因子設定!$B$14,01_因子設定!$B$15-U3641))),-1E+030)</f>
        <v>0.0915582608350718</v>
      </c>
      <c r="X3641" s="55" t="n">
        <f aca="false">IF(V3641,IF(01_因子設定!$B$13="最大化",Q3641,IF(01_因子設定!$B$13="最小化",-Q3641,-ABS(Q3641-01_因子設定!$B$16))),-1E+030)</f>
        <v>49.6649715909091</v>
      </c>
      <c r="Y3641" s="55" t="n">
        <f aca="false">W3641+ROW()*0.000000001</f>
        <v>0.0915619018350718</v>
      </c>
      <c r="Z3641" s="55" t="n">
        <f aca="false">X3641+ROW()*0.000000001</f>
        <v>49.6649752319091</v>
      </c>
    </row>
    <row r="3642" customFormat="false" ht="15" hidden="false" customHeight="false" outlineLevel="0" collapsed="false">
      <c r="A3642" s="0" t="n">
        <v>12</v>
      </c>
      <c r="B3642" s="0" t="n">
        <v>9</v>
      </c>
      <c r="C3642" s="0" t="n">
        <v>16</v>
      </c>
      <c r="D3642" s="0" t="n">
        <f aca="false">-1+A3642*0.125</f>
        <v>0.5</v>
      </c>
      <c r="E3642" s="0" t="n">
        <f aca="false">-1+B3642*0.125</f>
        <v>0.125</v>
      </c>
      <c r="F3642" s="0" t="n">
        <f aca="false">-1+C3642*0.125</f>
        <v>1</v>
      </c>
      <c r="G3642" s="0" t="n">
        <f aca="false">1</f>
        <v>1</v>
      </c>
      <c r="H3642" s="0" t="n">
        <f aca="false">D3642</f>
        <v>0.5</v>
      </c>
      <c r="I3642" s="0" t="n">
        <f aca="false">E3642</f>
        <v>0.125</v>
      </c>
      <c r="J3642" s="0" t="n">
        <f aca="false">F3642</f>
        <v>1</v>
      </c>
      <c r="K3642" s="0" t="n">
        <f aca="false">D3642*E3642</f>
        <v>0.0625</v>
      </c>
      <c r="L3642" s="0" t="n">
        <f aca="false">D3642*F3642</f>
        <v>0.5</v>
      </c>
      <c r="M3642" s="0" t="n">
        <f aca="false">E3642*F3642</f>
        <v>0.125</v>
      </c>
      <c r="N3642" s="0" t="n">
        <f aca="false">D3642*D3642</f>
        <v>0.25</v>
      </c>
      <c r="O3642" s="0" t="n">
        <f aca="false">E3642*E3642</f>
        <v>0.015625</v>
      </c>
      <c r="P3642" s="0" t="n">
        <f aca="false">F3642*F3642</f>
        <v>1</v>
      </c>
      <c r="Q3642" s="0" t="n">
        <f aca="false">SUMPRODUCT(G3642:P3642,_XtX!$B$71:$K$71)</f>
        <v>49.5592045454546</v>
      </c>
      <c r="R3642" s="0" t="n">
        <f aca="false">SUMPRODUCT(MMULT(G3642:P3642,_XtX!$B$58:$K$67),G3642:P3642)</f>
        <v>0.476322798295455</v>
      </c>
      <c r="S3642" s="0" t="n">
        <f aca="false">04_回帰ANOVA!$K$19*04_回帰ANOVA!$K$14*SQRT(1+R3642)</f>
        <v>1.12968483630128</v>
      </c>
      <c r="T3642" s="0" t="n">
        <f aca="false">Q3642-S3642</f>
        <v>48.4295197091533</v>
      </c>
      <c r="U3642" s="0" t="n">
        <f aca="false">Q3642+S3642</f>
        <v>50.6888893817559</v>
      </c>
      <c r="V3642" s="54" t="b">
        <f aca="false">AND(D3642&gt;=01_因子設定!$L$5-0.000000001,D3642&lt;=01_因子設定!$M$5+0.000000001,E3642&gt;=01_因子設定!$L$6-0.000000001,E3642&lt;=01_因子設定!$M$6+0.000000001,F3642&gt;=01_因子設定!$L$7-0.000000001,F3642&lt;=01_因子設定!$M$7+0.000000001,IF(01_因子設定!$B$20="Box-Behnken",D3642^2+E3642^2+F3642^2&lt;=2+0.000000001,TRUE()))</f>
        <v>1</v>
      </c>
      <c r="W3642" s="55" t="n">
        <f aca="false">IF(V3642,IF(01_因子設定!$B$13="最大化",T3642-01_因子設定!$B$14,IF(01_因子設定!$B$13="最小化",01_因子設定!$B$15-U3642,MIN(T3642-01_因子設定!$B$14,01_因子設定!$B$15-U3642))),-1E+030)</f>
        <v>-0.0704802908467102</v>
      </c>
      <c r="X3642" s="55" t="n">
        <f aca="false">IF(V3642,IF(01_因子設定!$B$13="最大化",Q3642,IF(01_因子設定!$B$13="最小化",-Q3642,-ABS(Q3642-01_因子設定!$B$16))),-1E+030)</f>
        <v>49.5592045454546</v>
      </c>
      <c r="Y3642" s="55" t="n">
        <f aca="false">W3642+ROW()*0.000000001</f>
        <v>-0.0704766488467102</v>
      </c>
      <c r="Z3642" s="55" t="n">
        <f aca="false">X3642+ROW()*0.000000001</f>
        <v>49.5592081874546</v>
      </c>
    </row>
    <row r="3643" customFormat="false" ht="15" hidden="false" customHeight="false" outlineLevel="0" collapsed="false">
      <c r="A3643" s="0" t="n">
        <v>12</v>
      </c>
      <c r="B3643" s="0" t="n">
        <v>10</v>
      </c>
      <c r="C3643" s="0" t="n">
        <v>0</v>
      </c>
      <c r="D3643" s="0" t="n">
        <f aca="false">-1+A3643*0.125</f>
        <v>0.5</v>
      </c>
      <c r="E3643" s="0" t="n">
        <f aca="false">-1+B3643*0.125</f>
        <v>0.25</v>
      </c>
      <c r="F3643" s="0" t="n">
        <f aca="false">-1+C3643*0.125</f>
        <v>-1</v>
      </c>
      <c r="G3643" s="0" t="n">
        <f aca="false">1</f>
        <v>1</v>
      </c>
      <c r="H3643" s="0" t="n">
        <f aca="false">D3643</f>
        <v>0.5</v>
      </c>
      <c r="I3643" s="0" t="n">
        <f aca="false">E3643</f>
        <v>0.25</v>
      </c>
      <c r="J3643" s="0" t="n">
        <f aca="false">F3643</f>
        <v>-1</v>
      </c>
      <c r="K3643" s="0" t="n">
        <f aca="false">D3643*E3643</f>
        <v>0.125</v>
      </c>
      <c r="L3643" s="0" t="n">
        <f aca="false">D3643*F3643</f>
        <v>-0.5</v>
      </c>
      <c r="M3643" s="0" t="n">
        <f aca="false">E3643*F3643</f>
        <v>-0.25</v>
      </c>
      <c r="N3643" s="0" t="n">
        <f aca="false">D3643*D3643</f>
        <v>0.25</v>
      </c>
      <c r="O3643" s="0" t="n">
        <f aca="false">E3643*E3643</f>
        <v>0.0625</v>
      </c>
      <c r="P3643" s="0" t="n">
        <f aca="false">F3643*F3643</f>
        <v>1</v>
      </c>
      <c r="Q3643" s="0" t="n">
        <f aca="false">SUMPRODUCT(G3643:P3643,_XtX!$B$71:$K$71)</f>
        <v>47.0207386363637</v>
      </c>
      <c r="R3643" s="0" t="n">
        <f aca="false">SUMPRODUCT(MMULT(G3643:P3643,_XtX!$B$58:$K$67),G3643:P3643)</f>
        <v>0.469424715909091</v>
      </c>
      <c r="S3643" s="0" t="n">
        <f aca="false">04_回帰ANOVA!$K$19*04_回帰ANOVA!$K$14*SQRT(1+R3643)</f>
        <v>1.12704253369596</v>
      </c>
      <c r="T3643" s="0" t="n">
        <f aca="false">Q3643-S3643</f>
        <v>45.8936961026677</v>
      </c>
      <c r="U3643" s="0" t="n">
        <f aca="false">Q3643+S3643</f>
        <v>48.1477811700596</v>
      </c>
      <c r="V3643" s="54" t="b">
        <f aca="false">AND(D3643&gt;=01_因子設定!$L$5-0.000000001,D3643&lt;=01_因子設定!$M$5+0.000000001,E3643&gt;=01_因子設定!$L$6-0.000000001,E3643&lt;=01_因子設定!$M$6+0.000000001,F3643&gt;=01_因子設定!$L$7-0.000000001,F3643&lt;=01_因子設定!$M$7+0.000000001,IF(01_因子設定!$B$20="Box-Behnken",D3643^2+E3643^2+F3643^2&lt;=2+0.000000001,TRUE()))</f>
        <v>1</v>
      </c>
      <c r="W3643" s="55" t="n">
        <f aca="false">IF(V3643,IF(01_因子設定!$B$13="最大化",T3643-01_因子設定!$B$14,IF(01_因子設定!$B$13="最小化",01_因子設定!$B$15-U3643,MIN(T3643-01_因子設定!$B$14,01_因子設定!$B$15-U3643))),-1E+030)</f>
        <v>-2.6063038973323</v>
      </c>
      <c r="X3643" s="55" t="n">
        <f aca="false">IF(V3643,IF(01_因子設定!$B$13="最大化",Q3643,IF(01_因子設定!$B$13="最小化",-Q3643,-ABS(Q3643-01_因子設定!$B$16))),-1E+030)</f>
        <v>47.0207386363637</v>
      </c>
      <c r="Y3643" s="55" t="n">
        <f aca="false">W3643+ROW()*0.000000001</f>
        <v>-2.6063002543323</v>
      </c>
      <c r="Z3643" s="55" t="n">
        <f aca="false">X3643+ROW()*0.000000001</f>
        <v>47.0207422793637</v>
      </c>
    </row>
    <row r="3644" customFormat="false" ht="15" hidden="false" customHeight="false" outlineLevel="0" collapsed="false">
      <c r="A3644" s="0" t="n">
        <v>12</v>
      </c>
      <c r="B3644" s="0" t="n">
        <v>10</v>
      </c>
      <c r="C3644" s="0" t="n">
        <v>1</v>
      </c>
      <c r="D3644" s="0" t="n">
        <f aca="false">-1+A3644*0.125</f>
        <v>0.5</v>
      </c>
      <c r="E3644" s="0" t="n">
        <f aca="false">-1+B3644*0.125</f>
        <v>0.25</v>
      </c>
      <c r="F3644" s="0" t="n">
        <f aca="false">-1+C3644*0.125</f>
        <v>-0.875</v>
      </c>
      <c r="G3644" s="0" t="n">
        <f aca="false">1</f>
        <v>1</v>
      </c>
      <c r="H3644" s="0" t="n">
        <f aca="false">D3644</f>
        <v>0.5</v>
      </c>
      <c r="I3644" s="0" t="n">
        <f aca="false">E3644</f>
        <v>0.25</v>
      </c>
      <c r="J3644" s="0" t="n">
        <f aca="false">F3644</f>
        <v>-0.875</v>
      </c>
      <c r="K3644" s="0" t="n">
        <f aca="false">D3644*E3644</f>
        <v>0.125</v>
      </c>
      <c r="L3644" s="0" t="n">
        <f aca="false">D3644*F3644</f>
        <v>-0.4375</v>
      </c>
      <c r="M3644" s="0" t="n">
        <f aca="false">E3644*F3644</f>
        <v>-0.21875</v>
      </c>
      <c r="N3644" s="0" t="n">
        <f aca="false">D3644*D3644</f>
        <v>0.25</v>
      </c>
      <c r="O3644" s="0" t="n">
        <f aca="false">E3644*E3644</f>
        <v>0.0625</v>
      </c>
      <c r="P3644" s="0" t="n">
        <f aca="false">F3644*F3644</f>
        <v>0.765625</v>
      </c>
      <c r="Q3644" s="0" t="n">
        <f aca="false">SUMPRODUCT(G3644:P3644,_XtX!$B$71:$K$71)</f>
        <v>47.4738494318182</v>
      </c>
      <c r="R3644" s="0" t="n">
        <f aca="false">SUMPRODUCT(MMULT(G3644:P3644,_XtX!$B$58:$K$67),G3644:P3644)</f>
        <v>0.327634499289773</v>
      </c>
      <c r="S3644" s="0" t="n">
        <f aca="false">04_回帰ANOVA!$K$19*04_回帰ANOVA!$K$14*SQRT(1+R3644)</f>
        <v>1.07128716250217</v>
      </c>
      <c r="T3644" s="0" t="n">
        <f aca="false">Q3644-S3644</f>
        <v>46.402562269316</v>
      </c>
      <c r="U3644" s="0" t="n">
        <f aca="false">Q3644+S3644</f>
        <v>48.5451365943204</v>
      </c>
      <c r="V3644" s="54" t="b">
        <f aca="false">AND(D3644&gt;=01_因子設定!$L$5-0.000000001,D3644&lt;=01_因子設定!$M$5+0.000000001,E3644&gt;=01_因子設定!$L$6-0.000000001,E3644&lt;=01_因子設定!$M$6+0.000000001,F3644&gt;=01_因子設定!$L$7-0.000000001,F3644&lt;=01_因子設定!$M$7+0.000000001,IF(01_因子設定!$B$20="Box-Behnken",D3644^2+E3644^2+F3644^2&lt;=2+0.000000001,TRUE()))</f>
        <v>1</v>
      </c>
      <c r="W3644" s="55" t="n">
        <f aca="false">IF(V3644,IF(01_因子設定!$B$13="最大化",T3644-01_因子設定!$B$14,IF(01_因子設定!$B$13="最小化",01_因子設定!$B$15-U3644,MIN(T3644-01_因子設定!$B$14,01_因子設定!$B$15-U3644))),-1E+030)</f>
        <v>-2.09743773068397</v>
      </c>
      <c r="X3644" s="55" t="n">
        <f aca="false">IF(V3644,IF(01_因子設定!$B$13="最大化",Q3644,IF(01_因子設定!$B$13="最小化",-Q3644,-ABS(Q3644-01_因子設定!$B$16))),-1E+030)</f>
        <v>47.4738494318182</v>
      </c>
      <c r="Y3644" s="55" t="n">
        <f aca="false">W3644+ROW()*0.000000001</f>
        <v>-2.09743408668397</v>
      </c>
      <c r="Z3644" s="55" t="n">
        <f aca="false">X3644+ROW()*0.000000001</f>
        <v>47.4738530758182</v>
      </c>
    </row>
    <row r="3645" customFormat="false" ht="15" hidden="false" customHeight="false" outlineLevel="0" collapsed="false">
      <c r="A3645" s="0" t="n">
        <v>12</v>
      </c>
      <c r="B3645" s="0" t="n">
        <v>10</v>
      </c>
      <c r="C3645" s="0" t="n">
        <v>2</v>
      </c>
      <c r="D3645" s="0" t="n">
        <f aca="false">-1+A3645*0.125</f>
        <v>0.5</v>
      </c>
      <c r="E3645" s="0" t="n">
        <f aca="false">-1+B3645*0.125</f>
        <v>0.25</v>
      </c>
      <c r="F3645" s="0" t="n">
        <f aca="false">-1+C3645*0.125</f>
        <v>-0.75</v>
      </c>
      <c r="G3645" s="0" t="n">
        <f aca="false">1</f>
        <v>1</v>
      </c>
      <c r="H3645" s="0" t="n">
        <f aca="false">D3645</f>
        <v>0.5</v>
      </c>
      <c r="I3645" s="0" t="n">
        <f aca="false">E3645</f>
        <v>0.25</v>
      </c>
      <c r="J3645" s="0" t="n">
        <f aca="false">F3645</f>
        <v>-0.75</v>
      </c>
      <c r="K3645" s="0" t="n">
        <f aca="false">D3645*E3645</f>
        <v>0.125</v>
      </c>
      <c r="L3645" s="0" t="n">
        <f aca="false">D3645*F3645</f>
        <v>-0.375</v>
      </c>
      <c r="M3645" s="0" t="n">
        <f aca="false">E3645*F3645</f>
        <v>-0.1875</v>
      </c>
      <c r="N3645" s="0" t="n">
        <f aca="false">D3645*D3645</f>
        <v>0.25</v>
      </c>
      <c r="O3645" s="0" t="n">
        <f aca="false">E3645*E3645</f>
        <v>0.0625</v>
      </c>
      <c r="P3645" s="0" t="n">
        <f aca="false">F3645*F3645</f>
        <v>0.5625</v>
      </c>
      <c r="Q3645" s="0" t="n">
        <f aca="false">SUMPRODUCT(G3645:P3645,_XtX!$B$71:$K$71)</f>
        <v>47.8901704545455</v>
      </c>
      <c r="R3645" s="0" t="n">
        <f aca="false">SUMPRODUCT(MMULT(G3645:P3645,_XtX!$B$58:$K$67),G3645:P3645)</f>
        <v>0.237064985795455</v>
      </c>
      <c r="S3645" s="0" t="n">
        <f aca="false">04_回帰ANOVA!$K$19*04_回帰ANOVA!$K$14*SQRT(1+R3645)</f>
        <v>1.03410084594745</v>
      </c>
      <c r="T3645" s="0" t="n">
        <f aca="false">Q3645-S3645</f>
        <v>46.856069608598</v>
      </c>
      <c r="U3645" s="0" t="n">
        <f aca="false">Q3645+S3645</f>
        <v>48.9242713004929</v>
      </c>
      <c r="V3645" s="54" t="b">
        <f aca="false">AND(D3645&gt;=01_因子設定!$L$5-0.000000001,D3645&lt;=01_因子設定!$M$5+0.000000001,E3645&gt;=01_因子設定!$L$6-0.000000001,E3645&lt;=01_因子設定!$M$6+0.000000001,F3645&gt;=01_因子設定!$L$7-0.000000001,F3645&lt;=01_因子設定!$M$7+0.000000001,IF(01_因子設定!$B$20="Box-Behnken",D3645^2+E3645^2+F3645^2&lt;=2+0.000000001,TRUE()))</f>
        <v>1</v>
      </c>
      <c r="W3645" s="55" t="n">
        <f aca="false">IF(V3645,IF(01_因子設定!$B$13="最大化",T3645-01_因子設定!$B$14,IF(01_因子設定!$B$13="最小化",01_因子設定!$B$15-U3645,MIN(T3645-01_因子設定!$B$14,01_因子設定!$B$15-U3645))),-1E+030)</f>
        <v>-1.64393039140197</v>
      </c>
      <c r="X3645" s="55" t="n">
        <f aca="false">IF(V3645,IF(01_因子設定!$B$13="最大化",Q3645,IF(01_因子設定!$B$13="最小化",-Q3645,-ABS(Q3645-01_因子設定!$B$16))),-1E+030)</f>
        <v>47.8901704545455</v>
      </c>
      <c r="Y3645" s="55" t="n">
        <f aca="false">W3645+ROW()*0.000000001</f>
        <v>-1.64392674640197</v>
      </c>
      <c r="Z3645" s="55" t="n">
        <f aca="false">X3645+ROW()*0.000000001</f>
        <v>47.8901740995455</v>
      </c>
    </row>
    <row r="3646" customFormat="false" ht="15" hidden="false" customHeight="false" outlineLevel="0" collapsed="false">
      <c r="A3646" s="0" t="n">
        <v>12</v>
      </c>
      <c r="B3646" s="0" t="n">
        <v>10</v>
      </c>
      <c r="C3646" s="0" t="n">
        <v>3</v>
      </c>
      <c r="D3646" s="0" t="n">
        <f aca="false">-1+A3646*0.125</f>
        <v>0.5</v>
      </c>
      <c r="E3646" s="0" t="n">
        <f aca="false">-1+B3646*0.125</f>
        <v>0.25</v>
      </c>
      <c r="F3646" s="0" t="n">
        <f aca="false">-1+C3646*0.125</f>
        <v>-0.625</v>
      </c>
      <c r="G3646" s="0" t="n">
        <f aca="false">1</f>
        <v>1</v>
      </c>
      <c r="H3646" s="0" t="n">
        <f aca="false">D3646</f>
        <v>0.5</v>
      </c>
      <c r="I3646" s="0" t="n">
        <f aca="false">E3646</f>
        <v>0.25</v>
      </c>
      <c r="J3646" s="0" t="n">
        <f aca="false">F3646</f>
        <v>-0.625</v>
      </c>
      <c r="K3646" s="0" t="n">
        <f aca="false">D3646*E3646</f>
        <v>0.125</v>
      </c>
      <c r="L3646" s="0" t="n">
        <f aca="false">D3646*F3646</f>
        <v>-0.3125</v>
      </c>
      <c r="M3646" s="0" t="n">
        <f aca="false">E3646*F3646</f>
        <v>-0.15625</v>
      </c>
      <c r="N3646" s="0" t="n">
        <f aca="false">D3646*D3646</f>
        <v>0.25</v>
      </c>
      <c r="O3646" s="0" t="n">
        <f aca="false">E3646*E3646</f>
        <v>0.0625</v>
      </c>
      <c r="P3646" s="0" t="n">
        <f aca="false">F3646*F3646</f>
        <v>0.390625</v>
      </c>
      <c r="Q3646" s="0" t="n">
        <f aca="false">SUMPRODUCT(G3646:P3646,_XtX!$B$71:$K$71)</f>
        <v>48.2697017045455</v>
      </c>
      <c r="R3646" s="0" t="n">
        <f aca="false">SUMPRODUCT(MMULT(G3646:P3646,_XtX!$B$58:$K$67),G3646:P3646)</f>
        <v>0.183866743607955</v>
      </c>
      <c r="S3646" s="0" t="n">
        <f aca="false">04_回帰ANOVA!$K$19*04_回帰ANOVA!$K$14*SQRT(1+R3646)</f>
        <v>1.01162148983013</v>
      </c>
      <c r="T3646" s="0" t="n">
        <f aca="false">Q3646-S3646</f>
        <v>47.2580802147153</v>
      </c>
      <c r="U3646" s="0" t="n">
        <f aca="false">Q3646+S3646</f>
        <v>49.2813231943756</v>
      </c>
      <c r="V3646" s="54" t="b">
        <f aca="false">AND(D3646&gt;=01_因子設定!$L$5-0.000000001,D3646&lt;=01_因子設定!$M$5+0.000000001,E3646&gt;=01_因子設定!$L$6-0.000000001,E3646&lt;=01_因子設定!$M$6+0.000000001,F3646&gt;=01_因子設定!$L$7-0.000000001,F3646&lt;=01_因子設定!$M$7+0.000000001,IF(01_因子設定!$B$20="Box-Behnken",D3646^2+E3646^2+F3646^2&lt;=2+0.000000001,TRUE()))</f>
        <v>1</v>
      </c>
      <c r="W3646" s="55" t="n">
        <f aca="false">IF(V3646,IF(01_因子設定!$B$13="最大化",T3646-01_因子設定!$B$14,IF(01_因子設定!$B$13="最小化",01_因子設定!$B$15-U3646,MIN(T3646-01_因子設定!$B$14,01_因子設定!$B$15-U3646))),-1E+030)</f>
        <v>-1.24191978528467</v>
      </c>
      <c r="X3646" s="55" t="n">
        <f aca="false">IF(V3646,IF(01_因子設定!$B$13="最大化",Q3646,IF(01_因子設定!$B$13="最小化",-Q3646,-ABS(Q3646-01_因子設定!$B$16))),-1E+030)</f>
        <v>48.2697017045455</v>
      </c>
      <c r="Y3646" s="55" t="n">
        <f aca="false">W3646+ROW()*0.000000001</f>
        <v>-1.24191613928467</v>
      </c>
      <c r="Z3646" s="55" t="n">
        <f aca="false">X3646+ROW()*0.000000001</f>
        <v>48.2697053505455</v>
      </c>
    </row>
    <row r="3647" customFormat="false" ht="15" hidden="false" customHeight="false" outlineLevel="0" collapsed="false">
      <c r="A3647" s="0" t="n">
        <v>12</v>
      </c>
      <c r="B3647" s="0" t="n">
        <v>10</v>
      </c>
      <c r="C3647" s="0" t="n">
        <v>4</v>
      </c>
      <c r="D3647" s="0" t="n">
        <f aca="false">-1+A3647*0.125</f>
        <v>0.5</v>
      </c>
      <c r="E3647" s="0" t="n">
        <f aca="false">-1+B3647*0.125</f>
        <v>0.25</v>
      </c>
      <c r="F3647" s="0" t="n">
        <f aca="false">-1+C3647*0.125</f>
        <v>-0.5</v>
      </c>
      <c r="G3647" s="0" t="n">
        <f aca="false">1</f>
        <v>1</v>
      </c>
      <c r="H3647" s="0" t="n">
        <f aca="false">D3647</f>
        <v>0.5</v>
      </c>
      <c r="I3647" s="0" t="n">
        <f aca="false">E3647</f>
        <v>0.25</v>
      </c>
      <c r="J3647" s="0" t="n">
        <f aca="false">F3647</f>
        <v>-0.5</v>
      </c>
      <c r="K3647" s="0" t="n">
        <f aca="false">D3647*E3647</f>
        <v>0.125</v>
      </c>
      <c r="L3647" s="0" t="n">
        <f aca="false">D3647*F3647</f>
        <v>-0.25</v>
      </c>
      <c r="M3647" s="0" t="n">
        <f aca="false">E3647*F3647</f>
        <v>-0.125</v>
      </c>
      <c r="N3647" s="0" t="n">
        <f aca="false">D3647*D3647</f>
        <v>0.25</v>
      </c>
      <c r="O3647" s="0" t="n">
        <f aca="false">E3647*E3647</f>
        <v>0.0625</v>
      </c>
      <c r="P3647" s="0" t="n">
        <f aca="false">F3647*F3647</f>
        <v>0.25</v>
      </c>
      <c r="Q3647" s="0" t="n">
        <f aca="false">SUMPRODUCT(G3647:P3647,_XtX!$B$71:$K$71)</f>
        <v>48.6124431818182</v>
      </c>
      <c r="R3647" s="0" t="n">
        <f aca="false">SUMPRODUCT(MMULT(G3647:P3647,_XtX!$B$58:$K$67),G3647:P3647)</f>
        <v>0.156321022727273</v>
      </c>
      <c r="S3647" s="0" t="n">
        <f aca="false">04_回帰ANOVA!$K$19*04_回帰ANOVA!$K$14*SQRT(1+R3647)</f>
        <v>0.999783227753172</v>
      </c>
      <c r="T3647" s="0" t="n">
        <f aca="false">Q3647-S3647</f>
        <v>47.612659954065</v>
      </c>
      <c r="U3647" s="0" t="n">
        <f aca="false">Q3647+S3647</f>
        <v>49.6122264095714</v>
      </c>
      <c r="V3647" s="54" t="b">
        <f aca="false">AND(D3647&gt;=01_因子設定!$L$5-0.000000001,D3647&lt;=01_因子設定!$M$5+0.000000001,E3647&gt;=01_因子設定!$L$6-0.000000001,E3647&lt;=01_因子設定!$M$6+0.000000001,F3647&gt;=01_因子設定!$L$7-0.000000001,F3647&lt;=01_因子設定!$M$7+0.000000001,IF(01_因子設定!$B$20="Box-Behnken",D3647^2+E3647^2+F3647^2&lt;=2+0.000000001,TRUE()))</f>
        <v>1</v>
      </c>
      <c r="W3647" s="55" t="n">
        <f aca="false">IF(V3647,IF(01_因子設定!$B$13="最大化",T3647-01_因子設定!$B$14,IF(01_因子設定!$B$13="最小化",01_因子設定!$B$15-U3647,MIN(T3647-01_因子設定!$B$14,01_因子設定!$B$15-U3647))),-1E+030)</f>
        <v>-0.887340045934977</v>
      </c>
      <c r="X3647" s="55" t="n">
        <f aca="false">IF(V3647,IF(01_因子設定!$B$13="最大化",Q3647,IF(01_因子設定!$B$13="最小化",-Q3647,-ABS(Q3647-01_因子設定!$B$16))),-1E+030)</f>
        <v>48.6124431818182</v>
      </c>
      <c r="Y3647" s="55" t="n">
        <f aca="false">W3647+ROW()*0.000000001</f>
        <v>-0.887336398934977</v>
      </c>
      <c r="Z3647" s="55" t="n">
        <f aca="false">X3647+ROW()*0.000000001</f>
        <v>48.6124468288182</v>
      </c>
    </row>
    <row r="3648" customFormat="false" ht="15" hidden="false" customHeight="false" outlineLevel="0" collapsed="false">
      <c r="A3648" s="0" t="n">
        <v>12</v>
      </c>
      <c r="B3648" s="0" t="n">
        <v>10</v>
      </c>
      <c r="C3648" s="0" t="n">
        <v>5</v>
      </c>
      <c r="D3648" s="0" t="n">
        <f aca="false">-1+A3648*0.125</f>
        <v>0.5</v>
      </c>
      <c r="E3648" s="0" t="n">
        <f aca="false">-1+B3648*0.125</f>
        <v>0.25</v>
      </c>
      <c r="F3648" s="0" t="n">
        <f aca="false">-1+C3648*0.125</f>
        <v>-0.375</v>
      </c>
      <c r="G3648" s="0" t="n">
        <f aca="false">1</f>
        <v>1</v>
      </c>
      <c r="H3648" s="0" t="n">
        <f aca="false">D3648</f>
        <v>0.5</v>
      </c>
      <c r="I3648" s="0" t="n">
        <f aca="false">E3648</f>
        <v>0.25</v>
      </c>
      <c r="J3648" s="0" t="n">
        <f aca="false">F3648</f>
        <v>-0.375</v>
      </c>
      <c r="K3648" s="0" t="n">
        <f aca="false">D3648*E3648</f>
        <v>0.125</v>
      </c>
      <c r="L3648" s="0" t="n">
        <f aca="false">D3648*F3648</f>
        <v>-0.1875</v>
      </c>
      <c r="M3648" s="0" t="n">
        <f aca="false">E3648*F3648</f>
        <v>-0.09375</v>
      </c>
      <c r="N3648" s="0" t="n">
        <f aca="false">D3648*D3648</f>
        <v>0.25</v>
      </c>
      <c r="O3648" s="0" t="n">
        <f aca="false">E3648*E3648</f>
        <v>0.0625</v>
      </c>
      <c r="P3648" s="0" t="n">
        <f aca="false">F3648*F3648</f>
        <v>0.140625</v>
      </c>
      <c r="Q3648" s="0" t="n">
        <f aca="false">SUMPRODUCT(G3648:P3648,_XtX!$B$71:$K$71)</f>
        <v>48.9183948863636</v>
      </c>
      <c r="R3648" s="0" t="n">
        <f aca="false">SUMPRODUCT(MMULT(G3648:P3648,_XtX!$B$58:$K$67),G3648:P3648)</f>
        <v>0.144839754971591</v>
      </c>
      <c r="S3648" s="0" t="n">
        <f aca="false">04_回帰ANOVA!$K$19*04_回帰ANOVA!$K$14*SQRT(1+R3648)</f>
        <v>0.994807353995542</v>
      </c>
      <c r="T3648" s="0" t="n">
        <f aca="false">Q3648-S3648</f>
        <v>47.9235875323681</v>
      </c>
      <c r="U3648" s="0" t="n">
        <f aca="false">Q3648+S3648</f>
        <v>49.9132022403592</v>
      </c>
      <c r="V3648" s="54" t="b">
        <f aca="false">AND(D3648&gt;=01_因子設定!$L$5-0.000000001,D3648&lt;=01_因子設定!$M$5+0.000000001,E3648&gt;=01_因子設定!$L$6-0.000000001,E3648&lt;=01_因子設定!$M$6+0.000000001,F3648&gt;=01_因子設定!$L$7-0.000000001,F3648&lt;=01_因子設定!$M$7+0.000000001,IF(01_因子設定!$B$20="Box-Behnken",D3648^2+E3648^2+F3648^2&lt;=2+0.000000001,TRUE()))</f>
        <v>1</v>
      </c>
      <c r="W3648" s="55" t="n">
        <f aca="false">IF(V3648,IF(01_因子設定!$B$13="最大化",T3648-01_因子設定!$B$14,IF(01_因子設定!$B$13="最小化",01_因子設定!$B$15-U3648,MIN(T3648-01_因子設定!$B$14,01_因子設定!$B$15-U3648))),-1E+030)</f>
        <v>-0.576412467631897</v>
      </c>
      <c r="X3648" s="55" t="n">
        <f aca="false">IF(V3648,IF(01_因子設定!$B$13="最大化",Q3648,IF(01_因子設定!$B$13="最小化",-Q3648,-ABS(Q3648-01_因子設定!$B$16))),-1E+030)</f>
        <v>48.9183948863636</v>
      </c>
      <c r="Y3648" s="55" t="n">
        <f aca="false">W3648+ROW()*0.000000001</f>
        <v>-0.576408819631897</v>
      </c>
      <c r="Z3648" s="55" t="n">
        <f aca="false">X3648+ROW()*0.000000001</f>
        <v>48.9183985343637</v>
      </c>
    </row>
    <row r="3649" customFormat="false" ht="15" hidden="false" customHeight="false" outlineLevel="0" collapsed="false">
      <c r="A3649" s="0" t="n">
        <v>12</v>
      </c>
      <c r="B3649" s="0" t="n">
        <v>10</v>
      </c>
      <c r="C3649" s="0" t="n">
        <v>6</v>
      </c>
      <c r="D3649" s="0" t="n">
        <f aca="false">-1+A3649*0.125</f>
        <v>0.5</v>
      </c>
      <c r="E3649" s="0" t="n">
        <f aca="false">-1+B3649*0.125</f>
        <v>0.25</v>
      </c>
      <c r="F3649" s="0" t="n">
        <f aca="false">-1+C3649*0.125</f>
        <v>-0.25</v>
      </c>
      <c r="G3649" s="0" t="n">
        <f aca="false">1</f>
        <v>1</v>
      </c>
      <c r="H3649" s="0" t="n">
        <f aca="false">D3649</f>
        <v>0.5</v>
      </c>
      <c r="I3649" s="0" t="n">
        <f aca="false">E3649</f>
        <v>0.25</v>
      </c>
      <c r="J3649" s="0" t="n">
        <f aca="false">F3649</f>
        <v>-0.25</v>
      </c>
      <c r="K3649" s="0" t="n">
        <f aca="false">D3649*E3649</f>
        <v>0.125</v>
      </c>
      <c r="L3649" s="0" t="n">
        <f aca="false">D3649*F3649</f>
        <v>-0.125</v>
      </c>
      <c r="M3649" s="0" t="n">
        <f aca="false">E3649*F3649</f>
        <v>-0.0625</v>
      </c>
      <c r="N3649" s="0" t="n">
        <f aca="false">D3649*D3649</f>
        <v>0.25</v>
      </c>
      <c r="O3649" s="0" t="n">
        <f aca="false">E3649*E3649</f>
        <v>0.0625</v>
      </c>
      <c r="P3649" s="0" t="n">
        <f aca="false">F3649*F3649</f>
        <v>0.0625</v>
      </c>
      <c r="Q3649" s="0" t="n">
        <f aca="false">SUMPRODUCT(G3649:P3649,_XtX!$B$71:$K$71)</f>
        <v>49.1875568181818</v>
      </c>
      <c r="R3649" s="0" t="n">
        <f aca="false">SUMPRODUCT(MMULT(G3649:P3649,_XtX!$B$58:$K$67),G3649:P3649)</f>
        <v>0.141965553977273</v>
      </c>
      <c r="S3649" s="0" t="n">
        <f aca="false">04_回帰ANOVA!$K$19*04_回帰ANOVA!$K$14*SQRT(1+R3649)</f>
        <v>0.993557802198625</v>
      </c>
      <c r="T3649" s="0" t="n">
        <f aca="false">Q3649-S3649</f>
        <v>48.1939990159832</v>
      </c>
      <c r="U3649" s="0" t="n">
        <f aca="false">Q3649+S3649</f>
        <v>50.1811146203805</v>
      </c>
      <c r="V3649" s="54" t="b">
        <f aca="false">AND(D3649&gt;=01_因子設定!$L$5-0.000000001,D3649&lt;=01_因子設定!$M$5+0.000000001,E3649&gt;=01_因子設定!$L$6-0.000000001,E3649&lt;=01_因子設定!$M$6+0.000000001,F3649&gt;=01_因子設定!$L$7-0.000000001,F3649&lt;=01_因子設定!$M$7+0.000000001,IF(01_因子設定!$B$20="Box-Behnken",D3649^2+E3649^2+F3649^2&lt;=2+0.000000001,TRUE()))</f>
        <v>1</v>
      </c>
      <c r="W3649" s="55" t="n">
        <f aca="false">IF(V3649,IF(01_因子設定!$B$13="最大化",T3649-01_因子設定!$B$14,IF(01_因子設定!$B$13="最小化",01_因子設定!$B$15-U3649,MIN(T3649-01_因子設定!$B$14,01_因子設定!$B$15-U3649))),-1E+030)</f>
        <v>-0.306000984016798</v>
      </c>
      <c r="X3649" s="55" t="n">
        <f aca="false">IF(V3649,IF(01_因子設定!$B$13="最大化",Q3649,IF(01_因子設定!$B$13="最小化",-Q3649,-ABS(Q3649-01_因子設定!$B$16))),-1E+030)</f>
        <v>49.1875568181818</v>
      </c>
      <c r="Y3649" s="55" t="n">
        <f aca="false">W3649+ROW()*0.000000001</f>
        <v>-0.305997335016798</v>
      </c>
      <c r="Z3649" s="55" t="n">
        <f aca="false">X3649+ROW()*0.000000001</f>
        <v>49.1875604671818</v>
      </c>
    </row>
    <row r="3650" customFormat="false" ht="15" hidden="false" customHeight="false" outlineLevel="0" collapsed="false">
      <c r="A3650" s="0" t="n">
        <v>12</v>
      </c>
      <c r="B3650" s="0" t="n">
        <v>10</v>
      </c>
      <c r="C3650" s="0" t="n">
        <v>7</v>
      </c>
      <c r="D3650" s="0" t="n">
        <f aca="false">-1+A3650*0.125</f>
        <v>0.5</v>
      </c>
      <c r="E3650" s="0" t="n">
        <f aca="false">-1+B3650*0.125</f>
        <v>0.25</v>
      </c>
      <c r="F3650" s="0" t="n">
        <f aca="false">-1+C3650*0.125</f>
        <v>-0.125</v>
      </c>
      <c r="G3650" s="0" t="n">
        <f aca="false">1</f>
        <v>1</v>
      </c>
      <c r="H3650" s="0" t="n">
        <f aca="false">D3650</f>
        <v>0.5</v>
      </c>
      <c r="I3650" s="0" t="n">
        <f aca="false">E3650</f>
        <v>0.25</v>
      </c>
      <c r="J3650" s="0" t="n">
        <f aca="false">F3650</f>
        <v>-0.125</v>
      </c>
      <c r="K3650" s="0" t="n">
        <f aca="false">D3650*E3650</f>
        <v>0.125</v>
      </c>
      <c r="L3650" s="0" t="n">
        <f aca="false">D3650*F3650</f>
        <v>-0.0625</v>
      </c>
      <c r="M3650" s="0" t="n">
        <f aca="false">E3650*F3650</f>
        <v>-0.03125</v>
      </c>
      <c r="N3650" s="0" t="n">
        <f aca="false">D3650*D3650</f>
        <v>0.25</v>
      </c>
      <c r="O3650" s="0" t="n">
        <f aca="false">E3650*E3650</f>
        <v>0.0625</v>
      </c>
      <c r="P3650" s="0" t="n">
        <f aca="false">F3650*F3650</f>
        <v>0.015625</v>
      </c>
      <c r="Q3650" s="0" t="n">
        <f aca="false">SUMPRODUCT(G3650:P3650,_XtX!$B$71:$K$71)</f>
        <v>49.4199289772727</v>
      </c>
      <c r="R3650" s="0" t="n">
        <f aca="false">SUMPRODUCT(MMULT(G3650:P3650,_XtX!$B$58:$K$67),G3650:P3650)</f>
        <v>0.142371715198864</v>
      </c>
      <c r="S3650" s="0" t="n">
        <f aca="false">04_回帰ANOVA!$K$19*04_回帰ANOVA!$K$14*SQRT(1+R3650)</f>
        <v>0.99373447511735</v>
      </c>
      <c r="T3650" s="0" t="n">
        <f aca="false">Q3650-S3650</f>
        <v>48.4261945021554</v>
      </c>
      <c r="U3650" s="0" t="n">
        <f aca="false">Q3650+S3650</f>
        <v>50.4136634523901</v>
      </c>
      <c r="V3650" s="54" t="b">
        <f aca="false">AND(D3650&gt;=01_因子設定!$L$5-0.000000001,D3650&lt;=01_因子設定!$M$5+0.000000001,E3650&gt;=01_因子設定!$L$6-0.000000001,E3650&lt;=01_因子設定!$M$6+0.000000001,F3650&gt;=01_因子設定!$L$7-0.000000001,F3650&lt;=01_因子設定!$M$7+0.000000001,IF(01_因子設定!$B$20="Box-Behnken",D3650^2+E3650^2+F3650^2&lt;=2+0.000000001,TRUE()))</f>
        <v>1</v>
      </c>
      <c r="W3650" s="55" t="n">
        <f aca="false">IF(V3650,IF(01_因子設定!$B$13="最大化",T3650-01_因子設定!$B$14,IF(01_因子設定!$B$13="最小化",01_因子設定!$B$15-U3650,MIN(T3650-01_因子設定!$B$14,01_因子設定!$B$15-U3650))),-1E+030)</f>
        <v>-0.0738054978446172</v>
      </c>
      <c r="X3650" s="55" t="n">
        <f aca="false">IF(V3650,IF(01_因子設定!$B$13="最大化",Q3650,IF(01_因子設定!$B$13="最小化",-Q3650,-ABS(Q3650-01_因子設定!$B$16))),-1E+030)</f>
        <v>49.4199289772727</v>
      </c>
      <c r="Y3650" s="55" t="n">
        <f aca="false">W3650+ROW()*0.000000001</f>
        <v>-0.0738018478446172</v>
      </c>
      <c r="Z3650" s="55" t="n">
        <f aca="false">X3650+ROW()*0.000000001</f>
        <v>49.4199326272727</v>
      </c>
    </row>
    <row r="3651" customFormat="false" ht="15" hidden="false" customHeight="false" outlineLevel="0" collapsed="false">
      <c r="A3651" s="0" t="n">
        <v>12</v>
      </c>
      <c r="B3651" s="0" t="n">
        <v>10</v>
      </c>
      <c r="C3651" s="0" t="n">
        <v>8</v>
      </c>
      <c r="D3651" s="0" t="n">
        <f aca="false">-1+A3651*0.125</f>
        <v>0.5</v>
      </c>
      <c r="E3651" s="0" t="n">
        <f aca="false">-1+B3651*0.125</f>
        <v>0.25</v>
      </c>
      <c r="F3651" s="0" t="n">
        <f aca="false">-1+C3651*0.125</f>
        <v>0</v>
      </c>
      <c r="G3651" s="0" t="n">
        <f aca="false">1</f>
        <v>1</v>
      </c>
      <c r="H3651" s="0" t="n">
        <f aca="false">D3651</f>
        <v>0.5</v>
      </c>
      <c r="I3651" s="0" t="n">
        <f aca="false">E3651</f>
        <v>0.25</v>
      </c>
      <c r="J3651" s="0" t="n">
        <f aca="false">F3651</f>
        <v>0</v>
      </c>
      <c r="K3651" s="0" t="n">
        <f aca="false">D3651*E3651</f>
        <v>0.125</v>
      </c>
      <c r="L3651" s="0" t="n">
        <f aca="false">D3651*F3651</f>
        <v>0</v>
      </c>
      <c r="M3651" s="0" t="n">
        <f aca="false">E3651*F3651</f>
        <v>0</v>
      </c>
      <c r="N3651" s="0" t="n">
        <f aca="false">D3651*D3651</f>
        <v>0.25</v>
      </c>
      <c r="O3651" s="0" t="n">
        <f aca="false">E3651*E3651</f>
        <v>0.0625</v>
      </c>
      <c r="P3651" s="0" t="n">
        <f aca="false">F3651*F3651</f>
        <v>0</v>
      </c>
      <c r="Q3651" s="0" t="n">
        <f aca="false">SUMPRODUCT(G3651:P3651,_XtX!$B$71:$K$71)</f>
        <v>49.6155113636364</v>
      </c>
      <c r="R3651" s="0" t="n">
        <f aca="false">SUMPRODUCT(MMULT(G3651:P3651,_XtX!$B$58:$K$67),G3651:P3651)</f>
        <v>0.142862215909091</v>
      </c>
      <c r="S3651" s="0" t="n">
        <f aca="false">04_回帰ANOVA!$K$19*04_回帰ANOVA!$K$14*SQRT(1+R3651)</f>
        <v>0.993947792354123</v>
      </c>
      <c r="T3651" s="0" t="n">
        <f aca="false">Q3651-S3651</f>
        <v>48.6215635712822</v>
      </c>
      <c r="U3651" s="0" t="n">
        <f aca="false">Q3651+S3651</f>
        <v>50.6094591559905</v>
      </c>
      <c r="V3651" s="54" t="b">
        <f aca="false">AND(D3651&gt;=01_因子設定!$L$5-0.000000001,D3651&lt;=01_因子設定!$M$5+0.000000001,E3651&gt;=01_因子設定!$L$6-0.000000001,E3651&lt;=01_因子設定!$M$6+0.000000001,F3651&gt;=01_因子設定!$L$7-0.000000001,F3651&lt;=01_因子設定!$M$7+0.000000001,IF(01_因子設定!$B$20="Box-Behnken",D3651^2+E3651^2+F3651^2&lt;=2+0.000000001,TRUE()))</f>
        <v>1</v>
      </c>
      <c r="W3651" s="55" t="n">
        <f aca="false">IF(V3651,IF(01_因子設定!$B$13="最大化",T3651-01_因子設定!$B$14,IF(01_因子設定!$B$13="最小化",01_因子設定!$B$15-U3651,MIN(T3651-01_因子設定!$B$14,01_因子設定!$B$15-U3651))),-1E+030)</f>
        <v>0.121563571282245</v>
      </c>
      <c r="X3651" s="55" t="n">
        <f aca="false">IF(V3651,IF(01_因子設定!$B$13="最大化",Q3651,IF(01_因子設定!$B$13="最小化",-Q3651,-ABS(Q3651-01_因子設定!$B$16))),-1E+030)</f>
        <v>49.6155113636364</v>
      </c>
      <c r="Y3651" s="55" t="n">
        <f aca="false">W3651+ROW()*0.000000001</f>
        <v>0.121567222282245</v>
      </c>
      <c r="Z3651" s="55" t="n">
        <f aca="false">X3651+ROW()*0.000000001</f>
        <v>49.6155150146364</v>
      </c>
    </row>
    <row r="3652" customFormat="false" ht="15" hidden="false" customHeight="false" outlineLevel="0" collapsed="false">
      <c r="A3652" s="0" t="n">
        <v>12</v>
      </c>
      <c r="B3652" s="0" t="n">
        <v>10</v>
      </c>
      <c r="C3652" s="0" t="n">
        <v>9</v>
      </c>
      <c r="D3652" s="0" t="n">
        <f aca="false">-1+A3652*0.125</f>
        <v>0.5</v>
      </c>
      <c r="E3652" s="0" t="n">
        <f aca="false">-1+B3652*0.125</f>
        <v>0.25</v>
      </c>
      <c r="F3652" s="0" t="n">
        <f aca="false">-1+C3652*0.125</f>
        <v>0.125</v>
      </c>
      <c r="G3652" s="0" t="n">
        <f aca="false">1</f>
        <v>1</v>
      </c>
      <c r="H3652" s="0" t="n">
        <f aca="false">D3652</f>
        <v>0.5</v>
      </c>
      <c r="I3652" s="0" t="n">
        <f aca="false">E3652</f>
        <v>0.25</v>
      </c>
      <c r="J3652" s="0" t="n">
        <f aca="false">F3652</f>
        <v>0.125</v>
      </c>
      <c r="K3652" s="0" t="n">
        <f aca="false">D3652*E3652</f>
        <v>0.125</v>
      </c>
      <c r="L3652" s="0" t="n">
        <f aca="false">D3652*F3652</f>
        <v>0.0625</v>
      </c>
      <c r="M3652" s="0" t="n">
        <f aca="false">E3652*F3652</f>
        <v>0.03125</v>
      </c>
      <c r="N3652" s="0" t="n">
        <f aca="false">D3652*D3652</f>
        <v>0.25</v>
      </c>
      <c r="O3652" s="0" t="n">
        <f aca="false">E3652*E3652</f>
        <v>0.0625</v>
      </c>
      <c r="P3652" s="0" t="n">
        <f aca="false">F3652*F3652</f>
        <v>0.015625</v>
      </c>
      <c r="Q3652" s="0" t="n">
        <f aca="false">SUMPRODUCT(G3652:P3652,_XtX!$B$71:$K$71)</f>
        <v>49.7743039772727</v>
      </c>
      <c r="R3652" s="0" t="n">
        <f aca="false">SUMPRODUCT(MMULT(G3652:P3652,_XtX!$B$58:$K$67),G3652:P3652)</f>
        <v>0.142371715198864</v>
      </c>
      <c r="S3652" s="0" t="n">
        <f aca="false">04_回帰ANOVA!$K$19*04_回帰ANOVA!$K$14*SQRT(1+R3652)</f>
        <v>0.99373447511735</v>
      </c>
      <c r="T3652" s="0" t="n">
        <f aca="false">Q3652-S3652</f>
        <v>48.7805695021554</v>
      </c>
      <c r="U3652" s="0" t="n">
        <f aca="false">Q3652+S3652</f>
        <v>50.7680384523901</v>
      </c>
      <c r="V3652" s="54" t="b">
        <f aca="false">AND(D3652&gt;=01_因子設定!$L$5-0.000000001,D3652&lt;=01_因子設定!$M$5+0.000000001,E3652&gt;=01_因子設定!$L$6-0.000000001,E3652&lt;=01_因子設定!$M$6+0.000000001,F3652&gt;=01_因子設定!$L$7-0.000000001,F3652&lt;=01_因子設定!$M$7+0.000000001,IF(01_因子設定!$B$20="Box-Behnken",D3652^2+E3652^2+F3652^2&lt;=2+0.000000001,TRUE()))</f>
        <v>1</v>
      </c>
      <c r="W3652" s="55" t="n">
        <f aca="false">IF(V3652,IF(01_因子設定!$B$13="最大化",T3652-01_因子設定!$B$14,IF(01_因子設定!$B$13="最小化",01_因子設定!$B$15-U3652,MIN(T3652-01_因子設定!$B$14,01_因子設定!$B$15-U3652))),-1E+030)</f>
        <v>0.28056950215538</v>
      </c>
      <c r="X3652" s="55" t="n">
        <f aca="false">IF(V3652,IF(01_因子設定!$B$13="最大化",Q3652,IF(01_因子設定!$B$13="最小化",-Q3652,-ABS(Q3652-01_因子設定!$B$16))),-1E+030)</f>
        <v>49.7743039772727</v>
      </c>
      <c r="Y3652" s="55" t="n">
        <f aca="false">W3652+ROW()*0.000000001</f>
        <v>0.28057315415538</v>
      </c>
      <c r="Z3652" s="55" t="n">
        <f aca="false">X3652+ROW()*0.000000001</f>
        <v>49.7743076292727</v>
      </c>
    </row>
    <row r="3653" customFormat="false" ht="15" hidden="false" customHeight="false" outlineLevel="0" collapsed="false">
      <c r="A3653" s="0" t="n">
        <v>12</v>
      </c>
      <c r="B3653" s="0" t="n">
        <v>10</v>
      </c>
      <c r="C3653" s="0" t="n">
        <v>10</v>
      </c>
      <c r="D3653" s="0" t="n">
        <f aca="false">-1+A3653*0.125</f>
        <v>0.5</v>
      </c>
      <c r="E3653" s="0" t="n">
        <f aca="false">-1+B3653*0.125</f>
        <v>0.25</v>
      </c>
      <c r="F3653" s="0" t="n">
        <f aca="false">-1+C3653*0.125</f>
        <v>0.25</v>
      </c>
      <c r="G3653" s="0" t="n">
        <f aca="false">1</f>
        <v>1</v>
      </c>
      <c r="H3653" s="0" t="n">
        <f aca="false">D3653</f>
        <v>0.5</v>
      </c>
      <c r="I3653" s="0" t="n">
        <f aca="false">E3653</f>
        <v>0.25</v>
      </c>
      <c r="J3653" s="0" t="n">
        <f aca="false">F3653</f>
        <v>0.25</v>
      </c>
      <c r="K3653" s="0" t="n">
        <f aca="false">D3653*E3653</f>
        <v>0.125</v>
      </c>
      <c r="L3653" s="0" t="n">
        <f aca="false">D3653*F3653</f>
        <v>0.125</v>
      </c>
      <c r="M3653" s="0" t="n">
        <f aca="false">E3653*F3653</f>
        <v>0.0625</v>
      </c>
      <c r="N3653" s="0" t="n">
        <f aca="false">D3653*D3653</f>
        <v>0.25</v>
      </c>
      <c r="O3653" s="0" t="n">
        <f aca="false">E3653*E3653</f>
        <v>0.0625</v>
      </c>
      <c r="P3653" s="0" t="n">
        <f aca="false">F3653*F3653</f>
        <v>0.0625</v>
      </c>
      <c r="Q3653" s="0" t="n">
        <f aca="false">SUMPRODUCT(G3653:P3653,_XtX!$B$71:$K$71)</f>
        <v>49.8963068181818</v>
      </c>
      <c r="R3653" s="0" t="n">
        <f aca="false">SUMPRODUCT(MMULT(G3653:P3653,_XtX!$B$58:$K$67),G3653:P3653)</f>
        <v>0.141965553977273</v>
      </c>
      <c r="S3653" s="0" t="n">
        <f aca="false">04_回帰ANOVA!$K$19*04_回帰ANOVA!$K$14*SQRT(1+R3653)</f>
        <v>0.993557802198625</v>
      </c>
      <c r="T3653" s="0" t="n">
        <f aca="false">Q3653-S3653</f>
        <v>48.9027490159832</v>
      </c>
      <c r="U3653" s="0" t="n">
        <f aca="false">Q3653+S3653</f>
        <v>50.8898646203804</v>
      </c>
      <c r="V3653" s="54" t="b">
        <f aca="false">AND(D3653&gt;=01_因子設定!$L$5-0.000000001,D3653&lt;=01_因子設定!$M$5+0.000000001,E3653&gt;=01_因子設定!$L$6-0.000000001,E3653&lt;=01_因子設定!$M$6+0.000000001,F3653&gt;=01_因子設定!$L$7-0.000000001,F3653&lt;=01_因子設定!$M$7+0.000000001,IF(01_因子設定!$B$20="Box-Behnken",D3653^2+E3653^2+F3653^2&lt;=2+0.000000001,TRUE()))</f>
        <v>1</v>
      </c>
      <c r="W3653" s="55" t="n">
        <f aca="false">IF(V3653,IF(01_因子設定!$B$13="最大化",T3653-01_因子設定!$B$14,IF(01_因子設定!$B$13="最小化",01_因子設定!$B$15-U3653,MIN(T3653-01_因子設定!$B$14,01_因子設定!$B$15-U3653))),-1E+030)</f>
        <v>0.402749015983197</v>
      </c>
      <c r="X3653" s="55" t="n">
        <f aca="false">IF(V3653,IF(01_因子設定!$B$13="最大化",Q3653,IF(01_因子設定!$B$13="最小化",-Q3653,-ABS(Q3653-01_因子設定!$B$16))),-1E+030)</f>
        <v>49.8963068181818</v>
      </c>
      <c r="Y3653" s="55" t="n">
        <f aca="false">W3653+ROW()*0.000000001</f>
        <v>0.402752668983197</v>
      </c>
      <c r="Z3653" s="55" t="n">
        <f aca="false">X3653+ROW()*0.000000001</f>
        <v>49.8963104711818</v>
      </c>
    </row>
    <row r="3654" customFormat="false" ht="15" hidden="false" customHeight="false" outlineLevel="0" collapsed="false">
      <c r="A3654" s="0" t="n">
        <v>12</v>
      </c>
      <c r="B3654" s="0" t="n">
        <v>10</v>
      </c>
      <c r="C3654" s="0" t="n">
        <v>11</v>
      </c>
      <c r="D3654" s="0" t="n">
        <f aca="false">-1+A3654*0.125</f>
        <v>0.5</v>
      </c>
      <c r="E3654" s="0" t="n">
        <f aca="false">-1+B3654*0.125</f>
        <v>0.25</v>
      </c>
      <c r="F3654" s="0" t="n">
        <f aca="false">-1+C3654*0.125</f>
        <v>0.375</v>
      </c>
      <c r="G3654" s="0" t="n">
        <f aca="false">1</f>
        <v>1</v>
      </c>
      <c r="H3654" s="0" t="n">
        <f aca="false">D3654</f>
        <v>0.5</v>
      </c>
      <c r="I3654" s="0" t="n">
        <f aca="false">E3654</f>
        <v>0.25</v>
      </c>
      <c r="J3654" s="0" t="n">
        <f aca="false">F3654</f>
        <v>0.375</v>
      </c>
      <c r="K3654" s="0" t="n">
        <f aca="false">D3654*E3654</f>
        <v>0.125</v>
      </c>
      <c r="L3654" s="0" t="n">
        <f aca="false">D3654*F3654</f>
        <v>0.1875</v>
      </c>
      <c r="M3654" s="0" t="n">
        <f aca="false">E3654*F3654</f>
        <v>0.09375</v>
      </c>
      <c r="N3654" s="0" t="n">
        <f aca="false">D3654*D3654</f>
        <v>0.25</v>
      </c>
      <c r="O3654" s="0" t="n">
        <f aca="false">E3654*E3654</f>
        <v>0.0625</v>
      </c>
      <c r="P3654" s="0" t="n">
        <f aca="false">F3654*F3654</f>
        <v>0.140625</v>
      </c>
      <c r="Q3654" s="0" t="n">
        <f aca="false">SUMPRODUCT(G3654:P3654,_XtX!$B$71:$K$71)</f>
        <v>49.9815198863636</v>
      </c>
      <c r="R3654" s="0" t="n">
        <f aca="false">SUMPRODUCT(MMULT(G3654:P3654,_XtX!$B$58:$K$67),G3654:P3654)</f>
        <v>0.144839754971591</v>
      </c>
      <c r="S3654" s="0" t="n">
        <f aca="false">04_回帰ANOVA!$K$19*04_回帰ANOVA!$K$14*SQRT(1+R3654)</f>
        <v>0.994807353995542</v>
      </c>
      <c r="T3654" s="0" t="n">
        <f aca="false">Q3654-S3654</f>
        <v>48.9867125323681</v>
      </c>
      <c r="U3654" s="0" t="n">
        <f aca="false">Q3654+S3654</f>
        <v>50.9763272403592</v>
      </c>
      <c r="V3654" s="54" t="b">
        <f aca="false">AND(D3654&gt;=01_因子設定!$L$5-0.000000001,D3654&lt;=01_因子設定!$M$5+0.000000001,E3654&gt;=01_因子設定!$L$6-0.000000001,E3654&lt;=01_因子設定!$M$6+0.000000001,F3654&gt;=01_因子設定!$L$7-0.000000001,F3654&lt;=01_因子設定!$M$7+0.000000001,IF(01_因子設定!$B$20="Box-Behnken",D3654^2+E3654^2+F3654^2&lt;=2+0.000000001,TRUE()))</f>
        <v>1</v>
      </c>
      <c r="W3654" s="55" t="n">
        <f aca="false">IF(V3654,IF(01_因子設定!$B$13="最大化",T3654-01_因子設定!$B$14,IF(01_因子設定!$B$13="最小化",01_因子設定!$B$15-U3654,MIN(T3654-01_因子設定!$B$14,01_因子設定!$B$15-U3654))),-1E+030)</f>
        <v>0.486712532368102</v>
      </c>
      <c r="X3654" s="55" t="n">
        <f aca="false">IF(V3654,IF(01_因子設定!$B$13="最大化",Q3654,IF(01_因子設定!$B$13="最小化",-Q3654,-ABS(Q3654-01_因子設定!$B$16))),-1E+030)</f>
        <v>49.9815198863636</v>
      </c>
      <c r="Y3654" s="55" t="n">
        <f aca="false">W3654+ROW()*0.000000001</f>
        <v>0.486716186368102</v>
      </c>
      <c r="Z3654" s="55" t="n">
        <f aca="false">X3654+ROW()*0.000000001</f>
        <v>49.9815235403636</v>
      </c>
    </row>
    <row r="3655" customFormat="false" ht="15" hidden="false" customHeight="false" outlineLevel="0" collapsed="false">
      <c r="A3655" s="0" t="n">
        <v>12</v>
      </c>
      <c r="B3655" s="0" t="n">
        <v>10</v>
      </c>
      <c r="C3655" s="0" t="n">
        <v>12</v>
      </c>
      <c r="D3655" s="0" t="n">
        <f aca="false">-1+A3655*0.125</f>
        <v>0.5</v>
      </c>
      <c r="E3655" s="0" t="n">
        <f aca="false">-1+B3655*0.125</f>
        <v>0.25</v>
      </c>
      <c r="F3655" s="0" t="n">
        <f aca="false">-1+C3655*0.125</f>
        <v>0.5</v>
      </c>
      <c r="G3655" s="0" t="n">
        <f aca="false">1</f>
        <v>1</v>
      </c>
      <c r="H3655" s="0" t="n">
        <f aca="false">D3655</f>
        <v>0.5</v>
      </c>
      <c r="I3655" s="0" t="n">
        <f aca="false">E3655</f>
        <v>0.25</v>
      </c>
      <c r="J3655" s="0" t="n">
        <f aca="false">F3655</f>
        <v>0.5</v>
      </c>
      <c r="K3655" s="0" t="n">
        <f aca="false">D3655*E3655</f>
        <v>0.125</v>
      </c>
      <c r="L3655" s="0" t="n">
        <f aca="false">D3655*F3655</f>
        <v>0.25</v>
      </c>
      <c r="M3655" s="0" t="n">
        <f aca="false">E3655*F3655</f>
        <v>0.125</v>
      </c>
      <c r="N3655" s="0" t="n">
        <f aca="false">D3655*D3655</f>
        <v>0.25</v>
      </c>
      <c r="O3655" s="0" t="n">
        <f aca="false">E3655*E3655</f>
        <v>0.0625</v>
      </c>
      <c r="P3655" s="0" t="n">
        <f aca="false">F3655*F3655</f>
        <v>0.25</v>
      </c>
      <c r="Q3655" s="0" t="n">
        <f aca="false">SUMPRODUCT(G3655:P3655,_XtX!$B$71:$K$71)</f>
        <v>50.0299431818182</v>
      </c>
      <c r="R3655" s="0" t="n">
        <f aca="false">SUMPRODUCT(MMULT(G3655:P3655,_XtX!$B$58:$K$67),G3655:P3655)</f>
        <v>0.156321022727273</v>
      </c>
      <c r="S3655" s="0" t="n">
        <f aca="false">04_回帰ANOVA!$K$19*04_回帰ANOVA!$K$14*SQRT(1+R3655)</f>
        <v>0.999783227753172</v>
      </c>
      <c r="T3655" s="0" t="n">
        <f aca="false">Q3655-S3655</f>
        <v>49.030159954065</v>
      </c>
      <c r="U3655" s="0" t="n">
        <f aca="false">Q3655+S3655</f>
        <v>51.0297264095714</v>
      </c>
      <c r="V3655" s="54" t="b">
        <f aca="false">AND(D3655&gt;=01_因子設定!$L$5-0.000000001,D3655&lt;=01_因子設定!$M$5+0.000000001,E3655&gt;=01_因子設定!$L$6-0.000000001,E3655&lt;=01_因子設定!$M$6+0.000000001,F3655&gt;=01_因子設定!$L$7-0.000000001,F3655&lt;=01_因子設定!$M$7+0.000000001,IF(01_因子設定!$B$20="Box-Behnken",D3655^2+E3655^2+F3655^2&lt;=2+0.000000001,TRUE()))</f>
        <v>1</v>
      </c>
      <c r="W3655" s="55" t="n">
        <f aca="false">IF(V3655,IF(01_因子設定!$B$13="最大化",T3655-01_因子設定!$B$14,IF(01_因子設定!$B$13="最小化",01_因子設定!$B$15-U3655,MIN(T3655-01_因子設定!$B$14,01_因子設定!$B$15-U3655))),-1E+030)</f>
        <v>0.53015995406502</v>
      </c>
      <c r="X3655" s="55" t="n">
        <f aca="false">IF(V3655,IF(01_因子設定!$B$13="最大化",Q3655,IF(01_因子設定!$B$13="最小化",-Q3655,-ABS(Q3655-01_因子設定!$B$16))),-1E+030)</f>
        <v>50.0299431818182</v>
      </c>
      <c r="Y3655" s="55" t="n">
        <f aca="false">W3655+ROW()*0.000000001</f>
        <v>0.53016360906502</v>
      </c>
      <c r="Z3655" s="55" t="n">
        <f aca="false">X3655+ROW()*0.000000001</f>
        <v>50.0299468368182</v>
      </c>
    </row>
    <row r="3656" customFormat="false" ht="15" hidden="false" customHeight="false" outlineLevel="0" collapsed="false">
      <c r="A3656" s="0" t="n">
        <v>12</v>
      </c>
      <c r="B3656" s="0" t="n">
        <v>10</v>
      </c>
      <c r="C3656" s="0" t="n">
        <v>13</v>
      </c>
      <c r="D3656" s="0" t="n">
        <f aca="false">-1+A3656*0.125</f>
        <v>0.5</v>
      </c>
      <c r="E3656" s="0" t="n">
        <f aca="false">-1+B3656*0.125</f>
        <v>0.25</v>
      </c>
      <c r="F3656" s="0" t="n">
        <f aca="false">-1+C3656*0.125</f>
        <v>0.625</v>
      </c>
      <c r="G3656" s="0" t="n">
        <f aca="false">1</f>
        <v>1</v>
      </c>
      <c r="H3656" s="0" t="n">
        <f aca="false">D3656</f>
        <v>0.5</v>
      </c>
      <c r="I3656" s="0" t="n">
        <f aca="false">E3656</f>
        <v>0.25</v>
      </c>
      <c r="J3656" s="0" t="n">
        <f aca="false">F3656</f>
        <v>0.625</v>
      </c>
      <c r="K3656" s="0" t="n">
        <f aca="false">D3656*E3656</f>
        <v>0.125</v>
      </c>
      <c r="L3656" s="0" t="n">
        <f aca="false">D3656*F3656</f>
        <v>0.3125</v>
      </c>
      <c r="M3656" s="0" t="n">
        <f aca="false">E3656*F3656</f>
        <v>0.15625</v>
      </c>
      <c r="N3656" s="0" t="n">
        <f aca="false">D3656*D3656</f>
        <v>0.25</v>
      </c>
      <c r="O3656" s="0" t="n">
        <f aca="false">E3656*E3656</f>
        <v>0.0625</v>
      </c>
      <c r="P3656" s="0" t="n">
        <f aca="false">F3656*F3656</f>
        <v>0.390625</v>
      </c>
      <c r="Q3656" s="0" t="n">
        <f aca="false">SUMPRODUCT(G3656:P3656,_XtX!$B$71:$K$71)</f>
        <v>50.0415767045455</v>
      </c>
      <c r="R3656" s="0" t="n">
        <f aca="false">SUMPRODUCT(MMULT(G3656:P3656,_XtX!$B$58:$K$67),G3656:P3656)</f>
        <v>0.183866743607955</v>
      </c>
      <c r="S3656" s="0" t="n">
        <f aca="false">04_回帰ANOVA!$K$19*04_回帰ANOVA!$K$14*SQRT(1+R3656)</f>
        <v>1.01162148983013</v>
      </c>
      <c r="T3656" s="0" t="n">
        <f aca="false">Q3656-S3656</f>
        <v>49.0299552147153</v>
      </c>
      <c r="U3656" s="0" t="n">
        <f aca="false">Q3656+S3656</f>
        <v>51.0531981943756</v>
      </c>
      <c r="V3656" s="54" t="b">
        <f aca="false">AND(D3656&gt;=01_因子設定!$L$5-0.000000001,D3656&lt;=01_因子設定!$M$5+0.000000001,E3656&gt;=01_因子設定!$L$6-0.000000001,E3656&lt;=01_因子設定!$M$6+0.000000001,F3656&gt;=01_因子設定!$L$7-0.000000001,F3656&lt;=01_因子設定!$M$7+0.000000001,IF(01_因子設定!$B$20="Box-Behnken",D3656^2+E3656^2+F3656^2&lt;=2+0.000000001,TRUE()))</f>
        <v>1</v>
      </c>
      <c r="W3656" s="55" t="n">
        <f aca="false">IF(V3656,IF(01_因子設定!$B$13="最大化",T3656-01_因子設定!$B$14,IF(01_因子設定!$B$13="最小化",01_因子設定!$B$15-U3656,MIN(T3656-01_因子設定!$B$14,01_因子設定!$B$15-U3656))),-1E+030)</f>
        <v>0.529955214715329</v>
      </c>
      <c r="X3656" s="55" t="n">
        <f aca="false">IF(V3656,IF(01_因子設定!$B$13="最大化",Q3656,IF(01_因子設定!$B$13="最小化",-Q3656,-ABS(Q3656-01_因子設定!$B$16))),-1E+030)</f>
        <v>50.0415767045455</v>
      </c>
      <c r="Y3656" s="55" t="n">
        <f aca="false">W3656+ROW()*0.000000001</f>
        <v>0.529958870715329</v>
      </c>
      <c r="Z3656" s="55" t="n">
        <f aca="false">X3656+ROW()*0.000000001</f>
        <v>50.0415803605455</v>
      </c>
    </row>
    <row r="3657" customFormat="false" ht="15" hidden="false" customHeight="false" outlineLevel="0" collapsed="false">
      <c r="A3657" s="0" t="n">
        <v>12</v>
      </c>
      <c r="B3657" s="0" t="n">
        <v>10</v>
      </c>
      <c r="C3657" s="0" t="n">
        <v>14</v>
      </c>
      <c r="D3657" s="0" t="n">
        <f aca="false">-1+A3657*0.125</f>
        <v>0.5</v>
      </c>
      <c r="E3657" s="0" t="n">
        <f aca="false">-1+B3657*0.125</f>
        <v>0.25</v>
      </c>
      <c r="F3657" s="0" t="n">
        <f aca="false">-1+C3657*0.125</f>
        <v>0.75</v>
      </c>
      <c r="G3657" s="0" t="n">
        <f aca="false">1</f>
        <v>1</v>
      </c>
      <c r="H3657" s="0" t="n">
        <f aca="false">D3657</f>
        <v>0.5</v>
      </c>
      <c r="I3657" s="0" t="n">
        <f aca="false">E3657</f>
        <v>0.25</v>
      </c>
      <c r="J3657" s="0" t="n">
        <f aca="false">F3657</f>
        <v>0.75</v>
      </c>
      <c r="K3657" s="0" t="n">
        <f aca="false">D3657*E3657</f>
        <v>0.125</v>
      </c>
      <c r="L3657" s="0" t="n">
        <f aca="false">D3657*F3657</f>
        <v>0.375</v>
      </c>
      <c r="M3657" s="0" t="n">
        <f aca="false">E3657*F3657</f>
        <v>0.1875</v>
      </c>
      <c r="N3657" s="0" t="n">
        <f aca="false">D3657*D3657</f>
        <v>0.25</v>
      </c>
      <c r="O3657" s="0" t="n">
        <f aca="false">E3657*E3657</f>
        <v>0.0625</v>
      </c>
      <c r="P3657" s="0" t="n">
        <f aca="false">F3657*F3657</f>
        <v>0.5625</v>
      </c>
      <c r="Q3657" s="0" t="n">
        <f aca="false">SUMPRODUCT(G3657:P3657,_XtX!$B$71:$K$71)</f>
        <v>50.0164204545455</v>
      </c>
      <c r="R3657" s="0" t="n">
        <f aca="false">SUMPRODUCT(MMULT(G3657:P3657,_XtX!$B$58:$K$67),G3657:P3657)</f>
        <v>0.237064985795455</v>
      </c>
      <c r="S3657" s="0" t="n">
        <f aca="false">04_回帰ANOVA!$K$19*04_回帰ANOVA!$K$14*SQRT(1+R3657)</f>
        <v>1.03410084594745</v>
      </c>
      <c r="T3657" s="0" t="n">
        <f aca="false">Q3657-S3657</f>
        <v>48.982319608598</v>
      </c>
      <c r="U3657" s="0" t="n">
        <f aca="false">Q3657+S3657</f>
        <v>51.0505213004929</v>
      </c>
      <c r="V3657" s="54" t="b">
        <f aca="false">AND(D3657&gt;=01_因子設定!$L$5-0.000000001,D3657&lt;=01_因子設定!$M$5+0.000000001,E3657&gt;=01_因子設定!$L$6-0.000000001,E3657&lt;=01_因子設定!$M$6+0.000000001,F3657&gt;=01_因子設定!$L$7-0.000000001,F3657&lt;=01_因子設定!$M$7+0.000000001,IF(01_因子設定!$B$20="Box-Behnken",D3657^2+E3657^2+F3657^2&lt;=2+0.000000001,TRUE()))</f>
        <v>1</v>
      </c>
      <c r="W3657" s="55" t="n">
        <f aca="false">IF(V3657,IF(01_因子設定!$B$13="最大化",T3657-01_因子設定!$B$14,IF(01_因子設定!$B$13="最小化",01_因子設定!$B$15-U3657,MIN(T3657-01_因子設定!$B$14,01_因子設定!$B$15-U3657))),-1E+030)</f>
        <v>0.482319608598026</v>
      </c>
      <c r="X3657" s="55" t="n">
        <f aca="false">IF(V3657,IF(01_因子設定!$B$13="最大化",Q3657,IF(01_因子設定!$B$13="最小化",-Q3657,-ABS(Q3657-01_因子設定!$B$16))),-1E+030)</f>
        <v>50.0164204545455</v>
      </c>
      <c r="Y3657" s="55" t="n">
        <f aca="false">W3657+ROW()*0.000000001</f>
        <v>0.482323265598026</v>
      </c>
      <c r="Z3657" s="55" t="n">
        <f aca="false">X3657+ROW()*0.000000001</f>
        <v>50.0164241115455</v>
      </c>
    </row>
    <row r="3658" customFormat="false" ht="15" hidden="false" customHeight="false" outlineLevel="0" collapsed="false">
      <c r="A3658" s="0" t="n">
        <v>12</v>
      </c>
      <c r="B3658" s="0" t="n">
        <v>10</v>
      </c>
      <c r="C3658" s="0" t="n">
        <v>15</v>
      </c>
      <c r="D3658" s="0" t="n">
        <f aca="false">-1+A3658*0.125</f>
        <v>0.5</v>
      </c>
      <c r="E3658" s="0" t="n">
        <f aca="false">-1+B3658*0.125</f>
        <v>0.25</v>
      </c>
      <c r="F3658" s="0" t="n">
        <f aca="false">-1+C3658*0.125</f>
        <v>0.875</v>
      </c>
      <c r="G3658" s="0" t="n">
        <f aca="false">1</f>
        <v>1</v>
      </c>
      <c r="H3658" s="0" t="n">
        <f aca="false">D3658</f>
        <v>0.5</v>
      </c>
      <c r="I3658" s="0" t="n">
        <f aca="false">E3658</f>
        <v>0.25</v>
      </c>
      <c r="J3658" s="0" t="n">
        <f aca="false">F3658</f>
        <v>0.875</v>
      </c>
      <c r="K3658" s="0" t="n">
        <f aca="false">D3658*E3658</f>
        <v>0.125</v>
      </c>
      <c r="L3658" s="0" t="n">
        <f aca="false">D3658*F3658</f>
        <v>0.4375</v>
      </c>
      <c r="M3658" s="0" t="n">
        <f aca="false">E3658*F3658</f>
        <v>0.21875</v>
      </c>
      <c r="N3658" s="0" t="n">
        <f aca="false">D3658*D3658</f>
        <v>0.25</v>
      </c>
      <c r="O3658" s="0" t="n">
        <f aca="false">E3658*E3658</f>
        <v>0.0625</v>
      </c>
      <c r="P3658" s="0" t="n">
        <f aca="false">F3658*F3658</f>
        <v>0.765625</v>
      </c>
      <c r="Q3658" s="0" t="n">
        <f aca="false">SUMPRODUCT(G3658:P3658,_XtX!$B$71:$K$71)</f>
        <v>49.9544744318182</v>
      </c>
      <c r="R3658" s="0" t="n">
        <f aca="false">SUMPRODUCT(MMULT(G3658:P3658,_XtX!$B$58:$K$67),G3658:P3658)</f>
        <v>0.327634499289773</v>
      </c>
      <c r="S3658" s="0" t="n">
        <f aca="false">04_回帰ANOVA!$K$19*04_回帰ANOVA!$K$14*SQRT(1+R3658)</f>
        <v>1.07128716250217</v>
      </c>
      <c r="T3658" s="0" t="n">
        <f aca="false">Q3658-S3658</f>
        <v>48.883187269316</v>
      </c>
      <c r="U3658" s="0" t="n">
        <f aca="false">Q3658+S3658</f>
        <v>51.0257615943204</v>
      </c>
      <c r="V3658" s="54" t="b">
        <f aca="false">AND(D3658&gt;=01_因子設定!$L$5-0.000000001,D3658&lt;=01_因子設定!$M$5+0.000000001,E3658&gt;=01_因子設定!$L$6-0.000000001,E3658&lt;=01_因子設定!$M$6+0.000000001,F3658&gt;=01_因子設定!$L$7-0.000000001,F3658&lt;=01_因子設定!$M$7+0.000000001,IF(01_因子設定!$B$20="Box-Behnken",D3658^2+E3658^2+F3658^2&lt;=2+0.000000001,TRUE()))</f>
        <v>1</v>
      </c>
      <c r="W3658" s="55" t="n">
        <f aca="false">IF(V3658,IF(01_因子設定!$B$13="最大化",T3658-01_因子設定!$B$14,IF(01_因子設定!$B$13="最小化",01_因子設定!$B$15-U3658,MIN(T3658-01_因子設定!$B$14,01_因子設定!$B$15-U3658))),-1E+030)</f>
        <v>0.383187269316025</v>
      </c>
      <c r="X3658" s="55" t="n">
        <f aca="false">IF(V3658,IF(01_因子設定!$B$13="最大化",Q3658,IF(01_因子設定!$B$13="最小化",-Q3658,-ABS(Q3658-01_因子設定!$B$16))),-1E+030)</f>
        <v>49.9544744318182</v>
      </c>
      <c r="Y3658" s="55" t="n">
        <f aca="false">W3658+ROW()*0.000000001</f>
        <v>0.383190927316025</v>
      </c>
      <c r="Z3658" s="55" t="n">
        <f aca="false">X3658+ROW()*0.000000001</f>
        <v>49.9544780898182</v>
      </c>
    </row>
    <row r="3659" customFormat="false" ht="15" hidden="false" customHeight="false" outlineLevel="0" collapsed="false">
      <c r="A3659" s="0" t="n">
        <v>12</v>
      </c>
      <c r="B3659" s="0" t="n">
        <v>10</v>
      </c>
      <c r="C3659" s="0" t="n">
        <v>16</v>
      </c>
      <c r="D3659" s="0" t="n">
        <f aca="false">-1+A3659*0.125</f>
        <v>0.5</v>
      </c>
      <c r="E3659" s="0" t="n">
        <f aca="false">-1+B3659*0.125</f>
        <v>0.25</v>
      </c>
      <c r="F3659" s="0" t="n">
        <f aca="false">-1+C3659*0.125</f>
        <v>1</v>
      </c>
      <c r="G3659" s="0" t="n">
        <f aca="false">1</f>
        <v>1</v>
      </c>
      <c r="H3659" s="0" t="n">
        <f aca="false">D3659</f>
        <v>0.5</v>
      </c>
      <c r="I3659" s="0" t="n">
        <f aca="false">E3659</f>
        <v>0.25</v>
      </c>
      <c r="J3659" s="0" t="n">
        <f aca="false">F3659</f>
        <v>1</v>
      </c>
      <c r="K3659" s="0" t="n">
        <f aca="false">D3659*E3659</f>
        <v>0.125</v>
      </c>
      <c r="L3659" s="0" t="n">
        <f aca="false">D3659*F3659</f>
        <v>0.5</v>
      </c>
      <c r="M3659" s="0" t="n">
        <f aca="false">E3659*F3659</f>
        <v>0.25</v>
      </c>
      <c r="N3659" s="0" t="n">
        <f aca="false">D3659*D3659</f>
        <v>0.25</v>
      </c>
      <c r="O3659" s="0" t="n">
        <f aca="false">E3659*E3659</f>
        <v>0.0625</v>
      </c>
      <c r="P3659" s="0" t="n">
        <f aca="false">F3659*F3659</f>
        <v>1</v>
      </c>
      <c r="Q3659" s="0" t="n">
        <f aca="false">SUMPRODUCT(G3659:P3659,_XtX!$B$71:$K$71)</f>
        <v>49.8557386363637</v>
      </c>
      <c r="R3659" s="0" t="n">
        <f aca="false">SUMPRODUCT(MMULT(G3659:P3659,_XtX!$B$58:$K$67),G3659:P3659)</f>
        <v>0.469424715909091</v>
      </c>
      <c r="S3659" s="0" t="n">
        <f aca="false">04_回帰ANOVA!$K$19*04_回帰ANOVA!$K$14*SQRT(1+R3659)</f>
        <v>1.12704253369596</v>
      </c>
      <c r="T3659" s="0" t="n">
        <f aca="false">Q3659-S3659</f>
        <v>48.7286961026677</v>
      </c>
      <c r="U3659" s="0" t="n">
        <f aca="false">Q3659+S3659</f>
        <v>50.9827811700596</v>
      </c>
      <c r="V3659" s="54" t="b">
        <f aca="false">AND(D3659&gt;=01_因子設定!$L$5-0.000000001,D3659&lt;=01_因子設定!$M$5+0.000000001,E3659&gt;=01_因子設定!$L$6-0.000000001,E3659&lt;=01_因子設定!$M$6+0.000000001,F3659&gt;=01_因子設定!$L$7-0.000000001,F3659&lt;=01_因子設定!$M$7+0.000000001,IF(01_因子設定!$B$20="Box-Behnken",D3659^2+E3659^2+F3659^2&lt;=2+0.000000001,TRUE()))</f>
        <v>1</v>
      </c>
      <c r="W3659" s="55" t="n">
        <f aca="false">IF(V3659,IF(01_因子設定!$B$13="最大化",T3659-01_因子設定!$B$14,IF(01_因子設定!$B$13="最小化",01_因子設定!$B$15-U3659,MIN(T3659-01_因子設定!$B$14,01_因子設定!$B$15-U3659))),-1E+030)</f>
        <v>0.228696102667705</v>
      </c>
      <c r="X3659" s="55" t="n">
        <f aca="false">IF(V3659,IF(01_因子設定!$B$13="最大化",Q3659,IF(01_因子設定!$B$13="最小化",-Q3659,-ABS(Q3659-01_因子設定!$B$16))),-1E+030)</f>
        <v>49.8557386363637</v>
      </c>
      <c r="Y3659" s="55" t="n">
        <f aca="false">W3659+ROW()*0.000000001</f>
        <v>0.228699761667705</v>
      </c>
      <c r="Z3659" s="55" t="n">
        <f aca="false">X3659+ROW()*0.000000001</f>
        <v>49.8557422953637</v>
      </c>
    </row>
    <row r="3660" customFormat="false" ht="15" hidden="false" customHeight="false" outlineLevel="0" collapsed="false">
      <c r="A3660" s="0" t="n">
        <v>12</v>
      </c>
      <c r="B3660" s="0" t="n">
        <v>11</v>
      </c>
      <c r="C3660" s="0" t="n">
        <v>0</v>
      </c>
      <c r="D3660" s="0" t="n">
        <f aca="false">-1+A3660*0.125</f>
        <v>0.5</v>
      </c>
      <c r="E3660" s="0" t="n">
        <f aca="false">-1+B3660*0.125</f>
        <v>0.375</v>
      </c>
      <c r="F3660" s="0" t="n">
        <f aca="false">-1+C3660*0.125</f>
        <v>-1</v>
      </c>
      <c r="G3660" s="0" t="n">
        <f aca="false">1</f>
        <v>1</v>
      </c>
      <c r="H3660" s="0" t="n">
        <f aca="false">D3660</f>
        <v>0.5</v>
      </c>
      <c r="I3660" s="0" t="n">
        <f aca="false">E3660</f>
        <v>0.375</v>
      </c>
      <c r="J3660" s="0" t="n">
        <f aca="false">F3660</f>
        <v>-1</v>
      </c>
      <c r="K3660" s="0" t="n">
        <f aca="false">D3660*E3660</f>
        <v>0.1875</v>
      </c>
      <c r="L3660" s="0" t="n">
        <f aca="false">D3660*F3660</f>
        <v>-0.5</v>
      </c>
      <c r="M3660" s="0" t="n">
        <f aca="false">E3660*F3660</f>
        <v>-0.375</v>
      </c>
      <c r="N3660" s="0" t="n">
        <f aca="false">D3660*D3660</f>
        <v>0.25</v>
      </c>
      <c r="O3660" s="0" t="n">
        <f aca="false">E3660*E3660</f>
        <v>0.140625</v>
      </c>
      <c r="P3660" s="0" t="n">
        <f aca="false">F3660*F3660</f>
        <v>1</v>
      </c>
      <c r="Q3660" s="0" t="n">
        <f aca="false">SUMPRODUCT(G3660:P3660,_XtX!$B$71:$K$71)</f>
        <v>47.1414204545455</v>
      </c>
      <c r="R3660" s="0" t="n">
        <f aca="false">SUMPRODUCT(MMULT(G3660:P3660,_XtX!$B$58:$K$67),G3660:P3660)</f>
        <v>0.461479048295455</v>
      </c>
      <c r="S3660" s="0" t="n">
        <f aca="false">04_回帰ANOVA!$K$19*04_回帰ANOVA!$K$14*SQRT(1+R3660)</f>
        <v>1.12399125658369</v>
      </c>
      <c r="T3660" s="0" t="n">
        <f aca="false">Q3660-S3660</f>
        <v>46.0174291979618</v>
      </c>
      <c r="U3660" s="0" t="n">
        <f aca="false">Q3660+S3660</f>
        <v>48.2654117111292</v>
      </c>
      <c r="V3660" s="54" t="b">
        <f aca="false">AND(D3660&gt;=01_因子設定!$L$5-0.000000001,D3660&lt;=01_因子設定!$M$5+0.000000001,E3660&gt;=01_因子設定!$L$6-0.000000001,E3660&lt;=01_因子設定!$M$6+0.000000001,F3660&gt;=01_因子設定!$L$7-0.000000001,F3660&lt;=01_因子設定!$M$7+0.000000001,IF(01_因子設定!$B$20="Box-Behnken",D3660^2+E3660^2+F3660^2&lt;=2+0.000000001,TRUE()))</f>
        <v>1</v>
      </c>
      <c r="W3660" s="55" t="n">
        <f aca="false">IF(V3660,IF(01_因子設定!$B$13="最大化",T3660-01_因子設定!$B$14,IF(01_因子設定!$B$13="最小化",01_因子設定!$B$15-U3660,MIN(T3660-01_因子設定!$B$14,01_因子設定!$B$15-U3660))),-1E+030)</f>
        <v>-2.48257080203821</v>
      </c>
      <c r="X3660" s="55" t="n">
        <f aca="false">IF(V3660,IF(01_因子設定!$B$13="最大化",Q3660,IF(01_因子設定!$B$13="最小化",-Q3660,-ABS(Q3660-01_因子設定!$B$16))),-1E+030)</f>
        <v>47.1414204545455</v>
      </c>
      <c r="Y3660" s="55" t="n">
        <f aca="false">W3660+ROW()*0.000000001</f>
        <v>-2.48256714203821</v>
      </c>
      <c r="Z3660" s="55" t="n">
        <f aca="false">X3660+ROW()*0.000000001</f>
        <v>47.1414241145455</v>
      </c>
    </row>
    <row r="3661" customFormat="false" ht="15" hidden="false" customHeight="false" outlineLevel="0" collapsed="false">
      <c r="A3661" s="0" t="n">
        <v>12</v>
      </c>
      <c r="B3661" s="0" t="n">
        <v>11</v>
      </c>
      <c r="C3661" s="0" t="n">
        <v>1</v>
      </c>
      <c r="D3661" s="0" t="n">
        <f aca="false">-1+A3661*0.125</f>
        <v>0.5</v>
      </c>
      <c r="E3661" s="0" t="n">
        <f aca="false">-1+B3661*0.125</f>
        <v>0.375</v>
      </c>
      <c r="F3661" s="0" t="n">
        <f aca="false">-1+C3661*0.125</f>
        <v>-0.875</v>
      </c>
      <c r="G3661" s="0" t="n">
        <f aca="false">1</f>
        <v>1</v>
      </c>
      <c r="H3661" s="0" t="n">
        <f aca="false">D3661</f>
        <v>0.5</v>
      </c>
      <c r="I3661" s="0" t="n">
        <f aca="false">E3661</f>
        <v>0.375</v>
      </c>
      <c r="J3661" s="0" t="n">
        <f aca="false">F3661</f>
        <v>-0.875</v>
      </c>
      <c r="K3661" s="0" t="n">
        <f aca="false">D3661*E3661</f>
        <v>0.1875</v>
      </c>
      <c r="L3661" s="0" t="n">
        <f aca="false">D3661*F3661</f>
        <v>-0.4375</v>
      </c>
      <c r="M3661" s="0" t="n">
        <f aca="false">E3661*F3661</f>
        <v>-0.328125</v>
      </c>
      <c r="N3661" s="0" t="n">
        <f aca="false">D3661*D3661</f>
        <v>0.25</v>
      </c>
      <c r="O3661" s="0" t="n">
        <f aca="false">E3661*E3661</f>
        <v>0.140625</v>
      </c>
      <c r="P3661" s="0" t="n">
        <f aca="false">F3661*F3661</f>
        <v>0.765625</v>
      </c>
      <c r="Q3661" s="0" t="n">
        <f aca="false">SUMPRODUCT(G3661:P3661,_XtX!$B$71:$K$71)</f>
        <v>47.6015625</v>
      </c>
      <c r="R3661" s="0" t="n">
        <f aca="false">SUMPRODUCT(MMULT(G3661:P3661,_XtX!$B$58:$K$67),G3661:P3661)</f>
        <v>0.322393798828125</v>
      </c>
      <c r="S3661" s="0" t="n">
        <f aca="false">04_回帰ANOVA!$K$19*04_回帰ANOVA!$K$14*SQRT(1+R3661)</f>
        <v>1.06917067390712</v>
      </c>
      <c r="T3661" s="0" t="n">
        <f aca="false">Q3661-S3661</f>
        <v>46.5323918260929</v>
      </c>
      <c r="U3661" s="0" t="n">
        <f aca="false">Q3661+S3661</f>
        <v>48.6707331739071</v>
      </c>
      <c r="V3661" s="54" t="b">
        <f aca="false">AND(D3661&gt;=01_因子設定!$L$5-0.000000001,D3661&lt;=01_因子設定!$M$5+0.000000001,E3661&gt;=01_因子設定!$L$6-0.000000001,E3661&lt;=01_因子設定!$M$6+0.000000001,F3661&gt;=01_因子設定!$L$7-0.000000001,F3661&lt;=01_因子設定!$M$7+0.000000001,IF(01_因子設定!$B$20="Box-Behnken",D3661^2+E3661^2+F3661^2&lt;=2+0.000000001,TRUE()))</f>
        <v>1</v>
      </c>
      <c r="W3661" s="55" t="n">
        <f aca="false">IF(V3661,IF(01_因子設定!$B$13="最大化",T3661-01_因子設定!$B$14,IF(01_因子設定!$B$13="最小化",01_因子設定!$B$15-U3661,MIN(T3661-01_因子設定!$B$14,01_因子設定!$B$15-U3661))),-1E+030)</f>
        <v>-1.9676081739071</v>
      </c>
      <c r="X3661" s="55" t="n">
        <f aca="false">IF(V3661,IF(01_因子設定!$B$13="最大化",Q3661,IF(01_因子設定!$B$13="最小化",-Q3661,-ABS(Q3661-01_因子設定!$B$16))),-1E+030)</f>
        <v>47.6015625</v>
      </c>
      <c r="Y3661" s="55" t="n">
        <f aca="false">W3661+ROW()*0.000000001</f>
        <v>-1.9676045129071</v>
      </c>
      <c r="Z3661" s="55" t="n">
        <f aca="false">X3661+ROW()*0.000000001</f>
        <v>47.601566161</v>
      </c>
    </row>
    <row r="3662" customFormat="false" ht="15" hidden="false" customHeight="false" outlineLevel="0" collapsed="false">
      <c r="A3662" s="0" t="n">
        <v>12</v>
      </c>
      <c r="B3662" s="0" t="n">
        <v>11</v>
      </c>
      <c r="C3662" s="0" t="n">
        <v>2</v>
      </c>
      <c r="D3662" s="0" t="n">
        <f aca="false">-1+A3662*0.125</f>
        <v>0.5</v>
      </c>
      <c r="E3662" s="0" t="n">
        <f aca="false">-1+B3662*0.125</f>
        <v>0.375</v>
      </c>
      <c r="F3662" s="0" t="n">
        <f aca="false">-1+C3662*0.125</f>
        <v>-0.75</v>
      </c>
      <c r="G3662" s="0" t="n">
        <f aca="false">1</f>
        <v>1</v>
      </c>
      <c r="H3662" s="0" t="n">
        <f aca="false">D3662</f>
        <v>0.5</v>
      </c>
      <c r="I3662" s="0" t="n">
        <f aca="false">E3662</f>
        <v>0.375</v>
      </c>
      <c r="J3662" s="0" t="n">
        <f aca="false">F3662</f>
        <v>-0.75</v>
      </c>
      <c r="K3662" s="0" t="n">
        <f aca="false">D3662*E3662</f>
        <v>0.1875</v>
      </c>
      <c r="L3662" s="0" t="n">
        <f aca="false">D3662*F3662</f>
        <v>-0.375</v>
      </c>
      <c r="M3662" s="0" t="n">
        <f aca="false">E3662*F3662</f>
        <v>-0.28125</v>
      </c>
      <c r="N3662" s="0" t="n">
        <f aca="false">D3662*D3662</f>
        <v>0.25</v>
      </c>
      <c r="O3662" s="0" t="n">
        <f aca="false">E3662*E3662</f>
        <v>0.140625</v>
      </c>
      <c r="P3662" s="0" t="n">
        <f aca="false">F3662*F3662</f>
        <v>0.5625</v>
      </c>
      <c r="Q3662" s="0" t="n">
        <f aca="false">SUMPRODUCT(G3662:P3662,_XtX!$B$71:$K$71)</f>
        <v>48.0249147727273</v>
      </c>
      <c r="R3662" s="0" t="n">
        <f aca="false">SUMPRODUCT(MMULT(G3662:P3662,_XtX!$B$58:$K$67),G3662:P3662)</f>
        <v>0.234168590198864</v>
      </c>
      <c r="S3662" s="0" t="n">
        <f aca="false">04_回帰ANOVA!$K$19*04_回帰ANOVA!$K$14*SQRT(1+R3662)</f>
        <v>1.03288954322488</v>
      </c>
      <c r="T3662" s="0" t="n">
        <f aca="false">Q3662-S3662</f>
        <v>46.9920252295024</v>
      </c>
      <c r="U3662" s="0" t="n">
        <f aca="false">Q3662+S3662</f>
        <v>49.0578043159522</v>
      </c>
      <c r="V3662" s="54" t="b">
        <f aca="false">AND(D3662&gt;=01_因子設定!$L$5-0.000000001,D3662&lt;=01_因子設定!$M$5+0.000000001,E3662&gt;=01_因子設定!$L$6-0.000000001,E3662&lt;=01_因子設定!$M$6+0.000000001,F3662&gt;=01_因子設定!$L$7-0.000000001,F3662&lt;=01_因子設定!$M$7+0.000000001,IF(01_因子設定!$B$20="Box-Behnken",D3662^2+E3662^2+F3662^2&lt;=2+0.000000001,TRUE()))</f>
        <v>1</v>
      </c>
      <c r="W3662" s="55" t="n">
        <f aca="false">IF(V3662,IF(01_因子設定!$B$13="最大化",T3662-01_因子設定!$B$14,IF(01_因子設定!$B$13="最小化",01_因子設定!$B$15-U3662,MIN(T3662-01_因子設定!$B$14,01_因子設定!$B$15-U3662))),-1E+030)</f>
        <v>-1.50797477049759</v>
      </c>
      <c r="X3662" s="55" t="n">
        <f aca="false">IF(V3662,IF(01_因子設定!$B$13="最大化",Q3662,IF(01_因子設定!$B$13="最小化",-Q3662,-ABS(Q3662-01_因子設定!$B$16))),-1E+030)</f>
        <v>48.0249147727273</v>
      </c>
      <c r="Y3662" s="55" t="n">
        <f aca="false">W3662+ROW()*0.000000001</f>
        <v>-1.50797110849759</v>
      </c>
      <c r="Z3662" s="55" t="n">
        <f aca="false">X3662+ROW()*0.000000001</f>
        <v>48.0249184347273</v>
      </c>
    </row>
    <row r="3663" customFormat="false" ht="15" hidden="false" customHeight="false" outlineLevel="0" collapsed="false">
      <c r="A3663" s="0" t="n">
        <v>12</v>
      </c>
      <c r="B3663" s="0" t="n">
        <v>11</v>
      </c>
      <c r="C3663" s="0" t="n">
        <v>3</v>
      </c>
      <c r="D3663" s="0" t="n">
        <f aca="false">-1+A3663*0.125</f>
        <v>0.5</v>
      </c>
      <c r="E3663" s="0" t="n">
        <f aca="false">-1+B3663*0.125</f>
        <v>0.375</v>
      </c>
      <c r="F3663" s="0" t="n">
        <f aca="false">-1+C3663*0.125</f>
        <v>-0.625</v>
      </c>
      <c r="G3663" s="0" t="n">
        <f aca="false">1</f>
        <v>1</v>
      </c>
      <c r="H3663" s="0" t="n">
        <f aca="false">D3663</f>
        <v>0.5</v>
      </c>
      <c r="I3663" s="0" t="n">
        <f aca="false">E3663</f>
        <v>0.375</v>
      </c>
      <c r="J3663" s="0" t="n">
        <f aca="false">F3663</f>
        <v>-0.625</v>
      </c>
      <c r="K3663" s="0" t="n">
        <f aca="false">D3663*E3663</f>
        <v>0.1875</v>
      </c>
      <c r="L3663" s="0" t="n">
        <f aca="false">D3663*F3663</f>
        <v>-0.3125</v>
      </c>
      <c r="M3663" s="0" t="n">
        <f aca="false">E3663*F3663</f>
        <v>-0.234375</v>
      </c>
      <c r="N3663" s="0" t="n">
        <f aca="false">D3663*D3663</f>
        <v>0.25</v>
      </c>
      <c r="O3663" s="0" t="n">
        <f aca="false">E3663*E3663</f>
        <v>0.140625</v>
      </c>
      <c r="P3663" s="0" t="n">
        <f aca="false">F3663*F3663</f>
        <v>0.390625</v>
      </c>
      <c r="Q3663" s="0" t="n">
        <f aca="false">SUMPRODUCT(G3663:P3663,_XtX!$B$71:$K$71)</f>
        <v>48.4114772727273</v>
      </c>
      <c r="R3663" s="0" t="n">
        <f aca="false">SUMPRODUCT(MMULT(G3663:P3663,_XtX!$B$58:$K$67),G3663:P3663)</f>
        <v>0.182953990589489</v>
      </c>
      <c r="S3663" s="0" t="n">
        <f aca="false">04_回帰ANOVA!$K$19*04_回帰ANOVA!$K$14*SQRT(1+R3663)</f>
        <v>1.01123143807044</v>
      </c>
      <c r="T3663" s="0" t="n">
        <f aca="false">Q3663-S3663</f>
        <v>47.4002458346568</v>
      </c>
      <c r="U3663" s="0" t="n">
        <f aca="false">Q3663+S3663</f>
        <v>49.4227087107977</v>
      </c>
      <c r="V3663" s="54" t="b">
        <f aca="false">AND(D3663&gt;=01_因子設定!$L$5-0.000000001,D3663&lt;=01_因子設定!$M$5+0.000000001,E3663&gt;=01_因子設定!$L$6-0.000000001,E3663&lt;=01_因子設定!$M$6+0.000000001,F3663&gt;=01_因子設定!$L$7-0.000000001,F3663&lt;=01_因子設定!$M$7+0.000000001,IF(01_因子設定!$B$20="Box-Behnken",D3663^2+E3663^2+F3663^2&lt;=2+0.000000001,TRUE()))</f>
        <v>1</v>
      </c>
      <c r="W3663" s="55" t="n">
        <f aca="false">IF(V3663,IF(01_因子設定!$B$13="最大化",T3663-01_因子設定!$B$14,IF(01_因子設定!$B$13="最小化",01_因子設定!$B$15-U3663,MIN(T3663-01_因子設定!$B$14,01_因子設定!$B$15-U3663))),-1E+030)</f>
        <v>-1.09975416534316</v>
      </c>
      <c r="X3663" s="55" t="n">
        <f aca="false">IF(V3663,IF(01_因子設定!$B$13="最大化",Q3663,IF(01_因子設定!$B$13="最小化",-Q3663,-ABS(Q3663-01_因子設定!$B$16))),-1E+030)</f>
        <v>48.4114772727273</v>
      </c>
      <c r="Y3663" s="55" t="n">
        <f aca="false">W3663+ROW()*0.000000001</f>
        <v>-1.09975050234316</v>
      </c>
      <c r="Z3663" s="55" t="n">
        <f aca="false">X3663+ROW()*0.000000001</f>
        <v>48.4114809357273</v>
      </c>
    </row>
    <row r="3664" customFormat="false" ht="15" hidden="false" customHeight="false" outlineLevel="0" collapsed="false">
      <c r="A3664" s="0" t="n">
        <v>12</v>
      </c>
      <c r="B3664" s="0" t="n">
        <v>11</v>
      </c>
      <c r="C3664" s="0" t="n">
        <v>4</v>
      </c>
      <c r="D3664" s="0" t="n">
        <f aca="false">-1+A3664*0.125</f>
        <v>0.5</v>
      </c>
      <c r="E3664" s="0" t="n">
        <f aca="false">-1+B3664*0.125</f>
        <v>0.375</v>
      </c>
      <c r="F3664" s="0" t="n">
        <f aca="false">-1+C3664*0.125</f>
        <v>-0.5</v>
      </c>
      <c r="G3664" s="0" t="n">
        <f aca="false">1</f>
        <v>1</v>
      </c>
      <c r="H3664" s="0" t="n">
        <f aca="false">D3664</f>
        <v>0.5</v>
      </c>
      <c r="I3664" s="0" t="n">
        <f aca="false">E3664</f>
        <v>0.375</v>
      </c>
      <c r="J3664" s="0" t="n">
        <f aca="false">F3664</f>
        <v>-0.5</v>
      </c>
      <c r="K3664" s="0" t="n">
        <f aca="false">D3664*E3664</f>
        <v>0.1875</v>
      </c>
      <c r="L3664" s="0" t="n">
        <f aca="false">D3664*F3664</f>
        <v>-0.25</v>
      </c>
      <c r="M3664" s="0" t="n">
        <f aca="false">E3664*F3664</f>
        <v>-0.1875</v>
      </c>
      <c r="N3664" s="0" t="n">
        <f aca="false">D3664*D3664</f>
        <v>0.25</v>
      </c>
      <c r="O3664" s="0" t="n">
        <f aca="false">E3664*E3664</f>
        <v>0.140625</v>
      </c>
      <c r="P3664" s="0" t="n">
        <f aca="false">F3664*F3664</f>
        <v>0.25</v>
      </c>
      <c r="Q3664" s="0" t="n">
        <f aca="false">SUMPRODUCT(G3664:P3664,_XtX!$B$71:$K$71)</f>
        <v>48.76125</v>
      </c>
      <c r="R3664" s="0" t="n">
        <f aca="false">SUMPRODUCT(MMULT(G3664:P3664,_XtX!$B$58:$K$67),G3664:P3664)</f>
        <v>0.15703125</v>
      </c>
      <c r="S3664" s="0" t="n">
        <f aca="false">04_回帰ANOVA!$K$19*04_回帰ANOVA!$K$14*SQRT(1+R3664)</f>
        <v>1.00009022049162</v>
      </c>
      <c r="T3664" s="0" t="n">
        <f aca="false">Q3664-S3664</f>
        <v>47.7611597795084</v>
      </c>
      <c r="U3664" s="0" t="n">
        <f aca="false">Q3664+S3664</f>
        <v>49.7613402204916</v>
      </c>
      <c r="V3664" s="54" t="b">
        <f aca="false">AND(D3664&gt;=01_因子設定!$L$5-0.000000001,D3664&lt;=01_因子設定!$M$5+0.000000001,E3664&gt;=01_因子設定!$L$6-0.000000001,E3664&lt;=01_因子設定!$M$6+0.000000001,F3664&gt;=01_因子設定!$L$7-0.000000001,F3664&lt;=01_因子設定!$M$7+0.000000001,IF(01_因子設定!$B$20="Box-Behnken",D3664^2+E3664^2+F3664^2&lt;=2+0.000000001,TRUE()))</f>
        <v>1</v>
      </c>
      <c r="W3664" s="55" t="n">
        <f aca="false">IF(V3664,IF(01_因子設定!$B$13="最大化",T3664-01_因子設定!$B$14,IF(01_因子設定!$B$13="最小化",01_因子設定!$B$15-U3664,MIN(T3664-01_因子設定!$B$14,01_因子設定!$B$15-U3664))),-1E+030)</f>
        <v>-0.738840220491611</v>
      </c>
      <c r="X3664" s="55" t="n">
        <f aca="false">IF(V3664,IF(01_因子設定!$B$13="最大化",Q3664,IF(01_因子設定!$B$13="最小化",-Q3664,-ABS(Q3664-01_因子設定!$B$16))),-1E+030)</f>
        <v>48.76125</v>
      </c>
      <c r="Y3664" s="55" t="n">
        <f aca="false">W3664+ROW()*0.000000001</f>
        <v>-0.738836556491611</v>
      </c>
      <c r="Z3664" s="55" t="n">
        <f aca="false">X3664+ROW()*0.000000001</f>
        <v>48.761253664</v>
      </c>
    </row>
    <row r="3665" customFormat="false" ht="15" hidden="false" customHeight="false" outlineLevel="0" collapsed="false">
      <c r="A3665" s="0" t="n">
        <v>12</v>
      </c>
      <c r="B3665" s="0" t="n">
        <v>11</v>
      </c>
      <c r="C3665" s="0" t="n">
        <v>5</v>
      </c>
      <c r="D3665" s="0" t="n">
        <f aca="false">-1+A3665*0.125</f>
        <v>0.5</v>
      </c>
      <c r="E3665" s="0" t="n">
        <f aca="false">-1+B3665*0.125</f>
        <v>0.375</v>
      </c>
      <c r="F3665" s="0" t="n">
        <f aca="false">-1+C3665*0.125</f>
        <v>-0.375</v>
      </c>
      <c r="G3665" s="0" t="n">
        <f aca="false">1</f>
        <v>1</v>
      </c>
      <c r="H3665" s="0" t="n">
        <f aca="false">D3665</f>
        <v>0.5</v>
      </c>
      <c r="I3665" s="0" t="n">
        <f aca="false">E3665</f>
        <v>0.375</v>
      </c>
      <c r="J3665" s="0" t="n">
        <f aca="false">F3665</f>
        <v>-0.375</v>
      </c>
      <c r="K3665" s="0" t="n">
        <f aca="false">D3665*E3665</f>
        <v>0.1875</v>
      </c>
      <c r="L3665" s="0" t="n">
        <f aca="false">D3665*F3665</f>
        <v>-0.1875</v>
      </c>
      <c r="M3665" s="0" t="n">
        <f aca="false">E3665*F3665</f>
        <v>-0.140625</v>
      </c>
      <c r="N3665" s="0" t="n">
        <f aca="false">D3665*D3665</f>
        <v>0.25</v>
      </c>
      <c r="O3665" s="0" t="n">
        <f aca="false">E3665*E3665</f>
        <v>0.140625</v>
      </c>
      <c r="P3665" s="0" t="n">
        <f aca="false">F3665*F3665</f>
        <v>0.140625</v>
      </c>
      <c r="Q3665" s="0" t="n">
        <f aca="false">SUMPRODUCT(G3665:P3665,_XtX!$B$71:$K$71)</f>
        <v>49.0742329545455</v>
      </c>
      <c r="R3665" s="0" t="n">
        <f aca="false">SUMPRODUCT(MMULT(G3665:P3665,_XtX!$B$58:$K$67),G3665:P3665)</f>
        <v>0.14681230024858</v>
      </c>
      <c r="S3665" s="0" t="n">
        <f aca="false">04_回帰ANOVA!$K$19*04_回帰ANOVA!$K$14*SQRT(1+R3665)</f>
        <v>0.995664005771711</v>
      </c>
      <c r="T3665" s="0" t="n">
        <f aca="false">Q3665-S3665</f>
        <v>48.0785689487738</v>
      </c>
      <c r="U3665" s="0" t="n">
        <f aca="false">Q3665+S3665</f>
        <v>50.0698969603172</v>
      </c>
      <c r="V3665" s="54" t="b">
        <f aca="false">AND(D3665&gt;=01_因子設定!$L$5-0.000000001,D3665&lt;=01_因子設定!$M$5+0.000000001,E3665&gt;=01_因子設定!$L$6-0.000000001,E3665&lt;=01_因子設定!$M$6+0.000000001,F3665&gt;=01_因子設定!$L$7-0.000000001,F3665&lt;=01_因子設定!$M$7+0.000000001,IF(01_因子設定!$B$20="Box-Behnken",D3665^2+E3665^2+F3665^2&lt;=2+0.000000001,TRUE()))</f>
        <v>1</v>
      </c>
      <c r="W3665" s="55" t="n">
        <f aca="false">IF(V3665,IF(01_因子設定!$B$13="最大化",T3665-01_因子設定!$B$14,IF(01_因子設定!$B$13="最小化",01_因子設定!$B$15-U3665,MIN(T3665-01_因子設定!$B$14,01_因子設定!$B$15-U3665))),-1E+030)</f>
        <v>-0.42143105122625</v>
      </c>
      <c r="X3665" s="55" t="n">
        <f aca="false">IF(V3665,IF(01_因子設定!$B$13="最大化",Q3665,IF(01_因子設定!$B$13="最小化",-Q3665,-ABS(Q3665-01_因子設定!$B$16))),-1E+030)</f>
        <v>49.0742329545455</v>
      </c>
      <c r="Y3665" s="55" t="n">
        <f aca="false">W3665+ROW()*0.000000001</f>
        <v>-0.42142738622625</v>
      </c>
      <c r="Z3665" s="55" t="n">
        <f aca="false">X3665+ROW()*0.000000001</f>
        <v>49.0742366195455</v>
      </c>
    </row>
    <row r="3666" customFormat="false" ht="15" hidden="false" customHeight="false" outlineLevel="0" collapsed="false">
      <c r="A3666" s="0" t="n">
        <v>12</v>
      </c>
      <c r="B3666" s="0" t="n">
        <v>11</v>
      </c>
      <c r="C3666" s="0" t="n">
        <v>6</v>
      </c>
      <c r="D3666" s="0" t="n">
        <f aca="false">-1+A3666*0.125</f>
        <v>0.5</v>
      </c>
      <c r="E3666" s="0" t="n">
        <f aca="false">-1+B3666*0.125</f>
        <v>0.375</v>
      </c>
      <c r="F3666" s="0" t="n">
        <f aca="false">-1+C3666*0.125</f>
        <v>-0.25</v>
      </c>
      <c r="G3666" s="0" t="n">
        <f aca="false">1</f>
        <v>1</v>
      </c>
      <c r="H3666" s="0" t="n">
        <f aca="false">D3666</f>
        <v>0.5</v>
      </c>
      <c r="I3666" s="0" t="n">
        <f aca="false">E3666</f>
        <v>0.375</v>
      </c>
      <c r="J3666" s="0" t="n">
        <f aca="false">F3666</f>
        <v>-0.25</v>
      </c>
      <c r="K3666" s="0" t="n">
        <f aca="false">D3666*E3666</f>
        <v>0.1875</v>
      </c>
      <c r="L3666" s="0" t="n">
        <f aca="false">D3666*F3666</f>
        <v>-0.125</v>
      </c>
      <c r="M3666" s="0" t="n">
        <f aca="false">E3666*F3666</f>
        <v>-0.09375</v>
      </c>
      <c r="N3666" s="0" t="n">
        <f aca="false">D3666*D3666</f>
        <v>0.25</v>
      </c>
      <c r="O3666" s="0" t="n">
        <f aca="false">E3666*E3666</f>
        <v>0.140625</v>
      </c>
      <c r="P3666" s="0" t="n">
        <f aca="false">F3666*F3666</f>
        <v>0.0625</v>
      </c>
      <c r="Q3666" s="0" t="n">
        <f aca="false">SUMPRODUCT(G3666:P3666,_XtX!$B$71:$K$71)</f>
        <v>49.3504261363636</v>
      </c>
      <c r="R3666" s="0" t="n">
        <f aca="false">SUMPRODUCT(MMULT(G3666:P3666,_XtX!$B$58:$K$67),G3666:P3666)</f>
        <v>0.144839754971591</v>
      </c>
      <c r="S3666" s="0" t="n">
        <f aca="false">04_回帰ANOVA!$K$19*04_回帰ANOVA!$K$14*SQRT(1+R3666)</f>
        <v>0.994807353995542</v>
      </c>
      <c r="T3666" s="0" t="n">
        <f aca="false">Q3666-S3666</f>
        <v>48.3556187823681</v>
      </c>
      <c r="U3666" s="0" t="n">
        <f aca="false">Q3666+S3666</f>
        <v>50.3452334903592</v>
      </c>
      <c r="V3666" s="54" t="b">
        <f aca="false">AND(D3666&gt;=01_因子設定!$L$5-0.000000001,D3666&lt;=01_因子設定!$M$5+0.000000001,E3666&gt;=01_因子設定!$L$6-0.000000001,E3666&lt;=01_因子設定!$M$6+0.000000001,F3666&gt;=01_因子設定!$L$7-0.000000001,F3666&lt;=01_因子設定!$M$7+0.000000001,IF(01_因子設定!$B$20="Box-Behnken",D3666^2+E3666^2+F3666^2&lt;=2+0.000000001,TRUE()))</f>
        <v>1</v>
      </c>
      <c r="W3666" s="55" t="n">
        <f aca="false">IF(V3666,IF(01_因子設定!$B$13="最大化",T3666-01_因子設定!$B$14,IF(01_因子設定!$B$13="最小化",01_因子設定!$B$15-U3666,MIN(T3666-01_因子設定!$B$14,01_因子設定!$B$15-U3666))),-1E+030)</f>
        <v>-0.144381217631896</v>
      </c>
      <c r="X3666" s="55" t="n">
        <f aca="false">IF(V3666,IF(01_因子設定!$B$13="最大化",Q3666,IF(01_因子設定!$B$13="最小化",-Q3666,-ABS(Q3666-01_因子設定!$B$16))),-1E+030)</f>
        <v>49.3504261363636</v>
      </c>
      <c r="Y3666" s="55" t="n">
        <f aca="false">W3666+ROW()*0.000000001</f>
        <v>-0.144377551631896</v>
      </c>
      <c r="Z3666" s="55" t="n">
        <f aca="false">X3666+ROW()*0.000000001</f>
        <v>49.3504298023636</v>
      </c>
    </row>
    <row r="3667" customFormat="false" ht="15" hidden="false" customHeight="false" outlineLevel="0" collapsed="false">
      <c r="A3667" s="0" t="n">
        <v>12</v>
      </c>
      <c r="B3667" s="0" t="n">
        <v>11</v>
      </c>
      <c r="C3667" s="0" t="n">
        <v>7</v>
      </c>
      <c r="D3667" s="0" t="n">
        <f aca="false">-1+A3667*0.125</f>
        <v>0.5</v>
      </c>
      <c r="E3667" s="0" t="n">
        <f aca="false">-1+B3667*0.125</f>
        <v>0.375</v>
      </c>
      <c r="F3667" s="0" t="n">
        <f aca="false">-1+C3667*0.125</f>
        <v>-0.125</v>
      </c>
      <c r="G3667" s="0" t="n">
        <f aca="false">1</f>
        <v>1</v>
      </c>
      <c r="H3667" s="0" t="n">
        <f aca="false">D3667</f>
        <v>0.5</v>
      </c>
      <c r="I3667" s="0" t="n">
        <f aca="false">E3667</f>
        <v>0.375</v>
      </c>
      <c r="J3667" s="0" t="n">
        <f aca="false">F3667</f>
        <v>-0.125</v>
      </c>
      <c r="K3667" s="0" t="n">
        <f aca="false">D3667*E3667</f>
        <v>0.1875</v>
      </c>
      <c r="L3667" s="0" t="n">
        <f aca="false">D3667*F3667</f>
        <v>-0.0625</v>
      </c>
      <c r="M3667" s="0" t="n">
        <f aca="false">E3667*F3667</f>
        <v>-0.046875</v>
      </c>
      <c r="N3667" s="0" t="n">
        <f aca="false">D3667*D3667</f>
        <v>0.25</v>
      </c>
      <c r="O3667" s="0" t="n">
        <f aca="false">E3667*E3667</f>
        <v>0.140625</v>
      </c>
      <c r="P3667" s="0" t="n">
        <f aca="false">F3667*F3667</f>
        <v>0.015625</v>
      </c>
      <c r="Q3667" s="0" t="n">
        <f aca="false">SUMPRODUCT(G3667:P3667,_XtX!$B$71:$K$71)</f>
        <v>49.5898295454546</v>
      </c>
      <c r="R3667" s="0" t="n">
        <f aca="false">SUMPRODUCT(MMULT(G3667:P3667,_XtX!$B$58:$K$67),G3667:P3667)</f>
        <v>0.14578690962358</v>
      </c>
      <c r="S3667" s="0" t="n">
        <f aca="false">04_回帰ANOVA!$K$19*04_回帰ANOVA!$K$14*SQRT(1+R3667)</f>
        <v>0.995218783457917</v>
      </c>
      <c r="T3667" s="0" t="n">
        <f aca="false">Q3667-S3667</f>
        <v>48.5946107619966</v>
      </c>
      <c r="U3667" s="0" t="n">
        <f aca="false">Q3667+S3667</f>
        <v>50.5850483289125</v>
      </c>
      <c r="V3667" s="54" t="b">
        <f aca="false">AND(D3667&gt;=01_因子設定!$L$5-0.000000001,D3667&lt;=01_因子設定!$M$5+0.000000001,E3667&gt;=01_因子設定!$L$6-0.000000001,E3667&lt;=01_因子設定!$M$6+0.000000001,F3667&gt;=01_因子設定!$L$7-0.000000001,F3667&lt;=01_因子設定!$M$7+0.000000001,IF(01_因子設定!$B$20="Box-Behnken",D3667^2+E3667^2+F3667^2&lt;=2+0.000000001,TRUE()))</f>
        <v>1</v>
      </c>
      <c r="W3667" s="55" t="n">
        <f aca="false">IF(V3667,IF(01_因子設定!$B$13="最大化",T3667-01_因子設定!$B$14,IF(01_因子設定!$B$13="最小化",01_因子設定!$B$15-U3667,MIN(T3667-01_因子設定!$B$14,01_因子設定!$B$15-U3667))),-1E+030)</f>
        <v>0.0946107619966341</v>
      </c>
      <c r="X3667" s="55" t="n">
        <f aca="false">IF(V3667,IF(01_因子設定!$B$13="最大化",Q3667,IF(01_因子設定!$B$13="最小化",-Q3667,-ABS(Q3667-01_因子設定!$B$16))),-1E+030)</f>
        <v>49.5898295454546</v>
      </c>
      <c r="Y3667" s="55" t="n">
        <f aca="false">W3667+ROW()*0.000000001</f>
        <v>0.0946144289966341</v>
      </c>
      <c r="Z3667" s="55" t="n">
        <f aca="false">X3667+ROW()*0.000000001</f>
        <v>49.5898332124546</v>
      </c>
    </row>
    <row r="3668" customFormat="false" ht="15" hidden="false" customHeight="false" outlineLevel="0" collapsed="false">
      <c r="A3668" s="0" t="n">
        <v>12</v>
      </c>
      <c r="B3668" s="0" t="n">
        <v>11</v>
      </c>
      <c r="C3668" s="0" t="n">
        <v>8</v>
      </c>
      <c r="D3668" s="0" t="n">
        <f aca="false">-1+A3668*0.125</f>
        <v>0.5</v>
      </c>
      <c r="E3668" s="0" t="n">
        <f aca="false">-1+B3668*0.125</f>
        <v>0.375</v>
      </c>
      <c r="F3668" s="0" t="n">
        <f aca="false">-1+C3668*0.125</f>
        <v>0</v>
      </c>
      <c r="G3668" s="0" t="n">
        <f aca="false">1</f>
        <v>1</v>
      </c>
      <c r="H3668" s="0" t="n">
        <f aca="false">D3668</f>
        <v>0.5</v>
      </c>
      <c r="I3668" s="0" t="n">
        <f aca="false">E3668</f>
        <v>0.375</v>
      </c>
      <c r="J3668" s="0" t="n">
        <f aca="false">F3668</f>
        <v>0</v>
      </c>
      <c r="K3668" s="0" t="n">
        <f aca="false">D3668*E3668</f>
        <v>0.1875</v>
      </c>
      <c r="L3668" s="0" t="n">
        <f aca="false">D3668*F3668</f>
        <v>0</v>
      </c>
      <c r="M3668" s="0" t="n">
        <f aca="false">E3668*F3668</f>
        <v>0</v>
      </c>
      <c r="N3668" s="0" t="n">
        <f aca="false">D3668*D3668</f>
        <v>0.25</v>
      </c>
      <c r="O3668" s="0" t="n">
        <f aca="false">E3668*E3668</f>
        <v>0.140625</v>
      </c>
      <c r="P3668" s="0" t="n">
        <f aca="false">F3668*F3668</f>
        <v>0</v>
      </c>
      <c r="Q3668" s="0" t="n">
        <f aca="false">SUMPRODUCT(G3668:P3668,_XtX!$B$71:$K$71)</f>
        <v>49.7924431818182</v>
      </c>
      <c r="R3668" s="0" t="n">
        <f aca="false">SUMPRODUCT(MMULT(G3668:P3668,_XtX!$B$58:$K$67),G3668:P3668)</f>
        <v>0.146457741477273</v>
      </c>
      <c r="S3668" s="0" t="n">
        <f aca="false">04_回帰ANOVA!$K$19*04_回帰ANOVA!$K$14*SQRT(1+R3668)</f>
        <v>0.995510079668687</v>
      </c>
      <c r="T3668" s="0" t="n">
        <f aca="false">Q3668-S3668</f>
        <v>48.7969331021495</v>
      </c>
      <c r="U3668" s="0" t="n">
        <f aca="false">Q3668+S3668</f>
        <v>50.7879532614869</v>
      </c>
      <c r="V3668" s="54" t="b">
        <f aca="false">AND(D3668&gt;=01_因子設定!$L$5-0.000000001,D3668&lt;=01_因子設定!$M$5+0.000000001,E3668&gt;=01_因子設定!$L$6-0.000000001,E3668&lt;=01_因子設定!$M$6+0.000000001,F3668&gt;=01_因子設定!$L$7-0.000000001,F3668&lt;=01_因子設定!$M$7+0.000000001,IF(01_因子設定!$B$20="Box-Behnken",D3668^2+E3668^2+F3668^2&lt;=2+0.000000001,TRUE()))</f>
        <v>1</v>
      </c>
      <c r="W3668" s="55" t="n">
        <f aca="false">IF(V3668,IF(01_因子設定!$B$13="最大化",T3668-01_因子設定!$B$14,IF(01_因子設定!$B$13="最小化",01_因子設定!$B$15-U3668,MIN(T3668-01_因子設定!$B$14,01_因子設定!$B$15-U3668))),-1E+030)</f>
        <v>0.296933102149502</v>
      </c>
      <c r="X3668" s="55" t="n">
        <f aca="false">IF(V3668,IF(01_因子設定!$B$13="最大化",Q3668,IF(01_因子設定!$B$13="最小化",-Q3668,-ABS(Q3668-01_因子設定!$B$16))),-1E+030)</f>
        <v>49.7924431818182</v>
      </c>
      <c r="Y3668" s="55" t="n">
        <f aca="false">W3668+ROW()*0.000000001</f>
        <v>0.296936770149502</v>
      </c>
      <c r="Z3668" s="55" t="n">
        <f aca="false">X3668+ROW()*0.000000001</f>
        <v>49.7924468498182</v>
      </c>
    </row>
    <row r="3669" customFormat="false" ht="15" hidden="false" customHeight="false" outlineLevel="0" collapsed="false">
      <c r="A3669" s="0" t="n">
        <v>12</v>
      </c>
      <c r="B3669" s="0" t="n">
        <v>11</v>
      </c>
      <c r="C3669" s="0" t="n">
        <v>9</v>
      </c>
      <c r="D3669" s="0" t="n">
        <f aca="false">-1+A3669*0.125</f>
        <v>0.5</v>
      </c>
      <c r="E3669" s="0" t="n">
        <f aca="false">-1+B3669*0.125</f>
        <v>0.375</v>
      </c>
      <c r="F3669" s="0" t="n">
        <f aca="false">-1+C3669*0.125</f>
        <v>0.125</v>
      </c>
      <c r="G3669" s="0" t="n">
        <f aca="false">1</f>
        <v>1</v>
      </c>
      <c r="H3669" s="0" t="n">
        <f aca="false">D3669</f>
        <v>0.5</v>
      </c>
      <c r="I3669" s="0" t="n">
        <f aca="false">E3669</f>
        <v>0.375</v>
      </c>
      <c r="J3669" s="0" t="n">
        <f aca="false">F3669</f>
        <v>0.125</v>
      </c>
      <c r="K3669" s="0" t="n">
        <f aca="false">D3669*E3669</f>
        <v>0.1875</v>
      </c>
      <c r="L3669" s="0" t="n">
        <f aca="false">D3669*F3669</f>
        <v>0.0625</v>
      </c>
      <c r="M3669" s="0" t="n">
        <f aca="false">E3669*F3669</f>
        <v>0.046875</v>
      </c>
      <c r="N3669" s="0" t="n">
        <f aca="false">D3669*D3669</f>
        <v>0.25</v>
      </c>
      <c r="O3669" s="0" t="n">
        <f aca="false">E3669*E3669</f>
        <v>0.140625</v>
      </c>
      <c r="P3669" s="0" t="n">
        <f aca="false">F3669*F3669</f>
        <v>0.015625</v>
      </c>
      <c r="Q3669" s="0" t="n">
        <f aca="false">SUMPRODUCT(G3669:P3669,_XtX!$B$71:$K$71)</f>
        <v>49.9582670454546</v>
      </c>
      <c r="R3669" s="0" t="n">
        <f aca="false">SUMPRODUCT(MMULT(G3669:P3669,_XtX!$B$58:$K$67),G3669:P3669)</f>
        <v>0.14578690962358</v>
      </c>
      <c r="S3669" s="0" t="n">
        <f aca="false">04_回帰ANOVA!$K$19*04_回帰ANOVA!$K$14*SQRT(1+R3669)</f>
        <v>0.995218783457917</v>
      </c>
      <c r="T3669" s="0" t="n">
        <f aca="false">Q3669-S3669</f>
        <v>48.9630482619966</v>
      </c>
      <c r="U3669" s="0" t="n">
        <f aca="false">Q3669+S3669</f>
        <v>50.9534858289125</v>
      </c>
      <c r="V3669" s="54" t="b">
        <f aca="false">AND(D3669&gt;=01_因子設定!$L$5-0.000000001,D3669&lt;=01_因子設定!$M$5+0.000000001,E3669&gt;=01_因子設定!$L$6-0.000000001,E3669&lt;=01_因子設定!$M$6+0.000000001,F3669&gt;=01_因子設定!$L$7-0.000000001,F3669&lt;=01_因子設定!$M$7+0.000000001,IF(01_因子設定!$B$20="Box-Behnken",D3669^2+E3669^2+F3669^2&lt;=2+0.000000001,TRUE()))</f>
        <v>1</v>
      </c>
      <c r="W3669" s="55" t="n">
        <f aca="false">IF(V3669,IF(01_因子設定!$B$13="最大化",T3669-01_因子設定!$B$14,IF(01_因子設定!$B$13="最小化",01_因子設定!$B$15-U3669,MIN(T3669-01_因子設定!$B$14,01_因子設定!$B$15-U3669))),-1E+030)</f>
        <v>0.463048261996633</v>
      </c>
      <c r="X3669" s="55" t="n">
        <f aca="false">IF(V3669,IF(01_因子設定!$B$13="最大化",Q3669,IF(01_因子設定!$B$13="最小化",-Q3669,-ABS(Q3669-01_因子設定!$B$16))),-1E+030)</f>
        <v>49.9582670454546</v>
      </c>
      <c r="Y3669" s="55" t="n">
        <f aca="false">W3669+ROW()*0.000000001</f>
        <v>0.463051930996633</v>
      </c>
      <c r="Z3669" s="55" t="n">
        <f aca="false">X3669+ROW()*0.000000001</f>
        <v>49.9582707144546</v>
      </c>
    </row>
    <row r="3670" customFormat="false" ht="15" hidden="false" customHeight="false" outlineLevel="0" collapsed="false">
      <c r="A3670" s="0" t="n">
        <v>12</v>
      </c>
      <c r="B3670" s="0" t="n">
        <v>11</v>
      </c>
      <c r="C3670" s="0" t="n">
        <v>10</v>
      </c>
      <c r="D3670" s="0" t="n">
        <f aca="false">-1+A3670*0.125</f>
        <v>0.5</v>
      </c>
      <c r="E3670" s="0" t="n">
        <f aca="false">-1+B3670*0.125</f>
        <v>0.375</v>
      </c>
      <c r="F3670" s="0" t="n">
        <f aca="false">-1+C3670*0.125</f>
        <v>0.25</v>
      </c>
      <c r="G3670" s="0" t="n">
        <f aca="false">1</f>
        <v>1</v>
      </c>
      <c r="H3670" s="0" t="n">
        <f aca="false">D3670</f>
        <v>0.5</v>
      </c>
      <c r="I3670" s="0" t="n">
        <f aca="false">E3670</f>
        <v>0.375</v>
      </c>
      <c r="J3670" s="0" t="n">
        <f aca="false">F3670</f>
        <v>0.25</v>
      </c>
      <c r="K3670" s="0" t="n">
        <f aca="false">D3670*E3670</f>
        <v>0.1875</v>
      </c>
      <c r="L3670" s="0" t="n">
        <f aca="false">D3670*F3670</f>
        <v>0.125</v>
      </c>
      <c r="M3670" s="0" t="n">
        <f aca="false">E3670*F3670</f>
        <v>0.09375</v>
      </c>
      <c r="N3670" s="0" t="n">
        <f aca="false">D3670*D3670</f>
        <v>0.25</v>
      </c>
      <c r="O3670" s="0" t="n">
        <f aca="false">E3670*E3670</f>
        <v>0.140625</v>
      </c>
      <c r="P3670" s="0" t="n">
        <f aca="false">F3670*F3670</f>
        <v>0.0625</v>
      </c>
      <c r="Q3670" s="0" t="n">
        <f aca="false">SUMPRODUCT(G3670:P3670,_XtX!$B$71:$K$71)</f>
        <v>50.0873011363636</v>
      </c>
      <c r="R3670" s="0" t="n">
        <f aca="false">SUMPRODUCT(MMULT(G3670:P3670,_XtX!$B$58:$K$67),G3670:P3670)</f>
        <v>0.144839754971591</v>
      </c>
      <c r="S3670" s="0" t="n">
        <f aca="false">04_回帰ANOVA!$K$19*04_回帰ANOVA!$K$14*SQRT(1+R3670)</f>
        <v>0.994807353995542</v>
      </c>
      <c r="T3670" s="0" t="n">
        <f aca="false">Q3670-S3670</f>
        <v>49.0924937823681</v>
      </c>
      <c r="U3670" s="0" t="n">
        <f aca="false">Q3670+S3670</f>
        <v>51.0821084903592</v>
      </c>
      <c r="V3670" s="54" t="b">
        <f aca="false">AND(D3670&gt;=01_因子設定!$L$5-0.000000001,D3670&lt;=01_因子設定!$M$5+0.000000001,E3670&gt;=01_因子設定!$L$6-0.000000001,E3670&lt;=01_因子設定!$M$6+0.000000001,F3670&gt;=01_因子設定!$L$7-0.000000001,F3670&lt;=01_因子設定!$M$7+0.000000001,IF(01_因子設定!$B$20="Box-Behnken",D3670^2+E3670^2+F3670^2&lt;=2+0.000000001,TRUE()))</f>
        <v>1</v>
      </c>
      <c r="W3670" s="55" t="n">
        <f aca="false">IF(V3670,IF(01_因子設定!$B$13="最大化",T3670-01_因子設定!$B$14,IF(01_因子設定!$B$13="最小化",01_因子設定!$B$15-U3670,MIN(T3670-01_因子設定!$B$14,01_因子設定!$B$15-U3670))),-1E+030)</f>
        <v>0.592493782368102</v>
      </c>
      <c r="X3670" s="55" t="n">
        <f aca="false">IF(V3670,IF(01_因子設定!$B$13="最大化",Q3670,IF(01_因子設定!$B$13="最小化",-Q3670,-ABS(Q3670-01_因子設定!$B$16))),-1E+030)</f>
        <v>50.0873011363636</v>
      </c>
      <c r="Y3670" s="55" t="n">
        <f aca="false">W3670+ROW()*0.000000001</f>
        <v>0.592497452368102</v>
      </c>
      <c r="Z3670" s="55" t="n">
        <f aca="false">X3670+ROW()*0.000000001</f>
        <v>50.0873048063636</v>
      </c>
    </row>
    <row r="3671" customFormat="false" ht="15" hidden="false" customHeight="false" outlineLevel="0" collapsed="false">
      <c r="A3671" s="0" t="n">
        <v>12</v>
      </c>
      <c r="B3671" s="0" t="n">
        <v>11</v>
      </c>
      <c r="C3671" s="0" t="n">
        <v>11</v>
      </c>
      <c r="D3671" s="0" t="n">
        <f aca="false">-1+A3671*0.125</f>
        <v>0.5</v>
      </c>
      <c r="E3671" s="0" t="n">
        <f aca="false">-1+B3671*0.125</f>
        <v>0.375</v>
      </c>
      <c r="F3671" s="0" t="n">
        <f aca="false">-1+C3671*0.125</f>
        <v>0.375</v>
      </c>
      <c r="G3671" s="0" t="n">
        <f aca="false">1</f>
        <v>1</v>
      </c>
      <c r="H3671" s="0" t="n">
        <f aca="false">D3671</f>
        <v>0.5</v>
      </c>
      <c r="I3671" s="0" t="n">
        <f aca="false">E3671</f>
        <v>0.375</v>
      </c>
      <c r="J3671" s="0" t="n">
        <f aca="false">F3671</f>
        <v>0.375</v>
      </c>
      <c r="K3671" s="0" t="n">
        <f aca="false">D3671*E3671</f>
        <v>0.1875</v>
      </c>
      <c r="L3671" s="0" t="n">
        <f aca="false">D3671*F3671</f>
        <v>0.1875</v>
      </c>
      <c r="M3671" s="0" t="n">
        <f aca="false">E3671*F3671</f>
        <v>0.140625</v>
      </c>
      <c r="N3671" s="0" t="n">
        <f aca="false">D3671*D3671</f>
        <v>0.25</v>
      </c>
      <c r="O3671" s="0" t="n">
        <f aca="false">E3671*E3671</f>
        <v>0.140625</v>
      </c>
      <c r="P3671" s="0" t="n">
        <f aca="false">F3671*F3671</f>
        <v>0.140625</v>
      </c>
      <c r="Q3671" s="0" t="n">
        <f aca="false">SUMPRODUCT(G3671:P3671,_XtX!$B$71:$K$71)</f>
        <v>50.1795454545455</v>
      </c>
      <c r="R3671" s="0" t="n">
        <f aca="false">SUMPRODUCT(MMULT(G3671:P3671,_XtX!$B$58:$K$67),G3671:P3671)</f>
        <v>0.14681230024858</v>
      </c>
      <c r="S3671" s="0" t="n">
        <f aca="false">04_回帰ANOVA!$K$19*04_回帰ANOVA!$K$14*SQRT(1+R3671)</f>
        <v>0.995664005771711</v>
      </c>
      <c r="T3671" s="0" t="n">
        <f aca="false">Q3671-S3671</f>
        <v>49.1838814487738</v>
      </c>
      <c r="U3671" s="0" t="n">
        <f aca="false">Q3671+S3671</f>
        <v>51.1752094603172</v>
      </c>
      <c r="V3671" s="54" t="b">
        <f aca="false">AND(D3671&gt;=01_因子設定!$L$5-0.000000001,D3671&lt;=01_因子設定!$M$5+0.000000001,E3671&gt;=01_因子設定!$L$6-0.000000001,E3671&lt;=01_因子設定!$M$6+0.000000001,F3671&gt;=01_因子設定!$L$7-0.000000001,F3671&lt;=01_因子設定!$M$7+0.000000001,IF(01_因子設定!$B$20="Box-Behnken",D3671^2+E3671^2+F3671^2&lt;=2+0.000000001,TRUE()))</f>
        <v>1</v>
      </c>
      <c r="W3671" s="55" t="n">
        <f aca="false">IF(V3671,IF(01_因子設定!$B$13="最大化",T3671-01_因子設定!$B$14,IF(01_因子設定!$B$13="最小化",01_因子設定!$B$15-U3671,MIN(T3671-01_因子設定!$B$14,01_因子設定!$B$15-U3671))),-1E+030)</f>
        <v>0.683881448773754</v>
      </c>
      <c r="X3671" s="55" t="n">
        <f aca="false">IF(V3671,IF(01_因子設定!$B$13="最大化",Q3671,IF(01_因子設定!$B$13="最小化",-Q3671,-ABS(Q3671-01_因子設定!$B$16))),-1E+030)</f>
        <v>50.1795454545455</v>
      </c>
      <c r="Y3671" s="55" t="n">
        <f aca="false">W3671+ROW()*0.000000001</f>
        <v>0.683885119773754</v>
      </c>
      <c r="Z3671" s="55" t="n">
        <f aca="false">X3671+ROW()*0.000000001</f>
        <v>50.1795491255455</v>
      </c>
    </row>
    <row r="3672" customFormat="false" ht="15" hidden="false" customHeight="false" outlineLevel="0" collapsed="false">
      <c r="A3672" s="0" t="n">
        <v>12</v>
      </c>
      <c r="B3672" s="0" t="n">
        <v>11</v>
      </c>
      <c r="C3672" s="0" t="n">
        <v>12</v>
      </c>
      <c r="D3672" s="0" t="n">
        <f aca="false">-1+A3672*0.125</f>
        <v>0.5</v>
      </c>
      <c r="E3672" s="0" t="n">
        <f aca="false">-1+B3672*0.125</f>
        <v>0.375</v>
      </c>
      <c r="F3672" s="0" t="n">
        <f aca="false">-1+C3672*0.125</f>
        <v>0.5</v>
      </c>
      <c r="G3672" s="0" t="n">
        <f aca="false">1</f>
        <v>1</v>
      </c>
      <c r="H3672" s="0" t="n">
        <f aca="false">D3672</f>
        <v>0.5</v>
      </c>
      <c r="I3672" s="0" t="n">
        <f aca="false">E3672</f>
        <v>0.375</v>
      </c>
      <c r="J3672" s="0" t="n">
        <f aca="false">F3672</f>
        <v>0.5</v>
      </c>
      <c r="K3672" s="0" t="n">
        <f aca="false">D3672*E3672</f>
        <v>0.1875</v>
      </c>
      <c r="L3672" s="0" t="n">
        <f aca="false">D3672*F3672</f>
        <v>0.25</v>
      </c>
      <c r="M3672" s="0" t="n">
        <f aca="false">E3672*F3672</f>
        <v>0.1875</v>
      </c>
      <c r="N3672" s="0" t="n">
        <f aca="false">D3672*D3672</f>
        <v>0.25</v>
      </c>
      <c r="O3672" s="0" t="n">
        <f aca="false">E3672*E3672</f>
        <v>0.140625</v>
      </c>
      <c r="P3672" s="0" t="n">
        <f aca="false">F3672*F3672</f>
        <v>0.25</v>
      </c>
      <c r="Q3672" s="0" t="n">
        <f aca="false">SUMPRODUCT(G3672:P3672,_XtX!$B$71:$K$71)</f>
        <v>50.235</v>
      </c>
      <c r="R3672" s="0" t="n">
        <f aca="false">SUMPRODUCT(MMULT(G3672:P3672,_XtX!$B$58:$K$67),G3672:P3672)</f>
        <v>0.15703125</v>
      </c>
      <c r="S3672" s="0" t="n">
        <f aca="false">04_回帰ANOVA!$K$19*04_回帰ANOVA!$K$14*SQRT(1+R3672)</f>
        <v>1.00009022049162</v>
      </c>
      <c r="T3672" s="0" t="n">
        <f aca="false">Q3672-S3672</f>
        <v>49.2349097795084</v>
      </c>
      <c r="U3672" s="0" t="n">
        <f aca="false">Q3672+S3672</f>
        <v>51.2350902204916</v>
      </c>
      <c r="V3672" s="54" t="b">
        <f aca="false">AND(D3672&gt;=01_因子設定!$L$5-0.000000001,D3672&lt;=01_因子設定!$M$5+0.000000001,E3672&gt;=01_因子設定!$L$6-0.000000001,E3672&lt;=01_因子設定!$M$6+0.000000001,F3672&gt;=01_因子設定!$L$7-0.000000001,F3672&lt;=01_因子設定!$M$7+0.000000001,IF(01_因子設定!$B$20="Box-Behnken",D3672^2+E3672^2+F3672^2&lt;=2+0.000000001,TRUE()))</f>
        <v>1</v>
      </c>
      <c r="W3672" s="55" t="n">
        <f aca="false">IF(V3672,IF(01_因子設定!$B$13="最大化",T3672-01_因子設定!$B$14,IF(01_因子設定!$B$13="最小化",01_因子設定!$B$15-U3672,MIN(T3672-01_因子設定!$B$14,01_因子設定!$B$15-U3672))),-1E+030)</f>
        <v>0.734909779508385</v>
      </c>
      <c r="X3672" s="55" t="n">
        <f aca="false">IF(V3672,IF(01_因子設定!$B$13="最大化",Q3672,IF(01_因子設定!$B$13="最小化",-Q3672,-ABS(Q3672-01_因子設定!$B$16))),-1E+030)</f>
        <v>50.235</v>
      </c>
      <c r="Y3672" s="55" t="n">
        <f aca="false">W3672+ROW()*0.000000001</f>
        <v>0.734913451508385</v>
      </c>
      <c r="Z3672" s="55" t="n">
        <f aca="false">X3672+ROW()*0.000000001</f>
        <v>50.235003672</v>
      </c>
    </row>
    <row r="3673" customFormat="false" ht="15" hidden="false" customHeight="false" outlineLevel="0" collapsed="false">
      <c r="A3673" s="0" t="n">
        <v>12</v>
      </c>
      <c r="B3673" s="0" t="n">
        <v>11</v>
      </c>
      <c r="C3673" s="0" t="n">
        <v>13</v>
      </c>
      <c r="D3673" s="0" t="n">
        <f aca="false">-1+A3673*0.125</f>
        <v>0.5</v>
      </c>
      <c r="E3673" s="0" t="n">
        <f aca="false">-1+B3673*0.125</f>
        <v>0.375</v>
      </c>
      <c r="F3673" s="0" t="n">
        <f aca="false">-1+C3673*0.125</f>
        <v>0.625</v>
      </c>
      <c r="G3673" s="0" t="n">
        <f aca="false">1</f>
        <v>1</v>
      </c>
      <c r="H3673" s="0" t="n">
        <f aca="false">D3673</f>
        <v>0.5</v>
      </c>
      <c r="I3673" s="0" t="n">
        <f aca="false">E3673</f>
        <v>0.375</v>
      </c>
      <c r="J3673" s="0" t="n">
        <f aca="false">F3673</f>
        <v>0.625</v>
      </c>
      <c r="K3673" s="0" t="n">
        <f aca="false">D3673*E3673</f>
        <v>0.1875</v>
      </c>
      <c r="L3673" s="0" t="n">
        <f aca="false">D3673*F3673</f>
        <v>0.3125</v>
      </c>
      <c r="M3673" s="0" t="n">
        <f aca="false">E3673*F3673</f>
        <v>0.234375</v>
      </c>
      <c r="N3673" s="0" t="n">
        <f aca="false">D3673*D3673</f>
        <v>0.25</v>
      </c>
      <c r="O3673" s="0" t="n">
        <f aca="false">E3673*E3673</f>
        <v>0.140625</v>
      </c>
      <c r="P3673" s="0" t="n">
        <f aca="false">F3673*F3673</f>
        <v>0.390625</v>
      </c>
      <c r="Q3673" s="0" t="n">
        <f aca="false">SUMPRODUCT(G3673:P3673,_XtX!$B$71:$K$71)</f>
        <v>50.2536647727273</v>
      </c>
      <c r="R3673" s="0" t="n">
        <f aca="false">SUMPRODUCT(MMULT(G3673:P3673,_XtX!$B$58:$K$67),G3673:P3673)</f>
        <v>0.182953990589489</v>
      </c>
      <c r="S3673" s="0" t="n">
        <f aca="false">04_回帰ANOVA!$K$19*04_回帰ANOVA!$K$14*SQRT(1+R3673)</f>
        <v>1.01123143807044</v>
      </c>
      <c r="T3673" s="0" t="n">
        <f aca="false">Q3673-S3673</f>
        <v>49.2424333346568</v>
      </c>
      <c r="U3673" s="0" t="n">
        <f aca="false">Q3673+S3673</f>
        <v>51.2648962107977</v>
      </c>
      <c r="V3673" s="54" t="b">
        <f aca="false">AND(D3673&gt;=01_因子設定!$L$5-0.000000001,D3673&lt;=01_因子設定!$M$5+0.000000001,E3673&gt;=01_因子設定!$L$6-0.000000001,E3673&lt;=01_因子設定!$M$6+0.000000001,F3673&gt;=01_因子設定!$L$7-0.000000001,F3673&lt;=01_因子設定!$M$7+0.000000001,IF(01_因子設定!$B$20="Box-Behnken",D3673^2+E3673^2+F3673^2&lt;=2+0.000000001,TRUE()))</f>
        <v>1</v>
      </c>
      <c r="W3673" s="55" t="n">
        <f aca="false">IF(V3673,IF(01_因子設定!$B$13="最大化",T3673-01_因子設定!$B$14,IF(01_因子設定!$B$13="最小化",01_因子設定!$B$15-U3673,MIN(T3673-01_因子設定!$B$14,01_因子設定!$B$15-U3673))),-1E+030)</f>
        <v>0.742433334656845</v>
      </c>
      <c r="X3673" s="55" t="n">
        <f aca="false">IF(V3673,IF(01_因子設定!$B$13="最大化",Q3673,IF(01_因子設定!$B$13="最小化",-Q3673,-ABS(Q3673-01_因子設定!$B$16))),-1E+030)</f>
        <v>50.2536647727273</v>
      </c>
      <c r="Y3673" s="55" t="n">
        <f aca="false">W3673+ROW()*0.000000001</f>
        <v>0.742437007656845</v>
      </c>
      <c r="Z3673" s="55" t="n">
        <f aca="false">X3673+ROW()*0.000000001</f>
        <v>50.2536684457273</v>
      </c>
    </row>
    <row r="3674" customFormat="false" ht="15" hidden="false" customHeight="false" outlineLevel="0" collapsed="false">
      <c r="A3674" s="0" t="n">
        <v>12</v>
      </c>
      <c r="B3674" s="0" t="n">
        <v>11</v>
      </c>
      <c r="C3674" s="0" t="n">
        <v>14</v>
      </c>
      <c r="D3674" s="0" t="n">
        <f aca="false">-1+A3674*0.125</f>
        <v>0.5</v>
      </c>
      <c r="E3674" s="0" t="n">
        <f aca="false">-1+B3674*0.125</f>
        <v>0.375</v>
      </c>
      <c r="F3674" s="0" t="n">
        <f aca="false">-1+C3674*0.125</f>
        <v>0.75</v>
      </c>
      <c r="G3674" s="0" t="n">
        <f aca="false">1</f>
        <v>1</v>
      </c>
      <c r="H3674" s="0" t="n">
        <f aca="false">D3674</f>
        <v>0.5</v>
      </c>
      <c r="I3674" s="0" t="n">
        <f aca="false">E3674</f>
        <v>0.375</v>
      </c>
      <c r="J3674" s="0" t="n">
        <f aca="false">F3674</f>
        <v>0.75</v>
      </c>
      <c r="K3674" s="0" t="n">
        <f aca="false">D3674*E3674</f>
        <v>0.1875</v>
      </c>
      <c r="L3674" s="0" t="n">
        <f aca="false">D3674*F3674</f>
        <v>0.375</v>
      </c>
      <c r="M3674" s="0" t="n">
        <f aca="false">E3674*F3674</f>
        <v>0.28125</v>
      </c>
      <c r="N3674" s="0" t="n">
        <f aca="false">D3674*D3674</f>
        <v>0.25</v>
      </c>
      <c r="O3674" s="0" t="n">
        <f aca="false">E3674*E3674</f>
        <v>0.140625</v>
      </c>
      <c r="P3674" s="0" t="n">
        <f aca="false">F3674*F3674</f>
        <v>0.5625</v>
      </c>
      <c r="Q3674" s="0" t="n">
        <f aca="false">SUMPRODUCT(G3674:P3674,_XtX!$B$71:$K$71)</f>
        <v>50.2355397727273</v>
      </c>
      <c r="R3674" s="0" t="n">
        <f aca="false">SUMPRODUCT(MMULT(G3674:P3674,_XtX!$B$58:$K$67),G3674:P3674)</f>
        <v>0.234168590198864</v>
      </c>
      <c r="S3674" s="0" t="n">
        <f aca="false">04_回帰ANOVA!$K$19*04_回帰ANOVA!$K$14*SQRT(1+R3674)</f>
        <v>1.03288954322488</v>
      </c>
      <c r="T3674" s="0" t="n">
        <f aca="false">Q3674-S3674</f>
        <v>49.2026502295024</v>
      </c>
      <c r="U3674" s="0" t="n">
        <f aca="false">Q3674+S3674</f>
        <v>51.2684293159522</v>
      </c>
      <c r="V3674" s="54" t="b">
        <f aca="false">AND(D3674&gt;=01_因子設定!$L$5-0.000000001,D3674&lt;=01_因子設定!$M$5+0.000000001,E3674&gt;=01_因子設定!$L$6-0.000000001,E3674&lt;=01_因子設定!$M$6+0.000000001,F3674&gt;=01_因子設定!$L$7-0.000000001,F3674&lt;=01_因子設定!$M$7+0.000000001,IF(01_因子設定!$B$20="Box-Behnken",D3674^2+E3674^2+F3674^2&lt;=2+0.000000001,TRUE()))</f>
        <v>1</v>
      </c>
      <c r="W3674" s="55" t="n">
        <f aca="false">IF(V3674,IF(01_因子設定!$B$13="最大化",T3674-01_因子設定!$B$14,IF(01_因子設定!$B$13="最小化",01_因子設定!$B$15-U3674,MIN(T3674-01_因子設定!$B$14,01_因子設定!$B$15-U3674))),-1E+030)</f>
        <v>0.70265022950241</v>
      </c>
      <c r="X3674" s="55" t="n">
        <f aca="false">IF(V3674,IF(01_因子設定!$B$13="最大化",Q3674,IF(01_因子設定!$B$13="最小化",-Q3674,-ABS(Q3674-01_因子設定!$B$16))),-1E+030)</f>
        <v>50.2355397727273</v>
      </c>
      <c r="Y3674" s="55" t="n">
        <f aca="false">W3674+ROW()*0.000000001</f>
        <v>0.70265390350241</v>
      </c>
      <c r="Z3674" s="55" t="n">
        <f aca="false">X3674+ROW()*0.000000001</f>
        <v>50.2355434467273</v>
      </c>
    </row>
    <row r="3675" customFormat="false" ht="15" hidden="false" customHeight="false" outlineLevel="0" collapsed="false">
      <c r="A3675" s="0" t="n">
        <v>12</v>
      </c>
      <c r="B3675" s="0" t="n">
        <v>11</v>
      </c>
      <c r="C3675" s="0" t="n">
        <v>15</v>
      </c>
      <c r="D3675" s="0" t="n">
        <f aca="false">-1+A3675*0.125</f>
        <v>0.5</v>
      </c>
      <c r="E3675" s="0" t="n">
        <f aca="false">-1+B3675*0.125</f>
        <v>0.375</v>
      </c>
      <c r="F3675" s="0" t="n">
        <f aca="false">-1+C3675*0.125</f>
        <v>0.875</v>
      </c>
      <c r="G3675" s="0" t="n">
        <f aca="false">1</f>
        <v>1</v>
      </c>
      <c r="H3675" s="0" t="n">
        <f aca="false">D3675</f>
        <v>0.5</v>
      </c>
      <c r="I3675" s="0" t="n">
        <f aca="false">E3675</f>
        <v>0.375</v>
      </c>
      <c r="J3675" s="0" t="n">
        <f aca="false">F3675</f>
        <v>0.875</v>
      </c>
      <c r="K3675" s="0" t="n">
        <f aca="false">D3675*E3675</f>
        <v>0.1875</v>
      </c>
      <c r="L3675" s="0" t="n">
        <f aca="false">D3675*F3675</f>
        <v>0.4375</v>
      </c>
      <c r="M3675" s="0" t="n">
        <f aca="false">E3675*F3675</f>
        <v>0.328125</v>
      </c>
      <c r="N3675" s="0" t="n">
        <f aca="false">D3675*D3675</f>
        <v>0.25</v>
      </c>
      <c r="O3675" s="0" t="n">
        <f aca="false">E3675*E3675</f>
        <v>0.140625</v>
      </c>
      <c r="P3675" s="0" t="n">
        <f aca="false">F3675*F3675</f>
        <v>0.765625</v>
      </c>
      <c r="Q3675" s="0" t="n">
        <f aca="false">SUMPRODUCT(G3675:P3675,_XtX!$B$71:$K$71)</f>
        <v>50.180625</v>
      </c>
      <c r="R3675" s="0" t="n">
        <f aca="false">SUMPRODUCT(MMULT(G3675:P3675,_XtX!$B$58:$K$67),G3675:P3675)</f>
        <v>0.322393798828125</v>
      </c>
      <c r="S3675" s="0" t="n">
        <f aca="false">04_回帰ANOVA!$K$19*04_回帰ANOVA!$K$14*SQRT(1+R3675)</f>
        <v>1.06917067390712</v>
      </c>
      <c r="T3675" s="0" t="n">
        <f aca="false">Q3675-S3675</f>
        <v>49.1114543260929</v>
      </c>
      <c r="U3675" s="0" t="n">
        <f aca="false">Q3675+S3675</f>
        <v>51.2497956739071</v>
      </c>
      <c r="V3675" s="54" t="b">
        <f aca="false">AND(D3675&gt;=01_因子設定!$L$5-0.000000001,D3675&lt;=01_因子設定!$M$5+0.000000001,E3675&gt;=01_因子設定!$L$6-0.000000001,E3675&lt;=01_因子設定!$M$6+0.000000001,F3675&gt;=01_因子設定!$L$7-0.000000001,F3675&lt;=01_因子設定!$M$7+0.000000001,IF(01_因子設定!$B$20="Box-Behnken",D3675^2+E3675^2+F3675^2&lt;=2+0.000000001,TRUE()))</f>
        <v>1</v>
      </c>
      <c r="W3675" s="55" t="n">
        <f aca="false">IF(V3675,IF(01_因子設定!$B$13="最大化",T3675-01_因子設定!$B$14,IF(01_因子設定!$B$13="最小化",01_因子設定!$B$15-U3675,MIN(T3675-01_因子設定!$B$14,01_因子設定!$B$15-U3675))),-1E+030)</f>
        <v>0.611454326092904</v>
      </c>
      <c r="X3675" s="55" t="n">
        <f aca="false">IF(V3675,IF(01_因子設定!$B$13="最大化",Q3675,IF(01_因子設定!$B$13="最小化",-Q3675,-ABS(Q3675-01_因子設定!$B$16))),-1E+030)</f>
        <v>50.180625</v>
      </c>
      <c r="Y3675" s="55" t="n">
        <f aca="false">W3675+ROW()*0.000000001</f>
        <v>0.611458001092904</v>
      </c>
      <c r="Z3675" s="55" t="n">
        <f aca="false">X3675+ROW()*0.000000001</f>
        <v>50.180628675</v>
      </c>
    </row>
    <row r="3676" customFormat="false" ht="15" hidden="false" customHeight="false" outlineLevel="0" collapsed="false">
      <c r="A3676" s="0" t="n">
        <v>12</v>
      </c>
      <c r="B3676" s="0" t="n">
        <v>11</v>
      </c>
      <c r="C3676" s="0" t="n">
        <v>16</v>
      </c>
      <c r="D3676" s="0" t="n">
        <f aca="false">-1+A3676*0.125</f>
        <v>0.5</v>
      </c>
      <c r="E3676" s="0" t="n">
        <f aca="false">-1+B3676*0.125</f>
        <v>0.375</v>
      </c>
      <c r="F3676" s="0" t="n">
        <f aca="false">-1+C3676*0.125</f>
        <v>1</v>
      </c>
      <c r="G3676" s="0" t="n">
        <f aca="false">1</f>
        <v>1</v>
      </c>
      <c r="H3676" s="0" t="n">
        <f aca="false">D3676</f>
        <v>0.5</v>
      </c>
      <c r="I3676" s="0" t="n">
        <f aca="false">E3676</f>
        <v>0.375</v>
      </c>
      <c r="J3676" s="0" t="n">
        <f aca="false">F3676</f>
        <v>1</v>
      </c>
      <c r="K3676" s="0" t="n">
        <f aca="false">D3676*E3676</f>
        <v>0.1875</v>
      </c>
      <c r="L3676" s="0" t="n">
        <f aca="false">D3676*F3676</f>
        <v>0.5</v>
      </c>
      <c r="M3676" s="0" t="n">
        <f aca="false">E3676*F3676</f>
        <v>0.375</v>
      </c>
      <c r="N3676" s="0" t="n">
        <f aca="false">D3676*D3676</f>
        <v>0.25</v>
      </c>
      <c r="O3676" s="0" t="n">
        <f aca="false">E3676*E3676</f>
        <v>0.140625</v>
      </c>
      <c r="P3676" s="0" t="n">
        <f aca="false">F3676*F3676</f>
        <v>1</v>
      </c>
      <c r="Q3676" s="0" t="n">
        <f aca="false">SUMPRODUCT(G3676:P3676,_XtX!$B$71:$K$71)</f>
        <v>50.0889204545455</v>
      </c>
      <c r="R3676" s="0" t="n">
        <f aca="false">SUMPRODUCT(MMULT(G3676:P3676,_XtX!$B$58:$K$67),G3676:P3676)</f>
        <v>0.461479048295455</v>
      </c>
      <c r="S3676" s="0" t="n">
        <f aca="false">04_回帰ANOVA!$K$19*04_回帰ANOVA!$K$14*SQRT(1+R3676)</f>
        <v>1.12399125658369</v>
      </c>
      <c r="T3676" s="0" t="n">
        <f aca="false">Q3676-S3676</f>
        <v>48.9649291979618</v>
      </c>
      <c r="U3676" s="0" t="n">
        <f aca="false">Q3676+S3676</f>
        <v>51.2129117111292</v>
      </c>
      <c r="V3676" s="54" t="b">
        <f aca="false">AND(D3676&gt;=01_因子設定!$L$5-0.000000001,D3676&lt;=01_因子設定!$M$5+0.000000001,E3676&gt;=01_因子設定!$L$6-0.000000001,E3676&lt;=01_因子設定!$M$6+0.000000001,F3676&gt;=01_因子設定!$L$7-0.000000001,F3676&lt;=01_因子設定!$M$7+0.000000001,IF(01_因子設定!$B$20="Box-Behnken",D3676^2+E3676^2+F3676^2&lt;=2+0.000000001,TRUE()))</f>
        <v>1</v>
      </c>
      <c r="W3676" s="55" t="n">
        <f aca="false">IF(V3676,IF(01_因子設定!$B$13="最大化",T3676-01_因子設定!$B$14,IF(01_因子設定!$B$13="最小化",01_因子設定!$B$15-U3676,MIN(T3676-01_因子設定!$B$14,01_因子設定!$B$15-U3676))),-1E+030)</f>
        <v>0.464929197961794</v>
      </c>
      <c r="X3676" s="55" t="n">
        <f aca="false">IF(V3676,IF(01_因子設定!$B$13="最大化",Q3676,IF(01_因子設定!$B$13="最小化",-Q3676,-ABS(Q3676-01_因子設定!$B$16))),-1E+030)</f>
        <v>50.0889204545455</v>
      </c>
      <c r="Y3676" s="55" t="n">
        <f aca="false">W3676+ROW()*0.000000001</f>
        <v>0.464932873961794</v>
      </c>
      <c r="Z3676" s="55" t="n">
        <f aca="false">X3676+ROW()*0.000000001</f>
        <v>50.0889241305455</v>
      </c>
    </row>
    <row r="3677" customFormat="false" ht="15" hidden="false" customHeight="false" outlineLevel="0" collapsed="false">
      <c r="A3677" s="0" t="n">
        <v>12</v>
      </c>
      <c r="B3677" s="0" t="n">
        <v>12</v>
      </c>
      <c r="C3677" s="0" t="n">
        <v>0</v>
      </c>
      <c r="D3677" s="0" t="n">
        <f aca="false">-1+A3677*0.125</f>
        <v>0.5</v>
      </c>
      <c r="E3677" s="0" t="n">
        <f aca="false">-1+B3677*0.125</f>
        <v>0.5</v>
      </c>
      <c r="F3677" s="0" t="n">
        <f aca="false">-1+C3677*0.125</f>
        <v>-1</v>
      </c>
      <c r="G3677" s="0" t="n">
        <f aca="false">1</f>
        <v>1</v>
      </c>
      <c r="H3677" s="0" t="n">
        <f aca="false">D3677</f>
        <v>0.5</v>
      </c>
      <c r="I3677" s="0" t="n">
        <f aca="false">E3677</f>
        <v>0.5</v>
      </c>
      <c r="J3677" s="0" t="n">
        <f aca="false">F3677</f>
        <v>-1</v>
      </c>
      <c r="K3677" s="0" t="n">
        <f aca="false">D3677*E3677</f>
        <v>0.25</v>
      </c>
      <c r="L3677" s="0" t="n">
        <f aca="false">D3677*F3677</f>
        <v>-0.5</v>
      </c>
      <c r="M3677" s="0" t="n">
        <f aca="false">E3677*F3677</f>
        <v>-0.5</v>
      </c>
      <c r="N3677" s="0" t="n">
        <f aca="false">D3677*D3677</f>
        <v>0.25</v>
      </c>
      <c r="O3677" s="0" t="n">
        <f aca="false">E3677*E3677</f>
        <v>0.25</v>
      </c>
      <c r="P3677" s="0" t="n">
        <f aca="false">F3677*F3677</f>
        <v>1</v>
      </c>
      <c r="Q3677" s="0" t="n">
        <f aca="false">SUMPRODUCT(G3677:P3677,_XtX!$B$71:$K$71)</f>
        <v>47.19875</v>
      </c>
      <c r="R3677" s="0" t="n">
        <f aca="false">SUMPRODUCT(MMULT(G3677:P3677,_XtX!$B$58:$K$67),G3677:P3677)</f>
        <v>0.4578125</v>
      </c>
      <c r="S3677" s="0" t="n">
        <f aca="false">04_回帰ANOVA!$K$19*04_回帰ANOVA!$K$14*SQRT(1+R3677)</f>
        <v>1.12258044051089</v>
      </c>
      <c r="T3677" s="0" t="n">
        <f aca="false">Q3677-S3677</f>
        <v>46.0761695594891</v>
      </c>
      <c r="U3677" s="0" t="n">
        <f aca="false">Q3677+S3677</f>
        <v>48.3213304405109</v>
      </c>
      <c r="V3677" s="54" t="b">
        <f aca="false">AND(D3677&gt;=01_因子設定!$L$5-0.000000001,D3677&lt;=01_因子設定!$M$5+0.000000001,E3677&gt;=01_因子設定!$L$6-0.000000001,E3677&lt;=01_因子設定!$M$6+0.000000001,F3677&gt;=01_因子設定!$L$7-0.000000001,F3677&lt;=01_因子設定!$M$7+0.000000001,IF(01_因子設定!$B$20="Box-Behnken",D3677^2+E3677^2+F3677^2&lt;=2+0.000000001,TRUE()))</f>
        <v>1</v>
      </c>
      <c r="W3677" s="55" t="n">
        <f aca="false">IF(V3677,IF(01_因子設定!$B$13="最大化",T3677-01_因子設定!$B$14,IF(01_因子設定!$B$13="最小化",01_因子設定!$B$15-U3677,MIN(T3677-01_因子設定!$B$14,01_因子設定!$B$15-U3677))),-1E+030)</f>
        <v>-2.42383044051086</v>
      </c>
      <c r="X3677" s="55" t="n">
        <f aca="false">IF(V3677,IF(01_因子設定!$B$13="最大化",Q3677,IF(01_因子設定!$B$13="最小化",-Q3677,-ABS(Q3677-01_因子設定!$B$16))),-1E+030)</f>
        <v>47.19875</v>
      </c>
      <c r="Y3677" s="55" t="n">
        <f aca="false">W3677+ROW()*0.000000001</f>
        <v>-2.42382676351086</v>
      </c>
      <c r="Z3677" s="55" t="n">
        <f aca="false">X3677+ROW()*0.000000001</f>
        <v>47.198753677</v>
      </c>
    </row>
    <row r="3678" customFormat="false" ht="15" hidden="false" customHeight="false" outlineLevel="0" collapsed="false">
      <c r="A3678" s="0" t="n">
        <v>12</v>
      </c>
      <c r="B3678" s="0" t="n">
        <v>12</v>
      </c>
      <c r="C3678" s="0" t="n">
        <v>1</v>
      </c>
      <c r="D3678" s="0" t="n">
        <f aca="false">-1+A3678*0.125</f>
        <v>0.5</v>
      </c>
      <c r="E3678" s="0" t="n">
        <f aca="false">-1+B3678*0.125</f>
        <v>0.5</v>
      </c>
      <c r="F3678" s="0" t="n">
        <f aca="false">-1+C3678*0.125</f>
        <v>-0.875</v>
      </c>
      <c r="G3678" s="0" t="n">
        <f aca="false">1</f>
        <v>1</v>
      </c>
      <c r="H3678" s="0" t="n">
        <f aca="false">D3678</f>
        <v>0.5</v>
      </c>
      <c r="I3678" s="0" t="n">
        <f aca="false">E3678</f>
        <v>0.5</v>
      </c>
      <c r="J3678" s="0" t="n">
        <f aca="false">F3678</f>
        <v>-0.875</v>
      </c>
      <c r="K3678" s="0" t="n">
        <f aca="false">D3678*E3678</f>
        <v>0.25</v>
      </c>
      <c r="L3678" s="0" t="n">
        <f aca="false">D3678*F3678</f>
        <v>-0.4375</v>
      </c>
      <c r="M3678" s="0" t="n">
        <f aca="false">E3678*F3678</f>
        <v>-0.4375</v>
      </c>
      <c r="N3678" s="0" t="n">
        <f aca="false">D3678*D3678</f>
        <v>0.25</v>
      </c>
      <c r="O3678" s="0" t="n">
        <f aca="false">E3678*E3678</f>
        <v>0.25</v>
      </c>
      <c r="P3678" s="0" t="n">
        <f aca="false">F3678*F3678</f>
        <v>0.765625</v>
      </c>
      <c r="Q3678" s="0" t="n">
        <f aca="false">SUMPRODUCT(G3678:P3678,_XtX!$B$71:$K$71)</f>
        <v>47.6659232954546</v>
      </c>
      <c r="R3678" s="0" t="n">
        <f aca="false">SUMPRODUCT(MMULT(G3678:P3678,_XtX!$B$58:$K$67),G3678:P3678)</f>
        <v>0.322514204545455</v>
      </c>
      <c r="S3678" s="0" t="n">
        <f aca="false">04_回帰ANOVA!$K$19*04_回帰ANOVA!$K$14*SQRT(1+R3678)</f>
        <v>1.0692193475064</v>
      </c>
      <c r="T3678" s="0" t="n">
        <f aca="false">Q3678-S3678</f>
        <v>46.5967039479482</v>
      </c>
      <c r="U3678" s="0" t="n">
        <f aca="false">Q3678+S3678</f>
        <v>48.735142642961</v>
      </c>
      <c r="V3678" s="54" t="b">
        <f aca="false">AND(D3678&gt;=01_因子設定!$L$5-0.000000001,D3678&lt;=01_因子設定!$M$5+0.000000001,E3678&gt;=01_因子設定!$L$6-0.000000001,E3678&lt;=01_因子設定!$M$6+0.000000001,F3678&gt;=01_因子設定!$L$7-0.000000001,F3678&lt;=01_因子設定!$M$7+0.000000001,IF(01_因子設定!$B$20="Box-Behnken",D3678^2+E3678^2+F3678^2&lt;=2+0.000000001,TRUE()))</f>
        <v>1</v>
      </c>
      <c r="W3678" s="55" t="n">
        <f aca="false">IF(V3678,IF(01_因子設定!$B$13="最大化",T3678-01_因子設定!$B$14,IF(01_因子設定!$B$13="最小化",01_因子設定!$B$15-U3678,MIN(T3678-01_因子設定!$B$14,01_因子設定!$B$15-U3678))),-1E+030)</f>
        <v>-1.90329605205184</v>
      </c>
      <c r="X3678" s="55" t="n">
        <f aca="false">IF(V3678,IF(01_因子設定!$B$13="最大化",Q3678,IF(01_因子設定!$B$13="最小化",-Q3678,-ABS(Q3678-01_因子設定!$B$16))),-1E+030)</f>
        <v>47.6659232954546</v>
      </c>
      <c r="Y3678" s="55" t="n">
        <f aca="false">W3678+ROW()*0.000000001</f>
        <v>-1.90329237405184</v>
      </c>
      <c r="Z3678" s="55" t="n">
        <f aca="false">X3678+ROW()*0.000000001</f>
        <v>47.6659269734546</v>
      </c>
    </row>
    <row r="3679" customFormat="false" ht="15" hidden="false" customHeight="false" outlineLevel="0" collapsed="false">
      <c r="A3679" s="0" t="n">
        <v>12</v>
      </c>
      <c r="B3679" s="0" t="n">
        <v>12</v>
      </c>
      <c r="C3679" s="0" t="n">
        <v>2</v>
      </c>
      <c r="D3679" s="0" t="n">
        <f aca="false">-1+A3679*0.125</f>
        <v>0.5</v>
      </c>
      <c r="E3679" s="0" t="n">
        <f aca="false">-1+B3679*0.125</f>
        <v>0.5</v>
      </c>
      <c r="F3679" s="0" t="n">
        <f aca="false">-1+C3679*0.125</f>
        <v>-0.75</v>
      </c>
      <c r="G3679" s="0" t="n">
        <f aca="false">1</f>
        <v>1</v>
      </c>
      <c r="H3679" s="0" t="n">
        <f aca="false">D3679</f>
        <v>0.5</v>
      </c>
      <c r="I3679" s="0" t="n">
        <f aca="false">E3679</f>
        <v>0.5</v>
      </c>
      <c r="J3679" s="0" t="n">
        <f aca="false">F3679</f>
        <v>-0.75</v>
      </c>
      <c r="K3679" s="0" t="n">
        <f aca="false">D3679*E3679</f>
        <v>0.25</v>
      </c>
      <c r="L3679" s="0" t="n">
        <f aca="false">D3679*F3679</f>
        <v>-0.375</v>
      </c>
      <c r="M3679" s="0" t="n">
        <f aca="false">E3679*F3679</f>
        <v>-0.375</v>
      </c>
      <c r="N3679" s="0" t="n">
        <f aca="false">D3679*D3679</f>
        <v>0.25</v>
      </c>
      <c r="O3679" s="0" t="n">
        <f aca="false">E3679*E3679</f>
        <v>0.25</v>
      </c>
      <c r="P3679" s="0" t="n">
        <f aca="false">F3679*F3679</f>
        <v>0.5625</v>
      </c>
      <c r="Q3679" s="0" t="n">
        <f aca="false">SUMPRODUCT(G3679:P3679,_XtX!$B$71:$K$71)</f>
        <v>48.0963068181818</v>
      </c>
      <c r="R3679" s="0" t="n">
        <f aca="false">SUMPRODUCT(MMULT(G3679:P3679,_XtX!$B$58:$K$67),G3679:P3679)</f>
        <v>0.237571022727273</v>
      </c>
      <c r="S3679" s="0" t="n">
        <f aca="false">04_回帰ANOVA!$K$19*04_回帰ANOVA!$K$14*SQRT(1+R3679)</f>
        <v>1.0343123302758</v>
      </c>
      <c r="T3679" s="0" t="n">
        <f aca="false">Q3679-S3679</f>
        <v>47.061994487906</v>
      </c>
      <c r="U3679" s="0" t="n">
        <f aca="false">Q3679+S3679</f>
        <v>49.1306191484576</v>
      </c>
      <c r="V3679" s="54" t="b">
        <f aca="false">AND(D3679&gt;=01_因子設定!$L$5-0.000000001,D3679&lt;=01_因子設定!$M$5+0.000000001,E3679&gt;=01_因子設定!$L$6-0.000000001,E3679&lt;=01_因子設定!$M$6+0.000000001,F3679&gt;=01_因子設定!$L$7-0.000000001,F3679&lt;=01_因子設定!$M$7+0.000000001,IF(01_因子設定!$B$20="Box-Behnken",D3679^2+E3679^2+F3679^2&lt;=2+0.000000001,TRUE()))</f>
        <v>1</v>
      </c>
      <c r="W3679" s="55" t="n">
        <f aca="false">IF(V3679,IF(01_因子設定!$B$13="最大化",T3679-01_因子設定!$B$14,IF(01_因子設定!$B$13="最小化",01_因子設定!$B$15-U3679,MIN(T3679-01_因子設定!$B$14,01_因子設定!$B$15-U3679))),-1E+030)</f>
        <v>-1.43800551209397</v>
      </c>
      <c r="X3679" s="55" t="n">
        <f aca="false">IF(V3679,IF(01_因子設定!$B$13="最大化",Q3679,IF(01_因子設定!$B$13="最小化",-Q3679,-ABS(Q3679-01_因子設定!$B$16))),-1E+030)</f>
        <v>48.0963068181818</v>
      </c>
      <c r="Y3679" s="55" t="n">
        <f aca="false">W3679+ROW()*0.000000001</f>
        <v>-1.43800183309397</v>
      </c>
      <c r="Z3679" s="55" t="n">
        <f aca="false">X3679+ROW()*0.000000001</f>
        <v>48.0963104971818</v>
      </c>
    </row>
    <row r="3680" customFormat="false" ht="15" hidden="false" customHeight="false" outlineLevel="0" collapsed="false">
      <c r="A3680" s="0" t="n">
        <v>12</v>
      </c>
      <c r="B3680" s="0" t="n">
        <v>12</v>
      </c>
      <c r="C3680" s="0" t="n">
        <v>3</v>
      </c>
      <c r="D3680" s="0" t="n">
        <f aca="false">-1+A3680*0.125</f>
        <v>0.5</v>
      </c>
      <c r="E3680" s="0" t="n">
        <f aca="false">-1+B3680*0.125</f>
        <v>0.5</v>
      </c>
      <c r="F3680" s="0" t="n">
        <f aca="false">-1+C3680*0.125</f>
        <v>-0.625</v>
      </c>
      <c r="G3680" s="0" t="n">
        <f aca="false">1</f>
        <v>1</v>
      </c>
      <c r="H3680" s="0" t="n">
        <f aca="false">D3680</f>
        <v>0.5</v>
      </c>
      <c r="I3680" s="0" t="n">
        <f aca="false">E3680</f>
        <v>0.5</v>
      </c>
      <c r="J3680" s="0" t="n">
        <f aca="false">F3680</f>
        <v>-0.625</v>
      </c>
      <c r="K3680" s="0" t="n">
        <f aca="false">D3680*E3680</f>
        <v>0.25</v>
      </c>
      <c r="L3680" s="0" t="n">
        <f aca="false">D3680*F3680</f>
        <v>-0.3125</v>
      </c>
      <c r="M3680" s="0" t="n">
        <f aca="false">E3680*F3680</f>
        <v>-0.3125</v>
      </c>
      <c r="N3680" s="0" t="n">
        <f aca="false">D3680*D3680</f>
        <v>0.25</v>
      </c>
      <c r="O3680" s="0" t="n">
        <f aca="false">E3680*E3680</f>
        <v>0.25</v>
      </c>
      <c r="P3680" s="0" t="n">
        <f aca="false">F3680*F3680</f>
        <v>0.390625</v>
      </c>
      <c r="Q3680" s="0" t="n">
        <f aca="false">SUMPRODUCT(G3680:P3680,_XtX!$B$71:$K$71)</f>
        <v>48.4899005681818</v>
      </c>
      <c r="R3680" s="0" t="n">
        <f aca="false">SUMPRODUCT(MMULT(G3680:P3680,_XtX!$B$58:$K$67),G3680:P3680)</f>
        <v>0.189133522727273</v>
      </c>
      <c r="S3680" s="0" t="n">
        <f aca="false">04_回帰ANOVA!$K$19*04_回帰ANOVA!$K$14*SQRT(1+R3680)</f>
        <v>1.0138692404042</v>
      </c>
      <c r="T3680" s="0" t="n">
        <f aca="false">Q3680-S3680</f>
        <v>47.4760313277776</v>
      </c>
      <c r="U3680" s="0" t="n">
        <f aca="false">Q3680+S3680</f>
        <v>49.503769808586</v>
      </c>
      <c r="V3680" s="54" t="b">
        <f aca="false">AND(D3680&gt;=01_因子設定!$L$5-0.000000001,D3680&lt;=01_因子設定!$M$5+0.000000001,E3680&gt;=01_因子設定!$L$6-0.000000001,E3680&lt;=01_因子設定!$M$6+0.000000001,F3680&gt;=01_因子設定!$L$7-0.000000001,F3680&lt;=01_因子設定!$M$7+0.000000001,IF(01_因子設定!$B$20="Box-Behnken",D3680^2+E3680^2+F3680^2&lt;=2+0.000000001,TRUE()))</f>
        <v>1</v>
      </c>
      <c r="W3680" s="55" t="n">
        <f aca="false">IF(V3680,IF(01_因子設定!$B$13="最大化",T3680-01_因子設定!$B$14,IF(01_因子設定!$B$13="最小化",01_因子設定!$B$15-U3680,MIN(T3680-01_因子設定!$B$14,01_因子設定!$B$15-U3680))),-1E+030)</f>
        <v>-1.02396867222237</v>
      </c>
      <c r="X3680" s="55" t="n">
        <f aca="false">IF(V3680,IF(01_因子設定!$B$13="最大化",Q3680,IF(01_因子設定!$B$13="最小化",-Q3680,-ABS(Q3680-01_因子設定!$B$16))),-1E+030)</f>
        <v>48.4899005681818</v>
      </c>
      <c r="Y3680" s="55" t="n">
        <f aca="false">W3680+ROW()*0.000000001</f>
        <v>-1.02396499222237</v>
      </c>
      <c r="Z3680" s="55" t="n">
        <f aca="false">X3680+ROW()*0.000000001</f>
        <v>48.4899042481818</v>
      </c>
    </row>
    <row r="3681" customFormat="false" ht="15" hidden="false" customHeight="false" outlineLevel="0" collapsed="false">
      <c r="A3681" s="0" t="n">
        <v>12</v>
      </c>
      <c r="B3681" s="0" t="n">
        <v>12</v>
      </c>
      <c r="C3681" s="0" t="n">
        <v>4</v>
      </c>
      <c r="D3681" s="0" t="n">
        <f aca="false">-1+A3681*0.125</f>
        <v>0.5</v>
      </c>
      <c r="E3681" s="0" t="n">
        <f aca="false">-1+B3681*0.125</f>
        <v>0.5</v>
      </c>
      <c r="F3681" s="0" t="n">
        <f aca="false">-1+C3681*0.125</f>
        <v>-0.5</v>
      </c>
      <c r="G3681" s="0" t="n">
        <f aca="false">1</f>
        <v>1</v>
      </c>
      <c r="H3681" s="0" t="n">
        <f aca="false">D3681</f>
        <v>0.5</v>
      </c>
      <c r="I3681" s="0" t="n">
        <f aca="false">E3681</f>
        <v>0.5</v>
      </c>
      <c r="J3681" s="0" t="n">
        <f aca="false">F3681</f>
        <v>-0.5</v>
      </c>
      <c r="K3681" s="0" t="n">
        <f aca="false">D3681*E3681</f>
        <v>0.25</v>
      </c>
      <c r="L3681" s="0" t="n">
        <f aca="false">D3681*F3681</f>
        <v>-0.25</v>
      </c>
      <c r="M3681" s="0" t="n">
        <f aca="false">E3681*F3681</f>
        <v>-0.25</v>
      </c>
      <c r="N3681" s="0" t="n">
        <f aca="false">D3681*D3681</f>
        <v>0.25</v>
      </c>
      <c r="O3681" s="0" t="n">
        <f aca="false">E3681*E3681</f>
        <v>0.25</v>
      </c>
      <c r="P3681" s="0" t="n">
        <f aca="false">F3681*F3681</f>
        <v>0.25</v>
      </c>
      <c r="Q3681" s="0" t="n">
        <f aca="false">SUMPRODUCT(G3681:P3681,_XtX!$B$71:$K$71)</f>
        <v>48.8467045454546</v>
      </c>
      <c r="R3681" s="0" t="n">
        <f aca="false">SUMPRODUCT(MMULT(G3681:P3681,_XtX!$B$58:$K$67),G3681:P3681)</f>
        <v>0.165482954545455</v>
      </c>
      <c r="S3681" s="0" t="n">
        <f aca="false">04_回帰ANOVA!$K$19*04_回帰ANOVA!$K$14*SQRT(1+R3681)</f>
        <v>1.00373622729159</v>
      </c>
      <c r="T3681" s="0" t="n">
        <f aca="false">Q3681-S3681</f>
        <v>47.842968318163</v>
      </c>
      <c r="U3681" s="0" t="n">
        <f aca="false">Q3681+S3681</f>
        <v>49.8504407727461</v>
      </c>
      <c r="V3681" s="54" t="b">
        <f aca="false">AND(D3681&gt;=01_因子設定!$L$5-0.000000001,D3681&lt;=01_因子設定!$M$5+0.000000001,E3681&gt;=01_因子設定!$L$6-0.000000001,E3681&lt;=01_因子設定!$M$6+0.000000001,F3681&gt;=01_因子設定!$L$7-0.000000001,F3681&lt;=01_因子設定!$M$7+0.000000001,IF(01_因子設定!$B$20="Box-Behnken",D3681^2+E3681^2+F3681^2&lt;=2+0.000000001,TRUE()))</f>
        <v>1</v>
      </c>
      <c r="W3681" s="55" t="n">
        <f aca="false">IF(V3681,IF(01_因子設定!$B$13="最大化",T3681-01_因子設定!$B$14,IF(01_因子設定!$B$13="最小化",01_因子設定!$B$15-U3681,MIN(T3681-01_因子設定!$B$14,01_因子設定!$B$15-U3681))),-1E+030)</f>
        <v>-0.657031681837026</v>
      </c>
      <c r="X3681" s="55" t="n">
        <f aca="false">IF(V3681,IF(01_因子設定!$B$13="最大化",Q3681,IF(01_因子設定!$B$13="最小化",-Q3681,-ABS(Q3681-01_因子設定!$B$16))),-1E+030)</f>
        <v>48.8467045454546</v>
      </c>
      <c r="Y3681" s="55" t="n">
        <f aca="false">W3681+ROW()*0.000000001</f>
        <v>-0.657028000837026</v>
      </c>
      <c r="Z3681" s="55" t="n">
        <f aca="false">X3681+ROW()*0.000000001</f>
        <v>48.8467082264546</v>
      </c>
    </row>
    <row r="3682" customFormat="false" ht="15" hidden="false" customHeight="false" outlineLevel="0" collapsed="false">
      <c r="A3682" s="0" t="n">
        <v>12</v>
      </c>
      <c r="B3682" s="0" t="n">
        <v>12</v>
      </c>
      <c r="C3682" s="0" t="n">
        <v>5</v>
      </c>
      <c r="D3682" s="0" t="n">
        <f aca="false">-1+A3682*0.125</f>
        <v>0.5</v>
      </c>
      <c r="E3682" s="0" t="n">
        <f aca="false">-1+B3682*0.125</f>
        <v>0.5</v>
      </c>
      <c r="F3682" s="0" t="n">
        <f aca="false">-1+C3682*0.125</f>
        <v>-0.375</v>
      </c>
      <c r="G3682" s="0" t="n">
        <f aca="false">1</f>
        <v>1</v>
      </c>
      <c r="H3682" s="0" t="n">
        <f aca="false">D3682</f>
        <v>0.5</v>
      </c>
      <c r="I3682" s="0" t="n">
        <f aca="false">E3682</f>
        <v>0.5</v>
      </c>
      <c r="J3682" s="0" t="n">
        <f aca="false">F3682</f>
        <v>-0.375</v>
      </c>
      <c r="K3682" s="0" t="n">
        <f aca="false">D3682*E3682</f>
        <v>0.25</v>
      </c>
      <c r="L3682" s="0" t="n">
        <f aca="false">D3682*F3682</f>
        <v>-0.1875</v>
      </c>
      <c r="M3682" s="0" t="n">
        <f aca="false">E3682*F3682</f>
        <v>-0.1875</v>
      </c>
      <c r="N3682" s="0" t="n">
        <f aca="false">D3682*D3682</f>
        <v>0.25</v>
      </c>
      <c r="O3682" s="0" t="n">
        <f aca="false">E3682*E3682</f>
        <v>0.25</v>
      </c>
      <c r="P3682" s="0" t="n">
        <f aca="false">F3682*F3682</f>
        <v>0.140625</v>
      </c>
      <c r="Q3682" s="0" t="n">
        <f aca="false">SUMPRODUCT(G3682:P3682,_XtX!$B$71:$K$71)</f>
        <v>49.16671875</v>
      </c>
      <c r="R3682" s="0" t="n">
        <f aca="false">SUMPRODUCT(MMULT(G3682:P3682,_XtX!$B$58:$K$67),G3682:P3682)</f>
        <v>0.15703125</v>
      </c>
      <c r="S3682" s="0" t="n">
        <f aca="false">04_回帰ANOVA!$K$19*04_回帰ANOVA!$K$14*SQRT(1+R3682)</f>
        <v>1.00009022049162</v>
      </c>
      <c r="T3682" s="0" t="n">
        <f aca="false">Q3682-S3682</f>
        <v>48.1666285295084</v>
      </c>
      <c r="U3682" s="0" t="n">
        <f aca="false">Q3682+S3682</f>
        <v>50.1668089704916</v>
      </c>
      <c r="V3682" s="54" t="b">
        <f aca="false">AND(D3682&gt;=01_因子設定!$L$5-0.000000001,D3682&lt;=01_因子設定!$M$5+0.000000001,E3682&gt;=01_因子設定!$L$6-0.000000001,E3682&lt;=01_因子設定!$M$6+0.000000001,F3682&gt;=01_因子設定!$L$7-0.000000001,F3682&lt;=01_因子設定!$M$7+0.000000001,IF(01_因子設定!$B$20="Box-Behnken",D3682^2+E3682^2+F3682^2&lt;=2+0.000000001,TRUE()))</f>
        <v>1</v>
      </c>
      <c r="W3682" s="55" t="n">
        <f aca="false">IF(V3682,IF(01_因子設定!$B$13="最大化",T3682-01_因子設定!$B$14,IF(01_因子設定!$B$13="最小化",01_因子設定!$B$15-U3682,MIN(T3682-01_因子設定!$B$14,01_因子設定!$B$15-U3682))),-1E+030)</f>
        <v>-0.333371470491613</v>
      </c>
      <c r="X3682" s="55" t="n">
        <f aca="false">IF(V3682,IF(01_因子設定!$B$13="最大化",Q3682,IF(01_因子設定!$B$13="最小化",-Q3682,-ABS(Q3682-01_因子設定!$B$16))),-1E+030)</f>
        <v>49.16671875</v>
      </c>
      <c r="Y3682" s="55" t="n">
        <f aca="false">W3682+ROW()*0.000000001</f>
        <v>-0.333367788491613</v>
      </c>
      <c r="Z3682" s="55" t="n">
        <f aca="false">X3682+ROW()*0.000000001</f>
        <v>49.166722432</v>
      </c>
    </row>
    <row r="3683" customFormat="false" ht="15" hidden="false" customHeight="false" outlineLevel="0" collapsed="false">
      <c r="A3683" s="0" t="n">
        <v>12</v>
      </c>
      <c r="B3683" s="0" t="n">
        <v>12</v>
      </c>
      <c r="C3683" s="0" t="n">
        <v>6</v>
      </c>
      <c r="D3683" s="0" t="n">
        <f aca="false">-1+A3683*0.125</f>
        <v>0.5</v>
      </c>
      <c r="E3683" s="0" t="n">
        <f aca="false">-1+B3683*0.125</f>
        <v>0.5</v>
      </c>
      <c r="F3683" s="0" t="n">
        <f aca="false">-1+C3683*0.125</f>
        <v>-0.25</v>
      </c>
      <c r="G3683" s="0" t="n">
        <f aca="false">1</f>
        <v>1</v>
      </c>
      <c r="H3683" s="0" t="n">
        <f aca="false">D3683</f>
        <v>0.5</v>
      </c>
      <c r="I3683" s="0" t="n">
        <f aca="false">E3683</f>
        <v>0.5</v>
      </c>
      <c r="J3683" s="0" t="n">
        <f aca="false">F3683</f>
        <v>-0.25</v>
      </c>
      <c r="K3683" s="0" t="n">
        <f aca="false">D3683*E3683</f>
        <v>0.25</v>
      </c>
      <c r="L3683" s="0" t="n">
        <f aca="false">D3683*F3683</f>
        <v>-0.125</v>
      </c>
      <c r="M3683" s="0" t="n">
        <f aca="false">E3683*F3683</f>
        <v>-0.125</v>
      </c>
      <c r="N3683" s="0" t="n">
        <f aca="false">D3683*D3683</f>
        <v>0.25</v>
      </c>
      <c r="O3683" s="0" t="n">
        <f aca="false">E3683*E3683</f>
        <v>0.25</v>
      </c>
      <c r="P3683" s="0" t="n">
        <f aca="false">F3683*F3683</f>
        <v>0.0625</v>
      </c>
      <c r="Q3683" s="0" t="n">
        <f aca="false">SUMPRODUCT(G3683:P3683,_XtX!$B$71:$K$71)</f>
        <v>49.4499431818182</v>
      </c>
      <c r="R3683" s="0" t="n">
        <f aca="false">SUMPRODUCT(MMULT(G3683:P3683,_XtX!$B$58:$K$67),G3683:P3683)</f>
        <v>0.156321022727273</v>
      </c>
      <c r="S3683" s="0" t="n">
        <f aca="false">04_回帰ANOVA!$K$19*04_回帰ANOVA!$K$14*SQRT(1+R3683)</f>
        <v>0.999783227753172</v>
      </c>
      <c r="T3683" s="0" t="n">
        <f aca="false">Q3683-S3683</f>
        <v>48.450159954065</v>
      </c>
      <c r="U3683" s="0" t="n">
        <f aca="false">Q3683+S3683</f>
        <v>50.4497264095714</v>
      </c>
      <c r="V3683" s="54" t="b">
        <f aca="false">AND(D3683&gt;=01_因子設定!$L$5-0.000000001,D3683&lt;=01_因子設定!$M$5+0.000000001,E3683&gt;=01_因子設定!$L$6-0.000000001,E3683&lt;=01_因子設定!$M$6+0.000000001,F3683&gt;=01_因子設定!$L$7-0.000000001,F3683&lt;=01_因子設定!$M$7+0.000000001,IF(01_因子設定!$B$20="Box-Behnken",D3683^2+E3683^2+F3683^2&lt;=2+0.000000001,TRUE()))</f>
        <v>1</v>
      </c>
      <c r="W3683" s="55" t="n">
        <f aca="false">IF(V3683,IF(01_因子設定!$B$13="最大化",T3683-01_因子設定!$B$14,IF(01_因子設定!$B$13="最小化",01_因子設定!$B$15-U3683,MIN(T3683-01_因子設定!$B$14,01_因子設定!$B$15-U3683))),-1E+030)</f>
        <v>-0.0498400459349853</v>
      </c>
      <c r="X3683" s="55" t="n">
        <f aca="false">IF(V3683,IF(01_因子設定!$B$13="最大化",Q3683,IF(01_因子設定!$B$13="最小化",-Q3683,-ABS(Q3683-01_因子設定!$B$16))),-1E+030)</f>
        <v>49.4499431818182</v>
      </c>
      <c r="Y3683" s="55" t="n">
        <f aca="false">W3683+ROW()*0.000000001</f>
        <v>-0.0498363629349853</v>
      </c>
      <c r="Z3683" s="55" t="n">
        <f aca="false">X3683+ROW()*0.000000001</f>
        <v>49.4499468648182</v>
      </c>
    </row>
    <row r="3684" customFormat="false" ht="15" hidden="false" customHeight="false" outlineLevel="0" collapsed="false">
      <c r="A3684" s="0" t="n">
        <v>12</v>
      </c>
      <c r="B3684" s="0" t="n">
        <v>12</v>
      </c>
      <c r="C3684" s="0" t="n">
        <v>7</v>
      </c>
      <c r="D3684" s="0" t="n">
        <f aca="false">-1+A3684*0.125</f>
        <v>0.5</v>
      </c>
      <c r="E3684" s="0" t="n">
        <f aca="false">-1+B3684*0.125</f>
        <v>0.5</v>
      </c>
      <c r="F3684" s="0" t="n">
        <f aca="false">-1+C3684*0.125</f>
        <v>-0.125</v>
      </c>
      <c r="G3684" s="0" t="n">
        <f aca="false">1</f>
        <v>1</v>
      </c>
      <c r="H3684" s="0" t="n">
        <f aca="false">D3684</f>
        <v>0.5</v>
      </c>
      <c r="I3684" s="0" t="n">
        <f aca="false">E3684</f>
        <v>0.5</v>
      </c>
      <c r="J3684" s="0" t="n">
        <f aca="false">F3684</f>
        <v>-0.125</v>
      </c>
      <c r="K3684" s="0" t="n">
        <f aca="false">D3684*E3684</f>
        <v>0.25</v>
      </c>
      <c r="L3684" s="0" t="n">
        <f aca="false">D3684*F3684</f>
        <v>-0.0625</v>
      </c>
      <c r="M3684" s="0" t="n">
        <f aca="false">E3684*F3684</f>
        <v>-0.0625</v>
      </c>
      <c r="N3684" s="0" t="n">
        <f aca="false">D3684*D3684</f>
        <v>0.25</v>
      </c>
      <c r="O3684" s="0" t="n">
        <f aca="false">E3684*E3684</f>
        <v>0.25</v>
      </c>
      <c r="P3684" s="0" t="n">
        <f aca="false">F3684*F3684</f>
        <v>0.015625</v>
      </c>
      <c r="Q3684" s="0" t="n">
        <f aca="false">SUMPRODUCT(G3684:P3684,_XtX!$B$71:$K$71)</f>
        <v>49.6963778409091</v>
      </c>
      <c r="R3684" s="0" t="n">
        <f aca="false">SUMPRODUCT(MMULT(G3684:P3684,_XtX!$B$58:$K$67),G3684:P3684)</f>
        <v>0.158025568181818</v>
      </c>
      <c r="S3684" s="0" t="n">
        <f aca="false">04_回帰ANOVA!$K$19*04_回帰ANOVA!$K$14*SQRT(1+R3684)</f>
        <v>1.00051985207691</v>
      </c>
      <c r="T3684" s="0" t="n">
        <f aca="false">Q3684-S3684</f>
        <v>48.6958579888322</v>
      </c>
      <c r="U3684" s="0" t="n">
        <f aca="false">Q3684+S3684</f>
        <v>50.696897692986</v>
      </c>
      <c r="V3684" s="54" t="b">
        <f aca="false">AND(D3684&gt;=01_因子設定!$L$5-0.000000001,D3684&lt;=01_因子設定!$M$5+0.000000001,E3684&gt;=01_因子設定!$L$6-0.000000001,E3684&lt;=01_因子設定!$M$6+0.000000001,F3684&gt;=01_因子設定!$L$7-0.000000001,F3684&lt;=01_因子設定!$M$7+0.000000001,IF(01_因子設定!$B$20="Box-Behnken",D3684^2+E3684^2+F3684^2&lt;=2+0.000000001,TRUE()))</f>
        <v>1</v>
      </c>
      <c r="W3684" s="55" t="n">
        <f aca="false">IF(V3684,IF(01_因子設定!$B$13="最大化",T3684-01_因子設定!$B$14,IF(01_因子設定!$B$13="最小化",01_因子設定!$B$15-U3684,MIN(T3684-01_因子設定!$B$14,01_因子設定!$B$15-U3684))),-1E+030)</f>
        <v>0.195857988832188</v>
      </c>
      <c r="X3684" s="55" t="n">
        <f aca="false">IF(V3684,IF(01_因子設定!$B$13="最大化",Q3684,IF(01_因子設定!$B$13="最小化",-Q3684,-ABS(Q3684-01_因子設定!$B$16))),-1E+030)</f>
        <v>49.6963778409091</v>
      </c>
      <c r="Y3684" s="55" t="n">
        <f aca="false">W3684+ROW()*0.000000001</f>
        <v>0.195861672832188</v>
      </c>
      <c r="Z3684" s="55" t="n">
        <f aca="false">X3684+ROW()*0.000000001</f>
        <v>49.6963815249091</v>
      </c>
    </row>
    <row r="3685" customFormat="false" ht="15" hidden="false" customHeight="false" outlineLevel="0" collapsed="false">
      <c r="A3685" s="0" t="n">
        <v>12</v>
      </c>
      <c r="B3685" s="0" t="n">
        <v>12</v>
      </c>
      <c r="C3685" s="0" t="n">
        <v>8</v>
      </c>
      <c r="D3685" s="0" t="n">
        <f aca="false">-1+A3685*0.125</f>
        <v>0.5</v>
      </c>
      <c r="E3685" s="0" t="n">
        <f aca="false">-1+B3685*0.125</f>
        <v>0.5</v>
      </c>
      <c r="F3685" s="0" t="n">
        <f aca="false">-1+C3685*0.125</f>
        <v>0</v>
      </c>
      <c r="G3685" s="0" t="n">
        <f aca="false">1</f>
        <v>1</v>
      </c>
      <c r="H3685" s="0" t="n">
        <f aca="false">D3685</f>
        <v>0.5</v>
      </c>
      <c r="I3685" s="0" t="n">
        <f aca="false">E3685</f>
        <v>0.5</v>
      </c>
      <c r="J3685" s="0" t="n">
        <f aca="false">F3685</f>
        <v>0</v>
      </c>
      <c r="K3685" s="0" t="n">
        <f aca="false">D3685*E3685</f>
        <v>0.25</v>
      </c>
      <c r="L3685" s="0" t="n">
        <f aca="false">D3685*F3685</f>
        <v>0</v>
      </c>
      <c r="M3685" s="0" t="n">
        <f aca="false">E3685*F3685</f>
        <v>0</v>
      </c>
      <c r="N3685" s="0" t="n">
        <f aca="false">D3685*D3685</f>
        <v>0.25</v>
      </c>
      <c r="O3685" s="0" t="n">
        <f aca="false">E3685*E3685</f>
        <v>0.25</v>
      </c>
      <c r="P3685" s="0" t="n">
        <f aca="false">F3685*F3685</f>
        <v>0</v>
      </c>
      <c r="Q3685" s="0" t="n">
        <f aca="false">SUMPRODUCT(G3685:P3685,_XtX!$B$71:$K$71)</f>
        <v>49.9060227272727</v>
      </c>
      <c r="R3685" s="0" t="n">
        <f aca="false">SUMPRODUCT(MMULT(G3685:P3685,_XtX!$B$58:$K$67),G3685:P3685)</f>
        <v>0.158948863636364</v>
      </c>
      <c r="S3685" s="0" t="n">
        <f aca="false">04_回帰ANOVA!$K$19*04_回帰ANOVA!$K$14*SQRT(1+R3685)</f>
        <v>1.00091863056612</v>
      </c>
      <c r="T3685" s="0" t="n">
        <f aca="false">Q3685-S3685</f>
        <v>48.9051040967066</v>
      </c>
      <c r="U3685" s="0" t="n">
        <f aca="false">Q3685+S3685</f>
        <v>50.9069413578389</v>
      </c>
      <c r="V3685" s="54" t="b">
        <f aca="false">AND(D3685&gt;=01_因子設定!$L$5-0.000000001,D3685&lt;=01_因子設定!$M$5+0.000000001,E3685&gt;=01_因子設定!$L$6-0.000000001,E3685&lt;=01_因子設定!$M$6+0.000000001,F3685&gt;=01_因子設定!$L$7-0.000000001,F3685&lt;=01_因子設定!$M$7+0.000000001,IF(01_因子設定!$B$20="Box-Behnken",D3685^2+E3685^2+F3685^2&lt;=2+0.000000001,TRUE()))</f>
        <v>1</v>
      </c>
      <c r="W3685" s="55" t="n">
        <f aca="false">IF(V3685,IF(01_因子設定!$B$13="最大化",T3685-01_因子設定!$B$14,IF(01_因子設定!$B$13="最小化",01_因子設定!$B$15-U3685,MIN(T3685-01_因子設定!$B$14,01_因子設定!$B$15-U3685))),-1E+030)</f>
        <v>0.405104096706616</v>
      </c>
      <c r="X3685" s="55" t="n">
        <f aca="false">IF(V3685,IF(01_因子設定!$B$13="最大化",Q3685,IF(01_因子設定!$B$13="最小化",-Q3685,-ABS(Q3685-01_因子設定!$B$16))),-1E+030)</f>
        <v>49.9060227272727</v>
      </c>
      <c r="Y3685" s="55" t="n">
        <f aca="false">W3685+ROW()*0.000000001</f>
        <v>0.405107781706616</v>
      </c>
      <c r="Z3685" s="55" t="n">
        <f aca="false">X3685+ROW()*0.000000001</f>
        <v>49.9060264122727</v>
      </c>
    </row>
    <row r="3686" customFormat="false" ht="15" hidden="false" customHeight="false" outlineLevel="0" collapsed="false">
      <c r="A3686" s="0" t="n">
        <v>12</v>
      </c>
      <c r="B3686" s="0" t="n">
        <v>12</v>
      </c>
      <c r="C3686" s="0" t="n">
        <v>9</v>
      </c>
      <c r="D3686" s="0" t="n">
        <f aca="false">-1+A3686*0.125</f>
        <v>0.5</v>
      </c>
      <c r="E3686" s="0" t="n">
        <f aca="false">-1+B3686*0.125</f>
        <v>0.5</v>
      </c>
      <c r="F3686" s="0" t="n">
        <f aca="false">-1+C3686*0.125</f>
        <v>0.125</v>
      </c>
      <c r="G3686" s="0" t="n">
        <f aca="false">1</f>
        <v>1</v>
      </c>
      <c r="H3686" s="0" t="n">
        <f aca="false">D3686</f>
        <v>0.5</v>
      </c>
      <c r="I3686" s="0" t="n">
        <f aca="false">E3686</f>
        <v>0.5</v>
      </c>
      <c r="J3686" s="0" t="n">
        <f aca="false">F3686</f>
        <v>0.125</v>
      </c>
      <c r="K3686" s="0" t="n">
        <f aca="false">D3686*E3686</f>
        <v>0.25</v>
      </c>
      <c r="L3686" s="0" t="n">
        <f aca="false">D3686*F3686</f>
        <v>0.0625</v>
      </c>
      <c r="M3686" s="0" t="n">
        <f aca="false">E3686*F3686</f>
        <v>0.0625</v>
      </c>
      <c r="N3686" s="0" t="n">
        <f aca="false">D3686*D3686</f>
        <v>0.25</v>
      </c>
      <c r="O3686" s="0" t="n">
        <f aca="false">E3686*E3686</f>
        <v>0.25</v>
      </c>
      <c r="P3686" s="0" t="n">
        <f aca="false">F3686*F3686</f>
        <v>0.015625</v>
      </c>
      <c r="Q3686" s="0" t="n">
        <f aca="false">SUMPRODUCT(G3686:P3686,_XtX!$B$71:$K$71)</f>
        <v>50.0788778409091</v>
      </c>
      <c r="R3686" s="0" t="n">
        <f aca="false">SUMPRODUCT(MMULT(G3686:P3686,_XtX!$B$58:$K$67),G3686:P3686)</f>
        <v>0.158025568181818</v>
      </c>
      <c r="S3686" s="0" t="n">
        <f aca="false">04_回帰ANOVA!$K$19*04_回帰ANOVA!$K$14*SQRT(1+R3686)</f>
        <v>1.00051985207691</v>
      </c>
      <c r="T3686" s="0" t="n">
        <f aca="false">Q3686-S3686</f>
        <v>49.0783579888322</v>
      </c>
      <c r="U3686" s="0" t="n">
        <f aca="false">Q3686+S3686</f>
        <v>51.079397692986</v>
      </c>
      <c r="V3686" s="54" t="b">
        <f aca="false">AND(D3686&gt;=01_因子設定!$L$5-0.000000001,D3686&lt;=01_因子設定!$M$5+0.000000001,E3686&gt;=01_因子設定!$L$6-0.000000001,E3686&lt;=01_因子設定!$M$6+0.000000001,F3686&gt;=01_因子設定!$L$7-0.000000001,F3686&lt;=01_因子設定!$M$7+0.000000001,IF(01_因子設定!$B$20="Box-Behnken",D3686^2+E3686^2+F3686^2&lt;=2+0.000000001,TRUE()))</f>
        <v>1</v>
      </c>
      <c r="W3686" s="55" t="n">
        <f aca="false">IF(V3686,IF(01_因子設定!$B$13="最大化",T3686-01_因子設定!$B$14,IF(01_因子設定!$B$13="最小化",01_因子設定!$B$15-U3686,MIN(T3686-01_因子設定!$B$14,01_因子設定!$B$15-U3686))),-1E+030)</f>
        <v>0.578357988832188</v>
      </c>
      <c r="X3686" s="55" t="n">
        <f aca="false">IF(V3686,IF(01_因子設定!$B$13="最大化",Q3686,IF(01_因子設定!$B$13="最小化",-Q3686,-ABS(Q3686-01_因子設定!$B$16))),-1E+030)</f>
        <v>50.0788778409091</v>
      </c>
      <c r="Y3686" s="55" t="n">
        <f aca="false">W3686+ROW()*0.000000001</f>
        <v>0.578361674832188</v>
      </c>
      <c r="Z3686" s="55" t="n">
        <f aca="false">X3686+ROW()*0.000000001</f>
        <v>50.0788815269091</v>
      </c>
    </row>
    <row r="3687" customFormat="false" ht="15" hidden="false" customHeight="false" outlineLevel="0" collapsed="false">
      <c r="A3687" s="0" t="n">
        <v>12</v>
      </c>
      <c r="B3687" s="0" t="n">
        <v>12</v>
      </c>
      <c r="C3687" s="0" t="n">
        <v>10</v>
      </c>
      <c r="D3687" s="0" t="n">
        <f aca="false">-1+A3687*0.125</f>
        <v>0.5</v>
      </c>
      <c r="E3687" s="0" t="n">
        <f aca="false">-1+B3687*0.125</f>
        <v>0.5</v>
      </c>
      <c r="F3687" s="0" t="n">
        <f aca="false">-1+C3687*0.125</f>
        <v>0.25</v>
      </c>
      <c r="G3687" s="0" t="n">
        <f aca="false">1</f>
        <v>1</v>
      </c>
      <c r="H3687" s="0" t="n">
        <f aca="false">D3687</f>
        <v>0.5</v>
      </c>
      <c r="I3687" s="0" t="n">
        <f aca="false">E3687</f>
        <v>0.5</v>
      </c>
      <c r="J3687" s="0" t="n">
        <f aca="false">F3687</f>
        <v>0.25</v>
      </c>
      <c r="K3687" s="0" t="n">
        <f aca="false">D3687*E3687</f>
        <v>0.25</v>
      </c>
      <c r="L3687" s="0" t="n">
        <f aca="false">D3687*F3687</f>
        <v>0.125</v>
      </c>
      <c r="M3687" s="0" t="n">
        <f aca="false">E3687*F3687</f>
        <v>0.125</v>
      </c>
      <c r="N3687" s="0" t="n">
        <f aca="false">D3687*D3687</f>
        <v>0.25</v>
      </c>
      <c r="O3687" s="0" t="n">
        <f aca="false">E3687*E3687</f>
        <v>0.25</v>
      </c>
      <c r="P3687" s="0" t="n">
        <f aca="false">F3687*F3687</f>
        <v>0.0625</v>
      </c>
      <c r="Q3687" s="0" t="n">
        <f aca="false">SUMPRODUCT(G3687:P3687,_XtX!$B$71:$K$71)</f>
        <v>50.2149431818182</v>
      </c>
      <c r="R3687" s="0" t="n">
        <f aca="false">SUMPRODUCT(MMULT(G3687:P3687,_XtX!$B$58:$K$67),G3687:P3687)</f>
        <v>0.156321022727273</v>
      </c>
      <c r="S3687" s="0" t="n">
        <f aca="false">04_回帰ANOVA!$K$19*04_回帰ANOVA!$K$14*SQRT(1+R3687)</f>
        <v>0.999783227753172</v>
      </c>
      <c r="T3687" s="0" t="n">
        <f aca="false">Q3687-S3687</f>
        <v>49.215159954065</v>
      </c>
      <c r="U3687" s="0" t="n">
        <f aca="false">Q3687+S3687</f>
        <v>51.2147264095714</v>
      </c>
      <c r="V3687" s="54" t="b">
        <f aca="false">AND(D3687&gt;=01_因子設定!$L$5-0.000000001,D3687&lt;=01_因子設定!$M$5+0.000000001,E3687&gt;=01_因子設定!$L$6-0.000000001,E3687&lt;=01_因子設定!$M$6+0.000000001,F3687&gt;=01_因子設定!$L$7-0.000000001,F3687&lt;=01_因子設定!$M$7+0.000000001,IF(01_因子設定!$B$20="Box-Behnken",D3687^2+E3687^2+F3687^2&lt;=2+0.000000001,TRUE()))</f>
        <v>1</v>
      </c>
      <c r="W3687" s="55" t="n">
        <f aca="false">IF(V3687,IF(01_因子設定!$B$13="最大化",T3687-01_因子設定!$B$14,IF(01_因子設定!$B$13="最小化",01_因子設定!$B$15-U3687,MIN(T3687-01_因子設定!$B$14,01_因子設定!$B$15-U3687))),-1E+030)</f>
        <v>0.715159954065015</v>
      </c>
      <c r="X3687" s="55" t="n">
        <f aca="false">IF(V3687,IF(01_因子設定!$B$13="最大化",Q3687,IF(01_因子設定!$B$13="最小化",-Q3687,-ABS(Q3687-01_因子設定!$B$16))),-1E+030)</f>
        <v>50.2149431818182</v>
      </c>
      <c r="Y3687" s="55" t="n">
        <f aca="false">W3687+ROW()*0.000000001</f>
        <v>0.715163641065015</v>
      </c>
      <c r="Z3687" s="55" t="n">
        <f aca="false">X3687+ROW()*0.000000001</f>
        <v>50.2149468688182</v>
      </c>
    </row>
    <row r="3688" customFormat="false" ht="15" hidden="false" customHeight="false" outlineLevel="0" collapsed="false">
      <c r="A3688" s="0" t="n">
        <v>12</v>
      </c>
      <c r="B3688" s="0" t="n">
        <v>12</v>
      </c>
      <c r="C3688" s="0" t="n">
        <v>11</v>
      </c>
      <c r="D3688" s="0" t="n">
        <f aca="false">-1+A3688*0.125</f>
        <v>0.5</v>
      </c>
      <c r="E3688" s="0" t="n">
        <f aca="false">-1+B3688*0.125</f>
        <v>0.5</v>
      </c>
      <c r="F3688" s="0" t="n">
        <f aca="false">-1+C3688*0.125</f>
        <v>0.375</v>
      </c>
      <c r="G3688" s="0" t="n">
        <f aca="false">1</f>
        <v>1</v>
      </c>
      <c r="H3688" s="0" t="n">
        <f aca="false">D3688</f>
        <v>0.5</v>
      </c>
      <c r="I3688" s="0" t="n">
        <f aca="false">E3688</f>
        <v>0.5</v>
      </c>
      <c r="J3688" s="0" t="n">
        <f aca="false">F3688</f>
        <v>0.375</v>
      </c>
      <c r="K3688" s="0" t="n">
        <f aca="false">D3688*E3688</f>
        <v>0.25</v>
      </c>
      <c r="L3688" s="0" t="n">
        <f aca="false">D3688*F3688</f>
        <v>0.1875</v>
      </c>
      <c r="M3688" s="0" t="n">
        <f aca="false">E3688*F3688</f>
        <v>0.1875</v>
      </c>
      <c r="N3688" s="0" t="n">
        <f aca="false">D3688*D3688</f>
        <v>0.25</v>
      </c>
      <c r="O3688" s="0" t="n">
        <f aca="false">E3688*E3688</f>
        <v>0.25</v>
      </c>
      <c r="P3688" s="0" t="n">
        <f aca="false">F3688*F3688</f>
        <v>0.140625</v>
      </c>
      <c r="Q3688" s="0" t="n">
        <f aca="false">SUMPRODUCT(G3688:P3688,_XtX!$B$71:$K$71)</f>
        <v>50.31421875</v>
      </c>
      <c r="R3688" s="0" t="n">
        <f aca="false">SUMPRODUCT(MMULT(G3688:P3688,_XtX!$B$58:$K$67),G3688:P3688)</f>
        <v>0.15703125</v>
      </c>
      <c r="S3688" s="0" t="n">
        <f aca="false">04_回帰ANOVA!$K$19*04_回帰ANOVA!$K$14*SQRT(1+R3688)</f>
        <v>1.00009022049162</v>
      </c>
      <c r="T3688" s="0" t="n">
        <f aca="false">Q3688-S3688</f>
        <v>49.3141285295084</v>
      </c>
      <c r="U3688" s="0" t="n">
        <f aca="false">Q3688+S3688</f>
        <v>51.3143089704916</v>
      </c>
      <c r="V3688" s="54" t="b">
        <f aca="false">AND(D3688&gt;=01_因子設定!$L$5-0.000000001,D3688&lt;=01_因子設定!$M$5+0.000000001,E3688&gt;=01_因子設定!$L$6-0.000000001,E3688&lt;=01_因子設定!$M$6+0.000000001,F3688&gt;=01_因子設定!$L$7-0.000000001,F3688&lt;=01_因子設定!$M$7+0.000000001,IF(01_因子設定!$B$20="Box-Behnken",D3688^2+E3688^2+F3688^2&lt;=2+0.000000001,TRUE()))</f>
        <v>1</v>
      </c>
      <c r="W3688" s="55" t="n">
        <f aca="false">IF(V3688,IF(01_因子設定!$B$13="最大化",T3688-01_因子設定!$B$14,IF(01_因子設定!$B$13="最小化",01_因子設定!$B$15-U3688,MIN(T3688-01_因子設定!$B$14,01_因子設定!$B$15-U3688))),-1E+030)</f>
        <v>0.814128529508388</v>
      </c>
      <c r="X3688" s="55" t="n">
        <f aca="false">IF(V3688,IF(01_因子設定!$B$13="最大化",Q3688,IF(01_因子設定!$B$13="最小化",-Q3688,-ABS(Q3688-01_因子設定!$B$16))),-1E+030)</f>
        <v>50.31421875</v>
      </c>
      <c r="Y3688" s="55" t="n">
        <f aca="false">W3688+ROW()*0.000000001</f>
        <v>0.814132217508388</v>
      </c>
      <c r="Z3688" s="55" t="n">
        <f aca="false">X3688+ROW()*0.000000001</f>
        <v>50.314222438</v>
      </c>
    </row>
    <row r="3689" customFormat="false" ht="15" hidden="false" customHeight="false" outlineLevel="0" collapsed="false">
      <c r="A3689" s="0" t="n">
        <v>12</v>
      </c>
      <c r="B3689" s="0" t="n">
        <v>12</v>
      </c>
      <c r="C3689" s="0" t="n">
        <v>12</v>
      </c>
      <c r="D3689" s="0" t="n">
        <f aca="false">-1+A3689*0.125</f>
        <v>0.5</v>
      </c>
      <c r="E3689" s="0" t="n">
        <f aca="false">-1+B3689*0.125</f>
        <v>0.5</v>
      </c>
      <c r="F3689" s="0" t="n">
        <f aca="false">-1+C3689*0.125</f>
        <v>0.5</v>
      </c>
      <c r="G3689" s="0" t="n">
        <f aca="false">1</f>
        <v>1</v>
      </c>
      <c r="H3689" s="0" t="n">
        <f aca="false">D3689</f>
        <v>0.5</v>
      </c>
      <c r="I3689" s="0" t="n">
        <f aca="false">E3689</f>
        <v>0.5</v>
      </c>
      <c r="J3689" s="0" t="n">
        <f aca="false">F3689</f>
        <v>0.5</v>
      </c>
      <c r="K3689" s="0" t="n">
        <f aca="false">D3689*E3689</f>
        <v>0.25</v>
      </c>
      <c r="L3689" s="0" t="n">
        <f aca="false">D3689*F3689</f>
        <v>0.25</v>
      </c>
      <c r="M3689" s="0" t="n">
        <f aca="false">E3689*F3689</f>
        <v>0.25</v>
      </c>
      <c r="N3689" s="0" t="n">
        <f aca="false">D3689*D3689</f>
        <v>0.25</v>
      </c>
      <c r="O3689" s="0" t="n">
        <f aca="false">E3689*E3689</f>
        <v>0.25</v>
      </c>
      <c r="P3689" s="0" t="n">
        <f aca="false">F3689*F3689</f>
        <v>0.25</v>
      </c>
      <c r="Q3689" s="0" t="n">
        <f aca="false">SUMPRODUCT(G3689:P3689,_XtX!$B$71:$K$71)</f>
        <v>50.3767045454546</v>
      </c>
      <c r="R3689" s="0" t="n">
        <f aca="false">SUMPRODUCT(MMULT(G3689:P3689,_XtX!$B$58:$K$67),G3689:P3689)</f>
        <v>0.165482954545455</v>
      </c>
      <c r="S3689" s="0" t="n">
        <f aca="false">04_回帰ANOVA!$K$19*04_回帰ANOVA!$K$14*SQRT(1+R3689)</f>
        <v>1.00373622729159</v>
      </c>
      <c r="T3689" s="0" t="n">
        <f aca="false">Q3689-S3689</f>
        <v>49.372968318163</v>
      </c>
      <c r="U3689" s="0" t="n">
        <f aca="false">Q3689+S3689</f>
        <v>51.3804407727461</v>
      </c>
      <c r="V3689" s="54" t="b">
        <f aca="false">AND(D3689&gt;=01_因子設定!$L$5-0.000000001,D3689&lt;=01_因子設定!$M$5+0.000000001,E3689&gt;=01_因子設定!$L$6-0.000000001,E3689&lt;=01_因子設定!$M$6+0.000000001,F3689&gt;=01_因子設定!$L$7-0.000000001,F3689&lt;=01_因子設定!$M$7+0.000000001,IF(01_因子設定!$B$20="Box-Behnken",D3689^2+E3689^2+F3689^2&lt;=2+0.000000001,TRUE()))</f>
        <v>1</v>
      </c>
      <c r="W3689" s="55" t="n">
        <f aca="false">IF(V3689,IF(01_因子設定!$B$13="最大化",T3689-01_因子設定!$B$14,IF(01_因子設定!$B$13="最小化",01_因子設定!$B$15-U3689,MIN(T3689-01_因子設定!$B$14,01_因子設定!$B$15-U3689))),-1E+030)</f>
        <v>0.872968318162975</v>
      </c>
      <c r="X3689" s="55" t="n">
        <f aca="false">IF(V3689,IF(01_因子設定!$B$13="最大化",Q3689,IF(01_因子設定!$B$13="最小化",-Q3689,-ABS(Q3689-01_因子設定!$B$16))),-1E+030)</f>
        <v>50.3767045454546</v>
      </c>
      <c r="Y3689" s="55" t="n">
        <f aca="false">W3689+ROW()*0.000000001</f>
        <v>0.872972007162975</v>
      </c>
      <c r="Z3689" s="55" t="n">
        <f aca="false">X3689+ROW()*0.000000001</f>
        <v>50.3767082344546</v>
      </c>
    </row>
    <row r="3690" customFormat="false" ht="15" hidden="false" customHeight="false" outlineLevel="0" collapsed="false">
      <c r="A3690" s="0" t="n">
        <v>12</v>
      </c>
      <c r="B3690" s="0" t="n">
        <v>12</v>
      </c>
      <c r="C3690" s="0" t="n">
        <v>13</v>
      </c>
      <c r="D3690" s="0" t="n">
        <f aca="false">-1+A3690*0.125</f>
        <v>0.5</v>
      </c>
      <c r="E3690" s="0" t="n">
        <f aca="false">-1+B3690*0.125</f>
        <v>0.5</v>
      </c>
      <c r="F3690" s="0" t="n">
        <f aca="false">-1+C3690*0.125</f>
        <v>0.625</v>
      </c>
      <c r="G3690" s="0" t="n">
        <f aca="false">1</f>
        <v>1</v>
      </c>
      <c r="H3690" s="0" t="n">
        <f aca="false">D3690</f>
        <v>0.5</v>
      </c>
      <c r="I3690" s="0" t="n">
        <f aca="false">E3690</f>
        <v>0.5</v>
      </c>
      <c r="J3690" s="0" t="n">
        <f aca="false">F3690</f>
        <v>0.625</v>
      </c>
      <c r="K3690" s="0" t="n">
        <f aca="false">D3690*E3690</f>
        <v>0.25</v>
      </c>
      <c r="L3690" s="0" t="n">
        <f aca="false">D3690*F3690</f>
        <v>0.3125</v>
      </c>
      <c r="M3690" s="0" t="n">
        <f aca="false">E3690*F3690</f>
        <v>0.3125</v>
      </c>
      <c r="N3690" s="0" t="n">
        <f aca="false">D3690*D3690</f>
        <v>0.25</v>
      </c>
      <c r="O3690" s="0" t="n">
        <f aca="false">E3690*E3690</f>
        <v>0.25</v>
      </c>
      <c r="P3690" s="0" t="n">
        <f aca="false">F3690*F3690</f>
        <v>0.390625</v>
      </c>
      <c r="Q3690" s="0" t="n">
        <f aca="false">SUMPRODUCT(G3690:P3690,_XtX!$B$71:$K$71)</f>
        <v>50.4024005681818</v>
      </c>
      <c r="R3690" s="0" t="n">
        <f aca="false">SUMPRODUCT(MMULT(G3690:P3690,_XtX!$B$58:$K$67),G3690:P3690)</f>
        <v>0.189133522727273</v>
      </c>
      <c r="S3690" s="0" t="n">
        <f aca="false">04_回帰ANOVA!$K$19*04_回帰ANOVA!$K$14*SQRT(1+R3690)</f>
        <v>1.0138692404042</v>
      </c>
      <c r="T3690" s="0" t="n">
        <f aca="false">Q3690-S3690</f>
        <v>49.3885313277776</v>
      </c>
      <c r="U3690" s="0" t="n">
        <f aca="false">Q3690+S3690</f>
        <v>51.416269808586</v>
      </c>
      <c r="V3690" s="54" t="b">
        <f aca="false">AND(D3690&gt;=01_因子設定!$L$5-0.000000001,D3690&lt;=01_因子設定!$M$5+0.000000001,E3690&gt;=01_因子設定!$L$6-0.000000001,E3690&lt;=01_因子設定!$M$6+0.000000001,F3690&gt;=01_因子設定!$L$7-0.000000001,F3690&lt;=01_因子設定!$M$7+0.000000001,IF(01_因子設定!$B$20="Box-Behnken",D3690^2+E3690^2+F3690^2&lt;=2+0.000000001,TRUE()))</f>
        <v>1</v>
      </c>
      <c r="W3690" s="55" t="n">
        <f aca="false">IF(V3690,IF(01_因子設定!$B$13="最大化",T3690-01_因子設定!$B$14,IF(01_因子設定!$B$13="最小化",01_因子設定!$B$15-U3690,MIN(T3690-01_因子設定!$B$14,01_因子設定!$B$15-U3690))),-1E+030)</f>
        <v>0.888531327777635</v>
      </c>
      <c r="X3690" s="55" t="n">
        <f aca="false">IF(V3690,IF(01_因子設定!$B$13="最大化",Q3690,IF(01_因子設定!$B$13="最小化",-Q3690,-ABS(Q3690-01_因子設定!$B$16))),-1E+030)</f>
        <v>50.4024005681818</v>
      </c>
      <c r="Y3690" s="55" t="n">
        <f aca="false">W3690+ROW()*0.000000001</f>
        <v>0.888535017777635</v>
      </c>
      <c r="Z3690" s="55" t="n">
        <f aca="false">X3690+ROW()*0.000000001</f>
        <v>50.4024042581818</v>
      </c>
    </row>
    <row r="3691" customFormat="false" ht="15" hidden="false" customHeight="false" outlineLevel="0" collapsed="false">
      <c r="A3691" s="0" t="n">
        <v>12</v>
      </c>
      <c r="B3691" s="0" t="n">
        <v>12</v>
      </c>
      <c r="C3691" s="0" t="n">
        <v>14</v>
      </c>
      <c r="D3691" s="0" t="n">
        <f aca="false">-1+A3691*0.125</f>
        <v>0.5</v>
      </c>
      <c r="E3691" s="0" t="n">
        <f aca="false">-1+B3691*0.125</f>
        <v>0.5</v>
      </c>
      <c r="F3691" s="0" t="n">
        <f aca="false">-1+C3691*0.125</f>
        <v>0.75</v>
      </c>
      <c r="G3691" s="0" t="n">
        <f aca="false">1</f>
        <v>1</v>
      </c>
      <c r="H3691" s="0" t="n">
        <f aca="false">D3691</f>
        <v>0.5</v>
      </c>
      <c r="I3691" s="0" t="n">
        <f aca="false">E3691</f>
        <v>0.5</v>
      </c>
      <c r="J3691" s="0" t="n">
        <f aca="false">F3691</f>
        <v>0.75</v>
      </c>
      <c r="K3691" s="0" t="n">
        <f aca="false">D3691*E3691</f>
        <v>0.25</v>
      </c>
      <c r="L3691" s="0" t="n">
        <f aca="false">D3691*F3691</f>
        <v>0.375</v>
      </c>
      <c r="M3691" s="0" t="n">
        <f aca="false">E3691*F3691</f>
        <v>0.375</v>
      </c>
      <c r="N3691" s="0" t="n">
        <f aca="false">D3691*D3691</f>
        <v>0.25</v>
      </c>
      <c r="O3691" s="0" t="n">
        <f aca="false">E3691*E3691</f>
        <v>0.25</v>
      </c>
      <c r="P3691" s="0" t="n">
        <f aca="false">F3691*F3691</f>
        <v>0.5625</v>
      </c>
      <c r="Q3691" s="0" t="n">
        <f aca="false">SUMPRODUCT(G3691:P3691,_XtX!$B$71:$K$71)</f>
        <v>50.3913068181818</v>
      </c>
      <c r="R3691" s="0" t="n">
        <f aca="false">SUMPRODUCT(MMULT(G3691:P3691,_XtX!$B$58:$K$67),G3691:P3691)</f>
        <v>0.237571022727273</v>
      </c>
      <c r="S3691" s="0" t="n">
        <f aca="false">04_回帰ANOVA!$K$19*04_回帰ANOVA!$K$14*SQRT(1+R3691)</f>
        <v>1.0343123302758</v>
      </c>
      <c r="T3691" s="0" t="n">
        <f aca="false">Q3691-S3691</f>
        <v>49.356994487906</v>
      </c>
      <c r="U3691" s="0" t="n">
        <f aca="false">Q3691+S3691</f>
        <v>51.4256191484576</v>
      </c>
      <c r="V3691" s="54" t="b">
        <f aca="false">AND(D3691&gt;=01_因子設定!$L$5-0.000000001,D3691&lt;=01_因子設定!$M$5+0.000000001,E3691&gt;=01_因子設定!$L$6-0.000000001,E3691&lt;=01_因子設定!$M$6+0.000000001,F3691&gt;=01_因子設定!$L$7-0.000000001,F3691&lt;=01_因子設定!$M$7+0.000000001,IF(01_因子設定!$B$20="Box-Behnken",D3691^2+E3691^2+F3691^2&lt;=2+0.000000001,TRUE()))</f>
        <v>1</v>
      </c>
      <c r="W3691" s="55" t="n">
        <f aca="false">IF(V3691,IF(01_因子設定!$B$13="最大化",T3691-01_因子設定!$B$14,IF(01_因子設定!$B$13="最小化",01_因子設定!$B$15-U3691,MIN(T3691-01_因子設定!$B$14,01_因子設定!$B$15-U3691))),-1E+030)</f>
        <v>0.856994487906029</v>
      </c>
      <c r="X3691" s="55" t="n">
        <f aca="false">IF(V3691,IF(01_因子設定!$B$13="最大化",Q3691,IF(01_因子設定!$B$13="最小化",-Q3691,-ABS(Q3691-01_因子設定!$B$16))),-1E+030)</f>
        <v>50.3913068181818</v>
      </c>
      <c r="Y3691" s="55" t="n">
        <f aca="false">W3691+ROW()*0.000000001</f>
        <v>0.856998178906029</v>
      </c>
      <c r="Z3691" s="55" t="n">
        <f aca="false">X3691+ROW()*0.000000001</f>
        <v>50.3913105091818</v>
      </c>
    </row>
    <row r="3692" customFormat="false" ht="15" hidden="false" customHeight="false" outlineLevel="0" collapsed="false">
      <c r="A3692" s="0" t="n">
        <v>12</v>
      </c>
      <c r="B3692" s="0" t="n">
        <v>12</v>
      </c>
      <c r="C3692" s="0" t="n">
        <v>15</v>
      </c>
      <c r="D3692" s="0" t="n">
        <f aca="false">-1+A3692*0.125</f>
        <v>0.5</v>
      </c>
      <c r="E3692" s="0" t="n">
        <f aca="false">-1+B3692*0.125</f>
        <v>0.5</v>
      </c>
      <c r="F3692" s="0" t="n">
        <f aca="false">-1+C3692*0.125</f>
        <v>0.875</v>
      </c>
      <c r="G3692" s="0" t="n">
        <f aca="false">1</f>
        <v>1</v>
      </c>
      <c r="H3692" s="0" t="n">
        <f aca="false">D3692</f>
        <v>0.5</v>
      </c>
      <c r="I3692" s="0" t="n">
        <f aca="false">E3692</f>
        <v>0.5</v>
      </c>
      <c r="J3692" s="0" t="n">
        <f aca="false">F3692</f>
        <v>0.875</v>
      </c>
      <c r="K3692" s="0" t="n">
        <f aca="false">D3692*E3692</f>
        <v>0.25</v>
      </c>
      <c r="L3692" s="0" t="n">
        <f aca="false">D3692*F3692</f>
        <v>0.4375</v>
      </c>
      <c r="M3692" s="0" t="n">
        <f aca="false">E3692*F3692</f>
        <v>0.4375</v>
      </c>
      <c r="N3692" s="0" t="n">
        <f aca="false">D3692*D3692</f>
        <v>0.25</v>
      </c>
      <c r="O3692" s="0" t="n">
        <f aca="false">E3692*E3692</f>
        <v>0.25</v>
      </c>
      <c r="P3692" s="0" t="n">
        <f aca="false">F3692*F3692</f>
        <v>0.765625</v>
      </c>
      <c r="Q3692" s="0" t="n">
        <f aca="false">SUMPRODUCT(G3692:P3692,_XtX!$B$71:$K$71)</f>
        <v>50.3434232954546</v>
      </c>
      <c r="R3692" s="0" t="n">
        <f aca="false">SUMPRODUCT(MMULT(G3692:P3692,_XtX!$B$58:$K$67),G3692:P3692)</f>
        <v>0.322514204545455</v>
      </c>
      <c r="S3692" s="0" t="n">
        <f aca="false">04_回帰ANOVA!$K$19*04_回帰ANOVA!$K$14*SQRT(1+R3692)</f>
        <v>1.0692193475064</v>
      </c>
      <c r="T3692" s="0" t="n">
        <f aca="false">Q3692-S3692</f>
        <v>49.2742039479482</v>
      </c>
      <c r="U3692" s="0" t="n">
        <f aca="false">Q3692+S3692</f>
        <v>51.412642642961</v>
      </c>
      <c r="V3692" s="54" t="b">
        <f aca="false">AND(D3692&gt;=01_因子設定!$L$5-0.000000001,D3692&lt;=01_因子設定!$M$5+0.000000001,E3692&gt;=01_因子設定!$L$6-0.000000001,E3692&lt;=01_因子設定!$M$6+0.000000001,F3692&gt;=01_因子設定!$L$7-0.000000001,F3692&lt;=01_因子設定!$M$7+0.000000001,IF(01_因子設定!$B$20="Box-Behnken",D3692^2+E3692^2+F3692^2&lt;=2+0.000000001,TRUE()))</f>
        <v>1</v>
      </c>
      <c r="W3692" s="55" t="n">
        <f aca="false">IF(V3692,IF(01_因子設定!$B$13="最大化",T3692-01_因子設定!$B$14,IF(01_因子設定!$B$13="最小化",01_因子設定!$B$15-U3692,MIN(T3692-01_因子設定!$B$14,01_因子設定!$B$15-U3692))),-1E+030)</f>
        <v>0.774203947948159</v>
      </c>
      <c r="X3692" s="55" t="n">
        <f aca="false">IF(V3692,IF(01_因子設定!$B$13="最大化",Q3692,IF(01_因子設定!$B$13="最小化",-Q3692,-ABS(Q3692-01_因子設定!$B$16))),-1E+030)</f>
        <v>50.3434232954546</v>
      </c>
      <c r="Y3692" s="55" t="n">
        <f aca="false">W3692+ROW()*0.000000001</f>
        <v>0.774207639948159</v>
      </c>
      <c r="Z3692" s="55" t="n">
        <f aca="false">X3692+ROW()*0.000000001</f>
        <v>50.3434269874546</v>
      </c>
    </row>
    <row r="3693" customFormat="false" ht="15" hidden="false" customHeight="false" outlineLevel="0" collapsed="false">
      <c r="A3693" s="0" t="n">
        <v>12</v>
      </c>
      <c r="B3693" s="0" t="n">
        <v>12</v>
      </c>
      <c r="C3693" s="0" t="n">
        <v>16</v>
      </c>
      <c r="D3693" s="0" t="n">
        <f aca="false">-1+A3693*0.125</f>
        <v>0.5</v>
      </c>
      <c r="E3693" s="0" t="n">
        <f aca="false">-1+B3693*0.125</f>
        <v>0.5</v>
      </c>
      <c r="F3693" s="0" t="n">
        <f aca="false">-1+C3693*0.125</f>
        <v>1</v>
      </c>
      <c r="G3693" s="0" t="n">
        <f aca="false">1</f>
        <v>1</v>
      </c>
      <c r="H3693" s="0" t="n">
        <f aca="false">D3693</f>
        <v>0.5</v>
      </c>
      <c r="I3693" s="0" t="n">
        <f aca="false">E3693</f>
        <v>0.5</v>
      </c>
      <c r="J3693" s="0" t="n">
        <f aca="false">F3693</f>
        <v>1</v>
      </c>
      <c r="K3693" s="0" t="n">
        <f aca="false">D3693*E3693</f>
        <v>0.25</v>
      </c>
      <c r="L3693" s="0" t="n">
        <f aca="false">D3693*F3693</f>
        <v>0.5</v>
      </c>
      <c r="M3693" s="0" t="n">
        <f aca="false">E3693*F3693</f>
        <v>0.5</v>
      </c>
      <c r="N3693" s="0" t="n">
        <f aca="false">D3693*D3693</f>
        <v>0.25</v>
      </c>
      <c r="O3693" s="0" t="n">
        <f aca="false">E3693*E3693</f>
        <v>0.25</v>
      </c>
      <c r="P3693" s="0" t="n">
        <f aca="false">F3693*F3693</f>
        <v>1</v>
      </c>
      <c r="Q3693" s="0" t="n">
        <f aca="false">SUMPRODUCT(G3693:P3693,_XtX!$B$71:$K$71)</f>
        <v>50.25875</v>
      </c>
      <c r="R3693" s="0" t="n">
        <f aca="false">SUMPRODUCT(MMULT(G3693:P3693,_XtX!$B$58:$K$67),G3693:P3693)</f>
        <v>0.4578125</v>
      </c>
      <c r="S3693" s="0" t="n">
        <f aca="false">04_回帰ANOVA!$K$19*04_回帰ANOVA!$K$14*SQRT(1+R3693)</f>
        <v>1.12258044051089</v>
      </c>
      <c r="T3693" s="0" t="n">
        <f aca="false">Q3693-S3693</f>
        <v>49.1361695594891</v>
      </c>
      <c r="U3693" s="0" t="n">
        <f aca="false">Q3693+S3693</f>
        <v>51.3813304405109</v>
      </c>
      <c r="V3693" s="54" t="b">
        <f aca="false">AND(D3693&gt;=01_因子設定!$L$5-0.000000001,D3693&lt;=01_因子設定!$M$5+0.000000001,E3693&gt;=01_因子設定!$L$6-0.000000001,E3693&lt;=01_因子設定!$M$6+0.000000001,F3693&gt;=01_因子設定!$L$7-0.000000001,F3693&lt;=01_因子設定!$M$7+0.000000001,IF(01_因子設定!$B$20="Box-Behnken",D3693^2+E3693^2+F3693^2&lt;=2+0.000000001,TRUE()))</f>
        <v>1</v>
      </c>
      <c r="W3693" s="55" t="n">
        <f aca="false">IF(V3693,IF(01_因子設定!$B$13="最大化",T3693-01_因子設定!$B$14,IF(01_因子設定!$B$13="最小化",01_因子設定!$B$15-U3693,MIN(T3693-01_因子設定!$B$14,01_因子設定!$B$15-U3693))),-1E+030)</f>
        <v>0.636169559489133</v>
      </c>
      <c r="X3693" s="55" t="n">
        <f aca="false">IF(V3693,IF(01_因子設定!$B$13="最大化",Q3693,IF(01_因子設定!$B$13="最小化",-Q3693,-ABS(Q3693-01_因子設定!$B$16))),-1E+030)</f>
        <v>50.25875</v>
      </c>
      <c r="Y3693" s="55" t="n">
        <f aca="false">W3693+ROW()*0.000000001</f>
        <v>0.636173252489133</v>
      </c>
      <c r="Z3693" s="55" t="n">
        <f aca="false">X3693+ROW()*0.000000001</f>
        <v>50.258753693</v>
      </c>
    </row>
    <row r="3694" customFormat="false" ht="15" hidden="false" customHeight="false" outlineLevel="0" collapsed="false">
      <c r="A3694" s="0" t="n">
        <v>12</v>
      </c>
      <c r="B3694" s="0" t="n">
        <v>13</v>
      </c>
      <c r="C3694" s="0" t="n">
        <v>0</v>
      </c>
      <c r="D3694" s="0" t="n">
        <f aca="false">-1+A3694*0.125</f>
        <v>0.5</v>
      </c>
      <c r="E3694" s="0" t="n">
        <f aca="false">-1+B3694*0.125</f>
        <v>0.625</v>
      </c>
      <c r="F3694" s="0" t="n">
        <f aca="false">-1+C3694*0.125</f>
        <v>-1</v>
      </c>
      <c r="G3694" s="0" t="n">
        <f aca="false">1</f>
        <v>1</v>
      </c>
      <c r="H3694" s="0" t="n">
        <f aca="false">D3694</f>
        <v>0.5</v>
      </c>
      <c r="I3694" s="0" t="n">
        <f aca="false">E3694</f>
        <v>0.625</v>
      </c>
      <c r="J3694" s="0" t="n">
        <f aca="false">F3694</f>
        <v>-1</v>
      </c>
      <c r="K3694" s="0" t="n">
        <f aca="false">D3694*E3694</f>
        <v>0.3125</v>
      </c>
      <c r="L3694" s="0" t="n">
        <f aca="false">D3694*F3694</f>
        <v>-0.5</v>
      </c>
      <c r="M3694" s="0" t="n">
        <f aca="false">E3694*F3694</f>
        <v>-0.625</v>
      </c>
      <c r="N3694" s="0" t="n">
        <f aca="false">D3694*D3694</f>
        <v>0.25</v>
      </c>
      <c r="O3694" s="0" t="n">
        <f aca="false">E3694*E3694</f>
        <v>0.390625</v>
      </c>
      <c r="P3694" s="0" t="n">
        <f aca="false">F3694*F3694</f>
        <v>1</v>
      </c>
      <c r="Q3694" s="0" t="n">
        <f aca="false">SUMPRODUCT(G3694:P3694,_XtX!$B$71:$K$71)</f>
        <v>47.1927272727273</v>
      </c>
      <c r="R3694" s="0" t="n">
        <f aca="false">SUMPRODUCT(MMULT(G3694:P3694,_XtX!$B$58:$K$67),G3694:P3694)</f>
        <v>0.465882457386364</v>
      </c>
      <c r="S3694" s="0" t="n">
        <f aca="false">04_回帰ANOVA!$K$19*04_回帰ANOVA!$K$14*SQRT(1+R3694)</f>
        <v>1.12568326538173</v>
      </c>
      <c r="T3694" s="0" t="n">
        <f aca="false">Q3694-S3694</f>
        <v>46.0670440073456</v>
      </c>
      <c r="U3694" s="0" t="n">
        <f aca="false">Q3694+S3694</f>
        <v>48.318410538109</v>
      </c>
      <c r="V3694" s="54" t="b">
        <f aca="false">AND(D3694&gt;=01_因子設定!$L$5-0.000000001,D3694&lt;=01_因子設定!$M$5+0.000000001,E3694&gt;=01_因子設定!$L$6-0.000000001,E3694&lt;=01_因子設定!$M$6+0.000000001,F3694&gt;=01_因子設定!$L$7-0.000000001,F3694&lt;=01_因子設定!$M$7+0.000000001,IF(01_因子設定!$B$20="Box-Behnken",D3694^2+E3694^2+F3694^2&lt;=2+0.000000001,TRUE()))</f>
        <v>1</v>
      </c>
      <c r="W3694" s="55" t="n">
        <f aca="false">IF(V3694,IF(01_因子設定!$B$13="最大化",T3694-01_因子設定!$B$14,IF(01_因子設定!$B$13="最小化",01_因子設定!$B$15-U3694,MIN(T3694-01_因子設定!$B$14,01_因子設定!$B$15-U3694))),-1E+030)</f>
        <v>-2.43295599265443</v>
      </c>
      <c r="X3694" s="55" t="n">
        <f aca="false">IF(V3694,IF(01_因子設定!$B$13="最大化",Q3694,IF(01_因子設定!$B$13="最小化",-Q3694,-ABS(Q3694-01_因子設定!$B$16))),-1E+030)</f>
        <v>47.1927272727273</v>
      </c>
      <c r="Y3694" s="55" t="n">
        <f aca="false">W3694+ROW()*0.000000001</f>
        <v>-2.43295229865443</v>
      </c>
      <c r="Z3694" s="55" t="n">
        <f aca="false">X3694+ROW()*0.000000001</f>
        <v>47.1927309667273</v>
      </c>
    </row>
    <row r="3695" customFormat="false" ht="15" hidden="false" customHeight="false" outlineLevel="0" collapsed="false">
      <c r="A3695" s="0" t="n">
        <v>12</v>
      </c>
      <c r="B3695" s="0" t="n">
        <v>13</v>
      </c>
      <c r="C3695" s="0" t="n">
        <v>1</v>
      </c>
      <c r="D3695" s="0" t="n">
        <f aca="false">-1+A3695*0.125</f>
        <v>0.5</v>
      </c>
      <c r="E3695" s="0" t="n">
        <f aca="false">-1+B3695*0.125</f>
        <v>0.625</v>
      </c>
      <c r="F3695" s="0" t="n">
        <f aca="false">-1+C3695*0.125</f>
        <v>-0.875</v>
      </c>
      <c r="G3695" s="0" t="n">
        <f aca="false">1</f>
        <v>1</v>
      </c>
      <c r="H3695" s="0" t="n">
        <f aca="false">D3695</f>
        <v>0.5</v>
      </c>
      <c r="I3695" s="0" t="n">
        <f aca="false">E3695</f>
        <v>0.625</v>
      </c>
      <c r="J3695" s="0" t="n">
        <f aca="false">F3695</f>
        <v>-0.875</v>
      </c>
      <c r="K3695" s="0" t="n">
        <f aca="false">D3695*E3695</f>
        <v>0.3125</v>
      </c>
      <c r="L3695" s="0" t="n">
        <f aca="false">D3695*F3695</f>
        <v>-0.4375</v>
      </c>
      <c r="M3695" s="0" t="n">
        <f aca="false">E3695*F3695</f>
        <v>-0.546875</v>
      </c>
      <c r="N3695" s="0" t="n">
        <f aca="false">D3695*D3695</f>
        <v>0.25</v>
      </c>
      <c r="O3695" s="0" t="n">
        <f aca="false">E3695*E3695</f>
        <v>0.390625</v>
      </c>
      <c r="P3695" s="0" t="n">
        <f aca="false">F3695*F3695</f>
        <v>0.765625</v>
      </c>
      <c r="Q3695" s="0" t="n">
        <f aca="false">SUMPRODUCT(G3695:P3695,_XtX!$B$71:$K$71)</f>
        <v>47.6669318181818</v>
      </c>
      <c r="R3695" s="0" t="n">
        <f aca="false">SUMPRODUCT(MMULT(G3695:P3695,_XtX!$B$58:$K$67),G3695:P3695)</f>
        <v>0.335453102805398</v>
      </c>
      <c r="S3695" s="0" t="n">
        <f aca="false">04_回帰ANOVA!$K$19*04_回帰ANOVA!$K$14*SQRT(1+R3695)</f>
        <v>1.07443700305628</v>
      </c>
      <c r="T3695" s="0" t="n">
        <f aca="false">Q3695-S3695</f>
        <v>46.5924948151256</v>
      </c>
      <c r="U3695" s="0" t="n">
        <f aca="false">Q3695+S3695</f>
        <v>48.7413688212381</v>
      </c>
      <c r="V3695" s="54" t="b">
        <f aca="false">AND(D3695&gt;=01_因子設定!$L$5-0.000000001,D3695&lt;=01_因子設定!$M$5+0.000000001,E3695&gt;=01_因子設定!$L$6-0.000000001,E3695&lt;=01_因子設定!$M$6+0.000000001,F3695&gt;=01_因子設定!$L$7-0.000000001,F3695&lt;=01_因子設定!$M$7+0.000000001,IF(01_因子設定!$B$20="Box-Behnken",D3695^2+E3695^2+F3695^2&lt;=2+0.000000001,TRUE()))</f>
        <v>1</v>
      </c>
      <c r="W3695" s="55" t="n">
        <f aca="false">IF(V3695,IF(01_因子設定!$B$13="最大化",T3695-01_因子設定!$B$14,IF(01_因子設定!$B$13="最小化",01_因子設定!$B$15-U3695,MIN(T3695-01_因子設定!$B$14,01_因子設定!$B$15-U3695))),-1E+030)</f>
        <v>-1.90750518487444</v>
      </c>
      <c r="X3695" s="55" t="n">
        <f aca="false">IF(V3695,IF(01_因子設定!$B$13="最大化",Q3695,IF(01_因子設定!$B$13="最小化",-Q3695,-ABS(Q3695-01_因子設定!$B$16))),-1E+030)</f>
        <v>47.6669318181818</v>
      </c>
      <c r="Y3695" s="55" t="n">
        <f aca="false">W3695+ROW()*0.000000001</f>
        <v>-1.90750148987444</v>
      </c>
      <c r="Z3695" s="55" t="n">
        <f aca="false">X3695+ROW()*0.000000001</f>
        <v>47.6669355131818</v>
      </c>
    </row>
    <row r="3696" customFormat="false" ht="15" hidden="false" customHeight="false" outlineLevel="0" collapsed="false">
      <c r="A3696" s="0" t="n">
        <v>12</v>
      </c>
      <c r="B3696" s="0" t="n">
        <v>13</v>
      </c>
      <c r="C3696" s="0" t="n">
        <v>2</v>
      </c>
      <c r="D3696" s="0" t="n">
        <f aca="false">-1+A3696*0.125</f>
        <v>0.5</v>
      </c>
      <c r="E3696" s="0" t="n">
        <f aca="false">-1+B3696*0.125</f>
        <v>0.625</v>
      </c>
      <c r="F3696" s="0" t="n">
        <f aca="false">-1+C3696*0.125</f>
        <v>-0.75</v>
      </c>
      <c r="G3696" s="0" t="n">
        <f aca="false">1</f>
        <v>1</v>
      </c>
      <c r="H3696" s="0" t="n">
        <f aca="false">D3696</f>
        <v>0.5</v>
      </c>
      <c r="I3696" s="0" t="n">
        <f aca="false">E3696</f>
        <v>0.625</v>
      </c>
      <c r="J3696" s="0" t="n">
        <f aca="false">F3696</f>
        <v>-0.75</v>
      </c>
      <c r="K3696" s="0" t="n">
        <f aca="false">D3696*E3696</f>
        <v>0.3125</v>
      </c>
      <c r="L3696" s="0" t="n">
        <f aca="false">D3696*F3696</f>
        <v>-0.375</v>
      </c>
      <c r="M3696" s="0" t="n">
        <f aca="false">E3696*F3696</f>
        <v>-0.46875</v>
      </c>
      <c r="N3696" s="0" t="n">
        <f aca="false">D3696*D3696</f>
        <v>0.25</v>
      </c>
      <c r="O3696" s="0" t="n">
        <f aca="false">E3696*E3696</f>
        <v>0.390625</v>
      </c>
      <c r="P3696" s="0" t="n">
        <f aca="false">F3696*F3696</f>
        <v>0.5625</v>
      </c>
      <c r="Q3696" s="0" t="n">
        <f aca="false">SUMPRODUCT(G3696:P3696,_XtX!$B$71:$K$71)</f>
        <v>48.1043465909091</v>
      </c>
      <c r="R3696" s="0" t="n">
        <f aca="false">SUMPRODUCT(MMULT(G3696:P3696,_XtX!$B$58:$K$67),G3696:P3696)</f>
        <v>0.254729669744318</v>
      </c>
      <c r="S3696" s="0" t="n">
        <f aca="false">04_回帰ANOVA!$K$19*04_回帰ANOVA!$K$14*SQRT(1+R3696)</f>
        <v>1.04145790281631</v>
      </c>
      <c r="T3696" s="0" t="n">
        <f aca="false">Q3696-S3696</f>
        <v>47.0628886880928</v>
      </c>
      <c r="U3696" s="0" t="n">
        <f aca="false">Q3696+S3696</f>
        <v>49.1458044937254</v>
      </c>
      <c r="V3696" s="54" t="b">
        <f aca="false">AND(D3696&gt;=01_因子設定!$L$5-0.000000001,D3696&lt;=01_因子設定!$M$5+0.000000001,E3696&gt;=01_因子設定!$L$6-0.000000001,E3696&lt;=01_因子設定!$M$6+0.000000001,F3696&gt;=01_因子設定!$L$7-0.000000001,F3696&lt;=01_因子設定!$M$7+0.000000001,IF(01_因子設定!$B$20="Box-Behnken",D3696^2+E3696^2+F3696^2&lt;=2+0.000000001,TRUE()))</f>
        <v>1</v>
      </c>
      <c r="W3696" s="55" t="n">
        <f aca="false">IF(V3696,IF(01_因子設定!$B$13="最大化",T3696-01_因子設定!$B$14,IF(01_因子設定!$B$13="最小化",01_因子設定!$B$15-U3696,MIN(T3696-01_因子設定!$B$14,01_因子設定!$B$15-U3696))),-1E+030)</f>
        <v>-1.4371113119072</v>
      </c>
      <c r="X3696" s="55" t="n">
        <f aca="false">IF(V3696,IF(01_因子設定!$B$13="最大化",Q3696,IF(01_因子設定!$B$13="最小化",-Q3696,-ABS(Q3696-01_因子設定!$B$16))),-1E+030)</f>
        <v>48.1043465909091</v>
      </c>
      <c r="Y3696" s="55" t="n">
        <f aca="false">W3696+ROW()*0.000000001</f>
        <v>-1.4371076159072</v>
      </c>
      <c r="Z3696" s="55" t="n">
        <f aca="false">X3696+ROW()*0.000000001</f>
        <v>48.1043502869091</v>
      </c>
    </row>
    <row r="3697" customFormat="false" ht="15" hidden="false" customHeight="false" outlineLevel="0" collapsed="false">
      <c r="A3697" s="0" t="n">
        <v>12</v>
      </c>
      <c r="B3697" s="0" t="n">
        <v>13</v>
      </c>
      <c r="C3697" s="0" t="n">
        <v>3</v>
      </c>
      <c r="D3697" s="0" t="n">
        <f aca="false">-1+A3697*0.125</f>
        <v>0.5</v>
      </c>
      <c r="E3697" s="0" t="n">
        <f aca="false">-1+B3697*0.125</f>
        <v>0.625</v>
      </c>
      <c r="F3697" s="0" t="n">
        <f aca="false">-1+C3697*0.125</f>
        <v>-0.625</v>
      </c>
      <c r="G3697" s="0" t="n">
        <f aca="false">1</f>
        <v>1</v>
      </c>
      <c r="H3697" s="0" t="n">
        <f aca="false">D3697</f>
        <v>0.5</v>
      </c>
      <c r="I3697" s="0" t="n">
        <f aca="false">E3697</f>
        <v>0.625</v>
      </c>
      <c r="J3697" s="0" t="n">
        <f aca="false">F3697</f>
        <v>-0.625</v>
      </c>
      <c r="K3697" s="0" t="n">
        <f aca="false">D3697*E3697</f>
        <v>0.3125</v>
      </c>
      <c r="L3697" s="0" t="n">
        <f aca="false">D3697*F3697</f>
        <v>-0.3125</v>
      </c>
      <c r="M3697" s="0" t="n">
        <f aca="false">E3697*F3697</f>
        <v>-0.390625</v>
      </c>
      <c r="N3697" s="0" t="n">
        <f aca="false">D3697*D3697</f>
        <v>0.25</v>
      </c>
      <c r="O3697" s="0" t="n">
        <f aca="false">E3697*E3697</f>
        <v>0.390625</v>
      </c>
      <c r="P3697" s="0" t="n">
        <f aca="false">F3697*F3697</f>
        <v>0.390625</v>
      </c>
      <c r="Q3697" s="0" t="n">
        <f aca="false">SUMPRODUCT(G3697:P3697,_XtX!$B$71:$K$71)</f>
        <v>48.5049715909091</v>
      </c>
      <c r="R3697" s="0" t="n">
        <f aca="false">SUMPRODUCT(MMULT(G3697:P3697,_XtX!$B$58:$K$67),G3697:P3697)</f>
        <v>0.209862726384943</v>
      </c>
      <c r="S3697" s="0" t="n">
        <f aca="false">04_回帰ANOVA!$K$19*04_回帰ANOVA!$K$14*SQRT(1+R3697)</f>
        <v>1.0226680420112</v>
      </c>
      <c r="T3697" s="0" t="n">
        <f aca="false">Q3697-S3697</f>
        <v>47.4823035488979</v>
      </c>
      <c r="U3697" s="0" t="n">
        <f aca="false">Q3697+S3697</f>
        <v>49.5276396329203</v>
      </c>
      <c r="V3697" s="54" t="b">
        <f aca="false">AND(D3697&gt;=01_因子設定!$L$5-0.000000001,D3697&lt;=01_因子設定!$M$5+0.000000001,E3697&gt;=01_因子設定!$L$6-0.000000001,E3697&lt;=01_因子設定!$M$6+0.000000001,F3697&gt;=01_因子設定!$L$7-0.000000001,F3697&lt;=01_因子設定!$M$7+0.000000001,IF(01_因子設定!$B$20="Box-Behnken",D3697^2+E3697^2+F3697^2&lt;=2+0.000000001,TRUE()))</f>
        <v>1</v>
      </c>
      <c r="W3697" s="55" t="n">
        <f aca="false">IF(V3697,IF(01_因子設定!$B$13="最大化",T3697-01_因子設定!$B$14,IF(01_因子設定!$B$13="最小化",01_因子設定!$B$15-U3697,MIN(T3697-01_因子設定!$B$14,01_因子設定!$B$15-U3697))),-1E+030)</f>
        <v>-1.0176964511021</v>
      </c>
      <c r="X3697" s="55" t="n">
        <f aca="false">IF(V3697,IF(01_因子設定!$B$13="最大化",Q3697,IF(01_因子設定!$B$13="最小化",-Q3697,-ABS(Q3697-01_因子設定!$B$16))),-1E+030)</f>
        <v>48.5049715909091</v>
      </c>
      <c r="Y3697" s="55" t="n">
        <f aca="false">W3697+ROW()*0.000000001</f>
        <v>-1.0176927541021</v>
      </c>
      <c r="Z3697" s="55" t="n">
        <f aca="false">X3697+ROW()*0.000000001</f>
        <v>48.5049752879091</v>
      </c>
    </row>
    <row r="3698" customFormat="false" ht="15" hidden="false" customHeight="false" outlineLevel="0" collapsed="false">
      <c r="A3698" s="0" t="n">
        <v>12</v>
      </c>
      <c r="B3698" s="0" t="n">
        <v>13</v>
      </c>
      <c r="C3698" s="0" t="n">
        <v>4</v>
      </c>
      <c r="D3698" s="0" t="n">
        <f aca="false">-1+A3698*0.125</f>
        <v>0.5</v>
      </c>
      <c r="E3698" s="0" t="n">
        <f aca="false">-1+B3698*0.125</f>
        <v>0.625</v>
      </c>
      <c r="F3698" s="0" t="n">
        <f aca="false">-1+C3698*0.125</f>
        <v>-0.5</v>
      </c>
      <c r="G3698" s="0" t="n">
        <f aca="false">1</f>
        <v>1</v>
      </c>
      <c r="H3698" s="0" t="n">
        <f aca="false">D3698</f>
        <v>0.5</v>
      </c>
      <c r="I3698" s="0" t="n">
        <f aca="false">E3698</f>
        <v>0.625</v>
      </c>
      <c r="J3698" s="0" t="n">
        <f aca="false">F3698</f>
        <v>-0.5</v>
      </c>
      <c r="K3698" s="0" t="n">
        <f aca="false">D3698*E3698</f>
        <v>0.3125</v>
      </c>
      <c r="L3698" s="0" t="n">
        <f aca="false">D3698*F3698</f>
        <v>-0.25</v>
      </c>
      <c r="M3698" s="0" t="n">
        <f aca="false">E3698*F3698</f>
        <v>-0.3125</v>
      </c>
      <c r="N3698" s="0" t="n">
        <f aca="false">D3698*D3698</f>
        <v>0.25</v>
      </c>
      <c r="O3698" s="0" t="n">
        <f aca="false">E3698*E3698</f>
        <v>0.390625</v>
      </c>
      <c r="P3698" s="0" t="n">
        <f aca="false">F3698*F3698</f>
        <v>0.25</v>
      </c>
      <c r="Q3698" s="0" t="n">
        <f aca="false">SUMPRODUCT(G3698:P3698,_XtX!$B$71:$K$71)</f>
        <v>48.8688068181818</v>
      </c>
      <c r="R3698" s="0" t="n">
        <f aca="false">SUMPRODUCT(MMULT(G3698:P3698,_XtX!$B$58:$K$67),G3698:P3698)</f>
        <v>0.189133522727273</v>
      </c>
      <c r="S3698" s="0" t="n">
        <f aca="false">04_回帰ANOVA!$K$19*04_回帰ANOVA!$K$14*SQRT(1+R3698)</f>
        <v>1.0138692404042</v>
      </c>
      <c r="T3698" s="0" t="n">
        <f aca="false">Q3698-S3698</f>
        <v>47.8549375777776</v>
      </c>
      <c r="U3698" s="0" t="n">
        <f aca="false">Q3698+S3698</f>
        <v>49.882676058586</v>
      </c>
      <c r="V3698" s="54" t="b">
        <f aca="false">AND(D3698&gt;=01_因子設定!$L$5-0.000000001,D3698&lt;=01_因子設定!$M$5+0.000000001,E3698&gt;=01_因子設定!$L$6-0.000000001,E3698&lt;=01_因子設定!$M$6+0.000000001,F3698&gt;=01_因子設定!$L$7-0.000000001,F3698&lt;=01_因子設定!$M$7+0.000000001,IF(01_因子設定!$B$20="Box-Behnken",D3698^2+E3698^2+F3698^2&lt;=2+0.000000001,TRUE()))</f>
        <v>1</v>
      </c>
      <c r="W3698" s="55" t="n">
        <f aca="false">IF(V3698,IF(01_因子設定!$B$13="最大化",T3698-01_因子設定!$B$14,IF(01_因子設定!$B$13="最小化",01_因子設定!$B$15-U3698,MIN(T3698-01_因子設定!$B$14,01_因子設定!$B$15-U3698))),-1E+030)</f>
        <v>-0.645062422222367</v>
      </c>
      <c r="X3698" s="55" t="n">
        <f aca="false">IF(V3698,IF(01_因子設定!$B$13="最大化",Q3698,IF(01_因子設定!$B$13="最小化",-Q3698,-ABS(Q3698-01_因子設定!$B$16))),-1E+030)</f>
        <v>48.8688068181818</v>
      </c>
      <c r="Y3698" s="55" t="n">
        <f aca="false">W3698+ROW()*0.000000001</f>
        <v>-0.645058724222367</v>
      </c>
      <c r="Z3698" s="55" t="n">
        <f aca="false">X3698+ROW()*0.000000001</f>
        <v>48.8688105161818</v>
      </c>
    </row>
    <row r="3699" customFormat="false" ht="15" hidden="false" customHeight="false" outlineLevel="0" collapsed="false">
      <c r="A3699" s="0" t="n">
        <v>12</v>
      </c>
      <c r="B3699" s="0" t="n">
        <v>13</v>
      </c>
      <c r="C3699" s="0" t="n">
        <v>5</v>
      </c>
      <c r="D3699" s="0" t="n">
        <f aca="false">-1+A3699*0.125</f>
        <v>0.5</v>
      </c>
      <c r="E3699" s="0" t="n">
        <f aca="false">-1+B3699*0.125</f>
        <v>0.625</v>
      </c>
      <c r="F3699" s="0" t="n">
        <f aca="false">-1+C3699*0.125</f>
        <v>-0.375</v>
      </c>
      <c r="G3699" s="0" t="n">
        <f aca="false">1</f>
        <v>1</v>
      </c>
      <c r="H3699" s="0" t="n">
        <f aca="false">D3699</f>
        <v>0.5</v>
      </c>
      <c r="I3699" s="0" t="n">
        <f aca="false">E3699</f>
        <v>0.625</v>
      </c>
      <c r="J3699" s="0" t="n">
        <f aca="false">F3699</f>
        <v>-0.375</v>
      </c>
      <c r="K3699" s="0" t="n">
        <f aca="false">D3699*E3699</f>
        <v>0.3125</v>
      </c>
      <c r="L3699" s="0" t="n">
        <f aca="false">D3699*F3699</f>
        <v>-0.1875</v>
      </c>
      <c r="M3699" s="0" t="n">
        <f aca="false">E3699*F3699</f>
        <v>-0.234375</v>
      </c>
      <c r="N3699" s="0" t="n">
        <f aca="false">D3699*D3699</f>
        <v>0.25</v>
      </c>
      <c r="O3699" s="0" t="n">
        <f aca="false">E3699*E3699</f>
        <v>0.390625</v>
      </c>
      <c r="P3699" s="0" t="n">
        <f aca="false">F3699*F3699</f>
        <v>0.140625</v>
      </c>
      <c r="Q3699" s="0" t="n">
        <f aca="false">SUMPRODUCT(G3699:P3699,_XtX!$B$71:$K$71)</f>
        <v>49.1958522727273</v>
      </c>
      <c r="R3699" s="0" t="n">
        <f aca="false">SUMPRODUCT(MMULT(G3699:P3699,_XtX!$B$58:$K$67),G3699:P3699)</f>
        <v>0.182953990589489</v>
      </c>
      <c r="S3699" s="0" t="n">
        <f aca="false">04_回帰ANOVA!$K$19*04_回帰ANOVA!$K$14*SQRT(1+R3699)</f>
        <v>1.01123143807044</v>
      </c>
      <c r="T3699" s="0" t="n">
        <f aca="false">Q3699-S3699</f>
        <v>48.1846208346568</v>
      </c>
      <c r="U3699" s="0" t="n">
        <f aca="false">Q3699+S3699</f>
        <v>50.2070837107977</v>
      </c>
      <c r="V3699" s="54" t="b">
        <f aca="false">AND(D3699&gt;=01_因子設定!$L$5-0.000000001,D3699&lt;=01_因子設定!$M$5+0.000000001,E3699&gt;=01_因子設定!$L$6-0.000000001,E3699&lt;=01_因子設定!$M$6+0.000000001,F3699&gt;=01_因子設定!$L$7-0.000000001,F3699&lt;=01_因子設定!$M$7+0.000000001,IF(01_因子設定!$B$20="Box-Behnken",D3699^2+E3699^2+F3699^2&lt;=2+0.000000001,TRUE()))</f>
        <v>1</v>
      </c>
      <c r="W3699" s="55" t="n">
        <f aca="false">IF(V3699,IF(01_因子設定!$B$13="最大化",T3699-01_因子設定!$B$14,IF(01_因子設定!$B$13="最小化",01_因子設定!$B$15-U3699,MIN(T3699-01_因子設定!$B$14,01_因子設定!$B$15-U3699))),-1E+030)</f>
        <v>-0.31537916534316</v>
      </c>
      <c r="X3699" s="55" t="n">
        <f aca="false">IF(V3699,IF(01_因子設定!$B$13="最大化",Q3699,IF(01_因子設定!$B$13="最小化",-Q3699,-ABS(Q3699-01_因子設定!$B$16))),-1E+030)</f>
        <v>49.1958522727273</v>
      </c>
      <c r="Y3699" s="55" t="n">
        <f aca="false">W3699+ROW()*0.000000001</f>
        <v>-0.31537546634316</v>
      </c>
      <c r="Z3699" s="55" t="n">
        <f aca="false">X3699+ROW()*0.000000001</f>
        <v>49.1958559717273</v>
      </c>
    </row>
    <row r="3700" customFormat="false" ht="15" hidden="false" customHeight="false" outlineLevel="0" collapsed="false">
      <c r="A3700" s="0" t="n">
        <v>12</v>
      </c>
      <c r="B3700" s="0" t="n">
        <v>13</v>
      </c>
      <c r="C3700" s="0" t="n">
        <v>6</v>
      </c>
      <c r="D3700" s="0" t="n">
        <f aca="false">-1+A3700*0.125</f>
        <v>0.5</v>
      </c>
      <c r="E3700" s="0" t="n">
        <f aca="false">-1+B3700*0.125</f>
        <v>0.625</v>
      </c>
      <c r="F3700" s="0" t="n">
        <f aca="false">-1+C3700*0.125</f>
        <v>-0.25</v>
      </c>
      <c r="G3700" s="0" t="n">
        <f aca="false">1</f>
        <v>1</v>
      </c>
      <c r="H3700" s="0" t="n">
        <f aca="false">D3700</f>
        <v>0.5</v>
      </c>
      <c r="I3700" s="0" t="n">
        <f aca="false">E3700</f>
        <v>0.625</v>
      </c>
      <c r="J3700" s="0" t="n">
        <f aca="false">F3700</f>
        <v>-0.25</v>
      </c>
      <c r="K3700" s="0" t="n">
        <f aca="false">D3700*E3700</f>
        <v>0.3125</v>
      </c>
      <c r="L3700" s="0" t="n">
        <f aca="false">D3700*F3700</f>
        <v>-0.125</v>
      </c>
      <c r="M3700" s="0" t="n">
        <f aca="false">E3700*F3700</f>
        <v>-0.15625</v>
      </c>
      <c r="N3700" s="0" t="n">
        <f aca="false">D3700*D3700</f>
        <v>0.25</v>
      </c>
      <c r="O3700" s="0" t="n">
        <f aca="false">E3700*E3700</f>
        <v>0.390625</v>
      </c>
      <c r="P3700" s="0" t="n">
        <f aca="false">F3700*F3700</f>
        <v>0.0625</v>
      </c>
      <c r="Q3700" s="0" t="n">
        <f aca="false">SUMPRODUCT(G3700:P3700,_XtX!$B$71:$K$71)</f>
        <v>49.4861079545455</v>
      </c>
      <c r="R3700" s="0" t="n">
        <f aca="false">SUMPRODUCT(MMULT(G3700:P3700,_XtX!$B$58:$K$67),G3700:P3700)</f>
        <v>0.183866743607955</v>
      </c>
      <c r="S3700" s="0" t="n">
        <f aca="false">04_回帰ANOVA!$K$19*04_回帰ANOVA!$K$14*SQRT(1+R3700)</f>
        <v>1.01162148983013</v>
      </c>
      <c r="T3700" s="0" t="n">
        <f aca="false">Q3700-S3700</f>
        <v>48.4744864647153</v>
      </c>
      <c r="U3700" s="0" t="n">
        <f aca="false">Q3700+S3700</f>
        <v>50.4977294443756</v>
      </c>
      <c r="V3700" s="54" t="b">
        <f aca="false">AND(D3700&gt;=01_因子設定!$L$5-0.000000001,D3700&lt;=01_因子設定!$M$5+0.000000001,E3700&gt;=01_因子設定!$L$6-0.000000001,E3700&lt;=01_因子設定!$M$6+0.000000001,F3700&gt;=01_因子設定!$L$7-0.000000001,F3700&lt;=01_因子設定!$M$7+0.000000001,IF(01_因子設定!$B$20="Box-Behnken",D3700^2+E3700^2+F3700^2&lt;=2+0.000000001,TRUE()))</f>
        <v>1</v>
      </c>
      <c r="W3700" s="55" t="n">
        <f aca="false">IF(V3700,IF(01_因子設定!$B$13="最大化",T3700-01_因子設定!$B$14,IF(01_因子設定!$B$13="最小化",01_因子設定!$B$15-U3700,MIN(T3700-01_因子設定!$B$14,01_因子設定!$B$15-U3700))),-1E+030)</f>
        <v>-0.0255135352846736</v>
      </c>
      <c r="X3700" s="55" t="n">
        <f aca="false">IF(V3700,IF(01_因子設定!$B$13="最大化",Q3700,IF(01_因子設定!$B$13="最小化",-Q3700,-ABS(Q3700-01_因子設定!$B$16))),-1E+030)</f>
        <v>49.4861079545455</v>
      </c>
      <c r="Y3700" s="55" t="n">
        <f aca="false">W3700+ROW()*0.000000001</f>
        <v>-0.0255098352846736</v>
      </c>
      <c r="Z3700" s="55" t="n">
        <f aca="false">X3700+ROW()*0.000000001</f>
        <v>49.4861116545455</v>
      </c>
    </row>
    <row r="3701" customFormat="false" ht="15" hidden="false" customHeight="false" outlineLevel="0" collapsed="false">
      <c r="A3701" s="0" t="n">
        <v>12</v>
      </c>
      <c r="B3701" s="0" t="n">
        <v>13</v>
      </c>
      <c r="C3701" s="0" t="n">
        <v>7</v>
      </c>
      <c r="D3701" s="0" t="n">
        <f aca="false">-1+A3701*0.125</f>
        <v>0.5</v>
      </c>
      <c r="E3701" s="0" t="n">
        <f aca="false">-1+B3701*0.125</f>
        <v>0.625</v>
      </c>
      <c r="F3701" s="0" t="n">
        <f aca="false">-1+C3701*0.125</f>
        <v>-0.125</v>
      </c>
      <c r="G3701" s="0" t="n">
        <f aca="false">1</f>
        <v>1</v>
      </c>
      <c r="H3701" s="0" t="n">
        <f aca="false">D3701</f>
        <v>0.5</v>
      </c>
      <c r="I3701" s="0" t="n">
        <f aca="false">E3701</f>
        <v>0.625</v>
      </c>
      <c r="J3701" s="0" t="n">
        <f aca="false">F3701</f>
        <v>-0.125</v>
      </c>
      <c r="K3701" s="0" t="n">
        <f aca="false">D3701*E3701</f>
        <v>0.3125</v>
      </c>
      <c r="L3701" s="0" t="n">
        <f aca="false">D3701*F3701</f>
        <v>-0.0625</v>
      </c>
      <c r="M3701" s="0" t="n">
        <f aca="false">E3701*F3701</f>
        <v>-0.078125</v>
      </c>
      <c r="N3701" s="0" t="n">
        <f aca="false">D3701*D3701</f>
        <v>0.25</v>
      </c>
      <c r="O3701" s="0" t="n">
        <f aca="false">E3701*E3701</f>
        <v>0.390625</v>
      </c>
      <c r="P3701" s="0" t="n">
        <f aca="false">F3701*F3701</f>
        <v>0.015625</v>
      </c>
      <c r="Q3701" s="0" t="n">
        <f aca="false">SUMPRODUCT(G3701:P3701,_XtX!$B$71:$K$71)</f>
        <v>49.7395738636364</v>
      </c>
      <c r="R3701" s="0" t="n">
        <f aca="false">SUMPRODUCT(MMULT(G3701:P3701,_XtX!$B$58:$K$67),G3701:P3701)</f>
        <v>0.186545077237216</v>
      </c>
      <c r="S3701" s="0" t="n">
        <f aca="false">04_回帰ANOVA!$K$19*04_回帰ANOVA!$K$14*SQRT(1+R3701)</f>
        <v>1.01276516970713</v>
      </c>
      <c r="T3701" s="0" t="n">
        <f aca="false">Q3701-S3701</f>
        <v>48.7268086939292</v>
      </c>
      <c r="U3701" s="0" t="n">
        <f aca="false">Q3701+S3701</f>
        <v>50.7523390333435</v>
      </c>
      <c r="V3701" s="54" t="b">
        <f aca="false">AND(D3701&gt;=01_因子設定!$L$5-0.000000001,D3701&lt;=01_因子設定!$M$5+0.000000001,E3701&gt;=01_因子設定!$L$6-0.000000001,E3701&lt;=01_因子設定!$M$6+0.000000001,F3701&gt;=01_因子設定!$L$7-0.000000001,F3701&lt;=01_因子設定!$M$7+0.000000001,IF(01_因子設定!$B$20="Box-Behnken",D3701^2+E3701^2+F3701^2&lt;=2+0.000000001,TRUE()))</f>
        <v>1</v>
      </c>
      <c r="W3701" s="55" t="n">
        <f aca="false">IF(V3701,IF(01_因子設定!$B$13="最大化",T3701-01_因子設定!$B$14,IF(01_因子設定!$B$13="最小化",01_因子設定!$B$15-U3701,MIN(T3701-01_因子設定!$B$14,01_因子設定!$B$15-U3701))),-1E+030)</f>
        <v>0.226808693929236</v>
      </c>
      <c r="X3701" s="55" t="n">
        <f aca="false">IF(V3701,IF(01_因子設定!$B$13="最大化",Q3701,IF(01_因子設定!$B$13="最小化",-Q3701,-ABS(Q3701-01_因子設定!$B$16))),-1E+030)</f>
        <v>49.7395738636364</v>
      </c>
      <c r="Y3701" s="55" t="n">
        <f aca="false">W3701+ROW()*0.000000001</f>
        <v>0.226812394929236</v>
      </c>
      <c r="Z3701" s="55" t="n">
        <f aca="false">X3701+ROW()*0.000000001</f>
        <v>49.7395775646364</v>
      </c>
    </row>
    <row r="3702" customFormat="false" ht="15" hidden="false" customHeight="false" outlineLevel="0" collapsed="false">
      <c r="A3702" s="0" t="n">
        <v>12</v>
      </c>
      <c r="B3702" s="0" t="n">
        <v>13</v>
      </c>
      <c r="C3702" s="0" t="n">
        <v>8</v>
      </c>
      <c r="D3702" s="0" t="n">
        <f aca="false">-1+A3702*0.125</f>
        <v>0.5</v>
      </c>
      <c r="E3702" s="0" t="n">
        <f aca="false">-1+B3702*0.125</f>
        <v>0.625</v>
      </c>
      <c r="F3702" s="0" t="n">
        <f aca="false">-1+C3702*0.125</f>
        <v>0</v>
      </c>
      <c r="G3702" s="0" t="n">
        <f aca="false">1</f>
        <v>1</v>
      </c>
      <c r="H3702" s="0" t="n">
        <f aca="false">D3702</f>
        <v>0.5</v>
      </c>
      <c r="I3702" s="0" t="n">
        <f aca="false">E3702</f>
        <v>0.625</v>
      </c>
      <c r="J3702" s="0" t="n">
        <f aca="false">F3702</f>
        <v>0</v>
      </c>
      <c r="K3702" s="0" t="n">
        <f aca="false">D3702*E3702</f>
        <v>0.3125</v>
      </c>
      <c r="L3702" s="0" t="n">
        <f aca="false">D3702*F3702</f>
        <v>0</v>
      </c>
      <c r="M3702" s="0" t="n">
        <f aca="false">E3702*F3702</f>
        <v>0</v>
      </c>
      <c r="N3702" s="0" t="n">
        <f aca="false">D3702*D3702</f>
        <v>0.25</v>
      </c>
      <c r="O3702" s="0" t="n">
        <f aca="false">E3702*E3702</f>
        <v>0.390625</v>
      </c>
      <c r="P3702" s="0" t="n">
        <f aca="false">F3702*F3702</f>
        <v>0</v>
      </c>
      <c r="Q3702" s="0" t="n">
        <f aca="false">SUMPRODUCT(G3702:P3702,_XtX!$B$71:$K$71)</f>
        <v>49.95625</v>
      </c>
      <c r="R3702" s="0" t="n">
        <f aca="false">SUMPRODUCT(MMULT(G3702:P3702,_XtX!$B$58:$K$67),G3702:P3702)</f>
        <v>0.18779296875</v>
      </c>
      <c r="S3702" s="0" t="n">
        <f aca="false">04_回帰ANOVA!$K$19*04_回帰ANOVA!$K$14*SQRT(1+R3702)</f>
        <v>1.01329759319777</v>
      </c>
      <c r="T3702" s="0" t="n">
        <f aca="false">Q3702-S3702</f>
        <v>48.9429524068022</v>
      </c>
      <c r="U3702" s="0" t="n">
        <f aca="false">Q3702+S3702</f>
        <v>50.9695475931978</v>
      </c>
      <c r="V3702" s="54" t="b">
        <f aca="false">AND(D3702&gt;=01_因子設定!$L$5-0.000000001,D3702&lt;=01_因子設定!$M$5+0.000000001,E3702&gt;=01_因子設定!$L$6-0.000000001,E3702&lt;=01_因子設定!$M$6+0.000000001,F3702&gt;=01_因子設定!$L$7-0.000000001,F3702&lt;=01_因子設定!$M$7+0.000000001,IF(01_因子設定!$B$20="Box-Behnken",D3702^2+E3702^2+F3702^2&lt;=2+0.000000001,TRUE()))</f>
        <v>1</v>
      </c>
      <c r="W3702" s="55" t="n">
        <f aca="false">IF(V3702,IF(01_因子設定!$B$13="最大化",T3702-01_因子設定!$B$14,IF(01_因子設定!$B$13="最小化",01_因子設定!$B$15-U3702,MIN(T3702-01_因子設定!$B$14,01_因子設定!$B$15-U3702))),-1E+030)</f>
        <v>0.442952406802235</v>
      </c>
      <c r="X3702" s="55" t="n">
        <f aca="false">IF(V3702,IF(01_因子設定!$B$13="最大化",Q3702,IF(01_因子設定!$B$13="最小化",-Q3702,-ABS(Q3702-01_因子設定!$B$16))),-1E+030)</f>
        <v>49.95625</v>
      </c>
      <c r="Y3702" s="55" t="n">
        <f aca="false">W3702+ROW()*0.000000001</f>
        <v>0.442956108802235</v>
      </c>
      <c r="Z3702" s="55" t="n">
        <f aca="false">X3702+ROW()*0.000000001</f>
        <v>49.956253702</v>
      </c>
    </row>
    <row r="3703" customFormat="false" ht="15" hidden="false" customHeight="false" outlineLevel="0" collapsed="false">
      <c r="A3703" s="0" t="n">
        <v>12</v>
      </c>
      <c r="B3703" s="0" t="n">
        <v>13</v>
      </c>
      <c r="C3703" s="0" t="n">
        <v>9</v>
      </c>
      <c r="D3703" s="0" t="n">
        <f aca="false">-1+A3703*0.125</f>
        <v>0.5</v>
      </c>
      <c r="E3703" s="0" t="n">
        <f aca="false">-1+B3703*0.125</f>
        <v>0.625</v>
      </c>
      <c r="F3703" s="0" t="n">
        <f aca="false">-1+C3703*0.125</f>
        <v>0.125</v>
      </c>
      <c r="G3703" s="0" t="n">
        <f aca="false">1</f>
        <v>1</v>
      </c>
      <c r="H3703" s="0" t="n">
        <f aca="false">D3703</f>
        <v>0.5</v>
      </c>
      <c r="I3703" s="0" t="n">
        <f aca="false">E3703</f>
        <v>0.625</v>
      </c>
      <c r="J3703" s="0" t="n">
        <f aca="false">F3703</f>
        <v>0.125</v>
      </c>
      <c r="K3703" s="0" t="n">
        <f aca="false">D3703*E3703</f>
        <v>0.3125</v>
      </c>
      <c r="L3703" s="0" t="n">
        <f aca="false">D3703*F3703</f>
        <v>0.0625</v>
      </c>
      <c r="M3703" s="0" t="n">
        <f aca="false">E3703*F3703</f>
        <v>0.078125</v>
      </c>
      <c r="N3703" s="0" t="n">
        <f aca="false">D3703*D3703</f>
        <v>0.25</v>
      </c>
      <c r="O3703" s="0" t="n">
        <f aca="false">E3703*E3703</f>
        <v>0.390625</v>
      </c>
      <c r="P3703" s="0" t="n">
        <f aca="false">F3703*F3703</f>
        <v>0.015625</v>
      </c>
      <c r="Q3703" s="0" t="n">
        <f aca="false">SUMPRODUCT(G3703:P3703,_XtX!$B$71:$K$71)</f>
        <v>50.1361363636364</v>
      </c>
      <c r="R3703" s="0" t="n">
        <f aca="false">SUMPRODUCT(MMULT(G3703:P3703,_XtX!$B$58:$K$67),G3703:P3703)</f>
        <v>0.186545077237216</v>
      </c>
      <c r="S3703" s="0" t="n">
        <f aca="false">04_回帰ANOVA!$K$19*04_回帰ANOVA!$K$14*SQRT(1+R3703)</f>
        <v>1.01276516970713</v>
      </c>
      <c r="T3703" s="0" t="n">
        <f aca="false">Q3703-S3703</f>
        <v>49.1233711939292</v>
      </c>
      <c r="U3703" s="0" t="n">
        <f aca="false">Q3703+S3703</f>
        <v>51.1489015333435</v>
      </c>
      <c r="V3703" s="54" t="b">
        <f aca="false">AND(D3703&gt;=01_因子設定!$L$5-0.000000001,D3703&lt;=01_因子設定!$M$5+0.000000001,E3703&gt;=01_因子設定!$L$6-0.000000001,E3703&lt;=01_因子設定!$M$6+0.000000001,F3703&gt;=01_因子設定!$L$7-0.000000001,F3703&lt;=01_因子設定!$M$7+0.000000001,IF(01_因子設定!$B$20="Box-Behnken",D3703^2+E3703^2+F3703^2&lt;=2+0.000000001,TRUE()))</f>
        <v>1</v>
      </c>
      <c r="W3703" s="55" t="n">
        <f aca="false">IF(V3703,IF(01_因子設定!$B$13="最大化",T3703-01_因子設定!$B$14,IF(01_因子設定!$B$13="最小化",01_因子設定!$B$15-U3703,MIN(T3703-01_因子設定!$B$14,01_因子設定!$B$15-U3703))),-1E+030)</f>
        <v>0.623371193929238</v>
      </c>
      <c r="X3703" s="55" t="n">
        <f aca="false">IF(V3703,IF(01_因子設定!$B$13="最大化",Q3703,IF(01_因子設定!$B$13="最小化",-Q3703,-ABS(Q3703-01_因子設定!$B$16))),-1E+030)</f>
        <v>50.1361363636364</v>
      </c>
      <c r="Y3703" s="55" t="n">
        <f aca="false">W3703+ROW()*0.000000001</f>
        <v>0.623374896929238</v>
      </c>
      <c r="Z3703" s="55" t="n">
        <f aca="false">X3703+ROW()*0.000000001</f>
        <v>50.1361400666364</v>
      </c>
    </row>
    <row r="3704" customFormat="false" ht="15" hidden="false" customHeight="false" outlineLevel="0" collapsed="false">
      <c r="A3704" s="0" t="n">
        <v>12</v>
      </c>
      <c r="B3704" s="0" t="n">
        <v>13</v>
      </c>
      <c r="C3704" s="0" t="n">
        <v>10</v>
      </c>
      <c r="D3704" s="0" t="n">
        <f aca="false">-1+A3704*0.125</f>
        <v>0.5</v>
      </c>
      <c r="E3704" s="0" t="n">
        <f aca="false">-1+B3704*0.125</f>
        <v>0.625</v>
      </c>
      <c r="F3704" s="0" t="n">
        <f aca="false">-1+C3704*0.125</f>
        <v>0.25</v>
      </c>
      <c r="G3704" s="0" t="n">
        <f aca="false">1</f>
        <v>1</v>
      </c>
      <c r="H3704" s="0" t="n">
        <f aca="false">D3704</f>
        <v>0.5</v>
      </c>
      <c r="I3704" s="0" t="n">
        <f aca="false">E3704</f>
        <v>0.625</v>
      </c>
      <c r="J3704" s="0" t="n">
        <f aca="false">F3704</f>
        <v>0.25</v>
      </c>
      <c r="K3704" s="0" t="n">
        <f aca="false">D3704*E3704</f>
        <v>0.3125</v>
      </c>
      <c r="L3704" s="0" t="n">
        <f aca="false">D3704*F3704</f>
        <v>0.125</v>
      </c>
      <c r="M3704" s="0" t="n">
        <f aca="false">E3704*F3704</f>
        <v>0.15625</v>
      </c>
      <c r="N3704" s="0" t="n">
        <f aca="false">D3704*D3704</f>
        <v>0.25</v>
      </c>
      <c r="O3704" s="0" t="n">
        <f aca="false">E3704*E3704</f>
        <v>0.390625</v>
      </c>
      <c r="P3704" s="0" t="n">
        <f aca="false">F3704*F3704</f>
        <v>0.0625</v>
      </c>
      <c r="Q3704" s="0" t="n">
        <f aca="false">SUMPRODUCT(G3704:P3704,_XtX!$B$71:$K$71)</f>
        <v>50.2792329545455</v>
      </c>
      <c r="R3704" s="0" t="n">
        <f aca="false">SUMPRODUCT(MMULT(G3704:P3704,_XtX!$B$58:$K$67),G3704:P3704)</f>
        <v>0.183866743607955</v>
      </c>
      <c r="S3704" s="0" t="n">
        <f aca="false">04_回帰ANOVA!$K$19*04_回帰ANOVA!$K$14*SQRT(1+R3704)</f>
        <v>1.01162148983013</v>
      </c>
      <c r="T3704" s="0" t="n">
        <f aca="false">Q3704-S3704</f>
        <v>49.2676114647153</v>
      </c>
      <c r="U3704" s="0" t="n">
        <f aca="false">Q3704+S3704</f>
        <v>51.2908544443756</v>
      </c>
      <c r="V3704" s="54" t="b">
        <f aca="false">AND(D3704&gt;=01_因子設定!$L$5-0.000000001,D3704&lt;=01_因子設定!$M$5+0.000000001,E3704&gt;=01_因子設定!$L$6-0.000000001,E3704&lt;=01_因子設定!$M$6+0.000000001,F3704&gt;=01_因子設定!$L$7-0.000000001,F3704&lt;=01_因子設定!$M$7+0.000000001,IF(01_因子設定!$B$20="Box-Behnken",D3704^2+E3704^2+F3704^2&lt;=2+0.000000001,TRUE()))</f>
        <v>1</v>
      </c>
      <c r="W3704" s="55" t="n">
        <f aca="false">IF(V3704,IF(01_因子設定!$B$13="最大化",T3704-01_因子設定!$B$14,IF(01_因子設定!$B$13="最小化",01_因子設定!$B$15-U3704,MIN(T3704-01_因子設定!$B$14,01_因子設定!$B$15-U3704))),-1E+030)</f>
        <v>0.76761146471533</v>
      </c>
      <c r="X3704" s="55" t="n">
        <f aca="false">IF(V3704,IF(01_因子設定!$B$13="最大化",Q3704,IF(01_因子設定!$B$13="最小化",-Q3704,-ABS(Q3704-01_因子設定!$B$16))),-1E+030)</f>
        <v>50.2792329545455</v>
      </c>
      <c r="Y3704" s="55" t="n">
        <f aca="false">W3704+ROW()*0.000000001</f>
        <v>0.76761516871533</v>
      </c>
      <c r="Z3704" s="55" t="n">
        <f aca="false">X3704+ROW()*0.000000001</f>
        <v>50.2792366585455</v>
      </c>
    </row>
    <row r="3705" customFormat="false" ht="15" hidden="false" customHeight="false" outlineLevel="0" collapsed="false">
      <c r="A3705" s="0" t="n">
        <v>12</v>
      </c>
      <c r="B3705" s="0" t="n">
        <v>13</v>
      </c>
      <c r="C3705" s="0" t="n">
        <v>11</v>
      </c>
      <c r="D3705" s="0" t="n">
        <f aca="false">-1+A3705*0.125</f>
        <v>0.5</v>
      </c>
      <c r="E3705" s="0" t="n">
        <f aca="false">-1+B3705*0.125</f>
        <v>0.625</v>
      </c>
      <c r="F3705" s="0" t="n">
        <f aca="false">-1+C3705*0.125</f>
        <v>0.375</v>
      </c>
      <c r="G3705" s="0" t="n">
        <f aca="false">1</f>
        <v>1</v>
      </c>
      <c r="H3705" s="0" t="n">
        <f aca="false">D3705</f>
        <v>0.5</v>
      </c>
      <c r="I3705" s="0" t="n">
        <f aca="false">E3705</f>
        <v>0.625</v>
      </c>
      <c r="J3705" s="0" t="n">
        <f aca="false">F3705</f>
        <v>0.375</v>
      </c>
      <c r="K3705" s="0" t="n">
        <f aca="false">D3705*E3705</f>
        <v>0.3125</v>
      </c>
      <c r="L3705" s="0" t="n">
        <f aca="false">D3705*F3705</f>
        <v>0.1875</v>
      </c>
      <c r="M3705" s="0" t="n">
        <f aca="false">E3705*F3705</f>
        <v>0.234375</v>
      </c>
      <c r="N3705" s="0" t="n">
        <f aca="false">D3705*D3705</f>
        <v>0.25</v>
      </c>
      <c r="O3705" s="0" t="n">
        <f aca="false">E3705*E3705</f>
        <v>0.390625</v>
      </c>
      <c r="P3705" s="0" t="n">
        <f aca="false">F3705*F3705</f>
        <v>0.140625</v>
      </c>
      <c r="Q3705" s="0" t="n">
        <f aca="false">SUMPRODUCT(G3705:P3705,_XtX!$B$71:$K$71)</f>
        <v>50.3855397727273</v>
      </c>
      <c r="R3705" s="0" t="n">
        <f aca="false">SUMPRODUCT(MMULT(G3705:P3705,_XtX!$B$58:$K$67),G3705:P3705)</f>
        <v>0.182953990589489</v>
      </c>
      <c r="S3705" s="0" t="n">
        <f aca="false">04_回帰ANOVA!$K$19*04_回帰ANOVA!$K$14*SQRT(1+R3705)</f>
        <v>1.01123143807044</v>
      </c>
      <c r="T3705" s="0" t="n">
        <f aca="false">Q3705-S3705</f>
        <v>49.3743083346568</v>
      </c>
      <c r="U3705" s="0" t="n">
        <f aca="false">Q3705+S3705</f>
        <v>51.3967712107977</v>
      </c>
      <c r="V3705" s="54" t="b">
        <f aca="false">AND(D3705&gt;=01_因子設定!$L$5-0.000000001,D3705&lt;=01_因子設定!$M$5+0.000000001,E3705&gt;=01_因子設定!$L$6-0.000000001,E3705&lt;=01_因子設定!$M$6+0.000000001,F3705&gt;=01_因子設定!$L$7-0.000000001,F3705&lt;=01_因子設定!$M$7+0.000000001,IF(01_因子設定!$B$20="Box-Behnken",D3705^2+E3705^2+F3705^2&lt;=2+0.000000001,TRUE()))</f>
        <v>1</v>
      </c>
      <c r="W3705" s="55" t="n">
        <f aca="false">IF(V3705,IF(01_因子設定!$B$13="最大化",T3705-01_因子設定!$B$14,IF(01_因子設定!$B$13="最小化",01_因子設定!$B$15-U3705,MIN(T3705-01_因子設定!$B$14,01_因子設定!$B$15-U3705))),-1E+030)</f>
        <v>0.874308334656838</v>
      </c>
      <c r="X3705" s="55" t="n">
        <f aca="false">IF(V3705,IF(01_因子設定!$B$13="最大化",Q3705,IF(01_因子設定!$B$13="最小化",-Q3705,-ABS(Q3705-01_因子設定!$B$16))),-1E+030)</f>
        <v>50.3855397727273</v>
      </c>
      <c r="Y3705" s="55" t="n">
        <f aca="false">W3705+ROW()*0.000000001</f>
        <v>0.874312039656838</v>
      </c>
      <c r="Z3705" s="55" t="n">
        <f aca="false">X3705+ROW()*0.000000001</f>
        <v>50.3855434777273</v>
      </c>
    </row>
    <row r="3706" customFormat="false" ht="15" hidden="false" customHeight="false" outlineLevel="0" collapsed="false">
      <c r="A3706" s="0" t="n">
        <v>12</v>
      </c>
      <c r="B3706" s="0" t="n">
        <v>13</v>
      </c>
      <c r="C3706" s="0" t="n">
        <v>12</v>
      </c>
      <c r="D3706" s="0" t="n">
        <f aca="false">-1+A3706*0.125</f>
        <v>0.5</v>
      </c>
      <c r="E3706" s="0" t="n">
        <f aca="false">-1+B3706*0.125</f>
        <v>0.625</v>
      </c>
      <c r="F3706" s="0" t="n">
        <f aca="false">-1+C3706*0.125</f>
        <v>0.5</v>
      </c>
      <c r="G3706" s="0" t="n">
        <f aca="false">1</f>
        <v>1</v>
      </c>
      <c r="H3706" s="0" t="n">
        <f aca="false">D3706</f>
        <v>0.5</v>
      </c>
      <c r="I3706" s="0" t="n">
        <f aca="false">E3706</f>
        <v>0.625</v>
      </c>
      <c r="J3706" s="0" t="n">
        <f aca="false">F3706</f>
        <v>0.5</v>
      </c>
      <c r="K3706" s="0" t="n">
        <f aca="false">D3706*E3706</f>
        <v>0.3125</v>
      </c>
      <c r="L3706" s="0" t="n">
        <f aca="false">D3706*F3706</f>
        <v>0.25</v>
      </c>
      <c r="M3706" s="0" t="n">
        <f aca="false">E3706*F3706</f>
        <v>0.3125</v>
      </c>
      <c r="N3706" s="0" t="n">
        <f aca="false">D3706*D3706</f>
        <v>0.25</v>
      </c>
      <c r="O3706" s="0" t="n">
        <f aca="false">E3706*E3706</f>
        <v>0.390625</v>
      </c>
      <c r="P3706" s="0" t="n">
        <f aca="false">F3706*F3706</f>
        <v>0.25</v>
      </c>
      <c r="Q3706" s="0" t="n">
        <f aca="false">SUMPRODUCT(G3706:P3706,_XtX!$B$71:$K$71)</f>
        <v>50.4550568181818</v>
      </c>
      <c r="R3706" s="0" t="n">
        <f aca="false">SUMPRODUCT(MMULT(G3706:P3706,_XtX!$B$58:$K$67),G3706:P3706)</f>
        <v>0.189133522727273</v>
      </c>
      <c r="S3706" s="0" t="n">
        <f aca="false">04_回帰ANOVA!$K$19*04_回帰ANOVA!$K$14*SQRT(1+R3706)</f>
        <v>1.0138692404042</v>
      </c>
      <c r="T3706" s="0" t="n">
        <f aca="false">Q3706-S3706</f>
        <v>49.4411875777776</v>
      </c>
      <c r="U3706" s="0" t="n">
        <f aca="false">Q3706+S3706</f>
        <v>51.468926058586</v>
      </c>
      <c r="V3706" s="54" t="b">
        <f aca="false">AND(D3706&gt;=01_因子設定!$L$5-0.000000001,D3706&lt;=01_因子設定!$M$5+0.000000001,E3706&gt;=01_因子設定!$L$6-0.000000001,E3706&lt;=01_因子設定!$M$6+0.000000001,F3706&gt;=01_因子設定!$L$7-0.000000001,F3706&lt;=01_因子設定!$M$7+0.000000001,IF(01_因子設定!$B$20="Box-Behnken",D3706^2+E3706^2+F3706^2&lt;=2+0.000000001,TRUE()))</f>
        <v>1</v>
      </c>
      <c r="W3706" s="55" t="n">
        <f aca="false">IF(V3706,IF(01_因子設定!$B$13="最大化",T3706-01_因子設定!$B$14,IF(01_因子設定!$B$13="最小化",01_因子設定!$B$15-U3706,MIN(T3706-01_因子設定!$B$14,01_因子設定!$B$15-U3706))),-1E+030)</f>
        <v>0.941187577777633</v>
      </c>
      <c r="X3706" s="55" t="n">
        <f aca="false">IF(V3706,IF(01_因子設定!$B$13="最大化",Q3706,IF(01_因子設定!$B$13="最小化",-Q3706,-ABS(Q3706-01_因子設定!$B$16))),-1E+030)</f>
        <v>50.4550568181818</v>
      </c>
      <c r="Y3706" s="55" t="n">
        <f aca="false">W3706+ROW()*0.000000001</f>
        <v>0.941191283777633</v>
      </c>
      <c r="Z3706" s="55" t="n">
        <f aca="false">X3706+ROW()*0.000000001</f>
        <v>50.4550605241818</v>
      </c>
    </row>
    <row r="3707" customFormat="false" ht="15" hidden="false" customHeight="false" outlineLevel="0" collapsed="false">
      <c r="A3707" s="0" t="n">
        <v>12</v>
      </c>
      <c r="B3707" s="0" t="n">
        <v>13</v>
      </c>
      <c r="C3707" s="0" t="n">
        <v>13</v>
      </c>
      <c r="D3707" s="0" t="n">
        <f aca="false">-1+A3707*0.125</f>
        <v>0.5</v>
      </c>
      <c r="E3707" s="0" t="n">
        <f aca="false">-1+B3707*0.125</f>
        <v>0.625</v>
      </c>
      <c r="F3707" s="0" t="n">
        <f aca="false">-1+C3707*0.125</f>
        <v>0.625</v>
      </c>
      <c r="G3707" s="0" t="n">
        <f aca="false">1</f>
        <v>1</v>
      </c>
      <c r="H3707" s="0" t="n">
        <f aca="false">D3707</f>
        <v>0.5</v>
      </c>
      <c r="I3707" s="0" t="n">
        <f aca="false">E3707</f>
        <v>0.625</v>
      </c>
      <c r="J3707" s="0" t="n">
        <f aca="false">F3707</f>
        <v>0.625</v>
      </c>
      <c r="K3707" s="0" t="n">
        <f aca="false">D3707*E3707</f>
        <v>0.3125</v>
      </c>
      <c r="L3707" s="0" t="n">
        <f aca="false">D3707*F3707</f>
        <v>0.3125</v>
      </c>
      <c r="M3707" s="0" t="n">
        <f aca="false">E3707*F3707</f>
        <v>0.390625</v>
      </c>
      <c r="N3707" s="0" t="n">
        <f aca="false">D3707*D3707</f>
        <v>0.25</v>
      </c>
      <c r="O3707" s="0" t="n">
        <f aca="false">E3707*E3707</f>
        <v>0.390625</v>
      </c>
      <c r="P3707" s="0" t="n">
        <f aca="false">F3707*F3707</f>
        <v>0.390625</v>
      </c>
      <c r="Q3707" s="0" t="n">
        <f aca="false">SUMPRODUCT(G3707:P3707,_XtX!$B$71:$K$71)</f>
        <v>50.4877840909091</v>
      </c>
      <c r="R3707" s="0" t="n">
        <f aca="false">SUMPRODUCT(MMULT(G3707:P3707,_XtX!$B$58:$K$67),G3707:P3707)</f>
        <v>0.209862726384943</v>
      </c>
      <c r="S3707" s="0" t="n">
        <f aca="false">04_回帰ANOVA!$K$19*04_回帰ANOVA!$K$14*SQRT(1+R3707)</f>
        <v>1.0226680420112</v>
      </c>
      <c r="T3707" s="0" t="n">
        <f aca="false">Q3707-S3707</f>
        <v>49.4651160488979</v>
      </c>
      <c r="U3707" s="0" t="n">
        <f aca="false">Q3707+S3707</f>
        <v>51.5104521329203</v>
      </c>
      <c r="V3707" s="54" t="b">
        <f aca="false">AND(D3707&gt;=01_因子設定!$L$5-0.000000001,D3707&lt;=01_因子設定!$M$5+0.000000001,E3707&gt;=01_因子設定!$L$6-0.000000001,E3707&lt;=01_因子設定!$M$6+0.000000001,F3707&gt;=01_因子設定!$L$7-0.000000001,F3707&lt;=01_因子設定!$M$7+0.000000001,IF(01_因子設定!$B$20="Box-Behnken",D3707^2+E3707^2+F3707^2&lt;=2+0.000000001,TRUE()))</f>
        <v>1</v>
      </c>
      <c r="W3707" s="55" t="n">
        <f aca="false">IF(V3707,IF(01_因子設定!$B$13="最大化",T3707-01_因子設定!$B$14,IF(01_因子設定!$B$13="最小化",01_因子設定!$B$15-U3707,MIN(T3707-01_因子設定!$B$14,01_因子設定!$B$15-U3707))),-1E+030)</f>
        <v>0.965116048897905</v>
      </c>
      <c r="X3707" s="55" t="n">
        <f aca="false">IF(V3707,IF(01_因子設定!$B$13="最大化",Q3707,IF(01_因子設定!$B$13="最小化",-Q3707,-ABS(Q3707-01_因子設定!$B$16))),-1E+030)</f>
        <v>50.4877840909091</v>
      </c>
      <c r="Y3707" s="55" t="n">
        <f aca="false">W3707+ROW()*0.000000001</f>
        <v>0.965119755897904</v>
      </c>
      <c r="Z3707" s="55" t="n">
        <f aca="false">X3707+ROW()*0.000000001</f>
        <v>50.4877877979091</v>
      </c>
    </row>
    <row r="3708" customFormat="false" ht="15" hidden="false" customHeight="false" outlineLevel="0" collapsed="false">
      <c r="A3708" s="0" t="n">
        <v>12</v>
      </c>
      <c r="B3708" s="0" t="n">
        <v>13</v>
      </c>
      <c r="C3708" s="0" t="n">
        <v>14</v>
      </c>
      <c r="D3708" s="0" t="n">
        <f aca="false">-1+A3708*0.125</f>
        <v>0.5</v>
      </c>
      <c r="E3708" s="0" t="n">
        <f aca="false">-1+B3708*0.125</f>
        <v>0.625</v>
      </c>
      <c r="F3708" s="0" t="n">
        <f aca="false">-1+C3708*0.125</f>
        <v>0.75</v>
      </c>
      <c r="G3708" s="0" t="n">
        <f aca="false">1</f>
        <v>1</v>
      </c>
      <c r="H3708" s="0" t="n">
        <f aca="false">D3708</f>
        <v>0.5</v>
      </c>
      <c r="I3708" s="0" t="n">
        <f aca="false">E3708</f>
        <v>0.625</v>
      </c>
      <c r="J3708" s="0" t="n">
        <f aca="false">F3708</f>
        <v>0.75</v>
      </c>
      <c r="K3708" s="0" t="n">
        <f aca="false">D3708*E3708</f>
        <v>0.3125</v>
      </c>
      <c r="L3708" s="0" t="n">
        <f aca="false">D3708*F3708</f>
        <v>0.375</v>
      </c>
      <c r="M3708" s="0" t="n">
        <f aca="false">E3708*F3708</f>
        <v>0.46875</v>
      </c>
      <c r="N3708" s="0" t="n">
        <f aca="false">D3708*D3708</f>
        <v>0.25</v>
      </c>
      <c r="O3708" s="0" t="n">
        <f aca="false">E3708*E3708</f>
        <v>0.390625</v>
      </c>
      <c r="P3708" s="0" t="n">
        <f aca="false">F3708*F3708</f>
        <v>0.5625</v>
      </c>
      <c r="Q3708" s="0" t="n">
        <f aca="false">SUMPRODUCT(G3708:P3708,_XtX!$B$71:$K$71)</f>
        <v>50.4837215909091</v>
      </c>
      <c r="R3708" s="0" t="n">
        <f aca="false">SUMPRODUCT(MMULT(G3708:P3708,_XtX!$B$58:$K$67),G3708:P3708)</f>
        <v>0.254729669744318</v>
      </c>
      <c r="S3708" s="0" t="n">
        <f aca="false">04_回帰ANOVA!$K$19*04_回帰ANOVA!$K$14*SQRT(1+R3708)</f>
        <v>1.04145790281631</v>
      </c>
      <c r="T3708" s="0" t="n">
        <f aca="false">Q3708-S3708</f>
        <v>49.4422636880928</v>
      </c>
      <c r="U3708" s="0" t="n">
        <f aca="false">Q3708+S3708</f>
        <v>51.5251794937254</v>
      </c>
      <c r="V3708" s="54" t="b">
        <f aca="false">AND(D3708&gt;=01_因子設定!$L$5-0.000000001,D3708&lt;=01_因子設定!$M$5+0.000000001,E3708&gt;=01_因子設定!$L$6-0.000000001,E3708&lt;=01_因子設定!$M$6+0.000000001,F3708&gt;=01_因子設定!$L$7-0.000000001,F3708&lt;=01_因子設定!$M$7+0.000000001,IF(01_因子設定!$B$20="Box-Behnken",D3708^2+E3708^2+F3708^2&lt;=2+0.000000001,TRUE()))</f>
        <v>1</v>
      </c>
      <c r="W3708" s="55" t="n">
        <f aca="false">IF(V3708,IF(01_因子設定!$B$13="最大化",T3708-01_因子設定!$B$14,IF(01_因子設定!$B$13="最小化",01_因子設定!$B$15-U3708,MIN(T3708-01_因子設定!$B$14,01_因子設定!$B$15-U3708))),-1E+030)</f>
        <v>0.942263688092794</v>
      </c>
      <c r="X3708" s="55" t="n">
        <f aca="false">IF(V3708,IF(01_因子設定!$B$13="最大化",Q3708,IF(01_因子設定!$B$13="最小化",-Q3708,-ABS(Q3708-01_因子設定!$B$16))),-1E+030)</f>
        <v>50.4837215909091</v>
      </c>
      <c r="Y3708" s="55" t="n">
        <f aca="false">W3708+ROW()*0.000000001</f>
        <v>0.942267396092794</v>
      </c>
      <c r="Z3708" s="55" t="n">
        <f aca="false">X3708+ROW()*0.000000001</f>
        <v>50.4837252989091</v>
      </c>
    </row>
    <row r="3709" customFormat="false" ht="15" hidden="false" customHeight="false" outlineLevel="0" collapsed="false">
      <c r="A3709" s="0" t="n">
        <v>12</v>
      </c>
      <c r="B3709" s="0" t="n">
        <v>13</v>
      </c>
      <c r="C3709" s="0" t="n">
        <v>15</v>
      </c>
      <c r="D3709" s="0" t="n">
        <f aca="false">-1+A3709*0.125</f>
        <v>0.5</v>
      </c>
      <c r="E3709" s="0" t="n">
        <f aca="false">-1+B3709*0.125</f>
        <v>0.625</v>
      </c>
      <c r="F3709" s="0" t="n">
        <f aca="false">-1+C3709*0.125</f>
        <v>0.875</v>
      </c>
      <c r="G3709" s="0" t="n">
        <f aca="false">1</f>
        <v>1</v>
      </c>
      <c r="H3709" s="0" t="n">
        <f aca="false">D3709</f>
        <v>0.5</v>
      </c>
      <c r="I3709" s="0" t="n">
        <f aca="false">E3709</f>
        <v>0.625</v>
      </c>
      <c r="J3709" s="0" t="n">
        <f aca="false">F3709</f>
        <v>0.875</v>
      </c>
      <c r="K3709" s="0" t="n">
        <f aca="false">D3709*E3709</f>
        <v>0.3125</v>
      </c>
      <c r="L3709" s="0" t="n">
        <f aca="false">D3709*F3709</f>
        <v>0.4375</v>
      </c>
      <c r="M3709" s="0" t="n">
        <f aca="false">E3709*F3709</f>
        <v>0.546875</v>
      </c>
      <c r="N3709" s="0" t="n">
        <f aca="false">D3709*D3709</f>
        <v>0.25</v>
      </c>
      <c r="O3709" s="0" t="n">
        <f aca="false">E3709*E3709</f>
        <v>0.390625</v>
      </c>
      <c r="P3709" s="0" t="n">
        <f aca="false">F3709*F3709</f>
        <v>0.765625</v>
      </c>
      <c r="Q3709" s="0" t="n">
        <f aca="false">SUMPRODUCT(G3709:P3709,_XtX!$B$71:$K$71)</f>
        <v>50.4428693181818</v>
      </c>
      <c r="R3709" s="0" t="n">
        <f aca="false">SUMPRODUCT(MMULT(G3709:P3709,_XtX!$B$58:$K$67),G3709:P3709)</f>
        <v>0.335453102805398</v>
      </c>
      <c r="S3709" s="0" t="n">
        <f aca="false">04_回帰ANOVA!$K$19*04_回帰ANOVA!$K$14*SQRT(1+R3709)</f>
        <v>1.07443700305628</v>
      </c>
      <c r="T3709" s="0" t="n">
        <f aca="false">Q3709-S3709</f>
        <v>49.3684323151256</v>
      </c>
      <c r="U3709" s="0" t="n">
        <f aca="false">Q3709+S3709</f>
        <v>51.5173063212381</v>
      </c>
      <c r="V3709" s="54" t="b">
        <f aca="false">AND(D3709&gt;=01_因子設定!$L$5-0.000000001,D3709&lt;=01_因子設定!$M$5+0.000000001,E3709&gt;=01_因子設定!$L$6-0.000000001,E3709&lt;=01_因子設定!$M$6+0.000000001,F3709&gt;=01_因子設定!$L$7-0.000000001,F3709&lt;=01_因子設定!$M$7+0.000000001,IF(01_因子設定!$B$20="Box-Behnken",D3709^2+E3709^2+F3709^2&lt;=2+0.000000001,TRUE()))</f>
        <v>1</v>
      </c>
      <c r="W3709" s="55" t="n">
        <f aca="false">IF(V3709,IF(01_因子設定!$B$13="最大化",T3709-01_因子設定!$B$14,IF(01_因子設定!$B$13="最小化",01_因子設定!$B$15-U3709,MIN(T3709-01_因子設定!$B$14,01_因子設定!$B$15-U3709))),-1E+030)</f>
        <v>0.868432315125567</v>
      </c>
      <c r="X3709" s="55" t="n">
        <f aca="false">IF(V3709,IF(01_因子設定!$B$13="最大化",Q3709,IF(01_因子設定!$B$13="最小化",-Q3709,-ABS(Q3709-01_因子設定!$B$16))),-1E+030)</f>
        <v>50.4428693181818</v>
      </c>
      <c r="Y3709" s="55" t="n">
        <f aca="false">W3709+ROW()*0.000000001</f>
        <v>0.868436024125567</v>
      </c>
      <c r="Z3709" s="55" t="n">
        <f aca="false">X3709+ROW()*0.000000001</f>
        <v>50.4428730271818</v>
      </c>
    </row>
    <row r="3710" customFormat="false" ht="15" hidden="false" customHeight="false" outlineLevel="0" collapsed="false">
      <c r="A3710" s="0" t="n">
        <v>12</v>
      </c>
      <c r="B3710" s="0" t="n">
        <v>13</v>
      </c>
      <c r="C3710" s="0" t="n">
        <v>16</v>
      </c>
      <c r="D3710" s="0" t="n">
        <f aca="false">-1+A3710*0.125</f>
        <v>0.5</v>
      </c>
      <c r="E3710" s="0" t="n">
        <f aca="false">-1+B3710*0.125</f>
        <v>0.625</v>
      </c>
      <c r="F3710" s="0" t="n">
        <f aca="false">-1+C3710*0.125</f>
        <v>1</v>
      </c>
      <c r="G3710" s="0" t="n">
        <f aca="false">1</f>
        <v>1</v>
      </c>
      <c r="H3710" s="0" t="n">
        <f aca="false">D3710</f>
        <v>0.5</v>
      </c>
      <c r="I3710" s="0" t="n">
        <f aca="false">E3710</f>
        <v>0.625</v>
      </c>
      <c r="J3710" s="0" t="n">
        <f aca="false">F3710</f>
        <v>1</v>
      </c>
      <c r="K3710" s="0" t="n">
        <f aca="false">D3710*E3710</f>
        <v>0.3125</v>
      </c>
      <c r="L3710" s="0" t="n">
        <f aca="false">D3710*F3710</f>
        <v>0.5</v>
      </c>
      <c r="M3710" s="0" t="n">
        <f aca="false">E3710*F3710</f>
        <v>0.625</v>
      </c>
      <c r="N3710" s="0" t="n">
        <f aca="false">D3710*D3710</f>
        <v>0.25</v>
      </c>
      <c r="O3710" s="0" t="n">
        <f aca="false">E3710*E3710</f>
        <v>0.390625</v>
      </c>
      <c r="P3710" s="0" t="n">
        <f aca="false">F3710*F3710</f>
        <v>1</v>
      </c>
      <c r="Q3710" s="0" t="n">
        <f aca="false">SUMPRODUCT(G3710:P3710,_XtX!$B$71:$K$71)</f>
        <v>50.3652272727273</v>
      </c>
      <c r="R3710" s="0" t="n">
        <f aca="false">SUMPRODUCT(MMULT(G3710:P3710,_XtX!$B$58:$K$67),G3710:P3710)</f>
        <v>0.465882457386364</v>
      </c>
      <c r="S3710" s="0" t="n">
        <f aca="false">04_回帰ANOVA!$K$19*04_回帰ANOVA!$K$14*SQRT(1+R3710)</f>
        <v>1.12568326538173</v>
      </c>
      <c r="T3710" s="0" t="n">
        <f aca="false">Q3710-S3710</f>
        <v>49.2395440073456</v>
      </c>
      <c r="U3710" s="0" t="n">
        <f aca="false">Q3710+S3710</f>
        <v>51.490910538109</v>
      </c>
      <c r="V3710" s="54" t="b">
        <f aca="false">AND(D3710&gt;=01_因子設定!$L$5-0.000000001,D3710&lt;=01_因子設定!$M$5+0.000000001,E3710&gt;=01_因子設定!$L$6-0.000000001,E3710&lt;=01_因子設定!$M$6+0.000000001,F3710&gt;=01_因子設定!$L$7-0.000000001,F3710&lt;=01_因子設定!$M$7+0.000000001,IF(01_因子設定!$B$20="Box-Behnken",D3710^2+E3710^2+F3710^2&lt;=2+0.000000001,TRUE()))</f>
        <v>1</v>
      </c>
      <c r="W3710" s="55" t="n">
        <f aca="false">IF(V3710,IF(01_因子設定!$B$13="最大化",T3710-01_因子設定!$B$14,IF(01_因子設定!$B$13="最小化",01_因子設定!$B$15-U3710,MIN(T3710-01_因子設定!$B$14,01_因子設定!$B$15-U3710))),-1E+030)</f>
        <v>0.739544007345572</v>
      </c>
      <c r="X3710" s="55" t="n">
        <f aca="false">IF(V3710,IF(01_因子設定!$B$13="最大化",Q3710,IF(01_因子設定!$B$13="最小化",-Q3710,-ABS(Q3710-01_因子設定!$B$16))),-1E+030)</f>
        <v>50.3652272727273</v>
      </c>
      <c r="Y3710" s="55" t="n">
        <f aca="false">W3710+ROW()*0.000000001</f>
        <v>0.739547717345572</v>
      </c>
      <c r="Z3710" s="55" t="n">
        <f aca="false">X3710+ROW()*0.000000001</f>
        <v>50.3652309827273</v>
      </c>
    </row>
    <row r="3711" customFormat="false" ht="15" hidden="false" customHeight="false" outlineLevel="0" collapsed="false">
      <c r="A3711" s="0" t="n">
        <v>12</v>
      </c>
      <c r="B3711" s="0" t="n">
        <v>14</v>
      </c>
      <c r="C3711" s="0" t="n">
        <v>0</v>
      </c>
      <c r="D3711" s="0" t="n">
        <f aca="false">-1+A3711*0.125</f>
        <v>0.5</v>
      </c>
      <c r="E3711" s="0" t="n">
        <f aca="false">-1+B3711*0.125</f>
        <v>0.75</v>
      </c>
      <c r="F3711" s="0" t="n">
        <f aca="false">-1+C3711*0.125</f>
        <v>-1</v>
      </c>
      <c r="G3711" s="0" t="n">
        <f aca="false">1</f>
        <v>1</v>
      </c>
      <c r="H3711" s="0" t="n">
        <f aca="false">D3711</f>
        <v>0.5</v>
      </c>
      <c r="I3711" s="0" t="n">
        <f aca="false">E3711</f>
        <v>0.75</v>
      </c>
      <c r="J3711" s="0" t="n">
        <f aca="false">F3711</f>
        <v>-1</v>
      </c>
      <c r="K3711" s="0" t="n">
        <f aca="false">D3711*E3711</f>
        <v>0.375</v>
      </c>
      <c r="L3711" s="0" t="n">
        <f aca="false">D3711*F3711</f>
        <v>-0.5</v>
      </c>
      <c r="M3711" s="0" t="n">
        <f aca="false">E3711*F3711</f>
        <v>-0.75</v>
      </c>
      <c r="N3711" s="0" t="n">
        <f aca="false">D3711*D3711</f>
        <v>0.25</v>
      </c>
      <c r="O3711" s="0" t="n">
        <f aca="false">E3711*E3711</f>
        <v>0.5625</v>
      </c>
      <c r="P3711" s="0" t="n">
        <f aca="false">F3711*F3711</f>
        <v>1</v>
      </c>
      <c r="Q3711" s="0" t="n">
        <f aca="false">SUMPRODUCT(G3711:P3711,_XtX!$B$71:$K$71)</f>
        <v>47.1233522727273</v>
      </c>
      <c r="R3711" s="0" t="n">
        <f aca="false">SUMPRODUCT(MMULT(G3711:P3711,_XtX!$B$58:$K$67),G3711:P3711)</f>
        <v>0.495276988636364</v>
      </c>
      <c r="S3711" s="0" t="n">
        <f aca="false">04_回帰ANOVA!$K$19*04_回帰ANOVA!$K$14*SQRT(1+R3711)</f>
        <v>1.13691359828352</v>
      </c>
      <c r="T3711" s="0" t="n">
        <f aca="false">Q3711-S3711</f>
        <v>45.9864386744438</v>
      </c>
      <c r="U3711" s="0" t="n">
        <f aca="false">Q3711+S3711</f>
        <v>48.2602658710108</v>
      </c>
      <c r="V3711" s="54" t="b">
        <f aca="false">AND(D3711&gt;=01_因子設定!$L$5-0.000000001,D3711&lt;=01_因子設定!$M$5+0.000000001,E3711&gt;=01_因子設定!$L$6-0.000000001,E3711&lt;=01_因子設定!$M$6+0.000000001,F3711&gt;=01_因子設定!$L$7-0.000000001,F3711&lt;=01_因子設定!$M$7+0.000000001,IF(01_因子設定!$B$20="Box-Behnken",D3711^2+E3711^2+F3711^2&lt;=2+0.000000001,TRUE()))</f>
        <v>1</v>
      </c>
      <c r="W3711" s="55" t="n">
        <f aca="false">IF(V3711,IF(01_因子設定!$B$13="最大化",T3711-01_因子設定!$B$14,IF(01_因子設定!$B$13="最小化",01_因子設定!$B$15-U3711,MIN(T3711-01_因子設定!$B$14,01_因子設定!$B$15-U3711))),-1E+030)</f>
        <v>-2.51356132555623</v>
      </c>
      <c r="X3711" s="55" t="n">
        <f aca="false">IF(V3711,IF(01_因子設定!$B$13="最大化",Q3711,IF(01_因子設定!$B$13="最小化",-Q3711,-ABS(Q3711-01_因子設定!$B$16))),-1E+030)</f>
        <v>47.1233522727273</v>
      </c>
      <c r="Y3711" s="55" t="n">
        <f aca="false">W3711+ROW()*0.000000001</f>
        <v>-2.51355761455622</v>
      </c>
      <c r="Z3711" s="55" t="n">
        <f aca="false">X3711+ROW()*0.000000001</f>
        <v>47.1233559837273</v>
      </c>
    </row>
    <row r="3712" customFormat="false" ht="15" hidden="false" customHeight="false" outlineLevel="0" collapsed="false">
      <c r="A3712" s="0" t="n">
        <v>12</v>
      </c>
      <c r="B3712" s="0" t="n">
        <v>14</v>
      </c>
      <c r="C3712" s="0" t="n">
        <v>1</v>
      </c>
      <c r="D3712" s="0" t="n">
        <f aca="false">-1+A3712*0.125</f>
        <v>0.5</v>
      </c>
      <c r="E3712" s="0" t="n">
        <f aca="false">-1+B3712*0.125</f>
        <v>0.75</v>
      </c>
      <c r="F3712" s="0" t="n">
        <f aca="false">-1+C3712*0.125</f>
        <v>-0.875</v>
      </c>
      <c r="G3712" s="0" t="n">
        <f aca="false">1</f>
        <v>1</v>
      </c>
      <c r="H3712" s="0" t="n">
        <f aca="false">D3712</f>
        <v>0.5</v>
      </c>
      <c r="I3712" s="0" t="n">
        <f aca="false">E3712</f>
        <v>0.75</v>
      </c>
      <c r="J3712" s="0" t="n">
        <f aca="false">F3712</f>
        <v>-0.875</v>
      </c>
      <c r="K3712" s="0" t="n">
        <f aca="false">D3712*E3712</f>
        <v>0.375</v>
      </c>
      <c r="L3712" s="0" t="n">
        <f aca="false">D3712*F3712</f>
        <v>-0.4375</v>
      </c>
      <c r="M3712" s="0" t="n">
        <f aca="false">E3712*F3712</f>
        <v>-0.65625</v>
      </c>
      <c r="N3712" s="0" t="n">
        <f aca="false">D3712*D3712</f>
        <v>0.25</v>
      </c>
      <c r="O3712" s="0" t="n">
        <f aca="false">E3712*E3712</f>
        <v>0.5625</v>
      </c>
      <c r="P3712" s="0" t="n">
        <f aca="false">F3712*F3712</f>
        <v>0.765625</v>
      </c>
      <c r="Q3712" s="0" t="n">
        <f aca="false">SUMPRODUCT(G3712:P3712,_XtX!$B$71:$K$71)</f>
        <v>47.6045880681818</v>
      </c>
      <c r="R3712" s="0" t="n">
        <f aca="false">SUMPRODUCT(MMULT(G3712:P3712,_XtX!$B$58:$K$67),G3712:P3712)</f>
        <v>0.370798561789773</v>
      </c>
      <c r="S3712" s="0" t="n">
        <f aca="false">04_回帰ANOVA!$K$19*04_回帰ANOVA!$K$14*SQRT(1+R3712)</f>
        <v>1.08856271788237</v>
      </c>
      <c r="T3712" s="0" t="n">
        <f aca="false">Q3712-S3712</f>
        <v>46.5160253502995</v>
      </c>
      <c r="U3712" s="0" t="n">
        <f aca="false">Q3712+S3712</f>
        <v>48.6931507860642</v>
      </c>
      <c r="V3712" s="54" t="b">
        <f aca="false">AND(D3712&gt;=01_因子設定!$L$5-0.000000001,D3712&lt;=01_因子設定!$M$5+0.000000001,E3712&gt;=01_因子設定!$L$6-0.000000001,E3712&lt;=01_因子設定!$M$6+0.000000001,F3712&gt;=01_因子設定!$L$7-0.000000001,F3712&lt;=01_因子設定!$M$7+0.000000001,IF(01_因子設定!$B$20="Box-Behnken",D3712^2+E3712^2+F3712^2&lt;=2+0.000000001,TRUE()))</f>
        <v>1</v>
      </c>
      <c r="W3712" s="55" t="n">
        <f aca="false">IF(V3712,IF(01_因子設定!$B$13="最大化",T3712-01_因子設定!$B$14,IF(01_因子設定!$B$13="最小化",01_因子設定!$B$15-U3712,MIN(T3712-01_因子設定!$B$14,01_因子設定!$B$15-U3712))),-1E+030)</f>
        <v>-1.98397464970054</v>
      </c>
      <c r="X3712" s="55" t="n">
        <f aca="false">IF(V3712,IF(01_因子設定!$B$13="最大化",Q3712,IF(01_因子設定!$B$13="最小化",-Q3712,-ABS(Q3712-01_因子設定!$B$16))),-1E+030)</f>
        <v>47.6045880681818</v>
      </c>
      <c r="Y3712" s="55" t="n">
        <f aca="false">W3712+ROW()*0.000000001</f>
        <v>-1.98397093770054</v>
      </c>
      <c r="Z3712" s="55" t="n">
        <f aca="false">X3712+ROW()*0.000000001</f>
        <v>47.6045917801818</v>
      </c>
    </row>
    <row r="3713" customFormat="false" ht="15" hidden="false" customHeight="false" outlineLevel="0" collapsed="false">
      <c r="A3713" s="0" t="n">
        <v>12</v>
      </c>
      <c r="B3713" s="0" t="n">
        <v>14</v>
      </c>
      <c r="C3713" s="0" t="n">
        <v>2</v>
      </c>
      <c r="D3713" s="0" t="n">
        <f aca="false">-1+A3713*0.125</f>
        <v>0.5</v>
      </c>
      <c r="E3713" s="0" t="n">
        <f aca="false">-1+B3713*0.125</f>
        <v>0.75</v>
      </c>
      <c r="F3713" s="0" t="n">
        <f aca="false">-1+C3713*0.125</f>
        <v>-0.75</v>
      </c>
      <c r="G3713" s="0" t="n">
        <f aca="false">1</f>
        <v>1</v>
      </c>
      <c r="H3713" s="0" t="n">
        <f aca="false">D3713</f>
        <v>0.5</v>
      </c>
      <c r="I3713" s="0" t="n">
        <f aca="false">E3713</f>
        <v>0.75</v>
      </c>
      <c r="J3713" s="0" t="n">
        <f aca="false">F3713</f>
        <v>-0.75</v>
      </c>
      <c r="K3713" s="0" t="n">
        <f aca="false">D3713*E3713</f>
        <v>0.375</v>
      </c>
      <c r="L3713" s="0" t="n">
        <f aca="false">D3713*F3713</f>
        <v>-0.375</v>
      </c>
      <c r="M3713" s="0" t="n">
        <f aca="false">E3713*F3713</f>
        <v>-0.5625</v>
      </c>
      <c r="N3713" s="0" t="n">
        <f aca="false">D3713*D3713</f>
        <v>0.25</v>
      </c>
      <c r="O3713" s="0" t="n">
        <f aca="false">E3713*E3713</f>
        <v>0.5625</v>
      </c>
      <c r="P3713" s="0" t="n">
        <f aca="false">F3713*F3713</f>
        <v>0.5625</v>
      </c>
      <c r="Q3713" s="0" t="n">
        <f aca="false">SUMPRODUCT(G3713:P3713,_XtX!$B$71:$K$71)</f>
        <v>48.0490340909091</v>
      </c>
      <c r="R3713" s="0" t="n">
        <f aca="false">SUMPRODUCT(MMULT(G3713:P3713,_XtX!$B$58:$K$67),G3713:P3713)</f>
        <v>0.295232599431818</v>
      </c>
      <c r="S3713" s="0" t="n">
        <f aca="false">04_回帰ANOVA!$K$19*04_回帰ANOVA!$K$14*SQRT(1+R3713)</f>
        <v>1.05813363442154</v>
      </c>
      <c r="T3713" s="0" t="n">
        <f aca="false">Q3713-S3713</f>
        <v>46.9909004564876</v>
      </c>
      <c r="U3713" s="0" t="n">
        <f aca="false">Q3713+S3713</f>
        <v>49.1071677253307</v>
      </c>
      <c r="V3713" s="54" t="b">
        <f aca="false">AND(D3713&gt;=01_因子設定!$L$5-0.000000001,D3713&lt;=01_因子設定!$M$5+0.000000001,E3713&gt;=01_因子設定!$L$6-0.000000001,E3713&lt;=01_因子設定!$M$6+0.000000001,F3713&gt;=01_因子設定!$L$7-0.000000001,F3713&lt;=01_因子設定!$M$7+0.000000001,IF(01_因子設定!$B$20="Box-Behnken",D3713^2+E3713^2+F3713^2&lt;=2+0.000000001,TRUE()))</f>
        <v>1</v>
      </c>
      <c r="W3713" s="55" t="n">
        <f aca="false">IF(V3713,IF(01_因子設定!$B$13="最大化",T3713-01_因子設定!$B$14,IF(01_因子設定!$B$13="最小化",01_因子設定!$B$15-U3713,MIN(T3713-01_因子設定!$B$14,01_因子設定!$B$15-U3713))),-1E+030)</f>
        <v>-1.50909954351243</v>
      </c>
      <c r="X3713" s="55" t="n">
        <f aca="false">IF(V3713,IF(01_因子設定!$B$13="最大化",Q3713,IF(01_因子設定!$B$13="最小化",-Q3713,-ABS(Q3713-01_因子設定!$B$16))),-1E+030)</f>
        <v>48.0490340909091</v>
      </c>
      <c r="Y3713" s="55" t="n">
        <f aca="false">W3713+ROW()*0.000000001</f>
        <v>-1.50909583051243</v>
      </c>
      <c r="Z3713" s="55" t="n">
        <f aca="false">X3713+ROW()*0.000000001</f>
        <v>48.0490378039091</v>
      </c>
    </row>
    <row r="3714" customFormat="false" ht="15" hidden="false" customHeight="false" outlineLevel="0" collapsed="false">
      <c r="A3714" s="0" t="n">
        <v>12</v>
      </c>
      <c r="B3714" s="0" t="n">
        <v>14</v>
      </c>
      <c r="C3714" s="0" t="n">
        <v>3</v>
      </c>
      <c r="D3714" s="0" t="n">
        <f aca="false">-1+A3714*0.125</f>
        <v>0.5</v>
      </c>
      <c r="E3714" s="0" t="n">
        <f aca="false">-1+B3714*0.125</f>
        <v>0.75</v>
      </c>
      <c r="F3714" s="0" t="n">
        <f aca="false">-1+C3714*0.125</f>
        <v>-0.625</v>
      </c>
      <c r="G3714" s="0" t="n">
        <f aca="false">1</f>
        <v>1</v>
      </c>
      <c r="H3714" s="0" t="n">
        <f aca="false">D3714</f>
        <v>0.5</v>
      </c>
      <c r="I3714" s="0" t="n">
        <f aca="false">E3714</f>
        <v>0.75</v>
      </c>
      <c r="J3714" s="0" t="n">
        <f aca="false">F3714</f>
        <v>-0.625</v>
      </c>
      <c r="K3714" s="0" t="n">
        <f aca="false">D3714*E3714</f>
        <v>0.375</v>
      </c>
      <c r="L3714" s="0" t="n">
        <f aca="false">D3714*F3714</f>
        <v>-0.3125</v>
      </c>
      <c r="M3714" s="0" t="n">
        <f aca="false">E3714*F3714</f>
        <v>-0.46875</v>
      </c>
      <c r="N3714" s="0" t="n">
        <f aca="false">D3714*D3714</f>
        <v>0.25</v>
      </c>
      <c r="O3714" s="0" t="n">
        <f aca="false">E3714*E3714</f>
        <v>0.5625</v>
      </c>
      <c r="P3714" s="0" t="n">
        <f aca="false">F3714*F3714</f>
        <v>0.390625</v>
      </c>
      <c r="Q3714" s="0" t="n">
        <f aca="false">SUMPRODUCT(G3714:P3714,_XtX!$B$71:$K$71)</f>
        <v>48.4566903409091</v>
      </c>
      <c r="R3714" s="0" t="n">
        <f aca="false">SUMPRODUCT(MMULT(G3714:P3714,_XtX!$B$58:$K$67),G3714:P3714)</f>
        <v>0.254729669744318</v>
      </c>
      <c r="S3714" s="0" t="n">
        <f aca="false">04_回帰ANOVA!$K$19*04_回帰ANOVA!$K$14*SQRT(1+R3714)</f>
        <v>1.04145790281631</v>
      </c>
      <c r="T3714" s="0" t="n">
        <f aca="false">Q3714-S3714</f>
        <v>47.4152324380928</v>
      </c>
      <c r="U3714" s="0" t="n">
        <f aca="false">Q3714+S3714</f>
        <v>49.4981482437254</v>
      </c>
      <c r="V3714" s="54" t="b">
        <f aca="false">AND(D3714&gt;=01_因子設定!$L$5-0.000000001,D3714&lt;=01_因子設定!$M$5+0.000000001,E3714&gt;=01_因子設定!$L$6-0.000000001,E3714&lt;=01_因子設定!$M$6+0.000000001,F3714&gt;=01_因子設定!$L$7-0.000000001,F3714&lt;=01_因子設定!$M$7+0.000000001,IF(01_因子設定!$B$20="Box-Behnken",D3714^2+E3714^2+F3714^2&lt;=2+0.000000001,TRUE()))</f>
        <v>1</v>
      </c>
      <c r="W3714" s="55" t="n">
        <f aca="false">IF(V3714,IF(01_因子設定!$B$13="最大化",T3714-01_因子設定!$B$14,IF(01_因子設定!$B$13="最小化",01_因子設定!$B$15-U3714,MIN(T3714-01_因子設定!$B$14,01_因子設定!$B$15-U3714))),-1E+030)</f>
        <v>-1.08476756190721</v>
      </c>
      <c r="X3714" s="55" t="n">
        <f aca="false">IF(V3714,IF(01_因子設定!$B$13="最大化",Q3714,IF(01_因子設定!$B$13="最小化",-Q3714,-ABS(Q3714-01_因子設定!$B$16))),-1E+030)</f>
        <v>48.4566903409091</v>
      </c>
      <c r="Y3714" s="55" t="n">
        <f aca="false">W3714+ROW()*0.000000001</f>
        <v>-1.08476384790721</v>
      </c>
      <c r="Z3714" s="55" t="n">
        <f aca="false">X3714+ROW()*0.000000001</f>
        <v>48.4566940549091</v>
      </c>
    </row>
    <row r="3715" customFormat="false" ht="15" hidden="false" customHeight="false" outlineLevel="0" collapsed="false">
      <c r="A3715" s="0" t="n">
        <v>12</v>
      </c>
      <c r="B3715" s="0" t="n">
        <v>14</v>
      </c>
      <c r="C3715" s="0" t="n">
        <v>4</v>
      </c>
      <c r="D3715" s="0" t="n">
        <f aca="false">-1+A3715*0.125</f>
        <v>0.5</v>
      </c>
      <c r="E3715" s="0" t="n">
        <f aca="false">-1+B3715*0.125</f>
        <v>0.75</v>
      </c>
      <c r="F3715" s="0" t="n">
        <f aca="false">-1+C3715*0.125</f>
        <v>-0.5</v>
      </c>
      <c r="G3715" s="0" t="n">
        <f aca="false">1</f>
        <v>1</v>
      </c>
      <c r="H3715" s="0" t="n">
        <f aca="false">D3715</f>
        <v>0.5</v>
      </c>
      <c r="I3715" s="0" t="n">
        <f aca="false">E3715</f>
        <v>0.75</v>
      </c>
      <c r="J3715" s="0" t="n">
        <f aca="false">F3715</f>
        <v>-0.5</v>
      </c>
      <c r="K3715" s="0" t="n">
        <f aca="false">D3715*E3715</f>
        <v>0.375</v>
      </c>
      <c r="L3715" s="0" t="n">
        <f aca="false">D3715*F3715</f>
        <v>-0.25</v>
      </c>
      <c r="M3715" s="0" t="n">
        <f aca="false">E3715*F3715</f>
        <v>-0.375</v>
      </c>
      <c r="N3715" s="0" t="n">
        <f aca="false">D3715*D3715</f>
        <v>0.25</v>
      </c>
      <c r="O3715" s="0" t="n">
        <f aca="false">E3715*E3715</f>
        <v>0.5625</v>
      </c>
      <c r="P3715" s="0" t="n">
        <f aca="false">F3715*F3715</f>
        <v>0.25</v>
      </c>
      <c r="Q3715" s="0" t="n">
        <f aca="false">SUMPRODUCT(G3715:P3715,_XtX!$B$71:$K$71)</f>
        <v>48.8275568181818</v>
      </c>
      <c r="R3715" s="0" t="n">
        <f aca="false">SUMPRODUCT(MMULT(G3715:P3715,_XtX!$B$58:$K$67),G3715:P3715)</f>
        <v>0.237571022727273</v>
      </c>
      <c r="S3715" s="0" t="n">
        <f aca="false">04_回帰ANOVA!$K$19*04_回帰ANOVA!$K$14*SQRT(1+R3715)</f>
        <v>1.0343123302758</v>
      </c>
      <c r="T3715" s="0" t="n">
        <f aca="false">Q3715-S3715</f>
        <v>47.793244487906</v>
      </c>
      <c r="U3715" s="0" t="n">
        <f aca="false">Q3715+S3715</f>
        <v>49.8618691484576</v>
      </c>
      <c r="V3715" s="54" t="b">
        <f aca="false">AND(D3715&gt;=01_因子設定!$L$5-0.000000001,D3715&lt;=01_因子設定!$M$5+0.000000001,E3715&gt;=01_因子設定!$L$6-0.000000001,E3715&lt;=01_因子設定!$M$6+0.000000001,F3715&gt;=01_因子設定!$L$7-0.000000001,F3715&lt;=01_因子設定!$M$7+0.000000001,IF(01_因子設定!$B$20="Box-Behnken",D3715^2+E3715^2+F3715^2&lt;=2+0.000000001,TRUE()))</f>
        <v>1</v>
      </c>
      <c r="W3715" s="55" t="n">
        <f aca="false">IF(V3715,IF(01_因子設定!$B$13="最大化",T3715-01_因子設定!$B$14,IF(01_因子設定!$B$13="最小化",01_因子設定!$B$15-U3715,MIN(T3715-01_因子設定!$B$14,01_因子設定!$B$15-U3715))),-1E+030)</f>
        <v>-0.706755512093977</v>
      </c>
      <c r="X3715" s="55" t="n">
        <f aca="false">IF(V3715,IF(01_因子設定!$B$13="最大化",Q3715,IF(01_因子設定!$B$13="最小化",-Q3715,-ABS(Q3715-01_因子設定!$B$16))),-1E+030)</f>
        <v>48.8275568181818</v>
      </c>
      <c r="Y3715" s="55" t="n">
        <f aca="false">W3715+ROW()*0.000000001</f>
        <v>-0.706751797093977</v>
      </c>
      <c r="Z3715" s="55" t="n">
        <f aca="false">X3715+ROW()*0.000000001</f>
        <v>48.8275605331818</v>
      </c>
    </row>
    <row r="3716" customFormat="false" ht="15" hidden="false" customHeight="false" outlineLevel="0" collapsed="false">
      <c r="A3716" s="0" t="n">
        <v>12</v>
      </c>
      <c r="B3716" s="0" t="n">
        <v>14</v>
      </c>
      <c r="C3716" s="0" t="n">
        <v>5</v>
      </c>
      <c r="D3716" s="0" t="n">
        <f aca="false">-1+A3716*0.125</f>
        <v>0.5</v>
      </c>
      <c r="E3716" s="0" t="n">
        <f aca="false">-1+B3716*0.125</f>
        <v>0.75</v>
      </c>
      <c r="F3716" s="0" t="n">
        <f aca="false">-1+C3716*0.125</f>
        <v>-0.375</v>
      </c>
      <c r="G3716" s="0" t="n">
        <f aca="false">1</f>
        <v>1</v>
      </c>
      <c r="H3716" s="0" t="n">
        <f aca="false">D3716</f>
        <v>0.5</v>
      </c>
      <c r="I3716" s="0" t="n">
        <f aca="false">E3716</f>
        <v>0.75</v>
      </c>
      <c r="J3716" s="0" t="n">
        <f aca="false">F3716</f>
        <v>-0.375</v>
      </c>
      <c r="K3716" s="0" t="n">
        <f aca="false">D3716*E3716</f>
        <v>0.375</v>
      </c>
      <c r="L3716" s="0" t="n">
        <f aca="false">D3716*F3716</f>
        <v>-0.1875</v>
      </c>
      <c r="M3716" s="0" t="n">
        <f aca="false">E3716*F3716</f>
        <v>-0.28125</v>
      </c>
      <c r="N3716" s="0" t="n">
        <f aca="false">D3716*D3716</f>
        <v>0.25</v>
      </c>
      <c r="O3716" s="0" t="n">
        <f aca="false">E3716*E3716</f>
        <v>0.5625</v>
      </c>
      <c r="P3716" s="0" t="n">
        <f aca="false">F3716*F3716</f>
        <v>0.140625</v>
      </c>
      <c r="Q3716" s="0" t="n">
        <f aca="false">SUMPRODUCT(G3716:P3716,_XtX!$B$71:$K$71)</f>
        <v>49.1616335227273</v>
      </c>
      <c r="R3716" s="0" t="n">
        <f aca="false">SUMPRODUCT(MMULT(G3716:P3716,_XtX!$B$58:$K$67),G3716:P3716)</f>
        <v>0.234168590198864</v>
      </c>
      <c r="S3716" s="0" t="n">
        <f aca="false">04_回帰ANOVA!$K$19*04_回帰ANOVA!$K$14*SQRT(1+R3716)</f>
        <v>1.03288954322488</v>
      </c>
      <c r="T3716" s="0" t="n">
        <f aca="false">Q3716-S3716</f>
        <v>48.1287439795024</v>
      </c>
      <c r="U3716" s="0" t="n">
        <f aca="false">Q3716+S3716</f>
        <v>50.1945230659522</v>
      </c>
      <c r="V3716" s="54" t="b">
        <f aca="false">AND(D3716&gt;=01_因子設定!$L$5-0.000000001,D3716&lt;=01_因子設定!$M$5+0.000000001,E3716&gt;=01_因子設定!$L$6-0.000000001,E3716&lt;=01_因子設定!$M$6+0.000000001,F3716&gt;=01_因子設定!$L$7-0.000000001,F3716&lt;=01_因子設定!$M$7+0.000000001,IF(01_因子設定!$B$20="Box-Behnken",D3716^2+E3716^2+F3716^2&lt;=2+0.000000001,TRUE()))</f>
        <v>1</v>
      </c>
      <c r="W3716" s="55" t="n">
        <f aca="false">IF(V3716,IF(01_因子設定!$B$13="最大化",T3716-01_因子設定!$B$14,IF(01_因子設定!$B$13="最小化",01_因子設定!$B$15-U3716,MIN(T3716-01_因子設定!$B$14,01_因子設定!$B$15-U3716))),-1E+030)</f>
        <v>-0.371256020497597</v>
      </c>
      <c r="X3716" s="55" t="n">
        <f aca="false">IF(V3716,IF(01_因子設定!$B$13="最大化",Q3716,IF(01_因子設定!$B$13="最小化",-Q3716,-ABS(Q3716-01_因子設定!$B$16))),-1E+030)</f>
        <v>49.1616335227273</v>
      </c>
      <c r="Y3716" s="55" t="n">
        <f aca="false">W3716+ROW()*0.000000001</f>
        <v>-0.371252304497597</v>
      </c>
      <c r="Z3716" s="55" t="n">
        <f aca="false">X3716+ROW()*0.000000001</f>
        <v>49.1616372387273</v>
      </c>
    </row>
    <row r="3717" customFormat="false" ht="15" hidden="false" customHeight="false" outlineLevel="0" collapsed="false">
      <c r="A3717" s="0" t="n">
        <v>12</v>
      </c>
      <c r="B3717" s="0" t="n">
        <v>14</v>
      </c>
      <c r="C3717" s="0" t="n">
        <v>6</v>
      </c>
      <c r="D3717" s="0" t="n">
        <f aca="false">-1+A3717*0.125</f>
        <v>0.5</v>
      </c>
      <c r="E3717" s="0" t="n">
        <f aca="false">-1+B3717*0.125</f>
        <v>0.75</v>
      </c>
      <c r="F3717" s="0" t="n">
        <f aca="false">-1+C3717*0.125</f>
        <v>-0.25</v>
      </c>
      <c r="G3717" s="0" t="n">
        <f aca="false">1</f>
        <v>1</v>
      </c>
      <c r="H3717" s="0" t="n">
        <f aca="false">D3717</f>
        <v>0.5</v>
      </c>
      <c r="I3717" s="0" t="n">
        <f aca="false">E3717</f>
        <v>0.75</v>
      </c>
      <c r="J3717" s="0" t="n">
        <f aca="false">F3717</f>
        <v>-0.25</v>
      </c>
      <c r="K3717" s="0" t="n">
        <f aca="false">D3717*E3717</f>
        <v>0.375</v>
      </c>
      <c r="L3717" s="0" t="n">
        <f aca="false">D3717*F3717</f>
        <v>-0.125</v>
      </c>
      <c r="M3717" s="0" t="n">
        <f aca="false">E3717*F3717</f>
        <v>-0.1875</v>
      </c>
      <c r="N3717" s="0" t="n">
        <f aca="false">D3717*D3717</f>
        <v>0.25</v>
      </c>
      <c r="O3717" s="0" t="n">
        <f aca="false">E3717*E3717</f>
        <v>0.5625</v>
      </c>
      <c r="P3717" s="0" t="n">
        <f aca="false">F3717*F3717</f>
        <v>0.0625</v>
      </c>
      <c r="Q3717" s="0" t="n">
        <f aca="false">SUMPRODUCT(G3717:P3717,_XtX!$B$71:$K$71)</f>
        <v>49.4589204545455</v>
      </c>
      <c r="R3717" s="0" t="n">
        <f aca="false">SUMPRODUCT(MMULT(G3717:P3717,_XtX!$B$58:$K$67),G3717:P3717)</f>
        <v>0.237064985795455</v>
      </c>
      <c r="S3717" s="0" t="n">
        <f aca="false">04_回帰ANOVA!$K$19*04_回帰ANOVA!$K$14*SQRT(1+R3717)</f>
        <v>1.03410084594745</v>
      </c>
      <c r="T3717" s="0" t="n">
        <f aca="false">Q3717-S3717</f>
        <v>48.424819608598</v>
      </c>
      <c r="U3717" s="0" t="n">
        <f aca="false">Q3717+S3717</f>
        <v>50.4930213004929</v>
      </c>
      <c r="V3717" s="54" t="b">
        <f aca="false">AND(D3717&gt;=01_因子設定!$L$5-0.000000001,D3717&lt;=01_因子設定!$M$5+0.000000001,E3717&gt;=01_因子設定!$L$6-0.000000001,E3717&lt;=01_因子設定!$M$6+0.000000001,F3717&gt;=01_因子設定!$L$7-0.000000001,F3717&lt;=01_因子設定!$M$7+0.000000001,IF(01_因子設定!$B$20="Box-Behnken",D3717^2+E3717^2+F3717^2&lt;=2+0.000000001,TRUE()))</f>
        <v>1</v>
      </c>
      <c r="W3717" s="55" t="n">
        <f aca="false">IF(V3717,IF(01_因子設定!$B$13="最大化",T3717-01_因子設定!$B$14,IF(01_因子設定!$B$13="最小化",01_因子設定!$B$15-U3717,MIN(T3717-01_因子設定!$B$14,01_因子設定!$B$15-U3717))),-1E+030)</f>
        <v>-0.0751803914019789</v>
      </c>
      <c r="X3717" s="55" t="n">
        <f aca="false">IF(V3717,IF(01_因子設定!$B$13="最大化",Q3717,IF(01_因子設定!$B$13="最小化",-Q3717,-ABS(Q3717-01_因子設定!$B$16))),-1E+030)</f>
        <v>49.4589204545455</v>
      </c>
      <c r="Y3717" s="55" t="n">
        <f aca="false">W3717+ROW()*0.000000001</f>
        <v>-0.0751766744019789</v>
      </c>
      <c r="Z3717" s="55" t="n">
        <f aca="false">X3717+ROW()*0.000000001</f>
        <v>49.4589241715455</v>
      </c>
    </row>
    <row r="3718" customFormat="false" ht="15" hidden="false" customHeight="false" outlineLevel="0" collapsed="false">
      <c r="A3718" s="0" t="n">
        <v>12</v>
      </c>
      <c r="B3718" s="0" t="n">
        <v>14</v>
      </c>
      <c r="C3718" s="0" t="n">
        <v>7</v>
      </c>
      <c r="D3718" s="0" t="n">
        <f aca="false">-1+A3718*0.125</f>
        <v>0.5</v>
      </c>
      <c r="E3718" s="0" t="n">
        <f aca="false">-1+B3718*0.125</f>
        <v>0.75</v>
      </c>
      <c r="F3718" s="0" t="n">
        <f aca="false">-1+C3718*0.125</f>
        <v>-0.125</v>
      </c>
      <c r="G3718" s="0" t="n">
        <f aca="false">1</f>
        <v>1</v>
      </c>
      <c r="H3718" s="0" t="n">
        <f aca="false">D3718</f>
        <v>0.5</v>
      </c>
      <c r="I3718" s="0" t="n">
        <f aca="false">E3718</f>
        <v>0.75</v>
      </c>
      <c r="J3718" s="0" t="n">
        <f aca="false">F3718</f>
        <v>-0.125</v>
      </c>
      <c r="K3718" s="0" t="n">
        <f aca="false">D3718*E3718</f>
        <v>0.375</v>
      </c>
      <c r="L3718" s="0" t="n">
        <f aca="false">D3718*F3718</f>
        <v>-0.0625</v>
      </c>
      <c r="M3718" s="0" t="n">
        <f aca="false">E3718*F3718</f>
        <v>-0.09375</v>
      </c>
      <c r="N3718" s="0" t="n">
        <f aca="false">D3718*D3718</f>
        <v>0.25</v>
      </c>
      <c r="O3718" s="0" t="n">
        <f aca="false">E3718*E3718</f>
        <v>0.5625</v>
      </c>
      <c r="P3718" s="0" t="n">
        <f aca="false">F3718*F3718</f>
        <v>0.015625</v>
      </c>
      <c r="Q3718" s="0" t="n">
        <f aca="false">SUMPRODUCT(G3718:P3718,_XtX!$B$71:$K$71)</f>
        <v>49.7194176136364</v>
      </c>
      <c r="R3718" s="0" t="n">
        <f aca="false">SUMPRODUCT(MMULT(G3718:P3718,_XtX!$B$58:$K$67),G3718:P3718)</f>
        <v>0.240933504971591</v>
      </c>
      <c r="S3718" s="0" t="n">
        <f aca="false">04_回帰ANOVA!$K$19*04_回帰ANOVA!$K$14*SQRT(1+R3718)</f>
        <v>1.03571649118863</v>
      </c>
      <c r="T3718" s="0" t="n">
        <f aca="false">Q3718-S3718</f>
        <v>48.6837011224477</v>
      </c>
      <c r="U3718" s="0" t="n">
        <f aca="false">Q3718+S3718</f>
        <v>50.755134104825</v>
      </c>
      <c r="V3718" s="54" t="b">
        <f aca="false">AND(D3718&gt;=01_因子設定!$L$5-0.000000001,D3718&lt;=01_因子設定!$M$5+0.000000001,E3718&gt;=01_因子設定!$L$6-0.000000001,E3718&lt;=01_因子設定!$M$6+0.000000001,F3718&gt;=01_因子設定!$L$7-0.000000001,F3718&lt;=01_因子設定!$M$7+0.000000001,IF(01_因子設定!$B$20="Box-Behnken",D3718^2+E3718^2+F3718^2&lt;=2+0.000000001,TRUE()))</f>
        <v>1</v>
      </c>
      <c r="W3718" s="55" t="n">
        <f aca="false">IF(V3718,IF(01_因子設定!$B$13="最大化",T3718-01_因子設定!$B$14,IF(01_因子設定!$B$13="最小化",01_因子設定!$B$15-U3718,MIN(T3718-01_因子設定!$B$14,01_因子設定!$B$15-U3718))),-1E+030)</f>
        <v>0.183701122447744</v>
      </c>
      <c r="X3718" s="55" t="n">
        <f aca="false">IF(V3718,IF(01_因子設定!$B$13="最大化",Q3718,IF(01_因子設定!$B$13="最小化",-Q3718,-ABS(Q3718-01_因子設定!$B$16))),-1E+030)</f>
        <v>49.7194176136364</v>
      </c>
      <c r="Y3718" s="55" t="n">
        <f aca="false">W3718+ROW()*0.000000001</f>
        <v>0.183704840447744</v>
      </c>
      <c r="Z3718" s="55" t="n">
        <f aca="false">X3718+ROW()*0.000000001</f>
        <v>49.7194213316364</v>
      </c>
    </row>
    <row r="3719" customFormat="false" ht="15" hidden="false" customHeight="false" outlineLevel="0" collapsed="false">
      <c r="A3719" s="0" t="n">
        <v>12</v>
      </c>
      <c r="B3719" s="0" t="n">
        <v>14</v>
      </c>
      <c r="C3719" s="0" t="n">
        <v>8</v>
      </c>
      <c r="D3719" s="0" t="n">
        <f aca="false">-1+A3719*0.125</f>
        <v>0.5</v>
      </c>
      <c r="E3719" s="0" t="n">
        <f aca="false">-1+B3719*0.125</f>
        <v>0.75</v>
      </c>
      <c r="F3719" s="0" t="n">
        <f aca="false">-1+C3719*0.125</f>
        <v>0</v>
      </c>
      <c r="G3719" s="0" t="n">
        <f aca="false">1</f>
        <v>1</v>
      </c>
      <c r="H3719" s="0" t="n">
        <f aca="false">D3719</f>
        <v>0.5</v>
      </c>
      <c r="I3719" s="0" t="n">
        <f aca="false">E3719</f>
        <v>0.75</v>
      </c>
      <c r="J3719" s="0" t="n">
        <f aca="false">F3719</f>
        <v>0</v>
      </c>
      <c r="K3719" s="0" t="n">
        <f aca="false">D3719*E3719</f>
        <v>0.375</v>
      </c>
      <c r="L3719" s="0" t="n">
        <f aca="false">D3719*F3719</f>
        <v>0</v>
      </c>
      <c r="M3719" s="0" t="n">
        <f aca="false">E3719*F3719</f>
        <v>0</v>
      </c>
      <c r="N3719" s="0" t="n">
        <f aca="false">D3719*D3719</f>
        <v>0.25</v>
      </c>
      <c r="O3719" s="0" t="n">
        <f aca="false">E3719*E3719</f>
        <v>0.5625</v>
      </c>
      <c r="P3719" s="0" t="n">
        <f aca="false">F3719*F3719</f>
        <v>0</v>
      </c>
      <c r="Q3719" s="0" t="n">
        <f aca="false">SUMPRODUCT(G3719:P3719,_XtX!$B$71:$K$71)</f>
        <v>49.943125</v>
      </c>
      <c r="R3719" s="0" t="n">
        <f aca="false">SUMPRODUCT(MMULT(G3719:P3719,_XtX!$B$58:$K$67),G3719:P3719)</f>
        <v>0.242578125</v>
      </c>
      <c r="S3719" s="0" t="n">
        <f aca="false">04_回帰ANOVA!$K$19*04_回帰ANOVA!$K$14*SQRT(1+R3719)</f>
        <v>1.03640258600455</v>
      </c>
      <c r="T3719" s="0" t="n">
        <f aca="false">Q3719-S3719</f>
        <v>48.9067224139955</v>
      </c>
      <c r="U3719" s="0" t="n">
        <f aca="false">Q3719+S3719</f>
        <v>50.9795275860046</v>
      </c>
      <c r="V3719" s="54" t="b">
        <f aca="false">AND(D3719&gt;=01_因子設定!$L$5-0.000000001,D3719&lt;=01_因子設定!$M$5+0.000000001,E3719&gt;=01_因子設定!$L$6-0.000000001,E3719&lt;=01_因子設定!$M$6+0.000000001,F3719&gt;=01_因子設定!$L$7-0.000000001,F3719&lt;=01_因子設定!$M$7+0.000000001,IF(01_因子設定!$B$20="Box-Behnken",D3719^2+E3719^2+F3719^2&lt;=2+0.000000001,TRUE()))</f>
        <v>1</v>
      </c>
      <c r="W3719" s="55" t="n">
        <f aca="false">IF(V3719,IF(01_因子設定!$B$13="最大化",T3719-01_因子設定!$B$14,IF(01_因子設定!$B$13="最小化",01_因子設定!$B$15-U3719,MIN(T3719-01_因子設定!$B$14,01_因子設定!$B$15-U3719))),-1E+030)</f>
        <v>0.406722413995453</v>
      </c>
      <c r="X3719" s="55" t="n">
        <f aca="false">IF(V3719,IF(01_因子設定!$B$13="最大化",Q3719,IF(01_因子設定!$B$13="最小化",-Q3719,-ABS(Q3719-01_因子設定!$B$16))),-1E+030)</f>
        <v>49.943125</v>
      </c>
      <c r="Y3719" s="55" t="n">
        <f aca="false">W3719+ROW()*0.000000001</f>
        <v>0.406726132995453</v>
      </c>
      <c r="Z3719" s="55" t="n">
        <f aca="false">X3719+ROW()*0.000000001</f>
        <v>49.943128719</v>
      </c>
    </row>
    <row r="3720" customFormat="false" ht="15" hidden="false" customHeight="false" outlineLevel="0" collapsed="false">
      <c r="A3720" s="0" t="n">
        <v>12</v>
      </c>
      <c r="B3720" s="0" t="n">
        <v>14</v>
      </c>
      <c r="C3720" s="0" t="n">
        <v>9</v>
      </c>
      <c r="D3720" s="0" t="n">
        <f aca="false">-1+A3720*0.125</f>
        <v>0.5</v>
      </c>
      <c r="E3720" s="0" t="n">
        <f aca="false">-1+B3720*0.125</f>
        <v>0.75</v>
      </c>
      <c r="F3720" s="0" t="n">
        <f aca="false">-1+C3720*0.125</f>
        <v>0.125</v>
      </c>
      <c r="G3720" s="0" t="n">
        <f aca="false">1</f>
        <v>1</v>
      </c>
      <c r="H3720" s="0" t="n">
        <f aca="false">D3720</f>
        <v>0.5</v>
      </c>
      <c r="I3720" s="0" t="n">
        <f aca="false">E3720</f>
        <v>0.75</v>
      </c>
      <c r="J3720" s="0" t="n">
        <f aca="false">F3720</f>
        <v>0.125</v>
      </c>
      <c r="K3720" s="0" t="n">
        <f aca="false">D3720*E3720</f>
        <v>0.375</v>
      </c>
      <c r="L3720" s="0" t="n">
        <f aca="false">D3720*F3720</f>
        <v>0.0625</v>
      </c>
      <c r="M3720" s="0" t="n">
        <f aca="false">E3720*F3720</f>
        <v>0.09375</v>
      </c>
      <c r="N3720" s="0" t="n">
        <f aca="false">D3720*D3720</f>
        <v>0.25</v>
      </c>
      <c r="O3720" s="0" t="n">
        <f aca="false">E3720*E3720</f>
        <v>0.5625</v>
      </c>
      <c r="P3720" s="0" t="n">
        <f aca="false">F3720*F3720</f>
        <v>0.015625</v>
      </c>
      <c r="Q3720" s="0" t="n">
        <f aca="false">SUMPRODUCT(G3720:P3720,_XtX!$B$71:$K$71)</f>
        <v>50.1300426136364</v>
      </c>
      <c r="R3720" s="0" t="n">
        <f aca="false">SUMPRODUCT(MMULT(G3720:P3720,_XtX!$B$58:$K$67),G3720:P3720)</f>
        <v>0.240933504971591</v>
      </c>
      <c r="S3720" s="0" t="n">
        <f aca="false">04_回帰ANOVA!$K$19*04_回帰ANOVA!$K$14*SQRT(1+R3720)</f>
        <v>1.03571649118863</v>
      </c>
      <c r="T3720" s="0" t="n">
        <f aca="false">Q3720-S3720</f>
        <v>49.0943261224478</v>
      </c>
      <c r="U3720" s="0" t="n">
        <f aca="false">Q3720+S3720</f>
        <v>51.165759104825</v>
      </c>
      <c r="V3720" s="54" t="b">
        <f aca="false">AND(D3720&gt;=01_因子設定!$L$5-0.000000001,D3720&lt;=01_因子設定!$M$5+0.000000001,E3720&gt;=01_因子設定!$L$6-0.000000001,E3720&lt;=01_因子設定!$M$6+0.000000001,F3720&gt;=01_因子設定!$L$7-0.000000001,F3720&lt;=01_因子設定!$M$7+0.000000001,IF(01_因子設定!$B$20="Box-Behnken",D3720^2+E3720^2+F3720^2&lt;=2+0.000000001,TRUE()))</f>
        <v>1</v>
      </c>
      <c r="W3720" s="55" t="n">
        <f aca="false">IF(V3720,IF(01_因子設定!$B$13="最大化",T3720-01_因子設定!$B$14,IF(01_因子設定!$B$13="最小化",01_因子設定!$B$15-U3720,MIN(T3720-01_因子設定!$B$14,01_因子設定!$B$15-U3720))),-1E+030)</f>
        <v>0.594326122447747</v>
      </c>
      <c r="X3720" s="55" t="n">
        <f aca="false">IF(V3720,IF(01_因子設定!$B$13="最大化",Q3720,IF(01_因子設定!$B$13="最小化",-Q3720,-ABS(Q3720-01_因子設定!$B$16))),-1E+030)</f>
        <v>50.1300426136364</v>
      </c>
      <c r="Y3720" s="55" t="n">
        <f aca="false">W3720+ROW()*0.000000001</f>
        <v>0.594329842447747</v>
      </c>
      <c r="Z3720" s="55" t="n">
        <f aca="false">X3720+ROW()*0.000000001</f>
        <v>50.1300463336364</v>
      </c>
    </row>
    <row r="3721" customFormat="false" ht="15" hidden="false" customHeight="false" outlineLevel="0" collapsed="false">
      <c r="A3721" s="0" t="n">
        <v>12</v>
      </c>
      <c r="B3721" s="0" t="n">
        <v>14</v>
      </c>
      <c r="C3721" s="0" t="n">
        <v>10</v>
      </c>
      <c r="D3721" s="0" t="n">
        <f aca="false">-1+A3721*0.125</f>
        <v>0.5</v>
      </c>
      <c r="E3721" s="0" t="n">
        <f aca="false">-1+B3721*0.125</f>
        <v>0.75</v>
      </c>
      <c r="F3721" s="0" t="n">
        <f aca="false">-1+C3721*0.125</f>
        <v>0.25</v>
      </c>
      <c r="G3721" s="0" t="n">
        <f aca="false">1</f>
        <v>1</v>
      </c>
      <c r="H3721" s="0" t="n">
        <f aca="false">D3721</f>
        <v>0.5</v>
      </c>
      <c r="I3721" s="0" t="n">
        <f aca="false">E3721</f>
        <v>0.75</v>
      </c>
      <c r="J3721" s="0" t="n">
        <f aca="false">F3721</f>
        <v>0.25</v>
      </c>
      <c r="K3721" s="0" t="n">
        <f aca="false">D3721*E3721</f>
        <v>0.375</v>
      </c>
      <c r="L3721" s="0" t="n">
        <f aca="false">D3721*F3721</f>
        <v>0.125</v>
      </c>
      <c r="M3721" s="0" t="n">
        <f aca="false">E3721*F3721</f>
        <v>0.1875</v>
      </c>
      <c r="N3721" s="0" t="n">
        <f aca="false">D3721*D3721</f>
        <v>0.25</v>
      </c>
      <c r="O3721" s="0" t="n">
        <f aca="false">E3721*E3721</f>
        <v>0.5625</v>
      </c>
      <c r="P3721" s="0" t="n">
        <f aca="false">F3721*F3721</f>
        <v>0.0625</v>
      </c>
      <c r="Q3721" s="0" t="n">
        <f aca="false">SUMPRODUCT(G3721:P3721,_XtX!$B$71:$K$71)</f>
        <v>50.2801704545455</v>
      </c>
      <c r="R3721" s="0" t="n">
        <f aca="false">SUMPRODUCT(MMULT(G3721:P3721,_XtX!$B$58:$K$67),G3721:P3721)</f>
        <v>0.237064985795455</v>
      </c>
      <c r="S3721" s="0" t="n">
        <f aca="false">04_回帰ANOVA!$K$19*04_回帰ANOVA!$K$14*SQRT(1+R3721)</f>
        <v>1.03410084594745</v>
      </c>
      <c r="T3721" s="0" t="n">
        <f aca="false">Q3721-S3721</f>
        <v>49.246069608598</v>
      </c>
      <c r="U3721" s="0" t="n">
        <f aca="false">Q3721+S3721</f>
        <v>51.3142713004929</v>
      </c>
      <c r="V3721" s="54" t="b">
        <f aca="false">AND(D3721&gt;=01_因子設定!$L$5-0.000000001,D3721&lt;=01_因子設定!$M$5+0.000000001,E3721&gt;=01_因子設定!$L$6-0.000000001,E3721&lt;=01_因子設定!$M$6+0.000000001,F3721&gt;=01_因子設定!$L$7-0.000000001,F3721&lt;=01_因子設定!$M$7+0.000000001,IF(01_因子設定!$B$20="Box-Behnken",D3721^2+E3721^2+F3721^2&lt;=2+0.000000001,TRUE()))</f>
        <v>1</v>
      </c>
      <c r="W3721" s="55" t="n">
        <f aca="false">IF(V3721,IF(01_因子設定!$B$13="最大化",T3721-01_因子設定!$B$14,IF(01_因子設定!$B$13="最小化",01_因子設定!$B$15-U3721,MIN(T3721-01_因子設定!$B$14,01_因子設定!$B$15-U3721))),-1E+030)</f>
        <v>0.74606960859802</v>
      </c>
      <c r="X3721" s="55" t="n">
        <f aca="false">IF(V3721,IF(01_因子設定!$B$13="最大化",Q3721,IF(01_因子設定!$B$13="最小化",-Q3721,-ABS(Q3721-01_因子設定!$B$16))),-1E+030)</f>
        <v>50.2801704545455</v>
      </c>
      <c r="Y3721" s="55" t="n">
        <f aca="false">W3721+ROW()*0.000000001</f>
        <v>0.74607332959802</v>
      </c>
      <c r="Z3721" s="55" t="n">
        <f aca="false">X3721+ROW()*0.000000001</f>
        <v>50.2801741755455</v>
      </c>
    </row>
    <row r="3722" customFormat="false" ht="15" hidden="false" customHeight="false" outlineLevel="0" collapsed="false">
      <c r="A3722" s="0" t="n">
        <v>12</v>
      </c>
      <c r="B3722" s="0" t="n">
        <v>14</v>
      </c>
      <c r="C3722" s="0" t="n">
        <v>11</v>
      </c>
      <c r="D3722" s="0" t="n">
        <f aca="false">-1+A3722*0.125</f>
        <v>0.5</v>
      </c>
      <c r="E3722" s="0" t="n">
        <f aca="false">-1+B3722*0.125</f>
        <v>0.75</v>
      </c>
      <c r="F3722" s="0" t="n">
        <f aca="false">-1+C3722*0.125</f>
        <v>0.375</v>
      </c>
      <c r="G3722" s="0" t="n">
        <f aca="false">1</f>
        <v>1</v>
      </c>
      <c r="H3722" s="0" t="n">
        <f aca="false">D3722</f>
        <v>0.5</v>
      </c>
      <c r="I3722" s="0" t="n">
        <f aca="false">E3722</f>
        <v>0.75</v>
      </c>
      <c r="J3722" s="0" t="n">
        <f aca="false">F3722</f>
        <v>0.375</v>
      </c>
      <c r="K3722" s="0" t="n">
        <f aca="false">D3722*E3722</f>
        <v>0.375</v>
      </c>
      <c r="L3722" s="0" t="n">
        <f aca="false">D3722*F3722</f>
        <v>0.1875</v>
      </c>
      <c r="M3722" s="0" t="n">
        <f aca="false">E3722*F3722</f>
        <v>0.28125</v>
      </c>
      <c r="N3722" s="0" t="n">
        <f aca="false">D3722*D3722</f>
        <v>0.25</v>
      </c>
      <c r="O3722" s="0" t="n">
        <f aca="false">E3722*E3722</f>
        <v>0.5625</v>
      </c>
      <c r="P3722" s="0" t="n">
        <f aca="false">F3722*F3722</f>
        <v>0.140625</v>
      </c>
      <c r="Q3722" s="0" t="n">
        <f aca="false">SUMPRODUCT(G3722:P3722,_XtX!$B$71:$K$71)</f>
        <v>50.3935085227273</v>
      </c>
      <c r="R3722" s="0" t="n">
        <f aca="false">SUMPRODUCT(MMULT(G3722:P3722,_XtX!$B$58:$K$67),G3722:P3722)</f>
        <v>0.234168590198864</v>
      </c>
      <c r="S3722" s="0" t="n">
        <f aca="false">04_回帰ANOVA!$K$19*04_回帰ANOVA!$K$14*SQRT(1+R3722)</f>
        <v>1.03288954322488</v>
      </c>
      <c r="T3722" s="0" t="n">
        <f aca="false">Q3722-S3722</f>
        <v>49.3606189795024</v>
      </c>
      <c r="U3722" s="0" t="n">
        <f aca="false">Q3722+S3722</f>
        <v>51.4263980659522</v>
      </c>
      <c r="V3722" s="54" t="b">
        <f aca="false">AND(D3722&gt;=01_因子設定!$L$5-0.000000001,D3722&lt;=01_因子設定!$M$5+0.000000001,E3722&gt;=01_因子設定!$L$6-0.000000001,E3722&lt;=01_因子設定!$M$6+0.000000001,F3722&gt;=01_因子設定!$L$7-0.000000001,F3722&lt;=01_因子設定!$M$7+0.000000001,IF(01_因子設定!$B$20="Box-Behnken",D3722^2+E3722^2+F3722^2&lt;=2+0.000000001,TRUE()))</f>
        <v>1</v>
      </c>
      <c r="W3722" s="55" t="n">
        <f aca="false">IF(V3722,IF(01_因子設定!$B$13="最大化",T3722-01_因子設定!$B$14,IF(01_因子設定!$B$13="最小化",01_因子設定!$B$15-U3722,MIN(T3722-01_因子設定!$B$14,01_因子設定!$B$15-U3722))),-1E+030)</f>
        <v>0.860618979502405</v>
      </c>
      <c r="X3722" s="55" t="n">
        <f aca="false">IF(V3722,IF(01_因子設定!$B$13="最大化",Q3722,IF(01_因子設定!$B$13="最小化",-Q3722,-ABS(Q3722-01_因子設定!$B$16))),-1E+030)</f>
        <v>50.3935085227273</v>
      </c>
      <c r="Y3722" s="55" t="n">
        <f aca="false">W3722+ROW()*0.000000001</f>
        <v>0.860622701502405</v>
      </c>
      <c r="Z3722" s="55" t="n">
        <f aca="false">X3722+ROW()*0.000000001</f>
        <v>50.3935122447273</v>
      </c>
    </row>
    <row r="3723" customFormat="false" ht="15" hidden="false" customHeight="false" outlineLevel="0" collapsed="false">
      <c r="A3723" s="0" t="n">
        <v>12</v>
      </c>
      <c r="B3723" s="0" t="n">
        <v>14</v>
      </c>
      <c r="C3723" s="0" t="n">
        <v>12</v>
      </c>
      <c r="D3723" s="0" t="n">
        <f aca="false">-1+A3723*0.125</f>
        <v>0.5</v>
      </c>
      <c r="E3723" s="0" t="n">
        <f aca="false">-1+B3723*0.125</f>
        <v>0.75</v>
      </c>
      <c r="F3723" s="0" t="n">
        <f aca="false">-1+C3723*0.125</f>
        <v>0.5</v>
      </c>
      <c r="G3723" s="0" t="n">
        <f aca="false">1</f>
        <v>1</v>
      </c>
      <c r="H3723" s="0" t="n">
        <f aca="false">D3723</f>
        <v>0.5</v>
      </c>
      <c r="I3723" s="0" t="n">
        <f aca="false">E3723</f>
        <v>0.75</v>
      </c>
      <c r="J3723" s="0" t="n">
        <f aca="false">F3723</f>
        <v>0.5</v>
      </c>
      <c r="K3723" s="0" t="n">
        <f aca="false">D3723*E3723</f>
        <v>0.375</v>
      </c>
      <c r="L3723" s="0" t="n">
        <f aca="false">D3723*F3723</f>
        <v>0.25</v>
      </c>
      <c r="M3723" s="0" t="n">
        <f aca="false">E3723*F3723</f>
        <v>0.375</v>
      </c>
      <c r="N3723" s="0" t="n">
        <f aca="false">D3723*D3723</f>
        <v>0.25</v>
      </c>
      <c r="O3723" s="0" t="n">
        <f aca="false">E3723*E3723</f>
        <v>0.5625</v>
      </c>
      <c r="P3723" s="0" t="n">
        <f aca="false">F3723*F3723</f>
        <v>0.25</v>
      </c>
      <c r="Q3723" s="0" t="n">
        <f aca="false">SUMPRODUCT(G3723:P3723,_XtX!$B$71:$K$71)</f>
        <v>50.4700568181818</v>
      </c>
      <c r="R3723" s="0" t="n">
        <f aca="false">SUMPRODUCT(MMULT(G3723:P3723,_XtX!$B$58:$K$67),G3723:P3723)</f>
        <v>0.237571022727273</v>
      </c>
      <c r="S3723" s="0" t="n">
        <f aca="false">04_回帰ANOVA!$K$19*04_回帰ANOVA!$K$14*SQRT(1+R3723)</f>
        <v>1.0343123302758</v>
      </c>
      <c r="T3723" s="0" t="n">
        <f aca="false">Q3723-S3723</f>
        <v>49.435744487906</v>
      </c>
      <c r="U3723" s="0" t="n">
        <f aca="false">Q3723+S3723</f>
        <v>51.5043691484576</v>
      </c>
      <c r="V3723" s="54" t="b">
        <f aca="false">AND(D3723&gt;=01_因子設定!$L$5-0.000000001,D3723&lt;=01_因子設定!$M$5+0.000000001,E3723&gt;=01_因子設定!$L$6-0.000000001,E3723&lt;=01_因子設定!$M$6+0.000000001,F3723&gt;=01_因子設定!$L$7-0.000000001,F3723&lt;=01_因子設定!$M$7+0.000000001,IF(01_因子設定!$B$20="Box-Behnken",D3723^2+E3723^2+F3723^2&lt;=2+0.000000001,TRUE()))</f>
        <v>1</v>
      </c>
      <c r="W3723" s="55" t="n">
        <f aca="false">IF(V3723,IF(01_因子設定!$B$13="最大化",T3723-01_因子設定!$B$14,IF(01_因子設定!$B$13="最小化",01_因子設定!$B$15-U3723,MIN(T3723-01_因子設定!$B$14,01_因子設定!$B$15-U3723))),-1E+030)</f>
        <v>0.935744487906028</v>
      </c>
      <c r="X3723" s="55" t="n">
        <f aca="false">IF(V3723,IF(01_因子設定!$B$13="最大化",Q3723,IF(01_因子設定!$B$13="最小化",-Q3723,-ABS(Q3723-01_因子設定!$B$16))),-1E+030)</f>
        <v>50.4700568181818</v>
      </c>
      <c r="Y3723" s="55" t="n">
        <f aca="false">W3723+ROW()*0.000000001</f>
        <v>0.935748210906028</v>
      </c>
      <c r="Z3723" s="55" t="n">
        <f aca="false">X3723+ROW()*0.000000001</f>
        <v>50.4700605411818</v>
      </c>
    </row>
    <row r="3724" customFormat="false" ht="15" hidden="false" customHeight="false" outlineLevel="0" collapsed="false">
      <c r="A3724" s="0" t="n">
        <v>12</v>
      </c>
      <c r="B3724" s="0" t="n">
        <v>14</v>
      </c>
      <c r="C3724" s="0" t="n">
        <v>13</v>
      </c>
      <c r="D3724" s="0" t="n">
        <f aca="false">-1+A3724*0.125</f>
        <v>0.5</v>
      </c>
      <c r="E3724" s="0" t="n">
        <f aca="false">-1+B3724*0.125</f>
        <v>0.75</v>
      </c>
      <c r="F3724" s="0" t="n">
        <f aca="false">-1+C3724*0.125</f>
        <v>0.625</v>
      </c>
      <c r="G3724" s="0" t="n">
        <f aca="false">1</f>
        <v>1</v>
      </c>
      <c r="H3724" s="0" t="n">
        <f aca="false">D3724</f>
        <v>0.5</v>
      </c>
      <c r="I3724" s="0" t="n">
        <f aca="false">E3724</f>
        <v>0.75</v>
      </c>
      <c r="J3724" s="0" t="n">
        <f aca="false">F3724</f>
        <v>0.625</v>
      </c>
      <c r="K3724" s="0" t="n">
        <f aca="false">D3724*E3724</f>
        <v>0.375</v>
      </c>
      <c r="L3724" s="0" t="n">
        <f aca="false">D3724*F3724</f>
        <v>0.3125</v>
      </c>
      <c r="M3724" s="0" t="n">
        <f aca="false">E3724*F3724</f>
        <v>0.46875</v>
      </c>
      <c r="N3724" s="0" t="n">
        <f aca="false">D3724*D3724</f>
        <v>0.25</v>
      </c>
      <c r="O3724" s="0" t="n">
        <f aca="false">E3724*E3724</f>
        <v>0.5625</v>
      </c>
      <c r="P3724" s="0" t="n">
        <f aca="false">F3724*F3724</f>
        <v>0.390625</v>
      </c>
      <c r="Q3724" s="0" t="n">
        <f aca="false">SUMPRODUCT(G3724:P3724,_XtX!$B$71:$K$71)</f>
        <v>50.5098153409091</v>
      </c>
      <c r="R3724" s="0" t="n">
        <f aca="false">SUMPRODUCT(MMULT(G3724:P3724,_XtX!$B$58:$K$67),G3724:P3724)</f>
        <v>0.254729669744318</v>
      </c>
      <c r="S3724" s="0" t="n">
        <f aca="false">04_回帰ANOVA!$K$19*04_回帰ANOVA!$K$14*SQRT(1+R3724)</f>
        <v>1.04145790281631</v>
      </c>
      <c r="T3724" s="0" t="n">
        <f aca="false">Q3724-S3724</f>
        <v>49.4683574380928</v>
      </c>
      <c r="U3724" s="0" t="n">
        <f aca="false">Q3724+S3724</f>
        <v>51.5512732437254</v>
      </c>
      <c r="V3724" s="54" t="b">
        <f aca="false">AND(D3724&gt;=01_因子設定!$L$5-0.000000001,D3724&lt;=01_因子設定!$M$5+0.000000001,E3724&gt;=01_因子設定!$L$6-0.000000001,E3724&lt;=01_因子設定!$M$6+0.000000001,F3724&gt;=01_因子設定!$L$7-0.000000001,F3724&lt;=01_因子設定!$M$7+0.000000001,IF(01_因子設定!$B$20="Box-Behnken",D3724^2+E3724^2+F3724^2&lt;=2+0.000000001,TRUE()))</f>
        <v>1</v>
      </c>
      <c r="W3724" s="55" t="n">
        <f aca="false">IF(V3724,IF(01_因子設定!$B$13="最大化",T3724-01_因子設定!$B$14,IF(01_因子設定!$B$13="最小化",01_因子設定!$B$15-U3724,MIN(T3724-01_因子設定!$B$14,01_因子設定!$B$15-U3724))),-1E+030)</f>
        <v>0.968357438092795</v>
      </c>
      <c r="X3724" s="55" t="n">
        <f aca="false">IF(V3724,IF(01_因子設定!$B$13="最大化",Q3724,IF(01_因子設定!$B$13="最小化",-Q3724,-ABS(Q3724-01_因子設定!$B$16))),-1E+030)</f>
        <v>50.5098153409091</v>
      </c>
      <c r="Y3724" s="55" t="n">
        <f aca="false">W3724+ROW()*0.000000001</f>
        <v>0.968361162092795</v>
      </c>
      <c r="Z3724" s="55" t="n">
        <f aca="false">X3724+ROW()*0.000000001</f>
        <v>50.5098190649091</v>
      </c>
    </row>
    <row r="3725" customFormat="false" ht="15" hidden="false" customHeight="false" outlineLevel="0" collapsed="false">
      <c r="A3725" s="0" t="n">
        <v>12</v>
      </c>
      <c r="B3725" s="0" t="n">
        <v>14</v>
      </c>
      <c r="C3725" s="0" t="n">
        <v>14</v>
      </c>
      <c r="D3725" s="0" t="n">
        <f aca="false">-1+A3725*0.125</f>
        <v>0.5</v>
      </c>
      <c r="E3725" s="0" t="n">
        <f aca="false">-1+B3725*0.125</f>
        <v>0.75</v>
      </c>
      <c r="F3725" s="0" t="n">
        <f aca="false">-1+C3725*0.125</f>
        <v>0.75</v>
      </c>
      <c r="G3725" s="0" t="n">
        <f aca="false">1</f>
        <v>1</v>
      </c>
      <c r="H3725" s="0" t="n">
        <f aca="false">D3725</f>
        <v>0.5</v>
      </c>
      <c r="I3725" s="0" t="n">
        <f aca="false">E3725</f>
        <v>0.75</v>
      </c>
      <c r="J3725" s="0" t="n">
        <f aca="false">F3725</f>
        <v>0.75</v>
      </c>
      <c r="K3725" s="0" t="n">
        <f aca="false">D3725*E3725</f>
        <v>0.375</v>
      </c>
      <c r="L3725" s="0" t="n">
        <f aca="false">D3725*F3725</f>
        <v>0.375</v>
      </c>
      <c r="M3725" s="0" t="n">
        <f aca="false">E3725*F3725</f>
        <v>0.5625</v>
      </c>
      <c r="N3725" s="0" t="n">
        <f aca="false">D3725*D3725</f>
        <v>0.25</v>
      </c>
      <c r="O3725" s="0" t="n">
        <f aca="false">E3725*E3725</f>
        <v>0.5625</v>
      </c>
      <c r="P3725" s="0" t="n">
        <f aca="false">F3725*F3725</f>
        <v>0.5625</v>
      </c>
      <c r="Q3725" s="0" t="n">
        <f aca="false">SUMPRODUCT(G3725:P3725,_XtX!$B$71:$K$71)</f>
        <v>50.5127840909091</v>
      </c>
      <c r="R3725" s="0" t="n">
        <f aca="false">SUMPRODUCT(MMULT(G3725:P3725,_XtX!$B$58:$K$67),G3725:P3725)</f>
        <v>0.295232599431818</v>
      </c>
      <c r="S3725" s="0" t="n">
        <f aca="false">04_回帰ANOVA!$K$19*04_回帰ANOVA!$K$14*SQRT(1+R3725)</f>
        <v>1.05813363442154</v>
      </c>
      <c r="T3725" s="0" t="n">
        <f aca="false">Q3725-S3725</f>
        <v>49.4546504564876</v>
      </c>
      <c r="U3725" s="0" t="n">
        <f aca="false">Q3725+S3725</f>
        <v>51.5709177253306</v>
      </c>
      <c r="V3725" s="54" t="b">
        <f aca="false">AND(D3725&gt;=01_因子設定!$L$5-0.000000001,D3725&lt;=01_因子設定!$M$5+0.000000001,E3725&gt;=01_因子設定!$L$6-0.000000001,E3725&lt;=01_因子設定!$M$6+0.000000001,F3725&gt;=01_因子設定!$L$7-0.000000001,F3725&lt;=01_因子設定!$M$7+0.000000001,IF(01_因子設定!$B$20="Box-Behnken",D3725^2+E3725^2+F3725^2&lt;=2+0.000000001,TRUE()))</f>
        <v>1</v>
      </c>
      <c r="W3725" s="55" t="n">
        <f aca="false">IF(V3725,IF(01_因子設定!$B$13="最大化",T3725-01_因子設定!$B$14,IF(01_因子設定!$B$13="最小化",01_因子設定!$B$15-U3725,MIN(T3725-01_因子設定!$B$14,01_因子設定!$B$15-U3725))),-1E+030)</f>
        <v>0.95465045648757</v>
      </c>
      <c r="X3725" s="55" t="n">
        <f aca="false">IF(V3725,IF(01_因子設定!$B$13="最大化",Q3725,IF(01_因子設定!$B$13="最小化",-Q3725,-ABS(Q3725-01_因子設定!$B$16))),-1E+030)</f>
        <v>50.5127840909091</v>
      </c>
      <c r="Y3725" s="55" t="n">
        <f aca="false">W3725+ROW()*0.000000001</f>
        <v>0.95465418148757</v>
      </c>
      <c r="Z3725" s="55" t="n">
        <f aca="false">X3725+ROW()*0.000000001</f>
        <v>50.5127878159091</v>
      </c>
    </row>
    <row r="3726" customFormat="false" ht="15" hidden="false" customHeight="false" outlineLevel="0" collapsed="false">
      <c r="A3726" s="0" t="n">
        <v>12</v>
      </c>
      <c r="B3726" s="0" t="n">
        <v>14</v>
      </c>
      <c r="C3726" s="0" t="n">
        <v>15</v>
      </c>
      <c r="D3726" s="0" t="n">
        <f aca="false">-1+A3726*0.125</f>
        <v>0.5</v>
      </c>
      <c r="E3726" s="0" t="n">
        <f aca="false">-1+B3726*0.125</f>
        <v>0.75</v>
      </c>
      <c r="F3726" s="0" t="n">
        <f aca="false">-1+C3726*0.125</f>
        <v>0.875</v>
      </c>
      <c r="G3726" s="0" t="n">
        <f aca="false">1</f>
        <v>1</v>
      </c>
      <c r="H3726" s="0" t="n">
        <f aca="false">D3726</f>
        <v>0.5</v>
      </c>
      <c r="I3726" s="0" t="n">
        <f aca="false">E3726</f>
        <v>0.75</v>
      </c>
      <c r="J3726" s="0" t="n">
        <f aca="false">F3726</f>
        <v>0.875</v>
      </c>
      <c r="K3726" s="0" t="n">
        <f aca="false">D3726*E3726</f>
        <v>0.375</v>
      </c>
      <c r="L3726" s="0" t="n">
        <f aca="false">D3726*F3726</f>
        <v>0.4375</v>
      </c>
      <c r="M3726" s="0" t="n">
        <f aca="false">E3726*F3726</f>
        <v>0.65625</v>
      </c>
      <c r="N3726" s="0" t="n">
        <f aca="false">D3726*D3726</f>
        <v>0.25</v>
      </c>
      <c r="O3726" s="0" t="n">
        <f aca="false">E3726*E3726</f>
        <v>0.5625</v>
      </c>
      <c r="P3726" s="0" t="n">
        <f aca="false">F3726*F3726</f>
        <v>0.765625</v>
      </c>
      <c r="Q3726" s="0" t="n">
        <f aca="false">SUMPRODUCT(G3726:P3726,_XtX!$B$71:$K$71)</f>
        <v>50.4789630681818</v>
      </c>
      <c r="R3726" s="0" t="n">
        <f aca="false">SUMPRODUCT(MMULT(G3726:P3726,_XtX!$B$58:$K$67),G3726:P3726)</f>
        <v>0.370798561789773</v>
      </c>
      <c r="S3726" s="0" t="n">
        <f aca="false">04_回帰ANOVA!$K$19*04_回帰ANOVA!$K$14*SQRT(1+R3726)</f>
        <v>1.08856271788237</v>
      </c>
      <c r="T3726" s="0" t="n">
        <f aca="false">Q3726-S3726</f>
        <v>49.3904003502995</v>
      </c>
      <c r="U3726" s="0" t="n">
        <f aca="false">Q3726+S3726</f>
        <v>51.5675257860642</v>
      </c>
      <c r="V3726" s="54" t="b">
        <f aca="false">AND(D3726&gt;=01_因子設定!$L$5-0.000000001,D3726&lt;=01_因子設定!$M$5+0.000000001,E3726&gt;=01_因子設定!$L$6-0.000000001,E3726&lt;=01_因子設定!$M$6+0.000000001,F3726&gt;=01_因子設定!$L$7-0.000000001,F3726&lt;=01_因子設定!$M$7+0.000000001,IF(01_因子設定!$B$20="Box-Behnken",D3726^2+E3726^2+F3726^2&lt;=2+0.000000001,TRUE()))</f>
        <v>1</v>
      </c>
      <c r="W3726" s="55" t="n">
        <f aca="false">IF(V3726,IF(01_因子設定!$B$13="最大化",T3726-01_因子設定!$B$14,IF(01_因子設定!$B$13="最小化",01_因子設定!$B$15-U3726,MIN(T3726-01_因子設定!$B$14,01_因子設定!$B$15-U3726))),-1E+030)</f>
        <v>0.890400350299466</v>
      </c>
      <c r="X3726" s="55" t="n">
        <f aca="false">IF(V3726,IF(01_因子設定!$B$13="最大化",Q3726,IF(01_因子設定!$B$13="最小化",-Q3726,-ABS(Q3726-01_因子設定!$B$16))),-1E+030)</f>
        <v>50.4789630681818</v>
      </c>
      <c r="Y3726" s="55" t="n">
        <f aca="false">W3726+ROW()*0.000000001</f>
        <v>0.890404076299466</v>
      </c>
      <c r="Z3726" s="55" t="n">
        <f aca="false">X3726+ROW()*0.000000001</f>
        <v>50.4789667941818</v>
      </c>
    </row>
    <row r="3727" customFormat="false" ht="15" hidden="false" customHeight="false" outlineLevel="0" collapsed="false">
      <c r="A3727" s="0" t="n">
        <v>12</v>
      </c>
      <c r="B3727" s="0" t="n">
        <v>14</v>
      </c>
      <c r="C3727" s="0" t="n">
        <v>16</v>
      </c>
      <c r="D3727" s="0" t="n">
        <f aca="false">-1+A3727*0.125</f>
        <v>0.5</v>
      </c>
      <c r="E3727" s="0" t="n">
        <f aca="false">-1+B3727*0.125</f>
        <v>0.75</v>
      </c>
      <c r="F3727" s="0" t="n">
        <f aca="false">-1+C3727*0.125</f>
        <v>1</v>
      </c>
      <c r="G3727" s="0" t="n">
        <f aca="false">1</f>
        <v>1</v>
      </c>
      <c r="H3727" s="0" t="n">
        <f aca="false">D3727</f>
        <v>0.5</v>
      </c>
      <c r="I3727" s="0" t="n">
        <f aca="false">E3727</f>
        <v>0.75</v>
      </c>
      <c r="J3727" s="0" t="n">
        <f aca="false">F3727</f>
        <v>1</v>
      </c>
      <c r="K3727" s="0" t="n">
        <f aca="false">D3727*E3727</f>
        <v>0.375</v>
      </c>
      <c r="L3727" s="0" t="n">
        <f aca="false">D3727*F3727</f>
        <v>0.5</v>
      </c>
      <c r="M3727" s="0" t="n">
        <f aca="false">E3727*F3727</f>
        <v>0.75</v>
      </c>
      <c r="N3727" s="0" t="n">
        <f aca="false">D3727*D3727</f>
        <v>0.25</v>
      </c>
      <c r="O3727" s="0" t="n">
        <f aca="false">E3727*E3727</f>
        <v>0.5625</v>
      </c>
      <c r="P3727" s="0" t="n">
        <f aca="false">F3727*F3727</f>
        <v>1</v>
      </c>
      <c r="Q3727" s="0" t="n">
        <f aca="false">SUMPRODUCT(G3727:P3727,_XtX!$B$71:$K$71)</f>
        <v>50.4083522727273</v>
      </c>
      <c r="R3727" s="0" t="n">
        <f aca="false">SUMPRODUCT(MMULT(G3727:P3727,_XtX!$B$58:$K$67),G3727:P3727)</f>
        <v>0.495276988636364</v>
      </c>
      <c r="S3727" s="0" t="n">
        <f aca="false">04_回帰ANOVA!$K$19*04_回帰ANOVA!$K$14*SQRT(1+R3727)</f>
        <v>1.13691359828352</v>
      </c>
      <c r="T3727" s="0" t="n">
        <f aca="false">Q3727-S3727</f>
        <v>49.2714386744438</v>
      </c>
      <c r="U3727" s="0" t="n">
        <f aca="false">Q3727+S3727</f>
        <v>51.5452658710108</v>
      </c>
      <c r="V3727" s="54" t="b">
        <f aca="false">AND(D3727&gt;=01_因子設定!$L$5-0.000000001,D3727&lt;=01_因子設定!$M$5+0.000000001,E3727&gt;=01_因子設定!$L$6-0.000000001,E3727&lt;=01_因子設定!$M$6+0.000000001,F3727&gt;=01_因子設定!$L$7-0.000000001,F3727&lt;=01_因子設定!$M$7+0.000000001,IF(01_因子設定!$B$20="Box-Behnken",D3727^2+E3727^2+F3727^2&lt;=2+0.000000001,TRUE()))</f>
        <v>1</v>
      </c>
      <c r="W3727" s="55" t="n">
        <f aca="false">IF(V3727,IF(01_因子設定!$B$13="最大化",T3727-01_因子設定!$B$14,IF(01_因子設定!$B$13="最小化",01_因子設定!$B$15-U3727,MIN(T3727-01_因子設定!$B$14,01_因子設定!$B$15-U3727))),-1E+030)</f>
        <v>0.771438674443779</v>
      </c>
      <c r="X3727" s="55" t="n">
        <f aca="false">IF(V3727,IF(01_因子設定!$B$13="最大化",Q3727,IF(01_因子設定!$B$13="最小化",-Q3727,-ABS(Q3727-01_因子設定!$B$16))),-1E+030)</f>
        <v>50.4083522727273</v>
      </c>
      <c r="Y3727" s="55" t="n">
        <f aca="false">W3727+ROW()*0.000000001</f>
        <v>0.771442401443779</v>
      </c>
      <c r="Z3727" s="55" t="n">
        <f aca="false">X3727+ROW()*0.000000001</f>
        <v>50.4083559997273</v>
      </c>
    </row>
    <row r="3728" customFormat="false" ht="15" hidden="false" customHeight="false" outlineLevel="0" collapsed="false">
      <c r="A3728" s="0" t="n">
        <v>12</v>
      </c>
      <c r="B3728" s="0" t="n">
        <v>15</v>
      </c>
      <c r="C3728" s="0" t="n">
        <v>0</v>
      </c>
      <c r="D3728" s="0" t="n">
        <f aca="false">-1+A3728*0.125</f>
        <v>0.5</v>
      </c>
      <c r="E3728" s="0" t="n">
        <f aca="false">-1+B3728*0.125</f>
        <v>0.875</v>
      </c>
      <c r="F3728" s="0" t="n">
        <f aca="false">-1+C3728*0.125</f>
        <v>-1</v>
      </c>
      <c r="G3728" s="0" t="n">
        <f aca="false">1</f>
        <v>1</v>
      </c>
      <c r="H3728" s="0" t="n">
        <f aca="false">D3728</f>
        <v>0.5</v>
      </c>
      <c r="I3728" s="0" t="n">
        <f aca="false">E3728</f>
        <v>0.875</v>
      </c>
      <c r="J3728" s="0" t="n">
        <f aca="false">F3728</f>
        <v>-1</v>
      </c>
      <c r="K3728" s="0" t="n">
        <f aca="false">D3728*E3728</f>
        <v>0.4375</v>
      </c>
      <c r="L3728" s="0" t="n">
        <f aca="false">D3728*F3728</f>
        <v>-0.5</v>
      </c>
      <c r="M3728" s="0" t="n">
        <f aca="false">E3728*F3728</f>
        <v>-0.875</v>
      </c>
      <c r="N3728" s="0" t="n">
        <f aca="false">D3728*D3728</f>
        <v>0.25</v>
      </c>
      <c r="O3728" s="0" t="n">
        <f aca="false">E3728*E3728</f>
        <v>0.765625</v>
      </c>
      <c r="P3728" s="0" t="n">
        <f aca="false">F3728*F3728</f>
        <v>1</v>
      </c>
      <c r="Q3728" s="0" t="n">
        <f aca="false">SUMPRODUCT(G3728:P3728,_XtX!$B$71:$K$71)</f>
        <v>46.990625</v>
      </c>
      <c r="R3728" s="0" t="n">
        <f aca="false">SUMPRODUCT(MMULT(G3728:P3728,_XtX!$B$58:$K$67),G3728:P3728)</f>
        <v>0.55771484375</v>
      </c>
      <c r="S3728" s="0" t="n">
        <f aca="false">04_回帰ANOVA!$K$19*04_回帰ANOVA!$K$14*SQRT(1+R3728)</f>
        <v>1.16040773556467</v>
      </c>
      <c r="T3728" s="0" t="n">
        <f aca="false">Q3728-S3728</f>
        <v>45.8302172644354</v>
      </c>
      <c r="U3728" s="0" t="n">
        <f aca="false">Q3728+S3728</f>
        <v>48.1510327355647</v>
      </c>
      <c r="V3728" s="54" t="b">
        <f aca="false">AND(D3728&gt;=01_因子設定!$L$5-0.000000001,D3728&lt;=01_因子設定!$M$5+0.000000001,E3728&gt;=01_因子設定!$L$6-0.000000001,E3728&lt;=01_因子設定!$M$6+0.000000001,F3728&gt;=01_因子設定!$L$7-0.000000001,F3728&lt;=01_因子設定!$M$7+0.000000001,IF(01_因子設定!$B$20="Box-Behnken",D3728^2+E3728^2+F3728^2&lt;=2+0.000000001,TRUE()))</f>
        <v>1</v>
      </c>
      <c r="W3728" s="55" t="n">
        <f aca="false">IF(V3728,IF(01_因子設定!$B$13="最大化",T3728-01_因子設定!$B$14,IF(01_因子設定!$B$13="最小化",01_因子設定!$B$15-U3728,MIN(T3728-01_因子設定!$B$14,01_因子設定!$B$15-U3728))),-1E+030)</f>
        <v>-2.66978273556465</v>
      </c>
      <c r="X3728" s="55" t="n">
        <f aca="false">IF(V3728,IF(01_因子設定!$B$13="最大化",Q3728,IF(01_因子設定!$B$13="最小化",-Q3728,-ABS(Q3728-01_因子設定!$B$16))),-1E+030)</f>
        <v>46.990625</v>
      </c>
      <c r="Y3728" s="55" t="n">
        <f aca="false">W3728+ROW()*0.000000001</f>
        <v>-2.66977900756465</v>
      </c>
      <c r="Z3728" s="55" t="n">
        <f aca="false">X3728+ROW()*0.000000001</f>
        <v>46.990628728</v>
      </c>
    </row>
    <row r="3729" customFormat="false" ht="15" hidden="false" customHeight="false" outlineLevel="0" collapsed="false">
      <c r="A3729" s="0" t="n">
        <v>12</v>
      </c>
      <c r="B3729" s="0" t="n">
        <v>15</v>
      </c>
      <c r="C3729" s="0" t="n">
        <v>1</v>
      </c>
      <c r="D3729" s="0" t="n">
        <f aca="false">-1+A3729*0.125</f>
        <v>0.5</v>
      </c>
      <c r="E3729" s="0" t="n">
        <f aca="false">-1+B3729*0.125</f>
        <v>0.875</v>
      </c>
      <c r="F3729" s="0" t="n">
        <f aca="false">-1+C3729*0.125</f>
        <v>-0.875</v>
      </c>
      <c r="G3729" s="0" t="n">
        <f aca="false">1</f>
        <v>1</v>
      </c>
      <c r="H3729" s="0" t="n">
        <f aca="false">D3729</f>
        <v>0.5</v>
      </c>
      <c r="I3729" s="0" t="n">
        <f aca="false">E3729</f>
        <v>0.875</v>
      </c>
      <c r="J3729" s="0" t="n">
        <f aca="false">F3729</f>
        <v>-0.875</v>
      </c>
      <c r="K3729" s="0" t="n">
        <f aca="false">D3729*E3729</f>
        <v>0.4375</v>
      </c>
      <c r="L3729" s="0" t="n">
        <f aca="false">D3729*F3729</f>
        <v>-0.4375</v>
      </c>
      <c r="M3729" s="0" t="n">
        <f aca="false">E3729*F3729</f>
        <v>-0.765625</v>
      </c>
      <c r="N3729" s="0" t="n">
        <f aca="false">D3729*D3729</f>
        <v>0.25</v>
      </c>
      <c r="O3729" s="0" t="n">
        <f aca="false">E3729*E3729</f>
        <v>0.765625</v>
      </c>
      <c r="P3729" s="0" t="n">
        <f aca="false">F3729*F3729</f>
        <v>0.765625</v>
      </c>
      <c r="Q3729" s="0" t="n">
        <f aca="false">SUMPRODUCT(G3729:P3729,_XtX!$B$71:$K$71)</f>
        <v>47.4788920454546</v>
      </c>
      <c r="R3729" s="0" t="n">
        <f aca="false">SUMPRODUCT(MMULT(G3729:P3729,_XtX!$B$58:$K$67),G3729:P3729)</f>
        <v>0.44026933149858</v>
      </c>
      <c r="S3729" s="0" t="n">
        <f aca="false">04_回帰ANOVA!$K$19*04_回帰ANOVA!$K$14*SQRT(1+R3729)</f>
        <v>1.11580548667718</v>
      </c>
      <c r="T3729" s="0" t="n">
        <f aca="false">Q3729-S3729</f>
        <v>46.3630865587774</v>
      </c>
      <c r="U3729" s="0" t="n">
        <f aca="false">Q3729+S3729</f>
        <v>48.5946975321318</v>
      </c>
      <c r="V3729" s="54" t="b">
        <f aca="false">AND(D3729&gt;=01_因子設定!$L$5-0.000000001,D3729&lt;=01_因子設定!$M$5+0.000000001,E3729&gt;=01_因子設定!$L$6-0.000000001,E3729&lt;=01_因子設定!$M$6+0.000000001,F3729&gt;=01_因子設定!$L$7-0.000000001,F3729&lt;=01_因子設定!$M$7+0.000000001,IF(01_因子設定!$B$20="Box-Behnken",D3729^2+E3729^2+F3729^2&lt;=2+0.000000001,TRUE()))</f>
        <v>1</v>
      </c>
      <c r="W3729" s="55" t="n">
        <f aca="false">IF(V3729,IF(01_因子設定!$B$13="最大化",T3729-01_因子設定!$B$14,IF(01_因子設定!$B$13="最小化",01_因子設定!$B$15-U3729,MIN(T3729-01_因子設定!$B$14,01_因子設定!$B$15-U3729))),-1E+030)</f>
        <v>-2.13691344122262</v>
      </c>
      <c r="X3729" s="55" t="n">
        <f aca="false">IF(V3729,IF(01_因子設定!$B$13="最大化",Q3729,IF(01_因子設定!$B$13="最小化",-Q3729,-ABS(Q3729-01_因子設定!$B$16))),-1E+030)</f>
        <v>47.4788920454546</v>
      </c>
      <c r="Y3729" s="55" t="n">
        <f aca="false">W3729+ROW()*0.000000001</f>
        <v>-2.13690971222262</v>
      </c>
      <c r="Z3729" s="55" t="n">
        <f aca="false">X3729+ROW()*0.000000001</f>
        <v>47.4788957744546</v>
      </c>
    </row>
    <row r="3730" customFormat="false" ht="15" hidden="false" customHeight="false" outlineLevel="0" collapsed="false">
      <c r="A3730" s="0" t="n">
        <v>12</v>
      </c>
      <c r="B3730" s="0" t="n">
        <v>15</v>
      </c>
      <c r="C3730" s="0" t="n">
        <v>2</v>
      </c>
      <c r="D3730" s="0" t="n">
        <f aca="false">-1+A3730*0.125</f>
        <v>0.5</v>
      </c>
      <c r="E3730" s="0" t="n">
        <f aca="false">-1+B3730*0.125</f>
        <v>0.875</v>
      </c>
      <c r="F3730" s="0" t="n">
        <f aca="false">-1+C3730*0.125</f>
        <v>-0.75</v>
      </c>
      <c r="G3730" s="0" t="n">
        <f aca="false">1</f>
        <v>1</v>
      </c>
      <c r="H3730" s="0" t="n">
        <f aca="false">D3730</f>
        <v>0.5</v>
      </c>
      <c r="I3730" s="0" t="n">
        <f aca="false">E3730</f>
        <v>0.875</v>
      </c>
      <c r="J3730" s="0" t="n">
        <f aca="false">F3730</f>
        <v>-0.75</v>
      </c>
      <c r="K3730" s="0" t="n">
        <f aca="false">D3730*E3730</f>
        <v>0.4375</v>
      </c>
      <c r="L3730" s="0" t="n">
        <f aca="false">D3730*F3730</f>
        <v>-0.375</v>
      </c>
      <c r="M3730" s="0" t="n">
        <f aca="false">E3730*F3730</f>
        <v>-0.65625</v>
      </c>
      <c r="N3730" s="0" t="n">
        <f aca="false">D3730*D3730</f>
        <v>0.25</v>
      </c>
      <c r="O3730" s="0" t="n">
        <f aca="false">E3730*E3730</f>
        <v>0.765625</v>
      </c>
      <c r="P3730" s="0" t="n">
        <f aca="false">F3730*F3730</f>
        <v>0.5625</v>
      </c>
      <c r="Q3730" s="0" t="n">
        <f aca="false">SUMPRODUCT(G3730:P3730,_XtX!$B$71:$K$71)</f>
        <v>47.9303693181818</v>
      </c>
      <c r="R3730" s="0" t="n">
        <f aca="false">SUMPRODUCT(MMULT(G3730:P3730,_XtX!$B$58:$K$67),G3730:P3730)</f>
        <v>0.370798561789773</v>
      </c>
      <c r="S3730" s="0" t="n">
        <f aca="false">04_回帰ANOVA!$K$19*04_回帰ANOVA!$K$14*SQRT(1+R3730)</f>
        <v>1.08856271788237</v>
      </c>
      <c r="T3730" s="0" t="n">
        <f aca="false">Q3730-S3730</f>
        <v>46.8418066002995</v>
      </c>
      <c r="U3730" s="0" t="n">
        <f aca="false">Q3730+S3730</f>
        <v>49.0189320360642</v>
      </c>
      <c r="V3730" s="54" t="b">
        <f aca="false">AND(D3730&gt;=01_因子設定!$L$5-0.000000001,D3730&lt;=01_因子設定!$M$5+0.000000001,E3730&gt;=01_因子設定!$L$6-0.000000001,E3730&lt;=01_因子設定!$M$6+0.000000001,F3730&gt;=01_因子設定!$L$7-0.000000001,F3730&lt;=01_因子設定!$M$7+0.000000001,IF(01_因子設定!$B$20="Box-Behnken",D3730^2+E3730^2+F3730^2&lt;=2+0.000000001,TRUE()))</f>
        <v>1</v>
      </c>
      <c r="W3730" s="55" t="n">
        <f aca="false">IF(V3730,IF(01_因子設定!$B$13="最大化",T3730-01_因子設定!$B$14,IF(01_因子設定!$B$13="最小化",01_因子設定!$B$15-U3730,MIN(T3730-01_因子設定!$B$14,01_因子設定!$B$15-U3730))),-1E+030)</f>
        <v>-1.65819339970054</v>
      </c>
      <c r="X3730" s="55" t="n">
        <f aca="false">IF(V3730,IF(01_因子設定!$B$13="最大化",Q3730,IF(01_因子設定!$B$13="最小化",-Q3730,-ABS(Q3730-01_因子設定!$B$16))),-1E+030)</f>
        <v>47.9303693181818</v>
      </c>
      <c r="Y3730" s="55" t="n">
        <f aca="false">W3730+ROW()*0.000000001</f>
        <v>-1.65818966970054</v>
      </c>
      <c r="Z3730" s="55" t="n">
        <f aca="false">X3730+ROW()*0.000000001</f>
        <v>47.9303730481818</v>
      </c>
    </row>
    <row r="3731" customFormat="false" ht="15" hidden="false" customHeight="false" outlineLevel="0" collapsed="false">
      <c r="A3731" s="0" t="n">
        <v>12</v>
      </c>
      <c r="B3731" s="0" t="n">
        <v>15</v>
      </c>
      <c r="C3731" s="0" t="n">
        <v>3</v>
      </c>
      <c r="D3731" s="0" t="n">
        <f aca="false">-1+A3731*0.125</f>
        <v>0.5</v>
      </c>
      <c r="E3731" s="0" t="n">
        <f aca="false">-1+B3731*0.125</f>
        <v>0.875</v>
      </c>
      <c r="F3731" s="0" t="n">
        <f aca="false">-1+C3731*0.125</f>
        <v>-0.625</v>
      </c>
      <c r="G3731" s="0" t="n">
        <f aca="false">1</f>
        <v>1</v>
      </c>
      <c r="H3731" s="0" t="n">
        <f aca="false">D3731</f>
        <v>0.5</v>
      </c>
      <c r="I3731" s="0" t="n">
        <f aca="false">E3731</f>
        <v>0.875</v>
      </c>
      <c r="J3731" s="0" t="n">
        <f aca="false">F3731</f>
        <v>-0.625</v>
      </c>
      <c r="K3731" s="0" t="n">
        <f aca="false">D3731*E3731</f>
        <v>0.4375</v>
      </c>
      <c r="L3731" s="0" t="n">
        <f aca="false">D3731*F3731</f>
        <v>-0.3125</v>
      </c>
      <c r="M3731" s="0" t="n">
        <f aca="false">E3731*F3731</f>
        <v>-0.546875</v>
      </c>
      <c r="N3731" s="0" t="n">
        <f aca="false">D3731*D3731</f>
        <v>0.25</v>
      </c>
      <c r="O3731" s="0" t="n">
        <f aca="false">E3731*E3731</f>
        <v>0.765625</v>
      </c>
      <c r="P3731" s="0" t="n">
        <f aca="false">F3731*F3731</f>
        <v>0.390625</v>
      </c>
      <c r="Q3731" s="0" t="n">
        <f aca="false">SUMPRODUCT(G3731:P3731,_XtX!$B$71:$K$71)</f>
        <v>48.3450568181818</v>
      </c>
      <c r="R3731" s="0" t="n">
        <f aca="false">SUMPRODUCT(MMULT(G3731:P3731,_XtX!$B$58:$K$67),G3731:P3731)</f>
        <v>0.335453102805398</v>
      </c>
      <c r="S3731" s="0" t="n">
        <f aca="false">04_回帰ANOVA!$K$19*04_回帰ANOVA!$K$14*SQRT(1+R3731)</f>
        <v>1.07443700305628</v>
      </c>
      <c r="T3731" s="0" t="n">
        <f aca="false">Q3731-S3731</f>
        <v>47.2706198151256</v>
      </c>
      <c r="U3731" s="0" t="n">
        <f aca="false">Q3731+S3731</f>
        <v>49.4194938212381</v>
      </c>
      <c r="V3731" s="54" t="b">
        <f aca="false">AND(D3731&gt;=01_因子設定!$L$5-0.000000001,D3731&lt;=01_因子設定!$M$5+0.000000001,E3731&gt;=01_因子設定!$L$6-0.000000001,E3731&lt;=01_因子設定!$M$6+0.000000001,F3731&gt;=01_因子設定!$L$7-0.000000001,F3731&lt;=01_因子設定!$M$7+0.000000001,IF(01_因子設定!$B$20="Box-Behnken",D3731^2+E3731^2+F3731^2&lt;=2+0.000000001,TRUE()))</f>
        <v>1</v>
      </c>
      <c r="W3731" s="55" t="n">
        <f aca="false">IF(V3731,IF(01_因子設定!$B$13="最大化",T3731-01_因子設定!$B$14,IF(01_因子設定!$B$13="最小化",01_因子設定!$B$15-U3731,MIN(T3731-01_因子設定!$B$14,01_因子設定!$B$15-U3731))),-1E+030)</f>
        <v>-1.22938018487444</v>
      </c>
      <c r="X3731" s="55" t="n">
        <f aca="false">IF(V3731,IF(01_因子設定!$B$13="最大化",Q3731,IF(01_因子設定!$B$13="最小化",-Q3731,-ABS(Q3731-01_因子設定!$B$16))),-1E+030)</f>
        <v>48.3450568181818</v>
      </c>
      <c r="Y3731" s="55" t="n">
        <f aca="false">W3731+ROW()*0.000000001</f>
        <v>-1.22937645387444</v>
      </c>
      <c r="Z3731" s="55" t="n">
        <f aca="false">X3731+ROW()*0.000000001</f>
        <v>48.3450605491818</v>
      </c>
    </row>
    <row r="3732" customFormat="false" ht="15" hidden="false" customHeight="false" outlineLevel="0" collapsed="false">
      <c r="A3732" s="0" t="n">
        <v>12</v>
      </c>
      <c r="B3732" s="0" t="n">
        <v>15</v>
      </c>
      <c r="C3732" s="0" t="n">
        <v>4</v>
      </c>
      <c r="D3732" s="0" t="n">
        <f aca="false">-1+A3732*0.125</f>
        <v>0.5</v>
      </c>
      <c r="E3732" s="0" t="n">
        <f aca="false">-1+B3732*0.125</f>
        <v>0.875</v>
      </c>
      <c r="F3732" s="0" t="n">
        <f aca="false">-1+C3732*0.125</f>
        <v>-0.5</v>
      </c>
      <c r="G3732" s="0" t="n">
        <f aca="false">1</f>
        <v>1</v>
      </c>
      <c r="H3732" s="0" t="n">
        <f aca="false">D3732</f>
        <v>0.5</v>
      </c>
      <c r="I3732" s="0" t="n">
        <f aca="false">E3732</f>
        <v>0.875</v>
      </c>
      <c r="J3732" s="0" t="n">
        <f aca="false">F3732</f>
        <v>-0.5</v>
      </c>
      <c r="K3732" s="0" t="n">
        <f aca="false">D3732*E3732</f>
        <v>0.4375</v>
      </c>
      <c r="L3732" s="0" t="n">
        <f aca="false">D3732*F3732</f>
        <v>-0.25</v>
      </c>
      <c r="M3732" s="0" t="n">
        <f aca="false">E3732*F3732</f>
        <v>-0.4375</v>
      </c>
      <c r="N3732" s="0" t="n">
        <f aca="false">D3732*D3732</f>
        <v>0.25</v>
      </c>
      <c r="O3732" s="0" t="n">
        <f aca="false">E3732*E3732</f>
        <v>0.765625</v>
      </c>
      <c r="P3732" s="0" t="n">
        <f aca="false">F3732*F3732</f>
        <v>0.25</v>
      </c>
      <c r="Q3732" s="0" t="n">
        <f aca="false">SUMPRODUCT(G3732:P3732,_XtX!$B$71:$K$71)</f>
        <v>48.7229545454546</v>
      </c>
      <c r="R3732" s="0" t="n">
        <f aca="false">SUMPRODUCT(MMULT(G3732:P3732,_XtX!$B$58:$K$67),G3732:P3732)</f>
        <v>0.322514204545455</v>
      </c>
      <c r="S3732" s="0" t="n">
        <f aca="false">04_回帰ANOVA!$K$19*04_回帰ANOVA!$K$14*SQRT(1+R3732)</f>
        <v>1.0692193475064</v>
      </c>
      <c r="T3732" s="0" t="n">
        <f aca="false">Q3732-S3732</f>
        <v>47.6537351979482</v>
      </c>
      <c r="U3732" s="0" t="n">
        <f aca="false">Q3732+S3732</f>
        <v>49.792173892961</v>
      </c>
      <c r="V3732" s="54" t="b">
        <f aca="false">AND(D3732&gt;=01_因子設定!$L$5-0.000000001,D3732&lt;=01_因子設定!$M$5+0.000000001,E3732&gt;=01_因子設定!$L$6-0.000000001,E3732&lt;=01_因子設定!$M$6+0.000000001,F3732&gt;=01_因子設定!$L$7-0.000000001,F3732&lt;=01_因子設定!$M$7+0.000000001,IF(01_因子設定!$B$20="Box-Behnken",D3732^2+E3732^2+F3732^2&lt;=2+0.000000001,TRUE()))</f>
        <v>1</v>
      </c>
      <c r="W3732" s="55" t="n">
        <f aca="false">IF(V3732,IF(01_因子設定!$B$13="最大化",T3732-01_因子設定!$B$14,IF(01_因子設定!$B$13="最小化",01_因子設定!$B$15-U3732,MIN(T3732-01_因子設定!$B$14,01_因子設定!$B$15-U3732))),-1E+030)</f>
        <v>-0.846264802051849</v>
      </c>
      <c r="X3732" s="55" t="n">
        <f aca="false">IF(V3732,IF(01_因子設定!$B$13="最大化",Q3732,IF(01_因子設定!$B$13="最小化",-Q3732,-ABS(Q3732-01_因子設定!$B$16))),-1E+030)</f>
        <v>48.7229545454546</v>
      </c>
      <c r="Y3732" s="55" t="n">
        <f aca="false">W3732+ROW()*0.000000001</f>
        <v>-0.846261070051849</v>
      </c>
      <c r="Z3732" s="55" t="n">
        <f aca="false">X3732+ROW()*0.000000001</f>
        <v>48.7229582774546</v>
      </c>
    </row>
    <row r="3733" customFormat="false" ht="15" hidden="false" customHeight="false" outlineLevel="0" collapsed="false">
      <c r="A3733" s="0" t="n">
        <v>12</v>
      </c>
      <c r="B3733" s="0" t="n">
        <v>15</v>
      </c>
      <c r="C3733" s="0" t="n">
        <v>5</v>
      </c>
      <c r="D3733" s="0" t="n">
        <f aca="false">-1+A3733*0.125</f>
        <v>0.5</v>
      </c>
      <c r="E3733" s="0" t="n">
        <f aca="false">-1+B3733*0.125</f>
        <v>0.875</v>
      </c>
      <c r="F3733" s="0" t="n">
        <f aca="false">-1+C3733*0.125</f>
        <v>-0.375</v>
      </c>
      <c r="G3733" s="0" t="n">
        <f aca="false">1</f>
        <v>1</v>
      </c>
      <c r="H3733" s="0" t="n">
        <f aca="false">D3733</f>
        <v>0.5</v>
      </c>
      <c r="I3733" s="0" t="n">
        <f aca="false">E3733</f>
        <v>0.875</v>
      </c>
      <c r="J3733" s="0" t="n">
        <f aca="false">F3733</f>
        <v>-0.375</v>
      </c>
      <c r="K3733" s="0" t="n">
        <f aca="false">D3733*E3733</f>
        <v>0.4375</v>
      </c>
      <c r="L3733" s="0" t="n">
        <f aca="false">D3733*F3733</f>
        <v>-0.1875</v>
      </c>
      <c r="M3733" s="0" t="n">
        <f aca="false">E3733*F3733</f>
        <v>-0.328125</v>
      </c>
      <c r="N3733" s="0" t="n">
        <f aca="false">D3733*D3733</f>
        <v>0.25</v>
      </c>
      <c r="O3733" s="0" t="n">
        <f aca="false">E3733*E3733</f>
        <v>0.765625</v>
      </c>
      <c r="P3733" s="0" t="n">
        <f aca="false">F3733*F3733</f>
        <v>0.140625</v>
      </c>
      <c r="Q3733" s="0" t="n">
        <f aca="false">SUMPRODUCT(G3733:P3733,_XtX!$B$71:$K$71)</f>
        <v>49.0640625</v>
      </c>
      <c r="R3733" s="0" t="n">
        <f aca="false">SUMPRODUCT(MMULT(G3733:P3733,_XtX!$B$58:$K$67),G3733:P3733)</f>
        <v>0.322393798828125</v>
      </c>
      <c r="S3733" s="0" t="n">
        <f aca="false">04_回帰ANOVA!$K$19*04_回帰ANOVA!$K$14*SQRT(1+R3733)</f>
        <v>1.06917067390712</v>
      </c>
      <c r="T3733" s="0" t="n">
        <f aca="false">Q3733-S3733</f>
        <v>47.9948918260929</v>
      </c>
      <c r="U3733" s="0" t="n">
        <f aca="false">Q3733+S3733</f>
        <v>50.1332331739071</v>
      </c>
      <c r="V3733" s="54" t="b">
        <f aca="false">AND(D3733&gt;=01_因子設定!$L$5-0.000000001,D3733&lt;=01_因子設定!$M$5+0.000000001,E3733&gt;=01_因子設定!$L$6-0.000000001,E3733&lt;=01_因子設定!$M$6+0.000000001,F3733&gt;=01_因子設定!$L$7-0.000000001,F3733&lt;=01_因子設定!$M$7+0.000000001,IF(01_因子設定!$B$20="Box-Behnken",D3733^2+E3733^2+F3733^2&lt;=2+0.000000001,TRUE()))</f>
        <v>1</v>
      </c>
      <c r="W3733" s="55" t="n">
        <f aca="false">IF(V3733,IF(01_因子設定!$B$13="最大化",T3733-01_因子設定!$B$14,IF(01_因子設定!$B$13="最小化",01_因子設定!$B$15-U3733,MIN(T3733-01_因子設定!$B$14,01_因子設定!$B$15-U3733))),-1E+030)</f>
        <v>-0.505108173907111</v>
      </c>
      <c r="X3733" s="55" t="n">
        <f aca="false">IF(V3733,IF(01_因子設定!$B$13="最大化",Q3733,IF(01_因子設定!$B$13="最小化",-Q3733,-ABS(Q3733-01_因子設定!$B$16))),-1E+030)</f>
        <v>49.0640625</v>
      </c>
      <c r="Y3733" s="55" t="n">
        <f aca="false">W3733+ROW()*0.000000001</f>
        <v>-0.505104440907111</v>
      </c>
      <c r="Z3733" s="55" t="n">
        <f aca="false">X3733+ROW()*0.000000001</f>
        <v>49.064066233</v>
      </c>
    </row>
    <row r="3734" customFormat="false" ht="15" hidden="false" customHeight="false" outlineLevel="0" collapsed="false">
      <c r="A3734" s="0" t="n">
        <v>12</v>
      </c>
      <c r="B3734" s="0" t="n">
        <v>15</v>
      </c>
      <c r="C3734" s="0" t="n">
        <v>6</v>
      </c>
      <c r="D3734" s="0" t="n">
        <f aca="false">-1+A3734*0.125</f>
        <v>0.5</v>
      </c>
      <c r="E3734" s="0" t="n">
        <f aca="false">-1+B3734*0.125</f>
        <v>0.875</v>
      </c>
      <c r="F3734" s="0" t="n">
        <f aca="false">-1+C3734*0.125</f>
        <v>-0.25</v>
      </c>
      <c r="G3734" s="0" t="n">
        <f aca="false">1</f>
        <v>1</v>
      </c>
      <c r="H3734" s="0" t="n">
        <f aca="false">D3734</f>
        <v>0.5</v>
      </c>
      <c r="I3734" s="0" t="n">
        <f aca="false">E3734</f>
        <v>0.875</v>
      </c>
      <c r="J3734" s="0" t="n">
        <f aca="false">F3734</f>
        <v>-0.25</v>
      </c>
      <c r="K3734" s="0" t="n">
        <f aca="false">D3734*E3734</f>
        <v>0.4375</v>
      </c>
      <c r="L3734" s="0" t="n">
        <f aca="false">D3734*F3734</f>
        <v>-0.125</v>
      </c>
      <c r="M3734" s="0" t="n">
        <f aca="false">E3734*F3734</f>
        <v>-0.21875</v>
      </c>
      <c r="N3734" s="0" t="n">
        <f aca="false">D3734*D3734</f>
        <v>0.25</v>
      </c>
      <c r="O3734" s="0" t="n">
        <f aca="false">E3734*E3734</f>
        <v>0.765625</v>
      </c>
      <c r="P3734" s="0" t="n">
        <f aca="false">F3734*F3734</f>
        <v>0.0625</v>
      </c>
      <c r="Q3734" s="0" t="n">
        <f aca="false">SUMPRODUCT(G3734:P3734,_XtX!$B$71:$K$71)</f>
        <v>49.3683806818182</v>
      </c>
      <c r="R3734" s="0" t="n">
        <f aca="false">SUMPRODUCT(MMULT(G3734:P3734,_XtX!$B$58:$K$67),G3734:P3734)</f>
        <v>0.327634499289773</v>
      </c>
      <c r="S3734" s="0" t="n">
        <f aca="false">04_回帰ANOVA!$K$19*04_回帰ANOVA!$K$14*SQRT(1+R3734)</f>
        <v>1.07128716250217</v>
      </c>
      <c r="T3734" s="0" t="n">
        <f aca="false">Q3734-S3734</f>
        <v>48.297093519316</v>
      </c>
      <c r="U3734" s="0" t="n">
        <f aca="false">Q3734+S3734</f>
        <v>50.4396678443204</v>
      </c>
      <c r="V3734" s="54" t="b">
        <f aca="false">AND(D3734&gt;=01_因子設定!$L$5-0.000000001,D3734&lt;=01_因子設定!$M$5+0.000000001,E3734&gt;=01_因子設定!$L$6-0.000000001,E3734&lt;=01_因子設定!$M$6+0.000000001,F3734&gt;=01_因子設定!$L$7-0.000000001,F3734&lt;=01_因子設定!$M$7+0.000000001,IF(01_因子設定!$B$20="Box-Behnken",D3734^2+E3734^2+F3734^2&lt;=2+0.000000001,TRUE()))</f>
        <v>1</v>
      </c>
      <c r="W3734" s="55" t="n">
        <f aca="false">IF(V3734,IF(01_因子設定!$B$13="最大化",T3734-01_因子設定!$B$14,IF(01_因子設定!$B$13="最小化",01_因子設定!$B$15-U3734,MIN(T3734-01_因子設定!$B$14,01_因子設定!$B$15-U3734))),-1E+030)</f>
        <v>-0.202906480683986</v>
      </c>
      <c r="X3734" s="55" t="n">
        <f aca="false">IF(V3734,IF(01_因子設定!$B$13="最大化",Q3734,IF(01_因子設定!$B$13="最小化",-Q3734,-ABS(Q3734-01_因子設定!$B$16))),-1E+030)</f>
        <v>49.3683806818182</v>
      </c>
      <c r="Y3734" s="55" t="n">
        <f aca="false">W3734+ROW()*0.000000001</f>
        <v>-0.202902746683986</v>
      </c>
      <c r="Z3734" s="55" t="n">
        <f aca="false">X3734+ROW()*0.000000001</f>
        <v>49.3683844158182</v>
      </c>
    </row>
    <row r="3735" customFormat="false" ht="15" hidden="false" customHeight="false" outlineLevel="0" collapsed="false">
      <c r="A3735" s="0" t="n">
        <v>12</v>
      </c>
      <c r="B3735" s="0" t="n">
        <v>15</v>
      </c>
      <c r="C3735" s="0" t="n">
        <v>7</v>
      </c>
      <c r="D3735" s="0" t="n">
        <f aca="false">-1+A3735*0.125</f>
        <v>0.5</v>
      </c>
      <c r="E3735" s="0" t="n">
        <f aca="false">-1+B3735*0.125</f>
        <v>0.875</v>
      </c>
      <c r="F3735" s="0" t="n">
        <f aca="false">-1+C3735*0.125</f>
        <v>-0.125</v>
      </c>
      <c r="G3735" s="0" t="n">
        <f aca="false">1</f>
        <v>1</v>
      </c>
      <c r="H3735" s="0" t="n">
        <f aca="false">D3735</f>
        <v>0.5</v>
      </c>
      <c r="I3735" s="0" t="n">
        <f aca="false">E3735</f>
        <v>0.875</v>
      </c>
      <c r="J3735" s="0" t="n">
        <f aca="false">F3735</f>
        <v>-0.125</v>
      </c>
      <c r="K3735" s="0" t="n">
        <f aca="false">D3735*E3735</f>
        <v>0.4375</v>
      </c>
      <c r="L3735" s="0" t="n">
        <f aca="false">D3735*F3735</f>
        <v>-0.0625</v>
      </c>
      <c r="M3735" s="0" t="n">
        <f aca="false">E3735*F3735</f>
        <v>-0.109375</v>
      </c>
      <c r="N3735" s="0" t="n">
        <f aca="false">D3735*D3735</f>
        <v>0.25</v>
      </c>
      <c r="O3735" s="0" t="n">
        <f aca="false">E3735*E3735</f>
        <v>0.765625</v>
      </c>
      <c r="P3735" s="0" t="n">
        <f aca="false">F3735*F3735</f>
        <v>0.015625</v>
      </c>
      <c r="Q3735" s="0" t="n">
        <f aca="false">SUMPRODUCT(G3735:P3735,_XtX!$B$71:$K$71)</f>
        <v>49.6359090909091</v>
      </c>
      <c r="R3735" s="0" t="n">
        <f aca="false">SUMPRODUCT(MMULT(G3735:P3735,_XtX!$B$58:$K$67),G3735:P3735)</f>
        <v>0.332909601384943</v>
      </c>
      <c r="S3735" s="0" t="n">
        <f aca="false">04_回帰ANOVA!$K$19*04_回帰ANOVA!$K$14*SQRT(1+R3735)</f>
        <v>1.07341333007404</v>
      </c>
      <c r="T3735" s="0" t="n">
        <f aca="false">Q3735-S3735</f>
        <v>48.5624957608351</v>
      </c>
      <c r="U3735" s="0" t="n">
        <f aca="false">Q3735+S3735</f>
        <v>50.7093224209831</v>
      </c>
      <c r="V3735" s="54" t="b">
        <f aca="false">AND(D3735&gt;=01_因子設定!$L$5-0.000000001,D3735&lt;=01_因子設定!$M$5+0.000000001,E3735&gt;=01_因子設定!$L$6-0.000000001,E3735&lt;=01_因子設定!$M$6+0.000000001,F3735&gt;=01_因子設定!$L$7-0.000000001,F3735&lt;=01_因子設定!$M$7+0.000000001,IF(01_因子設定!$B$20="Box-Behnken",D3735^2+E3735^2+F3735^2&lt;=2+0.000000001,TRUE()))</f>
        <v>1</v>
      </c>
      <c r="W3735" s="55" t="n">
        <f aca="false">IF(V3735,IF(01_因子設定!$B$13="最大化",T3735-01_因子設定!$B$14,IF(01_因子設定!$B$13="最小化",01_因子設定!$B$15-U3735,MIN(T3735-01_因子設定!$B$14,01_因子設定!$B$15-U3735))),-1E+030)</f>
        <v>0.0624957608350556</v>
      </c>
      <c r="X3735" s="55" t="n">
        <f aca="false">IF(V3735,IF(01_因子設定!$B$13="最大化",Q3735,IF(01_因子設定!$B$13="最小化",-Q3735,-ABS(Q3735-01_因子設定!$B$16))),-1E+030)</f>
        <v>49.6359090909091</v>
      </c>
      <c r="Y3735" s="55" t="n">
        <f aca="false">W3735+ROW()*0.000000001</f>
        <v>0.0624994958350556</v>
      </c>
      <c r="Z3735" s="55" t="n">
        <f aca="false">X3735+ROW()*0.000000001</f>
        <v>49.6359128259091</v>
      </c>
    </row>
    <row r="3736" customFormat="false" ht="15" hidden="false" customHeight="false" outlineLevel="0" collapsed="false">
      <c r="A3736" s="0" t="n">
        <v>12</v>
      </c>
      <c r="B3736" s="0" t="n">
        <v>15</v>
      </c>
      <c r="C3736" s="0" t="n">
        <v>8</v>
      </c>
      <c r="D3736" s="0" t="n">
        <f aca="false">-1+A3736*0.125</f>
        <v>0.5</v>
      </c>
      <c r="E3736" s="0" t="n">
        <f aca="false">-1+B3736*0.125</f>
        <v>0.875</v>
      </c>
      <c r="F3736" s="0" t="n">
        <f aca="false">-1+C3736*0.125</f>
        <v>0</v>
      </c>
      <c r="G3736" s="0" t="n">
        <f aca="false">1</f>
        <v>1</v>
      </c>
      <c r="H3736" s="0" t="n">
        <f aca="false">D3736</f>
        <v>0.5</v>
      </c>
      <c r="I3736" s="0" t="n">
        <f aca="false">E3736</f>
        <v>0.875</v>
      </c>
      <c r="J3736" s="0" t="n">
        <f aca="false">F3736</f>
        <v>0</v>
      </c>
      <c r="K3736" s="0" t="n">
        <f aca="false">D3736*E3736</f>
        <v>0.4375</v>
      </c>
      <c r="L3736" s="0" t="n">
        <f aca="false">D3736*F3736</f>
        <v>0</v>
      </c>
      <c r="M3736" s="0" t="n">
        <f aca="false">E3736*F3736</f>
        <v>0</v>
      </c>
      <c r="N3736" s="0" t="n">
        <f aca="false">D3736*D3736</f>
        <v>0.25</v>
      </c>
      <c r="O3736" s="0" t="n">
        <f aca="false">E3736*E3736</f>
        <v>0.765625</v>
      </c>
      <c r="P3736" s="0" t="n">
        <f aca="false">F3736*F3736</f>
        <v>0</v>
      </c>
      <c r="Q3736" s="0" t="n">
        <f aca="false">SUMPRODUCT(G3736:P3736,_XtX!$B$71:$K$71)</f>
        <v>49.8666477272727</v>
      </c>
      <c r="R3736" s="0" t="n">
        <f aca="false">SUMPRODUCT(MMULT(G3736:P3736,_XtX!$B$58:$K$67),G3736:P3736)</f>
        <v>0.335023082386364</v>
      </c>
      <c r="S3736" s="0" t="n">
        <f aca="false">04_回帰ANOVA!$K$19*04_回帰ANOVA!$K$14*SQRT(1+R3736)</f>
        <v>1.07426400295275</v>
      </c>
      <c r="T3736" s="0" t="n">
        <f aca="false">Q3736-S3736</f>
        <v>48.79238372432</v>
      </c>
      <c r="U3736" s="0" t="n">
        <f aca="false">Q3736+S3736</f>
        <v>50.9409117302255</v>
      </c>
      <c r="V3736" s="54" t="b">
        <f aca="false">AND(D3736&gt;=01_因子設定!$L$5-0.000000001,D3736&lt;=01_因子設定!$M$5+0.000000001,E3736&gt;=01_因子設定!$L$6-0.000000001,E3736&lt;=01_因子設定!$M$6+0.000000001,F3736&gt;=01_因子設定!$L$7-0.000000001,F3736&lt;=01_因子設定!$M$7+0.000000001,IF(01_因子設定!$B$20="Box-Behnken",D3736^2+E3736^2+F3736^2&lt;=2+0.000000001,TRUE()))</f>
        <v>1</v>
      </c>
      <c r="W3736" s="55" t="n">
        <f aca="false">IF(V3736,IF(01_因子設定!$B$13="最大化",T3736-01_因子設定!$B$14,IF(01_因子設定!$B$13="最小化",01_因子設定!$B$15-U3736,MIN(T3736-01_因子設定!$B$14,01_因子設定!$B$15-U3736))),-1E+030)</f>
        <v>0.292383724319983</v>
      </c>
      <c r="X3736" s="55" t="n">
        <f aca="false">IF(V3736,IF(01_因子設定!$B$13="最大化",Q3736,IF(01_因子設定!$B$13="最小化",-Q3736,-ABS(Q3736-01_因子設定!$B$16))),-1E+030)</f>
        <v>49.8666477272727</v>
      </c>
      <c r="Y3736" s="55" t="n">
        <f aca="false">W3736+ROW()*0.000000001</f>
        <v>0.292387460319983</v>
      </c>
      <c r="Z3736" s="55" t="n">
        <f aca="false">X3736+ROW()*0.000000001</f>
        <v>49.8666514632727</v>
      </c>
    </row>
    <row r="3737" customFormat="false" ht="15" hidden="false" customHeight="false" outlineLevel="0" collapsed="false">
      <c r="A3737" s="0" t="n">
        <v>12</v>
      </c>
      <c r="B3737" s="0" t="n">
        <v>15</v>
      </c>
      <c r="C3737" s="0" t="n">
        <v>9</v>
      </c>
      <c r="D3737" s="0" t="n">
        <f aca="false">-1+A3737*0.125</f>
        <v>0.5</v>
      </c>
      <c r="E3737" s="0" t="n">
        <f aca="false">-1+B3737*0.125</f>
        <v>0.875</v>
      </c>
      <c r="F3737" s="0" t="n">
        <f aca="false">-1+C3737*0.125</f>
        <v>0.125</v>
      </c>
      <c r="G3737" s="0" t="n">
        <f aca="false">1</f>
        <v>1</v>
      </c>
      <c r="H3737" s="0" t="n">
        <f aca="false">D3737</f>
        <v>0.5</v>
      </c>
      <c r="I3737" s="0" t="n">
        <f aca="false">E3737</f>
        <v>0.875</v>
      </c>
      <c r="J3737" s="0" t="n">
        <f aca="false">F3737</f>
        <v>0.125</v>
      </c>
      <c r="K3737" s="0" t="n">
        <f aca="false">D3737*E3737</f>
        <v>0.4375</v>
      </c>
      <c r="L3737" s="0" t="n">
        <f aca="false">D3737*F3737</f>
        <v>0.0625</v>
      </c>
      <c r="M3737" s="0" t="n">
        <f aca="false">E3737*F3737</f>
        <v>0.109375</v>
      </c>
      <c r="N3737" s="0" t="n">
        <f aca="false">D3737*D3737</f>
        <v>0.25</v>
      </c>
      <c r="O3737" s="0" t="n">
        <f aca="false">E3737*E3737</f>
        <v>0.765625</v>
      </c>
      <c r="P3737" s="0" t="n">
        <f aca="false">F3737*F3737</f>
        <v>0.015625</v>
      </c>
      <c r="Q3737" s="0" t="n">
        <f aca="false">SUMPRODUCT(G3737:P3737,_XtX!$B$71:$K$71)</f>
        <v>50.0605965909091</v>
      </c>
      <c r="R3737" s="0" t="n">
        <f aca="false">SUMPRODUCT(MMULT(G3737:P3737,_XtX!$B$58:$K$67),G3737:P3737)</f>
        <v>0.332909601384943</v>
      </c>
      <c r="S3737" s="0" t="n">
        <f aca="false">04_回帰ANOVA!$K$19*04_回帰ANOVA!$K$14*SQRT(1+R3737)</f>
        <v>1.07341333007404</v>
      </c>
      <c r="T3737" s="0" t="n">
        <f aca="false">Q3737-S3737</f>
        <v>48.9871832608351</v>
      </c>
      <c r="U3737" s="0" t="n">
        <f aca="false">Q3737+S3737</f>
        <v>51.1340099209831</v>
      </c>
      <c r="V3737" s="54" t="b">
        <f aca="false">AND(D3737&gt;=01_因子設定!$L$5-0.000000001,D3737&lt;=01_因子設定!$M$5+0.000000001,E3737&gt;=01_因子設定!$L$6-0.000000001,E3737&lt;=01_因子設定!$M$6+0.000000001,F3737&gt;=01_因子設定!$L$7-0.000000001,F3737&lt;=01_因子設定!$M$7+0.000000001,IF(01_因子設定!$B$20="Box-Behnken",D3737^2+E3737^2+F3737^2&lt;=2+0.000000001,TRUE()))</f>
        <v>1</v>
      </c>
      <c r="W3737" s="55" t="n">
        <f aca="false">IF(V3737,IF(01_因子設定!$B$13="最大化",T3737-01_因子設定!$B$14,IF(01_因子設定!$B$13="最小化",01_因子設定!$B$15-U3737,MIN(T3737-01_因子設定!$B$14,01_因子設定!$B$15-U3737))),-1E+030)</f>
        <v>0.48718326083506</v>
      </c>
      <c r="X3737" s="55" t="n">
        <f aca="false">IF(V3737,IF(01_因子設定!$B$13="最大化",Q3737,IF(01_因子設定!$B$13="最小化",-Q3737,-ABS(Q3737-01_因子設定!$B$16))),-1E+030)</f>
        <v>50.0605965909091</v>
      </c>
      <c r="Y3737" s="55" t="n">
        <f aca="false">W3737+ROW()*0.000000001</f>
        <v>0.48718699783506</v>
      </c>
      <c r="Z3737" s="55" t="n">
        <f aca="false">X3737+ROW()*0.000000001</f>
        <v>50.0606003279091</v>
      </c>
    </row>
    <row r="3738" customFormat="false" ht="15" hidden="false" customHeight="false" outlineLevel="0" collapsed="false">
      <c r="A3738" s="0" t="n">
        <v>12</v>
      </c>
      <c r="B3738" s="0" t="n">
        <v>15</v>
      </c>
      <c r="C3738" s="0" t="n">
        <v>10</v>
      </c>
      <c r="D3738" s="0" t="n">
        <f aca="false">-1+A3738*0.125</f>
        <v>0.5</v>
      </c>
      <c r="E3738" s="0" t="n">
        <f aca="false">-1+B3738*0.125</f>
        <v>0.875</v>
      </c>
      <c r="F3738" s="0" t="n">
        <f aca="false">-1+C3738*0.125</f>
        <v>0.25</v>
      </c>
      <c r="G3738" s="0" t="n">
        <f aca="false">1</f>
        <v>1</v>
      </c>
      <c r="H3738" s="0" t="n">
        <f aca="false">D3738</f>
        <v>0.5</v>
      </c>
      <c r="I3738" s="0" t="n">
        <f aca="false">E3738</f>
        <v>0.875</v>
      </c>
      <c r="J3738" s="0" t="n">
        <f aca="false">F3738</f>
        <v>0.25</v>
      </c>
      <c r="K3738" s="0" t="n">
        <f aca="false">D3738*E3738</f>
        <v>0.4375</v>
      </c>
      <c r="L3738" s="0" t="n">
        <f aca="false">D3738*F3738</f>
        <v>0.125</v>
      </c>
      <c r="M3738" s="0" t="n">
        <f aca="false">E3738*F3738</f>
        <v>0.21875</v>
      </c>
      <c r="N3738" s="0" t="n">
        <f aca="false">D3738*D3738</f>
        <v>0.25</v>
      </c>
      <c r="O3738" s="0" t="n">
        <f aca="false">E3738*E3738</f>
        <v>0.765625</v>
      </c>
      <c r="P3738" s="0" t="n">
        <f aca="false">F3738*F3738</f>
        <v>0.0625</v>
      </c>
      <c r="Q3738" s="0" t="n">
        <f aca="false">SUMPRODUCT(G3738:P3738,_XtX!$B$71:$K$71)</f>
        <v>50.2177556818182</v>
      </c>
      <c r="R3738" s="0" t="n">
        <f aca="false">SUMPRODUCT(MMULT(G3738:P3738,_XtX!$B$58:$K$67),G3738:P3738)</f>
        <v>0.327634499289773</v>
      </c>
      <c r="S3738" s="0" t="n">
        <f aca="false">04_回帰ANOVA!$K$19*04_回帰ANOVA!$K$14*SQRT(1+R3738)</f>
        <v>1.07128716250217</v>
      </c>
      <c r="T3738" s="0" t="n">
        <f aca="false">Q3738-S3738</f>
        <v>49.146468519316</v>
      </c>
      <c r="U3738" s="0" t="n">
        <f aca="false">Q3738+S3738</f>
        <v>51.2890428443204</v>
      </c>
      <c r="V3738" s="54" t="b">
        <f aca="false">AND(D3738&gt;=01_因子設定!$L$5-0.000000001,D3738&lt;=01_因子設定!$M$5+0.000000001,E3738&gt;=01_因子設定!$L$6-0.000000001,E3738&lt;=01_因子設定!$M$6+0.000000001,F3738&gt;=01_因子設定!$L$7-0.000000001,F3738&lt;=01_因子設定!$M$7+0.000000001,IF(01_因子設定!$B$20="Box-Behnken",D3738^2+E3738^2+F3738^2&lt;=2+0.000000001,TRUE()))</f>
        <v>1</v>
      </c>
      <c r="W3738" s="55" t="n">
        <f aca="false">IF(V3738,IF(01_因子設定!$B$13="最大化",T3738-01_因子設定!$B$14,IF(01_因子設定!$B$13="最小化",01_因子設定!$B$15-U3738,MIN(T3738-01_因子設定!$B$14,01_因子設定!$B$15-U3738))),-1E+030)</f>
        <v>0.646468519316017</v>
      </c>
      <c r="X3738" s="55" t="n">
        <f aca="false">IF(V3738,IF(01_因子設定!$B$13="最大化",Q3738,IF(01_因子設定!$B$13="最小化",-Q3738,-ABS(Q3738-01_因子設定!$B$16))),-1E+030)</f>
        <v>50.2177556818182</v>
      </c>
      <c r="Y3738" s="55" t="n">
        <f aca="false">W3738+ROW()*0.000000001</f>
        <v>0.646472257316016</v>
      </c>
      <c r="Z3738" s="55" t="n">
        <f aca="false">X3738+ROW()*0.000000001</f>
        <v>50.2177594198182</v>
      </c>
    </row>
    <row r="3739" customFormat="false" ht="15" hidden="false" customHeight="false" outlineLevel="0" collapsed="false">
      <c r="A3739" s="0" t="n">
        <v>12</v>
      </c>
      <c r="B3739" s="0" t="n">
        <v>15</v>
      </c>
      <c r="C3739" s="0" t="n">
        <v>11</v>
      </c>
      <c r="D3739" s="0" t="n">
        <f aca="false">-1+A3739*0.125</f>
        <v>0.5</v>
      </c>
      <c r="E3739" s="0" t="n">
        <f aca="false">-1+B3739*0.125</f>
        <v>0.875</v>
      </c>
      <c r="F3739" s="0" t="n">
        <f aca="false">-1+C3739*0.125</f>
        <v>0.375</v>
      </c>
      <c r="G3739" s="0" t="n">
        <f aca="false">1</f>
        <v>1</v>
      </c>
      <c r="H3739" s="0" t="n">
        <f aca="false">D3739</f>
        <v>0.5</v>
      </c>
      <c r="I3739" s="0" t="n">
        <f aca="false">E3739</f>
        <v>0.875</v>
      </c>
      <c r="J3739" s="0" t="n">
        <f aca="false">F3739</f>
        <v>0.375</v>
      </c>
      <c r="K3739" s="0" t="n">
        <f aca="false">D3739*E3739</f>
        <v>0.4375</v>
      </c>
      <c r="L3739" s="0" t="n">
        <f aca="false">D3739*F3739</f>
        <v>0.1875</v>
      </c>
      <c r="M3739" s="0" t="n">
        <f aca="false">E3739*F3739</f>
        <v>0.328125</v>
      </c>
      <c r="N3739" s="0" t="n">
        <f aca="false">D3739*D3739</f>
        <v>0.25</v>
      </c>
      <c r="O3739" s="0" t="n">
        <f aca="false">E3739*E3739</f>
        <v>0.765625</v>
      </c>
      <c r="P3739" s="0" t="n">
        <f aca="false">F3739*F3739</f>
        <v>0.140625</v>
      </c>
      <c r="Q3739" s="0" t="n">
        <f aca="false">SUMPRODUCT(G3739:P3739,_XtX!$B$71:$K$71)</f>
        <v>50.338125</v>
      </c>
      <c r="R3739" s="0" t="n">
        <f aca="false">SUMPRODUCT(MMULT(G3739:P3739,_XtX!$B$58:$K$67),G3739:P3739)</f>
        <v>0.322393798828125</v>
      </c>
      <c r="S3739" s="0" t="n">
        <f aca="false">04_回帰ANOVA!$K$19*04_回帰ANOVA!$K$14*SQRT(1+R3739)</f>
        <v>1.06917067390712</v>
      </c>
      <c r="T3739" s="0" t="n">
        <f aca="false">Q3739-S3739</f>
        <v>49.2689543260929</v>
      </c>
      <c r="U3739" s="0" t="n">
        <f aca="false">Q3739+S3739</f>
        <v>51.4072956739071</v>
      </c>
      <c r="V3739" s="54" t="b">
        <f aca="false">AND(D3739&gt;=01_因子設定!$L$5-0.000000001,D3739&lt;=01_因子設定!$M$5+0.000000001,E3739&gt;=01_因子設定!$L$6-0.000000001,E3739&lt;=01_因子設定!$M$6+0.000000001,F3739&gt;=01_因子設定!$L$7-0.000000001,F3739&lt;=01_因子設定!$M$7+0.000000001,IF(01_因子設定!$B$20="Box-Behnken",D3739^2+E3739^2+F3739^2&lt;=2+0.000000001,TRUE()))</f>
        <v>1</v>
      </c>
      <c r="W3739" s="55" t="n">
        <f aca="false">IF(V3739,IF(01_因子設定!$B$13="最大化",T3739-01_因子設定!$B$14,IF(01_因子設定!$B$13="最小化",01_因子設定!$B$15-U3739,MIN(T3739-01_因子設定!$B$14,01_因子設定!$B$15-U3739))),-1E+030)</f>
        <v>0.768954326092896</v>
      </c>
      <c r="X3739" s="55" t="n">
        <f aca="false">IF(V3739,IF(01_因子設定!$B$13="最大化",Q3739,IF(01_因子設定!$B$13="最小化",-Q3739,-ABS(Q3739-01_因子設定!$B$16))),-1E+030)</f>
        <v>50.338125</v>
      </c>
      <c r="Y3739" s="55" t="n">
        <f aca="false">W3739+ROW()*0.000000001</f>
        <v>0.768958065092896</v>
      </c>
      <c r="Z3739" s="55" t="n">
        <f aca="false">X3739+ROW()*0.000000001</f>
        <v>50.338128739</v>
      </c>
    </row>
    <row r="3740" customFormat="false" ht="15" hidden="false" customHeight="false" outlineLevel="0" collapsed="false">
      <c r="A3740" s="0" t="n">
        <v>12</v>
      </c>
      <c r="B3740" s="0" t="n">
        <v>15</v>
      </c>
      <c r="C3740" s="0" t="n">
        <v>12</v>
      </c>
      <c r="D3740" s="0" t="n">
        <f aca="false">-1+A3740*0.125</f>
        <v>0.5</v>
      </c>
      <c r="E3740" s="0" t="n">
        <f aca="false">-1+B3740*0.125</f>
        <v>0.875</v>
      </c>
      <c r="F3740" s="0" t="n">
        <f aca="false">-1+C3740*0.125</f>
        <v>0.5</v>
      </c>
      <c r="G3740" s="0" t="n">
        <f aca="false">1</f>
        <v>1</v>
      </c>
      <c r="H3740" s="0" t="n">
        <f aca="false">D3740</f>
        <v>0.5</v>
      </c>
      <c r="I3740" s="0" t="n">
        <f aca="false">E3740</f>
        <v>0.875</v>
      </c>
      <c r="J3740" s="0" t="n">
        <f aca="false">F3740</f>
        <v>0.5</v>
      </c>
      <c r="K3740" s="0" t="n">
        <f aca="false">D3740*E3740</f>
        <v>0.4375</v>
      </c>
      <c r="L3740" s="0" t="n">
        <f aca="false">D3740*F3740</f>
        <v>0.25</v>
      </c>
      <c r="M3740" s="0" t="n">
        <f aca="false">E3740*F3740</f>
        <v>0.4375</v>
      </c>
      <c r="N3740" s="0" t="n">
        <f aca="false">D3740*D3740</f>
        <v>0.25</v>
      </c>
      <c r="O3740" s="0" t="n">
        <f aca="false">E3740*E3740</f>
        <v>0.765625</v>
      </c>
      <c r="P3740" s="0" t="n">
        <f aca="false">F3740*F3740</f>
        <v>0.25</v>
      </c>
      <c r="Q3740" s="0" t="n">
        <f aca="false">SUMPRODUCT(G3740:P3740,_XtX!$B$71:$K$71)</f>
        <v>50.4217045454546</v>
      </c>
      <c r="R3740" s="0" t="n">
        <f aca="false">SUMPRODUCT(MMULT(G3740:P3740,_XtX!$B$58:$K$67),G3740:P3740)</f>
        <v>0.322514204545455</v>
      </c>
      <c r="S3740" s="0" t="n">
        <f aca="false">04_回帰ANOVA!$K$19*04_回帰ANOVA!$K$14*SQRT(1+R3740)</f>
        <v>1.0692193475064</v>
      </c>
      <c r="T3740" s="0" t="n">
        <f aca="false">Q3740-S3740</f>
        <v>49.3524851979482</v>
      </c>
      <c r="U3740" s="0" t="n">
        <f aca="false">Q3740+S3740</f>
        <v>51.490923892961</v>
      </c>
      <c r="V3740" s="54" t="b">
        <f aca="false">AND(D3740&gt;=01_因子設定!$L$5-0.000000001,D3740&lt;=01_因子設定!$M$5+0.000000001,E3740&gt;=01_因子設定!$L$6-0.000000001,E3740&lt;=01_因子設定!$M$6+0.000000001,F3740&gt;=01_因子設定!$L$7-0.000000001,F3740&lt;=01_因子設定!$M$7+0.000000001,IF(01_因子設定!$B$20="Box-Behnken",D3740^2+E3740^2+F3740^2&lt;=2+0.000000001,TRUE()))</f>
        <v>1</v>
      </c>
      <c r="W3740" s="55" t="n">
        <f aca="false">IF(V3740,IF(01_因子設定!$B$13="最大化",T3740-01_因子設定!$B$14,IF(01_因子設定!$B$13="最小化",01_因子設定!$B$15-U3740,MIN(T3740-01_因子設定!$B$14,01_因子設定!$B$15-U3740))),-1E+030)</f>
        <v>0.852485197948155</v>
      </c>
      <c r="X3740" s="55" t="n">
        <f aca="false">IF(V3740,IF(01_因子設定!$B$13="最大化",Q3740,IF(01_因子設定!$B$13="最小化",-Q3740,-ABS(Q3740-01_因子設定!$B$16))),-1E+030)</f>
        <v>50.4217045454546</v>
      </c>
      <c r="Y3740" s="55" t="n">
        <f aca="false">W3740+ROW()*0.000000001</f>
        <v>0.852488937948155</v>
      </c>
      <c r="Z3740" s="55" t="n">
        <f aca="false">X3740+ROW()*0.000000001</f>
        <v>50.4217082854546</v>
      </c>
    </row>
    <row r="3741" customFormat="false" ht="15" hidden="false" customHeight="false" outlineLevel="0" collapsed="false">
      <c r="A3741" s="0" t="n">
        <v>12</v>
      </c>
      <c r="B3741" s="0" t="n">
        <v>15</v>
      </c>
      <c r="C3741" s="0" t="n">
        <v>13</v>
      </c>
      <c r="D3741" s="0" t="n">
        <f aca="false">-1+A3741*0.125</f>
        <v>0.5</v>
      </c>
      <c r="E3741" s="0" t="n">
        <f aca="false">-1+B3741*0.125</f>
        <v>0.875</v>
      </c>
      <c r="F3741" s="0" t="n">
        <f aca="false">-1+C3741*0.125</f>
        <v>0.625</v>
      </c>
      <c r="G3741" s="0" t="n">
        <f aca="false">1</f>
        <v>1</v>
      </c>
      <c r="H3741" s="0" t="n">
        <f aca="false">D3741</f>
        <v>0.5</v>
      </c>
      <c r="I3741" s="0" t="n">
        <f aca="false">E3741</f>
        <v>0.875</v>
      </c>
      <c r="J3741" s="0" t="n">
        <f aca="false">F3741</f>
        <v>0.625</v>
      </c>
      <c r="K3741" s="0" t="n">
        <f aca="false">D3741*E3741</f>
        <v>0.4375</v>
      </c>
      <c r="L3741" s="0" t="n">
        <f aca="false">D3741*F3741</f>
        <v>0.3125</v>
      </c>
      <c r="M3741" s="0" t="n">
        <f aca="false">E3741*F3741</f>
        <v>0.546875</v>
      </c>
      <c r="N3741" s="0" t="n">
        <f aca="false">D3741*D3741</f>
        <v>0.25</v>
      </c>
      <c r="O3741" s="0" t="n">
        <f aca="false">E3741*E3741</f>
        <v>0.765625</v>
      </c>
      <c r="P3741" s="0" t="n">
        <f aca="false">F3741*F3741</f>
        <v>0.390625</v>
      </c>
      <c r="Q3741" s="0" t="n">
        <f aca="false">SUMPRODUCT(G3741:P3741,_XtX!$B$71:$K$71)</f>
        <v>50.4684943181818</v>
      </c>
      <c r="R3741" s="0" t="n">
        <f aca="false">SUMPRODUCT(MMULT(G3741:P3741,_XtX!$B$58:$K$67),G3741:P3741)</f>
        <v>0.335453102805398</v>
      </c>
      <c r="S3741" s="0" t="n">
        <f aca="false">04_回帰ANOVA!$K$19*04_回帰ANOVA!$K$14*SQRT(1+R3741)</f>
        <v>1.07443700305628</v>
      </c>
      <c r="T3741" s="0" t="n">
        <f aca="false">Q3741-S3741</f>
        <v>49.3940573151256</v>
      </c>
      <c r="U3741" s="0" t="n">
        <f aca="false">Q3741+S3741</f>
        <v>51.5429313212381</v>
      </c>
      <c r="V3741" s="54" t="b">
        <f aca="false">AND(D3741&gt;=01_因子設定!$L$5-0.000000001,D3741&lt;=01_因子設定!$M$5+0.000000001,E3741&gt;=01_因子設定!$L$6-0.000000001,E3741&lt;=01_因子設定!$M$6+0.000000001,F3741&gt;=01_因子設定!$L$7-0.000000001,F3741&lt;=01_因子設定!$M$7+0.000000001,IF(01_因子設定!$B$20="Box-Behnken",D3741^2+E3741^2+F3741^2&lt;=2+0.000000001,TRUE()))</f>
        <v>1</v>
      </c>
      <c r="W3741" s="55" t="n">
        <f aca="false">IF(V3741,IF(01_因子設定!$B$13="最大化",T3741-01_因子設定!$B$14,IF(01_因子設定!$B$13="最小化",01_因子設定!$B$15-U3741,MIN(T3741-01_因子設定!$B$14,01_因子設定!$B$15-U3741))),-1E+030)</f>
        <v>0.894057315125558</v>
      </c>
      <c r="X3741" s="55" t="n">
        <f aca="false">IF(V3741,IF(01_因子設定!$B$13="最大化",Q3741,IF(01_因子設定!$B$13="最小化",-Q3741,-ABS(Q3741-01_因子設定!$B$16))),-1E+030)</f>
        <v>50.4684943181818</v>
      </c>
      <c r="Y3741" s="55" t="n">
        <f aca="false">W3741+ROW()*0.000000001</f>
        <v>0.894061056125558</v>
      </c>
      <c r="Z3741" s="55" t="n">
        <f aca="false">X3741+ROW()*0.000000001</f>
        <v>50.4684980591818</v>
      </c>
    </row>
    <row r="3742" customFormat="false" ht="15" hidden="false" customHeight="false" outlineLevel="0" collapsed="false">
      <c r="A3742" s="0" t="n">
        <v>12</v>
      </c>
      <c r="B3742" s="0" t="n">
        <v>15</v>
      </c>
      <c r="C3742" s="0" t="n">
        <v>14</v>
      </c>
      <c r="D3742" s="0" t="n">
        <f aca="false">-1+A3742*0.125</f>
        <v>0.5</v>
      </c>
      <c r="E3742" s="0" t="n">
        <f aca="false">-1+B3742*0.125</f>
        <v>0.875</v>
      </c>
      <c r="F3742" s="0" t="n">
        <f aca="false">-1+C3742*0.125</f>
        <v>0.75</v>
      </c>
      <c r="G3742" s="0" t="n">
        <f aca="false">1</f>
        <v>1</v>
      </c>
      <c r="H3742" s="0" t="n">
        <f aca="false">D3742</f>
        <v>0.5</v>
      </c>
      <c r="I3742" s="0" t="n">
        <f aca="false">E3742</f>
        <v>0.875</v>
      </c>
      <c r="J3742" s="0" t="n">
        <f aca="false">F3742</f>
        <v>0.75</v>
      </c>
      <c r="K3742" s="0" t="n">
        <f aca="false">D3742*E3742</f>
        <v>0.4375</v>
      </c>
      <c r="L3742" s="0" t="n">
        <f aca="false">D3742*F3742</f>
        <v>0.375</v>
      </c>
      <c r="M3742" s="0" t="n">
        <f aca="false">E3742*F3742</f>
        <v>0.65625</v>
      </c>
      <c r="N3742" s="0" t="n">
        <f aca="false">D3742*D3742</f>
        <v>0.25</v>
      </c>
      <c r="O3742" s="0" t="n">
        <f aca="false">E3742*E3742</f>
        <v>0.765625</v>
      </c>
      <c r="P3742" s="0" t="n">
        <f aca="false">F3742*F3742</f>
        <v>0.5625</v>
      </c>
      <c r="Q3742" s="0" t="n">
        <f aca="false">SUMPRODUCT(G3742:P3742,_XtX!$B$71:$K$71)</f>
        <v>50.4784943181818</v>
      </c>
      <c r="R3742" s="0" t="n">
        <f aca="false">SUMPRODUCT(MMULT(G3742:P3742,_XtX!$B$58:$K$67),G3742:P3742)</f>
        <v>0.370798561789773</v>
      </c>
      <c r="S3742" s="0" t="n">
        <f aca="false">04_回帰ANOVA!$K$19*04_回帰ANOVA!$K$14*SQRT(1+R3742)</f>
        <v>1.08856271788237</v>
      </c>
      <c r="T3742" s="0" t="n">
        <f aca="false">Q3742-S3742</f>
        <v>49.3899316002995</v>
      </c>
      <c r="U3742" s="0" t="n">
        <f aca="false">Q3742+S3742</f>
        <v>51.5670570360642</v>
      </c>
      <c r="V3742" s="54" t="b">
        <f aca="false">AND(D3742&gt;=01_因子設定!$L$5-0.000000001,D3742&lt;=01_因子設定!$M$5+0.000000001,E3742&gt;=01_因子設定!$L$6-0.000000001,E3742&lt;=01_因子設定!$M$6+0.000000001,F3742&gt;=01_因子設定!$L$7-0.000000001,F3742&lt;=01_因子設定!$M$7+0.000000001,IF(01_因子設定!$B$20="Box-Behnken",D3742^2+E3742^2+F3742^2&lt;=2+0.000000001,TRUE()))</f>
        <v>1</v>
      </c>
      <c r="W3742" s="55" t="n">
        <f aca="false">IF(V3742,IF(01_因子設定!$B$13="最大化",T3742-01_因子設定!$B$14,IF(01_因子設定!$B$13="最小化",01_因子設定!$B$15-U3742,MIN(T3742-01_因子設定!$B$14,01_因子設定!$B$15-U3742))),-1E+030)</f>
        <v>0.889931600299462</v>
      </c>
      <c r="X3742" s="55" t="n">
        <f aca="false">IF(V3742,IF(01_因子設定!$B$13="最大化",Q3742,IF(01_因子設定!$B$13="最小化",-Q3742,-ABS(Q3742-01_因子設定!$B$16))),-1E+030)</f>
        <v>50.4784943181818</v>
      </c>
      <c r="Y3742" s="55" t="n">
        <f aca="false">W3742+ROW()*0.000000001</f>
        <v>0.889935342299462</v>
      </c>
      <c r="Z3742" s="55" t="n">
        <f aca="false">X3742+ROW()*0.000000001</f>
        <v>50.4784980601818</v>
      </c>
    </row>
    <row r="3743" customFormat="false" ht="15" hidden="false" customHeight="false" outlineLevel="0" collapsed="false">
      <c r="A3743" s="0" t="n">
        <v>12</v>
      </c>
      <c r="B3743" s="0" t="n">
        <v>15</v>
      </c>
      <c r="C3743" s="0" t="n">
        <v>15</v>
      </c>
      <c r="D3743" s="0" t="n">
        <f aca="false">-1+A3743*0.125</f>
        <v>0.5</v>
      </c>
      <c r="E3743" s="0" t="n">
        <f aca="false">-1+B3743*0.125</f>
        <v>0.875</v>
      </c>
      <c r="F3743" s="0" t="n">
        <f aca="false">-1+C3743*0.125</f>
        <v>0.875</v>
      </c>
      <c r="G3743" s="0" t="n">
        <f aca="false">1</f>
        <v>1</v>
      </c>
      <c r="H3743" s="0" t="n">
        <f aca="false">D3743</f>
        <v>0.5</v>
      </c>
      <c r="I3743" s="0" t="n">
        <f aca="false">E3743</f>
        <v>0.875</v>
      </c>
      <c r="J3743" s="0" t="n">
        <f aca="false">F3743</f>
        <v>0.875</v>
      </c>
      <c r="K3743" s="0" t="n">
        <f aca="false">D3743*E3743</f>
        <v>0.4375</v>
      </c>
      <c r="L3743" s="0" t="n">
        <f aca="false">D3743*F3743</f>
        <v>0.4375</v>
      </c>
      <c r="M3743" s="0" t="n">
        <f aca="false">E3743*F3743</f>
        <v>0.765625</v>
      </c>
      <c r="N3743" s="0" t="n">
        <f aca="false">D3743*D3743</f>
        <v>0.25</v>
      </c>
      <c r="O3743" s="0" t="n">
        <f aca="false">E3743*E3743</f>
        <v>0.765625</v>
      </c>
      <c r="P3743" s="0" t="n">
        <f aca="false">F3743*F3743</f>
        <v>0.765625</v>
      </c>
      <c r="Q3743" s="0" t="n">
        <f aca="false">SUMPRODUCT(G3743:P3743,_XtX!$B$71:$K$71)</f>
        <v>50.4517045454546</v>
      </c>
      <c r="R3743" s="0" t="n">
        <f aca="false">SUMPRODUCT(MMULT(G3743:P3743,_XtX!$B$58:$K$67),G3743:P3743)</f>
        <v>0.44026933149858</v>
      </c>
      <c r="S3743" s="0" t="n">
        <f aca="false">04_回帰ANOVA!$K$19*04_回帰ANOVA!$K$14*SQRT(1+R3743)</f>
        <v>1.11580548667718</v>
      </c>
      <c r="T3743" s="0" t="n">
        <f aca="false">Q3743-S3743</f>
        <v>49.3358990587774</v>
      </c>
      <c r="U3743" s="0" t="n">
        <f aca="false">Q3743+S3743</f>
        <v>51.5675100321318</v>
      </c>
      <c r="V3743" s="54" t="b">
        <f aca="false">AND(D3743&gt;=01_因子設定!$L$5-0.000000001,D3743&lt;=01_因子設定!$M$5+0.000000001,E3743&gt;=01_因子設定!$L$6-0.000000001,E3743&lt;=01_因子設定!$M$6+0.000000001,F3743&gt;=01_因子設定!$L$7-0.000000001,F3743&lt;=01_因子設定!$M$7+0.000000001,IF(01_因子設定!$B$20="Box-Behnken",D3743^2+E3743^2+F3743^2&lt;=2+0.000000001,TRUE()))</f>
        <v>1</v>
      </c>
      <c r="W3743" s="55" t="n">
        <f aca="false">IF(V3743,IF(01_因子設定!$B$13="最大化",T3743-01_因子設定!$B$14,IF(01_因子設定!$B$13="最小化",01_因子設定!$B$15-U3743,MIN(T3743-01_因子設定!$B$14,01_因子設定!$B$15-U3743))),-1E+030)</f>
        <v>0.835899058777386</v>
      </c>
      <c r="X3743" s="55" t="n">
        <f aca="false">IF(V3743,IF(01_因子設定!$B$13="最大化",Q3743,IF(01_因子設定!$B$13="最小化",-Q3743,-ABS(Q3743-01_因子設定!$B$16))),-1E+030)</f>
        <v>50.4517045454546</v>
      </c>
      <c r="Y3743" s="55" t="n">
        <f aca="false">W3743+ROW()*0.000000001</f>
        <v>0.835902801777386</v>
      </c>
      <c r="Z3743" s="55" t="n">
        <f aca="false">X3743+ROW()*0.000000001</f>
        <v>50.4517082884546</v>
      </c>
    </row>
    <row r="3744" customFormat="false" ht="15" hidden="false" customHeight="false" outlineLevel="0" collapsed="false">
      <c r="A3744" s="0" t="n">
        <v>12</v>
      </c>
      <c r="B3744" s="0" t="n">
        <v>15</v>
      </c>
      <c r="C3744" s="0" t="n">
        <v>16</v>
      </c>
      <c r="D3744" s="0" t="n">
        <f aca="false">-1+A3744*0.125</f>
        <v>0.5</v>
      </c>
      <c r="E3744" s="0" t="n">
        <f aca="false">-1+B3744*0.125</f>
        <v>0.875</v>
      </c>
      <c r="F3744" s="0" t="n">
        <f aca="false">-1+C3744*0.125</f>
        <v>1</v>
      </c>
      <c r="G3744" s="0" t="n">
        <f aca="false">1</f>
        <v>1</v>
      </c>
      <c r="H3744" s="0" t="n">
        <f aca="false">D3744</f>
        <v>0.5</v>
      </c>
      <c r="I3744" s="0" t="n">
        <f aca="false">E3744</f>
        <v>0.875</v>
      </c>
      <c r="J3744" s="0" t="n">
        <f aca="false">F3744</f>
        <v>1</v>
      </c>
      <c r="K3744" s="0" t="n">
        <f aca="false">D3744*E3744</f>
        <v>0.4375</v>
      </c>
      <c r="L3744" s="0" t="n">
        <f aca="false">D3744*F3744</f>
        <v>0.5</v>
      </c>
      <c r="M3744" s="0" t="n">
        <f aca="false">E3744*F3744</f>
        <v>0.875</v>
      </c>
      <c r="N3744" s="0" t="n">
        <f aca="false">D3744*D3744</f>
        <v>0.25</v>
      </c>
      <c r="O3744" s="0" t="n">
        <f aca="false">E3744*E3744</f>
        <v>0.765625</v>
      </c>
      <c r="P3744" s="0" t="n">
        <f aca="false">F3744*F3744</f>
        <v>1</v>
      </c>
      <c r="Q3744" s="0" t="n">
        <f aca="false">SUMPRODUCT(G3744:P3744,_XtX!$B$71:$K$71)</f>
        <v>50.388125</v>
      </c>
      <c r="R3744" s="0" t="n">
        <f aca="false">SUMPRODUCT(MMULT(G3744:P3744,_XtX!$B$58:$K$67),G3744:P3744)</f>
        <v>0.55771484375</v>
      </c>
      <c r="S3744" s="0" t="n">
        <f aca="false">04_回帰ANOVA!$K$19*04_回帰ANOVA!$K$14*SQRT(1+R3744)</f>
        <v>1.16040773556467</v>
      </c>
      <c r="T3744" s="0" t="n">
        <f aca="false">Q3744-S3744</f>
        <v>49.2277172644354</v>
      </c>
      <c r="U3744" s="0" t="n">
        <f aca="false">Q3744+S3744</f>
        <v>51.5485327355647</v>
      </c>
      <c r="V3744" s="54" t="b">
        <f aca="false">AND(D3744&gt;=01_因子設定!$L$5-0.000000001,D3744&lt;=01_因子設定!$M$5+0.000000001,E3744&gt;=01_因子設定!$L$6-0.000000001,E3744&lt;=01_因子設定!$M$6+0.000000001,F3744&gt;=01_因子設定!$L$7-0.000000001,F3744&lt;=01_因子設定!$M$7+0.000000001,IF(01_因子設定!$B$20="Box-Behnken",D3744^2+E3744^2+F3744^2&lt;=2+0.000000001,TRUE()))</f>
        <v>1</v>
      </c>
      <c r="W3744" s="55" t="n">
        <f aca="false">IF(V3744,IF(01_因子設定!$B$13="最大化",T3744-01_因子設定!$B$14,IF(01_因子設定!$B$13="最小化",01_因子設定!$B$15-U3744,MIN(T3744-01_因子設定!$B$14,01_因子設定!$B$15-U3744))),-1E+030)</f>
        <v>0.727717264435349</v>
      </c>
      <c r="X3744" s="55" t="n">
        <f aca="false">IF(V3744,IF(01_因子設定!$B$13="最大化",Q3744,IF(01_因子設定!$B$13="最小化",-Q3744,-ABS(Q3744-01_因子設定!$B$16))),-1E+030)</f>
        <v>50.388125</v>
      </c>
      <c r="Y3744" s="55" t="n">
        <f aca="false">W3744+ROW()*0.000000001</f>
        <v>0.727721008435349</v>
      </c>
      <c r="Z3744" s="55" t="n">
        <f aca="false">X3744+ROW()*0.000000001</f>
        <v>50.388128744</v>
      </c>
    </row>
    <row r="3745" customFormat="false" ht="15" hidden="false" customHeight="false" outlineLevel="0" collapsed="false">
      <c r="A3745" s="0" t="n">
        <v>12</v>
      </c>
      <c r="B3745" s="0" t="n">
        <v>16</v>
      </c>
      <c r="C3745" s="0" t="n">
        <v>0</v>
      </c>
      <c r="D3745" s="0" t="n">
        <f aca="false">-1+A3745*0.125</f>
        <v>0.5</v>
      </c>
      <c r="E3745" s="0" t="n">
        <f aca="false">-1+B3745*0.125</f>
        <v>1</v>
      </c>
      <c r="F3745" s="0" t="n">
        <f aca="false">-1+C3745*0.125</f>
        <v>-1</v>
      </c>
      <c r="G3745" s="0" t="n">
        <f aca="false">1</f>
        <v>1</v>
      </c>
      <c r="H3745" s="0" t="n">
        <f aca="false">D3745</f>
        <v>0.5</v>
      </c>
      <c r="I3745" s="0" t="n">
        <f aca="false">E3745</f>
        <v>1</v>
      </c>
      <c r="J3745" s="0" t="n">
        <f aca="false">F3745</f>
        <v>-1</v>
      </c>
      <c r="K3745" s="0" t="n">
        <f aca="false">D3745*E3745</f>
        <v>0.5</v>
      </c>
      <c r="L3745" s="0" t="n">
        <f aca="false">D3745*F3745</f>
        <v>-0.5</v>
      </c>
      <c r="M3745" s="0" t="n">
        <f aca="false">E3745*F3745</f>
        <v>-1</v>
      </c>
      <c r="N3745" s="0" t="n">
        <f aca="false">D3745*D3745</f>
        <v>0.25</v>
      </c>
      <c r="O3745" s="0" t="n">
        <f aca="false">E3745*E3745</f>
        <v>1</v>
      </c>
      <c r="P3745" s="0" t="n">
        <f aca="false">F3745*F3745</f>
        <v>1</v>
      </c>
      <c r="Q3745" s="0" t="n">
        <f aca="false">SUMPRODUCT(G3745:P3745,_XtX!$B$71:$K$71)</f>
        <v>46.7945454545455</v>
      </c>
      <c r="R3745" s="0" t="n">
        <f aca="false">SUMPRODUCT(MMULT(G3745:P3745,_XtX!$B$58:$K$67),G3745:P3745)</f>
        <v>0.667045454545455</v>
      </c>
      <c r="S3745" s="0" t="n">
        <f aca="false">04_回帰ANOVA!$K$19*04_回帰ANOVA!$K$14*SQRT(1+R3745)</f>
        <v>1.200439720088</v>
      </c>
      <c r="T3745" s="0" t="n">
        <f aca="false">Q3745-S3745</f>
        <v>45.5941057344575</v>
      </c>
      <c r="U3745" s="0" t="n">
        <f aca="false">Q3745+S3745</f>
        <v>47.9949851746335</v>
      </c>
      <c r="V3745" s="54" t="b">
        <f aca="false">AND(D3745&gt;=01_因子設定!$L$5-0.000000001,D3745&lt;=01_因子設定!$M$5+0.000000001,E3745&gt;=01_因子設定!$L$6-0.000000001,E3745&lt;=01_因子設定!$M$6+0.000000001,F3745&gt;=01_因子設定!$L$7-0.000000001,F3745&lt;=01_因子設定!$M$7+0.000000001,IF(01_因子設定!$B$20="Box-Behnken",D3745^2+E3745^2+F3745^2&lt;=2+0.000000001,TRUE()))</f>
        <v>1</v>
      </c>
      <c r="W3745" s="55" t="n">
        <f aca="false">IF(V3745,IF(01_因子設定!$B$13="最大化",T3745-01_因子設定!$B$14,IF(01_因子設定!$B$13="最小化",01_因子設定!$B$15-U3745,MIN(T3745-01_因子設定!$B$14,01_因子設定!$B$15-U3745))),-1E+030)</f>
        <v>-2.90589426554252</v>
      </c>
      <c r="X3745" s="55" t="n">
        <f aca="false">IF(V3745,IF(01_因子設定!$B$13="最大化",Q3745,IF(01_因子設定!$B$13="最小化",-Q3745,-ABS(Q3745-01_因子設定!$B$16))),-1E+030)</f>
        <v>46.7945454545455</v>
      </c>
      <c r="Y3745" s="55" t="n">
        <f aca="false">W3745+ROW()*0.000000001</f>
        <v>-2.90589052054252</v>
      </c>
      <c r="Z3745" s="55" t="n">
        <f aca="false">X3745+ROW()*0.000000001</f>
        <v>46.7945491995455</v>
      </c>
    </row>
    <row r="3746" customFormat="false" ht="15" hidden="false" customHeight="false" outlineLevel="0" collapsed="false">
      <c r="A3746" s="0" t="n">
        <v>12</v>
      </c>
      <c r="B3746" s="0" t="n">
        <v>16</v>
      </c>
      <c r="C3746" s="0" t="n">
        <v>1</v>
      </c>
      <c r="D3746" s="0" t="n">
        <f aca="false">-1+A3746*0.125</f>
        <v>0.5</v>
      </c>
      <c r="E3746" s="0" t="n">
        <f aca="false">-1+B3746*0.125</f>
        <v>1</v>
      </c>
      <c r="F3746" s="0" t="n">
        <f aca="false">-1+C3746*0.125</f>
        <v>-0.875</v>
      </c>
      <c r="G3746" s="0" t="n">
        <f aca="false">1</f>
        <v>1</v>
      </c>
      <c r="H3746" s="0" t="n">
        <f aca="false">D3746</f>
        <v>0.5</v>
      </c>
      <c r="I3746" s="0" t="n">
        <f aca="false">E3746</f>
        <v>1</v>
      </c>
      <c r="J3746" s="0" t="n">
        <f aca="false">F3746</f>
        <v>-0.875</v>
      </c>
      <c r="K3746" s="0" t="n">
        <f aca="false">D3746*E3746</f>
        <v>0.5</v>
      </c>
      <c r="L3746" s="0" t="n">
        <f aca="false">D3746*F3746</f>
        <v>-0.4375</v>
      </c>
      <c r="M3746" s="0" t="n">
        <f aca="false">E3746*F3746</f>
        <v>-0.875</v>
      </c>
      <c r="N3746" s="0" t="n">
        <f aca="false">D3746*D3746</f>
        <v>0.25</v>
      </c>
      <c r="O3746" s="0" t="n">
        <f aca="false">E3746*E3746</f>
        <v>1</v>
      </c>
      <c r="P3746" s="0" t="n">
        <f aca="false">F3746*F3746</f>
        <v>0.765625</v>
      </c>
      <c r="Q3746" s="0" t="n">
        <f aca="false">SUMPRODUCT(G3746:P3746,_XtX!$B$71:$K$71)</f>
        <v>47.28984375</v>
      </c>
      <c r="R3746" s="0" t="n">
        <f aca="false">SUMPRODUCT(MMULT(G3746:P3746,_XtX!$B$58:$K$67),G3746:P3746)</f>
        <v>0.55771484375</v>
      </c>
      <c r="S3746" s="0" t="n">
        <f aca="false">04_回帰ANOVA!$K$19*04_回帰ANOVA!$K$14*SQRT(1+R3746)</f>
        <v>1.16040773556467</v>
      </c>
      <c r="T3746" s="0" t="n">
        <f aca="false">Q3746-S3746</f>
        <v>46.1294360144354</v>
      </c>
      <c r="U3746" s="0" t="n">
        <f aca="false">Q3746+S3746</f>
        <v>48.4502514855647</v>
      </c>
      <c r="V3746" s="54" t="b">
        <f aca="false">AND(D3746&gt;=01_因子設定!$L$5-0.000000001,D3746&lt;=01_因子設定!$M$5+0.000000001,E3746&gt;=01_因子設定!$L$6-0.000000001,E3746&lt;=01_因子設定!$M$6+0.000000001,F3746&gt;=01_因子設定!$L$7-0.000000001,F3746&lt;=01_因子設定!$M$7+0.000000001,IF(01_因子設定!$B$20="Box-Behnken",D3746^2+E3746^2+F3746^2&lt;=2+0.000000001,TRUE()))</f>
        <v>1</v>
      </c>
      <c r="W3746" s="55" t="n">
        <f aca="false">IF(V3746,IF(01_因子設定!$B$13="最大化",T3746-01_因子設定!$B$14,IF(01_因子設定!$B$13="最小化",01_因子設定!$B$15-U3746,MIN(T3746-01_因子設定!$B$14,01_因子設定!$B$15-U3746))),-1E+030)</f>
        <v>-2.37056398556465</v>
      </c>
      <c r="X3746" s="55" t="n">
        <f aca="false">IF(V3746,IF(01_因子設定!$B$13="最大化",Q3746,IF(01_因子設定!$B$13="最小化",-Q3746,-ABS(Q3746-01_因子設定!$B$16))),-1E+030)</f>
        <v>47.28984375</v>
      </c>
      <c r="Y3746" s="55" t="n">
        <f aca="false">W3746+ROW()*0.000000001</f>
        <v>-2.37056023956465</v>
      </c>
      <c r="Z3746" s="55" t="n">
        <f aca="false">X3746+ROW()*0.000000001</f>
        <v>47.289847496</v>
      </c>
    </row>
    <row r="3747" customFormat="false" ht="15" hidden="false" customHeight="false" outlineLevel="0" collapsed="false">
      <c r="A3747" s="0" t="n">
        <v>12</v>
      </c>
      <c r="B3747" s="0" t="n">
        <v>16</v>
      </c>
      <c r="C3747" s="0" t="n">
        <v>2</v>
      </c>
      <c r="D3747" s="0" t="n">
        <f aca="false">-1+A3747*0.125</f>
        <v>0.5</v>
      </c>
      <c r="E3747" s="0" t="n">
        <f aca="false">-1+B3747*0.125</f>
        <v>1</v>
      </c>
      <c r="F3747" s="0" t="n">
        <f aca="false">-1+C3747*0.125</f>
        <v>-0.75</v>
      </c>
      <c r="G3747" s="0" t="n">
        <f aca="false">1</f>
        <v>1</v>
      </c>
      <c r="H3747" s="0" t="n">
        <f aca="false">D3747</f>
        <v>0.5</v>
      </c>
      <c r="I3747" s="0" t="n">
        <f aca="false">E3747</f>
        <v>1</v>
      </c>
      <c r="J3747" s="0" t="n">
        <f aca="false">F3747</f>
        <v>-0.75</v>
      </c>
      <c r="K3747" s="0" t="n">
        <f aca="false">D3747*E3747</f>
        <v>0.5</v>
      </c>
      <c r="L3747" s="0" t="n">
        <f aca="false">D3747*F3747</f>
        <v>-0.375</v>
      </c>
      <c r="M3747" s="0" t="n">
        <f aca="false">E3747*F3747</f>
        <v>-0.75</v>
      </c>
      <c r="N3747" s="0" t="n">
        <f aca="false">D3747*D3747</f>
        <v>0.25</v>
      </c>
      <c r="O3747" s="0" t="n">
        <f aca="false">E3747*E3747</f>
        <v>1</v>
      </c>
      <c r="P3747" s="0" t="n">
        <f aca="false">F3747*F3747</f>
        <v>0.5625</v>
      </c>
      <c r="Q3747" s="0" t="n">
        <f aca="false">SUMPRODUCT(G3747:P3747,_XtX!$B$71:$K$71)</f>
        <v>47.7483522727273</v>
      </c>
      <c r="R3747" s="0" t="n">
        <f aca="false">SUMPRODUCT(MMULT(G3747:P3747,_XtX!$B$58:$K$67),G3747:P3747)</f>
        <v>0.495276988636364</v>
      </c>
      <c r="S3747" s="0" t="n">
        <f aca="false">04_回帰ANOVA!$K$19*04_回帰ANOVA!$K$14*SQRT(1+R3747)</f>
        <v>1.13691359828352</v>
      </c>
      <c r="T3747" s="0" t="n">
        <f aca="false">Q3747-S3747</f>
        <v>46.6114386744438</v>
      </c>
      <c r="U3747" s="0" t="n">
        <f aca="false">Q3747+S3747</f>
        <v>48.8852658710108</v>
      </c>
      <c r="V3747" s="54" t="b">
        <f aca="false">AND(D3747&gt;=01_因子設定!$L$5-0.000000001,D3747&lt;=01_因子設定!$M$5+0.000000001,E3747&gt;=01_因子設定!$L$6-0.000000001,E3747&lt;=01_因子設定!$M$6+0.000000001,F3747&gt;=01_因子設定!$L$7-0.000000001,F3747&lt;=01_因子設定!$M$7+0.000000001,IF(01_因子設定!$B$20="Box-Behnken",D3747^2+E3747^2+F3747^2&lt;=2+0.000000001,TRUE()))</f>
        <v>1</v>
      </c>
      <c r="W3747" s="55" t="n">
        <f aca="false">IF(V3747,IF(01_因子設定!$B$13="最大化",T3747-01_因子設定!$B$14,IF(01_因子設定!$B$13="最小化",01_因子設定!$B$15-U3747,MIN(T3747-01_因子設定!$B$14,01_因子設定!$B$15-U3747))),-1E+030)</f>
        <v>-1.88856132555623</v>
      </c>
      <c r="X3747" s="55" t="n">
        <f aca="false">IF(V3747,IF(01_因子設定!$B$13="最大化",Q3747,IF(01_因子設定!$B$13="最小化",-Q3747,-ABS(Q3747-01_因子設定!$B$16))),-1E+030)</f>
        <v>47.7483522727273</v>
      </c>
      <c r="Y3747" s="55" t="n">
        <f aca="false">W3747+ROW()*0.000000001</f>
        <v>-1.88855757855623</v>
      </c>
      <c r="Z3747" s="55" t="n">
        <f aca="false">X3747+ROW()*0.000000001</f>
        <v>47.7483560197273</v>
      </c>
    </row>
    <row r="3748" customFormat="false" ht="15" hidden="false" customHeight="false" outlineLevel="0" collapsed="false">
      <c r="A3748" s="0" t="n">
        <v>12</v>
      </c>
      <c r="B3748" s="0" t="n">
        <v>16</v>
      </c>
      <c r="C3748" s="0" t="n">
        <v>3</v>
      </c>
      <c r="D3748" s="0" t="n">
        <f aca="false">-1+A3748*0.125</f>
        <v>0.5</v>
      </c>
      <c r="E3748" s="0" t="n">
        <f aca="false">-1+B3748*0.125</f>
        <v>1</v>
      </c>
      <c r="F3748" s="0" t="n">
        <f aca="false">-1+C3748*0.125</f>
        <v>-0.625</v>
      </c>
      <c r="G3748" s="0" t="n">
        <f aca="false">1</f>
        <v>1</v>
      </c>
      <c r="H3748" s="0" t="n">
        <f aca="false">D3748</f>
        <v>0.5</v>
      </c>
      <c r="I3748" s="0" t="n">
        <f aca="false">E3748</f>
        <v>1</v>
      </c>
      <c r="J3748" s="0" t="n">
        <f aca="false">F3748</f>
        <v>-0.625</v>
      </c>
      <c r="K3748" s="0" t="n">
        <f aca="false">D3748*E3748</f>
        <v>0.5</v>
      </c>
      <c r="L3748" s="0" t="n">
        <f aca="false">D3748*F3748</f>
        <v>-0.3125</v>
      </c>
      <c r="M3748" s="0" t="n">
        <f aca="false">E3748*F3748</f>
        <v>-0.625</v>
      </c>
      <c r="N3748" s="0" t="n">
        <f aca="false">D3748*D3748</f>
        <v>0.25</v>
      </c>
      <c r="O3748" s="0" t="n">
        <f aca="false">E3748*E3748</f>
        <v>1</v>
      </c>
      <c r="P3748" s="0" t="n">
        <f aca="false">F3748*F3748</f>
        <v>0.390625</v>
      </c>
      <c r="Q3748" s="0" t="n">
        <f aca="false">SUMPRODUCT(G3748:P3748,_XtX!$B$71:$K$71)</f>
        <v>48.1700710227273</v>
      </c>
      <c r="R3748" s="0" t="n">
        <f aca="false">SUMPRODUCT(MMULT(G3748:P3748,_XtX!$B$58:$K$67),G3748:P3748)</f>
        <v>0.465882457386364</v>
      </c>
      <c r="S3748" s="0" t="n">
        <f aca="false">04_回帰ANOVA!$K$19*04_回帰ANOVA!$K$14*SQRT(1+R3748)</f>
        <v>1.12568326538173</v>
      </c>
      <c r="T3748" s="0" t="n">
        <f aca="false">Q3748-S3748</f>
        <v>47.0443877573456</v>
      </c>
      <c r="U3748" s="0" t="n">
        <f aca="false">Q3748+S3748</f>
        <v>49.295754288109</v>
      </c>
      <c r="V3748" s="54" t="b">
        <f aca="false">AND(D3748&gt;=01_因子設定!$L$5-0.000000001,D3748&lt;=01_因子設定!$M$5+0.000000001,E3748&gt;=01_因子設定!$L$6-0.000000001,E3748&lt;=01_因子設定!$M$6+0.000000001,F3748&gt;=01_因子設定!$L$7-0.000000001,F3748&lt;=01_因子設定!$M$7+0.000000001,IF(01_因子設定!$B$20="Box-Behnken",D3748^2+E3748^2+F3748^2&lt;=2+0.000000001,TRUE()))</f>
        <v>1</v>
      </c>
      <c r="W3748" s="55" t="n">
        <f aca="false">IF(V3748,IF(01_因子設定!$B$13="最大化",T3748-01_因子設定!$B$14,IF(01_因子設定!$B$13="最小化",01_因子設定!$B$15-U3748,MIN(T3748-01_因子設定!$B$14,01_因子設定!$B$15-U3748))),-1E+030)</f>
        <v>-1.45561224265444</v>
      </c>
      <c r="X3748" s="55" t="n">
        <f aca="false">IF(V3748,IF(01_因子設定!$B$13="最大化",Q3748,IF(01_因子設定!$B$13="最小化",-Q3748,-ABS(Q3748-01_因子設定!$B$16))),-1E+030)</f>
        <v>48.1700710227273</v>
      </c>
      <c r="Y3748" s="55" t="n">
        <f aca="false">W3748+ROW()*0.000000001</f>
        <v>-1.45560849465444</v>
      </c>
      <c r="Z3748" s="55" t="n">
        <f aca="false">X3748+ROW()*0.000000001</f>
        <v>48.1700747707273</v>
      </c>
    </row>
    <row r="3749" customFormat="false" ht="15" hidden="false" customHeight="false" outlineLevel="0" collapsed="false">
      <c r="A3749" s="0" t="n">
        <v>12</v>
      </c>
      <c r="B3749" s="0" t="n">
        <v>16</v>
      </c>
      <c r="C3749" s="0" t="n">
        <v>4</v>
      </c>
      <c r="D3749" s="0" t="n">
        <f aca="false">-1+A3749*0.125</f>
        <v>0.5</v>
      </c>
      <c r="E3749" s="0" t="n">
        <f aca="false">-1+B3749*0.125</f>
        <v>1</v>
      </c>
      <c r="F3749" s="0" t="n">
        <f aca="false">-1+C3749*0.125</f>
        <v>-0.5</v>
      </c>
      <c r="G3749" s="0" t="n">
        <f aca="false">1</f>
        <v>1</v>
      </c>
      <c r="H3749" s="0" t="n">
        <f aca="false">D3749</f>
        <v>0.5</v>
      </c>
      <c r="I3749" s="0" t="n">
        <f aca="false">E3749</f>
        <v>1</v>
      </c>
      <c r="J3749" s="0" t="n">
        <f aca="false">F3749</f>
        <v>-0.5</v>
      </c>
      <c r="K3749" s="0" t="n">
        <f aca="false">D3749*E3749</f>
        <v>0.5</v>
      </c>
      <c r="L3749" s="0" t="n">
        <f aca="false">D3749*F3749</f>
        <v>-0.25</v>
      </c>
      <c r="M3749" s="0" t="n">
        <f aca="false">E3749*F3749</f>
        <v>-0.5</v>
      </c>
      <c r="N3749" s="0" t="n">
        <f aca="false">D3749*D3749</f>
        <v>0.25</v>
      </c>
      <c r="O3749" s="0" t="n">
        <f aca="false">E3749*E3749</f>
        <v>1</v>
      </c>
      <c r="P3749" s="0" t="n">
        <f aca="false">F3749*F3749</f>
        <v>0.25</v>
      </c>
      <c r="Q3749" s="0" t="n">
        <f aca="false">SUMPRODUCT(G3749:P3749,_XtX!$B$71:$K$71)</f>
        <v>48.555</v>
      </c>
      <c r="R3749" s="0" t="n">
        <f aca="false">SUMPRODUCT(MMULT(G3749:P3749,_XtX!$B$58:$K$67),G3749:P3749)</f>
        <v>0.4578125</v>
      </c>
      <c r="S3749" s="0" t="n">
        <f aca="false">04_回帰ANOVA!$K$19*04_回帰ANOVA!$K$14*SQRT(1+R3749)</f>
        <v>1.12258044051089</v>
      </c>
      <c r="T3749" s="0" t="n">
        <f aca="false">Q3749-S3749</f>
        <v>47.4324195594891</v>
      </c>
      <c r="U3749" s="0" t="n">
        <f aca="false">Q3749+S3749</f>
        <v>49.6775804405109</v>
      </c>
      <c r="V3749" s="54" t="b">
        <f aca="false">AND(D3749&gt;=01_因子設定!$L$5-0.000000001,D3749&lt;=01_因子設定!$M$5+0.000000001,E3749&gt;=01_因子設定!$L$6-0.000000001,E3749&lt;=01_因子設定!$M$6+0.000000001,F3749&gt;=01_因子設定!$L$7-0.000000001,F3749&lt;=01_因子設定!$M$7+0.000000001,IF(01_因子設定!$B$20="Box-Behnken",D3749^2+E3749^2+F3749^2&lt;=2+0.000000001,TRUE()))</f>
        <v>1</v>
      </c>
      <c r="W3749" s="55" t="n">
        <f aca="false">IF(V3749,IF(01_因子設定!$B$13="最大化",T3749-01_因子設定!$B$14,IF(01_因子設定!$B$13="最小化",01_因子設定!$B$15-U3749,MIN(T3749-01_因子設定!$B$14,01_因子設定!$B$15-U3749))),-1E+030)</f>
        <v>-1.06758044051087</v>
      </c>
      <c r="X3749" s="55" t="n">
        <f aca="false">IF(V3749,IF(01_因子設定!$B$13="最大化",Q3749,IF(01_因子設定!$B$13="最小化",-Q3749,-ABS(Q3749-01_因子設定!$B$16))),-1E+030)</f>
        <v>48.555</v>
      </c>
      <c r="Y3749" s="55" t="n">
        <f aca="false">W3749+ROW()*0.000000001</f>
        <v>-1.06757669151087</v>
      </c>
      <c r="Z3749" s="55" t="n">
        <f aca="false">X3749+ROW()*0.000000001</f>
        <v>48.555003749</v>
      </c>
    </row>
    <row r="3750" customFormat="false" ht="15" hidden="false" customHeight="false" outlineLevel="0" collapsed="false">
      <c r="A3750" s="0" t="n">
        <v>12</v>
      </c>
      <c r="B3750" s="0" t="n">
        <v>16</v>
      </c>
      <c r="C3750" s="0" t="n">
        <v>5</v>
      </c>
      <c r="D3750" s="0" t="n">
        <f aca="false">-1+A3750*0.125</f>
        <v>0.5</v>
      </c>
      <c r="E3750" s="0" t="n">
        <f aca="false">-1+B3750*0.125</f>
        <v>1</v>
      </c>
      <c r="F3750" s="0" t="n">
        <f aca="false">-1+C3750*0.125</f>
        <v>-0.375</v>
      </c>
      <c r="G3750" s="0" t="n">
        <f aca="false">1</f>
        <v>1</v>
      </c>
      <c r="H3750" s="0" t="n">
        <f aca="false">D3750</f>
        <v>0.5</v>
      </c>
      <c r="I3750" s="0" t="n">
        <f aca="false">E3750</f>
        <v>1</v>
      </c>
      <c r="J3750" s="0" t="n">
        <f aca="false">F3750</f>
        <v>-0.375</v>
      </c>
      <c r="K3750" s="0" t="n">
        <f aca="false">D3750*E3750</f>
        <v>0.5</v>
      </c>
      <c r="L3750" s="0" t="n">
        <f aca="false">D3750*F3750</f>
        <v>-0.1875</v>
      </c>
      <c r="M3750" s="0" t="n">
        <f aca="false">E3750*F3750</f>
        <v>-0.375</v>
      </c>
      <c r="N3750" s="0" t="n">
        <f aca="false">D3750*D3750</f>
        <v>0.25</v>
      </c>
      <c r="O3750" s="0" t="n">
        <f aca="false">E3750*E3750</f>
        <v>1</v>
      </c>
      <c r="P3750" s="0" t="n">
        <f aca="false">F3750*F3750</f>
        <v>0.140625</v>
      </c>
      <c r="Q3750" s="0" t="n">
        <f aca="false">SUMPRODUCT(G3750:P3750,_XtX!$B$71:$K$71)</f>
        <v>48.9031392045455</v>
      </c>
      <c r="R3750" s="0" t="n">
        <f aca="false">SUMPRODUCT(MMULT(G3750:P3750,_XtX!$B$58:$K$67),G3750:P3750)</f>
        <v>0.461479048295455</v>
      </c>
      <c r="S3750" s="0" t="n">
        <f aca="false">04_回帰ANOVA!$K$19*04_回帰ANOVA!$K$14*SQRT(1+R3750)</f>
        <v>1.12399125658369</v>
      </c>
      <c r="T3750" s="0" t="n">
        <f aca="false">Q3750-S3750</f>
        <v>47.7791479479618</v>
      </c>
      <c r="U3750" s="0" t="n">
        <f aca="false">Q3750+S3750</f>
        <v>50.0271304611292</v>
      </c>
      <c r="V3750" s="54" t="b">
        <f aca="false">AND(D3750&gt;=01_因子設定!$L$5-0.000000001,D3750&lt;=01_因子設定!$M$5+0.000000001,E3750&gt;=01_因子設定!$L$6-0.000000001,E3750&lt;=01_因子設定!$M$6+0.000000001,F3750&gt;=01_因子設定!$L$7-0.000000001,F3750&lt;=01_因子設定!$M$7+0.000000001,IF(01_因子設定!$B$20="Box-Behnken",D3750^2+E3750^2+F3750^2&lt;=2+0.000000001,TRUE()))</f>
        <v>1</v>
      </c>
      <c r="W3750" s="55" t="n">
        <f aca="false">IF(V3750,IF(01_因子設定!$B$13="最大化",T3750-01_因子設定!$B$14,IF(01_因子設定!$B$13="最小化",01_因子設定!$B$15-U3750,MIN(T3750-01_因子設定!$B$14,01_因子設定!$B$15-U3750))),-1E+030)</f>
        <v>-0.720852052038225</v>
      </c>
      <c r="X3750" s="55" t="n">
        <f aca="false">IF(V3750,IF(01_因子設定!$B$13="最大化",Q3750,IF(01_因子設定!$B$13="最小化",-Q3750,-ABS(Q3750-01_因子設定!$B$16))),-1E+030)</f>
        <v>48.9031392045455</v>
      </c>
      <c r="Y3750" s="55" t="n">
        <f aca="false">W3750+ROW()*0.000000001</f>
        <v>-0.720848302038225</v>
      </c>
      <c r="Z3750" s="55" t="n">
        <f aca="false">X3750+ROW()*0.000000001</f>
        <v>48.9031429545455</v>
      </c>
    </row>
    <row r="3751" customFormat="false" ht="15" hidden="false" customHeight="false" outlineLevel="0" collapsed="false">
      <c r="A3751" s="0" t="n">
        <v>12</v>
      </c>
      <c r="B3751" s="0" t="n">
        <v>16</v>
      </c>
      <c r="C3751" s="0" t="n">
        <v>6</v>
      </c>
      <c r="D3751" s="0" t="n">
        <f aca="false">-1+A3751*0.125</f>
        <v>0.5</v>
      </c>
      <c r="E3751" s="0" t="n">
        <f aca="false">-1+B3751*0.125</f>
        <v>1</v>
      </c>
      <c r="F3751" s="0" t="n">
        <f aca="false">-1+C3751*0.125</f>
        <v>-0.25</v>
      </c>
      <c r="G3751" s="0" t="n">
        <f aca="false">1</f>
        <v>1</v>
      </c>
      <c r="H3751" s="0" t="n">
        <f aca="false">D3751</f>
        <v>0.5</v>
      </c>
      <c r="I3751" s="0" t="n">
        <f aca="false">E3751</f>
        <v>1</v>
      </c>
      <c r="J3751" s="0" t="n">
        <f aca="false">F3751</f>
        <v>-0.25</v>
      </c>
      <c r="K3751" s="0" t="n">
        <f aca="false">D3751*E3751</f>
        <v>0.5</v>
      </c>
      <c r="L3751" s="0" t="n">
        <f aca="false">D3751*F3751</f>
        <v>-0.125</v>
      </c>
      <c r="M3751" s="0" t="n">
        <f aca="false">E3751*F3751</f>
        <v>-0.25</v>
      </c>
      <c r="N3751" s="0" t="n">
        <f aca="false">D3751*D3751</f>
        <v>0.25</v>
      </c>
      <c r="O3751" s="0" t="n">
        <f aca="false">E3751*E3751</f>
        <v>1</v>
      </c>
      <c r="P3751" s="0" t="n">
        <f aca="false">F3751*F3751</f>
        <v>0.0625</v>
      </c>
      <c r="Q3751" s="0" t="n">
        <f aca="false">SUMPRODUCT(G3751:P3751,_XtX!$B$71:$K$71)</f>
        <v>49.2144886363637</v>
      </c>
      <c r="R3751" s="0" t="n">
        <f aca="false">SUMPRODUCT(MMULT(G3751:P3751,_XtX!$B$58:$K$67),G3751:P3751)</f>
        <v>0.469424715909091</v>
      </c>
      <c r="S3751" s="0" t="n">
        <f aca="false">04_回帰ANOVA!$K$19*04_回帰ANOVA!$K$14*SQRT(1+R3751)</f>
        <v>1.12704253369596</v>
      </c>
      <c r="T3751" s="0" t="n">
        <f aca="false">Q3751-S3751</f>
        <v>48.0874461026677</v>
      </c>
      <c r="U3751" s="0" t="n">
        <f aca="false">Q3751+S3751</f>
        <v>50.3415311700596</v>
      </c>
      <c r="V3751" s="54" t="b">
        <f aca="false">AND(D3751&gt;=01_因子設定!$L$5-0.000000001,D3751&lt;=01_因子設定!$M$5+0.000000001,E3751&gt;=01_因子設定!$L$6-0.000000001,E3751&lt;=01_因子設定!$M$6+0.000000001,F3751&gt;=01_因子設定!$L$7-0.000000001,F3751&lt;=01_因子設定!$M$7+0.000000001,IF(01_因子設定!$B$20="Box-Behnken",D3751^2+E3751^2+F3751^2&lt;=2+0.000000001,TRUE()))</f>
        <v>1</v>
      </c>
      <c r="W3751" s="55" t="n">
        <f aca="false">IF(V3751,IF(01_因子設定!$B$13="最大化",T3751-01_因子設定!$B$14,IF(01_因子設定!$B$13="最小化",01_因子設定!$B$15-U3751,MIN(T3751-01_因子設定!$B$14,01_因子設定!$B$15-U3751))),-1E+030)</f>
        <v>-0.412553897332309</v>
      </c>
      <c r="X3751" s="55" t="n">
        <f aca="false">IF(V3751,IF(01_因子設定!$B$13="最大化",Q3751,IF(01_因子設定!$B$13="最小化",-Q3751,-ABS(Q3751-01_因子設定!$B$16))),-1E+030)</f>
        <v>49.2144886363637</v>
      </c>
      <c r="Y3751" s="55" t="n">
        <f aca="false">W3751+ROW()*0.000000001</f>
        <v>-0.412550146332309</v>
      </c>
      <c r="Z3751" s="55" t="n">
        <f aca="false">X3751+ROW()*0.000000001</f>
        <v>49.2144923873637</v>
      </c>
    </row>
    <row r="3752" customFormat="false" ht="15" hidden="false" customHeight="false" outlineLevel="0" collapsed="false">
      <c r="A3752" s="0" t="n">
        <v>12</v>
      </c>
      <c r="B3752" s="0" t="n">
        <v>16</v>
      </c>
      <c r="C3752" s="0" t="n">
        <v>7</v>
      </c>
      <c r="D3752" s="0" t="n">
        <f aca="false">-1+A3752*0.125</f>
        <v>0.5</v>
      </c>
      <c r="E3752" s="0" t="n">
        <f aca="false">-1+B3752*0.125</f>
        <v>1</v>
      </c>
      <c r="F3752" s="0" t="n">
        <f aca="false">-1+C3752*0.125</f>
        <v>-0.125</v>
      </c>
      <c r="G3752" s="0" t="n">
        <f aca="false">1</f>
        <v>1</v>
      </c>
      <c r="H3752" s="0" t="n">
        <f aca="false">D3752</f>
        <v>0.5</v>
      </c>
      <c r="I3752" s="0" t="n">
        <f aca="false">E3752</f>
        <v>1</v>
      </c>
      <c r="J3752" s="0" t="n">
        <f aca="false">F3752</f>
        <v>-0.125</v>
      </c>
      <c r="K3752" s="0" t="n">
        <f aca="false">D3752*E3752</f>
        <v>0.5</v>
      </c>
      <c r="L3752" s="0" t="n">
        <f aca="false">D3752*F3752</f>
        <v>-0.0625</v>
      </c>
      <c r="M3752" s="0" t="n">
        <f aca="false">E3752*F3752</f>
        <v>-0.125</v>
      </c>
      <c r="N3752" s="0" t="n">
        <f aca="false">D3752*D3752</f>
        <v>0.25</v>
      </c>
      <c r="O3752" s="0" t="n">
        <f aca="false">E3752*E3752</f>
        <v>1</v>
      </c>
      <c r="P3752" s="0" t="n">
        <f aca="false">F3752*F3752</f>
        <v>0.015625</v>
      </c>
      <c r="Q3752" s="0" t="n">
        <f aca="false">SUMPRODUCT(G3752:P3752,_XtX!$B$71:$K$71)</f>
        <v>49.4890482954546</v>
      </c>
      <c r="R3752" s="0" t="n">
        <f aca="false">SUMPRODUCT(MMULT(G3752:P3752,_XtX!$B$58:$K$67),G3752:P3752)</f>
        <v>0.476322798295455</v>
      </c>
      <c r="S3752" s="0" t="n">
        <f aca="false">04_回帰ANOVA!$K$19*04_回帰ANOVA!$K$14*SQRT(1+R3752)</f>
        <v>1.12968483630128</v>
      </c>
      <c r="T3752" s="0" t="n">
        <f aca="false">Q3752-S3752</f>
        <v>48.3593634591533</v>
      </c>
      <c r="U3752" s="0" t="n">
        <f aca="false">Q3752+S3752</f>
        <v>50.6187331317558</v>
      </c>
      <c r="V3752" s="54" t="b">
        <f aca="false">AND(D3752&gt;=01_因子設定!$L$5-0.000000001,D3752&lt;=01_因子設定!$M$5+0.000000001,E3752&gt;=01_因子設定!$L$6-0.000000001,E3752&lt;=01_因子設定!$M$6+0.000000001,F3752&gt;=01_因子設定!$L$7-0.000000001,F3752&lt;=01_因子設定!$M$7+0.000000001,IF(01_因子設定!$B$20="Box-Behnken",D3752^2+E3752^2+F3752^2&lt;=2+0.000000001,TRUE()))</f>
        <v>1</v>
      </c>
      <c r="W3752" s="55" t="n">
        <f aca="false">IF(V3752,IF(01_因子設定!$B$13="最大化",T3752-01_因子設定!$B$14,IF(01_因子設定!$B$13="最小化",01_因子設定!$B$15-U3752,MIN(T3752-01_因子設定!$B$14,01_因子設定!$B$15-U3752))),-1E+030)</f>
        <v>-0.140636540846728</v>
      </c>
      <c r="X3752" s="55" t="n">
        <f aca="false">IF(V3752,IF(01_因子設定!$B$13="最大化",Q3752,IF(01_因子設定!$B$13="最小化",-Q3752,-ABS(Q3752-01_因子設定!$B$16))),-1E+030)</f>
        <v>49.4890482954546</v>
      </c>
      <c r="Y3752" s="55" t="n">
        <f aca="false">W3752+ROW()*0.000000001</f>
        <v>-0.140632788846728</v>
      </c>
      <c r="Z3752" s="55" t="n">
        <f aca="false">X3752+ROW()*0.000000001</f>
        <v>49.4890520474546</v>
      </c>
    </row>
    <row r="3753" customFormat="false" ht="15" hidden="false" customHeight="false" outlineLevel="0" collapsed="false">
      <c r="A3753" s="0" t="n">
        <v>12</v>
      </c>
      <c r="B3753" s="0" t="n">
        <v>16</v>
      </c>
      <c r="C3753" s="0" t="n">
        <v>8</v>
      </c>
      <c r="D3753" s="0" t="n">
        <f aca="false">-1+A3753*0.125</f>
        <v>0.5</v>
      </c>
      <c r="E3753" s="0" t="n">
        <f aca="false">-1+B3753*0.125</f>
        <v>1</v>
      </c>
      <c r="F3753" s="0" t="n">
        <f aca="false">-1+C3753*0.125</f>
        <v>0</v>
      </c>
      <c r="G3753" s="0" t="n">
        <f aca="false">1</f>
        <v>1</v>
      </c>
      <c r="H3753" s="0" t="n">
        <f aca="false">D3753</f>
        <v>0.5</v>
      </c>
      <c r="I3753" s="0" t="n">
        <f aca="false">E3753</f>
        <v>1</v>
      </c>
      <c r="J3753" s="0" t="n">
        <f aca="false">F3753</f>
        <v>0</v>
      </c>
      <c r="K3753" s="0" t="n">
        <f aca="false">D3753*E3753</f>
        <v>0.5</v>
      </c>
      <c r="L3753" s="0" t="n">
        <f aca="false">D3753*F3753</f>
        <v>0</v>
      </c>
      <c r="M3753" s="0" t="n">
        <f aca="false">E3753*F3753</f>
        <v>0</v>
      </c>
      <c r="N3753" s="0" t="n">
        <f aca="false">D3753*D3753</f>
        <v>0.25</v>
      </c>
      <c r="O3753" s="0" t="n">
        <f aca="false">E3753*E3753</f>
        <v>1</v>
      </c>
      <c r="P3753" s="0" t="n">
        <f aca="false">F3753*F3753</f>
        <v>0</v>
      </c>
      <c r="Q3753" s="0" t="n">
        <f aca="false">SUMPRODUCT(G3753:P3753,_XtX!$B$71:$K$71)</f>
        <v>49.7268181818182</v>
      </c>
      <c r="R3753" s="0" t="n">
        <f aca="false">SUMPRODUCT(MMULT(G3753:P3753,_XtX!$B$58:$K$67),G3753:P3753)</f>
        <v>0.478977272727273</v>
      </c>
      <c r="S3753" s="0" t="n">
        <f aca="false">04_回帰ANOVA!$K$19*04_回帰ANOVA!$K$14*SQRT(1+R3753)</f>
        <v>1.13069998447216</v>
      </c>
      <c r="T3753" s="0" t="n">
        <f aca="false">Q3753-S3753</f>
        <v>48.596118197346</v>
      </c>
      <c r="U3753" s="0" t="n">
        <f aca="false">Q3753+S3753</f>
        <v>50.8575181662904</v>
      </c>
      <c r="V3753" s="54" t="b">
        <f aca="false">AND(D3753&gt;=01_因子設定!$L$5-0.000000001,D3753&lt;=01_因子設定!$M$5+0.000000001,E3753&gt;=01_因子設定!$L$6-0.000000001,E3753&lt;=01_因子設定!$M$6+0.000000001,F3753&gt;=01_因子設定!$L$7-0.000000001,F3753&lt;=01_因子設定!$M$7+0.000000001,IF(01_因子設定!$B$20="Box-Behnken",D3753^2+E3753^2+F3753^2&lt;=2+0.000000001,TRUE()))</f>
        <v>1</v>
      </c>
      <c r="W3753" s="55" t="n">
        <f aca="false">IF(V3753,IF(01_因子設定!$B$13="最大化",T3753-01_因子設定!$B$14,IF(01_因子設定!$B$13="最小化",01_因子設定!$B$15-U3753,MIN(T3753-01_因子設定!$B$14,01_因子設定!$B$15-U3753))),-1E+030)</f>
        <v>0.0961181973460299</v>
      </c>
      <c r="X3753" s="55" t="n">
        <f aca="false">IF(V3753,IF(01_因子設定!$B$13="最大化",Q3753,IF(01_因子設定!$B$13="最小化",-Q3753,-ABS(Q3753-01_因子設定!$B$16))),-1E+030)</f>
        <v>49.7268181818182</v>
      </c>
      <c r="Y3753" s="55" t="n">
        <f aca="false">W3753+ROW()*0.000000001</f>
        <v>0.0961219503460299</v>
      </c>
      <c r="Z3753" s="55" t="n">
        <f aca="false">X3753+ROW()*0.000000001</f>
        <v>49.7268219348182</v>
      </c>
    </row>
    <row r="3754" customFormat="false" ht="15" hidden="false" customHeight="false" outlineLevel="0" collapsed="false">
      <c r="A3754" s="0" t="n">
        <v>12</v>
      </c>
      <c r="B3754" s="0" t="n">
        <v>16</v>
      </c>
      <c r="C3754" s="0" t="n">
        <v>9</v>
      </c>
      <c r="D3754" s="0" t="n">
        <f aca="false">-1+A3754*0.125</f>
        <v>0.5</v>
      </c>
      <c r="E3754" s="0" t="n">
        <f aca="false">-1+B3754*0.125</f>
        <v>1</v>
      </c>
      <c r="F3754" s="0" t="n">
        <f aca="false">-1+C3754*0.125</f>
        <v>0.125</v>
      </c>
      <c r="G3754" s="0" t="n">
        <f aca="false">1</f>
        <v>1</v>
      </c>
      <c r="H3754" s="0" t="n">
        <f aca="false">D3754</f>
        <v>0.5</v>
      </c>
      <c r="I3754" s="0" t="n">
        <f aca="false">E3754</f>
        <v>1</v>
      </c>
      <c r="J3754" s="0" t="n">
        <f aca="false">F3754</f>
        <v>0.125</v>
      </c>
      <c r="K3754" s="0" t="n">
        <f aca="false">D3754*E3754</f>
        <v>0.5</v>
      </c>
      <c r="L3754" s="0" t="n">
        <f aca="false">D3754*F3754</f>
        <v>0.0625</v>
      </c>
      <c r="M3754" s="0" t="n">
        <f aca="false">E3754*F3754</f>
        <v>0.125</v>
      </c>
      <c r="N3754" s="0" t="n">
        <f aca="false">D3754*D3754</f>
        <v>0.25</v>
      </c>
      <c r="O3754" s="0" t="n">
        <f aca="false">E3754*E3754</f>
        <v>1</v>
      </c>
      <c r="P3754" s="0" t="n">
        <f aca="false">F3754*F3754</f>
        <v>0.015625</v>
      </c>
      <c r="Q3754" s="0" t="n">
        <f aca="false">SUMPRODUCT(G3754:P3754,_XtX!$B$71:$K$71)</f>
        <v>49.9277982954546</v>
      </c>
      <c r="R3754" s="0" t="n">
        <f aca="false">SUMPRODUCT(MMULT(G3754:P3754,_XtX!$B$58:$K$67),G3754:P3754)</f>
        <v>0.476322798295455</v>
      </c>
      <c r="S3754" s="0" t="n">
        <f aca="false">04_回帰ANOVA!$K$19*04_回帰ANOVA!$K$14*SQRT(1+R3754)</f>
        <v>1.12968483630128</v>
      </c>
      <c r="T3754" s="0" t="n">
        <f aca="false">Q3754-S3754</f>
        <v>48.7981134591533</v>
      </c>
      <c r="U3754" s="0" t="n">
        <f aca="false">Q3754+S3754</f>
        <v>51.0574831317558</v>
      </c>
      <c r="V3754" s="54" t="b">
        <f aca="false">AND(D3754&gt;=01_因子設定!$L$5-0.000000001,D3754&lt;=01_因子設定!$M$5+0.000000001,E3754&gt;=01_因子設定!$L$6-0.000000001,E3754&lt;=01_因子設定!$M$6+0.000000001,F3754&gt;=01_因子設定!$L$7-0.000000001,F3754&lt;=01_因子設定!$M$7+0.000000001,IF(01_因子設定!$B$20="Box-Behnken",D3754^2+E3754^2+F3754^2&lt;=2+0.000000001,TRUE()))</f>
        <v>1</v>
      </c>
      <c r="W3754" s="55" t="n">
        <f aca="false">IF(V3754,IF(01_因子設定!$B$13="最大化",T3754-01_因子設定!$B$14,IF(01_因子設定!$B$13="最小化",01_因子設定!$B$15-U3754,MIN(T3754-01_因子設定!$B$14,01_因子設定!$B$15-U3754))),-1E+030)</f>
        <v>0.298113459153271</v>
      </c>
      <c r="X3754" s="55" t="n">
        <f aca="false">IF(V3754,IF(01_因子設定!$B$13="最大化",Q3754,IF(01_因子設定!$B$13="最小化",-Q3754,-ABS(Q3754-01_因子設定!$B$16))),-1E+030)</f>
        <v>49.9277982954546</v>
      </c>
      <c r="Y3754" s="55" t="n">
        <f aca="false">W3754+ROW()*0.000000001</f>
        <v>0.298117213153271</v>
      </c>
      <c r="Z3754" s="55" t="n">
        <f aca="false">X3754+ROW()*0.000000001</f>
        <v>49.9278020494546</v>
      </c>
    </row>
    <row r="3755" customFormat="false" ht="15" hidden="false" customHeight="false" outlineLevel="0" collapsed="false">
      <c r="A3755" s="0" t="n">
        <v>12</v>
      </c>
      <c r="B3755" s="0" t="n">
        <v>16</v>
      </c>
      <c r="C3755" s="0" t="n">
        <v>10</v>
      </c>
      <c r="D3755" s="0" t="n">
        <f aca="false">-1+A3755*0.125</f>
        <v>0.5</v>
      </c>
      <c r="E3755" s="0" t="n">
        <f aca="false">-1+B3755*0.125</f>
        <v>1</v>
      </c>
      <c r="F3755" s="0" t="n">
        <f aca="false">-1+C3755*0.125</f>
        <v>0.25</v>
      </c>
      <c r="G3755" s="0" t="n">
        <f aca="false">1</f>
        <v>1</v>
      </c>
      <c r="H3755" s="0" t="n">
        <f aca="false">D3755</f>
        <v>0.5</v>
      </c>
      <c r="I3755" s="0" t="n">
        <f aca="false">E3755</f>
        <v>1</v>
      </c>
      <c r="J3755" s="0" t="n">
        <f aca="false">F3755</f>
        <v>0.25</v>
      </c>
      <c r="K3755" s="0" t="n">
        <f aca="false">D3755*E3755</f>
        <v>0.5</v>
      </c>
      <c r="L3755" s="0" t="n">
        <f aca="false">D3755*F3755</f>
        <v>0.125</v>
      </c>
      <c r="M3755" s="0" t="n">
        <f aca="false">E3755*F3755</f>
        <v>0.25</v>
      </c>
      <c r="N3755" s="0" t="n">
        <f aca="false">D3755*D3755</f>
        <v>0.25</v>
      </c>
      <c r="O3755" s="0" t="n">
        <f aca="false">E3755*E3755</f>
        <v>1</v>
      </c>
      <c r="P3755" s="0" t="n">
        <f aca="false">F3755*F3755</f>
        <v>0.0625</v>
      </c>
      <c r="Q3755" s="0" t="n">
        <f aca="false">SUMPRODUCT(G3755:P3755,_XtX!$B$71:$K$71)</f>
        <v>50.0919886363636</v>
      </c>
      <c r="R3755" s="0" t="n">
        <f aca="false">SUMPRODUCT(MMULT(G3755:P3755,_XtX!$B$58:$K$67),G3755:P3755)</f>
        <v>0.469424715909091</v>
      </c>
      <c r="S3755" s="0" t="n">
        <f aca="false">04_回帰ANOVA!$K$19*04_回帰ANOVA!$K$14*SQRT(1+R3755)</f>
        <v>1.12704253369596</v>
      </c>
      <c r="T3755" s="0" t="n">
        <f aca="false">Q3755-S3755</f>
        <v>48.9649461026677</v>
      </c>
      <c r="U3755" s="0" t="n">
        <f aca="false">Q3755+S3755</f>
        <v>51.2190311700596</v>
      </c>
      <c r="V3755" s="54" t="b">
        <f aca="false">AND(D3755&gt;=01_因子設定!$L$5-0.000000001,D3755&lt;=01_因子設定!$M$5+0.000000001,E3755&gt;=01_因子設定!$L$6-0.000000001,E3755&lt;=01_因子設定!$M$6+0.000000001,F3755&gt;=01_因子設定!$L$7-0.000000001,F3755&lt;=01_因子設定!$M$7+0.000000001,IF(01_因子設定!$B$20="Box-Behnken",D3755^2+E3755^2+F3755^2&lt;=2+0.000000001,TRUE()))</f>
        <v>1</v>
      </c>
      <c r="W3755" s="55" t="n">
        <f aca="false">IF(V3755,IF(01_因子設定!$B$13="最大化",T3755-01_因子設定!$B$14,IF(01_因子設定!$B$13="最小化",01_因子設定!$B$15-U3755,MIN(T3755-01_因子設定!$B$14,01_因子設定!$B$15-U3755))),-1E+030)</f>
        <v>0.464946102667689</v>
      </c>
      <c r="X3755" s="55" t="n">
        <f aca="false">IF(V3755,IF(01_因子設定!$B$13="最大化",Q3755,IF(01_因子設定!$B$13="最小化",-Q3755,-ABS(Q3755-01_因子設定!$B$16))),-1E+030)</f>
        <v>50.0919886363636</v>
      </c>
      <c r="Y3755" s="55" t="n">
        <f aca="false">W3755+ROW()*0.000000001</f>
        <v>0.464949857667689</v>
      </c>
      <c r="Z3755" s="55" t="n">
        <f aca="false">X3755+ROW()*0.000000001</f>
        <v>50.0919923913637</v>
      </c>
    </row>
    <row r="3756" customFormat="false" ht="15" hidden="false" customHeight="false" outlineLevel="0" collapsed="false">
      <c r="A3756" s="0" t="n">
        <v>12</v>
      </c>
      <c r="B3756" s="0" t="n">
        <v>16</v>
      </c>
      <c r="C3756" s="0" t="n">
        <v>11</v>
      </c>
      <c r="D3756" s="0" t="n">
        <f aca="false">-1+A3756*0.125</f>
        <v>0.5</v>
      </c>
      <c r="E3756" s="0" t="n">
        <f aca="false">-1+B3756*0.125</f>
        <v>1</v>
      </c>
      <c r="F3756" s="0" t="n">
        <f aca="false">-1+C3756*0.125</f>
        <v>0.375</v>
      </c>
      <c r="G3756" s="0" t="n">
        <f aca="false">1</f>
        <v>1</v>
      </c>
      <c r="H3756" s="0" t="n">
        <f aca="false">D3756</f>
        <v>0.5</v>
      </c>
      <c r="I3756" s="0" t="n">
        <f aca="false">E3756</f>
        <v>1</v>
      </c>
      <c r="J3756" s="0" t="n">
        <f aca="false">F3756</f>
        <v>0.375</v>
      </c>
      <c r="K3756" s="0" t="n">
        <f aca="false">D3756*E3756</f>
        <v>0.5</v>
      </c>
      <c r="L3756" s="0" t="n">
        <f aca="false">D3756*F3756</f>
        <v>0.1875</v>
      </c>
      <c r="M3756" s="0" t="n">
        <f aca="false">E3756*F3756</f>
        <v>0.375</v>
      </c>
      <c r="N3756" s="0" t="n">
        <f aca="false">D3756*D3756</f>
        <v>0.25</v>
      </c>
      <c r="O3756" s="0" t="n">
        <f aca="false">E3756*E3756</f>
        <v>1</v>
      </c>
      <c r="P3756" s="0" t="n">
        <f aca="false">F3756*F3756</f>
        <v>0.140625</v>
      </c>
      <c r="Q3756" s="0" t="n">
        <f aca="false">SUMPRODUCT(G3756:P3756,_XtX!$B$71:$K$71)</f>
        <v>50.2193892045455</v>
      </c>
      <c r="R3756" s="0" t="n">
        <f aca="false">SUMPRODUCT(MMULT(G3756:P3756,_XtX!$B$58:$K$67),G3756:P3756)</f>
        <v>0.461479048295455</v>
      </c>
      <c r="S3756" s="0" t="n">
        <f aca="false">04_回帰ANOVA!$K$19*04_回帰ANOVA!$K$14*SQRT(1+R3756)</f>
        <v>1.12399125658369</v>
      </c>
      <c r="T3756" s="0" t="n">
        <f aca="false">Q3756-S3756</f>
        <v>49.0953979479618</v>
      </c>
      <c r="U3756" s="0" t="n">
        <f aca="false">Q3756+S3756</f>
        <v>51.3433804611292</v>
      </c>
      <c r="V3756" s="54" t="b">
        <f aca="false">AND(D3756&gt;=01_因子設定!$L$5-0.000000001,D3756&lt;=01_因子設定!$M$5+0.000000001,E3756&gt;=01_因子設定!$L$6-0.000000001,E3756&lt;=01_因子設定!$M$6+0.000000001,F3756&gt;=01_因子設定!$L$7-0.000000001,F3756&lt;=01_因子設定!$M$7+0.000000001,IF(01_因子設定!$B$20="Box-Behnken",D3756^2+E3756^2+F3756^2&lt;=2+0.000000001,TRUE()))</f>
        <v>1</v>
      </c>
      <c r="W3756" s="55" t="n">
        <f aca="false">IF(V3756,IF(01_因子設定!$B$13="最大化",T3756-01_因子設定!$B$14,IF(01_因子設定!$B$13="最小化",01_因子設定!$B$15-U3756,MIN(T3756-01_因子設定!$B$14,01_因子設定!$B$15-U3756))),-1E+030)</f>
        <v>0.595397947961779</v>
      </c>
      <c r="X3756" s="55" t="n">
        <f aca="false">IF(V3756,IF(01_因子設定!$B$13="最大化",Q3756,IF(01_因子設定!$B$13="最小化",-Q3756,-ABS(Q3756-01_因子設定!$B$16))),-1E+030)</f>
        <v>50.2193892045455</v>
      </c>
      <c r="Y3756" s="55" t="n">
        <f aca="false">W3756+ROW()*0.000000001</f>
        <v>0.595401703961779</v>
      </c>
      <c r="Z3756" s="55" t="n">
        <f aca="false">X3756+ROW()*0.000000001</f>
        <v>50.2193929605455</v>
      </c>
    </row>
    <row r="3757" customFormat="false" ht="15" hidden="false" customHeight="false" outlineLevel="0" collapsed="false">
      <c r="A3757" s="0" t="n">
        <v>12</v>
      </c>
      <c r="B3757" s="0" t="n">
        <v>16</v>
      </c>
      <c r="C3757" s="0" t="n">
        <v>12</v>
      </c>
      <c r="D3757" s="0" t="n">
        <f aca="false">-1+A3757*0.125</f>
        <v>0.5</v>
      </c>
      <c r="E3757" s="0" t="n">
        <f aca="false">-1+B3757*0.125</f>
        <v>1</v>
      </c>
      <c r="F3757" s="0" t="n">
        <f aca="false">-1+C3757*0.125</f>
        <v>0.5</v>
      </c>
      <c r="G3757" s="0" t="n">
        <f aca="false">1</f>
        <v>1</v>
      </c>
      <c r="H3757" s="0" t="n">
        <f aca="false">D3757</f>
        <v>0.5</v>
      </c>
      <c r="I3757" s="0" t="n">
        <f aca="false">E3757</f>
        <v>1</v>
      </c>
      <c r="J3757" s="0" t="n">
        <f aca="false">F3757</f>
        <v>0.5</v>
      </c>
      <c r="K3757" s="0" t="n">
        <f aca="false">D3757*E3757</f>
        <v>0.5</v>
      </c>
      <c r="L3757" s="0" t="n">
        <f aca="false">D3757*F3757</f>
        <v>0.25</v>
      </c>
      <c r="M3757" s="0" t="n">
        <f aca="false">E3757*F3757</f>
        <v>0.5</v>
      </c>
      <c r="N3757" s="0" t="n">
        <f aca="false">D3757*D3757</f>
        <v>0.25</v>
      </c>
      <c r="O3757" s="0" t="n">
        <f aca="false">E3757*E3757</f>
        <v>1</v>
      </c>
      <c r="P3757" s="0" t="n">
        <f aca="false">F3757*F3757</f>
        <v>0.25</v>
      </c>
      <c r="Q3757" s="0" t="n">
        <f aca="false">SUMPRODUCT(G3757:P3757,_XtX!$B$71:$K$71)</f>
        <v>50.31</v>
      </c>
      <c r="R3757" s="0" t="n">
        <f aca="false">SUMPRODUCT(MMULT(G3757:P3757,_XtX!$B$58:$K$67),G3757:P3757)</f>
        <v>0.4578125</v>
      </c>
      <c r="S3757" s="0" t="n">
        <f aca="false">04_回帰ANOVA!$K$19*04_回帰ANOVA!$K$14*SQRT(1+R3757)</f>
        <v>1.12258044051089</v>
      </c>
      <c r="T3757" s="0" t="n">
        <f aca="false">Q3757-S3757</f>
        <v>49.1874195594891</v>
      </c>
      <c r="U3757" s="0" t="n">
        <f aca="false">Q3757+S3757</f>
        <v>51.4325804405109</v>
      </c>
      <c r="V3757" s="54" t="b">
        <f aca="false">AND(D3757&gt;=01_因子設定!$L$5-0.000000001,D3757&lt;=01_因子設定!$M$5+0.000000001,E3757&gt;=01_因子設定!$L$6-0.000000001,E3757&lt;=01_因子設定!$M$6+0.000000001,F3757&gt;=01_因子設定!$L$7-0.000000001,F3757&lt;=01_因子設定!$M$7+0.000000001,IF(01_因子設定!$B$20="Box-Behnken",D3757^2+E3757^2+F3757^2&lt;=2+0.000000001,TRUE()))</f>
        <v>1</v>
      </c>
      <c r="W3757" s="55" t="n">
        <f aca="false">IF(V3757,IF(01_因子設定!$B$13="最大化",T3757-01_因子設定!$B$14,IF(01_因子設定!$B$13="最小化",01_因子設定!$B$15-U3757,MIN(T3757-01_因子設定!$B$14,01_因子設定!$B$15-U3757))),-1E+030)</f>
        <v>0.687419559489122</v>
      </c>
      <c r="X3757" s="55" t="n">
        <f aca="false">IF(V3757,IF(01_因子設定!$B$13="最大化",Q3757,IF(01_因子設定!$B$13="最小化",-Q3757,-ABS(Q3757-01_因子設定!$B$16))),-1E+030)</f>
        <v>50.31</v>
      </c>
      <c r="Y3757" s="55" t="n">
        <f aca="false">W3757+ROW()*0.000000001</f>
        <v>0.687423316489122</v>
      </c>
      <c r="Z3757" s="55" t="n">
        <f aca="false">X3757+ROW()*0.000000001</f>
        <v>50.310003757</v>
      </c>
    </row>
    <row r="3758" customFormat="false" ht="15" hidden="false" customHeight="false" outlineLevel="0" collapsed="false">
      <c r="A3758" s="0" t="n">
        <v>12</v>
      </c>
      <c r="B3758" s="0" t="n">
        <v>16</v>
      </c>
      <c r="C3758" s="0" t="n">
        <v>13</v>
      </c>
      <c r="D3758" s="0" t="n">
        <f aca="false">-1+A3758*0.125</f>
        <v>0.5</v>
      </c>
      <c r="E3758" s="0" t="n">
        <f aca="false">-1+B3758*0.125</f>
        <v>1</v>
      </c>
      <c r="F3758" s="0" t="n">
        <f aca="false">-1+C3758*0.125</f>
        <v>0.625</v>
      </c>
      <c r="G3758" s="0" t="n">
        <f aca="false">1</f>
        <v>1</v>
      </c>
      <c r="H3758" s="0" t="n">
        <f aca="false">D3758</f>
        <v>0.5</v>
      </c>
      <c r="I3758" s="0" t="n">
        <f aca="false">E3758</f>
        <v>1</v>
      </c>
      <c r="J3758" s="0" t="n">
        <f aca="false">F3758</f>
        <v>0.625</v>
      </c>
      <c r="K3758" s="0" t="n">
        <f aca="false">D3758*E3758</f>
        <v>0.5</v>
      </c>
      <c r="L3758" s="0" t="n">
        <f aca="false">D3758*F3758</f>
        <v>0.3125</v>
      </c>
      <c r="M3758" s="0" t="n">
        <f aca="false">E3758*F3758</f>
        <v>0.625</v>
      </c>
      <c r="N3758" s="0" t="n">
        <f aca="false">D3758*D3758</f>
        <v>0.25</v>
      </c>
      <c r="O3758" s="0" t="n">
        <f aca="false">E3758*E3758</f>
        <v>1</v>
      </c>
      <c r="P3758" s="0" t="n">
        <f aca="false">F3758*F3758</f>
        <v>0.390625</v>
      </c>
      <c r="Q3758" s="0" t="n">
        <f aca="false">SUMPRODUCT(G3758:P3758,_XtX!$B$71:$K$71)</f>
        <v>50.3638210227273</v>
      </c>
      <c r="R3758" s="0" t="n">
        <f aca="false">SUMPRODUCT(MMULT(G3758:P3758,_XtX!$B$58:$K$67),G3758:P3758)</f>
        <v>0.465882457386364</v>
      </c>
      <c r="S3758" s="0" t="n">
        <f aca="false">04_回帰ANOVA!$K$19*04_回帰ANOVA!$K$14*SQRT(1+R3758)</f>
        <v>1.12568326538173</v>
      </c>
      <c r="T3758" s="0" t="n">
        <f aca="false">Q3758-S3758</f>
        <v>49.2381377573456</v>
      </c>
      <c r="U3758" s="0" t="n">
        <f aca="false">Q3758+S3758</f>
        <v>51.489504288109</v>
      </c>
      <c r="V3758" s="54" t="b">
        <f aca="false">AND(D3758&gt;=01_因子設定!$L$5-0.000000001,D3758&lt;=01_因子設定!$M$5+0.000000001,E3758&gt;=01_因子設定!$L$6-0.000000001,E3758&lt;=01_因子設定!$M$6+0.000000001,F3758&gt;=01_因子設定!$L$7-0.000000001,F3758&lt;=01_因子設定!$M$7+0.000000001,IF(01_因子設定!$B$20="Box-Behnken",D3758^2+E3758^2+F3758^2&lt;=2+0.000000001,TRUE()))</f>
        <v>1</v>
      </c>
      <c r="W3758" s="55" t="n">
        <f aca="false">IF(V3758,IF(01_因子設定!$B$13="最大化",T3758-01_因子設定!$B$14,IF(01_因子設定!$B$13="最小化",01_因子設定!$B$15-U3758,MIN(T3758-01_因子設定!$B$14,01_因子設定!$B$15-U3758))),-1E+030)</f>
        <v>0.738137757345562</v>
      </c>
      <c r="X3758" s="55" t="n">
        <f aca="false">IF(V3758,IF(01_因子設定!$B$13="最大化",Q3758,IF(01_因子設定!$B$13="最小化",-Q3758,-ABS(Q3758-01_因子設定!$B$16))),-1E+030)</f>
        <v>50.3638210227273</v>
      </c>
      <c r="Y3758" s="55" t="n">
        <f aca="false">W3758+ROW()*0.000000001</f>
        <v>0.738141515345562</v>
      </c>
      <c r="Z3758" s="55" t="n">
        <f aca="false">X3758+ROW()*0.000000001</f>
        <v>50.3638247807273</v>
      </c>
    </row>
    <row r="3759" customFormat="false" ht="15" hidden="false" customHeight="false" outlineLevel="0" collapsed="false">
      <c r="A3759" s="0" t="n">
        <v>12</v>
      </c>
      <c r="B3759" s="0" t="n">
        <v>16</v>
      </c>
      <c r="C3759" s="0" t="n">
        <v>14</v>
      </c>
      <c r="D3759" s="0" t="n">
        <f aca="false">-1+A3759*0.125</f>
        <v>0.5</v>
      </c>
      <c r="E3759" s="0" t="n">
        <f aca="false">-1+B3759*0.125</f>
        <v>1</v>
      </c>
      <c r="F3759" s="0" t="n">
        <f aca="false">-1+C3759*0.125</f>
        <v>0.75</v>
      </c>
      <c r="G3759" s="0" t="n">
        <f aca="false">1</f>
        <v>1</v>
      </c>
      <c r="H3759" s="0" t="n">
        <f aca="false">D3759</f>
        <v>0.5</v>
      </c>
      <c r="I3759" s="0" t="n">
        <f aca="false">E3759</f>
        <v>1</v>
      </c>
      <c r="J3759" s="0" t="n">
        <f aca="false">F3759</f>
        <v>0.75</v>
      </c>
      <c r="K3759" s="0" t="n">
        <f aca="false">D3759*E3759</f>
        <v>0.5</v>
      </c>
      <c r="L3759" s="0" t="n">
        <f aca="false">D3759*F3759</f>
        <v>0.375</v>
      </c>
      <c r="M3759" s="0" t="n">
        <f aca="false">E3759*F3759</f>
        <v>0.75</v>
      </c>
      <c r="N3759" s="0" t="n">
        <f aca="false">D3759*D3759</f>
        <v>0.25</v>
      </c>
      <c r="O3759" s="0" t="n">
        <f aca="false">E3759*E3759</f>
        <v>1</v>
      </c>
      <c r="P3759" s="0" t="n">
        <f aca="false">F3759*F3759</f>
        <v>0.5625</v>
      </c>
      <c r="Q3759" s="0" t="n">
        <f aca="false">SUMPRODUCT(G3759:P3759,_XtX!$B$71:$K$71)</f>
        <v>50.3808522727273</v>
      </c>
      <c r="R3759" s="0" t="n">
        <f aca="false">SUMPRODUCT(MMULT(G3759:P3759,_XtX!$B$58:$K$67),G3759:P3759)</f>
        <v>0.495276988636364</v>
      </c>
      <c r="S3759" s="0" t="n">
        <f aca="false">04_回帰ANOVA!$K$19*04_回帰ANOVA!$K$14*SQRT(1+R3759)</f>
        <v>1.13691359828352</v>
      </c>
      <c r="T3759" s="0" t="n">
        <f aca="false">Q3759-S3759</f>
        <v>49.2439386744438</v>
      </c>
      <c r="U3759" s="0" t="n">
        <f aca="false">Q3759+S3759</f>
        <v>51.5177658710108</v>
      </c>
      <c r="V3759" s="54" t="b">
        <f aca="false">AND(D3759&gt;=01_因子設定!$L$5-0.000000001,D3759&lt;=01_因子設定!$M$5+0.000000001,E3759&gt;=01_因子設定!$L$6-0.000000001,E3759&lt;=01_因子設定!$M$6+0.000000001,F3759&gt;=01_因子設定!$L$7-0.000000001,F3759&lt;=01_因子設定!$M$7+0.000000001,IF(01_因子設定!$B$20="Box-Behnken",D3759^2+E3759^2+F3759^2&lt;=2+0.000000001,TRUE()))</f>
        <v>1</v>
      </c>
      <c r="W3759" s="55" t="n">
        <f aca="false">IF(V3759,IF(01_因子設定!$B$13="最大化",T3759-01_因子設定!$B$14,IF(01_因子設定!$B$13="最小化",01_因子設定!$B$15-U3759,MIN(T3759-01_因子設定!$B$14,01_因子設定!$B$15-U3759))),-1E+030)</f>
        <v>0.743938674443768</v>
      </c>
      <c r="X3759" s="55" t="n">
        <f aca="false">IF(V3759,IF(01_因子設定!$B$13="最大化",Q3759,IF(01_因子設定!$B$13="最小化",-Q3759,-ABS(Q3759-01_因子設定!$B$16))),-1E+030)</f>
        <v>50.3808522727273</v>
      </c>
      <c r="Y3759" s="55" t="n">
        <f aca="false">W3759+ROW()*0.000000001</f>
        <v>0.743942433443768</v>
      </c>
      <c r="Z3759" s="55" t="n">
        <f aca="false">X3759+ROW()*0.000000001</f>
        <v>50.3808560317273</v>
      </c>
    </row>
    <row r="3760" customFormat="false" ht="15" hidden="false" customHeight="false" outlineLevel="0" collapsed="false">
      <c r="A3760" s="0" t="n">
        <v>12</v>
      </c>
      <c r="B3760" s="0" t="n">
        <v>16</v>
      </c>
      <c r="C3760" s="0" t="n">
        <v>15</v>
      </c>
      <c r="D3760" s="0" t="n">
        <f aca="false">-1+A3760*0.125</f>
        <v>0.5</v>
      </c>
      <c r="E3760" s="0" t="n">
        <f aca="false">-1+B3760*0.125</f>
        <v>1</v>
      </c>
      <c r="F3760" s="0" t="n">
        <f aca="false">-1+C3760*0.125</f>
        <v>0.875</v>
      </c>
      <c r="G3760" s="0" t="n">
        <f aca="false">1</f>
        <v>1</v>
      </c>
      <c r="H3760" s="0" t="n">
        <f aca="false">D3760</f>
        <v>0.5</v>
      </c>
      <c r="I3760" s="0" t="n">
        <f aca="false">E3760</f>
        <v>1</v>
      </c>
      <c r="J3760" s="0" t="n">
        <f aca="false">F3760</f>
        <v>0.875</v>
      </c>
      <c r="K3760" s="0" t="n">
        <f aca="false">D3760*E3760</f>
        <v>0.5</v>
      </c>
      <c r="L3760" s="0" t="n">
        <f aca="false">D3760*F3760</f>
        <v>0.4375</v>
      </c>
      <c r="M3760" s="0" t="n">
        <f aca="false">E3760*F3760</f>
        <v>0.875</v>
      </c>
      <c r="N3760" s="0" t="n">
        <f aca="false">D3760*D3760</f>
        <v>0.25</v>
      </c>
      <c r="O3760" s="0" t="n">
        <f aca="false">E3760*E3760</f>
        <v>1</v>
      </c>
      <c r="P3760" s="0" t="n">
        <f aca="false">F3760*F3760</f>
        <v>0.765625</v>
      </c>
      <c r="Q3760" s="0" t="n">
        <f aca="false">SUMPRODUCT(G3760:P3760,_XtX!$B$71:$K$71)</f>
        <v>50.36109375</v>
      </c>
      <c r="R3760" s="0" t="n">
        <f aca="false">SUMPRODUCT(MMULT(G3760:P3760,_XtX!$B$58:$K$67),G3760:P3760)</f>
        <v>0.55771484375</v>
      </c>
      <c r="S3760" s="0" t="n">
        <f aca="false">04_回帰ANOVA!$K$19*04_回帰ANOVA!$K$14*SQRT(1+R3760)</f>
        <v>1.16040773556467</v>
      </c>
      <c r="T3760" s="0" t="n">
        <f aca="false">Q3760-S3760</f>
        <v>49.2006860144354</v>
      </c>
      <c r="U3760" s="0" t="n">
        <f aca="false">Q3760+S3760</f>
        <v>51.5215014855647</v>
      </c>
      <c r="V3760" s="54" t="b">
        <f aca="false">AND(D3760&gt;=01_因子設定!$L$5-0.000000001,D3760&lt;=01_因子設定!$M$5+0.000000001,E3760&gt;=01_因子設定!$L$6-0.000000001,E3760&lt;=01_因子設定!$M$6+0.000000001,F3760&gt;=01_因子設定!$L$7-0.000000001,F3760&lt;=01_因子設定!$M$7+0.000000001,IF(01_因子設定!$B$20="Box-Behnken",D3760^2+E3760^2+F3760^2&lt;=2+0.000000001,TRUE()))</f>
        <v>1</v>
      </c>
      <c r="W3760" s="55" t="n">
        <f aca="false">IF(V3760,IF(01_因子設定!$B$13="最大化",T3760-01_因子設定!$B$14,IF(01_因子設定!$B$13="最小化",01_因子設定!$B$15-U3760,MIN(T3760-01_因子設定!$B$14,01_因子設定!$B$15-U3760))),-1E+030)</f>
        <v>0.700686014435348</v>
      </c>
      <c r="X3760" s="55" t="n">
        <f aca="false">IF(V3760,IF(01_因子設定!$B$13="最大化",Q3760,IF(01_因子設定!$B$13="最小化",-Q3760,-ABS(Q3760-01_因子設定!$B$16))),-1E+030)</f>
        <v>50.36109375</v>
      </c>
      <c r="Y3760" s="55" t="n">
        <f aca="false">W3760+ROW()*0.000000001</f>
        <v>0.700689774435348</v>
      </c>
      <c r="Z3760" s="55" t="n">
        <f aca="false">X3760+ROW()*0.000000001</f>
        <v>50.36109751</v>
      </c>
    </row>
    <row r="3761" customFormat="false" ht="15" hidden="false" customHeight="false" outlineLevel="0" collapsed="false">
      <c r="A3761" s="0" t="n">
        <v>12</v>
      </c>
      <c r="B3761" s="0" t="n">
        <v>16</v>
      </c>
      <c r="C3761" s="0" t="n">
        <v>16</v>
      </c>
      <c r="D3761" s="0" t="n">
        <f aca="false">-1+A3761*0.125</f>
        <v>0.5</v>
      </c>
      <c r="E3761" s="0" t="n">
        <f aca="false">-1+B3761*0.125</f>
        <v>1</v>
      </c>
      <c r="F3761" s="0" t="n">
        <f aca="false">-1+C3761*0.125</f>
        <v>1</v>
      </c>
      <c r="G3761" s="0" t="n">
        <f aca="false">1</f>
        <v>1</v>
      </c>
      <c r="H3761" s="0" t="n">
        <f aca="false">D3761</f>
        <v>0.5</v>
      </c>
      <c r="I3761" s="0" t="n">
        <f aca="false">E3761</f>
        <v>1</v>
      </c>
      <c r="J3761" s="0" t="n">
        <f aca="false">F3761</f>
        <v>1</v>
      </c>
      <c r="K3761" s="0" t="n">
        <f aca="false">D3761*E3761</f>
        <v>0.5</v>
      </c>
      <c r="L3761" s="0" t="n">
        <f aca="false">D3761*F3761</f>
        <v>0.5</v>
      </c>
      <c r="M3761" s="0" t="n">
        <f aca="false">E3761*F3761</f>
        <v>1</v>
      </c>
      <c r="N3761" s="0" t="n">
        <f aca="false">D3761*D3761</f>
        <v>0.25</v>
      </c>
      <c r="O3761" s="0" t="n">
        <f aca="false">E3761*E3761</f>
        <v>1</v>
      </c>
      <c r="P3761" s="0" t="n">
        <f aca="false">F3761*F3761</f>
        <v>1</v>
      </c>
      <c r="Q3761" s="0" t="n">
        <f aca="false">SUMPRODUCT(G3761:P3761,_XtX!$B$71:$K$71)</f>
        <v>50.3045454545455</v>
      </c>
      <c r="R3761" s="0" t="n">
        <f aca="false">SUMPRODUCT(MMULT(G3761:P3761,_XtX!$B$58:$K$67),G3761:P3761)</f>
        <v>0.667045454545455</v>
      </c>
      <c r="S3761" s="0" t="n">
        <f aca="false">04_回帰ANOVA!$K$19*04_回帰ANOVA!$K$14*SQRT(1+R3761)</f>
        <v>1.200439720088</v>
      </c>
      <c r="T3761" s="0" t="n">
        <f aca="false">Q3761-S3761</f>
        <v>49.1041057344575</v>
      </c>
      <c r="U3761" s="0" t="n">
        <f aca="false">Q3761+S3761</f>
        <v>51.5049851746335</v>
      </c>
      <c r="V3761" s="54" t="b">
        <f aca="false">AND(D3761&gt;=01_因子設定!$L$5-0.000000001,D3761&lt;=01_因子設定!$M$5+0.000000001,E3761&gt;=01_因子設定!$L$6-0.000000001,E3761&lt;=01_因子設定!$M$6+0.000000001,F3761&gt;=01_因子設定!$L$7-0.000000001,F3761&lt;=01_因子設定!$M$7+0.000000001,IF(01_因子設定!$B$20="Box-Behnken",D3761^2+E3761^2+F3761^2&lt;=2+0.000000001,TRUE()))</f>
        <v>1</v>
      </c>
      <c r="W3761" s="55" t="n">
        <f aca="false">IF(V3761,IF(01_因子設定!$B$13="最大化",T3761-01_因子設定!$B$14,IF(01_因子設定!$B$13="最小化",01_因子設定!$B$15-U3761,MIN(T3761-01_因子設定!$B$14,01_因子設定!$B$15-U3761))),-1E+030)</f>
        <v>0.604105734457484</v>
      </c>
      <c r="X3761" s="55" t="n">
        <f aca="false">IF(V3761,IF(01_因子設定!$B$13="最大化",Q3761,IF(01_因子設定!$B$13="最小化",-Q3761,-ABS(Q3761-01_因子設定!$B$16))),-1E+030)</f>
        <v>50.3045454545455</v>
      </c>
      <c r="Y3761" s="55" t="n">
        <f aca="false">W3761+ROW()*0.000000001</f>
        <v>0.604109495457484</v>
      </c>
      <c r="Z3761" s="55" t="n">
        <f aca="false">X3761+ROW()*0.000000001</f>
        <v>50.3045492155455</v>
      </c>
    </row>
    <row r="3762" customFormat="false" ht="15" hidden="false" customHeight="false" outlineLevel="0" collapsed="false">
      <c r="A3762" s="0" t="n">
        <v>13</v>
      </c>
      <c r="B3762" s="0" t="n">
        <v>0</v>
      </c>
      <c r="C3762" s="0" t="n">
        <v>0</v>
      </c>
      <c r="D3762" s="0" t="n">
        <f aca="false">-1+A3762*0.125</f>
        <v>0.625</v>
      </c>
      <c r="E3762" s="0" t="n">
        <f aca="false">-1+B3762*0.125</f>
        <v>-1</v>
      </c>
      <c r="F3762" s="0" t="n">
        <f aca="false">-1+C3762*0.125</f>
        <v>-1</v>
      </c>
      <c r="G3762" s="0" t="n">
        <f aca="false">1</f>
        <v>1</v>
      </c>
      <c r="H3762" s="0" t="n">
        <f aca="false">D3762</f>
        <v>0.625</v>
      </c>
      <c r="I3762" s="0" t="n">
        <f aca="false">E3762</f>
        <v>-1</v>
      </c>
      <c r="J3762" s="0" t="n">
        <f aca="false">F3762</f>
        <v>-1</v>
      </c>
      <c r="K3762" s="0" t="n">
        <f aca="false">D3762*E3762</f>
        <v>-0.625</v>
      </c>
      <c r="L3762" s="0" t="n">
        <f aca="false">D3762*F3762</f>
        <v>-0.625</v>
      </c>
      <c r="M3762" s="0" t="n">
        <f aca="false">E3762*F3762</f>
        <v>1</v>
      </c>
      <c r="N3762" s="0" t="n">
        <f aca="false">D3762*D3762</f>
        <v>0.390625</v>
      </c>
      <c r="O3762" s="0" t="n">
        <f aca="false">E3762*E3762</f>
        <v>1</v>
      </c>
      <c r="P3762" s="0" t="n">
        <f aca="false">F3762*F3762</f>
        <v>1</v>
      </c>
      <c r="Q3762" s="0" t="n">
        <f aca="false">SUMPRODUCT(G3762:P3762,_XtX!$B$71:$K$71)</f>
        <v>42.1743039772728</v>
      </c>
      <c r="R3762" s="0" t="n">
        <f aca="false">SUMPRODUCT(MMULT(G3762:P3762,_XtX!$B$58:$K$67),G3762:P3762)</f>
        <v>0.659534801136364</v>
      </c>
      <c r="S3762" s="0" t="n">
        <f aca="false">04_回帰ANOVA!$K$19*04_回帰ANOVA!$K$14*SQRT(1+R3762)</f>
        <v>1.19773245593097</v>
      </c>
      <c r="T3762" s="0" t="n">
        <f aca="false">Q3762-S3762</f>
        <v>40.9765715213418</v>
      </c>
      <c r="U3762" s="0" t="n">
        <f aca="false">Q3762+S3762</f>
        <v>43.3720364332037</v>
      </c>
      <c r="V3762" s="54" t="b">
        <f aca="false">AND(D3762&gt;=01_因子設定!$L$5-0.000000001,D3762&lt;=01_因子設定!$M$5+0.000000001,E3762&gt;=01_因子設定!$L$6-0.000000001,E3762&lt;=01_因子設定!$M$6+0.000000001,F3762&gt;=01_因子設定!$L$7-0.000000001,F3762&lt;=01_因子設定!$M$7+0.000000001,IF(01_因子設定!$B$20="Box-Behnken",D3762^2+E3762^2+F3762^2&lt;=2+0.000000001,TRUE()))</f>
        <v>1</v>
      </c>
      <c r="W3762" s="55" t="n">
        <f aca="false">IF(V3762,IF(01_因子設定!$B$13="最大化",T3762-01_因子設定!$B$14,IF(01_因子設定!$B$13="最小化",01_因子設定!$B$15-U3762,MIN(T3762-01_因子設定!$B$14,01_因子設定!$B$15-U3762))),-1E+030)</f>
        <v>-7.52342847865822</v>
      </c>
      <c r="X3762" s="55" t="n">
        <f aca="false">IF(V3762,IF(01_因子設定!$B$13="最大化",Q3762,IF(01_因子設定!$B$13="最小化",-Q3762,-ABS(Q3762-01_因子設定!$B$16))),-1E+030)</f>
        <v>42.1743039772728</v>
      </c>
      <c r="Y3762" s="55" t="n">
        <f aca="false">W3762+ROW()*0.000000001</f>
        <v>-7.52342471665822</v>
      </c>
      <c r="Z3762" s="55" t="n">
        <f aca="false">X3762+ROW()*0.000000001</f>
        <v>42.1743077392728</v>
      </c>
    </row>
    <row r="3763" customFormat="false" ht="15" hidden="false" customHeight="false" outlineLevel="0" collapsed="false">
      <c r="A3763" s="0" t="n">
        <v>13</v>
      </c>
      <c r="B3763" s="0" t="n">
        <v>0</v>
      </c>
      <c r="C3763" s="0" t="n">
        <v>1</v>
      </c>
      <c r="D3763" s="0" t="n">
        <f aca="false">-1+A3763*0.125</f>
        <v>0.625</v>
      </c>
      <c r="E3763" s="0" t="n">
        <f aca="false">-1+B3763*0.125</f>
        <v>-1</v>
      </c>
      <c r="F3763" s="0" t="n">
        <f aca="false">-1+C3763*0.125</f>
        <v>-0.875</v>
      </c>
      <c r="G3763" s="0" t="n">
        <f aca="false">1</f>
        <v>1</v>
      </c>
      <c r="H3763" s="0" t="n">
        <f aca="false">D3763</f>
        <v>0.625</v>
      </c>
      <c r="I3763" s="0" t="n">
        <f aca="false">E3763</f>
        <v>-1</v>
      </c>
      <c r="J3763" s="0" t="n">
        <f aca="false">F3763</f>
        <v>-0.875</v>
      </c>
      <c r="K3763" s="0" t="n">
        <f aca="false">D3763*E3763</f>
        <v>-0.625</v>
      </c>
      <c r="L3763" s="0" t="n">
        <f aca="false">D3763*F3763</f>
        <v>-0.546875</v>
      </c>
      <c r="M3763" s="0" t="n">
        <f aca="false">E3763*F3763</f>
        <v>0.875</v>
      </c>
      <c r="N3763" s="0" t="n">
        <f aca="false">D3763*D3763</f>
        <v>0.390625</v>
      </c>
      <c r="O3763" s="0" t="n">
        <f aca="false">E3763*E3763</f>
        <v>1</v>
      </c>
      <c r="P3763" s="0" t="n">
        <f aca="false">F3763*F3763</f>
        <v>0.765625</v>
      </c>
      <c r="Q3763" s="0" t="n">
        <f aca="false">SUMPRODUCT(G3763:P3763,_XtX!$B$71:$K$71)</f>
        <v>42.5547585227273</v>
      </c>
      <c r="R3763" s="0" t="n">
        <f aca="false">SUMPRODUCT(MMULT(G3763:P3763,_XtX!$B$58:$K$67),G3763:P3763)</f>
        <v>0.555073131214489</v>
      </c>
      <c r="S3763" s="0" t="n">
        <f aca="false">04_回帰ANOVA!$K$19*04_回帰ANOVA!$K$14*SQRT(1+R3763)</f>
        <v>1.15942335628341</v>
      </c>
      <c r="T3763" s="0" t="n">
        <f aca="false">Q3763-S3763</f>
        <v>41.3953351664439</v>
      </c>
      <c r="U3763" s="0" t="n">
        <f aca="false">Q3763+S3763</f>
        <v>43.7141818790107</v>
      </c>
      <c r="V3763" s="54" t="b">
        <f aca="false">AND(D3763&gt;=01_因子設定!$L$5-0.000000001,D3763&lt;=01_因子設定!$M$5+0.000000001,E3763&gt;=01_因子設定!$L$6-0.000000001,E3763&lt;=01_因子設定!$M$6+0.000000001,F3763&gt;=01_因子設定!$L$7-0.000000001,F3763&lt;=01_因子設定!$M$7+0.000000001,IF(01_因子設定!$B$20="Box-Behnken",D3763^2+E3763^2+F3763^2&lt;=2+0.000000001,TRUE()))</f>
        <v>1</v>
      </c>
      <c r="W3763" s="55" t="n">
        <f aca="false">IF(V3763,IF(01_因子設定!$B$13="最大化",T3763-01_因子設定!$B$14,IF(01_因子設定!$B$13="最小化",01_因子設定!$B$15-U3763,MIN(T3763-01_因子設定!$B$14,01_因子設定!$B$15-U3763))),-1E+030)</f>
        <v>-7.10466483355611</v>
      </c>
      <c r="X3763" s="55" t="n">
        <f aca="false">IF(V3763,IF(01_因子設定!$B$13="最大化",Q3763,IF(01_因子設定!$B$13="最小化",-Q3763,-ABS(Q3763-01_因子設定!$B$16))),-1E+030)</f>
        <v>42.5547585227273</v>
      </c>
      <c r="Y3763" s="55" t="n">
        <f aca="false">W3763+ROW()*0.000000001</f>
        <v>-7.10466107055612</v>
      </c>
      <c r="Z3763" s="55" t="n">
        <f aca="false">X3763+ROW()*0.000000001</f>
        <v>42.5547622857273</v>
      </c>
    </row>
    <row r="3764" customFormat="false" ht="15" hidden="false" customHeight="false" outlineLevel="0" collapsed="false">
      <c r="A3764" s="0" t="n">
        <v>13</v>
      </c>
      <c r="B3764" s="0" t="n">
        <v>0</v>
      </c>
      <c r="C3764" s="0" t="n">
        <v>2</v>
      </c>
      <c r="D3764" s="0" t="n">
        <f aca="false">-1+A3764*0.125</f>
        <v>0.625</v>
      </c>
      <c r="E3764" s="0" t="n">
        <f aca="false">-1+B3764*0.125</f>
        <v>-1</v>
      </c>
      <c r="F3764" s="0" t="n">
        <f aca="false">-1+C3764*0.125</f>
        <v>-0.75</v>
      </c>
      <c r="G3764" s="0" t="n">
        <f aca="false">1</f>
        <v>1</v>
      </c>
      <c r="H3764" s="0" t="n">
        <f aca="false">D3764</f>
        <v>0.625</v>
      </c>
      <c r="I3764" s="0" t="n">
        <f aca="false">E3764</f>
        <v>-1</v>
      </c>
      <c r="J3764" s="0" t="n">
        <f aca="false">F3764</f>
        <v>-0.75</v>
      </c>
      <c r="K3764" s="0" t="n">
        <f aca="false">D3764*E3764</f>
        <v>-0.625</v>
      </c>
      <c r="L3764" s="0" t="n">
        <f aca="false">D3764*F3764</f>
        <v>-0.46875</v>
      </c>
      <c r="M3764" s="0" t="n">
        <f aca="false">E3764*F3764</f>
        <v>0.75</v>
      </c>
      <c r="N3764" s="0" t="n">
        <f aca="false">D3764*D3764</f>
        <v>0.390625</v>
      </c>
      <c r="O3764" s="0" t="n">
        <f aca="false">E3764*E3764</f>
        <v>1</v>
      </c>
      <c r="P3764" s="0" t="n">
        <f aca="false">F3764*F3764</f>
        <v>0.5625</v>
      </c>
      <c r="Q3764" s="0" t="n">
        <f aca="false">SUMPRODUCT(G3764:P3764,_XtX!$B$71:$K$71)</f>
        <v>42.8984232954546</v>
      </c>
      <c r="R3764" s="0" t="n">
        <f aca="false">SUMPRODUCT(MMULT(G3764:P3764,_XtX!$B$58:$K$67),G3764:P3764)</f>
        <v>0.496855024857955</v>
      </c>
      <c r="S3764" s="0" t="n">
        <f aca="false">04_回帰ANOVA!$K$19*04_回帰ANOVA!$K$14*SQRT(1+R3764)</f>
        <v>1.1375133593161</v>
      </c>
      <c r="T3764" s="0" t="n">
        <f aca="false">Q3764-S3764</f>
        <v>41.7609099361385</v>
      </c>
      <c r="U3764" s="0" t="n">
        <f aca="false">Q3764+S3764</f>
        <v>44.0359366547707</v>
      </c>
      <c r="V3764" s="54" t="b">
        <f aca="false">AND(D3764&gt;=01_因子設定!$L$5-0.000000001,D3764&lt;=01_因子設定!$M$5+0.000000001,E3764&gt;=01_因子設定!$L$6-0.000000001,E3764&lt;=01_因子設定!$M$6+0.000000001,F3764&gt;=01_因子設定!$L$7-0.000000001,F3764&lt;=01_因子設定!$M$7+0.000000001,IF(01_因子設定!$B$20="Box-Behnken",D3764^2+E3764^2+F3764^2&lt;=2+0.000000001,TRUE()))</f>
        <v>1</v>
      </c>
      <c r="W3764" s="55" t="n">
        <f aca="false">IF(V3764,IF(01_因子設定!$B$13="最大化",T3764-01_因子設定!$B$14,IF(01_因子設定!$B$13="最小化",01_因子設定!$B$15-U3764,MIN(T3764-01_因子設定!$B$14,01_因子設定!$B$15-U3764))),-1E+030)</f>
        <v>-6.73909006386154</v>
      </c>
      <c r="X3764" s="55" t="n">
        <f aca="false">IF(V3764,IF(01_因子設定!$B$13="最大化",Q3764,IF(01_因子設定!$B$13="最小化",-Q3764,-ABS(Q3764-01_因子設定!$B$16))),-1E+030)</f>
        <v>42.8984232954546</v>
      </c>
      <c r="Y3764" s="55" t="n">
        <f aca="false">W3764+ROW()*0.000000001</f>
        <v>-6.73908629986154</v>
      </c>
      <c r="Z3764" s="55" t="n">
        <f aca="false">X3764+ROW()*0.000000001</f>
        <v>42.8984270594546</v>
      </c>
    </row>
    <row r="3765" customFormat="false" ht="15" hidden="false" customHeight="false" outlineLevel="0" collapsed="false">
      <c r="A3765" s="0" t="n">
        <v>13</v>
      </c>
      <c r="B3765" s="0" t="n">
        <v>0</v>
      </c>
      <c r="C3765" s="0" t="n">
        <v>3</v>
      </c>
      <c r="D3765" s="0" t="n">
        <f aca="false">-1+A3765*0.125</f>
        <v>0.625</v>
      </c>
      <c r="E3765" s="0" t="n">
        <f aca="false">-1+B3765*0.125</f>
        <v>-1</v>
      </c>
      <c r="F3765" s="0" t="n">
        <f aca="false">-1+C3765*0.125</f>
        <v>-0.625</v>
      </c>
      <c r="G3765" s="0" t="n">
        <f aca="false">1</f>
        <v>1</v>
      </c>
      <c r="H3765" s="0" t="n">
        <f aca="false">D3765</f>
        <v>0.625</v>
      </c>
      <c r="I3765" s="0" t="n">
        <f aca="false">E3765</f>
        <v>-1</v>
      </c>
      <c r="J3765" s="0" t="n">
        <f aca="false">F3765</f>
        <v>-0.625</v>
      </c>
      <c r="K3765" s="0" t="n">
        <f aca="false">D3765*E3765</f>
        <v>-0.625</v>
      </c>
      <c r="L3765" s="0" t="n">
        <f aca="false">D3765*F3765</f>
        <v>-0.390625</v>
      </c>
      <c r="M3765" s="0" t="n">
        <f aca="false">E3765*F3765</f>
        <v>0.625</v>
      </c>
      <c r="N3765" s="0" t="n">
        <f aca="false">D3765*D3765</f>
        <v>0.390625</v>
      </c>
      <c r="O3765" s="0" t="n">
        <f aca="false">E3765*E3765</f>
        <v>1</v>
      </c>
      <c r="P3765" s="0" t="n">
        <f aca="false">F3765*F3765</f>
        <v>0.390625</v>
      </c>
      <c r="Q3765" s="0" t="n">
        <f aca="false">SUMPRODUCT(G3765:P3765,_XtX!$B$71:$K$71)</f>
        <v>43.2052982954546</v>
      </c>
      <c r="R3765" s="0" t="n">
        <f aca="false">SUMPRODUCT(MMULT(G3765:P3765,_XtX!$B$58:$K$67),G3765:P3765)</f>
        <v>0.47103105024858</v>
      </c>
      <c r="S3765" s="0" t="n">
        <f aca="false">04_回帰ANOVA!$K$19*04_回帰ANOVA!$K$14*SQRT(1+R3765)</f>
        <v>1.1276583912499</v>
      </c>
      <c r="T3765" s="0" t="n">
        <f aca="false">Q3765-S3765</f>
        <v>42.0776399042047</v>
      </c>
      <c r="U3765" s="0" t="n">
        <f aca="false">Q3765+S3765</f>
        <v>44.3329566867045</v>
      </c>
      <c r="V3765" s="54" t="b">
        <f aca="false">AND(D3765&gt;=01_因子設定!$L$5-0.000000001,D3765&lt;=01_因子設定!$M$5+0.000000001,E3765&gt;=01_因子設定!$L$6-0.000000001,E3765&lt;=01_因子設定!$M$6+0.000000001,F3765&gt;=01_因子設定!$L$7-0.000000001,F3765&lt;=01_因子設定!$M$7+0.000000001,IF(01_因子設定!$B$20="Box-Behnken",D3765^2+E3765^2+F3765^2&lt;=2+0.000000001,TRUE()))</f>
        <v>1</v>
      </c>
      <c r="W3765" s="55" t="n">
        <f aca="false">IF(V3765,IF(01_因子設定!$B$13="最大化",T3765-01_因子設定!$B$14,IF(01_因子設定!$B$13="最小化",01_因子設定!$B$15-U3765,MIN(T3765-01_因子設定!$B$14,01_因子設定!$B$15-U3765))),-1E+030)</f>
        <v>-6.42236009579534</v>
      </c>
      <c r="X3765" s="55" t="n">
        <f aca="false">IF(V3765,IF(01_因子設定!$B$13="最大化",Q3765,IF(01_因子設定!$B$13="最小化",-Q3765,-ABS(Q3765-01_因子設定!$B$16))),-1E+030)</f>
        <v>43.2052982954546</v>
      </c>
      <c r="Y3765" s="55" t="n">
        <f aca="false">W3765+ROW()*0.000000001</f>
        <v>-6.42235633079534</v>
      </c>
      <c r="Z3765" s="55" t="n">
        <f aca="false">X3765+ROW()*0.000000001</f>
        <v>43.2053020604546</v>
      </c>
    </row>
    <row r="3766" customFormat="false" ht="15" hidden="false" customHeight="false" outlineLevel="0" collapsed="false">
      <c r="A3766" s="0" t="n">
        <v>13</v>
      </c>
      <c r="B3766" s="0" t="n">
        <v>0</v>
      </c>
      <c r="C3766" s="0" t="n">
        <v>4</v>
      </c>
      <c r="D3766" s="0" t="n">
        <f aca="false">-1+A3766*0.125</f>
        <v>0.625</v>
      </c>
      <c r="E3766" s="0" t="n">
        <f aca="false">-1+B3766*0.125</f>
        <v>-1</v>
      </c>
      <c r="F3766" s="0" t="n">
        <f aca="false">-1+C3766*0.125</f>
        <v>-0.5</v>
      </c>
      <c r="G3766" s="0" t="n">
        <f aca="false">1</f>
        <v>1</v>
      </c>
      <c r="H3766" s="0" t="n">
        <f aca="false">D3766</f>
        <v>0.625</v>
      </c>
      <c r="I3766" s="0" t="n">
        <f aca="false">E3766</f>
        <v>-1</v>
      </c>
      <c r="J3766" s="0" t="n">
        <f aca="false">F3766</f>
        <v>-0.5</v>
      </c>
      <c r="K3766" s="0" t="n">
        <f aca="false">D3766*E3766</f>
        <v>-0.625</v>
      </c>
      <c r="L3766" s="0" t="n">
        <f aca="false">D3766*F3766</f>
        <v>-0.3125</v>
      </c>
      <c r="M3766" s="0" t="n">
        <f aca="false">E3766*F3766</f>
        <v>0.5</v>
      </c>
      <c r="N3766" s="0" t="n">
        <f aca="false">D3766*D3766</f>
        <v>0.390625</v>
      </c>
      <c r="O3766" s="0" t="n">
        <f aca="false">E3766*E3766</f>
        <v>1</v>
      </c>
      <c r="P3766" s="0" t="n">
        <f aca="false">F3766*F3766</f>
        <v>0.25</v>
      </c>
      <c r="Q3766" s="0" t="n">
        <f aca="false">SUMPRODUCT(G3766:P3766,_XtX!$B$71:$K$71)</f>
        <v>43.4753835227273</v>
      </c>
      <c r="R3766" s="0" t="n">
        <f aca="false">SUMPRODUCT(MMULT(G3766:P3766,_XtX!$B$58:$K$67),G3766:P3766)</f>
        <v>0.465882457386364</v>
      </c>
      <c r="S3766" s="0" t="n">
        <f aca="false">04_回帰ANOVA!$K$19*04_回帰ANOVA!$K$14*SQRT(1+R3766)</f>
        <v>1.12568326538173</v>
      </c>
      <c r="T3766" s="0" t="n">
        <f aca="false">Q3766-S3766</f>
        <v>42.3497002573456</v>
      </c>
      <c r="U3766" s="0" t="n">
        <f aca="false">Q3766+S3766</f>
        <v>44.601066788109</v>
      </c>
      <c r="V3766" s="54" t="b">
        <f aca="false">AND(D3766&gt;=01_因子設定!$L$5-0.000000001,D3766&lt;=01_因子設定!$M$5+0.000000001,E3766&gt;=01_因子設定!$L$6-0.000000001,E3766&lt;=01_因子設定!$M$6+0.000000001,F3766&gt;=01_因子設定!$L$7-0.000000001,F3766&lt;=01_因子設定!$M$7+0.000000001,IF(01_因子設定!$B$20="Box-Behnken",D3766^2+E3766^2+F3766^2&lt;=2+0.000000001,TRUE()))</f>
        <v>1</v>
      </c>
      <c r="W3766" s="55" t="n">
        <f aca="false">IF(V3766,IF(01_因子設定!$B$13="最大化",T3766-01_因子設定!$B$14,IF(01_因子設定!$B$13="最小化",01_因子設定!$B$15-U3766,MIN(T3766-01_因子設定!$B$14,01_因子設定!$B$15-U3766))),-1E+030)</f>
        <v>-6.15029974265444</v>
      </c>
      <c r="X3766" s="55" t="n">
        <f aca="false">IF(V3766,IF(01_因子設定!$B$13="最大化",Q3766,IF(01_因子設定!$B$13="最小化",-Q3766,-ABS(Q3766-01_因子設定!$B$16))),-1E+030)</f>
        <v>43.4753835227273</v>
      </c>
      <c r="Y3766" s="55" t="n">
        <f aca="false">W3766+ROW()*0.000000001</f>
        <v>-6.15029597665444</v>
      </c>
      <c r="Z3766" s="55" t="n">
        <f aca="false">X3766+ROW()*0.000000001</f>
        <v>43.4753872887273</v>
      </c>
    </row>
    <row r="3767" customFormat="false" ht="15" hidden="false" customHeight="false" outlineLevel="0" collapsed="false">
      <c r="A3767" s="0" t="n">
        <v>13</v>
      </c>
      <c r="B3767" s="0" t="n">
        <v>0</v>
      </c>
      <c r="C3767" s="0" t="n">
        <v>5</v>
      </c>
      <c r="D3767" s="0" t="n">
        <f aca="false">-1+A3767*0.125</f>
        <v>0.625</v>
      </c>
      <c r="E3767" s="0" t="n">
        <f aca="false">-1+B3767*0.125</f>
        <v>-1</v>
      </c>
      <c r="F3767" s="0" t="n">
        <f aca="false">-1+C3767*0.125</f>
        <v>-0.375</v>
      </c>
      <c r="G3767" s="0" t="n">
        <f aca="false">1</f>
        <v>1</v>
      </c>
      <c r="H3767" s="0" t="n">
        <f aca="false">D3767</f>
        <v>0.625</v>
      </c>
      <c r="I3767" s="0" t="n">
        <f aca="false">E3767</f>
        <v>-1</v>
      </c>
      <c r="J3767" s="0" t="n">
        <f aca="false">F3767</f>
        <v>-0.375</v>
      </c>
      <c r="K3767" s="0" t="n">
        <f aca="false">D3767*E3767</f>
        <v>-0.625</v>
      </c>
      <c r="L3767" s="0" t="n">
        <f aca="false">D3767*F3767</f>
        <v>-0.234375</v>
      </c>
      <c r="M3767" s="0" t="n">
        <f aca="false">E3767*F3767</f>
        <v>0.375</v>
      </c>
      <c r="N3767" s="0" t="n">
        <f aca="false">D3767*D3767</f>
        <v>0.390625</v>
      </c>
      <c r="O3767" s="0" t="n">
        <f aca="false">E3767*E3767</f>
        <v>1</v>
      </c>
      <c r="P3767" s="0" t="n">
        <f aca="false">F3767*F3767</f>
        <v>0.140625</v>
      </c>
      <c r="Q3767" s="0" t="n">
        <f aca="false">SUMPRODUCT(G3767:P3767,_XtX!$B$71:$K$71)</f>
        <v>43.7086789772727</v>
      </c>
      <c r="R3767" s="0" t="n">
        <f aca="false">SUMPRODUCT(MMULT(G3767:P3767,_XtX!$B$58:$K$67),G3767:P3767)</f>
        <v>0.471821178089489</v>
      </c>
      <c r="S3767" s="0" t="n">
        <f aca="false">04_回帰ANOVA!$K$19*04_回帰ANOVA!$K$14*SQRT(1+R3767)</f>
        <v>1.12796119746125</v>
      </c>
      <c r="T3767" s="0" t="n">
        <f aca="false">Q3767-S3767</f>
        <v>42.5807177798115</v>
      </c>
      <c r="U3767" s="0" t="n">
        <f aca="false">Q3767+S3767</f>
        <v>44.836640174734</v>
      </c>
      <c r="V3767" s="54" t="b">
        <f aca="false">AND(D3767&gt;=01_因子設定!$L$5-0.000000001,D3767&lt;=01_因子設定!$M$5+0.000000001,E3767&gt;=01_因子設定!$L$6-0.000000001,E3767&lt;=01_因子設定!$M$6+0.000000001,F3767&gt;=01_因子設定!$L$7-0.000000001,F3767&lt;=01_因子設定!$M$7+0.000000001,IF(01_因子設定!$B$20="Box-Behnken",D3767^2+E3767^2+F3767^2&lt;=2+0.000000001,TRUE()))</f>
        <v>1</v>
      </c>
      <c r="W3767" s="55" t="n">
        <f aca="false">IF(V3767,IF(01_因子設定!$B$13="最大化",T3767-01_因子設定!$B$14,IF(01_因子設定!$B$13="最小化",01_因子設定!$B$15-U3767,MIN(T3767-01_因子設定!$B$14,01_因子設定!$B$15-U3767))),-1E+030)</f>
        <v>-5.91928222018852</v>
      </c>
      <c r="X3767" s="55" t="n">
        <f aca="false">IF(V3767,IF(01_因子設定!$B$13="最大化",Q3767,IF(01_因子設定!$B$13="最小化",-Q3767,-ABS(Q3767-01_因子設定!$B$16))),-1E+030)</f>
        <v>43.7086789772727</v>
      </c>
      <c r="Y3767" s="55" t="n">
        <f aca="false">W3767+ROW()*0.000000001</f>
        <v>-5.91927845318852</v>
      </c>
      <c r="Z3767" s="55" t="n">
        <f aca="false">X3767+ROW()*0.000000001</f>
        <v>43.7086827442727</v>
      </c>
    </row>
    <row r="3768" customFormat="false" ht="15" hidden="false" customHeight="false" outlineLevel="0" collapsed="false">
      <c r="A3768" s="0" t="n">
        <v>13</v>
      </c>
      <c r="B3768" s="0" t="n">
        <v>0</v>
      </c>
      <c r="C3768" s="0" t="n">
        <v>6</v>
      </c>
      <c r="D3768" s="0" t="n">
        <f aca="false">-1+A3768*0.125</f>
        <v>0.625</v>
      </c>
      <c r="E3768" s="0" t="n">
        <f aca="false">-1+B3768*0.125</f>
        <v>-1</v>
      </c>
      <c r="F3768" s="0" t="n">
        <f aca="false">-1+C3768*0.125</f>
        <v>-0.25</v>
      </c>
      <c r="G3768" s="0" t="n">
        <f aca="false">1</f>
        <v>1</v>
      </c>
      <c r="H3768" s="0" t="n">
        <f aca="false">D3768</f>
        <v>0.625</v>
      </c>
      <c r="I3768" s="0" t="n">
        <f aca="false">E3768</f>
        <v>-1</v>
      </c>
      <c r="J3768" s="0" t="n">
        <f aca="false">F3768</f>
        <v>-0.25</v>
      </c>
      <c r="K3768" s="0" t="n">
        <f aca="false">D3768*E3768</f>
        <v>-0.625</v>
      </c>
      <c r="L3768" s="0" t="n">
        <f aca="false">D3768*F3768</f>
        <v>-0.15625</v>
      </c>
      <c r="M3768" s="0" t="n">
        <f aca="false">E3768*F3768</f>
        <v>0.25</v>
      </c>
      <c r="N3768" s="0" t="n">
        <f aca="false">D3768*D3768</f>
        <v>0.390625</v>
      </c>
      <c r="O3768" s="0" t="n">
        <f aca="false">E3768*E3768</f>
        <v>1</v>
      </c>
      <c r="P3768" s="0" t="n">
        <f aca="false">F3768*F3768</f>
        <v>0.0625</v>
      </c>
      <c r="Q3768" s="0" t="n">
        <f aca="false">SUMPRODUCT(G3768:P3768,_XtX!$B$71:$K$71)</f>
        <v>43.9051846590909</v>
      </c>
      <c r="R3768" s="0" t="n">
        <f aca="false">SUMPRODUCT(MMULT(G3768:P3768,_XtX!$B$58:$K$67),G3768:P3768)</f>
        <v>0.481389825994318</v>
      </c>
      <c r="S3768" s="0" t="n">
        <f aca="false">04_回帰ANOVA!$K$19*04_回帰ANOVA!$K$14*SQRT(1+R3768)</f>
        <v>1.13162182500693</v>
      </c>
      <c r="T3768" s="0" t="n">
        <f aca="false">Q3768-S3768</f>
        <v>42.773562834084</v>
      </c>
      <c r="U3768" s="0" t="n">
        <f aca="false">Q3768+S3768</f>
        <v>45.0368064840978</v>
      </c>
      <c r="V3768" s="54" t="b">
        <f aca="false">AND(D3768&gt;=01_因子設定!$L$5-0.000000001,D3768&lt;=01_因子設定!$M$5+0.000000001,E3768&gt;=01_因子設定!$L$6-0.000000001,E3768&lt;=01_因子設定!$M$6+0.000000001,F3768&gt;=01_因子設定!$L$7-0.000000001,F3768&lt;=01_因子設定!$M$7+0.000000001,IF(01_因子設定!$B$20="Box-Behnken",D3768^2+E3768^2+F3768^2&lt;=2+0.000000001,TRUE()))</f>
        <v>1</v>
      </c>
      <c r="W3768" s="55" t="n">
        <f aca="false">IF(V3768,IF(01_因子設定!$B$13="最大化",T3768-01_因子設定!$B$14,IF(01_因子設定!$B$13="最小化",01_因子設定!$B$15-U3768,MIN(T3768-01_因子設定!$B$14,01_因子設定!$B$15-U3768))),-1E+030)</f>
        <v>-5.72643716591601</v>
      </c>
      <c r="X3768" s="55" t="n">
        <f aca="false">IF(V3768,IF(01_因子設定!$B$13="最大化",Q3768,IF(01_因子設定!$B$13="最小化",-Q3768,-ABS(Q3768-01_因子設定!$B$16))),-1E+030)</f>
        <v>43.9051846590909</v>
      </c>
      <c r="Y3768" s="55" t="n">
        <f aca="false">W3768+ROW()*0.000000001</f>
        <v>-5.72643339791601</v>
      </c>
      <c r="Z3768" s="55" t="n">
        <f aca="false">X3768+ROW()*0.000000001</f>
        <v>43.9051884270909</v>
      </c>
    </row>
    <row r="3769" customFormat="false" ht="15" hidden="false" customHeight="false" outlineLevel="0" collapsed="false">
      <c r="A3769" s="0" t="n">
        <v>13</v>
      </c>
      <c r="B3769" s="0" t="n">
        <v>0</v>
      </c>
      <c r="C3769" s="0" t="n">
        <v>7</v>
      </c>
      <c r="D3769" s="0" t="n">
        <f aca="false">-1+A3769*0.125</f>
        <v>0.625</v>
      </c>
      <c r="E3769" s="0" t="n">
        <f aca="false">-1+B3769*0.125</f>
        <v>-1</v>
      </c>
      <c r="F3769" s="0" t="n">
        <f aca="false">-1+C3769*0.125</f>
        <v>-0.125</v>
      </c>
      <c r="G3769" s="0" t="n">
        <f aca="false">1</f>
        <v>1</v>
      </c>
      <c r="H3769" s="0" t="n">
        <f aca="false">D3769</f>
        <v>0.625</v>
      </c>
      <c r="I3769" s="0" t="n">
        <f aca="false">E3769</f>
        <v>-1</v>
      </c>
      <c r="J3769" s="0" t="n">
        <f aca="false">F3769</f>
        <v>-0.125</v>
      </c>
      <c r="K3769" s="0" t="n">
        <f aca="false">D3769*E3769</f>
        <v>-0.625</v>
      </c>
      <c r="L3769" s="0" t="n">
        <f aca="false">D3769*F3769</f>
        <v>-0.078125</v>
      </c>
      <c r="M3769" s="0" t="n">
        <f aca="false">E3769*F3769</f>
        <v>0.125</v>
      </c>
      <c r="N3769" s="0" t="n">
        <f aca="false">D3769*D3769</f>
        <v>0.390625</v>
      </c>
      <c r="O3769" s="0" t="n">
        <f aca="false">E3769*E3769</f>
        <v>1</v>
      </c>
      <c r="P3769" s="0" t="n">
        <f aca="false">F3769*F3769</f>
        <v>0.015625</v>
      </c>
      <c r="Q3769" s="0" t="n">
        <f aca="false">SUMPRODUCT(G3769:P3769,_XtX!$B$71:$K$71)</f>
        <v>44.0649005681818</v>
      </c>
      <c r="R3769" s="0" t="n">
        <f aca="false">SUMPRODUCT(MMULT(G3769:P3769,_XtX!$B$58:$K$67),G3769:P3769)</f>
        <v>0.489261696555398</v>
      </c>
      <c r="S3769" s="0" t="n">
        <f aca="false">04_回帰ANOVA!$K$19*04_回帰ANOVA!$K$14*SQRT(1+R3769)</f>
        <v>1.13462447083763</v>
      </c>
      <c r="T3769" s="0" t="n">
        <f aca="false">Q3769-S3769</f>
        <v>42.9302760973442</v>
      </c>
      <c r="U3769" s="0" t="n">
        <f aca="false">Q3769+S3769</f>
        <v>45.1995250390195</v>
      </c>
      <c r="V3769" s="54" t="b">
        <f aca="false">AND(D3769&gt;=01_因子設定!$L$5-0.000000001,D3769&lt;=01_因子設定!$M$5+0.000000001,E3769&gt;=01_因子設定!$L$6-0.000000001,E3769&lt;=01_因子設定!$M$6+0.000000001,F3769&gt;=01_因子設定!$L$7-0.000000001,F3769&lt;=01_因子設定!$M$7+0.000000001,IF(01_因子設定!$B$20="Box-Behnken",D3769^2+E3769^2+F3769^2&lt;=2+0.000000001,TRUE()))</f>
        <v>1</v>
      </c>
      <c r="W3769" s="55" t="n">
        <f aca="false">IF(V3769,IF(01_因子設定!$B$13="最大化",T3769-01_因子設定!$B$14,IF(01_因子設定!$B$13="最小化",01_因子設定!$B$15-U3769,MIN(T3769-01_因子設定!$B$14,01_因子設定!$B$15-U3769))),-1E+030)</f>
        <v>-5.56972390265581</v>
      </c>
      <c r="X3769" s="55" t="n">
        <f aca="false">IF(V3769,IF(01_因子設定!$B$13="最大化",Q3769,IF(01_因子設定!$B$13="最小化",-Q3769,-ABS(Q3769-01_因子設定!$B$16))),-1E+030)</f>
        <v>44.0649005681818</v>
      </c>
      <c r="Y3769" s="55" t="n">
        <f aca="false">W3769+ROW()*0.000000001</f>
        <v>-5.56972013365581</v>
      </c>
      <c r="Z3769" s="55" t="n">
        <f aca="false">X3769+ROW()*0.000000001</f>
        <v>44.0649043371818</v>
      </c>
    </row>
    <row r="3770" customFormat="false" ht="15" hidden="false" customHeight="false" outlineLevel="0" collapsed="false">
      <c r="A3770" s="0" t="n">
        <v>13</v>
      </c>
      <c r="B3770" s="0" t="n">
        <v>0</v>
      </c>
      <c r="C3770" s="0" t="n">
        <v>8</v>
      </c>
      <c r="D3770" s="0" t="n">
        <f aca="false">-1+A3770*0.125</f>
        <v>0.625</v>
      </c>
      <c r="E3770" s="0" t="n">
        <f aca="false">-1+B3770*0.125</f>
        <v>-1</v>
      </c>
      <c r="F3770" s="0" t="n">
        <f aca="false">-1+C3770*0.125</f>
        <v>0</v>
      </c>
      <c r="G3770" s="0" t="n">
        <f aca="false">1</f>
        <v>1</v>
      </c>
      <c r="H3770" s="0" t="n">
        <f aca="false">D3770</f>
        <v>0.625</v>
      </c>
      <c r="I3770" s="0" t="n">
        <f aca="false">E3770</f>
        <v>-1</v>
      </c>
      <c r="J3770" s="0" t="n">
        <f aca="false">F3770</f>
        <v>0</v>
      </c>
      <c r="K3770" s="0" t="n">
        <f aca="false">D3770*E3770</f>
        <v>-0.625</v>
      </c>
      <c r="L3770" s="0" t="n">
        <f aca="false">D3770*F3770</f>
        <v>0</v>
      </c>
      <c r="M3770" s="0" t="n">
        <f aca="false">E3770*F3770</f>
        <v>-0</v>
      </c>
      <c r="N3770" s="0" t="n">
        <f aca="false">D3770*D3770</f>
        <v>0.390625</v>
      </c>
      <c r="O3770" s="0" t="n">
        <f aca="false">E3770*E3770</f>
        <v>1</v>
      </c>
      <c r="P3770" s="0" t="n">
        <f aca="false">F3770*F3770</f>
        <v>0</v>
      </c>
      <c r="Q3770" s="0" t="n">
        <f aca="false">SUMPRODUCT(G3770:P3770,_XtX!$B$71:$K$71)</f>
        <v>44.1878267045455</v>
      </c>
      <c r="R3770" s="0" t="n">
        <f aca="false">SUMPRODUCT(MMULT(G3770:P3770,_XtX!$B$58:$K$67),G3770:P3770)</f>
        <v>0.492240767045455</v>
      </c>
      <c r="S3770" s="0" t="n">
        <f aca="false">04_回帰ANOVA!$K$19*04_回帰ANOVA!$K$14*SQRT(1+R3770)</f>
        <v>1.13575873676322</v>
      </c>
      <c r="T3770" s="0" t="n">
        <f aca="false">Q3770-S3770</f>
        <v>43.0520679677822</v>
      </c>
      <c r="U3770" s="0" t="n">
        <f aca="false">Q3770+S3770</f>
        <v>45.3235854413087</v>
      </c>
      <c r="V3770" s="54" t="b">
        <f aca="false">AND(D3770&gt;=01_因子設定!$L$5-0.000000001,D3770&lt;=01_因子設定!$M$5+0.000000001,E3770&gt;=01_因子設定!$L$6-0.000000001,E3770&lt;=01_因子設定!$M$6+0.000000001,F3770&gt;=01_因子設定!$L$7-0.000000001,F3770&lt;=01_因子設定!$M$7+0.000000001,IF(01_因子設定!$B$20="Box-Behnken",D3770^2+E3770^2+F3770^2&lt;=2+0.000000001,TRUE()))</f>
        <v>1</v>
      </c>
      <c r="W3770" s="55" t="n">
        <f aca="false">IF(V3770,IF(01_因子設定!$B$13="最大化",T3770-01_因子設定!$B$14,IF(01_因子設定!$B$13="最小化",01_因子設定!$B$15-U3770,MIN(T3770-01_因子設定!$B$14,01_因子設定!$B$15-U3770))),-1E+030)</f>
        <v>-5.44793203221776</v>
      </c>
      <c r="X3770" s="55" t="n">
        <f aca="false">IF(V3770,IF(01_因子設定!$B$13="最大化",Q3770,IF(01_因子設定!$B$13="最小化",-Q3770,-ABS(Q3770-01_因子設定!$B$16))),-1E+030)</f>
        <v>44.1878267045455</v>
      </c>
      <c r="Y3770" s="55" t="n">
        <f aca="false">W3770+ROW()*0.000000001</f>
        <v>-5.44792826221776</v>
      </c>
      <c r="Z3770" s="55" t="n">
        <f aca="false">X3770+ROW()*0.000000001</f>
        <v>44.1878304745455</v>
      </c>
    </row>
    <row r="3771" customFormat="false" ht="15" hidden="false" customHeight="false" outlineLevel="0" collapsed="false">
      <c r="A3771" s="0" t="n">
        <v>13</v>
      </c>
      <c r="B3771" s="0" t="n">
        <v>0</v>
      </c>
      <c r="C3771" s="0" t="n">
        <v>9</v>
      </c>
      <c r="D3771" s="0" t="n">
        <f aca="false">-1+A3771*0.125</f>
        <v>0.625</v>
      </c>
      <c r="E3771" s="0" t="n">
        <f aca="false">-1+B3771*0.125</f>
        <v>-1</v>
      </c>
      <c r="F3771" s="0" t="n">
        <f aca="false">-1+C3771*0.125</f>
        <v>0.125</v>
      </c>
      <c r="G3771" s="0" t="n">
        <f aca="false">1</f>
        <v>1</v>
      </c>
      <c r="H3771" s="0" t="n">
        <f aca="false">D3771</f>
        <v>0.625</v>
      </c>
      <c r="I3771" s="0" t="n">
        <f aca="false">E3771</f>
        <v>-1</v>
      </c>
      <c r="J3771" s="0" t="n">
        <f aca="false">F3771</f>
        <v>0.125</v>
      </c>
      <c r="K3771" s="0" t="n">
        <f aca="false">D3771*E3771</f>
        <v>-0.625</v>
      </c>
      <c r="L3771" s="0" t="n">
        <f aca="false">D3771*F3771</f>
        <v>0.078125</v>
      </c>
      <c r="M3771" s="0" t="n">
        <f aca="false">E3771*F3771</f>
        <v>-0.125</v>
      </c>
      <c r="N3771" s="0" t="n">
        <f aca="false">D3771*D3771</f>
        <v>0.390625</v>
      </c>
      <c r="O3771" s="0" t="n">
        <f aca="false">E3771*E3771</f>
        <v>1</v>
      </c>
      <c r="P3771" s="0" t="n">
        <f aca="false">F3771*F3771</f>
        <v>0.015625</v>
      </c>
      <c r="Q3771" s="0" t="n">
        <f aca="false">SUMPRODUCT(G3771:P3771,_XtX!$B$71:$K$71)</f>
        <v>44.2739630681818</v>
      </c>
      <c r="R3771" s="0" t="n">
        <f aca="false">SUMPRODUCT(MMULT(G3771:P3771,_XtX!$B$58:$K$67),G3771:P3771)</f>
        <v>0.489261696555398</v>
      </c>
      <c r="S3771" s="0" t="n">
        <f aca="false">04_回帰ANOVA!$K$19*04_回帰ANOVA!$K$14*SQRT(1+R3771)</f>
        <v>1.13462447083763</v>
      </c>
      <c r="T3771" s="0" t="n">
        <f aca="false">Q3771-S3771</f>
        <v>43.1393385973442</v>
      </c>
      <c r="U3771" s="0" t="n">
        <f aca="false">Q3771+S3771</f>
        <v>45.4085875390195</v>
      </c>
      <c r="V3771" s="54" t="b">
        <f aca="false">AND(D3771&gt;=01_因子設定!$L$5-0.000000001,D3771&lt;=01_因子設定!$M$5+0.000000001,E3771&gt;=01_因子設定!$L$6-0.000000001,E3771&lt;=01_因子設定!$M$6+0.000000001,F3771&gt;=01_因子設定!$L$7-0.000000001,F3771&lt;=01_因子設定!$M$7+0.000000001,IF(01_因子設定!$B$20="Box-Behnken",D3771^2+E3771^2+F3771^2&lt;=2+0.000000001,TRUE()))</f>
        <v>1</v>
      </c>
      <c r="W3771" s="55" t="n">
        <f aca="false">IF(V3771,IF(01_因子設定!$B$13="最大化",T3771-01_因子設定!$B$14,IF(01_因子設定!$B$13="最小化",01_因子設定!$B$15-U3771,MIN(T3771-01_因子設定!$B$14,01_因子設定!$B$15-U3771))),-1E+030)</f>
        <v>-5.36066140265582</v>
      </c>
      <c r="X3771" s="55" t="n">
        <f aca="false">IF(V3771,IF(01_因子設定!$B$13="最大化",Q3771,IF(01_因子設定!$B$13="最小化",-Q3771,-ABS(Q3771-01_因子設定!$B$16))),-1E+030)</f>
        <v>44.2739630681818</v>
      </c>
      <c r="Y3771" s="55" t="n">
        <f aca="false">W3771+ROW()*0.000000001</f>
        <v>-5.36065763165581</v>
      </c>
      <c r="Z3771" s="55" t="n">
        <f aca="false">X3771+ROW()*0.000000001</f>
        <v>44.2739668391818</v>
      </c>
    </row>
    <row r="3772" customFormat="false" ht="15" hidden="false" customHeight="false" outlineLevel="0" collapsed="false">
      <c r="A3772" s="0" t="n">
        <v>13</v>
      </c>
      <c r="B3772" s="0" t="n">
        <v>0</v>
      </c>
      <c r="C3772" s="0" t="n">
        <v>10</v>
      </c>
      <c r="D3772" s="0" t="n">
        <f aca="false">-1+A3772*0.125</f>
        <v>0.625</v>
      </c>
      <c r="E3772" s="0" t="n">
        <f aca="false">-1+B3772*0.125</f>
        <v>-1</v>
      </c>
      <c r="F3772" s="0" t="n">
        <f aca="false">-1+C3772*0.125</f>
        <v>0.25</v>
      </c>
      <c r="G3772" s="0" t="n">
        <f aca="false">1</f>
        <v>1</v>
      </c>
      <c r="H3772" s="0" t="n">
        <f aca="false">D3772</f>
        <v>0.625</v>
      </c>
      <c r="I3772" s="0" t="n">
        <f aca="false">E3772</f>
        <v>-1</v>
      </c>
      <c r="J3772" s="0" t="n">
        <f aca="false">F3772</f>
        <v>0.25</v>
      </c>
      <c r="K3772" s="0" t="n">
        <f aca="false">D3772*E3772</f>
        <v>-0.625</v>
      </c>
      <c r="L3772" s="0" t="n">
        <f aca="false">D3772*F3772</f>
        <v>0.15625</v>
      </c>
      <c r="M3772" s="0" t="n">
        <f aca="false">E3772*F3772</f>
        <v>-0.25</v>
      </c>
      <c r="N3772" s="0" t="n">
        <f aca="false">D3772*D3772</f>
        <v>0.390625</v>
      </c>
      <c r="O3772" s="0" t="n">
        <f aca="false">E3772*E3772</f>
        <v>1</v>
      </c>
      <c r="P3772" s="0" t="n">
        <f aca="false">F3772*F3772</f>
        <v>0.0625</v>
      </c>
      <c r="Q3772" s="0" t="n">
        <f aca="false">SUMPRODUCT(G3772:P3772,_XtX!$B$71:$K$71)</f>
        <v>44.3233096590909</v>
      </c>
      <c r="R3772" s="0" t="n">
        <f aca="false">SUMPRODUCT(MMULT(G3772:P3772,_XtX!$B$58:$K$67),G3772:P3772)</f>
        <v>0.481389825994318</v>
      </c>
      <c r="S3772" s="0" t="n">
        <f aca="false">04_回帰ANOVA!$K$19*04_回帰ANOVA!$K$14*SQRT(1+R3772)</f>
        <v>1.13162182500693</v>
      </c>
      <c r="T3772" s="0" t="n">
        <f aca="false">Q3772-S3772</f>
        <v>43.191687834084</v>
      </c>
      <c r="U3772" s="0" t="n">
        <f aca="false">Q3772+S3772</f>
        <v>45.4549314840978</v>
      </c>
      <c r="V3772" s="54" t="b">
        <f aca="false">AND(D3772&gt;=01_因子設定!$L$5-0.000000001,D3772&lt;=01_因子設定!$M$5+0.000000001,E3772&gt;=01_因子設定!$L$6-0.000000001,E3772&lt;=01_因子設定!$M$6+0.000000001,F3772&gt;=01_因子設定!$L$7-0.000000001,F3772&lt;=01_因子設定!$M$7+0.000000001,IF(01_因子設定!$B$20="Box-Behnken",D3772^2+E3772^2+F3772^2&lt;=2+0.000000001,TRUE()))</f>
        <v>1</v>
      </c>
      <c r="W3772" s="55" t="n">
        <f aca="false">IF(V3772,IF(01_因子設定!$B$13="最大化",T3772-01_因子設定!$B$14,IF(01_因子設定!$B$13="最小化",01_因子設定!$B$15-U3772,MIN(T3772-01_因子設定!$B$14,01_因子設定!$B$15-U3772))),-1E+030)</f>
        <v>-5.30831216591601</v>
      </c>
      <c r="X3772" s="55" t="n">
        <f aca="false">IF(V3772,IF(01_因子設定!$B$13="最大化",Q3772,IF(01_因子設定!$B$13="最小化",-Q3772,-ABS(Q3772-01_因子設定!$B$16))),-1E+030)</f>
        <v>44.3233096590909</v>
      </c>
      <c r="Y3772" s="55" t="n">
        <f aca="false">W3772+ROW()*0.000000001</f>
        <v>-5.30830839391601</v>
      </c>
      <c r="Z3772" s="55" t="n">
        <f aca="false">X3772+ROW()*0.000000001</f>
        <v>44.3233134310909</v>
      </c>
    </row>
    <row r="3773" customFormat="false" ht="15" hidden="false" customHeight="false" outlineLevel="0" collapsed="false">
      <c r="A3773" s="0" t="n">
        <v>13</v>
      </c>
      <c r="B3773" s="0" t="n">
        <v>0</v>
      </c>
      <c r="C3773" s="0" t="n">
        <v>11</v>
      </c>
      <c r="D3773" s="0" t="n">
        <f aca="false">-1+A3773*0.125</f>
        <v>0.625</v>
      </c>
      <c r="E3773" s="0" t="n">
        <f aca="false">-1+B3773*0.125</f>
        <v>-1</v>
      </c>
      <c r="F3773" s="0" t="n">
        <f aca="false">-1+C3773*0.125</f>
        <v>0.375</v>
      </c>
      <c r="G3773" s="0" t="n">
        <f aca="false">1</f>
        <v>1</v>
      </c>
      <c r="H3773" s="0" t="n">
        <f aca="false">D3773</f>
        <v>0.625</v>
      </c>
      <c r="I3773" s="0" t="n">
        <f aca="false">E3773</f>
        <v>-1</v>
      </c>
      <c r="J3773" s="0" t="n">
        <f aca="false">F3773</f>
        <v>0.375</v>
      </c>
      <c r="K3773" s="0" t="n">
        <f aca="false">D3773*E3773</f>
        <v>-0.625</v>
      </c>
      <c r="L3773" s="0" t="n">
        <f aca="false">D3773*F3773</f>
        <v>0.234375</v>
      </c>
      <c r="M3773" s="0" t="n">
        <f aca="false">E3773*F3773</f>
        <v>-0.375</v>
      </c>
      <c r="N3773" s="0" t="n">
        <f aca="false">D3773*D3773</f>
        <v>0.390625</v>
      </c>
      <c r="O3773" s="0" t="n">
        <f aca="false">E3773*E3773</f>
        <v>1</v>
      </c>
      <c r="P3773" s="0" t="n">
        <f aca="false">F3773*F3773</f>
        <v>0.140625</v>
      </c>
      <c r="Q3773" s="0" t="n">
        <f aca="false">SUMPRODUCT(G3773:P3773,_XtX!$B$71:$K$71)</f>
        <v>44.3358664772727</v>
      </c>
      <c r="R3773" s="0" t="n">
        <f aca="false">SUMPRODUCT(MMULT(G3773:P3773,_XtX!$B$58:$K$67),G3773:P3773)</f>
        <v>0.471821178089489</v>
      </c>
      <c r="S3773" s="0" t="n">
        <f aca="false">04_回帰ANOVA!$K$19*04_回帰ANOVA!$K$14*SQRT(1+R3773)</f>
        <v>1.12796119746125</v>
      </c>
      <c r="T3773" s="0" t="n">
        <f aca="false">Q3773-S3773</f>
        <v>43.2079052798115</v>
      </c>
      <c r="U3773" s="0" t="n">
        <f aca="false">Q3773+S3773</f>
        <v>45.463827674734</v>
      </c>
      <c r="V3773" s="54" t="b">
        <f aca="false">AND(D3773&gt;=01_因子設定!$L$5-0.000000001,D3773&lt;=01_因子設定!$M$5+0.000000001,E3773&gt;=01_因子設定!$L$6-0.000000001,E3773&lt;=01_因子設定!$M$6+0.000000001,F3773&gt;=01_因子設定!$L$7-0.000000001,F3773&lt;=01_因子設定!$M$7+0.000000001,IF(01_因子設定!$B$20="Box-Behnken",D3773^2+E3773^2+F3773^2&lt;=2+0.000000001,TRUE()))</f>
        <v>1</v>
      </c>
      <c r="W3773" s="55" t="n">
        <f aca="false">IF(V3773,IF(01_因子設定!$B$13="最大化",T3773-01_因子設定!$B$14,IF(01_因子設定!$B$13="最小化",01_因子設定!$B$15-U3773,MIN(T3773-01_因子設定!$B$14,01_因子設定!$B$15-U3773))),-1E+030)</f>
        <v>-5.29209472018852</v>
      </c>
      <c r="X3773" s="55" t="n">
        <f aca="false">IF(V3773,IF(01_因子設定!$B$13="最大化",Q3773,IF(01_因子設定!$B$13="最小化",-Q3773,-ABS(Q3773-01_因子設定!$B$16))),-1E+030)</f>
        <v>44.3358664772727</v>
      </c>
      <c r="Y3773" s="55" t="n">
        <f aca="false">W3773+ROW()*0.000000001</f>
        <v>-5.29209094718852</v>
      </c>
      <c r="Z3773" s="55" t="n">
        <f aca="false">X3773+ROW()*0.000000001</f>
        <v>44.3358702502727</v>
      </c>
    </row>
    <row r="3774" customFormat="false" ht="15" hidden="false" customHeight="false" outlineLevel="0" collapsed="false">
      <c r="A3774" s="0" t="n">
        <v>13</v>
      </c>
      <c r="B3774" s="0" t="n">
        <v>0</v>
      </c>
      <c r="C3774" s="0" t="n">
        <v>12</v>
      </c>
      <c r="D3774" s="0" t="n">
        <f aca="false">-1+A3774*0.125</f>
        <v>0.625</v>
      </c>
      <c r="E3774" s="0" t="n">
        <f aca="false">-1+B3774*0.125</f>
        <v>-1</v>
      </c>
      <c r="F3774" s="0" t="n">
        <f aca="false">-1+C3774*0.125</f>
        <v>0.5</v>
      </c>
      <c r="G3774" s="0" t="n">
        <f aca="false">1</f>
        <v>1</v>
      </c>
      <c r="H3774" s="0" t="n">
        <f aca="false">D3774</f>
        <v>0.625</v>
      </c>
      <c r="I3774" s="0" t="n">
        <f aca="false">E3774</f>
        <v>-1</v>
      </c>
      <c r="J3774" s="0" t="n">
        <f aca="false">F3774</f>
        <v>0.5</v>
      </c>
      <c r="K3774" s="0" t="n">
        <f aca="false">D3774*E3774</f>
        <v>-0.625</v>
      </c>
      <c r="L3774" s="0" t="n">
        <f aca="false">D3774*F3774</f>
        <v>0.3125</v>
      </c>
      <c r="M3774" s="0" t="n">
        <f aca="false">E3774*F3774</f>
        <v>-0.5</v>
      </c>
      <c r="N3774" s="0" t="n">
        <f aca="false">D3774*D3774</f>
        <v>0.390625</v>
      </c>
      <c r="O3774" s="0" t="n">
        <f aca="false">E3774*E3774</f>
        <v>1</v>
      </c>
      <c r="P3774" s="0" t="n">
        <f aca="false">F3774*F3774</f>
        <v>0.25</v>
      </c>
      <c r="Q3774" s="0" t="n">
        <f aca="false">SUMPRODUCT(G3774:P3774,_XtX!$B$71:$K$71)</f>
        <v>44.3116335227273</v>
      </c>
      <c r="R3774" s="0" t="n">
        <f aca="false">SUMPRODUCT(MMULT(G3774:P3774,_XtX!$B$58:$K$67),G3774:P3774)</f>
        <v>0.465882457386364</v>
      </c>
      <c r="S3774" s="0" t="n">
        <f aca="false">04_回帰ANOVA!$K$19*04_回帰ANOVA!$K$14*SQRT(1+R3774)</f>
        <v>1.12568326538173</v>
      </c>
      <c r="T3774" s="0" t="n">
        <f aca="false">Q3774-S3774</f>
        <v>43.1859502573456</v>
      </c>
      <c r="U3774" s="0" t="n">
        <f aca="false">Q3774+S3774</f>
        <v>45.437316788109</v>
      </c>
      <c r="V3774" s="54" t="b">
        <f aca="false">AND(D3774&gt;=01_因子設定!$L$5-0.000000001,D3774&lt;=01_因子設定!$M$5+0.000000001,E3774&gt;=01_因子設定!$L$6-0.000000001,E3774&lt;=01_因子設定!$M$6+0.000000001,F3774&gt;=01_因子設定!$L$7-0.000000001,F3774&lt;=01_因子設定!$M$7+0.000000001,IF(01_因子設定!$B$20="Box-Behnken",D3774^2+E3774^2+F3774^2&lt;=2+0.000000001,TRUE()))</f>
        <v>1</v>
      </c>
      <c r="W3774" s="55" t="n">
        <f aca="false">IF(V3774,IF(01_因子設定!$B$13="最大化",T3774-01_因子設定!$B$14,IF(01_因子設定!$B$13="最小化",01_因子設定!$B$15-U3774,MIN(T3774-01_因子設定!$B$14,01_因子設定!$B$15-U3774))),-1E+030)</f>
        <v>-5.31404974265444</v>
      </c>
      <c r="X3774" s="55" t="n">
        <f aca="false">IF(V3774,IF(01_因子設定!$B$13="最大化",Q3774,IF(01_因子設定!$B$13="最小化",-Q3774,-ABS(Q3774-01_因子設定!$B$16))),-1E+030)</f>
        <v>44.3116335227273</v>
      </c>
      <c r="Y3774" s="55" t="n">
        <f aca="false">W3774+ROW()*0.000000001</f>
        <v>-5.31404596865444</v>
      </c>
      <c r="Z3774" s="55" t="n">
        <f aca="false">X3774+ROW()*0.000000001</f>
        <v>44.3116372967273</v>
      </c>
    </row>
    <row r="3775" customFormat="false" ht="15" hidden="false" customHeight="false" outlineLevel="0" collapsed="false">
      <c r="A3775" s="0" t="n">
        <v>13</v>
      </c>
      <c r="B3775" s="0" t="n">
        <v>0</v>
      </c>
      <c r="C3775" s="0" t="n">
        <v>13</v>
      </c>
      <c r="D3775" s="0" t="n">
        <f aca="false">-1+A3775*0.125</f>
        <v>0.625</v>
      </c>
      <c r="E3775" s="0" t="n">
        <f aca="false">-1+B3775*0.125</f>
        <v>-1</v>
      </c>
      <c r="F3775" s="0" t="n">
        <f aca="false">-1+C3775*0.125</f>
        <v>0.625</v>
      </c>
      <c r="G3775" s="0" t="n">
        <f aca="false">1</f>
        <v>1</v>
      </c>
      <c r="H3775" s="0" t="n">
        <f aca="false">D3775</f>
        <v>0.625</v>
      </c>
      <c r="I3775" s="0" t="n">
        <f aca="false">E3775</f>
        <v>-1</v>
      </c>
      <c r="J3775" s="0" t="n">
        <f aca="false">F3775</f>
        <v>0.625</v>
      </c>
      <c r="K3775" s="0" t="n">
        <f aca="false">D3775*E3775</f>
        <v>-0.625</v>
      </c>
      <c r="L3775" s="0" t="n">
        <f aca="false">D3775*F3775</f>
        <v>0.390625</v>
      </c>
      <c r="M3775" s="0" t="n">
        <f aca="false">E3775*F3775</f>
        <v>-0.625</v>
      </c>
      <c r="N3775" s="0" t="n">
        <f aca="false">D3775*D3775</f>
        <v>0.390625</v>
      </c>
      <c r="O3775" s="0" t="n">
        <f aca="false">E3775*E3775</f>
        <v>1</v>
      </c>
      <c r="P3775" s="0" t="n">
        <f aca="false">F3775*F3775</f>
        <v>0.390625</v>
      </c>
      <c r="Q3775" s="0" t="n">
        <f aca="false">SUMPRODUCT(G3775:P3775,_XtX!$B$71:$K$71)</f>
        <v>44.2506107954546</v>
      </c>
      <c r="R3775" s="0" t="n">
        <f aca="false">SUMPRODUCT(MMULT(G3775:P3775,_XtX!$B$58:$K$67),G3775:P3775)</f>
        <v>0.47103105024858</v>
      </c>
      <c r="S3775" s="0" t="n">
        <f aca="false">04_回帰ANOVA!$K$19*04_回帰ANOVA!$K$14*SQRT(1+R3775)</f>
        <v>1.1276583912499</v>
      </c>
      <c r="T3775" s="0" t="n">
        <f aca="false">Q3775-S3775</f>
        <v>43.1229524042047</v>
      </c>
      <c r="U3775" s="0" t="n">
        <f aca="false">Q3775+S3775</f>
        <v>45.3782691867045</v>
      </c>
      <c r="V3775" s="54" t="b">
        <f aca="false">AND(D3775&gt;=01_因子設定!$L$5-0.000000001,D3775&lt;=01_因子設定!$M$5+0.000000001,E3775&gt;=01_因子設定!$L$6-0.000000001,E3775&lt;=01_因子設定!$M$6+0.000000001,F3775&gt;=01_因子設定!$L$7-0.000000001,F3775&lt;=01_因子設定!$M$7+0.000000001,IF(01_因子設定!$B$20="Box-Behnken",D3775^2+E3775^2+F3775^2&lt;=2+0.000000001,TRUE()))</f>
        <v>1</v>
      </c>
      <c r="W3775" s="55" t="n">
        <f aca="false">IF(V3775,IF(01_因子設定!$B$13="最大化",T3775-01_因子設定!$B$14,IF(01_因子設定!$B$13="最小化",01_因子設定!$B$15-U3775,MIN(T3775-01_因子設定!$B$14,01_因子設定!$B$15-U3775))),-1E+030)</f>
        <v>-5.37704759579535</v>
      </c>
      <c r="X3775" s="55" t="n">
        <f aca="false">IF(V3775,IF(01_因子設定!$B$13="最大化",Q3775,IF(01_因子設定!$B$13="最小化",-Q3775,-ABS(Q3775-01_因子設定!$B$16))),-1E+030)</f>
        <v>44.2506107954546</v>
      </c>
      <c r="Y3775" s="55" t="n">
        <f aca="false">W3775+ROW()*0.000000001</f>
        <v>-5.37704382079535</v>
      </c>
      <c r="Z3775" s="55" t="n">
        <f aca="false">X3775+ROW()*0.000000001</f>
        <v>44.2506145704546</v>
      </c>
    </row>
    <row r="3776" customFormat="false" ht="15" hidden="false" customHeight="false" outlineLevel="0" collapsed="false">
      <c r="A3776" s="0" t="n">
        <v>13</v>
      </c>
      <c r="B3776" s="0" t="n">
        <v>0</v>
      </c>
      <c r="C3776" s="0" t="n">
        <v>14</v>
      </c>
      <c r="D3776" s="0" t="n">
        <f aca="false">-1+A3776*0.125</f>
        <v>0.625</v>
      </c>
      <c r="E3776" s="0" t="n">
        <f aca="false">-1+B3776*0.125</f>
        <v>-1</v>
      </c>
      <c r="F3776" s="0" t="n">
        <f aca="false">-1+C3776*0.125</f>
        <v>0.75</v>
      </c>
      <c r="G3776" s="0" t="n">
        <f aca="false">1</f>
        <v>1</v>
      </c>
      <c r="H3776" s="0" t="n">
        <f aca="false">D3776</f>
        <v>0.625</v>
      </c>
      <c r="I3776" s="0" t="n">
        <f aca="false">E3776</f>
        <v>-1</v>
      </c>
      <c r="J3776" s="0" t="n">
        <f aca="false">F3776</f>
        <v>0.75</v>
      </c>
      <c r="K3776" s="0" t="n">
        <f aca="false">D3776*E3776</f>
        <v>-0.625</v>
      </c>
      <c r="L3776" s="0" t="n">
        <f aca="false">D3776*F3776</f>
        <v>0.46875</v>
      </c>
      <c r="M3776" s="0" t="n">
        <f aca="false">E3776*F3776</f>
        <v>-0.75</v>
      </c>
      <c r="N3776" s="0" t="n">
        <f aca="false">D3776*D3776</f>
        <v>0.390625</v>
      </c>
      <c r="O3776" s="0" t="n">
        <f aca="false">E3776*E3776</f>
        <v>1</v>
      </c>
      <c r="P3776" s="0" t="n">
        <f aca="false">F3776*F3776</f>
        <v>0.5625</v>
      </c>
      <c r="Q3776" s="0" t="n">
        <f aca="false">SUMPRODUCT(G3776:P3776,_XtX!$B$71:$K$71)</f>
        <v>44.1527982954546</v>
      </c>
      <c r="R3776" s="0" t="n">
        <f aca="false">SUMPRODUCT(MMULT(G3776:P3776,_XtX!$B$58:$K$67),G3776:P3776)</f>
        <v>0.496855024857955</v>
      </c>
      <c r="S3776" s="0" t="n">
        <f aca="false">04_回帰ANOVA!$K$19*04_回帰ANOVA!$K$14*SQRT(1+R3776)</f>
        <v>1.1375133593161</v>
      </c>
      <c r="T3776" s="0" t="n">
        <f aca="false">Q3776-S3776</f>
        <v>43.0152849361385</v>
      </c>
      <c r="U3776" s="0" t="n">
        <f aca="false">Q3776+S3776</f>
        <v>45.2903116547707</v>
      </c>
      <c r="V3776" s="54" t="b">
        <f aca="false">AND(D3776&gt;=01_因子設定!$L$5-0.000000001,D3776&lt;=01_因子設定!$M$5+0.000000001,E3776&gt;=01_因子設定!$L$6-0.000000001,E3776&lt;=01_因子設定!$M$6+0.000000001,F3776&gt;=01_因子設定!$L$7-0.000000001,F3776&lt;=01_因子設定!$M$7+0.000000001,IF(01_因子設定!$B$20="Box-Behnken",D3776^2+E3776^2+F3776^2&lt;=2+0.000000001,TRUE()))</f>
        <v>1</v>
      </c>
      <c r="W3776" s="55" t="n">
        <f aca="false">IF(V3776,IF(01_因子設定!$B$13="最大化",T3776-01_因子設定!$B$14,IF(01_因子設定!$B$13="最小化",01_因子設定!$B$15-U3776,MIN(T3776-01_因子設定!$B$14,01_因子設定!$B$15-U3776))),-1E+030)</f>
        <v>-5.48471506386154</v>
      </c>
      <c r="X3776" s="55" t="n">
        <f aca="false">IF(V3776,IF(01_因子設定!$B$13="最大化",Q3776,IF(01_因子設定!$B$13="最小化",-Q3776,-ABS(Q3776-01_因子設定!$B$16))),-1E+030)</f>
        <v>44.1527982954546</v>
      </c>
      <c r="Y3776" s="55" t="n">
        <f aca="false">W3776+ROW()*0.000000001</f>
        <v>-5.48471128786154</v>
      </c>
      <c r="Z3776" s="55" t="n">
        <f aca="false">X3776+ROW()*0.000000001</f>
        <v>44.1528020714546</v>
      </c>
    </row>
    <row r="3777" customFormat="false" ht="15" hidden="false" customHeight="false" outlineLevel="0" collapsed="false">
      <c r="A3777" s="0" t="n">
        <v>13</v>
      </c>
      <c r="B3777" s="0" t="n">
        <v>0</v>
      </c>
      <c r="C3777" s="0" t="n">
        <v>15</v>
      </c>
      <c r="D3777" s="0" t="n">
        <f aca="false">-1+A3777*0.125</f>
        <v>0.625</v>
      </c>
      <c r="E3777" s="0" t="n">
        <f aca="false">-1+B3777*0.125</f>
        <v>-1</v>
      </c>
      <c r="F3777" s="0" t="n">
        <f aca="false">-1+C3777*0.125</f>
        <v>0.875</v>
      </c>
      <c r="G3777" s="0" t="n">
        <f aca="false">1</f>
        <v>1</v>
      </c>
      <c r="H3777" s="0" t="n">
        <f aca="false">D3777</f>
        <v>0.625</v>
      </c>
      <c r="I3777" s="0" t="n">
        <f aca="false">E3777</f>
        <v>-1</v>
      </c>
      <c r="J3777" s="0" t="n">
        <f aca="false">F3777</f>
        <v>0.875</v>
      </c>
      <c r="K3777" s="0" t="n">
        <f aca="false">D3777*E3777</f>
        <v>-0.625</v>
      </c>
      <c r="L3777" s="0" t="n">
        <f aca="false">D3777*F3777</f>
        <v>0.546875</v>
      </c>
      <c r="M3777" s="0" t="n">
        <f aca="false">E3777*F3777</f>
        <v>-0.875</v>
      </c>
      <c r="N3777" s="0" t="n">
        <f aca="false">D3777*D3777</f>
        <v>0.390625</v>
      </c>
      <c r="O3777" s="0" t="n">
        <f aca="false">E3777*E3777</f>
        <v>1</v>
      </c>
      <c r="P3777" s="0" t="n">
        <f aca="false">F3777*F3777</f>
        <v>0.765625</v>
      </c>
      <c r="Q3777" s="0" t="n">
        <f aca="false">SUMPRODUCT(G3777:P3777,_XtX!$B$71:$K$71)</f>
        <v>44.0181960227273</v>
      </c>
      <c r="R3777" s="0" t="n">
        <f aca="false">SUMPRODUCT(MMULT(G3777:P3777,_XtX!$B$58:$K$67),G3777:P3777)</f>
        <v>0.555073131214489</v>
      </c>
      <c r="S3777" s="0" t="n">
        <f aca="false">04_回帰ANOVA!$K$19*04_回帰ANOVA!$K$14*SQRT(1+R3777)</f>
        <v>1.15942335628341</v>
      </c>
      <c r="T3777" s="0" t="n">
        <f aca="false">Q3777-S3777</f>
        <v>42.8587726664439</v>
      </c>
      <c r="U3777" s="0" t="n">
        <f aca="false">Q3777+S3777</f>
        <v>45.1776193790107</v>
      </c>
      <c r="V3777" s="54" t="b">
        <f aca="false">AND(D3777&gt;=01_因子設定!$L$5-0.000000001,D3777&lt;=01_因子設定!$M$5+0.000000001,E3777&gt;=01_因子設定!$L$6-0.000000001,E3777&lt;=01_因子設定!$M$6+0.000000001,F3777&gt;=01_因子設定!$L$7-0.000000001,F3777&lt;=01_因子設定!$M$7+0.000000001,IF(01_因子設定!$B$20="Box-Behnken",D3777^2+E3777^2+F3777^2&lt;=2+0.000000001,TRUE()))</f>
        <v>1</v>
      </c>
      <c r="W3777" s="55" t="n">
        <f aca="false">IF(V3777,IF(01_因子設定!$B$13="最大化",T3777-01_因子設定!$B$14,IF(01_因子設定!$B$13="最小化",01_因子設定!$B$15-U3777,MIN(T3777-01_因子設定!$B$14,01_因子設定!$B$15-U3777))),-1E+030)</f>
        <v>-5.64122733355611</v>
      </c>
      <c r="X3777" s="55" t="n">
        <f aca="false">IF(V3777,IF(01_因子設定!$B$13="最大化",Q3777,IF(01_因子設定!$B$13="最小化",-Q3777,-ABS(Q3777-01_因子設定!$B$16))),-1E+030)</f>
        <v>44.0181960227273</v>
      </c>
      <c r="Y3777" s="55" t="n">
        <f aca="false">W3777+ROW()*0.000000001</f>
        <v>-5.64122355655611</v>
      </c>
      <c r="Z3777" s="55" t="n">
        <f aca="false">X3777+ROW()*0.000000001</f>
        <v>44.0181997997273</v>
      </c>
    </row>
    <row r="3778" customFormat="false" ht="15" hidden="false" customHeight="false" outlineLevel="0" collapsed="false">
      <c r="A3778" s="0" t="n">
        <v>13</v>
      </c>
      <c r="B3778" s="0" t="n">
        <v>0</v>
      </c>
      <c r="C3778" s="0" t="n">
        <v>16</v>
      </c>
      <c r="D3778" s="0" t="n">
        <f aca="false">-1+A3778*0.125</f>
        <v>0.625</v>
      </c>
      <c r="E3778" s="0" t="n">
        <f aca="false">-1+B3778*0.125</f>
        <v>-1</v>
      </c>
      <c r="F3778" s="0" t="n">
        <f aca="false">-1+C3778*0.125</f>
        <v>1</v>
      </c>
      <c r="G3778" s="0" t="n">
        <f aca="false">1</f>
        <v>1</v>
      </c>
      <c r="H3778" s="0" t="n">
        <f aca="false">D3778</f>
        <v>0.625</v>
      </c>
      <c r="I3778" s="0" t="n">
        <f aca="false">E3778</f>
        <v>-1</v>
      </c>
      <c r="J3778" s="0" t="n">
        <f aca="false">F3778</f>
        <v>1</v>
      </c>
      <c r="K3778" s="0" t="n">
        <f aca="false">D3778*E3778</f>
        <v>-0.625</v>
      </c>
      <c r="L3778" s="0" t="n">
        <f aca="false">D3778*F3778</f>
        <v>0.625</v>
      </c>
      <c r="M3778" s="0" t="n">
        <f aca="false">E3778*F3778</f>
        <v>-1</v>
      </c>
      <c r="N3778" s="0" t="n">
        <f aca="false">D3778*D3778</f>
        <v>0.390625</v>
      </c>
      <c r="O3778" s="0" t="n">
        <f aca="false">E3778*E3778</f>
        <v>1</v>
      </c>
      <c r="P3778" s="0" t="n">
        <f aca="false">F3778*F3778</f>
        <v>1</v>
      </c>
      <c r="Q3778" s="0" t="n">
        <f aca="false">SUMPRODUCT(G3778:P3778,_XtX!$B$71:$K$71)</f>
        <v>43.8468039772728</v>
      </c>
      <c r="R3778" s="0" t="n">
        <f aca="false">SUMPRODUCT(MMULT(G3778:P3778,_XtX!$B$58:$K$67),G3778:P3778)</f>
        <v>0.659534801136364</v>
      </c>
      <c r="S3778" s="0" t="n">
        <f aca="false">04_回帰ANOVA!$K$19*04_回帰ANOVA!$K$14*SQRT(1+R3778)</f>
        <v>1.19773245593097</v>
      </c>
      <c r="T3778" s="0" t="n">
        <f aca="false">Q3778-S3778</f>
        <v>42.6490715213418</v>
      </c>
      <c r="U3778" s="0" t="n">
        <f aca="false">Q3778+S3778</f>
        <v>45.0445364332037</v>
      </c>
      <c r="V3778" s="54" t="b">
        <f aca="false">AND(D3778&gt;=01_因子設定!$L$5-0.000000001,D3778&lt;=01_因子設定!$M$5+0.000000001,E3778&gt;=01_因子設定!$L$6-0.000000001,E3778&lt;=01_因子設定!$M$6+0.000000001,F3778&gt;=01_因子設定!$L$7-0.000000001,F3778&lt;=01_因子設定!$M$7+0.000000001,IF(01_因子設定!$B$20="Box-Behnken",D3778^2+E3778^2+F3778^2&lt;=2+0.000000001,TRUE()))</f>
        <v>1</v>
      </c>
      <c r="W3778" s="55" t="n">
        <f aca="false">IF(V3778,IF(01_因子設定!$B$13="最大化",T3778-01_因子設定!$B$14,IF(01_因子設定!$B$13="最小化",01_因子設定!$B$15-U3778,MIN(T3778-01_因子設定!$B$14,01_因子設定!$B$15-U3778))),-1E+030)</f>
        <v>-5.85092847865822</v>
      </c>
      <c r="X3778" s="55" t="n">
        <f aca="false">IF(V3778,IF(01_因子設定!$B$13="最大化",Q3778,IF(01_因子設定!$B$13="最小化",-Q3778,-ABS(Q3778-01_因子設定!$B$16))),-1E+030)</f>
        <v>43.8468039772728</v>
      </c>
      <c r="Y3778" s="55" t="n">
        <f aca="false">W3778+ROW()*0.000000001</f>
        <v>-5.85092470065822</v>
      </c>
      <c r="Z3778" s="55" t="n">
        <f aca="false">X3778+ROW()*0.000000001</f>
        <v>43.8468077552728</v>
      </c>
    </row>
    <row r="3779" customFormat="false" ht="15" hidden="false" customHeight="false" outlineLevel="0" collapsed="false">
      <c r="A3779" s="0" t="n">
        <v>13</v>
      </c>
      <c r="B3779" s="0" t="n">
        <v>1</v>
      </c>
      <c r="C3779" s="0" t="n">
        <v>0</v>
      </c>
      <c r="D3779" s="0" t="n">
        <f aca="false">-1+A3779*0.125</f>
        <v>0.625</v>
      </c>
      <c r="E3779" s="0" t="n">
        <f aca="false">-1+B3779*0.125</f>
        <v>-0.875</v>
      </c>
      <c r="F3779" s="0" t="n">
        <f aca="false">-1+C3779*0.125</f>
        <v>-1</v>
      </c>
      <c r="G3779" s="0" t="n">
        <f aca="false">1</f>
        <v>1</v>
      </c>
      <c r="H3779" s="0" t="n">
        <f aca="false">D3779</f>
        <v>0.625</v>
      </c>
      <c r="I3779" s="0" t="n">
        <f aca="false">E3779</f>
        <v>-0.875</v>
      </c>
      <c r="J3779" s="0" t="n">
        <f aca="false">F3779</f>
        <v>-1</v>
      </c>
      <c r="K3779" s="0" t="n">
        <f aca="false">D3779*E3779</f>
        <v>-0.546875</v>
      </c>
      <c r="L3779" s="0" t="n">
        <f aca="false">D3779*F3779</f>
        <v>-0.625</v>
      </c>
      <c r="M3779" s="0" t="n">
        <f aca="false">E3779*F3779</f>
        <v>0.875</v>
      </c>
      <c r="N3779" s="0" t="n">
        <f aca="false">D3779*D3779</f>
        <v>0.390625</v>
      </c>
      <c r="O3779" s="0" t="n">
        <f aca="false">E3779*E3779</f>
        <v>0.765625</v>
      </c>
      <c r="P3779" s="0" t="n">
        <f aca="false">F3779*F3779</f>
        <v>1</v>
      </c>
      <c r="Q3779" s="0" t="n">
        <f aca="false">SUMPRODUCT(G3779:P3779,_XtX!$B$71:$K$71)</f>
        <v>42.9476491477273</v>
      </c>
      <c r="R3779" s="0" t="n">
        <f aca="false">SUMPRODUCT(MMULT(G3779:P3779,_XtX!$B$58:$K$67),G3779:P3779)</f>
        <v>0.555073131214489</v>
      </c>
      <c r="S3779" s="0" t="n">
        <f aca="false">04_回帰ANOVA!$K$19*04_回帰ANOVA!$K$14*SQRT(1+R3779)</f>
        <v>1.15942335628341</v>
      </c>
      <c r="T3779" s="0" t="n">
        <f aca="false">Q3779-S3779</f>
        <v>41.7882257914439</v>
      </c>
      <c r="U3779" s="0" t="n">
        <f aca="false">Q3779+S3779</f>
        <v>44.1070725040107</v>
      </c>
      <c r="V3779" s="54" t="b">
        <f aca="false">AND(D3779&gt;=01_因子設定!$L$5-0.000000001,D3779&lt;=01_因子設定!$M$5+0.000000001,E3779&gt;=01_因子設定!$L$6-0.000000001,E3779&lt;=01_因子設定!$M$6+0.000000001,F3779&gt;=01_因子設定!$L$7-0.000000001,F3779&lt;=01_因子設定!$M$7+0.000000001,IF(01_因子設定!$B$20="Box-Behnken",D3779^2+E3779^2+F3779^2&lt;=2+0.000000001,TRUE()))</f>
        <v>1</v>
      </c>
      <c r="W3779" s="55" t="n">
        <f aca="false">IF(V3779,IF(01_因子設定!$B$13="最大化",T3779-01_因子設定!$B$14,IF(01_因子設定!$B$13="最小化",01_因子設定!$B$15-U3779,MIN(T3779-01_因子設定!$B$14,01_因子設定!$B$15-U3779))),-1E+030)</f>
        <v>-6.71177420855611</v>
      </c>
      <c r="X3779" s="55" t="n">
        <f aca="false">IF(V3779,IF(01_因子設定!$B$13="最大化",Q3779,IF(01_因子設定!$B$13="最小化",-Q3779,-ABS(Q3779-01_因子設定!$B$16))),-1E+030)</f>
        <v>42.9476491477273</v>
      </c>
      <c r="Y3779" s="55" t="n">
        <f aca="false">W3779+ROW()*0.000000001</f>
        <v>-6.71177042955611</v>
      </c>
      <c r="Z3779" s="55" t="n">
        <f aca="false">X3779+ROW()*0.000000001</f>
        <v>42.9476529267273</v>
      </c>
    </row>
    <row r="3780" customFormat="false" ht="15" hidden="false" customHeight="false" outlineLevel="0" collapsed="false">
      <c r="A3780" s="0" t="n">
        <v>13</v>
      </c>
      <c r="B3780" s="0" t="n">
        <v>1</v>
      </c>
      <c r="C3780" s="0" t="n">
        <v>1</v>
      </c>
      <c r="D3780" s="0" t="n">
        <f aca="false">-1+A3780*0.125</f>
        <v>0.625</v>
      </c>
      <c r="E3780" s="0" t="n">
        <f aca="false">-1+B3780*0.125</f>
        <v>-0.875</v>
      </c>
      <c r="F3780" s="0" t="n">
        <f aca="false">-1+C3780*0.125</f>
        <v>-0.875</v>
      </c>
      <c r="G3780" s="0" t="n">
        <f aca="false">1</f>
        <v>1</v>
      </c>
      <c r="H3780" s="0" t="n">
        <f aca="false">D3780</f>
        <v>0.625</v>
      </c>
      <c r="I3780" s="0" t="n">
        <f aca="false">E3780</f>
        <v>-0.875</v>
      </c>
      <c r="J3780" s="0" t="n">
        <f aca="false">F3780</f>
        <v>-0.875</v>
      </c>
      <c r="K3780" s="0" t="n">
        <f aca="false">D3780*E3780</f>
        <v>-0.546875</v>
      </c>
      <c r="L3780" s="0" t="n">
        <f aca="false">D3780*F3780</f>
        <v>-0.546875</v>
      </c>
      <c r="M3780" s="0" t="n">
        <f aca="false">E3780*F3780</f>
        <v>0.765625</v>
      </c>
      <c r="N3780" s="0" t="n">
        <f aca="false">D3780*D3780</f>
        <v>0.390625</v>
      </c>
      <c r="O3780" s="0" t="n">
        <f aca="false">E3780*E3780</f>
        <v>0.765625</v>
      </c>
      <c r="P3780" s="0" t="n">
        <f aca="false">F3780*F3780</f>
        <v>0.765625</v>
      </c>
      <c r="Q3780" s="0" t="n">
        <f aca="false">SUMPRODUCT(G3780:P3780,_XtX!$B$71:$K$71)</f>
        <v>43.3351349431818</v>
      </c>
      <c r="R3780" s="0" t="n">
        <f aca="false">SUMPRODUCT(MMULT(G3780:P3780,_XtX!$B$58:$K$67),G3780:P3780)</f>
        <v>0.442496559836648</v>
      </c>
      <c r="S3780" s="0" t="n">
        <f aca="false">04_回帰ANOVA!$K$19*04_回帰ANOVA!$K$14*SQRT(1+R3780)</f>
        <v>1.11666789259284</v>
      </c>
      <c r="T3780" s="0" t="n">
        <f aca="false">Q3780-S3780</f>
        <v>42.218467050589</v>
      </c>
      <c r="U3780" s="0" t="n">
        <f aca="false">Q3780+S3780</f>
        <v>44.4518028357747</v>
      </c>
      <c r="V3780" s="54" t="b">
        <f aca="false">AND(D3780&gt;=01_因子設定!$L$5-0.000000001,D3780&lt;=01_因子設定!$M$5+0.000000001,E3780&gt;=01_因子設定!$L$6-0.000000001,E3780&lt;=01_因子設定!$M$6+0.000000001,F3780&gt;=01_因子設定!$L$7-0.000000001,F3780&lt;=01_因子設定!$M$7+0.000000001,IF(01_因子設定!$B$20="Box-Behnken",D3780^2+E3780^2+F3780^2&lt;=2+0.000000001,TRUE()))</f>
        <v>1</v>
      </c>
      <c r="W3780" s="55" t="n">
        <f aca="false">IF(V3780,IF(01_因子設定!$B$13="最大化",T3780-01_因子設定!$B$14,IF(01_因子設定!$B$13="最小化",01_因子設定!$B$15-U3780,MIN(T3780-01_因子設定!$B$14,01_因子設定!$B$15-U3780))),-1E+030)</f>
        <v>-6.28153294941101</v>
      </c>
      <c r="X3780" s="55" t="n">
        <f aca="false">IF(V3780,IF(01_因子設定!$B$13="最大化",Q3780,IF(01_因子設定!$B$13="最小化",-Q3780,-ABS(Q3780-01_因子設定!$B$16))),-1E+030)</f>
        <v>43.3351349431818</v>
      </c>
      <c r="Y3780" s="55" t="n">
        <f aca="false">W3780+ROW()*0.000000001</f>
        <v>-6.28152916941101</v>
      </c>
      <c r="Z3780" s="55" t="n">
        <f aca="false">X3780+ROW()*0.000000001</f>
        <v>43.3351387231818</v>
      </c>
    </row>
    <row r="3781" customFormat="false" ht="15" hidden="false" customHeight="false" outlineLevel="0" collapsed="false">
      <c r="A3781" s="0" t="n">
        <v>13</v>
      </c>
      <c r="B3781" s="0" t="n">
        <v>1</v>
      </c>
      <c r="C3781" s="0" t="n">
        <v>2</v>
      </c>
      <c r="D3781" s="0" t="n">
        <f aca="false">-1+A3781*0.125</f>
        <v>0.625</v>
      </c>
      <c r="E3781" s="0" t="n">
        <f aca="false">-1+B3781*0.125</f>
        <v>-0.875</v>
      </c>
      <c r="F3781" s="0" t="n">
        <f aca="false">-1+C3781*0.125</f>
        <v>-0.75</v>
      </c>
      <c r="G3781" s="0" t="n">
        <f aca="false">1</f>
        <v>1</v>
      </c>
      <c r="H3781" s="0" t="n">
        <f aca="false">D3781</f>
        <v>0.625</v>
      </c>
      <c r="I3781" s="0" t="n">
        <f aca="false">E3781</f>
        <v>-0.875</v>
      </c>
      <c r="J3781" s="0" t="n">
        <f aca="false">F3781</f>
        <v>-0.75</v>
      </c>
      <c r="K3781" s="0" t="n">
        <f aca="false">D3781*E3781</f>
        <v>-0.546875</v>
      </c>
      <c r="L3781" s="0" t="n">
        <f aca="false">D3781*F3781</f>
        <v>-0.46875</v>
      </c>
      <c r="M3781" s="0" t="n">
        <f aca="false">E3781*F3781</f>
        <v>0.65625</v>
      </c>
      <c r="N3781" s="0" t="n">
        <f aca="false">D3781*D3781</f>
        <v>0.390625</v>
      </c>
      <c r="O3781" s="0" t="n">
        <f aca="false">E3781*E3781</f>
        <v>0.765625</v>
      </c>
      <c r="P3781" s="0" t="n">
        <f aca="false">F3781*F3781</f>
        <v>0.5625</v>
      </c>
      <c r="Q3781" s="0" t="n">
        <f aca="false">SUMPRODUCT(G3781:P3781,_XtX!$B$71:$K$71)</f>
        <v>43.6858309659091</v>
      </c>
      <c r="R3781" s="0" t="n">
        <f aca="false">SUMPRODUCT(MMULT(G3781:P3781,_XtX!$B$58:$K$67),G3781:P3781)</f>
        <v>0.377245538884943</v>
      </c>
      <c r="S3781" s="0" t="n">
        <f aca="false">04_回帰ANOVA!$K$19*04_回帰ANOVA!$K$14*SQRT(1+R3781)</f>
        <v>1.09111951468927</v>
      </c>
      <c r="T3781" s="0" t="n">
        <f aca="false">Q3781-S3781</f>
        <v>42.5947114512198</v>
      </c>
      <c r="U3781" s="0" t="n">
        <f aca="false">Q3781+S3781</f>
        <v>44.7769504805984</v>
      </c>
      <c r="V3781" s="54" t="b">
        <f aca="false">AND(D3781&gt;=01_因子設定!$L$5-0.000000001,D3781&lt;=01_因子設定!$M$5+0.000000001,E3781&gt;=01_因子設定!$L$6-0.000000001,E3781&lt;=01_因子設定!$M$6+0.000000001,F3781&gt;=01_因子設定!$L$7-0.000000001,F3781&lt;=01_因子設定!$M$7+0.000000001,IF(01_因子設定!$B$20="Box-Behnken",D3781^2+E3781^2+F3781^2&lt;=2+0.000000001,TRUE()))</f>
        <v>1</v>
      </c>
      <c r="W3781" s="55" t="n">
        <f aca="false">IF(V3781,IF(01_因子設定!$B$13="最大化",T3781-01_因子設定!$B$14,IF(01_因子設定!$B$13="最小化",01_因子設定!$B$15-U3781,MIN(T3781-01_因子設定!$B$14,01_因子設定!$B$15-U3781))),-1E+030)</f>
        <v>-5.90528854878017</v>
      </c>
      <c r="X3781" s="55" t="n">
        <f aca="false">IF(V3781,IF(01_因子設定!$B$13="最大化",Q3781,IF(01_因子設定!$B$13="最小化",-Q3781,-ABS(Q3781-01_因子設定!$B$16))),-1E+030)</f>
        <v>43.6858309659091</v>
      </c>
      <c r="Y3781" s="55" t="n">
        <f aca="false">W3781+ROW()*0.000000001</f>
        <v>-5.90528476778017</v>
      </c>
      <c r="Z3781" s="55" t="n">
        <f aca="false">X3781+ROW()*0.000000001</f>
        <v>43.6858347469091</v>
      </c>
    </row>
    <row r="3782" customFormat="false" ht="15" hidden="false" customHeight="false" outlineLevel="0" collapsed="false">
      <c r="A3782" s="0" t="n">
        <v>13</v>
      </c>
      <c r="B3782" s="0" t="n">
        <v>1</v>
      </c>
      <c r="C3782" s="0" t="n">
        <v>3</v>
      </c>
      <c r="D3782" s="0" t="n">
        <f aca="false">-1+A3782*0.125</f>
        <v>0.625</v>
      </c>
      <c r="E3782" s="0" t="n">
        <f aca="false">-1+B3782*0.125</f>
        <v>-0.875</v>
      </c>
      <c r="F3782" s="0" t="n">
        <f aca="false">-1+C3782*0.125</f>
        <v>-0.625</v>
      </c>
      <c r="G3782" s="0" t="n">
        <f aca="false">1</f>
        <v>1</v>
      </c>
      <c r="H3782" s="0" t="n">
        <f aca="false">D3782</f>
        <v>0.625</v>
      </c>
      <c r="I3782" s="0" t="n">
        <f aca="false">E3782</f>
        <v>-0.875</v>
      </c>
      <c r="J3782" s="0" t="n">
        <f aca="false">F3782</f>
        <v>-0.625</v>
      </c>
      <c r="K3782" s="0" t="n">
        <f aca="false">D3782*E3782</f>
        <v>-0.546875</v>
      </c>
      <c r="L3782" s="0" t="n">
        <f aca="false">D3782*F3782</f>
        <v>-0.390625</v>
      </c>
      <c r="M3782" s="0" t="n">
        <f aca="false">E3782*F3782</f>
        <v>0.546875</v>
      </c>
      <c r="N3782" s="0" t="n">
        <f aca="false">D3782*D3782</f>
        <v>0.390625</v>
      </c>
      <c r="O3782" s="0" t="n">
        <f aca="false">E3782*E3782</f>
        <v>0.765625</v>
      </c>
      <c r="P3782" s="0" t="n">
        <f aca="false">F3782*F3782</f>
        <v>0.390625</v>
      </c>
      <c r="Q3782" s="0" t="n">
        <f aca="false">SUMPRODUCT(G3782:P3782,_XtX!$B$71:$K$71)</f>
        <v>43.9997372159091</v>
      </c>
      <c r="R3782" s="0" t="n">
        <f aca="false">SUMPRODUCT(MMULT(G3782:P3782,_XtX!$B$58:$K$67),G3782:P3782)</f>
        <v>0.345470636541193</v>
      </c>
      <c r="S3782" s="0" t="n">
        <f aca="false">04_回帰ANOVA!$K$19*04_回帰ANOVA!$K$14*SQRT(1+R3782)</f>
        <v>1.07845927083227</v>
      </c>
      <c r="T3782" s="0" t="n">
        <f aca="false">Q3782-S3782</f>
        <v>42.9212779450768</v>
      </c>
      <c r="U3782" s="0" t="n">
        <f aca="false">Q3782+S3782</f>
        <v>45.0781964867414</v>
      </c>
      <c r="V3782" s="54" t="b">
        <f aca="false">AND(D3782&gt;=01_因子設定!$L$5-0.000000001,D3782&lt;=01_因子設定!$M$5+0.000000001,E3782&gt;=01_因子設定!$L$6-0.000000001,E3782&lt;=01_因子設定!$M$6+0.000000001,F3782&gt;=01_因子設定!$L$7-0.000000001,F3782&lt;=01_因子設定!$M$7+0.000000001,IF(01_因子設定!$B$20="Box-Behnken",D3782^2+E3782^2+F3782^2&lt;=2+0.000000001,TRUE()))</f>
        <v>1</v>
      </c>
      <c r="W3782" s="55" t="n">
        <f aca="false">IF(V3782,IF(01_因子設定!$B$13="最大化",T3782-01_因子設定!$B$14,IF(01_因子設定!$B$13="最小化",01_因子設定!$B$15-U3782,MIN(T3782-01_因子設定!$B$14,01_因子設定!$B$15-U3782))),-1E+030)</f>
        <v>-5.57872205492317</v>
      </c>
      <c r="X3782" s="55" t="n">
        <f aca="false">IF(V3782,IF(01_因子設定!$B$13="最大化",Q3782,IF(01_因子設定!$B$13="最小化",-Q3782,-ABS(Q3782-01_因子設定!$B$16))),-1E+030)</f>
        <v>43.9997372159091</v>
      </c>
      <c r="Y3782" s="55" t="n">
        <f aca="false">W3782+ROW()*0.000000001</f>
        <v>-5.57871827292317</v>
      </c>
      <c r="Z3782" s="55" t="n">
        <f aca="false">X3782+ROW()*0.000000001</f>
        <v>43.9997409979091</v>
      </c>
    </row>
    <row r="3783" customFormat="false" ht="15" hidden="false" customHeight="false" outlineLevel="0" collapsed="false">
      <c r="A3783" s="0" t="n">
        <v>13</v>
      </c>
      <c r="B3783" s="0" t="n">
        <v>1</v>
      </c>
      <c r="C3783" s="0" t="n">
        <v>4</v>
      </c>
      <c r="D3783" s="0" t="n">
        <f aca="false">-1+A3783*0.125</f>
        <v>0.625</v>
      </c>
      <c r="E3783" s="0" t="n">
        <f aca="false">-1+B3783*0.125</f>
        <v>-0.875</v>
      </c>
      <c r="F3783" s="0" t="n">
        <f aca="false">-1+C3783*0.125</f>
        <v>-0.5</v>
      </c>
      <c r="G3783" s="0" t="n">
        <f aca="false">1</f>
        <v>1</v>
      </c>
      <c r="H3783" s="0" t="n">
        <f aca="false">D3783</f>
        <v>0.625</v>
      </c>
      <c r="I3783" s="0" t="n">
        <f aca="false">E3783</f>
        <v>-0.875</v>
      </c>
      <c r="J3783" s="0" t="n">
        <f aca="false">F3783</f>
        <v>-0.5</v>
      </c>
      <c r="K3783" s="0" t="n">
        <f aca="false">D3783*E3783</f>
        <v>-0.546875</v>
      </c>
      <c r="L3783" s="0" t="n">
        <f aca="false">D3783*F3783</f>
        <v>-0.3125</v>
      </c>
      <c r="M3783" s="0" t="n">
        <f aca="false">E3783*F3783</f>
        <v>0.4375</v>
      </c>
      <c r="N3783" s="0" t="n">
        <f aca="false">D3783*D3783</f>
        <v>0.390625</v>
      </c>
      <c r="O3783" s="0" t="n">
        <f aca="false">E3783*E3783</f>
        <v>0.765625</v>
      </c>
      <c r="P3783" s="0" t="n">
        <f aca="false">F3783*F3783</f>
        <v>0.25</v>
      </c>
      <c r="Q3783" s="0" t="n">
        <f aca="false">SUMPRODUCT(G3783:P3783,_XtX!$B$71:$K$71)</f>
        <v>44.2768536931818</v>
      </c>
      <c r="R3783" s="0" t="n">
        <f aca="false">SUMPRODUCT(MMULT(G3783:P3783,_XtX!$B$58:$K$67),G3783:P3783)</f>
        <v>0.335453102805398</v>
      </c>
      <c r="S3783" s="0" t="n">
        <f aca="false">04_回帰ANOVA!$K$19*04_回帰ANOVA!$K$14*SQRT(1+R3783)</f>
        <v>1.07443700305628</v>
      </c>
      <c r="T3783" s="0" t="n">
        <f aca="false">Q3783-S3783</f>
        <v>43.2024166901256</v>
      </c>
      <c r="U3783" s="0" t="n">
        <f aca="false">Q3783+S3783</f>
        <v>45.3512906962381</v>
      </c>
      <c r="V3783" s="54" t="b">
        <f aca="false">AND(D3783&gt;=01_因子設定!$L$5-0.000000001,D3783&lt;=01_因子設定!$M$5+0.000000001,E3783&gt;=01_因子設定!$L$6-0.000000001,E3783&lt;=01_因子設定!$M$6+0.000000001,F3783&gt;=01_因子設定!$L$7-0.000000001,F3783&lt;=01_因子設定!$M$7+0.000000001,IF(01_因子設定!$B$20="Box-Behnken",D3783^2+E3783^2+F3783^2&lt;=2+0.000000001,TRUE()))</f>
        <v>1</v>
      </c>
      <c r="W3783" s="55" t="n">
        <f aca="false">IF(V3783,IF(01_因子設定!$B$13="最大化",T3783-01_因子設定!$B$14,IF(01_因子設定!$B$13="最小化",01_因子設定!$B$15-U3783,MIN(T3783-01_因子設定!$B$14,01_因子設定!$B$15-U3783))),-1E+030)</f>
        <v>-5.29758330987445</v>
      </c>
      <c r="X3783" s="55" t="n">
        <f aca="false">IF(V3783,IF(01_因子設定!$B$13="最大化",Q3783,IF(01_因子設定!$B$13="最小化",-Q3783,-ABS(Q3783-01_因子設定!$B$16))),-1E+030)</f>
        <v>44.2768536931818</v>
      </c>
      <c r="Y3783" s="55" t="n">
        <f aca="false">W3783+ROW()*0.000000001</f>
        <v>-5.29757952687445</v>
      </c>
      <c r="Z3783" s="55" t="n">
        <f aca="false">X3783+ROW()*0.000000001</f>
        <v>44.2768574761818</v>
      </c>
    </row>
    <row r="3784" customFormat="false" ht="15" hidden="false" customHeight="false" outlineLevel="0" collapsed="false">
      <c r="A3784" s="0" t="n">
        <v>13</v>
      </c>
      <c r="B3784" s="0" t="n">
        <v>1</v>
      </c>
      <c r="C3784" s="0" t="n">
        <v>5</v>
      </c>
      <c r="D3784" s="0" t="n">
        <f aca="false">-1+A3784*0.125</f>
        <v>0.625</v>
      </c>
      <c r="E3784" s="0" t="n">
        <f aca="false">-1+B3784*0.125</f>
        <v>-0.875</v>
      </c>
      <c r="F3784" s="0" t="n">
        <f aca="false">-1+C3784*0.125</f>
        <v>-0.375</v>
      </c>
      <c r="G3784" s="0" t="n">
        <f aca="false">1</f>
        <v>1</v>
      </c>
      <c r="H3784" s="0" t="n">
        <f aca="false">D3784</f>
        <v>0.625</v>
      </c>
      <c r="I3784" s="0" t="n">
        <f aca="false">E3784</f>
        <v>-0.875</v>
      </c>
      <c r="J3784" s="0" t="n">
        <f aca="false">F3784</f>
        <v>-0.375</v>
      </c>
      <c r="K3784" s="0" t="n">
        <f aca="false">D3784*E3784</f>
        <v>-0.546875</v>
      </c>
      <c r="L3784" s="0" t="n">
        <f aca="false">D3784*F3784</f>
        <v>-0.234375</v>
      </c>
      <c r="M3784" s="0" t="n">
        <f aca="false">E3784*F3784</f>
        <v>0.328125</v>
      </c>
      <c r="N3784" s="0" t="n">
        <f aca="false">D3784*D3784</f>
        <v>0.390625</v>
      </c>
      <c r="O3784" s="0" t="n">
        <f aca="false">E3784*E3784</f>
        <v>0.765625</v>
      </c>
      <c r="P3784" s="0" t="n">
        <f aca="false">F3784*F3784</f>
        <v>0.140625</v>
      </c>
      <c r="Q3784" s="0" t="n">
        <f aca="false">SUMPRODUCT(G3784:P3784,_XtX!$B$71:$K$71)</f>
        <v>44.5171803977273</v>
      </c>
      <c r="R3784" s="0" t="n">
        <f aca="false">SUMPRODUCT(MMULT(G3784:P3784,_XtX!$B$58:$K$67),G3784:P3784)</f>
        <v>0.337604869495739</v>
      </c>
      <c r="S3784" s="0" t="n">
        <f aca="false">04_回帰ANOVA!$K$19*04_回帰ANOVA!$K$14*SQRT(1+R3784)</f>
        <v>1.07530225516193</v>
      </c>
      <c r="T3784" s="0" t="n">
        <f aca="false">Q3784-S3784</f>
        <v>43.4418781425654</v>
      </c>
      <c r="U3784" s="0" t="n">
        <f aca="false">Q3784+S3784</f>
        <v>45.5924826528892</v>
      </c>
      <c r="V3784" s="54" t="b">
        <f aca="false">AND(D3784&gt;=01_因子設定!$L$5-0.000000001,D3784&lt;=01_因子設定!$M$5+0.000000001,E3784&gt;=01_因子設定!$L$6-0.000000001,E3784&lt;=01_因子設定!$M$6+0.000000001,F3784&gt;=01_因子設定!$L$7-0.000000001,F3784&lt;=01_因子設定!$M$7+0.000000001,IF(01_因子設定!$B$20="Box-Behnken",D3784^2+E3784^2+F3784^2&lt;=2+0.000000001,TRUE()))</f>
        <v>1</v>
      </c>
      <c r="W3784" s="55" t="n">
        <f aca="false">IF(V3784,IF(01_因子設定!$B$13="最大化",T3784-01_因子設定!$B$14,IF(01_因子設定!$B$13="最小化",01_因子設定!$B$15-U3784,MIN(T3784-01_因子設定!$B$14,01_因子設定!$B$15-U3784))),-1E+030)</f>
        <v>-5.05812185743464</v>
      </c>
      <c r="X3784" s="55" t="n">
        <f aca="false">IF(V3784,IF(01_因子設定!$B$13="最大化",Q3784,IF(01_因子設定!$B$13="最小化",-Q3784,-ABS(Q3784-01_因子設定!$B$16))),-1E+030)</f>
        <v>44.5171803977273</v>
      </c>
      <c r="Y3784" s="55" t="n">
        <f aca="false">W3784+ROW()*0.000000001</f>
        <v>-5.05811807343464</v>
      </c>
      <c r="Z3784" s="55" t="n">
        <f aca="false">X3784+ROW()*0.000000001</f>
        <v>44.5171841817273</v>
      </c>
    </row>
    <row r="3785" customFormat="false" ht="15" hidden="false" customHeight="false" outlineLevel="0" collapsed="false">
      <c r="A3785" s="0" t="n">
        <v>13</v>
      </c>
      <c r="B3785" s="0" t="n">
        <v>1</v>
      </c>
      <c r="C3785" s="0" t="n">
        <v>6</v>
      </c>
      <c r="D3785" s="0" t="n">
        <f aca="false">-1+A3785*0.125</f>
        <v>0.625</v>
      </c>
      <c r="E3785" s="0" t="n">
        <f aca="false">-1+B3785*0.125</f>
        <v>-0.875</v>
      </c>
      <c r="F3785" s="0" t="n">
        <f aca="false">-1+C3785*0.125</f>
        <v>-0.25</v>
      </c>
      <c r="G3785" s="0" t="n">
        <f aca="false">1</f>
        <v>1</v>
      </c>
      <c r="H3785" s="0" t="n">
        <f aca="false">D3785</f>
        <v>0.625</v>
      </c>
      <c r="I3785" s="0" t="n">
        <f aca="false">E3785</f>
        <v>-0.875</v>
      </c>
      <c r="J3785" s="0" t="n">
        <f aca="false">F3785</f>
        <v>-0.25</v>
      </c>
      <c r="K3785" s="0" t="n">
        <f aca="false">D3785*E3785</f>
        <v>-0.546875</v>
      </c>
      <c r="L3785" s="0" t="n">
        <f aca="false">D3785*F3785</f>
        <v>-0.15625</v>
      </c>
      <c r="M3785" s="0" t="n">
        <f aca="false">E3785*F3785</f>
        <v>0.21875</v>
      </c>
      <c r="N3785" s="0" t="n">
        <f aca="false">D3785*D3785</f>
        <v>0.390625</v>
      </c>
      <c r="O3785" s="0" t="n">
        <f aca="false">E3785*E3785</f>
        <v>0.765625</v>
      </c>
      <c r="P3785" s="0" t="n">
        <f aca="false">F3785*F3785</f>
        <v>0.0625</v>
      </c>
      <c r="Q3785" s="0" t="n">
        <f aca="false">SUMPRODUCT(G3785:P3785,_XtX!$B$71:$K$71)</f>
        <v>44.7207173295455</v>
      </c>
      <c r="R3785" s="0" t="n">
        <f aca="false">SUMPRODUCT(MMULT(G3785:P3785,_XtX!$B$58:$K$67),G3785:P3785)</f>
        <v>0.34446855024858</v>
      </c>
      <c r="S3785" s="0" t="n">
        <f aca="false">04_回帰ANOVA!$K$19*04_回帰ANOVA!$K$14*SQRT(1+R3785)</f>
        <v>1.07805758590432</v>
      </c>
      <c r="T3785" s="0" t="n">
        <f aca="false">Q3785-S3785</f>
        <v>43.6426597436411</v>
      </c>
      <c r="U3785" s="0" t="n">
        <f aca="false">Q3785+S3785</f>
        <v>45.7987749154498</v>
      </c>
      <c r="V3785" s="54" t="b">
        <f aca="false">AND(D3785&gt;=01_因子設定!$L$5-0.000000001,D3785&lt;=01_因子設定!$M$5+0.000000001,E3785&gt;=01_因子設定!$L$6-0.000000001,E3785&lt;=01_因子設定!$M$6+0.000000001,F3785&gt;=01_因子設定!$L$7-0.000000001,F3785&lt;=01_因子設定!$M$7+0.000000001,IF(01_因子設定!$B$20="Box-Behnken",D3785^2+E3785^2+F3785^2&lt;=2+0.000000001,TRUE()))</f>
        <v>1</v>
      </c>
      <c r="W3785" s="55" t="n">
        <f aca="false">IF(V3785,IF(01_因子設定!$B$13="最大化",T3785-01_因子設定!$B$14,IF(01_因子設定!$B$13="最小化",01_因子設定!$B$15-U3785,MIN(T3785-01_因子設定!$B$14,01_因子設定!$B$15-U3785))),-1E+030)</f>
        <v>-4.85734025635886</v>
      </c>
      <c r="X3785" s="55" t="n">
        <f aca="false">IF(V3785,IF(01_因子設定!$B$13="最大化",Q3785,IF(01_因子設定!$B$13="最小化",-Q3785,-ABS(Q3785-01_因子設定!$B$16))),-1E+030)</f>
        <v>44.7207173295455</v>
      </c>
      <c r="Y3785" s="55" t="n">
        <f aca="false">W3785+ROW()*0.000000001</f>
        <v>-4.85733647135886</v>
      </c>
      <c r="Z3785" s="55" t="n">
        <f aca="false">X3785+ROW()*0.000000001</f>
        <v>44.7207211145455</v>
      </c>
    </row>
    <row r="3786" customFormat="false" ht="15" hidden="false" customHeight="false" outlineLevel="0" collapsed="false">
      <c r="A3786" s="0" t="n">
        <v>13</v>
      </c>
      <c r="B3786" s="0" t="n">
        <v>1</v>
      </c>
      <c r="C3786" s="0" t="n">
        <v>7</v>
      </c>
      <c r="D3786" s="0" t="n">
        <f aca="false">-1+A3786*0.125</f>
        <v>0.625</v>
      </c>
      <c r="E3786" s="0" t="n">
        <f aca="false">-1+B3786*0.125</f>
        <v>-0.875</v>
      </c>
      <c r="F3786" s="0" t="n">
        <f aca="false">-1+C3786*0.125</f>
        <v>-0.125</v>
      </c>
      <c r="G3786" s="0" t="n">
        <f aca="false">1</f>
        <v>1</v>
      </c>
      <c r="H3786" s="0" t="n">
        <f aca="false">D3786</f>
        <v>0.625</v>
      </c>
      <c r="I3786" s="0" t="n">
        <f aca="false">E3786</f>
        <v>-0.875</v>
      </c>
      <c r="J3786" s="0" t="n">
        <f aca="false">F3786</f>
        <v>-0.125</v>
      </c>
      <c r="K3786" s="0" t="n">
        <f aca="false">D3786*E3786</f>
        <v>-0.546875</v>
      </c>
      <c r="L3786" s="0" t="n">
        <f aca="false">D3786*F3786</f>
        <v>-0.078125</v>
      </c>
      <c r="M3786" s="0" t="n">
        <f aca="false">E3786*F3786</f>
        <v>0.109375</v>
      </c>
      <c r="N3786" s="0" t="n">
        <f aca="false">D3786*D3786</f>
        <v>0.390625</v>
      </c>
      <c r="O3786" s="0" t="n">
        <f aca="false">E3786*E3786</f>
        <v>0.765625</v>
      </c>
      <c r="P3786" s="0" t="n">
        <f aca="false">F3786*F3786</f>
        <v>0.015625</v>
      </c>
      <c r="Q3786" s="0" t="n">
        <f aca="false">SUMPRODUCT(G3786:P3786,_XtX!$B$71:$K$71)</f>
        <v>44.8874644886364</v>
      </c>
      <c r="R3786" s="0" t="n">
        <f aca="false">SUMPRODUCT(MMULT(G3786:P3786,_XtX!$B$58:$K$67),G3786:P3786)</f>
        <v>0.350717440518466</v>
      </c>
      <c r="S3786" s="0" t="n">
        <f aca="false">04_回帰ANOVA!$K$19*04_回帰ANOVA!$K$14*SQRT(1+R3786)</f>
        <v>1.08056000737898</v>
      </c>
      <c r="T3786" s="0" t="n">
        <f aca="false">Q3786-S3786</f>
        <v>43.8069044812574</v>
      </c>
      <c r="U3786" s="0" t="n">
        <f aca="false">Q3786+S3786</f>
        <v>45.9680244960153</v>
      </c>
      <c r="V3786" s="54" t="b">
        <f aca="false">AND(D3786&gt;=01_因子設定!$L$5-0.000000001,D3786&lt;=01_因子設定!$M$5+0.000000001,E3786&gt;=01_因子設定!$L$6-0.000000001,E3786&lt;=01_因子設定!$M$6+0.000000001,F3786&gt;=01_因子設定!$L$7-0.000000001,F3786&lt;=01_因子設定!$M$7+0.000000001,IF(01_因子設定!$B$20="Box-Behnken",D3786^2+E3786^2+F3786^2&lt;=2+0.000000001,TRUE()))</f>
        <v>1</v>
      </c>
      <c r="W3786" s="55" t="n">
        <f aca="false">IF(V3786,IF(01_因子設定!$B$13="最大化",T3786-01_因子設定!$B$14,IF(01_因子設定!$B$13="最小化",01_因子設定!$B$15-U3786,MIN(T3786-01_因子設定!$B$14,01_因子設定!$B$15-U3786))),-1E+030)</f>
        <v>-4.69309551874261</v>
      </c>
      <c r="X3786" s="55" t="n">
        <f aca="false">IF(V3786,IF(01_因子設定!$B$13="最大化",Q3786,IF(01_因子設定!$B$13="最小化",-Q3786,-ABS(Q3786-01_因子設定!$B$16))),-1E+030)</f>
        <v>44.8874644886364</v>
      </c>
      <c r="Y3786" s="55" t="n">
        <f aca="false">W3786+ROW()*0.000000001</f>
        <v>-4.69309173274261</v>
      </c>
      <c r="Z3786" s="55" t="n">
        <f aca="false">X3786+ROW()*0.000000001</f>
        <v>44.8874682746364</v>
      </c>
    </row>
    <row r="3787" customFormat="false" ht="15" hidden="false" customHeight="false" outlineLevel="0" collapsed="false">
      <c r="A3787" s="0" t="n">
        <v>13</v>
      </c>
      <c r="B3787" s="0" t="n">
        <v>1</v>
      </c>
      <c r="C3787" s="0" t="n">
        <v>8</v>
      </c>
      <c r="D3787" s="0" t="n">
        <f aca="false">-1+A3787*0.125</f>
        <v>0.625</v>
      </c>
      <c r="E3787" s="0" t="n">
        <f aca="false">-1+B3787*0.125</f>
        <v>-0.875</v>
      </c>
      <c r="F3787" s="0" t="n">
        <f aca="false">-1+C3787*0.125</f>
        <v>0</v>
      </c>
      <c r="G3787" s="0" t="n">
        <f aca="false">1</f>
        <v>1</v>
      </c>
      <c r="H3787" s="0" t="n">
        <f aca="false">D3787</f>
        <v>0.625</v>
      </c>
      <c r="I3787" s="0" t="n">
        <f aca="false">E3787</f>
        <v>-0.875</v>
      </c>
      <c r="J3787" s="0" t="n">
        <f aca="false">F3787</f>
        <v>0</v>
      </c>
      <c r="K3787" s="0" t="n">
        <f aca="false">D3787*E3787</f>
        <v>-0.546875</v>
      </c>
      <c r="L3787" s="0" t="n">
        <f aca="false">D3787*F3787</f>
        <v>0</v>
      </c>
      <c r="M3787" s="0" t="n">
        <f aca="false">E3787*F3787</f>
        <v>-0</v>
      </c>
      <c r="N3787" s="0" t="n">
        <f aca="false">D3787*D3787</f>
        <v>0.390625</v>
      </c>
      <c r="O3787" s="0" t="n">
        <f aca="false">E3787*E3787</f>
        <v>0.765625</v>
      </c>
      <c r="P3787" s="0" t="n">
        <f aca="false">F3787*F3787</f>
        <v>0</v>
      </c>
      <c r="Q3787" s="0" t="n">
        <f aca="false">SUMPRODUCT(G3787:P3787,_XtX!$B$71:$K$71)</f>
        <v>45.017421875</v>
      </c>
      <c r="R3787" s="0" t="n">
        <f aca="false">SUMPRODUCT(MMULT(G3787:P3787,_XtX!$B$58:$K$67),G3787:P3787)</f>
        <v>0.353155517578125</v>
      </c>
      <c r="S3787" s="0" t="n">
        <f aca="false">04_回帰ANOVA!$K$19*04_回帰ANOVA!$K$14*SQRT(1+R3787)</f>
        <v>1.08153478594098</v>
      </c>
      <c r="T3787" s="0" t="n">
        <f aca="false">Q3787-S3787</f>
        <v>43.935887089059</v>
      </c>
      <c r="U3787" s="0" t="n">
        <f aca="false">Q3787+S3787</f>
        <v>46.098956660941</v>
      </c>
      <c r="V3787" s="54" t="b">
        <f aca="false">AND(D3787&gt;=01_因子設定!$L$5-0.000000001,D3787&lt;=01_因子設定!$M$5+0.000000001,E3787&gt;=01_因子設定!$L$6-0.000000001,E3787&lt;=01_因子設定!$M$6+0.000000001,F3787&gt;=01_因子設定!$L$7-0.000000001,F3787&lt;=01_因子設定!$M$7+0.000000001,IF(01_因子設定!$B$20="Box-Behnken",D3787^2+E3787^2+F3787^2&lt;=2+0.000000001,TRUE()))</f>
        <v>1</v>
      </c>
      <c r="W3787" s="55" t="n">
        <f aca="false">IF(V3787,IF(01_因子設定!$B$13="最大化",T3787-01_因子設定!$B$14,IF(01_因子設定!$B$13="最小化",01_因子設定!$B$15-U3787,MIN(T3787-01_因子設定!$B$14,01_因子設定!$B$15-U3787))),-1E+030)</f>
        <v>-4.56411291094098</v>
      </c>
      <c r="X3787" s="55" t="n">
        <f aca="false">IF(V3787,IF(01_因子設定!$B$13="最大化",Q3787,IF(01_因子設定!$B$13="最小化",-Q3787,-ABS(Q3787-01_因子設定!$B$16))),-1E+030)</f>
        <v>45.017421875</v>
      </c>
      <c r="Y3787" s="55" t="n">
        <f aca="false">W3787+ROW()*0.000000001</f>
        <v>-4.56410912394098</v>
      </c>
      <c r="Z3787" s="55" t="n">
        <f aca="false">X3787+ROW()*0.000000001</f>
        <v>45.017425662</v>
      </c>
    </row>
    <row r="3788" customFormat="false" ht="15" hidden="false" customHeight="false" outlineLevel="0" collapsed="false">
      <c r="A3788" s="0" t="n">
        <v>13</v>
      </c>
      <c r="B3788" s="0" t="n">
        <v>1</v>
      </c>
      <c r="C3788" s="0" t="n">
        <v>9</v>
      </c>
      <c r="D3788" s="0" t="n">
        <f aca="false">-1+A3788*0.125</f>
        <v>0.625</v>
      </c>
      <c r="E3788" s="0" t="n">
        <f aca="false">-1+B3788*0.125</f>
        <v>-0.875</v>
      </c>
      <c r="F3788" s="0" t="n">
        <f aca="false">-1+C3788*0.125</f>
        <v>0.125</v>
      </c>
      <c r="G3788" s="0" t="n">
        <f aca="false">1</f>
        <v>1</v>
      </c>
      <c r="H3788" s="0" t="n">
        <f aca="false">D3788</f>
        <v>0.625</v>
      </c>
      <c r="I3788" s="0" t="n">
        <f aca="false">E3788</f>
        <v>-0.875</v>
      </c>
      <c r="J3788" s="0" t="n">
        <f aca="false">F3788</f>
        <v>0.125</v>
      </c>
      <c r="K3788" s="0" t="n">
        <f aca="false">D3788*E3788</f>
        <v>-0.546875</v>
      </c>
      <c r="L3788" s="0" t="n">
        <f aca="false">D3788*F3788</f>
        <v>0.078125</v>
      </c>
      <c r="M3788" s="0" t="n">
        <f aca="false">E3788*F3788</f>
        <v>-0.109375</v>
      </c>
      <c r="N3788" s="0" t="n">
        <f aca="false">D3788*D3788</f>
        <v>0.390625</v>
      </c>
      <c r="O3788" s="0" t="n">
        <f aca="false">E3788*E3788</f>
        <v>0.765625</v>
      </c>
      <c r="P3788" s="0" t="n">
        <f aca="false">F3788*F3788</f>
        <v>0.015625</v>
      </c>
      <c r="Q3788" s="0" t="n">
        <f aca="false">SUMPRODUCT(G3788:P3788,_XtX!$B$71:$K$71)</f>
        <v>45.1105894886364</v>
      </c>
      <c r="R3788" s="0" t="n">
        <f aca="false">SUMPRODUCT(MMULT(G3788:P3788,_XtX!$B$58:$K$67),G3788:P3788)</f>
        <v>0.350717440518466</v>
      </c>
      <c r="S3788" s="0" t="n">
        <f aca="false">04_回帰ANOVA!$K$19*04_回帰ANOVA!$K$14*SQRT(1+R3788)</f>
        <v>1.08056000737898</v>
      </c>
      <c r="T3788" s="0" t="n">
        <f aca="false">Q3788-S3788</f>
        <v>44.0300294812574</v>
      </c>
      <c r="U3788" s="0" t="n">
        <f aca="false">Q3788+S3788</f>
        <v>46.1911494960154</v>
      </c>
      <c r="V3788" s="54" t="b">
        <f aca="false">AND(D3788&gt;=01_因子設定!$L$5-0.000000001,D3788&lt;=01_因子設定!$M$5+0.000000001,E3788&gt;=01_因子設定!$L$6-0.000000001,E3788&lt;=01_因子設定!$M$6+0.000000001,F3788&gt;=01_因子設定!$L$7-0.000000001,F3788&lt;=01_因子設定!$M$7+0.000000001,IF(01_因子設定!$B$20="Box-Behnken",D3788^2+E3788^2+F3788^2&lt;=2+0.000000001,TRUE()))</f>
        <v>1</v>
      </c>
      <c r="W3788" s="55" t="n">
        <f aca="false">IF(V3788,IF(01_因子設定!$B$13="最大化",T3788-01_因子設定!$B$14,IF(01_因子設定!$B$13="最小化",01_因子設定!$B$15-U3788,MIN(T3788-01_因子設定!$B$14,01_因子設定!$B$15-U3788))),-1E+030)</f>
        <v>-4.46997051874261</v>
      </c>
      <c r="X3788" s="55" t="n">
        <f aca="false">IF(V3788,IF(01_因子設定!$B$13="最大化",Q3788,IF(01_因子設定!$B$13="最小化",-Q3788,-ABS(Q3788-01_因子設定!$B$16))),-1E+030)</f>
        <v>45.1105894886364</v>
      </c>
      <c r="Y3788" s="55" t="n">
        <f aca="false">W3788+ROW()*0.000000001</f>
        <v>-4.46996673074261</v>
      </c>
      <c r="Z3788" s="55" t="n">
        <f aca="false">X3788+ROW()*0.000000001</f>
        <v>45.1105932766364</v>
      </c>
    </row>
    <row r="3789" customFormat="false" ht="15" hidden="false" customHeight="false" outlineLevel="0" collapsed="false">
      <c r="A3789" s="0" t="n">
        <v>13</v>
      </c>
      <c r="B3789" s="0" t="n">
        <v>1</v>
      </c>
      <c r="C3789" s="0" t="n">
        <v>10</v>
      </c>
      <c r="D3789" s="0" t="n">
        <f aca="false">-1+A3789*0.125</f>
        <v>0.625</v>
      </c>
      <c r="E3789" s="0" t="n">
        <f aca="false">-1+B3789*0.125</f>
        <v>-0.875</v>
      </c>
      <c r="F3789" s="0" t="n">
        <f aca="false">-1+C3789*0.125</f>
        <v>0.25</v>
      </c>
      <c r="G3789" s="0" t="n">
        <f aca="false">1</f>
        <v>1</v>
      </c>
      <c r="H3789" s="0" t="n">
        <f aca="false">D3789</f>
        <v>0.625</v>
      </c>
      <c r="I3789" s="0" t="n">
        <f aca="false">E3789</f>
        <v>-0.875</v>
      </c>
      <c r="J3789" s="0" t="n">
        <f aca="false">F3789</f>
        <v>0.25</v>
      </c>
      <c r="K3789" s="0" t="n">
        <f aca="false">D3789*E3789</f>
        <v>-0.546875</v>
      </c>
      <c r="L3789" s="0" t="n">
        <f aca="false">D3789*F3789</f>
        <v>0.15625</v>
      </c>
      <c r="M3789" s="0" t="n">
        <f aca="false">E3789*F3789</f>
        <v>-0.21875</v>
      </c>
      <c r="N3789" s="0" t="n">
        <f aca="false">D3789*D3789</f>
        <v>0.390625</v>
      </c>
      <c r="O3789" s="0" t="n">
        <f aca="false">E3789*E3789</f>
        <v>0.765625</v>
      </c>
      <c r="P3789" s="0" t="n">
        <f aca="false">F3789*F3789</f>
        <v>0.0625</v>
      </c>
      <c r="Q3789" s="0" t="n">
        <f aca="false">SUMPRODUCT(G3789:P3789,_XtX!$B$71:$K$71)</f>
        <v>45.1669673295455</v>
      </c>
      <c r="R3789" s="0" t="n">
        <f aca="false">SUMPRODUCT(MMULT(G3789:P3789,_XtX!$B$58:$K$67),G3789:P3789)</f>
        <v>0.34446855024858</v>
      </c>
      <c r="S3789" s="0" t="n">
        <f aca="false">04_回帰ANOVA!$K$19*04_回帰ANOVA!$K$14*SQRT(1+R3789)</f>
        <v>1.07805758590432</v>
      </c>
      <c r="T3789" s="0" t="n">
        <f aca="false">Q3789-S3789</f>
        <v>44.0889097436411</v>
      </c>
      <c r="U3789" s="0" t="n">
        <f aca="false">Q3789+S3789</f>
        <v>46.2450249154498</v>
      </c>
      <c r="V3789" s="54" t="b">
        <f aca="false">AND(D3789&gt;=01_因子設定!$L$5-0.000000001,D3789&lt;=01_因子設定!$M$5+0.000000001,E3789&gt;=01_因子設定!$L$6-0.000000001,E3789&lt;=01_因子設定!$M$6+0.000000001,F3789&gt;=01_因子設定!$L$7-0.000000001,F3789&lt;=01_因子設定!$M$7+0.000000001,IF(01_因子設定!$B$20="Box-Behnken",D3789^2+E3789^2+F3789^2&lt;=2+0.000000001,TRUE()))</f>
        <v>1</v>
      </c>
      <c r="W3789" s="55" t="n">
        <f aca="false">IF(V3789,IF(01_因子設定!$B$13="最大化",T3789-01_因子設定!$B$14,IF(01_因子設定!$B$13="最小化",01_因子設定!$B$15-U3789,MIN(T3789-01_因子設定!$B$14,01_因子設定!$B$15-U3789))),-1E+030)</f>
        <v>-4.41109025635886</v>
      </c>
      <c r="X3789" s="55" t="n">
        <f aca="false">IF(V3789,IF(01_因子設定!$B$13="最大化",Q3789,IF(01_因子設定!$B$13="最小化",-Q3789,-ABS(Q3789-01_因子設定!$B$16))),-1E+030)</f>
        <v>45.1669673295455</v>
      </c>
      <c r="Y3789" s="55" t="n">
        <f aca="false">W3789+ROW()*0.000000001</f>
        <v>-4.41108646735886</v>
      </c>
      <c r="Z3789" s="55" t="n">
        <f aca="false">X3789+ROW()*0.000000001</f>
        <v>45.1669711185455</v>
      </c>
    </row>
    <row r="3790" customFormat="false" ht="15" hidden="false" customHeight="false" outlineLevel="0" collapsed="false">
      <c r="A3790" s="0" t="n">
        <v>13</v>
      </c>
      <c r="B3790" s="0" t="n">
        <v>1</v>
      </c>
      <c r="C3790" s="0" t="n">
        <v>11</v>
      </c>
      <c r="D3790" s="0" t="n">
        <f aca="false">-1+A3790*0.125</f>
        <v>0.625</v>
      </c>
      <c r="E3790" s="0" t="n">
        <f aca="false">-1+B3790*0.125</f>
        <v>-0.875</v>
      </c>
      <c r="F3790" s="0" t="n">
        <f aca="false">-1+C3790*0.125</f>
        <v>0.375</v>
      </c>
      <c r="G3790" s="0" t="n">
        <f aca="false">1</f>
        <v>1</v>
      </c>
      <c r="H3790" s="0" t="n">
        <f aca="false">D3790</f>
        <v>0.625</v>
      </c>
      <c r="I3790" s="0" t="n">
        <f aca="false">E3790</f>
        <v>-0.875</v>
      </c>
      <c r="J3790" s="0" t="n">
        <f aca="false">F3790</f>
        <v>0.375</v>
      </c>
      <c r="K3790" s="0" t="n">
        <f aca="false">D3790*E3790</f>
        <v>-0.546875</v>
      </c>
      <c r="L3790" s="0" t="n">
        <f aca="false">D3790*F3790</f>
        <v>0.234375</v>
      </c>
      <c r="M3790" s="0" t="n">
        <f aca="false">E3790*F3790</f>
        <v>-0.328125</v>
      </c>
      <c r="N3790" s="0" t="n">
        <f aca="false">D3790*D3790</f>
        <v>0.390625</v>
      </c>
      <c r="O3790" s="0" t="n">
        <f aca="false">E3790*E3790</f>
        <v>0.765625</v>
      </c>
      <c r="P3790" s="0" t="n">
        <f aca="false">F3790*F3790</f>
        <v>0.140625</v>
      </c>
      <c r="Q3790" s="0" t="n">
        <f aca="false">SUMPRODUCT(G3790:P3790,_XtX!$B$71:$K$71)</f>
        <v>45.1865553977273</v>
      </c>
      <c r="R3790" s="0" t="n">
        <f aca="false">SUMPRODUCT(MMULT(G3790:P3790,_XtX!$B$58:$K$67),G3790:P3790)</f>
        <v>0.337604869495739</v>
      </c>
      <c r="S3790" s="0" t="n">
        <f aca="false">04_回帰ANOVA!$K$19*04_回帰ANOVA!$K$14*SQRT(1+R3790)</f>
        <v>1.07530225516193</v>
      </c>
      <c r="T3790" s="0" t="n">
        <f aca="false">Q3790-S3790</f>
        <v>44.1112531425654</v>
      </c>
      <c r="U3790" s="0" t="n">
        <f aca="false">Q3790+S3790</f>
        <v>46.2618576528892</v>
      </c>
      <c r="V3790" s="54" t="b">
        <f aca="false">AND(D3790&gt;=01_因子設定!$L$5-0.000000001,D3790&lt;=01_因子設定!$M$5+0.000000001,E3790&gt;=01_因子設定!$L$6-0.000000001,E3790&lt;=01_因子設定!$M$6+0.000000001,F3790&gt;=01_因子設定!$L$7-0.000000001,F3790&lt;=01_因子設定!$M$7+0.000000001,IF(01_因子設定!$B$20="Box-Behnken",D3790^2+E3790^2+F3790^2&lt;=2+0.000000001,TRUE()))</f>
        <v>1</v>
      </c>
      <c r="W3790" s="55" t="n">
        <f aca="false">IF(V3790,IF(01_因子設定!$B$13="最大化",T3790-01_因子設定!$B$14,IF(01_因子設定!$B$13="最小化",01_因子設定!$B$15-U3790,MIN(T3790-01_因子設定!$B$14,01_因子設定!$B$15-U3790))),-1E+030)</f>
        <v>-4.38874685743464</v>
      </c>
      <c r="X3790" s="55" t="n">
        <f aca="false">IF(V3790,IF(01_因子設定!$B$13="最大化",Q3790,IF(01_因子設定!$B$13="最小化",-Q3790,-ABS(Q3790-01_因子設定!$B$16))),-1E+030)</f>
        <v>45.1865553977273</v>
      </c>
      <c r="Y3790" s="55" t="n">
        <f aca="false">W3790+ROW()*0.000000001</f>
        <v>-4.38874306743464</v>
      </c>
      <c r="Z3790" s="55" t="n">
        <f aca="false">X3790+ROW()*0.000000001</f>
        <v>45.1865591877273</v>
      </c>
    </row>
    <row r="3791" customFormat="false" ht="15" hidden="false" customHeight="false" outlineLevel="0" collapsed="false">
      <c r="A3791" s="0" t="n">
        <v>13</v>
      </c>
      <c r="B3791" s="0" t="n">
        <v>1</v>
      </c>
      <c r="C3791" s="0" t="n">
        <v>12</v>
      </c>
      <c r="D3791" s="0" t="n">
        <f aca="false">-1+A3791*0.125</f>
        <v>0.625</v>
      </c>
      <c r="E3791" s="0" t="n">
        <f aca="false">-1+B3791*0.125</f>
        <v>-0.875</v>
      </c>
      <c r="F3791" s="0" t="n">
        <f aca="false">-1+C3791*0.125</f>
        <v>0.5</v>
      </c>
      <c r="G3791" s="0" t="n">
        <f aca="false">1</f>
        <v>1</v>
      </c>
      <c r="H3791" s="0" t="n">
        <f aca="false">D3791</f>
        <v>0.625</v>
      </c>
      <c r="I3791" s="0" t="n">
        <f aca="false">E3791</f>
        <v>-0.875</v>
      </c>
      <c r="J3791" s="0" t="n">
        <f aca="false">F3791</f>
        <v>0.5</v>
      </c>
      <c r="K3791" s="0" t="n">
        <f aca="false">D3791*E3791</f>
        <v>-0.546875</v>
      </c>
      <c r="L3791" s="0" t="n">
        <f aca="false">D3791*F3791</f>
        <v>0.3125</v>
      </c>
      <c r="M3791" s="0" t="n">
        <f aca="false">E3791*F3791</f>
        <v>-0.4375</v>
      </c>
      <c r="N3791" s="0" t="n">
        <f aca="false">D3791*D3791</f>
        <v>0.390625</v>
      </c>
      <c r="O3791" s="0" t="n">
        <f aca="false">E3791*E3791</f>
        <v>0.765625</v>
      </c>
      <c r="P3791" s="0" t="n">
        <f aca="false">F3791*F3791</f>
        <v>0.25</v>
      </c>
      <c r="Q3791" s="0" t="n">
        <f aca="false">SUMPRODUCT(G3791:P3791,_XtX!$B$71:$K$71)</f>
        <v>45.1693536931818</v>
      </c>
      <c r="R3791" s="0" t="n">
        <f aca="false">SUMPRODUCT(MMULT(G3791:P3791,_XtX!$B$58:$K$67),G3791:P3791)</f>
        <v>0.335453102805398</v>
      </c>
      <c r="S3791" s="0" t="n">
        <f aca="false">04_回帰ANOVA!$K$19*04_回帰ANOVA!$K$14*SQRT(1+R3791)</f>
        <v>1.07443700305628</v>
      </c>
      <c r="T3791" s="0" t="n">
        <f aca="false">Q3791-S3791</f>
        <v>44.0949166901256</v>
      </c>
      <c r="U3791" s="0" t="n">
        <f aca="false">Q3791+S3791</f>
        <v>46.2437906962381</v>
      </c>
      <c r="V3791" s="54" t="b">
        <f aca="false">AND(D3791&gt;=01_因子設定!$L$5-0.000000001,D3791&lt;=01_因子設定!$M$5+0.000000001,E3791&gt;=01_因子設定!$L$6-0.000000001,E3791&lt;=01_因子設定!$M$6+0.000000001,F3791&gt;=01_因子設定!$L$7-0.000000001,F3791&lt;=01_因子設定!$M$7+0.000000001,IF(01_因子設定!$B$20="Box-Behnken",D3791^2+E3791^2+F3791^2&lt;=2+0.000000001,TRUE()))</f>
        <v>1</v>
      </c>
      <c r="W3791" s="55" t="n">
        <f aca="false">IF(V3791,IF(01_因子設定!$B$13="最大化",T3791-01_因子設定!$B$14,IF(01_因子設定!$B$13="最小化",01_因子設定!$B$15-U3791,MIN(T3791-01_因子設定!$B$14,01_因子設定!$B$15-U3791))),-1E+030)</f>
        <v>-4.40508330987445</v>
      </c>
      <c r="X3791" s="55" t="n">
        <f aca="false">IF(V3791,IF(01_因子設定!$B$13="最大化",Q3791,IF(01_因子設定!$B$13="最小化",-Q3791,-ABS(Q3791-01_因子設定!$B$16))),-1E+030)</f>
        <v>45.1693536931818</v>
      </c>
      <c r="Y3791" s="55" t="n">
        <f aca="false">W3791+ROW()*0.000000001</f>
        <v>-4.40507951887445</v>
      </c>
      <c r="Z3791" s="55" t="n">
        <f aca="false">X3791+ROW()*0.000000001</f>
        <v>45.1693574841818</v>
      </c>
    </row>
    <row r="3792" customFormat="false" ht="15" hidden="false" customHeight="false" outlineLevel="0" collapsed="false">
      <c r="A3792" s="0" t="n">
        <v>13</v>
      </c>
      <c r="B3792" s="0" t="n">
        <v>1</v>
      </c>
      <c r="C3792" s="0" t="n">
        <v>13</v>
      </c>
      <c r="D3792" s="0" t="n">
        <f aca="false">-1+A3792*0.125</f>
        <v>0.625</v>
      </c>
      <c r="E3792" s="0" t="n">
        <f aca="false">-1+B3792*0.125</f>
        <v>-0.875</v>
      </c>
      <c r="F3792" s="0" t="n">
        <f aca="false">-1+C3792*0.125</f>
        <v>0.625</v>
      </c>
      <c r="G3792" s="0" t="n">
        <f aca="false">1</f>
        <v>1</v>
      </c>
      <c r="H3792" s="0" t="n">
        <f aca="false">D3792</f>
        <v>0.625</v>
      </c>
      <c r="I3792" s="0" t="n">
        <f aca="false">E3792</f>
        <v>-0.875</v>
      </c>
      <c r="J3792" s="0" t="n">
        <f aca="false">F3792</f>
        <v>0.625</v>
      </c>
      <c r="K3792" s="0" t="n">
        <f aca="false">D3792*E3792</f>
        <v>-0.546875</v>
      </c>
      <c r="L3792" s="0" t="n">
        <f aca="false">D3792*F3792</f>
        <v>0.390625</v>
      </c>
      <c r="M3792" s="0" t="n">
        <f aca="false">E3792*F3792</f>
        <v>-0.546875</v>
      </c>
      <c r="N3792" s="0" t="n">
        <f aca="false">D3792*D3792</f>
        <v>0.390625</v>
      </c>
      <c r="O3792" s="0" t="n">
        <f aca="false">E3792*E3792</f>
        <v>0.765625</v>
      </c>
      <c r="P3792" s="0" t="n">
        <f aca="false">F3792*F3792</f>
        <v>0.390625</v>
      </c>
      <c r="Q3792" s="0" t="n">
        <f aca="false">SUMPRODUCT(G3792:P3792,_XtX!$B$71:$K$71)</f>
        <v>45.1153622159091</v>
      </c>
      <c r="R3792" s="0" t="n">
        <f aca="false">SUMPRODUCT(MMULT(G3792:P3792,_XtX!$B$58:$K$67),G3792:P3792)</f>
        <v>0.345470636541193</v>
      </c>
      <c r="S3792" s="0" t="n">
        <f aca="false">04_回帰ANOVA!$K$19*04_回帰ANOVA!$K$14*SQRT(1+R3792)</f>
        <v>1.07845927083227</v>
      </c>
      <c r="T3792" s="0" t="n">
        <f aca="false">Q3792-S3792</f>
        <v>44.0369029450768</v>
      </c>
      <c r="U3792" s="0" t="n">
        <f aca="false">Q3792+S3792</f>
        <v>46.1938214867414</v>
      </c>
      <c r="V3792" s="54" t="b">
        <f aca="false">AND(D3792&gt;=01_因子設定!$L$5-0.000000001,D3792&lt;=01_因子設定!$M$5+0.000000001,E3792&gt;=01_因子設定!$L$6-0.000000001,E3792&lt;=01_因子設定!$M$6+0.000000001,F3792&gt;=01_因子設定!$L$7-0.000000001,F3792&lt;=01_因子設定!$M$7+0.000000001,IF(01_因子設定!$B$20="Box-Behnken",D3792^2+E3792^2+F3792^2&lt;=2+0.000000001,TRUE()))</f>
        <v>1</v>
      </c>
      <c r="W3792" s="55" t="n">
        <f aca="false">IF(V3792,IF(01_因子設定!$B$13="最大化",T3792-01_因子設定!$B$14,IF(01_因子設定!$B$13="最小化",01_因子設定!$B$15-U3792,MIN(T3792-01_因子設定!$B$14,01_因子設定!$B$15-U3792))),-1E+030)</f>
        <v>-4.46309705492317</v>
      </c>
      <c r="X3792" s="55" t="n">
        <f aca="false">IF(V3792,IF(01_因子設定!$B$13="最大化",Q3792,IF(01_因子設定!$B$13="最小化",-Q3792,-ABS(Q3792-01_因子設定!$B$16))),-1E+030)</f>
        <v>45.1153622159091</v>
      </c>
      <c r="Y3792" s="55" t="n">
        <f aca="false">W3792+ROW()*0.000000001</f>
        <v>-4.46309326292317</v>
      </c>
      <c r="Z3792" s="55" t="n">
        <f aca="false">X3792+ROW()*0.000000001</f>
        <v>45.1153660079091</v>
      </c>
    </row>
    <row r="3793" customFormat="false" ht="15" hidden="false" customHeight="false" outlineLevel="0" collapsed="false">
      <c r="A3793" s="0" t="n">
        <v>13</v>
      </c>
      <c r="B3793" s="0" t="n">
        <v>1</v>
      </c>
      <c r="C3793" s="0" t="n">
        <v>14</v>
      </c>
      <c r="D3793" s="0" t="n">
        <f aca="false">-1+A3793*0.125</f>
        <v>0.625</v>
      </c>
      <c r="E3793" s="0" t="n">
        <f aca="false">-1+B3793*0.125</f>
        <v>-0.875</v>
      </c>
      <c r="F3793" s="0" t="n">
        <f aca="false">-1+C3793*0.125</f>
        <v>0.75</v>
      </c>
      <c r="G3793" s="0" t="n">
        <f aca="false">1</f>
        <v>1</v>
      </c>
      <c r="H3793" s="0" t="n">
        <f aca="false">D3793</f>
        <v>0.625</v>
      </c>
      <c r="I3793" s="0" t="n">
        <f aca="false">E3793</f>
        <v>-0.875</v>
      </c>
      <c r="J3793" s="0" t="n">
        <f aca="false">F3793</f>
        <v>0.75</v>
      </c>
      <c r="K3793" s="0" t="n">
        <f aca="false">D3793*E3793</f>
        <v>-0.546875</v>
      </c>
      <c r="L3793" s="0" t="n">
        <f aca="false">D3793*F3793</f>
        <v>0.46875</v>
      </c>
      <c r="M3793" s="0" t="n">
        <f aca="false">E3793*F3793</f>
        <v>-0.65625</v>
      </c>
      <c r="N3793" s="0" t="n">
        <f aca="false">D3793*D3793</f>
        <v>0.390625</v>
      </c>
      <c r="O3793" s="0" t="n">
        <f aca="false">E3793*E3793</f>
        <v>0.765625</v>
      </c>
      <c r="P3793" s="0" t="n">
        <f aca="false">F3793*F3793</f>
        <v>0.5625</v>
      </c>
      <c r="Q3793" s="0" t="n">
        <f aca="false">SUMPRODUCT(G3793:P3793,_XtX!$B$71:$K$71)</f>
        <v>45.0245809659091</v>
      </c>
      <c r="R3793" s="0" t="n">
        <f aca="false">SUMPRODUCT(MMULT(G3793:P3793,_XtX!$B$58:$K$67),G3793:P3793)</f>
        <v>0.377245538884943</v>
      </c>
      <c r="S3793" s="0" t="n">
        <f aca="false">04_回帰ANOVA!$K$19*04_回帰ANOVA!$K$14*SQRT(1+R3793)</f>
        <v>1.09111951468927</v>
      </c>
      <c r="T3793" s="0" t="n">
        <f aca="false">Q3793-S3793</f>
        <v>43.9334614512198</v>
      </c>
      <c r="U3793" s="0" t="n">
        <f aca="false">Q3793+S3793</f>
        <v>46.1157004805984</v>
      </c>
      <c r="V3793" s="54" t="b">
        <f aca="false">AND(D3793&gt;=01_因子設定!$L$5-0.000000001,D3793&lt;=01_因子設定!$M$5+0.000000001,E3793&gt;=01_因子設定!$L$6-0.000000001,E3793&lt;=01_因子設定!$M$6+0.000000001,F3793&gt;=01_因子設定!$L$7-0.000000001,F3793&lt;=01_因子設定!$M$7+0.000000001,IF(01_因子設定!$B$20="Box-Behnken",D3793^2+E3793^2+F3793^2&lt;=2+0.000000001,TRUE()))</f>
        <v>1</v>
      </c>
      <c r="W3793" s="55" t="n">
        <f aca="false">IF(V3793,IF(01_因子設定!$B$13="最大化",T3793-01_因子設定!$B$14,IF(01_因子設定!$B$13="最小化",01_因子設定!$B$15-U3793,MIN(T3793-01_因子設定!$B$14,01_因子設定!$B$15-U3793))),-1E+030)</f>
        <v>-4.56653854878017</v>
      </c>
      <c r="X3793" s="55" t="n">
        <f aca="false">IF(V3793,IF(01_因子設定!$B$13="最大化",Q3793,IF(01_因子設定!$B$13="最小化",-Q3793,-ABS(Q3793-01_因子設定!$B$16))),-1E+030)</f>
        <v>45.0245809659091</v>
      </c>
      <c r="Y3793" s="55" t="n">
        <f aca="false">W3793+ROW()*0.000000001</f>
        <v>-4.56653475578017</v>
      </c>
      <c r="Z3793" s="55" t="n">
        <f aca="false">X3793+ROW()*0.000000001</f>
        <v>45.0245847589091</v>
      </c>
    </row>
    <row r="3794" customFormat="false" ht="15" hidden="false" customHeight="false" outlineLevel="0" collapsed="false">
      <c r="A3794" s="0" t="n">
        <v>13</v>
      </c>
      <c r="B3794" s="0" t="n">
        <v>1</v>
      </c>
      <c r="C3794" s="0" t="n">
        <v>15</v>
      </c>
      <c r="D3794" s="0" t="n">
        <f aca="false">-1+A3794*0.125</f>
        <v>0.625</v>
      </c>
      <c r="E3794" s="0" t="n">
        <f aca="false">-1+B3794*0.125</f>
        <v>-0.875</v>
      </c>
      <c r="F3794" s="0" t="n">
        <f aca="false">-1+C3794*0.125</f>
        <v>0.875</v>
      </c>
      <c r="G3794" s="0" t="n">
        <f aca="false">1</f>
        <v>1</v>
      </c>
      <c r="H3794" s="0" t="n">
        <f aca="false">D3794</f>
        <v>0.625</v>
      </c>
      <c r="I3794" s="0" t="n">
        <f aca="false">E3794</f>
        <v>-0.875</v>
      </c>
      <c r="J3794" s="0" t="n">
        <f aca="false">F3794</f>
        <v>0.875</v>
      </c>
      <c r="K3794" s="0" t="n">
        <f aca="false">D3794*E3794</f>
        <v>-0.546875</v>
      </c>
      <c r="L3794" s="0" t="n">
        <f aca="false">D3794*F3794</f>
        <v>0.546875</v>
      </c>
      <c r="M3794" s="0" t="n">
        <f aca="false">E3794*F3794</f>
        <v>-0.765625</v>
      </c>
      <c r="N3794" s="0" t="n">
        <f aca="false">D3794*D3794</f>
        <v>0.390625</v>
      </c>
      <c r="O3794" s="0" t="n">
        <f aca="false">E3794*E3794</f>
        <v>0.765625</v>
      </c>
      <c r="P3794" s="0" t="n">
        <f aca="false">F3794*F3794</f>
        <v>0.765625</v>
      </c>
      <c r="Q3794" s="0" t="n">
        <f aca="false">SUMPRODUCT(G3794:P3794,_XtX!$B$71:$K$71)</f>
        <v>44.8970099431818</v>
      </c>
      <c r="R3794" s="0" t="n">
        <f aca="false">SUMPRODUCT(MMULT(G3794:P3794,_XtX!$B$58:$K$67),G3794:P3794)</f>
        <v>0.442496559836648</v>
      </c>
      <c r="S3794" s="0" t="n">
        <f aca="false">04_回帰ANOVA!$K$19*04_回帰ANOVA!$K$14*SQRT(1+R3794)</f>
        <v>1.11666789259284</v>
      </c>
      <c r="T3794" s="0" t="n">
        <f aca="false">Q3794-S3794</f>
        <v>43.780342050589</v>
      </c>
      <c r="U3794" s="0" t="n">
        <f aca="false">Q3794+S3794</f>
        <v>46.0136778357747</v>
      </c>
      <c r="V3794" s="54" t="b">
        <f aca="false">AND(D3794&gt;=01_因子設定!$L$5-0.000000001,D3794&lt;=01_因子設定!$M$5+0.000000001,E3794&gt;=01_因子設定!$L$6-0.000000001,E3794&lt;=01_因子設定!$M$6+0.000000001,F3794&gt;=01_因子設定!$L$7-0.000000001,F3794&lt;=01_因子設定!$M$7+0.000000001,IF(01_因子設定!$B$20="Box-Behnken",D3794^2+E3794^2+F3794^2&lt;=2+0.000000001,TRUE()))</f>
        <v>1</v>
      </c>
      <c r="W3794" s="55" t="n">
        <f aca="false">IF(V3794,IF(01_因子設定!$B$13="最大化",T3794-01_因子設定!$B$14,IF(01_因子設定!$B$13="最小化",01_因子設定!$B$15-U3794,MIN(T3794-01_因子設定!$B$14,01_因子設定!$B$15-U3794))),-1E+030)</f>
        <v>-4.71965794941101</v>
      </c>
      <c r="X3794" s="55" t="n">
        <f aca="false">IF(V3794,IF(01_因子設定!$B$13="最大化",Q3794,IF(01_因子設定!$B$13="最小化",-Q3794,-ABS(Q3794-01_因子設定!$B$16))),-1E+030)</f>
        <v>44.8970099431818</v>
      </c>
      <c r="Y3794" s="55" t="n">
        <f aca="false">W3794+ROW()*0.000000001</f>
        <v>-4.71965415541101</v>
      </c>
      <c r="Z3794" s="55" t="n">
        <f aca="false">X3794+ROW()*0.000000001</f>
        <v>44.8970137371818</v>
      </c>
    </row>
    <row r="3795" customFormat="false" ht="15" hidden="false" customHeight="false" outlineLevel="0" collapsed="false">
      <c r="A3795" s="0" t="n">
        <v>13</v>
      </c>
      <c r="B3795" s="0" t="n">
        <v>1</v>
      </c>
      <c r="C3795" s="0" t="n">
        <v>16</v>
      </c>
      <c r="D3795" s="0" t="n">
        <f aca="false">-1+A3795*0.125</f>
        <v>0.625</v>
      </c>
      <c r="E3795" s="0" t="n">
        <f aca="false">-1+B3795*0.125</f>
        <v>-0.875</v>
      </c>
      <c r="F3795" s="0" t="n">
        <f aca="false">-1+C3795*0.125</f>
        <v>1</v>
      </c>
      <c r="G3795" s="0" t="n">
        <f aca="false">1</f>
        <v>1</v>
      </c>
      <c r="H3795" s="0" t="n">
        <f aca="false">D3795</f>
        <v>0.625</v>
      </c>
      <c r="I3795" s="0" t="n">
        <f aca="false">E3795</f>
        <v>-0.875</v>
      </c>
      <c r="J3795" s="0" t="n">
        <f aca="false">F3795</f>
        <v>1</v>
      </c>
      <c r="K3795" s="0" t="n">
        <f aca="false">D3795*E3795</f>
        <v>-0.546875</v>
      </c>
      <c r="L3795" s="0" t="n">
        <f aca="false">D3795*F3795</f>
        <v>0.625</v>
      </c>
      <c r="M3795" s="0" t="n">
        <f aca="false">E3795*F3795</f>
        <v>-0.875</v>
      </c>
      <c r="N3795" s="0" t="n">
        <f aca="false">D3795*D3795</f>
        <v>0.390625</v>
      </c>
      <c r="O3795" s="0" t="n">
        <f aca="false">E3795*E3795</f>
        <v>0.765625</v>
      </c>
      <c r="P3795" s="0" t="n">
        <f aca="false">F3795*F3795</f>
        <v>1</v>
      </c>
      <c r="Q3795" s="0" t="n">
        <f aca="false">SUMPRODUCT(G3795:P3795,_XtX!$B$71:$K$71)</f>
        <v>44.7326491477273</v>
      </c>
      <c r="R3795" s="0" t="n">
        <f aca="false">SUMPRODUCT(MMULT(G3795:P3795,_XtX!$B$58:$K$67),G3795:P3795)</f>
        <v>0.555073131214489</v>
      </c>
      <c r="S3795" s="0" t="n">
        <f aca="false">04_回帰ANOVA!$K$19*04_回帰ANOVA!$K$14*SQRT(1+R3795)</f>
        <v>1.15942335628341</v>
      </c>
      <c r="T3795" s="0" t="n">
        <f aca="false">Q3795-S3795</f>
        <v>43.5732257914439</v>
      </c>
      <c r="U3795" s="0" t="n">
        <f aca="false">Q3795+S3795</f>
        <v>45.8920725040107</v>
      </c>
      <c r="V3795" s="54" t="b">
        <f aca="false">AND(D3795&gt;=01_因子設定!$L$5-0.000000001,D3795&lt;=01_因子設定!$M$5+0.000000001,E3795&gt;=01_因子設定!$L$6-0.000000001,E3795&lt;=01_因子設定!$M$6+0.000000001,F3795&gt;=01_因子設定!$L$7-0.000000001,F3795&lt;=01_因子設定!$M$7+0.000000001,IF(01_因子設定!$B$20="Box-Behnken",D3795^2+E3795^2+F3795^2&lt;=2+0.000000001,TRUE()))</f>
        <v>1</v>
      </c>
      <c r="W3795" s="55" t="n">
        <f aca="false">IF(V3795,IF(01_因子設定!$B$13="最大化",T3795-01_因子設定!$B$14,IF(01_因子設定!$B$13="最小化",01_因子設定!$B$15-U3795,MIN(T3795-01_因子設定!$B$14,01_因子設定!$B$15-U3795))),-1E+030)</f>
        <v>-4.92677420855611</v>
      </c>
      <c r="X3795" s="55" t="n">
        <f aca="false">IF(V3795,IF(01_因子設定!$B$13="最大化",Q3795,IF(01_因子設定!$B$13="最小化",-Q3795,-ABS(Q3795-01_因子設定!$B$16))),-1E+030)</f>
        <v>44.7326491477273</v>
      </c>
      <c r="Y3795" s="55" t="n">
        <f aca="false">W3795+ROW()*0.000000001</f>
        <v>-4.92677041355611</v>
      </c>
      <c r="Z3795" s="55" t="n">
        <f aca="false">X3795+ROW()*0.000000001</f>
        <v>44.7326529427273</v>
      </c>
    </row>
    <row r="3796" customFormat="false" ht="15" hidden="false" customHeight="false" outlineLevel="0" collapsed="false">
      <c r="A3796" s="0" t="n">
        <v>13</v>
      </c>
      <c r="B3796" s="0" t="n">
        <v>2</v>
      </c>
      <c r="C3796" s="0" t="n">
        <v>0</v>
      </c>
      <c r="D3796" s="0" t="n">
        <f aca="false">-1+A3796*0.125</f>
        <v>0.625</v>
      </c>
      <c r="E3796" s="0" t="n">
        <f aca="false">-1+B3796*0.125</f>
        <v>-0.75</v>
      </c>
      <c r="F3796" s="0" t="n">
        <f aca="false">-1+C3796*0.125</f>
        <v>-1</v>
      </c>
      <c r="G3796" s="0" t="n">
        <f aca="false">1</f>
        <v>1</v>
      </c>
      <c r="H3796" s="0" t="n">
        <f aca="false">D3796</f>
        <v>0.625</v>
      </c>
      <c r="I3796" s="0" t="n">
        <f aca="false">E3796</f>
        <v>-0.75</v>
      </c>
      <c r="J3796" s="0" t="n">
        <f aca="false">F3796</f>
        <v>-1</v>
      </c>
      <c r="K3796" s="0" t="n">
        <f aca="false">D3796*E3796</f>
        <v>-0.46875</v>
      </c>
      <c r="L3796" s="0" t="n">
        <f aca="false">D3796*F3796</f>
        <v>-0.625</v>
      </c>
      <c r="M3796" s="0" t="n">
        <f aca="false">E3796*F3796</f>
        <v>0.75</v>
      </c>
      <c r="N3796" s="0" t="n">
        <f aca="false">D3796*D3796</f>
        <v>0.390625</v>
      </c>
      <c r="O3796" s="0" t="n">
        <f aca="false">E3796*E3796</f>
        <v>0.5625</v>
      </c>
      <c r="P3796" s="0" t="n">
        <f aca="false">F3796*F3796</f>
        <v>1</v>
      </c>
      <c r="Q3796" s="0" t="n">
        <f aca="false">SUMPRODUCT(G3796:P3796,_XtX!$B$71:$K$71)</f>
        <v>43.6576420454546</v>
      </c>
      <c r="R3796" s="0" t="n">
        <f aca="false">SUMPRODUCT(MMULT(G3796:P3796,_XtX!$B$58:$K$67),G3796:P3796)</f>
        <v>0.496855024857955</v>
      </c>
      <c r="S3796" s="0" t="n">
        <f aca="false">04_回帰ANOVA!$K$19*04_回帰ANOVA!$K$14*SQRT(1+R3796)</f>
        <v>1.1375133593161</v>
      </c>
      <c r="T3796" s="0" t="n">
        <f aca="false">Q3796-S3796</f>
        <v>42.5201286861385</v>
      </c>
      <c r="U3796" s="0" t="n">
        <f aca="false">Q3796+S3796</f>
        <v>44.7951554047707</v>
      </c>
      <c r="V3796" s="54" t="b">
        <f aca="false">AND(D3796&gt;=01_因子設定!$L$5-0.000000001,D3796&lt;=01_因子設定!$M$5+0.000000001,E3796&gt;=01_因子設定!$L$6-0.000000001,E3796&lt;=01_因子設定!$M$6+0.000000001,F3796&gt;=01_因子設定!$L$7-0.000000001,F3796&lt;=01_因子設定!$M$7+0.000000001,IF(01_因子設定!$B$20="Box-Behnken",D3796^2+E3796^2+F3796^2&lt;=2+0.000000001,TRUE()))</f>
        <v>1</v>
      </c>
      <c r="W3796" s="55" t="n">
        <f aca="false">IF(V3796,IF(01_因子設定!$B$13="最大化",T3796-01_因子設定!$B$14,IF(01_因子設定!$B$13="最小化",01_因子設定!$B$15-U3796,MIN(T3796-01_因子設定!$B$14,01_因子設定!$B$15-U3796))),-1E+030)</f>
        <v>-5.97987131386154</v>
      </c>
      <c r="X3796" s="55" t="n">
        <f aca="false">IF(V3796,IF(01_因子設定!$B$13="最大化",Q3796,IF(01_因子設定!$B$13="最小化",-Q3796,-ABS(Q3796-01_因子設定!$B$16))),-1E+030)</f>
        <v>43.6576420454546</v>
      </c>
      <c r="Y3796" s="55" t="n">
        <f aca="false">W3796+ROW()*0.000000001</f>
        <v>-5.97986751786154</v>
      </c>
      <c r="Z3796" s="55" t="n">
        <f aca="false">X3796+ROW()*0.000000001</f>
        <v>43.6576458414546</v>
      </c>
    </row>
    <row r="3797" customFormat="false" ht="15" hidden="false" customHeight="false" outlineLevel="0" collapsed="false">
      <c r="A3797" s="0" t="n">
        <v>13</v>
      </c>
      <c r="B3797" s="0" t="n">
        <v>2</v>
      </c>
      <c r="C3797" s="0" t="n">
        <v>1</v>
      </c>
      <c r="D3797" s="0" t="n">
        <f aca="false">-1+A3797*0.125</f>
        <v>0.625</v>
      </c>
      <c r="E3797" s="0" t="n">
        <f aca="false">-1+B3797*0.125</f>
        <v>-0.75</v>
      </c>
      <c r="F3797" s="0" t="n">
        <f aca="false">-1+C3797*0.125</f>
        <v>-0.875</v>
      </c>
      <c r="G3797" s="0" t="n">
        <f aca="false">1</f>
        <v>1</v>
      </c>
      <c r="H3797" s="0" t="n">
        <f aca="false">D3797</f>
        <v>0.625</v>
      </c>
      <c r="I3797" s="0" t="n">
        <f aca="false">E3797</f>
        <v>-0.75</v>
      </c>
      <c r="J3797" s="0" t="n">
        <f aca="false">F3797</f>
        <v>-0.875</v>
      </c>
      <c r="K3797" s="0" t="n">
        <f aca="false">D3797*E3797</f>
        <v>-0.46875</v>
      </c>
      <c r="L3797" s="0" t="n">
        <f aca="false">D3797*F3797</f>
        <v>-0.546875</v>
      </c>
      <c r="M3797" s="0" t="n">
        <f aca="false">E3797*F3797</f>
        <v>0.65625</v>
      </c>
      <c r="N3797" s="0" t="n">
        <f aca="false">D3797*D3797</f>
        <v>0.390625</v>
      </c>
      <c r="O3797" s="0" t="n">
        <f aca="false">E3797*E3797</f>
        <v>0.5625</v>
      </c>
      <c r="P3797" s="0" t="n">
        <f aca="false">F3797*F3797</f>
        <v>0.765625</v>
      </c>
      <c r="Q3797" s="0" t="n">
        <f aca="false">SUMPRODUCT(G3797:P3797,_XtX!$B$71:$K$71)</f>
        <v>44.0521590909091</v>
      </c>
      <c r="R3797" s="0" t="n">
        <f aca="false">SUMPRODUCT(MMULT(G3797:P3797,_XtX!$B$58:$K$67),G3797:P3797)</f>
        <v>0.377245538884943</v>
      </c>
      <c r="S3797" s="0" t="n">
        <f aca="false">04_回帰ANOVA!$K$19*04_回帰ANOVA!$K$14*SQRT(1+R3797)</f>
        <v>1.09111951468927</v>
      </c>
      <c r="T3797" s="0" t="n">
        <f aca="false">Q3797-S3797</f>
        <v>42.9610395762198</v>
      </c>
      <c r="U3797" s="0" t="n">
        <f aca="false">Q3797+S3797</f>
        <v>45.1432786055984</v>
      </c>
      <c r="V3797" s="54" t="b">
        <f aca="false">AND(D3797&gt;=01_因子設定!$L$5-0.000000001,D3797&lt;=01_因子設定!$M$5+0.000000001,E3797&gt;=01_因子設定!$L$6-0.000000001,E3797&lt;=01_因子設定!$M$6+0.000000001,F3797&gt;=01_因子設定!$L$7-0.000000001,F3797&lt;=01_因子設定!$M$7+0.000000001,IF(01_因子設定!$B$20="Box-Behnken",D3797^2+E3797^2+F3797^2&lt;=2+0.000000001,TRUE()))</f>
        <v>1</v>
      </c>
      <c r="W3797" s="55" t="n">
        <f aca="false">IF(V3797,IF(01_因子設定!$B$13="最大化",T3797-01_因子設定!$B$14,IF(01_因子設定!$B$13="最小化",01_因子設定!$B$15-U3797,MIN(T3797-01_因子設定!$B$14,01_因子設定!$B$15-U3797))),-1E+030)</f>
        <v>-5.53896042378017</v>
      </c>
      <c r="X3797" s="55" t="n">
        <f aca="false">IF(V3797,IF(01_因子設定!$B$13="最大化",Q3797,IF(01_因子設定!$B$13="最小化",-Q3797,-ABS(Q3797-01_因子設定!$B$16))),-1E+030)</f>
        <v>44.0521590909091</v>
      </c>
      <c r="Y3797" s="55" t="n">
        <f aca="false">W3797+ROW()*0.000000001</f>
        <v>-5.53895662678017</v>
      </c>
      <c r="Z3797" s="55" t="n">
        <f aca="false">X3797+ROW()*0.000000001</f>
        <v>44.0521628879091</v>
      </c>
    </row>
    <row r="3798" customFormat="false" ht="15" hidden="false" customHeight="false" outlineLevel="0" collapsed="false">
      <c r="A3798" s="0" t="n">
        <v>13</v>
      </c>
      <c r="B3798" s="0" t="n">
        <v>2</v>
      </c>
      <c r="C3798" s="0" t="n">
        <v>2</v>
      </c>
      <c r="D3798" s="0" t="n">
        <f aca="false">-1+A3798*0.125</f>
        <v>0.625</v>
      </c>
      <c r="E3798" s="0" t="n">
        <f aca="false">-1+B3798*0.125</f>
        <v>-0.75</v>
      </c>
      <c r="F3798" s="0" t="n">
        <f aca="false">-1+C3798*0.125</f>
        <v>-0.75</v>
      </c>
      <c r="G3798" s="0" t="n">
        <f aca="false">1</f>
        <v>1</v>
      </c>
      <c r="H3798" s="0" t="n">
        <f aca="false">D3798</f>
        <v>0.625</v>
      </c>
      <c r="I3798" s="0" t="n">
        <f aca="false">E3798</f>
        <v>-0.75</v>
      </c>
      <c r="J3798" s="0" t="n">
        <f aca="false">F3798</f>
        <v>-0.75</v>
      </c>
      <c r="K3798" s="0" t="n">
        <f aca="false">D3798*E3798</f>
        <v>-0.46875</v>
      </c>
      <c r="L3798" s="0" t="n">
        <f aca="false">D3798*F3798</f>
        <v>-0.46875</v>
      </c>
      <c r="M3798" s="0" t="n">
        <f aca="false">E3798*F3798</f>
        <v>0.5625</v>
      </c>
      <c r="N3798" s="0" t="n">
        <f aca="false">D3798*D3798</f>
        <v>0.390625</v>
      </c>
      <c r="O3798" s="0" t="n">
        <f aca="false">E3798*E3798</f>
        <v>0.5625</v>
      </c>
      <c r="P3798" s="0" t="n">
        <f aca="false">F3798*F3798</f>
        <v>0.5625</v>
      </c>
      <c r="Q3798" s="0" t="n">
        <f aca="false">SUMPRODUCT(G3798:P3798,_XtX!$B$71:$K$71)</f>
        <v>44.4098863636364</v>
      </c>
      <c r="R3798" s="0" t="n">
        <f aca="false">SUMPRODUCT(MMULT(G3798:P3798,_XtX!$B$58:$K$67),G3798:P3798)</f>
        <v>0.305899325284091</v>
      </c>
      <c r="S3798" s="0" t="n">
        <f aca="false">04_回帰ANOVA!$K$19*04_回帰ANOVA!$K$14*SQRT(1+R3798)</f>
        <v>1.06248176416816</v>
      </c>
      <c r="T3798" s="0" t="n">
        <f aca="false">Q3798-S3798</f>
        <v>43.3474045994682</v>
      </c>
      <c r="U3798" s="0" t="n">
        <f aca="false">Q3798+S3798</f>
        <v>45.4723681278045</v>
      </c>
      <c r="V3798" s="54" t="b">
        <f aca="false">AND(D3798&gt;=01_因子設定!$L$5-0.000000001,D3798&lt;=01_因子設定!$M$5+0.000000001,E3798&gt;=01_因子設定!$L$6-0.000000001,E3798&lt;=01_因子設定!$M$6+0.000000001,F3798&gt;=01_因子設定!$L$7-0.000000001,F3798&lt;=01_因子設定!$M$7+0.000000001,IF(01_因子設定!$B$20="Box-Behnken",D3798^2+E3798^2+F3798^2&lt;=2+0.000000001,TRUE()))</f>
        <v>1</v>
      </c>
      <c r="W3798" s="55" t="n">
        <f aca="false">IF(V3798,IF(01_因子設定!$B$13="最大化",T3798-01_因子設定!$B$14,IF(01_因子設定!$B$13="最小化",01_因子設定!$B$15-U3798,MIN(T3798-01_因子設定!$B$14,01_因子設定!$B$15-U3798))),-1E+030)</f>
        <v>-5.15259540053178</v>
      </c>
      <c r="X3798" s="55" t="n">
        <f aca="false">IF(V3798,IF(01_因子設定!$B$13="最大化",Q3798,IF(01_因子設定!$B$13="最小化",-Q3798,-ABS(Q3798-01_因子設定!$B$16))),-1E+030)</f>
        <v>44.4098863636364</v>
      </c>
      <c r="Y3798" s="55" t="n">
        <f aca="false">W3798+ROW()*0.000000001</f>
        <v>-5.15259160253178</v>
      </c>
      <c r="Z3798" s="55" t="n">
        <f aca="false">X3798+ROW()*0.000000001</f>
        <v>44.4098901616364</v>
      </c>
    </row>
    <row r="3799" customFormat="false" ht="15" hidden="false" customHeight="false" outlineLevel="0" collapsed="false">
      <c r="A3799" s="0" t="n">
        <v>13</v>
      </c>
      <c r="B3799" s="0" t="n">
        <v>2</v>
      </c>
      <c r="C3799" s="0" t="n">
        <v>3</v>
      </c>
      <c r="D3799" s="0" t="n">
        <f aca="false">-1+A3799*0.125</f>
        <v>0.625</v>
      </c>
      <c r="E3799" s="0" t="n">
        <f aca="false">-1+B3799*0.125</f>
        <v>-0.75</v>
      </c>
      <c r="F3799" s="0" t="n">
        <f aca="false">-1+C3799*0.125</f>
        <v>-0.625</v>
      </c>
      <c r="G3799" s="0" t="n">
        <f aca="false">1</f>
        <v>1</v>
      </c>
      <c r="H3799" s="0" t="n">
        <f aca="false">D3799</f>
        <v>0.625</v>
      </c>
      <c r="I3799" s="0" t="n">
        <f aca="false">E3799</f>
        <v>-0.75</v>
      </c>
      <c r="J3799" s="0" t="n">
        <f aca="false">F3799</f>
        <v>-0.625</v>
      </c>
      <c r="K3799" s="0" t="n">
        <f aca="false">D3799*E3799</f>
        <v>-0.46875</v>
      </c>
      <c r="L3799" s="0" t="n">
        <f aca="false">D3799*F3799</f>
        <v>-0.390625</v>
      </c>
      <c r="M3799" s="0" t="n">
        <f aca="false">E3799*F3799</f>
        <v>0.46875</v>
      </c>
      <c r="N3799" s="0" t="n">
        <f aca="false">D3799*D3799</f>
        <v>0.390625</v>
      </c>
      <c r="O3799" s="0" t="n">
        <f aca="false">E3799*E3799</f>
        <v>0.5625</v>
      </c>
      <c r="P3799" s="0" t="n">
        <f aca="false">F3799*F3799</f>
        <v>0.390625</v>
      </c>
      <c r="Q3799" s="0" t="n">
        <f aca="false">SUMPRODUCT(G3799:P3799,_XtX!$B$71:$K$71)</f>
        <v>44.7308238636364</v>
      </c>
      <c r="R3799" s="0" t="n">
        <f aca="false">SUMPRODUCT(MMULT(G3799:P3799,_XtX!$B$58:$K$67),G3799:P3799)</f>
        <v>0.268966952237216</v>
      </c>
      <c r="S3799" s="0" t="n">
        <f aca="false">04_回帰ANOVA!$K$19*04_回帰ANOVA!$K$14*SQRT(1+R3799)</f>
        <v>1.04734989137801</v>
      </c>
      <c r="T3799" s="0" t="n">
        <f aca="false">Q3799-S3799</f>
        <v>43.6834739722584</v>
      </c>
      <c r="U3799" s="0" t="n">
        <f aca="false">Q3799+S3799</f>
        <v>45.7781737550144</v>
      </c>
      <c r="V3799" s="54" t="b">
        <f aca="false">AND(D3799&gt;=01_因子設定!$L$5-0.000000001,D3799&lt;=01_因子設定!$M$5+0.000000001,E3799&gt;=01_因子設定!$L$6-0.000000001,E3799&lt;=01_因子設定!$M$6+0.000000001,F3799&gt;=01_因子設定!$L$7-0.000000001,F3799&lt;=01_因子設定!$M$7+0.000000001,IF(01_因子設定!$B$20="Box-Behnken",D3799^2+E3799^2+F3799^2&lt;=2+0.000000001,TRUE()))</f>
        <v>1</v>
      </c>
      <c r="W3799" s="55" t="n">
        <f aca="false">IF(V3799,IF(01_因子設定!$B$13="最大化",T3799-01_因子設定!$B$14,IF(01_因子設定!$B$13="最小化",01_因子設定!$B$15-U3799,MIN(T3799-01_因子設定!$B$14,01_因子設定!$B$15-U3799))),-1E+030)</f>
        <v>-4.81652602774164</v>
      </c>
      <c r="X3799" s="55" t="n">
        <f aca="false">IF(V3799,IF(01_因子設定!$B$13="最大化",Q3799,IF(01_因子設定!$B$13="最小化",-Q3799,-ABS(Q3799-01_因子設定!$B$16))),-1E+030)</f>
        <v>44.7308238636364</v>
      </c>
      <c r="Y3799" s="55" t="n">
        <f aca="false">W3799+ROW()*0.000000001</f>
        <v>-4.81652222874164</v>
      </c>
      <c r="Z3799" s="55" t="n">
        <f aca="false">X3799+ROW()*0.000000001</f>
        <v>44.7308276626364</v>
      </c>
    </row>
    <row r="3800" customFormat="false" ht="15" hidden="false" customHeight="false" outlineLevel="0" collapsed="false">
      <c r="A3800" s="0" t="n">
        <v>13</v>
      </c>
      <c r="B3800" s="0" t="n">
        <v>2</v>
      </c>
      <c r="C3800" s="0" t="n">
        <v>4</v>
      </c>
      <c r="D3800" s="0" t="n">
        <f aca="false">-1+A3800*0.125</f>
        <v>0.625</v>
      </c>
      <c r="E3800" s="0" t="n">
        <f aca="false">-1+B3800*0.125</f>
        <v>-0.75</v>
      </c>
      <c r="F3800" s="0" t="n">
        <f aca="false">-1+C3800*0.125</f>
        <v>-0.5</v>
      </c>
      <c r="G3800" s="0" t="n">
        <f aca="false">1</f>
        <v>1</v>
      </c>
      <c r="H3800" s="0" t="n">
        <f aca="false">D3800</f>
        <v>0.625</v>
      </c>
      <c r="I3800" s="0" t="n">
        <f aca="false">E3800</f>
        <v>-0.75</v>
      </c>
      <c r="J3800" s="0" t="n">
        <f aca="false">F3800</f>
        <v>-0.5</v>
      </c>
      <c r="K3800" s="0" t="n">
        <f aca="false">D3800*E3800</f>
        <v>-0.46875</v>
      </c>
      <c r="L3800" s="0" t="n">
        <f aca="false">D3800*F3800</f>
        <v>-0.3125</v>
      </c>
      <c r="M3800" s="0" t="n">
        <f aca="false">E3800*F3800</f>
        <v>0.375</v>
      </c>
      <c r="N3800" s="0" t="n">
        <f aca="false">D3800*D3800</f>
        <v>0.390625</v>
      </c>
      <c r="O3800" s="0" t="n">
        <f aca="false">E3800*E3800</f>
        <v>0.5625</v>
      </c>
      <c r="P3800" s="0" t="n">
        <f aca="false">F3800*F3800</f>
        <v>0.25</v>
      </c>
      <c r="Q3800" s="0" t="n">
        <f aca="false">SUMPRODUCT(G3800:P3800,_XtX!$B$71:$K$71)</f>
        <v>45.0149715909091</v>
      </c>
      <c r="R3800" s="0" t="n">
        <f aca="false">SUMPRODUCT(MMULT(G3800:P3800,_XtX!$B$58:$K$67),G3800:P3800)</f>
        <v>0.254729669744318</v>
      </c>
      <c r="S3800" s="0" t="n">
        <f aca="false">04_回帰ANOVA!$K$19*04_回帰ANOVA!$K$14*SQRT(1+R3800)</f>
        <v>1.04145790281631</v>
      </c>
      <c r="T3800" s="0" t="n">
        <f aca="false">Q3800-S3800</f>
        <v>43.9735136880928</v>
      </c>
      <c r="U3800" s="0" t="n">
        <f aca="false">Q3800+S3800</f>
        <v>46.0564294937254</v>
      </c>
      <c r="V3800" s="54" t="b">
        <f aca="false">AND(D3800&gt;=01_因子設定!$L$5-0.000000001,D3800&lt;=01_因子設定!$M$5+0.000000001,E3800&gt;=01_因子設定!$L$6-0.000000001,E3800&lt;=01_因子設定!$M$6+0.000000001,F3800&gt;=01_因子設定!$L$7-0.000000001,F3800&lt;=01_因子設定!$M$7+0.000000001,IF(01_因子設定!$B$20="Box-Behnken",D3800^2+E3800^2+F3800^2&lt;=2+0.000000001,TRUE()))</f>
        <v>1</v>
      </c>
      <c r="W3800" s="55" t="n">
        <f aca="false">IF(V3800,IF(01_因子設定!$B$13="最大化",T3800-01_因子設定!$B$14,IF(01_因子設定!$B$13="最小化",01_因子設定!$B$15-U3800,MIN(T3800-01_因子設定!$B$14,01_因子設定!$B$15-U3800))),-1E+030)</f>
        <v>-4.52648631190721</v>
      </c>
      <c r="X3800" s="55" t="n">
        <f aca="false">IF(V3800,IF(01_因子設定!$B$13="最大化",Q3800,IF(01_因子設定!$B$13="最小化",-Q3800,-ABS(Q3800-01_因子設定!$B$16))),-1E+030)</f>
        <v>45.0149715909091</v>
      </c>
      <c r="Y3800" s="55" t="n">
        <f aca="false">W3800+ROW()*0.000000001</f>
        <v>-4.52648251190721</v>
      </c>
      <c r="Z3800" s="55" t="n">
        <f aca="false">X3800+ROW()*0.000000001</f>
        <v>45.0149753909091</v>
      </c>
    </row>
    <row r="3801" customFormat="false" ht="15" hidden="false" customHeight="false" outlineLevel="0" collapsed="false">
      <c r="A3801" s="0" t="n">
        <v>13</v>
      </c>
      <c r="B3801" s="0" t="n">
        <v>2</v>
      </c>
      <c r="C3801" s="0" t="n">
        <v>5</v>
      </c>
      <c r="D3801" s="0" t="n">
        <f aca="false">-1+A3801*0.125</f>
        <v>0.625</v>
      </c>
      <c r="E3801" s="0" t="n">
        <f aca="false">-1+B3801*0.125</f>
        <v>-0.75</v>
      </c>
      <c r="F3801" s="0" t="n">
        <f aca="false">-1+C3801*0.125</f>
        <v>-0.375</v>
      </c>
      <c r="G3801" s="0" t="n">
        <f aca="false">1</f>
        <v>1</v>
      </c>
      <c r="H3801" s="0" t="n">
        <f aca="false">D3801</f>
        <v>0.625</v>
      </c>
      <c r="I3801" s="0" t="n">
        <f aca="false">E3801</f>
        <v>-0.75</v>
      </c>
      <c r="J3801" s="0" t="n">
        <f aca="false">F3801</f>
        <v>-0.375</v>
      </c>
      <c r="K3801" s="0" t="n">
        <f aca="false">D3801*E3801</f>
        <v>-0.46875</v>
      </c>
      <c r="L3801" s="0" t="n">
        <f aca="false">D3801*F3801</f>
        <v>-0.234375</v>
      </c>
      <c r="M3801" s="0" t="n">
        <f aca="false">E3801*F3801</f>
        <v>0.28125</v>
      </c>
      <c r="N3801" s="0" t="n">
        <f aca="false">D3801*D3801</f>
        <v>0.390625</v>
      </c>
      <c r="O3801" s="0" t="n">
        <f aca="false">E3801*E3801</f>
        <v>0.5625</v>
      </c>
      <c r="P3801" s="0" t="n">
        <f aca="false">F3801*F3801</f>
        <v>0.140625</v>
      </c>
      <c r="Q3801" s="0" t="n">
        <f aca="false">SUMPRODUCT(G3801:P3801,_XtX!$B$71:$K$71)</f>
        <v>45.2623295454546</v>
      </c>
      <c r="R3801" s="0" t="n">
        <f aca="false">SUMPRODUCT(MMULT(G3801:P3801,_XtX!$B$58:$K$67),G3801:P3801)</f>
        <v>0.25359940962358</v>
      </c>
      <c r="S3801" s="0" t="n">
        <f aca="false">04_回帰ANOVA!$K$19*04_回帰ANOVA!$K$14*SQRT(1+R3801)</f>
        <v>1.04098872464599</v>
      </c>
      <c r="T3801" s="0" t="n">
        <f aca="false">Q3801-S3801</f>
        <v>44.2213408208086</v>
      </c>
      <c r="U3801" s="0" t="n">
        <f aca="false">Q3801+S3801</f>
        <v>46.3033182701005</v>
      </c>
      <c r="V3801" s="54" t="b">
        <f aca="false">AND(D3801&gt;=01_因子設定!$L$5-0.000000001,D3801&lt;=01_因子設定!$M$5+0.000000001,E3801&gt;=01_因子設定!$L$6-0.000000001,E3801&lt;=01_因子設定!$M$6+0.000000001,F3801&gt;=01_因子設定!$L$7-0.000000001,F3801&lt;=01_因子設定!$M$7+0.000000001,IF(01_因子設定!$B$20="Box-Behnken",D3801^2+E3801^2+F3801^2&lt;=2+0.000000001,TRUE()))</f>
        <v>1</v>
      </c>
      <c r="W3801" s="55" t="n">
        <f aca="false">IF(V3801,IF(01_因子設定!$B$13="最大化",T3801-01_因子設定!$B$14,IF(01_因子設定!$B$13="最小化",01_因子設定!$B$15-U3801,MIN(T3801-01_因子設定!$B$14,01_因子設定!$B$15-U3801))),-1E+030)</f>
        <v>-4.27865917919143</v>
      </c>
      <c r="X3801" s="55" t="n">
        <f aca="false">IF(V3801,IF(01_因子設定!$B$13="最大化",Q3801,IF(01_因子設定!$B$13="最小化",-Q3801,-ABS(Q3801-01_因子設定!$B$16))),-1E+030)</f>
        <v>45.2623295454546</v>
      </c>
      <c r="Y3801" s="55" t="n">
        <f aca="false">W3801+ROW()*0.000000001</f>
        <v>-4.27865537819143</v>
      </c>
      <c r="Z3801" s="55" t="n">
        <f aca="false">X3801+ROW()*0.000000001</f>
        <v>45.2623333464546</v>
      </c>
    </row>
    <row r="3802" customFormat="false" ht="15" hidden="false" customHeight="false" outlineLevel="0" collapsed="false">
      <c r="A3802" s="0" t="n">
        <v>13</v>
      </c>
      <c r="B3802" s="0" t="n">
        <v>2</v>
      </c>
      <c r="C3802" s="0" t="n">
        <v>6</v>
      </c>
      <c r="D3802" s="0" t="n">
        <f aca="false">-1+A3802*0.125</f>
        <v>0.625</v>
      </c>
      <c r="E3802" s="0" t="n">
        <f aca="false">-1+B3802*0.125</f>
        <v>-0.75</v>
      </c>
      <c r="F3802" s="0" t="n">
        <f aca="false">-1+C3802*0.125</f>
        <v>-0.25</v>
      </c>
      <c r="G3802" s="0" t="n">
        <f aca="false">1</f>
        <v>1</v>
      </c>
      <c r="H3802" s="0" t="n">
        <f aca="false">D3802</f>
        <v>0.625</v>
      </c>
      <c r="I3802" s="0" t="n">
        <f aca="false">E3802</f>
        <v>-0.75</v>
      </c>
      <c r="J3802" s="0" t="n">
        <f aca="false">F3802</f>
        <v>-0.25</v>
      </c>
      <c r="K3802" s="0" t="n">
        <f aca="false">D3802*E3802</f>
        <v>-0.46875</v>
      </c>
      <c r="L3802" s="0" t="n">
        <f aca="false">D3802*F3802</f>
        <v>-0.15625</v>
      </c>
      <c r="M3802" s="0" t="n">
        <f aca="false">E3802*F3802</f>
        <v>0.1875</v>
      </c>
      <c r="N3802" s="0" t="n">
        <f aca="false">D3802*D3802</f>
        <v>0.390625</v>
      </c>
      <c r="O3802" s="0" t="n">
        <f aca="false">E3802*E3802</f>
        <v>0.5625</v>
      </c>
      <c r="P3802" s="0" t="n">
        <f aca="false">F3802*F3802</f>
        <v>0.0625</v>
      </c>
      <c r="Q3802" s="0" t="n">
        <f aca="false">SUMPRODUCT(G3802:P3802,_XtX!$B$71:$K$71)</f>
        <v>45.4728977272727</v>
      </c>
      <c r="R3802" s="0" t="n">
        <f aca="false">SUMPRODUCT(MMULT(G3802:P3802,_XtX!$B$58:$K$67),G3802:P3802)</f>
        <v>0.258118785511364</v>
      </c>
      <c r="S3802" s="0" t="n">
        <f aca="false">04_回帰ANOVA!$K$19*04_回帰ANOVA!$K$14*SQRT(1+R3802)</f>
        <v>1.04286348094876</v>
      </c>
      <c r="T3802" s="0" t="n">
        <f aca="false">Q3802-S3802</f>
        <v>44.430034246324</v>
      </c>
      <c r="U3802" s="0" t="n">
        <f aca="false">Q3802+S3802</f>
        <v>46.5157612082215</v>
      </c>
      <c r="V3802" s="54" t="b">
        <f aca="false">AND(D3802&gt;=01_因子設定!$L$5-0.000000001,D3802&lt;=01_因子設定!$M$5+0.000000001,E3802&gt;=01_因子設定!$L$6-0.000000001,E3802&lt;=01_因子設定!$M$6+0.000000001,F3802&gt;=01_因子設定!$L$7-0.000000001,F3802&lt;=01_因子設定!$M$7+0.000000001,IF(01_因子設定!$B$20="Box-Behnken",D3802^2+E3802^2+F3802^2&lt;=2+0.000000001,TRUE()))</f>
        <v>1</v>
      </c>
      <c r="W3802" s="55" t="n">
        <f aca="false">IF(V3802,IF(01_因子設定!$B$13="最大化",T3802-01_因子設定!$B$14,IF(01_因子設定!$B$13="最小化",01_因子設定!$B$15-U3802,MIN(T3802-01_因子設定!$B$14,01_因子設定!$B$15-U3802))),-1E+030)</f>
        <v>-4.06996575367603</v>
      </c>
      <c r="X3802" s="55" t="n">
        <f aca="false">IF(V3802,IF(01_因子設定!$B$13="最大化",Q3802,IF(01_因子設定!$B$13="最小化",-Q3802,-ABS(Q3802-01_因子設定!$B$16))),-1E+030)</f>
        <v>45.4728977272727</v>
      </c>
      <c r="Y3802" s="55" t="n">
        <f aca="false">W3802+ROW()*0.000000001</f>
        <v>-4.06996195167603</v>
      </c>
      <c r="Z3802" s="55" t="n">
        <f aca="false">X3802+ROW()*0.000000001</f>
        <v>45.4729015292727</v>
      </c>
    </row>
    <row r="3803" customFormat="false" ht="15" hidden="false" customHeight="false" outlineLevel="0" collapsed="false">
      <c r="A3803" s="0" t="n">
        <v>13</v>
      </c>
      <c r="B3803" s="0" t="n">
        <v>2</v>
      </c>
      <c r="C3803" s="0" t="n">
        <v>7</v>
      </c>
      <c r="D3803" s="0" t="n">
        <f aca="false">-1+A3803*0.125</f>
        <v>0.625</v>
      </c>
      <c r="E3803" s="0" t="n">
        <f aca="false">-1+B3803*0.125</f>
        <v>-0.75</v>
      </c>
      <c r="F3803" s="0" t="n">
        <f aca="false">-1+C3803*0.125</f>
        <v>-0.125</v>
      </c>
      <c r="G3803" s="0" t="n">
        <f aca="false">1</f>
        <v>1</v>
      </c>
      <c r="H3803" s="0" t="n">
        <f aca="false">D3803</f>
        <v>0.625</v>
      </c>
      <c r="I3803" s="0" t="n">
        <f aca="false">E3803</f>
        <v>-0.75</v>
      </c>
      <c r="J3803" s="0" t="n">
        <f aca="false">F3803</f>
        <v>-0.125</v>
      </c>
      <c r="K3803" s="0" t="n">
        <f aca="false">D3803*E3803</f>
        <v>-0.46875</v>
      </c>
      <c r="L3803" s="0" t="n">
        <f aca="false">D3803*F3803</f>
        <v>-0.078125</v>
      </c>
      <c r="M3803" s="0" t="n">
        <f aca="false">E3803*F3803</f>
        <v>0.09375</v>
      </c>
      <c r="N3803" s="0" t="n">
        <f aca="false">D3803*D3803</f>
        <v>0.390625</v>
      </c>
      <c r="O3803" s="0" t="n">
        <f aca="false">E3803*E3803</f>
        <v>0.5625</v>
      </c>
      <c r="P3803" s="0" t="n">
        <f aca="false">F3803*F3803</f>
        <v>0.015625</v>
      </c>
      <c r="Q3803" s="0" t="n">
        <f aca="false">SUMPRODUCT(G3803:P3803,_XtX!$B$71:$K$71)</f>
        <v>45.6466761363636</v>
      </c>
      <c r="R3803" s="0" t="n">
        <f aca="false">SUMPRODUCT(MMULT(G3803:P3803,_XtX!$B$58:$K$67),G3803:P3803)</f>
        <v>0.262961092862216</v>
      </c>
      <c r="S3803" s="0" t="n">
        <f aca="false">04_回帰ANOVA!$K$19*04_回帰ANOVA!$K$14*SQRT(1+R3803)</f>
        <v>1.04486846483649</v>
      </c>
      <c r="T3803" s="0" t="n">
        <f aca="false">Q3803-S3803</f>
        <v>44.6018076715272</v>
      </c>
      <c r="U3803" s="0" t="n">
        <f aca="false">Q3803+S3803</f>
        <v>46.6915446012001</v>
      </c>
      <c r="V3803" s="54" t="b">
        <f aca="false">AND(D3803&gt;=01_因子設定!$L$5-0.000000001,D3803&lt;=01_因子設定!$M$5+0.000000001,E3803&gt;=01_因子設定!$L$6-0.000000001,E3803&lt;=01_因子設定!$M$6+0.000000001,F3803&gt;=01_因子設定!$L$7-0.000000001,F3803&lt;=01_因子設定!$M$7+0.000000001,IF(01_因子設定!$B$20="Box-Behnken",D3803^2+E3803^2+F3803^2&lt;=2+0.000000001,TRUE()))</f>
        <v>1</v>
      </c>
      <c r="W3803" s="55" t="n">
        <f aca="false">IF(V3803,IF(01_因子設定!$B$13="最大化",T3803-01_因子設定!$B$14,IF(01_因子設定!$B$13="最小化",01_因子設定!$B$15-U3803,MIN(T3803-01_因子設定!$B$14,01_因子設定!$B$15-U3803))),-1E+030)</f>
        <v>-3.89819232847285</v>
      </c>
      <c r="X3803" s="55" t="n">
        <f aca="false">IF(V3803,IF(01_因子設定!$B$13="最大化",Q3803,IF(01_因子設定!$B$13="最小化",-Q3803,-ABS(Q3803-01_因子設定!$B$16))),-1E+030)</f>
        <v>45.6466761363636</v>
      </c>
      <c r="Y3803" s="55" t="n">
        <f aca="false">W3803+ROW()*0.000000001</f>
        <v>-3.89818852547285</v>
      </c>
      <c r="Z3803" s="55" t="n">
        <f aca="false">X3803+ROW()*0.000000001</f>
        <v>45.6466799393636</v>
      </c>
    </row>
    <row r="3804" customFormat="false" ht="15" hidden="false" customHeight="false" outlineLevel="0" collapsed="false">
      <c r="A3804" s="0" t="n">
        <v>13</v>
      </c>
      <c r="B3804" s="0" t="n">
        <v>2</v>
      </c>
      <c r="C3804" s="0" t="n">
        <v>8</v>
      </c>
      <c r="D3804" s="0" t="n">
        <f aca="false">-1+A3804*0.125</f>
        <v>0.625</v>
      </c>
      <c r="E3804" s="0" t="n">
        <f aca="false">-1+B3804*0.125</f>
        <v>-0.75</v>
      </c>
      <c r="F3804" s="0" t="n">
        <f aca="false">-1+C3804*0.125</f>
        <v>0</v>
      </c>
      <c r="G3804" s="0" t="n">
        <f aca="false">1</f>
        <v>1</v>
      </c>
      <c r="H3804" s="0" t="n">
        <f aca="false">D3804</f>
        <v>0.625</v>
      </c>
      <c r="I3804" s="0" t="n">
        <f aca="false">E3804</f>
        <v>-0.75</v>
      </c>
      <c r="J3804" s="0" t="n">
        <f aca="false">F3804</f>
        <v>0</v>
      </c>
      <c r="K3804" s="0" t="n">
        <f aca="false">D3804*E3804</f>
        <v>-0.46875</v>
      </c>
      <c r="L3804" s="0" t="n">
        <f aca="false">D3804*F3804</f>
        <v>0</v>
      </c>
      <c r="M3804" s="0" t="n">
        <f aca="false">E3804*F3804</f>
        <v>-0</v>
      </c>
      <c r="N3804" s="0" t="n">
        <f aca="false">D3804*D3804</f>
        <v>0.390625</v>
      </c>
      <c r="O3804" s="0" t="n">
        <f aca="false">E3804*E3804</f>
        <v>0.5625</v>
      </c>
      <c r="P3804" s="0" t="n">
        <f aca="false">F3804*F3804</f>
        <v>0</v>
      </c>
      <c r="Q3804" s="0" t="n">
        <f aca="false">SUMPRODUCT(G3804:P3804,_XtX!$B$71:$K$71)</f>
        <v>45.7836647727273</v>
      </c>
      <c r="R3804" s="0" t="n">
        <f aca="false">SUMPRODUCT(MMULT(G3804:P3804,_XtX!$B$58:$K$67),G3804:P3804)</f>
        <v>0.264930308948864</v>
      </c>
      <c r="S3804" s="0" t="n">
        <f aca="false">04_回帰ANOVA!$K$19*04_回帰ANOVA!$K$14*SQRT(1+R3804)</f>
        <v>1.04568272997153</v>
      </c>
      <c r="T3804" s="0" t="n">
        <f aca="false">Q3804-S3804</f>
        <v>44.7379820427558</v>
      </c>
      <c r="U3804" s="0" t="n">
        <f aca="false">Q3804+S3804</f>
        <v>46.8293475026988</v>
      </c>
      <c r="V3804" s="54" t="b">
        <f aca="false">AND(D3804&gt;=01_因子設定!$L$5-0.000000001,D3804&lt;=01_因子設定!$M$5+0.000000001,E3804&gt;=01_因子設定!$L$6-0.000000001,E3804&lt;=01_因子設定!$M$6+0.000000001,F3804&gt;=01_因子設定!$L$7-0.000000001,F3804&lt;=01_因子設定!$M$7+0.000000001,IF(01_因子設定!$B$20="Box-Behnken",D3804^2+E3804^2+F3804^2&lt;=2+0.000000001,TRUE()))</f>
        <v>1</v>
      </c>
      <c r="W3804" s="55" t="n">
        <f aca="false">IF(V3804,IF(01_因子設定!$B$13="最大化",T3804-01_因子設定!$B$14,IF(01_因子設定!$B$13="最小化",01_因子設定!$B$15-U3804,MIN(T3804-01_因子設定!$B$14,01_因子設定!$B$15-U3804))),-1E+030)</f>
        <v>-3.76201795724425</v>
      </c>
      <c r="X3804" s="55" t="n">
        <f aca="false">IF(V3804,IF(01_因子設定!$B$13="最大化",Q3804,IF(01_因子設定!$B$13="最小化",-Q3804,-ABS(Q3804-01_因子設定!$B$16))),-1E+030)</f>
        <v>45.7836647727273</v>
      </c>
      <c r="Y3804" s="55" t="n">
        <f aca="false">W3804+ROW()*0.000000001</f>
        <v>-3.76201415324425</v>
      </c>
      <c r="Z3804" s="55" t="n">
        <f aca="false">X3804+ROW()*0.000000001</f>
        <v>45.7836685767273</v>
      </c>
    </row>
    <row r="3805" customFormat="false" ht="15" hidden="false" customHeight="false" outlineLevel="0" collapsed="false">
      <c r="A3805" s="0" t="n">
        <v>13</v>
      </c>
      <c r="B3805" s="0" t="n">
        <v>2</v>
      </c>
      <c r="C3805" s="0" t="n">
        <v>9</v>
      </c>
      <c r="D3805" s="0" t="n">
        <f aca="false">-1+A3805*0.125</f>
        <v>0.625</v>
      </c>
      <c r="E3805" s="0" t="n">
        <f aca="false">-1+B3805*0.125</f>
        <v>-0.75</v>
      </c>
      <c r="F3805" s="0" t="n">
        <f aca="false">-1+C3805*0.125</f>
        <v>0.125</v>
      </c>
      <c r="G3805" s="0" t="n">
        <f aca="false">1</f>
        <v>1</v>
      </c>
      <c r="H3805" s="0" t="n">
        <f aca="false">D3805</f>
        <v>0.625</v>
      </c>
      <c r="I3805" s="0" t="n">
        <f aca="false">E3805</f>
        <v>-0.75</v>
      </c>
      <c r="J3805" s="0" t="n">
        <f aca="false">F3805</f>
        <v>0.125</v>
      </c>
      <c r="K3805" s="0" t="n">
        <f aca="false">D3805*E3805</f>
        <v>-0.46875</v>
      </c>
      <c r="L3805" s="0" t="n">
        <f aca="false">D3805*F3805</f>
        <v>0.078125</v>
      </c>
      <c r="M3805" s="0" t="n">
        <f aca="false">E3805*F3805</f>
        <v>-0.09375</v>
      </c>
      <c r="N3805" s="0" t="n">
        <f aca="false">D3805*D3805</f>
        <v>0.390625</v>
      </c>
      <c r="O3805" s="0" t="n">
        <f aca="false">E3805*E3805</f>
        <v>0.5625</v>
      </c>
      <c r="P3805" s="0" t="n">
        <f aca="false">F3805*F3805</f>
        <v>0.015625</v>
      </c>
      <c r="Q3805" s="0" t="n">
        <f aca="false">SUMPRODUCT(G3805:P3805,_XtX!$B$71:$K$71)</f>
        <v>45.8838636363636</v>
      </c>
      <c r="R3805" s="0" t="n">
        <f aca="false">SUMPRODUCT(MMULT(G3805:P3805,_XtX!$B$58:$K$67),G3805:P3805)</f>
        <v>0.262961092862216</v>
      </c>
      <c r="S3805" s="0" t="n">
        <f aca="false">04_回帰ANOVA!$K$19*04_回帰ANOVA!$K$14*SQRT(1+R3805)</f>
        <v>1.04486846483649</v>
      </c>
      <c r="T3805" s="0" t="n">
        <f aca="false">Q3805-S3805</f>
        <v>44.8389951715272</v>
      </c>
      <c r="U3805" s="0" t="n">
        <f aca="false">Q3805+S3805</f>
        <v>46.9287321012001</v>
      </c>
      <c r="V3805" s="54" t="b">
        <f aca="false">AND(D3805&gt;=01_因子設定!$L$5-0.000000001,D3805&lt;=01_因子設定!$M$5+0.000000001,E3805&gt;=01_因子設定!$L$6-0.000000001,E3805&lt;=01_因子設定!$M$6+0.000000001,F3805&gt;=01_因子設定!$L$7-0.000000001,F3805&lt;=01_因子設定!$M$7+0.000000001,IF(01_因子設定!$B$20="Box-Behnken",D3805^2+E3805^2+F3805^2&lt;=2+0.000000001,TRUE()))</f>
        <v>1</v>
      </c>
      <c r="W3805" s="55" t="n">
        <f aca="false">IF(V3805,IF(01_因子設定!$B$13="最大化",T3805-01_因子設定!$B$14,IF(01_因子設定!$B$13="最小化",01_因子設定!$B$15-U3805,MIN(T3805-01_因子設定!$B$14,01_因子設定!$B$15-U3805))),-1E+030)</f>
        <v>-3.66100482847284</v>
      </c>
      <c r="X3805" s="55" t="n">
        <f aca="false">IF(V3805,IF(01_因子設定!$B$13="最大化",Q3805,IF(01_因子設定!$B$13="最小化",-Q3805,-ABS(Q3805-01_因子設定!$B$16))),-1E+030)</f>
        <v>45.8838636363636</v>
      </c>
      <c r="Y3805" s="55" t="n">
        <f aca="false">W3805+ROW()*0.000000001</f>
        <v>-3.66100102347284</v>
      </c>
      <c r="Z3805" s="55" t="n">
        <f aca="false">X3805+ROW()*0.000000001</f>
        <v>45.8838674413636</v>
      </c>
    </row>
    <row r="3806" customFormat="false" ht="15" hidden="false" customHeight="false" outlineLevel="0" collapsed="false">
      <c r="A3806" s="0" t="n">
        <v>13</v>
      </c>
      <c r="B3806" s="0" t="n">
        <v>2</v>
      </c>
      <c r="C3806" s="0" t="n">
        <v>10</v>
      </c>
      <c r="D3806" s="0" t="n">
        <f aca="false">-1+A3806*0.125</f>
        <v>0.625</v>
      </c>
      <c r="E3806" s="0" t="n">
        <f aca="false">-1+B3806*0.125</f>
        <v>-0.75</v>
      </c>
      <c r="F3806" s="0" t="n">
        <f aca="false">-1+C3806*0.125</f>
        <v>0.25</v>
      </c>
      <c r="G3806" s="0" t="n">
        <f aca="false">1</f>
        <v>1</v>
      </c>
      <c r="H3806" s="0" t="n">
        <f aca="false">D3806</f>
        <v>0.625</v>
      </c>
      <c r="I3806" s="0" t="n">
        <f aca="false">E3806</f>
        <v>-0.75</v>
      </c>
      <c r="J3806" s="0" t="n">
        <f aca="false">F3806</f>
        <v>0.25</v>
      </c>
      <c r="K3806" s="0" t="n">
        <f aca="false">D3806*E3806</f>
        <v>-0.46875</v>
      </c>
      <c r="L3806" s="0" t="n">
        <f aca="false">D3806*F3806</f>
        <v>0.15625</v>
      </c>
      <c r="M3806" s="0" t="n">
        <f aca="false">E3806*F3806</f>
        <v>-0.1875</v>
      </c>
      <c r="N3806" s="0" t="n">
        <f aca="false">D3806*D3806</f>
        <v>0.390625</v>
      </c>
      <c r="O3806" s="0" t="n">
        <f aca="false">E3806*E3806</f>
        <v>0.5625</v>
      </c>
      <c r="P3806" s="0" t="n">
        <f aca="false">F3806*F3806</f>
        <v>0.0625</v>
      </c>
      <c r="Q3806" s="0" t="n">
        <f aca="false">SUMPRODUCT(G3806:P3806,_XtX!$B$71:$K$71)</f>
        <v>45.9472727272727</v>
      </c>
      <c r="R3806" s="0" t="n">
        <f aca="false">SUMPRODUCT(MMULT(G3806:P3806,_XtX!$B$58:$K$67),G3806:P3806)</f>
        <v>0.258118785511364</v>
      </c>
      <c r="S3806" s="0" t="n">
        <f aca="false">04_回帰ANOVA!$K$19*04_回帰ANOVA!$K$14*SQRT(1+R3806)</f>
        <v>1.04286348094876</v>
      </c>
      <c r="T3806" s="0" t="n">
        <f aca="false">Q3806-S3806</f>
        <v>44.904409246324</v>
      </c>
      <c r="U3806" s="0" t="n">
        <f aca="false">Q3806+S3806</f>
        <v>46.9901362082215</v>
      </c>
      <c r="V3806" s="54" t="b">
        <f aca="false">AND(D3806&gt;=01_因子設定!$L$5-0.000000001,D3806&lt;=01_因子設定!$M$5+0.000000001,E3806&gt;=01_因子設定!$L$6-0.000000001,E3806&lt;=01_因子設定!$M$6+0.000000001,F3806&gt;=01_因子設定!$L$7-0.000000001,F3806&lt;=01_因子設定!$M$7+0.000000001,IF(01_因子設定!$B$20="Box-Behnken",D3806^2+E3806^2+F3806^2&lt;=2+0.000000001,TRUE()))</f>
        <v>1</v>
      </c>
      <c r="W3806" s="55" t="n">
        <f aca="false">IF(V3806,IF(01_因子設定!$B$13="最大化",T3806-01_因子設定!$B$14,IF(01_因子設定!$B$13="最小化",01_因子設定!$B$15-U3806,MIN(T3806-01_因子設定!$B$14,01_因子設定!$B$15-U3806))),-1E+030)</f>
        <v>-3.59559075367603</v>
      </c>
      <c r="X3806" s="55" t="n">
        <f aca="false">IF(V3806,IF(01_因子設定!$B$13="最大化",Q3806,IF(01_因子設定!$B$13="最小化",-Q3806,-ABS(Q3806-01_因子設定!$B$16))),-1E+030)</f>
        <v>45.9472727272727</v>
      </c>
      <c r="Y3806" s="55" t="n">
        <f aca="false">W3806+ROW()*0.000000001</f>
        <v>-3.59558694767603</v>
      </c>
      <c r="Z3806" s="55" t="n">
        <f aca="false">X3806+ROW()*0.000000001</f>
        <v>45.9472765332727</v>
      </c>
    </row>
    <row r="3807" customFormat="false" ht="15" hidden="false" customHeight="false" outlineLevel="0" collapsed="false">
      <c r="A3807" s="0" t="n">
        <v>13</v>
      </c>
      <c r="B3807" s="0" t="n">
        <v>2</v>
      </c>
      <c r="C3807" s="0" t="n">
        <v>11</v>
      </c>
      <c r="D3807" s="0" t="n">
        <f aca="false">-1+A3807*0.125</f>
        <v>0.625</v>
      </c>
      <c r="E3807" s="0" t="n">
        <f aca="false">-1+B3807*0.125</f>
        <v>-0.75</v>
      </c>
      <c r="F3807" s="0" t="n">
        <f aca="false">-1+C3807*0.125</f>
        <v>0.375</v>
      </c>
      <c r="G3807" s="0" t="n">
        <f aca="false">1</f>
        <v>1</v>
      </c>
      <c r="H3807" s="0" t="n">
        <f aca="false">D3807</f>
        <v>0.625</v>
      </c>
      <c r="I3807" s="0" t="n">
        <f aca="false">E3807</f>
        <v>-0.75</v>
      </c>
      <c r="J3807" s="0" t="n">
        <f aca="false">F3807</f>
        <v>0.375</v>
      </c>
      <c r="K3807" s="0" t="n">
        <f aca="false">D3807*E3807</f>
        <v>-0.46875</v>
      </c>
      <c r="L3807" s="0" t="n">
        <f aca="false">D3807*F3807</f>
        <v>0.234375</v>
      </c>
      <c r="M3807" s="0" t="n">
        <f aca="false">E3807*F3807</f>
        <v>-0.28125</v>
      </c>
      <c r="N3807" s="0" t="n">
        <f aca="false">D3807*D3807</f>
        <v>0.390625</v>
      </c>
      <c r="O3807" s="0" t="n">
        <f aca="false">E3807*E3807</f>
        <v>0.5625</v>
      </c>
      <c r="P3807" s="0" t="n">
        <f aca="false">F3807*F3807</f>
        <v>0.140625</v>
      </c>
      <c r="Q3807" s="0" t="n">
        <f aca="false">SUMPRODUCT(G3807:P3807,_XtX!$B$71:$K$71)</f>
        <v>45.9738920454546</v>
      </c>
      <c r="R3807" s="0" t="n">
        <f aca="false">SUMPRODUCT(MMULT(G3807:P3807,_XtX!$B$58:$K$67),G3807:P3807)</f>
        <v>0.25359940962358</v>
      </c>
      <c r="S3807" s="0" t="n">
        <f aca="false">04_回帰ANOVA!$K$19*04_回帰ANOVA!$K$14*SQRT(1+R3807)</f>
        <v>1.04098872464599</v>
      </c>
      <c r="T3807" s="0" t="n">
        <f aca="false">Q3807-S3807</f>
        <v>44.9329033208086</v>
      </c>
      <c r="U3807" s="0" t="n">
        <f aca="false">Q3807+S3807</f>
        <v>47.0148807701005</v>
      </c>
      <c r="V3807" s="54" t="b">
        <f aca="false">AND(D3807&gt;=01_因子設定!$L$5-0.000000001,D3807&lt;=01_因子設定!$M$5+0.000000001,E3807&gt;=01_因子設定!$L$6-0.000000001,E3807&lt;=01_因子設定!$M$6+0.000000001,F3807&gt;=01_因子設定!$L$7-0.000000001,F3807&lt;=01_因子設定!$M$7+0.000000001,IF(01_因子設定!$B$20="Box-Behnken",D3807^2+E3807^2+F3807^2&lt;=2+0.000000001,TRUE()))</f>
        <v>1</v>
      </c>
      <c r="W3807" s="55" t="n">
        <f aca="false">IF(V3807,IF(01_因子設定!$B$13="最大化",T3807-01_因子設定!$B$14,IF(01_因子設定!$B$13="最小化",01_因子設定!$B$15-U3807,MIN(T3807-01_因子設定!$B$14,01_因子設定!$B$15-U3807))),-1E+030)</f>
        <v>-3.56709667919143</v>
      </c>
      <c r="X3807" s="55" t="n">
        <f aca="false">IF(V3807,IF(01_因子設定!$B$13="最大化",Q3807,IF(01_因子設定!$B$13="最小化",-Q3807,-ABS(Q3807-01_因子設定!$B$16))),-1E+030)</f>
        <v>45.9738920454546</v>
      </c>
      <c r="Y3807" s="55" t="n">
        <f aca="false">W3807+ROW()*0.000000001</f>
        <v>-3.56709287219143</v>
      </c>
      <c r="Z3807" s="55" t="n">
        <f aca="false">X3807+ROW()*0.000000001</f>
        <v>45.9738958524546</v>
      </c>
    </row>
    <row r="3808" customFormat="false" ht="15" hidden="false" customHeight="false" outlineLevel="0" collapsed="false">
      <c r="A3808" s="0" t="n">
        <v>13</v>
      </c>
      <c r="B3808" s="0" t="n">
        <v>2</v>
      </c>
      <c r="C3808" s="0" t="n">
        <v>12</v>
      </c>
      <c r="D3808" s="0" t="n">
        <f aca="false">-1+A3808*0.125</f>
        <v>0.625</v>
      </c>
      <c r="E3808" s="0" t="n">
        <f aca="false">-1+B3808*0.125</f>
        <v>-0.75</v>
      </c>
      <c r="F3808" s="0" t="n">
        <f aca="false">-1+C3808*0.125</f>
        <v>0.5</v>
      </c>
      <c r="G3808" s="0" t="n">
        <f aca="false">1</f>
        <v>1</v>
      </c>
      <c r="H3808" s="0" t="n">
        <f aca="false">D3808</f>
        <v>0.625</v>
      </c>
      <c r="I3808" s="0" t="n">
        <f aca="false">E3808</f>
        <v>-0.75</v>
      </c>
      <c r="J3808" s="0" t="n">
        <f aca="false">F3808</f>
        <v>0.5</v>
      </c>
      <c r="K3808" s="0" t="n">
        <f aca="false">D3808*E3808</f>
        <v>-0.46875</v>
      </c>
      <c r="L3808" s="0" t="n">
        <f aca="false">D3808*F3808</f>
        <v>0.3125</v>
      </c>
      <c r="M3808" s="0" t="n">
        <f aca="false">E3808*F3808</f>
        <v>-0.375</v>
      </c>
      <c r="N3808" s="0" t="n">
        <f aca="false">D3808*D3808</f>
        <v>0.390625</v>
      </c>
      <c r="O3808" s="0" t="n">
        <f aca="false">E3808*E3808</f>
        <v>0.5625</v>
      </c>
      <c r="P3808" s="0" t="n">
        <f aca="false">F3808*F3808</f>
        <v>0.25</v>
      </c>
      <c r="Q3808" s="0" t="n">
        <f aca="false">SUMPRODUCT(G3808:P3808,_XtX!$B$71:$K$71)</f>
        <v>45.9637215909091</v>
      </c>
      <c r="R3808" s="0" t="n">
        <f aca="false">SUMPRODUCT(MMULT(G3808:P3808,_XtX!$B$58:$K$67),G3808:P3808)</f>
        <v>0.254729669744318</v>
      </c>
      <c r="S3808" s="0" t="n">
        <f aca="false">04_回帰ANOVA!$K$19*04_回帰ANOVA!$K$14*SQRT(1+R3808)</f>
        <v>1.04145790281631</v>
      </c>
      <c r="T3808" s="0" t="n">
        <f aca="false">Q3808-S3808</f>
        <v>44.9222636880928</v>
      </c>
      <c r="U3808" s="0" t="n">
        <f aca="false">Q3808+S3808</f>
        <v>47.0051794937254</v>
      </c>
      <c r="V3808" s="54" t="b">
        <f aca="false">AND(D3808&gt;=01_因子設定!$L$5-0.000000001,D3808&lt;=01_因子設定!$M$5+0.000000001,E3808&gt;=01_因子設定!$L$6-0.000000001,E3808&lt;=01_因子設定!$M$6+0.000000001,F3808&gt;=01_因子設定!$L$7-0.000000001,F3808&lt;=01_因子設定!$M$7+0.000000001,IF(01_因子設定!$B$20="Box-Behnken",D3808^2+E3808^2+F3808^2&lt;=2+0.000000001,TRUE()))</f>
        <v>1</v>
      </c>
      <c r="W3808" s="55" t="n">
        <f aca="false">IF(V3808,IF(01_因子設定!$B$13="最大化",T3808-01_因子設定!$B$14,IF(01_因子設定!$B$13="最小化",01_因子設定!$B$15-U3808,MIN(T3808-01_因子設定!$B$14,01_因子設定!$B$15-U3808))),-1E+030)</f>
        <v>-3.57773631190721</v>
      </c>
      <c r="X3808" s="55" t="n">
        <f aca="false">IF(V3808,IF(01_因子設定!$B$13="最大化",Q3808,IF(01_因子設定!$B$13="最小化",-Q3808,-ABS(Q3808-01_因子設定!$B$16))),-1E+030)</f>
        <v>45.9637215909091</v>
      </c>
      <c r="Y3808" s="55" t="n">
        <f aca="false">W3808+ROW()*0.000000001</f>
        <v>-3.57773250390721</v>
      </c>
      <c r="Z3808" s="55" t="n">
        <f aca="false">X3808+ROW()*0.000000001</f>
        <v>45.9637253989091</v>
      </c>
    </row>
    <row r="3809" customFormat="false" ht="15" hidden="false" customHeight="false" outlineLevel="0" collapsed="false">
      <c r="A3809" s="0" t="n">
        <v>13</v>
      </c>
      <c r="B3809" s="0" t="n">
        <v>2</v>
      </c>
      <c r="C3809" s="0" t="n">
        <v>13</v>
      </c>
      <c r="D3809" s="0" t="n">
        <f aca="false">-1+A3809*0.125</f>
        <v>0.625</v>
      </c>
      <c r="E3809" s="0" t="n">
        <f aca="false">-1+B3809*0.125</f>
        <v>-0.75</v>
      </c>
      <c r="F3809" s="0" t="n">
        <f aca="false">-1+C3809*0.125</f>
        <v>0.625</v>
      </c>
      <c r="G3809" s="0" t="n">
        <f aca="false">1</f>
        <v>1</v>
      </c>
      <c r="H3809" s="0" t="n">
        <f aca="false">D3809</f>
        <v>0.625</v>
      </c>
      <c r="I3809" s="0" t="n">
        <f aca="false">E3809</f>
        <v>-0.75</v>
      </c>
      <c r="J3809" s="0" t="n">
        <f aca="false">F3809</f>
        <v>0.625</v>
      </c>
      <c r="K3809" s="0" t="n">
        <f aca="false">D3809*E3809</f>
        <v>-0.46875</v>
      </c>
      <c r="L3809" s="0" t="n">
        <f aca="false">D3809*F3809</f>
        <v>0.390625</v>
      </c>
      <c r="M3809" s="0" t="n">
        <f aca="false">E3809*F3809</f>
        <v>-0.46875</v>
      </c>
      <c r="N3809" s="0" t="n">
        <f aca="false">D3809*D3809</f>
        <v>0.390625</v>
      </c>
      <c r="O3809" s="0" t="n">
        <f aca="false">E3809*E3809</f>
        <v>0.5625</v>
      </c>
      <c r="P3809" s="0" t="n">
        <f aca="false">F3809*F3809</f>
        <v>0.390625</v>
      </c>
      <c r="Q3809" s="0" t="n">
        <f aca="false">SUMPRODUCT(G3809:P3809,_XtX!$B$71:$K$71)</f>
        <v>45.9167613636364</v>
      </c>
      <c r="R3809" s="0" t="n">
        <f aca="false">SUMPRODUCT(MMULT(G3809:P3809,_XtX!$B$58:$K$67),G3809:P3809)</f>
        <v>0.268966952237216</v>
      </c>
      <c r="S3809" s="0" t="n">
        <f aca="false">04_回帰ANOVA!$K$19*04_回帰ANOVA!$K$14*SQRT(1+R3809)</f>
        <v>1.04734989137801</v>
      </c>
      <c r="T3809" s="0" t="n">
        <f aca="false">Q3809-S3809</f>
        <v>44.8694114722584</v>
      </c>
      <c r="U3809" s="0" t="n">
        <f aca="false">Q3809+S3809</f>
        <v>46.9641112550144</v>
      </c>
      <c r="V3809" s="54" t="b">
        <f aca="false">AND(D3809&gt;=01_因子設定!$L$5-0.000000001,D3809&lt;=01_因子設定!$M$5+0.000000001,E3809&gt;=01_因子設定!$L$6-0.000000001,E3809&lt;=01_因子設定!$M$6+0.000000001,F3809&gt;=01_因子設定!$L$7-0.000000001,F3809&lt;=01_因子設定!$M$7+0.000000001,IF(01_因子設定!$B$20="Box-Behnken",D3809^2+E3809^2+F3809^2&lt;=2+0.000000001,TRUE()))</f>
        <v>1</v>
      </c>
      <c r="W3809" s="55" t="n">
        <f aca="false">IF(V3809,IF(01_因子設定!$B$13="最大化",T3809-01_因子設定!$B$14,IF(01_因子設定!$B$13="最小化",01_因子設定!$B$15-U3809,MIN(T3809-01_因子設定!$B$14,01_因子設定!$B$15-U3809))),-1E+030)</f>
        <v>-3.63058852774164</v>
      </c>
      <c r="X3809" s="55" t="n">
        <f aca="false">IF(V3809,IF(01_因子設定!$B$13="最大化",Q3809,IF(01_因子設定!$B$13="最小化",-Q3809,-ABS(Q3809-01_因子設定!$B$16))),-1E+030)</f>
        <v>45.9167613636364</v>
      </c>
      <c r="Y3809" s="55" t="n">
        <f aca="false">W3809+ROW()*0.000000001</f>
        <v>-3.63058471874164</v>
      </c>
      <c r="Z3809" s="55" t="n">
        <f aca="false">X3809+ROW()*0.000000001</f>
        <v>45.9167651726364</v>
      </c>
    </row>
    <row r="3810" customFormat="false" ht="15" hidden="false" customHeight="false" outlineLevel="0" collapsed="false">
      <c r="A3810" s="0" t="n">
        <v>13</v>
      </c>
      <c r="B3810" s="0" t="n">
        <v>2</v>
      </c>
      <c r="C3810" s="0" t="n">
        <v>14</v>
      </c>
      <c r="D3810" s="0" t="n">
        <f aca="false">-1+A3810*0.125</f>
        <v>0.625</v>
      </c>
      <c r="E3810" s="0" t="n">
        <f aca="false">-1+B3810*0.125</f>
        <v>-0.75</v>
      </c>
      <c r="F3810" s="0" t="n">
        <f aca="false">-1+C3810*0.125</f>
        <v>0.75</v>
      </c>
      <c r="G3810" s="0" t="n">
        <f aca="false">1</f>
        <v>1</v>
      </c>
      <c r="H3810" s="0" t="n">
        <f aca="false">D3810</f>
        <v>0.625</v>
      </c>
      <c r="I3810" s="0" t="n">
        <f aca="false">E3810</f>
        <v>-0.75</v>
      </c>
      <c r="J3810" s="0" t="n">
        <f aca="false">F3810</f>
        <v>0.75</v>
      </c>
      <c r="K3810" s="0" t="n">
        <f aca="false">D3810*E3810</f>
        <v>-0.46875</v>
      </c>
      <c r="L3810" s="0" t="n">
        <f aca="false">D3810*F3810</f>
        <v>0.46875</v>
      </c>
      <c r="M3810" s="0" t="n">
        <f aca="false">E3810*F3810</f>
        <v>-0.5625</v>
      </c>
      <c r="N3810" s="0" t="n">
        <f aca="false">D3810*D3810</f>
        <v>0.390625</v>
      </c>
      <c r="O3810" s="0" t="n">
        <f aca="false">E3810*E3810</f>
        <v>0.5625</v>
      </c>
      <c r="P3810" s="0" t="n">
        <f aca="false">F3810*F3810</f>
        <v>0.5625</v>
      </c>
      <c r="Q3810" s="0" t="n">
        <f aca="false">SUMPRODUCT(G3810:P3810,_XtX!$B$71:$K$71)</f>
        <v>45.8330113636364</v>
      </c>
      <c r="R3810" s="0" t="n">
        <f aca="false">SUMPRODUCT(MMULT(G3810:P3810,_XtX!$B$58:$K$67),G3810:P3810)</f>
        <v>0.305899325284091</v>
      </c>
      <c r="S3810" s="0" t="n">
        <f aca="false">04_回帰ANOVA!$K$19*04_回帰ANOVA!$K$14*SQRT(1+R3810)</f>
        <v>1.06248176416816</v>
      </c>
      <c r="T3810" s="0" t="n">
        <f aca="false">Q3810-S3810</f>
        <v>44.7705295994682</v>
      </c>
      <c r="U3810" s="0" t="n">
        <f aca="false">Q3810+S3810</f>
        <v>46.8954931278045</v>
      </c>
      <c r="V3810" s="54" t="b">
        <f aca="false">AND(D3810&gt;=01_因子設定!$L$5-0.000000001,D3810&lt;=01_因子設定!$M$5+0.000000001,E3810&gt;=01_因子設定!$L$6-0.000000001,E3810&lt;=01_因子設定!$M$6+0.000000001,F3810&gt;=01_因子設定!$L$7-0.000000001,F3810&lt;=01_因子設定!$M$7+0.000000001,IF(01_因子設定!$B$20="Box-Behnken",D3810^2+E3810^2+F3810^2&lt;=2+0.000000001,TRUE()))</f>
        <v>1</v>
      </c>
      <c r="W3810" s="55" t="n">
        <f aca="false">IF(V3810,IF(01_因子設定!$B$13="最大化",T3810-01_因子設定!$B$14,IF(01_因子設定!$B$13="最小化",01_因子設定!$B$15-U3810,MIN(T3810-01_因子設定!$B$14,01_因子設定!$B$15-U3810))),-1E+030)</f>
        <v>-3.72947040053178</v>
      </c>
      <c r="X3810" s="55" t="n">
        <f aca="false">IF(V3810,IF(01_因子設定!$B$13="最大化",Q3810,IF(01_因子設定!$B$13="最小化",-Q3810,-ABS(Q3810-01_因子設定!$B$16))),-1E+030)</f>
        <v>45.8330113636364</v>
      </c>
      <c r="Y3810" s="55" t="n">
        <f aca="false">W3810+ROW()*0.000000001</f>
        <v>-3.72946659053178</v>
      </c>
      <c r="Z3810" s="55" t="n">
        <f aca="false">X3810+ROW()*0.000000001</f>
        <v>45.8330151736364</v>
      </c>
    </row>
    <row r="3811" customFormat="false" ht="15" hidden="false" customHeight="false" outlineLevel="0" collapsed="false">
      <c r="A3811" s="0" t="n">
        <v>13</v>
      </c>
      <c r="B3811" s="0" t="n">
        <v>2</v>
      </c>
      <c r="C3811" s="0" t="n">
        <v>15</v>
      </c>
      <c r="D3811" s="0" t="n">
        <f aca="false">-1+A3811*0.125</f>
        <v>0.625</v>
      </c>
      <c r="E3811" s="0" t="n">
        <f aca="false">-1+B3811*0.125</f>
        <v>-0.75</v>
      </c>
      <c r="F3811" s="0" t="n">
        <f aca="false">-1+C3811*0.125</f>
        <v>0.875</v>
      </c>
      <c r="G3811" s="0" t="n">
        <f aca="false">1</f>
        <v>1</v>
      </c>
      <c r="H3811" s="0" t="n">
        <f aca="false">D3811</f>
        <v>0.625</v>
      </c>
      <c r="I3811" s="0" t="n">
        <f aca="false">E3811</f>
        <v>-0.75</v>
      </c>
      <c r="J3811" s="0" t="n">
        <f aca="false">F3811</f>
        <v>0.875</v>
      </c>
      <c r="K3811" s="0" t="n">
        <f aca="false">D3811*E3811</f>
        <v>-0.46875</v>
      </c>
      <c r="L3811" s="0" t="n">
        <f aca="false">D3811*F3811</f>
        <v>0.546875</v>
      </c>
      <c r="M3811" s="0" t="n">
        <f aca="false">E3811*F3811</f>
        <v>-0.65625</v>
      </c>
      <c r="N3811" s="0" t="n">
        <f aca="false">D3811*D3811</f>
        <v>0.390625</v>
      </c>
      <c r="O3811" s="0" t="n">
        <f aca="false">E3811*E3811</f>
        <v>0.5625</v>
      </c>
      <c r="P3811" s="0" t="n">
        <f aca="false">F3811*F3811</f>
        <v>0.765625</v>
      </c>
      <c r="Q3811" s="0" t="n">
        <f aca="false">SUMPRODUCT(G3811:P3811,_XtX!$B$71:$K$71)</f>
        <v>45.7124715909091</v>
      </c>
      <c r="R3811" s="0" t="n">
        <f aca="false">SUMPRODUCT(MMULT(G3811:P3811,_XtX!$B$58:$K$67),G3811:P3811)</f>
        <v>0.377245538884943</v>
      </c>
      <c r="S3811" s="0" t="n">
        <f aca="false">04_回帰ANOVA!$K$19*04_回帰ANOVA!$K$14*SQRT(1+R3811)</f>
        <v>1.09111951468927</v>
      </c>
      <c r="T3811" s="0" t="n">
        <f aca="false">Q3811-S3811</f>
        <v>44.6213520762198</v>
      </c>
      <c r="U3811" s="0" t="n">
        <f aca="false">Q3811+S3811</f>
        <v>46.8035911055984</v>
      </c>
      <c r="V3811" s="54" t="b">
        <f aca="false">AND(D3811&gt;=01_因子設定!$L$5-0.000000001,D3811&lt;=01_因子設定!$M$5+0.000000001,E3811&gt;=01_因子設定!$L$6-0.000000001,E3811&lt;=01_因子設定!$M$6+0.000000001,F3811&gt;=01_因子設定!$L$7-0.000000001,F3811&lt;=01_因子設定!$M$7+0.000000001,IF(01_因子設定!$B$20="Box-Behnken",D3811^2+E3811^2+F3811^2&lt;=2+0.000000001,TRUE()))</f>
        <v>1</v>
      </c>
      <c r="W3811" s="55" t="n">
        <f aca="false">IF(V3811,IF(01_因子設定!$B$13="最大化",T3811-01_因子設定!$B$14,IF(01_因子設定!$B$13="最小化",01_因子設定!$B$15-U3811,MIN(T3811-01_因子設定!$B$14,01_因子設定!$B$15-U3811))),-1E+030)</f>
        <v>-3.87864792378016</v>
      </c>
      <c r="X3811" s="55" t="n">
        <f aca="false">IF(V3811,IF(01_因子設定!$B$13="最大化",Q3811,IF(01_因子設定!$B$13="最小化",-Q3811,-ABS(Q3811-01_因子設定!$B$16))),-1E+030)</f>
        <v>45.7124715909091</v>
      </c>
      <c r="Y3811" s="55" t="n">
        <f aca="false">W3811+ROW()*0.000000001</f>
        <v>-3.87864411278016</v>
      </c>
      <c r="Z3811" s="55" t="n">
        <f aca="false">X3811+ROW()*0.000000001</f>
        <v>45.7124754019091</v>
      </c>
    </row>
    <row r="3812" customFormat="false" ht="15" hidden="false" customHeight="false" outlineLevel="0" collapsed="false">
      <c r="A3812" s="0" t="n">
        <v>13</v>
      </c>
      <c r="B3812" s="0" t="n">
        <v>2</v>
      </c>
      <c r="C3812" s="0" t="n">
        <v>16</v>
      </c>
      <c r="D3812" s="0" t="n">
        <f aca="false">-1+A3812*0.125</f>
        <v>0.625</v>
      </c>
      <c r="E3812" s="0" t="n">
        <f aca="false">-1+B3812*0.125</f>
        <v>-0.75</v>
      </c>
      <c r="F3812" s="0" t="n">
        <f aca="false">-1+C3812*0.125</f>
        <v>1</v>
      </c>
      <c r="G3812" s="0" t="n">
        <f aca="false">1</f>
        <v>1</v>
      </c>
      <c r="H3812" s="0" t="n">
        <f aca="false">D3812</f>
        <v>0.625</v>
      </c>
      <c r="I3812" s="0" t="n">
        <f aca="false">E3812</f>
        <v>-0.75</v>
      </c>
      <c r="J3812" s="0" t="n">
        <f aca="false">F3812</f>
        <v>1</v>
      </c>
      <c r="K3812" s="0" t="n">
        <f aca="false">D3812*E3812</f>
        <v>-0.46875</v>
      </c>
      <c r="L3812" s="0" t="n">
        <f aca="false">D3812*F3812</f>
        <v>0.625</v>
      </c>
      <c r="M3812" s="0" t="n">
        <f aca="false">E3812*F3812</f>
        <v>-0.75</v>
      </c>
      <c r="N3812" s="0" t="n">
        <f aca="false">D3812*D3812</f>
        <v>0.390625</v>
      </c>
      <c r="O3812" s="0" t="n">
        <f aca="false">E3812*E3812</f>
        <v>0.5625</v>
      </c>
      <c r="P3812" s="0" t="n">
        <f aca="false">F3812*F3812</f>
        <v>1</v>
      </c>
      <c r="Q3812" s="0" t="n">
        <f aca="false">SUMPRODUCT(G3812:P3812,_XtX!$B$71:$K$71)</f>
        <v>45.5551420454546</v>
      </c>
      <c r="R3812" s="0" t="n">
        <f aca="false">SUMPRODUCT(MMULT(G3812:P3812,_XtX!$B$58:$K$67),G3812:P3812)</f>
        <v>0.496855024857955</v>
      </c>
      <c r="S3812" s="0" t="n">
        <f aca="false">04_回帰ANOVA!$K$19*04_回帰ANOVA!$K$14*SQRT(1+R3812)</f>
        <v>1.1375133593161</v>
      </c>
      <c r="T3812" s="0" t="n">
        <f aca="false">Q3812-S3812</f>
        <v>44.4176286861385</v>
      </c>
      <c r="U3812" s="0" t="n">
        <f aca="false">Q3812+S3812</f>
        <v>46.6926554047707</v>
      </c>
      <c r="V3812" s="54" t="b">
        <f aca="false">AND(D3812&gt;=01_因子設定!$L$5-0.000000001,D3812&lt;=01_因子設定!$M$5+0.000000001,E3812&gt;=01_因子設定!$L$6-0.000000001,E3812&lt;=01_因子設定!$M$6+0.000000001,F3812&gt;=01_因子設定!$L$7-0.000000001,F3812&lt;=01_因子設定!$M$7+0.000000001,IF(01_因子設定!$B$20="Box-Behnken",D3812^2+E3812^2+F3812^2&lt;=2+0.000000001,TRUE()))</f>
        <v>1</v>
      </c>
      <c r="W3812" s="55" t="n">
        <f aca="false">IF(V3812,IF(01_因子設定!$B$13="最大化",T3812-01_因子設定!$B$14,IF(01_因子設定!$B$13="最小化",01_因子設定!$B$15-U3812,MIN(T3812-01_因子設定!$B$14,01_因子設定!$B$15-U3812))),-1E+030)</f>
        <v>-4.08237131386153</v>
      </c>
      <c r="X3812" s="55" t="n">
        <f aca="false">IF(V3812,IF(01_因子設定!$B$13="最大化",Q3812,IF(01_因子設定!$B$13="最小化",-Q3812,-ABS(Q3812-01_因子設定!$B$16))),-1E+030)</f>
        <v>45.5551420454546</v>
      </c>
      <c r="Y3812" s="55" t="n">
        <f aca="false">W3812+ROW()*0.000000001</f>
        <v>-4.08236750186153</v>
      </c>
      <c r="Z3812" s="55" t="n">
        <f aca="false">X3812+ROW()*0.000000001</f>
        <v>45.5551458574546</v>
      </c>
    </row>
    <row r="3813" customFormat="false" ht="15" hidden="false" customHeight="false" outlineLevel="0" collapsed="false">
      <c r="A3813" s="0" t="n">
        <v>13</v>
      </c>
      <c r="B3813" s="0" t="n">
        <v>3</v>
      </c>
      <c r="C3813" s="0" t="n">
        <v>0</v>
      </c>
      <c r="D3813" s="0" t="n">
        <f aca="false">-1+A3813*0.125</f>
        <v>0.625</v>
      </c>
      <c r="E3813" s="0" t="n">
        <f aca="false">-1+B3813*0.125</f>
        <v>-0.625</v>
      </c>
      <c r="F3813" s="0" t="n">
        <f aca="false">-1+C3813*0.125</f>
        <v>-1</v>
      </c>
      <c r="G3813" s="0" t="n">
        <f aca="false">1</f>
        <v>1</v>
      </c>
      <c r="H3813" s="0" t="n">
        <f aca="false">D3813</f>
        <v>0.625</v>
      </c>
      <c r="I3813" s="0" t="n">
        <f aca="false">E3813</f>
        <v>-0.625</v>
      </c>
      <c r="J3813" s="0" t="n">
        <f aca="false">F3813</f>
        <v>-1</v>
      </c>
      <c r="K3813" s="0" t="n">
        <f aca="false">D3813*E3813</f>
        <v>-0.390625</v>
      </c>
      <c r="L3813" s="0" t="n">
        <f aca="false">D3813*F3813</f>
        <v>-0.625</v>
      </c>
      <c r="M3813" s="0" t="n">
        <f aca="false">E3813*F3813</f>
        <v>0.625</v>
      </c>
      <c r="N3813" s="0" t="n">
        <f aca="false">D3813*D3813</f>
        <v>0.390625</v>
      </c>
      <c r="O3813" s="0" t="n">
        <f aca="false">E3813*E3813</f>
        <v>0.390625</v>
      </c>
      <c r="P3813" s="0" t="n">
        <f aca="false">F3813*F3813</f>
        <v>1</v>
      </c>
      <c r="Q3813" s="0" t="n">
        <f aca="false">SUMPRODUCT(G3813:P3813,_XtX!$B$71:$K$71)</f>
        <v>44.3042826704546</v>
      </c>
      <c r="R3813" s="0" t="n">
        <f aca="false">SUMPRODUCT(MMULT(G3813:P3813,_XtX!$B$58:$K$67),G3813:P3813)</f>
        <v>0.47103105024858</v>
      </c>
      <c r="S3813" s="0" t="n">
        <f aca="false">04_回帰ANOVA!$K$19*04_回帰ANOVA!$K$14*SQRT(1+R3813)</f>
        <v>1.1276583912499</v>
      </c>
      <c r="T3813" s="0" t="n">
        <f aca="false">Q3813-S3813</f>
        <v>43.1766242792047</v>
      </c>
      <c r="U3813" s="0" t="n">
        <f aca="false">Q3813+S3813</f>
        <v>45.4319410617045</v>
      </c>
      <c r="V3813" s="54" t="b">
        <f aca="false">AND(D3813&gt;=01_因子設定!$L$5-0.000000001,D3813&lt;=01_因子設定!$M$5+0.000000001,E3813&gt;=01_因子設定!$L$6-0.000000001,E3813&lt;=01_因子設定!$M$6+0.000000001,F3813&gt;=01_因子設定!$L$7-0.000000001,F3813&lt;=01_因子設定!$M$7+0.000000001,IF(01_因子設定!$B$20="Box-Behnken",D3813^2+E3813^2+F3813^2&lt;=2+0.000000001,TRUE()))</f>
        <v>1</v>
      </c>
      <c r="W3813" s="55" t="n">
        <f aca="false">IF(V3813,IF(01_因子設定!$B$13="最大化",T3813-01_因子設定!$B$14,IF(01_因子設定!$B$13="最小化",01_因子設定!$B$15-U3813,MIN(T3813-01_因子設定!$B$14,01_因子設定!$B$15-U3813))),-1E+030)</f>
        <v>-5.32337572079533</v>
      </c>
      <c r="X3813" s="55" t="n">
        <f aca="false">IF(V3813,IF(01_因子設定!$B$13="最大化",Q3813,IF(01_因子設定!$B$13="最小化",-Q3813,-ABS(Q3813-01_因子設定!$B$16))),-1E+030)</f>
        <v>44.3042826704546</v>
      </c>
      <c r="Y3813" s="55" t="n">
        <f aca="false">W3813+ROW()*0.000000001</f>
        <v>-5.32337190779533</v>
      </c>
      <c r="Z3813" s="55" t="n">
        <f aca="false">X3813+ROW()*0.000000001</f>
        <v>44.3042864834546</v>
      </c>
    </row>
    <row r="3814" customFormat="false" ht="15" hidden="false" customHeight="false" outlineLevel="0" collapsed="false">
      <c r="A3814" s="0" t="n">
        <v>13</v>
      </c>
      <c r="B3814" s="0" t="n">
        <v>3</v>
      </c>
      <c r="C3814" s="0" t="n">
        <v>1</v>
      </c>
      <c r="D3814" s="0" t="n">
        <f aca="false">-1+A3814*0.125</f>
        <v>0.625</v>
      </c>
      <c r="E3814" s="0" t="n">
        <f aca="false">-1+B3814*0.125</f>
        <v>-0.625</v>
      </c>
      <c r="F3814" s="0" t="n">
        <f aca="false">-1+C3814*0.125</f>
        <v>-0.875</v>
      </c>
      <c r="G3814" s="0" t="n">
        <f aca="false">1</f>
        <v>1</v>
      </c>
      <c r="H3814" s="0" t="n">
        <f aca="false">D3814</f>
        <v>0.625</v>
      </c>
      <c r="I3814" s="0" t="n">
        <f aca="false">E3814</f>
        <v>-0.625</v>
      </c>
      <c r="J3814" s="0" t="n">
        <f aca="false">F3814</f>
        <v>-0.875</v>
      </c>
      <c r="K3814" s="0" t="n">
        <f aca="false">D3814*E3814</f>
        <v>-0.390625</v>
      </c>
      <c r="L3814" s="0" t="n">
        <f aca="false">D3814*F3814</f>
        <v>-0.546875</v>
      </c>
      <c r="M3814" s="0" t="n">
        <f aca="false">E3814*F3814</f>
        <v>0.546875</v>
      </c>
      <c r="N3814" s="0" t="n">
        <f aca="false">D3814*D3814</f>
        <v>0.390625</v>
      </c>
      <c r="O3814" s="0" t="n">
        <f aca="false">E3814*E3814</f>
        <v>0.390625</v>
      </c>
      <c r="P3814" s="0" t="n">
        <f aca="false">F3814*F3814</f>
        <v>0.765625</v>
      </c>
      <c r="Q3814" s="0" t="n">
        <f aca="false">SUMPRODUCT(G3814:P3814,_XtX!$B$71:$K$71)</f>
        <v>44.7058309659091</v>
      </c>
      <c r="R3814" s="0" t="n">
        <f aca="false">SUMPRODUCT(MMULT(G3814:P3814,_XtX!$B$58:$K$67),G3814:P3814)</f>
        <v>0.345470636541193</v>
      </c>
      <c r="S3814" s="0" t="n">
        <f aca="false">04_回帰ANOVA!$K$19*04_回帰ANOVA!$K$14*SQRT(1+R3814)</f>
        <v>1.07845927083227</v>
      </c>
      <c r="T3814" s="0" t="n">
        <f aca="false">Q3814-S3814</f>
        <v>43.6273716950768</v>
      </c>
      <c r="U3814" s="0" t="n">
        <f aca="false">Q3814+S3814</f>
        <v>45.7842902367414</v>
      </c>
      <c r="V3814" s="54" t="b">
        <f aca="false">AND(D3814&gt;=01_因子設定!$L$5-0.000000001,D3814&lt;=01_因子設定!$M$5+0.000000001,E3814&gt;=01_因子設定!$L$6-0.000000001,E3814&lt;=01_因子設定!$M$6+0.000000001,F3814&gt;=01_因子設定!$L$7-0.000000001,F3814&lt;=01_因子設定!$M$7+0.000000001,IF(01_因子設定!$B$20="Box-Behnken",D3814^2+E3814^2+F3814^2&lt;=2+0.000000001,TRUE()))</f>
        <v>1</v>
      </c>
      <c r="W3814" s="55" t="n">
        <f aca="false">IF(V3814,IF(01_因子設定!$B$13="最大化",T3814-01_因子設定!$B$14,IF(01_因子設定!$B$13="最小化",01_因子設定!$B$15-U3814,MIN(T3814-01_因子設定!$B$14,01_因子設定!$B$15-U3814))),-1E+030)</f>
        <v>-4.87262830492316</v>
      </c>
      <c r="X3814" s="55" t="n">
        <f aca="false">IF(V3814,IF(01_因子設定!$B$13="最大化",Q3814,IF(01_因子設定!$B$13="最小化",-Q3814,-ABS(Q3814-01_因子設定!$B$16))),-1E+030)</f>
        <v>44.7058309659091</v>
      </c>
      <c r="Y3814" s="55" t="n">
        <f aca="false">W3814+ROW()*0.000000001</f>
        <v>-4.87262449092316</v>
      </c>
      <c r="Z3814" s="55" t="n">
        <f aca="false">X3814+ROW()*0.000000001</f>
        <v>44.7058347799091</v>
      </c>
    </row>
    <row r="3815" customFormat="false" ht="15" hidden="false" customHeight="false" outlineLevel="0" collapsed="false">
      <c r="A3815" s="0" t="n">
        <v>13</v>
      </c>
      <c r="B3815" s="0" t="n">
        <v>3</v>
      </c>
      <c r="C3815" s="0" t="n">
        <v>2</v>
      </c>
      <c r="D3815" s="0" t="n">
        <f aca="false">-1+A3815*0.125</f>
        <v>0.625</v>
      </c>
      <c r="E3815" s="0" t="n">
        <f aca="false">-1+B3815*0.125</f>
        <v>-0.625</v>
      </c>
      <c r="F3815" s="0" t="n">
        <f aca="false">-1+C3815*0.125</f>
        <v>-0.75</v>
      </c>
      <c r="G3815" s="0" t="n">
        <f aca="false">1</f>
        <v>1</v>
      </c>
      <c r="H3815" s="0" t="n">
        <f aca="false">D3815</f>
        <v>0.625</v>
      </c>
      <c r="I3815" s="0" t="n">
        <f aca="false">E3815</f>
        <v>-0.625</v>
      </c>
      <c r="J3815" s="0" t="n">
        <f aca="false">F3815</f>
        <v>-0.75</v>
      </c>
      <c r="K3815" s="0" t="n">
        <f aca="false">D3815*E3815</f>
        <v>-0.390625</v>
      </c>
      <c r="L3815" s="0" t="n">
        <f aca="false">D3815*F3815</f>
        <v>-0.46875</v>
      </c>
      <c r="M3815" s="0" t="n">
        <f aca="false">E3815*F3815</f>
        <v>0.46875</v>
      </c>
      <c r="N3815" s="0" t="n">
        <f aca="false">D3815*D3815</f>
        <v>0.390625</v>
      </c>
      <c r="O3815" s="0" t="n">
        <f aca="false">E3815*E3815</f>
        <v>0.390625</v>
      </c>
      <c r="P3815" s="0" t="n">
        <f aca="false">F3815*F3815</f>
        <v>0.5625</v>
      </c>
      <c r="Q3815" s="0" t="n">
        <f aca="false">SUMPRODUCT(G3815:P3815,_XtX!$B$71:$K$71)</f>
        <v>45.0705894886364</v>
      </c>
      <c r="R3815" s="0" t="n">
        <f aca="false">SUMPRODUCT(MMULT(G3815:P3815,_XtX!$B$58:$K$67),G3815:P3815)</f>
        <v>0.268966952237216</v>
      </c>
      <c r="S3815" s="0" t="n">
        <f aca="false">04_回帰ANOVA!$K$19*04_回帰ANOVA!$K$14*SQRT(1+R3815)</f>
        <v>1.04734989137801</v>
      </c>
      <c r="T3815" s="0" t="n">
        <f aca="false">Q3815-S3815</f>
        <v>44.0232395972584</v>
      </c>
      <c r="U3815" s="0" t="n">
        <f aca="false">Q3815+S3815</f>
        <v>46.1179393800144</v>
      </c>
      <c r="V3815" s="54" t="b">
        <f aca="false">AND(D3815&gt;=01_因子設定!$L$5-0.000000001,D3815&lt;=01_因子設定!$M$5+0.000000001,E3815&gt;=01_因子設定!$L$6-0.000000001,E3815&lt;=01_因子設定!$M$6+0.000000001,F3815&gt;=01_因子設定!$L$7-0.000000001,F3815&lt;=01_因子設定!$M$7+0.000000001,IF(01_因子設定!$B$20="Box-Behnken",D3815^2+E3815^2+F3815^2&lt;=2+0.000000001,TRUE()))</f>
        <v>1</v>
      </c>
      <c r="W3815" s="55" t="n">
        <f aca="false">IF(V3815,IF(01_因子設定!$B$13="最大化",T3815-01_因子設定!$B$14,IF(01_因子設定!$B$13="最小化",01_因子設定!$B$15-U3815,MIN(T3815-01_因子設定!$B$14,01_因子設定!$B$15-U3815))),-1E+030)</f>
        <v>-4.47676040274163</v>
      </c>
      <c r="X3815" s="55" t="n">
        <f aca="false">IF(V3815,IF(01_因子設定!$B$13="最大化",Q3815,IF(01_因子設定!$B$13="最小化",-Q3815,-ABS(Q3815-01_因子設定!$B$16))),-1E+030)</f>
        <v>45.0705894886364</v>
      </c>
      <c r="Y3815" s="55" t="n">
        <f aca="false">W3815+ROW()*0.000000001</f>
        <v>-4.47675658774163</v>
      </c>
      <c r="Z3815" s="55" t="n">
        <f aca="false">X3815+ROW()*0.000000001</f>
        <v>45.0705933036364</v>
      </c>
    </row>
    <row r="3816" customFormat="false" ht="15" hidden="false" customHeight="false" outlineLevel="0" collapsed="false">
      <c r="A3816" s="0" t="n">
        <v>13</v>
      </c>
      <c r="B3816" s="0" t="n">
        <v>3</v>
      </c>
      <c r="C3816" s="0" t="n">
        <v>3</v>
      </c>
      <c r="D3816" s="0" t="n">
        <f aca="false">-1+A3816*0.125</f>
        <v>0.625</v>
      </c>
      <c r="E3816" s="0" t="n">
        <f aca="false">-1+B3816*0.125</f>
        <v>-0.625</v>
      </c>
      <c r="F3816" s="0" t="n">
        <f aca="false">-1+C3816*0.125</f>
        <v>-0.625</v>
      </c>
      <c r="G3816" s="0" t="n">
        <f aca="false">1</f>
        <v>1</v>
      </c>
      <c r="H3816" s="0" t="n">
        <f aca="false">D3816</f>
        <v>0.625</v>
      </c>
      <c r="I3816" s="0" t="n">
        <f aca="false">E3816</f>
        <v>-0.625</v>
      </c>
      <c r="J3816" s="0" t="n">
        <f aca="false">F3816</f>
        <v>-0.625</v>
      </c>
      <c r="K3816" s="0" t="n">
        <f aca="false">D3816*E3816</f>
        <v>-0.390625</v>
      </c>
      <c r="L3816" s="0" t="n">
        <f aca="false">D3816*F3816</f>
        <v>-0.390625</v>
      </c>
      <c r="M3816" s="0" t="n">
        <f aca="false">E3816*F3816</f>
        <v>0.390625</v>
      </c>
      <c r="N3816" s="0" t="n">
        <f aca="false">D3816*D3816</f>
        <v>0.390625</v>
      </c>
      <c r="O3816" s="0" t="n">
        <f aca="false">E3816*E3816</f>
        <v>0.390625</v>
      </c>
      <c r="P3816" s="0" t="n">
        <f aca="false">F3816*F3816</f>
        <v>0.390625</v>
      </c>
      <c r="Q3816" s="0" t="n">
        <f aca="false">SUMPRODUCT(G3816:P3816,_XtX!$B$71:$K$71)</f>
        <v>45.3985582386364</v>
      </c>
      <c r="R3816" s="0" t="n">
        <f aca="false">SUMPRODUCT(MMULT(G3816:P3816,_XtX!$B$58:$K$67),G3816:P3816)</f>
        <v>0.227670565518466</v>
      </c>
      <c r="S3816" s="0" t="n">
        <f aca="false">04_回帰ANOVA!$K$19*04_回帰ANOVA!$K$14*SQRT(1+R3816)</f>
        <v>1.03016681975165</v>
      </c>
      <c r="T3816" s="0" t="n">
        <f aca="false">Q3816-S3816</f>
        <v>44.3683914188847</v>
      </c>
      <c r="U3816" s="0" t="n">
        <f aca="false">Q3816+S3816</f>
        <v>46.428725058388</v>
      </c>
      <c r="V3816" s="54" t="b">
        <f aca="false">AND(D3816&gt;=01_因子設定!$L$5-0.000000001,D3816&lt;=01_因子設定!$M$5+0.000000001,E3816&gt;=01_因子設定!$L$6-0.000000001,E3816&lt;=01_因子設定!$M$6+0.000000001,F3816&gt;=01_因子設定!$L$7-0.000000001,F3816&lt;=01_因子設定!$M$7+0.000000001,IF(01_因子設定!$B$20="Box-Behnken",D3816^2+E3816^2+F3816^2&lt;=2+0.000000001,TRUE()))</f>
        <v>1</v>
      </c>
      <c r="W3816" s="55" t="n">
        <f aca="false">IF(V3816,IF(01_因子設定!$B$13="最大化",T3816-01_因子設定!$B$14,IF(01_因子設定!$B$13="最小化",01_因子設定!$B$15-U3816,MIN(T3816-01_因子設定!$B$14,01_因子設定!$B$15-U3816))),-1E+030)</f>
        <v>-4.13160858111527</v>
      </c>
      <c r="X3816" s="55" t="n">
        <f aca="false">IF(V3816,IF(01_因子設定!$B$13="最大化",Q3816,IF(01_因子設定!$B$13="最小化",-Q3816,-ABS(Q3816-01_因子設定!$B$16))),-1E+030)</f>
        <v>45.3985582386364</v>
      </c>
      <c r="Y3816" s="55" t="n">
        <f aca="false">W3816+ROW()*0.000000001</f>
        <v>-4.13160476511527</v>
      </c>
      <c r="Z3816" s="55" t="n">
        <f aca="false">X3816+ROW()*0.000000001</f>
        <v>45.3985620546364</v>
      </c>
    </row>
    <row r="3817" customFormat="false" ht="15" hidden="false" customHeight="false" outlineLevel="0" collapsed="false">
      <c r="A3817" s="0" t="n">
        <v>13</v>
      </c>
      <c r="B3817" s="0" t="n">
        <v>3</v>
      </c>
      <c r="C3817" s="0" t="n">
        <v>4</v>
      </c>
      <c r="D3817" s="0" t="n">
        <f aca="false">-1+A3817*0.125</f>
        <v>0.625</v>
      </c>
      <c r="E3817" s="0" t="n">
        <f aca="false">-1+B3817*0.125</f>
        <v>-0.625</v>
      </c>
      <c r="F3817" s="0" t="n">
        <f aca="false">-1+C3817*0.125</f>
        <v>-0.5</v>
      </c>
      <c r="G3817" s="0" t="n">
        <f aca="false">1</f>
        <v>1</v>
      </c>
      <c r="H3817" s="0" t="n">
        <f aca="false">D3817</f>
        <v>0.625</v>
      </c>
      <c r="I3817" s="0" t="n">
        <f aca="false">E3817</f>
        <v>-0.625</v>
      </c>
      <c r="J3817" s="0" t="n">
        <f aca="false">F3817</f>
        <v>-0.5</v>
      </c>
      <c r="K3817" s="0" t="n">
        <f aca="false">D3817*E3817</f>
        <v>-0.390625</v>
      </c>
      <c r="L3817" s="0" t="n">
        <f aca="false">D3817*F3817</f>
        <v>-0.3125</v>
      </c>
      <c r="M3817" s="0" t="n">
        <f aca="false">E3817*F3817</f>
        <v>0.3125</v>
      </c>
      <c r="N3817" s="0" t="n">
        <f aca="false">D3817*D3817</f>
        <v>0.390625</v>
      </c>
      <c r="O3817" s="0" t="n">
        <f aca="false">E3817*E3817</f>
        <v>0.390625</v>
      </c>
      <c r="P3817" s="0" t="n">
        <f aca="false">F3817*F3817</f>
        <v>0.25</v>
      </c>
      <c r="Q3817" s="0" t="n">
        <f aca="false">SUMPRODUCT(G3817:P3817,_XtX!$B$71:$K$71)</f>
        <v>45.6897372159091</v>
      </c>
      <c r="R3817" s="0" t="n">
        <f aca="false">SUMPRODUCT(MMULT(G3817:P3817,_XtX!$B$58:$K$67),G3817:P3817)</f>
        <v>0.209862726384943</v>
      </c>
      <c r="S3817" s="0" t="n">
        <f aca="false">04_回帰ANOVA!$K$19*04_回帰ANOVA!$K$14*SQRT(1+R3817)</f>
        <v>1.0226680420112</v>
      </c>
      <c r="T3817" s="0" t="n">
        <f aca="false">Q3817-S3817</f>
        <v>44.6670691738979</v>
      </c>
      <c r="U3817" s="0" t="n">
        <f aca="false">Q3817+S3817</f>
        <v>46.7124052579203</v>
      </c>
      <c r="V3817" s="54" t="b">
        <f aca="false">AND(D3817&gt;=01_因子設定!$L$5-0.000000001,D3817&lt;=01_因子設定!$M$5+0.000000001,E3817&gt;=01_因子設定!$L$6-0.000000001,E3817&lt;=01_因子設定!$M$6+0.000000001,F3817&gt;=01_因子設定!$L$7-0.000000001,F3817&lt;=01_因子設定!$M$7+0.000000001,IF(01_因子設定!$B$20="Box-Behnken",D3817^2+E3817^2+F3817^2&lt;=2+0.000000001,TRUE()))</f>
        <v>1</v>
      </c>
      <c r="W3817" s="55" t="n">
        <f aca="false">IF(V3817,IF(01_因子設定!$B$13="最大化",T3817-01_因子設定!$B$14,IF(01_因子設定!$B$13="最小化",01_因子設定!$B$15-U3817,MIN(T3817-01_因子設定!$B$14,01_因子設定!$B$15-U3817))),-1E+030)</f>
        <v>-3.8329308261021</v>
      </c>
      <c r="X3817" s="55" t="n">
        <f aca="false">IF(V3817,IF(01_因子設定!$B$13="最大化",Q3817,IF(01_因子設定!$B$13="最小化",-Q3817,-ABS(Q3817-01_因子設定!$B$16))),-1E+030)</f>
        <v>45.6897372159091</v>
      </c>
      <c r="Y3817" s="55" t="n">
        <f aca="false">W3817+ROW()*0.000000001</f>
        <v>-3.8329270091021</v>
      </c>
      <c r="Z3817" s="55" t="n">
        <f aca="false">X3817+ROW()*0.000000001</f>
        <v>45.6897410329091</v>
      </c>
    </row>
    <row r="3818" customFormat="false" ht="15" hidden="false" customHeight="false" outlineLevel="0" collapsed="false">
      <c r="A3818" s="0" t="n">
        <v>13</v>
      </c>
      <c r="B3818" s="0" t="n">
        <v>3</v>
      </c>
      <c r="C3818" s="0" t="n">
        <v>5</v>
      </c>
      <c r="D3818" s="0" t="n">
        <f aca="false">-1+A3818*0.125</f>
        <v>0.625</v>
      </c>
      <c r="E3818" s="0" t="n">
        <f aca="false">-1+B3818*0.125</f>
        <v>-0.625</v>
      </c>
      <c r="F3818" s="0" t="n">
        <f aca="false">-1+C3818*0.125</f>
        <v>-0.375</v>
      </c>
      <c r="G3818" s="0" t="n">
        <f aca="false">1</f>
        <v>1</v>
      </c>
      <c r="H3818" s="0" t="n">
        <f aca="false">D3818</f>
        <v>0.625</v>
      </c>
      <c r="I3818" s="0" t="n">
        <f aca="false">E3818</f>
        <v>-0.625</v>
      </c>
      <c r="J3818" s="0" t="n">
        <f aca="false">F3818</f>
        <v>-0.375</v>
      </c>
      <c r="K3818" s="0" t="n">
        <f aca="false">D3818*E3818</f>
        <v>-0.390625</v>
      </c>
      <c r="L3818" s="0" t="n">
        <f aca="false">D3818*F3818</f>
        <v>-0.234375</v>
      </c>
      <c r="M3818" s="0" t="n">
        <f aca="false">E3818*F3818</f>
        <v>0.234375</v>
      </c>
      <c r="N3818" s="0" t="n">
        <f aca="false">D3818*D3818</f>
        <v>0.390625</v>
      </c>
      <c r="O3818" s="0" t="n">
        <f aca="false">E3818*E3818</f>
        <v>0.390625</v>
      </c>
      <c r="P3818" s="0" t="n">
        <f aca="false">F3818*F3818</f>
        <v>0.140625</v>
      </c>
      <c r="Q3818" s="0" t="n">
        <f aca="false">SUMPRODUCT(G3818:P3818,_XtX!$B$71:$K$71)</f>
        <v>45.9441264204546</v>
      </c>
      <c r="R3818" s="0" t="n">
        <f aca="false">SUMPRODUCT(MMULT(G3818:P3818,_XtX!$B$58:$K$67),G3818:P3818)</f>
        <v>0.20595536665483</v>
      </c>
      <c r="S3818" s="0" t="n">
        <f aca="false">04_回帰ANOVA!$K$19*04_回帰ANOVA!$K$14*SQRT(1+R3818)</f>
        <v>1.02101530762963</v>
      </c>
      <c r="T3818" s="0" t="n">
        <f aca="false">Q3818-S3818</f>
        <v>44.9231111128249</v>
      </c>
      <c r="U3818" s="0" t="n">
        <f aca="false">Q3818+S3818</f>
        <v>46.9651417280842</v>
      </c>
      <c r="V3818" s="54" t="b">
        <f aca="false">AND(D3818&gt;=01_因子設定!$L$5-0.000000001,D3818&lt;=01_因子設定!$M$5+0.000000001,E3818&gt;=01_因子設定!$L$6-0.000000001,E3818&lt;=01_因子設定!$M$6+0.000000001,F3818&gt;=01_因子設定!$L$7-0.000000001,F3818&lt;=01_因子設定!$M$7+0.000000001,IF(01_因子設定!$B$20="Box-Behnken",D3818^2+E3818^2+F3818^2&lt;=2+0.000000001,TRUE()))</f>
        <v>1</v>
      </c>
      <c r="W3818" s="55" t="n">
        <f aca="false">IF(V3818,IF(01_因子設定!$B$13="最大化",T3818-01_因子設定!$B$14,IF(01_因子設定!$B$13="最小化",01_因子設定!$B$15-U3818,MIN(T3818-01_因子設定!$B$14,01_因子設定!$B$15-U3818))),-1E+030)</f>
        <v>-3.57688888717507</v>
      </c>
      <c r="X3818" s="55" t="n">
        <f aca="false">IF(V3818,IF(01_因子設定!$B$13="最大化",Q3818,IF(01_因子設定!$B$13="最小化",-Q3818,-ABS(Q3818-01_因子設定!$B$16))),-1E+030)</f>
        <v>45.9441264204546</v>
      </c>
      <c r="Y3818" s="55" t="n">
        <f aca="false">W3818+ROW()*0.000000001</f>
        <v>-3.57688506917507</v>
      </c>
      <c r="Z3818" s="55" t="n">
        <f aca="false">X3818+ROW()*0.000000001</f>
        <v>45.9441302384546</v>
      </c>
    </row>
    <row r="3819" customFormat="false" ht="15" hidden="false" customHeight="false" outlineLevel="0" collapsed="false">
      <c r="A3819" s="0" t="n">
        <v>13</v>
      </c>
      <c r="B3819" s="0" t="n">
        <v>3</v>
      </c>
      <c r="C3819" s="0" t="n">
        <v>6</v>
      </c>
      <c r="D3819" s="0" t="n">
        <f aca="false">-1+A3819*0.125</f>
        <v>0.625</v>
      </c>
      <c r="E3819" s="0" t="n">
        <f aca="false">-1+B3819*0.125</f>
        <v>-0.625</v>
      </c>
      <c r="F3819" s="0" t="n">
        <f aca="false">-1+C3819*0.125</f>
        <v>-0.25</v>
      </c>
      <c r="G3819" s="0" t="n">
        <f aca="false">1</f>
        <v>1</v>
      </c>
      <c r="H3819" s="0" t="n">
        <f aca="false">D3819</f>
        <v>0.625</v>
      </c>
      <c r="I3819" s="0" t="n">
        <f aca="false">E3819</f>
        <v>-0.625</v>
      </c>
      <c r="J3819" s="0" t="n">
        <f aca="false">F3819</f>
        <v>-0.25</v>
      </c>
      <c r="K3819" s="0" t="n">
        <f aca="false">D3819*E3819</f>
        <v>-0.390625</v>
      </c>
      <c r="L3819" s="0" t="n">
        <f aca="false">D3819*F3819</f>
        <v>-0.15625</v>
      </c>
      <c r="M3819" s="0" t="n">
        <f aca="false">E3819*F3819</f>
        <v>0.15625</v>
      </c>
      <c r="N3819" s="0" t="n">
        <f aca="false">D3819*D3819</f>
        <v>0.390625</v>
      </c>
      <c r="O3819" s="0" t="n">
        <f aca="false">E3819*E3819</f>
        <v>0.390625</v>
      </c>
      <c r="P3819" s="0" t="n">
        <f aca="false">F3819*F3819</f>
        <v>0.0625</v>
      </c>
      <c r="Q3819" s="0" t="n">
        <f aca="false">SUMPRODUCT(G3819:P3819,_XtX!$B$71:$K$71)</f>
        <v>46.1617258522727</v>
      </c>
      <c r="R3819" s="0" t="n">
        <f aca="false">SUMPRODUCT(MMULT(G3819:P3819,_XtX!$B$58:$K$67),G3819:P3819)</f>
        <v>0.208491099964489</v>
      </c>
      <c r="S3819" s="0" t="n">
        <f aca="false">04_回帰ANOVA!$K$19*04_回帰ANOVA!$K$14*SQRT(1+R3819)</f>
        <v>1.02208817610259</v>
      </c>
      <c r="T3819" s="0" t="n">
        <f aca="false">Q3819-S3819</f>
        <v>45.1396376761701</v>
      </c>
      <c r="U3819" s="0" t="n">
        <f aca="false">Q3819+S3819</f>
        <v>47.1838140283753</v>
      </c>
      <c r="V3819" s="54" t="b">
        <f aca="false">AND(D3819&gt;=01_因子設定!$L$5-0.000000001,D3819&lt;=01_因子設定!$M$5+0.000000001,E3819&gt;=01_因子設定!$L$6-0.000000001,E3819&lt;=01_因子設定!$M$6+0.000000001,F3819&gt;=01_因子設定!$L$7-0.000000001,F3819&lt;=01_因子設定!$M$7+0.000000001,IF(01_因子設定!$B$20="Box-Behnken",D3819^2+E3819^2+F3819^2&lt;=2+0.000000001,TRUE()))</f>
        <v>1</v>
      </c>
      <c r="W3819" s="55" t="n">
        <f aca="false">IF(V3819,IF(01_因子設定!$B$13="最大化",T3819-01_因子設定!$B$14,IF(01_因子設定!$B$13="最小化",01_因子設定!$B$15-U3819,MIN(T3819-01_因子設定!$B$14,01_因子設定!$B$15-U3819))),-1E+030)</f>
        <v>-3.36036232382985</v>
      </c>
      <c r="X3819" s="55" t="n">
        <f aca="false">IF(V3819,IF(01_因子設定!$B$13="最大化",Q3819,IF(01_因子設定!$B$13="最小化",-Q3819,-ABS(Q3819-01_因子設定!$B$16))),-1E+030)</f>
        <v>46.1617258522727</v>
      </c>
      <c r="Y3819" s="55" t="n">
        <f aca="false">W3819+ROW()*0.000000001</f>
        <v>-3.36035850482985</v>
      </c>
      <c r="Z3819" s="55" t="n">
        <f aca="false">X3819+ROW()*0.000000001</f>
        <v>46.1617296712727</v>
      </c>
    </row>
    <row r="3820" customFormat="false" ht="15" hidden="false" customHeight="false" outlineLevel="0" collapsed="false">
      <c r="A3820" s="0" t="n">
        <v>13</v>
      </c>
      <c r="B3820" s="0" t="n">
        <v>3</v>
      </c>
      <c r="C3820" s="0" t="n">
        <v>7</v>
      </c>
      <c r="D3820" s="0" t="n">
        <f aca="false">-1+A3820*0.125</f>
        <v>0.625</v>
      </c>
      <c r="E3820" s="0" t="n">
        <f aca="false">-1+B3820*0.125</f>
        <v>-0.625</v>
      </c>
      <c r="F3820" s="0" t="n">
        <f aca="false">-1+C3820*0.125</f>
        <v>-0.125</v>
      </c>
      <c r="G3820" s="0" t="n">
        <f aca="false">1</f>
        <v>1</v>
      </c>
      <c r="H3820" s="0" t="n">
        <f aca="false">D3820</f>
        <v>0.625</v>
      </c>
      <c r="I3820" s="0" t="n">
        <f aca="false">E3820</f>
        <v>-0.625</v>
      </c>
      <c r="J3820" s="0" t="n">
        <f aca="false">F3820</f>
        <v>-0.125</v>
      </c>
      <c r="K3820" s="0" t="n">
        <f aca="false">D3820*E3820</f>
        <v>-0.390625</v>
      </c>
      <c r="L3820" s="0" t="n">
        <f aca="false">D3820*F3820</f>
        <v>-0.078125</v>
      </c>
      <c r="M3820" s="0" t="n">
        <f aca="false">E3820*F3820</f>
        <v>0.078125</v>
      </c>
      <c r="N3820" s="0" t="n">
        <f aca="false">D3820*D3820</f>
        <v>0.390625</v>
      </c>
      <c r="O3820" s="0" t="n">
        <f aca="false">E3820*E3820</f>
        <v>0.390625</v>
      </c>
      <c r="P3820" s="0" t="n">
        <f aca="false">F3820*F3820</f>
        <v>0.015625</v>
      </c>
      <c r="Q3820" s="0" t="n">
        <f aca="false">SUMPRODUCT(G3820:P3820,_XtX!$B$71:$K$71)</f>
        <v>46.3425355113636</v>
      </c>
      <c r="R3820" s="0" t="n">
        <f aca="false">SUMPRODUCT(MMULT(G3820:P3820,_XtX!$B$58:$K$67),G3820:P3820)</f>
        <v>0.212143221768466</v>
      </c>
      <c r="S3820" s="0" t="n">
        <f aca="false">04_回帰ANOVA!$K$19*04_回帰ANOVA!$K$14*SQRT(1+R3820)</f>
        <v>1.02363141237304</v>
      </c>
      <c r="T3820" s="0" t="n">
        <f aca="false">Q3820-S3820</f>
        <v>45.3189040989906</v>
      </c>
      <c r="U3820" s="0" t="n">
        <f aca="false">Q3820+S3820</f>
        <v>47.3661669237367</v>
      </c>
      <c r="V3820" s="54" t="b">
        <f aca="false">AND(D3820&gt;=01_因子設定!$L$5-0.000000001,D3820&lt;=01_因子設定!$M$5+0.000000001,E3820&gt;=01_因子設定!$L$6-0.000000001,E3820&lt;=01_因子設定!$M$6+0.000000001,F3820&gt;=01_因子設定!$L$7-0.000000001,F3820&lt;=01_因子設定!$M$7+0.000000001,IF(01_因子設定!$B$20="Box-Behnken",D3820^2+E3820^2+F3820^2&lt;=2+0.000000001,TRUE()))</f>
        <v>1</v>
      </c>
      <c r="W3820" s="55" t="n">
        <f aca="false">IF(V3820,IF(01_因子設定!$B$13="最大化",T3820-01_因子設定!$B$14,IF(01_因子設定!$B$13="最小化",01_因子設定!$B$15-U3820,MIN(T3820-01_因子設定!$B$14,01_因子設定!$B$15-U3820))),-1E+030)</f>
        <v>-3.1810959010094</v>
      </c>
      <c r="X3820" s="55" t="n">
        <f aca="false">IF(V3820,IF(01_因子設定!$B$13="最大化",Q3820,IF(01_因子設定!$B$13="最小化",-Q3820,-ABS(Q3820-01_因子設定!$B$16))),-1E+030)</f>
        <v>46.3425355113636</v>
      </c>
      <c r="Y3820" s="55" t="n">
        <f aca="false">W3820+ROW()*0.000000001</f>
        <v>-3.1810920810094</v>
      </c>
      <c r="Z3820" s="55" t="n">
        <f aca="false">X3820+ROW()*0.000000001</f>
        <v>46.3425393313636</v>
      </c>
    </row>
    <row r="3821" customFormat="false" ht="15" hidden="false" customHeight="false" outlineLevel="0" collapsed="false">
      <c r="A3821" s="0" t="n">
        <v>13</v>
      </c>
      <c r="B3821" s="0" t="n">
        <v>3</v>
      </c>
      <c r="C3821" s="0" t="n">
        <v>8</v>
      </c>
      <c r="D3821" s="0" t="n">
        <f aca="false">-1+A3821*0.125</f>
        <v>0.625</v>
      </c>
      <c r="E3821" s="0" t="n">
        <f aca="false">-1+B3821*0.125</f>
        <v>-0.625</v>
      </c>
      <c r="F3821" s="0" t="n">
        <f aca="false">-1+C3821*0.125</f>
        <v>0</v>
      </c>
      <c r="G3821" s="0" t="n">
        <f aca="false">1</f>
        <v>1</v>
      </c>
      <c r="H3821" s="0" t="n">
        <f aca="false">D3821</f>
        <v>0.625</v>
      </c>
      <c r="I3821" s="0" t="n">
        <f aca="false">E3821</f>
        <v>-0.625</v>
      </c>
      <c r="J3821" s="0" t="n">
        <f aca="false">F3821</f>
        <v>0</v>
      </c>
      <c r="K3821" s="0" t="n">
        <f aca="false">D3821*E3821</f>
        <v>-0.390625</v>
      </c>
      <c r="L3821" s="0" t="n">
        <f aca="false">D3821*F3821</f>
        <v>0</v>
      </c>
      <c r="M3821" s="0" t="n">
        <f aca="false">E3821*F3821</f>
        <v>-0</v>
      </c>
      <c r="N3821" s="0" t="n">
        <f aca="false">D3821*D3821</f>
        <v>0.390625</v>
      </c>
      <c r="O3821" s="0" t="n">
        <f aca="false">E3821*E3821</f>
        <v>0.390625</v>
      </c>
      <c r="P3821" s="0" t="n">
        <f aca="false">F3821*F3821</f>
        <v>0</v>
      </c>
      <c r="Q3821" s="0" t="n">
        <f aca="false">SUMPRODUCT(G3821:P3821,_XtX!$B$71:$K$71)</f>
        <v>46.4865553977273</v>
      </c>
      <c r="R3821" s="0" t="n">
        <f aca="false">SUMPRODUCT(MMULT(G3821:P3821,_XtX!$B$58:$K$67),G3821:P3821)</f>
        <v>0.213715709339489</v>
      </c>
      <c r="S3821" s="0" t="n">
        <f aca="false">04_回帰ANOVA!$K$19*04_回帰ANOVA!$K$14*SQRT(1+R3821)</f>
        <v>1.02429516478377</v>
      </c>
      <c r="T3821" s="0" t="n">
        <f aca="false">Q3821-S3821</f>
        <v>45.4622602329435</v>
      </c>
      <c r="U3821" s="0" t="n">
        <f aca="false">Q3821+S3821</f>
        <v>47.510850562511</v>
      </c>
      <c r="V3821" s="54" t="b">
        <f aca="false">AND(D3821&gt;=01_因子設定!$L$5-0.000000001,D3821&lt;=01_因子設定!$M$5+0.000000001,E3821&gt;=01_因子設定!$L$6-0.000000001,E3821&lt;=01_因子設定!$M$6+0.000000001,F3821&gt;=01_因子設定!$L$7-0.000000001,F3821&lt;=01_因子設定!$M$7+0.000000001,IF(01_因子設定!$B$20="Box-Behnken",D3821^2+E3821^2+F3821^2&lt;=2+0.000000001,TRUE()))</f>
        <v>1</v>
      </c>
      <c r="W3821" s="55" t="n">
        <f aca="false">IF(V3821,IF(01_因子設定!$B$13="最大化",T3821-01_因子設定!$B$14,IF(01_因子設定!$B$13="最小化",01_因子設定!$B$15-U3821,MIN(T3821-01_因子設定!$B$14,01_因子設定!$B$15-U3821))),-1E+030)</f>
        <v>-3.0377397670565</v>
      </c>
      <c r="X3821" s="55" t="n">
        <f aca="false">IF(V3821,IF(01_因子設定!$B$13="最大化",Q3821,IF(01_因子設定!$B$13="最小化",-Q3821,-ABS(Q3821-01_因子設定!$B$16))),-1E+030)</f>
        <v>46.4865553977273</v>
      </c>
      <c r="Y3821" s="55" t="n">
        <f aca="false">W3821+ROW()*0.000000001</f>
        <v>-3.0377359460565</v>
      </c>
      <c r="Z3821" s="55" t="n">
        <f aca="false">X3821+ROW()*0.000000001</f>
        <v>46.4865592187273</v>
      </c>
    </row>
    <row r="3822" customFormat="false" ht="15" hidden="false" customHeight="false" outlineLevel="0" collapsed="false">
      <c r="A3822" s="0" t="n">
        <v>13</v>
      </c>
      <c r="B3822" s="0" t="n">
        <v>3</v>
      </c>
      <c r="C3822" s="0" t="n">
        <v>9</v>
      </c>
      <c r="D3822" s="0" t="n">
        <f aca="false">-1+A3822*0.125</f>
        <v>0.625</v>
      </c>
      <c r="E3822" s="0" t="n">
        <f aca="false">-1+B3822*0.125</f>
        <v>-0.625</v>
      </c>
      <c r="F3822" s="0" t="n">
        <f aca="false">-1+C3822*0.125</f>
        <v>0.125</v>
      </c>
      <c r="G3822" s="0" t="n">
        <f aca="false">1</f>
        <v>1</v>
      </c>
      <c r="H3822" s="0" t="n">
        <f aca="false">D3822</f>
        <v>0.625</v>
      </c>
      <c r="I3822" s="0" t="n">
        <f aca="false">E3822</f>
        <v>-0.625</v>
      </c>
      <c r="J3822" s="0" t="n">
        <f aca="false">F3822</f>
        <v>0.125</v>
      </c>
      <c r="K3822" s="0" t="n">
        <f aca="false">D3822*E3822</f>
        <v>-0.390625</v>
      </c>
      <c r="L3822" s="0" t="n">
        <f aca="false">D3822*F3822</f>
        <v>0.078125</v>
      </c>
      <c r="M3822" s="0" t="n">
        <f aca="false">E3822*F3822</f>
        <v>-0.078125</v>
      </c>
      <c r="N3822" s="0" t="n">
        <f aca="false">D3822*D3822</f>
        <v>0.390625</v>
      </c>
      <c r="O3822" s="0" t="n">
        <f aca="false">E3822*E3822</f>
        <v>0.390625</v>
      </c>
      <c r="P3822" s="0" t="n">
        <f aca="false">F3822*F3822</f>
        <v>0.015625</v>
      </c>
      <c r="Q3822" s="0" t="n">
        <f aca="false">SUMPRODUCT(G3822:P3822,_XtX!$B$71:$K$71)</f>
        <v>46.5937855113636</v>
      </c>
      <c r="R3822" s="0" t="n">
        <f aca="false">SUMPRODUCT(MMULT(G3822:P3822,_XtX!$B$58:$K$67),G3822:P3822)</f>
        <v>0.212143221768466</v>
      </c>
      <c r="S3822" s="0" t="n">
        <f aca="false">04_回帰ANOVA!$K$19*04_回帰ANOVA!$K$14*SQRT(1+R3822)</f>
        <v>1.02363141237304</v>
      </c>
      <c r="T3822" s="0" t="n">
        <f aca="false">Q3822-S3822</f>
        <v>45.5701540989906</v>
      </c>
      <c r="U3822" s="0" t="n">
        <f aca="false">Q3822+S3822</f>
        <v>47.6174169237367</v>
      </c>
      <c r="V3822" s="54" t="b">
        <f aca="false">AND(D3822&gt;=01_因子設定!$L$5-0.000000001,D3822&lt;=01_因子設定!$M$5+0.000000001,E3822&gt;=01_因子設定!$L$6-0.000000001,E3822&lt;=01_因子設定!$M$6+0.000000001,F3822&gt;=01_因子設定!$L$7-0.000000001,F3822&lt;=01_因子設定!$M$7+0.000000001,IF(01_因子設定!$B$20="Box-Behnken",D3822^2+E3822^2+F3822^2&lt;=2+0.000000001,TRUE()))</f>
        <v>1</v>
      </c>
      <c r="W3822" s="55" t="n">
        <f aca="false">IF(V3822,IF(01_因子設定!$B$13="最大化",T3822-01_因子設定!$B$14,IF(01_因子設定!$B$13="最小化",01_因子設定!$B$15-U3822,MIN(T3822-01_因子設定!$B$14,01_因子設定!$B$15-U3822))),-1E+030)</f>
        <v>-2.9298459010094</v>
      </c>
      <c r="X3822" s="55" t="n">
        <f aca="false">IF(V3822,IF(01_因子設定!$B$13="最大化",Q3822,IF(01_因子設定!$B$13="最小化",-Q3822,-ABS(Q3822-01_因子設定!$B$16))),-1E+030)</f>
        <v>46.5937855113636</v>
      </c>
      <c r="Y3822" s="55" t="n">
        <f aca="false">W3822+ROW()*0.000000001</f>
        <v>-2.9298420790094</v>
      </c>
      <c r="Z3822" s="55" t="n">
        <f aca="false">X3822+ROW()*0.000000001</f>
        <v>46.5937893333636</v>
      </c>
    </row>
    <row r="3823" customFormat="false" ht="15" hidden="false" customHeight="false" outlineLevel="0" collapsed="false">
      <c r="A3823" s="0" t="n">
        <v>13</v>
      </c>
      <c r="B3823" s="0" t="n">
        <v>3</v>
      </c>
      <c r="C3823" s="0" t="n">
        <v>10</v>
      </c>
      <c r="D3823" s="0" t="n">
        <f aca="false">-1+A3823*0.125</f>
        <v>0.625</v>
      </c>
      <c r="E3823" s="0" t="n">
        <f aca="false">-1+B3823*0.125</f>
        <v>-0.625</v>
      </c>
      <c r="F3823" s="0" t="n">
        <f aca="false">-1+C3823*0.125</f>
        <v>0.25</v>
      </c>
      <c r="G3823" s="0" t="n">
        <f aca="false">1</f>
        <v>1</v>
      </c>
      <c r="H3823" s="0" t="n">
        <f aca="false">D3823</f>
        <v>0.625</v>
      </c>
      <c r="I3823" s="0" t="n">
        <f aca="false">E3823</f>
        <v>-0.625</v>
      </c>
      <c r="J3823" s="0" t="n">
        <f aca="false">F3823</f>
        <v>0.25</v>
      </c>
      <c r="K3823" s="0" t="n">
        <f aca="false">D3823*E3823</f>
        <v>-0.390625</v>
      </c>
      <c r="L3823" s="0" t="n">
        <f aca="false">D3823*F3823</f>
        <v>0.15625</v>
      </c>
      <c r="M3823" s="0" t="n">
        <f aca="false">E3823*F3823</f>
        <v>-0.15625</v>
      </c>
      <c r="N3823" s="0" t="n">
        <f aca="false">D3823*D3823</f>
        <v>0.390625</v>
      </c>
      <c r="O3823" s="0" t="n">
        <f aca="false">E3823*E3823</f>
        <v>0.390625</v>
      </c>
      <c r="P3823" s="0" t="n">
        <f aca="false">F3823*F3823</f>
        <v>0.0625</v>
      </c>
      <c r="Q3823" s="0" t="n">
        <f aca="false">SUMPRODUCT(G3823:P3823,_XtX!$B$71:$K$71)</f>
        <v>46.6642258522727</v>
      </c>
      <c r="R3823" s="0" t="n">
        <f aca="false">SUMPRODUCT(MMULT(G3823:P3823,_XtX!$B$58:$K$67),G3823:P3823)</f>
        <v>0.208491099964489</v>
      </c>
      <c r="S3823" s="0" t="n">
        <f aca="false">04_回帰ANOVA!$K$19*04_回帰ANOVA!$K$14*SQRT(1+R3823)</f>
        <v>1.02208817610259</v>
      </c>
      <c r="T3823" s="0" t="n">
        <f aca="false">Q3823-S3823</f>
        <v>45.6421376761701</v>
      </c>
      <c r="U3823" s="0" t="n">
        <f aca="false">Q3823+S3823</f>
        <v>47.6863140283753</v>
      </c>
      <c r="V3823" s="54" t="b">
        <f aca="false">AND(D3823&gt;=01_因子設定!$L$5-0.000000001,D3823&lt;=01_因子設定!$M$5+0.000000001,E3823&gt;=01_因子設定!$L$6-0.000000001,E3823&lt;=01_因子設定!$M$6+0.000000001,F3823&gt;=01_因子設定!$L$7-0.000000001,F3823&lt;=01_因子設定!$M$7+0.000000001,IF(01_因子設定!$B$20="Box-Behnken",D3823^2+E3823^2+F3823^2&lt;=2+0.000000001,TRUE()))</f>
        <v>1</v>
      </c>
      <c r="W3823" s="55" t="n">
        <f aca="false">IF(V3823,IF(01_因子設定!$B$13="最大化",T3823-01_因子設定!$B$14,IF(01_因子設定!$B$13="最小化",01_因子設定!$B$15-U3823,MIN(T3823-01_因子設定!$B$14,01_因子設定!$B$15-U3823))),-1E+030)</f>
        <v>-2.85786232382986</v>
      </c>
      <c r="X3823" s="55" t="n">
        <f aca="false">IF(V3823,IF(01_因子設定!$B$13="最大化",Q3823,IF(01_因子設定!$B$13="最小化",-Q3823,-ABS(Q3823-01_因子設定!$B$16))),-1E+030)</f>
        <v>46.6642258522727</v>
      </c>
      <c r="Y3823" s="55" t="n">
        <f aca="false">W3823+ROW()*0.000000001</f>
        <v>-2.85785850082986</v>
      </c>
      <c r="Z3823" s="55" t="n">
        <f aca="false">X3823+ROW()*0.000000001</f>
        <v>46.6642296752727</v>
      </c>
    </row>
    <row r="3824" customFormat="false" ht="15" hidden="false" customHeight="false" outlineLevel="0" collapsed="false">
      <c r="A3824" s="0" t="n">
        <v>13</v>
      </c>
      <c r="B3824" s="0" t="n">
        <v>3</v>
      </c>
      <c r="C3824" s="0" t="n">
        <v>11</v>
      </c>
      <c r="D3824" s="0" t="n">
        <f aca="false">-1+A3824*0.125</f>
        <v>0.625</v>
      </c>
      <c r="E3824" s="0" t="n">
        <f aca="false">-1+B3824*0.125</f>
        <v>-0.625</v>
      </c>
      <c r="F3824" s="0" t="n">
        <f aca="false">-1+C3824*0.125</f>
        <v>0.375</v>
      </c>
      <c r="G3824" s="0" t="n">
        <f aca="false">1</f>
        <v>1</v>
      </c>
      <c r="H3824" s="0" t="n">
        <f aca="false">D3824</f>
        <v>0.625</v>
      </c>
      <c r="I3824" s="0" t="n">
        <f aca="false">E3824</f>
        <v>-0.625</v>
      </c>
      <c r="J3824" s="0" t="n">
        <f aca="false">F3824</f>
        <v>0.375</v>
      </c>
      <c r="K3824" s="0" t="n">
        <f aca="false">D3824*E3824</f>
        <v>-0.390625</v>
      </c>
      <c r="L3824" s="0" t="n">
        <f aca="false">D3824*F3824</f>
        <v>0.234375</v>
      </c>
      <c r="M3824" s="0" t="n">
        <f aca="false">E3824*F3824</f>
        <v>-0.234375</v>
      </c>
      <c r="N3824" s="0" t="n">
        <f aca="false">D3824*D3824</f>
        <v>0.390625</v>
      </c>
      <c r="O3824" s="0" t="n">
        <f aca="false">E3824*E3824</f>
        <v>0.390625</v>
      </c>
      <c r="P3824" s="0" t="n">
        <f aca="false">F3824*F3824</f>
        <v>0.140625</v>
      </c>
      <c r="Q3824" s="0" t="n">
        <f aca="false">SUMPRODUCT(G3824:P3824,_XtX!$B$71:$K$71)</f>
        <v>46.6978764204546</v>
      </c>
      <c r="R3824" s="0" t="n">
        <f aca="false">SUMPRODUCT(MMULT(G3824:P3824,_XtX!$B$58:$K$67),G3824:P3824)</f>
        <v>0.20595536665483</v>
      </c>
      <c r="S3824" s="0" t="n">
        <f aca="false">04_回帰ANOVA!$K$19*04_回帰ANOVA!$K$14*SQRT(1+R3824)</f>
        <v>1.02101530762963</v>
      </c>
      <c r="T3824" s="0" t="n">
        <f aca="false">Q3824-S3824</f>
        <v>45.6768611128249</v>
      </c>
      <c r="U3824" s="0" t="n">
        <f aca="false">Q3824+S3824</f>
        <v>47.7188917280842</v>
      </c>
      <c r="V3824" s="54" t="b">
        <f aca="false">AND(D3824&gt;=01_因子設定!$L$5-0.000000001,D3824&lt;=01_因子設定!$M$5+0.000000001,E3824&gt;=01_因子設定!$L$6-0.000000001,E3824&lt;=01_因子設定!$M$6+0.000000001,F3824&gt;=01_因子設定!$L$7-0.000000001,F3824&lt;=01_因子設定!$M$7+0.000000001,IF(01_因子設定!$B$20="Box-Behnken",D3824^2+E3824^2+F3824^2&lt;=2+0.000000001,TRUE()))</f>
        <v>1</v>
      </c>
      <c r="W3824" s="55" t="n">
        <f aca="false">IF(V3824,IF(01_因子設定!$B$13="最大化",T3824-01_因子設定!$B$14,IF(01_因子設定!$B$13="最小化",01_因子設定!$B$15-U3824,MIN(T3824-01_因子設定!$B$14,01_因子設定!$B$15-U3824))),-1E+030)</f>
        <v>-2.82313888717508</v>
      </c>
      <c r="X3824" s="55" t="n">
        <f aca="false">IF(V3824,IF(01_因子設定!$B$13="最大化",Q3824,IF(01_因子設定!$B$13="最小化",-Q3824,-ABS(Q3824-01_因子設定!$B$16))),-1E+030)</f>
        <v>46.6978764204546</v>
      </c>
      <c r="Y3824" s="55" t="n">
        <f aca="false">W3824+ROW()*0.000000001</f>
        <v>-2.82313506317508</v>
      </c>
      <c r="Z3824" s="55" t="n">
        <f aca="false">X3824+ROW()*0.000000001</f>
        <v>46.6978802444545</v>
      </c>
    </row>
    <row r="3825" customFormat="false" ht="15" hidden="false" customHeight="false" outlineLevel="0" collapsed="false">
      <c r="A3825" s="0" t="n">
        <v>13</v>
      </c>
      <c r="B3825" s="0" t="n">
        <v>3</v>
      </c>
      <c r="C3825" s="0" t="n">
        <v>12</v>
      </c>
      <c r="D3825" s="0" t="n">
        <f aca="false">-1+A3825*0.125</f>
        <v>0.625</v>
      </c>
      <c r="E3825" s="0" t="n">
        <f aca="false">-1+B3825*0.125</f>
        <v>-0.625</v>
      </c>
      <c r="F3825" s="0" t="n">
        <f aca="false">-1+C3825*0.125</f>
        <v>0.5</v>
      </c>
      <c r="G3825" s="0" t="n">
        <f aca="false">1</f>
        <v>1</v>
      </c>
      <c r="H3825" s="0" t="n">
        <f aca="false">D3825</f>
        <v>0.625</v>
      </c>
      <c r="I3825" s="0" t="n">
        <f aca="false">E3825</f>
        <v>-0.625</v>
      </c>
      <c r="J3825" s="0" t="n">
        <f aca="false">F3825</f>
        <v>0.5</v>
      </c>
      <c r="K3825" s="0" t="n">
        <f aca="false">D3825*E3825</f>
        <v>-0.390625</v>
      </c>
      <c r="L3825" s="0" t="n">
        <f aca="false">D3825*F3825</f>
        <v>0.3125</v>
      </c>
      <c r="M3825" s="0" t="n">
        <f aca="false">E3825*F3825</f>
        <v>-0.3125</v>
      </c>
      <c r="N3825" s="0" t="n">
        <f aca="false">D3825*D3825</f>
        <v>0.390625</v>
      </c>
      <c r="O3825" s="0" t="n">
        <f aca="false">E3825*E3825</f>
        <v>0.390625</v>
      </c>
      <c r="P3825" s="0" t="n">
        <f aca="false">F3825*F3825</f>
        <v>0.25</v>
      </c>
      <c r="Q3825" s="0" t="n">
        <f aca="false">SUMPRODUCT(G3825:P3825,_XtX!$B$71:$K$71)</f>
        <v>46.6947372159091</v>
      </c>
      <c r="R3825" s="0" t="n">
        <f aca="false">SUMPRODUCT(MMULT(G3825:P3825,_XtX!$B$58:$K$67),G3825:P3825)</f>
        <v>0.209862726384943</v>
      </c>
      <c r="S3825" s="0" t="n">
        <f aca="false">04_回帰ANOVA!$K$19*04_回帰ANOVA!$K$14*SQRT(1+R3825)</f>
        <v>1.0226680420112</v>
      </c>
      <c r="T3825" s="0" t="n">
        <f aca="false">Q3825-S3825</f>
        <v>45.6720691738979</v>
      </c>
      <c r="U3825" s="0" t="n">
        <f aca="false">Q3825+S3825</f>
        <v>47.7174052579203</v>
      </c>
      <c r="V3825" s="54" t="b">
        <f aca="false">AND(D3825&gt;=01_因子設定!$L$5-0.000000001,D3825&lt;=01_因子設定!$M$5+0.000000001,E3825&gt;=01_因子設定!$L$6-0.000000001,E3825&lt;=01_因子設定!$M$6+0.000000001,F3825&gt;=01_因子設定!$L$7-0.000000001,F3825&lt;=01_因子設定!$M$7+0.000000001,IF(01_因子設定!$B$20="Box-Behnken",D3825^2+E3825^2+F3825^2&lt;=2+0.000000001,TRUE()))</f>
        <v>1</v>
      </c>
      <c r="W3825" s="55" t="n">
        <f aca="false">IF(V3825,IF(01_因子設定!$B$13="最大化",T3825-01_因子設定!$B$14,IF(01_因子設定!$B$13="最小化",01_因子設定!$B$15-U3825,MIN(T3825-01_因子設定!$B$14,01_因子設定!$B$15-U3825))),-1E+030)</f>
        <v>-2.8279308261021</v>
      </c>
      <c r="X3825" s="55" t="n">
        <f aca="false">IF(V3825,IF(01_因子設定!$B$13="最大化",Q3825,IF(01_因子設定!$B$13="最小化",-Q3825,-ABS(Q3825-01_因子設定!$B$16))),-1E+030)</f>
        <v>46.6947372159091</v>
      </c>
      <c r="Y3825" s="55" t="n">
        <f aca="false">W3825+ROW()*0.000000001</f>
        <v>-2.8279270011021</v>
      </c>
      <c r="Z3825" s="55" t="n">
        <f aca="false">X3825+ROW()*0.000000001</f>
        <v>46.6947410409091</v>
      </c>
    </row>
    <row r="3826" customFormat="false" ht="15" hidden="false" customHeight="false" outlineLevel="0" collapsed="false">
      <c r="A3826" s="0" t="n">
        <v>13</v>
      </c>
      <c r="B3826" s="0" t="n">
        <v>3</v>
      </c>
      <c r="C3826" s="0" t="n">
        <v>13</v>
      </c>
      <c r="D3826" s="0" t="n">
        <f aca="false">-1+A3826*0.125</f>
        <v>0.625</v>
      </c>
      <c r="E3826" s="0" t="n">
        <f aca="false">-1+B3826*0.125</f>
        <v>-0.625</v>
      </c>
      <c r="F3826" s="0" t="n">
        <f aca="false">-1+C3826*0.125</f>
        <v>0.625</v>
      </c>
      <c r="G3826" s="0" t="n">
        <f aca="false">1</f>
        <v>1</v>
      </c>
      <c r="H3826" s="0" t="n">
        <f aca="false">D3826</f>
        <v>0.625</v>
      </c>
      <c r="I3826" s="0" t="n">
        <f aca="false">E3826</f>
        <v>-0.625</v>
      </c>
      <c r="J3826" s="0" t="n">
        <f aca="false">F3826</f>
        <v>0.625</v>
      </c>
      <c r="K3826" s="0" t="n">
        <f aca="false">D3826*E3826</f>
        <v>-0.390625</v>
      </c>
      <c r="L3826" s="0" t="n">
        <f aca="false">D3826*F3826</f>
        <v>0.390625</v>
      </c>
      <c r="M3826" s="0" t="n">
        <f aca="false">E3826*F3826</f>
        <v>-0.390625</v>
      </c>
      <c r="N3826" s="0" t="n">
        <f aca="false">D3826*D3826</f>
        <v>0.390625</v>
      </c>
      <c r="O3826" s="0" t="n">
        <f aca="false">E3826*E3826</f>
        <v>0.390625</v>
      </c>
      <c r="P3826" s="0" t="n">
        <f aca="false">F3826*F3826</f>
        <v>0.390625</v>
      </c>
      <c r="Q3826" s="0" t="n">
        <f aca="false">SUMPRODUCT(G3826:P3826,_XtX!$B$71:$K$71)</f>
        <v>46.6548082386364</v>
      </c>
      <c r="R3826" s="0" t="n">
        <f aca="false">SUMPRODUCT(MMULT(G3826:P3826,_XtX!$B$58:$K$67),G3826:P3826)</f>
        <v>0.227670565518466</v>
      </c>
      <c r="S3826" s="0" t="n">
        <f aca="false">04_回帰ANOVA!$K$19*04_回帰ANOVA!$K$14*SQRT(1+R3826)</f>
        <v>1.03016681975165</v>
      </c>
      <c r="T3826" s="0" t="n">
        <f aca="false">Q3826-S3826</f>
        <v>45.6246414188847</v>
      </c>
      <c r="U3826" s="0" t="n">
        <f aca="false">Q3826+S3826</f>
        <v>47.684975058388</v>
      </c>
      <c r="V3826" s="54" t="b">
        <f aca="false">AND(D3826&gt;=01_因子設定!$L$5-0.000000001,D3826&lt;=01_因子設定!$M$5+0.000000001,E3826&gt;=01_因子設定!$L$6-0.000000001,E3826&lt;=01_因子設定!$M$6+0.000000001,F3826&gt;=01_因子設定!$L$7-0.000000001,F3826&lt;=01_因子設定!$M$7+0.000000001,IF(01_因子設定!$B$20="Box-Behnken",D3826^2+E3826^2+F3826^2&lt;=2+0.000000001,TRUE()))</f>
        <v>1</v>
      </c>
      <c r="W3826" s="55" t="n">
        <f aca="false">IF(V3826,IF(01_因子設定!$B$13="最大化",T3826-01_因子設定!$B$14,IF(01_因子設定!$B$13="最小化",01_因子設定!$B$15-U3826,MIN(T3826-01_因子設定!$B$14,01_因子設定!$B$15-U3826))),-1E+030)</f>
        <v>-2.87535858111527</v>
      </c>
      <c r="X3826" s="55" t="n">
        <f aca="false">IF(V3826,IF(01_因子設定!$B$13="最大化",Q3826,IF(01_因子設定!$B$13="最小化",-Q3826,-ABS(Q3826-01_因子設定!$B$16))),-1E+030)</f>
        <v>46.6548082386364</v>
      </c>
      <c r="Y3826" s="55" t="n">
        <f aca="false">W3826+ROW()*0.000000001</f>
        <v>-2.87535475511527</v>
      </c>
      <c r="Z3826" s="55" t="n">
        <f aca="false">X3826+ROW()*0.000000001</f>
        <v>46.6548120646364</v>
      </c>
    </row>
    <row r="3827" customFormat="false" ht="15" hidden="false" customHeight="false" outlineLevel="0" collapsed="false">
      <c r="A3827" s="0" t="n">
        <v>13</v>
      </c>
      <c r="B3827" s="0" t="n">
        <v>3</v>
      </c>
      <c r="C3827" s="0" t="n">
        <v>14</v>
      </c>
      <c r="D3827" s="0" t="n">
        <f aca="false">-1+A3827*0.125</f>
        <v>0.625</v>
      </c>
      <c r="E3827" s="0" t="n">
        <f aca="false">-1+B3827*0.125</f>
        <v>-0.625</v>
      </c>
      <c r="F3827" s="0" t="n">
        <f aca="false">-1+C3827*0.125</f>
        <v>0.75</v>
      </c>
      <c r="G3827" s="0" t="n">
        <f aca="false">1</f>
        <v>1</v>
      </c>
      <c r="H3827" s="0" t="n">
        <f aca="false">D3827</f>
        <v>0.625</v>
      </c>
      <c r="I3827" s="0" t="n">
        <f aca="false">E3827</f>
        <v>-0.625</v>
      </c>
      <c r="J3827" s="0" t="n">
        <f aca="false">F3827</f>
        <v>0.75</v>
      </c>
      <c r="K3827" s="0" t="n">
        <f aca="false">D3827*E3827</f>
        <v>-0.390625</v>
      </c>
      <c r="L3827" s="0" t="n">
        <f aca="false">D3827*F3827</f>
        <v>0.46875</v>
      </c>
      <c r="M3827" s="0" t="n">
        <f aca="false">E3827*F3827</f>
        <v>-0.46875</v>
      </c>
      <c r="N3827" s="0" t="n">
        <f aca="false">D3827*D3827</f>
        <v>0.390625</v>
      </c>
      <c r="O3827" s="0" t="n">
        <f aca="false">E3827*E3827</f>
        <v>0.390625</v>
      </c>
      <c r="P3827" s="0" t="n">
        <f aca="false">F3827*F3827</f>
        <v>0.5625</v>
      </c>
      <c r="Q3827" s="0" t="n">
        <f aca="false">SUMPRODUCT(G3827:P3827,_XtX!$B$71:$K$71)</f>
        <v>46.5780894886364</v>
      </c>
      <c r="R3827" s="0" t="n">
        <f aca="false">SUMPRODUCT(MMULT(G3827:P3827,_XtX!$B$58:$K$67),G3827:P3827)</f>
        <v>0.268966952237216</v>
      </c>
      <c r="S3827" s="0" t="n">
        <f aca="false">04_回帰ANOVA!$K$19*04_回帰ANOVA!$K$14*SQRT(1+R3827)</f>
        <v>1.04734989137801</v>
      </c>
      <c r="T3827" s="0" t="n">
        <f aca="false">Q3827-S3827</f>
        <v>45.5307395972584</v>
      </c>
      <c r="U3827" s="0" t="n">
        <f aca="false">Q3827+S3827</f>
        <v>47.6254393800144</v>
      </c>
      <c r="V3827" s="54" t="b">
        <f aca="false">AND(D3827&gt;=01_因子設定!$L$5-0.000000001,D3827&lt;=01_因子設定!$M$5+0.000000001,E3827&gt;=01_因子設定!$L$6-0.000000001,E3827&lt;=01_因子設定!$M$6+0.000000001,F3827&gt;=01_因子設定!$L$7-0.000000001,F3827&lt;=01_因子設定!$M$7+0.000000001,IF(01_因子設定!$B$20="Box-Behnken",D3827^2+E3827^2+F3827^2&lt;=2+0.000000001,TRUE()))</f>
        <v>1</v>
      </c>
      <c r="W3827" s="55" t="n">
        <f aca="false">IF(V3827,IF(01_因子設定!$B$13="最大化",T3827-01_因子設定!$B$14,IF(01_因子設定!$B$13="最小化",01_因子設定!$B$15-U3827,MIN(T3827-01_因子設定!$B$14,01_因子設定!$B$15-U3827))),-1E+030)</f>
        <v>-2.96926040274163</v>
      </c>
      <c r="X3827" s="55" t="n">
        <f aca="false">IF(V3827,IF(01_因子設定!$B$13="最大化",Q3827,IF(01_因子設定!$B$13="最小化",-Q3827,-ABS(Q3827-01_因子設定!$B$16))),-1E+030)</f>
        <v>46.5780894886364</v>
      </c>
      <c r="Y3827" s="55" t="n">
        <f aca="false">W3827+ROW()*0.000000001</f>
        <v>-2.96925657574163</v>
      </c>
      <c r="Z3827" s="55" t="n">
        <f aca="false">X3827+ROW()*0.000000001</f>
        <v>46.5780933156364</v>
      </c>
    </row>
    <row r="3828" customFormat="false" ht="15" hidden="false" customHeight="false" outlineLevel="0" collapsed="false">
      <c r="A3828" s="0" t="n">
        <v>13</v>
      </c>
      <c r="B3828" s="0" t="n">
        <v>3</v>
      </c>
      <c r="C3828" s="0" t="n">
        <v>15</v>
      </c>
      <c r="D3828" s="0" t="n">
        <f aca="false">-1+A3828*0.125</f>
        <v>0.625</v>
      </c>
      <c r="E3828" s="0" t="n">
        <f aca="false">-1+B3828*0.125</f>
        <v>-0.625</v>
      </c>
      <c r="F3828" s="0" t="n">
        <f aca="false">-1+C3828*0.125</f>
        <v>0.875</v>
      </c>
      <c r="G3828" s="0" t="n">
        <f aca="false">1</f>
        <v>1</v>
      </c>
      <c r="H3828" s="0" t="n">
        <f aca="false">D3828</f>
        <v>0.625</v>
      </c>
      <c r="I3828" s="0" t="n">
        <f aca="false">E3828</f>
        <v>-0.625</v>
      </c>
      <c r="J3828" s="0" t="n">
        <f aca="false">F3828</f>
        <v>0.875</v>
      </c>
      <c r="K3828" s="0" t="n">
        <f aca="false">D3828*E3828</f>
        <v>-0.390625</v>
      </c>
      <c r="L3828" s="0" t="n">
        <f aca="false">D3828*F3828</f>
        <v>0.546875</v>
      </c>
      <c r="M3828" s="0" t="n">
        <f aca="false">E3828*F3828</f>
        <v>-0.546875</v>
      </c>
      <c r="N3828" s="0" t="n">
        <f aca="false">D3828*D3828</f>
        <v>0.390625</v>
      </c>
      <c r="O3828" s="0" t="n">
        <f aca="false">E3828*E3828</f>
        <v>0.390625</v>
      </c>
      <c r="P3828" s="0" t="n">
        <f aca="false">F3828*F3828</f>
        <v>0.765625</v>
      </c>
      <c r="Q3828" s="0" t="n">
        <f aca="false">SUMPRODUCT(G3828:P3828,_XtX!$B$71:$K$71)</f>
        <v>46.4645809659091</v>
      </c>
      <c r="R3828" s="0" t="n">
        <f aca="false">SUMPRODUCT(MMULT(G3828:P3828,_XtX!$B$58:$K$67),G3828:P3828)</f>
        <v>0.345470636541193</v>
      </c>
      <c r="S3828" s="0" t="n">
        <f aca="false">04_回帰ANOVA!$K$19*04_回帰ANOVA!$K$14*SQRT(1+R3828)</f>
        <v>1.07845927083227</v>
      </c>
      <c r="T3828" s="0" t="n">
        <f aca="false">Q3828-S3828</f>
        <v>45.3861216950768</v>
      </c>
      <c r="U3828" s="0" t="n">
        <f aca="false">Q3828+S3828</f>
        <v>47.5430402367414</v>
      </c>
      <c r="V3828" s="54" t="b">
        <f aca="false">AND(D3828&gt;=01_因子設定!$L$5-0.000000001,D3828&lt;=01_因子設定!$M$5+0.000000001,E3828&gt;=01_因子設定!$L$6-0.000000001,E3828&lt;=01_因子設定!$M$6+0.000000001,F3828&gt;=01_因子設定!$L$7-0.000000001,F3828&lt;=01_因子設定!$M$7+0.000000001,IF(01_因子設定!$B$20="Box-Behnken",D3828^2+E3828^2+F3828^2&lt;=2+0.000000001,TRUE()))</f>
        <v>1</v>
      </c>
      <c r="W3828" s="55" t="n">
        <f aca="false">IF(V3828,IF(01_因子設定!$B$13="最大化",T3828-01_因子設定!$B$14,IF(01_因子設定!$B$13="最小化",01_因子設定!$B$15-U3828,MIN(T3828-01_因子設定!$B$14,01_因子設定!$B$15-U3828))),-1E+030)</f>
        <v>-3.11387830492316</v>
      </c>
      <c r="X3828" s="55" t="n">
        <f aca="false">IF(V3828,IF(01_因子設定!$B$13="最大化",Q3828,IF(01_因子設定!$B$13="最小化",-Q3828,-ABS(Q3828-01_因子設定!$B$16))),-1E+030)</f>
        <v>46.4645809659091</v>
      </c>
      <c r="Y3828" s="55" t="n">
        <f aca="false">W3828+ROW()*0.000000001</f>
        <v>-3.11387447692316</v>
      </c>
      <c r="Z3828" s="55" t="n">
        <f aca="false">X3828+ROW()*0.000000001</f>
        <v>46.4645847939091</v>
      </c>
    </row>
    <row r="3829" customFormat="false" ht="15" hidden="false" customHeight="false" outlineLevel="0" collapsed="false">
      <c r="A3829" s="0" t="n">
        <v>13</v>
      </c>
      <c r="B3829" s="0" t="n">
        <v>3</v>
      </c>
      <c r="C3829" s="0" t="n">
        <v>16</v>
      </c>
      <c r="D3829" s="0" t="n">
        <f aca="false">-1+A3829*0.125</f>
        <v>0.625</v>
      </c>
      <c r="E3829" s="0" t="n">
        <f aca="false">-1+B3829*0.125</f>
        <v>-0.625</v>
      </c>
      <c r="F3829" s="0" t="n">
        <f aca="false">-1+C3829*0.125</f>
        <v>1</v>
      </c>
      <c r="G3829" s="0" t="n">
        <f aca="false">1</f>
        <v>1</v>
      </c>
      <c r="H3829" s="0" t="n">
        <f aca="false">D3829</f>
        <v>0.625</v>
      </c>
      <c r="I3829" s="0" t="n">
        <f aca="false">E3829</f>
        <v>-0.625</v>
      </c>
      <c r="J3829" s="0" t="n">
        <f aca="false">F3829</f>
        <v>1</v>
      </c>
      <c r="K3829" s="0" t="n">
        <f aca="false">D3829*E3829</f>
        <v>-0.390625</v>
      </c>
      <c r="L3829" s="0" t="n">
        <f aca="false">D3829*F3829</f>
        <v>0.625</v>
      </c>
      <c r="M3829" s="0" t="n">
        <f aca="false">E3829*F3829</f>
        <v>-0.625</v>
      </c>
      <c r="N3829" s="0" t="n">
        <f aca="false">D3829*D3829</f>
        <v>0.390625</v>
      </c>
      <c r="O3829" s="0" t="n">
        <f aca="false">E3829*E3829</f>
        <v>0.390625</v>
      </c>
      <c r="P3829" s="0" t="n">
        <f aca="false">F3829*F3829</f>
        <v>1</v>
      </c>
      <c r="Q3829" s="0" t="n">
        <f aca="false">SUMPRODUCT(G3829:P3829,_XtX!$B$71:$K$71)</f>
        <v>46.3142826704546</v>
      </c>
      <c r="R3829" s="0" t="n">
        <f aca="false">SUMPRODUCT(MMULT(G3829:P3829,_XtX!$B$58:$K$67),G3829:P3829)</f>
        <v>0.47103105024858</v>
      </c>
      <c r="S3829" s="0" t="n">
        <f aca="false">04_回帰ANOVA!$K$19*04_回帰ANOVA!$K$14*SQRT(1+R3829)</f>
        <v>1.1276583912499</v>
      </c>
      <c r="T3829" s="0" t="n">
        <f aca="false">Q3829-S3829</f>
        <v>45.1866242792047</v>
      </c>
      <c r="U3829" s="0" t="n">
        <f aca="false">Q3829+S3829</f>
        <v>47.4419410617045</v>
      </c>
      <c r="V3829" s="54" t="b">
        <f aca="false">AND(D3829&gt;=01_因子設定!$L$5-0.000000001,D3829&lt;=01_因子設定!$M$5+0.000000001,E3829&gt;=01_因子設定!$L$6-0.000000001,E3829&lt;=01_因子設定!$M$6+0.000000001,F3829&gt;=01_因子設定!$L$7-0.000000001,F3829&lt;=01_因子設定!$M$7+0.000000001,IF(01_因子設定!$B$20="Box-Behnken",D3829^2+E3829^2+F3829^2&lt;=2+0.000000001,TRUE()))</f>
        <v>1</v>
      </c>
      <c r="W3829" s="55" t="n">
        <f aca="false">IF(V3829,IF(01_因子設定!$B$13="最大化",T3829-01_因子設定!$B$14,IF(01_因子設定!$B$13="最小化",01_因子設定!$B$15-U3829,MIN(T3829-01_因子設定!$B$14,01_因子設定!$B$15-U3829))),-1E+030)</f>
        <v>-3.31337572079534</v>
      </c>
      <c r="X3829" s="55" t="n">
        <f aca="false">IF(V3829,IF(01_因子設定!$B$13="最大化",Q3829,IF(01_因子設定!$B$13="最小化",-Q3829,-ABS(Q3829-01_因子設定!$B$16))),-1E+030)</f>
        <v>46.3142826704546</v>
      </c>
      <c r="Y3829" s="55" t="n">
        <f aca="false">W3829+ROW()*0.000000001</f>
        <v>-3.31337189179534</v>
      </c>
      <c r="Z3829" s="55" t="n">
        <f aca="false">X3829+ROW()*0.000000001</f>
        <v>46.3142864994546</v>
      </c>
    </row>
    <row r="3830" customFormat="false" ht="15" hidden="false" customHeight="false" outlineLevel="0" collapsed="false">
      <c r="A3830" s="0" t="n">
        <v>13</v>
      </c>
      <c r="B3830" s="0" t="n">
        <v>4</v>
      </c>
      <c r="C3830" s="0" t="n">
        <v>0</v>
      </c>
      <c r="D3830" s="0" t="n">
        <f aca="false">-1+A3830*0.125</f>
        <v>0.625</v>
      </c>
      <c r="E3830" s="0" t="n">
        <f aca="false">-1+B3830*0.125</f>
        <v>-0.5</v>
      </c>
      <c r="F3830" s="0" t="n">
        <f aca="false">-1+C3830*0.125</f>
        <v>-1</v>
      </c>
      <c r="G3830" s="0" t="n">
        <f aca="false">1</f>
        <v>1</v>
      </c>
      <c r="H3830" s="0" t="n">
        <f aca="false">D3830</f>
        <v>0.625</v>
      </c>
      <c r="I3830" s="0" t="n">
        <f aca="false">E3830</f>
        <v>-0.5</v>
      </c>
      <c r="J3830" s="0" t="n">
        <f aca="false">F3830</f>
        <v>-1</v>
      </c>
      <c r="K3830" s="0" t="n">
        <f aca="false">D3830*E3830</f>
        <v>-0.3125</v>
      </c>
      <c r="L3830" s="0" t="n">
        <f aca="false">D3830*F3830</f>
        <v>-0.625</v>
      </c>
      <c r="M3830" s="0" t="n">
        <f aca="false">E3830*F3830</f>
        <v>0.5</v>
      </c>
      <c r="N3830" s="0" t="n">
        <f aca="false">D3830*D3830</f>
        <v>0.390625</v>
      </c>
      <c r="O3830" s="0" t="n">
        <f aca="false">E3830*E3830</f>
        <v>0.25</v>
      </c>
      <c r="P3830" s="0" t="n">
        <f aca="false">F3830*F3830</f>
        <v>1</v>
      </c>
      <c r="Q3830" s="0" t="n">
        <f aca="false">SUMPRODUCT(G3830:P3830,_XtX!$B$71:$K$71)</f>
        <v>44.8875710227273</v>
      </c>
      <c r="R3830" s="0" t="n">
        <f aca="false">SUMPRODUCT(MMULT(G3830:P3830,_XtX!$B$58:$K$67),G3830:P3830)</f>
        <v>0.465882457386364</v>
      </c>
      <c r="S3830" s="0" t="n">
        <f aca="false">04_回帰ANOVA!$K$19*04_回帰ANOVA!$K$14*SQRT(1+R3830)</f>
        <v>1.12568326538173</v>
      </c>
      <c r="T3830" s="0" t="n">
        <f aca="false">Q3830-S3830</f>
        <v>43.7618877573456</v>
      </c>
      <c r="U3830" s="0" t="n">
        <f aca="false">Q3830+S3830</f>
        <v>46.013254288109</v>
      </c>
      <c r="V3830" s="54" t="b">
        <f aca="false">AND(D3830&gt;=01_因子設定!$L$5-0.000000001,D3830&lt;=01_因子設定!$M$5+0.000000001,E3830&gt;=01_因子設定!$L$6-0.000000001,E3830&lt;=01_因子設定!$M$6+0.000000001,F3830&gt;=01_因子設定!$L$7-0.000000001,F3830&lt;=01_因子設定!$M$7+0.000000001,IF(01_因子設定!$B$20="Box-Behnken",D3830^2+E3830^2+F3830^2&lt;=2+0.000000001,TRUE()))</f>
        <v>1</v>
      </c>
      <c r="W3830" s="55" t="n">
        <f aca="false">IF(V3830,IF(01_因子設定!$B$13="最大化",T3830-01_因子設定!$B$14,IF(01_因子設定!$B$13="最小化",01_因子設定!$B$15-U3830,MIN(T3830-01_因子設定!$B$14,01_因子設定!$B$15-U3830))),-1E+030)</f>
        <v>-4.73811224265443</v>
      </c>
      <c r="X3830" s="55" t="n">
        <f aca="false">IF(V3830,IF(01_因子設定!$B$13="最大化",Q3830,IF(01_因子設定!$B$13="最小化",-Q3830,-ABS(Q3830-01_因子設定!$B$16))),-1E+030)</f>
        <v>44.8875710227273</v>
      </c>
      <c r="Y3830" s="55" t="n">
        <f aca="false">W3830+ROW()*0.000000001</f>
        <v>-4.73810841265443</v>
      </c>
      <c r="Z3830" s="55" t="n">
        <f aca="false">X3830+ROW()*0.000000001</f>
        <v>44.8875748527273</v>
      </c>
    </row>
    <row r="3831" customFormat="false" ht="15" hidden="false" customHeight="false" outlineLevel="0" collapsed="false">
      <c r="A3831" s="0" t="n">
        <v>13</v>
      </c>
      <c r="B3831" s="0" t="n">
        <v>4</v>
      </c>
      <c r="C3831" s="0" t="n">
        <v>1</v>
      </c>
      <c r="D3831" s="0" t="n">
        <f aca="false">-1+A3831*0.125</f>
        <v>0.625</v>
      </c>
      <c r="E3831" s="0" t="n">
        <f aca="false">-1+B3831*0.125</f>
        <v>-0.5</v>
      </c>
      <c r="F3831" s="0" t="n">
        <f aca="false">-1+C3831*0.125</f>
        <v>-0.875</v>
      </c>
      <c r="G3831" s="0" t="n">
        <f aca="false">1</f>
        <v>1</v>
      </c>
      <c r="H3831" s="0" t="n">
        <f aca="false">D3831</f>
        <v>0.625</v>
      </c>
      <c r="I3831" s="0" t="n">
        <f aca="false">E3831</f>
        <v>-0.5</v>
      </c>
      <c r="J3831" s="0" t="n">
        <f aca="false">F3831</f>
        <v>-0.875</v>
      </c>
      <c r="K3831" s="0" t="n">
        <f aca="false">D3831*E3831</f>
        <v>-0.3125</v>
      </c>
      <c r="L3831" s="0" t="n">
        <f aca="false">D3831*F3831</f>
        <v>-0.546875</v>
      </c>
      <c r="M3831" s="0" t="n">
        <f aca="false">E3831*F3831</f>
        <v>0.4375</v>
      </c>
      <c r="N3831" s="0" t="n">
        <f aca="false">D3831*D3831</f>
        <v>0.390625</v>
      </c>
      <c r="O3831" s="0" t="n">
        <f aca="false">E3831*E3831</f>
        <v>0.25</v>
      </c>
      <c r="P3831" s="0" t="n">
        <f aca="false">F3831*F3831</f>
        <v>0.765625</v>
      </c>
      <c r="Q3831" s="0" t="n">
        <f aca="false">SUMPRODUCT(G3831:P3831,_XtX!$B$71:$K$71)</f>
        <v>45.2961505681818</v>
      </c>
      <c r="R3831" s="0" t="n">
        <f aca="false">SUMPRODUCT(MMULT(G3831:P3831,_XtX!$B$58:$K$67),G3831:P3831)</f>
        <v>0.335453102805398</v>
      </c>
      <c r="S3831" s="0" t="n">
        <f aca="false">04_回帰ANOVA!$K$19*04_回帰ANOVA!$K$14*SQRT(1+R3831)</f>
        <v>1.07443700305628</v>
      </c>
      <c r="T3831" s="0" t="n">
        <f aca="false">Q3831-S3831</f>
        <v>44.2217135651256</v>
      </c>
      <c r="U3831" s="0" t="n">
        <f aca="false">Q3831+S3831</f>
        <v>46.3705875712381</v>
      </c>
      <c r="V3831" s="54" t="b">
        <f aca="false">AND(D3831&gt;=01_因子設定!$L$5-0.000000001,D3831&lt;=01_因子設定!$M$5+0.000000001,E3831&gt;=01_因子設定!$L$6-0.000000001,E3831&lt;=01_因子設定!$M$6+0.000000001,F3831&gt;=01_因子設定!$L$7-0.000000001,F3831&lt;=01_因子設定!$M$7+0.000000001,IF(01_因子設定!$B$20="Box-Behnken",D3831^2+E3831^2+F3831^2&lt;=2+0.000000001,TRUE()))</f>
        <v>1</v>
      </c>
      <c r="W3831" s="55" t="n">
        <f aca="false">IF(V3831,IF(01_因子設定!$B$13="最大化",T3831-01_因子設定!$B$14,IF(01_因子設定!$B$13="最小化",01_因子設定!$B$15-U3831,MIN(T3831-01_因子設定!$B$14,01_因子設定!$B$15-U3831))),-1E+030)</f>
        <v>-4.27828643487444</v>
      </c>
      <c r="X3831" s="55" t="n">
        <f aca="false">IF(V3831,IF(01_因子設定!$B$13="最大化",Q3831,IF(01_因子設定!$B$13="最小化",-Q3831,-ABS(Q3831-01_因子設定!$B$16))),-1E+030)</f>
        <v>45.2961505681818</v>
      </c>
      <c r="Y3831" s="55" t="n">
        <f aca="false">W3831+ROW()*0.000000001</f>
        <v>-4.27828260387444</v>
      </c>
      <c r="Z3831" s="55" t="n">
        <f aca="false">X3831+ROW()*0.000000001</f>
        <v>45.2961543991818</v>
      </c>
    </row>
    <row r="3832" customFormat="false" ht="15" hidden="false" customHeight="false" outlineLevel="0" collapsed="false">
      <c r="A3832" s="0" t="n">
        <v>13</v>
      </c>
      <c r="B3832" s="0" t="n">
        <v>4</v>
      </c>
      <c r="C3832" s="0" t="n">
        <v>2</v>
      </c>
      <c r="D3832" s="0" t="n">
        <f aca="false">-1+A3832*0.125</f>
        <v>0.625</v>
      </c>
      <c r="E3832" s="0" t="n">
        <f aca="false">-1+B3832*0.125</f>
        <v>-0.5</v>
      </c>
      <c r="F3832" s="0" t="n">
        <f aca="false">-1+C3832*0.125</f>
        <v>-0.75</v>
      </c>
      <c r="G3832" s="0" t="n">
        <f aca="false">1</f>
        <v>1</v>
      </c>
      <c r="H3832" s="0" t="n">
        <f aca="false">D3832</f>
        <v>0.625</v>
      </c>
      <c r="I3832" s="0" t="n">
        <f aca="false">E3832</f>
        <v>-0.5</v>
      </c>
      <c r="J3832" s="0" t="n">
        <f aca="false">F3832</f>
        <v>-0.75</v>
      </c>
      <c r="K3832" s="0" t="n">
        <f aca="false">D3832*E3832</f>
        <v>-0.3125</v>
      </c>
      <c r="L3832" s="0" t="n">
        <f aca="false">D3832*F3832</f>
        <v>-0.46875</v>
      </c>
      <c r="M3832" s="0" t="n">
        <f aca="false">E3832*F3832</f>
        <v>0.375</v>
      </c>
      <c r="N3832" s="0" t="n">
        <f aca="false">D3832*D3832</f>
        <v>0.390625</v>
      </c>
      <c r="O3832" s="0" t="n">
        <f aca="false">E3832*E3832</f>
        <v>0.25</v>
      </c>
      <c r="P3832" s="0" t="n">
        <f aca="false">F3832*F3832</f>
        <v>0.5625</v>
      </c>
      <c r="Q3832" s="0" t="n">
        <f aca="false">SUMPRODUCT(G3832:P3832,_XtX!$B$71:$K$71)</f>
        <v>45.6679403409091</v>
      </c>
      <c r="R3832" s="0" t="n">
        <f aca="false">SUMPRODUCT(MMULT(G3832:P3832,_XtX!$B$58:$K$67),G3832:P3832)</f>
        <v>0.254729669744318</v>
      </c>
      <c r="S3832" s="0" t="n">
        <f aca="false">04_回帰ANOVA!$K$19*04_回帰ANOVA!$K$14*SQRT(1+R3832)</f>
        <v>1.04145790281631</v>
      </c>
      <c r="T3832" s="0" t="n">
        <f aca="false">Q3832-S3832</f>
        <v>44.6264824380928</v>
      </c>
      <c r="U3832" s="0" t="n">
        <f aca="false">Q3832+S3832</f>
        <v>46.7093982437254</v>
      </c>
      <c r="V3832" s="54" t="b">
        <f aca="false">AND(D3832&gt;=01_因子設定!$L$5-0.000000001,D3832&lt;=01_因子設定!$M$5+0.000000001,E3832&gt;=01_因子設定!$L$6-0.000000001,E3832&lt;=01_因子設定!$M$6+0.000000001,F3832&gt;=01_因子設定!$L$7-0.000000001,F3832&lt;=01_因子設定!$M$7+0.000000001,IF(01_因子設定!$B$20="Box-Behnken",D3832^2+E3832^2+F3832^2&lt;=2+0.000000001,TRUE()))</f>
        <v>1</v>
      </c>
      <c r="W3832" s="55" t="n">
        <f aca="false">IF(V3832,IF(01_因子設定!$B$13="最大化",T3832-01_因子設定!$B$14,IF(01_因子設定!$B$13="最小化",01_因子設定!$B$15-U3832,MIN(T3832-01_因子設定!$B$14,01_因子設定!$B$15-U3832))),-1E+030)</f>
        <v>-3.87351756190721</v>
      </c>
      <c r="X3832" s="55" t="n">
        <f aca="false">IF(V3832,IF(01_因子設定!$B$13="最大化",Q3832,IF(01_因子設定!$B$13="最小化",-Q3832,-ABS(Q3832-01_因子設定!$B$16))),-1E+030)</f>
        <v>45.6679403409091</v>
      </c>
      <c r="Y3832" s="55" t="n">
        <f aca="false">W3832+ROW()*0.000000001</f>
        <v>-3.87351372990721</v>
      </c>
      <c r="Z3832" s="55" t="n">
        <f aca="false">X3832+ROW()*0.000000001</f>
        <v>45.6679441729091</v>
      </c>
    </row>
    <row r="3833" customFormat="false" ht="15" hidden="false" customHeight="false" outlineLevel="0" collapsed="false">
      <c r="A3833" s="0" t="n">
        <v>13</v>
      </c>
      <c r="B3833" s="0" t="n">
        <v>4</v>
      </c>
      <c r="C3833" s="0" t="n">
        <v>3</v>
      </c>
      <c r="D3833" s="0" t="n">
        <f aca="false">-1+A3833*0.125</f>
        <v>0.625</v>
      </c>
      <c r="E3833" s="0" t="n">
        <f aca="false">-1+B3833*0.125</f>
        <v>-0.5</v>
      </c>
      <c r="F3833" s="0" t="n">
        <f aca="false">-1+C3833*0.125</f>
        <v>-0.625</v>
      </c>
      <c r="G3833" s="0" t="n">
        <f aca="false">1</f>
        <v>1</v>
      </c>
      <c r="H3833" s="0" t="n">
        <f aca="false">D3833</f>
        <v>0.625</v>
      </c>
      <c r="I3833" s="0" t="n">
        <f aca="false">E3833</f>
        <v>-0.5</v>
      </c>
      <c r="J3833" s="0" t="n">
        <f aca="false">F3833</f>
        <v>-0.625</v>
      </c>
      <c r="K3833" s="0" t="n">
        <f aca="false">D3833*E3833</f>
        <v>-0.3125</v>
      </c>
      <c r="L3833" s="0" t="n">
        <f aca="false">D3833*F3833</f>
        <v>-0.390625</v>
      </c>
      <c r="M3833" s="0" t="n">
        <f aca="false">E3833*F3833</f>
        <v>0.3125</v>
      </c>
      <c r="N3833" s="0" t="n">
        <f aca="false">D3833*D3833</f>
        <v>0.390625</v>
      </c>
      <c r="O3833" s="0" t="n">
        <f aca="false">E3833*E3833</f>
        <v>0.25</v>
      </c>
      <c r="P3833" s="0" t="n">
        <f aca="false">F3833*F3833</f>
        <v>0.390625</v>
      </c>
      <c r="Q3833" s="0" t="n">
        <f aca="false">SUMPRODUCT(G3833:P3833,_XtX!$B$71:$K$71)</f>
        <v>46.0029403409091</v>
      </c>
      <c r="R3833" s="0" t="n">
        <f aca="false">SUMPRODUCT(MMULT(G3833:P3833,_XtX!$B$58:$K$67),G3833:P3833)</f>
        <v>0.209862726384943</v>
      </c>
      <c r="S3833" s="0" t="n">
        <f aca="false">04_回帰ANOVA!$K$19*04_回帰ANOVA!$K$14*SQRT(1+R3833)</f>
        <v>1.0226680420112</v>
      </c>
      <c r="T3833" s="0" t="n">
        <f aca="false">Q3833-S3833</f>
        <v>44.9802722988979</v>
      </c>
      <c r="U3833" s="0" t="n">
        <f aca="false">Q3833+S3833</f>
        <v>47.0256083829203</v>
      </c>
      <c r="V3833" s="54" t="b">
        <f aca="false">AND(D3833&gt;=01_因子設定!$L$5-0.000000001,D3833&lt;=01_因子設定!$M$5+0.000000001,E3833&gt;=01_因子設定!$L$6-0.000000001,E3833&lt;=01_因子設定!$M$6+0.000000001,F3833&gt;=01_因子設定!$L$7-0.000000001,F3833&lt;=01_因子設定!$M$7+0.000000001,IF(01_因子設定!$B$20="Box-Behnken",D3833^2+E3833^2+F3833^2&lt;=2+0.000000001,TRUE()))</f>
        <v>1</v>
      </c>
      <c r="W3833" s="55" t="n">
        <f aca="false">IF(V3833,IF(01_因子設定!$B$13="最大化",T3833-01_因子設定!$B$14,IF(01_因子設定!$B$13="最小化",01_因子設定!$B$15-U3833,MIN(T3833-01_因子設定!$B$14,01_因子設定!$B$15-U3833))),-1E+030)</f>
        <v>-3.5197277011021</v>
      </c>
      <c r="X3833" s="55" t="n">
        <f aca="false">IF(V3833,IF(01_因子設定!$B$13="最大化",Q3833,IF(01_因子設定!$B$13="最小化",-Q3833,-ABS(Q3833-01_因子設定!$B$16))),-1E+030)</f>
        <v>46.0029403409091</v>
      </c>
      <c r="Y3833" s="55" t="n">
        <f aca="false">W3833+ROW()*0.000000001</f>
        <v>-3.5197238681021</v>
      </c>
      <c r="Z3833" s="55" t="n">
        <f aca="false">X3833+ROW()*0.000000001</f>
        <v>46.0029441739091</v>
      </c>
    </row>
    <row r="3834" customFormat="false" ht="15" hidden="false" customHeight="false" outlineLevel="0" collapsed="false">
      <c r="A3834" s="0" t="n">
        <v>13</v>
      </c>
      <c r="B3834" s="0" t="n">
        <v>4</v>
      </c>
      <c r="C3834" s="0" t="n">
        <v>4</v>
      </c>
      <c r="D3834" s="0" t="n">
        <f aca="false">-1+A3834*0.125</f>
        <v>0.625</v>
      </c>
      <c r="E3834" s="0" t="n">
        <f aca="false">-1+B3834*0.125</f>
        <v>-0.5</v>
      </c>
      <c r="F3834" s="0" t="n">
        <f aca="false">-1+C3834*0.125</f>
        <v>-0.5</v>
      </c>
      <c r="G3834" s="0" t="n">
        <f aca="false">1</f>
        <v>1</v>
      </c>
      <c r="H3834" s="0" t="n">
        <f aca="false">D3834</f>
        <v>0.625</v>
      </c>
      <c r="I3834" s="0" t="n">
        <f aca="false">E3834</f>
        <v>-0.5</v>
      </c>
      <c r="J3834" s="0" t="n">
        <f aca="false">F3834</f>
        <v>-0.5</v>
      </c>
      <c r="K3834" s="0" t="n">
        <f aca="false">D3834*E3834</f>
        <v>-0.3125</v>
      </c>
      <c r="L3834" s="0" t="n">
        <f aca="false">D3834*F3834</f>
        <v>-0.3125</v>
      </c>
      <c r="M3834" s="0" t="n">
        <f aca="false">E3834*F3834</f>
        <v>0.25</v>
      </c>
      <c r="N3834" s="0" t="n">
        <f aca="false">D3834*D3834</f>
        <v>0.390625</v>
      </c>
      <c r="O3834" s="0" t="n">
        <f aca="false">E3834*E3834</f>
        <v>0.25</v>
      </c>
      <c r="P3834" s="0" t="n">
        <f aca="false">F3834*F3834</f>
        <v>0.25</v>
      </c>
      <c r="Q3834" s="0" t="n">
        <f aca="false">SUMPRODUCT(G3834:P3834,_XtX!$B$71:$K$71)</f>
        <v>46.3011505681818</v>
      </c>
      <c r="R3834" s="0" t="n">
        <f aca="false">SUMPRODUCT(MMULT(G3834:P3834,_XtX!$B$58:$K$67),G3834:P3834)</f>
        <v>0.189133522727273</v>
      </c>
      <c r="S3834" s="0" t="n">
        <f aca="false">04_回帰ANOVA!$K$19*04_回帰ANOVA!$K$14*SQRT(1+R3834)</f>
        <v>1.0138692404042</v>
      </c>
      <c r="T3834" s="0" t="n">
        <f aca="false">Q3834-S3834</f>
        <v>45.2872813277776</v>
      </c>
      <c r="U3834" s="0" t="n">
        <f aca="false">Q3834+S3834</f>
        <v>47.315019808586</v>
      </c>
      <c r="V3834" s="54" t="b">
        <f aca="false">AND(D3834&gt;=01_因子設定!$L$5-0.000000001,D3834&lt;=01_因子設定!$M$5+0.000000001,E3834&gt;=01_因子設定!$L$6-0.000000001,E3834&lt;=01_因子設定!$M$6+0.000000001,F3834&gt;=01_因子設定!$L$7-0.000000001,F3834&lt;=01_因子設定!$M$7+0.000000001,IF(01_因子設定!$B$20="Box-Behnken",D3834^2+E3834^2+F3834^2&lt;=2+0.000000001,TRUE()))</f>
        <v>1</v>
      </c>
      <c r="W3834" s="55" t="n">
        <f aca="false">IF(V3834,IF(01_因子設定!$B$13="最大化",T3834-01_因子設定!$B$14,IF(01_因子設定!$B$13="最小化",01_因子設定!$B$15-U3834,MIN(T3834-01_因子設定!$B$14,01_因子設定!$B$15-U3834))),-1E+030)</f>
        <v>-3.21271867222237</v>
      </c>
      <c r="X3834" s="55" t="n">
        <f aca="false">IF(V3834,IF(01_因子設定!$B$13="最大化",Q3834,IF(01_因子設定!$B$13="最小化",-Q3834,-ABS(Q3834-01_因子設定!$B$16))),-1E+030)</f>
        <v>46.3011505681818</v>
      </c>
      <c r="Y3834" s="55" t="n">
        <f aca="false">W3834+ROW()*0.000000001</f>
        <v>-3.21271483822237</v>
      </c>
      <c r="Z3834" s="55" t="n">
        <f aca="false">X3834+ROW()*0.000000001</f>
        <v>46.3011544021818</v>
      </c>
    </row>
    <row r="3835" customFormat="false" ht="15" hidden="false" customHeight="false" outlineLevel="0" collapsed="false">
      <c r="A3835" s="0" t="n">
        <v>13</v>
      </c>
      <c r="B3835" s="0" t="n">
        <v>4</v>
      </c>
      <c r="C3835" s="0" t="n">
        <v>5</v>
      </c>
      <c r="D3835" s="0" t="n">
        <f aca="false">-1+A3835*0.125</f>
        <v>0.625</v>
      </c>
      <c r="E3835" s="0" t="n">
        <f aca="false">-1+B3835*0.125</f>
        <v>-0.5</v>
      </c>
      <c r="F3835" s="0" t="n">
        <f aca="false">-1+C3835*0.125</f>
        <v>-0.375</v>
      </c>
      <c r="G3835" s="0" t="n">
        <f aca="false">1</f>
        <v>1</v>
      </c>
      <c r="H3835" s="0" t="n">
        <f aca="false">D3835</f>
        <v>0.625</v>
      </c>
      <c r="I3835" s="0" t="n">
        <f aca="false">E3835</f>
        <v>-0.5</v>
      </c>
      <c r="J3835" s="0" t="n">
        <f aca="false">F3835</f>
        <v>-0.375</v>
      </c>
      <c r="K3835" s="0" t="n">
        <f aca="false">D3835*E3835</f>
        <v>-0.3125</v>
      </c>
      <c r="L3835" s="0" t="n">
        <f aca="false">D3835*F3835</f>
        <v>-0.234375</v>
      </c>
      <c r="M3835" s="0" t="n">
        <f aca="false">E3835*F3835</f>
        <v>0.1875</v>
      </c>
      <c r="N3835" s="0" t="n">
        <f aca="false">D3835*D3835</f>
        <v>0.390625</v>
      </c>
      <c r="O3835" s="0" t="n">
        <f aca="false">E3835*E3835</f>
        <v>0.25</v>
      </c>
      <c r="P3835" s="0" t="n">
        <f aca="false">F3835*F3835</f>
        <v>0.140625</v>
      </c>
      <c r="Q3835" s="0" t="n">
        <f aca="false">SUMPRODUCT(G3835:P3835,_XtX!$B$71:$K$71)</f>
        <v>46.5625710227273</v>
      </c>
      <c r="R3835" s="0" t="n">
        <f aca="false">SUMPRODUCT(MMULT(G3835:P3835,_XtX!$B$58:$K$67),G3835:P3835)</f>
        <v>0.182953990589489</v>
      </c>
      <c r="S3835" s="0" t="n">
        <f aca="false">04_回帰ANOVA!$K$19*04_回帰ANOVA!$K$14*SQRT(1+R3835)</f>
        <v>1.01123143807044</v>
      </c>
      <c r="T3835" s="0" t="n">
        <f aca="false">Q3835-S3835</f>
        <v>45.5513395846568</v>
      </c>
      <c r="U3835" s="0" t="n">
        <f aca="false">Q3835+S3835</f>
        <v>47.5738024607977</v>
      </c>
      <c r="V3835" s="54" t="b">
        <f aca="false">AND(D3835&gt;=01_因子設定!$L$5-0.000000001,D3835&lt;=01_因子設定!$M$5+0.000000001,E3835&gt;=01_因子設定!$L$6-0.000000001,E3835&lt;=01_因子設定!$M$6+0.000000001,F3835&gt;=01_因子設定!$L$7-0.000000001,F3835&lt;=01_因子設定!$M$7+0.000000001,IF(01_因子設定!$B$20="Box-Behnken",D3835^2+E3835^2+F3835^2&lt;=2+0.000000001,TRUE()))</f>
        <v>1</v>
      </c>
      <c r="W3835" s="55" t="n">
        <f aca="false">IF(V3835,IF(01_因子設定!$B$13="最大化",T3835-01_因子設定!$B$14,IF(01_因子設定!$B$13="最小化",01_因子設定!$B$15-U3835,MIN(T3835-01_因子設定!$B$14,01_因子設定!$B$15-U3835))),-1E+030)</f>
        <v>-2.94866041534316</v>
      </c>
      <c r="X3835" s="55" t="n">
        <f aca="false">IF(V3835,IF(01_因子設定!$B$13="最大化",Q3835,IF(01_因子設定!$B$13="最小化",-Q3835,-ABS(Q3835-01_因子設定!$B$16))),-1E+030)</f>
        <v>46.5625710227273</v>
      </c>
      <c r="Y3835" s="55" t="n">
        <f aca="false">W3835+ROW()*0.000000001</f>
        <v>-2.94865658034316</v>
      </c>
      <c r="Z3835" s="55" t="n">
        <f aca="false">X3835+ROW()*0.000000001</f>
        <v>46.5625748577273</v>
      </c>
    </row>
    <row r="3836" customFormat="false" ht="15" hidden="false" customHeight="false" outlineLevel="0" collapsed="false">
      <c r="A3836" s="0" t="n">
        <v>13</v>
      </c>
      <c r="B3836" s="0" t="n">
        <v>4</v>
      </c>
      <c r="C3836" s="0" t="n">
        <v>6</v>
      </c>
      <c r="D3836" s="0" t="n">
        <f aca="false">-1+A3836*0.125</f>
        <v>0.625</v>
      </c>
      <c r="E3836" s="0" t="n">
        <f aca="false">-1+B3836*0.125</f>
        <v>-0.5</v>
      </c>
      <c r="F3836" s="0" t="n">
        <f aca="false">-1+C3836*0.125</f>
        <v>-0.25</v>
      </c>
      <c r="G3836" s="0" t="n">
        <f aca="false">1</f>
        <v>1</v>
      </c>
      <c r="H3836" s="0" t="n">
        <f aca="false">D3836</f>
        <v>0.625</v>
      </c>
      <c r="I3836" s="0" t="n">
        <f aca="false">E3836</f>
        <v>-0.5</v>
      </c>
      <c r="J3836" s="0" t="n">
        <f aca="false">F3836</f>
        <v>-0.25</v>
      </c>
      <c r="K3836" s="0" t="n">
        <f aca="false">D3836*E3836</f>
        <v>-0.3125</v>
      </c>
      <c r="L3836" s="0" t="n">
        <f aca="false">D3836*F3836</f>
        <v>-0.15625</v>
      </c>
      <c r="M3836" s="0" t="n">
        <f aca="false">E3836*F3836</f>
        <v>0.125</v>
      </c>
      <c r="N3836" s="0" t="n">
        <f aca="false">D3836*D3836</f>
        <v>0.390625</v>
      </c>
      <c r="O3836" s="0" t="n">
        <f aca="false">E3836*E3836</f>
        <v>0.25</v>
      </c>
      <c r="P3836" s="0" t="n">
        <f aca="false">F3836*F3836</f>
        <v>0.0625</v>
      </c>
      <c r="Q3836" s="0" t="n">
        <f aca="false">SUMPRODUCT(G3836:P3836,_XtX!$B$71:$K$71)</f>
        <v>46.7872017045455</v>
      </c>
      <c r="R3836" s="0" t="n">
        <f aca="false">SUMPRODUCT(MMULT(G3836:P3836,_XtX!$B$58:$K$67),G3836:P3836)</f>
        <v>0.183866743607955</v>
      </c>
      <c r="S3836" s="0" t="n">
        <f aca="false">04_回帰ANOVA!$K$19*04_回帰ANOVA!$K$14*SQRT(1+R3836)</f>
        <v>1.01162148983013</v>
      </c>
      <c r="T3836" s="0" t="n">
        <f aca="false">Q3836-S3836</f>
        <v>45.7755802147153</v>
      </c>
      <c r="U3836" s="0" t="n">
        <f aca="false">Q3836+S3836</f>
        <v>47.7988231943756</v>
      </c>
      <c r="V3836" s="54" t="b">
        <f aca="false">AND(D3836&gt;=01_因子設定!$L$5-0.000000001,D3836&lt;=01_因子設定!$M$5+0.000000001,E3836&gt;=01_因子設定!$L$6-0.000000001,E3836&lt;=01_因子設定!$M$6+0.000000001,F3836&gt;=01_因子設定!$L$7-0.000000001,F3836&lt;=01_因子設定!$M$7+0.000000001,IF(01_因子設定!$B$20="Box-Behnken",D3836^2+E3836^2+F3836^2&lt;=2+0.000000001,TRUE()))</f>
        <v>1</v>
      </c>
      <c r="W3836" s="55" t="n">
        <f aca="false">IF(V3836,IF(01_因子設定!$B$13="最大化",T3836-01_因子設定!$B$14,IF(01_因子設定!$B$13="最小化",01_因子設定!$B$15-U3836,MIN(T3836-01_因子設定!$B$14,01_因子設定!$B$15-U3836))),-1E+030)</f>
        <v>-2.72441978528467</v>
      </c>
      <c r="X3836" s="55" t="n">
        <f aca="false">IF(V3836,IF(01_因子設定!$B$13="最大化",Q3836,IF(01_因子設定!$B$13="最小化",-Q3836,-ABS(Q3836-01_因子設定!$B$16))),-1E+030)</f>
        <v>46.7872017045455</v>
      </c>
      <c r="Y3836" s="55" t="n">
        <f aca="false">W3836+ROW()*0.000000001</f>
        <v>-2.72441594928467</v>
      </c>
      <c r="Z3836" s="55" t="n">
        <f aca="false">X3836+ROW()*0.000000001</f>
        <v>46.7872055405455</v>
      </c>
    </row>
    <row r="3837" customFormat="false" ht="15" hidden="false" customHeight="false" outlineLevel="0" collapsed="false">
      <c r="A3837" s="0" t="n">
        <v>13</v>
      </c>
      <c r="B3837" s="0" t="n">
        <v>4</v>
      </c>
      <c r="C3837" s="0" t="n">
        <v>7</v>
      </c>
      <c r="D3837" s="0" t="n">
        <f aca="false">-1+A3837*0.125</f>
        <v>0.625</v>
      </c>
      <c r="E3837" s="0" t="n">
        <f aca="false">-1+B3837*0.125</f>
        <v>-0.5</v>
      </c>
      <c r="F3837" s="0" t="n">
        <f aca="false">-1+C3837*0.125</f>
        <v>-0.125</v>
      </c>
      <c r="G3837" s="0" t="n">
        <f aca="false">1</f>
        <v>1</v>
      </c>
      <c r="H3837" s="0" t="n">
        <f aca="false">D3837</f>
        <v>0.625</v>
      </c>
      <c r="I3837" s="0" t="n">
        <f aca="false">E3837</f>
        <v>-0.5</v>
      </c>
      <c r="J3837" s="0" t="n">
        <f aca="false">F3837</f>
        <v>-0.125</v>
      </c>
      <c r="K3837" s="0" t="n">
        <f aca="false">D3837*E3837</f>
        <v>-0.3125</v>
      </c>
      <c r="L3837" s="0" t="n">
        <f aca="false">D3837*F3837</f>
        <v>-0.078125</v>
      </c>
      <c r="M3837" s="0" t="n">
        <f aca="false">E3837*F3837</f>
        <v>0.0625</v>
      </c>
      <c r="N3837" s="0" t="n">
        <f aca="false">D3837*D3837</f>
        <v>0.390625</v>
      </c>
      <c r="O3837" s="0" t="n">
        <f aca="false">E3837*E3837</f>
        <v>0.25</v>
      </c>
      <c r="P3837" s="0" t="n">
        <f aca="false">F3837*F3837</f>
        <v>0.015625</v>
      </c>
      <c r="Q3837" s="0" t="n">
        <f aca="false">SUMPRODUCT(G3837:P3837,_XtX!$B$71:$K$71)</f>
        <v>46.9750426136364</v>
      </c>
      <c r="R3837" s="0" t="n">
        <f aca="false">SUMPRODUCT(MMULT(G3837:P3837,_XtX!$B$58:$K$67),G3837:P3837)</f>
        <v>0.186545077237216</v>
      </c>
      <c r="S3837" s="0" t="n">
        <f aca="false">04_回帰ANOVA!$K$19*04_回帰ANOVA!$K$14*SQRT(1+R3837)</f>
        <v>1.01276516970713</v>
      </c>
      <c r="T3837" s="0" t="n">
        <f aca="false">Q3837-S3837</f>
        <v>45.9622774439292</v>
      </c>
      <c r="U3837" s="0" t="n">
        <f aca="false">Q3837+S3837</f>
        <v>47.9878077833435</v>
      </c>
      <c r="V3837" s="54" t="b">
        <f aca="false">AND(D3837&gt;=01_因子設定!$L$5-0.000000001,D3837&lt;=01_因子設定!$M$5+0.000000001,E3837&gt;=01_因子設定!$L$6-0.000000001,E3837&lt;=01_因子設定!$M$6+0.000000001,F3837&gt;=01_因子設定!$L$7-0.000000001,F3837&lt;=01_因子設定!$M$7+0.000000001,IF(01_因子設定!$B$20="Box-Behnken",D3837^2+E3837^2+F3837^2&lt;=2+0.000000001,TRUE()))</f>
        <v>1</v>
      </c>
      <c r="W3837" s="55" t="n">
        <f aca="false">IF(V3837,IF(01_因子設定!$B$13="最大化",T3837-01_因子設定!$B$14,IF(01_因子設定!$B$13="最小化",01_因子設定!$B$15-U3837,MIN(T3837-01_因子設定!$B$14,01_因子設定!$B$15-U3837))),-1E+030)</f>
        <v>-2.53772255607076</v>
      </c>
      <c r="X3837" s="55" t="n">
        <f aca="false">IF(V3837,IF(01_因子設定!$B$13="最大化",Q3837,IF(01_因子設定!$B$13="最小化",-Q3837,-ABS(Q3837-01_因子設定!$B$16))),-1E+030)</f>
        <v>46.9750426136364</v>
      </c>
      <c r="Y3837" s="55" t="n">
        <f aca="false">W3837+ROW()*0.000000001</f>
        <v>-2.53771871907076</v>
      </c>
      <c r="Z3837" s="55" t="n">
        <f aca="false">X3837+ROW()*0.000000001</f>
        <v>46.9750464506364</v>
      </c>
    </row>
    <row r="3838" customFormat="false" ht="15" hidden="false" customHeight="false" outlineLevel="0" collapsed="false">
      <c r="A3838" s="0" t="n">
        <v>13</v>
      </c>
      <c r="B3838" s="0" t="n">
        <v>4</v>
      </c>
      <c r="C3838" s="0" t="n">
        <v>8</v>
      </c>
      <c r="D3838" s="0" t="n">
        <f aca="false">-1+A3838*0.125</f>
        <v>0.625</v>
      </c>
      <c r="E3838" s="0" t="n">
        <f aca="false">-1+B3838*0.125</f>
        <v>-0.5</v>
      </c>
      <c r="F3838" s="0" t="n">
        <f aca="false">-1+C3838*0.125</f>
        <v>0</v>
      </c>
      <c r="G3838" s="0" t="n">
        <f aca="false">1</f>
        <v>1</v>
      </c>
      <c r="H3838" s="0" t="n">
        <f aca="false">D3838</f>
        <v>0.625</v>
      </c>
      <c r="I3838" s="0" t="n">
        <f aca="false">E3838</f>
        <v>-0.5</v>
      </c>
      <c r="J3838" s="0" t="n">
        <f aca="false">F3838</f>
        <v>0</v>
      </c>
      <c r="K3838" s="0" t="n">
        <f aca="false">D3838*E3838</f>
        <v>-0.3125</v>
      </c>
      <c r="L3838" s="0" t="n">
        <f aca="false">D3838*F3838</f>
        <v>0</v>
      </c>
      <c r="M3838" s="0" t="n">
        <f aca="false">E3838*F3838</f>
        <v>-0</v>
      </c>
      <c r="N3838" s="0" t="n">
        <f aca="false">D3838*D3838</f>
        <v>0.390625</v>
      </c>
      <c r="O3838" s="0" t="n">
        <f aca="false">E3838*E3838</f>
        <v>0.25</v>
      </c>
      <c r="P3838" s="0" t="n">
        <f aca="false">F3838*F3838</f>
        <v>0</v>
      </c>
      <c r="Q3838" s="0" t="n">
        <f aca="false">SUMPRODUCT(G3838:P3838,_XtX!$B$71:$K$71)</f>
        <v>47.12609375</v>
      </c>
      <c r="R3838" s="0" t="n">
        <f aca="false">SUMPRODUCT(MMULT(G3838:P3838,_XtX!$B$58:$K$67),G3838:P3838)</f>
        <v>0.18779296875</v>
      </c>
      <c r="S3838" s="0" t="n">
        <f aca="false">04_回帰ANOVA!$K$19*04_回帰ANOVA!$K$14*SQRT(1+R3838)</f>
        <v>1.01329759319777</v>
      </c>
      <c r="T3838" s="0" t="n">
        <f aca="false">Q3838-S3838</f>
        <v>46.1127961568022</v>
      </c>
      <c r="U3838" s="0" t="n">
        <f aca="false">Q3838+S3838</f>
        <v>48.1393913431978</v>
      </c>
      <c r="V3838" s="54" t="b">
        <f aca="false">AND(D3838&gt;=01_因子設定!$L$5-0.000000001,D3838&lt;=01_因子設定!$M$5+0.000000001,E3838&gt;=01_因子設定!$L$6-0.000000001,E3838&lt;=01_因子設定!$M$6+0.000000001,F3838&gt;=01_因子設定!$L$7-0.000000001,F3838&lt;=01_因子設定!$M$7+0.000000001,IF(01_因子設定!$B$20="Box-Behnken",D3838^2+E3838^2+F3838^2&lt;=2+0.000000001,TRUE()))</f>
        <v>1</v>
      </c>
      <c r="W3838" s="55" t="n">
        <f aca="false">IF(V3838,IF(01_因子設定!$B$13="最大化",T3838-01_因子設定!$B$14,IF(01_因子設定!$B$13="最小化",01_因子設定!$B$15-U3838,MIN(T3838-01_因子設定!$B$14,01_因子設定!$B$15-U3838))),-1E+030)</f>
        <v>-2.38720384319777</v>
      </c>
      <c r="X3838" s="55" t="n">
        <f aca="false">IF(V3838,IF(01_因子設定!$B$13="最大化",Q3838,IF(01_因子設定!$B$13="最小化",-Q3838,-ABS(Q3838-01_因子設定!$B$16))),-1E+030)</f>
        <v>47.12609375</v>
      </c>
      <c r="Y3838" s="55" t="n">
        <f aca="false">W3838+ROW()*0.000000001</f>
        <v>-2.38720000519777</v>
      </c>
      <c r="Z3838" s="55" t="n">
        <f aca="false">X3838+ROW()*0.000000001</f>
        <v>47.126097588</v>
      </c>
    </row>
    <row r="3839" customFormat="false" ht="15" hidden="false" customHeight="false" outlineLevel="0" collapsed="false">
      <c r="A3839" s="0" t="n">
        <v>13</v>
      </c>
      <c r="B3839" s="0" t="n">
        <v>4</v>
      </c>
      <c r="C3839" s="0" t="n">
        <v>9</v>
      </c>
      <c r="D3839" s="0" t="n">
        <f aca="false">-1+A3839*0.125</f>
        <v>0.625</v>
      </c>
      <c r="E3839" s="0" t="n">
        <f aca="false">-1+B3839*0.125</f>
        <v>-0.5</v>
      </c>
      <c r="F3839" s="0" t="n">
        <f aca="false">-1+C3839*0.125</f>
        <v>0.125</v>
      </c>
      <c r="G3839" s="0" t="n">
        <f aca="false">1</f>
        <v>1</v>
      </c>
      <c r="H3839" s="0" t="n">
        <f aca="false">D3839</f>
        <v>0.625</v>
      </c>
      <c r="I3839" s="0" t="n">
        <f aca="false">E3839</f>
        <v>-0.5</v>
      </c>
      <c r="J3839" s="0" t="n">
        <f aca="false">F3839</f>
        <v>0.125</v>
      </c>
      <c r="K3839" s="0" t="n">
        <f aca="false">D3839*E3839</f>
        <v>-0.3125</v>
      </c>
      <c r="L3839" s="0" t="n">
        <f aca="false">D3839*F3839</f>
        <v>0.078125</v>
      </c>
      <c r="M3839" s="0" t="n">
        <f aca="false">E3839*F3839</f>
        <v>-0.0625</v>
      </c>
      <c r="N3839" s="0" t="n">
        <f aca="false">D3839*D3839</f>
        <v>0.390625</v>
      </c>
      <c r="O3839" s="0" t="n">
        <f aca="false">E3839*E3839</f>
        <v>0.25</v>
      </c>
      <c r="P3839" s="0" t="n">
        <f aca="false">F3839*F3839</f>
        <v>0.015625</v>
      </c>
      <c r="Q3839" s="0" t="n">
        <f aca="false">SUMPRODUCT(G3839:P3839,_XtX!$B$71:$K$71)</f>
        <v>47.2403551136364</v>
      </c>
      <c r="R3839" s="0" t="n">
        <f aca="false">SUMPRODUCT(MMULT(G3839:P3839,_XtX!$B$58:$K$67),G3839:P3839)</f>
        <v>0.186545077237216</v>
      </c>
      <c r="S3839" s="0" t="n">
        <f aca="false">04_回帰ANOVA!$K$19*04_回帰ANOVA!$K$14*SQRT(1+R3839)</f>
        <v>1.01276516970713</v>
      </c>
      <c r="T3839" s="0" t="n">
        <f aca="false">Q3839-S3839</f>
        <v>46.2275899439292</v>
      </c>
      <c r="U3839" s="0" t="n">
        <f aca="false">Q3839+S3839</f>
        <v>48.2531202833435</v>
      </c>
      <c r="V3839" s="54" t="b">
        <f aca="false">AND(D3839&gt;=01_因子設定!$L$5-0.000000001,D3839&lt;=01_因子設定!$M$5+0.000000001,E3839&gt;=01_因子設定!$L$6-0.000000001,E3839&lt;=01_因子設定!$M$6+0.000000001,F3839&gt;=01_因子設定!$L$7-0.000000001,F3839&lt;=01_因子設定!$M$7+0.000000001,IF(01_因子設定!$B$20="Box-Behnken",D3839^2+E3839^2+F3839^2&lt;=2+0.000000001,TRUE()))</f>
        <v>1</v>
      </c>
      <c r="W3839" s="55" t="n">
        <f aca="false">IF(V3839,IF(01_因子設定!$B$13="最大化",T3839-01_因子設定!$B$14,IF(01_因子設定!$B$13="最小化",01_因子設定!$B$15-U3839,MIN(T3839-01_因子設定!$B$14,01_因子設定!$B$15-U3839))),-1E+030)</f>
        <v>-2.27241005607076</v>
      </c>
      <c r="X3839" s="55" t="n">
        <f aca="false">IF(V3839,IF(01_因子設定!$B$13="最大化",Q3839,IF(01_因子設定!$B$13="最小化",-Q3839,-ABS(Q3839-01_因子設定!$B$16))),-1E+030)</f>
        <v>47.2403551136364</v>
      </c>
      <c r="Y3839" s="55" t="n">
        <f aca="false">W3839+ROW()*0.000000001</f>
        <v>-2.27240621707076</v>
      </c>
      <c r="Z3839" s="55" t="n">
        <f aca="false">X3839+ROW()*0.000000001</f>
        <v>47.2403589526364</v>
      </c>
    </row>
    <row r="3840" customFormat="false" ht="15" hidden="false" customHeight="false" outlineLevel="0" collapsed="false">
      <c r="A3840" s="0" t="n">
        <v>13</v>
      </c>
      <c r="B3840" s="0" t="n">
        <v>4</v>
      </c>
      <c r="C3840" s="0" t="n">
        <v>10</v>
      </c>
      <c r="D3840" s="0" t="n">
        <f aca="false">-1+A3840*0.125</f>
        <v>0.625</v>
      </c>
      <c r="E3840" s="0" t="n">
        <f aca="false">-1+B3840*0.125</f>
        <v>-0.5</v>
      </c>
      <c r="F3840" s="0" t="n">
        <f aca="false">-1+C3840*0.125</f>
        <v>0.25</v>
      </c>
      <c r="G3840" s="0" t="n">
        <f aca="false">1</f>
        <v>1</v>
      </c>
      <c r="H3840" s="0" t="n">
        <f aca="false">D3840</f>
        <v>0.625</v>
      </c>
      <c r="I3840" s="0" t="n">
        <f aca="false">E3840</f>
        <v>-0.5</v>
      </c>
      <c r="J3840" s="0" t="n">
        <f aca="false">F3840</f>
        <v>0.25</v>
      </c>
      <c r="K3840" s="0" t="n">
        <f aca="false">D3840*E3840</f>
        <v>-0.3125</v>
      </c>
      <c r="L3840" s="0" t="n">
        <f aca="false">D3840*F3840</f>
        <v>0.15625</v>
      </c>
      <c r="M3840" s="0" t="n">
        <f aca="false">E3840*F3840</f>
        <v>-0.125</v>
      </c>
      <c r="N3840" s="0" t="n">
        <f aca="false">D3840*D3840</f>
        <v>0.390625</v>
      </c>
      <c r="O3840" s="0" t="n">
        <f aca="false">E3840*E3840</f>
        <v>0.25</v>
      </c>
      <c r="P3840" s="0" t="n">
        <f aca="false">F3840*F3840</f>
        <v>0.0625</v>
      </c>
      <c r="Q3840" s="0" t="n">
        <f aca="false">SUMPRODUCT(G3840:P3840,_XtX!$B$71:$K$71)</f>
        <v>47.3178267045455</v>
      </c>
      <c r="R3840" s="0" t="n">
        <f aca="false">SUMPRODUCT(MMULT(G3840:P3840,_XtX!$B$58:$K$67),G3840:P3840)</f>
        <v>0.183866743607955</v>
      </c>
      <c r="S3840" s="0" t="n">
        <f aca="false">04_回帰ANOVA!$K$19*04_回帰ANOVA!$K$14*SQRT(1+R3840)</f>
        <v>1.01162148983013</v>
      </c>
      <c r="T3840" s="0" t="n">
        <f aca="false">Q3840-S3840</f>
        <v>46.3062052147153</v>
      </c>
      <c r="U3840" s="0" t="n">
        <f aca="false">Q3840+S3840</f>
        <v>48.3294481943756</v>
      </c>
      <c r="V3840" s="54" t="b">
        <f aca="false">AND(D3840&gt;=01_因子設定!$L$5-0.000000001,D3840&lt;=01_因子設定!$M$5+0.000000001,E3840&gt;=01_因子設定!$L$6-0.000000001,E3840&lt;=01_因子設定!$M$6+0.000000001,F3840&gt;=01_因子設定!$L$7-0.000000001,F3840&lt;=01_因子設定!$M$7+0.000000001,IF(01_因子設定!$B$20="Box-Behnken",D3840^2+E3840^2+F3840^2&lt;=2+0.000000001,TRUE()))</f>
        <v>1</v>
      </c>
      <c r="W3840" s="55" t="n">
        <f aca="false">IF(V3840,IF(01_因子設定!$B$13="最大化",T3840-01_因子設定!$B$14,IF(01_因子設定!$B$13="最小化",01_因子設定!$B$15-U3840,MIN(T3840-01_因子設定!$B$14,01_因子設定!$B$15-U3840))),-1E+030)</f>
        <v>-2.19379478528467</v>
      </c>
      <c r="X3840" s="55" t="n">
        <f aca="false">IF(V3840,IF(01_因子設定!$B$13="最大化",Q3840,IF(01_因子設定!$B$13="最小化",-Q3840,-ABS(Q3840-01_因子設定!$B$16))),-1E+030)</f>
        <v>47.3178267045455</v>
      </c>
      <c r="Y3840" s="55" t="n">
        <f aca="false">W3840+ROW()*0.000000001</f>
        <v>-2.19379094528467</v>
      </c>
      <c r="Z3840" s="55" t="n">
        <f aca="false">X3840+ROW()*0.000000001</f>
        <v>47.3178305445455</v>
      </c>
    </row>
    <row r="3841" customFormat="false" ht="15" hidden="false" customHeight="false" outlineLevel="0" collapsed="false">
      <c r="A3841" s="0" t="n">
        <v>13</v>
      </c>
      <c r="B3841" s="0" t="n">
        <v>4</v>
      </c>
      <c r="C3841" s="0" t="n">
        <v>11</v>
      </c>
      <c r="D3841" s="0" t="n">
        <f aca="false">-1+A3841*0.125</f>
        <v>0.625</v>
      </c>
      <c r="E3841" s="0" t="n">
        <f aca="false">-1+B3841*0.125</f>
        <v>-0.5</v>
      </c>
      <c r="F3841" s="0" t="n">
        <f aca="false">-1+C3841*0.125</f>
        <v>0.375</v>
      </c>
      <c r="G3841" s="0" t="n">
        <f aca="false">1</f>
        <v>1</v>
      </c>
      <c r="H3841" s="0" t="n">
        <f aca="false">D3841</f>
        <v>0.625</v>
      </c>
      <c r="I3841" s="0" t="n">
        <f aca="false">E3841</f>
        <v>-0.5</v>
      </c>
      <c r="J3841" s="0" t="n">
        <f aca="false">F3841</f>
        <v>0.375</v>
      </c>
      <c r="K3841" s="0" t="n">
        <f aca="false">D3841*E3841</f>
        <v>-0.3125</v>
      </c>
      <c r="L3841" s="0" t="n">
        <f aca="false">D3841*F3841</f>
        <v>0.234375</v>
      </c>
      <c r="M3841" s="0" t="n">
        <f aca="false">E3841*F3841</f>
        <v>-0.1875</v>
      </c>
      <c r="N3841" s="0" t="n">
        <f aca="false">D3841*D3841</f>
        <v>0.390625</v>
      </c>
      <c r="O3841" s="0" t="n">
        <f aca="false">E3841*E3841</f>
        <v>0.25</v>
      </c>
      <c r="P3841" s="0" t="n">
        <f aca="false">F3841*F3841</f>
        <v>0.140625</v>
      </c>
      <c r="Q3841" s="0" t="n">
        <f aca="false">SUMPRODUCT(G3841:P3841,_XtX!$B$71:$K$71)</f>
        <v>47.3585085227273</v>
      </c>
      <c r="R3841" s="0" t="n">
        <f aca="false">SUMPRODUCT(MMULT(G3841:P3841,_XtX!$B$58:$K$67),G3841:P3841)</f>
        <v>0.182953990589489</v>
      </c>
      <c r="S3841" s="0" t="n">
        <f aca="false">04_回帰ANOVA!$K$19*04_回帰ANOVA!$K$14*SQRT(1+R3841)</f>
        <v>1.01123143807044</v>
      </c>
      <c r="T3841" s="0" t="n">
        <f aca="false">Q3841-S3841</f>
        <v>46.3472770846568</v>
      </c>
      <c r="U3841" s="0" t="n">
        <f aca="false">Q3841+S3841</f>
        <v>48.3697399607977</v>
      </c>
      <c r="V3841" s="54" t="b">
        <f aca="false">AND(D3841&gt;=01_因子設定!$L$5-0.000000001,D3841&lt;=01_因子設定!$M$5+0.000000001,E3841&gt;=01_因子設定!$L$6-0.000000001,E3841&lt;=01_因子設定!$M$6+0.000000001,F3841&gt;=01_因子設定!$L$7-0.000000001,F3841&lt;=01_因子設定!$M$7+0.000000001,IF(01_因子設定!$B$20="Box-Behnken",D3841^2+E3841^2+F3841^2&lt;=2+0.000000001,TRUE()))</f>
        <v>1</v>
      </c>
      <c r="W3841" s="55" t="n">
        <f aca="false">IF(V3841,IF(01_因子設定!$B$13="最大化",T3841-01_因子設定!$B$14,IF(01_因子設定!$B$13="最小化",01_因子設定!$B$15-U3841,MIN(T3841-01_因子設定!$B$14,01_因子設定!$B$15-U3841))),-1E+030)</f>
        <v>-2.15272291534316</v>
      </c>
      <c r="X3841" s="55" t="n">
        <f aca="false">IF(V3841,IF(01_因子設定!$B$13="最大化",Q3841,IF(01_因子設定!$B$13="最小化",-Q3841,-ABS(Q3841-01_因子設定!$B$16))),-1E+030)</f>
        <v>47.3585085227273</v>
      </c>
      <c r="Y3841" s="55" t="n">
        <f aca="false">W3841+ROW()*0.000000001</f>
        <v>-2.15271907434316</v>
      </c>
      <c r="Z3841" s="55" t="n">
        <f aca="false">X3841+ROW()*0.000000001</f>
        <v>47.3585123637273</v>
      </c>
    </row>
    <row r="3842" customFormat="false" ht="15" hidden="false" customHeight="false" outlineLevel="0" collapsed="false">
      <c r="A3842" s="0" t="n">
        <v>13</v>
      </c>
      <c r="B3842" s="0" t="n">
        <v>4</v>
      </c>
      <c r="C3842" s="0" t="n">
        <v>12</v>
      </c>
      <c r="D3842" s="0" t="n">
        <f aca="false">-1+A3842*0.125</f>
        <v>0.625</v>
      </c>
      <c r="E3842" s="0" t="n">
        <f aca="false">-1+B3842*0.125</f>
        <v>-0.5</v>
      </c>
      <c r="F3842" s="0" t="n">
        <f aca="false">-1+C3842*0.125</f>
        <v>0.5</v>
      </c>
      <c r="G3842" s="0" t="n">
        <f aca="false">1</f>
        <v>1</v>
      </c>
      <c r="H3842" s="0" t="n">
        <f aca="false">D3842</f>
        <v>0.625</v>
      </c>
      <c r="I3842" s="0" t="n">
        <f aca="false">E3842</f>
        <v>-0.5</v>
      </c>
      <c r="J3842" s="0" t="n">
        <f aca="false">F3842</f>
        <v>0.5</v>
      </c>
      <c r="K3842" s="0" t="n">
        <f aca="false">D3842*E3842</f>
        <v>-0.3125</v>
      </c>
      <c r="L3842" s="0" t="n">
        <f aca="false">D3842*F3842</f>
        <v>0.3125</v>
      </c>
      <c r="M3842" s="0" t="n">
        <f aca="false">E3842*F3842</f>
        <v>-0.25</v>
      </c>
      <c r="N3842" s="0" t="n">
        <f aca="false">D3842*D3842</f>
        <v>0.390625</v>
      </c>
      <c r="O3842" s="0" t="n">
        <f aca="false">E3842*E3842</f>
        <v>0.25</v>
      </c>
      <c r="P3842" s="0" t="n">
        <f aca="false">F3842*F3842</f>
        <v>0.25</v>
      </c>
      <c r="Q3842" s="0" t="n">
        <f aca="false">SUMPRODUCT(G3842:P3842,_XtX!$B$71:$K$71)</f>
        <v>47.3624005681818</v>
      </c>
      <c r="R3842" s="0" t="n">
        <f aca="false">SUMPRODUCT(MMULT(G3842:P3842,_XtX!$B$58:$K$67),G3842:P3842)</f>
        <v>0.189133522727273</v>
      </c>
      <c r="S3842" s="0" t="n">
        <f aca="false">04_回帰ANOVA!$K$19*04_回帰ANOVA!$K$14*SQRT(1+R3842)</f>
        <v>1.0138692404042</v>
      </c>
      <c r="T3842" s="0" t="n">
        <f aca="false">Q3842-S3842</f>
        <v>46.3485313277776</v>
      </c>
      <c r="U3842" s="0" t="n">
        <f aca="false">Q3842+S3842</f>
        <v>48.376269808586</v>
      </c>
      <c r="V3842" s="54" t="b">
        <f aca="false">AND(D3842&gt;=01_因子設定!$L$5-0.000000001,D3842&lt;=01_因子設定!$M$5+0.000000001,E3842&gt;=01_因子設定!$L$6-0.000000001,E3842&lt;=01_因子設定!$M$6+0.000000001,F3842&gt;=01_因子設定!$L$7-0.000000001,F3842&lt;=01_因子設定!$M$7+0.000000001,IF(01_因子設定!$B$20="Box-Behnken",D3842^2+E3842^2+F3842^2&lt;=2+0.000000001,TRUE()))</f>
        <v>1</v>
      </c>
      <c r="W3842" s="55" t="n">
        <f aca="false">IF(V3842,IF(01_因子設定!$B$13="最大化",T3842-01_因子設定!$B$14,IF(01_因子設定!$B$13="最小化",01_因子設定!$B$15-U3842,MIN(T3842-01_因子設定!$B$14,01_因子設定!$B$15-U3842))),-1E+030)</f>
        <v>-2.15146867222237</v>
      </c>
      <c r="X3842" s="55" t="n">
        <f aca="false">IF(V3842,IF(01_因子設定!$B$13="最大化",Q3842,IF(01_因子設定!$B$13="最小化",-Q3842,-ABS(Q3842-01_因子設定!$B$16))),-1E+030)</f>
        <v>47.3624005681818</v>
      </c>
      <c r="Y3842" s="55" t="n">
        <f aca="false">W3842+ROW()*0.000000001</f>
        <v>-2.15146483022237</v>
      </c>
      <c r="Z3842" s="55" t="n">
        <f aca="false">X3842+ROW()*0.000000001</f>
        <v>47.3624044101818</v>
      </c>
    </row>
    <row r="3843" customFormat="false" ht="15" hidden="false" customHeight="false" outlineLevel="0" collapsed="false">
      <c r="A3843" s="0" t="n">
        <v>13</v>
      </c>
      <c r="B3843" s="0" t="n">
        <v>4</v>
      </c>
      <c r="C3843" s="0" t="n">
        <v>13</v>
      </c>
      <c r="D3843" s="0" t="n">
        <f aca="false">-1+A3843*0.125</f>
        <v>0.625</v>
      </c>
      <c r="E3843" s="0" t="n">
        <f aca="false">-1+B3843*0.125</f>
        <v>-0.5</v>
      </c>
      <c r="F3843" s="0" t="n">
        <f aca="false">-1+C3843*0.125</f>
        <v>0.625</v>
      </c>
      <c r="G3843" s="0" t="n">
        <f aca="false">1</f>
        <v>1</v>
      </c>
      <c r="H3843" s="0" t="n">
        <f aca="false">D3843</f>
        <v>0.625</v>
      </c>
      <c r="I3843" s="0" t="n">
        <f aca="false">E3843</f>
        <v>-0.5</v>
      </c>
      <c r="J3843" s="0" t="n">
        <f aca="false">F3843</f>
        <v>0.625</v>
      </c>
      <c r="K3843" s="0" t="n">
        <f aca="false">D3843*E3843</f>
        <v>-0.3125</v>
      </c>
      <c r="L3843" s="0" t="n">
        <f aca="false">D3843*F3843</f>
        <v>0.390625</v>
      </c>
      <c r="M3843" s="0" t="n">
        <f aca="false">E3843*F3843</f>
        <v>-0.3125</v>
      </c>
      <c r="N3843" s="0" t="n">
        <f aca="false">D3843*D3843</f>
        <v>0.390625</v>
      </c>
      <c r="O3843" s="0" t="n">
        <f aca="false">E3843*E3843</f>
        <v>0.25</v>
      </c>
      <c r="P3843" s="0" t="n">
        <f aca="false">F3843*F3843</f>
        <v>0.390625</v>
      </c>
      <c r="Q3843" s="0" t="n">
        <f aca="false">SUMPRODUCT(G3843:P3843,_XtX!$B$71:$K$71)</f>
        <v>47.3295028409091</v>
      </c>
      <c r="R3843" s="0" t="n">
        <f aca="false">SUMPRODUCT(MMULT(G3843:P3843,_XtX!$B$58:$K$67),G3843:P3843)</f>
        <v>0.209862726384943</v>
      </c>
      <c r="S3843" s="0" t="n">
        <f aca="false">04_回帰ANOVA!$K$19*04_回帰ANOVA!$K$14*SQRT(1+R3843)</f>
        <v>1.0226680420112</v>
      </c>
      <c r="T3843" s="0" t="n">
        <f aca="false">Q3843-S3843</f>
        <v>46.3068347988979</v>
      </c>
      <c r="U3843" s="0" t="n">
        <f aca="false">Q3843+S3843</f>
        <v>48.3521708829203</v>
      </c>
      <c r="V3843" s="54" t="b">
        <f aca="false">AND(D3843&gt;=01_因子設定!$L$5-0.000000001,D3843&lt;=01_因子設定!$M$5+0.000000001,E3843&gt;=01_因子設定!$L$6-0.000000001,E3843&lt;=01_因子設定!$M$6+0.000000001,F3843&gt;=01_因子設定!$L$7-0.000000001,F3843&lt;=01_因子設定!$M$7+0.000000001,IF(01_因子設定!$B$20="Box-Behnken",D3843^2+E3843^2+F3843^2&lt;=2+0.000000001,TRUE()))</f>
        <v>1</v>
      </c>
      <c r="W3843" s="55" t="n">
        <f aca="false">IF(V3843,IF(01_因子設定!$B$13="最大化",T3843-01_因子設定!$B$14,IF(01_因子設定!$B$13="最小化",01_因子設定!$B$15-U3843,MIN(T3843-01_因子設定!$B$14,01_因子設定!$B$15-U3843))),-1E+030)</f>
        <v>-2.1931652011021</v>
      </c>
      <c r="X3843" s="55" t="n">
        <f aca="false">IF(V3843,IF(01_因子設定!$B$13="最大化",Q3843,IF(01_因子設定!$B$13="最小化",-Q3843,-ABS(Q3843-01_因子設定!$B$16))),-1E+030)</f>
        <v>47.3295028409091</v>
      </c>
      <c r="Y3843" s="55" t="n">
        <f aca="false">W3843+ROW()*0.000000001</f>
        <v>-2.1931613581021</v>
      </c>
      <c r="Z3843" s="55" t="n">
        <f aca="false">X3843+ROW()*0.000000001</f>
        <v>47.3295066839091</v>
      </c>
    </row>
    <row r="3844" customFormat="false" ht="15" hidden="false" customHeight="false" outlineLevel="0" collapsed="false">
      <c r="A3844" s="0" t="n">
        <v>13</v>
      </c>
      <c r="B3844" s="0" t="n">
        <v>4</v>
      </c>
      <c r="C3844" s="0" t="n">
        <v>14</v>
      </c>
      <c r="D3844" s="0" t="n">
        <f aca="false">-1+A3844*0.125</f>
        <v>0.625</v>
      </c>
      <c r="E3844" s="0" t="n">
        <f aca="false">-1+B3844*0.125</f>
        <v>-0.5</v>
      </c>
      <c r="F3844" s="0" t="n">
        <f aca="false">-1+C3844*0.125</f>
        <v>0.75</v>
      </c>
      <c r="G3844" s="0" t="n">
        <f aca="false">1</f>
        <v>1</v>
      </c>
      <c r="H3844" s="0" t="n">
        <f aca="false">D3844</f>
        <v>0.625</v>
      </c>
      <c r="I3844" s="0" t="n">
        <f aca="false">E3844</f>
        <v>-0.5</v>
      </c>
      <c r="J3844" s="0" t="n">
        <f aca="false">F3844</f>
        <v>0.75</v>
      </c>
      <c r="K3844" s="0" t="n">
        <f aca="false">D3844*E3844</f>
        <v>-0.3125</v>
      </c>
      <c r="L3844" s="0" t="n">
        <f aca="false">D3844*F3844</f>
        <v>0.46875</v>
      </c>
      <c r="M3844" s="0" t="n">
        <f aca="false">E3844*F3844</f>
        <v>-0.375</v>
      </c>
      <c r="N3844" s="0" t="n">
        <f aca="false">D3844*D3844</f>
        <v>0.390625</v>
      </c>
      <c r="O3844" s="0" t="n">
        <f aca="false">E3844*E3844</f>
        <v>0.25</v>
      </c>
      <c r="P3844" s="0" t="n">
        <f aca="false">F3844*F3844</f>
        <v>0.5625</v>
      </c>
      <c r="Q3844" s="0" t="n">
        <f aca="false">SUMPRODUCT(G3844:P3844,_XtX!$B$71:$K$71)</f>
        <v>47.2598153409091</v>
      </c>
      <c r="R3844" s="0" t="n">
        <f aca="false">SUMPRODUCT(MMULT(G3844:P3844,_XtX!$B$58:$K$67),G3844:P3844)</f>
        <v>0.254729669744318</v>
      </c>
      <c r="S3844" s="0" t="n">
        <f aca="false">04_回帰ANOVA!$K$19*04_回帰ANOVA!$K$14*SQRT(1+R3844)</f>
        <v>1.04145790281631</v>
      </c>
      <c r="T3844" s="0" t="n">
        <f aca="false">Q3844-S3844</f>
        <v>46.2183574380928</v>
      </c>
      <c r="U3844" s="0" t="n">
        <f aca="false">Q3844+S3844</f>
        <v>48.3012732437254</v>
      </c>
      <c r="V3844" s="54" t="b">
        <f aca="false">AND(D3844&gt;=01_因子設定!$L$5-0.000000001,D3844&lt;=01_因子設定!$M$5+0.000000001,E3844&gt;=01_因子設定!$L$6-0.000000001,E3844&lt;=01_因子設定!$M$6+0.000000001,F3844&gt;=01_因子設定!$L$7-0.000000001,F3844&lt;=01_因子設定!$M$7+0.000000001,IF(01_因子設定!$B$20="Box-Behnken",D3844^2+E3844^2+F3844^2&lt;=2+0.000000001,TRUE()))</f>
        <v>1</v>
      </c>
      <c r="W3844" s="55" t="n">
        <f aca="false">IF(V3844,IF(01_因子設定!$B$13="最大化",T3844-01_因子設定!$B$14,IF(01_因子設定!$B$13="最小化",01_因子設定!$B$15-U3844,MIN(T3844-01_因子設定!$B$14,01_因子設定!$B$15-U3844))),-1E+030)</f>
        <v>-2.28164256190721</v>
      </c>
      <c r="X3844" s="55" t="n">
        <f aca="false">IF(V3844,IF(01_因子設定!$B$13="最大化",Q3844,IF(01_因子設定!$B$13="最小化",-Q3844,-ABS(Q3844-01_因子設定!$B$16))),-1E+030)</f>
        <v>47.2598153409091</v>
      </c>
      <c r="Y3844" s="55" t="n">
        <f aca="false">W3844+ROW()*0.000000001</f>
        <v>-2.28163871790721</v>
      </c>
      <c r="Z3844" s="55" t="n">
        <f aca="false">X3844+ROW()*0.000000001</f>
        <v>47.2598191849091</v>
      </c>
    </row>
    <row r="3845" customFormat="false" ht="15" hidden="false" customHeight="false" outlineLevel="0" collapsed="false">
      <c r="A3845" s="0" t="n">
        <v>13</v>
      </c>
      <c r="B3845" s="0" t="n">
        <v>4</v>
      </c>
      <c r="C3845" s="0" t="n">
        <v>15</v>
      </c>
      <c r="D3845" s="0" t="n">
        <f aca="false">-1+A3845*0.125</f>
        <v>0.625</v>
      </c>
      <c r="E3845" s="0" t="n">
        <f aca="false">-1+B3845*0.125</f>
        <v>-0.5</v>
      </c>
      <c r="F3845" s="0" t="n">
        <f aca="false">-1+C3845*0.125</f>
        <v>0.875</v>
      </c>
      <c r="G3845" s="0" t="n">
        <f aca="false">1</f>
        <v>1</v>
      </c>
      <c r="H3845" s="0" t="n">
        <f aca="false">D3845</f>
        <v>0.625</v>
      </c>
      <c r="I3845" s="0" t="n">
        <f aca="false">E3845</f>
        <v>-0.5</v>
      </c>
      <c r="J3845" s="0" t="n">
        <f aca="false">F3845</f>
        <v>0.875</v>
      </c>
      <c r="K3845" s="0" t="n">
        <f aca="false">D3845*E3845</f>
        <v>-0.3125</v>
      </c>
      <c r="L3845" s="0" t="n">
        <f aca="false">D3845*F3845</f>
        <v>0.546875</v>
      </c>
      <c r="M3845" s="0" t="n">
        <f aca="false">E3845*F3845</f>
        <v>-0.4375</v>
      </c>
      <c r="N3845" s="0" t="n">
        <f aca="false">D3845*D3845</f>
        <v>0.390625</v>
      </c>
      <c r="O3845" s="0" t="n">
        <f aca="false">E3845*E3845</f>
        <v>0.25</v>
      </c>
      <c r="P3845" s="0" t="n">
        <f aca="false">F3845*F3845</f>
        <v>0.765625</v>
      </c>
      <c r="Q3845" s="0" t="n">
        <f aca="false">SUMPRODUCT(G3845:P3845,_XtX!$B$71:$K$71)</f>
        <v>47.1533380681818</v>
      </c>
      <c r="R3845" s="0" t="n">
        <f aca="false">SUMPRODUCT(MMULT(G3845:P3845,_XtX!$B$58:$K$67),G3845:P3845)</f>
        <v>0.335453102805398</v>
      </c>
      <c r="S3845" s="0" t="n">
        <f aca="false">04_回帰ANOVA!$K$19*04_回帰ANOVA!$K$14*SQRT(1+R3845)</f>
        <v>1.07443700305628</v>
      </c>
      <c r="T3845" s="0" t="n">
        <f aca="false">Q3845-S3845</f>
        <v>46.0789010651256</v>
      </c>
      <c r="U3845" s="0" t="n">
        <f aca="false">Q3845+S3845</f>
        <v>48.2277750712381</v>
      </c>
      <c r="V3845" s="54" t="b">
        <f aca="false">AND(D3845&gt;=01_因子設定!$L$5-0.000000001,D3845&lt;=01_因子設定!$M$5+0.000000001,E3845&gt;=01_因子設定!$L$6-0.000000001,E3845&lt;=01_因子設定!$M$6+0.000000001,F3845&gt;=01_因子設定!$L$7-0.000000001,F3845&lt;=01_因子設定!$M$7+0.000000001,IF(01_因子設定!$B$20="Box-Behnken",D3845^2+E3845^2+F3845^2&lt;=2+0.000000001,TRUE()))</f>
        <v>1</v>
      </c>
      <c r="W3845" s="55" t="n">
        <f aca="false">IF(V3845,IF(01_因子設定!$B$13="最大化",T3845-01_因子設定!$B$14,IF(01_因子設定!$B$13="最小化",01_因子設定!$B$15-U3845,MIN(T3845-01_因子設定!$B$14,01_因子設定!$B$15-U3845))),-1E+030)</f>
        <v>-2.42109893487444</v>
      </c>
      <c r="X3845" s="55" t="n">
        <f aca="false">IF(V3845,IF(01_因子設定!$B$13="最大化",Q3845,IF(01_因子設定!$B$13="最小化",-Q3845,-ABS(Q3845-01_因子設定!$B$16))),-1E+030)</f>
        <v>47.1533380681818</v>
      </c>
      <c r="Y3845" s="55" t="n">
        <f aca="false">W3845+ROW()*0.000000001</f>
        <v>-2.42109508987444</v>
      </c>
      <c r="Z3845" s="55" t="n">
        <f aca="false">X3845+ROW()*0.000000001</f>
        <v>47.1533419131818</v>
      </c>
    </row>
    <row r="3846" customFormat="false" ht="15" hidden="false" customHeight="false" outlineLevel="0" collapsed="false">
      <c r="A3846" s="0" t="n">
        <v>13</v>
      </c>
      <c r="B3846" s="0" t="n">
        <v>4</v>
      </c>
      <c r="C3846" s="0" t="n">
        <v>16</v>
      </c>
      <c r="D3846" s="0" t="n">
        <f aca="false">-1+A3846*0.125</f>
        <v>0.625</v>
      </c>
      <c r="E3846" s="0" t="n">
        <f aca="false">-1+B3846*0.125</f>
        <v>-0.5</v>
      </c>
      <c r="F3846" s="0" t="n">
        <f aca="false">-1+C3846*0.125</f>
        <v>1</v>
      </c>
      <c r="G3846" s="0" t="n">
        <f aca="false">1</f>
        <v>1</v>
      </c>
      <c r="H3846" s="0" t="n">
        <f aca="false">D3846</f>
        <v>0.625</v>
      </c>
      <c r="I3846" s="0" t="n">
        <f aca="false">E3846</f>
        <v>-0.5</v>
      </c>
      <c r="J3846" s="0" t="n">
        <f aca="false">F3846</f>
        <v>1</v>
      </c>
      <c r="K3846" s="0" t="n">
        <f aca="false">D3846*E3846</f>
        <v>-0.3125</v>
      </c>
      <c r="L3846" s="0" t="n">
        <f aca="false">D3846*F3846</f>
        <v>0.625</v>
      </c>
      <c r="M3846" s="0" t="n">
        <f aca="false">E3846*F3846</f>
        <v>-0.5</v>
      </c>
      <c r="N3846" s="0" t="n">
        <f aca="false">D3846*D3846</f>
        <v>0.390625</v>
      </c>
      <c r="O3846" s="0" t="n">
        <f aca="false">E3846*E3846</f>
        <v>0.25</v>
      </c>
      <c r="P3846" s="0" t="n">
        <f aca="false">F3846*F3846</f>
        <v>1</v>
      </c>
      <c r="Q3846" s="0" t="n">
        <f aca="false">SUMPRODUCT(G3846:P3846,_XtX!$B$71:$K$71)</f>
        <v>47.0100710227273</v>
      </c>
      <c r="R3846" s="0" t="n">
        <f aca="false">SUMPRODUCT(MMULT(G3846:P3846,_XtX!$B$58:$K$67),G3846:P3846)</f>
        <v>0.465882457386364</v>
      </c>
      <c r="S3846" s="0" t="n">
        <f aca="false">04_回帰ANOVA!$K$19*04_回帰ANOVA!$K$14*SQRT(1+R3846)</f>
        <v>1.12568326538173</v>
      </c>
      <c r="T3846" s="0" t="n">
        <f aca="false">Q3846-S3846</f>
        <v>45.8843877573456</v>
      </c>
      <c r="U3846" s="0" t="n">
        <f aca="false">Q3846+S3846</f>
        <v>48.135754288109</v>
      </c>
      <c r="V3846" s="54" t="b">
        <f aca="false">AND(D3846&gt;=01_因子設定!$L$5-0.000000001,D3846&lt;=01_因子設定!$M$5+0.000000001,E3846&gt;=01_因子設定!$L$6-0.000000001,E3846&lt;=01_因子設定!$M$6+0.000000001,F3846&gt;=01_因子設定!$L$7-0.000000001,F3846&lt;=01_因子設定!$M$7+0.000000001,IF(01_因子設定!$B$20="Box-Behnken",D3846^2+E3846^2+F3846^2&lt;=2+0.000000001,TRUE()))</f>
        <v>1</v>
      </c>
      <c r="W3846" s="55" t="n">
        <f aca="false">IF(V3846,IF(01_因子設定!$B$13="最大化",T3846-01_因子設定!$B$14,IF(01_因子設定!$B$13="最小化",01_因子設定!$B$15-U3846,MIN(T3846-01_因子設定!$B$14,01_因子設定!$B$15-U3846))),-1E+030)</f>
        <v>-2.61561224265443</v>
      </c>
      <c r="X3846" s="55" t="n">
        <f aca="false">IF(V3846,IF(01_因子設定!$B$13="最大化",Q3846,IF(01_因子設定!$B$13="最小化",-Q3846,-ABS(Q3846-01_因子設定!$B$16))),-1E+030)</f>
        <v>47.0100710227273</v>
      </c>
      <c r="Y3846" s="55" t="n">
        <f aca="false">W3846+ROW()*0.000000001</f>
        <v>-2.61560839665443</v>
      </c>
      <c r="Z3846" s="55" t="n">
        <f aca="false">X3846+ROW()*0.000000001</f>
        <v>47.0100748687273</v>
      </c>
    </row>
    <row r="3847" customFormat="false" ht="15" hidden="false" customHeight="false" outlineLevel="0" collapsed="false">
      <c r="A3847" s="0" t="n">
        <v>13</v>
      </c>
      <c r="B3847" s="0" t="n">
        <v>5</v>
      </c>
      <c r="C3847" s="0" t="n">
        <v>0</v>
      </c>
      <c r="D3847" s="0" t="n">
        <f aca="false">-1+A3847*0.125</f>
        <v>0.625</v>
      </c>
      <c r="E3847" s="0" t="n">
        <f aca="false">-1+B3847*0.125</f>
        <v>-0.375</v>
      </c>
      <c r="F3847" s="0" t="n">
        <f aca="false">-1+C3847*0.125</f>
        <v>-1</v>
      </c>
      <c r="G3847" s="0" t="n">
        <f aca="false">1</f>
        <v>1</v>
      </c>
      <c r="H3847" s="0" t="n">
        <f aca="false">D3847</f>
        <v>0.625</v>
      </c>
      <c r="I3847" s="0" t="n">
        <f aca="false">E3847</f>
        <v>-0.375</v>
      </c>
      <c r="J3847" s="0" t="n">
        <f aca="false">F3847</f>
        <v>-1</v>
      </c>
      <c r="K3847" s="0" t="n">
        <f aca="false">D3847*E3847</f>
        <v>-0.234375</v>
      </c>
      <c r="L3847" s="0" t="n">
        <f aca="false">D3847*F3847</f>
        <v>-0.625</v>
      </c>
      <c r="M3847" s="0" t="n">
        <f aca="false">E3847*F3847</f>
        <v>0.375</v>
      </c>
      <c r="N3847" s="0" t="n">
        <f aca="false">D3847*D3847</f>
        <v>0.390625</v>
      </c>
      <c r="O3847" s="0" t="n">
        <f aca="false">E3847*E3847</f>
        <v>0.140625</v>
      </c>
      <c r="P3847" s="0" t="n">
        <f aca="false">F3847*F3847</f>
        <v>1</v>
      </c>
      <c r="Q3847" s="0" t="n">
        <f aca="false">SUMPRODUCT(G3847:P3847,_XtX!$B$71:$K$71)</f>
        <v>45.4075071022727</v>
      </c>
      <c r="R3847" s="0" t="n">
        <f aca="false">SUMPRODUCT(MMULT(G3847:P3847,_XtX!$B$58:$K$67),G3847:P3847)</f>
        <v>0.471821178089489</v>
      </c>
      <c r="S3847" s="0" t="n">
        <f aca="false">04_回帰ANOVA!$K$19*04_回帰ANOVA!$K$14*SQRT(1+R3847)</f>
        <v>1.12796119746125</v>
      </c>
      <c r="T3847" s="0" t="n">
        <f aca="false">Q3847-S3847</f>
        <v>44.2795459048115</v>
      </c>
      <c r="U3847" s="0" t="n">
        <f aca="false">Q3847+S3847</f>
        <v>46.535468299734</v>
      </c>
      <c r="V3847" s="54" t="b">
        <f aca="false">AND(D3847&gt;=01_因子設定!$L$5-0.000000001,D3847&lt;=01_因子設定!$M$5+0.000000001,E3847&gt;=01_因子設定!$L$6-0.000000001,E3847&lt;=01_因子設定!$M$6+0.000000001,F3847&gt;=01_因子設定!$L$7-0.000000001,F3847&lt;=01_因子設定!$M$7+0.000000001,IF(01_因子設定!$B$20="Box-Behnken",D3847^2+E3847^2+F3847^2&lt;=2+0.000000001,TRUE()))</f>
        <v>1</v>
      </c>
      <c r="W3847" s="55" t="n">
        <f aca="false">IF(V3847,IF(01_因子設定!$B$13="最大化",T3847-01_因子設定!$B$14,IF(01_因子設定!$B$13="最小化",01_因子設定!$B$15-U3847,MIN(T3847-01_因子設定!$B$14,01_因子設定!$B$15-U3847))),-1E+030)</f>
        <v>-4.22045409518851</v>
      </c>
      <c r="X3847" s="55" t="n">
        <f aca="false">IF(V3847,IF(01_因子設定!$B$13="最大化",Q3847,IF(01_因子設定!$B$13="最小化",-Q3847,-ABS(Q3847-01_因子設定!$B$16))),-1E+030)</f>
        <v>45.4075071022727</v>
      </c>
      <c r="Y3847" s="55" t="n">
        <f aca="false">W3847+ROW()*0.000000001</f>
        <v>-4.22045024818851</v>
      </c>
      <c r="Z3847" s="55" t="n">
        <f aca="false">X3847+ROW()*0.000000001</f>
        <v>45.4075109492728</v>
      </c>
    </row>
    <row r="3848" customFormat="false" ht="15" hidden="false" customHeight="false" outlineLevel="0" collapsed="false">
      <c r="A3848" s="0" t="n">
        <v>13</v>
      </c>
      <c r="B3848" s="0" t="n">
        <v>5</v>
      </c>
      <c r="C3848" s="0" t="n">
        <v>1</v>
      </c>
      <c r="D3848" s="0" t="n">
        <f aca="false">-1+A3848*0.125</f>
        <v>0.625</v>
      </c>
      <c r="E3848" s="0" t="n">
        <f aca="false">-1+B3848*0.125</f>
        <v>-0.375</v>
      </c>
      <c r="F3848" s="0" t="n">
        <f aca="false">-1+C3848*0.125</f>
        <v>-0.875</v>
      </c>
      <c r="G3848" s="0" t="n">
        <f aca="false">1</f>
        <v>1</v>
      </c>
      <c r="H3848" s="0" t="n">
        <f aca="false">D3848</f>
        <v>0.625</v>
      </c>
      <c r="I3848" s="0" t="n">
        <f aca="false">E3848</f>
        <v>-0.375</v>
      </c>
      <c r="J3848" s="0" t="n">
        <f aca="false">F3848</f>
        <v>-0.875</v>
      </c>
      <c r="K3848" s="0" t="n">
        <f aca="false">D3848*E3848</f>
        <v>-0.234375</v>
      </c>
      <c r="L3848" s="0" t="n">
        <f aca="false">D3848*F3848</f>
        <v>-0.546875</v>
      </c>
      <c r="M3848" s="0" t="n">
        <f aca="false">E3848*F3848</f>
        <v>0.328125</v>
      </c>
      <c r="N3848" s="0" t="n">
        <f aca="false">D3848*D3848</f>
        <v>0.390625</v>
      </c>
      <c r="O3848" s="0" t="n">
        <f aca="false">E3848*E3848</f>
        <v>0.140625</v>
      </c>
      <c r="P3848" s="0" t="n">
        <f aca="false">F3848*F3848</f>
        <v>0.765625</v>
      </c>
      <c r="Q3848" s="0" t="n">
        <f aca="false">SUMPRODUCT(G3848:P3848,_XtX!$B$71:$K$71)</f>
        <v>45.8231178977273</v>
      </c>
      <c r="R3848" s="0" t="n">
        <f aca="false">SUMPRODUCT(MMULT(G3848:P3848,_XtX!$B$58:$K$67),G3848:P3848)</f>
        <v>0.337604869495739</v>
      </c>
      <c r="S3848" s="0" t="n">
        <f aca="false">04_回帰ANOVA!$K$19*04_回帰ANOVA!$K$14*SQRT(1+R3848)</f>
        <v>1.07530225516193</v>
      </c>
      <c r="T3848" s="0" t="n">
        <f aca="false">Q3848-S3848</f>
        <v>44.7478156425654</v>
      </c>
      <c r="U3848" s="0" t="n">
        <f aca="false">Q3848+S3848</f>
        <v>46.8984201528892</v>
      </c>
      <c r="V3848" s="54" t="b">
        <f aca="false">AND(D3848&gt;=01_因子設定!$L$5-0.000000001,D3848&lt;=01_因子設定!$M$5+0.000000001,E3848&gt;=01_因子設定!$L$6-0.000000001,E3848&lt;=01_因子設定!$M$6+0.000000001,F3848&gt;=01_因子設定!$L$7-0.000000001,F3848&lt;=01_因子設定!$M$7+0.000000001,IF(01_因子設定!$B$20="Box-Behnken",D3848^2+E3848^2+F3848^2&lt;=2+0.000000001,TRUE()))</f>
        <v>1</v>
      </c>
      <c r="W3848" s="55" t="n">
        <f aca="false">IF(V3848,IF(01_因子設定!$B$13="最大化",T3848-01_因子設定!$B$14,IF(01_因子設定!$B$13="最小化",01_因子設定!$B$15-U3848,MIN(T3848-01_因子設定!$B$14,01_因子設定!$B$15-U3848))),-1E+030)</f>
        <v>-3.75218435743464</v>
      </c>
      <c r="X3848" s="55" t="n">
        <f aca="false">IF(V3848,IF(01_因子設定!$B$13="最大化",Q3848,IF(01_因子設定!$B$13="最小化",-Q3848,-ABS(Q3848-01_因子設定!$B$16))),-1E+030)</f>
        <v>45.8231178977273</v>
      </c>
      <c r="Y3848" s="55" t="n">
        <f aca="false">W3848+ROW()*0.000000001</f>
        <v>-3.75218050943464</v>
      </c>
      <c r="Z3848" s="55" t="n">
        <f aca="false">X3848+ROW()*0.000000001</f>
        <v>45.8231217457273</v>
      </c>
    </row>
    <row r="3849" customFormat="false" ht="15" hidden="false" customHeight="false" outlineLevel="0" collapsed="false">
      <c r="A3849" s="0" t="n">
        <v>13</v>
      </c>
      <c r="B3849" s="0" t="n">
        <v>5</v>
      </c>
      <c r="C3849" s="0" t="n">
        <v>2</v>
      </c>
      <c r="D3849" s="0" t="n">
        <f aca="false">-1+A3849*0.125</f>
        <v>0.625</v>
      </c>
      <c r="E3849" s="0" t="n">
        <f aca="false">-1+B3849*0.125</f>
        <v>-0.375</v>
      </c>
      <c r="F3849" s="0" t="n">
        <f aca="false">-1+C3849*0.125</f>
        <v>-0.75</v>
      </c>
      <c r="G3849" s="0" t="n">
        <f aca="false">1</f>
        <v>1</v>
      </c>
      <c r="H3849" s="0" t="n">
        <f aca="false">D3849</f>
        <v>0.625</v>
      </c>
      <c r="I3849" s="0" t="n">
        <f aca="false">E3849</f>
        <v>-0.375</v>
      </c>
      <c r="J3849" s="0" t="n">
        <f aca="false">F3849</f>
        <v>-0.75</v>
      </c>
      <c r="K3849" s="0" t="n">
        <f aca="false">D3849*E3849</f>
        <v>-0.234375</v>
      </c>
      <c r="L3849" s="0" t="n">
        <f aca="false">D3849*F3849</f>
        <v>-0.46875</v>
      </c>
      <c r="M3849" s="0" t="n">
        <f aca="false">E3849*F3849</f>
        <v>0.28125</v>
      </c>
      <c r="N3849" s="0" t="n">
        <f aca="false">D3849*D3849</f>
        <v>0.390625</v>
      </c>
      <c r="O3849" s="0" t="n">
        <f aca="false">E3849*E3849</f>
        <v>0.140625</v>
      </c>
      <c r="P3849" s="0" t="n">
        <f aca="false">F3849*F3849</f>
        <v>0.5625</v>
      </c>
      <c r="Q3849" s="0" t="n">
        <f aca="false">SUMPRODUCT(G3849:P3849,_XtX!$B$71:$K$71)</f>
        <v>46.2019389204546</v>
      </c>
      <c r="R3849" s="0" t="n">
        <f aca="false">SUMPRODUCT(MMULT(G3849:P3849,_XtX!$B$58:$K$67),G3849:P3849)</f>
        <v>0.25359940962358</v>
      </c>
      <c r="S3849" s="0" t="n">
        <f aca="false">04_回帰ANOVA!$K$19*04_回帰ANOVA!$K$14*SQRT(1+R3849)</f>
        <v>1.04098872464599</v>
      </c>
      <c r="T3849" s="0" t="n">
        <f aca="false">Q3849-S3849</f>
        <v>45.1609501958086</v>
      </c>
      <c r="U3849" s="0" t="n">
        <f aca="false">Q3849+S3849</f>
        <v>47.2429276451005</v>
      </c>
      <c r="V3849" s="54" t="b">
        <f aca="false">AND(D3849&gt;=01_因子設定!$L$5-0.000000001,D3849&lt;=01_因子設定!$M$5+0.000000001,E3849&gt;=01_因子設定!$L$6-0.000000001,E3849&lt;=01_因子設定!$M$6+0.000000001,F3849&gt;=01_因子設定!$L$7-0.000000001,F3849&lt;=01_因子設定!$M$7+0.000000001,IF(01_因子設定!$B$20="Box-Behnken",D3849^2+E3849^2+F3849^2&lt;=2+0.000000001,TRUE()))</f>
        <v>1</v>
      </c>
      <c r="W3849" s="55" t="n">
        <f aca="false">IF(V3849,IF(01_因子設定!$B$13="最大化",T3849-01_因子設定!$B$14,IF(01_因子設定!$B$13="最小化",01_因子設定!$B$15-U3849,MIN(T3849-01_因子設定!$B$14,01_因子設定!$B$15-U3849))),-1E+030)</f>
        <v>-3.33904980419143</v>
      </c>
      <c r="X3849" s="55" t="n">
        <f aca="false">IF(V3849,IF(01_因子設定!$B$13="最大化",Q3849,IF(01_因子設定!$B$13="最小化",-Q3849,-ABS(Q3849-01_因子設定!$B$16))),-1E+030)</f>
        <v>46.2019389204546</v>
      </c>
      <c r="Y3849" s="55" t="n">
        <f aca="false">W3849+ROW()*0.000000001</f>
        <v>-3.33904595519143</v>
      </c>
      <c r="Z3849" s="55" t="n">
        <f aca="false">X3849+ROW()*0.000000001</f>
        <v>46.2019427694546</v>
      </c>
    </row>
    <row r="3850" customFormat="false" ht="15" hidden="false" customHeight="false" outlineLevel="0" collapsed="false">
      <c r="A3850" s="0" t="n">
        <v>13</v>
      </c>
      <c r="B3850" s="0" t="n">
        <v>5</v>
      </c>
      <c r="C3850" s="0" t="n">
        <v>3</v>
      </c>
      <c r="D3850" s="0" t="n">
        <f aca="false">-1+A3850*0.125</f>
        <v>0.625</v>
      </c>
      <c r="E3850" s="0" t="n">
        <f aca="false">-1+B3850*0.125</f>
        <v>-0.375</v>
      </c>
      <c r="F3850" s="0" t="n">
        <f aca="false">-1+C3850*0.125</f>
        <v>-0.625</v>
      </c>
      <c r="G3850" s="0" t="n">
        <f aca="false">1</f>
        <v>1</v>
      </c>
      <c r="H3850" s="0" t="n">
        <f aca="false">D3850</f>
        <v>0.625</v>
      </c>
      <c r="I3850" s="0" t="n">
        <f aca="false">E3850</f>
        <v>-0.375</v>
      </c>
      <c r="J3850" s="0" t="n">
        <f aca="false">F3850</f>
        <v>-0.625</v>
      </c>
      <c r="K3850" s="0" t="n">
        <f aca="false">D3850*E3850</f>
        <v>-0.234375</v>
      </c>
      <c r="L3850" s="0" t="n">
        <f aca="false">D3850*F3850</f>
        <v>-0.390625</v>
      </c>
      <c r="M3850" s="0" t="n">
        <f aca="false">E3850*F3850</f>
        <v>0.234375</v>
      </c>
      <c r="N3850" s="0" t="n">
        <f aca="false">D3850*D3850</f>
        <v>0.390625</v>
      </c>
      <c r="O3850" s="0" t="n">
        <f aca="false">E3850*E3850</f>
        <v>0.140625</v>
      </c>
      <c r="P3850" s="0" t="n">
        <f aca="false">F3850*F3850</f>
        <v>0.390625</v>
      </c>
      <c r="Q3850" s="0" t="n">
        <f aca="false">SUMPRODUCT(G3850:P3850,_XtX!$B$71:$K$71)</f>
        <v>46.5439701704546</v>
      </c>
      <c r="R3850" s="0" t="n">
        <f aca="false">SUMPRODUCT(MMULT(G3850:P3850,_XtX!$B$58:$K$67),G3850:P3850)</f>
        <v>0.20595536665483</v>
      </c>
      <c r="S3850" s="0" t="n">
        <f aca="false">04_回帰ANOVA!$K$19*04_回帰ANOVA!$K$14*SQRT(1+R3850)</f>
        <v>1.02101530762963</v>
      </c>
      <c r="T3850" s="0" t="n">
        <f aca="false">Q3850-S3850</f>
        <v>45.5229548628249</v>
      </c>
      <c r="U3850" s="0" t="n">
        <f aca="false">Q3850+S3850</f>
        <v>47.5649854780842</v>
      </c>
      <c r="V3850" s="54" t="b">
        <f aca="false">AND(D3850&gt;=01_因子設定!$L$5-0.000000001,D3850&lt;=01_因子設定!$M$5+0.000000001,E3850&gt;=01_因子設定!$L$6-0.000000001,E3850&lt;=01_因子設定!$M$6+0.000000001,F3850&gt;=01_因子設定!$L$7-0.000000001,F3850&lt;=01_因子設定!$M$7+0.000000001,IF(01_因子設定!$B$20="Box-Behnken",D3850^2+E3850^2+F3850^2&lt;=2+0.000000001,TRUE()))</f>
        <v>1</v>
      </c>
      <c r="W3850" s="55" t="n">
        <f aca="false">IF(V3850,IF(01_因子設定!$B$13="最大化",T3850-01_因子設定!$B$14,IF(01_因子設定!$B$13="最小化",01_因子設定!$B$15-U3850,MIN(T3850-01_因子設定!$B$14,01_因子設定!$B$15-U3850))),-1E+030)</f>
        <v>-2.97704513717507</v>
      </c>
      <c r="X3850" s="55" t="n">
        <f aca="false">IF(V3850,IF(01_因子設定!$B$13="最大化",Q3850,IF(01_因子設定!$B$13="最小化",-Q3850,-ABS(Q3850-01_因子設定!$B$16))),-1E+030)</f>
        <v>46.5439701704546</v>
      </c>
      <c r="Y3850" s="55" t="n">
        <f aca="false">W3850+ROW()*0.000000001</f>
        <v>-2.97704128717507</v>
      </c>
      <c r="Z3850" s="55" t="n">
        <f aca="false">X3850+ROW()*0.000000001</f>
        <v>46.5439740204546</v>
      </c>
    </row>
    <row r="3851" customFormat="false" ht="15" hidden="false" customHeight="false" outlineLevel="0" collapsed="false">
      <c r="A3851" s="0" t="n">
        <v>13</v>
      </c>
      <c r="B3851" s="0" t="n">
        <v>5</v>
      </c>
      <c r="C3851" s="0" t="n">
        <v>4</v>
      </c>
      <c r="D3851" s="0" t="n">
        <f aca="false">-1+A3851*0.125</f>
        <v>0.625</v>
      </c>
      <c r="E3851" s="0" t="n">
        <f aca="false">-1+B3851*0.125</f>
        <v>-0.375</v>
      </c>
      <c r="F3851" s="0" t="n">
        <f aca="false">-1+C3851*0.125</f>
        <v>-0.5</v>
      </c>
      <c r="G3851" s="0" t="n">
        <f aca="false">1</f>
        <v>1</v>
      </c>
      <c r="H3851" s="0" t="n">
        <f aca="false">D3851</f>
        <v>0.625</v>
      </c>
      <c r="I3851" s="0" t="n">
        <f aca="false">E3851</f>
        <v>-0.375</v>
      </c>
      <c r="J3851" s="0" t="n">
        <f aca="false">F3851</f>
        <v>-0.5</v>
      </c>
      <c r="K3851" s="0" t="n">
        <f aca="false">D3851*E3851</f>
        <v>-0.234375</v>
      </c>
      <c r="L3851" s="0" t="n">
        <f aca="false">D3851*F3851</f>
        <v>-0.3125</v>
      </c>
      <c r="M3851" s="0" t="n">
        <f aca="false">E3851*F3851</f>
        <v>0.1875</v>
      </c>
      <c r="N3851" s="0" t="n">
        <f aca="false">D3851*D3851</f>
        <v>0.390625</v>
      </c>
      <c r="O3851" s="0" t="n">
        <f aca="false">E3851*E3851</f>
        <v>0.140625</v>
      </c>
      <c r="P3851" s="0" t="n">
        <f aca="false">F3851*F3851</f>
        <v>0.25</v>
      </c>
      <c r="Q3851" s="0" t="n">
        <f aca="false">SUMPRODUCT(G3851:P3851,_XtX!$B$71:$K$71)</f>
        <v>46.8492116477273</v>
      </c>
      <c r="R3851" s="0" t="n">
        <f aca="false">SUMPRODUCT(MMULT(G3851:P3851,_XtX!$B$58:$K$67),G3851:P3851)</f>
        <v>0.182953990589489</v>
      </c>
      <c r="S3851" s="0" t="n">
        <f aca="false">04_回帰ANOVA!$K$19*04_回帰ANOVA!$K$14*SQRT(1+R3851)</f>
        <v>1.01123143807044</v>
      </c>
      <c r="T3851" s="0" t="n">
        <f aca="false">Q3851-S3851</f>
        <v>45.8379802096568</v>
      </c>
      <c r="U3851" s="0" t="n">
        <f aca="false">Q3851+S3851</f>
        <v>47.8604430857977</v>
      </c>
      <c r="V3851" s="54" t="b">
        <f aca="false">AND(D3851&gt;=01_因子設定!$L$5-0.000000001,D3851&lt;=01_因子設定!$M$5+0.000000001,E3851&gt;=01_因子設定!$L$6-0.000000001,E3851&lt;=01_因子設定!$M$6+0.000000001,F3851&gt;=01_因子設定!$L$7-0.000000001,F3851&lt;=01_因子設定!$M$7+0.000000001,IF(01_因子設定!$B$20="Box-Behnken",D3851^2+E3851^2+F3851^2&lt;=2+0.000000001,TRUE()))</f>
        <v>1</v>
      </c>
      <c r="W3851" s="55" t="n">
        <f aca="false">IF(V3851,IF(01_因子設定!$B$13="最大化",T3851-01_因子設定!$B$14,IF(01_因子設定!$B$13="最小化",01_因子設定!$B$15-U3851,MIN(T3851-01_因子設定!$B$14,01_因子設定!$B$15-U3851))),-1E+030)</f>
        <v>-2.66201979034316</v>
      </c>
      <c r="X3851" s="55" t="n">
        <f aca="false">IF(V3851,IF(01_因子設定!$B$13="最大化",Q3851,IF(01_因子設定!$B$13="最小化",-Q3851,-ABS(Q3851-01_因子設定!$B$16))),-1E+030)</f>
        <v>46.8492116477273</v>
      </c>
      <c r="Y3851" s="55" t="n">
        <f aca="false">W3851+ROW()*0.000000001</f>
        <v>-2.66201593934316</v>
      </c>
      <c r="Z3851" s="55" t="n">
        <f aca="false">X3851+ROW()*0.000000001</f>
        <v>46.8492154987273</v>
      </c>
    </row>
    <row r="3852" customFormat="false" ht="15" hidden="false" customHeight="false" outlineLevel="0" collapsed="false">
      <c r="A3852" s="0" t="n">
        <v>13</v>
      </c>
      <c r="B3852" s="0" t="n">
        <v>5</v>
      </c>
      <c r="C3852" s="0" t="n">
        <v>5</v>
      </c>
      <c r="D3852" s="0" t="n">
        <f aca="false">-1+A3852*0.125</f>
        <v>0.625</v>
      </c>
      <c r="E3852" s="0" t="n">
        <f aca="false">-1+B3852*0.125</f>
        <v>-0.375</v>
      </c>
      <c r="F3852" s="0" t="n">
        <f aca="false">-1+C3852*0.125</f>
        <v>-0.375</v>
      </c>
      <c r="G3852" s="0" t="n">
        <f aca="false">1</f>
        <v>1</v>
      </c>
      <c r="H3852" s="0" t="n">
        <f aca="false">D3852</f>
        <v>0.625</v>
      </c>
      <c r="I3852" s="0" t="n">
        <f aca="false">E3852</f>
        <v>-0.375</v>
      </c>
      <c r="J3852" s="0" t="n">
        <f aca="false">F3852</f>
        <v>-0.375</v>
      </c>
      <c r="K3852" s="0" t="n">
        <f aca="false">D3852*E3852</f>
        <v>-0.234375</v>
      </c>
      <c r="L3852" s="0" t="n">
        <f aca="false">D3852*F3852</f>
        <v>-0.234375</v>
      </c>
      <c r="M3852" s="0" t="n">
        <f aca="false">E3852*F3852</f>
        <v>0.140625</v>
      </c>
      <c r="N3852" s="0" t="n">
        <f aca="false">D3852*D3852</f>
        <v>0.390625</v>
      </c>
      <c r="O3852" s="0" t="n">
        <f aca="false">E3852*E3852</f>
        <v>0.140625</v>
      </c>
      <c r="P3852" s="0" t="n">
        <f aca="false">F3852*F3852</f>
        <v>0.140625</v>
      </c>
      <c r="Q3852" s="0" t="n">
        <f aca="false">SUMPRODUCT(G3852:P3852,_XtX!$B$71:$K$71)</f>
        <v>47.1176633522727</v>
      </c>
      <c r="R3852" s="0" t="n">
        <f aca="false">SUMPRODUCT(MMULT(G3852:P3852,_XtX!$B$58:$K$67),G3852:P3852)</f>
        <v>0.175007213245739</v>
      </c>
      <c r="S3852" s="0" t="n">
        <f aca="false">04_回帰ANOVA!$K$19*04_回帰ANOVA!$K$14*SQRT(1+R3852)</f>
        <v>1.0078291195273</v>
      </c>
      <c r="T3852" s="0" t="n">
        <f aca="false">Q3852-S3852</f>
        <v>46.1098342327454</v>
      </c>
      <c r="U3852" s="0" t="n">
        <f aca="false">Q3852+S3852</f>
        <v>48.1254924718</v>
      </c>
      <c r="V3852" s="54" t="b">
        <f aca="false">AND(D3852&gt;=01_因子設定!$L$5-0.000000001,D3852&lt;=01_因子設定!$M$5+0.000000001,E3852&gt;=01_因子設定!$L$6-0.000000001,E3852&lt;=01_因子設定!$M$6+0.000000001,F3852&gt;=01_因子設定!$L$7-0.000000001,F3852&lt;=01_因子設定!$M$7+0.000000001,IF(01_因子設定!$B$20="Box-Behnken",D3852^2+E3852^2+F3852^2&lt;=2+0.000000001,TRUE()))</f>
        <v>1</v>
      </c>
      <c r="W3852" s="55" t="n">
        <f aca="false">IF(V3852,IF(01_因子設定!$B$13="最大化",T3852-01_因子設定!$B$14,IF(01_因子設定!$B$13="最小化",01_因子設定!$B$15-U3852,MIN(T3852-01_因子設定!$B$14,01_因子設定!$B$15-U3852))),-1E+030)</f>
        <v>-2.39016576725457</v>
      </c>
      <c r="X3852" s="55" t="n">
        <f aca="false">IF(V3852,IF(01_因子設定!$B$13="最大化",Q3852,IF(01_因子設定!$B$13="最小化",-Q3852,-ABS(Q3852-01_因子設定!$B$16))),-1E+030)</f>
        <v>47.1176633522727</v>
      </c>
      <c r="Y3852" s="55" t="n">
        <f aca="false">W3852+ROW()*0.000000001</f>
        <v>-2.39016191525457</v>
      </c>
      <c r="Z3852" s="55" t="n">
        <f aca="false">X3852+ROW()*0.000000001</f>
        <v>47.1176672042727</v>
      </c>
    </row>
    <row r="3853" customFormat="false" ht="15" hidden="false" customHeight="false" outlineLevel="0" collapsed="false">
      <c r="A3853" s="0" t="n">
        <v>13</v>
      </c>
      <c r="B3853" s="0" t="n">
        <v>5</v>
      </c>
      <c r="C3853" s="0" t="n">
        <v>6</v>
      </c>
      <c r="D3853" s="0" t="n">
        <f aca="false">-1+A3853*0.125</f>
        <v>0.625</v>
      </c>
      <c r="E3853" s="0" t="n">
        <f aca="false">-1+B3853*0.125</f>
        <v>-0.375</v>
      </c>
      <c r="F3853" s="0" t="n">
        <f aca="false">-1+C3853*0.125</f>
        <v>-0.25</v>
      </c>
      <c r="G3853" s="0" t="n">
        <f aca="false">1</f>
        <v>1</v>
      </c>
      <c r="H3853" s="0" t="n">
        <f aca="false">D3853</f>
        <v>0.625</v>
      </c>
      <c r="I3853" s="0" t="n">
        <f aca="false">E3853</f>
        <v>-0.375</v>
      </c>
      <c r="J3853" s="0" t="n">
        <f aca="false">F3853</f>
        <v>-0.25</v>
      </c>
      <c r="K3853" s="0" t="n">
        <f aca="false">D3853*E3853</f>
        <v>-0.234375</v>
      </c>
      <c r="L3853" s="0" t="n">
        <f aca="false">D3853*F3853</f>
        <v>-0.15625</v>
      </c>
      <c r="M3853" s="0" t="n">
        <f aca="false">E3853*F3853</f>
        <v>0.09375</v>
      </c>
      <c r="N3853" s="0" t="n">
        <f aca="false">D3853*D3853</f>
        <v>0.390625</v>
      </c>
      <c r="O3853" s="0" t="n">
        <f aca="false">E3853*E3853</f>
        <v>0.140625</v>
      </c>
      <c r="P3853" s="0" t="n">
        <f aca="false">F3853*F3853</f>
        <v>0.0625</v>
      </c>
      <c r="Q3853" s="0" t="n">
        <f aca="false">SUMPRODUCT(G3853:P3853,_XtX!$B$71:$K$71)</f>
        <v>47.3493252840909</v>
      </c>
      <c r="R3853" s="0" t="n">
        <f aca="false">SUMPRODUCT(MMULT(G3853:P3853,_XtX!$B$58:$K$67),G3853:P3853)</f>
        <v>0.174657648259943</v>
      </c>
      <c r="S3853" s="0" t="n">
        <f aca="false">04_回帰ANOVA!$K$19*04_回帰ANOVA!$K$14*SQRT(1+R3853)</f>
        <v>1.00767919364845</v>
      </c>
      <c r="T3853" s="0" t="n">
        <f aca="false">Q3853-S3853</f>
        <v>46.3416460904425</v>
      </c>
      <c r="U3853" s="0" t="n">
        <f aca="false">Q3853+S3853</f>
        <v>48.3570044777394</v>
      </c>
      <c r="V3853" s="54" t="b">
        <f aca="false">AND(D3853&gt;=01_因子設定!$L$5-0.000000001,D3853&lt;=01_因子設定!$M$5+0.000000001,E3853&gt;=01_因子設定!$L$6-0.000000001,E3853&lt;=01_因子設定!$M$6+0.000000001,F3853&gt;=01_因子設定!$L$7-0.000000001,F3853&lt;=01_因子設定!$M$7+0.000000001,IF(01_因子設定!$B$20="Box-Behnken",D3853^2+E3853^2+F3853^2&lt;=2+0.000000001,TRUE()))</f>
        <v>1</v>
      </c>
      <c r="W3853" s="55" t="n">
        <f aca="false">IF(V3853,IF(01_因子設定!$B$13="最大化",T3853-01_因子設定!$B$14,IF(01_因子設定!$B$13="最小化",01_因子設定!$B$15-U3853,MIN(T3853-01_因子設定!$B$14,01_因子設定!$B$15-U3853))),-1E+030)</f>
        <v>-2.15835390955753</v>
      </c>
      <c r="X3853" s="55" t="n">
        <f aca="false">IF(V3853,IF(01_因子設定!$B$13="最大化",Q3853,IF(01_因子設定!$B$13="最小化",-Q3853,-ABS(Q3853-01_因子設定!$B$16))),-1E+030)</f>
        <v>47.3493252840909</v>
      </c>
      <c r="Y3853" s="55" t="n">
        <f aca="false">W3853+ROW()*0.000000001</f>
        <v>-2.15835005655753</v>
      </c>
      <c r="Z3853" s="55" t="n">
        <f aca="false">X3853+ROW()*0.000000001</f>
        <v>47.3493291370909</v>
      </c>
    </row>
    <row r="3854" customFormat="false" ht="15" hidden="false" customHeight="false" outlineLevel="0" collapsed="false">
      <c r="A3854" s="0" t="n">
        <v>13</v>
      </c>
      <c r="B3854" s="0" t="n">
        <v>5</v>
      </c>
      <c r="C3854" s="0" t="n">
        <v>7</v>
      </c>
      <c r="D3854" s="0" t="n">
        <f aca="false">-1+A3854*0.125</f>
        <v>0.625</v>
      </c>
      <c r="E3854" s="0" t="n">
        <f aca="false">-1+B3854*0.125</f>
        <v>-0.375</v>
      </c>
      <c r="F3854" s="0" t="n">
        <f aca="false">-1+C3854*0.125</f>
        <v>-0.125</v>
      </c>
      <c r="G3854" s="0" t="n">
        <f aca="false">1</f>
        <v>1</v>
      </c>
      <c r="H3854" s="0" t="n">
        <f aca="false">D3854</f>
        <v>0.625</v>
      </c>
      <c r="I3854" s="0" t="n">
        <f aca="false">E3854</f>
        <v>-0.375</v>
      </c>
      <c r="J3854" s="0" t="n">
        <f aca="false">F3854</f>
        <v>-0.125</v>
      </c>
      <c r="K3854" s="0" t="n">
        <f aca="false">D3854*E3854</f>
        <v>-0.234375</v>
      </c>
      <c r="L3854" s="0" t="n">
        <f aca="false">D3854*F3854</f>
        <v>-0.078125</v>
      </c>
      <c r="M3854" s="0" t="n">
        <f aca="false">E3854*F3854</f>
        <v>0.046875</v>
      </c>
      <c r="N3854" s="0" t="n">
        <f aca="false">D3854*D3854</f>
        <v>0.390625</v>
      </c>
      <c r="O3854" s="0" t="n">
        <f aca="false">E3854*E3854</f>
        <v>0.140625</v>
      </c>
      <c r="P3854" s="0" t="n">
        <f aca="false">F3854*F3854</f>
        <v>0.015625</v>
      </c>
      <c r="Q3854" s="0" t="n">
        <f aca="false">SUMPRODUCT(G3854:P3854,_XtX!$B$71:$K$71)</f>
        <v>47.5441974431818</v>
      </c>
      <c r="R3854" s="0" t="n">
        <f aca="false">SUMPRODUCT(MMULT(G3854:P3854,_XtX!$B$58:$K$67),G3854:P3854)</f>
        <v>0.176578591086648</v>
      </c>
      <c r="S3854" s="0" t="n">
        <f aca="false">04_回帰ANOVA!$K$19*04_回帰ANOVA!$K$14*SQRT(1+R3854)</f>
        <v>1.00850279676269</v>
      </c>
      <c r="T3854" s="0" t="n">
        <f aca="false">Q3854-S3854</f>
        <v>46.5356946464191</v>
      </c>
      <c r="U3854" s="0" t="n">
        <f aca="false">Q3854+S3854</f>
        <v>48.5527002399445</v>
      </c>
      <c r="V3854" s="54" t="b">
        <f aca="false">AND(D3854&gt;=01_因子設定!$L$5-0.000000001,D3854&lt;=01_因子設定!$M$5+0.000000001,E3854&gt;=01_因子設定!$L$6-0.000000001,E3854&lt;=01_因子設定!$M$6+0.000000001,F3854&gt;=01_因子設定!$L$7-0.000000001,F3854&lt;=01_因子設定!$M$7+0.000000001,IF(01_因子設定!$B$20="Box-Behnken",D3854^2+E3854^2+F3854^2&lt;=2+0.000000001,TRUE()))</f>
        <v>1</v>
      </c>
      <c r="W3854" s="55" t="n">
        <f aca="false">IF(V3854,IF(01_因子設定!$B$13="最大化",T3854-01_因子設定!$B$14,IF(01_因子設定!$B$13="最小化",01_因子設定!$B$15-U3854,MIN(T3854-01_因子設定!$B$14,01_因子設定!$B$15-U3854))),-1E+030)</f>
        <v>-1.96430535358087</v>
      </c>
      <c r="X3854" s="55" t="n">
        <f aca="false">IF(V3854,IF(01_因子設定!$B$13="最大化",Q3854,IF(01_因子設定!$B$13="最小化",-Q3854,-ABS(Q3854-01_因子設定!$B$16))),-1E+030)</f>
        <v>47.5441974431818</v>
      </c>
      <c r="Y3854" s="55" t="n">
        <f aca="false">W3854+ROW()*0.000000001</f>
        <v>-1.96430149958087</v>
      </c>
      <c r="Z3854" s="55" t="n">
        <f aca="false">X3854+ROW()*0.000000001</f>
        <v>47.5442012971818</v>
      </c>
    </row>
    <row r="3855" customFormat="false" ht="15" hidden="false" customHeight="false" outlineLevel="0" collapsed="false">
      <c r="A3855" s="0" t="n">
        <v>13</v>
      </c>
      <c r="B3855" s="0" t="n">
        <v>5</v>
      </c>
      <c r="C3855" s="0" t="n">
        <v>8</v>
      </c>
      <c r="D3855" s="0" t="n">
        <f aca="false">-1+A3855*0.125</f>
        <v>0.625</v>
      </c>
      <c r="E3855" s="0" t="n">
        <f aca="false">-1+B3855*0.125</f>
        <v>-0.375</v>
      </c>
      <c r="F3855" s="0" t="n">
        <f aca="false">-1+C3855*0.125</f>
        <v>0</v>
      </c>
      <c r="G3855" s="0" t="n">
        <f aca="false">1</f>
        <v>1</v>
      </c>
      <c r="H3855" s="0" t="n">
        <f aca="false">D3855</f>
        <v>0.625</v>
      </c>
      <c r="I3855" s="0" t="n">
        <f aca="false">E3855</f>
        <v>-0.375</v>
      </c>
      <c r="J3855" s="0" t="n">
        <f aca="false">F3855</f>
        <v>0</v>
      </c>
      <c r="K3855" s="0" t="n">
        <f aca="false">D3855*E3855</f>
        <v>-0.234375</v>
      </c>
      <c r="L3855" s="0" t="n">
        <f aca="false">D3855*F3855</f>
        <v>0</v>
      </c>
      <c r="M3855" s="0" t="n">
        <f aca="false">E3855*F3855</f>
        <v>-0</v>
      </c>
      <c r="N3855" s="0" t="n">
        <f aca="false">D3855*D3855</f>
        <v>0.390625</v>
      </c>
      <c r="O3855" s="0" t="n">
        <f aca="false">E3855*E3855</f>
        <v>0.140625</v>
      </c>
      <c r="P3855" s="0" t="n">
        <f aca="false">F3855*F3855</f>
        <v>0</v>
      </c>
      <c r="Q3855" s="0" t="n">
        <f aca="false">SUMPRODUCT(G3855:P3855,_XtX!$B$71:$K$71)</f>
        <v>47.7022798295455</v>
      </c>
      <c r="R3855" s="0" t="n">
        <f aca="false">SUMPRODUCT(MMULT(G3855:P3855,_XtX!$B$58:$K$67),G3855:P3855)</f>
        <v>0.17757401899858</v>
      </c>
      <c r="S3855" s="0" t="n">
        <f aca="false">04_回帰ANOVA!$K$19*04_回帰ANOVA!$K$14*SQRT(1+R3855)</f>
        <v>1.00892932143276</v>
      </c>
      <c r="T3855" s="0" t="n">
        <f aca="false">Q3855-S3855</f>
        <v>46.6933505081127</v>
      </c>
      <c r="U3855" s="0" t="n">
        <f aca="false">Q3855+S3855</f>
        <v>48.7112091509782</v>
      </c>
      <c r="V3855" s="54" t="b">
        <f aca="false">AND(D3855&gt;=01_因子設定!$L$5-0.000000001,D3855&lt;=01_因子設定!$M$5+0.000000001,E3855&gt;=01_因子設定!$L$6-0.000000001,E3855&lt;=01_因子設定!$M$6+0.000000001,F3855&gt;=01_因子設定!$L$7-0.000000001,F3855&lt;=01_因子設定!$M$7+0.000000001,IF(01_因子設定!$B$20="Box-Behnken",D3855^2+E3855^2+F3855^2&lt;=2+0.000000001,TRUE()))</f>
        <v>1</v>
      </c>
      <c r="W3855" s="55" t="n">
        <f aca="false">IF(V3855,IF(01_因子設定!$B$13="最大化",T3855-01_因子設定!$B$14,IF(01_因子設定!$B$13="最小化",01_因子設定!$B$15-U3855,MIN(T3855-01_因子設定!$B$14,01_因子設定!$B$15-U3855))),-1E+030)</f>
        <v>-1.80664949188731</v>
      </c>
      <c r="X3855" s="55" t="n">
        <f aca="false">IF(V3855,IF(01_因子設定!$B$13="最大化",Q3855,IF(01_因子設定!$B$13="最小化",-Q3855,-ABS(Q3855-01_因子設定!$B$16))),-1E+030)</f>
        <v>47.7022798295455</v>
      </c>
      <c r="Y3855" s="55" t="n">
        <f aca="false">W3855+ROW()*0.000000001</f>
        <v>-1.80664563688731</v>
      </c>
      <c r="Z3855" s="55" t="n">
        <f aca="false">X3855+ROW()*0.000000001</f>
        <v>47.7022836845455</v>
      </c>
    </row>
    <row r="3856" customFormat="false" ht="15" hidden="false" customHeight="false" outlineLevel="0" collapsed="false">
      <c r="A3856" s="0" t="n">
        <v>13</v>
      </c>
      <c r="B3856" s="0" t="n">
        <v>5</v>
      </c>
      <c r="C3856" s="0" t="n">
        <v>9</v>
      </c>
      <c r="D3856" s="0" t="n">
        <f aca="false">-1+A3856*0.125</f>
        <v>0.625</v>
      </c>
      <c r="E3856" s="0" t="n">
        <f aca="false">-1+B3856*0.125</f>
        <v>-0.375</v>
      </c>
      <c r="F3856" s="0" t="n">
        <f aca="false">-1+C3856*0.125</f>
        <v>0.125</v>
      </c>
      <c r="G3856" s="0" t="n">
        <f aca="false">1</f>
        <v>1</v>
      </c>
      <c r="H3856" s="0" t="n">
        <f aca="false">D3856</f>
        <v>0.625</v>
      </c>
      <c r="I3856" s="0" t="n">
        <f aca="false">E3856</f>
        <v>-0.375</v>
      </c>
      <c r="J3856" s="0" t="n">
        <f aca="false">F3856</f>
        <v>0.125</v>
      </c>
      <c r="K3856" s="0" t="n">
        <f aca="false">D3856*E3856</f>
        <v>-0.234375</v>
      </c>
      <c r="L3856" s="0" t="n">
        <f aca="false">D3856*F3856</f>
        <v>0.078125</v>
      </c>
      <c r="M3856" s="0" t="n">
        <f aca="false">E3856*F3856</f>
        <v>-0.046875</v>
      </c>
      <c r="N3856" s="0" t="n">
        <f aca="false">D3856*D3856</f>
        <v>0.390625</v>
      </c>
      <c r="O3856" s="0" t="n">
        <f aca="false">E3856*E3856</f>
        <v>0.140625</v>
      </c>
      <c r="P3856" s="0" t="n">
        <f aca="false">F3856*F3856</f>
        <v>0.015625</v>
      </c>
      <c r="Q3856" s="0" t="n">
        <f aca="false">SUMPRODUCT(G3856:P3856,_XtX!$B$71:$K$71)</f>
        <v>47.8235724431818</v>
      </c>
      <c r="R3856" s="0" t="n">
        <f aca="false">SUMPRODUCT(MMULT(G3856:P3856,_XtX!$B$58:$K$67),G3856:P3856)</f>
        <v>0.176578591086648</v>
      </c>
      <c r="S3856" s="0" t="n">
        <f aca="false">04_回帰ANOVA!$K$19*04_回帰ANOVA!$K$14*SQRT(1+R3856)</f>
        <v>1.00850279676269</v>
      </c>
      <c r="T3856" s="0" t="n">
        <f aca="false">Q3856-S3856</f>
        <v>46.8150696464191</v>
      </c>
      <c r="U3856" s="0" t="n">
        <f aca="false">Q3856+S3856</f>
        <v>48.8320752399445</v>
      </c>
      <c r="V3856" s="54" t="b">
        <f aca="false">AND(D3856&gt;=01_因子設定!$L$5-0.000000001,D3856&lt;=01_因子設定!$M$5+0.000000001,E3856&gt;=01_因子設定!$L$6-0.000000001,E3856&lt;=01_因子設定!$M$6+0.000000001,F3856&gt;=01_因子設定!$L$7-0.000000001,F3856&lt;=01_因子設定!$M$7+0.000000001,IF(01_因子設定!$B$20="Box-Behnken",D3856^2+E3856^2+F3856^2&lt;=2+0.000000001,TRUE()))</f>
        <v>1</v>
      </c>
      <c r="W3856" s="55" t="n">
        <f aca="false">IF(V3856,IF(01_因子設定!$B$13="最大化",T3856-01_因子設定!$B$14,IF(01_因子設定!$B$13="最小化",01_因子設定!$B$15-U3856,MIN(T3856-01_因子設定!$B$14,01_因子設定!$B$15-U3856))),-1E+030)</f>
        <v>-1.68493035358087</v>
      </c>
      <c r="X3856" s="55" t="n">
        <f aca="false">IF(V3856,IF(01_因子設定!$B$13="最大化",Q3856,IF(01_因子設定!$B$13="最小化",-Q3856,-ABS(Q3856-01_因子設定!$B$16))),-1E+030)</f>
        <v>47.8235724431818</v>
      </c>
      <c r="Y3856" s="55" t="n">
        <f aca="false">W3856+ROW()*0.000000001</f>
        <v>-1.68492649758087</v>
      </c>
      <c r="Z3856" s="55" t="n">
        <f aca="false">X3856+ROW()*0.000000001</f>
        <v>47.8235762991818</v>
      </c>
    </row>
    <row r="3857" customFormat="false" ht="15" hidden="false" customHeight="false" outlineLevel="0" collapsed="false">
      <c r="A3857" s="0" t="n">
        <v>13</v>
      </c>
      <c r="B3857" s="0" t="n">
        <v>5</v>
      </c>
      <c r="C3857" s="0" t="n">
        <v>10</v>
      </c>
      <c r="D3857" s="0" t="n">
        <f aca="false">-1+A3857*0.125</f>
        <v>0.625</v>
      </c>
      <c r="E3857" s="0" t="n">
        <f aca="false">-1+B3857*0.125</f>
        <v>-0.375</v>
      </c>
      <c r="F3857" s="0" t="n">
        <f aca="false">-1+C3857*0.125</f>
        <v>0.25</v>
      </c>
      <c r="G3857" s="0" t="n">
        <f aca="false">1</f>
        <v>1</v>
      </c>
      <c r="H3857" s="0" t="n">
        <f aca="false">D3857</f>
        <v>0.625</v>
      </c>
      <c r="I3857" s="0" t="n">
        <f aca="false">E3857</f>
        <v>-0.375</v>
      </c>
      <c r="J3857" s="0" t="n">
        <f aca="false">F3857</f>
        <v>0.25</v>
      </c>
      <c r="K3857" s="0" t="n">
        <f aca="false">D3857*E3857</f>
        <v>-0.234375</v>
      </c>
      <c r="L3857" s="0" t="n">
        <f aca="false">D3857*F3857</f>
        <v>0.15625</v>
      </c>
      <c r="M3857" s="0" t="n">
        <f aca="false">E3857*F3857</f>
        <v>-0.09375</v>
      </c>
      <c r="N3857" s="0" t="n">
        <f aca="false">D3857*D3857</f>
        <v>0.390625</v>
      </c>
      <c r="O3857" s="0" t="n">
        <f aca="false">E3857*E3857</f>
        <v>0.140625</v>
      </c>
      <c r="P3857" s="0" t="n">
        <f aca="false">F3857*F3857</f>
        <v>0.0625</v>
      </c>
      <c r="Q3857" s="0" t="n">
        <f aca="false">SUMPRODUCT(G3857:P3857,_XtX!$B$71:$K$71)</f>
        <v>47.9080752840909</v>
      </c>
      <c r="R3857" s="0" t="n">
        <f aca="false">SUMPRODUCT(MMULT(G3857:P3857,_XtX!$B$58:$K$67),G3857:P3857)</f>
        <v>0.174657648259943</v>
      </c>
      <c r="S3857" s="0" t="n">
        <f aca="false">04_回帰ANOVA!$K$19*04_回帰ANOVA!$K$14*SQRT(1+R3857)</f>
        <v>1.00767919364845</v>
      </c>
      <c r="T3857" s="0" t="n">
        <f aca="false">Q3857-S3857</f>
        <v>46.9003960904425</v>
      </c>
      <c r="U3857" s="0" t="n">
        <f aca="false">Q3857+S3857</f>
        <v>48.9157544777394</v>
      </c>
      <c r="V3857" s="54" t="b">
        <f aca="false">AND(D3857&gt;=01_因子設定!$L$5-0.000000001,D3857&lt;=01_因子設定!$M$5+0.000000001,E3857&gt;=01_因子設定!$L$6-0.000000001,E3857&lt;=01_因子設定!$M$6+0.000000001,F3857&gt;=01_因子設定!$L$7-0.000000001,F3857&lt;=01_因子設定!$M$7+0.000000001,IF(01_因子設定!$B$20="Box-Behnken",D3857^2+E3857^2+F3857^2&lt;=2+0.000000001,TRUE()))</f>
        <v>1</v>
      </c>
      <c r="W3857" s="55" t="n">
        <f aca="false">IF(V3857,IF(01_因子設定!$B$13="最大化",T3857-01_因子設定!$B$14,IF(01_因子設定!$B$13="最小化",01_因子設定!$B$15-U3857,MIN(T3857-01_因子設定!$B$14,01_因子設定!$B$15-U3857))),-1E+030)</f>
        <v>-1.59960390955753</v>
      </c>
      <c r="X3857" s="55" t="n">
        <f aca="false">IF(V3857,IF(01_因子設定!$B$13="最大化",Q3857,IF(01_因子設定!$B$13="最小化",-Q3857,-ABS(Q3857-01_因子設定!$B$16))),-1E+030)</f>
        <v>47.9080752840909</v>
      </c>
      <c r="Y3857" s="55" t="n">
        <f aca="false">W3857+ROW()*0.000000001</f>
        <v>-1.59960005255753</v>
      </c>
      <c r="Z3857" s="55" t="n">
        <f aca="false">X3857+ROW()*0.000000001</f>
        <v>47.9080791410909</v>
      </c>
    </row>
    <row r="3858" customFormat="false" ht="15" hidden="false" customHeight="false" outlineLevel="0" collapsed="false">
      <c r="A3858" s="0" t="n">
        <v>13</v>
      </c>
      <c r="B3858" s="0" t="n">
        <v>5</v>
      </c>
      <c r="C3858" s="0" t="n">
        <v>11</v>
      </c>
      <c r="D3858" s="0" t="n">
        <f aca="false">-1+A3858*0.125</f>
        <v>0.625</v>
      </c>
      <c r="E3858" s="0" t="n">
        <f aca="false">-1+B3858*0.125</f>
        <v>-0.375</v>
      </c>
      <c r="F3858" s="0" t="n">
        <f aca="false">-1+C3858*0.125</f>
        <v>0.375</v>
      </c>
      <c r="G3858" s="0" t="n">
        <f aca="false">1</f>
        <v>1</v>
      </c>
      <c r="H3858" s="0" t="n">
        <f aca="false">D3858</f>
        <v>0.625</v>
      </c>
      <c r="I3858" s="0" t="n">
        <f aca="false">E3858</f>
        <v>-0.375</v>
      </c>
      <c r="J3858" s="0" t="n">
        <f aca="false">F3858</f>
        <v>0.375</v>
      </c>
      <c r="K3858" s="0" t="n">
        <f aca="false">D3858*E3858</f>
        <v>-0.234375</v>
      </c>
      <c r="L3858" s="0" t="n">
        <f aca="false">D3858*F3858</f>
        <v>0.234375</v>
      </c>
      <c r="M3858" s="0" t="n">
        <f aca="false">E3858*F3858</f>
        <v>-0.140625</v>
      </c>
      <c r="N3858" s="0" t="n">
        <f aca="false">D3858*D3858</f>
        <v>0.390625</v>
      </c>
      <c r="O3858" s="0" t="n">
        <f aca="false">E3858*E3858</f>
        <v>0.140625</v>
      </c>
      <c r="P3858" s="0" t="n">
        <f aca="false">F3858*F3858</f>
        <v>0.140625</v>
      </c>
      <c r="Q3858" s="0" t="n">
        <f aca="false">SUMPRODUCT(G3858:P3858,_XtX!$B$71:$K$71)</f>
        <v>47.9557883522727</v>
      </c>
      <c r="R3858" s="0" t="n">
        <f aca="false">SUMPRODUCT(MMULT(G3858:P3858,_XtX!$B$58:$K$67),G3858:P3858)</f>
        <v>0.175007213245739</v>
      </c>
      <c r="S3858" s="0" t="n">
        <f aca="false">04_回帰ANOVA!$K$19*04_回帰ANOVA!$K$14*SQRT(1+R3858)</f>
        <v>1.0078291195273</v>
      </c>
      <c r="T3858" s="0" t="n">
        <f aca="false">Q3858-S3858</f>
        <v>46.9479592327454</v>
      </c>
      <c r="U3858" s="0" t="n">
        <f aca="false">Q3858+S3858</f>
        <v>48.9636174718</v>
      </c>
      <c r="V3858" s="54" t="b">
        <f aca="false">AND(D3858&gt;=01_因子設定!$L$5-0.000000001,D3858&lt;=01_因子設定!$M$5+0.000000001,E3858&gt;=01_因子設定!$L$6-0.000000001,E3858&lt;=01_因子設定!$M$6+0.000000001,F3858&gt;=01_因子設定!$L$7-0.000000001,F3858&lt;=01_因子設定!$M$7+0.000000001,IF(01_因子設定!$B$20="Box-Behnken",D3858^2+E3858^2+F3858^2&lt;=2+0.000000001,TRUE()))</f>
        <v>1</v>
      </c>
      <c r="W3858" s="55" t="n">
        <f aca="false">IF(V3858,IF(01_因子設定!$B$13="最大化",T3858-01_因子設定!$B$14,IF(01_因子設定!$B$13="最小化",01_因子設定!$B$15-U3858,MIN(T3858-01_因子設定!$B$14,01_因子設定!$B$15-U3858))),-1E+030)</f>
        <v>-1.55204076725457</v>
      </c>
      <c r="X3858" s="55" t="n">
        <f aca="false">IF(V3858,IF(01_因子設定!$B$13="最大化",Q3858,IF(01_因子設定!$B$13="最小化",-Q3858,-ABS(Q3858-01_因子設定!$B$16))),-1E+030)</f>
        <v>47.9557883522727</v>
      </c>
      <c r="Y3858" s="55" t="n">
        <f aca="false">W3858+ROW()*0.000000001</f>
        <v>-1.55203690925457</v>
      </c>
      <c r="Z3858" s="55" t="n">
        <f aca="false">X3858+ROW()*0.000000001</f>
        <v>47.9557922102727</v>
      </c>
    </row>
    <row r="3859" customFormat="false" ht="15" hidden="false" customHeight="false" outlineLevel="0" collapsed="false">
      <c r="A3859" s="0" t="n">
        <v>13</v>
      </c>
      <c r="B3859" s="0" t="n">
        <v>5</v>
      </c>
      <c r="C3859" s="0" t="n">
        <v>12</v>
      </c>
      <c r="D3859" s="0" t="n">
        <f aca="false">-1+A3859*0.125</f>
        <v>0.625</v>
      </c>
      <c r="E3859" s="0" t="n">
        <f aca="false">-1+B3859*0.125</f>
        <v>-0.375</v>
      </c>
      <c r="F3859" s="0" t="n">
        <f aca="false">-1+C3859*0.125</f>
        <v>0.5</v>
      </c>
      <c r="G3859" s="0" t="n">
        <f aca="false">1</f>
        <v>1</v>
      </c>
      <c r="H3859" s="0" t="n">
        <f aca="false">D3859</f>
        <v>0.625</v>
      </c>
      <c r="I3859" s="0" t="n">
        <f aca="false">E3859</f>
        <v>-0.375</v>
      </c>
      <c r="J3859" s="0" t="n">
        <f aca="false">F3859</f>
        <v>0.5</v>
      </c>
      <c r="K3859" s="0" t="n">
        <f aca="false">D3859*E3859</f>
        <v>-0.234375</v>
      </c>
      <c r="L3859" s="0" t="n">
        <f aca="false">D3859*F3859</f>
        <v>0.3125</v>
      </c>
      <c r="M3859" s="0" t="n">
        <f aca="false">E3859*F3859</f>
        <v>-0.1875</v>
      </c>
      <c r="N3859" s="0" t="n">
        <f aca="false">D3859*D3859</f>
        <v>0.390625</v>
      </c>
      <c r="O3859" s="0" t="n">
        <f aca="false">E3859*E3859</f>
        <v>0.140625</v>
      </c>
      <c r="P3859" s="0" t="n">
        <f aca="false">F3859*F3859</f>
        <v>0.25</v>
      </c>
      <c r="Q3859" s="0" t="n">
        <f aca="false">SUMPRODUCT(G3859:P3859,_XtX!$B$71:$K$71)</f>
        <v>47.9667116477273</v>
      </c>
      <c r="R3859" s="0" t="n">
        <f aca="false">SUMPRODUCT(MMULT(G3859:P3859,_XtX!$B$58:$K$67),G3859:P3859)</f>
        <v>0.182953990589489</v>
      </c>
      <c r="S3859" s="0" t="n">
        <f aca="false">04_回帰ANOVA!$K$19*04_回帰ANOVA!$K$14*SQRT(1+R3859)</f>
        <v>1.01123143807044</v>
      </c>
      <c r="T3859" s="0" t="n">
        <f aca="false">Q3859-S3859</f>
        <v>46.9554802096568</v>
      </c>
      <c r="U3859" s="0" t="n">
        <f aca="false">Q3859+S3859</f>
        <v>48.9779430857977</v>
      </c>
      <c r="V3859" s="54" t="b">
        <f aca="false">AND(D3859&gt;=01_因子設定!$L$5-0.000000001,D3859&lt;=01_因子設定!$M$5+0.000000001,E3859&gt;=01_因子設定!$L$6-0.000000001,E3859&lt;=01_因子設定!$M$6+0.000000001,F3859&gt;=01_因子設定!$L$7-0.000000001,F3859&lt;=01_因子設定!$M$7+0.000000001,IF(01_因子設定!$B$20="Box-Behnken",D3859^2+E3859^2+F3859^2&lt;=2+0.000000001,TRUE()))</f>
        <v>1</v>
      </c>
      <c r="W3859" s="55" t="n">
        <f aca="false">IF(V3859,IF(01_因子設定!$B$13="最大化",T3859-01_因子設定!$B$14,IF(01_因子設定!$B$13="最小化",01_因子設定!$B$15-U3859,MIN(T3859-01_因子設定!$B$14,01_因子設定!$B$15-U3859))),-1E+030)</f>
        <v>-1.54451979034316</v>
      </c>
      <c r="X3859" s="55" t="n">
        <f aca="false">IF(V3859,IF(01_因子設定!$B$13="最大化",Q3859,IF(01_因子設定!$B$13="最小化",-Q3859,-ABS(Q3859-01_因子設定!$B$16))),-1E+030)</f>
        <v>47.9667116477273</v>
      </c>
      <c r="Y3859" s="55" t="n">
        <f aca="false">W3859+ROW()*0.000000001</f>
        <v>-1.54451593134316</v>
      </c>
      <c r="Z3859" s="55" t="n">
        <f aca="false">X3859+ROW()*0.000000001</f>
        <v>47.9667155067273</v>
      </c>
    </row>
    <row r="3860" customFormat="false" ht="15" hidden="false" customHeight="false" outlineLevel="0" collapsed="false">
      <c r="A3860" s="0" t="n">
        <v>13</v>
      </c>
      <c r="B3860" s="0" t="n">
        <v>5</v>
      </c>
      <c r="C3860" s="0" t="n">
        <v>13</v>
      </c>
      <c r="D3860" s="0" t="n">
        <f aca="false">-1+A3860*0.125</f>
        <v>0.625</v>
      </c>
      <c r="E3860" s="0" t="n">
        <f aca="false">-1+B3860*0.125</f>
        <v>-0.375</v>
      </c>
      <c r="F3860" s="0" t="n">
        <f aca="false">-1+C3860*0.125</f>
        <v>0.625</v>
      </c>
      <c r="G3860" s="0" t="n">
        <f aca="false">1</f>
        <v>1</v>
      </c>
      <c r="H3860" s="0" t="n">
        <f aca="false">D3860</f>
        <v>0.625</v>
      </c>
      <c r="I3860" s="0" t="n">
        <f aca="false">E3860</f>
        <v>-0.375</v>
      </c>
      <c r="J3860" s="0" t="n">
        <f aca="false">F3860</f>
        <v>0.625</v>
      </c>
      <c r="K3860" s="0" t="n">
        <f aca="false">D3860*E3860</f>
        <v>-0.234375</v>
      </c>
      <c r="L3860" s="0" t="n">
        <f aca="false">D3860*F3860</f>
        <v>0.390625</v>
      </c>
      <c r="M3860" s="0" t="n">
        <f aca="false">E3860*F3860</f>
        <v>-0.234375</v>
      </c>
      <c r="N3860" s="0" t="n">
        <f aca="false">D3860*D3860</f>
        <v>0.390625</v>
      </c>
      <c r="O3860" s="0" t="n">
        <f aca="false">E3860*E3860</f>
        <v>0.140625</v>
      </c>
      <c r="P3860" s="0" t="n">
        <f aca="false">F3860*F3860</f>
        <v>0.390625</v>
      </c>
      <c r="Q3860" s="0" t="n">
        <f aca="false">SUMPRODUCT(G3860:P3860,_XtX!$B$71:$K$71)</f>
        <v>47.9408451704546</v>
      </c>
      <c r="R3860" s="0" t="n">
        <f aca="false">SUMPRODUCT(MMULT(G3860:P3860,_XtX!$B$58:$K$67),G3860:P3860)</f>
        <v>0.20595536665483</v>
      </c>
      <c r="S3860" s="0" t="n">
        <f aca="false">04_回帰ANOVA!$K$19*04_回帰ANOVA!$K$14*SQRT(1+R3860)</f>
        <v>1.02101530762963</v>
      </c>
      <c r="T3860" s="0" t="n">
        <f aca="false">Q3860-S3860</f>
        <v>46.9198298628249</v>
      </c>
      <c r="U3860" s="0" t="n">
        <f aca="false">Q3860+S3860</f>
        <v>48.9618604780842</v>
      </c>
      <c r="V3860" s="54" t="b">
        <f aca="false">AND(D3860&gt;=01_因子設定!$L$5-0.000000001,D3860&lt;=01_因子設定!$M$5+0.000000001,E3860&gt;=01_因子設定!$L$6-0.000000001,E3860&lt;=01_因子設定!$M$6+0.000000001,F3860&gt;=01_因子設定!$L$7-0.000000001,F3860&lt;=01_因子設定!$M$7+0.000000001,IF(01_因子設定!$B$20="Box-Behnken",D3860^2+E3860^2+F3860^2&lt;=2+0.000000001,TRUE()))</f>
        <v>1</v>
      </c>
      <c r="W3860" s="55" t="n">
        <f aca="false">IF(V3860,IF(01_因子設定!$B$13="最大化",T3860-01_因子設定!$B$14,IF(01_因子設定!$B$13="最小化",01_因子設定!$B$15-U3860,MIN(T3860-01_因子設定!$B$14,01_因子設定!$B$15-U3860))),-1E+030)</f>
        <v>-1.58017013717507</v>
      </c>
      <c r="X3860" s="55" t="n">
        <f aca="false">IF(V3860,IF(01_因子設定!$B$13="最大化",Q3860,IF(01_因子設定!$B$13="最小化",-Q3860,-ABS(Q3860-01_因子設定!$B$16))),-1E+030)</f>
        <v>47.9408451704546</v>
      </c>
      <c r="Y3860" s="55" t="n">
        <f aca="false">W3860+ROW()*0.000000001</f>
        <v>-1.58016627717507</v>
      </c>
      <c r="Z3860" s="55" t="n">
        <f aca="false">X3860+ROW()*0.000000001</f>
        <v>47.9408490304546</v>
      </c>
    </row>
    <row r="3861" customFormat="false" ht="15" hidden="false" customHeight="false" outlineLevel="0" collapsed="false">
      <c r="A3861" s="0" t="n">
        <v>13</v>
      </c>
      <c r="B3861" s="0" t="n">
        <v>5</v>
      </c>
      <c r="C3861" s="0" t="n">
        <v>14</v>
      </c>
      <c r="D3861" s="0" t="n">
        <f aca="false">-1+A3861*0.125</f>
        <v>0.625</v>
      </c>
      <c r="E3861" s="0" t="n">
        <f aca="false">-1+B3861*0.125</f>
        <v>-0.375</v>
      </c>
      <c r="F3861" s="0" t="n">
        <f aca="false">-1+C3861*0.125</f>
        <v>0.75</v>
      </c>
      <c r="G3861" s="0" t="n">
        <f aca="false">1</f>
        <v>1</v>
      </c>
      <c r="H3861" s="0" t="n">
        <f aca="false">D3861</f>
        <v>0.625</v>
      </c>
      <c r="I3861" s="0" t="n">
        <f aca="false">E3861</f>
        <v>-0.375</v>
      </c>
      <c r="J3861" s="0" t="n">
        <f aca="false">F3861</f>
        <v>0.75</v>
      </c>
      <c r="K3861" s="0" t="n">
        <f aca="false">D3861*E3861</f>
        <v>-0.234375</v>
      </c>
      <c r="L3861" s="0" t="n">
        <f aca="false">D3861*F3861</f>
        <v>0.46875</v>
      </c>
      <c r="M3861" s="0" t="n">
        <f aca="false">E3861*F3861</f>
        <v>-0.28125</v>
      </c>
      <c r="N3861" s="0" t="n">
        <f aca="false">D3861*D3861</f>
        <v>0.390625</v>
      </c>
      <c r="O3861" s="0" t="n">
        <f aca="false">E3861*E3861</f>
        <v>0.140625</v>
      </c>
      <c r="P3861" s="0" t="n">
        <f aca="false">F3861*F3861</f>
        <v>0.5625</v>
      </c>
      <c r="Q3861" s="0" t="n">
        <f aca="false">SUMPRODUCT(G3861:P3861,_XtX!$B$71:$K$71)</f>
        <v>47.8781889204546</v>
      </c>
      <c r="R3861" s="0" t="n">
        <f aca="false">SUMPRODUCT(MMULT(G3861:P3861,_XtX!$B$58:$K$67),G3861:P3861)</f>
        <v>0.25359940962358</v>
      </c>
      <c r="S3861" s="0" t="n">
        <f aca="false">04_回帰ANOVA!$K$19*04_回帰ANOVA!$K$14*SQRT(1+R3861)</f>
        <v>1.04098872464599</v>
      </c>
      <c r="T3861" s="0" t="n">
        <f aca="false">Q3861-S3861</f>
        <v>46.8372001958086</v>
      </c>
      <c r="U3861" s="0" t="n">
        <f aca="false">Q3861+S3861</f>
        <v>48.9191776451006</v>
      </c>
      <c r="V3861" s="54" t="b">
        <f aca="false">AND(D3861&gt;=01_因子設定!$L$5-0.000000001,D3861&lt;=01_因子設定!$M$5+0.000000001,E3861&gt;=01_因子設定!$L$6-0.000000001,E3861&lt;=01_因子設定!$M$6+0.000000001,F3861&gt;=01_因子設定!$L$7-0.000000001,F3861&lt;=01_因子設定!$M$7+0.000000001,IF(01_因子設定!$B$20="Box-Behnken",D3861^2+E3861^2+F3861^2&lt;=2+0.000000001,TRUE()))</f>
        <v>1</v>
      </c>
      <c r="W3861" s="55" t="n">
        <f aca="false">IF(V3861,IF(01_因子設定!$B$13="最大化",T3861-01_因子設定!$B$14,IF(01_因子設定!$B$13="最小化",01_因子設定!$B$15-U3861,MIN(T3861-01_因子設定!$B$14,01_因子設定!$B$15-U3861))),-1E+030)</f>
        <v>-1.66279980419142</v>
      </c>
      <c r="X3861" s="55" t="n">
        <f aca="false">IF(V3861,IF(01_因子設定!$B$13="最大化",Q3861,IF(01_因子設定!$B$13="最小化",-Q3861,-ABS(Q3861-01_因子設定!$B$16))),-1E+030)</f>
        <v>47.8781889204546</v>
      </c>
      <c r="Y3861" s="55" t="n">
        <f aca="false">W3861+ROW()*0.000000001</f>
        <v>-1.66279594319142</v>
      </c>
      <c r="Z3861" s="55" t="n">
        <f aca="false">X3861+ROW()*0.000000001</f>
        <v>47.8781927814546</v>
      </c>
    </row>
    <row r="3862" customFormat="false" ht="15" hidden="false" customHeight="false" outlineLevel="0" collapsed="false">
      <c r="A3862" s="0" t="n">
        <v>13</v>
      </c>
      <c r="B3862" s="0" t="n">
        <v>5</v>
      </c>
      <c r="C3862" s="0" t="n">
        <v>15</v>
      </c>
      <c r="D3862" s="0" t="n">
        <f aca="false">-1+A3862*0.125</f>
        <v>0.625</v>
      </c>
      <c r="E3862" s="0" t="n">
        <f aca="false">-1+B3862*0.125</f>
        <v>-0.375</v>
      </c>
      <c r="F3862" s="0" t="n">
        <f aca="false">-1+C3862*0.125</f>
        <v>0.875</v>
      </c>
      <c r="G3862" s="0" t="n">
        <f aca="false">1</f>
        <v>1</v>
      </c>
      <c r="H3862" s="0" t="n">
        <f aca="false">D3862</f>
        <v>0.625</v>
      </c>
      <c r="I3862" s="0" t="n">
        <f aca="false">E3862</f>
        <v>-0.375</v>
      </c>
      <c r="J3862" s="0" t="n">
        <f aca="false">F3862</f>
        <v>0.875</v>
      </c>
      <c r="K3862" s="0" t="n">
        <f aca="false">D3862*E3862</f>
        <v>-0.234375</v>
      </c>
      <c r="L3862" s="0" t="n">
        <f aca="false">D3862*F3862</f>
        <v>0.546875</v>
      </c>
      <c r="M3862" s="0" t="n">
        <f aca="false">E3862*F3862</f>
        <v>-0.328125</v>
      </c>
      <c r="N3862" s="0" t="n">
        <f aca="false">D3862*D3862</f>
        <v>0.390625</v>
      </c>
      <c r="O3862" s="0" t="n">
        <f aca="false">E3862*E3862</f>
        <v>0.140625</v>
      </c>
      <c r="P3862" s="0" t="n">
        <f aca="false">F3862*F3862</f>
        <v>0.765625</v>
      </c>
      <c r="Q3862" s="0" t="n">
        <f aca="false">SUMPRODUCT(G3862:P3862,_XtX!$B$71:$K$71)</f>
        <v>47.7787428977273</v>
      </c>
      <c r="R3862" s="0" t="n">
        <f aca="false">SUMPRODUCT(MMULT(G3862:P3862,_XtX!$B$58:$K$67),G3862:P3862)</f>
        <v>0.337604869495739</v>
      </c>
      <c r="S3862" s="0" t="n">
        <f aca="false">04_回帰ANOVA!$K$19*04_回帰ANOVA!$K$14*SQRT(1+R3862)</f>
        <v>1.07530225516193</v>
      </c>
      <c r="T3862" s="0" t="n">
        <f aca="false">Q3862-S3862</f>
        <v>46.7034406425654</v>
      </c>
      <c r="U3862" s="0" t="n">
        <f aca="false">Q3862+S3862</f>
        <v>48.8540451528892</v>
      </c>
      <c r="V3862" s="54" t="b">
        <f aca="false">AND(D3862&gt;=01_因子設定!$L$5-0.000000001,D3862&lt;=01_因子設定!$M$5+0.000000001,E3862&gt;=01_因子設定!$L$6-0.000000001,E3862&lt;=01_因子設定!$M$6+0.000000001,F3862&gt;=01_因子設定!$L$7-0.000000001,F3862&lt;=01_因子設定!$M$7+0.000000001,IF(01_因子設定!$B$20="Box-Behnken",D3862^2+E3862^2+F3862^2&lt;=2+0.000000001,TRUE()))</f>
        <v>1</v>
      </c>
      <c r="W3862" s="55" t="n">
        <f aca="false">IF(V3862,IF(01_因子設定!$B$13="最大化",T3862-01_因子設定!$B$14,IF(01_因子設定!$B$13="最小化",01_因子設定!$B$15-U3862,MIN(T3862-01_因子設定!$B$14,01_因子設定!$B$15-U3862))),-1E+030)</f>
        <v>-1.79655935743463</v>
      </c>
      <c r="X3862" s="55" t="n">
        <f aca="false">IF(V3862,IF(01_因子設定!$B$13="最大化",Q3862,IF(01_因子設定!$B$13="最小化",-Q3862,-ABS(Q3862-01_因子設定!$B$16))),-1E+030)</f>
        <v>47.7787428977273</v>
      </c>
      <c r="Y3862" s="55" t="n">
        <f aca="false">W3862+ROW()*0.000000001</f>
        <v>-1.79655549543463</v>
      </c>
      <c r="Z3862" s="55" t="n">
        <f aca="false">X3862+ROW()*0.000000001</f>
        <v>47.7787467597273</v>
      </c>
    </row>
    <row r="3863" customFormat="false" ht="15" hidden="false" customHeight="false" outlineLevel="0" collapsed="false">
      <c r="A3863" s="0" t="n">
        <v>13</v>
      </c>
      <c r="B3863" s="0" t="n">
        <v>5</v>
      </c>
      <c r="C3863" s="0" t="n">
        <v>16</v>
      </c>
      <c r="D3863" s="0" t="n">
        <f aca="false">-1+A3863*0.125</f>
        <v>0.625</v>
      </c>
      <c r="E3863" s="0" t="n">
        <f aca="false">-1+B3863*0.125</f>
        <v>-0.375</v>
      </c>
      <c r="F3863" s="0" t="n">
        <f aca="false">-1+C3863*0.125</f>
        <v>1</v>
      </c>
      <c r="G3863" s="0" t="n">
        <f aca="false">1</f>
        <v>1</v>
      </c>
      <c r="H3863" s="0" t="n">
        <f aca="false">D3863</f>
        <v>0.625</v>
      </c>
      <c r="I3863" s="0" t="n">
        <f aca="false">E3863</f>
        <v>-0.375</v>
      </c>
      <c r="J3863" s="0" t="n">
        <f aca="false">F3863</f>
        <v>1</v>
      </c>
      <c r="K3863" s="0" t="n">
        <f aca="false">D3863*E3863</f>
        <v>-0.234375</v>
      </c>
      <c r="L3863" s="0" t="n">
        <f aca="false">D3863*F3863</f>
        <v>0.625</v>
      </c>
      <c r="M3863" s="0" t="n">
        <f aca="false">E3863*F3863</f>
        <v>-0.375</v>
      </c>
      <c r="N3863" s="0" t="n">
        <f aca="false">D3863*D3863</f>
        <v>0.390625</v>
      </c>
      <c r="O3863" s="0" t="n">
        <f aca="false">E3863*E3863</f>
        <v>0.140625</v>
      </c>
      <c r="P3863" s="0" t="n">
        <f aca="false">F3863*F3863</f>
        <v>1</v>
      </c>
      <c r="Q3863" s="0" t="n">
        <f aca="false">SUMPRODUCT(G3863:P3863,_XtX!$B$71:$K$71)</f>
        <v>47.6425071022728</v>
      </c>
      <c r="R3863" s="0" t="n">
        <f aca="false">SUMPRODUCT(MMULT(G3863:P3863,_XtX!$B$58:$K$67),G3863:P3863)</f>
        <v>0.471821178089489</v>
      </c>
      <c r="S3863" s="0" t="n">
        <f aca="false">04_回帰ANOVA!$K$19*04_回帰ANOVA!$K$14*SQRT(1+R3863)</f>
        <v>1.12796119746125</v>
      </c>
      <c r="T3863" s="0" t="n">
        <f aca="false">Q3863-S3863</f>
        <v>46.5145459048115</v>
      </c>
      <c r="U3863" s="0" t="n">
        <f aca="false">Q3863+S3863</f>
        <v>48.770468299734</v>
      </c>
      <c r="V3863" s="54" t="b">
        <f aca="false">AND(D3863&gt;=01_因子設定!$L$5-0.000000001,D3863&lt;=01_因子設定!$M$5+0.000000001,E3863&gt;=01_因子設定!$L$6-0.000000001,E3863&lt;=01_因子設定!$M$6+0.000000001,F3863&gt;=01_因子設定!$L$7-0.000000001,F3863&lt;=01_因子設定!$M$7+0.000000001,IF(01_因子設定!$B$20="Box-Behnken",D3863^2+E3863^2+F3863^2&lt;=2+0.000000001,TRUE()))</f>
        <v>1</v>
      </c>
      <c r="W3863" s="55" t="n">
        <f aca="false">IF(V3863,IF(01_因子設定!$B$13="最大化",T3863-01_因子設定!$B$14,IF(01_因子設定!$B$13="最小化",01_因子設定!$B$15-U3863,MIN(T3863-01_因子設定!$B$14,01_因子設定!$B$15-U3863))),-1E+030)</f>
        <v>-1.9854540951885</v>
      </c>
      <c r="X3863" s="55" t="n">
        <f aca="false">IF(V3863,IF(01_因子設定!$B$13="最大化",Q3863,IF(01_因子設定!$B$13="最小化",-Q3863,-ABS(Q3863-01_因子設定!$B$16))),-1E+030)</f>
        <v>47.6425071022728</v>
      </c>
      <c r="Y3863" s="55" t="n">
        <f aca="false">W3863+ROW()*0.000000001</f>
        <v>-1.9854502321885</v>
      </c>
      <c r="Z3863" s="55" t="n">
        <f aca="false">X3863+ROW()*0.000000001</f>
        <v>47.6425109652728</v>
      </c>
    </row>
    <row r="3864" customFormat="false" ht="15" hidden="false" customHeight="false" outlineLevel="0" collapsed="false">
      <c r="A3864" s="0" t="n">
        <v>13</v>
      </c>
      <c r="B3864" s="0" t="n">
        <v>6</v>
      </c>
      <c r="C3864" s="0" t="n">
        <v>0</v>
      </c>
      <c r="D3864" s="0" t="n">
        <f aca="false">-1+A3864*0.125</f>
        <v>0.625</v>
      </c>
      <c r="E3864" s="0" t="n">
        <f aca="false">-1+B3864*0.125</f>
        <v>-0.25</v>
      </c>
      <c r="F3864" s="0" t="n">
        <f aca="false">-1+C3864*0.125</f>
        <v>-1</v>
      </c>
      <c r="G3864" s="0" t="n">
        <f aca="false">1</f>
        <v>1</v>
      </c>
      <c r="H3864" s="0" t="n">
        <f aca="false">D3864</f>
        <v>0.625</v>
      </c>
      <c r="I3864" s="0" t="n">
        <f aca="false">E3864</f>
        <v>-0.25</v>
      </c>
      <c r="J3864" s="0" t="n">
        <f aca="false">F3864</f>
        <v>-1</v>
      </c>
      <c r="K3864" s="0" t="n">
        <f aca="false">D3864*E3864</f>
        <v>-0.15625</v>
      </c>
      <c r="L3864" s="0" t="n">
        <f aca="false">D3864*F3864</f>
        <v>-0.625</v>
      </c>
      <c r="M3864" s="0" t="n">
        <f aca="false">E3864*F3864</f>
        <v>0.25</v>
      </c>
      <c r="N3864" s="0" t="n">
        <f aca="false">D3864*D3864</f>
        <v>0.390625</v>
      </c>
      <c r="O3864" s="0" t="n">
        <f aca="false">E3864*E3864</f>
        <v>0.0625</v>
      </c>
      <c r="P3864" s="0" t="n">
        <f aca="false">F3864*F3864</f>
        <v>1</v>
      </c>
      <c r="Q3864" s="0" t="n">
        <f aca="false">SUMPRODUCT(G3864:P3864,_XtX!$B$71:$K$71)</f>
        <v>45.8640909090909</v>
      </c>
      <c r="R3864" s="0" t="n">
        <f aca="false">SUMPRODUCT(MMULT(G3864:P3864,_XtX!$B$58:$K$67),G3864:P3864)</f>
        <v>0.481389825994318</v>
      </c>
      <c r="S3864" s="0" t="n">
        <f aca="false">04_回帰ANOVA!$K$19*04_回帰ANOVA!$K$14*SQRT(1+R3864)</f>
        <v>1.13162182500693</v>
      </c>
      <c r="T3864" s="0" t="n">
        <f aca="false">Q3864-S3864</f>
        <v>44.732469084084</v>
      </c>
      <c r="U3864" s="0" t="n">
        <f aca="false">Q3864+S3864</f>
        <v>46.9957127340979</v>
      </c>
      <c r="V3864" s="54" t="b">
        <f aca="false">AND(D3864&gt;=01_因子設定!$L$5-0.000000001,D3864&lt;=01_因子設定!$M$5+0.000000001,E3864&gt;=01_因子設定!$L$6-0.000000001,E3864&lt;=01_因子設定!$M$6+0.000000001,F3864&gt;=01_因子設定!$L$7-0.000000001,F3864&lt;=01_因子設定!$M$7+0.000000001,IF(01_因子設定!$B$20="Box-Behnken",D3864^2+E3864^2+F3864^2&lt;=2+0.000000001,TRUE()))</f>
        <v>1</v>
      </c>
      <c r="W3864" s="55" t="n">
        <f aca="false">IF(V3864,IF(01_因子設定!$B$13="最大化",T3864-01_因子設定!$B$14,IF(01_因子設定!$B$13="最小化",01_因子設定!$B$15-U3864,MIN(T3864-01_因子設定!$B$14,01_因子設定!$B$15-U3864))),-1E+030)</f>
        <v>-3.76753091591599</v>
      </c>
      <c r="X3864" s="55" t="n">
        <f aca="false">IF(V3864,IF(01_因子設定!$B$13="最大化",Q3864,IF(01_因子設定!$B$13="最小化",-Q3864,-ABS(Q3864-01_因子設定!$B$16))),-1E+030)</f>
        <v>45.8640909090909</v>
      </c>
      <c r="Y3864" s="55" t="n">
        <f aca="false">W3864+ROW()*0.000000001</f>
        <v>-3.76752705191599</v>
      </c>
      <c r="Z3864" s="55" t="n">
        <f aca="false">X3864+ROW()*0.000000001</f>
        <v>45.8640947730909</v>
      </c>
    </row>
    <row r="3865" customFormat="false" ht="15" hidden="false" customHeight="false" outlineLevel="0" collapsed="false">
      <c r="A3865" s="0" t="n">
        <v>13</v>
      </c>
      <c r="B3865" s="0" t="n">
        <v>6</v>
      </c>
      <c r="C3865" s="0" t="n">
        <v>1</v>
      </c>
      <c r="D3865" s="0" t="n">
        <f aca="false">-1+A3865*0.125</f>
        <v>0.625</v>
      </c>
      <c r="E3865" s="0" t="n">
        <f aca="false">-1+B3865*0.125</f>
        <v>-0.25</v>
      </c>
      <c r="F3865" s="0" t="n">
        <f aca="false">-1+C3865*0.125</f>
        <v>-0.875</v>
      </c>
      <c r="G3865" s="0" t="n">
        <f aca="false">1</f>
        <v>1</v>
      </c>
      <c r="H3865" s="0" t="n">
        <f aca="false">D3865</f>
        <v>0.625</v>
      </c>
      <c r="I3865" s="0" t="n">
        <f aca="false">E3865</f>
        <v>-0.25</v>
      </c>
      <c r="J3865" s="0" t="n">
        <f aca="false">F3865</f>
        <v>-0.875</v>
      </c>
      <c r="K3865" s="0" t="n">
        <f aca="false">D3865*E3865</f>
        <v>-0.15625</v>
      </c>
      <c r="L3865" s="0" t="n">
        <f aca="false">D3865*F3865</f>
        <v>-0.546875</v>
      </c>
      <c r="M3865" s="0" t="n">
        <f aca="false">E3865*F3865</f>
        <v>0.21875</v>
      </c>
      <c r="N3865" s="0" t="n">
        <f aca="false">D3865*D3865</f>
        <v>0.390625</v>
      </c>
      <c r="O3865" s="0" t="n">
        <f aca="false">E3865*E3865</f>
        <v>0.0625</v>
      </c>
      <c r="P3865" s="0" t="n">
        <f aca="false">F3865*F3865</f>
        <v>0.765625</v>
      </c>
      <c r="Q3865" s="0" t="n">
        <f aca="false">SUMPRODUCT(G3865:P3865,_XtX!$B$71:$K$71)</f>
        <v>46.2867329545455</v>
      </c>
      <c r="R3865" s="0" t="n">
        <f aca="false">SUMPRODUCT(MMULT(G3865:P3865,_XtX!$B$58:$K$67),G3865:P3865)</f>
        <v>0.34446855024858</v>
      </c>
      <c r="S3865" s="0" t="n">
        <f aca="false">04_回帰ANOVA!$K$19*04_回帰ANOVA!$K$14*SQRT(1+R3865)</f>
        <v>1.07805758590432</v>
      </c>
      <c r="T3865" s="0" t="n">
        <f aca="false">Q3865-S3865</f>
        <v>45.2086753686412</v>
      </c>
      <c r="U3865" s="0" t="n">
        <f aca="false">Q3865+S3865</f>
        <v>47.3647905404498</v>
      </c>
      <c r="V3865" s="54" t="b">
        <f aca="false">AND(D3865&gt;=01_因子設定!$L$5-0.000000001,D3865&lt;=01_因子設定!$M$5+0.000000001,E3865&gt;=01_因子設定!$L$6-0.000000001,E3865&lt;=01_因子設定!$M$6+0.000000001,F3865&gt;=01_因子設定!$L$7-0.000000001,F3865&lt;=01_因子設定!$M$7+0.000000001,IF(01_因子設定!$B$20="Box-Behnken",D3865^2+E3865^2+F3865^2&lt;=2+0.000000001,TRUE()))</f>
        <v>1</v>
      </c>
      <c r="W3865" s="55" t="n">
        <f aca="false">IF(V3865,IF(01_因子設定!$B$13="最大化",T3865-01_因子設定!$B$14,IF(01_因子設定!$B$13="最小化",01_因子設定!$B$15-U3865,MIN(T3865-01_因子設定!$B$14,01_因子設定!$B$15-U3865))),-1E+030)</f>
        <v>-3.29132463135885</v>
      </c>
      <c r="X3865" s="55" t="n">
        <f aca="false">IF(V3865,IF(01_因子設定!$B$13="最大化",Q3865,IF(01_因子設定!$B$13="最小化",-Q3865,-ABS(Q3865-01_因子設定!$B$16))),-1E+030)</f>
        <v>46.2867329545455</v>
      </c>
      <c r="Y3865" s="55" t="n">
        <f aca="false">W3865+ROW()*0.000000001</f>
        <v>-3.29132076635885</v>
      </c>
      <c r="Z3865" s="55" t="n">
        <f aca="false">X3865+ROW()*0.000000001</f>
        <v>46.2867368195455</v>
      </c>
    </row>
    <row r="3866" customFormat="false" ht="15" hidden="false" customHeight="false" outlineLevel="0" collapsed="false">
      <c r="A3866" s="0" t="n">
        <v>13</v>
      </c>
      <c r="B3866" s="0" t="n">
        <v>6</v>
      </c>
      <c r="C3866" s="0" t="n">
        <v>2</v>
      </c>
      <c r="D3866" s="0" t="n">
        <f aca="false">-1+A3866*0.125</f>
        <v>0.625</v>
      </c>
      <c r="E3866" s="0" t="n">
        <f aca="false">-1+B3866*0.125</f>
        <v>-0.25</v>
      </c>
      <c r="F3866" s="0" t="n">
        <f aca="false">-1+C3866*0.125</f>
        <v>-0.75</v>
      </c>
      <c r="G3866" s="0" t="n">
        <f aca="false">1</f>
        <v>1</v>
      </c>
      <c r="H3866" s="0" t="n">
        <f aca="false">D3866</f>
        <v>0.625</v>
      </c>
      <c r="I3866" s="0" t="n">
        <f aca="false">E3866</f>
        <v>-0.25</v>
      </c>
      <c r="J3866" s="0" t="n">
        <f aca="false">F3866</f>
        <v>-0.75</v>
      </c>
      <c r="K3866" s="0" t="n">
        <f aca="false">D3866*E3866</f>
        <v>-0.15625</v>
      </c>
      <c r="L3866" s="0" t="n">
        <f aca="false">D3866*F3866</f>
        <v>-0.46875</v>
      </c>
      <c r="M3866" s="0" t="n">
        <f aca="false">E3866*F3866</f>
        <v>0.1875</v>
      </c>
      <c r="N3866" s="0" t="n">
        <f aca="false">D3866*D3866</f>
        <v>0.390625</v>
      </c>
      <c r="O3866" s="0" t="n">
        <f aca="false">E3866*E3866</f>
        <v>0.0625</v>
      </c>
      <c r="P3866" s="0" t="n">
        <f aca="false">F3866*F3866</f>
        <v>0.5625</v>
      </c>
      <c r="Q3866" s="0" t="n">
        <f aca="false">SUMPRODUCT(G3866:P3866,_XtX!$B$71:$K$71)</f>
        <v>46.6725852272727</v>
      </c>
      <c r="R3866" s="0" t="n">
        <f aca="false">SUMPRODUCT(MMULT(G3866:P3866,_XtX!$B$58:$K$67),G3866:P3866)</f>
        <v>0.258118785511364</v>
      </c>
      <c r="S3866" s="0" t="n">
        <f aca="false">04_回帰ANOVA!$K$19*04_回帰ANOVA!$K$14*SQRT(1+R3866)</f>
        <v>1.04286348094876</v>
      </c>
      <c r="T3866" s="0" t="n">
        <f aca="false">Q3866-S3866</f>
        <v>45.629721746324</v>
      </c>
      <c r="U3866" s="0" t="n">
        <f aca="false">Q3866+S3866</f>
        <v>47.7154487082215</v>
      </c>
      <c r="V3866" s="54" t="b">
        <f aca="false">AND(D3866&gt;=01_因子設定!$L$5-0.000000001,D3866&lt;=01_因子設定!$M$5+0.000000001,E3866&gt;=01_因子設定!$L$6-0.000000001,E3866&lt;=01_因子設定!$M$6+0.000000001,F3866&gt;=01_因子設定!$L$7-0.000000001,F3866&lt;=01_因子設定!$M$7+0.000000001,IF(01_因子設定!$B$20="Box-Behnken",D3866^2+E3866^2+F3866^2&lt;=2+0.000000001,TRUE()))</f>
        <v>1</v>
      </c>
      <c r="W3866" s="55" t="n">
        <f aca="false">IF(V3866,IF(01_因子設定!$B$13="最大化",T3866-01_因子設定!$B$14,IF(01_因子設定!$B$13="最小化",01_因子設定!$B$15-U3866,MIN(T3866-01_因子設定!$B$14,01_因子設定!$B$15-U3866))),-1E+030)</f>
        <v>-2.87027825367602</v>
      </c>
      <c r="X3866" s="55" t="n">
        <f aca="false">IF(V3866,IF(01_因子設定!$B$13="最大化",Q3866,IF(01_因子設定!$B$13="最小化",-Q3866,-ABS(Q3866-01_因子設定!$B$16))),-1E+030)</f>
        <v>46.6725852272727</v>
      </c>
      <c r="Y3866" s="55" t="n">
        <f aca="false">W3866+ROW()*0.000000001</f>
        <v>-2.87027438767602</v>
      </c>
      <c r="Z3866" s="55" t="n">
        <f aca="false">X3866+ROW()*0.000000001</f>
        <v>46.6725890932727</v>
      </c>
    </row>
    <row r="3867" customFormat="false" ht="15" hidden="false" customHeight="false" outlineLevel="0" collapsed="false">
      <c r="A3867" s="0" t="n">
        <v>13</v>
      </c>
      <c r="B3867" s="0" t="n">
        <v>6</v>
      </c>
      <c r="C3867" s="0" t="n">
        <v>3</v>
      </c>
      <c r="D3867" s="0" t="n">
        <f aca="false">-1+A3867*0.125</f>
        <v>0.625</v>
      </c>
      <c r="E3867" s="0" t="n">
        <f aca="false">-1+B3867*0.125</f>
        <v>-0.25</v>
      </c>
      <c r="F3867" s="0" t="n">
        <f aca="false">-1+C3867*0.125</f>
        <v>-0.625</v>
      </c>
      <c r="G3867" s="0" t="n">
        <f aca="false">1</f>
        <v>1</v>
      </c>
      <c r="H3867" s="0" t="n">
        <f aca="false">D3867</f>
        <v>0.625</v>
      </c>
      <c r="I3867" s="0" t="n">
        <f aca="false">E3867</f>
        <v>-0.25</v>
      </c>
      <c r="J3867" s="0" t="n">
        <f aca="false">F3867</f>
        <v>-0.625</v>
      </c>
      <c r="K3867" s="0" t="n">
        <f aca="false">D3867*E3867</f>
        <v>-0.15625</v>
      </c>
      <c r="L3867" s="0" t="n">
        <f aca="false">D3867*F3867</f>
        <v>-0.390625</v>
      </c>
      <c r="M3867" s="0" t="n">
        <f aca="false">E3867*F3867</f>
        <v>0.15625</v>
      </c>
      <c r="N3867" s="0" t="n">
        <f aca="false">D3867*D3867</f>
        <v>0.390625</v>
      </c>
      <c r="O3867" s="0" t="n">
        <f aca="false">E3867*E3867</f>
        <v>0.0625</v>
      </c>
      <c r="P3867" s="0" t="n">
        <f aca="false">F3867*F3867</f>
        <v>0.390625</v>
      </c>
      <c r="Q3867" s="0" t="n">
        <f aca="false">SUMPRODUCT(G3867:P3867,_XtX!$B$71:$K$71)</f>
        <v>47.0216477272727</v>
      </c>
      <c r="R3867" s="0" t="n">
        <f aca="false">SUMPRODUCT(MMULT(G3867:P3867,_XtX!$B$58:$K$67),G3867:P3867)</f>
        <v>0.208491099964489</v>
      </c>
      <c r="S3867" s="0" t="n">
        <f aca="false">04_回帰ANOVA!$K$19*04_回帰ANOVA!$K$14*SQRT(1+R3867)</f>
        <v>1.02208817610259</v>
      </c>
      <c r="T3867" s="0" t="n">
        <f aca="false">Q3867-S3867</f>
        <v>45.9995595511702</v>
      </c>
      <c r="U3867" s="0" t="n">
        <f aca="false">Q3867+S3867</f>
        <v>48.0437359033753</v>
      </c>
      <c r="V3867" s="54" t="b">
        <f aca="false">AND(D3867&gt;=01_因子設定!$L$5-0.000000001,D3867&lt;=01_因子設定!$M$5+0.000000001,E3867&gt;=01_因子設定!$L$6-0.000000001,E3867&lt;=01_因子設定!$M$6+0.000000001,F3867&gt;=01_因子設定!$L$7-0.000000001,F3867&lt;=01_因子設定!$M$7+0.000000001,IF(01_因子設定!$B$20="Box-Behnken",D3867^2+E3867^2+F3867^2&lt;=2+0.000000001,TRUE()))</f>
        <v>1</v>
      </c>
      <c r="W3867" s="55" t="n">
        <f aca="false">IF(V3867,IF(01_因子設定!$B$13="最大化",T3867-01_因子設定!$B$14,IF(01_因子設定!$B$13="最小化",01_因子設定!$B$15-U3867,MIN(T3867-01_因子設定!$B$14,01_因子設定!$B$15-U3867))),-1E+030)</f>
        <v>-2.50044044882985</v>
      </c>
      <c r="X3867" s="55" t="n">
        <f aca="false">IF(V3867,IF(01_因子設定!$B$13="最大化",Q3867,IF(01_因子設定!$B$13="最小化",-Q3867,-ABS(Q3867-01_因子設定!$B$16))),-1E+030)</f>
        <v>47.0216477272727</v>
      </c>
      <c r="Y3867" s="55" t="n">
        <f aca="false">W3867+ROW()*0.000000001</f>
        <v>-2.50043658182985</v>
      </c>
      <c r="Z3867" s="55" t="n">
        <f aca="false">X3867+ROW()*0.000000001</f>
        <v>47.0216515942727</v>
      </c>
    </row>
    <row r="3868" customFormat="false" ht="15" hidden="false" customHeight="false" outlineLevel="0" collapsed="false">
      <c r="A3868" s="0" t="n">
        <v>13</v>
      </c>
      <c r="B3868" s="0" t="n">
        <v>6</v>
      </c>
      <c r="C3868" s="0" t="n">
        <v>4</v>
      </c>
      <c r="D3868" s="0" t="n">
        <f aca="false">-1+A3868*0.125</f>
        <v>0.625</v>
      </c>
      <c r="E3868" s="0" t="n">
        <f aca="false">-1+B3868*0.125</f>
        <v>-0.25</v>
      </c>
      <c r="F3868" s="0" t="n">
        <f aca="false">-1+C3868*0.125</f>
        <v>-0.5</v>
      </c>
      <c r="G3868" s="0" t="n">
        <f aca="false">1</f>
        <v>1</v>
      </c>
      <c r="H3868" s="0" t="n">
        <f aca="false">D3868</f>
        <v>0.625</v>
      </c>
      <c r="I3868" s="0" t="n">
        <f aca="false">E3868</f>
        <v>-0.25</v>
      </c>
      <c r="J3868" s="0" t="n">
        <f aca="false">F3868</f>
        <v>-0.5</v>
      </c>
      <c r="K3868" s="0" t="n">
        <f aca="false">D3868*E3868</f>
        <v>-0.15625</v>
      </c>
      <c r="L3868" s="0" t="n">
        <f aca="false">D3868*F3868</f>
        <v>-0.3125</v>
      </c>
      <c r="M3868" s="0" t="n">
        <f aca="false">E3868*F3868</f>
        <v>0.125</v>
      </c>
      <c r="N3868" s="0" t="n">
        <f aca="false">D3868*D3868</f>
        <v>0.390625</v>
      </c>
      <c r="O3868" s="0" t="n">
        <f aca="false">E3868*E3868</f>
        <v>0.0625</v>
      </c>
      <c r="P3868" s="0" t="n">
        <f aca="false">F3868*F3868</f>
        <v>0.25</v>
      </c>
      <c r="Q3868" s="0" t="n">
        <f aca="false">SUMPRODUCT(G3868:P3868,_XtX!$B$71:$K$71)</f>
        <v>47.3339204545455</v>
      </c>
      <c r="R3868" s="0" t="n">
        <f aca="false">SUMPRODUCT(MMULT(G3868:P3868,_XtX!$B$58:$K$67),G3868:P3868)</f>
        <v>0.183866743607955</v>
      </c>
      <c r="S3868" s="0" t="n">
        <f aca="false">04_回帰ANOVA!$K$19*04_回帰ANOVA!$K$14*SQRT(1+R3868)</f>
        <v>1.01162148983013</v>
      </c>
      <c r="T3868" s="0" t="n">
        <f aca="false">Q3868-S3868</f>
        <v>46.3222989647153</v>
      </c>
      <c r="U3868" s="0" t="n">
        <f aca="false">Q3868+S3868</f>
        <v>48.3455419443756</v>
      </c>
      <c r="V3868" s="54" t="b">
        <f aca="false">AND(D3868&gt;=01_因子設定!$L$5-0.000000001,D3868&lt;=01_因子設定!$M$5+0.000000001,E3868&gt;=01_因子設定!$L$6-0.000000001,E3868&lt;=01_因子設定!$M$6+0.000000001,F3868&gt;=01_因子設定!$L$7-0.000000001,F3868&lt;=01_因子設定!$M$7+0.000000001,IF(01_因子設定!$B$20="Box-Behnken",D3868^2+E3868^2+F3868^2&lt;=2+0.000000001,TRUE()))</f>
        <v>1</v>
      </c>
      <c r="W3868" s="55" t="n">
        <f aca="false">IF(V3868,IF(01_因子設定!$B$13="最大化",T3868-01_因子設定!$B$14,IF(01_因子設定!$B$13="最小化",01_因子設定!$B$15-U3868,MIN(T3868-01_因子設定!$B$14,01_因子設定!$B$15-U3868))),-1E+030)</f>
        <v>-2.17770103528467</v>
      </c>
      <c r="X3868" s="55" t="n">
        <f aca="false">IF(V3868,IF(01_因子設定!$B$13="最大化",Q3868,IF(01_因子設定!$B$13="最小化",-Q3868,-ABS(Q3868-01_因子設定!$B$16))),-1E+030)</f>
        <v>47.3339204545455</v>
      </c>
      <c r="Y3868" s="55" t="n">
        <f aca="false">W3868+ROW()*0.000000001</f>
        <v>-2.17769716728467</v>
      </c>
      <c r="Z3868" s="55" t="n">
        <f aca="false">X3868+ROW()*0.000000001</f>
        <v>47.3339243225455</v>
      </c>
    </row>
    <row r="3869" customFormat="false" ht="15" hidden="false" customHeight="false" outlineLevel="0" collapsed="false">
      <c r="A3869" s="0" t="n">
        <v>13</v>
      </c>
      <c r="B3869" s="0" t="n">
        <v>6</v>
      </c>
      <c r="C3869" s="0" t="n">
        <v>5</v>
      </c>
      <c r="D3869" s="0" t="n">
        <f aca="false">-1+A3869*0.125</f>
        <v>0.625</v>
      </c>
      <c r="E3869" s="0" t="n">
        <f aca="false">-1+B3869*0.125</f>
        <v>-0.25</v>
      </c>
      <c r="F3869" s="0" t="n">
        <f aca="false">-1+C3869*0.125</f>
        <v>-0.375</v>
      </c>
      <c r="G3869" s="0" t="n">
        <f aca="false">1</f>
        <v>1</v>
      </c>
      <c r="H3869" s="0" t="n">
        <f aca="false">D3869</f>
        <v>0.625</v>
      </c>
      <c r="I3869" s="0" t="n">
        <f aca="false">E3869</f>
        <v>-0.25</v>
      </c>
      <c r="J3869" s="0" t="n">
        <f aca="false">F3869</f>
        <v>-0.375</v>
      </c>
      <c r="K3869" s="0" t="n">
        <f aca="false">D3869*E3869</f>
        <v>-0.15625</v>
      </c>
      <c r="L3869" s="0" t="n">
        <f aca="false">D3869*F3869</f>
        <v>-0.234375</v>
      </c>
      <c r="M3869" s="0" t="n">
        <f aca="false">E3869*F3869</f>
        <v>0.09375</v>
      </c>
      <c r="N3869" s="0" t="n">
        <f aca="false">D3869*D3869</f>
        <v>0.390625</v>
      </c>
      <c r="O3869" s="0" t="n">
        <f aca="false">E3869*E3869</f>
        <v>0.0625</v>
      </c>
      <c r="P3869" s="0" t="n">
        <f aca="false">F3869*F3869</f>
        <v>0.140625</v>
      </c>
      <c r="Q3869" s="0" t="n">
        <f aca="false">SUMPRODUCT(G3869:P3869,_XtX!$B$71:$K$71)</f>
        <v>47.6094034090909</v>
      </c>
      <c r="R3869" s="0" t="n">
        <f aca="false">SUMPRODUCT(MMULT(G3869:P3869,_XtX!$B$58:$K$67),G3869:P3869)</f>
        <v>0.174657648259943</v>
      </c>
      <c r="S3869" s="0" t="n">
        <f aca="false">04_回帰ANOVA!$K$19*04_回帰ANOVA!$K$14*SQRT(1+R3869)</f>
        <v>1.00767919364845</v>
      </c>
      <c r="T3869" s="0" t="n">
        <f aca="false">Q3869-S3869</f>
        <v>46.6017242154425</v>
      </c>
      <c r="U3869" s="0" t="n">
        <f aca="false">Q3869+S3869</f>
        <v>48.6170826027394</v>
      </c>
      <c r="V3869" s="54" t="b">
        <f aca="false">AND(D3869&gt;=01_因子設定!$L$5-0.000000001,D3869&lt;=01_因子設定!$M$5+0.000000001,E3869&gt;=01_因子設定!$L$6-0.000000001,E3869&lt;=01_因子設定!$M$6+0.000000001,F3869&gt;=01_因子設定!$L$7-0.000000001,F3869&lt;=01_因子設定!$M$7+0.000000001,IF(01_因子設定!$B$20="Box-Behnken",D3869^2+E3869^2+F3869^2&lt;=2+0.000000001,TRUE()))</f>
        <v>1</v>
      </c>
      <c r="W3869" s="55" t="n">
        <f aca="false">IF(V3869,IF(01_因子設定!$B$13="最大化",T3869-01_因子設定!$B$14,IF(01_因子設定!$B$13="最小化",01_因子設定!$B$15-U3869,MIN(T3869-01_因子設定!$B$14,01_因子設定!$B$15-U3869))),-1E+030)</f>
        <v>-1.89827578455753</v>
      </c>
      <c r="X3869" s="55" t="n">
        <f aca="false">IF(V3869,IF(01_因子設定!$B$13="最大化",Q3869,IF(01_因子設定!$B$13="最小化",-Q3869,-ABS(Q3869-01_因子設定!$B$16))),-1E+030)</f>
        <v>47.6094034090909</v>
      </c>
      <c r="Y3869" s="55" t="n">
        <f aca="false">W3869+ROW()*0.000000001</f>
        <v>-1.89827191555753</v>
      </c>
      <c r="Z3869" s="55" t="n">
        <f aca="false">X3869+ROW()*0.000000001</f>
        <v>47.6094072780909</v>
      </c>
    </row>
    <row r="3870" customFormat="false" ht="15" hidden="false" customHeight="false" outlineLevel="0" collapsed="false">
      <c r="A3870" s="0" t="n">
        <v>13</v>
      </c>
      <c r="B3870" s="0" t="n">
        <v>6</v>
      </c>
      <c r="C3870" s="0" t="n">
        <v>6</v>
      </c>
      <c r="D3870" s="0" t="n">
        <f aca="false">-1+A3870*0.125</f>
        <v>0.625</v>
      </c>
      <c r="E3870" s="0" t="n">
        <f aca="false">-1+B3870*0.125</f>
        <v>-0.25</v>
      </c>
      <c r="F3870" s="0" t="n">
        <f aca="false">-1+C3870*0.125</f>
        <v>-0.25</v>
      </c>
      <c r="G3870" s="0" t="n">
        <f aca="false">1</f>
        <v>1</v>
      </c>
      <c r="H3870" s="0" t="n">
        <f aca="false">D3870</f>
        <v>0.625</v>
      </c>
      <c r="I3870" s="0" t="n">
        <f aca="false">E3870</f>
        <v>-0.25</v>
      </c>
      <c r="J3870" s="0" t="n">
        <f aca="false">F3870</f>
        <v>-0.25</v>
      </c>
      <c r="K3870" s="0" t="n">
        <f aca="false">D3870*E3870</f>
        <v>-0.15625</v>
      </c>
      <c r="L3870" s="0" t="n">
        <f aca="false">D3870*F3870</f>
        <v>-0.15625</v>
      </c>
      <c r="M3870" s="0" t="n">
        <f aca="false">E3870*F3870</f>
        <v>0.0625</v>
      </c>
      <c r="N3870" s="0" t="n">
        <f aca="false">D3870*D3870</f>
        <v>0.390625</v>
      </c>
      <c r="O3870" s="0" t="n">
        <f aca="false">E3870*E3870</f>
        <v>0.0625</v>
      </c>
      <c r="P3870" s="0" t="n">
        <f aca="false">F3870*F3870</f>
        <v>0.0625</v>
      </c>
      <c r="Q3870" s="0" t="n">
        <f aca="false">SUMPRODUCT(G3870:P3870,_XtX!$B$71:$K$71)</f>
        <v>47.8480965909091</v>
      </c>
      <c r="R3870" s="0" t="n">
        <f aca="false">SUMPRODUCT(MMULT(G3870:P3870,_XtX!$B$58:$K$67),G3870:P3870)</f>
        <v>0.173406427556818</v>
      </c>
      <c r="S3870" s="0" t="n">
        <f aca="false">04_回帰ANOVA!$K$19*04_回帰ANOVA!$K$14*SQRT(1+R3870)</f>
        <v>1.00714237128059</v>
      </c>
      <c r="T3870" s="0" t="n">
        <f aca="false">Q3870-S3870</f>
        <v>46.8409542196285</v>
      </c>
      <c r="U3870" s="0" t="n">
        <f aca="false">Q3870+S3870</f>
        <v>48.8552389621897</v>
      </c>
      <c r="V3870" s="54" t="b">
        <f aca="false">AND(D3870&gt;=01_因子設定!$L$5-0.000000001,D3870&lt;=01_因子設定!$M$5+0.000000001,E3870&gt;=01_因子設定!$L$6-0.000000001,E3870&lt;=01_因子設定!$M$6+0.000000001,F3870&gt;=01_因子設定!$L$7-0.000000001,F3870&lt;=01_因子設定!$M$7+0.000000001,IF(01_因子設定!$B$20="Box-Behnken",D3870^2+E3870^2+F3870^2&lt;=2+0.000000001,TRUE()))</f>
        <v>1</v>
      </c>
      <c r="W3870" s="55" t="n">
        <f aca="false">IF(V3870,IF(01_因子設定!$B$13="最大化",T3870-01_因子設定!$B$14,IF(01_因子設定!$B$13="最小化",01_因子設定!$B$15-U3870,MIN(T3870-01_因子設定!$B$14,01_因子設定!$B$15-U3870))),-1E+030)</f>
        <v>-1.6590457803715</v>
      </c>
      <c r="X3870" s="55" t="n">
        <f aca="false">IF(V3870,IF(01_因子設定!$B$13="最大化",Q3870,IF(01_因子設定!$B$13="最小化",-Q3870,-ABS(Q3870-01_因子設定!$B$16))),-1E+030)</f>
        <v>47.8480965909091</v>
      </c>
      <c r="Y3870" s="55" t="n">
        <f aca="false">W3870+ROW()*0.000000001</f>
        <v>-1.6590419103715</v>
      </c>
      <c r="Z3870" s="55" t="n">
        <f aca="false">X3870+ROW()*0.000000001</f>
        <v>47.8481004609091</v>
      </c>
    </row>
    <row r="3871" customFormat="false" ht="15" hidden="false" customHeight="false" outlineLevel="0" collapsed="false">
      <c r="A3871" s="0" t="n">
        <v>13</v>
      </c>
      <c r="B3871" s="0" t="n">
        <v>6</v>
      </c>
      <c r="C3871" s="0" t="n">
        <v>7</v>
      </c>
      <c r="D3871" s="0" t="n">
        <f aca="false">-1+A3871*0.125</f>
        <v>0.625</v>
      </c>
      <c r="E3871" s="0" t="n">
        <f aca="false">-1+B3871*0.125</f>
        <v>-0.25</v>
      </c>
      <c r="F3871" s="0" t="n">
        <f aca="false">-1+C3871*0.125</f>
        <v>-0.125</v>
      </c>
      <c r="G3871" s="0" t="n">
        <f aca="false">1</f>
        <v>1</v>
      </c>
      <c r="H3871" s="0" t="n">
        <f aca="false">D3871</f>
        <v>0.625</v>
      </c>
      <c r="I3871" s="0" t="n">
        <f aca="false">E3871</f>
        <v>-0.25</v>
      </c>
      <c r="J3871" s="0" t="n">
        <f aca="false">F3871</f>
        <v>-0.125</v>
      </c>
      <c r="K3871" s="0" t="n">
        <f aca="false">D3871*E3871</f>
        <v>-0.15625</v>
      </c>
      <c r="L3871" s="0" t="n">
        <f aca="false">D3871*F3871</f>
        <v>-0.078125</v>
      </c>
      <c r="M3871" s="0" t="n">
        <f aca="false">E3871*F3871</f>
        <v>0.03125</v>
      </c>
      <c r="N3871" s="0" t="n">
        <f aca="false">D3871*D3871</f>
        <v>0.390625</v>
      </c>
      <c r="O3871" s="0" t="n">
        <f aca="false">E3871*E3871</f>
        <v>0.0625</v>
      </c>
      <c r="P3871" s="0" t="n">
        <f aca="false">F3871*F3871</f>
        <v>0.015625</v>
      </c>
      <c r="Q3871" s="0" t="n">
        <f aca="false">SUMPRODUCT(G3871:P3871,_XtX!$B$71:$K$71)</f>
        <v>48.05</v>
      </c>
      <c r="R3871" s="0" t="n">
        <f aca="false">SUMPRODUCT(MMULT(G3871:P3871,_XtX!$B$58:$K$67),G3871:P3871)</f>
        <v>0.174786376953125</v>
      </c>
      <c r="S3871" s="0" t="n">
        <f aca="false">04_回帰ANOVA!$K$19*04_回帰ANOVA!$K$14*SQRT(1+R3871)</f>
        <v>1.00773440704286</v>
      </c>
      <c r="T3871" s="0" t="n">
        <f aca="false">Q3871-S3871</f>
        <v>47.0422655929571</v>
      </c>
      <c r="U3871" s="0" t="n">
        <f aca="false">Q3871+S3871</f>
        <v>49.0577344070429</v>
      </c>
      <c r="V3871" s="54" t="b">
        <f aca="false">AND(D3871&gt;=01_因子設定!$L$5-0.000000001,D3871&lt;=01_因子設定!$M$5+0.000000001,E3871&gt;=01_因子設定!$L$6-0.000000001,E3871&lt;=01_因子設定!$M$6+0.000000001,F3871&gt;=01_因子設定!$L$7-0.000000001,F3871&lt;=01_因子設定!$M$7+0.000000001,IF(01_因子設定!$B$20="Box-Behnken",D3871^2+E3871^2+F3871^2&lt;=2+0.000000001,TRUE()))</f>
        <v>1</v>
      </c>
      <c r="W3871" s="55" t="n">
        <f aca="false">IF(V3871,IF(01_因子設定!$B$13="最大化",T3871-01_因子設定!$B$14,IF(01_因子設定!$B$13="最小化",01_因子設定!$B$15-U3871,MIN(T3871-01_因子設定!$B$14,01_因子設定!$B$15-U3871))),-1E+030)</f>
        <v>-1.45773440704286</v>
      </c>
      <c r="X3871" s="55" t="n">
        <f aca="false">IF(V3871,IF(01_因子設定!$B$13="最大化",Q3871,IF(01_因子設定!$B$13="最小化",-Q3871,-ABS(Q3871-01_因子設定!$B$16))),-1E+030)</f>
        <v>48.05</v>
      </c>
      <c r="Y3871" s="55" t="n">
        <f aca="false">W3871+ROW()*0.000000001</f>
        <v>-1.45773053604286</v>
      </c>
      <c r="Z3871" s="55" t="n">
        <f aca="false">X3871+ROW()*0.000000001</f>
        <v>48.050003871</v>
      </c>
    </row>
    <row r="3872" customFormat="false" ht="15" hidden="false" customHeight="false" outlineLevel="0" collapsed="false">
      <c r="A3872" s="0" t="n">
        <v>13</v>
      </c>
      <c r="B3872" s="0" t="n">
        <v>6</v>
      </c>
      <c r="C3872" s="0" t="n">
        <v>8</v>
      </c>
      <c r="D3872" s="0" t="n">
        <f aca="false">-1+A3872*0.125</f>
        <v>0.625</v>
      </c>
      <c r="E3872" s="0" t="n">
        <f aca="false">-1+B3872*0.125</f>
        <v>-0.25</v>
      </c>
      <c r="F3872" s="0" t="n">
        <f aca="false">-1+C3872*0.125</f>
        <v>0</v>
      </c>
      <c r="G3872" s="0" t="n">
        <f aca="false">1</f>
        <v>1</v>
      </c>
      <c r="H3872" s="0" t="n">
        <f aca="false">D3872</f>
        <v>0.625</v>
      </c>
      <c r="I3872" s="0" t="n">
        <f aca="false">E3872</f>
        <v>-0.25</v>
      </c>
      <c r="J3872" s="0" t="n">
        <f aca="false">F3872</f>
        <v>0</v>
      </c>
      <c r="K3872" s="0" t="n">
        <f aca="false">D3872*E3872</f>
        <v>-0.15625</v>
      </c>
      <c r="L3872" s="0" t="n">
        <f aca="false">D3872*F3872</f>
        <v>0</v>
      </c>
      <c r="M3872" s="0" t="n">
        <f aca="false">E3872*F3872</f>
        <v>-0</v>
      </c>
      <c r="N3872" s="0" t="n">
        <f aca="false">D3872*D3872</f>
        <v>0.390625</v>
      </c>
      <c r="O3872" s="0" t="n">
        <f aca="false">E3872*E3872</f>
        <v>0.0625</v>
      </c>
      <c r="P3872" s="0" t="n">
        <f aca="false">F3872*F3872</f>
        <v>0</v>
      </c>
      <c r="Q3872" s="0" t="n">
        <f aca="false">SUMPRODUCT(G3872:P3872,_XtX!$B$71:$K$71)</f>
        <v>48.2151136363636</v>
      </c>
      <c r="R3872" s="0" t="n">
        <f aca="false">SUMPRODUCT(MMULT(G3872:P3872,_XtX!$B$58:$K$67),G3872:P3872)</f>
        <v>0.175601473721591</v>
      </c>
      <c r="S3872" s="0" t="n">
        <f aca="false">04_回帰ANOVA!$K$19*04_回帰ANOVA!$K$14*SQRT(1+R3872)</f>
        <v>1.00808394234856</v>
      </c>
      <c r="T3872" s="0" t="n">
        <f aca="false">Q3872-S3872</f>
        <v>47.2070296940151</v>
      </c>
      <c r="U3872" s="0" t="n">
        <f aca="false">Q3872+S3872</f>
        <v>49.2231975787122</v>
      </c>
      <c r="V3872" s="54" t="b">
        <f aca="false">AND(D3872&gt;=01_因子設定!$L$5-0.000000001,D3872&lt;=01_因子設定!$M$5+0.000000001,E3872&gt;=01_因子設定!$L$6-0.000000001,E3872&lt;=01_因子設定!$M$6+0.000000001,F3872&gt;=01_因子設定!$L$7-0.000000001,F3872&lt;=01_因子設定!$M$7+0.000000001,IF(01_因子設定!$B$20="Box-Behnken",D3872^2+E3872^2+F3872^2&lt;=2+0.000000001,TRUE()))</f>
        <v>1</v>
      </c>
      <c r="W3872" s="55" t="n">
        <f aca="false">IF(V3872,IF(01_因子設定!$B$13="最大化",T3872-01_因子設定!$B$14,IF(01_因子設定!$B$13="最小化",01_因子設定!$B$15-U3872,MIN(T3872-01_因子設定!$B$14,01_因子設定!$B$15-U3872))),-1E+030)</f>
        <v>-1.29297030598492</v>
      </c>
      <c r="X3872" s="55" t="n">
        <f aca="false">IF(V3872,IF(01_因子設定!$B$13="最大化",Q3872,IF(01_因子設定!$B$13="最小化",-Q3872,-ABS(Q3872-01_因子設定!$B$16))),-1E+030)</f>
        <v>48.2151136363636</v>
      </c>
      <c r="Y3872" s="55" t="n">
        <f aca="false">W3872+ROW()*0.000000001</f>
        <v>-1.29296643398492</v>
      </c>
      <c r="Z3872" s="55" t="n">
        <f aca="false">X3872+ROW()*0.000000001</f>
        <v>48.2151175083636</v>
      </c>
    </row>
    <row r="3873" customFormat="false" ht="15" hidden="false" customHeight="false" outlineLevel="0" collapsed="false">
      <c r="A3873" s="0" t="n">
        <v>13</v>
      </c>
      <c r="B3873" s="0" t="n">
        <v>6</v>
      </c>
      <c r="C3873" s="0" t="n">
        <v>9</v>
      </c>
      <c r="D3873" s="0" t="n">
        <f aca="false">-1+A3873*0.125</f>
        <v>0.625</v>
      </c>
      <c r="E3873" s="0" t="n">
        <f aca="false">-1+B3873*0.125</f>
        <v>-0.25</v>
      </c>
      <c r="F3873" s="0" t="n">
        <f aca="false">-1+C3873*0.125</f>
        <v>0.125</v>
      </c>
      <c r="G3873" s="0" t="n">
        <f aca="false">1</f>
        <v>1</v>
      </c>
      <c r="H3873" s="0" t="n">
        <f aca="false">D3873</f>
        <v>0.625</v>
      </c>
      <c r="I3873" s="0" t="n">
        <f aca="false">E3873</f>
        <v>-0.25</v>
      </c>
      <c r="J3873" s="0" t="n">
        <f aca="false">F3873</f>
        <v>0.125</v>
      </c>
      <c r="K3873" s="0" t="n">
        <f aca="false">D3873*E3873</f>
        <v>-0.15625</v>
      </c>
      <c r="L3873" s="0" t="n">
        <f aca="false">D3873*F3873</f>
        <v>0.078125</v>
      </c>
      <c r="M3873" s="0" t="n">
        <f aca="false">E3873*F3873</f>
        <v>-0.03125</v>
      </c>
      <c r="N3873" s="0" t="n">
        <f aca="false">D3873*D3873</f>
        <v>0.390625</v>
      </c>
      <c r="O3873" s="0" t="n">
        <f aca="false">E3873*E3873</f>
        <v>0.0625</v>
      </c>
      <c r="P3873" s="0" t="n">
        <f aca="false">F3873*F3873</f>
        <v>0.015625</v>
      </c>
      <c r="Q3873" s="0" t="n">
        <f aca="false">SUMPRODUCT(G3873:P3873,_XtX!$B$71:$K$71)</f>
        <v>48.3434375</v>
      </c>
      <c r="R3873" s="0" t="n">
        <f aca="false">SUMPRODUCT(MMULT(G3873:P3873,_XtX!$B$58:$K$67),G3873:P3873)</f>
        <v>0.174786376953125</v>
      </c>
      <c r="S3873" s="0" t="n">
        <f aca="false">04_回帰ANOVA!$K$19*04_回帰ANOVA!$K$14*SQRT(1+R3873)</f>
        <v>1.00773440704286</v>
      </c>
      <c r="T3873" s="0" t="n">
        <f aca="false">Q3873-S3873</f>
        <v>47.3357030929571</v>
      </c>
      <c r="U3873" s="0" t="n">
        <f aca="false">Q3873+S3873</f>
        <v>49.3511719070429</v>
      </c>
      <c r="V3873" s="54" t="b">
        <f aca="false">AND(D3873&gt;=01_因子設定!$L$5-0.000000001,D3873&lt;=01_因子設定!$M$5+0.000000001,E3873&gt;=01_因子設定!$L$6-0.000000001,E3873&lt;=01_因子設定!$M$6+0.000000001,F3873&gt;=01_因子設定!$L$7-0.000000001,F3873&lt;=01_因子設定!$M$7+0.000000001,IF(01_因子設定!$B$20="Box-Behnken",D3873^2+E3873^2+F3873^2&lt;=2+0.000000001,TRUE()))</f>
        <v>1</v>
      </c>
      <c r="W3873" s="55" t="n">
        <f aca="false">IF(V3873,IF(01_因子設定!$B$13="最大化",T3873-01_因子設定!$B$14,IF(01_因子設定!$B$13="最小化",01_因子設定!$B$15-U3873,MIN(T3873-01_因子設定!$B$14,01_因子設定!$B$15-U3873))),-1E+030)</f>
        <v>-1.16429690704286</v>
      </c>
      <c r="X3873" s="55" t="n">
        <f aca="false">IF(V3873,IF(01_因子設定!$B$13="最大化",Q3873,IF(01_因子設定!$B$13="最小化",-Q3873,-ABS(Q3873-01_因子設定!$B$16))),-1E+030)</f>
        <v>48.3434375</v>
      </c>
      <c r="Y3873" s="55" t="n">
        <f aca="false">W3873+ROW()*0.000000001</f>
        <v>-1.16429303404286</v>
      </c>
      <c r="Z3873" s="55" t="n">
        <f aca="false">X3873+ROW()*0.000000001</f>
        <v>48.343441373</v>
      </c>
    </row>
    <row r="3874" customFormat="false" ht="15" hidden="false" customHeight="false" outlineLevel="0" collapsed="false">
      <c r="A3874" s="0" t="n">
        <v>13</v>
      </c>
      <c r="B3874" s="0" t="n">
        <v>6</v>
      </c>
      <c r="C3874" s="0" t="n">
        <v>10</v>
      </c>
      <c r="D3874" s="0" t="n">
        <f aca="false">-1+A3874*0.125</f>
        <v>0.625</v>
      </c>
      <c r="E3874" s="0" t="n">
        <f aca="false">-1+B3874*0.125</f>
        <v>-0.25</v>
      </c>
      <c r="F3874" s="0" t="n">
        <f aca="false">-1+C3874*0.125</f>
        <v>0.25</v>
      </c>
      <c r="G3874" s="0" t="n">
        <f aca="false">1</f>
        <v>1</v>
      </c>
      <c r="H3874" s="0" t="n">
        <f aca="false">D3874</f>
        <v>0.625</v>
      </c>
      <c r="I3874" s="0" t="n">
        <f aca="false">E3874</f>
        <v>-0.25</v>
      </c>
      <c r="J3874" s="0" t="n">
        <f aca="false">F3874</f>
        <v>0.25</v>
      </c>
      <c r="K3874" s="0" t="n">
        <f aca="false">D3874*E3874</f>
        <v>-0.15625</v>
      </c>
      <c r="L3874" s="0" t="n">
        <f aca="false">D3874*F3874</f>
        <v>0.15625</v>
      </c>
      <c r="M3874" s="0" t="n">
        <f aca="false">E3874*F3874</f>
        <v>-0.0625</v>
      </c>
      <c r="N3874" s="0" t="n">
        <f aca="false">D3874*D3874</f>
        <v>0.390625</v>
      </c>
      <c r="O3874" s="0" t="n">
        <f aca="false">E3874*E3874</f>
        <v>0.0625</v>
      </c>
      <c r="P3874" s="0" t="n">
        <f aca="false">F3874*F3874</f>
        <v>0.0625</v>
      </c>
      <c r="Q3874" s="0" t="n">
        <f aca="false">SUMPRODUCT(G3874:P3874,_XtX!$B$71:$K$71)</f>
        <v>48.4349715909091</v>
      </c>
      <c r="R3874" s="0" t="n">
        <f aca="false">SUMPRODUCT(MMULT(G3874:P3874,_XtX!$B$58:$K$67),G3874:P3874)</f>
        <v>0.173406427556818</v>
      </c>
      <c r="S3874" s="0" t="n">
        <f aca="false">04_回帰ANOVA!$K$19*04_回帰ANOVA!$K$14*SQRT(1+R3874)</f>
        <v>1.00714237128059</v>
      </c>
      <c r="T3874" s="0" t="n">
        <f aca="false">Q3874-S3874</f>
        <v>47.4278292196285</v>
      </c>
      <c r="U3874" s="0" t="n">
        <f aca="false">Q3874+S3874</f>
        <v>49.4421139621897</v>
      </c>
      <c r="V3874" s="54" t="b">
        <f aca="false">AND(D3874&gt;=01_因子設定!$L$5-0.000000001,D3874&lt;=01_因子設定!$M$5+0.000000001,E3874&gt;=01_因子設定!$L$6-0.000000001,E3874&lt;=01_因子設定!$M$6+0.000000001,F3874&gt;=01_因子設定!$L$7-0.000000001,F3874&lt;=01_因子設定!$M$7+0.000000001,IF(01_因子設定!$B$20="Box-Behnken",D3874^2+E3874^2+F3874^2&lt;=2+0.000000001,TRUE()))</f>
        <v>1</v>
      </c>
      <c r="W3874" s="55" t="n">
        <f aca="false">IF(V3874,IF(01_因子設定!$B$13="最大化",T3874-01_因子設定!$B$14,IF(01_因子設定!$B$13="最小化",01_因子設定!$B$15-U3874,MIN(T3874-01_因子設定!$B$14,01_因子設定!$B$15-U3874))),-1E+030)</f>
        <v>-1.0721707803715</v>
      </c>
      <c r="X3874" s="55" t="n">
        <f aca="false">IF(V3874,IF(01_因子設定!$B$13="最大化",Q3874,IF(01_因子設定!$B$13="最小化",-Q3874,-ABS(Q3874-01_因子設定!$B$16))),-1E+030)</f>
        <v>48.4349715909091</v>
      </c>
      <c r="Y3874" s="55" t="n">
        <f aca="false">W3874+ROW()*0.000000001</f>
        <v>-1.0721669063715</v>
      </c>
      <c r="Z3874" s="55" t="n">
        <f aca="false">X3874+ROW()*0.000000001</f>
        <v>48.4349754649091</v>
      </c>
    </row>
    <row r="3875" customFormat="false" ht="15" hidden="false" customHeight="false" outlineLevel="0" collapsed="false">
      <c r="A3875" s="0" t="n">
        <v>13</v>
      </c>
      <c r="B3875" s="0" t="n">
        <v>6</v>
      </c>
      <c r="C3875" s="0" t="n">
        <v>11</v>
      </c>
      <c r="D3875" s="0" t="n">
        <f aca="false">-1+A3875*0.125</f>
        <v>0.625</v>
      </c>
      <c r="E3875" s="0" t="n">
        <f aca="false">-1+B3875*0.125</f>
        <v>-0.25</v>
      </c>
      <c r="F3875" s="0" t="n">
        <f aca="false">-1+C3875*0.125</f>
        <v>0.375</v>
      </c>
      <c r="G3875" s="0" t="n">
        <f aca="false">1</f>
        <v>1</v>
      </c>
      <c r="H3875" s="0" t="n">
        <f aca="false">D3875</f>
        <v>0.625</v>
      </c>
      <c r="I3875" s="0" t="n">
        <f aca="false">E3875</f>
        <v>-0.25</v>
      </c>
      <c r="J3875" s="0" t="n">
        <f aca="false">F3875</f>
        <v>0.375</v>
      </c>
      <c r="K3875" s="0" t="n">
        <f aca="false">D3875*E3875</f>
        <v>-0.15625</v>
      </c>
      <c r="L3875" s="0" t="n">
        <f aca="false">D3875*F3875</f>
        <v>0.234375</v>
      </c>
      <c r="M3875" s="0" t="n">
        <f aca="false">E3875*F3875</f>
        <v>-0.09375</v>
      </c>
      <c r="N3875" s="0" t="n">
        <f aca="false">D3875*D3875</f>
        <v>0.390625</v>
      </c>
      <c r="O3875" s="0" t="n">
        <f aca="false">E3875*E3875</f>
        <v>0.0625</v>
      </c>
      <c r="P3875" s="0" t="n">
        <f aca="false">F3875*F3875</f>
        <v>0.140625</v>
      </c>
      <c r="Q3875" s="0" t="n">
        <f aca="false">SUMPRODUCT(G3875:P3875,_XtX!$B$71:$K$71)</f>
        <v>48.4897159090909</v>
      </c>
      <c r="R3875" s="0" t="n">
        <f aca="false">SUMPRODUCT(MMULT(G3875:P3875,_XtX!$B$58:$K$67),G3875:P3875)</f>
        <v>0.174657648259943</v>
      </c>
      <c r="S3875" s="0" t="n">
        <f aca="false">04_回帰ANOVA!$K$19*04_回帰ANOVA!$K$14*SQRT(1+R3875)</f>
        <v>1.00767919364845</v>
      </c>
      <c r="T3875" s="0" t="n">
        <f aca="false">Q3875-S3875</f>
        <v>47.4820367154425</v>
      </c>
      <c r="U3875" s="0" t="n">
        <f aca="false">Q3875+S3875</f>
        <v>49.4973951027394</v>
      </c>
      <c r="V3875" s="54" t="b">
        <f aca="false">AND(D3875&gt;=01_因子設定!$L$5-0.000000001,D3875&lt;=01_因子設定!$M$5+0.000000001,E3875&gt;=01_因子設定!$L$6-0.000000001,E3875&lt;=01_因子設定!$M$6+0.000000001,F3875&gt;=01_因子設定!$L$7-0.000000001,F3875&lt;=01_因子設定!$M$7+0.000000001,IF(01_因子設定!$B$20="Box-Behnken",D3875^2+E3875^2+F3875^2&lt;=2+0.000000001,TRUE()))</f>
        <v>1</v>
      </c>
      <c r="W3875" s="55" t="n">
        <f aca="false">IF(V3875,IF(01_因子設定!$B$13="最大化",T3875-01_因子設定!$B$14,IF(01_因子設定!$B$13="最小化",01_因子設定!$B$15-U3875,MIN(T3875-01_因子設定!$B$14,01_因子設定!$B$15-U3875))),-1E+030)</f>
        <v>-1.01796328455753</v>
      </c>
      <c r="X3875" s="55" t="n">
        <f aca="false">IF(V3875,IF(01_因子設定!$B$13="最大化",Q3875,IF(01_因子設定!$B$13="最小化",-Q3875,-ABS(Q3875-01_因子設定!$B$16))),-1E+030)</f>
        <v>48.4897159090909</v>
      </c>
      <c r="Y3875" s="55" t="n">
        <f aca="false">W3875+ROW()*0.000000001</f>
        <v>-1.01795940955753</v>
      </c>
      <c r="Z3875" s="55" t="n">
        <f aca="false">X3875+ROW()*0.000000001</f>
        <v>48.4897197840909</v>
      </c>
    </row>
    <row r="3876" customFormat="false" ht="15" hidden="false" customHeight="false" outlineLevel="0" collapsed="false">
      <c r="A3876" s="0" t="n">
        <v>13</v>
      </c>
      <c r="B3876" s="0" t="n">
        <v>6</v>
      </c>
      <c r="C3876" s="0" t="n">
        <v>12</v>
      </c>
      <c r="D3876" s="0" t="n">
        <f aca="false">-1+A3876*0.125</f>
        <v>0.625</v>
      </c>
      <c r="E3876" s="0" t="n">
        <f aca="false">-1+B3876*0.125</f>
        <v>-0.25</v>
      </c>
      <c r="F3876" s="0" t="n">
        <f aca="false">-1+C3876*0.125</f>
        <v>0.5</v>
      </c>
      <c r="G3876" s="0" t="n">
        <f aca="false">1</f>
        <v>1</v>
      </c>
      <c r="H3876" s="0" t="n">
        <f aca="false">D3876</f>
        <v>0.625</v>
      </c>
      <c r="I3876" s="0" t="n">
        <f aca="false">E3876</f>
        <v>-0.25</v>
      </c>
      <c r="J3876" s="0" t="n">
        <f aca="false">F3876</f>
        <v>0.5</v>
      </c>
      <c r="K3876" s="0" t="n">
        <f aca="false">D3876*E3876</f>
        <v>-0.15625</v>
      </c>
      <c r="L3876" s="0" t="n">
        <f aca="false">D3876*F3876</f>
        <v>0.3125</v>
      </c>
      <c r="M3876" s="0" t="n">
        <f aca="false">E3876*F3876</f>
        <v>-0.125</v>
      </c>
      <c r="N3876" s="0" t="n">
        <f aca="false">D3876*D3876</f>
        <v>0.390625</v>
      </c>
      <c r="O3876" s="0" t="n">
        <f aca="false">E3876*E3876</f>
        <v>0.0625</v>
      </c>
      <c r="P3876" s="0" t="n">
        <f aca="false">F3876*F3876</f>
        <v>0.25</v>
      </c>
      <c r="Q3876" s="0" t="n">
        <f aca="false">SUMPRODUCT(G3876:P3876,_XtX!$B$71:$K$71)</f>
        <v>48.5076704545455</v>
      </c>
      <c r="R3876" s="0" t="n">
        <f aca="false">SUMPRODUCT(MMULT(G3876:P3876,_XtX!$B$58:$K$67),G3876:P3876)</f>
        <v>0.183866743607955</v>
      </c>
      <c r="S3876" s="0" t="n">
        <f aca="false">04_回帰ANOVA!$K$19*04_回帰ANOVA!$K$14*SQRT(1+R3876)</f>
        <v>1.01162148983013</v>
      </c>
      <c r="T3876" s="0" t="n">
        <f aca="false">Q3876-S3876</f>
        <v>47.4960489647153</v>
      </c>
      <c r="U3876" s="0" t="n">
        <f aca="false">Q3876+S3876</f>
        <v>49.5192919443756</v>
      </c>
      <c r="V3876" s="54" t="b">
        <f aca="false">AND(D3876&gt;=01_因子設定!$L$5-0.000000001,D3876&lt;=01_因子設定!$M$5+0.000000001,E3876&gt;=01_因子設定!$L$6-0.000000001,E3876&lt;=01_因子設定!$M$6+0.000000001,F3876&gt;=01_因子設定!$L$7-0.000000001,F3876&lt;=01_因子設定!$M$7+0.000000001,IF(01_因子設定!$B$20="Box-Behnken",D3876^2+E3876^2+F3876^2&lt;=2+0.000000001,TRUE()))</f>
        <v>1</v>
      </c>
      <c r="W3876" s="55" t="n">
        <f aca="false">IF(V3876,IF(01_因子設定!$B$13="最大化",T3876-01_因子設定!$B$14,IF(01_因子設定!$B$13="最小化",01_因子設定!$B$15-U3876,MIN(T3876-01_因子設定!$B$14,01_因子設定!$B$15-U3876))),-1E+030)</f>
        <v>-1.00395103528467</v>
      </c>
      <c r="X3876" s="55" t="n">
        <f aca="false">IF(V3876,IF(01_因子設定!$B$13="最大化",Q3876,IF(01_因子設定!$B$13="最小化",-Q3876,-ABS(Q3876-01_因子設定!$B$16))),-1E+030)</f>
        <v>48.5076704545455</v>
      </c>
      <c r="Y3876" s="55" t="n">
        <f aca="false">W3876+ROW()*0.000000001</f>
        <v>-1.00394715928467</v>
      </c>
      <c r="Z3876" s="55" t="n">
        <f aca="false">X3876+ROW()*0.000000001</f>
        <v>48.5076743305455</v>
      </c>
    </row>
    <row r="3877" customFormat="false" ht="15" hidden="false" customHeight="false" outlineLevel="0" collapsed="false">
      <c r="A3877" s="0" t="n">
        <v>13</v>
      </c>
      <c r="B3877" s="0" t="n">
        <v>6</v>
      </c>
      <c r="C3877" s="0" t="n">
        <v>13</v>
      </c>
      <c r="D3877" s="0" t="n">
        <f aca="false">-1+A3877*0.125</f>
        <v>0.625</v>
      </c>
      <c r="E3877" s="0" t="n">
        <f aca="false">-1+B3877*0.125</f>
        <v>-0.25</v>
      </c>
      <c r="F3877" s="0" t="n">
        <f aca="false">-1+C3877*0.125</f>
        <v>0.625</v>
      </c>
      <c r="G3877" s="0" t="n">
        <f aca="false">1</f>
        <v>1</v>
      </c>
      <c r="H3877" s="0" t="n">
        <f aca="false">D3877</f>
        <v>0.625</v>
      </c>
      <c r="I3877" s="0" t="n">
        <f aca="false">E3877</f>
        <v>-0.25</v>
      </c>
      <c r="J3877" s="0" t="n">
        <f aca="false">F3877</f>
        <v>0.625</v>
      </c>
      <c r="K3877" s="0" t="n">
        <f aca="false">D3877*E3877</f>
        <v>-0.15625</v>
      </c>
      <c r="L3877" s="0" t="n">
        <f aca="false">D3877*F3877</f>
        <v>0.390625</v>
      </c>
      <c r="M3877" s="0" t="n">
        <f aca="false">E3877*F3877</f>
        <v>-0.15625</v>
      </c>
      <c r="N3877" s="0" t="n">
        <f aca="false">D3877*D3877</f>
        <v>0.390625</v>
      </c>
      <c r="O3877" s="0" t="n">
        <f aca="false">E3877*E3877</f>
        <v>0.0625</v>
      </c>
      <c r="P3877" s="0" t="n">
        <f aca="false">F3877*F3877</f>
        <v>0.390625</v>
      </c>
      <c r="Q3877" s="0" t="n">
        <f aca="false">SUMPRODUCT(G3877:P3877,_XtX!$B$71:$K$71)</f>
        <v>48.4888352272727</v>
      </c>
      <c r="R3877" s="0" t="n">
        <f aca="false">SUMPRODUCT(MMULT(G3877:P3877,_XtX!$B$58:$K$67),G3877:P3877)</f>
        <v>0.208491099964489</v>
      </c>
      <c r="S3877" s="0" t="n">
        <f aca="false">04_回帰ANOVA!$K$19*04_回帰ANOVA!$K$14*SQRT(1+R3877)</f>
        <v>1.02208817610259</v>
      </c>
      <c r="T3877" s="0" t="n">
        <f aca="false">Q3877-S3877</f>
        <v>47.4667470511702</v>
      </c>
      <c r="U3877" s="0" t="n">
        <f aca="false">Q3877+S3877</f>
        <v>49.5109234033753</v>
      </c>
      <c r="V3877" s="54" t="b">
        <f aca="false">AND(D3877&gt;=01_因子設定!$L$5-0.000000001,D3877&lt;=01_因子設定!$M$5+0.000000001,E3877&gt;=01_因子設定!$L$6-0.000000001,E3877&lt;=01_因子設定!$M$6+0.000000001,F3877&gt;=01_因子設定!$L$7-0.000000001,F3877&lt;=01_因子設定!$M$7+0.000000001,IF(01_因子設定!$B$20="Box-Behnken",D3877^2+E3877^2+F3877^2&lt;=2+0.000000001,TRUE()))</f>
        <v>1</v>
      </c>
      <c r="W3877" s="55" t="n">
        <f aca="false">IF(V3877,IF(01_因子設定!$B$13="最大化",T3877-01_因子設定!$B$14,IF(01_因子設定!$B$13="最小化",01_因子設定!$B$15-U3877,MIN(T3877-01_因子設定!$B$14,01_因子設定!$B$15-U3877))),-1E+030)</f>
        <v>-1.03325294882985</v>
      </c>
      <c r="X3877" s="55" t="n">
        <f aca="false">IF(V3877,IF(01_因子設定!$B$13="最大化",Q3877,IF(01_因子設定!$B$13="最小化",-Q3877,-ABS(Q3877-01_因子設定!$B$16))),-1E+030)</f>
        <v>48.4888352272727</v>
      </c>
      <c r="Y3877" s="55" t="n">
        <f aca="false">W3877+ROW()*0.000000001</f>
        <v>-1.03324907182985</v>
      </c>
      <c r="Z3877" s="55" t="n">
        <f aca="false">X3877+ROW()*0.000000001</f>
        <v>48.4888391042727</v>
      </c>
    </row>
    <row r="3878" customFormat="false" ht="15" hidden="false" customHeight="false" outlineLevel="0" collapsed="false">
      <c r="A3878" s="0" t="n">
        <v>13</v>
      </c>
      <c r="B3878" s="0" t="n">
        <v>6</v>
      </c>
      <c r="C3878" s="0" t="n">
        <v>14</v>
      </c>
      <c r="D3878" s="0" t="n">
        <f aca="false">-1+A3878*0.125</f>
        <v>0.625</v>
      </c>
      <c r="E3878" s="0" t="n">
        <f aca="false">-1+B3878*0.125</f>
        <v>-0.25</v>
      </c>
      <c r="F3878" s="0" t="n">
        <f aca="false">-1+C3878*0.125</f>
        <v>0.75</v>
      </c>
      <c r="G3878" s="0" t="n">
        <f aca="false">1</f>
        <v>1</v>
      </c>
      <c r="H3878" s="0" t="n">
        <f aca="false">D3878</f>
        <v>0.625</v>
      </c>
      <c r="I3878" s="0" t="n">
        <f aca="false">E3878</f>
        <v>-0.25</v>
      </c>
      <c r="J3878" s="0" t="n">
        <f aca="false">F3878</f>
        <v>0.75</v>
      </c>
      <c r="K3878" s="0" t="n">
        <f aca="false">D3878*E3878</f>
        <v>-0.15625</v>
      </c>
      <c r="L3878" s="0" t="n">
        <f aca="false">D3878*F3878</f>
        <v>0.46875</v>
      </c>
      <c r="M3878" s="0" t="n">
        <f aca="false">E3878*F3878</f>
        <v>-0.1875</v>
      </c>
      <c r="N3878" s="0" t="n">
        <f aca="false">D3878*D3878</f>
        <v>0.390625</v>
      </c>
      <c r="O3878" s="0" t="n">
        <f aca="false">E3878*E3878</f>
        <v>0.0625</v>
      </c>
      <c r="P3878" s="0" t="n">
        <f aca="false">F3878*F3878</f>
        <v>0.5625</v>
      </c>
      <c r="Q3878" s="0" t="n">
        <f aca="false">SUMPRODUCT(G3878:P3878,_XtX!$B$71:$K$71)</f>
        <v>48.4332102272727</v>
      </c>
      <c r="R3878" s="0" t="n">
        <f aca="false">SUMPRODUCT(MMULT(G3878:P3878,_XtX!$B$58:$K$67),G3878:P3878)</f>
        <v>0.258118785511364</v>
      </c>
      <c r="S3878" s="0" t="n">
        <f aca="false">04_回帰ANOVA!$K$19*04_回帰ANOVA!$K$14*SQRT(1+R3878)</f>
        <v>1.04286348094876</v>
      </c>
      <c r="T3878" s="0" t="n">
        <f aca="false">Q3878-S3878</f>
        <v>47.390346746324</v>
      </c>
      <c r="U3878" s="0" t="n">
        <f aca="false">Q3878+S3878</f>
        <v>49.4760737082215</v>
      </c>
      <c r="V3878" s="54" t="b">
        <f aca="false">AND(D3878&gt;=01_因子設定!$L$5-0.000000001,D3878&lt;=01_因子設定!$M$5+0.000000001,E3878&gt;=01_因子設定!$L$6-0.000000001,E3878&lt;=01_因子設定!$M$6+0.000000001,F3878&gt;=01_因子設定!$L$7-0.000000001,F3878&lt;=01_因子設定!$M$7+0.000000001,IF(01_因子設定!$B$20="Box-Behnken",D3878^2+E3878^2+F3878^2&lt;=2+0.000000001,TRUE()))</f>
        <v>1</v>
      </c>
      <c r="W3878" s="55" t="n">
        <f aca="false">IF(V3878,IF(01_因子設定!$B$13="最大化",T3878-01_因子設定!$B$14,IF(01_因子設定!$B$13="最小化",01_因子設定!$B$15-U3878,MIN(T3878-01_因子設定!$B$14,01_因子設定!$B$15-U3878))),-1E+030)</f>
        <v>-1.10965325367602</v>
      </c>
      <c r="X3878" s="55" t="n">
        <f aca="false">IF(V3878,IF(01_因子設定!$B$13="最大化",Q3878,IF(01_因子設定!$B$13="最小化",-Q3878,-ABS(Q3878-01_因子設定!$B$16))),-1E+030)</f>
        <v>48.4332102272727</v>
      </c>
      <c r="Y3878" s="55" t="n">
        <f aca="false">W3878+ROW()*0.000000001</f>
        <v>-1.10964937567602</v>
      </c>
      <c r="Z3878" s="55" t="n">
        <f aca="false">X3878+ROW()*0.000000001</f>
        <v>48.4332141052727</v>
      </c>
    </row>
    <row r="3879" customFormat="false" ht="15" hidden="false" customHeight="false" outlineLevel="0" collapsed="false">
      <c r="A3879" s="0" t="n">
        <v>13</v>
      </c>
      <c r="B3879" s="0" t="n">
        <v>6</v>
      </c>
      <c r="C3879" s="0" t="n">
        <v>15</v>
      </c>
      <c r="D3879" s="0" t="n">
        <f aca="false">-1+A3879*0.125</f>
        <v>0.625</v>
      </c>
      <c r="E3879" s="0" t="n">
        <f aca="false">-1+B3879*0.125</f>
        <v>-0.25</v>
      </c>
      <c r="F3879" s="0" t="n">
        <f aca="false">-1+C3879*0.125</f>
        <v>0.875</v>
      </c>
      <c r="G3879" s="0" t="n">
        <f aca="false">1</f>
        <v>1</v>
      </c>
      <c r="H3879" s="0" t="n">
        <f aca="false">D3879</f>
        <v>0.625</v>
      </c>
      <c r="I3879" s="0" t="n">
        <f aca="false">E3879</f>
        <v>-0.25</v>
      </c>
      <c r="J3879" s="0" t="n">
        <f aca="false">F3879</f>
        <v>0.875</v>
      </c>
      <c r="K3879" s="0" t="n">
        <f aca="false">D3879*E3879</f>
        <v>-0.15625</v>
      </c>
      <c r="L3879" s="0" t="n">
        <f aca="false">D3879*F3879</f>
        <v>0.546875</v>
      </c>
      <c r="M3879" s="0" t="n">
        <f aca="false">E3879*F3879</f>
        <v>-0.21875</v>
      </c>
      <c r="N3879" s="0" t="n">
        <f aca="false">D3879*D3879</f>
        <v>0.390625</v>
      </c>
      <c r="O3879" s="0" t="n">
        <f aca="false">E3879*E3879</f>
        <v>0.0625</v>
      </c>
      <c r="P3879" s="0" t="n">
        <f aca="false">F3879*F3879</f>
        <v>0.765625</v>
      </c>
      <c r="Q3879" s="0" t="n">
        <f aca="false">SUMPRODUCT(G3879:P3879,_XtX!$B$71:$K$71)</f>
        <v>48.3407954545455</v>
      </c>
      <c r="R3879" s="0" t="n">
        <f aca="false">SUMPRODUCT(MMULT(G3879:P3879,_XtX!$B$58:$K$67),G3879:P3879)</f>
        <v>0.34446855024858</v>
      </c>
      <c r="S3879" s="0" t="n">
        <f aca="false">04_回帰ANOVA!$K$19*04_回帰ANOVA!$K$14*SQRT(1+R3879)</f>
        <v>1.07805758590432</v>
      </c>
      <c r="T3879" s="0" t="n">
        <f aca="false">Q3879-S3879</f>
        <v>47.2627378686412</v>
      </c>
      <c r="U3879" s="0" t="n">
        <f aca="false">Q3879+S3879</f>
        <v>49.4188530404498</v>
      </c>
      <c r="V3879" s="54" t="b">
        <f aca="false">AND(D3879&gt;=01_因子設定!$L$5-0.000000001,D3879&lt;=01_因子設定!$M$5+0.000000001,E3879&gt;=01_因子設定!$L$6-0.000000001,E3879&lt;=01_因子設定!$M$6+0.000000001,F3879&gt;=01_因子設定!$L$7-0.000000001,F3879&lt;=01_因子設定!$M$7+0.000000001,IF(01_因子設定!$B$20="Box-Behnken",D3879^2+E3879^2+F3879^2&lt;=2+0.000000001,TRUE()))</f>
        <v>1</v>
      </c>
      <c r="W3879" s="55" t="n">
        <f aca="false">IF(V3879,IF(01_因子設定!$B$13="最大化",T3879-01_因子設定!$B$14,IF(01_因子設定!$B$13="最小化",01_因子設定!$B$15-U3879,MIN(T3879-01_因子設定!$B$14,01_因子設定!$B$15-U3879))),-1E+030)</f>
        <v>-1.23726213135885</v>
      </c>
      <c r="X3879" s="55" t="n">
        <f aca="false">IF(V3879,IF(01_因子設定!$B$13="最大化",Q3879,IF(01_因子設定!$B$13="最小化",-Q3879,-ABS(Q3879-01_因子設定!$B$16))),-1E+030)</f>
        <v>48.3407954545455</v>
      </c>
      <c r="Y3879" s="55" t="n">
        <f aca="false">W3879+ROW()*0.000000001</f>
        <v>-1.23725825235885</v>
      </c>
      <c r="Z3879" s="55" t="n">
        <f aca="false">X3879+ROW()*0.000000001</f>
        <v>48.3407993335455</v>
      </c>
    </row>
    <row r="3880" customFormat="false" ht="15" hidden="false" customHeight="false" outlineLevel="0" collapsed="false">
      <c r="A3880" s="0" t="n">
        <v>13</v>
      </c>
      <c r="B3880" s="0" t="n">
        <v>6</v>
      </c>
      <c r="C3880" s="0" t="n">
        <v>16</v>
      </c>
      <c r="D3880" s="0" t="n">
        <f aca="false">-1+A3880*0.125</f>
        <v>0.625</v>
      </c>
      <c r="E3880" s="0" t="n">
        <f aca="false">-1+B3880*0.125</f>
        <v>-0.25</v>
      </c>
      <c r="F3880" s="0" t="n">
        <f aca="false">-1+C3880*0.125</f>
        <v>1</v>
      </c>
      <c r="G3880" s="0" t="n">
        <f aca="false">1</f>
        <v>1</v>
      </c>
      <c r="H3880" s="0" t="n">
        <f aca="false">D3880</f>
        <v>0.625</v>
      </c>
      <c r="I3880" s="0" t="n">
        <f aca="false">E3880</f>
        <v>-0.25</v>
      </c>
      <c r="J3880" s="0" t="n">
        <f aca="false">F3880</f>
        <v>1</v>
      </c>
      <c r="K3880" s="0" t="n">
        <f aca="false">D3880*E3880</f>
        <v>-0.15625</v>
      </c>
      <c r="L3880" s="0" t="n">
        <f aca="false">D3880*F3880</f>
        <v>0.625</v>
      </c>
      <c r="M3880" s="0" t="n">
        <f aca="false">E3880*F3880</f>
        <v>-0.25</v>
      </c>
      <c r="N3880" s="0" t="n">
        <f aca="false">D3880*D3880</f>
        <v>0.390625</v>
      </c>
      <c r="O3880" s="0" t="n">
        <f aca="false">E3880*E3880</f>
        <v>0.0625</v>
      </c>
      <c r="P3880" s="0" t="n">
        <f aca="false">F3880*F3880</f>
        <v>1</v>
      </c>
      <c r="Q3880" s="0" t="n">
        <f aca="false">SUMPRODUCT(G3880:P3880,_XtX!$B$71:$K$71)</f>
        <v>48.2115909090909</v>
      </c>
      <c r="R3880" s="0" t="n">
        <f aca="false">SUMPRODUCT(MMULT(G3880:P3880,_XtX!$B$58:$K$67),G3880:P3880)</f>
        <v>0.481389825994318</v>
      </c>
      <c r="S3880" s="0" t="n">
        <f aca="false">04_回帰ANOVA!$K$19*04_回帰ANOVA!$K$14*SQRT(1+R3880)</f>
        <v>1.13162182500693</v>
      </c>
      <c r="T3880" s="0" t="n">
        <f aca="false">Q3880-S3880</f>
        <v>47.079969084084</v>
      </c>
      <c r="U3880" s="0" t="n">
        <f aca="false">Q3880+S3880</f>
        <v>49.3432127340979</v>
      </c>
      <c r="V3880" s="54" t="b">
        <f aca="false">AND(D3880&gt;=01_因子設定!$L$5-0.000000001,D3880&lt;=01_因子設定!$M$5+0.000000001,E3880&gt;=01_因子設定!$L$6-0.000000001,E3880&lt;=01_因子設定!$M$6+0.000000001,F3880&gt;=01_因子設定!$L$7-0.000000001,F3880&lt;=01_因子設定!$M$7+0.000000001,IF(01_因子設定!$B$20="Box-Behnken",D3880^2+E3880^2+F3880^2&lt;=2+0.000000001,TRUE()))</f>
        <v>1</v>
      </c>
      <c r="W3880" s="55" t="n">
        <f aca="false">IF(V3880,IF(01_因子設定!$B$13="最大化",T3880-01_因子設定!$B$14,IF(01_因子設定!$B$13="最小化",01_因子設定!$B$15-U3880,MIN(T3880-01_因子設定!$B$14,01_因子設定!$B$15-U3880))),-1E+030)</f>
        <v>-1.42003091591599</v>
      </c>
      <c r="X3880" s="55" t="n">
        <f aca="false">IF(V3880,IF(01_因子設定!$B$13="最大化",Q3880,IF(01_因子設定!$B$13="最小化",-Q3880,-ABS(Q3880-01_因子設定!$B$16))),-1E+030)</f>
        <v>48.2115909090909</v>
      </c>
      <c r="Y3880" s="55" t="n">
        <f aca="false">W3880+ROW()*0.000000001</f>
        <v>-1.42002703591599</v>
      </c>
      <c r="Z3880" s="55" t="n">
        <f aca="false">X3880+ROW()*0.000000001</f>
        <v>48.2115947890909</v>
      </c>
    </row>
    <row r="3881" customFormat="false" ht="15" hidden="false" customHeight="false" outlineLevel="0" collapsed="false">
      <c r="A3881" s="0" t="n">
        <v>13</v>
      </c>
      <c r="B3881" s="0" t="n">
        <v>7</v>
      </c>
      <c r="C3881" s="0" t="n">
        <v>0</v>
      </c>
      <c r="D3881" s="0" t="n">
        <f aca="false">-1+A3881*0.125</f>
        <v>0.625</v>
      </c>
      <c r="E3881" s="0" t="n">
        <f aca="false">-1+B3881*0.125</f>
        <v>-0.125</v>
      </c>
      <c r="F3881" s="0" t="n">
        <f aca="false">-1+C3881*0.125</f>
        <v>-1</v>
      </c>
      <c r="G3881" s="0" t="n">
        <f aca="false">1</f>
        <v>1</v>
      </c>
      <c r="H3881" s="0" t="n">
        <f aca="false">D3881</f>
        <v>0.625</v>
      </c>
      <c r="I3881" s="0" t="n">
        <f aca="false">E3881</f>
        <v>-0.125</v>
      </c>
      <c r="J3881" s="0" t="n">
        <f aca="false">F3881</f>
        <v>-1</v>
      </c>
      <c r="K3881" s="0" t="n">
        <f aca="false">D3881*E3881</f>
        <v>-0.078125</v>
      </c>
      <c r="L3881" s="0" t="n">
        <f aca="false">D3881*F3881</f>
        <v>-0.625</v>
      </c>
      <c r="M3881" s="0" t="n">
        <f aca="false">E3881*F3881</f>
        <v>0.125</v>
      </c>
      <c r="N3881" s="0" t="n">
        <f aca="false">D3881*D3881</f>
        <v>0.390625</v>
      </c>
      <c r="O3881" s="0" t="n">
        <f aca="false">E3881*E3881</f>
        <v>0.015625</v>
      </c>
      <c r="P3881" s="0" t="n">
        <f aca="false">F3881*F3881</f>
        <v>1</v>
      </c>
      <c r="Q3881" s="0" t="n">
        <f aca="false">SUMPRODUCT(G3881:P3881,_XtX!$B$71:$K$71)</f>
        <v>46.2573224431818</v>
      </c>
      <c r="R3881" s="0" t="n">
        <f aca="false">SUMPRODUCT(MMULT(G3881:P3881,_XtX!$B$58:$K$67),G3881:P3881)</f>
        <v>0.489261696555398</v>
      </c>
      <c r="S3881" s="0" t="n">
        <f aca="false">04_回帰ANOVA!$K$19*04_回帰ANOVA!$K$14*SQRT(1+R3881)</f>
        <v>1.13462447083763</v>
      </c>
      <c r="T3881" s="0" t="n">
        <f aca="false">Q3881-S3881</f>
        <v>45.1226979723442</v>
      </c>
      <c r="U3881" s="0" t="n">
        <f aca="false">Q3881+S3881</f>
        <v>47.3919469140195</v>
      </c>
      <c r="V3881" s="54" t="b">
        <f aca="false">AND(D3881&gt;=01_因子設定!$L$5-0.000000001,D3881&lt;=01_因子設定!$M$5+0.000000001,E3881&gt;=01_因子設定!$L$6-0.000000001,E3881&lt;=01_因子設定!$M$6+0.000000001,F3881&gt;=01_因子設定!$L$7-0.000000001,F3881&lt;=01_因子設定!$M$7+0.000000001,IF(01_因子設定!$B$20="Box-Behnken",D3881^2+E3881^2+F3881^2&lt;=2+0.000000001,TRUE()))</f>
        <v>1</v>
      </c>
      <c r="W3881" s="55" t="n">
        <f aca="false">IF(V3881,IF(01_因子設定!$B$13="最大化",T3881-01_因子設定!$B$14,IF(01_因子設定!$B$13="最小化",01_因子設定!$B$15-U3881,MIN(T3881-01_因子設定!$B$14,01_因子設定!$B$15-U3881))),-1E+030)</f>
        <v>-3.37730202765579</v>
      </c>
      <c r="X3881" s="55" t="n">
        <f aca="false">IF(V3881,IF(01_因子設定!$B$13="最大化",Q3881,IF(01_因子設定!$B$13="最小化",-Q3881,-ABS(Q3881-01_因子設定!$B$16))),-1E+030)</f>
        <v>46.2573224431818</v>
      </c>
      <c r="Y3881" s="55" t="n">
        <f aca="false">W3881+ROW()*0.000000001</f>
        <v>-3.37729814665579</v>
      </c>
      <c r="Z3881" s="55" t="n">
        <f aca="false">X3881+ROW()*0.000000001</f>
        <v>46.2573263241818</v>
      </c>
    </row>
    <row r="3882" customFormat="false" ht="15" hidden="false" customHeight="false" outlineLevel="0" collapsed="false">
      <c r="A3882" s="0" t="n">
        <v>13</v>
      </c>
      <c r="B3882" s="0" t="n">
        <v>7</v>
      </c>
      <c r="C3882" s="0" t="n">
        <v>1</v>
      </c>
      <c r="D3882" s="0" t="n">
        <f aca="false">-1+A3882*0.125</f>
        <v>0.625</v>
      </c>
      <c r="E3882" s="0" t="n">
        <f aca="false">-1+B3882*0.125</f>
        <v>-0.125</v>
      </c>
      <c r="F3882" s="0" t="n">
        <f aca="false">-1+C3882*0.125</f>
        <v>-0.875</v>
      </c>
      <c r="G3882" s="0" t="n">
        <f aca="false">1</f>
        <v>1</v>
      </c>
      <c r="H3882" s="0" t="n">
        <f aca="false">D3882</f>
        <v>0.625</v>
      </c>
      <c r="I3882" s="0" t="n">
        <f aca="false">E3882</f>
        <v>-0.125</v>
      </c>
      <c r="J3882" s="0" t="n">
        <f aca="false">F3882</f>
        <v>-0.875</v>
      </c>
      <c r="K3882" s="0" t="n">
        <f aca="false">D3882*E3882</f>
        <v>-0.078125</v>
      </c>
      <c r="L3882" s="0" t="n">
        <f aca="false">D3882*F3882</f>
        <v>-0.546875</v>
      </c>
      <c r="M3882" s="0" t="n">
        <f aca="false">E3882*F3882</f>
        <v>0.109375</v>
      </c>
      <c r="N3882" s="0" t="n">
        <f aca="false">D3882*D3882</f>
        <v>0.390625</v>
      </c>
      <c r="O3882" s="0" t="n">
        <f aca="false">E3882*E3882</f>
        <v>0.015625</v>
      </c>
      <c r="P3882" s="0" t="n">
        <f aca="false">F3882*F3882</f>
        <v>0.765625</v>
      </c>
      <c r="Q3882" s="0" t="n">
        <f aca="false">SUMPRODUCT(G3882:P3882,_XtX!$B$71:$K$71)</f>
        <v>46.6869957386364</v>
      </c>
      <c r="R3882" s="0" t="n">
        <f aca="false">SUMPRODUCT(MMULT(G3882:P3882,_XtX!$B$58:$K$67),G3882:P3882)</f>
        <v>0.350717440518466</v>
      </c>
      <c r="S3882" s="0" t="n">
        <f aca="false">04_回帰ANOVA!$K$19*04_回帰ANOVA!$K$14*SQRT(1+R3882)</f>
        <v>1.08056000737898</v>
      </c>
      <c r="T3882" s="0" t="n">
        <f aca="false">Q3882-S3882</f>
        <v>45.6064357312574</v>
      </c>
      <c r="U3882" s="0" t="n">
        <f aca="false">Q3882+S3882</f>
        <v>47.7675557460154</v>
      </c>
      <c r="V3882" s="54" t="b">
        <f aca="false">AND(D3882&gt;=01_因子設定!$L$5-0.000000001,D3882&lt;=01_因子設定!$M$5+0.000000001,E3882&gt;=01_因子設定!$L$6-0.000000001,E3882&lt;=01_因子設定!$M$6+0.000000001,F3882&gt;=01_因子設定!$L$7-0.000000001,F3882&lt;=01_因子設定!$M$7+0.000000001,IF(01_因子設定!$B$20="Box-Behnken",D3882^2+E3882^2+F3882^2&lt;=2+0.000000001,TRUE()))</f>
        <v>1</v>
      </c>
      <c r="W3882" s="55" t="n">
        <f aca="false">IF(V3882,IF(01_因子設定!$B$13="最大化",T3882-01_因子設定!$B$14,IF(01_因子設定!$B$13="最小化",01_因子設定!$B$15-U3882,MIN(T3882-01_因子設定!$B$14,01_因子設定!$B$15-U3882))),-1E+030)</f>
        <v>-2.8935642687426</v>
      </c>
      <c r="X3882" s="55" t="n">
        <f aca="false">IF(V3882,IF(01_因子設定!$B$13="最大化",Q3882,IF(01_因子設定!$B$13="最小化",-Q3882,-ABS(Q3882-01_因子設定!$B$16))),-1E+030)</f>
        <v>46.6869957386364</v>
      </c>
      <c r="Y3882" s="55" t="n">
        <f aca="false">W3882+ROW()*0.000000001</f>
        <v>-2.8935603867426</v>
      </c>
      <c r="Z3882" s="55" t="n">
        <f aca="false">X3882+ROW()*0.000000001</f>
        <v>46.6869996206364</v>
      </c>
    </row>
    <row r="3883" customFormat="false" ht="15" hidden="false" customHeight="false" outlineLevel="0" collapsed="false">
      <c r="A3883" s="0" t="n">
        <v>13</v>
      </c>
      <c r="B3883" s="0" t="n">
        <v>7</v>
      </c>
      <c r="C3883" s="0" t="n">
        <v>2</v>
      </c>
      <c r="D3883" s="0" t="n">
        <f aca="false">-1+A3883*0.125</f>
        <v>0.625</v>
      </c>
      <c r="E3883" s="0" t="n">
        <f aca="false">-1+B3883*0.125</f>
        <v>-0.125</v>
      </c>
      <c r="F3883" s="0" t="n">
        <f aca="false">-1+C3883*0.125</f>
        <v>-0.75</v>
      </c>
      <c r="G3883" s="0" t="n">
        <f aca="false">1</f>
        <v>1</v>
      </c>
      <c r="H3883" s="0" t="n">
        <f aca="false">D3883</f>
        <v>0.625</v>
      </c>
      <c r="I3883" s="0" t="n">
        <f aca="false">E3883</f>
        <v>-0.125</v>
      </c>
      <c r="J3883" s="0" t="n">
        <f aca="false">F3883</f>
        <v>-0.75</v>
      </c>
      <c r="K3883" s="0" t="n">
        <f aca="false">D3883*E3883</f>
        <v>-0.078125</v>
      </c>
      <c r="L3883" s="0" t="n">
        <f aca="false">D3883*F3883</f>
        <v>-0.46875</v>
      </c>
      <c r="M3883" s="0" t="n">
        <f aca="false">E3883*F3883</f>
        <v>0.09375</v>
      </c>
      <c r="N3883" s="0" t="n">
        <f aca="false">D3883*D3883</f>
        <v>0.390625</v>
      </c>
      <c r="O3883" s="0" t="n">
        <f aca="false">E3883*E3883</f>
        <v>0.015625</v>
      </c>
      <c r="P3883" s="0" t="n">
        <f aca="false">F3883*F3883</f>
        <v>0.5625</v>
      </c>
      <c r="Q3883" s="0" t="n">
        <f aca="false">SUMPRODUCT(G3883:P3883,_XtX!$B$71:$K$71)</f>
        <v>47.0798792613637</v>
      </c>
      <c r="R3883" s="0" t="n">
        <f aca="false">SUMPRODUCT(MMULT(G3883:P3883,_XtX!$B$58:$K$67),G3883:P3883)</f>
        <v>0.262961092862216</v>
      </c>
      <c r="S3883" s="0" t="n">
        <f aca="false">04_回帰ANOVA!$K$19*04_回帰ANOVA!$K$14*SQRT(1+R3883)</f>
        <v>1.04486846483649</v>
      </c>
      <c r="T3883" s="0" t="n">
        <f aca="false">Q3883-S3883</f>
        <v>46.0350107965272</v>
      </c>
      <c r="U3883" s="0" t="n">
        <f aca="false">Q3883+S3883</f>
        <v>48.1247477262001</v>
      </c>
      <c r="V3883" s="54" t="b">
        <f aca="false">AND(D3883&gt;=01_因子設定!$L$5-0.000000001,D3883&lt;=01_因子設定!$M$5+0.000000001,E3883&gt;=01_因子設定!$L$6-0.000000001,E3883&lt;=01_因子設定!$M$6+0.000000001,F3883&gt;=01_因子設定!$L$7-0.000000001,F3883&lt;=01_因子設定!$M$7+0.000000001,IF(01_因子設定!$B$20="Box-Behnken",D3883^2+E3883^2+F3883^2&lt;=2+0.000000001,TRUE()))</f>
        <v>1</v>
      </c>
      <c r="W3883" s="55" t="n">
        <f aca="false">IF(V3883,IF(01_因子設定!$B$13="最大化",T3883-01_因子設定!$B$14,IF(01_因子設定!$B$13="最小化",01_因子設定!$B$15-U3883,MIN(T3883-01_因子設定!$B$14,01_因子設定!$B$15-U3883))),-1E+030)</f>
        <v>-2.46498920347283</v>
      </c>
      <c r="X3883" s="55" t="n">
        <f aca="false">IF(V3883,IF(01_因子設定!$B$13="最大化",Q3883,IF(01_因子設定!$B$13="最小化",-Q3883,-ABS(Q3883-01_因子設定!$B$16))),-1E+030)</f>
        <v>47.0798792613637</v>
      </c>
      <c r="Y3883" s="55" t="n">
        <f aca="false">W3883+ROW()*0.000000001</f>
        <v>-2.46498532047283</v>
      </c>
      <c r="Z3883" s="55" t="n">
        <f aca="false">X3883+ROW()*0.000000001</f>
        <v>47.0798831443637</v>
      </c>
    </row>
    <row r="3884" customFormat="false" ht="15" hidden="false" customHeight="false" outlineLevel="0" collapsed="false">
      <c r="A3884" s="0" t="n">
        <v>13</v>
      </c>
      <c r="B3884" s="0" t="n">
        <v>7</v>
      </c>
      <c r="C3884" s="0" t="n">
        <v>3</v>
      </c>
      <c r="D3884" s="0" t="n">
        <f aca="false">-1+A3884*0.125</f>
        <v>0.625</v>
      </c>
      <c r="E3884" s="0" t="n">
        <f aca="false">-1+B3884*0.125</f>
        <v>-0.125</v>
      </c>
      <c r="F3884" s="0" t="n">
        <f aca="false">-1+C3884*0.125</f>
        <v>-0.625</v>
      </c>
      <c r="G3884" s="0" t="n">
        <f aca="false">1</f>
        <v>1</v>
      </c>
      <c r="H3884" s="0" t="n">
        <f aca="false">D3884</f>
        <v>0.625</v>
      </c>
      <c r="I3884" s="0" t="n">
        <f aca="false">E3884</f>
        <v>-0.125</v>
      </c>
      <c r="J3884" s="0" t="n">
        <f aca="false">F3884</f>
        <v>-0.625</v>
      </c>
      <c r="K3884" s="0" t="n">
        <f aca="false">D3884*E3884</f>
        <v>-0.078125</v>
      </c>
      <c r="L3884" s="0" t="n">
        <f aca="false">D3884*F3884</f>
        <v>-0.390625</v>
      </c>
      <c r="M3884" s="0" t="n">
        <f aca="false">E3884*F3884</f>
        <v>0.078125</v>
      </c>
      <c r="N3884" s="0" t="n">
        <f aca="false">D3884*D3884</f>
        <v>0.390625</v>
      </c>
      <c r="O3884" s="0" t="n">
        <f aca="false">E3884*E3884</f>
        <v>0.015625</v>
      </c>
      <c r="P3884" s="0" t="n">
        <f aca="false">F3884*F3884</f>
        <v>0.390625</v>
      </c>
      <c r="Q3884" s="0" t="n">
        <f aca="false">SUMPRODUCT(G3884:P3884,_XtX!$B$71:$K$71)</f>
        <v>47.4359730113636</v>
      </c>
      <c r="R3884" s="0" t="n">
        <f aca="false">SUMPRODUCT(MMULT(G3884:P3884,_XtX!$B$58:$K$67),G3884:P3884)</f>
        <v>0.212143221768466</v>
      </c>
      <c r="S3884" s="0" t="n">
        <f aca="false">04_回帰ANOVA!$K$19*04_回帰ANOVA!$K$14*SQRT(1+R3884)</f>
        <v>1.02363141237304</v>
      </c>
      <c r="T3884" s="0" t="n">
        <f aca="false">Q3884-S3884</f>
        <v>46.4123415989906</v>
      </c>
      <c r="U3884" s="0" t="n">
        <f aca="false">Q3884+S3884</f>
        <v>48.4596044237367</v>
      </c>
      <c r="V3884" s="54" t="b">
        <f aca="false">AND(D3884&gt;=01_因子設定!$L$5-0.000000001,D3884&lt;=01_因子設定!$M$5+0.000000001,E3884&gt;=01_因子設定!$L$6-0.000000001,E3884&lt;=01_因子設定!$M$6+0.000000001,F3884&gt;=01_因子設定!$L$7-0.000000001,F3884&lt;=01_因子設定!$M$7+0.000000001,IF(01_因子設定!$B$20="Box-Behnken",D3884^2+E3884^2+F3884^2&lt;=2+0.000000001,TRUE()))</f>
        <v>1</v>
      </c>
      <c r="W3884" s="55" t="n">
        <f aca="false">IF(V3884,IF(01_因子設定!$B$13="最大化",T3884-01_因子設定!$B$14,IF(01_因子設定!$B$13="最小化",01_因子設定!$B$15-U3884,MIN(T3884-01_因子設定!$B$14,01_因子設定!$B$15-U3884))),-1E+030)</f>
        <v>-2.0876584010094</v>
      </c>
      <c r="X3884" s="55" t="n">
        <f aca="false">IF(V3884,IF(01_因子設定!$B$13="最大化",Q3884,IF(01_因子設定!$B$13="最小化",-Q3884,-ABS(Q3884-01_因子設定!$B$16))),-1E+030)</f>
        <v>47.4359730113636</v>
      </c>
      <c r="Y3884" s="55" t="n">
        <f aca="false">W3884+ROW()*0.000000001</f>
        <v>-2.0876545170094</v>
      </c>
      <c r="Z3884" s="55" t="n">
        <f aca="false">X3884+ROW()*0.000000001</f>
        <v>47.4359768953636</v>
      </c>
    </row>
    <row r="3885" customFormat="false" ht="15" hidden="false" customHeight="false" outlineLevel="0" collapsed="false">
      <c r="A3885" s="0" t="n">
        <v>13</v>
      </c>
      <c r="B3885" s="0" t="n">
        <v>7</v>
      </c>
      <c r="C3885" s="0" t="n">
        <v>4</v>
      </c>
      <c r="D3885" s="0" t="n">
        <f aca="false">-1+A3885*0.125</f>
        <v>0.625</v>
      </c>
      <c r="E3885" s="0" t="n">
        <f aca="false">-1+B3885*0.125</f>
        <v>-0.125</v>
      </c>
      <c r="F3885" s="0" t="n">
        <f aca="false">-1+C3885*0.125</f>
        <v>-0.5</v>
      </c>
      <c r="G3885" s="0" t="n">
        <f aca="false">1</f>
        <v>1</v>
      </c>
      <c r="H3885" s="0" t="n">
        <f aca="false">D3885</f>
        <v>0.625</v>
      </c>
      <c r="I3885" s="0" t="n">
        <f aca="false">E3885</f>
        <v>-0.125</v>
      </c>
      <c r="J3885" s="0" t="n">
        <f aca="false">F3885</f>
        <v>-0.5</v>
      </c>
      <c r="K3885" s="0" t="n">
        <f aca="false">D3885*E3885</f>
        <v>-0.078125</v>
      </c>
      <c r="L3885" s="0" t="n">
        <f aca="false">D3885*F3885</f>
        <v>-0.3125</v>
      </c>
      <c r="M3885" s="0" t="n">
        <f aca="false">E3885*F3885</f>
        <v>0.0625</v>
      </c>
      <c r="N3885" s="0" t="n">
        <f aca="false">D3885*D3885</f>
        <v>0.390625</v>
      </c>
      <c r="O3885" s="0" t="n">
        <f aca="false">E3885*E3885</f>
        <v>0.015625</v>
      </c>
      <c r="P3885" s="0" t="n">
        <f aca="false">F3885*F3885</f>
        <v>0.25</v>
      </c>
      <c r="Q3885" s="0" t="n">
        <f aca="false">SUMPRODUCT(G3885:P3885,_XtX!$B$71:$K$71)</f>
        <v>47.7552769886364</v>
      </c>
      <c r="R3885" s="0" t="n">
        <f aca="false">SUMPRODUCT(MMULT(G3885:P3885,_XtX!$B$58:$K$67),G3885:P3885)</f>
        <v>0.186545077237216</v>
      </c>
      <c r="S3885" s="0" t="n">
        <f aca="false">04_回帰ANOVA!$K$19*04_回帰ANOVA!$K$14*SQRT(1+R3885)</f>
        <v>1.01276516970713</v>
      </c>
      <c r="T3885" s="0" t="n">
        <f aca="false">Q3885-S3885</f>
        <v>46.7425118189292</v>
      </c>
      <c r="U3885" s="0" t="n">
        <f aca="false">Q3885+S3885</f>
        <v>48.7680421583435</v>
      </c>
      <c r="V3885" s="54" t="b">
        <f aca="false">AND(D3885&gt;=01_因子設定!$L$5-0.000000001,D3885&lt;=01_因子設定!$M$5+0.000000001,E3885&gt;=01_因子設定!$L$6-0.000000001,E3885&lt;=01_因子設定!$M$6+0.000000001,F3885&gt;=01_因子設定!$L$7-0.000000001,F3885&lt;=01_因子設定!$M$7+0.000000001,IF(01_因子設定!$B$20="Box-Behnken",D3885^2+E3885^2+F3885^2&lt;=2+0.000000001,TRUE()))</f>
        <v>1</v>
      </c>
      <c r="W3885" s="55" t="n">
        <f aca="false">IF(V3885,IF(01_因子設定!$B$13="最大化",T3885-01_因子設定!$B$14,IF(01_因子設定!$B$13="最小化",01_因子設定!$B$15-U3885,MIN(T3885-01_因子設定!$B$14,01_因子設定!$B$15-U3885))),-1E+030)</f>
        <v>-1.75748818107076</v>
      </c>
      <c r="X3885" s="55" t="n">
        <f aca="false">IF(V3885,IF(01_因子設定!$B$13="最大化",Q3885,IF(01_因子設定!$B$13="最小化",-Q3885,-ABS(Q3885-01_因子設定!$B$16))),-1E+030)</f>
        <v>47.7552769886364</v>
      </c>
      <c r="Y3885" s="55" t="n">
        <f aca="false">W3885+ROW()*0.000000001</f>
        <v>-1.75748429607076</v>
      </c>
      <c r="Z3885" s="55" t="n">
        <f aca="false">X3885+ROW()*0.000000001</f>
        <v>47.7552808736364</v>
      </c>
    </row>
    <row r="3886" customFormat="false" ht="15" hidden="false" customHeight="false" outlineLevel="0" collapsed="false">
      <c r="A3886" s="0" t="n">
        <v>13</v>
      </c>
      <c r="B3886" s="0" t="n">
        <v>7</v>
      </c>
      <c r="C3886" s="0" t="n">
        <v>5</v>
      </c>
      <c r="D3886" s="0" t="n">
        <f aca="false">-1+A3886*0.125</f>
        <v>0.625</v>
      </c>
      <c r="E3886" s="0" t="n">
        <f aca="false">-1+B3886*0.125</f>
        <v>-0.125</v>
      </c>
      <c r="F3886" s="0" t="n">
        <f aca="false">-1+C3886*0.125</f>
        <v>-0.375</v>
      </c>
      <c r="G3886" s="0" t="n">
        <f aca="false">1</f>
        <v>1</v>
      </c>
      <c r="H3886" s="0" t="n">
        <f aca="false">D3886</f>
        <v>0.625</v>
      </c>
      <c r="I3886" s="0" t="n">
        <f aca="false">E3886</f>
        <v>-0.125</v>
      </c>
      <c r="J3886" s="0" t="n">
        <f aca="false">F3886</f>
        <v>-0.375</v>
      </c>
      <c r="K3886" s="0" t="n">
        <f aca="false">D3886*E3886</f>
        <v>-0.078125</v>
      </c>
      <c r="L3886" s="0" t="n">
        <f aca="false">D3886*F3886</f>
        <v>-0.234375</v>
      </c>
      <c r="M3886" s="0" t="n">
        <f aca="false">E3886*F3886</f>
        <v>0.046875</v>
      </c>
      <c r="N3886" s="0" t="n">
        <f aca="false">D3886*D3886</f>
        <v>0.390625</v>
      </c>
      <c r="O3886" s="0" t="n">
        <f aca="false">E3886*E3886</f>
        <v>0.015625</v>
      </c>
      <c r="P3886" s="0" t="n">
        <f aca="false">F3886*F3886</f>
        <v>0.140625</v>
      </c>
      <c r="Q3886" s="0" t="n">
        <f aca="false">SUMPRODUCT(G3886:P3886,_XtX!$B$71:$K$71)</f>
        <v>48.0377911931818</v>
      </c>
      <c r="R3886" s="0" t="n">
        <f aca="false">SUMPRODUCT(MMULT(G3886:P3886,_XtX!$B$58:$K$67),G3886:P3886)</f>
        <v>0.176578591086648</v>
      </c>
      <c r="S3886" s="0" t="n">
        <f aca="false">04_回帰ANOVA!$K$19*04_回帰ANOVA!$K$14*SQRT(1+R3886)</f>
        <v>1.00850279676269</v>
      </c>
      <c r="T3886" s="0" t="n">
        <f aca="false">Q3886-S3886</f>
        <v>47.0292883964191</v>
      </c>
      <c r="U3886" s="0" t="n">
        <f aca="false">Q3886+S3886</f>
        <v>49.0462939899445</v>
      </c>
      <c r="V3886" s="54" t="b">
        <f aca="false">AND(D3886&gt;=01_因子設定!$L$5-0.000000001,D3886&lt;=01_因子設定!$M$5+0.000000001,E3886&gt;=01_因子設定!$L$6-0.000000001,E3886&lt;=01_因子設定!$M$6+0.000000001,F3886&gt;=01_因子設定!$L$7-0.000000001,F3886&lt;=01_因子設定!$M$7+0.000000001,IF(01_因子設定!$B$20="Box-Behnken",D3886^2+E3886^2+F3886^2&lt;=2+0.000000001,TRUE()))</f>
        <v>1</v>
      </c>
      <c r="W3886" s="55" t="n">
        <f aca="false">IF(V3886,IF(01_因子設定!$B$13="最大化",T3886-01_因子設定!$B$14,IF(01_因子設定!$B$13="最小化",01_因子設定!$B$15-U3886,MIN(T3886-01_因子設定!$B$14,01_因子設定!$B$15-U3886))),-1E+030)</f>
        <v>-1.47071160358087</v>
      </c>
      <c r="X3886" s="55" t="n">
        <f aca="false">IF(V3886,IF(01_因子設定!$B$13="最大化",Q3886,IF(01_因子設定!$B$13="最小化",-Q3886,-ABS(Q3886-01_因子設定!$B$16))),-1E+030)</f>
        <v>48.0377911931818</v>
      </c>
      <c r="Y3886" s="55" t="n">
        <f aca="false">W3886+ROW()*0.000000001</f>
        <v>-1.47070771758087</v>
      </c>
      <c r="Z3886" s="55" t="n">
        <f aca="false">X3886+ROW()*0.000000001</f>
        <v>48.0377950791818</v>
      </c>
    </row>
    <row r="3887" customFormat="false" ht="15" hidden="false" customHeight="false" outlineLevel="0" collapsed="false">
      <c r="A3887" s="0" t="n">
        <v>13</v>
      </c>
      <c r="B3887" s="0" t="n">
        <v>7</v>
      </c>
      <c r="C3887" s="0" t="n">
        <v>6</v>
      </c>
      <c r="D3887" s="0" t="n">
        <f aca="false">-1+A3887*0.125</f>
        <v>0.625</v>
      </c>
      <c r="E3887" s="0" t="n">
        <f aca="false">-1+B3887*0.125</f>
        <v>-0.125</v>
      </c>
      <c r="F3887" s="0" t="n">
        <f aca="false">-1+C3887*0.125</f>
        <v>-0.25</v>
      </c>
      <c r="G3887" s="0" t="n">
        <f aca="false">1</f>
        <v>1</v>
      </c>
      <c r="H3887" s="0" t="n">
        <f aca="false">D3887</f>
        <v>0.625</v>
      </c>
      <c r="I3887" s="0" t="n">
        <f aca="false">E3887</f>
        <v>-0.125</v>
      </c>
      <c r="J3887" s="0" t="n">
        <f aca="false">F3887</f>
        <v>-0.25</v>
      </c>
      <c r="K3887" s="0" t="n">
        <f aca="false">D3887*E3887</f>
        <v>-0.078125</v>
      </c>
      <c r="L3887" s="0" t="n">
        <f aca="false">D3887*F3887</f>
        <v>-0.15625</v>
      </c>
      <c r="M3887" s="0" t="n">
        <f aca="false">E3887*F3887</f>
        <v>0.03125</v>
      </c>
      <c r="N3887" s="0" t="n">
        <f aca="false">D3887*D3887</f>
        <v>0.390625</v>
      </c>
      <c r="O3887" s="0" t="n">
        <f aca="false">E3887*E3887</f>
        <v>0.015625</v>
      </c>
      <c r="P3887" s="0" t="n">
        <f aca="false">F3887*F3887</f>
        <v>0.0625</v>
      </c>
      <c r="Q3887" s="0" t="n">
        <f aca="false">SUMPRODUCT(G3887:P3887,_XtX!$B$71:$K$71)</f>
        <v>48.283515625</v>
      </c>
      <c r="R3887" s="0" t="n">
        <f aca="false">SUMPRODUCT(MMULT(G3887:P3887,_XtX!$B$58:$K$67),G3887:P3887)</f>
        <v>0.174786376953125</v>
      </c>
      <c r="S3887" s="0" t="n">
        <f aca="false">04_回帰ANOVA!$K$19*04_回帰ANOVA!$K$14*SQRT(1+R3887)</f>
        <v>1.00773440704286</v>
      </c>
      <c r="T3887" s="0" t="n">
        <f aca="false">Q3887-S3887</f>
        <v>47.2757812179571</v>
      </c>
      <c r="U3887" s="0" t="n">
        <f aca="false">Q3887+S3887</f>
        <v>49.2912500320429</v>
      </c>
      <c r="V3887" s="54" t="b">
        <f aca="false">AND(D3887&gt;=01_因子設定!$L$5-0.000000001,D3887&lt;=01_因子設定!$M$5+0.000000001,E3887&gt;=01_因子設定!$L$6-0.000000001,E3887&lt;=01_因子設定!$M$6+0.000000001,F3887&gt;=01_因子設定!$L$7-0.000000001,F3887&lt;=01_因子設定!$M$7+0.000000001,IF(01_因子設定!$B$20="Box-Behnken",D3887^2+E3887^2+F3887^2&lt;=2+0.000000001,TRUE()))</f>
        <v>1</v>
      </c>
      <c r="W3887" s="55" t="n">
        <f aca="false">IF(V3887,IF(01_因子設定!$B$13="最大化",T3887-01_因子設定!$B$14,IF(01_因子設定!$B$13="最小化",01_因子設定!$B$15-U3887,MIN(T3887-01_因子設定!$B$14,01_因子設定!$B$15-U3887))),-1E+030)</f>
        <v>-1.22421878204286</v>
      </c>
      <c r="X3887" s="55" t="n">
        <f aca="false">IF(V3887,IF(01_因子設定!$B$13="最大化",Q3887,IF(01_因子設定!$B$13="最小化",-Q3887,-ABS(Q3887-01_因子設定!$B$16))),-1E+030)</f>
        <v>48.283515625</v>
      </c>
      <c r="Y3887" s="55" t="n">
        <f aca="false">W3887+ROW()*0.000000001</f>
        <v>-1.22421489504286</v>
      </c>
      <c r="Z3887" s="55" t="n">
        <f aca="false">X3887+ROW()*0.000000001</f>
        <v>48.283519512</v>
      </c>
    </row>
    <row r="3888" customFormat="false" ht="15" hidden="false" customHeight="false" outlineLevel="0" collapsed="false">
      <c r="A3888" s="0" t="n">
        <v>13</v>
      </c>
      <c r="B3888" s="0" t="n">
        <v>7</v>
      </c>
      <c r="C3888" s="0" t="n">
        <v>7</v>
      </c>
      <c r="D3888" s="0" t="n">
        <f aca="false">-1+A3888*0.125</f>
        <v>0.625</v>
      </c>
      <c r="E3888" s="0" t="n">
        <f aca="false">-1+B3888*0.125</f>
        <v>-0.125</v>
      </c>
      <c r="F3888" s="0" t="n">
        <f aca="false">-1+C3888*0.125</f>
        <v>-0.125</v>
      </c>
      <c r="G3888" s="0" t="n">
        <f aca="false">1</f>
        <v>1</v>
      </c>
      <c r="H3888" s="0" t="n">
        <f aca="false">D3888</f>
        <v>0.625</v>
      </c>
      <c r="I3888" s="0" t="n">
        <f aca="false">E3888</f>
        <v>-0.125</v>
      </c>
      <c r="J3888" s="0" t="n">
        <f aca="false">F3888</f>
        <v>-0.125</v>
      </c>
      <c r="K3888" s="0" t="n">
        <f aca="false">D3888*E3888</f>
        <v>-0.078125</v>
      </c>
      <c r="L3888" s="0" t="n">
        <f aca="false">D3888*F3888</f>
        <v>-0.078125</v>
      </c>
      <c r="M3888" s="0" t="n">
        <f aca="false">E3888*F3888</f>
        <v>0.015625</v>
      </c>
      <c r="N3888" s="0" t="n">
        <f aca="false">D3888*D3888</f>
        <v>0.390625</v>
      </c>
      <c r="O3888" s="0" t="n">
        <f aca="false">E3888*E3888</f>
        <v>0.015625</v>
      </c>
      <c r="P3888" s="0" t="n">
        <f aca="false">F3888*F3888</f>
        <v>0.015625</v>
      </c>
      <c r="Q3888" s="0" t="n">
        <f aca="false">SUMPRODUCT(G3888:P3888,_XtX!$B$71:$K$71)</f>
        <v>48.4924502840909</v>
      </c>
      <c r="R3888" s="0" t="n">
        <f aca="false">SUMPRODUCT(MMULT(G3888:P3888,_XtX!$B$58:$K$67),G3888:P3888)</f>
        <v>0.175841730291193</v>
      </c>
      <c r="S3888" s="0" t="n">
        <f aca="false">04_回帰ANOVA!$K$19*04_回帰ANOVA!$K$14*SQRT(1+R3888)</f>
        <v>1.00818694767054</v>
      </c>
      <c r="T3888" s="0" t="n">
        <f aca="false">Q3888-S3888</f>
        <v>47.4842633364204</v>
      </c>
      <c r="U3888" s="0" t="n">
        <f aca="false">Q3888+S3888</f>
        <v>49.5006372317615</v>
      </c>
      <c r="V3888" s="54" t="b">
        <f aca="false">AND(D3888&gt;=01_因子設定!$L$5-0.000000001,D3888&lt;=01_因子設定!$M$5+0.000000001,E3888&gt;=01_因子設定!$L$6-0.000000001,E3888&lt;=01_因子設定!$M$6+0.000000001,F3888&gt;=01_因子設定!$L$7-0.000000001,F3888&lt;=01_因子設定!$M$7+0.000000001,IF(01_因子設定!$B$20="Box-Behnken",D3888^2+E3888^2+F3888^2&lt;=2+0.000000001,TRUE()))</f>
        <v>1</v>
      </c>
      <c r="W3888" s="55" t="n">
        <f aca="false">IF(V3888,IF(01_因子設定!$B$13="最大化",T3888-01_因子設定!$B$14,IF(01_因子設定!$B$13="最小化",01_因子設定!$B$15-U3888,MIN(T3888-01_因子設定!$B$14,01_因子設定!$B$15-U3888))),-1E+030)</f>
        <v>-1.01573666357962</v>
      </c>
      <c r="X3888" s="55" t="n">
        <f aca="false">IF(V3888,IF(01_因子設定!$B$13="最大化",Q3888,IF(01_因子設定!$B$13="最小化",-Q3888,-ABS(Q3888-01_因子設定!$B$16))),-1E+030)</f>
        <v>48.4924502840909</v>
      </c>
      <c r="Y3888" s="55" t="n">
        <f aca="false">W3888+ROW()*0.000000001</f>
        <v>-1.01573277557962</v>
      </c>
      <c r="Z3888" s="55" t="n">
        <f aca="false">X3888+ROW()*0.000000001</f>
        <v>48.4924541720909</v>
      </c>
    </row>
    <row r="3889" customFormat="false" ht="15" hidden="false" customHeight="false" outlineLevel="0" collapsed="false">
      <c r="A3889" s="0" t="n">
        <v>13</v>
      </c>
      <c r="B3889" s="0" t="n">
        <v>7</v>
      </c>
      <c r="C3889" s="0" t="n">
        <v>8</v>
      </c>
      <c r="D3889" s="0" t="n">
        <f aca="false">-1+A3889*0.125</f>
        <v>0.625</v>
      </c>
      <c r="E3889" s="0" t="n">
        <f aca="false">-1+B3889*0.125</f>
        <v>-0.125</v>
      </c>
      <c r="F3889" s="0" t="n">
        <f aca="false">-1+C3889*0.125</f>
        <v>0</v>
      </c>
      <c r="G3889" s="0" t="n">
        <f aca="false">1</f>
        <v>1</v>
      </c>
      <c r="H3889" s="0" t="n">
        <f aca="false">D3889</f>
        <v>0.625</v>
      </c>
      <c r="I3889" s="0" t="n">
        <f aca="false">E3889</f>
        <v>-0.125</v>
      </c>
      <c r="J3889" s="0" t="n">
        <f aca="false">F3889</f>
        <v>0</v>
      </c>
      <c r="K3889" s="0" t="n">
        <f aca="false">D3889*E3889</f>
        <v>-0.078125</v>
      </c>
      <c r="L3889" s="0" t="n">
        <f aca="false">D3889*F3889</f>
        <v>0</v>
      </c>
      <c r="M3889" s="0" t="n">
        <f aca="false">E3889*F3889</f>
        <v>-0</v>
      </c>
      <c r="N3889" s="0" t="n">
        <f aca="false">D3889*D3889</f>
        <v>0.390625</v>
      </c>
      <c r="O3889" s="0" t="n">
        <f aca="false">E3889*E3889</f>
        <v>0.015625</v>
      </c>
      <c r="P3889" s="0" t="n">
        <f aca="false">F3889*F3889</f>
        <v>0</v>
      </c>
      <c r="Q3889" s="0" t="n">
        <f aca="false">SUMPRODUCT(G3889:P3889,_XtX!$B$71:$K$71)</f>
        <v>48.6645951704546</v>
      </c>
      <c r="R3889" s="0" t="n">
        <f aca="false">SUMPRODUCT(MMULT(G3889:P3889,_XtX!$B$58:$K$67),G3889:P3889)</f>
        <v>0.17654862837358</v>
      </c>
      <c r="S3889" s="0" t="n">
        <f aca="false">04_回帰ANOVA!$K$19*04_回帰ANOVA!$K$14*SQRT(1+R3889)</f>
        <v>1.00848995543082</v>
      </c>
      <c r="T3889" s="0" t="n">
        <f aca="false">Q3889-S3889</f>
        <v>47.6561052150237</v>
      </c>
      <c r="U3889" s="0" t="n">
        <f aca="false">Q3889+S3889</f>
        <v>49.6730851258854</v>
      </c>
      <c r="V3889" s="54" t="b">
        <f aca="false">AND(D3889&gt;=01_因子設定!$L$5-0.000000001,D3889&lt;=01_因子設定!$M$5+0.000000001,E3889&gt;=01_因子設定!$L$6-0.000000001,E3889&lt;=01_因子設定!$M$6+0.000000001,F3889&gt;=01_因子設定!$L$7-0.000000001,F3889&lt;=01_因子設定!$M$7+0.000000001,IF(01_因子設定!$B$20="Box-Behnken",D3889^2+E3889^2+F3889^2&lt;=2+0.000000001,TRUE()))</f>
        <v>1</v>
      </c>
      <c r="W3889" s="55" t="n">
        <f aca="false">IF(V3889,IF(01_因子設定!$B$13="最大化",T3889-01_因子設定!$B$14,IF(01_因子設定!$B$13="最小化",01_因子設定!$B$15-U3889,MIN(T3889-01_因子設定!$B$14,01_因子設定!$B$15-U3889))),-1E+030)</f>
        <v>-0.843894784976278</v>
      </c>
      <c r="X3889" s="55" t="n">
        <f aca="false">IF(V3889,IF(01_因子設定!$B$13="最大化",Q3889,IF(01_因子設定!$B$13="最小化",-Q3889,-ABS(Q3889-01_因子設定!$B$16))),-1E+030)</f>
        <v>48.6645951704546</v>
      </c>
      <c r="Y3889" s="55" t="n">
        <f aca="false">W3889+ROW()*0.000000001</f>
        <v>-0.843890895976278</v>
      </c>
      <c r="Z3889" s="55" t="n">
        <f aca="false">X3889+ROW()*0.000000001</f>
        <v>48.6645990594545</v>
      </c>
    </row>
    <row r="3890" customFormat="false" ht="15" hidden="false" customHeight="false" outlineLevel="0" collapsed="false">
      <c r="A3890" s="0" t="n">
        <v>13</v>
      </c>
      <c r="B3890" s="0" t="n">
        <v>7</v>
      </c>
      <c r="C3890" s="0" t="n">
        <v>9</v>
      </c>
      <c r="D3890" s="0" t="n">
        <f aca="false">-1+A3890*0.125</f>
        <v>0.625</v>
      </c>
      <c r="E3890" s="0" t="n">
        <f aca="false">-1+B3890*0.125</f>
        <v>-0.125</v>
      </c>
      <c r="F3890" s="0" t="n">
        <f aca="false">-1+C3890*0.125</f>
        <v>0.125</v>
      </c>
      <c r="G3890" s="0" t="n">
        <f aca="false">1</f>
        <v>1</v>
      </c>
      <c r="H3890" s="0" t="n">
        <f aca="false">D3890</f>
        <v>0.625</v>
      </c>
      <c r="I3890" s="0" t="n">
        <f aca="false">E3890</f>
        <v>-0.125</v>
      </c>
      <c r="J3890" s="0" t="n">
        <f aca="false">F3890</f>
        <v>0.125</v>
      </c>
      <c r="K3890" s="0" t="n">
        <f aca="false">D3890*E3890</f>
        <v>-0.078125</v>
      </c>
      <c r="L3890" s="0" t="n">
        <f aca="false">D3890*F3890</f>
        <v>0.078125</v>
      </c>
      <c r="M3890" s="0" t="n">
        <f aca="false">E3890*F3890</f>
        <v>-0.015625</v>
      </c>
      <c r="N3890" s="0" t="n">
        <f aca="false">D3890*D3890</f>
        <v>0.390625</v>
      </c>
      <c r="O3890" s="0" t="n">
        <f aca="false">E3890*E3890</f>
        <v>0.015625</v>
      </c>
      <c r="P3890" s="0" t="n">
        <f aca="false">F3890*F3890</f>
        <v>0.015625</v>
      </c>
      <c r="Q3890" s="0" t="n">
        <f aca="false">SUMPRODUCT(G3890:P3890,_XtX!$B$71:$K$71)</f>
        <v>48.7999502840909</v>
      </c>
      <c r="R3890" s="0" t="n">
        <f aca="false">SUMPRODUCT(MMULT(G3890:P3890,_XtX!$B$58:$K$67),G3890:P3890)</f>
        <v>0.175841730291193</v>
      </c>
      <c r="S3890" s="0" t="n">
        <f aca="false">04_回帰ANOVA!$K$19*04_回帰ANOVA!$K$14*SQRT(1+R3890)</f>
        <v>1.00818694767054</v>
      </c>
      <c r="T3890" s="0" t="n">
        <f aca="false">Q3890-S3890</f>
        <v>47.7917633364204</v>
      </c>
      <c r="U3890" s="0" t="n">
        <f aca="false">Q3890+S3890</f>
        <v>49.8081372317615</v>
      </c>
      <c r="V3890" s="54" t="b">
        <f aca="false">AND(D3890&gt;=01_因子設定!$L$5-0.000000001,D3890&lt;=01_因子設定!$M$5+0.000000001,E3890&gt;=01_因子設定!$L$6-0.000000001,E3890&lt;=01_因子設定!$M$6+0.000000001,F3890&gt;=01_因子設定!$L$7-0.000000001,F3890&lt;=01_因子設定!$M$7+0.000000001,IF(01_因子設定!$B$20="Box-Behnken",D3890^2+E3890^2+F3890^2&lt;=2+0.000000001,TRUE()))</f>
        <v>1</v>
      </c>
      <c r="W3890" s="55" t="n">
        <f aca="false">IF(V3890,IF(01_因子設定!$B$13="最大化",T3890-01_因子設定!$B$14,IF(01_因子設定!$B$13="最小化",01_因子設定!$B$15-U3890,MIN(T3890-01_因子設定!$B$14,01_因子設定!$B$15-U3890))),-1E+030)</f>
        <v>-0.708236663579626</v>
      </c>
      <c r="X3890" s="55" t="n">
        <f aca="false">IF(V3890,IF(01_因子設定!$B$13="最大化",Q3890,IF(01_因子設定!$B$13="最小化",-Q3890,-ABS(Q3890-01_因子設定!$B$16))),-1E+030)</f>
        <v>48.7999502840909</v>
      </c>
      <c r="Y3890" s="55" t="n">
        <f aca="false">W3890+ROW()*0.000000001</f>
        <v>-0.708232773579626</v>
      </c>
      <c r="Z3890" s="55" t="n">
        <f aca="false">X3890+ROW()*0.000000001</f>
        <v>48.7999541740909</v>
      </c>
    </row>
    <row r="3891" customFormat="false" ht="15" hidden="false" customHeight="false" outlineLevel="0" collapsed="false">
      <c r="A3891" s="0" t="n">
        <v>13</v>
      </c>
      <c r="B3891" s="0" t="n">
        <v>7</v>
      </c>
      <c r="C3891" s="0" t="n">
        <v>10</v>
      </c>
      <c r="D3891" s="0" t="n">
        <f aca="false">-1+A3891*0.125</f>
        <v>0.625</v>
      </c>
      <c r="E3891" s="0" t="n">
        <f aca="false">-1+B3891*0.125</f>
        <v>-0.125</v>
      </c>
      <c r="F3891" s="0" t="n">
        <f aca="false">-1+C3891*0.125</f>
        <v>0.25</v>
      </c>
      <c r="G3891" s="0" t="n">
        <f aca="false">1</f>
        <v>1</v>
      </c>
      <c r="H3891" s="0" t="n">
        <f aca="false">D3891</f>
        <v>0.625</v>
      </c>
      <c r="I3891" s="0" t="n">
        <f aca="false">E3891</f>
        <v>-0.125</v>
      </c>
      <c r="J3891" s="0" t="n">
        <f aca="false">F3891</f>
        <v>0.25</v>
      </c>
      <c r="K3891" s="0" t="n">
        <f aca="false">D3891*E3891</f>
        <v>-0.078125</v>
      </c>
      <c r="L3891" s="0" t="n">
        <f aca="false">D3891*F3891</f>
        <v>0.15625</v>
      </c>
      <c r="M3891" s="0" t="n">
        <f aca="false">E3891*F3891</f>
        <v>-0.03125</v>
      </c>
      <c r="N3891" s="0" t="n">
        <f aca="false">D3891*D3891</f>
        <v>0.390625</v>
      </c>
      <c r="O3891" s="0" t="n">
        <f aca="false">E3891*E3891</f>
        <v>0.015625</v>
      </c>
      <c r="P3891" s="0" t="n">
        <f aca="false">F3891*F3891</f>
        <v>0.0625</v>
      </c>
      <c r="Q3891" s="0" t="n">
        <f aca="false">SUMPRODUCT(G3891:P3891,_XtX!$B$71:$K$71)</f>
        <v>48.898515625</v>
      </c>
      <c r="R3891" s="0" t="n">
        <f aca="false">SUMPRODUCT(MMULT(G3891:P3891,_XtX!$B$58:$K$67),G3891:P3891)</f>
        <v>0.174786376953125</v>
      </c>
      <c r="S3891" s="0" t="n">
        <f aca="false">04_回帰ANOVA!$K$19*04_回帰ANOVA!$K$14*SQRT(1+R3891)</f>
        <v>1.00773440704286</v>
      </c>
      <c r="T3891" s="0" t="n">
        <f aca="false">Q3891-S3891</f>
        <v>47.8907812179571</v>
      </c>
      <c r="U3891" s="0" t="n">
        <f aca="false">Q3891+S3891</f>
        <v>49.9062500320429</v>
      </c>
      <c r="V3891" s="54" t="b">
        <f aca="false">AND(D3891&gt;=01_因子設定!$L$5-0.000000001,D3891&lt;=01_因子設定!$M$5+0.000000001,E3891&gt;=01_因子設定!$L$6-0.000000001,E3891&lt;=01_因子設定!$M$6+0.000000001,F3891&gt;=01_因子設定!$L$7-0.000000001,F3891&lt;=01_因子設定!$M$7+0.000000001,IF(01_因子設定!$B$20="Box-Behnken",D3891^2+E3891^2+F3891^2&lt;=2+0.000000001,TRUE()))</f>
        <v>1</v>
      </c>
      <c r="W3891" s="55" t="n">
        <f aca="false">IF(V3891,IF(01_因子設定!$B$13="最大化",T3891-01_因子設定!$B$14,IF(01_因子設定!$B$13="最小化",01_因子設定!$B$15-U3891,MIN(T3891-01_因子設定!$B$14,01_因子設定!$B$15-U3891))),-1E+030)</f>
        <v>-0.609218782042859</v>
      </c>
      <c r="X3891" s="55" t="n">
        <f aca="false">IF(V3891,IF(01_因子設定!$B$13="最大化",Q3891,IF(01_因子設定!$B$13="最小化",-Q3891,-ABS(Q3891-01_因子設定!$B$16))),-1E+030)</f>
        <v>48.898515625</v>
      </c>
      <c r="Y3891" s="55" t="n">
        <f aca="false">W3891+ROW()*0.000000001</f>
        <v>-0.609214891042859</v>
      </c>
      <c r="Z3891" s="55" t="n">
        <f aca="false">X3891+ROW()*0.000000001</f>
        <v>48.898519516</v>
      </c>
    </row>
    <row r="3892" customFormat="false" ht="15" hidden="false" customHeight="false" outlineLevel="0" collapsed="false">
      <c r="A3892" s="0" t="n">
        <v>13</v>
      </c>
      <c r="B3892" s="0" t="n">
        <v>7</v>
      </c>
      <c r="C3892" s="0" t="n">
        <v>11</v>
      </c>
      <c r="D3892" s="0" t="n">
        <f aca="false">-1+A3892*0.125</f>
        <v>0.625</v>
      </c>
      <c r="E3892" s="0" t="n">
        <f aca="false">-1+B3892*0.125</f>
        <v>-0.125</v>
      </c>
      <c r="F3892" s="0" t="n">
        <f aca="false">-1+C3892*0.125</f>
        <v>0.375</v>
      </c>
      <c r="G3892" s="0" t="n">
        <f aca="false">1</f>
        <v>1</v>
      </c>
      <c r="H3892" s="0" t="n">
        <f aca="false">D3892</f>
        <v>0.625</v>
      </c>
      <c r="I3892" s="0" t="n">
        <f aca="false">E3892</f>
        <v>-0.125</v>
      </c>
      <c r="J3892" s="0" t="n">
        <f aca="false">F3892</f>
        <v>0.375</v>
      </c>
      <c r="K3892" s="0" t="n">
        <f aca="false">D3892*E3892</f>
        <v>-0.078125</v>
      </c>
      <c r="L3892" s="0" t="n">
        <f aca="false">D3892*F3892</f>
        <v>0.234375</v>
      </c>
      <c r="M3892" s="0" t="n">
        <f aca="false">E3892*F3892</f>
        <v>-0.046875</v>
      </c>
      <c r="N3892" s="0" t="n">
        <f aca="false">D3892*D3892</f>
        <v>0.390625</v>
      </c>
      <c r="O3892" s="0" t="n">
        <f aca="false">E3892*E3892</f>
        <v>0.015625</v>
      </c>
      <c r="P3892" s="0" t="n">
        <f aca="false">F3892*F3892</f>
        <v>0.140625</v>
      </c>
      <c r="Q3892" s="0" t="n">
        <f aca="false">SUMPRODUCT(G3892:P3892,_XtX!$B$71:$K$71)</f>
        <v>48.9602911931818</v>
      </c>
      <c r="R3892" s="0" t="n">
        <f aca="false">SUMPRODUCT(MMULT(G3892:P3892,_XtX!$B$58:$K$67),G3892:P3892)</f>
        <v>0.176578591086648</v>
      </c>
      <c r="S3892" s="0" t="n">
        <f aca="false">04_回帰ANOVA!$K$19*04_回帰ANOVA!$K$14*SQRT(1+R3892)</f>
        <v>1.00850279676269</v>
      </c>
      <c r="T3892" s="0" t="n">
        <f aca="false">Q3892-S3892</f>
        <v>47.9517883964191</v>
      </c>
      <c r="U3892" s="0" t="n">
        <f aca="false">Q3892+S3892</f>
        <v>49.9687939899445</v>
      </c>
      <c r="V3892" s="54" t="b">
        <f aca="false">AND(D3892&gt;=01_因子設定!$L$5-0.000000001,D3892&lt;=01_因子設定!$M$5+0.000000001,E3892&gt;=01_因子設定!$L$6-0.000000001,E3892&lt;=01_因子設定!$M$6+0.000000001,F3892&gt;=01_因子設定!$L$7-0.000000001,F3892&lt;=01_因子設定!$M$7+0.000000001,IF(01_因子設定!$B$20="Box-Behnken",D3892^2+E3892^2+F3892^2&lt;=2+0.000000001,TRUE()))</f>
        <v>1</v>
      </c>
      <c r="W3892" s="55" t="n">
        <f aca="false">IF(V3892,IF(01_因子設定!$B$13="最大化",T3892-01_因子設定!$B$14,IF(01_因子設定!$B$13="最小化",01_因子設定!$B$15-U3892,MIN(T3892-01_因子設定!$B$14,01_因子設定!$B$15-U3892))),-1E+030)</f>
        <v>-0.548211603580867</v>
      </c>
      <c r="X3892" s="55" t="n">
        <f aca="false">IF(V3892,IF(01_因子設定!$B$13="最大化",Q3892,IF(01_因子設定!$B$13="最小化",-Q3892,-ABS(Q3892-01_因子設定!$B$16))),-1E+030)</f>
        <v>48.9602911931818</v>
      </c>
      <c r="Y3892" s="55" t="n">
        <f aca="false">W3892+ROW()*0.000000001</f>
        <v>-0.548207711580867</v>
      </c>
      <c r="Z3892" s="55" t="n">
        <f aca="false">X3892+ROW()*0.000000001</f>
        <v>48.9602950851818</v>
      </c>
    </row>
    <row r="3893" customFormat="false" ht="15" hidden="false" customHeight="false" outlineLevel="0" collapsed="false">
      <c r="A3893" s="0" t="n">
        <v>13</v>
      </c>
      <c r="B3893" s="0" t="n">
        <v>7</v>
      </c>
      <c r="C3893" s="0" t="n">
        <v>12</v>
      </c>
      <c r="D3893" s="0" t="n">
        <f aca="false">-1+A3893*0.125</f>
        <v>0.625</v>
      </c>
      <c r="E3893" s="0" t="n">
        <f aca="false">-1+B3893*0.125</f>
        <v>-0.125</v>
      </c>
      <c r="F3893" s="0" t="n">
        <f aca="false">-1+C3893*0.125</f>
        <v>0.5</v>
      </c>
      <c r="G3893" s="0" t="n">
        <f aca="false">1</f>
        <v>1</v>
      </c>
      <c r="H3893" s="0" t="n">
        <f aca="false">D3893</f>
        <v>0.625</v>
      </c>
      <c r="I3893" s="0" t="n">
        <f aca="false">E3893</f>
        <v>-0.125</v>
      </c>
      <c r="J3893" s="0" t="n">
        <f aca="false">F3893</f>
        <v>0.5</v>
      </c>
      <c r="K3893" s="0" t="n">
        <f aca="false">D3893*E3893</f>
        <v>-0.078125</v>
      </c>
      <c r="L3893" s="0" t="n">
        <f aca="false">D3893*F3893</f>
        <v>0.3125</v>
      </c>
      <c r="M3893" s="0" t="n">
        <f aca="false">E3893*F3893</f>
        <v>-0.0625</v>
      </c>
      <c r="N3893" s="0" t="n">
        <f aca="false">D3893*D3893</f>
        <v>0.390625</v>
      </c>
      <c r="O3893" s="0" t="n">
        <f aca="false">E3893*E3893</f>
        <v>0.015625</v>
      </c>
      <c r="P3893" s="0" t="n">
        <f aca="false">F3893*F3893</f>
        <v>0.25</v>
      </c>
      <c r="Q3893" s="0" t="n">
        <f aca="false">SUMPRODUCT(G3893:P3893,_XtX!$B$71:$K$71)</f>
        <v>48.9852769886364</v>
      </c>
      <c r="R3893" s="0" t="n">
        <f aca="false">SUMPRODUCT(MMULT(G3893:P3893,_XtX!$B$58:$K$67),G3893:P3893)</f>
        <v>0.186545077237216</v>
      </c>
      <c r="S3893" s="0" t="n">
        <f aca="false">04_回帰ANOVA!$K$19*04_回帰ANOVA!$K$14*SQRT(1+R3893)</f>
        <v>1.01276516970713</v>
      </c>
      <c r="T3893" s="0" t="n">
        <f aca="false">Q3893-S3893</f>
        <v>47.9725118189292</v>
      </c>
      <c r="U3893" s="0" t="n">
        <f aca="false">Q3893+S3893</f>
        <v>49.9980421583435</v>
      </c>
      <c r="V3893" s="54" t="b">
        <f aca="false">AND(D3893&gt;=01_因子設定!$L$5-0.000000001,D3893&lt;=01_因子設定!$M$5+0.000000001,E3893&gt;=01_因子設定!$L$6-0.000000001,E3893&lt;=01_因子設定!$M$6+0.000000001,F3893&gt;=01_因子設定!$L$7-0.000000001,F3893&lt;=01_因子設定!$M$7+0.000000001,IF(01_因子設定!$B$20="Box-Behnken",D3893^2+E3893^2+F3893^2&lt;=2+0.000000001,TRUE()))</f>
        <v>1</v>
      </c>
      <c r="W3893" s="55" t="n">
        <f aca="false">IF(V3893,IF(01_因子設定!$B$13="最大化",T3893-01_因子設定!$B$14,IF(01_因子設定!$B$13="最小化",01_因子設定!$B$15-U3893,MIN(T3893-01_因子設定!$B$14,01_因子設定!$B$15-U3893))),-1E+030)</f>
        <v>-0.527488181070758</v>
      </c>
      <c r="X3893" s="55" t="n">
        <f aca="false">IF(V3893,IF(01_因子設定!$B$13="最大化",Q3893,IF(01_因子設定!$B$13="最小化",-Q3893,-ABS(Q3893-01_因子設定!$B$16))),-1E+030)</f>
        <v>48.9852769886364</v>
      </c>
      <c r="Y3893" s="55" t="n">
        <f aca="false">W3893+ROW()*0.000000001</f>
        <v>-0.527484288070758</v>
      </c>
      <c r="Z3893" s="55" t="n">
        <f aca="false">X3893+ROW()*0.000000001</f>
        <v>48.9852808816364</v>
      </c>
    </row>
    <row r="3894" customFormat="false" ht="15" hidden="false" customHeight="false" outlineLevel="0" collapsed="false">
      <c r="A3894" s="0" t="n">
        <v>13</v>
      </c>
      <c r="B3894" s="0" t="n">
        <v>7</v>
      </c>
      <c r="C3894" s="0" t="n">
        <v>13</v>
      </c>
      <c r="D3894" s="0" t="n">
        <f aca="false">-1+A3894*0.125</f>
        <v>0.625</v>
      </c>
      <c r="E3894" s="0" t="n">
        <f aca="false">-1+B3894*0.125</f>
        <v>-0.125</v>
      </c>
      <c r="F3894" s="0" t="n">
        <f aca="false">-1+C3894*0.125</f>
        <v>0.625</v>
      </c>
      <c r="G3894" s="0" t="n">
        <f aca="false">1</f>
        <v>1</v>
      </c>
      <c r="H3894" s="0" t="n">
        <f aca="false">D3894</f>
        <v>0.625</v>
      </c>
      <c r="I3894" s="0" t="n">
        <f aca="false">E3894</f>
        <v>-0.125</v>
      </c>
      <c r="J3894" s="0" t="n">
        <f aca="false">F3894</f>
        <v>0.625</v>
      </c>
      <c r="K3894" s="0" t="n">
        <f aca="false">D3894*E3894</f>
        <v>-0.078125</v>
      </c>
      <c r="L3894" s="0" t="n">
        <f aca="false">D3894*F3894</f>
        <v>0.390625</v>
      </c>
      <c r="M3894" s="0" t="n">
        <f aca="false">E3894*F3894</f>
        <v>-0.078125</v>
      </c>
      <c r="N3894" s="0" t="n">
        <f aca="false">D3894*D3894</f>
        <v>0.390625</v>
      </c>
      <c r="O3894" s="0" t="n">
        <f aca="false">E3894*E3894</f>
        <v>0.015625</v>
      </c>
      <c r="P3894" s="0" t="n">
        <f aca="false">F3894*F3894</f>
        <v>0.390625</v>
      </c>
      <c r="Q3894" s="0" t="n">
        <f aca="false">SUMPRODUCT(G3894:P3894,_XtX!$B$71:$K$71)</f>
        <v>48.9734730113636</v>
      </c>
      <c r="R3894" s="0" t="n">
        <f aca="false">SUMPRODUCT(MMULT(G3894:P3894,_XtX!$B$58:$K$67),G3894:P3894)</f>
        <v>0.212143221768466</v>
      </c>
      <c r="S3894" s="0" t="n">
        <f aca="false">04_回帰ANOVA!$K$19*04_回帰ANOVA!$K$14*SQRT(1+R3894)</f>
        <v>1.02363141237304</v>
      </c>
      <c r="T3894" s="0" t="n">
        <f aca="false">Q3894-S3894</f>
        <v>47.9498415989906</v>
      </c>
      <c r="U3894" s="0" t="n">
        <f aca="false">Q3894+S3894</f>
        <v>49.9971044237367</v>
      </c>
      <c r="V3894" s="54" t="b">
        <f aca="false">AND(D3894&gt;=01_因子設定!$L$5-0.000000001,D3894&lt;=01_因子設定!$M$5+0.000000001,E3894&gt;=01_因子設定!$L$6-0.000000001,E3894&lt;=01_因子設定!$M$6+0.000000001,F3894&gt;=01_因子設定!$L$7-0.000000001,F3894&lt;=01_因子設定!$M$7+0.000000001,IF(01_因子設定!$B$20="Box-Behnken",D3894^2+E3894^2+F3894^2&lt;=2+0.000000001,TRUE()))</f>
        <v>1</v>
      </c>
      <c r="W3894" s="55" t="n">
        <f aca="false">IF(V3894,IF(01_因子設定!$B$13="最大化",T3894-01_因子設定!$B$14,IF(01_因子設定!$B$13="最小化",01_因子設定!$B$15-U3894,MIN(T3894-01_因子設定!$B$14,01_因子設定!$B$15-U3894))),-1E+030)</f>
        <v>-0.550158401009398</v>
      </c>
      <c r="X3894" s="55" t="n">
        <f aca="false">IF(V3894,IF(01_因子設定!$B$13="最大化",Q3894,IF(01_因子設定!$B$13="最小化",-Q3894,-ABS(Q3894-01_因子設定!$B$16))),-1E+030)</f>
        <v>48.9734730113636</v>
      </c>
      <c r="Y3894" s="55" t="n">
        <f aca="false">W3894+ROW()*0.000000001</f>
        <v>-0.550154507009398</v>
      </c>
      <c r="Z3894" s="55" t="n">
        <f aca="false">X3894+ROW()*0.000000001</f>
        <v>48.9734769053637</v>
      </c>
    </row>
    <row r="3895" customFormat="false" ht="15" hidden="false" customHeight="false" outlineLevel="0" collapsed="false">
      <c r="A3895" s="0" t="n">
        <v>13</v>
      </c>
      <c r="B3895" s="0" t="n">
        <v>7</v>
      </c>
      <c r="C3895" s="0" t="n">
        <v>14</v>
      </c>
      <c r="D3895" s="0" t="n">
        <f aca="false">-1+A3895*0.125</f>
        <v>0.625</v>
      </c>
      <c r="E3895" s="0" t="n">
        <f aca="false">-1+B3895*0.125</f>
        <v>-0.125</v>
      </c>
      <c r="F3895" s="0" t="n">
        <f aca="false">-1+C3895*0.125</f>
        <v>0.75</v>
      </c>
      <c r="G3895" s="0" t="n">
        <f aca="false">1</f>
        <v>1</v>
      </c>
      <c r="H3895" s="0" t="n">
        <f aca="false">D3895</f>
        <v>0.625</v>
      </c>
      <c r="I3895" s="0" t="n">
        <f aca="false">E3895</f>
        <v>-0.125</v>
      </c>
      <c r="J3895" s="0" t="n">
        <f aca="false">F3895</f>
        <v>0.75</v>
      </c>
      <c r="K3895" s="0" t="n">
        <f aca="false">D3895*E3895</f>
        <v>-0.078125</v>
      </c>
      <c r="L3895" s="0" t="n">
        <f aca="false">D3895*F3895</f>
        <v>0.46875</v>
      </c>
      <c r="M3895" s="0" t="n">
        <f aca="false">E3895*F3895</f>
        <v>-0.09375</v>
      </c>
      <c r="N3895" s="0" t="n">
        <f aca="false">D3895*D3895</f>
        <v>0.390625</v>
      </c>
      <c r="O3895" s="0" t="n">
        <f aca="false">E3895*E3895</f>
        <v>0.015625</v>
      </c>
      <c r="P3895" s="0" t="n">
        <f aca="false">F3895*F3895</f>
        <v>0.5625</v>
      </c>
      <c r="Q3895" s="0" t="n">
        <f aca="false">SUMPRODUCT(G3895:P3895,_XtX!$B$71:$K$71)</f>
        <v>48.9248792613637</v>
      </c>
      <c r="R3895" s="0" t="n">
        <f aca="false">SUMPRODUCT(MMULT(G3895:P3895,_XtX!$B$58:$K$67),G3895:P3895)</f>
        <v>0.262961092862216</v>
      </c>
      <c r="S3895" s="0" t="n">
        <f aca="false">04_回帰ANOVA!$K$19*04_回帰ANOVA!$K$14*SQRT(1+R3895)</f>
        <v>1.04486846483649</v>
      </c>
      <c r="T3895" s="0" t="n">
        <f aca="false">Q3895-S3895</f>
        <v>47.8800107965272</v>
      </c>
      <c r="U3895" s="0" t="n">
        <f aca="false">Q3895+S3895</f>
        <v>49.9697477262001</v>
      </c>
      <c r="V3895" s="54" t="b">
        <f aca="false">AND(D3895&gt;=01_因子設定!$L$5-0.000000001,D3895&lt;=01_因子設定!$M$5+0.000000001,E3895&gt;=01_因子設定!$L$6-0.000000001,E3895&lt;=01_因子設定!$M$6+0.000000001,F3895&gt;=01_因子設定!$L$7-0.000000001,F3895&lt;=01_因子設定!$M$7+0.000000001,IF(01_因子設定!$B$20="Box-Behnken",D3895^2+E3895^2+F3895^2&lt;=2+0.000000001,TRUE()))</f>
        <v>1</v>
      </c>
      <c r="W3895" s="55" t="n">
        <f aca="false">IF(V3895,IF(01_因子設定!$B$13="最大化",T3895-01_因子設定!$B$14,IF(01_因子設定!$B$13="最小化",01_因子設定!$B$15-U3895,MIN(T3895-01_因子設定!$B$14,01_因子設定!$B$15-U3895))),-1E+030)</f>
        <v>-0.619989203472834</v>
      </c>
      <c r="X3895" s="55" t="n">
        <f aca="false">IF(V3895,IF(01_因子設定!$B$13="最大化",Q3895,IF(01_因子設定!$B$13="最小化",-Q3895,-ABS(Q3895-01_因子設定!$B$16))),-1E+030)</f>
        <v>48.9248792613637</v>
      </c>
      <c r="Y3895" s="55" t="n">
        <f aca="false">W3895+ROW()*0.000000001</f>
        <v>-0.619985308472834</v>
      </c>
      <c r="Z3895" s="55" t="n">
        <f aca="false">X3895+ROW()*0.000000001</f>
        <v>48.9248831563637</v>
      </c>
    </row>
    <row r="3896" customFormat="false" ht="15" hidden="false" customHeight="false" outlineLevel="0" collapsed="false">
      <c r="A3896" s="0" t="n">
        <v>13</v>
      </c>
      <c r="B3896" s="0" t="n">
        <v>7</v>
      </c>
      <c r="C3896" s="0" t="n">
        <v>15</v>
      </c>
      <c r="D3896" s="0" t="n">
        <f aca="false">-1+A3896*0.125</f>
        <v>0.625</v>
      </c>
      <c r="E3896" s="0" t="n">
        <f aca="false">-1+B3896*0.125</f>
        <v>-0.125</v>
      </c>
      <c r="F3896" s="0" t="n">
        <f aca="false">-1+C3896*0.125</f>
        <v>0.875</v>
      </c>
      <c r="G3896" s="0" t="n">
        <f aca="false">1</f>
        <v>1</v>
      </c>
      <c r="H3896" s="0" t="n">
        <f aca="false">D3896</f>
        <v>0.625</v>
      </c>
      <c r="I3896" s="0" t="n">
        <f aca="false">E3896</f>
        <v>-0.125</v>
      </c>
      <c r="J3896" s="0" t="n">
        <f aca="false">F3896</f>
        <v>0.875</v>
      </c>
      <c r="K3896" s="0" t="n">
        <f aca="false">D3896*E3896</f>
        <v>-0.078125</v>
      </c>
      <c r="L3896" s="0" t="n">
        <f aca="false">D3896*F3896</f>
        <v>0.546875</v>
      </c>
      <c r="M3896" s="0" t="n">
        <f aca="false">E3896*F3896</f>
        <v>-0.109375</v>
      </c>
      <c r="N3896" s="0" t="n">
        <f aca="false">D3896*D3896</f>
        <v>0.390625</v>
      </c>
      <c r="O3896" s="0" t="n">
        <f aca="false">E3896*E3896</f>
        <v>0.015625</v>
      </c>
      <c r="P3896" s="0" t="n">
        <f aca="false">F3896*F3896</f>
        <v>0.765625</v>
      </c>
      <c r="Q3896" s="0" t="n">
        <f aca="false">SUMPRODUCT(G3896:P3896,_XtX!$B$71:$K$71)</f>
        <v>48.8394957386364</v>
      </c>
      <c r="R3896" s="0" t="n">
        <f aca="false">SUMPRODUCT(MMULT(G3896:P3896,_XtX!$B$58:$K$67),G3896:P3896)</f>
        <v>0.350717440518466</v>
      </c>
      <c r="S3896" s="0" t="n">
        <f aca="false">04_回帰ANOVA!$K$19*04_回帰ANOVA!$K$14*SQRT(1+R3896)</f>
        <v>1.08056000737898</v>
      </c>
      <c r="T3896" s="0" t="n">
        <f aca="false">Q3896-S3896</f>
        <v>47.7589357312574</v>
      </c>
      <c r="U3896" s="0" t="n">
        <f aca="false">Q3896+S3896</f>
        <v>49.9200557460154</v>
      </c>
      <c r="V3896" s="54" t="b">
        <f aca="false">AND(D3896&gt;=01_因子設定!$L$5-0.000000001,D3896&lt;=01_因子設定!$M$5+0.000000001,E3896&gt;=01_因子設定!$L$6-0.000000001,E3896&lt;=01_因子設定!$M$6+0.000000001,F3896&gt;=01_因子設定!$L$7-0.000000001,F3896&lt;=01_因子設定!$M$7+0.000000001,IF(01_因子設定!$B$20="Box-Behnken",D3896^2+E3896^2+F3896^2&lt;=2+0.000000001,TRUE()))</f>
        <v>1</v>
      </c>
      <c r="W3896" s="55" t="n">
        <f aca="false">IF(V3896,IF(01_因子設定!$B$13="最大化",T3896-01_因子設定!$B$14,IF(01_因子設定!$B$13="最小化",01_因子設定!$B$15-U3896,MIN(T3896-01_因子設定!$B$14,01_因子設定!$B$15-U3896))),-1E+030)</f>
        <v>-0.741064268742598</v>
      </c>
      <c r="X3896" s="55" t="n">
        <f aca="false">IF(V3896,IF(01_因子設定!$B$13="最大化",Q3896,IF(01_因子設定!$B$13="最小化",-Q3896,-ABS(Q3896-01_因子設定!$B$16))),-1E+030)</f>
        <v>48.8394957386364</v>
      </c>
      <c r="Y3896" s="55" t="n">
        <f aca="false">W3896+ROW()*0.000000001</f>
        <v>-0.741060372742598</v>
      </c>
      <c r="Z3896" s="55" t="n">
        <f aca="false">X3896+ROW()*0.000000001</f>
        <v>48.8394996346364</v>
      </c>
    </row>
    <row r="3897" customFormat="false" ht="15" hidden="false" customHeight="false" outlineLevel="0" collapsed="false">
      <c r="A3897" s="0" t="n">
        <v>13</v>
      </c>
      <c r="B3897" s="0" t="n">
        <v>7</v>
      </c>
      <c r="C3897" s="0" t="n">
        <v>16</v>
      </c>
      <c r="D3897" s="0" t="n">
        <f aca="false">-1+A3897*0.125</f>
        <v>0.625</v>
      </c>
      <c r="E3897" s="0" t="n">
        <f aca="false">-1+B3897*0.125</f>
        <v>-0.125</v>
      </c>
      <c r="F3897" s="0" t="n">
        <f aca="false">-1+C3897*0.125</f>
        <v>1</v>
      </c>
      <c r="G3897" s="0" t="n">
        <f aca="false">1</f>
        <v>1</v>
      </c>
      <c r="H3897" s="0" t="n">
        <f aca="false">D3897</f>
        <v>0.625</v>
      </c>
      <c r="I3897" s="0" t="n">
        <f aca="false">E3897</f>
        <v>-0.125</v>
      </c>
      <c r="J3897" s="0" t="n">
        <f aca="false">F3897</f>
        <v>1</v>
      </c>
      <c r="K3897" s="0" t="n">
        <f aca="false">D3897*E3897</f>
        <v>-0.078125</v>
      </c>
      <c r="L3897" s="0" t="n">
        <f aca="false">D3897*F3897</f>
        <v>0.625</v>
      </c>
      <c r="M3897" s="0" t="n">
        <f aca="false">E3897*F3897</f>
        <v>-0.125</v>
      </c>
      <c r="N3897" s="0" t="n">
        <f aca="false">D3897*D3897</f>
        <v>0.390625</v>
      </c>
      <c r="O3897" s="0" t="n">
        <f aca="false">E3897*E3897</f>
        <v>0.015625</v>
      </c>
      <c r="P3897" s="0" t="n">
        <f aca="false">F3897*F3897</f>
        <v>1</v>
      </c>
      <c r="Q3897" s="0" t="n">
        <f aca="false">SUMPRODUCT(G3897:P3897,_XtX!$B$71:$K$71)</f>
        <v>48.7173224431818</v>
      </c>
      <c r="R3897" s="0" t="n">
        <f aca="false">SUMPRODUCT(MMULT(G3897:P3897,_XtX!$B$58:$K$67),G3897:P3897)</f>
        <v>0.489261696555398</v>
      </c>
      <c r="S3897" s="0" t="n">
        <f aca="false">04_回帰ANOVA!$K$19*04_回帰ANOVA!$K$14*SQRT(1+R3897)</f>
        <v>1.13462447083763</v>
      </c>
      <c r="T3897" s="0" t="n">
        <f aca="false">Q3897-S3897</f>
        <v>47.5826979723442</v>
      </c>
      <c r="U3897" s="0" t="n">
        <f aca="false">Q3897+S3897</f>
        <v>49.8519469140195</v>
      </c>
      <c r="V3897" s="54" t="b">
        <f aca="false">AND(D3897&gt;=01_因子設定!$L$5-0.000000001,D3897&lt;=01_因子設定!$M$5+0.000000001,E3897&gt;=01_因子設定!$L$6-0.000000001,E3897&lt;=01_因子設定!$M$6+0.000000001,F3897&gt;=01_因子設定!$L$7-0.000000001,F3897&lt;=01_因子設定!$M$7+0.000000001,IF(01_因子設定!$B$20="Box-Behnken",D3897^2+E3897^2+F3897^2&lt;=2+0.000000001,TRUE()))</f>
        <v>1</v>
      </c>
      <c r="W3897" s="55" t="n">
        <f aca="false">IF(V3897,IF(01_因子設定!$B$13="最大化",T3897-01_因子設定!$B$14,IF(01_因子設定!$B$13="最小化",01_因子設定!$B$15-U3897,MIN(T3897-01_因子設定!$B$14,01_因子設定!$B$15-U3897))),-1E+030)</f>
        <v>-0.917302027655794</v>
      </c>
      <c r="X3897" s="55" t="n">
        <f aca="false">IF(V3897,IF(01_因子設定!$B$13="最大化",Q3897,IF(01_因子設定!$B$13="最小化",-Q3897,-ABS(Q3897-01_因子設定!$B$16))),-1E+030)</f>
        <v>48.7173224431818</v>
      </c>
      <c r="Y3897" s="55" t="n">
        <f aca="false">W3897+ROW()*0.000000001</f>
        <v>-0.917298130655794</v>
      </c>
      <c r="Z3897" s="55" t="n">
        <f aca="false">X3897+ROW()*0.000000001</f>
        <v>48.7173263401818</v>
      </c>
    </row>
    <row r="3898" customFormat="false" ht="15" hidden="false" customHeight="false" outlineLevel="0" collapsed="false">
      <c r="A3898" s="0" t="n">
        <v>13</v>
      </c>
      <c r="B3898" s="0" t="n">
        <v>8</v>
      </c>
      <c r="C3898" s="0" t="n">
        <v>0</v>
      </c>
      <c r="D3898" s="0" t="n">
        <f aca="false">-1+A3898*0.125</f>
        <v>0.625</v>
      </c>
      <c r="E3898" s="0" t="n">
        <f aca="false">-1+B3898*0.125</f>
        <v>0</v>
      </c>
      <c r="F3898" s="0" t="n">
        <f aca="false">-1+C3898*0.125</f>
        <v>-1</v>
      </c>
      <c r="G3898" s="0" t="n">
        <f aca="false">1</f>
        <v>1</v>
      </c>
      <c r="H3898" s="0" t="n">
        <f aca="false">D3898</f>
        <v>0.625</v>
      </c>
      <c r="I3898" s="0" t="n">
        <f aca="false">E3898</f>
        <v>0</v>
      </c>
      <c r="J3898" s="0" t="n">
        <f aca="false">F3898</f>
        <v>-1</v>
      </c>
      <c r="K3898" s="0" t="n">
        <f aca="false">D3898*E3898</f>
        <v>0</v>
      </c>
      <c r="L3898" s="0" t="n">
        <f aca="false">D3898*F3898</f>
        <v>-0.625</v>
      </c>
      <c r="M3898" s="0" t="n">
        <f aca="false">E3898*F3898</f>
        <v>-0</v>
      </c>
      <c r="N3898" s="0" t="n">
        <f aca="false">D3898*D3898</f>
        <v>0.390625</v>
      </c>
      <c r="O3898" s="0" t="n">
        <f aca="false">E3898*E3898</f>
        <v>0</v>
      </c>
      <c r="P3898" s="0" t="n">
        <f aca="false">F3898*F3898</f>
        <v>1</v>
      </c>
      <c r="Q3898" s="0" t="n">
        <f aca="false">SUMPRODUCT(G3898:P3898,_XtX!$B$71:$K$71)</f>
        <v>46.5872017045455</v>
      </c>
      <c r="R3898" s="0" t="n">
        <f aca="false">SUMPRODUCT(MMULT(G3898:P3898,_XtX!$B$58:$K$67),G3898:P3898)</f>
        <v>0.492240767045455</v>
      </c>
      <c r="S3898" s="0" t="n">
        <f aca="false">04_回帰ANOVA!$K$19*04_回帰ANOVA!$K$14*SQRT(1+R3898)</f>
        <v>1.13575873676322</v>
      </c>
      <c r="T3898" s="0" t="n">
        <f aca="false">Q3898-S3898</f>
        <v>45.4514429677823</v>
      </c>
      <c r="U3898" s="0" t="n">
        <f aca="false">Q3898+S3898</f>
        <v>47.7229604413087</v>
      </c>
      <c r="V3898" s="54" t="b">
        <f aca="false">AND(D3898&gt;=01_因子設定!$L$5-0.000000001,D3898&lt;=01_因子設定!$M$5+0.000000001,E3898&gt;=01_因子設定!$L$6-0.000000001,E3898&lt;=01_因子設定!$M$6+0.000000001,F3898&gt;=01_因子設定!$L$7-0.000000001,F3898&lt;=01_因子設定!$M$7+0.000000001,IF(01_因子設定!$B$20="Box-Behnken",D3898^2+E3898^2+F3898^2&lt;=2+0.000000001,TRUE()))</f>
        <v>1</v>
      </c>
      <c r="W3898" s="55" t="n">
        <f aca="false">IF(V3898,IF(01_因子設定!$B$13="最大化",T3898-01_因子設定!$B$14,IF(01_因子設定!$B$13="最小化",01_因子設定!$B$15-U3898,MIN(T3898-01_因子設定!$B$14,01_因子設定!$B$15-U3898))),-1E+030)</f>
        <v>-3.04855703221774</v>
      </c>
      <c r="X3898" s="55" t="n">
        <f aca="false">IF(V3898,IF(01_因子設定!$B$13="最大化",Q3898,IF(01_因子設定!$B$13="最小化",-Q3898,-ABS(Q3898-01_因子設定!$B$16))),-1E+030)</f>
        <v>46.5872017045455</v>
      </c>
      <c r="Y3898" s="55" t="n">
        <f aca="false">W3898+ROW()*0.000000001</f>
        <v>-3.04855313421774</v>
      </c>
      <c r="Z3898" s="55" t="n">
        <f aca="false">X3898+ROW()*0.000000001</f>
        <v>46.5872056025455</v>
      </c>
    </row>
    <row r="3899" customFormat="false" ht="15" hidden="false" customHeight="false" outlineLevel="0" collapsed="false">
      <c r="A3899" s="0" t="n">
        <v>13</v>
      </c>
      <c r="B3899" s="0" t="n">
        <v>8</v>
      </c>
      <c r="C3899" s="0" t="n">
        <v>1</v>
      </c>
      <c r="D3899" s="0" t="n">
        <f aca="false">-1+A3899*0.125</f>
        <v>0.625</v>
      </c>
      <c r="E3899" s="0" t="n">
        <f aca="false">-1+B3899*0.125</f>
        <v>0</v>
      </c>
      <c r="F3899" s="0" t="n">
        <f aca="false">-1+C3899*0.125</f>
        <v>-0.875</v>
      </c>
      <c r="G3899" s="0" t="n">
        <f aca="false">1</f>
        <v>1</v>
      </c>
      <c r="H3899" s="0" t="n">
        <f aca="false">D3899</f>
        <v>0.625</v>
      </c>
      <c r="I3899" s="0" t="n">
        <f aca="false">E3899</f>
        <v>0</v>
      </c>
      <c r="J3899" s="0" t="n">
        <f aca="false">F3899</f>
        <v>-0.875</v>
      </c>
      <c r="K3899" s="0" t="n">
        <f aca="false">D3899*E3899</f>
        <v>0</v>
      </c>
      <c r="L3899" s="0" t="n">
        <f aca="false">D3899*F3899</f>
        <v>-0.546875</v>
      </c>
      <c r="M3899" s="0" t="n">
        <f aca="false">E3899*F3899</f>
        <v>-0</v>
      </c>
      <c r="N3899" s="0" t="n">
        <f aca="false">D3899*D3899</f>
        <v>0.390625</v>
      </c>
      <c r="O3899" s="0" t="n">
        <f aca="false">E3899*E3899</f>
        <v>0</v>
      </c>
      <c r="P3899" s="0" t="n">
        <f aca="false">F3899*F3899</f>
        <v>0.765625</v>
      </c>
      <c r="Q3899" s="0" t="n">
        <f aca="false">SUMPRODUCT(G3899:P3899,_XtX!$B$71:$K$71)</f>
        <v>47.02390625</v>
      </c>
      <c r="R3899" s="0" t="n">
        <f aca="false">SUMPRODUCT(MMULT(G3899:P3899,_XtX!$B$58:$K$67),G3899:P3899)</f>
        <v>0.353155517578125</v>
      </c>
      <c r="S3899" s="0" t="n">
        <f aca="false">04_回帰ANOVA!$K$19*04_回帰ANOVA!$K$14*SQRT(1+R3899)</f>
        <v>1.08153478594098</v>
      </c>
      <c r="T3899" s="0" t="n">
        <f aca="false">Q3899-S3899</f>
        <v>45.942371464059</v>
      </c>
      <c r="U3899" s="0" t="n">
        <f aca="false">Q3899+S3899</f>
        <v>48.105441035941</v>
      </c>
      <c r="V3899" s="54" t="b">
        <f aca="false">AND(D3899&gt;=01_因子設定!$L$5-0.000000001,D3899&lt;=01_因子設定!$M$5+0.000000001,E3899&gt;=01_因子設定!$L$6-0.000000001,E3899&lt;=01_因子設定!$M$6+0.000000001,F3899&gt;=01_因子設定!$L$7-0.000000001,F3899&lt;=01_因子設定!$M$7+0.000000001,IF(01_因子設定!$B$20="Box-Behnken",D3899^2+E3899^2+F3899^2&lt;=2+0.000000001,TRUE()))</f>
        <v>1</v>
      </c>
      <c r="W3899" s="55" t="n">
        <f aca="false">IF(V3899,IF(01_因子設定!$B$13="最大化",T3899-01_因子設定!$B$14,IF(01_因子設定!$B$13="最小化",01_因子設定!$B$15-U3899,MIN(T3899-01_因子設定!$B$14,01_因子設定!$B$15-U3899))),-1E+030)</f>
        <v>-2.55762853594096</v>
      </c>
      <c r="X3899" s="55" t="n">
        <f aca="false">IF(V3899,IF(01_因子設定!$B$13="最大化",Q3899,IF(01_因子設定!$B$13="最小化",-Q3899,-ABS(Q3899-01_因子設定!$B$16))),-1E+030)</f>
        <v>47.02390625</v>
      </c>
      <c r="Y3899" s="55" t="n">
        <f aca="false">W3899+ROW()*0.000000001</f>
        <v>-2.55762463694096</v>
      </c>
      <c r="Z3899" s="55" t="n">
        <f aca="false">X3899+ROW()*0.000000001</f>
        <v>47.023910149</v>
      </c>
    </row>
    <row r="3900" customFormat="false" ht="15" hidden="false" customHeight="false" outlineLevel="0" collapsed="false">
      <c r="A3900" s="0" t="n">
        <v>13</v>
      </c>
      <c r="B3900" s="0" t="n">
        <v>8</v>
      </c>
      <c r="C3900" s="0" t="n">
        <v>2</v>
      </c>
      <c r="D3900" s="0" t="n">
        <f aca="false">-1+A3900*0.125</f>
        <v>0.625</v>
      </c>
      <c r="E3900" s="0" t="n">
        <f aca="false">-1+B3900*0.125</f>
        <v>0</v>
      </c>
      <c r="F3900" s="0" t="n">
        <f aca="false">-1+C3900*0.125</f>
        <v>-0.75</v>
      </c>
      <c r="G3900" s="0" t="n">
        <f aca="false">1</f>
        <v>1</v>
      </c>
      <c r="H3900" s="0" t="n">
        <f aca="false">D3900</f>
        <v>0.625</v>
      </c>
      <c r="I3900" s="0" t="n">
        <f aca="false">E3900</f>
        <v>0</v>
      </c>
      <c r="J3900" s="0" t="n">
        <f aca="false">F3900</f>
        <v>-0.75</v>
      </c>
      <c r="K3900" s="0" t="n">
        <f aca="false">D3900*E3900</f>
        <v>0</v>
      </c>
      <c r="L3900" s="0" t="n">
        <f aca="false">D3900*F3900</f>
        <v>-0.46875</v>
      </c>
      <c r="M3900" s="0" t="n">
        <f aca="false">E3900*F3900</f>
        <v>-0</v>
      </c>
      <c r="N3900" s="0" t="n">
        <f aca="false">D3900*D3900</f>
        <v>0.390625</v>
      </c>
      <c r="O3900" s="0" t="n">
        <f aca="false">E3900*E3900</f>
        <v>0</v>
      </c>
      <c r="P3900" s="0" t="n">
        <f aca="false">F3900*F3900</f>
        <v>0.5625</v>
      </c>
      <c r="Q3900" s="0" t="n">
        <f aca="false">SUMPRODUCT(G3900:P3900,_XtX!$B$71:$K$71)</f>
        <v>47.4238210227273</v>
      </c>
      <c r="R3900" s="0" t="n">
        <f aca="false">SUMPRODUCT(MMULT(G3900:P3900,_XtX!$B$58:$K$67),G3900:P3900)</f>
        <v>0.264930308948864</v>
      </c>
      <c r="S3900" s="0" t="n">
        <f aca="false">04_回帰ANOVA!$K$19*04_回帰ANOVA!$K$14*SQRT(1+R3900)</f>
        <v>1.04568272997153</v>
      </c>
      <c r="T3900" s="0" t="n">
        <f aca="false">Q3900-S3900</f>
        <v>46.3781382927558</v>
      </c>
      <c r="U3900" s="0" t="n">
        <f aca="false">Q3900+S3900</f>
        <v>48.4695037526988</v>
      </c>
      <c r="V3900" s="54" t="b">
        <f aca="false">AND(D3900&gt;=01_因子設定!$L$5-0.000000001,D3900&lt;=01_因子設定!$M$5+0.000000001,E3900&gt;=01_因子設定!$L$6-0.000000001,E3900&lt;=01_因子設定!$M$6+0.000000001,F3900&gt;=01_因子設定!$L$7-0.000000001,F3900&lt;=01_因子設定!$M$7+0.000000001,IF(01_因子設定!$B$20="Box-Behnken",D3900^2+E3900^2+F3900^2&lt;=2+0.000000001,TRUE()))</f>
        <v>1</v>
      </c>
      <c r="W3900" s="55" t="n">
        <f aca="false">IF(V3900,IF(01_因子設定!$B$13="最大化",T3900-01_因子設定!$B$14,IF(01_因子設定!$B$13="最小化",01_因子設定!$B$15-U3900,MIN(T3900-01_因子設定!$B$14,01_因子設定!$B$15-U3900))),-1E+030)</f>
        <v>-2.12186170724424</v>
      </c>
      <c r="X3900" s="55" t="n">
        <f aca="false">IF(V3900,IF(01_因子設定!$B$13="最大化",Q3900,IF(01_因子設定!$B$13="最小化",-Q3900,-ABS(Q3900-01_因子設定!$B$16))),-1E+030)</f>
        <v>47.4238210227273</v>
      </c>
      <c r="Y3900" s="55" t="n">
        <f aca="false">W3900+ROW()*0.000000001</f>
        <v>-2.12185780724424</v>
      </c>
      <c r="Z3900" s="55" t="n">
        <f aca="false">X3900+ROW()*0.000000001</f>
        <v>47.4238249227273</v>
      </c>
    </row>
    <row r="3901" customFormat="false" ht="15" hidden="false" customHeight="false" outlineLevel="0" collapsed="false">
      <c r="A3901" s="0" t="n">
        <v>13</v>
      </c>
      <c r="B3901" s="0" t="n">
        <v>8</v>
      </c>
      <c r="C3901" s="0" t="n">
        <v>3</v>
      </c>
      <c r="D3901" s="0" t="n">
        <f aca="false">-1+A3901*0.125</f>
        <v>0.625</v>
      </c>
      <c r="E3901" s="0" t="n">
        <f aca="false">-1+B3901*0.125</f>
        <v>0</v>
      </c>
      <c r="F3901" s="0" t="n">
        <f aca="false">-1+C3901*0.125</f>
        <v>-0.625</v>
      </c>
      <c r="G3901" s="0" t="n">
        <f aca="false">1</f>
        <v>1</v>
      </c>
      <c r="H3901" s="0" t="n">
        <f aca="false">D3901</f>
        <v>0.625</v>
      </c>
      <c r="I3901" s="0" t="n">
        <f aca="false">E3901</f>
        <v>0</v>
      </c>
      <c r="J3901" s="0" t="n">
        <f aca="false">F3901</f>
        <v>-0.625</v>
      </c>
      <c r="K3901" s="0" t="n">
        <f aca="false">D3901*E3901</f>
        <v>0</v>
      </c>
      <c r="L3901" s="0" t="n">
        <f aca="false">D3901*F3901</f>
        <v>-0.390625</v>
      </c>
      <c r="M3901" s="0" t="n">
        <f aca="false">E3901*F3901</f>
        <v>-0</v>
      </c>
      <c r="N3901" s="0" t="n">
        <f aca="false">D3901*D3901</f>
        <v>0.390625</v>
      </c>
      <c r="O3901" s="0" t="n">
        <f aca="false">E3901*E3901</f>
        <v>0</v>
      </c>
      <c r="P3901" s="0" t="n">
        <f aca="false">F3901*F3901</f>
        <v>0.390625</v>
      </c>
      <c r="Q3901" s="0" t="n">
        <f aca="false">SUMPRODUCT(G3901:P3901,_XtX!$B$71:$K$71)</f>
        <v>47.7869460227273</v>
      </c>
      <c r="R3901" s="0" t="n">
        <f aca="false">SUMPRODUCT(MMULT(G3901:P3901,_XtX!$B$58:$K$67),G3901:P3901)</f>
        <v>0.213715709339489</v>
      </c>
      <c r="S3901" s="0" t="n">
        <f aca="false">04_回帰ANOVA!$K$19*04_回帰ANOVA!$K$14*SQRT(1+R3901)</f>
        <v>1.02429516478377</v>
      </c>
      <c r="T3901" s="0" t="n">
        <f aca="false">Q3901-S3901</f>
        <v>46.7626508579435</v>
      </c>
      <c r="U3901" s="0" t="n">
        <f aca="false">Q3901+S3901</f>
        <v>48.8112411875111</v>
      </c>
      <c r="V3901" s="54" t="b">
        <f aca="false">AND(D3901&gt;=01_因子設定!$L$5-0.000000001,D3901&lt;=01_因子設定!$M$5+0.000000001,E3901&gt;=01_因子設定!$L$6-0.000000001,E3901&lt;=01_因子設定!$M$6+0.000000001,F3901&gt;=01_因子設定!$L$7-0.000000001,F3901&lt;=01_因子設定!$M$7+0.000000001,IF(01_因子設定!$B$20="Box-Behnken",D3901^2+E3901^2+F3901^2&lt;=2+0.000000001,TRUE()))</f>
        <v>1</v>
      </c>
      <c r="W3901" s="55" t="n">
        <f aca="false">IF(V3901,IF(01_因子設定!$B$13="最大化",T3901-01_因子設定!$B$14,IF(01_因子設定!$B$13="最小化",01_因子設定!$B$15-U3901,MIN(T3901-01_因子設定!$B$14,01_因子設定!$B$15-U3901))),-1E+030)</f>
        <v>-1.73734914205649</v>
      </c>
      <c r="X3901" s="55" t="n">
        <f aca="false">IF(V3901,IF(01_因子設定!$B$13="最大化",Q3901,IF(01_因子設定!$B$13="最小化",-Q3901,-ABS(Q3901-01_因子設定!$B$16))),-1E+030)</f>
        <v>47.7869460227273</v>
      </c>
      <c r="Y3901" s="55" t="n">
        <f aca="false">W3901+ROW()*0.000000001</f>
        <v>-1.73734524105649</v>
      </c>
      <c r="Z3901" s="55" t="n">
        <f aca="false">X3901+ROW()*0.000000001</f>
        <v>47.7869499237273</v>
      </c>
    </row>
    <row r="3902" customFormat="false" ht="15" hidden="false" customHeight="false" outlineLevel="0" collapsed="false">
      <c r="A3902" s="0" t="n">
        <v>13</v>
      </c>
      <c r="B3902" s="0" t="n">
        <v>8</v>
      </c>
      <c r="C3902" s="0" t="n">
        <v>4</v>
      </c>
      <c r="D3902" s="0" t="n">
        <f aca="false">-1+A3902*0.125</f>
        <v>0.625</v>
      </c>
      <c r="E3902" s="0" t="n">
        <f aca="false">-1+B3902*0.125</f>
        <v>0</v>
      </c>
      <c r="F3902" s="0" t="n">
        <f aca="false">-1+C3902*0.125</f>
        <v>-0.5</v>
      </c>
      <c r="G3902" s="0" t="n">
        <f aca="false">1</f>
        <v>1</v>
      </c>
      <c r="H3902" s="0" t="n">
        <f aca="false">D3902</f>
        <v>0.625</v>
      </c>
      <c r="I3902" s="0" t="n">
        <f aca="false">E3902</f>
        <v>0</v>
      </c>
      <c r="J3902" s="0" t="n">
        <f aca="false">F3902</f>
        <v>-0.5</v>
      </c>
      <c r="K3902" s="0" t="n">
        <f aca="false">D3902*E3902</f>
        <v>0</v>
      </c>
      <c r="L3902" s="0" t="n">
        <f aca="false">D3902*F3902</f>
        <v>-0.3125</v>
      </c>
      <c r="M3902" s="0" t="n">
        <f aca="false">E3902*F3902</f>
        <v>-0</v>
      </c>
      <c r="N3902" s="0" t="n">
        <f aca="false">D3902*D3902</f>
        <v>0.390625</v>
      </c>
      <c r="O3902" s="0" t="n">
        <f aca="false">E3902*E3902</f>
        <v>0</v>
      </c>
      <c r="P3902" s="0" t="n">
        <f aca="false">F3902*F3902</f>
        <v>0.25</v>
      </c>
      <c r="Q3902" s="0" t="n">
        <f aca="false">SUMPRODUCT(G3902:P3902,_XtX!$B$71:$K$71)</f>
        <v>48.11328125</v>
      </c>
      <c r="R3902" s="0" t="n">
        <f aca="false">SUMPRODUCT(MMULT(G3902:P3902,_XtX!$B$58:$K$67),G3902:P3902)</f>
        <v>0.18779296875</v>
      </c>
      <c r="S3902" s="0" t="n">
        <f aca="false">04_回帰ANOVA!$K$19*04_回帰ANOVA!$K$14*SQRT(1+R3902)</f>
        <v>1.01329759319777</v>
      </c>
      <c r="T3902" s="0" t="n">
        <f aca="false">Q3902-S3902</f>
        <v>47.0999836568022</v>
      </c>
      <c r="U3902" s="0" t="n">
        <f aca="false">Q3902+S3902</f>
        <v>49.1265788431978</v>
      </c>
      <c r="V3902" s="54" t="b">
        <f aca="false">AND(D3902&gt;=01_因子設定!$L$5-0.000000001,D3902&lt;=01_因子設定!$M$5+0.000000001,E3902&gt;=01_因子設定!$L$6-0.000000001,E3902&lt;=01_因子設定!$M$6+0.000000001,F3902&gt;=01_因子設定!$L$7-0.000000001,F3902&lt;=01_因子設定!$M$7+0.000000001,IF(01_因子設定!$B$20="Box-Behnken",D3902^2+E3902^2+F3902^2&lt;=2+0.000000001,TRUE()))</f>
        <v>1</v>
      </c>
      <c r="W3902" s="55" t="n">
        <f aca="false">IF(V3902,IF(01_因子設定!$B$13="最大化",T3902-01_因子設定!$B$14,IF(01_因子設定!$B$13="最小化",01_因子設定!$B$15-U3902,MIN(T3902-01_因子設定!$B$14,01_因子設定!$B$15-U3902))),-1E+030)</f>
        <v>-1.40001634319776</v>
      </c>
      <c r="X3902" s="55" t="n">
        <f aca="false">IF(V3902,IF(01_因子設定!$B$13="最大化",Q3902,IF(01_因子設定!$B$13="最小化",-Q3902,-ABS(Q3902-01_因子設定!$B$16))),-1E+030)</f>
        <v>48.11328125</v>
      </c>
      <c r="Y3902" s="55" t="n">
        <f aca="false">W3902+ROW()*0.000000001</f>
        <v>-1.40001244119776</v>
      </c>
      <c r="Z3902" s="55" t="n">
        <f aca="false">X3902+ROW()*0.000000001</f>
        <v>48.113285152</v>
      </c>
    </row>
    <row r="3903" customFormat="false" ht="15" hidden="false" customHeight="false" outlineLevel="0" collapsed="false">
      <c r="A3903" s="0" t="n">
        <v>13</v>
      </c>
      <c r="B3903" s="0" t="n">
        <v>8</v>
      </c>
      <c r="C3903" s="0" t="n">
        <v>5</v>
      </c>
      <c r="D3903" s="0" t="n">
        <f aca="false">-1+A3903*0.125</f>
        <v>0.625</v>
      </c>
      <c r="E3903" s="0" t="n">
        <f aca="false">-1+B3903*0.125</f>
        <v>0</v>
      </c>
      <c r="F3903" s="0" t="n">
        <f aca="false">-1+C3903*0.125</f>
        <v>-0.375</v>
      </c>
      <c r="G3903" s="0" t="n">
        <f aca="false">1</f>
        <v>1</v>
      </c>
      <c r="H3903" s="0" t="n">
        <f aca="false">D3903</f>
        <v>0.625</v>
      </c>
      <c r="I3903" s="0" t="n">
        <f aca="false">E3903</f>
        <v>0</v>
      </c>
      <c r="J3903" s="0" t="n">
        <f aca="false">F3903</f>
        <v>-0.375</v>
      </c>
      <c r="K3903" s="0" t="n">
        <f aca="false">D3903*E3903</f>
        <v>0</v>
      </c>
      <c r="L3903" s="0" t="n">
        <f aca="false">D3903*F3903</f>
        <v>-0.234375</v>
      </c>
      <c r="M3903" s="0" t="n">
        <f aca="false">E3903*F3903</f>
        <v>-0</v>
      </c>
      <c r="N3903" s="0" t="n">
        <f aca="false">D3903*D3903</f>
        <v>0.390625</v>
      </c>
      <c r="O3903" s="0" t="n">
        <f aca="false">E3903*E3903</f>
        <v>0</v>
      </c>
      <c r="P3903" s="0" t="n">
        <f aca="false">F3903*F3903</f>
        <v>0.140625</v>
      </c>
      <c r="Q3903" s="0" t="n">
        <f aca="false">SUMPRODUCT(G3903:P3903,_XtX!$B$71:$K$71)</f>
        <v>48.4028267045455</v>
      </c>
      <c r="R3903" s="0" t="n">
        <f aca="false">SUMPRODUCT(MMULT(G3903:P3903,_XtX!$B$58:$K$67),G3903:P3903)</f>
        <v>0.17757401899858</v>
      </c>
      <c r="S3903" s="0" t="n">
        <f aca="false">04_回帰ANOVA!$K$19*04_回帰ANOVA!$K$14*SQRT(1+R3903)</f>
        <v>1.00892932143276</v>
      </c>
      <c r="T3903" s="0" t="n">
        <f aca="false">Q3903-S3903</f>
        <v>47.3938973831127</v>
      </c>
      <c r="U3903" s="0" t="n">
        <f aca="false">Q3903+S3903</f>
        <v>49.4117560259782</v>
      </c>
      <c r="V3903" s="54" t="b">
        <f aca="false">AND(D3903&gt;=01_因子設定!$L$5-0.000000001,D3903&lt;=01_因子設定!$M$5+0.000000001,E3903&gt;=01_因子設定!$L$6-0.000000001,E3903&lt;=01_因子設定!$M$6+0.000000001,F3903&gt;=01_因子設定!$L$7-0.000000001,F3903&lt;=01_因子設定!$M$7+0.000000001,IF(01_因子設定!$B$20="Box-Behnken",D3903^2+E3903^2+F3903^2&lt;=2+0.000000001,TRUE()))</f>
        <v>1</v>
      </c>
      <c r="W3903" s="55" t="n">
        <f aca="false">IF(V3903,IF(01_因子設定!$B$13="最大化",T3903-01_因子設定!$B$14,IF(01_因子設定!$B$13="最小化",01_因子設定!$B$15-U3903,MIN(T3903-01_因子設定!$B$14,01_因子設定!$B$15-U3903))),-1E+030)</f>
        <v>-1.1061026168873</v>
      </c>
      <c r="X3903" s="55" t="n">
        <f aca="false">IF(V3903,IF(01_因子設定!$B$13="最大化",Q3903,IF(01_因子設定!$B$13="最小化",-Q3903,-ABS(Q3903-01_因子設定!$B$16))),-1E+030)</f>
        <v>48.4028267045455</v>
      </c>
      <c r="Y3903" s="55" t="n">
        <f aca="false">W3903+ROW()*0.000000001</f>
        <v>-1.1060987138873</v>
      </c>
      <c r="Z3903" s="55" t="n">
        <f aca="false">X3903+ROW()*0.000000001</f>
        <v>48.4028306075455</v>
      </c>
    </row>
    <row r="3904" customFormat="false" ht="15" hidden="false" customHeight="false" outlineLevel="0" collapsed="false">
      <c r="A3904" s="0" t="n">
        <v>13</v>
      </c>
      <c r="B3904" s="0" t="n">
        <v>8</v>
      </c>
      <c r="C3904" s="0" t="n">
        <v>6</v>
      </c>
      <c r="D3904" s="0" t="n">
        <f aca="false">-1+A3904*0.125</f>
        <v>0.625</v>
      </c>
      <c r="E3904" s="0" t="n">
        <f aca="false">-1+B3904*0.125</f>
        <v>0</v>
      </c>
      <c r="F3904" s="0" t="n">
        <f aca="false">-1+C3904*0.125</f>
        <v>-0.25</v>
      </c>
      <c r="G3904" s="0" t="n">
        <f aca="false">1</f>
        <v>1</v>
      </c>
      <c r="H3904" s="0" t="n">
        <f aca="false">D3904</f>
        <v>0.625</v>
      </c>
      <c r="I3904" s="0" t="n">
        <f aca="false">E3904</f>
        <v>0</v>
      </c>
      <c r="J3904" s="0" t="n">
        <f aca="false">F3904</f>
        <v>-0.25</v>
      </c>
      <c r="K3904" s="0" t="n">
        <f aca="false">D3904*E3904</f>
        <v>0</v>
      </c>
      <c r="L3904" s="0" t="n">
        <f aca="false">D3904*F3904</f>
        <v>-0.15625</v>
      </c>
      <c r="M3904" s="0" t="n">
        <f aca="false">E3904*F3904</f>
        <v>-0</v>
      </c>
      <c r="N3904" s="0" t="n">
        <f aca="false">D3904*D3904</f>
        <v>0.390625</v>
      </c>
      <c r="O3904" s="0" t="n">
        <f aca="false">E3904*E3904</f>
        <v>0</v>
      </c>
      <c r="P3904" s="0" t="n">
        <f aca="false">F3904*F3904</f>
        <v>0.0625</v>
      </c>
      <c r="Q3904" s="0" t="n">
        <f aca="false">SUMPRODUCT(G3904:P3904,_XtX!$B$71:$K$71)</f>
        <v>48.6555823863636</v>
      </c>
      <c r="R3904" s="0" t="n">
        <f aca="false">SUMPRODUCT(MMULT(G3904:P3904,_XtX!$B$58:$K$67),G3904:P3904)</f>
        <v>0.175601473721591</v>
      </c>
      <c r="S3904" s="0" t="n">
        <f aca="false">04_回帰ANOVA!$K$19*04_回帰ANOVA!$K$14*SQRT(1+R3904)</f>
        <v>1.00808394234856</v>
      </c>
      <c r="T3904" s="0" t="n">
        <f aca="false">Q3904-S3904</f>
        <v>47.6474984440151</v>
      </c>
      <c r="U3904" s="0" t="n">
        <f aca="false">Q3904+S3904</f>
        <v>49.6636663287122</v>
      </c>
      <c r="V3904" s="54" t="b">
        <f aca="false">AND(D3904&gt;=01_因子設定!$L$5-0.000000001,D3904&lt;=01_因子設定!$M$5+0.000000001,E3904&gt;=01_因子設定!$L$6-0.000000001,E3904&lt;=01_因子設定!$M$6+0.000000001,F3904&gt;=01_因子設定!$L$7-0.000000001,F3904&lt;=01_因子設定!$M$7+0.000000001,IF(01_因子設定!$B$20="Box-Behnken",D3904^2+E3904^2+F3904^2&lt;=2+0.000000001,TRUE()))</f>
        <v>1</v>
      </c>
      <c r="W3904" s="55" t="n">
        <f aca="false">IF(V3904,IF(01_因子設定!$B$13="最大化",T3904-01_因子設定!$B$14,IF(01_因子設定!$B$13="最小化",01_因子設定!$B$15-U3904,MIN(T3904-01_因子設定!$B$14,01_因子設定!$B$15-U3904))),-1E+030)</f>
        <v>-0.852501555984922</v>
      </c>
      <c r="X3904" s="55" t="n">
        <f aca="false">IF(V3904,IF(01_因子設定!$B$13="最大化",Q3904,IF(01_因子設定!$B$13="最小化",-Q3904,-ABS(Q3904-01_因子設定!$B$16))),-1E+030)</f>
        <v>48.6555823863636</v>
      </c>
      <c r="Y3904" s="55" t="n">
        <f aca="false">W3904+ROW()*0.000000001</f>
        <v>-0.852497651984922</v>
      </c>
      <c r="Z3904" s="55" t="n">
        <f aca="false">X3904+ROW()*0.000000001</f>
        <v>48.6555862903636</v>
      </c>
    </row>
    <row r="3905" customFormat="false" ht="15" hidden="false" customHeight="false" outlineLevel="0" collapsed="false">
      <c r="A3905" s="0" t="n">
        <v>13</v>
      </c>
      <c r="B3905" s="0" t="n">
        <v>8</v>
      </c>
      <c r="C3905" s="0" t="n">
        <v>7</v>
      </c>
      <c r="D3905" s="0" t="n">
        <f aca="false">-1+A3905*0.125</f>
        <v>0.625</v>
      </c>
      <c r="E3905" s="0" t="n">
        <f aca="false">-1+B3905*0.125</f>
        <v>0</v>
      </c>
      <c r="F3905" s="0" t="n">
        <f aca="false">-1+C3905*0.125</f>
        <v>-0.125</v>
      </c>
      <c r="G3905" s="0" t="n">
        <f aca="false">1</f>
        <v>1</v>
      </c>
      <c r="H3905" s="0" t="n">
        <f aca="false">D3905</f>
        <v>0.625</v>
      </c>
      <c r="I3905" s="0" t="n">
        <f aca="false">E3905</f>
        <v>0</v>
      </c>
      <c r="J3905" s="0" t="n">
        <f aca="false">F3905</f>
        <v>-0.125</v>
      </c>
      <c r="K3905" s="0" t="n">
        <f aca="false">D3905*E3905</f>
        <v>0</v>
      </c>
      <c r="L3905" s="0" t="n">
        <f aca="false">D3905*F3905</f>
        <v>-0.078125</v>
      </c>
      <c r="M3905" s="0" t="n">
        <f aca="false">E3905*F3905</f>
        <v>-0</v>
      </c>
      <c r="N3905" s="0" t="n">
        <f aca="false">D3905*D3905</f>
        <v>0.390625</v>
      </c>
      <c r="O3905" s="0" t="n">
        <f aca="false">E3905*E3905</f>
        <v>0</v>
      </c>
      <c r="P3905" s="0" t="n">
        <f aca="false">F3905*F3905</f>
        <v>0.015625</v>
      </c>
      <c r="Q3905" s="0" t="n">
        <f aca="false">SUMPRODUCT(G3905:P3905,_XtX!$B$71:$K$71)</f>
        <v>48.8715482954545</v>
      </c>
      <c r="R3905" s="0" t="n">
        <f aca="false">SUMPRODUCT(MMULT(G3905:P3905,_XtX!$B$58:$K$67),G3905:P3905)</f>
        <v>0.17654862837358</v>
      </c>
      <c r="S3905" s="0" t="n">
        <f aca="false">04_回帰ANOVA!$K$19*04_回帰ANOVA!$K$14*SQRT(1+R3905)</f>
        <v>1.00848995543082</v>
      </c>
      <c r="T3905" s="0" t="n">
        <f aca="false">Q3905-S3905</f>
        <v>47.8630583400237</v>
      </c>
      <c r="U3905" s="0" t="n">
        <f aca="false">Q3905+S3905</f>
        <v>49.8800382508854</v>
      </c>
      <c r="V3905" s="54" t="b">
        <f aca="false">AND(D3905&gt;=01_因子設定!$L$5-0.000000001,D3905&lt;=01_因子設定!$M$5+0.000000001,E3905&gt;=01_因子設定!$L$6-0.000000001,E3905&lt;=01_因子設定!$M$6+0.000000001,F3905&gt;=01_因子設定!$L$7-0.000000001,F3905&lt;=01_因子設定!$M$7+0.000000001,IF(01_因子設定!$B$20="Box-Behnken",D3905^2+E3905^2+F3905^2&lt;=2+0.000000001,TRUE()))</f>
        <v>1</v>
      </c>
      <c r="W3905" s="55" t="n">
        <f aca="false">IF(V3905,IF(01_因子設定!$B$13="最大化",T3905-01_因子設定!$B$14,IF(01_因子設定!$B$13="最小化",01_因子設定!$B$15-U3905,MIN(T3905-01_因子設定!$B$14,01_因子設定!$B$15-U3905))),-1E+030)</f>
        <v>-0.63694165997628</v>
      </c>
      <c r="X3905" s="55" t="n">
        <f aca="false">IF(V3905,IF(01_因子設定!$B$13="最大化",Q3905,IF(01_因子設定!$B$13="最小化",-Q3905,-ABS(Q3905-01_因子設定!$B$16))),-1E+030)</f>
        <v>48.8715482954545</v>
      </c>
      <c r="Y3905" s="55" t="n">
        <f aca="false">W3905+ROW()*0.000000001</f>
        <v>-0.63693775497628</v>
      </c>
      <c r="Z3905" s="55" t="n">
        <f aca="false">X3905+ROW()*0.000000001</f>
        <v>48.8715522004545</v>
      </c>
    </row>
    <row r="3906" customFormat="false" ht="15" hidden="false" customHeight="false" outlineLevel="0" collapsed="false">
      <c r="A3906" s="0" t="n">
        <v>13</v>
      </c>
      <c r="B3906" s="0" t="n">
        <v>8</v>
      </c>
      <c r="C3906" s="0" t="n">
        <v>8</v>
      </c>
      <c r="D3906" s="0" t="n">
        <f aca="false">-1+A3906*0.125</f>
        <v>0.625</v>
      </c>
      <c r="E3906" s="0" t="n">
        <f aca="false">-1+B3906*0.125</f>
        <v>0</v>
      </c>
      <c r="F3906" s="0" t="n">
        <f aca="false">-1+C3906*0.125</f>
        <v>0</v>
      </c>
      <c r="G3906" s="0" t="n">
        <f aca="false">1</f>
        <v>1</v>
      </c>
      <c r="H3906" s="0" t="n">
        <f aca="false">D3906</f>
        <v>0.625</v>
      </c>
      <c r="I3906" s="0" t="n">
        <f aca="false">E3906</f>
        <v>0</v>
      </c>
      <c r="J3906" s="0" t="n">
        <f aca="false">F3906</f>
        <v>0</v>
      </c>
      <c r="K3906" s="0" t="n">
        <f aca="false">D3906*E3906</f>
        <v>0</v>
      </c>
      <c r="L3906" s="0" t="n">
        <f aca="false">D3906*F3906</f>
        <v>0</v>
      </c>
      <c r="M3906" s="0" t="n">
        <f aca="false">E3906*F3906</f>
        <v>0</v>
      </c>
      <c r="N3906" s="0" t="n">
        <f aca="false">D3906*D3906</f>
        <v>0.390625</v>
      </c>
      <c r="O3906" s="0" t="n">
        <f aca="false">E3906*E3906</f>
        <v>0</v>
      </c>
      <c r="P3906" s="0" t="n">
        <f aca="false">F3906*F3906</f>
        <v>0</v>
      </c>
      <c r="Q3906" s="0" t="n">
        <f aca="false">SUMPRODUCT(G3906:P3906,_XtX!$B$71:$K$71)</f>
        <v>49.0507244318182</v>
      </c>
      <c r="R3906" s="0" t="n">
        <f aca="false">SUMPRODUCT(MMULT(G3906:P3906,_XtX!$B$58:$K$67),G3906:P3906)</f>
        <v>0.177219460227273</v>
      </c>
      <c r="S3906" s="0" t="n">
        <f aca="false">04_回帰ANOVA!$K$19*04_回帰ANOVA!$K$14*SQRT(1+R3906)</f>
        <v>1.00877741944364</v>
      </c>
      <c r="T3906" s="0" t="n">
        <f aca="false">Q3906-S3906</f>
        <v>48.0419470123746</v>
      </c>
      <c r="U3906" s="0" t="n">
        <f aca="false">Q3906+S3906</f>
        <v>50.0595018512618</v>
      </c>
      <c r="V3906" s="54" t="b">
        <f aca="false">AND(D3906&gt;=01_因子設定!$L$5-0.000000001,D3906&lt;=01_因子設定!$M$5+0.000000001,E3906&gt;=01_因子設定!$L$6-0.000000001,E3906&lt;=01_因子設定!$M$6+0.000000001,F3906&gt;=01_因子設定!$L$7-0.000000001,F3906&lt;=01_因子設定!$M$7+0.000000001,IF(01_因子設定!$B$20="Box-Behnken",D3906^2+E3906^2+F3906^2&lt;=2+0.000000001,TRUE()))</f>
        <v>1</v>
      </c>
      <c r="W3906" s="55" t="n">
        <f aca="false">IF(V3906,IF(01_因子設定!$B$13="最大化",T3906-01_因子設定!$B$14,IF(01_因子設定!$B$13="最小化",01_因子設定!$B$15-U3906,MIN(T3906-01_因子設定!$B$14,01_因子設定!$B$15-U3906))),-1E+030)</f>
        <v>-0.45805298762545</v>
      </c>
      <c r="X3906" s="55" t="n">
        <f aca="false">IF(V3906,IF(01_因子設定!$B$13="最大化",Q3906,IF(01_因子設定!$B$13="最小化",-Q3906,-ABS(Q3906-01_因子設定!$B$16))),-1E+030)</f>
        <v>49.0507244318182</v>
      </c>
      <c r="Y3906" s="55" t="n">
        <f aca="false">W3906+ROW()*0.000000001</f>
        <v>-0.45804908162545</v>
      </c>
      <c r="Z3906" s="55" t="n">
        <f aca="false">X3906+ROW()*0.000000001</f>
        <v>49.0507283378182</v>
      </c>
    </row>
    <row r="3907" customFormat="false" ht="15" hidden="false" customHeight="false" outlineLevel="0" collapsed="false">
      <c r="A3907" s="0" t="n">
        <v>13</v>
      </c>
      <c r="B3907" s="0" t="n">
        <v>8</v>
      </c>
      <c r="C3907" s="0" t="n">
        <v>9</v>
      </c>
      <c r="D3907" s="0" t="n">
        <f aca="false">-1+A3907*0.125</f>
        <v>0.625</v>
      </c>
      <c r="E3907" s="0" t="n">
        <f aca="false">-1+B3907*0.125</f>
        <v>0</v>
      </c>
      <c r="F3907" s="0" t="n">
        <f aca="false">-1+C3907*0.125</f>
        <v>0.125</v>
      </c>
      <c r="G3907" s="0" t="n">
        <f aca="false">1</f>
        <v>1</v>
      </c>
      <c r="H3907" s="0" t="n">
        <f aca="false">D3907</f>
        <v>0.625</v>
      </c>
      <c r="I3907" s="0" t="n">
        <f aca="false">E3907</f>
        <v>0</v>
      </c>
      <c r="J3907" s="0" t="n">
        <f aca="false">F3907</f>
        <v>0.125</v>
      </c>
      <c r="K3907" s="0" t="n">
        <f aca="false">D3907*E3907</f>
        <v>0</v>
      </c>
      <c r="L3907" s="0" t="n">
        <f aca="false">D3907*F3907</f>
        <v>0.078125</v>
      </c>
      <c r="M3907" s="0" t="n">
        <f aca="false">E3907*F3907</f>
        <v>0</v>
      </c>
      <c r="N3907" s="0" t="n">
        <f aca="false">D3907*D3907</f>
        <v>0.390625</v>
      </c>
      <c r="O3907" s="0" t="n">
        <f aca="false">E3907*E3907</f>
        <v>0</v>
      </c>
      <c r="P3907" s="0" t="n">
        <f aca="false">F3907*F3907</f>
        <v>0.015625</v>
      </c>
      <c r="Q3907" s="0" t="n">
        <f aca="false">SUMPRODUCT(G3907:P3907,_XtX!$B$71:$K$71)</f>
        <v>49.1931107954545</v>
      </c>
      <c r="R3907" s="0" t="n">
        <f aca="false">SUMPRODUCT(MMULT(G3907:P3907,_XtX!$B$58:$K$67),G3907:P3907)</f>
        <v>0.17654862837358</v>
      </c>
      <c r="S3907" s="0" t="n">
        <f aca="false">04_回帰ANOVA!$K$19*04_回帰ANOVA!$K$14*SQRT(1+R3907)</f>
        <v>1.00848995543082</v>
      </c>
      <c r="T3907" s="0" t="n">
        <f aca="false">Q3907-S3907</f>
        <v>48.1846208400237</v>
      </c>
      <c r="U3907" s="0" t="n">
        <f aca="false">Q3907+S3907</f>
        <v>50.2016007508854</v>
      </c>
      <c r="V3907" s="54" t="b">
        <f aca="false">AND(D3907&gt;=01_因子設定!$L$5-0.000000001,D3907&lt;=01_因子設定!$M$5+0.000000001,E3907&gt;=01_因子設定!$L$6-0.000000001,E3907&lt;=01_因子設定!$M$6+0.000000001,F3907&gt;=01_因子設定!$L$7-0.000000001,F3907&lt;=01_因子設定!$M$7+0.000000001,IF(01_因子設定!$B$20="Box-Behnken",D3907^2+E3907^2+F3907^2&lt;=2+0.000000001,TRUE()))</f>
        <v>1</v>
      </c>
      <c r="W3907" s="55" t="n">
        <f aca="false">IF(V3907,IF(01_因子設定!$B$13="最大化",T3907-01_因子設定!$B$14,IF(01_因子設定!$B$13="最小化",01_因子設定!$B$15-U3907,MIN(T3907-01_因子設定!$B$14,01_因子設定!$B$15-U3907))),-1E+030)</f>
        <v>-0.315379159976281</v>
      </c>
      <c r="X3907" s="55" t="n">
        <f aca="false">IF(V3907,IF(01_因子設定!$B$13="最大化",Q3907,IF(01_因子設定!$B$13="最小化",-Q3907,-ABS(Q3907-01_因子設定!$B$16))),-1E+030)</f>
        <v>49.1931107954545</v>
      </c>
      <c r="Y3907" s="55" t="n">
        <f aca="false">W3907+ROW()*0.000000001</f>
        <v>-0.315375252976281</v>
      </c>
      <c r="Z3907" s="55" t="n">
        <f aca="false">X3907+ROW()*0.000000001</f>
        <v>49.1931147024545</v>
      </c>
    </row>
    <row r="3908" customFormat="false" ht="15" hidden="false" customHeight="false" outlineLevel="0" collapsed="false">
      <c r="A3908" s="0" t="n">
        <v>13</v>
      </c>
      <c r="B3908" s="0" t="n">
        <v>8</v>
      </c>
      <c r="C3908" s="0" t="n">
        <v>10</v>
      </c>
      <c r="D3908" s="0" t="n">
        <f aca="false">-1+A3908*0.125</f>
        <v>0.625</v>
      </c>
      <c r="E3908" s="0" t="n">
        <f aca="false">-1+B3908*0.125</f>
        <v>0</v>
      </c>
      <c r="F3908" s="0" t="n">
        <f aca="false">-1+C3908*0.125</f>
        <v>0.25</v>
      </c>
      <c r="G3908" s="0" t="n">
        <f aca="false">1</f>
        <v>1</v>
      </c>
      <c r="H3908" s="0" t="n">
        <f aca="false">D3908</f>
        <v>0.625</v>
      </c>
      <c r="I3908" s="0" t="n">
        <f aca="false">E3908</f>
        <v>0</v>
      </c>
      <c r="J3908" s="0" t="n">
        <f aca="false">F3908</f>
        <v>0.25</v>
      </c>
      <c r="K3908" s="0" t="n">
        <f aca="false">D3908*E3908</f>
        <v>0</v>
      </c>
      <c r="L3908" s="0" t="n">
        <f aca="false">D3908*F3908</f>
        <v>0.15625</v>
      </c>
      <c r="M3908" s="0" t="n">
        <f aca="false">E3908*F3908</f>
        <v>0</v>
      </c>
      <c r="N3908" s="0" t="n">
        <f aca="false">D3908*D3908</f>
        <v>0.390625</v>
      </c>
      <c r="O3908" s="0" t="n">
        <f aca="false">E3908*E3908</f>
        <v>0</v>
      </c>
      <c r="P3908" s="0" t="n">
        <f aca="false">F3908*F3908</f>
        <v>0.0625</v>
      </c>
      <c r="Q3908" s="0" t="n">
        <f aca="false">SUMPRODUCT(G3908:P3908,_XtX!$B$71:$K$71)</f>
        <v>49.2987073863636</v>
      </c>
      <c r="R3908" s="0" t="n">
        <f aca="false">SUMPRODUCT(MMULT(G3908:P3908,_XtX!$B$58:$K$67),G3908:P3908)</f>
        <v>0.175601473721591</v>
      </c>
      <c r="S3908" s="0" t="n">
        <f aca="false">04_回帰ANOVA!$K$19*04_回帰ANOVA!$K$14*SQRT(1+R3908)</f>
        <v>1.00808394234856</v>
      </c>
      <c r="T3908" s="0" t="n">
        <f aca="false">Q3908-S3908</f>
        <v>48.2906234440151</v>
      </c>
      <c r="U3908" s="0" t="n">
        <f aca="false">Q3908+S3908</f>
        <v>50.3067913287122</v>
      </c>
      <c r="V3908" s="54" t="b">
        <f aca="false">AND(D3908&gt;=01_因子設定!$L$5-0.000000001,D3908&lt;=01_因子設定!$M$5+0.000000001,E3908&gt;=01_因子設定!$L$6-0.000000001,E3908&lt;=01_因子設定!$M$6+0.000000001,F3908&gt;=01_因子設定!$L$7-0.000000001,F3908&lt;=01_因子設定!$M$7+0.000000001,IF(01_因子設定!$B$20="Box-Behnken",D3908^2+E3908^2+F3908^2&lt;=2+0.000000001,TRUE()))</f>
        <v>1</v>
      </c>
      <c r="W3908" s="55" t="n">
        <f aca="false">IF(V3908,IF(01_因子設定!$B$13="最大化",T3908-01_因子設定!$B$14,IF(01_因子設定!$B$13="最小化",01_因子設定!$B$15-U3908,MIN(T3908-01_因子設定!$B$14,01_因子設定!$B$15-U3908))),-1E+030)</f>
        <v>-0.209376555984925</v>
      </c>
      <c r="X3908" s="55" t="n">
        <f aca="false">IF(V3908,IF(01_因子設定!$B$13="最大化",Q3908,IF(01_因子設定!$B$13="最小化",-Q3908,-ABS(Q3908-01_因子設定!$B$16))),-1E+030)</f>
        <v>49.2987073863636</v>
      </c>
      <c r="Y3908" s="55" t="n">
        <f aca="false">W3908+ROW()*0.000000001</f>
        <v>-0.209372647984925</v>
      </c>
      <c r="Z3908" s="55" t="n">
        <f aca="false">X3908+ROW()*0.000000001</f>
        <v>49.2987112943636</v>
      </c>
    </row>
    <row r="3909" customFormat="false" ht="15" hidden="false" customHeight="false" outlineLevel="0" collapsed="false">
      <c r="A3909" s="0" t="n">
        <v>13</v>
      </c>
      <c r="B3909" s="0" t="n">
        <v>8</v>
      </c>
      <c r="C3909" s="0" t="n">
        <v>11</v>
      </c>
      <c r="D3909" s="0" t="n">
        <f aca="false">-1+A3909*0.125</f>
        <v>0.625</v>
      </c>
      <c r="E3909" s="0" t="n">
        <f aca="false">-1+B3909*0.125</f>
        <v>0</v>
      </c>
      <c r="F3909" s="0" t="n">
        <f aca="false">-1+C3909*0.125</f>
        <v>0.375</v>
      </c>
      <c r="G3909" s="0" t="n">
        <f aca="false">1</f>
        <v>1</v>
      </c>
      <c r="H3909" s="0" t="n">
        <f aca="false">D3909</f>
        <v>0.625</v>
      </c>
      <c r="I3909" s="0" t="n">
        <f aca="false">E3909</f>
        <v>0</v>
      </c>
      <c r="J3909" s="0" t="n">
        <f aca="false">F3909</f>
        <v>0.375</v>
      </c>
      <c r="K3909" s="0" t="n">
        <f aca="false">D3909*E3909</f>
        <v>0</v>
      </c>
      <c r="L3909" s="0" t="n">
        <f aca="false">D3909*F3909</f>
        <v>0.234375</v>
      </c>
      <c r="M3909" s="0" t="n">
        <f aca="false">E3909*F3909</f>
        <v>0</v>
      </c>
      <c r="N3909" s="0" t="n">
        <f aca="false">D3909*D3909</f>
        <v>0.390625</v>
      </c>
      <c r="O3909" s="0" t="n">
        <f aca="false">E3909*E3909</f>
        <v>0</v>
      </c>
      <c r="P3909" s="0" t="n">
        <f aca="false">F3909*F3909</f>
        <v>0.140625</v>
      </c>
      <c r="Q3909" s="0" t="n">
        <f aca="false">SUMPRODUCT(G3909:P3909,_XtX!$B$71:$K$71)</f>
        <v>49.3675142045455</v>
      </c>
      <c r="R3909" s="0" t="n">
        <f aca="false">SUMPRODUCT(MMULT(G3909:P3909,_XtX!$B$58:$K$67),G3909:P3909)</f>
        <v>0.17757401899858</v>
      </c>
      <c r="S3909" s="0" t="n">
        <f aca="false">04_回帰ANOVA!$K$19*04_回帰ANOVA!$K$14*SQRT(1+R3909)</f>
        <v>1.00892932143276</v>
      </c>
      <c r="T3909" s="0" t="n">
        <f aca="false">Q3909-S3909</f>
        <v>48.3585848831127</v>
      </c>
      <c r="U3909" s="0" t="n">
        <f aca="false">Q3909+S3909</f>
        <v>50.3764435259782</v>
      </c>
      <c r="V3909" s="54" t="b">
        <f aca="false">AND(D3909&gt;=01_因子設定!$L$5-0.000000001,D3909&lt;=01_因子設定!$M$5+0.000000001,E3909&gt;=01_因子設定!$L$6-0.000000001,E3909&lt;=01_因子設定!$M$6+0.000000001,F3909&gt;=01_因子設定!$L$7-0.000000001,F3909&lt;=01_因子設定!$M$7+0.000000001,IF(01_因子設定!$B$20="Box-Behnken",D3909^2+E3909^2+F3909^2&lt;=2+0.000000001,TRUE()))</f>
        <v>1</v>
      </c>
      <c r="W3909" s="55" t="n">
        <f aca="false">IF(V3909,IF(01_因子設定!$B$13="最大化",T3909-01_因子設定!$B$14,IF(01_因子設定!$B$13="最小化",01_因子設定!$B$15-U3909,MIN(T3909-01_因子設定!$B$14,01_因子設定!$B$15-U3909))),-1E+030)</f>
        <v>-0.141415116887302</v>
      </c>
      <c r="X3909" s="55" t="n">
        <f aca="false">IF(V3909,IF(01_因子設定!$B$13="最大化",Q3909,IF(01_因子設定!$B$13="最小化",-Q3909,-ABS(Q3909-01_因子設定!$B$16))),-1E+030)</f>
        <v>49.3675142045455</v>
      </c>
      <c r="Y3909" s="55" t="n">
        <f aca="false">W3909+ROW()*0.000000001</f>
        <v>-0.141411207887302</v>
      </c>
      <c r="Z3909" s="55" t="n">
        <f aca="false">X3909+ROW()*0.000000001</f>
        <v>49.3675181135455</v>
      </c>
    </row>
    <row r="3910" customFormat="false" ht="15" hidden="false" customHeight="false" outlineLevel="0" collapsed="false">
      <c r="A3910" s="0" t="n">
        <v>13</v>
      </c>
      <c r="B3910" s="0" t="n">
        <v>8</v>
      </c>
      <c r="C3910" s="0" t="n">
        <v>12</v>
      </c>
      <c r="D3910" s="0" t="n">
        <f aca="false">-1+A3910*0.125</f>
        <v>0.625</v>
      </c>
      <c r="E3910" s="0" t="n">
        <f aca="false">-1+B3910*0.125</f>
        <v>0</v>
      </c>
      <c r="F3910" s="0" t="n">
        <f aca="false">-1+C3910*0.125</f>
        <v>0.5</v>
      </c>
      <c r="G3910" s="0" t="n">
        <f aca="false">1</f>
        <v>1</v>
      </c>
      <c r="H3910" s="0" t="n">
        <f aca="false">D3910</f>
        <v>0.625</v>
      </c>
      <c r="I3910" s="0" t="n">
        <f aca="false">E3910</f>
        <v>0</v>
      </c>
      <c r="J3910" s="0" t="n">
        <f aca="false">F3910</f>
        <v>0.5</v>
      </c>
      <c r="K3910" s="0" t="n">
        <f aca="false">D3910*E3910</f>
        <v>0</v>
      </c>
      <c r="L3910" s="0" t="n">
        <f aca="false">D3910*F3910</f>
        <v>0.3125</v>
      </c>
      <c r="M3910" s="0" t="n">
        <f aca="false">E3910*F3910</f>
        <v>0</v>
      </c>
      <c r="N3910" s="0" t="n">
        <f aca="false">D3910*D3910</f>
        <v>0.390625</v>
      </c>
      <c r="O3910" s="0" t="n">
        <f aca="false">E3910*E3910</f>
        <v>0</v>
      </c>
      <c r="P3910" s="0" t="n">
        <f aca="false">F3910*F3910</f>
        <v>0.25</v>
      </c>
      <c r="Q3910" s="0" t="n">
        <f aca="false">SUMPRODUCT(G3910:P3910,_XtX!$B$71:$K$71)</f>
        <v>49.39953125</v>
      </c>
      <c r="R3910" s="0" t="n">
        <f aca="false">SUMPRODUCT(MMULT(G3910:P3910,_XtX!$B$58:$K$67),G3910:P3910)</f>
        <v>0.18779296875</v>
      </c>
      <c r="S3910" s="0" t="n">
        <f aca="false">04_回帰ANOVA!$K$19*04_回帰ANOVA!$K$14*SQRT(1+R3910)</f>
        <v>1.01329759319777</v>
      </c>
      <c r="T3910" s="0" t="n">
        <f aca="false">Q3910-S3910</f>
        <v>48.3862336568022</v>
      </c>
      <c r="U3910" s="0" t="n">
        <f aca="false">Q3910+S3910</f>
        <v>50.4128288431978</v>
      </c>
      <c r="V3910" s="54" t="b">
        <f aca="false">AND(D3910&gt;=01_因子設定!$L$5-0.000000001,D3910&lt;=01_因子設定!$M$5+0.000000001,E3910&gt;=01_因子設定!$L$6-0.000000001,E3910&lt;=01_因子設定!$M$6+0.000000001,F3910&gt;=01_因子設定!$L$7-0.000000001,F3910&lt;=01_因子設定!$M$7+0.000000001,IF(01_因子設定!$B$20="Box-Behnken",D3910^2+E3910^2+F3910^2&lt;=2+0.000000001,TRUE()))</f>
        <v>1</v>
      </c>
      <c r="W3910" s="55" t="n">
        <f aca="false">IF(V3910,IF(01_因子設定!$B$13="最大化",T3910-01_因子設定!$B$14,IF(01_因子設定!$B$13="最小化",01_因子設定!$B$15-U3910,MIN(T3910-01_因子設定!$B$14,01_因子設定!$B$15-U3910))),-1E+030)</f>
        <v>-0.11376634319776</v>
      </c>
      <c r="X3910" s="55" t="n">
        <f aca="false">IF(V3910,IF(01_因子設定!$B$13="最大化",Q3910,IF(01_因子設定!$B$13="最小化",-Q3910,-ABS(Q3910-01_因子設定!$B$16))),-1E+030)</f>
        <v>49.39953125</v>
      </c>
      <c r="Y3910" s="55" t="n">
        <f aca="false">W3910+ROW()*0.000000001</f>
        <v>-0.11376243319776</v>
      </c>
      <c r="Z3910" s="55" t="n">
        <f aca="false">X3910+ROW()*0.000000001</f>
        <v>49.39953516</v>
      </c>
    </row>
    <row r="3911" customFormat="false" ht="15" hidden="false" customHeight="false" outlineLevel="0" collapsed="false">
      <c r="A3911" s="0" t="n">
        <v>13</v>
      </c>
      <c r="B3911" s="0" t="n">
        <v>8</v>
      </c>
      <c r="C3911" s="0" t="n">
        <v>13</v>
      </c>
      <c r="D3911" s="0" t="n">
        <f aca="false">-1+A3911*0.125</f>
        <v>0.625</v>
      </c>
      <c r="E3911" s="0" t="n">
        <f aca="false">-1+B3911*0.125</f>
        <v>0</v>
      </c>
      <c r="F3911" s="0" t="n">
        <f aca="false">-1+C3911*0.125</f>
        <v>0.625</v>
      </c>
      <c r="G3911" s="0" t="n">
        <f aca="false">1</f>
        <v>1</v>
      </c>
      <c r="H3911" s="0" t="n">
        <f aca="false">D3911</f>
        <v>0.625</v>
      </c>
      <c r="I3911" s="0" t="n">
        <f aca="false">E3911</f>
        <v>0</v>
      </c>
      <c r="J3911" s="0" t="n">
        <f aca="false">F3911</f>
        <v>0.625</v>
      </c>
      <c r="K3911" s="0" t="n">
        <f aca="false">D3911*E3911</f>
        <v>0</v>
      </c>
      <c r="L3911" s="0" t="n">
        <f aca="false">D3911*F3911</f>
        <v>0.390625</v>
      </c>
      <c r="M3911" s="0" t="n">
        <f aca="false">E3911*F3911</f>
        <v>0</v>
      </c>
      <c r="N3911" s="0" t="n">
        <f aca="false">D3911*D3911</f>
        <v>0.390625</v>
      </c>
      <c r="O3911" s="0" t="n">
        <f aca="false">E3911*E3911</f>
        <v>0</v>
      </c>
      <c r="P3911" s="0" t="n">
        <f aca="false">F3911*F3911</f>
        <v>0.390625</v>
      </c>
      <c r="Q3911" s="0" t="n">
        <f aca="false">SUMPRODUCT(G3911:P3911,_XtX!$B$71:$K$71)</f>
        <v>49.3947585227273</v>
      </c>
      <c r="R3911" s="0" t="n">
        <f aca="false">SUMPRODUCT(MMULT(G3911:P3911,_XtX!$B$58:$K$67),G3911:P3911)</f>
        <v>0.213715709339489</v>
      </c>
      <c r="S3911" s="0" t="n">
        <f aca="false">04_回帰ANOVA!$K$19*04_回帰ANOVA!$K$14*SQRT(1+R3911)</f>
        <v>1.02429516478377</v>
      </c>
      <c r="T3911" s="0" t="n">
        <f aca="false">Q3911-S3911</f>
        <v>48.3704633579435</v>
      </c>
      <c r="U3911" s="0" t="n">
        <f aca="false">Q3911+S3911</f>
        <v>50.4190536875111</v>
      </c>
      <c r="V3911" s="54" t="b">
        <f aca="false">AND(D3911&gt;=01_因子設定!$L$5-0.000000001,D3911&lt;=01_因子設定!$M$5+0.000000001,E3911&gt;=01_因子設定!$L$6-0.000000001,E3911&lt;=01_因子設定!$M$6+0.000000001,F3911&gt;=01_因子設定!$L$7-0.000000001,F3911&lt;=01_因子設定!$M$7+0.000000001,IF(01_因子設定!$B$20="Box-Behnken",D3911^2+E3911^2+F3911^2&lt;=2+0.000000001,TRUE()))</f>
        <v>1</v>
      </c>
      <c r="W3911" s="55" t="n">
        <f aca="false">IF(V3911,IF(01_因子設定!$B$13="最大化",T3911-01_因子設定!$B$14,IF(01_因子設定!$B$13="最小化",01_因子設定!$B$15-U3911,MIN(T3911-01_因子設定!$B$14,01_因子設定!$B$15-U3911))),-1E+030)</f>
        <v>-0.129536642056493</v>
      </c>
      <c r="X3911" s="55" t="n">
        <f aca="false">IF(V3911,IF(01_因子設定!$B$13="最大化",Q3911,IF(01_因子設定!$B$13="最小化",-Q3911,-ABS(Q3911-01_因子設定!$B$16))),-1E+030)</f>
        <v>49.3947585227273</v>
      </c>
      <c r="Y3911" s="55" t="n">
        <f aca="false">W3911+ROW()*0.000000001</f>
        <v>-0.129532731056493</v>
      </c>
      <c r="Z3911" s="55" t="n">
        <f aca="false">X3911+ROW()*0.000000001</f>
        <v>49.3947624337273</v>
      </c>
    </row>
    <row r="3912" customFormat="false" ht="15" hidden="false" customHeight="false" outlineLevel="0" collapsed="false">
      <c r="A3912" s="0" t="n">
        <v>13</v>
      </c>
      <c r="B3912" s="0" t="n">
        <v>8</v>
      </c>
      <c r="C3912" s="0" t="n">
        <v>14</v>
      </c>
      <c r="D3912" s="0" t="n">
        <f aca="false">-1+A3912*0.125</f>
        <v>0.625</v>
      </c>
      <c r="E3912" s="0" t="n">
        <f aca="false">-1+B3912*0.125</f>
        <v>0</v>
      </c>
      <c r="F3912" s="0" t="n">
        <f aca="false">-1+C3912*0.125</f>
        <v>0.75</v>
      </c>
      <c r="G3912" s="0" t="n">
        <f aca="false">1</f>
        <v>1</v>
      </c>
      <c r="H3912" s="0" t="n">
        <f aca="false">D3912</f>
        <v>0.625</v>
      </c>
      <c r="I3912" s="0" t="n">
        <f aca="false">E3912</f>
        <v>0</v>
      </c>
      <c r="J3912" s="0" t="n">
        <f aca="false">F3912</f>
        <v>0.75</v>
      </c>
      <c r="K3912" s="0" t="n">
        <f aca="false">D3912*E3912</f>
        <v>0</v>
      </c>
      <c r="L3912" s="0" t="n">
        <f aca="false">D3912*F3912</f>
        <v>0.46875</v>
      </c>
      <c r="M3912" s="0" t="n">
        <f aca="false">E3912*F3912</f>
        <v>0</v>
      </c>
      <c r="N3912" s="0" t="n">
        <f aca="false">D3912*D3912</f>
        <v>0.390625</v>
      </c>
      <c r="O3912" s="0" t="n">
        <f aca="false">E3912*E3912</f>
        <v>0</v>
      </c>
      <c r="P3912" s="0" t="n">
        <f aca="false">F3912*F3912</f>
        <v>0.5625</v>
      </c>
      <c r="Q3912" s="0" t="n">
        <f aca="false">SUMPRODUCT(G3912:P3912,_XtX!$B$71:$K$71)</f>
        <v>49.3531960227273</v>
      </c>
      <c r="R3912" s="0" t="n">
        <f aca="false">SUMPRODUCT(MMULT(G3912:P3912,_XtX!$B$58:$K$67),G3912:P3912)</f>
        <v>0.264930308948864</v>
      </c>
      <c r="S3912" s="0" t="n">
        <f aca="false">04_回帰ANOVA!$K$19*04_回帰ANOVA!$K$14*SQRT(1+R3912)</f>
        <v>1.04568272997153</v>
      </c>
      <c r="T3912" s="0" t="n">
        <f aca="false">Q3912-S3912</f>
        <v>48.3075132927558</v>
      </c>
      <c r="U3912" s="0" t="n">
        <f aca="false">Q3912+S3912</f>
        <v>50.3988787526988</v>
      </c>
      <c r="V3912" s="54" t="b">
        <f aca="false">AND(D3912&gt;=01_因子設定!$L$5-0.000000001,D3912&lt;=01_因子設定!$M$5+0.000000001,E3912&gt;=01_因子設定!$L$6-0.000000001,E3912&lt;=01_因子設定!$M$6+0.000000001,F3912&gt;=01_因子設定!$L$7-0.000000001,F3912&lt;=01_因子設定!$M$7+0.000000001,IF(01_因子設定!$B$20="Box-Behnken",D3912^2+E3912^2+F3912^2&lt;=2+0.000000001,TRUE()))</f>
        <v>1</v>
      </c>
      <c r="W3912" s="55" t="n">
        <f aca="false">IF(V3912,IF(01_因子設定!$B$13="最大化",T3912-01_因子設定!$B$14,IF(01_因子設定!$B$13="最小化",01_因子設定!$B$15-U3912,MIN(T3912-01_因子設定!$B$14,01_因子設定!$B$15-U3912))),-1E+030)</f>
        <v>-0.192486707244242</v>
      </c>
      <c r="X3912" s="55" t="n">
        <f aca="false">IF(V3912,IF(01_因子設定!$B$13="最大化",Q3912,IF(01_因子設定!$B$13="最小化",-Q3912,-ABS(Q3912-01_因子設定!$B$16))),-1E+030)</f>
        <v>49.3531960227273</v>
      </c>
      <c r="Y3912" s="55" t="n">
        <f aca="false">W3912+ROW()*0.000000001</f>
        <v>-0.192482795244242</v>
      </c>
      <c r="Z3912" s="55" t="n">
        <f aca="false">X3912+ROW()*0.000000001</f>
        <v>49.3531999347273</v>
      </c>
    </row>
    <row r="3913" customFormat="false" ht="15" hidden="false" customHeight="false" outlineLevel="0" collapsed="false">
      <c r="A3913" s="0" t="n">
        <v>13</v>
      </c>
      <c r="B3913" s="0" t="n">
        <v>8</v>
      </c>
      <c r="C3913" s="0" t="n">
        <v>15</v>
      </c>
      <c r="D3913" s="0" t="n">
        <f aca="false">-1+A3913*0.125</f>
        <v>0.625</v>
      </c>
      <c r="E3913" s="0" t="n">
        <f aca="false">-1+B3913*0.125</f>
        <v>0</v>
      </c>
      <c r="F3913" s="0" t="n">
        <f aca="false">-1+C3913*0.125</f>
        <v>0.875</v>
      </c>
      <c r="G3913" s="0" t="n">
        <f aca="false">1</f>
        <v>1</v>
      </c>
      <c r="H3913" s="0" t="n">
        <f aca="false">D3913</f>
        <v>0.625</v>
      </c>
      <c r="I3913" s="0" t="n">
        <f aca="false">E3913</f>
        <v>0</v>
      </c>
      <c r="J3913" s="0" t="n">
        <f aca="false">F3913</f>
        <v>0.875</v>
      </c>
      <c r="K3913" s="0" t="n">
        <f aca="false">D3913*E3913</f>
        <v>0</v>
      </c>
      <c r="L3913" s="0" t="n">
        <f aca="false">D3913*F3913</f>
        <v>0.546875</v>
      </c>
      <c r="M3913" s="0" t="n">
        <f aca="false">E3913*F3913</f>
        <v>0</v>
      </c>
      <c r="N3913" s="0" t="n">
        <f aca="false">D3913*D3913</f>
        <v>0.390625</v>
      </c>
      <c r="O3913" s="0" t="n">
        <f aca="false">E3913*E3913</f>
        <v>0</v>
      </c>
      <c r="P3913" s="0" t="n">
        <f aca="false">F3913*F3913</f>
        <v>0.765625</v>
      </c>
      <c r="Q3913" s="0" t="n">
        <f aca="false">SUMPRODUCT(G3913:P3913,_XtX!$B$71:$K$71)</f>
        <v>49.27484375</v>
      </c>
      <c r="R3913" s="0" t="n">
        <f aca="false">SUMPRODUCT(MMULT(G3913:P3913,_XtX!$B$58:$K$67),G3913:P3913)</f>
        <v>0.353155517578125</v>
      </c>
      <c r="S3913" s="0" t="n">
        <f aca="false">04_回帰ANOVA!$K$19*04_回帰ANOVA!$K$14*SQRT(1+R3913)</f>
        <v>1.08153478594098</v>
      </c>
      <c r="T3913" s="0" t="n">
        <f aca="false">Q3913-S3913</f>
        <v>48.193308964059</v>
      </c>
      <c r="U3913" s="0" t="n">
        <f aca="false">Q3913+S3913</f>
        <v>50.356378535941</v>
      </c>
      <c r="V3913" s="54" t="b">
        <f aca="false">AND(D3913&gt;=01_因子設定!$L$5-0.000000001,D3913&lt;=01_因子設定!$M$5+0.000000001,E3913&gt;=01_因子設定!$L$6-0.000000001,E3913&lt;=01_因子設定!$M$6+0.000000001,F3913&gt;=01_因子設定!$L$7-0.000000001,F3913&lt;=01_因子設定!$M$7+0.000000001,IF(01_因子設定!$B$20="Box-Behnken",D3913^2+E3913^2+F3913^2&lt;=2+0.000000001,TRUE()))</f>
        <v>1</v>
      </c>
      <c r="W3913" s="55" t="n">
        <f aca="false">IF(V3913,IF(01_因子設定!$B$13="最大化",T3913-01_因子設定!$B$14,IF(01_因子設定!$B$13="最小化",01_因子設定!$B$15-U3913,MIN(T3913-01_因子設定!$B$14,01_因子設定!$B$15-U3913))),-1E+030)</f>
        <v>-0.306691035940965</v>
      </c>
      <c r="X3913" s="55" t="n">
        <f aca="false">IF(V3913,IF(01_因子設定!$B$13="最大化",Q3913,IF(01_因子設定!$B$13="最小化",-Q3913,-ABS(Q3913-01_因子設定!$B$16))),-1E+030)</f>
        <v>49.27484375</v>
      </c>
      <c r="Y3913" s="55" t="n">
        <f aca="false">W3913+ROW()*0.000000001</f>
        <v>-0.306687122940965</v>
      </c>
      <c r="Z3913" s="55" t="n">
        <f aca="false">X3913+ROW()*0.000000001</f>
        <v>49.274847663</v>
      </c>
    </row>
    <row r="3914" customFormat="false" ht="15" hidden="false" customHeight="false" outlineLevel="0" collapsed="false">
      <c r="A3914" s="0" t="n">
        <v>13</v>
      </c>
      <c r="B3914" s="0" t="n">
        <v>8</v>
      </c>
      <c r="C3914" s="0" t="n">
        <v>16</v>
      </c>
      <c r="D3914" s="0" t="n">
        <f aca="false">-1+A3914*0.125</f>
        <v>0.625</v>
      </c>
      <c r="E3914" s="0" t="n">
        <f aca="false">-1+B3914*0.125</f>
        <v>0</v>
      </c>
      <c r="F3914" s="0" t="n">
        <f aca="false">-1+C3914*0.125</f>
        <v>1</v>
      </c>
      <c r="G3914" s="0" t="n">
        <f aca="false">1</f>
        <v>1</v>
      </c>
      <c r="H3914" s="0" t="n">
        <f aca="false">D3914</f>
        <v>0.625</v>
      </c>
      <c r="I3914" s="0" t="n">
        <f aca="false">E3914</f>
        <v>0</v>
      </c>
      <c r="J3914" s="0" t="n">
        <f aca="false">F3914</f>
        <v>1</v>
      </c>
      <c r="K3914" s="0" t="n">
        <f aca="false">D3914*E3914</f>
        <v>0</v>
      </c>
      <c r="L3914" s="0" t="n">
        <f aca="false">D3914*F3914</f>
        <v>0.625</v>
      </c>
      <c r="M3914" s="0" t="n">
        <f aca="false">E3914*F3914</f>
        <v>0</v>
      </c>
      <c r="N3914" s="0" t="n">
        <f aca="false">D3914*D3914</f>
        <v>0.390625</v>
      </c>
      <c r="O3914" s="0" t="n">
        <f aca="false">E3914*E3914</f>
        <v>0</v>
      </c>
      <c r="P3914" s="0" t="n">
        <f aca="false">F3914*F3914</f>
        <v>1</v>
      </c>
      <c r="Q3914" s="0" t="n">
        <f aca="false">SUMPRODUCT(G3914:P3914,_XtX!$B$71:$K$71)</f>
        <v>49.1597017045455</v>
      </c>
      <c r="R3914" s="0" t="n">
        <f aca="false">SUMPRODUCT(MMULT(G3914:P3914,_XtX!$B$58:$K$67),G3914:P3914)</f>
        <v>0.492240767045455</v>
      </c>
      <c r="S3914" s="0" t="n">
        <f aca="false">04_回帰ANOVA!$K$19*04_回帰ANOVA!$K$14*SQRT(1+R3914)</f>
        <v>1.13575873676322</v>
      </c>
      <c r="T3914" s="0" t="n">
        <f aca="false">Q3914-S3914</f>
        <v>48.0239429677823</v>
      </c>
      <c r="U3914" s="0" t="n">
        <f aca="false">Q3914+S3914</f>
        <v>50.2954604413087</v>
      </c>
      <c r="V3914" s="54" t="b">
        <f aca="false">AND(D3914&gt;=01_因子設定!$L$5-0.000000001,D3914&lt;=01_因子設定!$M$5+0.000000001,E3914&gt;=01_因子設定!$L$6-0.000000001,E3914&lt;=01_因子設定!$M$6+0.000000001,F3914&gt;=01_因子設定!$L$7-0.000000001,F3914&lt;=01_因子設定!$M$7+0.000000001,IF(01_因子設定!$B$20="Box-Behnken",D3914^2+E3914^2+F3914^2&lt;=2+0.000000001,TRUE()))</f>
        <v>1</v>
      </c>
      <c r="W3914" s="55" t="n">
        <f aca="false">IF(V3914,IF(01_因子設定!$B$13="最大化",T3914-01_因子設定!$B$14,IF(01_因子設定!$B$13="最小化",01_因子設定!$B$15-U3914,MIN(T3914-01_因子設定!$B$14,01_因子設定!$B$15-U3914))),-1E+030)</f>
        <v>-0.476057032217746</v>
      </c>
      <c r="X3914" s="55" t="n">
        <f aca="false">IF(V3914,IF(01_因子設定!$B$13="最大化",Q3914,IF(01_因子設定!$B$13="最小化",-Q3914,-ABS(Q3914-01_因子設定!$B$16))),-1E+030)</f>
        <v>49.1597017045455</v>
      </c>
      <c r="Y3914" s="55" t="n">
        <f aca="false">W3914+ROW()*0.000000001</f>
        <v>-0.476053118217746</v>
      </c>
      <c r="Z3914" s="55" t="n">
        <f aca="false">X3914+ROW()*0.000000001</f>
        <v>49.1597056185455</v>
      </c>
    </row>
    <row r="3915" customFormat="false" ht="15" hidden="false" customHeight="false" outlineLevel="0" collapsed="false">
      <c r="A3915" s="0" t="n">
        <v>13</v>
      </c>
      <c r="B3915" s="0" t="n">
        <v>9</v>
      </c>
      <c r="C3915" s="0" t="n">
        <v>0</v>
      </c>
      <c r="D3915" s="0" t="n">
        <f aca="false">-1+A3915*0.125</f>
        <v>0.625</v>
      </c>
      <c r="E3915" s="0" t="n">
        <f aca="false">-1+B3915*0.125</f>
        <v>0.125</v>
      </c>
      <c r="F3915" s="0" t="n">
        <f aca="false">-1+C3915*0.125</f>
        <v>-1</v>
      </c>
      <c r="G3915" s="0" t="n">
        <f aca="false">1</f>
        <v>1</v>
      </c>
      <c r="H3915" s="0" t="n">
        <f aca="false">D3915</f>
        <v>0.625</v>
      </c>
      <c r="I3915" s="0" t="n">
        <f aca="false">E3915</f>
        <v>0.125</v>
      </c>
      <c r="J3915" s="0" t="n">
        <f aca="false">F3915</f>
        <v>-1</v>
      </c>
      <c r="K3915" s="0" t="n">
        <f aca="false">D3915*E3915</f>
        <v>0.078125</v>
      </c>
      <c r="L3915" s="0" t="n">
        <f aca="false">D3915*F3915</f>
        <v>-0.625</v>
      </c>
      <c r="M3915" s="0" t="n">
        <f aca="false">E3915*F3915</f>
        <v>-0.125</v>
      </c>
      <c r="N3915" s="0" t="n">
        <f aca="false">D3915*D3915</f>
        <v>0.390625</v>
      </c>
      <c r="O3915" s="0" t="n">
        <f aca="false">E3915*E3915</f>
        <v>0.015625</v>
      </c>
      <c r="P3915" s="0" t="n">
        <f aca="false">F3915*F3915</f>
        <v>1</v>
      </c>
      <c r="Q3915" s="0" t="n">
        <f aca="false">SUMPRODUCT(G3915:P3915,_XtX!$B$71:$K$71)</f>
        <v>46.8537286931818</v>
      </c>
      <c r="R3915" s="0" t="n">
        <f aca="false">SUMPRODUCT(MMULT(G3915:P3915,_XtX!$B$58:$K$67),G3915:P3915)</f>
        <v>0.489261696555398</v>
      </c>
      <c r="S3915" s="0" t="n">
        <f aca="false">04_回帰ANOVA!$K$19*04_回帰ANOVA!$K$14*SQRT(1+R3915)</f>
        <v>1.13462447083763</v>
      </c>
      <c r="T3915" s="0" t="n">
        <f aca="false">Q3915-S3915</f>
        <v>45.7191042223442</v>
      </c>
      <c r="U3915" s="0" t="n">
        <f aca="false">Q3915+S3915</f>
        <v>47.9883531640195</v>
      </c>
      <c r="V3915" s="54" t="b">
        <f aca="false">AND(D3915&gt;=01_因子設定!$L$5-0.000000001,D3915&lt;=01_因子設定!$M$5+0.000000001,E3915&gt;=01_因子設定!$L$6-0.000000001,E3915&lt;=01_因子設定!$M$6+0.000000001,F3915&gt;=01_因子設定!$L$7-0.000000001,F3915&lt;=01_因子設定!$M$7+0.000000001,IF(01_因子設定!$B$20="Box-Behnken",D3915^2+E3915^2+F3915^2&lt;=2+0.000000001,TRUE()))</f>
        <v>1</v>
      </c>
      <c r="W3915" s="55" t="n">
        <f aca="false">IF(V3915,IF(01_因子設定!$B$13="最大化",T3915-01_因子設定!$B$14,IF(01_因子設定!$B$13="最小化",01_因子設定!$B$15-U3915,MIN(T3915-01_因子設定!$B$14,01_因子設定!$B$15-U3915))),-1E+030)</f>
        <v>-2.7808957776558</v>
      </c>
      <c r="X3915" s="55" t="n">
        <f aca="false">IF(V3915,IF(01_因子設定!$B$13="最大化",Q3915,IF(01_因子設定!$B$13="最小化",-Q3915,-ABS(Q3915-01_因子設定!$B$16))),-1E+030)</f>
        <v>46.8537286931818</v>
      </c>
      <c r="Y3915" s="55" t="n">
        <f aca="false">W3915+ROW()*0.000000001</f>
        <v>-2.7808918626558</v>
      </c>
      <c r="Z3915" s="55" t="n">
        <f aca="false">X3915+ROW()*0.000000001</f>
        <v>46.8537326081818</v>
      </c>
    </row>
    <row r="3916" customFormat="false" ht="15" hidden="false" customHeight="false" outlineLevel="0" collapsed="false">
      <c r="A3916" s="0" t="n">
        <v>13</v>
      </c>
      <c r="B3916" s="0" t="n">
        <v>9</v>
      </c>
      <c r="C3916" s="0" t="n">
        <v>1</v>
      </c>
      <c r="D3916" s="0" t="n">
        <f aca="false">-1+A3916*0.125</f>
        <v>0.625</v>
      </c>
      <c r="E3916" s="0" t="n">
        <f aca="false">-1+B3916*0.125</f>
        <v>0.125</v>
      </c>
      <c r="F3916" s="0" t="n">
        <f aca="false">-1+C3916*0.125</f>
        <v>-0.875</v>
      </c>
      <c r="G3916" s="0" t="n">
        <f aca="false">1</f>
        <v>1</v>
      </c>
      <c r="H3916" s="0" t="n">
        <f aca="false">D3916</f>
        <v>0.625</v>
      </c>
      <c r="I3916" s="0" t="n">
        <f aca="false">E3916</f>
        <v>0.125</v>
      </c>
      <c r="J3916" s="0" t="n">
        <f aca="false">F3916</f>
        <v>-0.875</v>
      </c>
      <c r="K3916" s="0" t="n">
        <f aca="false">D3916*E3916</f>
        <v>0.078125</v>
      </c>
      <c r="L3916" s="0" t="n">
        <f aca="false">D3916*F3916</f>
        <v>-0.546875</v>
      </c>
      <c r="M3916" s="0" t="n">
        <f aca="false">E3916*F3916</f>
        <v>-0.109375</v>
      </c>
      <c r="N3916" s="0" t="n">
        <f aca="false">D3916*D3916</f>
        <v>0.390625</v>
      </c>
      <c r="O3916" s="0" t="n">
        <f aca="false">E3916*E3916</f>
        <v>0.015625</v>
      </c>
      <c r="P3916" s="0" t="n">
        <f aca="false">F3916*F3916</f>
        <v>0.765625</v>
      </c>
      <c r="Q3916" s="0" t="n">
        <f aca="false">SUMPRODUCT(G3916:P3916,_XtX!$B$71:$K$71)</f>
        <v>47.2974644886364</v>
      </c>
      <c r="R3916" s="0" t="n">
        <f aca="false">SUMPRODUCT(MMULT(G3916:P3916,_XtX!$B$58:$K$67),G3916:P3916)</f>
        <v>0.350717440518466</v>
      </c>
      <c r="S3916" s="0" t="n">
        <f aca="false">04_回帰ANOVA!$K$19*04_回帰ANOVA!$K$14*SQRT(1+R3916)</f>
        <v>1.08056000737898</v>
      </c>
      <c r="T3916" s="0" t="n">
        <f aca="false">Q3916-S3916</f>
        <v>46.2169044812574</v>
      </c>
      <c r="U3916" s="0" t="n">
        <f aca="false">Q3916+S3916</f>
        <v>48.3780244960154</v>
      </c>
      <c r="V3916" s="54" t="b">
        <f aca="false">AND(D3916&gt;=01_因子設定!$L$5-0.000000001,D3916&lt;=01_因子設定!$M$5+0.000000001,E3916&gt;=01_因子設定!$L$6-0.000000001,E3916&lt;=01_因子設定!$M$6+0.000000001,F3916&gt;=01_因子設定!$L$7-0.000000001,F3916&lt;=01_因子設定!$M$7+0.000000001,IF(01_因子設定!$B$20="Box-Behnken",D3916^2+E3916^2+F3916^2&lt;=2+0.000000001,TRUE()))</f>
        <v>1</v>
      </c>
      <c r="W3916" s="55" t="n">
        <f aca="false">IF(V3916,IF(01_因子設定!$B$13="最大化",T3916-01_因子設定!$B$14,IF(01_因子設定!$B$13="最小化",01_因子設定!$B$15-U3916,MIN(T3916-01_因子設定!$B$14,01_因子設定!$B$15-U3916))),-1E+030)</f>
        <v>-2.2830955187426</v>
      </c>
      <c r="X3916" s="55" t="n">
        <f aca="false">IF(V3916,IF(01_因子設定!$B$13="最大化",Q3916,IF(01_因子設定!$B$13="最小化",-Q3916,-ABS(Q3916-01_因子設定!$B$16))),-1E+030)</f>
        <v>47.2974644886364</v>
      </c>
      <c r="Y3916" s="55" t="n">
        <f aca="false">W3916+ROW()*0.000000001</f>
        <v>-2.2830916027426</v>
      </c>
      <c r="Z3916" s="55" t="n">
        <f aca="false">X3916+ROW()*0.000000001</f>
        <v>47.2974684046364</v>
      </c>
    </row>
    <row r="3917" customFormat="false" ht="15" hidden="false" customHeight="false" outlineLevel="0" collapsed="false">
      <c r="A3917" s="0" t="n">
        <v>13</v>
      </c>
      <c r="B3917" s="0" t="n">
        <v>9</v>
      </c>
      <c r="C3917" s="0" t="n">
        <v>2</v>
      </c>
      <c r="D3917" s="0" t="n">
        <f aca="false">-1+A3917*0.125</f>
        <v>0.625</v>
      </c>
      <c r="E3917" s="0" t="n">
        <f aca="false">-1+B3917*0.125</f>
        <v>0.125</v>
      </c>
      <c r="F3917" s="0" t="n">
        <f aca="false">-1+C3917*0.125</f>
        <v>-0.75</v>
      </c>
      <c r="G3917" s="0" t="n">
        <f aca="false">1</f>
        <v>1</v>
      </c>
      <c r="H3917" s="0" t="n">
        <f aca="false">D3917</f>
        <v>0.625</v>
      </c>
      <c r="I3917" s="0" t="n">
        <f aca="false">E3917</f>
        <v>0.125</v>
      </c>
      <c r="J3917" s="0" t="n">
        <f aca="false">F3917</f>
        <v>-0.75</v>
      </c>
      <c r="K3917" s="0" t="n">
        <f aca="false">D3917*E3917</f>
        <v>0.078125</v>
      </c>
      <c r="L3917" s="0" t="n">
        <f aca="false">D3917*F3917</f>
        <v>-0.46875</v>
      </c>
      <c r="M3917" s="0" t="n">
        <f aca="false">E3917*F3917</f>
        <v>-0.09375</v>
      </c>
      <c r="N3917" s="0" t="n">
        <f aca="false">D3917*D3917</f>
        <v>0.390625</v>
      </c>
      <c r="O3917" s="0" t="n">
        <f aca="false">E3917*E3917</f>
        <v>0.015625</v>
      </c>
      <c r="P3917" s="0" t="n">
        <f aca="false">F3917*F3917</f>
        <v>0.5625</v>
      </c>
      <c r="Q3917" s="0" t="n">
        <f aca="false">SUMPRODUCT(G3917:P3917,_XtX!$B$71:$K$71)</f>
        <v>47.7044105113637</v>
      </c>
      <c r="R3917" s="0" t="n">
        <f aca="false">SUMPRODUCT(MMULT(G3917:P3917,_XtX!$B$58:$K$67),G3917:P3917)</f>
        <v>0.262961092862216</v>
      </c>
      <c r="S3917" s="0" t="n">
        <f aca="false">04_回帰ANOVA!$K$19*04_回帰ANOVA!$K$14*SQRT(1+R3917)</f>
        <v>1.04486846483649</v>
      </c>
      <c r="T3917" s="0" t="n">
        <f aca="false">Q3917-S3917</f>
        <v>46.6595420465272</v>
      </c>
      <c r="U3917" s="0" t="n">
        <f aca="false">Q3917+S3917</f>
        <v>48.7492789762001</v>
      </c>
      <c r="V3917" s="54" t="b">
        <f aca="false">AND(D3917&gt;=01_因子設定!$L$5-0.000000001,D3917&lt;=01_因子設定!$M$5+0.000000001,E3917&gt;=01_因子設定!$L$6-0.000000001,E3917&lt;=01_因子設定!$M$6+0.000000001,F3917&gt;=01_因子設定!$L$7-0.000000001,F3917&lt;=01_因子設定!$M$7+0.000000001,IF(01_因子設定!$B$20="Box-Behnken",D3917^2+E3917^2+F3917^2&lt;=2+0.000000001,TRUE()))</f>
        <v>1</v>
      </c>
      <c r="W3917" s="55" t="n">
        <f aca="false">IF(V3917,IF(01_因子設定!$B$13="最大化",T3917-01_因子設定!$B$14,IF(01_因子設定!$B$13="最小化",01_因子設定!$B$15-U3917,MIN(T3917-01_因子設定!$B$14,01_因子設定!$B$15-U3917))),-1E+030)</f>
        <v>-1.84045795347284</v>
      </c>
      <c r="X3917" s="55" t="n">
        <f aca="false">IF(V3917,IF(01_因子設定!$B$13="最大化",Q3917,IF(01_因子設定!$B$13="最小化",-Q3917,-ABS(Q3917-01_因子設定!$B$16))),-1E+030)</f>
        <v>47.7044105113637</v>
      </c>
      <c r="Y3917" s="55" t="n">
        <f aca="false">W3917+ROW()*0.000000001</f>
        <v>-1.84045403647284</v>
      </c>
      <c r="Z3917" s="55" t="n">
        <f aca="false">X3917+ROW()*0.000000001</f>
        <v>47.7044144283637</v>
      </c>
    </row>
    <row r="3918" customFormat="false" ht="15" hidden="false" customHeight="false" outlineLevel="0" collapsed="false">
      <c r="A3918" s="0" t="n">
        <v>13</v>
      </c>
      <c r="B3918" s="0" t="n">
        <v>9</v>
      </c>
      <c r="C3918" s="0" t="n">
        <v>3</v>
      </c>
      <c r="D3918" s="0" t="n">
        <f aca="false">-1+A3918*0.125</f>
        <v>0.625</v>
      </c>
      <c r="E3918" s="0" t="n">
        <f aca="false">-1+B3918*0.125</f>
        <v>0.125</v>
      </c>
      <c r="F3918" s="0" t="n">
        <f aca="false">-1+C3918*0.125</f>
        <v>-0.625</v>
      </c>
      <c r="G3918" s="0" t="n">
        <f aca="false">1</f>
        <v>1</v>
      </c>
      <c r="H3918" s="0" t="n">
        <f aca="false">D3918</f>
        <v>0.625</v>
      </c>
      <c r="I3918" s="0" t="n">
        <f aca="false">E3918</f>
        <v>0.125</v>
      </c>
      <c r="J3918" s="0" t="n">
        <f aca="false">F3918</f>
        <v>-0.625</v>
      </c>
      <c r="K3918" s="0" t="n">
        <f aca="false">D3918*E3918</f>
        <v>0.078125</v>
      </c>
      <c r="L3918" s="0" t="n">
        <f aca="false">D3918*F3918</f>
        <v>-0.390625</v>
      </c>
      <c r="M3918" s="0" t="n">
        <f aca="false">E3918*F3918</f>
        <v>-0.078125</v>
      </c>
      <c r="N3918" s="0" t="n">
        <f aca="false">D3918*D3918</f>
        <v>0.390625</v>
      </c>
      <c r="O3918" s="0" t="n">
        <f aca="false">E3918*E3918</f>
        <v>0.015625</v>
      </c>
      <c r="P3918" s="0" t="n">
        <f aca="false">F3918*F3918</f>
        <v>0.390625</v>
      </c>
      <c r="Q3918" s="0" t="n">
        <f aca="false">SUMPRODUCT(G3918:P3918,_XtX!$B$71:$K$71)</f>
        <v>48.0745667613637</v>
      </c>
      <c r="R3918" s="0" t="n">
        <f aca="false">SUMPRODUCT(MMULT(G3918:P3918,_XtX!$B$58:$K$67),G3918:P3918)</f>
        <v>0.212143221768466</v>
      </c>
      <c r="S3918" s="0" t="n">
        <f aca="false">04_回帰ANOVA!$K$19*04_回帰ANOVA!$K$14*SQRT(1+R3918)</f>
        <v>1.02363141237304</v>
      </c>
      <c r="T3918" s="0" t="n">
        <f aca="false">Q3918-S3918</f>
        <v>47.0509353489906</v>
      </c>
      <c r="U3918" s="0" t="n">
        <f aca="false">Q3918+S3918</f>
        <v>49.0981981737367</v>
      </c>
      <c r="V3918" s="54" t="b">
        <f aca="false">AND(D3918&gt;=01_因子設定!$L$5-0.000000001,D3918&lt;=01_因子設定!$M$5+0.000000001,E3918&gt;=01_因子設定!$L$6-0.000000001,E3918&lt;=01_因子設定!$M$6+0.000000001,F3918&gt;=01_因子設定!$L$7-0.000000001,F3918&lt;=01_因子設定!$M$7+0.000000001,IF(01_因子設定!$B$20="Box-Behnken",D3918^2+E3918^2+F3918^2&lt;=2+0.000000001,TRUE()))</f>
        <v>1</v>
      </c>
      <c r="W3918" s="55" t="n">
        <f aca="false">IF(V3918,IF(01_因子設定!$B$13="最大化",T3918-01_因子設定!$B$14,IF(01_因子設定!$B$13="最小化",01_因子設定!$B$15-U3918,MIN(T3918-01_因子設定!$B$14,01_因子設定!$B$15-U3918))),-1E+030)</f>
        <v>-1.44906465100939</v>
      </c>
      <c r="X3918" s="55" t="n">
        <f aca="false">IF(V3918,IF(01_因子設定!$B$13="最大化",Q3918,IF(01_因子設定!$B$13="最小化",-Q3918,-ABS(Q3918-01_因子設定!$B$16))),-1E+030)</f>
        <v>48.0745667613637</v>
      </c>
      <c r="Y3918" s="55" t="n">
        <f aca="false">W3918+ROW()*0.000000001</f>
        <v>-1.44906073300939</v>
      </c>
      <c r="Z3918" s="55" t="n">
        <f aca="false">X3918+ROW()*0.000000001</f>
        <v>48.0745706793636</v>
      </c>
    </row>
    <row r="3919" customFormat="false" ht="15" hidden="false" customHeight="false" outlineLevel="0" collapsed="false">
      <c r="A3919" s="0" t="n">
        <v>13</v>
      </c>
      <c r="B3919" s="0" t="n">
        <v>9</v>
      </c>
      <c r="C3919" s="0" t="n">
        <v>4</v>
      </c>
      <c r="D3919" s="0" t="n">
        <f aca="false">-1+A3919*0.125</f>
        <v>0.625</v>
      </c>
      <c r="E3919" s="0" t="n">
        <f aca="false">-1+B3919*0.125</f>
        <v>0.125</v>
      </c>
      <c r="F3919" s="0" t="n">
        <f aca="false">-1+C3919*0.125</f>
        <v>-0.5</v>
      </c>
      <c r="G3919" s="0" t="n">
        <f aca="false">1</f>
        <v>1</v>
      </c>
      <c r="H3919" s="0" t="n">
        <f aca="false">D3919</f>
        <v>0.625</v>
      </c>
      <c r="I3919" s="0" t="n">
        <f aca="false">E3919</f>
        <v>0.125</v>
      </c>
      <c r="J3919" s="0" t="n">
        <f aca="false">F3919</f>
        <v>-0.5</v>
      </c>
      <c r="K3919" s="0" t="n">
        <f aca="false">D3919*E3919</f>
        <v>0.078125</v>
      </c>
      <c r="L3919" s="0" t="n">
        <f aca="false">D3919*F3919</f>
        <v>-0.3125</v>
      </c>
      <c r="M3919" s="0" t="n">
        <f aca="false">E3919*F3919</f>
        <v>-0.0625</v>
      </c>
      <c r="N3919" s="0" t="n">
        <f aca="false">D3919*D3919</f>
        <v>0.390625</v>
      </c>
      <c r="O3919" s="0" t="n">
        <f aca="false">E3919*E3919</f>
        <v>0.015625</v>
      </c>
      <c r="P3919" s="0" t="n">
        <f aca="false">F3919*F3919</f>
        <v>0.25</v>
      </c>
      <c r="Q3919" s="0" t="n">
        <f aca="false">SUMPRODUCT(G3919:P3919,_XtX!$B$71:$K$71)</f>
        <v>48.4079332386364</v>
      </c>
      <c r="R3919" s="0" t="n">
        <f aca="false">SUMPRODUCT(MMULT(G3919:P3919,_XtX!$B$58:$K$67),G3919:P3919)</f>
        <v>0.186545077237216</v>
      </c>
      <c r="S3919" s="0" t="n">
        <f aca="false">04_回帰ANOVA!$K$19*04_回帰ANOVA!$K$14*SQRT(1+R3919)</f>
        <v>1.01276516970713</v>
      </c>
      <c r="T3919" s="0" t="n">
        <f aca="false">Q3919-S3919</f>
        <v>47.3951680689292</v>
      </c>
      <c r="U3919" s="0" t="n">
        <f aca="false">Q3919+S3919</f>
        <v>49.4206984083435</v>
      </c>
      <c r="V3919" s="54" t="b">
        <f aca="false">AND(D3919&gt;=01_因子設定!$L$5-0.000000001,D3919&lt;=01_因子設定!$M$5+0.000000001,E3919&gt;=01_因子設定!$L$6-0.000000001,E3919&lt;=01_因子設定!$M$6+0.000000001,F3919&gt;=01_因子設定!$L$7-0.000000001,F3919&lt;=01_因子設定!$M$7+0.000000001,IF(01_因子設定!$B$20="Box-Behnken",D3919^2+E3919^2+F3919^2&lt;=2+0.000000001,TRUE()))</f>
        <v>1</v>
      </c>
      <c r="W3919" s="55" t="n">
        <f aca="false">IF(V3919,IF(01_因子設定!$B$13="最大化",T3919-01_因子設定!$B$14,IF(01_因子設定!$B$13="最小化",01_因子設定!$B$15-U3919,MIN(T3919-01_因子設定!$B$14,01_因子設定!$B$15-U3919))),-1E+030)</f>
        <v>-1.10483193107076</v>
      </c>
      <c r="X3919" s="55" t="n">
        <f aca="false">IF(V3919,IF(01_因子設定!$B$13="最大化",Q3919,IF(01_因子設定!$B$13="最小化",-Q3919,-ABS(Q3919-01_因子設定!$B$16))),-1E+030)</f>
        <v>48.4079332386364</v>
      </c>
      <c r="Y3919" s="55" t="n">
        <f aca="false">W3919+ROW()*0.000000001</f>
        <v>-1.10482801207076</v>
      </c>
      <c r="Z3919" s="55" t="n">
        <f aca="false">X3919+ROW()*0.000000001</f>
        <v>48.4079371576364</v>
      </c>
    </row>
    <row r="3920" customFormat="false" ht="15" hidden="false" customHeight="false" outlineLevel="0" collapsed="false">
      <c r="A3920" s="0" t="n">
        <v>13</v>
      </c>
      <c r="B3920" s="0" t="n">
        <v>9</v>
      </c>
      <c r="C3920" s="0" t="n">
        <v>5</v>
      </c>
      <c r="D3920" s="0" t="n">
        <f aca="false">-1+A3920*0.125</f>
        <v>0.625</v>
      </c>
      <c r="E3920" s="0" t="n">
        <f aca="false">-1+B3920*0.125</f>
        <v>0.125</v>
      </c>
      <c r="F3920" s="0" t="n">
        <f aca="false">-1+C3920*0.125</f>
        <v>-0.375</v>
      </c>
      <c r="G3920" s="0" t="n">
        <f aca="false">1</f>
        <v>1</v>
      </c>
      <c r="H3920" s="0" t="n">
        <f aca="false">D3920</f>
        <v>0.625</v>
      </c>
      <c r="I3920" s="0" t="n">
        <f aca="false">E3920</f>
        <v>0.125</v>
      </c>
      <c r="J3920" s="0" t="n">
        <f aca="false">F3920</f>
        <v>-0.375</v>
      </c>
      <c r="K3920" s="0" t="n">
        <f aca="false">D3920*E3920</f>
        <v>0.078125</v>
      </c>
      <c r="L3920" s="0" t="n">
        <f aca="false">D3920*F3920</f>
        <v>-0.234375</v>
      </c>
      <c r="M3920" s="0" t="n">
        <f aca="false">E3920*F3920</f>
        <v>-0.046875</v>
      </c>
      <c r="N3920" s="0" t="n">
        <f aca="false">D3920*D3920</f>
        <v>0.390625</v>
      </c>
      <c r="O3920" s="0" t="n">
        <f aca="false">E3920*E3920</f>
        <v>0.015625</v>
      </c>
      <c r="P3920" s="0" t="n">
        <f aca="false">F3920*F3920</f>
        <v>0.140625</v>
      </c>
      <c r="Q3920" s="0" t="n">
        <f aca="false">SUMPRODUCT(G3920:P3920,_XtX!$B$71:$K$71)</f>
        <v>48.7045099431818</v>
      </c>
      <c r="R3920" s="0" t="n">
        <f aca="false">SUMPRODUCT(MMULT(G3920:P3920,_XtX!$B$58:$K$67),G3920:P3920)</f>
        <v>0.176578591086648</v>
      </c>
      <c r="S3920" s="0" t="n">
        <f aca="false">04_回帰ANOVA!$K$19*04_回帰ANOVA!$K$14*SQRT(1+R3920)</f>
        <v>1.00850279676269</v>
      </c>
      <c r="T3920" s="0" t="n">
        <f aca="false">Q3920-S3920</f>
        <v>47.6960071464191</v>
      </c>
      <c r="U3920" s="0" t="n">
        <f aca="false">Q3920+S3920</f>
        <v>49.7130127399445</v>
      </c>
      <c r="V3920" s="54" t="b">
        <f aca="false">AND(D3920&gt;=01_因子設定!$L$5-0.000000001,D3920&lt;=01_因子設定!$M$5+0.000000001,E3920&gt;=01_因子設定!$L$6-0.000000001,E3920&lt;=01_因子設定!$M$6+0.000000001,F3920&gt;=01_因子設定!$L$7-0.000000001,F3920&lt;=01_因子設定!$M$7+0.000000001,IF(01_因子設定!$B$20="Box-Behnken",D3920^2+E3920^2+F3920^2&lt;=2+0.000000001,TRUE()))</f>
        <v>1</v>
      </c>
      <c r="W3920" s="55" t="n">
        <f aca="false">IF(V3920,IF(01_因子設定!$B$13="最大化",T3920-01_因子設定!$B$14,IF(01_因子設定!$B$13="最小化",01_因子設定!$B$15-U3920,MIN(T3920-01_因子設定!$B$14,01_因子設定!$B$15-U3920))),-1E+030)</f>
        <v>-0.803992853580873</v>
      </c>
      <c r="X3920" s="55" t="n">
        <f aca="false">IF(V3920,IF(01_因子設定!$B$13="最大化",Q3920,IF(01_因子設定!$B$13="最小化",-Q3920,-ABS(Q3920-01_因子設定!$B$16))),-1E+030)</f>
        <v>48.7045099431818</v>
      </c>
      <c r="Y3920" s="55" t="n">
        <f aca="false">W3920+ROW()*0.000000001</f>
        <v>-0.803988933580873</v>
      </c>
      <c r="Z3920" s="55" t="n">
        <f aca="false">X3920+ROW()*0.000000001</f>
        <v>48.7045138631818</v>
      </c>
    </row>
    <row r="3921" customFormat="false" ht="15" hidden="false" customHeight="false" outlineLevel="0" collapsed="false">
      <c r="A3921" s="0" t="n">
        <v>13</v>
      </c>
      <c r="B3921" s="0" t="n">
        <v>9</v>
      </c>
      <c r="C3921" s="0" t="n">
        <v>6</v>
      </c>
      <c r="D3921" s="0" t="n">
        <f aca="false">-1+A3921*0.125</f>
        <v>0.625</v>
      </c>
      <c r="E3921" s="0" t="n">
        <f aca="false">-1+B3921*0.125</f>
        <v>0.125</v>
      </c>
      <c r="F3921" s="0" t="n">
        <f aca="false">-1+C3921*0.125</f>
        <v>-0.25</v>
      </c>
      <c r="G3921" s="0" t="n">
        <f aca="false">1</f>
        <v>1</v>
      </c>
      <c r="H3921" s="0" t="n">
        <f aca="false">D3921</f>
        <v>0.625</v>
      </c>
      <c r="I3921" s="0" t="n">
        <f aca="false">E3921</f>
        <v>0.125</v>
      </c>
      <c r="J3921" s="0" t="n">
        <f aca="false">F3921</f>
        <v>-0.25</v>
      </c>
      <c r="K3921" s="0" t="n">
        <f aca="false">D3921*E3921</f>
        <v>0.078125</v>
      </c>
      <c r="L3921" s="0" t="n">
        <f aca="false">D3921*F3921</f>
        <v>-0.15625</v>
      </c>
      <c r="M3921" s="0" t="n">
        <f aca="false">E3921*F3921</f>
        <v>-0.03125</v>
      </c>
      <c r="N3921" s="0" t="n">
        <f aca="false">D3921*D3921</f>
        <v>0.390625</v>
      </c>
      <c r="O3921" s="0" t="n">
        <f aca="false">E3921*E3921</f>
        <v>0.015625</v>
      </c>
      <c r="P3921" s="0" t="n">
        <f aca="false">F3921*F3921</f>
        <v>0.0625</v>
      </c>
      <c r="Q3921" s="0" t="n">
        <f aca="false">SUMPRODUCT(G3921:P3921,_XtX!$B$71:$K$71)</f>
        <v>48.964296875</v>
      </c>
      <c r="R3921" s="0" t="n">
        <f aca="false">SUMPRODUCT(MMULT(G3921:P3921,_XtX!$B$58:$K$67),G3921:P3921)</f>
        <v>0.174786376953125</v>
      </c>
      <c r="S3921" s="0" t="n">
        <f aca="false">04_回帰ANOVA!$K$19*04_回帰ANOVA!$K$14*SQRT(1+R3921)</f>
        <v>1.00773440704286</v>
      </c>
      <c r="T3921" s="0" t="n">
        <f aca="false">Q3921-S3921</f>
        <v>47.9565624679571</v>
      </c>
      <c r="U3921" s="0" t="n">
        <f aca="false">Q3921+S3921</f>
        <v>49.9720312820429</v>
      </c>
      <c r="V3921" s="54" t="b">
        <f aca="false">AND(D3921&gt;=01_因子設定!$L$5-0.000000001,D3921&lt;=01_因子設定!$M$5+0.000000001,E3921&gt;=01_因子設定!$L$6-0.000000001,E3921&lt;=01_因子設定!$M$6+0.000000001,F3921&gt;=01_因子設定!$L$7-0.000000001,F3921&lt;=01_因子設定!$M$7+0.000000001,IF(01_因子設定!$B$20="Box-Behnken",D3921^2+E3921^2+F3921^2&lt;=2+0.000000001,TRUE()))</f>
        <v>1</v>
      </c>
      <c r="W3921" s="55" t="n">
        <f aca="false">IF(V3921,IF(01_因子設定!$B$13="最大化",T3921-01_因子設定!$B$14,IF(01_因子設定!$B$13="最小化",01_因子設定!$B$15-U3921,MIN(T3921-01_因子設定!$B$14,01_因子設定!$B$15-U3921))),-1E+030)</f>
        <v>-0.543437532042859</v>
      </c>
      <c r="X3921" s="55" t="n">
        <f aca="false">IF(V3921,IF(01_因子設定!$B$13="最大化",Q3921,IF(01_因子設定!$B$13="最小化",-Q3921,-ABS(Q3921-01_因子設定!$B$16))),-1E+030)</f>
        <v>48.964296875</v>
      </c>
      <c r="Y3921" s="55" t="n">
        <f aca="false">W3921+ROW()*0.000000001</f>
        <v>-0.543433611042859</v>
      </c>
      <c r="Z3921" s="55" t="n">
        <f aca="false">X3921+ROW()*0.000000001</f>
        <v>48.964300796</v>
      </c>
    </row>
    <row r="3922" customFormat="false" ht="15" hidden="false" customHeight="false" outlineLevel="0" collapsed="false">
      <c r="A3922" s="0" t="n">
        <v>13</v>
      </c>
      <c r="B3922" s="0" t="n">
        <v>9</v>
      </c>
      <c r="C3922" s="0" t="n">
        <v>7</v>
      </c>
      <c r="D3922" s="0" t="n">
        <f aca="false">-1+A3922*0.125</f>
        <v>0.625</v>
      </c>
      <c r="E3922" s="0" t="n">
        <f aca="false">-1+B3922*0.125</f>
        <v>0.125</v>
      </c>
      <c r="F3922" s="0" t="n">
        <f aca="false">-1+C3922*0.125</f>
        <v>-0.125</v>
      </c>
      <c r="G3922" s="0" t="n">
        <f aca="false">1</f>
        <v>1</v>
      </c>
      <c r="H3922" s="0" t="n">
        <f aca="false">D3922</f>
        <v>0.625</v>
      </c>
      <c r="I3922" s="0" t="n">
        <f aca="false">E3922</f>
        <v>0.125</v>
      </c>
      <c r="J3922" s="0" t="n">
        <f aca="false">F3922</f>
        <v>-0.125</v>
      </c>
      <c r="K3922" s="0" t="n">
        <f aca="false">D3922*E3922</f>
        <v>0.078125</v>
      </c>
      <c r="L3922" s="0" t="n">
        <f aca="false">D3922*F3922</f>
        <v>-0.078125</v>
      </c>
      <c r="M3922" s="0" t="n">
        <f aca="false">E3922*F3922</f>
        <v>-0.015625</v>
      </c>
      <c r="N3922" s="0" t="n">
        <f aca="false">D3922*D3922</f>
        <v>0.390625</v>
      </c>
      <c r="O3922" s="0" t="n">
        <f aca="false">E3922*E3922</f>
        <v>0.015625</v>
      </c>
      <c r="P3922" s="0" t="n">
        <f aca="false">F3922*F3922</f>
        <v>0.015625</v>
      </c>
      <c r="Q3922" s="0" t="n">
        <f aca="false">SUMPRODUCT(G3922:P3922,_XtX!$B$71:$K$71)</f>
        <v>49.1872940340909</v>
      </c>
      <c r="R3922" s="0" t="n">
        <f aca="false">SUMPRODUCT(MMULT(G3922:P3922,_XtX!$B$58:$K$67),G3922:P3922)</f>
        <v>0.175841730291193</v>
      </c>
      <c r="S3922" s="0" t="n">
        <f aca="false">04_回帰ANOVA!$K$19*04_回帰ANOVA!$K$14*SQRT(1+R3922)</f>
        <v>1.00818694767054</v>
      </c>
      <c r="T3922" s="0" t="n">
        <f aca="false">Q3922-S3922</f>
        <v>48.1791070864204</v>
      </c>
      <c r="U3922" s="0" t="n">
        <f aca="false">Q3922+S3922</f>
        <v>50.1954809817615</v>
      </c>
      <c r="V3922" s="54" t="b">
        <f aca="false">AND(D3922&gt;=01_因子設定!$L$5-0.000000001,D3922&lt;=01_因子設定!$M$5+0.000000001,E3922&gt;=01_因子設定!$L$6-0.000000001,E3922&lt;=01_因子設定!$M$6+0.000000001,F3922&gt;=01_因子設定!$L$7-0.000000001,F3922&lt;=01_因子設定!$M$7+0.000000001,IF(01_因子設定!$B$20="Box-Behnken",D3922^2+E3922^2+F3922^2&lt;=2+0.000000001,TRUE()))</f>
        <v>1</v>
      </c>
      <c r="W3922" s="55" t="n">
        <f aca="false">IF(V3922,IF(01_因子設定!$B$13="最大化",T3922-01_因子設定!$B$14,IF(01_因子設定!$B$13="最小化",01_因子設定!$B$15-U3922,MIN(T3922-01_因子設定!$B$14,01_因子設定!$B$15-U3922))),-1E+030)</f>
        <v>-0.320892913579627</v>
      </c>
      <c r="X3922" s="55" t="n">
        <f aca="false">IF(V3922,IF(01_因子設定!$B$13="最大化",Q3922,IF(01_因子設定!$B$13="最小化",-Q3922,-ABS(Q3922-01_因子設定!$B$16))),-1E+030)</f>
        <v>49.1872940340909</v>
      </c>
      <c r="Y3922" s="55" t="n">
        <f aca="false">W3922+ROW()*0.000000001</f>
        <v>-0.320888991579627</v>
      </c>
      <c r="Z3922" s="55" t="n">
        <f aca="false">X3922+ROW()*0.000000001</f>
        <v>49.1872979560909</v>
      </c>
    </row>
    <row r="3923" customFormat="false" ht="15" hidden="false" customHeight="false" outlineLevel="0" collapsed="false">
      <c r="A3923" s="0" t="n">
        <v>13</v>
      </c>
      <c r="B3923" s="0" t="n">
        <v>9</v>
      </c>
      <c r="C3923" s="0" t="n">
        <v>8</v>
      </c>
      <c r="D3923" s="0" t="n">
        <f aca="false">-1+A3923*0.125</f>
        <v>0.625</v>
      </c>
      <c r="E3923" s="0" t="n">
        <f aca="false">-1+B3923*0.125</f>
        <v>0.125</v>
      </c>
      <c r="F3923" s="0" t="n">
        <f aca="false">-1+C3923*0.125</f>
        <v>0</v>
      </c>
      <c r="G3923" s="0" t="n">
        <f aca="false">1</f>
        <v>1</v>
      </c>
      <c r="H3923" s="0" t="n">
        <f aca="false">D3923</f>
        <v>0.625</v>
      </c>
      <c r="I3923" s="0" t="n">
        <f aca="false">E3923</f>
        <v>0.125</v>
      </c>
      <c r="J3923" s="0" t="n">
        <f aca="false">F3923</f>
        <v>0</v>
      </c>
      <c r="K3923" s="0" t="n">
        <f aca="false">D3923*E3923</f>
        <v>0.078125</v>
      </c>
      <c r="L3923" s="0" t="n">
        <f aca="false">D3923*F3923</f>
        <v>0</v>
      </c>
      <c r="M3923" s="0" t="n">
        <f aca="false">E3923*F3923</f>
        <v>0</v>
      </c>
      <c r="N3923" s="0" t="n">
        <f aca="false">D3923*D3923</f>
        <v>0.390625</v>
      </c>
      <c r="O3923" s="0" t="n">
        <f aca="false">E3923*E3923</f>
        <v>0.015625</v>
      </c>
      <c r="P3923" s="0" t="n">
        <f aca="false">F3923*F3923</f>
        <v>0</v>
      </c>
      <c r="Q3923" s="0" t="n">
        <f aca="false">SUMPRODUCT(G3923:P3923,_XtX!$B$71:$K$71)</f>
        <v>49.3735014204545</v>
      </c>
      <c r="R3923" s="0" t="n">
        <f aca="false">SUMPRODUCT(MMULT(G3923:P3923,_XtX!$B$58:$K$67),G3923:P3923)</f>
        <v>0.17654862837358</v>
      </c>
      <c r="S3923" s="0" t="n">
        <f aca="false">04_回帰ANOVA!$K$19*04_回帰ANOVA!$K$14*SQRT(1+R3923)</f>
        <v>1.00848995543082</v>
      </c>
      <c r="T3923" s="0" t="n">
        <f aca="false">Q3923-S3923</f>
        <v>48.3650114650237</v>
      </c>
      <c r="U3923" s="0" t="n">
        <f aca="false">Q3923+S3923</f>
        <v>50.3819913758854</v>
      </c>
      <c r="V3923" s="54" t="b">
        <f aca="false">AND(D3923&gt;=01_因子設定!$L$5-0.000000001,D3923&lt;=01_因子設定!$M$5+0.000000001,E3923&gt;=01_因子設定!$L$6-0.000000001,E3923&lt;=01_因子設定!$M$6+0.000000001,F3923&gt;=01_因子設定!$L$7-0.000000001,F3923&lt;=01_因子設定!$M$7+0.000000001,IF(01_因子設定!$B$20="Box-Behnken",D3923^2+E3923^2+F3923^2&lt;=2+0.000000001,TRUE()))</f>
        <v>1</v>
      </c>
      <c r="W3923" s="55" t="n">
        <f aca="false">IF(V3923,IF(01_因子設定!$B$13="最大化",T3923-01_因子設定!$B$14,IF(01_因子設定!$B$13="最小化",01_因子設定!$B$15-U3923,MIN(T3923-01_因子設定!$B$14,01_因子設定!$B$15-U3923))),-1E+030)</f>
        <v>-0.13498853497628</v>
      </c>
      <c r="X3923" s="55" t="n">
        <f aca="false">IF(V3923,IF(01_因子設定!$B$13="最大化",Q3923,IF(01_因子設定!$B$13="最小化",-Q3923,-ABS(Q3923-01_因子設定!$B$16))),-1E+030)</f>
        <v>49.3735014204545</v>
      </c>
      <c r="Y3923" s="55" t="n">
        <f aca="false">W3923+ROW()*0.000000001</f>
        <v>-0.13498461197628</v>
      </c>
      <c r="Z3923" s="55" t="n">
        <f aca="false">X3923+ROW()*0.000000001</f>
        <v>49.3735053434545</v>
      </c>
    </row>
    <row r="3924" customFormat="false" ht="15" hidden="false" customHeight="false" outlineLevel="0" collapsed="false">
      <c r="A3924" s="0" t="n">
        <v>13</v>
      </c>
      <c r="B3924" s="0" t="n">
        <v>9</v>
      </c>
      <c r="C3924" s="0" t="n">
        <v>9</v>
      </c>
      <c r="D3924" s="0" t="n">
        <f aca="false">-1+A3924*0.125</f>
        <v>0.625</v>
      </c>
      <c r="E3924" s="0" t="n">
        <f aca="false">-1+B3924*0.125</f>
        <v>0.125</v>
      </c>
      <c r="F3924" s="0" t="n">
        <f aca="false">-1+C3924*0.125</f>
        <v>0.125</v>
      </c>
      <c r="G3924" s="0" t="n">
        <f aca="false">1</f>
        <v>1</v>
      </c>
      <c r="H3924" s="0" t="n">
        <f aca="false">D3924</f>
        <v>0.625</v>
      </c>
      <c r="I3924" s="0" t="n">
        <f aca="false">E3924</f>
        <v>0.125</v>
      </c>
      <c r="J3924" s="0" t="n">
        <f aca="false">F3924</f>
        <v>0.125</v>
      </c>
      <c r="K3924" s="0" t="n">
        <f aca="false">D3924*E3924</f>
        <v>0.078125</v>
      </c>
      <c r="L3924" s="0" t="n">
        <f aca="false">D3924*F3924</f>
        <v>0.078125</v>
      </c>
      <c r="M3924" s="0" t="n">
        <f aca="false">E3924*F3924</f>
        <v>0.015625</v>
      </c>
      <c r="N3924" s="0" t="n">
        <f aca="false">D3924*D3924</f>
        <v>0.390625</v>
      </c>
      <c r="O3924" s="0" t="n">
        <f aca="false">E3924*E3924</f>
        <v>0.015625</v>
      </c>
      <c r="P3924" s="0" t="n">
        <f aca="false">F3924*F3924</f>
        <v>0.015625</v>
      </c>
      <c r="Q3924" s="0" t="n">
        <f aca="false">SUMPRODUCT(G3924:P3924,_XtX!$B$71:$K$71)</f>
        <v>49.5229190340909</v>
      </c>
      <c r="R3924" s="0" t="n">
        <f aca="false">SUMPRODUCT(MMULT(G3924:P3924,_XtX!$B$58:$K$67),G3924:P3924)</f>
        <v>0.175841730291193</v>
      </c>
      <c r="S3924" s="0" t="n">
        <f aca="false">04_回帰ANOVA!$K$19*04_回帰ANOVA!$K$14*SQRT(1+R3924)</f>
        <v>1.00818694767054</v>
      </c>
      <c r="T3924" s="0" t="n">
        <f aca="false">Q3924-S3924</f>
        <v>48.5147320864204</v>
      </c>
      <c r="U3924" s="0" t="n">
        <f aca="false">Q3924+S3924</f>
        <v>50.5311059817615</v>
      </c>
      <c r="V3924" s="54" t="b">
        <f aca="false">AND(D3924&gt;=01_因子設定!$L$5-0.000000001,D3924&lt;=01_因子設定!$M$5+0.000000001,E3924&gt;=01_因子設定!$L$6-0.000000001,E3924&lt;=01_因子設定!$M$6+0.000000001,F3924&gt;=01_因子設定!$L$7-0.000000001,F3924&lt;=01_因子設定!$M$7+0.000000001,IF(01_因子設定!$B$20="Box-Behnken",D3924^2+E3924^2+F3924^2&lt;=2+0.000000001,TRUE()))</f>
        <v>1</v>
      </c>
      <c r="W3924" s="55" t="n">
        <f aca="false">IF(V3924,IF(01_因子設定!$B$13="最大化",T3924-01_因子設定!$B$14,IF(01_因子設定!$B$13="最小化",01_因子設定!$B$15-U3924,MIN(T3924-01_因子設定!$B$14,01_因子設定!$B$15-U3924))),-1E+030)</f>
        <v>0.0147320864203735</v>
      </c>
      <c r="X3924" s="55" t="n">
        <f aca="false">IF(V3924,IF(01_因子設定!$B$13="最大化",Q3924,IF(01_因子設定!$B$13="最小化",-Q3924,-ABS(Q3924-01_因子設定!$B$16))),-1E+030)</f>
        <v>49.5229190340909</v>
      </c>
      <c r="Y3924" s="55" t="n">
        <f aca="false">W3924+ROW()*0.000000001</f>
        <v>0.0147360104203735</v>
      </c>
      <c r="Z3924" s="55" t="n">
        <f aca="false">X3924+ROW()*0.000000001</f>
        <v>49.5229229580909</v>
      </c>
    </row>
    <row r="3925" customFormat="false" ht="15" hidden="false" customHeight="false" outlineLevel="0" collapsed="false">
      <c r="A3925" s="0" t="n">
        <v>13</v>
      </c>
      <c r="B3925" s="0" t="n">
        <v>9</v>
      </c>
      <c r="C3925" s="0" t="n">
        <v>10</v>
      </c>
      <c r="D3925" s="0" t="n">
        <f aca="false">-1+A3925*0.125</f>
        <v>0.625</v>
      </c>
      <c r="E3925" s="0" t="n">
        <f aca="false">-1+B3925*0.125</f>
        <v>0.125</v>
      </c>
      <c r="F3925" s="0" t="n">
        <f aca="false">-1+C3925*0.125</f>
        <v>0.25</v>
      </c>
      <c r="G3925" s="0" t="n">
        <f aca="false">1</f>
        <v>1</v>
      </c>
      <c r="H3925" s="0" t="n">
        <f aca="false">D3925</f>
        <v>0.625</v>
      </c>
      <c r="I3925" s="0" t="n">
        <f aca="false">E3925</f>
        <v>0.125</v>
      </c>
      <c r="J3925" s="0" t="n">
        <f aca="false">F3925</f>
        <v>0.25</v>
      </c>
      <c r="K3925" s="0" t="n">
        <f aca="false">D3925*E3925</f>
        <v>0.078125</v>
      </c>
      <c r="L3925" s="0" t="n">
        <f aca="false">D3925*F3925</f>
        <v>0.15625</v>
      </c>
      <c r="M3925" s="0" t="n">
        <f aca="false">E3925*F3925</f>
        <v>0.03125</v>
      </c>
      <c r="N3925" s="0" t="n">
        <f aca="false">D3925*D3925</f>
        <v>0.390625</v>
      </c>
      <c r="O3925" s="0" t="n">
        <f aca="false">E3925*E3925</f>
        <v>0.015625</v>
      </c>
      <c r="P3925" s="0" t="n">
        <f aca="false">F3925*F3925</f>
        <v>0.0625</v>
      </c>
      <c r="Q3925" s="0" t="n">
        <f aca="false">SUMPRODUCT(G3925:P3925,_XtX!$B$71:$K$71)</f>
        <v>49.635546875</v>
      </c>
      <c r="R3925" s="0" t="n">
        <f aca="false">SUMPRODUCT(MMULT(G3925:P3925,_XtX!$B$58:$K$67),G3925:P3925)</f>
        <v>0.174786376953125</v>
      </c>
      <c r="S3925" s="0" t="n">
        <f aca="false">04_回帰ANOVA!$K$19*04_回帰ANOVA!$K$14*SQRT(1+R3925)</f>
        <v>1.00773440704286</v>
      </c>
      <c r="T3925" s="0" t="n">
        <f aca="false">Q3925-S3925</f>
        <v>48.6278124679571</v>
      </c>
      <c r="U3925" s="0" t="n">
        <f aca="false">Q3925+S3925</f>
        <v>50.6432812820429</v>
      </c>
      <c r="V3925" s="54" t="b">
        <f aca="false">AND(D3925&gt;=01_因子設定!$L$5-0.000000001,D3925&lt;=01_因子設定!$M$5+0.000000001,E3925&gt;=01_因子設定!$L$6-0.000000001,E3925&lt;=01_因子設定!$M$6+0.000000001,F3925&gt;=01_因子設定!$L$7-0.000000001,F3925&lt;=01_因子設定!$M$7+0.000000001,IF(01_因子設定!$B$20="Box-Behnken",D3925^2+E3925^2+F3925^2&lt;=2+0.000000001,TRUE()))</f>
        <v>1</v>
      </c>
      <c r="W3925" s="55" t="n">
        <f aca="false">IF(V3925,IF(01_因子設定!$B$13="最大化",T3925-01_因子設定!$B$14,IF(01_因子設定!$B$13="最小化",01_因子設定!$B$15-U3925,MIN(T3925-01_因子設定!$B$14,01_因子設定!$B$15-U3925))),-1E+030)</f>
        <v>0.127812467957142</v>
      </c>
      <c r="X3925" s="55" t="n">
        <f aca="false">IF(V3925,IF(01_因子設定!$B$13="最大化",Q3925,IF(01_因子設定!$B$13="最小化",-Q3925,-ABS(Q3925-01_因子設定!$B$16))),-1E+030)</f>
        <v>49.635546875</v>
      </c>
      <c r="Y3925" s="55" t="n">
        <f aca="false">W3925+ROW()*0.000000001</f>
        <v>0.127816392957142</v>
      </c>
      <c r="Z3925" s="55" t="n">
        <f aca="false">X3925+ROW()*0.000000001</f>
        <v>49.6355508</v>
      </c>
    </row>
    <row r="3926" customFormat="false" ht="15" hidden="false" customHeight="false" outlineLevel="0" collapsed="false">
      <c r="A3926" s="0" t="n">
        <v>13</v>
      </c>
      <c r="B3926" s="0" t="n">
        <v>9</v>
      </c>
      <c r="C3926" s="0" t="n">
        <v>11</v>
      </c>
      <c r="D3926" s="0" t="n">
        <f aca="false">-1+A3926*0.125</f>
        <v>0.625</v>
      </c>
      <c r="E3926" s="0" t="n">
        <f aca="false">-1+B3926*0.125</f>
        <v>0.125</v>
      </c>
      <c r="F3926" s="0" t="n">
        <f aca="false">-1+C3926*0.125</f>
        <v>0.375</v>
      </c>
      <c r="G3926" s="0" t="n">
        <f aca="false">1</f>
        <v>1</v>
      </c>
      <c r="H3926" s="0" t="n">
        <f aca="false">D3926</f>
        <v>0.625</v>
      </c>
      <c r="I3926" s="0" t="n">
        <f aca="false">E3926</f>
        <v>0.125</v>
      </c>
      <c r="J3926" s="0" t="n">
        <f aca="false">F3926</f>
        <v>0.375</v>
      </c>
      <c r="K3926" s="0" t="n">
        <f aca="false">D3926*E3926</f>
        <v>0.078125</v>
      </c>
      <c r="L3926" s="0" t="n">
        <f aca="false">D3926*F3926</f>
        <v>0.234375</v>
      </c>
      <c r="M3926" s="0" t="n">
        <f aca="false">E3926*F3926</f>
        <v>0.046875</v>
      </c>
      <c r="N3926" s="0" t="n">
        <f aca="false">D3926*D3926</f>
        <v>0.390625</v>
      </c>
      <c r="O3926" s="0" t="n">
        <f aca="false">E3926*E3926</f>
        <v>0.015625</v>
      </c>
      <c r="P3926" s="0" t="n">
        <f aca="false">F3926*F3926</f>
        <v>0.140625</v>
      </c>
      <c r="Q3926" s="0" t="n">
        <f aca="false">SUMPRODUCT(G3926:P3926,_XtX!$B$71:$K$71)</f>
        <v>49.7113849431818</v>
      </c>
      <c r="R3926" s="0" t="n">
        <f aca="false">SUMPRODUCT(MMULT(G3926:P3926,_XtX!$B$58:$K$67),G3926:P3926)</f>
        <v>0.176578591086648</v>
      </c>
      <c r="S3926" s="0" t="n">
        <f aca="false">04_回帰ANOVA!$K$19*04_回帰ANOVA!$K$14*SQRT(1+R3926)</f>
        <v>1.00850279676269</v>
      </c>
      <c r="T3926" s="0" t="n">
        <f aca="false">Q3926-S3926</f>
        <v>48.7028821464191</v>
      </c>
      <c r="U3926" s="0" t="n">
        <f aca="false">Q3926+S3926</f>
        <v>50.7198877399445</v>
      </c>
      <c r="V3926" s="54" t="b">
        <f aca="false">AND(D3926&gt;=01_因子設定!$L$5-0.000000001,D3926&lt;=01_因子設定!$M$5+0.000000001,E3926&gt;=01_因子設定!$L$6-0.000000001,E3926&lt;=01_因子設定!$M$6+0.000000001,F3926&gt;=01_因子設定!$L$7-0.000000001,F3926&lt;=01_因子設定!$M$7+0.000000001,IF(01_因子設定!$B$20="Box-Behnken",D3926^2+E3926^2+F3926^2&lt;=2+0.000000001,TRUE()))</f>
        <v>1</v>
      </c>
      <c r="W3926" s="55" t="n">
        <f aca="false">IF(V3926,IF(01_因子設定!$B$13="最大化",T3926-01_因子設定!$B$14,IF(01_因子設定!$B$13="最小化",01_因子設定!$B$15-U3926,MIN(T3926-01_因子設定!$B$14,01_因子設定!$B$15-U3926))),-1E+030)</f>
        <v>0.202882146419128</v>
      </c>
      <c r="X3926" s="55" t="n">
        <f aca="false">IF(V3926,IF(01_因子設定!$B$13="最大化",Q3926,IF(01_因子設定!$B$13="最小化",-Q3926,-ABS(Q3926-01_因子設定!$B$16))),-1E+030)</f>
        <v>49.7113849431818</v>
      </c>
      <c r="Y3926" s="55" t="n">
        <f aca="false">W3926+ROW()*0.000000001</f>
        <v>0.202886072419128</v>
      </c>
      <c r="Z3926" s="55" t="n">
        <f aca="false">X3926+ROW()*0.000000001</f>
        <v>49.7113888691818</v>
      </c>
    </row>
    <row r="3927" customFormat="false" ht="15" hidden="false" customHeight="false" outlineLevel="0" collapsed="false">
      <c r="A3927" s="0" t="n">
        <v>13</v>
      </c>
      <c r="B3927" s="0" t="n">
        <v>9</v>
      </c>
      <c r="C3927" s="0" t="n">
        <v>12</v>
      </c>
      <c r="D3927" s="0" t="n">
        <f aca="false">-1+A3927*0.125</f>
        <v>0.625</v>
      </c>
      <c r="E3927" s="0" t="n">
        <f aca="false">-1+B3927*0.125</f>
        <v>0.125</v>
      </c>
      <c r="F3927" s="0" t="n">
        <f aca="false">-1+C3927*0.125</f>
        <v>0.5</v>
      </c>
      <c r="G3927" s="0" t="n">
        <f aca="false">1</f>
        <v>1</v>
      </c>
      <c r="H3927" s="0" t="n">
        <f aca="false">D3927</f>
        <v>0.625</v>
      </c>
      <c r="I3927" s="0" t="n">
        <f aca="false">E3927</f>
        <v>0.125</v>
      </c>
      <c r="J3927" s="0" t="n">
        <f aca="false">F3927</f>
        <v>0.5</v>
      </c>
      <c r="K3927" s="0" t="n">
        <f aca="false">D3927*E3927</f>
        <v>0.078125</v>
      </c>
      <c r="L3927" s="0" t="n">
        <f aca="false">D3927*F3927</f>
        <v>0.3125</v>
      </c>
      <c r="M3927" s="0" t="n">
        <f aca="false">E3927*F3927</f>
        <v>0.0625</v>
      </c>
      <c r="N3927" s="0" t="n">
        <f aca="false">D3927*D3927</f>
        <v>0.390625</v>
      </c>
      <c r="O3927" s="0" t="n">
        <f aca="false">E3927*E3927</f>
        <v>0.015625</v>
      </c>
      <c r="P3927" s="0" t="n">
        <f aca="false">F3927*F3927</f>
        <v>0.25</v>
      </c>
      <c r="Q3927" s="0" t="n">
        <f aca="false">SUMPRODUCT(G3927:P3927,_XtX!$B$71:$K$71)</f>
        <v>49.7504332386364</v>
      </c>
      <c r="R3927" s="0" t="n">
        <f aca="false">SUMPRODUCT(MMULT(G3927:P3927,_XtX!$B$58:$K$67),G3927:P3927)</f>
        <v>0.186545077237216</v>
      </c>
      <c r="S3927" s="0" t="n">
        <f aca="false">04_回帰ANOVA!$K$19*04_回帰ANOVA!$K$14*SQRT(1+R3927)</f>
        <v>1.01276516970713</v>
      </c>
      <c r="T3927" s="0" t="n">
        <f aca="false">Q3927-S3927</f>
        <v>48.7376680689292</v>
      </c>
      <c r="U3927" s="0" t="n">
        <f aca="false">Q3927+S3927</f>
        <v>50.7631984083435</v>
      </c>
      <c r="V3927" s="54" t="b">
        <f aca="false">AND(D3927&gt;=01_因子設定!$L$5-0.000000001,D3927&lt;=01_因子設定!$M$5+0.000000001,E3927&gt;=01_因子設定!$L$6-0.000000001,E3927&lt;=01_因子設定!$M$6+0.000000001,F3927&gt;=01_因子設定!$L$7-0.000000001,F3927&lt;=01_因子設定!$M$7+0.000000001,IF(01_因子設定!$B$20="Box-Behnken",D3927^2+E3927^2+F3927^2&lt;=2+0.000000001,TRUE()))</f>
        <v>1</v>
      </c>
      <c r="W3927" s="55" t="n">
        <f aca="false">IF(V3927,IF(01_因子設定!$B$13="最大化",T3927-01_因子設定!$B$14,IF(01_因子設定!$B$13="最小化",01_因子設定!$B$15-U3927,MIN(T3927-01_因子設定!$B$14,01_因子設定!$B$15-U3927))),-1E+030)</f>
        <v>0.237668068929239</v>
      </c>
      <c r="X3927" s="55" t="n">
        <f aca="false">IF(V3927,IF(01_因子設定!$B$13="最大化",Q3927,IF(01_因子設定!$B$13="最小化",-Q3927,-ABS(Q3927-01_因子設定!$B$16))),-1E+030)</f>
        <v>49.7504332386364</v>
      </c>
      <c r="Y3927" s="55" t="n">
        <f aca="false">W3927+ROW()*0.000000001</f>
        <v>0.237671995929239</v>
      </c>
      <c r="Z3927" s="55" t="n">
        <f aca="false">X3927+ROW()*0.000000001</f>
        <v>49.7504371656364</v>
      </c>
    </row>
    <row r="3928" customFormat="false" ht="15" hidden="false" customHeight="false" outlineLevel="0" collapsed="false">
      <c r="A3928" s="0" t="n">
        <v>13</v>
      </c>
      <c r="B3928" s="0" t="n">
        <v>9</v>
      </c>
      <c r="C3928" s="0" t="n">
        <v>13</v>
      </c>
      <c r="D3928" s="0" t="n">
        <f aca="false">-1+A3928*0.125</f>
        <v>0.625</v>
      </c>
      <c r="E3928" s="0" t="n">
        <f aca="false">-1+B3928*0.125</f>
        <v>0.125</v>
      </c>
      <c r="F3928" s="0" t="n">
        <f aca="false">-1+C3928*0.125</f>
        <v>0.625</v>
      </c>
      <c r="G3928" s="0" t="n">
        <f aca="false">1</f>
        <v>1</v>
      </c>
      <c r="H3928" s="0" t="n">
        <f aca="false">D3928</f>
        <v>0.625</v>
      </c>
      <c r="I3928" s="0" t="n">
        <f aca="false">E3928</f>
        <v>0.125</v>
      </c>
      <c r="J3928" s="0" t="n">
        <f aca="false">F3928</f>
        <v>0.625</v>
      </c>
      <c r="K3928" s="0" t="n">
        <f aca="false">D3928*E3928</f>
        <v>0.078125</v>
      </c>
      <c r="L3928" s="0" t="n">
        <f aca="false">D3928*F3928</f>
        <v>0.390625</v>
      </c>
      <c r="M3928" s="0" t="n">
        <f aca="false">E3928*F3928</f>
        <v>0.078125</v>
      </c>
      <c r="N3928" s="0" t="n">
        <f aca="false">D3928*D3928</f>
        <v>0.390625</v>
      </c>
      <c r="O3928" s="0" t="n">
        <f aca="false">E3928*E3928</f>
        <v>0.015625</v>
      </c>
      <c r="P3928" s="0" t="n">
        <f aca="false">F3928*F3928</f>
        <v>0.390625</v>
      </c>
      <c r="Q3928" s="0" t="n">
        <f aca="false">SUMPRODUCT(G3928:P3928,_XtX!$B$71:$K$71)</f>
        <v>49.7526917613636</v>
      </c>
      <c r="R3928" s="0" t="n">
        <f aca="false">SUMPRODUCT(MMULT(G3928:P3928,_XtX!$B$58:$K$67),G3928:P3928)</f>
        <v>0.212143221768466</v>
      </c>
      <c r="S3928" s="0" t="n">
        <f aca="false">04_回帰ANOVA!$K$19*04_回帰ANOVA!$K$14*SQRT(1+R3928)</f>
        <v>1.02363141237304</v>
      </c>
      <c r="T3928" s="0" t="n">
        <f aca="false">Q3928-S3928</f>
        <v>48.7290603489906</v>
      </c>
      <c r="U3928" s="0" t="n">
        <f aca="false">Q3928+S3928</f>
        <v>50.7763231737367</v>
      </c>
      <c r="V3928" s="54" t="b">
        <f aca="false">AND(D3928&gt;=01_因子設定!$L$5-0.000000001,D3928&lt;=01_因子設定!$M$5+0.000000001,E3928&gt;=01_因子設定!$L$6-0.000000001,E3928&lt;=01_因子設定!$M$6+0.000000001,F3928&gt;=01_因子設定!$L$7-0.000000001,F3928&lt;=01_因子設定!$M$7+0.000000001,IF(01_因子設定!$B$20="Box-Behnken",D3928^2+E3928^2+F3928^2&lt;=2+0.000000001,TRUE()))</f>
        <v>1</v>
      </c>
      <c r="W3928" s="55" t="n">
        <f aca="false">IF(V3928,IF(01_因子設定!$B$13="最大化",T3928-01_因子設定!$B$14,IF(01_因子設定!$B$13="最小化",01_因子設定!$B$15-U3928,MIN(T3928-01_因子設定!$B$14,01_因子設定!$B$15-U3928))),-1E+030)</f>
        <v>0.2290603489906</v>
      </c>
      <c r="X3928" s="55" t="n">
        <f aca="false">IF(V3928,IF(01_因子設定!$B$13="最大化",Q3928,IF(01_因子設定!$B$13="最小化",-Q3928,-ABS(Q3928-01_因子設定!$B$16))),-1E+030)</f>
        <v>49.7526917613636</v>
      </c>
      <c r="Y3928" s="55" t="n">
        <f aca="false">W3928+ROW()*0.000000001</f>
        <v>0.2290642769906</v>
      </c>
      <c r="Z3928" s="55" t="n">
        <f aca="false">X3928+ROW()*0.000000001</f>
        <v>49.7526956893636</v>
      </c>
    </row>
    <row r="3929" customFormat="false" ht="15" hidden="false" customHeight="false" outlineLevel="0" collapsed="false">
      <c r="A3929" s="0" t="n">
        <v>13</v>
      </c>
      <c r="B3929" s="0" t="n">
        <v>9</v>
      </c>
      <c r="C3929" s="0" t="n">
        <v>14</v>
      </c>
      <c r="D3929" s="0" t="n">
        <f aca="false">-1+A3929*0.125</f>
        <v>0.625</v>
      </c>
      <c r="E3929" s="0" t="n">
        <f aca="false">-1+B3929*0.125</f>
        <v>0.125</v>
      </c>
      <c r="F3929" s="0" t="n">
        <f aca="false">-1+C3929*0.125</f>
        <v>0.75</v>
      </c>
      <c r="G3929" s="0" t="n">
        <f aca="false">1</f>
        <v>1</v>
      </c>
      <c r="H3929" s="0" t="n">
        <f aca="false">D3929</f>
        <v>0.625</v>
      </c>
      <c r="I3929" s="0" t="n">
        <f aca="false">E3929</f>
        <v>0.125</v>
      </c>
      <c r="J3929" s="0" t="n">
        <f aca="false">F3929</f>
        <v>0.75</v>
      </c>
      <c r="K3929" s="0" t="n">
        <f aca="false">D3929*E3929</f>
        <v>0.078125</v>
      </c>
      <c r="L3929" s="0" t="n">
        <f aca="false">D3929*F3929</f>
        <v>0.46875</v>
      </c>
      <c r="M3929" s="0" t="n">
        <f aca="false">E3929*F3929</f>
        <v>0.09375</v>
      </c>
      <c r="N3929" s="0" t="n">
        <f aca="false">D3929*D3929</f>
        <v>0.390625</v>
      </c>
      <c r="O3929" s="0" t="n">
        <f aca="false">E3929*E3929</f>
        <v>0.015625</v>
      </c>
      <c r="P3929" s="0" t="n">
        <f aca="false">F3929*F3929</f>
        <v>0.5625</v>
      </c>
      <c r="Q3929" s="0" t="n">
        <f aca="false">SUMPRODUCT(G3929:P3929,_XtX!$B$71:$K$71)</f>
        <v>49.7181605113637</v>
      </c>
      <c r="R3929" s="0" t="n">
        <f aca="false">SUMPRODUCT(MMULT(G3929:P3929,_XtX!$B$58:$K$67),G3929:P3929)</f>
        <v>0.262961092862216</v>
      </c>
      <c r="S3929" s="0" t="n">
        <f aca="false">04_回帰ANOVA!$K$19*04_回帰ANOVA!$K$14*SQRT(1+R3929)</f>
        <v>1.04486846483649</v>
      </c>
      <c r="T3929" s="0" t="n">
        <f aca="false">Q3929-S3929</f>
        <v>48.6732920465272</v>
      </c>
      <c r="U3929" s="0" t="n">
        <f aca="false">Q3929+S3929</f>
        <v>50.7630289762001</v>
      </c>
      <c r="V3929" s="54" t="b">
        <f aca="false">AND(D3929&gt;=01_因子設定!$L$5-0.000000001,D3929&lt;=01_因子設定!$M$5+0.000000001,E3929&gt;=01_因子設定!$L$6-0.000000001,E3929&lt;=01_因子設定!$M$6+0.000000001,F3929&gt;=01_因子設定!$L$7-0.000000001,F3929&lt;=01_因子設定!$M$7+0.000000001,IF(01_因子設定!$B$20="Box-Behnken",D3929^2+E3929^2+F3929^2&lt;=2+0.000000001,TRUE()))</f>
        <v>1</v>
      </c>
      <c r="W3929" s="55" t="n">
        <f aca="false">IF(V3929,IF(01_因子設定!$B$13="最大化",T3929-01_因子設定!$B$14,IF(01_因子設定!$B$13="最小化",01_因子設定!$B$15-U3929,MIN(T3929-01_因子設定!$B$14,01_因子設定!$B$15-U3929))),-1E+030)</f>
        <v>0.173292046527166</v>
      </c>
      <c r="X3929" s="55" t="n">
        <f aca="false">IF(V3929,IF(01_因子設定!$B$13="最大化",Q3929,IF(01_因子設定!$B$13="最小化",-Q3929,-ABS(Q3929-01_因子設定!$B$16))),-1E+030)</f>
        <v>49.7181605113637</v>
      </c>
      <c r="Y3929" s="55" t="n">
        <f aca="false">W3929+ROW()*0.000000001</f>
        <v>0.173295975527166</v>
      </c>
      <c r="Z3929" s="55" t="n">
        <f aca="false">X3929+ROW()*0.000000001</f>
        <v>49.7181644403637</v>
      </c>
    </row>
    <row r="3930" customFormat="false" ht="15" hidden="false" customHeight="false" outlineLevel="0" collapsed="false">
      <c r="A3930" s="0" t="n">
        <v>13</v>
      </c>
      <c r="B3930" s="0" t="n">
        <v>9</v>
      </c>
      <c r="C3930" s="0" t="n">
        <v>15</v>
      </c>
      <c r="D3930" s="0" t="n">
        <f aca="false">-1+A3930*0.125</f>
        <v>0.625</v>
      </c>
      <c r="E3930" s="0" t="n">
        <f aca="false">-1+B3930*0.125</f>
        <v>0.125</v>
      </c>
      <c r="F3930" s="0" t="n">
        <f aca="false">-1+C3930*0.125</f>
        <v>0.875</v>
      </c>
      <c r="G3930" s="0" t="n">
        <f aca="false">1</f>
        <v>1</v>
      </c>
      <c r="H3930" s="0" t="n">
        <f aca="false">D3930</f>
        <v>0.625</v>
      </c>
      <c r="I3930" s="0" t="n">
        <f aca="false">E3930</f>
        <v>0.125</v>
      </c>
      <c r="J3930" s="0" t="n">
        <f aca="false">F3930</f>
        <v>0.875</v>
      </c>
      <c r="K3930" s="0" t="n">
        <f aca="false">D3930*E3930</f>
        <v>0.078125</v>
      </c>
      <c r="L3930" s="0" t="n">
        <f aca="false">D3930*F3930</f>
        <v>0.546875</v>
      </c>
      <c r="M3930" s="0" t="n">
        <f aca="false">E3930*F3930</f>
        <v>0.109375</v>
      </c>
      <c r="N3930" s="0" t="n">
        <f aca="false">D3930*D3930</f>
        <v>0.390625</v>
      </c>
      <c r="O3930" s="0" t="n">
        <f aca="false">E3930*E3930</f>
        <v>0.015625</v>
      </c>
      <c r="P3930" s="0" t="n">
        <f aca="false">F3930*F3930</f>
        <v>0.765625</v>
      </c>
      <c r="Q3930" s="0" t="n">
        <f aca="false">SUMPRODUCT(G3930:P3930,_XtX!$B$71:$K$71)</f>
        <v>49.6468394886364</v>
      </c>
      <c r="R3930" s="0" t="n">
        <f aca="false">SUMPRODUCT(MMULT(G3930:P3930,_XtX!$B$58:$K$67),G3930:P3930)</f>
        <v>0.350717440518466</v>
      </c>
      <c r="S3930" s="0" t="n">
        <f aca="false">04_回帰ANOVA!$K$19*04_回帰ANOVA!$K$14*SQRT(1+R3930)</f>
        <v>1.08056000737898</v>
      </c>
      <c r="T3930" s="0" t="n">
        <f aca="false">Q3930-S3930</f>
        <v>48.5662794812574</v>
      </c>
      <c r="U3930" s="0" t="n">
        <f aca="false">Q3930+S3930</f>
        <v>50.7273994960154</v>
      </c>
      <c r="V3930" s="54" t="b">
        <f aca="false">AND(D3930&gt;=01_因子設定!$L$5-0.000000001,D3930&lt;=01_因子設定!$M$5+0.000000001,E3930&gt;=01_因子設定!$L$6-0.000000001,E3930&lt;=01_因子設定!$M$6+0.000000001,F3930&gt;=01_因子設定!$L$7-0.000000001,F3930&lt;=01_因子設定!$M$7+0.000000001,IF(01_因子設定!$B$20="Box-Behnken",D3930^2+E3930^2+F3930^2&lt;=2+0.000000001,TRUE()))</f>
        <v>1</v>
      </c>
      <c r="W3930" s="55" t="n">
        <f aca="false">IF(V3930,IF(01_因子設定!$B$13="最大化",T3930-01_因子設定!$B$14,IF(01_因子設定!$B$13="最小化",01_因子設定!$B$15-U3930,MIN(T3930-01_因子設定!$B$14,01_因子設定!$B$15-U3930))),-1E+030)</f>
        <v>0.0662794812574035</v>
      </c>
      <c r="X3930" s="55" t="n">
        <f aca="false">IF(V3930,IF(01_因子設定!$B$13="最大化",Q3930,IF(01_因子設定!$B$13="最小化",-Q3930,-ABS(Q3930-01_因子設定!$B$16))),-1E+030)</f>
        <v>49.6468394886364</v>
      </c>
      <c r="Y3930" s="55" t="n">
        <f aca="false">W3930+ROW()*0.000000001</f>
        <v>0.0662834112574035</v>
      </c>
      <c r="Z3930" s="55" t="n">
        <f aca="false">X3930+ROW()*0.000000001</f>
        <v>49.6468434186364</v>
      </c>
    </row>
    <row r="3931" customFormat="false" ht="15" hidden="false" customHeight="false" outlineLevel="0" collapsed="false">
      <c r="A3931" s="0" t="n">
        <v>13</v>
      </c>
      <c r="B3931" s="0" t="n">
        <v>9</v>
      </c>
      <c r="C3931" s="0" t="n">
        <v>16</v>
      </c>
      <c r="D3931" s="0" t="n">
        <f aca="false">-1+A3931*0.125</f>
        <v>0.625</v>
      </c>
      <c r="E3931" s="0" t="n">
        <f aca="false">-1+B3931*0.125</f>
        <v>0.125</v>
      </c>
      <c r="F3931" s="0" t="n">
        <f aca="false">-1+C3931*0.125</f>
        <v>1</v>
      </c>
      <c r="G3931" s="0" t="n">
        <f aca="false">1</f>
        <v>1</v>
      </c>
      <c r="H3931" s="0" t="n">
        <f aca="false">D3931</f>
        <v>0.625</v>
      </c>
      <c r="I3931" s="0" t="n">
        <f aca="false">E3931</f>
        <v>0.125</v>
      </c>
      <c r="J3931" s="0" t="n">
        <f aca="false">F3931</f>
        <v>1</v>
      </c>
      <c r="K3931" s="0" t="n">
        <f aca="false">D3931*E3931</f>
        <v>0.078125</v>
      </c>
      <c r="L3931" s="0" t="n">
        <f aca="false">D3931*F3931</f>
        <v>0.625</v>
      </c>
      <c r="M3931" s="0" t="n">
        <f aca="false">E3931*F3931</f>
        <v>0.125</v>
      </c>
      <c r="N3931" s="0" t="n">
        <f aca="false">D3931*D3931</f>
        <v>0.390625</v>
      </c>
      <c r="O3931" s="0" t="n">
        <f aca="false">E3931*E3931</f>
        <v>0.015625</v>
      </c>
      <c r="P3931" s="0" t="n">
        <f aca="false">F3931*F3931</f>
        <v>1</v>
      </c>
      <c r="Q3931" s="0" t="n">
        <f aca="false">SUMPRODUCT(G3931:P3931,_XtX!$B$71:$K$71)</f>
        <v>49.5387286931818</v>
      </c>
      <c r="R3931" s="0" t="n">
        <f aca="false">SUMPRODUCT(MMULT(G3931:P3931,_XtX!$B$58:$K$67),G3931:P3931)</f>
        <v>0.489261696555398</v>
      </c>
      <c r="S3931" s="0" t="n">
        <f aca="false">04_回帰ANOVA!$K$19*04_回帰ANOVA!$K$14*SQRT(1+R3931)</f>
        <v>1.13462447083763</v>
      </c>
      <c r="T3931" s="0" t="n">
        <f aca="false">Q3931-S3931</f>
        <v>48.4041042223442</v>
      </c>
      <c r="U3931" s="0" t="n">
        <f aca="false">Q3931+S3931</f>
        <v>50.6733531640195</v>
      </c>
      <c r="V3931" s="54" t="b">
        <f aca="false">AND(D3931&gt;=01_因子設定!$L$5-0.000000001,D3931&lt;=01_因子設定!$M$5+0.000000001,E3931&gt;=01_因子設定!$L$6-0.000000001,E3931&lt;=01_因子設定!$M$6+0.000000001,F3931&gt;=01_因子設定!$L$7-0.000000001,F3931&lt;=01_因子設定!$M$7+0.000000001,IF(01_因子設定!$B$20="Box-Behnken",D3931^2+E3931^2+F3931^2&lt;=2+0.000000001,TRUE()))</f>
        <v>1</v>
      </c>
      <c r="W3931" s="55" t="n">
        <f aca="false">IF(V3931,IF(01_因子設定!$B$13="最大化",T3931-01_因子設定!$B$14,IF(01_因子設定!$B$13="最小化",01_因子設定!$B$15-U3931,MIN(T3931-01_因子設定!$B$14,01_因子設定!$B$15-U3931))),-1E+030)</f>
        <v>-0.095895777655798</v>
      </c>
      <c r="X3931" s="55" t="n">
        <f aca="false">IF(V3931,IF(01_因子設定!$B$13="最大化",Q3931,IF(01_因子設定!$B$13="最小化",-Q3931,-ABS(Q3931-01_因子設定!$B$16))),-1E+030)</f>
        <v>49.5387286931818</v>
      </c>
      <c r="Y3931" s="55" t="n">
        <f aca="false">W3931+ROW()*0.000000001</f>
        <v>-0.095891846655798</v>
      </c>
      <c r="Z3931" s="55" t="n">
        <f aca="false">X3931+ROW()*0.000000001</f>
        <v>49.5387326241818</v>
      </c>
    </row>
    <row r="3932" customFormat="false" ht="15" hidden="false" customHeight="false" outlineLevel="0" collapsed="false">
      <c r="A3932" s="0" t="n">
        <v>13</v>
      </c>
      <c r="B3932" s="0" t="n">
        <v>10</v>
      </c>
      <c r="C3932" s="0" t="n">
        <v>0</v>
      </c>
      <c r="D3932" s="0" t="n">
        <f aca="false">-1+A3932*0.125</f>
        <v>0.625</v>
      </c>
      <c r="E3932" s="0" t="n">
        <f aca="false">-1+B3932*0.125</f>
        <v>0.25</v>
      </c>
      <c r="F3932" s="0" t="n">
        <f aca="false">-1+C3932*0.125</f>
        <v>-1</v>
      </c>
      <c r="G3932" s="0" t="n">
        <f aca="false">1</f>
        <v>1</v>
      </c>
      <c r="H3932" s="0" t="n">
        <f aca="false">D3932</f>
        <v>0.625</v>
      </c>
      <c r="I3932" s="0" t="n">
        <f aca="false">E3932</f>
        <v>0.25</v>
      </c>
      <c r="J3932" s="0" t="n">
        <f aca="false">F3932</f>
        <v>-1</v>
      </c>
      <c r="K3932" s="0" t="n">
        <f aca="false">D3932*E3932</f>
        <v>0.15625</v>
      </c>
      <c r="L3932" s="0" t="n">
        <f aca="false">D3932*F3932</f>
        <v>-0.625</v>
      </c>
      <c r="M3932" s="0" t="n">
        <f aca="false">E3932*F3932</f>
        <v>-0.25</v>
      </c>
      <c r="N3932" s="0" t="n">
        <f aca="false">D3932*D3932</f>
        <v>0.390625</v>
      </c>
      <c r="O3932" s="0" t="n">
        <f aca="false">E3932*E3932</f>
        <v>0.0625</v>
      </c>
      <c r="P3932" s="0" t="n">
        <f aca="false">F3932*F3932</f>
        <v>1</v>
      </c>
      <c r="Q3932" s="0" t="n">
        <f aca="false">SUMPRODUCT(G3932:P3932,_XtX!$B$71:$K$71)</f>
        <v>47.0569034090909</v>
      </c>
      <c r="R3932" s="0" t="n">
        <f aca="false">SUMPRODUCT(MMULT(G3932:P3932,_XtX!$B$58:$K$67),G3932:P3932)</f>
        <v>0.481389825994318</v>
      </c>
      <c r="S3932" s="0" t="n">
        <f aca="false">04_回帰ANOVA!$K$19*04_回帰ANOVA!$K$14*SQRT(1+R3932)</f>
        <v>1.13162182500693</v>
      </c>
      <c r="T3932" s="0" t="n">
        <f aca="false">Q3932-S3932</f>
        <v>45.925281584084</v>
      </c>
      <c r="U3932" s="0" t="n">
        <f aca="false">Q3932+S3932</f>
        <v>48.1885252340979</v>
      </c>
      <c r="V3932" s="54" t="b">
        <f aca="false">AND(D3932&gt;=01_因子設定!$L$5-0.000000001,D3932&lt;=01_因子設定!$M$5+0.000000001,E3932&gt;=01_因子設定!$L$6-0.000000001,E3932&lt;=01_因子設定!$M$6+0.000000001,F3932&gt;=01_因子設定!$L$7-0.000000001,F3932&lt;=01_因子設定!$M$7+0.000000001,IF(01_因子設定!$B$20="Box-Behnken",D3932^2+E3932^2+F3932^2&lt;=2+0.000000001,TRUE()))</f>
        <v>1</v>
      </c>
      <c r="W3932" s="55" t="n">
        <f aca="false">IF(V3932,IF(01_因子設定!$B$13="最大化",T3932-01_因子設定!$B$14,IF(01_因子設定!$B$13="最小化",01_因子設定!$B$15-U3932,MIN(T3932-01_因子設定!$B$14,01_因子設定!$B$15-U3932))),-1E+030)</f>
        <v>-2.574718415916</v>
      </c>
      <c r="X3932" s="55" t="n">
        <f aca="false">IF(V3932,IF(01_因子設定!$B$13="最大化",Q3932,IF(01_因子設定!$B$13="最小化",-Q3932,-ABS(Q3932-01_因子設定!$B$16))),-1E+030)</f>
        <v>47.0569034090909</v>
      </c>
      <c r="Y3932" s="55" t="n">
        <f aca="false">W3932+ROW()*0.000000001</f>
        <v>-2.574714483916</v>
      </c>
      <c r="Z3932" s="55" t="n">
        <f aca="false">X3932+ROW()*0.000000001</f>
        <v>47.0569073410909</v>
      </c>
    </row>
    <row r="3933" customFormat="false" ht="15" hidden="false" customHeight="false" outlineLevel="0" collapsed="false">
      <c r="A3933" s="0" t="n">
        <v>13</v>
      </c>
      <c r="B3933" s="0" t="n">
        <v>10</v>
      </c>
      <c r="C3933" s="0" t="n">
        <v>1</v>
      </c>
      <c r="D3933" s="0" t="n">
        <f aca="false">-1+A3933*0.125</f>
        <v>0.625</v>
      </c>
      <c r="E3933" s="0" t="n">
        <f aca="false">-1+B3933*0.125</f>
        <v>0.25</v>
      </c>
      <c r="F3933" s="0" t="n">
        <f aca="false">-1+C3933*0.125</f>
        <v>-0.875</v>
      </c>
      <c r="G3933" s="0" t="n">
        <f aca="false">1</f>
        <v>1</v>
      </c>
      <c r="H3933" s="0" t="n">
        <f aca="false">D3933</f>
        <v>0.625</v>
      </c>
      <c r="I3933" s="0" t="n">
        <f aca="false">E3933</f>
        <v>0.25</v>
      </c>
      <c r="J3933" s="0" t="n">
        <f aca="false">F3933</f>
        <v>-0.875</v>
      </c>
      <c r="K3933" s="0" t="n">
        <f aca="false">D3933*E3933</f>
        <v>0.15625</v>
      </c>
      <c r="L3933" s="0" t="n">
        <f aca="false">D3933*F3933</f>
        <v>-0.546875</v>
      </c>
      <c r="M3933" s="0" t="n">
        <f aca="false">E3933*F3933</f>
        <v>-0.21875</v>
      </c>
      <c r="N3933" s="0" t="n">
        <f aca="false">D3933*D3933</f>
        <v>0.390625</v>
      </c>
      <c r="O3933" s="0" t="n">
        <f aca="false">E3933*E3933</f>
        <v>0.0625</v>
      </c>
      <c r="P3933" s="0" t="n">
        <f aca="false">F3933*F3933</f>
        <v>0.765625</v>
      </c>
      <c r="Q3933" s="0" t="n">
        <f aca="false">SUMPRODUCT(G3933:P3933,_XtX!$B$71:$K$71)</f>
        <v>47.5076704545455</v>
      </c>
      <c r="R3933" s="0" t="n">
        <f aca="false">SUMPRODUCT(MMULT(G3933:P3933,_XtX!$B$58:$K$67),G3933:P3933)</f>
        <v>0.34446855024858</v>
      </c>
      <c r="S3933" s="0" t="n">
        <f aca="false">04_回帰ANOVA!$K$19*04_回帰ANOVA!$K$14*SQRT(1+R3933)</f>
        <v>1.07805758590432</v>
      </c>
      <c r="T3933" s="0" t="n">
        <f aca="false">Q3933-S3933</f>
        <v>46.4296128686412</v>
      </c>
      <c r="U3933" s="0" t="n">
        <f aca="false">Q3933+S3933</f>
        <v>48.5857280404498</v>
      </c>
      <c r="V3933" s="54" t="b">
        <f aca="false">AND(D3933&gt;=01_因子設定!$L$5-0.000000001,D3933&lt;=01_因子設定!$M$5+0.000000001,E3933&gt;=01_因子設定!$L$6-0.000000001,E3933&lt;=01_因子設定!$M$6+0.000000001,F3933&gt;=01_因子設定!$L$7-0.000000001,F3933&lt;=01_因子設定!$M$7+0.000000001,IF(01_因子設定!$B$20="Box-Behnken",D3933^2+E3933^2+F3933^2&lt;=2+0.000000001,TRUE()))</f>
        <v>1</v>
      </c>
      <c r="W3933" s="55" t="n">
        <f aca="false">IF(V3933,IF(01_因子設定!$B$13="最大化",T3933-01_因子設定!$B$14,IF(01_因子設定!$B$13="最小化",01_因子設定!$B$15-U3933,MIN(T3933-01_因子設定!$B$14,01_因子設定!$B$15-U3933))),-1E+030)</f>
        <v>-2.07038713135885</v>
      </c>
      <c r="X3933" s="55" t="n">
        <f aca="false">IF(V3933,IF(01_因子設定!$B$13="最大化",Q3933,IF(01_因子設定!$B$13="最小化",-Q3933,-ABS(Q3933-01_因子設定!$B$16))),-1E+030)</f>
        <v>47.5076704545455</v>
      </c>
      <c r="Y3933" s="55" t="n">
        <f aca="false">W3933+ROW()*0.000000001</f>
        <v>-2.07038319835885</v>
      </c>
      <c r="Z3933" s="55" t="n">
        <f aca="false">X3933+ROW()*0.000000001</f>
        <v>47.5076743875455</v>
      </c>
    </row>
    <row r="3934" customFormat="false" ht="15" hidden="false" customHeight="false" outlineLevel="0" collapsed="false">
      <c r="A3934" s="0" t="n">
        <v>13</v>
      </c>
      <c r="B3934" s="0" t="n">
        <v>10</v>
      </c>
      <c r="C3934" s="0" t="n">
        <v>2</v>
      </c>
      <c r="D3934" s="0" t="n">
        <f aca="false">-1+A3934*0.125</f>
        <v>0.625</v>
      </c>
      <c r="E3934" s="0" t="n">
        <f aca="false">-1+B3934*0.125</f>
        <v>0.25</v>
      </c>
      <c r="F3934" s="0" t="n">
        <f aca="false">-1+C3934*0.125</f>
        <v>-0.75</v>
      </c>
      <c r="G3934" s="0" t="n">
        <f aca="false">1</f>
        <v>1</v>
      </c>
      <c r="H3934" s="0" t="n">
        <f aca="false">D3934</f>
        <v>0.625</v>
      </c>
      <c r="I3934" s="0" t="n">
        <f aca="false">E3934</f>
        <v>0.25</v>
      </c>
      <c r="J3934" s="0" t="n">
        <f aca="false">F3934</f>
        <v>-0.75</v>
      </c>
      <c r="K3934" s="0" t="n">
        <f aca="false">D3934*E3934</f>
        <v>0.15625</v>
      </c>
      <c r="L3934" s="0" t="n">
        <f aca="false">D3934*F3934</f>
        <v>-0.46875</v>
      </c>
      <c r="M3934" s="0" t="n">
        <f aca="false">E3934*F3934</f>
        <v>-0.1875</v>
      </c>
      <c r="N3934" s="0" t="n">
        <f aca="false">D3934*D3934</f>
        <v>0.390625</v>
      </c>
      <c r="O3934" s="0" t="n">
        <f aca="false">E3934*E3934</f>
        <v>0.0625</v>
      </c>
      <c r="P3934" s="0" t="n">
        <f aca="false">F3934*F3934</f>
        <v>0.5625</v>
      </c>
      <c r="Q3934" s="0" t="n">
        <f aca="false">SUMPRODUCT(G3934:P3934,_XtX!$B$71:$K$71)</f>
        <v>47.9216477272727</v>
      </c>
      <c r="R3934" s="0" t="n">
        <f aca="false">SUMPRODUCT(MMULT(G3934:P3934,_XtX!$B$58:$K$67),G3934:P3934)</f>
        <v>0.258118785511364</v>
      </c>
      <c r="S3934" s="0" t="n">
        <f aca="false">04_回帰ANOVA!$K$19*04_回帰ANOVA!$K$14*SQRT(1+R3934)</f>
        <v>1.04286348094876</v>
      </c>
      <c r="T3934" s="0" t="n">
        <f aca="false">Q3934-S3934</f>
        <v>46.878784246324</v>
      </c>
      <c r="U3934" s="0" t="n">
        <f aca="false">Q3934+S3934</f>
        <v>48.9645112082215</v>
      </c>
      <c r="V3934" s="54" t="b">
        <f aca="false">AND(D3934&gt;=01_因子設定!$L$5-0.000000001,D3934&lt;=01_因子設定!$M$5+0.000000001,E3934&gt;=01_因子設定!$L$6-0.000000001,E3934&lt;=01_因子設定!$M$6+0.000000001,F3934&gt;=01_因子設定!$L$7-0.000000001,F3934&lt;=01_因子設定!$M$7+0.000000001,IF(01_因子設定!$B$20="Box-Behnken",D3934^2+E3934^2+F3934^2&lt;=2+0.000000001,TRUE()))</f>
        <v>1</v>
      </c>
      <c r="W3934" s="55" t="n">
        <f aca="false">IF(V3934,IF(01_因子設定!$B$13="最大化",T3934-01_因子設定!$B$14,IF(01_因子設定!$B$13="最小化",01_因子設定!$B$15-U3934,MIN(T3934-01_因子設定!$B$14,01_因子設定!$B$15-U3934))),-1E+030)</f>
        <v>-1.62121575367602</v>
      </c>
      <c r="X3934" s="55" t="n">
        <f aca="false">IF(V3934,IF(01_因子設定!$B$13="最大化",Q3934,IF(01_因子設定!$B$13="最小化",-Q3934,-ABS(Q3934-01_因子設定!$B$16))),-1E+030)</f>
        <v>47.9216477272727</v>
      </c>
      <c r="Y3934" s="55" t="n">
        <f aca="false">W3934+ROW()*0.000000001</f>
        <v>-1.62121181967602</v>
      </c>
      <c r="Z3934" s="55" t="n">
        <f aca="false">X3934+ROW()*0.000000001</f>
        <v>47.9216516612727</v>
      </c>
    </row>
    <row r="3935" customFormat="false" ht="15" hidden="false" customHeight="false" outlineLevel="0" collapsed="false">
      <c r="A3935" s="0" t="n">
        <v>13</v>
      </c>
      <c r="B3935" s="0" t="n">
        <v>10</v>
      </c>
      <c r="C3935" s="0" t="n">
        <v>3</v>
      </c>
      <c r="D3935" s="0" t="n">
        <f aca="false">-1+A3935*0.125</f>
        <v>0.625</v>
      </c>
      <c r="E3935" s="0" t="n">
        <f aca="false">-1+B3935*0.125</f>
        <v>0.25</v>
      </c>
      <c r="F3935" s="0" t="n">
        <f aca="false">-1+C3935*0.125</f>
        <v>-0.625</v>
      </c>
      <c r="G3935" s="0" t="n">
        <f aca="false">1</f>
        <v>1</v>
      </c>
      <c r="H3935" s="0" t="n">
        <f aca="false">D3935</f>
        <v>0.625</v>
      </c>
      <c r="I3935" s="0" t="n">
        <f aca="false">E3935</f>
        <v>0.25</v>
      </c>
      <c r="J3935" s="0" t="n">
        <f aca="false">F3935</f>
        <v>-0.625</v>
      </c>
      <c r="K3935" s="0" t="n">
        <f aca="false">D3935*E3935</f>
        <v>0.15625</v>
      </c>
      <c r="L3935" s="0" t="n">
        <f aca="false">D3935*F3935</f>
        <v>-0.390625</v>
      </c>
      <c r="M3935" s="0" t="n">
        <f aca="false">E3935*F3935</f>
        <v>-0.15625</v>
      </c>
      <c r="N3935" s="0" t="n">
        <f aca="false">D3935*D3935</f>
        <v>0.390625</v>
      </c>
      <c r="O3935" s="0" t="n">
        <f aca="false">E3935*E3935</f>
        <v>0.0625</v>
      </c>
      <c r="P3935" s="0" t="n">
        <f aca="false">F3935*F3935</f>
        <v>0.390625</v>
      </c>
      <c r="Q3935" s="0" t="n">
        <f aca="false">SUMPRODUCT(G3935:P3935,_XtX!$B$71:$K$71)</f>
        <v>48.2988352272727</v>
      </c>
      <c r="R3935" s="0" t="n">
        <f aca="false">SUMPRODUCT(MMULT(G3935:P3935,_XtX!$B$58:$K$67),G3935:P3935)</f>
        <v>0.208491099964489</v>
      </c>
      <c r="S3935" s="0" t="n">
        <f aca="false">04_回帰ANOVA!$K$19*04_回帰ANOVA!$K$14*SQRT(1+R3935)</f>
        <v>1.02208817610259</v>
      </c>
      <c r="T3935" s="0" t="n">
        <f aca="false">Q3935-S3935</f>
        <v>47.2767470511702</v>
      </c>
      <c r="U3935" s="0" t="n">
        <f aca="false">Q3935+S3935</f>
        <v>49.3209234033753</v>
      </c>
      <c r="V3935" s="54" t="b">
        <f aca="false">AND(D3935&gt;=01_因子設定!$L$5-0.000000001,D3935&lt;=01_因子設定!$M$5+0.000000001,E3935&gt;=01_因子設定!$L$6-0.000000001,E3935&lt;=01_因子設定!$M$6+0.000000001,F3935&gt;=01_因子設定!$L$7-0.000000001,F3935&lt;=01_因子設定!$M$7+0.000000001,IF(01_因子設定!$B$20="Box-Behnken",D3935^2+E3935^2+F3935^2&lt;=2+0.000000001,TRUE()))</f>
        <v>1</v>
      </c>
      <c r="W3935" s="55" t="n">
        <f aca="false">IF(V3935,IF(01_因子設定!$B$13="最大化",T3935-01_因子設定!$B$14,IF(01_因子設定!$B$13="最小化",01_因子設定!$B$15-U3935,MIN(T3935-01_因子設定!$B$14,01_因子設定!$B$15-U3935))),-1E+030)</f>
        <v>-1.22325294882985</v>
      </c>
      <c r="X3935" s="55" t="n">
        <f aca="false">IF(V3935,IF(01_因子設定!$B$13="最大化",Q3935,IF(01_因子設定!$B$13="最小化",-Q3935,-ABS(Q3935-01_因子設定!$B$16))),-1E+030)</f>
        <v>48.2988352272727</v>
      </c>
      <c r="Y3935" s="55" t="n">
        <f aca="false">W3935+ROW()*0.000000001</f>
        <v>-1.22324901382985</v>
      </c>
      <c r="Z3935" s="55" t="n">
        <f aca="false">X3935+ROW()*0.000000001</f>
        <v>48.2988391622727</v>
      </c>
    </row>
    <row r="3936" customFormat="false" ht="15" hidden="false" customHeight="false" outlineLevel="0" collapsed="false">
      <c r="A3936" s="0" t="n">
        <v>13</v>
      </c>
      <c r="B3936" s="0" t="n">
        <v>10</v>
      </c>
      <c r="C3936" s="0" t="n">
        <v>4</v>
      </c>
      <c r="D3936" s="0" t="n">
        <f aca="false">-1+A3936*0.125</f>
        <v>0.625</v>
      </c>
      <c r="E3936" s="0" t="n">
        <f aca="false">-1+B3936*0.125</f>
        <v>0.25</v>
      </c>
      <c r="F3936" s="0" t="n">
        <f aca="false">-1+C3936*0.125</f>
        <v>-0.5</v>
      </c>
      <c r="G3936" s="0" t="n">
        <f aca="false">1</f>
        <v>1</v>
      </c>
      <c r="H3936" s="0" t="n">
        <f aca="false">D3936</f>
        <v>0.625</v>
      </c>
      <c r="I3936" s="0" t="n">
        <f aca="false">E3936</f>
        <v>0.25</v>
      </c>
      <c r="J3936" s="0" t="n">
        <f aca="false">F3936</f>
        <v>-0.5</v>
      </c>
      <c r="K3936" s="0" t="n">
        <f aca="false">D3936*E3936</f>
        <v>0.15625</v>
      </c>
      <c r="L3936" s="0" t="n">
        <f aca="false">D3936*F3936</f>
        <v>-0.3125</v>
      </c>
      <c r="M3936" s="0" t="n">
        <f aca="false">E3936*F3936</f>
        <v>-0.125</v>
      </c>
      <c r="N3936" s="0" t="n">
        <f aca="false">D3936*D3936</f>
        <v>0.390625</v>
      </c>
      <c r="O3936" s="0" t="n">
        <f aca="false">E3936*E3936</f>
        <v>0.0625</v>
      </c>
      <c r="P3936" s="0" t="n">
        <f aca="false">F3936*F3936</f>
        <v>0.25</v>
      </c>
      <c r="Q3936" s="0" t="n">
        <f aca="false">SUMPRODUCT(G3936:P3936,_XtX!$B$71:$K$71)</f>
        <v>48.6392329545455</v>
      </c>
      <c r="R3936" s="0" t="n">
        <f aca="false">SUMPRODUCT(MMULT(G3936:P3936,_XtX!$B$58:$K$67),G3936:P3936)</f>
        <v>0.183866743607955</v>
      </c>
      <c r="S3936" s="0" t="n">
        <f aca="false">04_回帰ANOVA!$K$19*04_回帰ANOVA!$K$14*SQRT(1+R3936)</f>
        <v>1.01162148983013</v>
      </c>
      <c r="T3936" s="0" t="n">
        <f aca="false">Q3936-S3936</f>
        <v>47.6276114647153</v>
      </c>
      <c r="U3936" s="0" t="n">
        <f aca="false">Q3936+S3936</f>
        <v>49.6508544443756</v>
      </c>
      <c r="V3936" s="54" t="b">
        <f aca="false">AND(D3936&gt;=01_因子設定!$L$5-0.000000001,D3936&lt;=01_因子設定!$M$5+0.000000001,E3936&gt;=01_因子設定!$L$6-0.000000001,E3936&lt;=01_因子設定!$M$6+0.000000001,F3936&gt;=01_因子設定!$L$7-0.000000001,F3936&lt;=01_因子設定!$M$7+0.000000001,IF(01_因子設定!$B$20="Box-Behnken",D3936^2+E3936^2+F3936^2&lt;=2+0.000000001,TRUE()))</f>
        <v>1</v>
      </c>
      <c r="W3936" s="55" t="n">
        <f aca="false">IF(V3936,IF(01_因子設定!$B$13="最大化",T3936-01_因子設定!$B$14,IF(01_因子設定!$B$13="最小化",01_因子設定!$B$15-U3936,MIN(T3936-01_因子設定!$B$14,01_因子設定!$B$15-U3936))),-1E+030)</f>
        <v>-0.872388535284671</v>
      </c>
      <c r="X3936" s="55" t="n">
        <f aca="false">IF(V3936,IF(01_因子設定!$B$13="最大化",Q3936,IF(01_因子設定!$B$13="最小化",-Q3936,-ABS(Q3936-01_因子設定!$B$16))),-1E+030)</f>
        <v>48.6392329545455</v>
      </c>
      <c r="Y3936" s="55" t="n">
        <f aca="false">W3936+ROW()*0.000000001</f>
        <v>-0.872384599284671</v>
      </c>
      <c r="Z3936" s="55" t="n">
        <f aca="false">X3936+ROW()*0.000000001</f>
        <v>48.6392368905455</v>
      </c>
    </row>
    <row r="3937" customFormat="false" ht="15" hidden="false" customHeight="false" outlineLevel="0" collapsed="false">
      <c r="A3937" s="0" t="n">
        <v>13</v>
      </c>
      <c r="B3937" s="0" t="n">
        <v>10</v>
      </c>
      <c r="C3937" s="0" t="n">
        <v>5</v>
      </c>
      <c r="D3937" s="0" t="n">
        <f aca="false">-1+A3937*0.125</f>
        <v>0.625</v>
      </c>
      <c r="E3937" s="0" t="n">
        <f aca="false">-1+B3937*0.125</f>
        <v>0.25</v>
      </c>
      <c r="F3937" s="0" t="n">
        <f aca="false">-1+C3937*0.125</f>
        <v>-0.375</v>
      </c>
      <c r="G3937" s="0" t="n">
        <f aca="false">1</f>
        <v>1</v>
      </c>
      <c r="H3937" s="0" t="n">
        <f aca="false">D3937</f>
        <v>0.625</v>
      </c>
      <c r="I3937" s="0" t="n">
        <f aca="false">E3937</f>
        <v>0.25</v>
      </c>
      <c r="J3937" s="0" t="n">
        <f aca="false">F3937</f>
        <v>-0.375</v>
      </c>
      <c r="K3937" s="0" t="n">
        <f aca="false">D3937*E3937</f>
        <v>0.15625</v>
      </c>
      <c r="L3937" s="0" t="n">
        <f aca="false">D3937*F3937</f>
        <v>-0.234375</v>
      </c>
      <c r="M3937" s="0" t="n">
        <f aca="false">E3937*F3937</f>
        <v>-0.09375</v>
      </c>
      <c r="N3937" s="0" t="n">
        <f aca="false">D3937*D3937</f>
        <v>0.390625</v>
      </c>
      <c r="O3937" s="0" t="n">
        <f aca="false">E3937*E3937</f>
        <v>0.0625</v>
      </c>
      <c r="P3937" s="0" t="n">
        <f aca="false">F3937*F3937</f>
        <v>0.140625</v>
      </c>
      <c r="Q3937" s="0" t="n">
        <f aca="false">SUMPRODUCT(G3937:P3937,_XtX!$B$71:$K$71)</f>
        <v>48.9428409090909</v>
      </c>
      <c r="R3937" s="0" t="n">
        <f aca="false">SUMPRODUCT(MMULT(G3937:P3937,_XtX!$B$58:$K$67),G3937:P3937)</f>
        <v>0.174657648259943</v>
      </c>
      <c r="S3937" s="0" t="n">
        <f aca="false">04_回帰ANOVA!$K$19*04_回帰ANOVA!$K$14*SQRT(1+R3937)</f>
        <v>1.00767919364845</v>
      </c>
      <c r="T3937" s="0" t="n">
        <f aca="false">Q3937-S3937</f>
        <v>47.9351617154425</v>
      </c>
      <c r="U3937" s="0" t="n">
        <f aca="false">Q3937+S3937</f>
        <v>49.9505201027394</v>
      </c>
      <c r="V3937" s="54" t="b">
        <f aca="false">AND(D3937&gt;=01_因子設定!$L$5-0.000000001,D3937&lt;=01_因子設定!$M$5+0.000000001,E3937&gt;=01_因子設定!$L$6-0.000000001,E3937&lt;=01_因子設定!$M$6+0.000000001,F3937&gt;=01_因子設定!$L$7-0.000000001,F3937&lt;=01_因子設定!$M$7+0.000000001,IF(01_因子設定!$B$20="Box-Behnken",D3937^2+E3937^2+F3937^2&lt;=2+0.000000001,TRUE()))</f>
        <v>1</v>
      </c>
      <c r="W3937" s="55" t="n">
        <f aca="false">IF(V3937,IF(01_因子設定!$B$13="最大化",T3937-01_因子設定!$B$14,IF(01_因子設定!$B$13="最小化",01_因子設定!$B$15-U3937,MIN(T3937-01_因子設定!$B$14,01_因子設定!$B$15-U3937))),-1E+030)</f>
        <v>-0.564838284557531</v>
      </c>
      <c r="X3937" s="55" t="n">
        <f aca="false">IF(V3937,IF(01_因子設定!$B$13="最大化",Q3937,IF(01_因子設定!$B$13="最小化",-Q3937,-ABS(Q3937-01_因子設定!$B$16))),-1E+030)</f>
        <v>48.9428409090909</v>
      </c>
      <c r="Y3937" s="55" t="n">
        <f aca="false">W3937+ROW()*0.000000001</f>
        <v>-0.564834347557531</v>
      </c>
      <c r="Z3937" s="55" t="n">
        <f aca="false">X3937+ROW()*0.000000001</f>
        <v>48.9428448460909</v>
      </c>
    </row>
    <row r="3938" customFormat="false" ht="15" hidden="false" customHeight="false" outlineLevel="0" collapsed="false">
      <c r="A3938" s="0" t="n">
        <v>13</v>
      </c>
      <c r="B3938" s="0" t="n">
        <v>10</v>
      </c>
      <c r="C3938" s="0" t="n">
        <v>6</v>
      </c>
      <c r="D3938" s="0" t="n">
        <f aca="false">-1+A3938*0.125</f>
        <v>0.625</v>
      </c>
      <c r="E3938" s="0" t="n">
        <f aca="false">-1+B3938*0.125</f>
        <v>0.25</v>
      </c>
      <c r="F3938" s="0" t="n">
        <f aca="false">-1+C3938*0.125</f>
        <v>-0.25</v>
      </c>
      <c r="G3938" s="0" t="n">
        <f aca="false">1</f>
        <v>1</v>
      </c>
      <c r="H3938" s="0" t="n">
        <f aca="false">D3938</f>
        <v>0.625</v>
      </c>
      <c r="I3938" s="0" t="n">
        <f aca="false">E3938</f>
        <v>0.25</v>
      </c>
      <c r="J3938" s="0" t="n">
        <f aca="false">F3938</f>
        <v>-0.25</v>
      </c>
      <c r="K3938" s="0" t="n">
        <f aca="false">D3938*E3938</f>
        <v>0.15625</v>
      </c>
      <c r="L3938" s="0" t="n">
        <f aca="false">D3938*F3938</f>
        <v>-0.15625</v>
      </c>
      <c r="M3938" s="0" t="n">
        <f aca="false">E3938*F3938</f>
        <v>-0.0625</v>
      </c>
      <c r="N3938" s="0" t="n">
        <f aca="false">D3938*D3938</f>
        <v>0.390625</v>
      </c>
      <c r="O3938" s="0" t="n">
        <f aca="false">E3938*E3938</f>
        <v>0.0625</v>
      </c>
      <c r="P3938" s="0" t="n">
        <f aca="false">F3938*F3938</f>
        <v>0.0625</v>
      </c>
      <c r="Q3938" s="0" t="n">
        <f aca="false">SUMPRODUCT(G3938:P3938,_XtX!$B$71:$K$71)</f>
        <v>49.2096590909091</v>
      </c>
      <c r="R3938" s="0" t="n">
        <f aca="false">SUMPRODUCT(MMULT(G3938:P3938,_XtX!$B$58:$K$67),G3938:P3938)</f>
        <v>0.173406427556818</v>
      </c>
      <c r="S3938" s="0" t="n">
        <f aca="false">04_回帰ANOVA!$K$19*04_回帰ANOVA!$K$14*SQRT(1+R3938)</f>
        <v>1.00714237128059</v>
      </c>
      <c r="T3938" s="0" t="n">
        <f aca="false">Q3938-S3938</f>
        <v>48.2025167196285</v>
      </c>
      <c r="U3938" s="0" t="n">
        <f aca="false">Q3938+S3938</f>
        <v>50.2168014621897</v>
      </c>
      <c r="V3938" s="54" t="b">
        <f aca="false">AND(D3938&gt;=01_因子設定!$L$5-0.000000001,D3938&lt;=01_因子設定!$M$5+0.000000001,E3938&gt;=01_因子設定!$L$6-0.000000001,E3938&lt;=01_因子設定!$M$6+0.000000001,F3938&gt;=01_因子設定!$L$7-0.000000001,F3938&lt;=01_因子設定!$M$7+0.000000001,IF(01_因子設定!$B$20="Box-Behnken",D3938^2+E3938^2+F3938^2&lt;=2+0.000000001,TRUE()))</f>
        <v>1</v>
      </c>
      <c r="W3938" s="55" t="n">
        <f aca="false">IF(V3938,IF(01_因子設定!$B$13="最大化",T3938-01_因子設定!$B$14,IF(01_因子設定!$B$13="最小化",01_因子設定!$B$15-U3938,MIN(T3938-01_因子設定!$B$14,01_因子設定!$B$15-U3938))),-1E+030)</f>
        <v>-0.297483280371502</v>
      </c>
      <c r="X3938" s="55" t="n">
        <f aca="false">IF(V3938,IF(01_因子設定!$B$13="最大化",Q3938,IF(01_因子設定!$B$13="最小化",-Q3938,-ABS(Q3938-01_因子設定!$B$16))),-1E+030)</f>
        <v>49.2096590909091</v>
      </c>
      <c r="Y3938" s="55" t="n">
        <f aca="false">W3938+ROW()*0.000000001</f>
        <v>-0.297479342371502</v>
      </c>
      <c r="Z3938" s="55" t="n">
        <f aca="false">X3938+ROW()*0.000000001</f>
        <v>49.2096630289091</v>
      </c>
    </row>
    <row r="3939" customFormat="false" ht="15" hidden="false" customHeight="false" outlineLevel="0" collapsed="false">
      <c r="A3939" s="0" t="n">
        <v>13</v>
      </c>
      <c r="B3939" s="0" t="n">
        <v>10</v>
      </c>
      <c r="C3939" s="0" t="n">
        <v>7</v>
      </c>
      <c r="D3939" s="0" t="n">
        <f aca="false">-1+A3939*0.125</f>
        <v>0.625</v>
      </c>
      <c r="E3939" s="0" t="n">
        <f aca="false">-1+B3939*0.125</f>
        <v>0.25</v>
      </c>
      <c r="F3939" s="0" t="n">
        <f aca="false">-1+C3939*0.125</f>
        <v>-0.125</v>
      </c>
      <c r="G3939" s="0" t="n">
        <f aca="false">1</f>
        <v>1</v>
      </c>
      <c r="H3939" s="0" t="n">
        <f aca="false">D3939</f>
        <v>0.625</v>
      </c>
      <c r="I3939" s="0" t="n">
        <f aca="false">E3939</f>
        <v>0.25</v>
      </c>
      <c r="J3939" s="0" t="n">
        <f aca="false">F3939</f>
        <v>-0.125</v>
      </c>
      <c r="K3939" s="0" t="n">
        <f aca="false">D3939*E3939</f>
        <v>0.15625</v>
      </c>
      <c r="L3939" s="0" t="n">
        <f aca="false">D3939*F3939</f>
        <v>-0.078125</v>
      </c>
      <c r="M3939" s="0" t="n">
        <f aca="false">E3939*F3939</f>
        <v>-0.03125</v>
      </c>
      <c r="N3939" s="0" t="n">
        <f aca="false">D3939*D3939</f>
        <v>0.390625</v>
      </c>
      <c r="O3939" s="0" t="n">
        <f aca="false">E3939*E3939</f>
        <v>0.0625</v>
      </c>
      <c r="P3939" s="0" t="n">
        <f aca="false">F3939*F3939</f>
        <v>0.015625</v>
      </c>
      <c r="Q3939" s="0" t="n">
        <f aca="false">SUMPRODUCT(G3939:P3939,_XtX!$B$71:$K$71)</f>
        <v>49.4396875</v>
      </c>
      <c r="R3939" s="0" t="n">
        <f aca="false">SUMPRODUCT(MMULT(G3939:P3939,_XtX!$B$58:$K$67),G3939:P3939)</f>
        <v>0.174786376953125</v>
      </c>
      <c r="S3939" s="0" t="n">
        <f aca="false">04_回帰ANOVA!$K$19*04_回帰ANOVA!$K$14*SQRT(1+R3939)</f>
        <v>1.00773440704286</v>
      </c>
      <c r="T3939" s="0" t="n">
        <f aca="false">Q3939-S3939</f>
        <v>48.4319530929571</v>
      </c>
      <c r="U3939" s="0" t="n">
        <f aca="false">Q3939+S3939</f>
        <v>50.4474219070429</v>
      </c>
      <c r="V3939" s="54" t="b">
        <f aca="false">AND(D3939&gt;=01_因子設定!$L$5-0.000000001,D3939&lt;=01_因子設定!$M$5+0.000000001,E3939&gt;=01_因子設定!$L$6-0.000000001,E3939&lt;=01_因子設定!$M$6+0.000000001,F3939&gt;=01_因子設定!$L$7-0.000000001,F3939&lt;=01_因子設定!$M$7+0.000000001,IF(01_因子設定!$B$20="Box-Behnken",D3939^2+E3939^2+F3939^2&lt;=2+0.000000001,TRUE()))</f>
        <v>1</v>
      </c>
      <c r="W3939" s="55" t="n">
        <f aca="false">IF(V3939,IF(01_因子設定!$B$13="最大化",T3939-01_因子設定!$B$14,IF(01_因子設定!$B$13="最小化",01_因子設定!$B$15-U3939,MIN(T3939-01_因子設定!$B$14,01_因子設定!$B$15-U3939))),-1E+030)</f>
        <v>-0.0680469070428558</v>
      </c>
      <c r="X3939" s="55" t="n">
        <f aca="false">IF(V3939,IF(01_因子設定!$B$13="最大化",Q3939,IF(01_因子設定!$B$13="最小化",-Q3939,-ABS(Q3939-01_因子設定!$B$16))),-1E+030)</f>
        <v>49.4396875</v>
      </c>
      <c r="Y3939" s="55" t="n">
        <f aca="false">W3939+ROW()*0.000000001</f>
        <v>-0.0680429680428558</v>
      </c>
      <c r="Z3939" s="55" t="n">
        <f aca="false">X3939+ROW()*0.000000001</f>
        <v>49.439691439</v>
      </c>
    </row>
    <row r="3940" customFormat="false" ht="15" hidden="false" customHeight="false" outlineLevel="0" collapsed="false">
      <c r="A3940" s="0" t="n">
        <v>13</v>
      </c>
      <c r="B3940" s="0" t="n">
        <v>10</v>
      </c>
      <c r="C3940" s="0" t="n">
        <v>8</v>
      </c>
      <c r="D3940" s="0" t="n">
        <f aca="false">-1+A3940*0.125</f>
        <v>0.625</v>
      </c>
      <c r="E3940" s="0" t="n">
        <f aca="false">-1+B3940*0.125</f>
        <v>0.25</v>
      </c>
      <c r="F3940" s="0" t="n">
        <f aca="false">-1+C3940*0.125</f>
        <v>0</v>
      </c>
      <c r="G3940" s="0" t="n">
        <f aca="false">1</f>
        <v>1</v>
      </c>
      <c r="H3940" s="0" t="n">
        <f aca="false">D3940</f>
        <v>0.625</v>
      </c>
      <c r="I3940" s="0" t="n">
        <f aca="false">E3940</f>
        <v>0.25</v>
      </c>
      <c r="J3940" s="0" t="n">
        <f aca="false">F3940</f>
        <v>0</v>
      </c>
      <c r="K3940" s="0" t="n">
        <f aca="false">D3940*E3940</f>
        <v>0.15625</v>
      </c>
      <c r="L3940" s="0" t="n">
        <f aca="false">D3940*F3940</f>
        <v>0</v>
      </c>
      <c r="M3940" s="0" t="n">
        <f aca="false">E3940*F3940</f>
        <v>0</v>
      </c>
      <c r="N3940" s="0" t="n">
        <f aca="false">D3940*D3940</f>
        <v>0.390625</v>
      </c>
      <c r="O3940" s="0" t="n">
        <f aca="false">E3940*E3940</f>
        <v>0.0625</v>
      </c>
      <c r="P3940" s="0" t="n">
        <f aca="false">F3940*F3940</f>
        <v>0</v>
      </c>
      <c r="Q3940" s="0" t="n">
        <f aca="false">SUMPRODUCT(G3940:P3940,_XtX!$B$71:$K$71)</f>
        <v>49.6329261363636</v>
      </c>
      <c r="R3940" s="0" t="n">
        <f aca="false">SUMPRODUCT(MMULT(G3940:P3940,_XtX!$B$58:$K$67),G3940:P3940)</f>
        <v>0.175601473721591</v>
      </c>
      <c r="S3940" s="0" t="n">
        <f aca="false">04_回帰ANOVA!$K$19*04_回帰ANOVA!$K$14*SQRT(1+R3940)</f>
        <v>1.00808394234856</v>
      </c>
      <c r="T3940" s="0" t="n">
        <f aca="false">Q3940-S3940</f>
        <v>48.6248421940151</v>
      </c>
      <c r="U3940" s="0" t="n">
        <f aca="false">Q3940+S3940</f>
        <v>50.6410100787122</v>
      </c>
      <c r="V3940" s="54" t="b">
        <f aca="false">AND(D3940&gt;=01_因子設定!$L$5-0.000000001,D3940&lt;=01_因子設定!$M$5+0.000000001,E3940&gt;=01_因子設定!$L$6-0.000000001,E3940&lt;=01_因子設定!$M$6+0.000000001,F3940&gt;=01_因子設定!$L$7-0.000000001,F3940&lt;=01_因子設定!$M$7+0.000000001,IF(01_因子設定!$B$20="Box-Behnken",D3940^2+E3940^2+F3940^2&lt;=2+0.000000001,TRUE()))</f>
        <v>1</v>
      </c>
      <c r="W3940" s="55" t="n">
        <f aca="false">IF(V3940,IF(01_因子設定!$B$13="最大化",T3940-01_因子設定!$B$14,IF(01_因子設定!$B$13="最小化",01_因子設定!$B$15-U3940,MIN(T3940-01_因子設定!$B$14,01_因子設定!$B$15-U3940))),-1E+030)</f>
        <v>0.124842194015073</v>
      </c>
      <c r="X3940" s="55" t="n">
        <f aca="false">IF(V3940,IF(01_因子設定!$B$13="最大化",Q3940,IF(01_因子設定!$B$13="最小化",-Q3940,-ABS(Q3940-01_因子設定!$B$16))),-1E+030)</f>
        <v>49.6329261363636</v>
      </c>
      <c r="Y3940" s="55" t="n">
        <f aca="false">W3940+ROW()*0.000000001</f>
        <v>0.124846134015073</v>
      </c>
      <c r="Z3940" s="55" t="n">
        <f aca="false">X3940+ROW()*0.000000001</f>
        <v>49.6329300763636</v>
      </c>
    </row>
    <row r="3941" customFormat="false" ht="15" hidden="false" customHeight="false" outlineLevel="0" collapsed="false">
      <c r="A3941" s="0" t="n">
        <v>13</v>
      </c>
      <c r="B3941" s="0" t="n">
        <v>10</v>
      </c>
      <c r="C3941" s="0" t="n">
        <v>9</v>
      </c>
      <c r="D3941" s="0" t="n">
        <f aca="false">-1+A3941*0.125</f>
        <v>0.625</v>
      </c>
      <c r="E3941" s="0" t="n">
        <f aca="false">-1+B3941*0.125</f>
        <v>0.25</v>
      </c>
      <c r="F3941" s="0" t="n">
        <f aca="false">-1+C3941*0.125</f>
        <v>0.125</v>
      </c>
      <c r="G3941" s="0" t="n">
        <f aca="false">1</f>
        <v>1</v>
      </c>
      <c r="H3941" s="0" t="n">
        <f aca="false">D3941</f>
        <v>0.625</v>
      </c>
      <c r="I3941" s="0" t="n">
        <f aca="false">E3941</f>
        <v>0.25</v>
      </c>
      <c r="J3941" s="0" t="n">
        <f aca="false">F3941</f>
        <v>0.125</v>
      </c>
      <c r="K3941" s="0" t="n">
        <f aca="false">D3941*E3941</f>
        <v>0.15625</v>
      </c>
      <c r="L3941" s="0" t="n">
        <f aca="false">D3941*F3941</f>
        <v>0.078125</v>
      </c>
      <c r="M3941" s="0" t="n">
        <f aca="false">E3941*F3941</f>
        <v>0.03125</v>
      </c>
      <c r="N3941" s="0" t="n">
        <f aca="false">D3941*D3941</f>
        <v>0.390625</v>
      </c>
      <c r="O3941" s="0" t="n">
        <f aca="false">E3941*E3941</f>
        <v>0.0625</v>
      </c>
      <c r="P3941" s="0" t="n">
        <f aca="false">F3941*F3941</f>
        <v>0.015625</v>
      </c>
      <c r="Q3941" s="0" t="n">
        <f aca="false">SUMPRODUCT(G3941:P3941,_XtX!$B$71:$K$71)</f>
        <v>49.789375</v>
      </c>
      <c r="R3941" s="0" t="n">
        <f aca="false">SUMPRODUCT(MMULT(G3941:P3941,_XtX!$B$58:$K$67),G3941:P3941)</f>
        <v>0.174786376953125</v>
      </c>
      <c r="S3941" s="0" t="n">
        <f aca="false">04_回帰ANOVA!$K$19*04_回帰ANOVA!$K$14*SQRT(1+R3941)</f>
        <v>1.00773440704286</v>
      </c>
      <c r="T3941" s="0" t="n">
        <f aca="false">Q3941-S3941</f>
        <v>48.7816405929571</v>
      </c>
      <c r="U3941" s="0" t="n">
        <f aca="false">Q3941+S3941</f>
        <v>50.7971094070429</v>
      </c>
      <c r="V3941" s="54" t="b">
        <f aca="false">AND(D3941&gt;=01_因子設定!$L$5-0.000000001,D3941&lt;=01_因子設定!$M$5+0.000000001,E3941&gt;=01_因子設定!$L$6-0.000000001,E3941&lt;=01_因子設定!$M$6+0.000000001,F3941&gt;=01_因子設定!$L$7-0.000000001,F3941&lt;=01_因子設定!$M$7+0.000000001,IF(01_因子設定!$B$20="Box-Behnken",D3941^2+E3941^2+F3941^2&lt;=2+0.000000001,TRUE()))</f>
        <v>1</v>
      </c>
      <c r="W3941" s="55" t="n">
        <f aca="false">IF(V3941,IF(01_因子設定!$B$13="最大化",T3941-01_因子設定!$B$14,IF(01_因子設定!$B$13="最小化",01_因子設定!$B$15-U3941,MIN(T3941-01_因子設定!$B$14,01_因子設定!$B$15-U3941))),-1E+030)</f>
        <v>0.281640592957139</v>
      </c>
      <c r="X3941" s="55" t="n">
        <f aca="false">IF(V3941,IF(01_因子設定!$B$13="最大化",Q3941,IF(01_因子設定!$B$13="最小化",-Q3941,-ABS(Q3941-01_因子設定!$B$16))),-1E+030)</f>
        <v>49.789375</v>
      </c>
      <c r="Y3941" s="55" t="n">
        <f aca="false">W3941+ROW()*0.000000001</f>
        <v>0.281644533957139</v>
      </c>
      <c r="Z3941" s="55" t="n">
        <f aca="false">X3941+ROW()*0.000000001</f>
        <v>49.789378941</v>
      </c>
    </row>
    <row r="3942" customFormat="false" ht="15" hidden="false" customHeight="false" outlineLevel="0" collapsed="false">
      <c r="A3942" s="0" t="n">
        <v>13</v>
      </c>
      <c r="B3942" s="0" t="n">
        <v>10</v>
      </c>
      <c r="C3942" s="0" t="n">
        <v>10</v>
      </c>
      <c r="D3942" s="0" t="n">
        <f aca="false">-1+A3942*0.125</f>
        <v>0.625</v>
      </c>
      <c r="E3942" s="0" t="n">
        <f aca="false">-1+B3942*0.125</f>
        <v>0.25</v>
      </c>
      <c r="F3942" s="0" t="n">
        <f aca="false">-1+C3942*0.125</f>
        <v>0.25</v>
      </c>
      <c r="G3942" s="0" t="n">
        <f aca="false">1</f>
        <v>1</v>
      </c>
      <c r="H3942" s="0" t="n">
        <f aca="false">D3942</f>
        <v>0.625</v>
      </c>
      <c r="I3942" s="0" t="n">
        <f aca="false">E3942</f>
        <v>0.25</v>
      </c>
      <c r="J3942" s="0" t="n">
        <f aca="false">F3942</f>
        <v>0.25</v>
      </c>
      <c r="K3942" s="0" t="n">
        <f aca="false">D3942*E3942</f>
        <v>0.15625</v>
      </c>
      <c r="L3942" s="0" t="n">
        <f aca="false">D3942*F3942</f>
        <v>0.15625</v>
      </c>
      <c r="M3942" s="0" t="n">
        <f aca="false">E3942*F3942</f>
        <v>0.0625</v>
      </c>
      <c r="N3942" s="0" t="n">
        <f aca="false">D3942*D3942</f>
        <v>0.390625</v>
      </c>
      <c r="O3942" s="0" t="n">
        <f aca="false">E3942*E3942</f>
        <v>0.0625</v>
      </c>
      <c r="P3942" s="0" t="n">
        <f aca="false">F3942*F3942</f>
        <v>0.0625</v>
      </c>
      <c r="Q3942" s="0" t="n">
        <f aca="false">SUMPRODUCT(G3942:P3942,_XtX!$B$71:$K$71)</f>
        <v>49.9090340909091</v>
      </c>
      <c r="R3942" s="0" t="n">
        <f aca="false">SUMPRODUCT(MMULT(G3942:P3942,_XtX!$B$58:$K$67),G3942:P3942)</f>
        <v>0.173406427556818</v>
      </c>
      <c r="S3942" s="0" t="n">
        <f aca="false">04_回帰ANOVA!$K$19*04_回帰ANOVA!$K$14*SQRT(1+R3942)</f>
        <v>1.00714237128059</v>
      </c>
      <c r="T3942" s="0" t="n">
        <f aca="false">Q3942-S3942</f>
        <v>48.9018917196285</v>
      </c>
      <c r="U3942" s="0" t="n">
        <f aca="false">Q3942+S3942</f>
        <v>50.9161764621897</v>
      </c>
      <c r="V3942" s="54" t="b">
        <f aca="false">AND(D3942&gt;=01_因子設定!$L$5-0.000000001,D3942&lt;=01_因子設定!$M$5+0.000000001,E3942&gt;=01_因子設定!$L$6-0.000000001,E3942&lt;=01_因子設定!$M$6+0.000000001,F3942&gt;=01_因子設定!$L$7-0.000000001,F3942&lt;=01_因子設定!$M$7+0.000000001,IF(01_因子設定!$B$20="Box-Behnken",D3942^2+E3942^2+F3942^2&lt;=2+0.000000001,TRUE()))</f>
        <v>1</v>
      </c>
      <c r="W3942" s="55" t="n">
        <f aca="false">IF(V3942,IF(01_因子設定!$B$13="最大化",T3942-01_因子設定!$B$14,IF(01_因子設定!$B$13="最小化",01_因子設定!$B$15-U3942,MIN(T3942-01_因子設定!$B$14,01_因子設定!$B$15-U3942))),-1E+030)</f>
        <v>0.401891719628502</v>
      </c>
      <c r="X3942" s="55" t="n">
        <f aca="false">IF(V3942,IF(01_因子設定!$B$13="最大化",Q3942,IF(01_因子設定!$B$13="最小化",-Q3942,-ABS(Q3942-01_因子設定!$B$16))),-1E+030)</f>
        <v>49.9090340909091</v>
      </c>
      <c r="Y3942" s="55" t="n">
        <f aca="false">W3942+ROW()*0.000000001</f>
        <v>0.401895661628502</v>
      </c>
      <c r="Z3942" s="55" t="n">
        <f aca="false">X3942+ROW()*0.000000001</f>
        <v>49.9090380329091</v>
      </c>
    </row>
    <row r="3943" customFormat="false" ht="15" hidden="false" customHeight="false" outlineLevel="0" collapsed="false">
      <c r="A3943" s="0" t="n">
        <v>13</v>
      </c>
      <c r="B3943" s="0" t="n">
        <v>10</v>
      </c>
      <c r="C3943" s="0" t="n">
        <v>11</v>
      </c>
      <c r="D3943" s="0" t="n">
        <f aca="false">-1+A3943*0.125</f>
        <v>0.625</v>
      </c>
      <c r="E3943" s="0" t="n">
        <f aca="false">-1+B3943*0.125</f>
        <v>0.25</v>
      </c>
      <c r="F3943" s="0" t="n">
        <f aca="false">-1+C3943*0.125</f>
        <v>0.375</v>
      </c>
      <c r="G3943" s="0" t="n">
        <f aca="false">1</f>
        <v>1</v>
      </c>
      <c r="H3943" s="0" t="n">
        <f aca="false">D3943</f>
        <v>0.625</v>
      </c>
      <c r="I3943" s="0" t="n">
        <f aca="false">E3943</f>
        <v>0.25</v>
      </c>
      <c r="J3943" s="0" t="n">
        <f aca="false">F3943</f>
        <v>0.375</v>
      </c>
      <c r="K3943" s="0" t="n">
        <f aca="false">D3943*E3943</f>
        <v>0.15625</v>
      </c>
      <c r="L3943" s="0" t="n">
        <f aca="false">D3943*F3943</f>
        <v>0.234375</v>
      </c>
      <c r="M3943" s="0" t="n">
        <f aca="false">E3943*F3943</f>
        <v>0.09375</v>
      </c>
      <c r="N3943" s="0" t="n">
        <f aca="false">D3943*D3943</f>
        <v>0.390625</v>
      </c>
      <c r="O3943" s="0" t="n">
        <f aca="false">E3943*E3943</f>
        <v>0.0625</v>
      </c>
      <c r="P3943" s="0" t="n">
        <f aca="false">F3943*F3943</f>
        <v>0.140625</v>
      </c>
      <c r="Q3943" s="0" t="n">
        <f aca="false">SUMPRODUCT(G3943:P3943,_XtX!$B$71:$K$71)</f>
        <v>49.9919034090909</v>
      </c>
      <c r="R3943" s="0" t="n">
        <f aca="false">SUMPRODUCT(MMULT(G3943:P3943,_XtX!$B$58:$K$67),G3943:P3943)</f>
        <v>0.174657648259943</v>
      </c>
      <c r="S3943" s="0" t="n">
        <f aca="false">04_回帰ANOVA!$K$19*04_回帰ANOVA!$K$14*SQRT(1+R3943)</f>
        <v>1.00767919364845</v>
      </c>
      <c r="T3943" s="0" t="n">
        <f aca="false">Q3943-S3943</f>
        <v>48.9842242154425</v>
      </c>
      <c r="U3943" s="0" t="n">
        <f aca="false">Q3943+S3943</f>
        <v>50.9995826027394</v>
      </c>
      <c r="V3943" s="54" t="b">
        <f aca="false">AND(D3943&gt;=01_因子設定!$L$5-0.000000001,D3943&lt;=01_因子設定!$M$5+0.000000001,E3943&gt;=01_因子設定!$L$6-0.000000001,E3943&lt;=01_因子設定!$M$6+0.000000001,F3943&gt;=01_因子設定!$L$7-0.000000001,F3943&lt;=01_因子設定!$M$7+0.000000001,IF(01_因子設定!$B$20="Box-Behnken",D3943^2+E3943^2+F3943^2&lt;=2+0.000000001,TRUE()))</f>
        <v>1</v>
      </c>
      <c r="W3943" s="55" t="n">
        <f aca="false">IF(V3943,IF(01_因子設定!$B$13="最大化",T3943-01_因子設定!$B$14,IF(01_因子設定!$B$13="最小化",01_因子設定!$B$15-U3943,MIN(T3943-01_因子設定!$B$14,01_因子設定!$B$15-U3943))),-1E+030)</f>
        <v>0.484224215442474</v>
      </c>
      <c r="X3943" s="55" t="n">
        <f aca="false">IF(V3943,IF(01_因子設定!$B$13="最大化",Q3943,IF(01_因子設定!$B$13="最小化",-Q3943,-ABS(Q3943-01_因子設定!$B$16))),-1E+030)</f>
        <v>49.9919034090909</v>
      </c>
      <c r="Y3943" s="55" t="n">
        <f aca="false">W3943+ROW()*0.000000001</f>
        <v>0.484228158442474</v>
      </c>
      <c r="Z3943" s="55" t="n">
        <f aca="false">X3943+ROW()*0.000000001</f>
        <v>49.9919073520909</v>
      </c>
    </row>
    <row r="3944" customFormat="false" ht="15" hidden="false" customHeight="false" outlineLevel="0" collapsed="false">
      <c r="A3944" s="0" t="n">
        <v>13</v>
      </c>
      <c r="B3944" s="0" t="n">
        <v>10</v>
      </c>
      <c r="C3944" s="0" t="n">
        <v>12</v>
      </c>
      <c r="D3944" s="0" t="n">
        <f aca="false">-1+A3944*0.125</f>
        <v>0.625</v>
      </c>
      <c r="E3944" s="0" t="n">
        <f aca="false">-1+B3944*0.125</f>
        <v>0.25</v>
      </c>
      <c r="F3944" s="0" t="n">
        <f aca="false">-1+C3944*0.125</f>
        <v>0.5</v>
      </c>
      <c r="G3944" s="0" t="n">
        <f aca="false">1</f>
        <v>1</v>
      </c>
      <c r="H3944" s="0" t="n">
        <f aca="false">D3944</f>
        <v>0.625</v>
      </c>
      <c r="I3944" s="0" t="n">
        <f aca="false">E3944</f>
        <v>0.25</v>
      </c>
      <c r="J3944" s="0" t="n">
        <f aca="false">F3944</f>
        <v>0.5</v>
      </c>
      <c r="K3944" s="0" t="n">
        <f aca="false">D3944*E3944</f>
        <v>0.15625</v>
      </c>
      <c r="L3944" s="0" t="n">
        <f aca="false">D3944*F3944</f>
        <v>0.3125</v>
      </c>
      <c r="M3944" s="0" t="n">
        <f aca="false">E3944*F3944</f>
        <v>0.125</v>
      </c>
      <c r="N3944" s="0" t="n">
        <f aca="false">D3944*D3944</f>
        <v>0.390625</v>
      </c>
      <c r="O3944" s="0" t="n">
        <f aca="false">E3944*E3944</f>
        <v>0.0625</v>
      </c>
      <c r="P3944" s="0" t="n">
        <f aca="false">F3944*F3944</f>
        <v>0.25</v>
      </c>
      <c r="Q3944" s="0" t="n">
        <f aca="false">SUMPRODUCT(G3944:P3944,_XtX!$B$71:$K$71)</f>
        <v>50.0379829545455</v>
      </c>
      <c r="R3944" s="0" t="n">
        <f aca="false">SUMPRODUCT(MMULT(G3944:P3944,_XtX!$B$58:$K$67),G3944:P3944)</f>
        <v>0.183866743607955</v>
      </c>
      <c r="S3944" s="0" t="n">
        <f aca="false">04_回帰ANOVA!$K$19*04_回帰ANOVA!$K$14*SQRT(1+R3944)</f>
        <v>1.01162148983013</v>
      </c>
      <c r="T3944" s="0" t="n">
        <f aca="false">Q3944-S3944</f>
        <v>49.0263614647153</v>
      </c>
      <c r="U3944" s="0" t="n">
        <f aca="false">Q3944+S3944</f>
        <v>51.0496044443756</v>
      </c>
      <c r="V3944" s="54" t="b">
        <f aca="false">AND(D3944&gt;=01_因子設定!$L$5-0.000000001,D3944&lt;=01_因子設定!$M$5+0.000000001,E3944&gt;=01_因子設定!$L$6-0.000000001,E3944&lt;=01_因子設定!$M$6+0.000000001,F3944&gt;=01_因子設定!$L$7-0.000000001,F3944&lt;=01_因子設定!$M$7+0.000000001,IF(01_因子設定!$B$20="Box-Behnken",D3944^2+E3944^2+F3944^2&lt;=2+0.000000001,TRUE()))</f>
        <v>1</v>
      </c>
      <c r="W3944" s="55" t="n">
        <f aca="false">IF(V3944,IF(01_因子設定!$B$13="最大化",T3944-01_因子設定!$B$14,IF(01_因子設定!$B$13="最小化",01_因子設定!$B$15-U3944,MIN(T3944-01_因子設定!$B$14,01_因子設定!$B$15-U3944))),-1E+030)</f>
        <v>0.526361464715329</v>
      </c>
      <c r="X3944" s="55" t="n">
        <f aca="false">IF(V3944,IF(01_因子設定!$B$13="最大化",Q3944,IF(01_因子設定!$B$13="最小化",-Q3944,-ABS(Q3944-01_因子設定!$B$16))),-1E+030)</f>
        <v>50.0379829545455</v>
      </c>
      <c r="Y3944" s="55" t="n">
        <f aca="false">W3944+ROW()*0.000000001</f>
        <v>0.526365408715329</v>
      </c>
      <c r="Z3944" s="55" t="n">
        <f aca="false">X3944+ROW()*0.000000001</f>
        <v>50.0379868985455</v>
      </c>
    </row>
    <row r="3945" customFormat="false" ht="15" hidden="false" customHeight="false" outlineLevel="0" collapsed="false">
      <c r="A3945" s="0" t="n">
        <v>13</v>
      </c>
      <c r="B3945" s="0" t="n">
        <v>10</v>
      </c>
      <c r="C3945" s="0" t="n">
        <v>13</v>
      </c>
      <c r="D3945" s="0" t="n">
        <f aca="false">-1+A3945*0.125</f>
        <v>0.625</v>
      </c>
      <c r="E3945" s="0" t="n">
        <f aca="false">-1+B3945*0.125</f>
        <v>0.25</v>
      </c>
      <c r="F3945" s="0" t="n">
        <f aca="false">-1+C3945*0.125</f>
        <v>0.625</v>
      </c>
      <c r="G3945" s="0" t="n">
        <f aca="false">1</f>
        <v>1</v>
      </c>
      <c r="H3945" s="0" t="n">
        <f aca="false">D3945</f>
        <v>0.625</v>
      </c>
      <c r="I3945" s="0" t="n">
        <f aca="false">E3945</f>
        <v>0.25</v>
      </c>
      <c r="J3945" s="0" t="n">
        <f aca="false">F3945</f>
        <v>0.625</v>
      </c>
      <c r="K3945" s="0" t="n">
        <f aca="false">D3945*E3945</f>
        <v>0.15625</v>
      </c>
      <c r="L3945" s="0" t="n">
        <f aca="false">D3945*F3945</f>
        <v>0.390625</v>
      </c>
      <c r="M3945" s="0" t="n">
        <f aca="false">E3945*F3945</f>
        <v>0.15625</v>
      </c>
      <c r="N3945" s="0" t="n">
        <f aca="false">D3945*D3945</f>
        <v>0.390625</v>
      </c>
      <c r="O3945" s="0" t="n">
        <f aca="false">E3945*E3945</f>
        <v>0.0625</v>
      </c>
      <c r="P3945" s="0" t="n">
        <f aca="false">F3945*F3945</f>
        <v>0.390625</v>
      </c>
      <c r="Q3945" s="0" t="n">
        <f aca="false">SUMPRODUCT(G3945:P3945,_XtX!$B$71:$K$71)</f>
        <v>50.0472727272727</v>
      </c>
      <c r="R3945" s="0" t="n">
        <f aca="false">SUMPRODUCT(MMULT(G3945:P3945,_XtX!$B$58:$K$67),G3945:P3945)</f>
        <v>0.208491099964489</v>
      </c>
      <c r="S3945" s="0" t="n">
        <f aca="false">04_回帰ANOVA!$K$19*04_回帰ANOVA!$K$14*SQRT(1+R3945)</f>
        <v>1.02208817610259</v>
      </c>
      <c r="T3945" s="0" t="n">
        <f aca="false">Q3945-S3945</f>
        <v>49.0251845511702</v>
      </c>
      <c r="U3945" s="0" t="n">
        <f aca="false">Q3945+S3945</f>
        <v>51.0693609033753</v>
      </c>
      <c r="V3945" s="54" t="b">
        <f aca="false">AND(D3945&gt;=01_因子設定!$L$5-0.000000001,D3945&lt;=01_因子設定!$M$5+0.000000001,E3945&gt;=01_因子設定!$L$6-0.000000001,E3945&lt;=01_因子設定!$M$6+0.000000001,F3945&gt;=01_因子設定!$L$7-0.000000001,F3945&lt;=01_因子設定!$M$7+0.000000001,IF(01_因子設定!$B$20="Box-Behnken",D3945^2+E3945^2+F3945^2&lt;=2+0.000000001,TRUE()))</f>
        <v>1</v>
      </c>
      <c r="W3945" s="55" t="n">
        <f aca="false">IF(V3945,IF(01_因子設定!$B$13="最大化",T3945-01_因子設定!$B$14,IF(01_因子設定!$B$13="最小化",01_因子設定!$B$15-U3945,MIN(T3945-01_因子設定!$B$14,01_因子設定!$B$15-U3945))),-1E+030)</f>
        <v>0.525184551170149</v>
      </c>
      <c r="X3945" s="55" t="n">
        <f aca="false">IF(V3945,IF(01_因子設定!$B$13="最大化",Q3945,IF(01_因子設定!$B$13="最小化",-Q3945,-ABS(Q3945-01_因子設定!$B$16))),-1E+030)</f>
        <v>50.0472727272727</v>
      </c>
      <c r="Y3945" s="55" t="n">
        <f aca="false">W3945+ROW()*0.000000001</f>
        <v>0.525188496170149</v>
      </c>
      <c r="Z3945" s="55" t="n">
        <f aca="false">X3945+ROW()*0.000000001</f>
        <v>50.0472766722727</v>
      </c>
    </row>
    <row r="3946" customFormat="false" ht="15" hidden="false" customHeight="false" outlineLevel="0" collapsed="false">
      <c r="A3946" s="0" t="n">
        <v>13</v>
      </c>
      <c r="B3946" s="0" t="n">
        <v>10</v>
      </c>
      <c r="C3946" s="0" t="n">
        <v>14</v>
      </c>
      <c r="D3946" s="0" t="n">
        <f aca="false">-1+A3946*0.125</f>
        <v>0.625</v>
      </c>
      <c r="E3946" s="0" t="n">
        <f aca="false">-1+B3946*0.125</f>
        <v>0.25</v>
      </c>
      <c r="F3946" s="0" t="n">
        <f aca="false">-1+C3946*0.125</f>
        <v>0.75</v>
      </c>
      <c r="G3946" s="0" t="n">
        <f aca="false">1</f>
        <v>1</v>
      </c>
      <c r="H3946" s="0" t="n">
        <f aca="false">D3946</f>
        <v>0.625</v>
      </c>
      <c r="I3946" s="0" t="n">
        <f aca="false">E3946</f>
        <v>0.25</v>
      </c>
      <c r="J3946" s="0" t="n">
        <f aca="false">F3946</f>
        <v>0.75</v>
      </c>
      <c r="K3946" s="0" t="n">
        <f aca="false">D3946*E3946</f>
        <v>0.15625</v>
      </c>
      <c r="L3946" s="0" t="n">
        <f aca="false">D3946*F3946</f>
        <v>0.46875</v>
      </c>
      <c r="M3946" s="0" t="n">
        <f aca="false">E3946*F3946</f>
        <v>0.1875</v>
      </c>
      <c r="N3946" s="0" t="n">
        <f aca="false">D3946*D3946</f>
        <v>0.390625</v>
      </c>
      <c r="O3946" s="0" t="n">
        <f aca="false">E3946*E3946</f>
        <v>0.0625</v>
      </c>
      <c r="P3946" s="0" t="n">
        <f aca="false">F3946*F3946</f>
        <v>0.5625</v>
      </c>
      <c r="Q3946" s="0" t="n">
        <f aca="false">SUMPRODUCT(G3946:P3946,_XtX!$B$71:$K$71)</f>
        <v>50.0197727272727</v>
      </c>
      <c r="R3946" s="0" t="n">
        <f aca="false">SUMPRODUCT(MMULT(G3946:P3946,_XtX!$B$58:$K$67),G3946:P3946)</f>
        <v>0.258118785511364</v>
      </c>
      <c r="S3946" s="0" t="n">
        <f aca="false">04_回帰ANOVA!$K$19*04_回帰ANOVA!$K$14*SQRT(1+R3946)</f>
        <v>1.04286348094876</v>
      </c>
      <c r="T3946" s="0" t="n">
        <f aca="false">Q3946-S3946</f>
        <v>48.976909246324</v>
      </c>
      <c r="U3946" s="0" t="n">
        <f aca="false">Q3946+S3946</f>
        <v>51.0626362082215</v>
      </c>
      <c r="V3946" s="54" t="b">
        <f aca="false">AND(D3946&gt;=01_因子設定!$L$5-0.000000001,D3946&lt;=01_因子設定!$M$5+0.000000001,E3946&gt;=01_因子設定!$L$6-0.000000001,E3946&lt;=01_因子設定!$M$6+0.000000001,F3946&gt;=01_因子設定!$L$7-0.000000001,F3946&lt;=01_因子設定!$M$7+0.000000001,IF(01_因子設定!$B$20="Box-Behnken",D3946^2+E3946^2+F3946^2&lt;=2+0.000000001,TRUE()))</f>
        <v>1</v>
      </c>
      <c r="W3946" s="55" t="n">
        <f aca="false">IF(V3946,IF(01_因子設定!$B$13="最大化",T3946-01_因子設定!$B$14,IF(01_因子設定!$B$13="最小化",01_因子設定!$B$15-U3946,MIN(T3946-01_因子設定!$B$14,01_因子設定!$B$15-U3946))),-1E+030)</f>
        <v>0.476909246323977</v>
      </c>
      <c r="X3946" s="55" t="n">
        <f aca="false">IF(V3946,IF(01_因子設定!$B$13="最大化",Q3946,IF(01_因子設定!$B$13="最小化",-Q3946,-ABS(Q3946-01_因子設定!$B$16))),-1E+030)</f>
        <v>50.0197727272727</v>
      </c>
      <c r="Y3946" s="55" t="n">
        <f aca="false">W3946+ROW()*0.000000001</f>
        <v>0.476913192323977</v>
      </c>
      <c r="Z3946" s="55" t="n">
        <f aca="false">X3946+ROW()*0.000000001</f>
        <v>50.0197766732727</v>
      </c>
    </row>
    <row r="3947" customFormat="false" ht="15" hidden="false" customHeight="false" outlineLevel="0" collapsed="false">
      <c r="A3947" s="0" t="n">
        <v>13</v>
      </c>
      <c r="B3947" s="0" t="n">
        <v>10</v>
      </c>
      <c r="C3947" s="0" t="n">
        <v>15</v>
      </c>
      <c r="D3947" s="0" t="n">
        <f aca="false">-1+A3947*0.125</f>
        <v>0.625</v>
      </c>
      <c r="E3947" s="0" t="n">
        <f aca="false">-1+B3947*0.125</f>
        <v>0.25</v>
      </c>
      <c r="F3947" s="0" t="n">
        <f aca="false">-1+C3947*0.125</f>
        <v>0.875</v>
      </c>
      <c r="G3947" s="0" t="n">
        <f aca="false">1</f>
        <v>1</v>
      </c>
      <c r="H3947" s="0" t="n">
        <f aca="false">D3947</f>
        <v>0.625</v>
      </c>
      <c r="I3947" s="0" t="n">
        <f aca="false">E3947</f>
        <v>0.25</v>
      </c>
      <c r="J3947" s="0" t="n">
        <f aca="false">F3947</f>
        <v>0.875</v>
      </c>
      <c r="K3947" s="0" t="n">
        <f aca="false">D3947*E3947</f>
        <v>0.15625</v>
      </c>
      <c r="L3947" s="0" t="n">
        <f aca="false">D3947*F3947</f>
        <v>0.546875</v>
      </c>
      <c r="M3947" s="0" t="n">
        <f aca="false">E3947*F3947</f>
        <v>0.21875</v>
      </c>
      <c r="N3947" s="0" t="n">
        <f aca="false">D3947*D3947</f>
        <v>0.390625</v>
      </c>
      <c r="O3947" s="0" t="n">
        <f aca="false">E3947*E3947</f>
        <v>0.0625</v>
      </c>
      <c r="P3947" s="0" t="n">
        <f aca="false">F3947*F3947</f>
        <v>0.765625</v>
      </c>
      <c r="Q3947" s="0" t="n">
        <f aca="false">SUMPRODUCT(G3947:P3947,_XtX!$B$71:$K$71)</f>
        <v>49.9554829545455</v>
      </c>
      <c r="R3947" s="0" t="n">
        <f aca="false">SUMPRODUCT(MMULT(G3947:P3947,_XtX!$B$58:$K$67),G3947:P3947)</f>
        <v>0.34446855024858</v>
      </c>
      <c r="S3947" s="0" t="n">
        <f aca="false">04_回帰ANOVA!$K$19*04_回帰ANOVA!$K$14*SQRT(1+R3947)</f>
        <v>1.07805758590432</v>
      </c>
      <c r="T3947" s="0" t="n">
        <f aca="false">Q3947-S3947</f>
        <v>48.8774253686412</v>
      </c>
      <c r="U3947" s="0" t="n">
        <f aca="false">Q3947+S3947</f>
        <v>51.0335405404498</v>
      </c>
      <c r="V3947" s="54" t="b">
        <f aca="false">AND(D3947&gt;=01_因子設定!$L$5-0.000000001,D3947&lt;=01_因子設定!$M$5+0.000000001,E3947&gt;=01_因子設定!$L$6-0.000000001,E3947&lt;=01_因子設定!$M$6+0.000000001,F3947&gt;=01_因子設定!$L$7-0.000000001,F3947&lt;=01_因子設定!$M$7+0.000000001,IF(01_因子設定!$B$20="Box-Behnken",D3947^2+E3947^2+F3947^2&lt;=2+0.000000001,TRUE()))</f>
        <v>1</v>
      </c>
      <c r="W3947" s="55" t="n">
        <f aca="false">IF(V3947,IF(01_因子設定!$B$13="最大化",T3947-01_因子設定!$B$14,IF(01_因子設定!$B$13="最小化",01_因子設定!$B$15-U3947,MIN(T3947-01_因子設定!$B$14,01_因子設定!$B$15-U3947))),-1E+030)</f>
        <v>0.377425368641156</v>
      </c>
      <c r="X3947" s="55" t="n">
        <f aca="false">IF(V3947,IF(01_因子設定!$B$13="最大化",Q3947,IF(01_因子設定!$B$13="最小化",-Q3947,-ABS(Q3947-01_因子設定!$B$16))),-1E+030)</f>
        <v>49.9554829545455</v>
      </c>
      <c r="Y3947" s="55" t="n">
        <f aca="false">W3947+ROW()*0.000000001</f>
        <v>0.377429315641156</v>
      </c>
      <c r="Z3947" s="55" t="n">
        <f aca="false">X3947+ROW()*0.000000001</f>
        <v>49.9554869015455</v>
      </c>
    </row>
    <row r="3948" customFormat="false" ht="15" hidden="false" customHeight="false" outlineLevel="0" collapsed="false">
      <c r="A3948" s="0" t="n">
        <v>13</v>
      </c>
      <c r="B3948" s="0" t="n">
        <v>10</v>
      </c>
      <c r="C3948" s="0" t="n">
        <v>16</v>
      </c>
      <c r="D3948" s="0" t="n">
        <f aca="false">-1+A3948*0.125</f>
        <v>0.625</v>
      </c>
      <c r="E3948" s="0" t="n">
        <f aca="false">-1+B3948*0.125</f>
        <v>0.25</v>
      </c>
      <c r="F3948" s="0" t="n">
        <f aca="false">-1+C3948*0.125</f>
        <v>1</v>
      </c>
      <c r="G3948" s="0" t="n">
        <f aca="false">1</f>
        <v>1</v>
      </c>
      <c r="H3948" s="0" t="n">
        <f aca="false">D3948</f>
        <v>0.625</v>
      </c>
      <c r="I3948" s="0" t="n">
        <f aca="false">E3948</f>
        <v>0.25</v>
      </c>
      <c r="J3948" s="0" t="n">
        <f aca="false">F3948</f>
        <v>1</v>
      </c>
      <c r="K3948" s="0" t="n">
        <f aca="false">D3948*E3948</f>
        <v>0.15625</v>
      </c>
      <c r="L3948" s="0" t="n">
        <f aca="false">D3948*F3948</f>
        <v>0.625</v>
      </c>
      <c r="M3948" s="0" t="n">
        <f aca="false">E3948*F3948</f>
        <v>0.25</v>
      </c>
      <c r="N3948" s="0" t="n">
        <f aca="false">D3948*D3948</f>
        <v>0.390625</v>
      </c>
      <c r="O3948" s="0" t="n">
        <f aca="false">E3948*E3948</f>
        <v>0.0625</v>
      </c>
      <c r="P3948" s="0" t="n">
        <f aca="false">F3948*F3948</f>
        <v>1</v>
      </c>
      <c r="Q3948" s="0" t="n">
        <f aca="false">SUMPRODUCT(G3948:P3948,_XtX!$B$71:$K$71)</f>
        <v>49.8544034090909</v>
      </c>
      <c r="R3948" s="0" t="n">
        <f aca="false">SUMPRODUCT(MMULT(G3948:P3948,_XtX!$B$58:$K$67),G3948:P3948)</f>
        <v>0.481389825994318</v>
      </c>
      <c r="S3948" s="0" t="n">
        <f aca="false">04_回帰ANOVA!$K$19*04_回帰ANOVA!$K$14*SQRT(1+R3948)</f>
        <v>1.13162182500693</v>
      </c>
      <c r="T3948" s="0" t="n">
        <f aca="false">Q3948-S3948</f>
        <v>48.722781584084</v>
      </c>
      <c r="U3948" s="0" t="n">
        <f aca="false">Q3948+S3948</f>
        <v>50.9860252340979</v>
      </c>
      <c r="V3948" s="54" t="b">
        <f aca="false">AND(D3948&gt;=01_因子設定!$L$5-0.000000001,D3948&lt;=01_因子設定!$M$5+0.000000001,E3948&gt;=01_因子設定!$L$6-0.000000001,E3948&lt;=01_因子設定!$M$6+0.000000001,F3948&gt;=01_因子設定!$L$7-0.000000001,F3948&lt;=01_因子設定!$M$7+0.000000001,IF(01_因子設定!$B$20="Box-Behnken",D3948^2+E3948^2+F3948^2&lt;=2+0.000000001,TRUE()))</f>
        <v>1</v>
      </c>
      <c r="W3948" s="55" t="n">
        <f aca="false">IF(V3948,IF(01_因子設定!$B$13="最大化",T3948-01_因子設定!$B$14,IF(01_因子設定!$B$13="最小化",01_因子設定!$B$15-U3948,MIN(T3948-01_因子設定!$B$14,01_因子設定!$B$15-U3948))),-1E+030)</f>
        <v>0.222781584084004</v>
      </c>
      <c r="X3948" s="55" t="n">
        <f aca="false">IF(V3948,IF(01_因子設定!$B$13="最大化",Q3948,IF(01_因子設定!$B$13="最小化",-Q3948,-ABS(Q3948-01_因子設定!$B$16))),-1E+030)</f>
        <v>49.8544034090909</v>
      </c>
      <c r="Y3948" s="55" t="n">
        <f aca="false">W3948+ROW()*0.000000001</f>
        <v>0.222785532084004</v>
      </c>
      <c r="Z3948" s="55" t="n">
        <f aca="false">X3948+ROW()*0.000000001</f>
        <v>49.8544073570909</v>
      </c>
    </row>
    <row r="3949" customFormat="false" ht="15" hidden="false" customHeight="false" outlineLevel="0" collapsed="false">
      <c r="A3949" s="0" t="n">
        <v>13</v>
      </c>
      <c r="B3949" s="0" t="n">
        <v>11</v>
      </c>
      <c r="C3949" s="0" t="n">
        <v>0</v>
      </c>
      <c r="D3949" s="0" t="n">
        <f aca="false">-1+A3949*0.125</f>
        <v>0.625</v>
      </c>
      <c r="E3949" s="0" t="n">
        <f aca="false">-1+B3949*0.125</f>
        <v>0.375</v>
      </c>
      <c r="F3949" s="0" t="n">
        <f aca="false">-1+C3949*0.125</f>
        <v>-1</v>
      </c>
      <c r="G3949" s="0" t="n">
        <f aca="false">1</f>
        <v>1</v>
      </c>
      <c r="H3949" s="0" t="n">
        <f aca="false">D3949</f>
        <v>0.625</v>
      </c>
      <c r="I3949" s="0" t="n">
        <f aca="false">E3949</f>
        <v>0.375</v>
      </c>
      <c r="J3949" s="0" t="n">
        <f aca="false">F3949</f>
        <v>-1</v>
      </c>
      <c r="K3949" s="0" t="n">
        <f aca="false">D3949*E3949</f>
        <v>0.234375</v>
      </c>
      <c r="L3949" s="0" t="n">
        <f aca="false">D3949*F3949</f>
        <v>-0.625</v>
      </c>
      <c r="M3949" s="0" t="n">
        <f aca="false">E3949*F3949</f>
        <v>-0.375</v>
      </c>
      <c r="N3949" s="0" t="n">
        <f aca="false">D3949*D3949</f>
        <v>0.390625</v>
      </c>
      <c r="O3949" s="0" t="n">
        <f aca="false">E3949*E3949</f>
        <v>0.140625</v>
      </c>
      <c r="P3949" s="0" t="n">
        <f aca="false">F3949*F3949</f>
        <v>1</v>
      </c>
      <c r="Q3949" s="0" t="n">
        <f aca="false">SUMPRODUCT(G3949:P3949,_XtX!$B$71:$K$71)</f>
        <v>47.1967258522728</v>
      </c>
      <c r="R3949" s="0" t="n">
        <f aca="false">SUMPRODUCT(MMULT(G3949:P3949,_XtX!$B$58:$K$67),G3949:P3949)</f>
        <v>0.471821178089489</v>
      </c>
      <c r="S3949" s="0" t="n">
        <f aca="false">04_回帰ANOVA!$K$19*04_回帰ANOVA!$K$14*SQRT(1+R3949)</f>
        <v>1.12796119746125</v>
      </c>
      <c r="T3949" s="0" t="n">
        <f aca="false">Q3949-S3949</f>
        <v>46.0687646548115</v>
      </c>
      <c r="U3949" s="0" t="n">
        <f aca="false">Q3949+S3949</f>
        <v>48.324687049734</v>
      </c>
      <c r="V3949" s="54" t="b">
        <f aca="false">AND(D3949&gt;=01_因子設定!$L$5-0.000000001,D3949&lt;=01_因子設定!$M$5+0.000000001,E3949&gt;=01_因子設定!$L$6-0.000000001,E3949&lt;=01_因子設定!$M$6+0.000000001,F3949&gt;=01_因子設定!$L$7-0.000000001,F3949&lt;=01_因子設定!$M$7+0.000000001,IF(01_因子設定!$B$20="Box-Behnken",D3949^2+E3949^2+F3949^2&lt;=2+0.000000001,TRUE()))</f>
        <v>1</v>
      </c>
      <c r="W3949" s="55" t="n">
        <f aca="false">IF(V3949,IF(01_因子設定!$B$13="最大化",T3949-01_因子設定!$B$14,IF(01_因子設定!$B$13="最小化",01_因子設定!$B$15-U3949,MIN(T3949-01_因子設定!$B$14,01_因子設定!$B$15-U3949))),-1E+030)</f>
        <v>-2.4312353451885</v>
      </c>
      <c r="X3949" s="55" t="n">
        <f aca="false">IF(V3949,IF(01_因子設定!$B$13="最大化",Q3949,IF(01_因子設定!$B$13="最小化",-Q3949,-ABS(Q3949-01_因子設定!$B$16))),-1E+030)</f>
        <v>47.1967258522728</v>
      </c>
      <c r="Y3949" s="55" t="n">
        <f aca="false">W3949+ROW()*0.000000001</f>
        <v>-2.4312313961885</v>
      </c>
      <c r="Z3949" s="55" t="n">
        <f aca="false">X3949+ROW()*0.000000001</f>
        <v>47.1967298012728</v>
      </c>
    </row>
    <row r="3950" customFormat="false" ht="15" hidden="false" customHeight="false" outlineLevel="0" collapsed="false">
      <c r="A3950" s="0" t="n">
        <v>13</v>
      </c>
      <c r="B3950" s="0" t="n">
        <v>11</v>
      </c>
      <c r="C3950" s="0" t="n">
        <v>1</v>
      </c>
      <c r="D3950" s="0" t="n">
        <f aca="false">-1+A3950*0.125</f>
        <v>0.625</v>
      </c>
      <c r="E3950" s="0" t="n">
        <f aca="false">-1+B3950*0.125</f>
        <v>0.375</v>
      </c>
      <c r="F3950" s="0" t="n">
        <f aca="false">-1+C3950*0.125</f>
        <v>-0.875</v>
      </c>
      <c r="G3950" s="0" t="n">
        <f aca="false">1</f>
        <v>1</v>
      </c>
      <c r="H3950" s="0" t="n">
        <f aca="false">D3950</f>
        <v>0.625</v>
      </c>
      <c r="I3950" s="0" t="n">
        <f aca="false">E3950</f>
        <v>0.375</v>
      </c>
      <c r="J3950" s="0" t="n">
        <f aca="false">F3950</f>
        <v>-0.875</v>
      </c>
      <c r="K3950" s="0" t="n">
        <f aca="false">D3950*E3950</f>
        <v>0.234375</v>
      </c>
      <c r="L3950" s="0" t="n">
        <f aca="false">D3950*F3950</f>
        <v>-0.546875</v>
      </c>
      <c r="M3950" s="0" t="n">
        <f aca="false">E3950*F3950</f>
        <v>-0.328125</v>
      </c>
      <c r="N3950" s="0" t="n">
        <f aca="false">D3950*D3950</f>
        <v>0.390625</v>
      </c>
      <c r="O3950" s="0" t="n">
        <f aca="false">E3950*E3950</f>
        <v>0.140625</v>
      </c>
      <c r="P3950" s="0" t="n">
        <f aca="false">F3950*F3950</f>
        <v>0.765625</v>
      </c>
      <c r="Q3950" s="0" t="n">
        <f aca="false">SUMPRODUCT(G3950:P3950,_XtX!$B$71:$K$71)</f>
        <v>47.6545241477273</v>
      </c>
      <c r="R3950" s="0" t="n">
        <f aca="false">SUMPRODUCT(MMULT(G3950:P3950,_XtX!$B$58:$K$67),G3950:P3950)</f>
        <v>0.337604869495739</v>
      </c>
      <c r="S3950" s="0" t="n">
        <f aca="false">04_回帰ANOVA!$K$19*04_回帰ANOVA!$K$14*SQRT(1+R3950)</f>
        <v>1.07530225516193</v>
      </c>
      <c r="T3950" s="0" t="n">
        <f aca="false">Q3950-S3950</f>
        <v>46.5792218925654</v>
      </c>
      <c r="U3950" s="0" t="n">
        <f aca="false">Q3950+S3950</f>
        <v>48.7298264028892</v>
      </c>
      <c r="V3950" s="54" t="b">
        <f aca="false">AND(D3950&gt;=01_因子設定!$L$5-0.000000001,D3950&lt;=01_因子設定!$M$5+0.000000001,E3950&gt;=01_因子設定!$L$6-0.000000001,E3950&lt;=01_因子設定!$M$6+0.000000001,F3950&gt;=01_因子設定!$L$7-0.000000001,F3950&lt;=01_因子設定!$M$7+0.000000001,IF(01_因子設定!$B$20="Box-Behnken",D3950^2+E3950^2+F3950^2&lt;=2+0.000000001,TRUE()))</f>
        <v>1</v>
      </c>
      <c r="W3950" s="55" t="n">
        <f aca="false">IF(V3950,IF(01_因子設定!$B$13="最大化",T3950-01_因子設定!$B$14,IF(01_因子設定!$B$13="最小化",01_因子設定!$B$15-U3950,MIN(T3950-01_因子設定!$B$14,01_因子設定!$B$15-U3950))),-1E+030)</f>
        <v>-1.92077810743464</v>
      </c>
      <c r="X3950" s="55" t="n">
        <f aca="false">IF(V3950,IF(01_因子設定!$B$13="最大化",Q3950,IF(01_因子設定!$B$13="最小化",-Q3950,-ABS(Q3950-01_因子設定!$B$16))),-1E+030)</f>
        <v>47.6545241477273</v>
      </c>
      <c r="Y3950" s="55" t="n">
        <f aca="false">W3950+ROW()*0.000000001</f>
        <v>-1.92077415743464</v>
      </c>
      <c r="Z3950" s="55" t="n">
        <f aca="false">X3950+ROW()*0.000000001</f>
        <v>47.6545280977273</v>
      </c>
    </row>
    <row r="3951" customFormat="false" ht="15" hidden="false" customHeight="false" outlineLevel="0" collapsed="false">
      <c r="A3951" s="0" t="n">
        <v>13</v>
      </c>
      <c r="B3951" s="0" t="n">
        <v>11</v>
      </c>
      <c r="C3951" s="0" t="n">
        <v>2</v>
      </c>
      <c r="D3951" s="0" t="n">
        <f aca="false">-1+A3951*0.125</f>
        <v>0.625</v>
      </c>
      <c r="E3951" s="0" t="n">
        <f aca="false">-1+B3951*0.125</f>
        <v>0.375</v>
      </c>
      <c r="F3951" s="0" t="n">
        <f aca="false">-1+C3951*0.125</f>
        <v>-0.75</v>
      </c>
      <c r="G3951" s="0" t="n">
        <f aca="false">1</f>
        <v>1</v>
      </c>
      <c r="H3951" s="0" t="n">
        <f aca="false">D3951</f>
        <v>0.625</v>
      </c>
      <c r="I3951" s="0" t="n">
        <f aca="false">E3951</f>
        <v>0.375</v>
      </c>
      <c r="J3951" s="0" t="n">
        <f aca="false">F3951</f>
        <v>-0.75</v>
      </c>
      <c r="K3951" s="0" t="n">
        <f aca="false">D3951*E3951</f>
        <v>0.234375</v>
      </c>
      <c r="L3951" s="0" t="n">
        <f aca="false">D3951*F3951</f>
        <v>-0.46875</v>
      </c>
      <c r="M3951" s="0" t="n">
        <f aca="false">E3951*F3951</f>
        <v>-0.28125</v>
      </c>
      <c r="N3951" s="0" t="n">
        <f aca="false">D3951*D3951</f>
        <v>0.390625</v>
      </c>
      <c r="O3951" s="0" t="n">
        <f aca="false">E3951*E3951</f>
        <v>0.140625</v>
      </c>
      <c r="P3951" s="0" t="n">
        <f aca="false">F3951*F3951</f>
        <v>0.5625</v>
      </c>
      <c r="Q3951" s="0" t="n">
        <f aca="false">SUMPRODUCT(G3951:P3951,_XtX!$B$71:$K$71)</f>
        <v>48.0755326704546</v>
      </c>
      <c r="R3951" s="0" t="n">
        <f aca="false">SUMPRODUCT(MMULT(G3951:P3951,_XtX!$B$58:$K$67),G3951:P3951)</f>
        <v>0.25359940962358</v>
      </c>
      <c r="S3951" s="0" t="n">
        <f aca="false">04_回帰ANOVA!$K$19*04_回帰ANOVA!$K$14*SQRT(1+R3951)</f>
        <v>1.04098872464599</v>
      </c>
      <c r="T3951" s="0" t="n">
        <f aca="false">Q3951-S3951</f>
        <v>47.0345439458086</v>
      </c>
      <c r="U3951" s="0" t="n">
        <f aca="false">Q3951+S3951</f>
        <v>49.1165213951005</v>
      </c>
      <c r="V3951" s="54" t="b">
        <f aca="false">AND(D3951&gt;=01_因子設定!$L$5-0.000000001,D3951&lt;=01_因子設定!$M$5+0.000000001,E3951&gt;=01_因子設定!$L$6-0.000000001,E3951&lt;=01_因子設定!$M$6+0.000000001,F3951&gt;=01_因子設定!$L$7-0.000000001,F3951&lt;=01_因子設定!$M$7+0.000000001,IF(01_因子設定!$B$20="Box-Behnken",D3951^2+E3951^2+F3951^2&lt;=2+0.000000001,TRUE()))</f>
        <v>1</v>
      </c>
      <c r="W3951" s="55" t="n">
        <f aca="false">IF(V3951,IF(01_因子設定!$B$13="最大化",T3951-01_因子設定!$B$14,IF(01_因子設定!$B$13="最小化",01_因子設定!$B$15-U3951,MIN(T3951-01_因子設定!$B$14,01_因子設定!$B$15-U3951))),-1E+030)</f>
        <v>-1.46545605419143</v>
      </c>
      <c r="X3951" s="55" t="n">
        <f aca="false">IF(V3951,IF(01_因子設定!$B$13="最大化",Q3951,IF(01_因子設定!$B$13="最小化",-Q3951,-ABS(Q3951-01_因子設定!$B$16))),-1E+030)</f>
        <v>48.0755326704546</v>
      </c>
      <c r="Y3951" s="55" t="n">
        <f aca="false">W3951+ROW()*0.000000001</f>
        <v>-1.46545210319143</v>
      </c>
      <c r="Z3951" s="55" t="n">
        <f aca="false">X3951+ROW()*0.000000001</f>
        <v>48.0755366214546</v>
      </c>
    </row>
    <row r="3952" customFormat="false" ht="15" hidden="false" customHeight="false" outlineLevel="0" collapsed="false">
      <c r="A3952" s="0" t="n">
        <v>13</v>
      </c>
      <c r="B3952" s="0" t="n">
        <v>11</v>
      </c>
      <c r="C3952" s="0" t="n">
        <v>3</v>
      </c>
      <c r="D3952" s="0" t="n">
        <f aca="false">-1+A3952*0.125</f>
        <v>0.625</v>
      </c>
      <c r="E3952" s="0" t="n">
        <f aca="false">-1+B3952*0.125</f>
        <v>0.375</v>
      </c>
      <c r="F3952" s="0" t="n">
        <f aca="false">-1+C3952*0.125</f>
        <v>-0.625</v>
      </c>
      <c r="G3952" s="0" t="n">
        <f aca="false">1</f>
        <v>1</v>
      </c>
      <c r="H3952" s="0" t="n">
        <f aca="false">D3952</f>
        <v>0.625</v>
      </c>
      <c r="I3952" s="0" t="n">
        <f aca="false">E3952</f>
        <v>0.375</v>
      </c>
      <c r="J3952" s="0" t="n">
        <f aca="false">F3952</f>
        <v>-0.625</v>
      </c>
      <c r="K3952" s="0" t="n">
        <f aca="false">D3952*E3952</f>
        <v>0.234375</v>
      </c>
      <c r="L3952" s="0" t="n">
        <f aca="false">D3952*F3952</f>
        <v>-0.390625</v>
      </c>
      <c r="M3952" s="0" t="n">
        <f aca="false">E3952*F3952</f>
        <v>-0.234375</v>
      </c>
      <c r="N3952" s="0" t="n">
        <f aca="false">D3952*D3952</f>
        <v>0.390625</v>
      </c>
      <c r="O3952" s="0" t="n">
        <f aca="false">E3952*E3952</f>
        <v>0.140625</v>
      </c>
      <c r="P3952" s="0" t="n">
        <f aca="false">F3952*F3952</f>
        <v>0.390625</v>
      </c>
      <c r="Q3952" s="0" t="n">
        <f aca="false">SUMPRODUCT(G3952:P3952,_XtX!$B$71:$K$71)</f>
        <v>48.4597514204546</v>
      </c>
      <c r="R3952" s="0" t="n">
        <f aca="false">SUMPRODUCT(MMULT(G3952:P3952,_XtX!$B$58:$K$67),G3952:P3952)</f>
        <v>0.20595536665483</v>
      </c>
      <c r="S3952" s="0" t="n">
        <f aca="false">04_回帰ANOVA!$K$19*04_回帰ANOVA!$K$14*SQRT(1+R3952)</f>
        <v>1.02101530762963</v>
      </c>
      <c r="T3952" s="0" t="n">
        <f aca="false">Q3952-S3952</f>
        <v>47.4387361128249</v>
      </c>
      <c r="U3952" s="0" t="n">
        <f aca="false">Q3952+S3952</f>
        <v>49.4807667280842</v>
      </c>
      <c r="V3952" s="54" t="b">
        <f aca="false">AND(D3952&gt;=01_因子設定!$L$5-0.000000001,D3952&lt;=01_因子設定!$M$5+0.000000001,E3952&gt;=01_因子設定!$L$6-0.000000001,E3952&lt;=01_因子設定!$M$6+0.000000001,F3952&gt;=01_因子設定!$L$7-0.000000001,F3952&lt;=01_因子設定!$M$7+0.000000001,IF(01_因子設定!$B$20="Box-Behnken",D3952^2+E3952^2+F3952^2&lt;=2+0.000000001,TRUE()))</f>
        <v>1</v>
      </c>
      <c r="W3952" s="55" t="n">
        <f aca="false">IF(V3952,IF(01_因子設定!$B$13="最大化",T3952-01_因子設定!$B$14,IF(01_因子設定!$B$13="最小化",01_因子設定!$B$15-U3952,MIN(T3952-01_因子設定!$B$14,01_因子設定!$B$15-U3952))),-1E+030)</f>
        <v>-1.06126388717507</v>
      </c>
      <c r="X3952" s="55" t="n">
        <f aca="false">IF(V3952,IF(01_因子設定!$B$13="最大化",Q3952,IF(01_因子設定!$B$13="最小化",-Q3952,-ABS(Q3952-01_因子設定!$B$16))),-1E+030)</f>
        <v>48.4597514204546</v>
      </c>
      <c r="Y3952" s="55" t="n">
        <f aca="false">W3952+ROW()*0.000000001</f>
        <v>-1.06125993517507</v>
      </c>
      <c r="Z3952" s="55" t="n">
        <f aca="false">X3952+ROW()*0.000000001</f>
        <v>48.4597553724546</v>
      </c>
    </row>
    <row r="3953" customFormat="false" ht="15" hidden="false" customHeight="false" outlineLevel="0" collapsed="false">
      <c r="A3953" s="0" t="n">
        <v>13</v>
      </c>
      <c r="B3953" s="0" t="n">
        <v>11</v>
      </c>
      <c r="C3953" s="0" t="n">
        <v>4</v>
      </c>
      <c r="D3953" s="0" t="n">
        <f aca="false">-1+A3953*0.125</f>
        <v>0.625</v>
      </c>
      <c r="E3953" s="0" t="n">
        <f aca="false">-1+B3953*0.125</f>
        <v>0.375</v>
      </c>
      <c r="F3953" s="0" t="n">
        <f aca="false">-1+C3953*0.125</f>
        <v>-0.5</v>
      </c>
      <c r="G3953" s="0" t="n">
        <f aca="false">1</f>
        <v>1</v>
      </c>
      <c r="H3953" s="0" t="n">
        <f aca="false">D3953</f>
        <v>0.625</v>
      </c>
      <c r="I3953" s="0" t="n">
        <f aca="false">E3953</f>
        <v>0.375</v>
      </c>
      <c r="J3953" s="0" t="n">
        <f aca="false">F3953</f>
        <v>-0.5</v>
      </c>
      <c r="K3953" s="0" t="n">
        <f aca="false">D3953*E3953</f>
        <v>0.234375</v>
      </c>
      <c r="L3953" s="0" t="n">
        <f aca="false">D3953*F3953</f>
        <v>-0.3125</v>
      </c>
      <c r="M3953" s="0" t="n">
        <f aca="false">E3953*F3953</f>
        <v>-0.1875</v>
      </c>
      <c r="N3953" s="0" t="n">
        <f aca="false">D3953*D3953</f>
        <v>0.390625</v>
      </c>
      <c r="O3953" s="0" t="n">
        <f aca="false">E3953*E3953</f>
        <v>0.140625</v>
      </c>
      <c r="P3953" s="0" t="n">
        <f aca="false">F3953*F3953</f>
        <v>0.25</v>
      </c>
      <c r="Q3953" s="0" t="n">
        <f aca="false">SUMPRODUCT(G3953:P3953,_XtX!$B$71:$K$71)</f>
        <v>48.8071803977273</v>
      </c>
      <c r="R3953" s="0" t="n">
        <f aca="false">SUMPRODUCT(MMULT(G3953:P3953,_XtX!$B$58:$K$67),G3953:P3953)</f>
        <v>0.182953990589489</v>
      </c>
      <c r="S3953" s="0" t="n">
        <f aca="false">04_回帰ANOVA!$K$19*04_回帰ANOVA!$K$14*SQRT(1+R3953)</f>
        <v>1.01123143807044</v>
      </c>
      <c r="T3953" s="0" t="n">
        <f aca="false">Q3953-S3953</f>
        <v>47.7959489596568</v>
      </c>
      <c r="U3953" s="0" t="n">
        <f aca="false">Q3953+S3953</f>
        <v>49.8184118357977</v>
      </c>
      <c r="V3953" s="54" t="b">
        <f aca="false">AND(D3953&gt;=01_因子設定!$L$5-0.000000001,D3953&lt;=01_因子設定!$M$5+0.000000001,E3953&gt;=01_因子設定!$L$6-0.000000001,E3953&lt;=01_因子設定!$M$6+0.000000001,F3953&gt;=01_因子設定!$L$7-0.000000001,F3953&lt;=01_因子設定!$M$7+0.000000001,IF(01_因子設定!$B$20="Box-Behnken",D3953^2+E3953^2+F3953^2&lt;=2+0.000000001,TRUE()))</f>
        <v>1</v>
      </c>
      <c r="W3953" s="55" t="n">
        <f aca="false">IF(V3953,IF(01_因子設定!$B$13="最大化",T3953-01_因子設定!$B$14,IF(01_因子設定!$B$13="最小化",01_因子設定!$B$15-U3953,MIN(T3953-01_因子設定!$B$14,01_因子設定!$B$15-U3953))),-1E+030)</f>
        <v>-0.70405104034316</v>
      </c>
      <c r="X3953" s="55" t="n">
        <f aca="false">IF(V3953,IF(01_因子設定!$B$13="最大化",Q3953,IF(01_因子設定!$B$13="最小化",-Q3953,-ABS(Q3953-01_因子設定!$B$16))),-1E+030)</f>
        <v>48.8071803977273</v>
      </c>
      <c r="Y3953" s="55" t="n">
        <f aca="false">W3953+ROW()*0.000000001</f>
        <v>-0.70404708734316</v>
      </c>
      <c r="Z3953" s="55" t="n">
        <f aca="false">X3953+ROW()*0.000000001</f>
        <v>48.8071843507273</v>
      </c>
    </row>
    <row r="3954" customFormat="false" ht="15" hidden="false" customHeight="false" outlineLevel="0" collapsed="false">
      <c r="A3954" s="0" t="n">
        <v>13</v>
      </c>
      <c r="B3954" s="0" t="n">
        <v>11</v>
      </c>
      <c r="C3954" s="0" t="n">
        <v>5</v>
      </c>
      <c r="D3954" s="0" t="n">
        <f aca="false">-1+A3954*0.125</f>
        <v>0.625</v>
      </c>
      <c r="E3954" s="0" t="n">
        <f aca="false">-1+B3954*0.125</f>
        <v>0.375</v>
      </c>
      <c r="F3954" s="0" t="n">
        <f aca="false">-1+C3954*0.125</f>
        <v>-0.375</v>
      </c>
      <c r="G3954" s="0" t="n">
        <f aca="false">1</f>
        <v>1</v>
      </c>
      <c r="H3954" s="0" t="n">
        <f aca="false">D3954</f>
        <v>0.625</v>
      </c>
      <c r="I3954" s="0" t="n">
        <f aca="false">E3954</f>
        <v>0.375</v>
      </c>
      <c r="J3954" s="0" t="n">
        <f aca="false">F3954</f>
        <v>-0.375</v>
      </c>
      <c r="K3954" s="0" t="n">
        <f aca="false">D3954*E3954</f>
        <v>0.234375</v>
      </c>
      <c r="L3954" s="0" t="n">
        <f aca="false">D3954*F3954</f>
        <v>-0.234375</v>
      </c>
      <c r="M3954" s="0" t="n">
        <f aca="false">E3954*F3954</f>
        <v>-0.140625</v>
      </c>
      <c r="N3954" s="0" t="n">
        <f aca="false">D3954*D3954</f>
        <v>0.390625</v>
      </c>
      <c r="O3954" s="0" t="n">
        <f aca="false">E3954*E3954</f>
        <v>0.140625</v>
      </c>
      <c r="P3954" s="0" t="n">
        <f aca="false">F3954*F3954</f>
        <v>0.140625</v>
      </c>
      <c r="Q3954" s="0" t="n">
        <f aca="false">SUMPRODUCT(G3954:P3954,_XtX!$B$71:$K$71)</f>
        <v>49.1178196022727</v>
      </c>
      <c r="R3954" s="0" t="n">
        <f aca="false">SUMPRODUCT(MMULT(G3954:P3954,_XtX!$B$58:$K$67),G3954:P3954)</f>
        <v>0.175007213245739</v>
      </c>
      <c r="S3954" s="0" t="n">
        <f aca="false">04_回帰ANOVA!$K$19*04_回帰ANOVA!$K$14*SQRT(1+R3954)</f>
        <v>1.0078291195273</v>
      </c>
      <c r="T3954" s="0" t="n">
        <f aca="false">Q3954-S3954</f>
        <v>48.1099904827454</v>
      </c>
      <c r="U3954" s="0" t="n">
        <f aca="false">Q3954+S3954</f>
        <v>50.1256487218</v>
      </c>
      <c r="V3954" s="54" t="b">
        <f aca="false">AND(D3954&gt;=01_因子設定!$L$5-0.000000001,D3954&lt;=01_因子設定!$M$5+0.000000001,E3954&gt;=01_因子設定!$L$6-0.000000001,E3954&lt;=01_因子設定!$M$6+0.000000001,F3954&gt;=01_因子設定!$L$7-0.000000001,F3954&lt;=01_因子設定!$M$7+0.000000001,IF(01_因子設定!$B$20="Box-Behnken",D3954^2+E3954^2+F3954^2&lt;=2+0.000000001,TRUE()))</f>
        <v>1</v>
      </c>
      <c r="W3954" s="55" t="n">
        <f aca="false">IF(V3954,IF(01_因子設定!$B$13="最大化",T3954-01_因子設定!$B$14,IF(01_因子設定!$B$13="最小化",01_因子設定!$B$15-U3954,MIN(T3954-01_因子設定!$B$14,01_因子設定!$B$15-U3954))),-1E+030)</f>
        <v>-0.390009517254569</v>
      </c>
      <c r="X3954" s="55" t="n">
        <f aca="false">IF(V3954,IF(01_因子設定!$B$13="最大化",Q3954,IF(01_因子設定!$B$13="最小化",-Q3954,-ABS(Q3954-01_因子設定!$B$16))),-1E+030)</f>
        <v>49.1178196022727</v>
      </c>
      <c r="Y3954" s="55" t="n">
        <f aca="false">W3954+ROW()*0.000000001</f>
        <v>-0.390005563254569</v>
      </c>
      <c r="Z3954" s="55" t="n">
        <f aca="false">X3954+ROW()*0.000000001</f>
        <v>49.1178235562727</v>
      </c>
    </row>
    <row r="3955" customFormat="false" ht="15" hidden="false" customHeight="false" outlineLevel="0" collapsed="false">
      <c r="A3955" s="0" t="n">
        <v>13</v>
      </c>
      <c r="B3955" s="0" t="n">
        <v>11</v>
      </c>
      <c r="C3955" s="0" t="n">
        <v>6</v>
      </c>
      <c r="D3955" s="0" t="n">
        <f aca="false">-1+A3955*0.125</f>
        <v>0.625</v>
      </c>
      <c r="E3955" s="0" t="n">
        <f aca="false">-1+B3955*0.125</f>
        <v>0.375</v>
      </c>
      <c r="F3955" s="0" t="n">
        <f aca="false">-1+C3955*0.125</f>
        <v>-0.25</v>
      </c>
      <c r="G3955" s="0" t="n">
        <f aca="false">1</f>
        <v>1</v>
      </c>
      <c r="H3955" s="0" t="n">
        <f aca="false">D3955</f>
        <v>0.625</v>
      </c>
      <c r="I3955" s="0" t="n">
        <f aca="false">E3955</f>
        <v>0.375</v>
      </c>
      <c r="J3955" s="0" t="n">
        <f aca="false">F3955</f>
        <v>-0.25</v>
      </c>
      <c r="K3955" s="0" t="n">
        <f aca="false">D3955*E3955</f>
        <v>0.234375</v>
      </c>
      <c r="L3955" s="0" t="n">
        <f aca="false">D3955*F3955</f>
        <v>-0.15625</v>
      </c>
      <c r="M3955" s="0" t="n">
        <f aca="false">E3955*F3955</f>
        <v>-0.09375</v>
      </c>
      <c r="N3955" s="0" t="n">
        <f aca="false">D3955*D3955</f>
        <v>0.390625</v>
      </c>
      <c r="O3955" s="0" t="n">
        <f aca="false">E3955*E3955</f>
        <v>0.140625</v>
      </c>
      <c r="P3955" s="0" t="n">
        <f aca="false">F3955*F3955</f>
        <v>0.0625</v>
      </c>
      <c r="Q3955" s="0" t="n">
        <f aca="false">SUMPRODUCT(G3955:P3955,_XtX!$B$71:$K$71)</f>
        <v>49.3916690340909</v>
      </c>
      <c r="R3955" s="0" t="n">
        <f aca="false">SUMPRODUCT(MMULT(G3955:P3955,_XtX!$B$58:$K$67),G3955:P3955)</f>
        <v>0.174657648259943</v>
      </c>
      <c r="S3955" s="0" t="n">
        <f aca="false">04_回帰ANOVA!$K$19*04_回帰ANOVA!$K$14*SQRT(1+R3955)</f>
        <v>1.00767919364845</v>
      </c>
      <c r="T3955" s="0" t="n">
        <f aca="false">Q3955-S3955</f>
        <v>48.3839898404425</v>
      </c>
      <c r="U3955" s="0" t="n">
        <f aca="false">Q3955+S3955</f>
        <v>50.3993482277394</v>
      </c>
      <c r="V3955" s="54" t="b">
        <f aca="false">AND(D3955&gt;=01_因子設定!$L$5-0.000000001,D3955&lt;=01_因子設定!$M$5+0.000000001,E3955&gt;=01_因子設定!$L$6-0.000000001,E3955&lt;=01_因子設定!$M$6+0.000000001,F3955&gt;=01_因子設定!$L$7-0.000000001,F3955&lt;=01_因子設定!$M$7+0.000000001,IF(01_因子設定!$B$20="Box-Behnken",D3955^2+E3955^2+F3955^2&lt;=2+0.000000001,TRUE()))</f>
        <v>1</v>
      </c>
      <c r="W3955" s="55" t="n">
        <f aca="false">IF(V3955,IF(01_因子設定!$B$13="最大化",T3955-01_因子設定!$B$14,IF(01_因子設定!$B$13="最小化",01_因子設定!$B$15-U3955,MIN(T3955-01_因子設定!$B$14,01_因子設定!$B$15-U3955))),-1E+030)</f>
        <v>-0.116010159557533</v>
      </c>
      <c r="X3955" s="55" t="n">
        <f aca="false">IF(V3955,IF(01_因子設定!$B$13="最大化",Q3955,IF(01_因子設定!$B$13="最小化",-Q3955,-ABS(Q3955-01_因子設定!$B$16))),-1E+030)</f>
        <v>49.3916690340909</v>
      </c>
      <c r="Y3955" s="55" t="n">
        <f aca="false">W3955+ROW()*0.000000001</f>
        <v>-0.116006204557533</v>
      </c>
      <c r="Z3955" s="55" t="n">
        <f aca="false">X3955+ROW()*0.000000001</f>
        <v>49.3916729890909</v>
      </c>
    </row>
    <row r="3956" customFormat="false" ht="15" hidden="false" customHeight="false" outlineLevel="0" collapsed="false">
      <c r="A3956" s="0" t="n">
        <v>13</v>
      </c>
      <c r="B3956" s="0" t="n">
        <v>11</v>
      </c>
      <c r="C3956" s="0" t="n">
        <v>7</v>
      </c>
      <c r="D3956" s="0" t="n">
        <f aca="false">-1+A3956*0.125</f>
        <v>0.625</v>
      </c>
      <c r="E3956" s="0" t="n">
        <f aca="false">-1+B3956*0.125</f>
        <v>0.375</v>
      </c>
      <c r="F3956" s="0" t="n">
        <f aca="false">-1+C3956*0.125</f>
        <v>-0.125</v>
      </c>
      <c r="G3956" s="0" t="n">
        <f aca="false">1</f>
        <v>1</v>
      </c>
      <c r="H3956" s="0" t="n">
        <f aca="false">D3956</f>
        <v>0.625</v>
      </c>
      <c r="I3956" s="0" t="n">
        <f aca="false">E3956</f>
        <v>0.375</v>
      </c>
      <c r="J3956" s="0" t="n">
        <f aca="false">F3956</f>
        <v>-0.125</v>
      </c>
      <c r="K3956" s="0" t="n">
        <f aca="false">D3956*E3956</f>
        <v>0.234375</v>
      </c>
      <c r="L3956" s="0" t="n">
        <f aca="false">D3956*F3956</f>
        <v>-0.078125</v>
      </c>
      <c r="M3956" s="0" t="n">
        <f aca="false">E3956*F3956</f>
        <v>-0.046875</v>
      </c>
      <c r="N3956" s="0" t="n">
        <f aca="false">D3956*D3956</f>
        <v>0.390625</v>
      </c>
      <c r="O3956" s="0" t="n">
        <f aca="false">E3956*E3956</f>
        <v>0.140625</v>
      </c>
      <c r="P3956" s="0" t="n">
        <f aca="false">F3956*F3956</f>
        <v>0.015625</v>
      </c>
      <c r="Q3956" s="0" t="n">
        <f aca="false">SUMPRODUCT(G3956:P3956,_XtX!$B$71:$K$71)</f>
        <v>49.6287286931818</v>
      </c>
      <c r="R3956" s="0" t="n">
        <f aca="false">SUMPRODUCT(MMULT(G3956:P3956,_XtX!$B$58:$K$67),G3956:P3956)</f>
        <v>0.176578591086648</v>
      </c>
      <c r="S3956" s="0" t="n">
        <f aca="false">04_回帰ANOVA!$K$19*04_回帰ANOVA!$K$14*SQRT(1+R3956)</f>
        <v>1.00850279676269</v>
      </c>
      <c r="T3956" s="0" t="n">
        <f aca="false">Q3956-S3956</f>
        <v>48.6202258964191</v>
      </c>
      <c r="U3956" s="0" t="n">
        <f aca="false">Q3956+S3956</f>
        <v>50.6372314899445</v>
      </c>
      <c r="V3956" s="54" t="b">
        <f aca="false">AND(D3956&gt;=01_因子設定!$L$5-0.000000001,D3956&lt;=01_因子設定!$M$5+0.000000001,E3956&gt;=01_因子設定!$L$6-0.000000001,E3956&lt;=01_因子設定!$M$6+0.000000001,F3956&gt;=01_因子設定!$L$7-0.000000001,F3956&lt;=01_因子設定!$M$7+0.000000001,IF(01_因子設定!$B$20="Box-Behnken",D3956^2+E3956^2+F3956^2&lt;=2+0.000000001,TRUE()))</f>
        <v>1</v>
      </c>
      <c r="W3956" s="55" t="n">
        <f aca="false">IF(V3956,IF(01_因子設定!$B$13="最大化",T3956-01_因子設定!$B$14,IF(01_因子設定!$B$13="最小化",01_因子設定!$B$15-U3956,MIN(T3956-01_因子設定!$B$14,01_因子設定!$B$15-U3956))),-1E+030)</f>
        <v>0.120225896419129</v>
      </c>
      <c r="X3956" s="55" t="n">
        <f aca="false">IF(V3956,IF(01_因子設定!$B$13="最大化",Q3956,IF(01_因子設定!$B$13="最小化",-Q3956,-ABS(Q3956-01_因子設定!$B$16))),-1E+030)</f>
        <v>49.6287286931818</v>
      </c>
      <c r="Y3956" s="55" t="n">
        <f aca="false">W3956+ROW()*0.000000001</f>
        <v>0.120229852419129</v>
      </c>
      <c r="Z3956" s="55" t="n">
        <f aca="false">X3956+ROW()*0.000000001</f>
        <v>49.6287326491818</v>
      </c>
    </row>
    <row r="3957" customFormat="false" ht="15" hidden="false" customHeight="false" outlineLevel="0" collapsed="false">
      <c r="A3957" s="0" t="n">
        <v>13</v>
      </c>
      <c r="B3957" s="0" t="n">
        <v>11</v>
      </c>
      <c r="C3957" s="0" t="n">
        <v>8</v>
      </c>
      <c r="D3957" s="0" t="n">
        <f aca="false">-1+A3957*0.125</f>
        <v>0.625</v>
      </c>
      <c r="E3957" s="0" t="n">
        <f aca="false">-1+B3957*0.125</f>
        <v>0.375</v>
      </c>
      <c r="F3957" s="0" t="n">
        <f aca="false">-1+C3957*0.125</f>
        <v>0</v>
      </c>
      <c r="G3957" s="0" t="n">
        <f aca="false">1</f>
        <v>1</v>
      </c>
      <c r="H3957" s="0" t="n">
        <f aca="false">D3957</f>
        <v>0.625</v>
      </c>
      <c r="I3957" s="0" t="n">
        <f aca="false">E3957</f>
        <v>0.375</v>
      </c>
      <c r="J3957" s="0" t="n">
        <f aca="false">F3957</f>
        <v>0</v>
      </c>
      <c r="K3957" s="0" t="n">
        <f aca="false">D3957*E3957</f>
        <v>0.234375</v>
      </c>
      <c r="L3957" s="0" t="n">
        <f aca="false">D3957*F3957</f>
        <v>0</v>
      </c>
      <c r="M3957" s="0" t="n">
        <f aca="false">E3957*F3957</f>
        <v>0</v>
      </c>
      <c r="N3957" s="0" t="n">
        <f aca="false">D3957*D3957</f>
        <v>0.390625</v>
      </c>
      <c r="O3957" s="0" t="n">
        <f aca="false">E3957*E3957</f>
        <v>0.140625</v>
      </c>
      <c r="P3957" s="0" t="n">
        <f aca="false">F3957*F3957</f>
        <v>0</v>
      </c>
      <c r="Q3957" s="0" t="n">
        <f aca="false">SUMPRODUCT(G3957:P3957,_XtX!$B$71:$K$71)</f>
        <v>49.8289985795455</v>
      </c>
      <c r="R3957" s="0" t="n">
        <f aca="false">SUMPRODUCT(MMULT(G3957:P3957,_XtX!$B$58:$K$67),G3957:P3957)</f>
        <v>0.17757401899858</v>
      </c>
      <c r="S3957" s="0" t="n">
        <f aca="false">04_回帰ANOVA!$K$19*04_回帰ANOVA!$K$14*SQRT(1+R3957)</f>
        <v>1.00892932143276</v>
      </c>
      <c r="T3957" s="0" t="n">
        <f aca="false">Q3957-S3957</f>
        <v>48.8200692581127</v>
      </c>
      <c r="U3957" s="0" t="n">
        <f aca="false">Q3957+S3957</f>
        <v>50.8379279009782</v>
      </c>
      <c r="V3957" s="54" t="b">
        <f aca="false">AND(D3957&gt;=01_因子設定!$L$5-0.000000001,D3957&lt;=01_因子設定!$M$5+0.000000001,E3957&gt;=01_因子設定!$L$6-0.000000001,E3957&lt;=01_因子設定!$M$6+0.000000001,F3957&gt;=01_因子設定!$L$7-0.000000001,F3957&lt;=01_因子設定!$M$7+0.000000001,IF(01_因子設定!$B$20="Box-Behnken",D3957^2+E3957^2+F3957^2&lt;=2+0.000000001,TRUE()))</f>
        <v>1</v>
      </c>
      <c r="W3957" s="55" t="n">
        <f aca="false">IF(V3957,IF(01_因子設定!$B$13="最大化",T3957-01_因子設定!$B$14,IF(01_因子設定!$B$13="最小化",01_因子設定!$B$15-U3957,MIN(T3957-01_因子設定!$B$14,01_因子設定!$B$15-U3957))),-1E+030)</f>
        <v>0.320069258112696</v>
      </c>
      <c r="X3957" s="55" t="n">
        <f aca="false">IF(V3957,IF(01_因子設定!$B$13="最大化",Q3957,IF(01_因子設定!$B$13="最小化",-Q3957,-ABS(Q3957-01_因子設定!$B$16))),-1E+030)</f>
        <v>49.8289985795455</v>
      </c>
      <c r="Y3957" s="55" t="n">
        <f aca="false">W3957+ROW()*0.000000001</f>
        <v>0.320073215112696</v>
      </c>
      <c r="Z3957" s="55" t="n">
        <f aca="false">X3957+ROW()*0.000000001</f>
        <v>49.8290025365455</v>
      </c>
    </row>
    <row r="3958" customFormat="false" ht="15" hidden="false" customHeight="false" outlineLevel="0" collapsed="false">
      <c r="A3958" s="0" t="n">
        <v>13</v>
      </c>
      <c r="B3958" s="0" t="n">
        <v>11</v>
      </c>
      <c r="C3958" s="0" t="n">
        <v>9</v>
      </c>
      <c r="D3958" s="0" t="n">
        <f aca="false">-1+A3958*0.125</f>
        <v>0.625</v>
      </c>
      <c r="E3958" s="0" t="n">
        <f aca="false">-1+B3958*0.125</f>
        <v>0.375</v>
      </c>
      <c r="F3958" s="0" t="n">
        <f aca="false">-1+C3958*0.125</f>
        <v>0.125</v>
      </c>
      <c r="G3958" s="0" t="n">
        <f aca="false">1</f>
        <v>1</v>
      </c>
      <c r="H3958" s="0" t="n">
        <f aca="false">D3958</f>
        <v>0.625</v>
      </c>
      <c r="I3958" s="0" t="n">
        <f aca="false">E3958</f>
        <v>0.375</v>
      </c>
      <c r="J3958" s="0" t="n">
        <f aca="false">F3958</f>
        <v>0.125</v>
      </c>
      <c r="K3958" s="0" t="n">
        <f aca="false">D3958*E3958</f>
        <v>0.234375</v>
      </c>
      <c r="L3958" s="0" t="n">
        <f aca="false">D3958*F3958</f>
        <v>0.078125</v>
      </c>
      <c r="M3958" s="0" t="n">
        <f aca="false">E3958*F3958</f>
        <v>0.046875</v>
      </c>
      <c r="N3958" s="0" t="n">
        <f aca="false">D3958*D3958</f>
        <v>0.390625</v>
      </c>
      <c r="O3958" s="0" t="n">
        <f aca="false">E3958*E3958</f>
        <v>0.140625</v>
      </c>
      <c r="P3958" s="0" t="n">
        <f aca="false">F3958*F3958</f>
        <v>0.015625</v>
      </c>
      <c r="Q3958" s="0" t="n">
        <f aca="false">SUMPRODUCT(G3958:P3958,_XtX!$B$71:$K$71)</f>
        <v>49.9924786931818</v>
      </c>
      <c r="R3958" s="0" t="n">
        <f aca="false">SUMPRODUCT(MMULT(G3958:P3958,_XtX!$B$58:$K$67),G3958:P3958)</f>
        <v>0.176578591086648</v>
      </c>
      <c r="S3958" s="0" t="n">
        <f aca="false">04_回帰ANOVA!$K$19*04_回帰ANOVA!$K$14*SQRT(1+R3958)</f>
        <v>1.00850279676269</v>
      </c>
      <c r="T3958" s="0" t="n">
        <f aca="false">Q3958-S3958</f>
        <v>48.9839758964191</v>
      </c>
      <c r="U3958" s="0" t="n">
        <f aca="false">Q3958+S3958</f>
        <v>51.0009814899445</v>
      </c>
      <c r="V3958" s="54" t="b">
        <f aca="false">AND(D3958&gt;=01_因子設定!$L$5-0.000000001,D3958&lt;=01_因子設定!$M$5+0.000000001,E3958&gt;=01_因子設定!$L$6-0.000000001,E3958&lt;=01_因子設定!$M$6+0.000000001,F3958&gt;=01_因子設定!$L$7-0.000000001,F3958&lt;=01_因子設定!$M$7+0.000000001,IF(01_因子設定!$B$20="Box-Behnken",D3958^2+E3958^2+F3958^2&lt;=2+0.000000001,TRUE()))</f>
        <v>1</v>
      </c>
      <c r="W3958" s="55" t="n">
        <f aca="false">IF(V3958,IF(01_因子設定!$B$13="最大化",T3958-01_因子設定!$B$14,IF(01_因子設定!$B$13="最小化",01_因子設定!$B$15-U3958,MIN(T3958-01_因子設定!$B$14,01_因子設定!$B$15-U3958))),-1E+030)</f>
        <v>0.483975896419132</v>
      </c>
      <c r="X3958" s="55" t="n">
        <f aca="false">IF(V3958,IF(01_因子設定!$B$13="最大化",Q3958,IF(01_因子設定!$B$13="最小化",-Q3958,-ABS(Q3958-01_因子設定!$B$16))),-1E+030)</f>
        <v>49.9924786931818</v>
      </c>
      <c r="Y3958" s="55" t="n">
        <f aca="false">W3958+ROW()*0.000000001</f>
        <v>0.483979854419132</v>
      </c>
      <c r="Z3958" s="55" t="n">
        <f aca="false">X3958+ROW()*0.000000001</f>
        <v>49.9924826511818</v>
      </c>
    </row>
    <row r="3959" customFormat="false" ht="15" hidden="false" customHeight="false" outlineLevel="0" collapsed="false">
      <c r="A3959" s="0" t="n">
        <v>13</v>
      </c>
      <c r="B3959" s="0" t="n">
        <v>11</v>
      </c>
      <c r="C3959" s="0" t="n">
        <v>10</v>
      </c>
      <c r="D3959" s="0" t="n">
        <f aca="false">-1+A3959*0.125</f>
        <v>0.625</v>
      </c>
      <c r="E3959" s="0" t="n">
        <f aca="false">-1+B3959*0.125</f>
        <v>0.375</v>
      </c>
      <c r="F3959" s="0" t="n">
        <f aca="false">-1+C3959*0.125</f>
        <v>0.25</v>
      </c>
      <c r="G3959" s="0" t="n">
        <f aca="false">1</f>
        <v>1</v>
      </c>
      <c r="H3959" s="0" t="n">
        <f aca="false">D3959</f>
        <v>0.625</v>
      </c>
      <c r="I3959" s="0" t="n">
        <f aca="false">E3959</f>
        <v>0.375</v>
      </c>
      <c r="J3959" s="0" t="n">
        <f aca="false">F3959</f>
        <v>0.25</v>
      </c>
      <c r="K3959" s="0" t="n">
        <f aca="false">D3959*E3959</f>
        <v>0.234375</v>
      </c>
      <c r="L3959" s="0" t="n">
        <f aca="false">D3959*F3959</f>
        <v>0.15625</v>
      </c>
      <c r="M3959" s="0" t="n">
        <f aca="false">E3959*F3959</f>
        <v>0.09375</v>
      </c>
      <c r="N3959" s="0" t="n">
        <f aca="false">D3959*D3959</f>
        <v>0.390625</v>
      </c>
      <c r="O3959" s="0" t="n">
        <f aca="false">E3959*E3959</f>
        <v>0.140625</v>
      </c>
      <c r="P3959" s="0" t="n">
        <f aca="false">F3959*F3959</f>
        <v>0.0625</v>
      </c>
      <c r="Q3959" s="0" t="n">
        <f aca="false">SUMPRODUCT(G3959:P3959,_XtX!$B$71:$K$71)</f>
        <v>50.1191690340909</v>
      </c>
      <c r="R3959" s="0" t="n">
        <f aca="false">SUMPRODUCT(MMULT(G3959:P3959,_XtX!$B$58:$K$67),G3959:P3959)</f>
        <v>0.174657648259943</v>
      </c>
      <c r="S3959" s="0" t="n">
        <f aca="false">04_回帰ANOVA!$K$19*04_回帰ANOVA!$K$14*SQRT(1+R3959)</f>
        <v>1.00767919364845</v>
      </c>
      <c r="T3959" s="0" t="n">
        <f aca="false">Q3959-S3959</f>
        <v>49.1114898404425</v>
      </c>
      <c r="U3959" s="0" t="n">
        <f aca="false">Q3959+S3959</f>
        <v>51.1268482277394</v>
      </c>
      <c r="V3959" s="54" t="b">
        <f aca="false">AND(D3959&gt;=01_因子設定!$L$5-0.000000001,D3959&lt;=01_因子設定!$M$5+0.000000001,E3959&gt;=01_因子設定!$L$6-0.000000001,E3959&lt;=01_因子設定!$M$6+0.000000001,F3959&gt;=01_因子設定!$L$7-0.000000001,F3959&lt;=01_因子設定!$M$7+0.000000001,IF(01_因子設定!$B$20="Box-Behnken",D3959^2+E3959^2+F3959^2&lt;=2+0.000000001,TRUE()))</f>
        <v>1</v>
      </c>
      <c r="W3959" s="55" t="n">
        <f aca="false">IF(V3959,IF(01_因子設定!$B$13="最大化",T3959-01_因子設定!$B$14,IF(01_因子設定!$B$13="最小化",01_因子設定!$B$15-U3959,MIN(T3959-01_因子設定!$B$14,01_因子設定!$B$15-U3959))),-1E+030)</f>
        <v>0.611489840442467</v>
      </c>
      <c r="X3959" s="55" t="n">
        <f aca="false">IF(V3959,IF(01_因子設定!$B$13="最大化",Q3959,IF(01_因子設定!$B$13="最小化",-Q3959,-ABS(Q3959-01_因子設定!$B$16))),-1E+030)</f>
        <v>50.1191690340909</v>
      </c>
      <c r="Y3959" s="55" t="n">
        <f aca="false">W3959+ROW()*0.000000001</f>
        <v>0.611493799442467</v>
      </c>
      <c r="Z3959" s="55" t="n">
        <f aca="false">X3959+ROW()*0.000000001</f>
        <v>50.1191729930909</v>
      </c>
    </row>
    <row r="3960" customFormat="false" ht="15" hidden="false" customHeight="false" outlineLevel="0" collapsed="false">
      <c r="A3960" s="0" t="n">
        <v>13</v>
      </c>
      <c r="B3960" s="0" t="n">
        <v>11</v>
      </c>
      <c r="C3960" s="0" t="n">
        <v>11</v>
      </c>
      <c r="D3960" s="0" t="n">
        <f aca="false">-1+A3960*0.125</f>
        <v>0.625</v>
      </c>
      <c r="E3960" s="0" t="n">
        <f aca="false">-1+B3960*0.125</f>
        <v>0.375</v>
      </c>
      <c r="F3960" s="0" t="n">
        <f aca="false">-1+C3960*0.125</f>
        <v>0.375</v>
      </c>
      <c r="G3960" s="0" t="n">
        <f aca="false">1</f>
        <v>1</v>
      </c>
      <c r="H3960" s="0" t="n">
        <f aca="false">D3960</f>
        <v>0.625</v>
      </c>
      <c r="I3960" s="0" t="n">
        <f aca="false">E3960</f>
        <v>0.375</v>
      </c>
      <c r="J3960" s="0" t="n">
        <f aca="false">F3960</f>
        <v>0.375</v>
      </c>
      <c r="K3960" s="0" t="n">
        <f aca="false">D3960*E3960</f>
        <v>0.234375</v>
      </c>
      <c r="L3960" s="0" t="n">
        <f aca="false">D3960*F3960</f>
        <v>0.234375</v>
      </c>
      <c r="M3960" s="0" t="n">
        <f aca="false">E3960*F3960</f>
        <v>0.140625</v>
      </c>
      <c r="N3960" s="0" t="n">
        <f aca="false">D3960*D3960</f>
        <v>0.390625</v>
      </c>
      <c r="O3960" s="0" t="n">
        <f aca="false">E3960*E3960</f>
        <v>0.140625</v>
      </c>
      <c r="P3960" s="0" t="n">
        <f aca="false">F3960*F3960</f>
        <v>0.140625</v>
      </c>
      <c r="Q3960" s="0" t="n">
        <f aca="false">SUMPRODUCT(G3960:P3960,_XtX!$B$71:$K$71)</f>
        <v>50.2090696022727</v>
      </c>
      <c r="R3960" s="0" t="n">
        <f aca="false">SUMPRODUCT(MMULT(G3960:P3960,_XtX!$B$58:$K$67),G3960:P3960)</f>
        <v>0.175007213245739</v>
      </c>
      <c r="S3960" s="0" t="n">
        <f aca="false">04_回帰ANOVA!$K$19*04_回帰ANOVA!$K$14*SQRT(1+R3960)</f>
        <v>1.0078291195273</v>
      </c>
      <c r="T3960" s="0" t="n">
        <f aca="false">Q3960-S3960</f>
        <v>49.2012404827454</v>
      </c>
      <c r="U3960" s="0" t="n">
        <f aca="false">Q3960+S3960</f>
        <v>51.2168987218</v>
      </c>
      <c r="V3960" s="54" t="b">
        <f aca="false">AND(D3960&gt;=01_因子設定!$L$5-0.000000001,D3960&lt;=01_因子設定!$M$5+0.000000001,E3960&gt;=01_因子設定!$L$6-0.000000001,E3960&lt;=01_因子設定!$M$6+0.000000001,F3960&gt;=01_因子設定!$L$7-0.000000001,F3960&lt;=01_因子設定!$M$7+0.000000001,IF(01_因子設定!$B$20="Box-Behnken",D3960^2+E3960^2+F3960^2&lt;=2+0.000000001,TRUE()))</f>
        <v>1</v>
      </c>
      <c r="W3960" s="55" t="n">
        <f aca="false">IF(V3960,IF(01_因子設定!$B$13="最大化",T3960-01_因子設定!$B$14,IF(01_因子設定!$B$13="最小化",01_因子設定!$B$15-U3960,MIN(T3960-01_因子設定!$B$14,01_因子設定!$B$15-U3960))),-1E+030)</f>
        <v>0.701240482745433</v>
      </c>
      <c r="X3960" s="55" t="n">
        <f aca="false">IF(V3960,IF(01_因子設定!$B$13="最大化",Q3960,IF(01_因子設定!$B$13="最小化",-Q3960,-ABS(Q3960-01_因子設定!$B$16))),-1E+030)</f>
        <v>50.2090696022727</v>
      </c>
      <c r="Y3960" s="55" t="n">
        <f aca="false">W3960+ROW()*0.000000001</f>
        <v>0.701244442745433</v>
      </c>
      <c r="Z3960" s="55" t="n">
        <f aca="false">X3960+ROW()*0.000000001</f>
        <v>50.2090735622727</v>
      </c>
    </row>
    <row r="3961" customFormat="false" ht="15" hidden="false" customHeight="false" outlineLevel="0" collapsed="false">
      <c r="A3961" s="0" t="n">
        <v>13</v>
      </c>
      <c r="B3961" s="0" t="n">
        <v>11</v>
      </c>
      <c r="C3961" s="0" t="n">
        <v>12</v>
      </c>
      <c r="D3961" s="0" t="n">
        <f aca="false">-1+A3961*0.125</f>
        <v>0.625</v>
      </c>
      <c r="E3961" s="0" t="n">
        <f aca="false">-1+B3961*0.125</f>
        <v>0.375</v>
      </c>
      <c r="F3961" s="0" t="n">
        <f aca="false">-1+C3961*0.125</f>
        <v>0.5</v>
      </c>
      <c r="G3961" s="0" t="n">
        <f aca="false">1</f>
        <v>1</v>
      </c>
      <c r="H3961" s="0" t="n">
        <f aca="false">D3961</f>
        <v>0.625</v>
      </c>
      <c r="I3961" s="0" t="n">
        <f aca="false">E3961</f>
        <v>0.375</v>
      </c>
      <c r="J3961" s="0" t="n">
        <f aca="false">F3961</f>
        <v>0.5</v>
      </c>
      <c r="K3961" s="0" t="n">
        <f aca="false">D3961*E3961</f>
        <v>0.234375</v>
      </c>
      <c r="L3961" s="0" t="n">
        <f aca="false">D3961*F3961</f>
        <v>0.3125</v>
      </c>
      <c r="M3961" s="0" t="n">
        <f aca="false">E3961*F3961</f>
        <v>0.1875</v>
      </c>
      <c r="N3961" s="0" t="n">
        <f aca="false">D3961*D3961</f>
        <v>0.390625</v>
      </c>
      <c r="O3961" s="0" t="n">
        <f aca="false">E3961*E3961</f>
        <v>0.140625</v>
      </c>
      <c r="P3961" s="0" t="n">
        <f aca="false">F3961*F3961</f>
        <v>0.25</v>
      </c>
      <c r="Q3961" s="0" t="n">
        <f aca="false">SUMPRODUCT(G3961:P3961,_XtX!$B$71:$K$71)</f>
        <v>50.2621803977273</v>
      </c>
      <c r="R3961" s="0" t="n">
        <f aca="false">SUMPRODUCT(MMULT(G3961:P3961,_XtX!$B$58:$K$67),G3961:P3961)</f>
        <v>0.182953990589489</v>
      </c>
      <c r="S3961" s="0" t="n">
        <f aca="false">04_回帰ANOVA!$K$19*04_回帰ANOVA!$K$14*SQRT(1+R3961)</f>
        <v>1.01123143807044</v>
      </c>
      <c r="T3961" s="0" t="n">
        <f aca="false">Q3961-S3961</f>
        <v>49.2509489596568</v>
      </c>
      <c r="U3961" s="0" t="n">
        <f aca="false">Q3961+S3961</f>
        <v>51.2734118357977</v>
      </c>
      <c r="V3961" s="54" t="b">
        <f aca="false">AND(D3961&gt;=01_因子設定!$L$5-0.000000001,D3961&lt;=01_因子設定!$M$5+0.000000001,E3961&gt;=01_因子設定!$L$6-0.000000001,E3961&lt;=01_因子設定!$M$6+0.000000001,F3961&gt;=01_因子設定!$L$7-0.000000001,F3961&lt;=01_因子設定!$M$7+0.000000001,IF(01_因子設定!$B$20="Box-Behnken",D3961^2+E3961^2+F3961^2&lt;=2+0.000000001,TRUE()))</f>
        <v>1</v>
      </c>
      <c r="W3961" s="55" t="n">
        <f aca="false">IF(V3961,IF(01_因子設定!$B$13="最大化",T3961-01_因子設定!$B$14,IF(01_因子設定!$B$13="最小化",01_因子設定!$B$15-U3961,MIN(T3961-01_因子設定!$B$14,01_因子設定!$B$15-U3961))),-1E+030)</f>
        <v>0.750948959656839</v>
      </c>
      <c r="X3961" s="55" t="n">
        <f aca="false">IF(V3961,IF(01_因子設定!$B$13="最大化",Q3961,IF(01_因子設定!$B$13="最小化",-Q3961,-ABS(Q3961-01_因子設定!$B$16))),-1E+030)</f>
        <v>50.2621803977273</v>
      </c>
      <c r="Y3961" s="55" t="n">
        <f aca="false">W3961+ROW()*0.000000001</f>
        <v>0.750952920656839</v>
      </c>
      <c r="Z3961" s="55" t="n">
        <f aca="false">X3961+ROW()*0.000000001</f>
        <v>50.2621843587273</v>
      </c>
    </row>
    <row r="3962" customFormat="false" ht="15" hidden="false" customHeight="false" outlineLevel="0" collapsed="false">
      <c r="A3962" s="0" t="n">
        <v>13</v>
      </c>
      <c r="B3962" s="0" t="n">
        <v>11</v>
      </c>
      <c r="C3962" s="0" t="n">
        <v>13</v>
      </c>
      <c r="D3962" s="0" t="n">
        <f aca="false">-1+A3962*0.125</f>
        <v>0.625</v>
      </c>
      <c r="E3962" s="0" t="n">
        <f aca="false">-1+B3962*0.125</f>
        <v>0.375</v>
      </c>
      <c r="F3962" s="0" t="n">
        <f aca="false">-1+C3962*0.125</f>
        <v>0.625</v>
      </c>
      <c r="G3962" s="0" t="n">
        <f aca="false">1</f>
        <v>1</v>
      </c>
      <c r="H3962" s="0" t="n">
        <f aca="false">D3962</f>
        <v>0.625</v>
      </c>
      <c r="I3962" s="0" t="n">
        <f aca="false">E3962</f>
        <v>0.375</v>
      </c>
      <c r="J3962" s="0" t="n">
        <f aca="false">F3962</f>
        <v>0.625</v>
      </c>
      <c r="K3962" s="0" t="n">
        <f aca="false">D3962*E3962</f>
        <v>0.234375</v>
      </c>
      <c r="L3962" s="0" t="n">
        <f aca="false">D3962*F3962</f>
        <v>0.390625</v>
      </c>
      <c r="M3962" s="0" t="n">
        <f aca="false">E3962*F3962</f>
        <v>0.234375</v>
      </c>
      <c r="N3962" s="0" t="n">
        <f aca="false">D3962*D3962</f>
        <v>0.390625</v>
      </c>
      <c r="O3962" s="0" t="n">
        <f aca="false">E3962*E3962</f>
        <v>0.140625</v>
      </c>
      <c r="P3962" s="0" t="n">
        <f aca="false">F3962*F3962</f>
        <v>0.390625</v>
      </c>
      <c r="Q3962" s="0" t="n">
        <f aca="false">SUMPRODUCT(G3962:P3962,_XtX!$B$71:$K$71)</f>
        <v>50.2785014204546</v>
      </c>
      <c r="R3962" s="0" t="n">
        <f aca="false">SUMPRODUCT(MMULT(G3962:P3962,_XtX!$B$58:$K$67),G3962:P3962)</f>
        <v>0.20595536665483</v>
      </c>
      <c r="S3962" s="0" t="n">
        <f aca="false">04_回帰ANOVA!$K$19*04_回帰ANOVA!$K$14*SQRT(1+R3962)</f>
        <v>1.02101530762963</v>
      </c>
      <c r="T3962" s="0" t="n">
        <f aca="false">Q3962-S3962</f>
        <v>49.2574861128249</v>
      </c>
      <c r="U3962" s="0" t="n">
        <f aca="false">Q3962+S3962</f>
        <v>51.2995167280842</v>
      </c>
      <c r="V3962" s="54" t="b">
        <f aca="false">AND(D3962&gt;=01_因子設定!$L$5-0.000000001,D3962&lt;=01_因子設定!$M$5+0.000000001,E3962&gt;=01_因子設定!$L$6-0.000000001,E3962&lt;=01_因子設定!$M$6+0.000000001,F3962&gt;=01_因子設定!$L$7-0.000000001,F3962&lt;=01_因子設定!$M$7+0.000000001,IF(01_因子設定!$B$20="Box-Behnken",D3962^2+E3962^2+F3962^2&lt;=2+0.000000001,TRUE()))</f>
        <v>1</v>
      </c>
      <c r="W3962" s="55" t="n">
        <f aca="false">IF(V3962,IF(01_因子設定!$B$13="最大化",T3962-01_因子設定!$B$14,IF(01_因子設定!$B$13="最小化",01_因子設定!$B$15-U3962,MIN(T3962-01_因子設定!$B$14,01_因子設定!$B$15-U3962))),-1E+030)</f>
        <v>0.757486112824928</v>
      </c>
      <c r="X3962" s="55" t="n">
        <f aca="false">IF(V3962,IF(01_因子設定!$B$13="最大化",Q3962,IF(01_因子設定!$B$13="最小化",-Q3962,-ABS(Q3962-01_因子設定!$B$16))),-1E+030)</f>
        <v>50.2785014204546</v>
      </c>
      <c r="Y3962" s="55" t="n">
        <f aca="false">W3962+ROW()*0.000000001</f>
        <v>0.757490074824928</v>
      </c>
      <c r="Z3962" s="55" t="n">
        <f aca="false">X3962+ROW()*0.000000001</f>
        <v>50.2785053824546</v>
      </c>
    </row>
    <row r="3963" customFormat="false" ht="15" hidden="false" customHeight="false" outlineLevel="0" collapsed="false">
      <c r="A3963" s="0" t="n">
        <v>13</v>
      </c>
      <c r="B3963" s="0" t="n">
        <v>11</v>
      </c>
      <c r="C3963" s="0" t="n">
        <v>14</v>
      </c>
      <c r="D3963" s="0" t="n">
        <f aca="false">-1+A3963*0.125</f>
        <v>0.625</v>
      </c>
      <c r="E3963" s="0" t="n">
        <f aca="false">-1+B3963*0.125</f>
        <v>0.375</v>
      </c>
      <c r="F3963" s="0" t="n">
        <f aca="false">-1+C3963*0.125</f>
        <v>0.75</v>
      </c>
      <c r="G3963" s="0" t="n">
        <f aca="false">1</f>
        <v>1</v>
      </c>
      <c r="H3963" s="0" t="n">
        <f aca="false">D3963</f>
        <v>0.625</v>
      </c>
      <c r="I3963" s="0" t="n">
        <f aca="false">E3963</f>
        <v>0.375</v>
      </c>
      <c r="J3963" s="0" t="n">
        <f aca="false">F3963</f>
        <v>0.75</v>
      </c>
      <c r="K3963" s="0" t="n">
        <f aca="false">D3963*E3963</f>
        <v>0.234375</v>
      </c>
      <c r="L3963" s="0" t="n">
        <f aca="false">D3963*F3963</f>
        <v>0.46875</v>
      </c>
      <c r="M3963" s="0" t="n">
        <f aca="false">E3963*F3963</f>
        <v>0.28125</v>
      </c>
      <c r="N3963" s="0" t="n">
        <f aca="false">D3963*D3963</f>
        <v>0.390625</v>
      </c>
      <c r="O3963" s="0" t="n">
        <f aca="false">E3963*E3963</f>
        <v>0.140625</v>
      </c>
      <c r="P3963" s="0" t="n">
        <f aca="false">F3963*F3963</f>
        <v>0.5625</v>
      </c>
      <c r="Q3963" s="0" t="n">
        <f aca="false">SUMPRODUCT(G3963:P3963,_XtX!$B$71:$K$71)</f>
        <v>50.2580326704546</v>
      </c>
      <c r="R3963" s="0" t="n">
        <f aca="false">SUMPRODUCT(MMULT(G3963:P3963,_XtX!$B$58:$K$67),G3963:P3963)</f>
        <v>0.25359940962358</v>
      </c>
      <c r="S3963" s="0" t="n">
        <f aca="false">04_回帰ANOVA!$K$19*04_回帰ANOVA!$K$14*SQRT(1+R3963)</f>
        <v>1.04098872464599</v>
      </c>
      <c r="T3963" s="0" t="n">
        <f aca="false">Q3963-S3963</f>
        <v>49.2170439458086</v>
      </c>
      <c r="U3963" s="0" t="n">
        <f aca="false">Q3963+S3963</f>
        <v>51.2990213951005</v>
      </c>
      <c r="V3963" s="54" t="b">
        <f aca="false">AND(D3963&gt;=01_因子設定!$L$5-0.000000001,D3963&lt;=01_因子設定!$M$5+0.000000001,E3963&gt;=01_因子設定!$L$6-0.000000001,E3963&lt;=01_因子設定!$M$6+0.000000001,F3963&gt;=01_因子設定!$L$7-0.000000001,F3963&lt;=01_因子設定!$M$7+0.000000001,IF(01_因子設定!$B$20="Box-Behnken",D3963^2+E3963^2+F3963^2&lt;=2+0.000000001,TRUE()))</f>
        <v>1</v>
      </c>
      <c r="W3963" s="55" t="n">
        <f aca="false">IF(V3963,IF(01_因子設定!$B$13="最大化",T3963-01_因子設定!$B$14,IF(01_因子設定!$B$13="最小化",01_因子設定!$B$15-U3963,MIN(T3963-01_因子設定!$B$14,01_因子設定!$B$15-U3963))),-1E+030)</f>
        <v>0.717043945808577</v>
      </c>
      <c r="X3963" s="55" t="n">
        <f aca="false">IF(V3963,IF(01_因子設定!$B$13="最大化",Q3963,IF(01_因子設定!$B$13="最小化",-Q3963,-ABS(Q3963-01_因子設定!$B$16))),-1E+030)</f>
        <v>50.2580326704546</v>
      </c>
      <c r="Y3963" s="55" t="n">
        <f aca="false">W3963+ROW()*0.000000001</f>
        <v>0.717047908808577</v>
      </c>
      <c r="Z3963" s="55" t="n">
        <f aca="false">X3963+ROW()*0.000000001</f>
        <v>50.2580366334546</v>
      </c>
    </row>
    <row r="3964" customFormat="false" ht="15" hidden="false" customHeight="false" outlineLevel="0" collapsed="false">
      <c r="A3964" s="0" t="n">
        <v>13</v>
      </c>
      <c r="B3964" s="0" t="n">
        <v>11</v>
      </c>
      <c r="C3964" s="0" t="n">
        <v>15</v>
      </c>
      <c r="D3964" s="0" t="n">
        <f aca="false">-1+A3964*0.125</f>
        <v>0.625</v>
      </c>
      <c r="E3964" s="0" t="n">
        <f aca="false">-1+B3964*0.125</f>
        <v>0.375</v>
      </c>
      <c r="F3964" s="0" t="n">
        <f aca="false">-1+C3964*0.125</f>
        <v>0.875</v>
      </c>
      <c r="G3964" s="0" t="n">
        <f aca="false">1</f>
        <v>1</v>
      </c>
      <c r="H3964" s="0" t="n">
        <f aca="false">D3964</f>
        <v>0.625</v>
      </c>
      <c r="I3964" s="0" t="n">
        <f aca="false">E3964</f>
        <v>0.375</v>
      </c>
      <c r="J3964" s="0" t="n">
        <f aca="false">F3964</f>
        <v>0.875</v>
      </c>
      <c r="K3964" s="0" t="n">
        <f aca="false">D3964*E3964</f>
        <v>0.234375</v>
      </c>
      <c r="L3964" s="0" t="n">
        <f aca="false">D3964*F3964</f>
        <v>0.546875</v>
      </c>
      <c r="M3964" s="0" t="n">
        <f aca="false">E3964*F3964</f>
        <v>0.328125</v>
      </c>
      <c r="N3964" s="0" t="n">
        <f aca="false">D3964*D3964</f>
        <v>0.390625</v>
      </c>
      <c r="O3964" s="0" t="n">
        <f aca="false">E3964*E3964</f>
        <v>0.140625</v>
      </c>
      <c r="P3964" s="0" t="n">
        <f aca="false">F3964*F3964</f>
        <v>0.765625</v>
      </c>
      <c r="Q3964" s="0" t="n">
        <f aca="false">SUMPRODUCT(G3964:P3964,_XtX!$B$71:$K$71)</f>
        <v>50.2007741477273</v>
      </c>
      <c r="R3964" s="0" t="n">
        <f aca="false">SUMPRODUCT(MMULT(G3964:P3964,_XtX!$B$58:$K$67),G3964:P3964)</f>
        <v>0.337604869495739</v>
      </c>
      <c r="S3964" s="0" t="n">
        <f aca="false">04_回帰ANOVA!$K$19*04_回帰ANOVA!$K$14*SQRT(1+R3964)</f>
        <v>1.07530225516193</v>
      </c>
      <c r="T3964" s="0" t="n">
        <f aca="false">Q3964-S3964</f>
        <v>49.1254718925654</v>
      </c>
      <c r="U3964" s="0" t="n">
        <f aca="false">Q3964+S3964</f>
        <v>51.2760764028892</v>
      </c>
      <c r="V3964" s="54" t="b">
        <f aca="false">AND(D3964&gt;=01_因子設定!$L$5-0.000000001,D3964&lt;=01_因子設定!$M$5+0.000000001,E3964&gt;=01_因子設定!$L$6-0.000000001,E3964&lt;=01_因子設定!$M$6+0.000000001,F3964&gt;=01_因子設定!$L$7-0.000000001,F3964&lt;=01_因子設定!$M$7+0.000000001,IF(01_因子設定!$B$20="Box-Behnken",D3964^2+E3964^2+F3964^2&lt;=2+0.000000001,TRUE()))</f>
        <v>1</v>
      </c>
      <c r="W3964" s="55" t="n">
        <f aca="false">IF(V3964,IF(01_因子設定!$B$13="最大化",T3964-01_因子設定!$B$14,IF(01_因子設定!$B$13="最小化",01_因子設定!$B$15-U3964,MIN(T3964-01_因子設定!$B$14,01_因子設定!$B$15-U3964))),-1E+030)</f>
        <v>0.625471892565358</v>
      </c>
      <c r="X3964" s="55" t="n">
        <f aca="false">IF(V3964,IF(01_因子設定!$B$13="最大化",Q3964,IF(01_因子設定!$B$13="最小化",-Q3964,-ABS(Q3964-01_因子設定!$B$16))),-1E+030)</f>
        <v>50.2007741477273</v>
      </c>
      <c r="Y3964" s="55" t="n">
        <f aca="false">W3964+ROW()*0.000000001</f>
        <v>0.625475856565358</v>
      </c>
      <c r="Z3964" s="55" t="n">
        <f aca="false">X3964+ROW()*0.000000001</f>
        <v>50.2007781117273</v>
      </c>
    </row>
    <row r="3965" customFormat="false" ht="15" hidden="false" customHeight="false" outlineLevel="0" collapsed="false">
      <c r="A3965" s="0" t="n">
        <v>13</v>
      </c>
      <c r="B3965" s="0" t="n">
        <v>11</v>
      </c>
      <c r="C3965" s="0" t="n">
        <v>16</v>
      </c>
      <c r="D3965" s="0" t="n">
        <f aca="false">-1+A3965*0.125</f>
        <v>0.625</v>
      </c>
      <c r="E3965" s="0" t="n">
        <f aca="false">-1+B3965*0.125</f>
        <v>0.375</v>
      </c>
      <c r="F3965" s="0" t="n">
        <f aca="false">-1+C3965*0.125</f>
        <v>1</v>
      </c>
      <c r="G3965" s="0" t="n">
        <f aca="false">1</f>
        <v>1</v>
      </c>
      <c r="H3965" s="0" t="n">
        <f aca="false">D3965</f>
        <v>0.625</v>
      </c>
      <c r="I3965" s="0" t="n">
        <f aca="false">E3965</f>
        <v>0.375</v>
      </c>
      <c r="J3965" s="0" t="n">
        <f aca="false">F3965</f>
        <v>1</v>
      </c>
      <c r="K3965" s="0" t="n">
        <f aca="false">D3965*E3965</f>
        <v>0.234375</v>
      </c>
      <c r="L3965" s="0" t="n">
        <f aca="false">D3965*F3965</f>
        <v>0.625</v>
      </c>
      <c r="M3965" s="0" t="n">
        <f aca="false">E3965*F3965</f>
        <v>0.375</v>
      </c>
      <c r="N3965" s="0" t="n">
        <f aca="false">D3965*D3965</f>
        <v>0.390625</v>
      </c>
      <c r="O3965" s="0" t="n">
        <f aca="false">E3965*E3965</f>
        <v>0.140625</v>
      </c>
      <c r="P3965" s="0" t="n">
        <f aca="false">F3965*F3965</f>
        <v>1</v>
      </c>
      <c r="Q3965" s="0" t="n">
        <f aca="false">SUMPRODUCT(G3965:P3965,_XtX!$B$71:$K$71)</f>
        <v>50.1067258522727</v>
      </c>
      <c r="R3965" s="0" t="n">
        <f aca="false">SUMPRODUCT(MMULT(G3965:P3965,_XtX!$B$58:$K$67),G3965:P3965)</f>
        <v>0.471821178089489</v>
      </c>
      <c r="S3965" s="0" t="n">
        <f aca="false">04_回帰ANOVA!$K$19*04_回帰ANOVA!$K$14*SQRT(1+R3965)</f>
        <v>1.12796119746125</v>
      </c>
      <c r="T3965" s="0" t="n">
        <f aca="false">Q3965-S3965</f>
        <v>48.9787646548115</v>
      </c>
      <c r="U3965" s="0" t="n">
        <f aca="false">Q3965+S3965</f>
        <v>51.234687049734</v>
      </c>
      <c r="V3965" s="54" t="b">
        <f aca="false">AND(D3965&gt;=01_因子設定!$L$5-0.000000001,D3965&lt;=01_因子設定!$M$5+0.000000001,E3965&gt;=01_因子設定!$L$6-0.000000001,E3965&lt;=01_因子設定!$M$6+0.000000001,F3965&gt;=01_因子設定!$L$7-0.000000001,F3965&lt;=01_因子設定!$M$7+0.000000001,IF(01_因子設定!$B$20="Box-Behnken",D3965^2+E3965^2+F3965^2&lt;=2+0.000000001,TRUE()))</f>
        <v>1</v>
      </c>
      <c r="W3965" s="55" t="n">
        <f aca="false">IF(V3965,IF(01_因子設定!$B$13="最大化",T3965-01_因子設定!$B$14,IF(01_因子設定!$B$13="最小化",01_因子設定!$B$15-U3965,MIN(T3965-01_因子設定!$B$14,01_因子設定!$B$15-U3965))),-1E+030)</f>
        <v>0.478764654811492</v>
      </c>
      <c r="X3965" s="55" t="n">
        <f aca="false">IF(V3965,IF(01_因子設定!$B$13="最大化",Q3965,IF(01_因子設定!$B$13="最小化",-Q3965,-ABS(Q3965-01_因子設定!$B$16))),-1E+030)</f>
        <v>50.1067258522727</v>
      </c>
      <c r="Y3965" s="55" t="n">
        <f aca="false">W3965+ROW()*0.000000001</f>
        <v>0.478768619811492</v>
      </c>
      <c r="Z3965" s="55" t="n">
        <f aca="false">X3965+ROW()*0.000000001</f>
        <v>50.1067298172727</v>
      </c>
    </row>
    <row r="3966" customFormat="false" ht="15" hidden="false" customHeight="false" outlineLevel="0" collapsed="false">
      <c r="A3966" s="0" t="n">
        <v>13</v>
      </c>
      <c r="B3966" s="0" t="n">
        <v>12</v>
      </c>
      <c r="C3966" s="0" t="n">
        <v>0</v>
      </c>
      <c r="D3966" s="0" t="n">
        <f aca="false">-1+A3966*0.125</f>
        <v>0.625</v>
      </c>
      <c r="E3966" s="0" t="n">
        <f aca="false">-1+B3966*0.125</f>
        <v>0.5</v>
      </c>
      <c r="F3966" s="0" t="n">
        <f aca="false">-1+C3966*0.125</f>
        <v>-1</v>
      </c>
      <c r="G3966" s="0" t="n">
        <f aca="false">1</f>
        <v>1</v>
      </c>
      <c r="H3966" s="0" t="n">
        <f aca="false">D3966</f>
        <v>0.625</v>
      </c>
      <c r="I3966" s="0" t="n">
        <f aca="false">E3966</f>
        <v>0.5</v>
      </c>
      <c r="J3966" s="0" t="n">
        <f aca="false">F3966</f>
        <v>-1</v>
      </c>
      <c r="K3966" s="0" t="n">
        <f aca="false">D3966*E3966</f>
        <v>0.3125</v>
      </c>
      <c r="L3966" s="0" t="n">
        <f aca="false">D3966*F3966</f>
        <v>-0.625</v>
      </c>
      <c r="M3966" s="0" t="n">
        <f aca="false">E3966*F3966</f>
        <v>-0.5</v>
      </c>
      <c r="N3966" s="0" t="n">
        <f aca="false">D3966*D3966</f>
        <v>0.390625</v>
      </c>
      <c r="O3966" s="0" t="n">
        <f aca="false">E3966*E3966</f>
        <v>0.25</v>
      </c>
      <c r="P3966" s="0" t="n">
        <f aca="false">F3966*F3966</f>
        <v>1</v>
      </c>
      <c r="Q3966" s="0" t="n">
        <f aca="false">SUMPRODUCT(G3966:P3966,_XtX!$B$71:$K$71)</f>
        <v>47.2731960227273</v>
      </c>
      <c r="R3966" s="0" t="n">
        <f aca="false">SUMPRODUCT(MMULT(G3966:P3966,_XtX!$B$58:$K$67),G3966:P3966)</f>
        <v>0.465882457386364</v>
      </c>
      <c r="S3966" s="0" t="n">
        <f aca="false">04_回帰ANOVA!$K$19*04_回帰ANOVA!$K$14*SQRT(1+R3966)</f>
        <v>1.12568326538173</v>
      </c>
      <c r="T3966" s="0" t="n">
        <f aca="false">Q3966-S3966</f>
        <v>46.1475127573456</v>
      </c>
      <c r="U3966" s="0" t="n">
        <f aca="false">Q3966+S3966</f>
        <v>48.398879288109</v>
      </c>
      <c r="V3966" s="54" t="b">
        <f aca="false">AND(D3966&gt;=01_因子設定!$L$5-0.000000001,D3966&lt;=01_因子設定!$M$5+0.000000001,E3966&gt;=01_因子設定!$L$6-0.000000001,E3966&lt;=01_因子設定!$M$6+0.000000001,F3966&gt;=01_因子設定!$L$7-0.000000001,F3966&lt;=01_因子設定!$M$7+0.000000001,IF(01_因子設定!$B$20="Box-Behnken",D3966^2+E3966^2+F3966^2&lt;=2+0.000000001,TRUE()))</f>
        <v>1</v>
      </c>
      <c r="W3966" s="55" t="n">
        <f aca="false">IF(V3966,IF(01_因子設定!$B$13="最大化",T3966-01_因子設定!$B$14,IF(01_因子設定!$B$13="最小化",01_因子設定!$B$15-U3966,MIN(T3966-01_因子設定!$B$14,01_因子設定!$B$15-U3966))),-1E+030)</f>
        <v>-2.35248724265443</v>
      </c>
      <c r="X3966" s="55" t="n">
        <f aca="false">IF(V3966,IF(01_因子設定!$B$13="最大化",Q3966,IF(01_因子設定!$B$13="最小化",-Q3966,-ABS(Q3966-01_因子設定!$B$16))),-1E+030)</f>
        <v>47.2731960227273</v>
      </c>
      <c r="Y3966" s="55" t="n">
        <f aca="false">W3966+ROW()*0.000000001</f>
        <v>-2.35248327665443</v>
      </c>
      <c r="Z3966" s="55" t="n">
        <f aca="false">X3966+ROW()*0.000000001</f>
        <v>47.2731999887273</v>
      </c>
    </row>
    <row r="3967" customFormat="false" ht="15" hidden="false" customHeight="false" outlineLevel="0" collapsed="false">
      <c r="A3967" s="0" t="n">
        <v>13</v>
      </c>
      <c r="B3967" s="0" t="n">
        <v>12</v>
      </c>
      <c r="C3967" s="0" t="n">
        <v>1</v>
      </c>
      <c r="D3967" s="0" t="n">
        <f aca="false">-1+A3967*0.125</f>
        <v>0.625</v>
      </c>
      <c r="E3967" s="0" t="n">
        <f aca="false">-1+B3967*0.125</f>
        <v>0.5</v>
      </c>
      <c r="F3967" s="0" t="n">
        <f aca="false">-1+C3967*0.125</f>
        <v>-0.875</v>
      </c>
      <c r="G3967" s="0" t="n">
        <f aca="false">1</f>
        <v>1</v>
      </c>
      <c r="H3967" s="0" t="n">
        <f aca="false">D3967</f>
        <v>0.625</v>
      </c>
      <c r="I3967" s="0" t="n">
        <f aca="false">E3967</f>
        <v>0.5</v>
      </c>
      <c r="J3967" s="0" t="n">
        <f aca="false">F3967</f>
        <v>-0.875</v>
      </c>
      <c r="K3967" s="0" t="n">
        <f aca="false">D3967*E3967</f>
        <v>0.3125</v>
      </c>
      <c r="L3967" s="0" t="n">
        <f aca="false">D3967*F3967</f>
        <v>-0.546875</v>
      </c>
      <c r="M3967" s="0" t="n">
        <f aca="false">E3967*F3967</f>
        <v>-0.4375</v>
      </c>
      <c r="N3967" s="0" t="n">
        <f aca="false">D3967*D3967</f>
        <v>0.390625</v>
      </c>
      <c r="O3967" s="0" t="n">
        <f aca="false">E3967*E3967</f>
        <v>0.25</v>
      </c>
      <c r="P3967" s="0" t="n">
        <f aca="false">F3967*F3967</f>
        <v>0.765625</v>
      </c>
      <c r="Q3967" s="0" t="n">
        <f aca="false">SUMPRODUCT(G3967:P3967,_XtX!$B$71:$K$71)</f>
        <v>47.7380255681818</v>
      </c>
      <c r="R3967" s="0" t="n">
        <f aca="false">SUMPRODUCT(MMULT(G3967:P3967,_XtX!$B$58:$K$67),G3967:P3967)</f>
        <v>0.335453102805398</v>
      </c>
      <c r="S3967" s="0" t="n">
        <f aca="false">04_回帰ANOVA!$K$19*04_回帰ANOVA!$K$14*SQRT(1+R3967)</f>
        <v>1.07443700305628</v>
      </c>
      <c r="T3967" s="0" t="n">
        <f aca="false">Q3967-S3967</f>
        <v>46.6635885651256</v>
      </c>
      <c r="U3967" s="0" t="n">
        <f aca="false">Q3967+S3967</f>
        <v>48.8124625712381</v>
      </c>
      <c r="V3967" s="54" t="b">
        <f aca="false">AND(D3967&gt;=01_因子設定!$L$5-0.000000001,D3967&lt;=01_因子設定!$M$5+0.000000001,E3967&gt;=01_因子設定!$L$6-0.000000001,E3967&lt;=01_因子設定!$M$6+0.000000001,F3967&gt;=01_因子設定!$L$7-0.000000001,F3967&lt;=01_因子設定!$M$7+0.000000001,IF(01_因子設定!$B$20="Box-Behnken",D3967^2+E3967^2+F3967^2&lt;=2+0.000000001,TRUE()))</f>
        <v>1</v>
      </c>
      <c r="W3967" s="55" t="n">
        <f aca="false">IF(V3967,IF(01_因子設定!$B$13="最大化",T3967-01_因子設定!$B$14,IF(01_因子設定!$B$13="最小化",01_因子設定!$B$15-U3967,MIN(T3967-01_因子設定!$B$14,01_因子設定!$B$15-U3967))),-1E+030)</f>
        <v>-1.83641143487444</v>
      </c>
      <c r="X3967" s="55" t="n">
        <f aca="false">IF(V3967,IF(01_因子設定!$B$13="最大化",Q3967,IF(01_因子設定!$B$13="最小化",-Q3967,-ABS(Q3967-01_因子設定!$B$16))),-1E+030)</f>
        <v>47.7380255681818</v>
      </c>
      <c r="Y3967" s="55" t="n">
        <f aca="false">W3967+ROW()*0.000000001</f>
        <v>-1.83640746787444</v>
      </c>
      <c r="Z3967" s="55" t="n">
        <f aca="false">X3967+ROW()*0.000000001</f>
        <v>47.7380295351818</v>
      </c>
    </row>
    <row r="3968" customFormat="false" ht="15" hidden="false" customHeight="false" outlineLevel="0" collapsed="false">
      <c r="A3968" s="0" t="n">
        <v>13</v>
      </c>
      <c r="B3968" s="0" t="n">
        <v>12</v>
      </c>
      <c r="C3968" s="0" t="n">
        <v>2</v>
      </c>
      <c r="D3968" s="0" t="n">
        <f aca="false">-1+A3968*0.125</f>
        <v>0.625</v>
      </c>
      <c r="E3968" s="0" t="n">
        <f aca="false">-1+B3968*0.125</f>
        <v>0.5</v>
      </c>
      <c r="F3968" s="0" t="n">
        <f aca="false">-1+C3968*0.125</f>
        <v>-0.75</v>
      </c>
      <c r="G3968" s="0" t="n">
        <f aca="false">1</f>
        <v>1</v>
      </c>
      <c r="H3968" s="0" t="n">
        <f aca="false">D3968</f>
        <v>0.625</v>
      </c>
      <c r="I3968" s="0" t="n">
        <f aca="false">E3968</f>
        <v>0.5</v>
      </c>
      <c r="J3968" s="0" t="n">
        <f aca="false">F3968</f>
        <v>-0.75</v>
      </c>
      <c r="K3968" s="0" t="n">
        <f aca="false">D3968*E3968</f>
        <v>0.3125</v>
      </c>
      <c r="L3968" s="0" t="n">
        <f aca="false">D3968*F3968</f>
        <v>-0.46875</v>
      </c>
      <c r="M3968" s="0" t="n">
        <f aca="false">E3968*F3968</f>
        <v>-0.375</v>
      </c>
      <c r="N3968" s="0" t="n">
        <f aca="false">D3968*D3968</f>
        <v>0.390625</v>
      </c>
      <c r="O3968" s="0" t="n">
        <f aca="false">E3968*E3968</f>
        <v>0.25</v>
      </c>
      <c r="P3968" s="0" t="n">
        <f aca="false">F3968*F3968</f>
        <v>0.5625</v>
      </c>
      <c r="Q3968" s="0" t="n">
        <f aca="false">SUMPRODUCT(G3968:P3968,_XtX!$B$71:$K$71)</f>
        <v>48.1660653409091</v>
      </c>
      <c r="R3968" s="0" t="n">
        <f aca="false">SUMPRODUCT(MMULT(G3968:P3968,_XtX!$B$58:$K$67),G3968:P3968)</f>
        <v>0.254729669744318</v>
      </c>
      <c r="S3968" s="0" t="n">
        <f aca="false">04_回帰ANOVA!$K$19*04_回帰ANOVA!$K$14*SQRT(1+R3968)</f>
        <v>1.04145790281631</v>
      </c>
      <c r="T3968" s="0" t="n">
        <f aca="false">Q3968-S3968</f>
        <v>47.1246074380928</v>
      </c>
      <c r="U3968" s="0" t="n">
        <f aca="false">Q3968+S3968</f>
        <v>49.2075232437254</v>
      </c>
      <c r="V3968" s="54" t="b">
        <f aca="false">AND(D3968&gt;=01_因子設定!$L$5-0.000000001,D3968&lt;=01_因子設定!$M$5+0.000000001,E3968&gt;=01_因子設定!$L$6-0.000000001,E3968&lt;=01_因子設定!$M$6+0.000000001,F3968&gt;=01_因子設定!$L$7-0.000000001,F3968&lt;=01_因子設定!$M$7+0.000000001,IF(01_因子設定!$B$20="Box-Behnken",D3968^2+E3968^2+F3968^2&lt;=2+0.000000001,TRUE()))</f>
        <v>1</v>
      </c>
      <c r="W3968" s="55" t="n">
        <f aca="false">IF(V3968,IF(01_因子設定!$B$13="最大化",T3968-01_因子設定!$B$14,IF(01_因子設定!$B$13="最小化",01_因子設定!$B$15-U3968,MIN(T3968-01_因子設定!$B$14,01_因子設定!$B$15-U3968))),-1E+030)</f>
        <v>-1.37539256190721</v>
      </c>
      <c r="X3968" s="55" t="n">
        <f aca="false">IF(V3968,IF(01_因子設定!$B$13="最大化",Q3968,IF(01_因子設定!$B$13="最小化",-Q3968,-ABS(Q3968-01_因子設定!$B$16))),-1E+030)</f>
        <v>48.1660653409091</v>
      </c>
      <c r="Y3968" s="55" t="n">
        <f aca="false">W3968+ROW()*0.000000001</f>
        <v>-1.37538859390721</v>
      </c>
      <c r="Z3968" s="55" t="n">
        <f aca="false">X3968+ROW()*0.000000001</f>
        <v>48.1660693089091</v>
      </c>
    </row>
    <row r="3969" customFormat="false" ht="15" hidden="false" customHeight="false" outlineLevel="0" collapsed="false">
      <c r="A3969" s="0" t="n">
        <v>13</v>
      </c>
      <c r="B3969" s="0" t="n">
        <v>12</v>
      </c>
      <c r="C3969" s="0" t="n">
        <v>3</v>
      </c>
      <c r="D3969" s="0" t="n">
        <f aca="false">-1+A3969*0.125</f>
        <v>0.625</v>
      </c>
      <c r="E3969" s="0" t="n">
        <f aca="false">-1+B3969*0.125</f>
        <v>0.5</v>
      </c>
      <c r="F3969" s="0" t="n">
        <f aca="false">-1+C3969*0.125</f>
        <v>-0.625</v>
      </c>
      <c r="G3969" s="0" t="n">
        <f aca="false">1</f>
        <v>1</v>
      </c>
      <c r="H3969" s="0" t="n">
        <f aca="false">D3969</f>
        <v>0.625</v>
      </c>
      <c r="I3969" s="0" t="n">
        <f aca="false">E3969</f>
        <v>0.5</v>
      </c>
      <c r="J3969" s="0" t="n">
        <f aca="false">F3969</f>
        <v>-0.625</v>
      </c>
      <c r="K3969" s="0" t="n">
        <f aca="false">D3969*E3969</f>
        <v>0.3125</v>
      </c>
      <c r="L3969" s="0" t="n">
        <f aca="false">D3969*F3969</f>
        <v>-0.390625</v>
      </c>
      <c r="M3969" s="0" t="n">
        <f aca="false">E3969*F3969</f>
        <v>-0.3125</v>
      </c>
      <c r="N3969" s="0" t="n">
        <f aca="false">D3969*D3969</f>
        <v>0.390625</v>
      </c>
      <c r="O3969" s="0" t="n">
        <f aca="false">E3969*E3969</f>
        <v>0.25</v>
      </c>
      <c r="P3969" s="0" t="n">
        <f aca="false">F3969*F3969</f>
        <v>0.390625</v>
      </c>
      <c r="Q3969" s="0" t="n">
        <f aca="false">SUMPRODUCT(G3969:P3969,_XtX!$B$71:$K$71)</f>
        <v>48.5573153409091</v>
      </c>
      <c r="R3969" s="0" t="n">
        <f aca="false">SUMPRODUCT(MMULT(G3969:P3969,_XtX!$B$58:$K$67),G3969:P3969)</f>
        <v>0.209862726384943</v>
      </c>
      <c r="S3969" s="0" t="n">
        <f aca="false">04_回帰ANOVA!$K$19*04_回帰ANOVA!$K$14*SQRT(1+R3969)</f>
        <v>1.0226680420112</v>
      </c>
      <c r="T3969" s="0" t="n">
        <f aca="false">Q3969-S3969</f>
        <v>47.5346472988979</v>
      </c>
      <c r="U3969" s="0" t="n">
        <f aca="false">Q3969+S3969</f>
        <v>49.5799833829203</v>
      </c>
      <c r="V3969" s="54" t="b">
        <f aca="false">AND(D3969&gt;=01_因子設定!$L$5-0.000000001,D3969&lt;=01_因子設定!$M$5+0.000000001,E3969&gt;=01_因子設定!$L$6-0.000000001,E3969&lt;=01_因子設定!$M$6+0.000000001,F3969&gt;=01_因子設定!$L$7-0.000000001,F3969&lt;=01_因子設定!$M$7+0.000000001,IF(01_因子設定!$B$20="Box-Behnken",D3969^2+E3969^2+F3969^2&lt;=2+0.000000001,TRUE()))</f>
        <v>1</v>
      </c>
      <c r="W3969" s="55" t="n">
        <f aca="false">IF(V3969,IF(01_因子設定!$B$13="最大化",T3969-01_因子設定!$B$14,IF(01_因子設定!$B$13="最小化",01_因子設定!$B$15-U3969,MIN(T3969-01_因子設定!$B$14,01_因子設定!$B$15-U3969))),-1E+030)</f>
        <v>-0.965352701102098</v>
      </c>
      <c r="X3969" s="55" t="n">
        <f aca="false">IF(V3969,IF(01_因子設定!$B$13="最大化",Q3969,IF(01_因子設定!$B$13="最小化",-Q3969,-ABS(Q3969-01_因子設定!$B$16))),-1E+030)</f>
        <v>48.5573153409091</v>
      </c>
      <c r="Y3969" s="55" t="n">
        <f aca="false">W3969+ROW()*0.000000001</f>
        <v>-0.965348732102098</v>
      </c>
      <c r="Z3969" s="55" t="n">
        <f aca="false">X3969+ROW()*0.000000001</f>
        <v>48.5573193099091</v>
      </c>
    </row>
    <row r="3970" customFormat="false" ht="15" hidden="false" customHeight="false" outlineLevel="0" collapsed="false">
      <c r="A3970" s="0" t="n">
        <v>13</v>
      </c>
      <c r="B3970" s="0" t="n">
        <v>12</v>
      </c>
      <c r="C3970" s="0" t="n">
        <v>4</v>
      </c>
      <c r="D3970" s="0" t="n">
        <f aca="false">-1+A3970*0.125</f>
        <v>0.625</v>
      </c>
      <c r="E3970" s="0" t="n">
        <f aca="false">-1+B3970*0.125</f>
        <v>0.5</v>
      </c>
      <c r="F3970" s="0" t="n">
        <f aca="false">-1+C3970*0.125</f>
        <v>-0.5</v>
      </c>
      <c r="G3970" s="0" t="n">
        <f aca="false">1</f>
        <v>1</v>
      </c>
      <c r="H3970" s="0" t="n">
        <f aca="false">D3970</f>
        <v>0.625</v>
      </c>
      <c r="I3970" s="0" t="n">
        <f aca="false">E3970</f>
        <v>0.5</v>
      </c>
      <c r="J3970" s="0" t="n">
        <f aca="false">F3970</f>
        <v>-0.5</v>
      </c>
      <c r="K3970" s="0" t="n">
        <f aca="false">D3970*E3970</f>
        <v>0.3125</v>
      </c>
      <c r="L3970" s="0" t="n">
        <f aca="false">D3970*F3970</f>
        <v>-0.3125</v>
      </c>
      <c r="M3970" s="0" t="n">
        <f aca="false">E3970*F3970</f>
        <v>-0.25</v>
      </c>
      <c r="N3970" s="0" t="n">
        <f aca="false">D3970*D3970</f>
        <v>0.390625</v>
      </c>
      <c r="O3970" s="0" t="n">
        <f aca="false">E3970*E3970</f>
        <v>0.25</v>
      </c>
      <c r="P3970" s="0" t="n">
        <f aca="false">F3970*F3970</f>
        <v>0.25</v>
      </c>
      <c r="Q3970" s="0" t="n">
        <f aca="false">SUMPRODUCT(G3970:P3970,_XtX!$B$71:$K$71)</f>
        <v>48.9117755681818</v>
      </c>
      <c r="R3970" s="0" t="n">
        <f aca="false">SUMPRODUCT(MMULT(G3970:P3970,_XtX!$B$58:$K$67),G3970:P3970)</f>
        <v>0.189133522727273</v>
      </c>
      <c r="S3970" s="0" t="n">
        <f aca="false">04_回帰ANOVA!$K$19*04_回帰ANOVA!$K$14*SQRT(1+R3970)</f>
        <v>1.0138692404042</v>
      </c>
      <c r="T3970" s="0" t="n">
        <f aca="false">Q3970-S3970</f>
        <v>47.8979063277776</v>
      </c>
      <c r="U3970" s="0" t="n">
        <f aca="false">Q3970+S3970</f>
        <v>49.925644808586</v>
      </c>
      <c r="V3970" s="54" t="b">
        <f aca="false">AND(D3970&gt;=01_因子設定!$L$5-0.000000001,D3970&lt;=01_因子設定!$M$5+0.000000001,E3970&gt;=01_因子設定!$L$6-0.000000001,E3970&lt;=01_因子設定!$M$6+0.000000001,F3970&gt;=01_因子設定!$L$7-0.000000001,F3970&lt;=01_因子設定!$M$7+0.000000001,IF(01_因子設定!$B$20="Box-Behnken",D3970^2+E3970^2+F3970^2&lt;=2+0.000000001,TRUE()))</f>
        <v>1</v>
      </c>
      <c r="W3970" s="55" t="n">
        <f aca="false">IF(V3970,IF(01_因子設定!$B$13="最大化",T3970-01_因子設定!$B$14,IF(01_因子設定!$B$13="最小化",01_因子設定!$B$15-U3970,MIN(T3970-01_因子設定!$B$14,01_因子設定!$B$15-U3970))),-1E+030)</f>
        <v>-0.602093672222374</v>
      </c>
      <c r="X3970" s="55" t="n">
        <f aca="false">IF(V3970,IF(01_因子設定!$B$13="最大化",Q3970,IF(01_因子設定!$B$13="最小化",-Q3970,-ABS(Q3970-01_因子設定!$B$16))),-1E+030)</f>
        <v>48.9117755681818</v>
      </c>
      <c r="Y3970" s="55" t="n">
        <f aca="false">W3970+ROW()*0.000000001</f>
        <v>-0.602089702222374</v>
      </c>
      <c r="Z3970" s="55" t="n">
        <f aca="false">X3970+ROW()*0.000000001</f>
        <v>48.9117795381818</v>
      </c>
    </row>
    <row r="3971" customFormat="false" ht="15" hidden="false" customHeight="false" outlineLevel="0" collapsed="false">
      <c r="A3971" s="0" t="n">
        <v>13</v>
      </c>
      <c r="B3971" s="0" t="n">
        <v>12</v>
      </c>
      <c r="C3971" s="0" t="n">
        <v>5</v>
      </c>
      <c r="D3971" s="0" t="n">
        <f aca="false">-1+A3971*0.125</f>
        <v>0.625</v>
      </c>
      <c r="E3971" s="0" t="n">
        <f aca="false">-1+B3971*0.125</f>
        <v>0.5</v>
      </c>
      <c r="F3971" s="0" t="n">
        <f aca="false">-1+C3971*0.125</f>
        <v>-0.375</v>
      </c>
      <c r="G3971" s="0" t="n">
        <f aca="false">1</f>
        <v>1</v>
      </c>
      <c r="H3971" s="0" t="n">
        <f aca="false">D3971</f>
        <v>0.625</v>
      </c>
      <c r="I3971" s="0" t="n">
        <f aca="false">E3971</f>
        <v>0.5</v>
      </c>
      <c r="J3971" s="0" t="n">
        <f aca="false">F3971</f>
        <v>-0.375</v>
      </c>
      <c r="K3971" s="0" t="n">
        <f aca="false">D3971*E3971</f>
        <v>0.3125</v>
      </c>
      <c r="L3971" s="0" t="n">
        <f aca="false">D3971*F3971</f>
        <v>-0.234375</v>
      </c>
      <c r="M3971" s="0" t="n">
        <f aca="false">E3971*F3971</f>
        <v>-0.1875</v>
      </c>
      <c r="N3971" s="0" t="n">
        <f aca="false">D3971*D3971</f>
        <v>0.390625</v>
      </c>
      <c r="O3971" s="0" t="n">
        <f aca="false">E3971*E3971</f>
        <v>0.25</v>
      </c>
      <c r="P3971" s="0" t="n">
        <f aca="false">F3971*F3971</f>
        <v>0.140625</v>
      </c>
      <c r="Q3971" s="0" t="n">
        <f aca="false">SUMPRODUCT(G3971:P3971,_XtX!$B$71:$K$71)</f>
        <v>49.2294460227273</v>
      </c>
      <c r="R3971" s="0" t="n">
        <f aca="false">SUMPRODUCT(MMULT(G3971:P3971,_XtX!$B$58:$K$67),G3971:P3971)</f>
        <v>0.182953990589489</v>
      </c>
      <c r="S3971" s="0" t="n">
        <f aca="false">04_回帰ANOVA!$K$19*04_回帰ANOVA!$K$14*SQRT(1+R3971)</f>
        <v>1.01123143807044</v>
      </c>
      <c r="T3971" s="0" t="n">
        <f aca="false">Q3971-S3971</f>
        <v>48.2182145846568</v>
      </c>
      <c r="U3971" s="0" t="n">
        <f aca="false">Q3971+S3971</f>
        <v>50.2406774607977</v>
      </c>
      <c r="V3971" s="54" t="b">
        <f aca="false">AND(D3971&gt;=01_因子設定!$L$5-0.000000001,D3971&lt;=01_因子設定!$M$5+0.000000001,E3971&gt;=01_因子設定!$L$6-0.000000001,E3971&lt;=01_因子設定!$M$6+0.000000001,F3971&gt;=01_因子設定!$L$7-0.000000001,F3971&lt;=01_因子設定!$M$7+0.000000001,IF(01_因子設定!$B$20="Box-Behnken",D3971^2+E3971^2+F3971^2&lt;=2+0.000000001,TRUE()))</f>
        <v>1</v>
      </c>
      <c r="W3971" s="55" t="n">
        <f aca="false">IF(V3971,IF(01_因子設定!$B$13="最大化",T3971-01_因子設定!$B$14,IF(01_因子設定!$B$13="最小化",01_因子設定!$B$15-U3971,MIN(T3971-01_因子設定!$B$14,01_因子設定!$B$15-U3971))),-1E+030)</f>
        <v>-0.281785415343165</v>
      </c>
      <c r="X3971" s="55" t="n">
        <f aca="false">IF(V3971,IF(01_因子設定!$B$13="最大化",Q3971,IF(01_因子設定!$B$13="最小化",-Q3971,-ABS(Q3971-01_因子設定!$B$16))),-1E+030)</f>
        <v>49.2294460227273</v>
      </c>
      <c r="Y3971" s="55" t="n">
        <f aca="false">W3971+ROW()*0.000000001</f>
        <v>-0.281781444343165</v>
      </c>
      <c r="Z3971" s="55" t="n">
        <f aca="false">X3971+ROW()*0.000000001</f>
        <v>49.2294499937273</v>
      </c>
    </row>
    <row r="3972" customFormat="false" ht="15" hidden="false" customHeight="false" outlineLevel="0" collapsed="false">
      <c r="A3972" s="0" t="n">
        <v>13</v>
      </c>
      <c r="B3972" s="0" t="n">
        <v>12</v>
      </c>
      <c r="C3972" s="0" t="n">
        <v>6</v>
      </c>
      <c r="D3972" s="0" t="n">
        <f aca="false">-1+A3972*0.125</f>
        <v>0.625</v>
      </c>
      <c r="E3972" s="0" t="n">
        <f aca="false">-1+B3972*0.125</f>
        <v>0.5</v>
      </c>
      <c r="F3972" s="0" t="n">
        <f aca="false">-1+C3972*0.125</f>
        <v>-0.25</v>
      </c>
      <c r="G3972" s="0" t="n">
        <f aca="false">1</f>
        <v>1</v>
      </c>
      <c r="H3972" s="0" t="n">
        <f aca="false">D3972</f>
        <v>0.625</v>
      </c>
      <c r="I3972" s="0" t="n">
        <f aca="false">E3972</f>
        <v>0.5</v>
      </c>
      <c r="J3972" s="0" t="n">
        <f aca="false">F3972</f>
        <v>-0.25</v>
      </c>
      <c r="K3972" s="0" t="n">
        <f aca="false">D3972*E3972</f>
        <v>0.3125</v>
      </c>
      <c r="L3972" s="0" t="n">
        <f aca="false">D3972*F3972</f>
        <v>-0.15625</v>
      </c>
      <c r="M3972" s="0" t="n">
        <f aca="false">E3972*F3972</f>
        <v>-0.125</v>
      </c>
      <c r="N3972" s="0" t="n">
        <f aca="false">D3972*D3972</f>
        <v>0.390625</v>
      </c>
      <c r="O3972" s="0" t="n">
        <f aca="false">E3972*E3972</f>
        <v>0.25</v>
      </c>
      <c r="P3972" s="0" t="n">
        <f aca="false">F3972*F3972</f>
        <v>0.0625</v>
      </c>
      <c r="Q3972" s="0" t="n">
        <f aca="false">SUMPRODUCT(G3972:P3972,_XtX!$B$71:$K$71)</f>
        <v>49.5103267045455</v>
      </c>
      <c r="R3972" s="0" t="n">
        <f aca="false">SUMPRODUCT(MMULT(G3972:P3972,_XtX!$B$58:$K$67),G3972:P3972)</f>
        <v>0.183866743607955</v>
      </c>
      <c r="S3972" s="0" t="n">
        <f aca="false">04_回帰ANOVA!$K$19*04_回帰ANOVA!$K$14*SQRT(1+R3972)</f>
        <v>1.01162148983013</v>
      </c>
      <c r="T3972" s="0" t="n">
        <f aca="false">Q3972-S3972</f>
        <v>48.4987052147153</v>
      </c>
      <c r="U3972" s="0" t="n">
        <f aca="false">Q3972+S3972</f>
        <v>50.5219481943756</v>
      </c>
      <c r="V3972" s="54" t="b">
        <f aca="false">AND(D3972&gt;=01_因子設定!$L$5-0.000000001,D3972&lt;=01_因子設定!$M$5+0.000000001,E3972&gt;=01_因子設定!$L$6-0.000000001,E3972&lt;=01_因子設定!$M$6+0.000000001,F3972&gt;=01_因子設定!$L$7-0.000000001,F3972&lt;=01_因子設定!$M$7+0.000000001,IF(01_因子設定!$B$20="Box-Behnken",D3972^2+E3972^2+F3972^2&lt;=2+0.000000001,TRUE()))</f>
        <v>1</v>
      </c>
      <c r="W3972" s="55" t="n">
        <f aca="false">IF(V3972,IF(01_因子設定!$B$13="最大化",T3972-01_因子設定!$B$14,IF(01_因子設定!$B$13="最小化",01_因子設定!$B$15-U3972,MIN(T3972-01_因子設定!$B$14,01_因子設定!$B$15-U3972))),-1E+030)</f>
        <v>-0.00129478528467786</v>
      </c>
      <c r="X3972" s="55" t="n">
        <f aca="false">IF(V3972,IF(01_因子設定!$B$13="最大化",Q3972,IF(01_因子設定!$B$13="最小化",-Q3972,-ABS(Q3972-01_因子設定!$B$16))),-1E+030)</f>
        <v>49.5103267045455</v>
      </c>
      <c r="Y3972" s="55" t="n">
        <f aca="false">W3972+ROW()*0.000000001</f>
        <v>-0.00129081328467786</v>
      </c>
      <c r="Z3972" s="55" t="n">
        <f aca="false">X3972+ROW()*0.000000001</f>
        <v>49.5103306765455</v>
      </c>
    </row>
    <row r="3973" customFormat="false" ht="15" hidden="false" customHeight="false" outlineLevel="0" collapsed="false">
      <c r="A3973" s="0" t="n">
        <v>13</v>
      </c>
      <c r="B3973" s="0" t="n">
        <v>12</v>
      </c>
      <c r="C3973" s="0" t="n">
        <v>7</v>
      </c>
      <c r="D3973" s="0" t="n">
        <f aca="false">-1+A3973*0.125</f>
        <v>0.625</v>
      </c>
      <c r="E3973" s="0" t="n">
        <f aca="false">-1+B3973*0.125</f>
        <v>0.5</v>
      </c>
      <c r="F3973" s="0" t="n">
        <f aca="false">-1+C3973*0.125</f>
        <v>-0.125</v>
      </c>
      <c r="G3973" s="0" t="n">
        <f aca="false">1</f>
        <v>1</v>
      </c>
      <c r="H3973" s="0" t="n">
        <f aca="false">D3973</f>
        <v>0.625</v>
      </c>
      <c r="I3973" s="0" t="n">
        <f aca="false">E3973</f>
        <v>0.5</v>
      </c>
      <c r="J3973" s="0" t="n">
        <f aca="false">F3973</f>
        <v>-0.125</v>
      </c>
      <c r="K3973" s="0" t="n">
        <f aca="false">D3973*E3973</f>
        <v>0.3125</v>
      </c>
      <c r="L3973" s="0" t="n">
        <f aca="false">D3973*F3973</f>
        <v>-0.078125</v>
      </c>
      <c r="M3973" s="0" t="n">
        <f aca="false">E3973*F3973</f>
        <v>-0.0625</v>
      </c>
      <c r="N3973" s="0" t="n">
        <f aca="false">D3973*D3973</f>
        <v>0.390625</v>
      </c>
      <c r="O3973" s="0" t="n">
        <f aca="false">E3973*E3973</f>
        <v>0.25</v>
      </c>
      <c r="P3973" s="0" t="n">
        <f aca="false">F3973*F3973</f>
        <v>0.015625</v>
      </c>
      <c r="Q3973" s="0" t="n">
        <f aca="false">SUMPRODUCT(G3973:P3973,_XtX!$B$71:$K$71)</f>
        <v>49.7544176136364</v>
      </c>
      <c r="R3973" s="0" t="n">
        <f aca="false">SUMPRODUCT(MMULT(G3973:P3973,_XtX!$B$58:$K$67),G3973:P3973)</f>
        <v>0.186545077237216</v>
      </c>
      <c r="S3973" s="0" t="n">
        <f aca="false">04_回帰ANOVA!$K$19*04_回帰ANOVA!$K$14*SQRT(1+R3973)</f>
        <v>1.01276516970713</v>
      </c>
      <c r="T3973" s="0" t="n">
        <f aca="false">Q3973-S3973</f>
        <v>48.7416524439292</v>
      </c>
      <c r="U3973" s="0" t="n">
        <f aca="false">Q3973+S3973</f>
        <v>50.7671827833435</v>
      </c>
      <c r="V3973" s="54" t="b">
        <f aca="false">AND(D3973&gt;=01_因子設定!$L$5-0.000000001,D3973&lt;=01_因子設定!$M$5+0.000000001,E3973&gt;=01_因子設定!$L$6-0.000000001,E3973&lt;=01_因子設定!$M$6+0.000000001,F3973&gt;=01_因子設定!$L$7-0.000000001,F3973&lt;=01_因子設定!$M$7+0.000000001,IF(01_因子設定!$B$20="Box-Behnken",D3973^2+E3973^2+F3973^2&lt;=2+0.000000001,TRUE()))</f>
        <v>1</v>
      </c>
      <c r="W3973" s="55" t="n">
        <f aca="false">IF(V3973,IF(01_因子設定!$B$13="最大化",T3973-01_因子設定!$B$14,IF(01_因子設定!$B$13="最小化",01_因子設定!$B$15-U3973,MIN(T3973-01_因子設定!$B$14,01_因子設定!$B$15-U3973))),-1E+030)</f>
        <v>0.241652443929233</v>
      </c>
      <c r="X3973" s="55" t="n">
        <f aca="false">IF(V3973,IF(01_因子設定!$B$13="最大化",Q3973,IF(01_因子設定!$B$13="最小化",-Q3973,-ABS(Q3973-01_因子設定!$B$16))),-1E+030)</f>
        <v>49.7544176136364</v>
      </c>
      <c r="Y3973" s="55" t="n">
        <f aca="false">W3973+ROW()*0.000000001</f>
        <v>0.241656416929233</v>
      </c>
      <c r="Z3973" s="55" t="n">
        <f aca="false">X3973+ROW()*0.000000001</f>
        <v>49.7544215866364</v>
      </c>
    </row>
    <row r="3974" customFormat="false" ht="15" hidden="false" customHeight="false" outlineLevel="0" collapsed="false">
      <c r="A3974" s="0" t="n">
        <v>13</v>
      </c>
      <c r="B3974" s="0" t="n">
        <v>12</v>
      </c>
      <c r="C3974" s="0" t="n">
        <v>8</v>
      </c>
      <c r="D3974" s="0" t="n">
        <f aca="false">-1+A3974*0.125</f>
        <v>0.625</v>
      </c>
      <c r="E3974" s="0" t="n">
        <f aca="false">-1+B3974*0.125</f>
        <v>0.5</v>
      </c>
      <c r="F3974" s="0" t="n">
        <f aca="false">-1+C3974*0.125</f>
        <v>0</v>
      </c>
      <c r="G3974" s="0" t="n">
        <f aca="false">1</f>
        <v>1</v>
      </c>
      <c r="H3974" s="0" t="n">
        <f aca="false">D3974</f>
        <v>0.625</v>
      </c>
      <c r="I3974" s="0" t="n">
        <f aca="false">E3974</f>
        <v>0.5</v>
      </c>
      <c r="J3974" s="0" t="n">
        <f aca="false">F3974</f>
        <v>0</v>
      </c>
      <c r="K3974" s="0" t="n">
        <f aca="false">D3974*E3974</f>
        <v>0.3125</v>
      </c>
      <c r="L3974" s="0" t="n">
        <f aca="false">D3974*F3974</f>
        <v>0</v>
      </c>
      <c r="M3974" s="0" t="n">
        <f aca="false">E3974*F3974</f>
        <v>0</v>
      </c>
      <c r="N3974" s="0" t="n">
        <f aca="false">D3974*D3974</f>
        <v>0.390625</v>
      </c>
      <c r="O3974" s="0" t="n">
        <f aca="false">E3974*E3974</f>
        <v>0.25</v>
      </c>
      <c r="P3974" s="0" t="n">
        <f aca="false">F3974*F3974</f>
        <v>0</v>
      </c>
      <c r="Q3974" s="0" t="n">
        <f aca="false">SUMPRODUCT(G3974:P3974,_XtX!$B$71:$K$71)</f>
        <v>49.96171875</v>
      </c>
      <c r="R3974" s="0" t="n">
        <f aca="false">SUMPRODUCT(MMULT(G3974:P3974,_XtX!$B$58:$K$67),G3974:P3974)</f>
        <v>0.18779296875</v>
      </c>
      <c r="S3974" s="0" t="n">
        <f aca="false">04_回帰ANOVA!$K$19*04_回帰ANOVA!$K$14*SQRT(1+R3974)</f>
        <v>1.01329759319777</v>
      </c>
      <c r="T3974" s="0" t="n">
        <f aca="false">Q3974-S3974</f>
        <v>48.9484211568022</v>
      </c>
      <c r="U3974" s="0" t="n">
        <f aca="false">Q3974+S3974</f>
        <v>50.9750163431978</v>
      </c>
      <c r="V3974" s="54" t="b">
        <f aca="false">AND(D3974&gt;=01_因子設定!$L$5-0.000000001,D3974&lt;=01_因子設定!$M$5+0.000000001,E3974&gt;=01_因子設定!$L$6-0.000000001,E3974&lt;=01_因子設定!$M$6+0.000000001,F3974&gt;=01_因子設定!$L$7-0.000000001,F3974&lt;=01_因子設定!$M$7+0.000000001,IF(01_因子設定!$B$20="Box-Behnken",D3974^2+E3974^2+F3974^2&lt;=2+0.000000001,TRUE()))</f>
        <v>1</v>
      </c>
      <c r="W3974" s="55" t="n">
        <f aca="false">IF(V3974,IF(01_因子設定!$B$13="最大化",T3974-01_因子設定!$B$14,IF(01_因子設定!$B$13="最小化",01_因子設定!$B$15-U3974,MIN(T3974-01_因子設定!$B$14,01_因子設定!$B$15-U3974))),-1E+030)</f>
        <v>0.448421156802233</v>
      </c>
      <c r="X3974" s="55" t="n">
        <f aca="false">IF(V3974,IF(01_因子設定!$B$13="最大化",Q3974,IF(01_因子設定!$B$13="最小化",-Q3974,-ABS(Q3974-01_因子設定!$B$16))),-1E+030)</f>
        <v>49.96171875</v>
      </c>
      <c r="Y3974" s="55" t="n">
        <f aca="false">W3974+ROW()*0.000000001</f>
        <v>0.448425130802233</v>
      </c>
      <c r="Z3974" s="55" t="n">
        <f aca="false">X3974+ROW()*0.000000001</f>
        <v>49.961722724</v>
      </c>
    </row>
    <row r="3975" customFormat="false" ht="15" hidden="false" customHeight="false" outlineLevel="0" collapsed="false">
      <c r="A3975" s="0" t="n">
        <v>13</v>
      </c>
      <c r="B3975" s="0" t="n">
        <v>12</v>
      </c>
      <c r="C3975" s="0" t="n">
        <v>9</v>
      </c>
      <c r="D3975" s="0" t="n">
        <f aca="false">-1+A3975*0.125</f>
        <v>0.625</v>
      </c>
      <c r="E3975" s="0" t="n">
        <f aca="false">-1+B3975*0.125</f>
        <v>0.5</v>
      </c>
      <c r="F3975" s="0" t="n">
        <f aca="false">-1+C3975*0.125</f>
        <v>0.125</v>
      </c>
      <c r="G3975" s="0" t="n">
        <f aca="false">1</f>
        <v>1</v>
      </c>
      <c r="H3975" s="0" t="n">
        <f aca="false">D3975</f>
        <v>0.625</v>
      </c>
      <c r="I3975" s="0" t="n">
        <f aca="false">E3975</f>
        <v>0.5</v>
      </c>
      <c r="J3975" s="0" t="n">
        <f aca="false">F3975</f>
        <v>0.125</v>
      </c>
      <c r="K3975" s="0" t="n">
        <f aca="false">D3975*E3975</f>
        <v>0.3125</v>
      </c>
      <c r="L3975" s="0" t="n">
        <f aca="false">D3975*F3975</f>
        <v>0.078125</v>
      </c>
      <c r="M3975" s="0" t="n">
        <f aca="false">E3975*F3975</f>
        <v>0.0625</v>
      </c>
      <c r="N3975" s="0" t="n">
        <f aca="false">D3975*D3975</f>
        <v>0.390625</v>
      </c>
      <c r="O3975" s="0" t="n">
        <f aca="false">E3975*E3975</f>
        <v>0.25</v>
      </c>
      <c r="P3975" s="0" t="n">
        <f aca="false">F3975*F3975</f>
        <v>0.015625</v>
      </c>
      <c r="Q3975" s="0" t="n">
        <f aca="false">SUMPRODUCT(G3975:P3975,_XtX!$B$71:$K$71)</f>
        <v>50.1322301136364</v>
      </c>
      <c r="R3975" s="0" t="n">
        <f aca="false">SUMPRODUCT(MMULT(G3975:P3975,_XtX!$B$58:$K$67),G3975:P3975)</f>
        <v>0.186545077237216</v>
      </c>
      <c r="S3975" s="0" t="n">
        <f aca="false">04_回帰ANOVA!$K$19*04_回帰ANOVA!$K$14*SQRT(1+R3975)</f>
        <v>1.01276516970713</v>
      </c>
      <c r="T3975" s="0" t="n">
        <f aca="false">Q3975-S3975</f>
        <v>49.1194649439292</v>
      </c>
      <c r="U3975" s="0" t="n">
        <f aca="false">Q3975+S3975</f>
        <v>51.1449952833435</v>
      </c>
      <c r="V3975" s="54" t="b">
        <f aca="false">AND(D3975&gt;=01_因子設定!$L$5-0.000000001,D3975&lt;=01_因子設定!$M$5+0.000000001,E3975&gt;=01_因子設定!$L$6-0.000000001,E3975&lt;=01_因子設定!$M$6+0.000000001,F3975&gt;=01_因子設定!$L$7-0.000000001,F3975&lt;=01_因子設定!$M$7+0.000000001,IF(01_因子設定!$B$20="Box-Behnken",D3975^2+E3975^2+F3975^2&lt;=2+0.000000001,TRUE()))</f>
        <v>1</v>
      </c>
      <c r="W3975" s="55" t="n">
        <f aca="false">IF(V3975,IF(01_因子設定!$B$13="最大化",T3975-01_因子設定!$B$14,IF(01_因子設定!$B$13="最小化",01_因子設定!$B$15-U3975,MIN(T3975-01_因子設定!$B$14,01_因子設定!$B$15-U3975))),-1E+030)</f>
        <v>0.619464943929238</v>
      </c>
      <c r="X3975" s="55" t="n">
        <f aca="false">IF(V3975,IF(01_因子設定!$B$13="最大化",Q3975,IF(01_因子設定!$B$13="最小化",-Q3975,-ABS(Q3975-01_因子設定!$B$16))),-1E+030)</f>
        <v>50.1322301136364</v>
      </c>
      <c r="Y3975" s="55" t="n">
        <f aca="false">W3975+ROW()*0.000000001</f>
        <v>0.619468918929238</v>
      </c>
      <c r="Z3975" s="55" t="n">
        <f aca="false">X3975+ROW()*0.000000001</f>
        <v>50.1322340886364</v>
      </c>
    </row>
    <row r="3976" customFormat="false" ht="15" hidden="false" customHeight="false" outlineLevel="0" collapsed="false">
      <c r="A3976" s="0" t="n">
        <v>13</v>
      </c>
      <c r="B3976" s="0" t="n">
        <v>12</v>
      </c>
      <c r="C3976" s="0" t="n">
        <v>10</v>
      </c>
      <c r="D3976" s="0" t="n">
        <f aca="false">-1+A3976*0.125</f>
        <v>0.625</v>
      </c>
      <c r="E3976" s="0" t="n">
        <f aca="false">-1+B3976*0.125</f>
        <v>0.5</v>
      </c>
      <c r="F3976" s="0" t="n">
        <f aca="false">-1+C3976*0.125</f>
        <v>0.25</v>
      </c>
      <c r="G3976" s="0" t="n">
        <f aca="false">1</f>
        <v>1</v>
      </c>
      <c r="H3976" s="0" t="n">
        <f aca="false">D3976</f>
        <v>0.625</v>
      </c>
      <c r="I3976" s="0" t="n">
        <f aca="false">E3976</f>
        <v>0.5</v>
      </c>
      <c r="J3976" s="0" t="n">
        <f aca="false">F3976</f>
        <v>0.25</v>
      </c>
      <c r="K3976" s="0" t="n">
        <f aca="false">D3976*E3976</f>
        <v>0.3125</v>
      </c>
      <c r="L3976" s="0" t="n">
        <f aca="false">D3976*F3976</f>
        <v>0.15625</v>
      </c>
      <c r="M3976" s="0" t="n">
        <f aca="false">E3976*F3976</f>
        <v>0.125</v>
      </c>
      <c r="N3976" s="0" t="n">
        <f aca="false">D3976*D3976</f>
        <v>0.390625</v>
      </c>
      <c r="O3976" s="0" t="n">
        <f aca="false">E3976*E3976</f>
        <v>0.25</v>
      </c>
      <c r="P3976" s="0" t="n">
        <f aca="false">F3976*F3976</f>
        <v>0.0625</v>
      </c>
      <c r="Q3976" s="0" t="n">
        <f aca="false">SUMPRODUCT(G3976:P3976,_XtX!$B$71:$K$71)</f>
        <v>50.2659517045455</v>
      </c>
      <c r="R3976" s="0" t="n">
        <f aca="false">SUMPRODUCT(MMULT(G3976:P3976,_XtX!$B$58:$K$67),G3976:P3976)</f>
        <v>0.183866743607955</v>
      </c>
      <c r="S3976" s="0" t="n">
        <f aca="false">04_回帰ANOVA!$K$19*04_回帰ANOVA!$K$14*SQRT(1+R3976)</f>
        <v>1.01162148983013</v>
      </c>
      <c r="T3976" s="0" t="n">
        <f aca="false">Q3976-S3976</f>
        <v>49.2543302147153</v>
      </c>
      <c r="U3976" s="0" t="n">
        <f aca="false">Q3976+S3976</f>
        <v>51.2775731943756</v>
      </c>
      <c r="V3976" s="54" t="b">
        <f aca="false">AND(D3976&gt;=01_因子設定!$L$5-0.000000001,D3976&lt;=01_因子設定!$M$5+0.000000001,E3976&gt;=01_因子設定!$L$6-0.000000001,E3976&lt;=01_因子設定!$M$6+0.000000001,F3976&gt;=01_因子設定!$L$7-0.000000001,F3976&lt;=01_因子設定!$M$7+0.000000001,IF(01_因子設定!$B$20="Box-Behnken",D3976^2+E3976^2+F3976^2&lt;=2+0.000000001,TRUE()))</f>
        <v>1</v>
      </c>
      <c r="W3976" s="55" t="n">
        <f aca="false">IF(V3976,IF(01_因子設定!$B$13="最大化",T3976-01_因子設定!$B$14,IF(01_因子設定!$B$13="最小化",01_因子設定!$B$15-U3976,MIN(T3976-01_因子設定!$B$14,01_因子設定!$B$15-U3976))),-1E+030)</f>
        <v>0.754330214715324</v>
      </c>
      <c r="X3976" s="55" t="n">
        <f aca="false">IF(V3976,IF(01_因子設定!$B$13="最大化",Q3976,IF(01_因子設定!$B$13="最小化",-Q3976,-ABS(Q3976-01_因子設定!$B$16))),-1E+030)</f>
        <v>50.2659517045455</v>
      </c>
      <c r="Y3976" s="55" t="n">
        <f aca="false">W3976+ROW()*0.000000001</f>
        <v>0.754334190715324</v>
      </c>
      <c r="Z3976" s="55" t="n">
        <f aca="false">X3976+ROW()*0.000000001</f>
        <v>50.2659556805455</v>
      </c>
    </row>
    <row r="3977" customFormat="false" ht="15" hidden="false" customHeight="false" outlineLevel="0" collapsed="false">
      <c r="A3977" s="0" t="n">
        <v>13</v>
      </c>
      <c r="B3977" s="0" t="n">
        <v>12</v>
      </c>
      <c r="C3977" s="0" t="n">
        <v>11</v>
      </c>
      <c r="D3977" s="0" t="n">
        <f aca="false">-1+A3977*0.125</f>
        <v>0.625</v>
      </c>
      <c r="E3977" s="0" t="n">
        <f aca="false">-1+B3977*0.125</f>
        <v>0.5</v>
      </c>
      <c r="F3977" s="0" t="n">
        <f aca="false">-1+C3977*0.125</f>
        <v>0.375</v>
      </c>
      <c r="G3977" s="0" t="n">
        <f aca="false">1</f>
        <v>1</v>
      </c>
      <c r="H3977" s="0" t="n">
        <f aca="false">D3977</f>
        <v>0.625</v>
      </c>
      <c r="I3977" s="0" t="n">
        <f aca="false">E3977</f>
        <v>0.5</v>
      </c>
      <c r="J3977" s="0" t="n">
        <f aca="false">F3977</f>
        <v>0.375</v>
      </c>
      <c r="K3977" s="0" t="n">
        <f aca="false">D3977*E3977</f>
        <v>0.3125</v>
      </c>
      <c r="L3977" s="0" t="n">
        <f aca="false">D3977*F3977</f>
        <v>0.234375</v>
      </c>
      <c r="M3977" s="0" t="n">
        <f aca="false">E3977*F3977</f>
        <v>0.1875</v>
      </c>
      <c r="N3977" s="0" t="n">
        <f aca="false">D3977*D3977</f>
        <v>0.390625</v>
      </c>
      <c r="O3977" s="0" t="n">
        <f aca="false">E3977*E3977</f>
        <v>0.25</v>
      </c>
      <c r="P3977" s="0" t="n">
        <f aca="false">F3977*F3977</f>
        <v>0.140625</v>
      </c>
      <c r="Q3977" s="0" t="n">
        <f aca="false">SUMPRODUCT(G3977:P3977,_XtX!$B$71:$K$71)</f>
        <v>50.3628835227273</v>
      </c>
      <c r="R3977" s="0" t="n">
        <f aca="false">SUMPRODUCT(MMULT(G3977:P3977,_XtX!$B$58:$K$67),G3977:P3977)</f>
        <v>0.182953990589489</v>
      </c>
      <c r="S3977" s="0" t="n">
        <f aca="false">04_回帰ANOVA!$K$19*04_回帰ANOVA!$K$14*SQRT(1+R3977)</f>
        <v>1.01123143807044</v>
      </c>
      <c r="T3977" s="0" t="n">
        <f aca="false">Q3977-S3977</f>
        <v>49.3516520846568</v>
      </c>
      <c r="U3977" s="0" t="n">
        <f aca="false">Q3977+S3977</f>
        <v>51.3741149607977</v>
      </c>
      <c r="V3977" s="54" t="b">
        <f aca="false">AND(D3977&gt;=01_因子設定!$L$5-0.000000001,D3977&lt;=01_因子設定!$M$5+0.000000001,E3977&gt;=01_因子設定!$L$6-0.000000001,E3977&lt;=01_因子設定!$M$6+0.000000001,F3977&gt;=01_因子設定!$L$7-0.000000001,F3977&lt;=01_因子設定!$M$7+0.000000001,IF(01_因子設定!$B$20="Box-Behnken",D3977^2+E3977^2+F3977^2&lt;=2+0.000000001,TRUE()))</f>
        <v>1</v>
      </c>
      <c r="W3977" s="55" t="n">
        <f aca="false">IF(V3977,IF(01_因子設定!$B$13="最大化",T3977-01_因子設定!$B$14,IF(01_因子設定!$B$13="最小化",01_因子設定!$B$15-U3977,MIN(T3977-01_因子設定!$B$14,01_因子設定!$B$15-U3977))),-1E+030)</f>
        <v>0.851652084656841</v>
      </c>
      <c r="X3977" s="55" t="n">
        <f aca="false">IF(V3977,IF(01_因子設定!$B$13="最大化",Q3977,IF(01_因子設定!$B$13="最小化",-Q3977,-ABS(Q3977-01_因子設定!$B$16))),-1E+030)</f>
        <v>50.3628835227273</v>
      </c>
      <c r="Y3977" s="55" t="n">
        <f aca="false">W3977+ROW()*0.000000001</f>
        <v>0.851656061656841</v>
      </c>
      <c r="Z3977" s="55" t="n">
        <f aca="false">X3977+ROW()*0.000000001</f>
        <v>50.3628874997273</v>
      </c>
    </row>
    <row r="3978" customFormat="false" ht="15" hidden="false" customHeight="false" outlineLevel="0" collapsed="false">
      <c r="A3978" s="0" t="n">
        <v>13</v>
      </c>
      <c r="B3978" s="0" t="n">
        <v>12</v>
      </c>
      <c r="C3978" s="0" t="n">
        <v>12</v>
      </c>
      <c r="D3978" s="0" t="n">
        <f aca="false">-1+A3978*0.125</f>
        <v>0.625</v>
      </c>
      <c r="E3978" s="0" t="n">
        <f aca="false">-1+B3978*0.125</f>
        <v>0.5</v>
      </c>
      <c r="F3978" s="0" t="n">
        <f aca="false">-1+C3978*0.125</f>
        <v>0.5</v>
      </c>
      <c r="G3978" s="0" t="n">
        <f aca="false">1</f>
        <v>1</v>
      </c>
      <c r="H3978" s="0" t="n">
        <f aca="false">D3978</f>
        <v>0.625</v>
      </c>
      <c r="I3978" s="0" t="n">
        <f aca="false">E3978</f>
        <v>0.5</v>
      </c>
      <c r="J3978" s="0" t="n">
        <f aca="false">F3978</f>
        <v>0.5</v>
      </c>
      <c r="K3978" s="0" t="n">
        <f aca="false">D3978*E3978</f>
        <v>0.3125</v>
      </c>
      <c r="L3978" s="0" t="n">
        <f aca="false">D3978*F3978</f>
        <v>0.3125</v>
      </c>
      <c r="M3978" s="0" t="n">
        <f aca="false">E3978*F3978</f>
        <v>0.25</v>
      </c>
      <c r="N3978" s="0" t="n">
        <f aca="false">D3978*D3978</f>
        <v>0.390625</v>
      </c>
      <c r="O3978" s="0" t="n">
        <f aca="false">E3978*E3978</f>
        <v>0.25</v>
      </c>
      <c r="P3978" s="0" t="n">
        <f aca="false">F3978*F3978</f>
        <v>0.25</v>
      </c>
      <c r="Q3978" s="0" t="n">
        <f aca="false">SUMPRODUCT(G3978:P3978,_XtX!$B$71:$K$71)</f>
        <v>50.4230255681818</v>
      </c>
      <c r="R3978" s="0" t="n">
        <f aca="false">SUMPRODUCT(MMULT(G3978:P3978,_XtX!$B$58:$K$67),G3978:P3978)</f>
        <v>0.189133522727273</v>
      </c>
      <c r="S3978" s="0" t="n">
        <f aca="false">04_回帰ANOVA!$K$19*04_回帰ANOVA!$K$14*SQRT(1+R3978)</f>
        <v>1.0138692404042</v>
      </c>
      <c r="T3978" s="0" t="n">
        <f aca="false">Q3978-S3978</f>
        <v>49.4091563277776</v>
      </c>
      <c r="U3978" s="0" t="n">
        <f aca="false">Q3978+S3978</f>
        <v>51.436894808586</v>
      </c>
      <c r="V3978" s="54" t="b">
        <f aca="false">AND(D3978&gt;=01_因子設定!$L$5-0.000000001,D3978&lt;=01_因子設定!$M$5+0.000000001,E3978&gt;=01_因子設定!$L$6-0.000000001,E3978&lt;=01_因子設定!$M$6+0.000000001,F3978&gt;=01_因子設定!$L$7-0.000000001,F3978&lt;=01_因子設定!$M$7+0.000000001,IF(01_因子設定!$B$20="Box-Behnken",D3978^2+E3978^2+F3978^2&lt;=2+0.000000001,TRUE()))</f>
        <v>1</v>
      </c>
      <c r="W3978" s="55" t="n">
        <f aca="false">IF(V3978,IF(01_因子設定!$B$13="最大化",T3978-01_因子設定!$B$14,IF(01_因子設定!$B$13="最小化",01_因子設定!$B$15-U3978,MIN(T3978-01_因子設定!$B$14,01_因子設定!$B$15-U3978))),-1E+030)</f>
        <v>0.90915632777763</v>
      </c>
      <c r="X3978" s="55" t="n">
        <f aca="false">IF(V3978,IF(01_因子設定!$B$13="最大化",Q3978,IF(01_因子設定!$B$13="最小化",-Q3978,-ABS(Q3978-01_因子設定!$B$16))),-1E+030)</f>
        <v>50.4230255681818</v>
      </c>
      <c r="Y3978" s="55" t="n">
        <f aca="false">W3978+ROW()*0.000000001</f>
        <v>0.90916030577763</v>
      </c>
      <c r="Z3978" s="55" t="n">
        <f aca="false">X3978+ROW()*0.000000001</f>
        <v>50.4230295461818</v>
      </c>
    </row>
    <row r="3979" customFormat="false" ht="15" hidden="false" customHeight="false" outlineLevel="0" collapsed="false">
      <c r="A3979" s="0" t="n">
        <v>13</v>
      </c>
      <c r="B3979" s="0" t="n">
        <v>12</v>
      </c>
      <c r="C3979" s="0" t="n">
        <v>13</v>
      </c>
      <c r="D3979" s="0" t="n">
        <f aca="false">-1+A3979*0.125</f>
        <v>0.625</v>
      </c>
      <c r="E3979" s="0" t="n">
        <f aca="false">-1+B3979*0.125</f>
        <v>0.5</v>
      </c>
      <c r="F3979" s="0" t="n">
        <f aca="false">-1+C3979*0.125</f>
        <v>0.625</v>
      </c>
      <c r="G3979" s="0" t="n">
        <f aca="false">1</f>
        <v>1</v>
      </c>
      <c r="H3979" s="0" t="n">
        <f aca="false">D3979</f>
        <v>0.625</v>
      </c>
      <c r="I3979" s="0" t="n">
        <f aca="false">E3979</f>
        <v>0.5</v>
      </c>
      <c r="J3979" s="0" t="n">
        <f aca="false">F3979</f>
        <v>0.625</v>
      </c>
      <c r="K3979" s="0" t="n">
        <f aca="false">D3979*E3979</f>
        <v>0.3125</v>
      </c>
      <c r="L3979" s="0" t="n">
        <f aca="false">D3979*F3979</f>
        <v>0.390625</v>
      </c>
      <c r="M3979" s="0" t="n">
        <f aca="false">E3979*F3979</f>
        <v>0.3125</v>
      </c>
      <c r="N3979" s="0" t="n">
        <f aca="false">D3979*D3979</f>
        <v>0.390625</v>
      </c>
      <c r="O3979" s="0" t="n">
        <f aca="false">E3979*E3979</f>
        <v>0.25</v>
      </c>
      <c r="P3979" s="0" t="n">
        <f aca="false">F3979*F3979</f>
        <v>0.390625</v>
      </c>
      <c r="Q3979" s="0" t="n">
        <f aca="false">SUMPRODUCT(G3979:P3979,_XtX!$B$71:$K$71)</f>
        <v>50.4463778409091</v>
      </c>
      <c r="R3979" s="0" t="n">
        <f aca="false">SUMPRODUCT(MMULT(G3979:P3979,_XtX!$B$58:$K$67),G3979:P3979)</f>
        <v>0.209862726384943</v>
      </c>
      <c r="S3979" s="0" t="n">
        <f aca="false">04_回帰ANOVA!$K$19*04_回帰ANOVA!$K$14*SQRT(1+R3979)</f>
        <v>1.0226680420112</v>
      </c>
      <c r="T3979" s="0" t="n">
        <f aca="false">Q3979-S3979</f>
        <v>49.4237097988979</v>
      </c>
      <c r="U3979" s="0" t="n">
        <f aca="false">Q3979+S3979</f>
        <v>51.4690458829203</v>
      </c>
      <c r="V3979" s="54" t="b">
        <f aca="false">AND(D3979&gt;=01_因子設定!$L$5-0.000000001,D3979&lt;=01_因子設定!$M$5+0.000000001,E3979&gt;=01_因子設定!$L$6-0.000000001,E3979&lt;=01_因子設定!$M$6+0.000000001,F3979&gt;=01_因子設定!$L$7-0.000000001,F3979&lt;=01_因子設定!$M$7+0.000000001,IF(01_因子設定!$B$20="Box-Behnken",D3979^2+E3979^2+F3979^2&lt;=2+0.000000001,TRUE()))</f>
        <v>1</v>
      </c>
      <c r="W3979" s="55" t="n">
        <f aca="false">IF(V3979,IF(01_因子設定!$B$13="最大化",T3979-01_因子設定!$B$14,IF(01_因子設定!$B$13="最小化",01_因子設定!$B$15-U3979,MIN(T3979-01_因子設定!$B$14,01_因子設定!$B$15-U3979))),-1E+030)</f>
        <v>0.923709798897903</v>
      </c>
      <c r="X3979" s="55" t="n">
        <f aca="false">IF(V3979,IF(01_因子設定!$B$13="最大化",Q3979,IF(01_因子設定!$B$13="最小化",-Q3979,-ABS(Q3979-01_因子設定!$B$16))),-1E+030)</f>
        <v>50.4463778409091</v>
      </c>
      <c r="Y3979" s="55" t="n">
        <f aca="false">W3979+ROW()*0.000000001</f>
        <v>0.923713777897903</v>
      </c>
      <c r="Z3979" s="55" t="n">
        <f aca="false">X3979+ROW()*0.000000001</f>
        <v>50.4463818199091</v>
      </c>
    </row>
    <row r="3980" customFormat="false" ht="15" hidden="false" customHeight="false" outlineLevel="0" collapsed="false">
      <c r="A3980" s="0" t="n">
        <v>13</v>
      </c>
      <c r="B3980" s="0" t="n">
        <v>12</v>
      </c>
      <c r="C3980" s="0" t="n">
        <v>14</v>
      </c>
      <c r="D3980" s="0" t="n">
        <f aca="false">-1+A3980*0.125</f>
        <v>0.625</v>
      </c>
      <c r="E3980" s="0" t="n">
        <f aca="false">-1+B3980*0.125</f>
        <v>0.5</v>
      </c>
      <c r="F3980" s="0" t="n">
        <f aca="false">-1+C3980*0.125</f>
        <v>0.75</v>
      </c>
      <c r="G3980" s="0" t="n">
        <f aca="false">1</f>
        <v>1</v>
      </c>
      <c r="H3980" s="0" t="n">
        <f aca="false">D3980</f>
        <v>0.625</v>
      </c>
      <c r="I3980" s="0" t="n">
        <f aca="false">E3980</f>
        <v>0.5</v>
      </c>
      <c r="J3980" s="0" t="n">
        <f aca="false">F3980</f>
        <v>0.75</v>
      </c>
      <c r="K3980" s="0" t="n">
        <f aca="false">D3980*E3980</f>
        <v>0.3125</v>
      </c>
      <c r="L3980" s="0" t="n">
        <f aca="false">D3980*F3980</f>
        <v>0.46875</v>
      </c>
      <c r="M3980" s="0" t="n">
        <f aca="false">E3980*F3980</f>
        <v>0.375</v>
      </c>
      <c r="N3980" s="0" t="n">
        <f aca="false">D3980*D3980</f>
        <v>0.390625</v>
      </c>
      <c r="O3980" s="0" t="n">
        <f aca="false">E3980*E3980</f>
        <v>0.25</v>
      </c>
      <c r="P3980" s="0" t="n">
        <f aca="false">F3980*F3980</f>
        <v>0.5625</v>
      </c>
      <c r="Q3980" s="0" t="n">
        <f aca="false">SUMPRODUCT(G3980:P3980,_XtX!$B$71:$K$71)</f>
        <v>50.4329403409091</v>
      </c>
      <c r="R3980" s="0" t="n">
        <f aca="false">SUMPRODUCT(MMULT(G3980:P3980,_XtX!$B$58:$K$67),G3980:P3980)</f>
        <v>0.254729669744318</v>
      </c>
      <c r="S3980" s="0" t="n">
        <f aca="false">04_回帰ANOVA!$K$19*04_回帰ANOVA!$K$14*SQRT(1+R3980)</f>
        <v>1.04145790281631</v>
      </c>
      <c r="T3980" s="0" t="n">
        <f aca="false">Q3980-S3980</f>
        <v>49.3914824380928</v>
      </c>
      <c r="U3980" s="0" t="n">
        <f aca="false">Q3980+S3980</f>
        <v>51.4743982437254</v>
      </c>
      <c r="V3980" s="54" t="b">
        <f aca="false">AND(D3980&gt;=01_因子設定!$L$5-0.000000001,D3980&lt;=01_因子設定!$M$5+0.000000001,E3980&gt;=01_因子設定!$L$6-0.000000001,E3980&lt;=01_因子設定!$M$6+0.000000001,F3980&gt;=01_因子設定!$L$7-0.000000001,F3980&lt;=01_因子設定!$M$7+0.000000001,IF(01_因子設定!$B$20="Box-Behnken",D3980^2+E3980^2+F3980^2&lt;=2+0.000000001,TRUE()))</f>
        <v>1</v>
      </c>
      <c r="W3980" s="55" t="n">
        <f aca="false">IF(V3980,IF(01_因子設定!$B$13="最大化",T3980-01_因子設定!$B$14,IF(01_因子設定!$B$13="最小化",01_因子設定!$B$15-U3980,MIN(T3980-01_因子設定!$B$14,01_因子設定!$B$15-U3980))),-1E+030)</f>
        <v>0.891482438092794</v>
      </c>
      <c r="X3980" s="55" t="n">
        <f aca="false">IF(V3980,IF(01_因子設定!$B$13="最大化",Q3980,IF(01_因子設定!$B$13="最小化",-Q3980,-ABS(Q3980-01_因子設定!$B$16))),-1E+030)</f>
        <v>50.4329403409091</v>
      </c>
      <c r="Y3980" s="55" t="n">
        <f aca="false">W3980+ROW()*0.000000001</f>
        <v>0.891486418092794</v>
      </c>
      <c r="Z3980" s="55" t="n">
        <f aca="false">X3980+ROW()*0.000000001</f>
        <v>50.4329443209091</v>
      </c>
    </row>
    <row r="3981" customFormat="false" ht="15" hidden="false" customHeight="false" outlineLevel="0" collapsed="false">
      <c r="A3981" s="0" t="n">
        <v>13</v>
      </c>
      <c r="B3981" s="0" t="n">
        <v>12</v>
      </c>
      <c r="C3981" s="0" t="n">
        <v>15</v>
      </c>
      <c r="D3981" s="0" t="n">
        <f aca="false">-1+A3981*0.125</f>
        <v>0.625</v>
      </c>
      <c r="E3981" s="0" t="n">
        <f aca="false">-1+B3981*0.125</f>
        <v>0.5</v>
      </c>
      <c r="F3981" s="0" t="n">
        <f aca="false">-1+C3981*0.125</f>
        <v>0.875</v>
      </c>
      <c r="G3981" s="0" t="n">
        <f aca="false">1</f>
        <v>1</v>
      </c>
      <c r="H3981" s="0" t="n">
        <f aca="false">D3981</f>
        <v>0.625</v>
      </c>
      <c r="I3981" s="0" t="n">
        <f aca="false">E3981</f>
        <v>0.5</v>
      </c>
      <c r="J3981" s="0" t="n">
        <f aca="false">F3981</f>
        <v>0.875</v>
      </c>
      <c r="K3981" s="0" t="n">
        <f aca="false">D3981*E3981</f>
        <v>0.3125</v>
      </c>
      <c r="L3981" s="0" t="n">
        <f aca="false">D3981*F3981</f>
        <v>0.546875</v>
      </c>
      <c r="M3981" s="0" t="n">
        <f aca="false">E3981*F3981</f>
        <v>0.4375</v>
      </c>
      <c r="N3981" s="0" t="n">
        <f aca="false">D3981*D3981</f>
        <v>0.390625</v>
      </c>
      <c r="O3981" s="0" t="n">
        <f aca="false">E3981*E3981</f>
        <v>0.25</v>
      </c>
      <c r="P3981" s="0" t="n">
        <f aca="false">F3981*F3981</f>
        <v>0.765625</v>
      </c>
      <c r="Q3981" s="0" t="n">
        <f aca="false">SUMPRODUCT(G3981:P3981,_XtX!$B$71:$K$71)</f>
        <v>50.3827130681818</v>
      </c>
      <c r="R3981" s="0" t="n">
        <f aca="false">SUMPRODUCT(MMULT(G3981:P3981,_XtX!$B$58:$K$67),G3981:P3981)</f>
        <v>0.335453102805398</v>
      </c>
      <c r="S3981" s="0" t="n">
        <f aca="false">04_回帰ANOVA!$K$19*04_回帰ANOVA!$K$14*SQRT(1+R3981)</f>
        <v>1.07443700305628</v>
      </c>
      <c r="T3981" s="0" t="n">
        <f aca="false">Q3981-S3981</f>
        <v>49.3082760651256</v>
      </c>
      <c r="U3981" s="0" t="n">
        <f aca="false">Q3981+S3981</f>
        <v>51.4571500712381</v>
      </c>
      <c r="V3981" s="54" t="b">
        <f aca="false">AND(D3981&gt;=01_因子設定!$L$5-0.000000001,D3981&lt;=01_因子設定!$M$5+0.000000001,E3981&gt;=01_因子設定!$L$6-0.000000001,E3981&lt;=01_因子設定!$M$6+0.000000001,F3981&gt;=01_因子設定!$L$7-0.000000001,F3981&lt;=01_因子設定!$M$7+0.000000001,IF(01_因子設定!$B$20="Box-Behnken",D3981^2+E3981^2+F3981^2&lt;=2+0.000000001,TRUE()))</f>
        <v>1</v>
      </c>
      <c r="W3981" s="55" t="n">
        <f aca="false">IF(V3981,IF(01_因子設定!$B$13="最大化",T3981-01_因子設定!$B$14,IF(01_因子設定!$B$13="最小化",01_因子設定!$B$15-U3981,MIN(T3981-01_因子設定!$B$14,01_因子設定!$B$15-U3981))),-1E+030)</f>
        <v>0.808276065125561</v>
      </c>
      <c r="X3981" s="55" t="n">
        <f aca="false">IF(V3981,IF(01_因子設定!$B$13="最大化",Q3981,IF(01_因子設定!$B$13="最小化",-Q3981,-ABS(Q3981-01_因子設定!$B$16))),-1E+030)</f>
        <v>50.3827130681818</v>
      </c>
      <c r="Y3981" s="55" t="n">
        <f aca="false">W3981+ROW()*0.000000001</f>
        <v>0.808280046125561</v>
      </c>
      <c r="Z3981" s="55" t="n">
        <f aca="false">X3981+ROW()*0.000000001</f>
        <v>50.3827170491818</v>
      </c>
    </row>
    <row r="3982" customFormat="false" ht="15" hidden="false" customHeight="false" outlineLevel="0" collapsed="false">
      <c r="A3982" s="0" t="n">
        <v>13</v>
      </c>
      <c r="B3982" s="0" t="n">
        <v>12</v>
      </c>
      <c r="C3982" s="0" t="n">
        <v>16</v>
      </c>
      <c r="D3982" s="0" t="n">
        <f aca="false">-1+A3982*0.125</f>
        <v>0.625</v>
      </c>
      <c r="E3982" s="0" t="n">
        <f aca="false">-1+B3982*0.125</f>
        <v>0.5</v>
      </c>
      <c r="F3982" s="0" t="n">
        <f aca="false">-1+C3982*0.125</f>
        <v>1</v>
      </c>
      <c r="G3982" s="0" t="n">
        <f aca="false">1</f>
        <v>1</v>
      </c>
      <c r="H3982" s="0" t="n">
        <f aca="false">D3982</f>
        <v>0.625</v>
      </c>
      <c r="I3982" s="0" t="n">
        <f aca="false">E3982</f>
        <v>0.5</v>
      </c>
      <c r="J3982" s="0" t="n">
        <f aca="false">F3982</f>
        <v>1</v>
      </c>
      <c r="K3982" s="0" t="n">
        <f aca="false">D3982*E3982</f>
        <v>0.3125</v>
      </c>
      <c r="L3982" s="0" t="n">
        <f aca="false">D3982*F3982</f>
        <v>0.625</v>
      </c>
      <c r="M3982" s="0" t="n">
        <f aca="false">E3982*F3982</f>
        <v>0.5</v>
      </c>
      <c r="N3982" s="0" t="n">
        <f aca="false">D3982*D3982</f>
        <v>0.390625</v>
      </c>
      <c r="O3982" s="0" t="n">
        <f aca="false">E3982*E3982</f>
        <v>0.25</v>
      </c>
      <c r="P3982" s="0" t="n">
        <f aca="false">F3982*F3982</f>
        <v>1</v>
      </c>
      <c r="Q3982" s="0" t="n">
        <f aca="false">SUMPRODUCT(G3982:P3982,_XtX!$B$71:$K$71)</f>
        <v>50.2956960227273</v>
      </c>
      <c r="R3982" s="0" t="n">
        <f aca="false">SUMPRODUCT(MMULT(G3982:P3982,_XtX!$B$58:$K$67),G3982:P3982)</f>
        <v>0.465882457386364</v>
      </c>
      <c r="S3982" s="0" t="n">
        <f aca="false">04_回帰ANOVA!$K$19*04_回帰ANOVA!$K$14*SQRT(1+R3982)</f>
        <v>1.12568326538173</v>
      </c>
      <c r="T3982" s="0" t="n">
        <f aca="false">Q3982-S3982</f>
        <v>49.1700127573456</v>
      </c>
      <c r="U3982" s="0" t="n">
        <f aca="false">Q3982+S3982</f>
        <v>51.421379288109</v>
      </c>
      <c r="V3982" s="54" t="b">
        <f aca="false">AND(D3982&gt;=01_因子設定!$L$5-0.000000001,D3982&lt;=01_因子設定!$M$5+0.000000001,E3982&gt;=01_因子設定!$L$6-0.000000001,E3982&lt;=01_因子設定!$M$6+0.000000001,F3982&gt;=01_因子設定!$L$7-0.000000001,F3982&lt;=01_因子設定!$M$7+0.000000001,IF(01_因子設定!$B$20="Box-Behnken",D3982^2+E3982^2+F3982^2&lt;=2+0.000000001,TRUE()))</f>
        <v>1</v>
      </c>
      <c r="W3982" s="55" t="n">
        <f aca="false">IF(V3982,IF(01_因子設定!$B$13="最大化",T3982-01_因子設定!$B$14,IF(01_因子設定!$B$13="最小化",01_因子設定!$B$15-U3982,MIN(T3982-01_因子設定!$B$14,01_因子設定!$B$15-U3982))),-1E+030)</f>
        <v>0.670012757345567</v>
      </c>
      <c r="X3982" s="55" t="n">
        <f aca="false">IF(V3982,IF(01_因子設定!$B$13="最大化",Q3982,IF(01_因子設定!$B$13="最小化",-Q3982,-ABS(Q3982-01_因子設定!$B$16))),-1E+030)</f>
        <v>50.2956960227273</v>
      </c>
      <c r="Y3982" s="55" t="n">
        <f aca="false">W3982+ROW()*0.000000001</f>
        <v>0.670016739345567</v>
      </c>
      <c r="Z3982" s="55" t="n">
        <f aca="false">X3982+ROW()*0.000000001</f>
        <v>50.2957000047273</v>
      </c>
    </row>
    <row r="3983" customFormat="false" ht="15" hidden="false" customHeight="false" outlineLevel="0" collapsed="false">
      <c r="A3983" s="0" t="n">
        <v>13</v>
      </c>
      <c r="B3983" s="0" t="n">
        <v>13</v>
      </c>
      <c r="C3983" s="0" t="n">
        <v>0</v>
      </c>
      <c r="D3983" s="0" t="n">
        <f aca="false">-1+A3983*0.125</f>
        <v>0.625</v>
      </c>
      <c r="E3983" s="0" t="n">
        <f aca="false">-1+B3983*0.125</f>
        <v>0.625</v>
      </c>
      <c r="F3983" s="0" t="n">
        <f aca="false">-1+C3983*0.125</f>
        <v>-1</v>
      </c>
      <c r="G3983" s="0" t="n">
        <f aca="false">1</f>
        <v>1</v>
      </c>
      <c r="H3983" s="0" t="n">
        <f aca="false">D3983</f>
        <v>0.625</v>
      </c>
      <c r="I3983" s="0" t="n">
        <f aca="false">E3983</f>
        <v>0.625</v>
      </c>
      <c r="J3983" s="0" t="n">
        <f aca="false">F3983</f>
        <v>-1</v>
      </c>
      <c r="K3983" s="0" t="n">
        <f aca="false">D3983*E3983</f>
        <v>0.390625</v>
      </c>
      <c r="L3983" s="0" t="n">
        <f aca="false">D3983*F3983</f>
        <v>-0.625</v>
      </c>
      <c r="M3983" s="0" t="n">
        <f aca="false">E3983*F3983</f>
        <v>-0.625</v>
      </c>
      <c r="N3983" s="0" t="n">
        <f aca="false">D3983*D3983</f>
        <v>0.390625</v>
      </c>
      <c r="O3983" s="0" t="n">
        <f aca="false">E3983*E3983</f>
        <v>0.390625</v>
      </c>
      <c r="P3983" s="0" t="n">
        <f aca="false">F3983*F3983</f>
        <v>1</v>
      </c>
      <c r="Q3983" s="0" t="n">
        <f aca="false">SUMPRODUCT(G3983:P3983,_XtX!$B$71:$K$71)</f>
        <v>47.2863139204546</v>
      </c>
      <c r="R3983" s="0" t="n">
        <f aca="false">SUMPRODUCT(MMULT(G3983:P3983,_XtX!$B$58:$K$67),G3983:P3983)</f>
        <v>0.47103105024858</v>
      </c>
      <c r="S3983" s="0" t="n">
        <f aca="false">04_回帰ANOVA!$K$19*04_回帰ANOVA!$K$14*SQRT(1+R3983)</f>
        <v>1.1276583912499</v>
      </c>
      <c r="T3983" s="0" t="n">
        <f aca="false">Q3983-S3983</f>
        <v>46.1586555292047</v>
      </c>
      <c r="U3983" s="0" t="n">
        <f aca="false">Q3983+S3983</f>
        <v>48.4139723117045</v>
      </c>
      <c r="V3983" s="54" t="b">
        <f aca="false">AND(D3983&gt;=01_因子設定!$L$5-0.000000001,D3983&lt;=01_因子設定!$M$5+0.000000001,E3983&gt;=01_因子設定!$L$6-0.000000001,E3983&lt;=01_因子設定!$M$6+0.000000001,F3983&gt;=01_因子設定!$L$7-0.000000001,F3983&lt;=01_因子設定!$M$7+0.000000001,IF(01_因子設定!$B$20="Box-Behnken",D3983^2+E3983^2+F3983^2&lt;=2+0.000000001,TRUE()))</f>
        <v>1</v>
      </c>
      <c r="W3983" s="55" t="n">
        <f aca="false">IF(V3983,IF(01_因子設定!$B$13="最大化",T3983-01_因子設定!$B$14,IF(01_因子設定!$B$13="最小化",01_因子設定!$B$15-U3983,MIN(T3983-01_因子設定!$B$14,01_因子設定!$B$15-U3983))),-1E+030)</f>
        <v>-2.34134447079533</v>
      </c>
      <c r="X3983" s="55" t="n">
        <f aca="false">IF(V3983,IF(01_因子設定!$B$13="最大化",Q3983,IF(01_因子設定!$B$13="最小化",-Q3983,-ABS(Q3983-01_因子設定!$B$16))),-1E+030)</f>
        <v>47.2863139204546</v>
      </c>
      <c r="Y3983" s="55" t="n">
        <f aca="false">W3983+ROW()*0.000000001</f>
        <v>-2.34134048779533</v>
      </c>
      <c r="Z3983" s="55" t="n">
        <f aca="false">X3983+ROW()*0.000000001</f>
        <v>47.2863179034546</v>
      </c>
    </row>
    <row r="3984" customFormat="false" ht="15" hidden="false" customHeight="false" outlineLevel="0" collapsed="false">
      <c r="A3984" s="0" t="n">
        <v>13</v>
      </c>
      <c r="B3984" s="0" t="n">
        <v>13</v>
      </c>
      <c r="C3984" s="0" t="n">
        <v>1</v>
      </c>
      <c r="D3984" s="0" t="n">
        <f aca="false">-1+A3984*0.125</f>
        <v>0.625</v>
      </c>
      <c r="E3984" s="0" t="n">
        <f aca="false">-1+B3984*0.125</f>
        <v>0.625</v>
      </c>
      <c r="F3984" s="0" t="n">
        <f aca="false">-1+C3984*0.125</f>
        <v>-0.875</v>
      </c>
      <c r="G3984" s="0" t="n">
        <f aca="false">1</f>
        <v>1</v>
      </c>
      <c r="H3984" s="0" t="n">
        <f aca="false">D3984</f>
        <v>0.625</v>
      </c>
      <c r="I3984" s="0" t="n">
        <f aca="false">E3984</f>
        <v>0.625</v>
      </c>
      <c r="J3984" s="0" t="n">
        <f aca="false">F3984</f>
        <v>-0.875</v>
      </c>
      <c r="K3984" s="0" t="n">
        <f aca="false">D3984*E3984</f>
        <v>0.390625</v>
      </c>
      <c r="L3984" s="0" t="n">
        <f aca="false">D3984*F3984</f>
        <v>-0.546875</v>
      </c>
      <c r="M3984" s="0" t="n">
        <f aca="false">E3984*F3984</f>
        <v>-0.546875</v>
      </c>
      <c r="N3984" s="0" t="n">
        <f aca="false">D3984*D3984</f>
        <v>0.390625</v>
      </c>
      <c r="O3984" s="0" t="n">
        <f aca="false">E3984*E3984</f>
        <v>0.390625</v>
      </c>
      <c r="P3984" s="0" t="n">
        <f aca="false">F3984*F3984</f>
        <v>0.765625</v>
      </c>
      <c r="Q3984" s="0" t="n">
        <f aca="false">SUMPRODUCT(G3984:P3984,_XtX!$B$71:$K$71)</f>
        <v>47.7581747159091</v>
      </c>
      <c r="R3984" s="0" t="n">
        <f aca="false">SUMPRODUCT(MMULT(G3984:P3984,_XtX!$B$58:$K$67),G3984:P3984)</f>
        <v>0.345470636541193</v>
      </c>
      <c r="S3984" s="0" t="n">
        <f aca="false">04_回帰ANOVA!$K$19*04_回帰ANOVA!$K$14*SQRT(1+R3984)</f>
        <v>1.07845927083227</v>
      </c>
      <c r="T3984" s="0" t="n">
        <f aca="false">Q3984-S3984</f>
        <v>46.6797154450768</v>
      </c>
      <c r="U3984" s="0" t="n">
        <f aca="false">Q3984+S3984</f>
        <v>48.8366339867414</v>
      </c>
      <c r="V3984" s="54" t="b">
        <f aca="false">AND(D3984&gt;=01_因子設定!$L$5-0.000000001,D3984&lt;=01_因子設定!$M$5+0.000000001,E3984&gt;=01_因子設定!$L$6-0.000000001,E3984&lt;=01_因子設定!$M$6+0.000000001,F3984&gt;=01_因子設定!$L$7-0.000000001,F3984&lt;=01_因子設定!$M$7+0.000000001,IF(01_因子設定!$B$20="Box-Behnken",D3984^2+E3984^2+F3984^2&lt;=2+0.000000001,TRUE()))</f>
        <v>1</v>
      </c>
      <c r="W3984" s="55" t="n">
        <f aca="false">IF(V3984,IF(01_因子設定!$B$13="最大化",T3984-01_因子設定!$B$14,IF(01_因子設定!$B$13="最小化",01_因子設定!$B$15-U3984,MIN(T3984-01_因子設定!$B$14,01_因子設定!$B$15-U3984))),-1E+030)</f>
        <v>-1.82028455492316</v>
      </c>
      <c r="X3984" s="55" t="n">
        <f aca="false">IF(V3984,IF(01_因子設定!$B$13="最大化",Q3984,IF(01_因子設定!$B$13="最小化",-Q3984,-ABS(Q3984-01_因子設定!$B$16))),-1E+030)</f>
        <v>47.7581747159091</v>
      </c>
      <c r="Y3984" s="55" t="n">
        <f aca="false">W3984+ROW()*0.000000001</f>
        <v>-1.82028057092316</v>
      </c>
      <c r="Z3984" s="55" t="n">
        <f aca="false">X3984+ROW()*0.000000001</f>
        <v>47.7581786999091</v>
      </c>
    </row>
    <row r="3985" customFormat="false" ht="15" hidden="false" customHeight="false" outlineLevel="0" collapsed="false">
      <c r="A3985" s="0" t="n">
        <v>13</v>
      </c>
      <c r="B3985" s="0" t="n">
        <v>13</v>
      </c>
      <c r="C3985" s="0" t="n">
        <v>2</v>
      </c>
      <c r="D3985" s="0" t="n">
        <f aca="false">-1+A3985*0.125</f>
        <v>0.625</v>
      </c>
      <c r="E3985" s="0" t="n">
        <f aca="false">-1+B3985*0.125</f>
        <v>0.625</v>
      </c>
      <c r="F3985" s="0" t="n">
        <f aca="false">-1+C3985*0.125</f>
        <v>-0.75</v>
      </c>
      <c r="G3985" s="0" t="n">
        <f aca="false">1</f>
        <v>1</v>
      </c>
      <c r="H3985" s="0" t="n">
        <f aca="false">D3985</f>
        <v>0.625</v>
      </c>
      <c r="I3985" s="0" t="n">
        <f aca="false">E3985</f>
        <v>0.625</v>
      </c>
      <c r="J3985" s="0" t="n">
        <f aca="false">F3985</f>
        <v>-0.75</v>
      </c>
      <c r="K3985" s="0" t="n">
        <f aca="false">D3985*E3985</f>
        <v>0.390625</v>
      </c>
      <c r="L3985" s="0" t="n">
        <f aca="false">D3985*F3985</f>
        <v>-0.46875</v>
      </c>
      <c r="M3985" s="0" t="n">
        <f aca="false">E3985*F3985</f>
        <v>-0.46875</v>
      </c>
      <c r="N3985" s="0" t="n">
        <f aca="false">D3985*D3985</f>
        <v>0.390625</v>
      </c>
      <c r="O3985" s="0" t="n">
        <f aca="false">E3985*E3985</f>
        <v>0.390625</v>
      </c>
      <c r="P3985" s="0" t="n">
        <f aca="false">F3985*F3985</f>
        <v>0.5625</v>
      </c>
      <c r="Q3985" s="0" t="n">
        <f aca="false">SUMPRODUCT(G3985:P3985,_XtX!$B$71:$K$71)</f>
        <v>48.1932457386364</v>
      </c>
      <c r="R3985" s="0" t="n">
        <f aca="false">SUMPRODUCT(MMULT(G3985:P3985,_XtX!$B$58:$K$67),G3985:P3985)</f>
        <v>0.268966952237216</v>
      </c>
      <c r="S3985" s="0" t="n">
        <f aca="false">04_回帰ANOVA!$K$19*04_回帰ANOVA!$K$14*SQRT(1+R3985)</f>
        <v>1.04734989137801</v>
      </c>
      <c r="T3985" s="0" t="n">
        <f aca="false">Q3985-S3985</f>
        <v>47.1458958472584</v>
      </c>
      <c r="U3985" s="0" t="n">
        <f aca="false">Q3985+S3985</f>
        <v>49.2405956300144</v>
      </c>
      <c r="V3985" s="54" t="b">
        <f aca="false">AND(D3985&gt;=01_因子設定!$L$5-0.000000001,D3985&lt;=01_因子設定!$M$5+0.000000001,E3985&gt;=01_因子設定!$L$6-0.000000001,E3985&lt;=01_因子設定!$M$6+0.000000001,F3985&gt;=01_因子設定!$L$7-0.000000001,F3985&lt;=01_因子設定!$M$7+0.000000001,IF(01_因子設定!$B$20="Box-Behnken",D3985^2+E3985^2+F3985^2&lt;=2+0.000000001,TRUE()))</f>
        <v>1</v>
      </c>
      <c r="W3985" s="55" t="n">
        <f aca="false">IF(V3985,IF(01_因子設定!$B$13="最大化",T3985-01_因子設定!$B$14,IF(01_因子設定!$B$13="最小化",01_因子設定!$B$15-U3985,MIN(T3985-01_因子設定!$B$14,01_因子設定!$B$15-U3985))),-1E+030)</f>
        <v>-1.35410415274163</v>
      </c>
      <c r="X3985" s="55" t="n">
        <f aca="false">IF(V3985,IF(01_因子設定!$B$13="最大化",Q3985,IF(01_因子設定!$B$13="最小化",-Q3985,-ABS(Q3985-01_因子設定!$B$16))),-1E+030)</f>
        <v>48.1932457386364</v>
      </c>
      <c r="Y3985" s="55" t="n">
        <f aca="false">W3985+ROW()*0.000000001</f>
        <v>-1.35410016774163</v>
      </c>
      <c r="Z3985" s="55" t="n">
        <f aca="false">X3985+ROW()*0.000000001</f>
        <v>48.1932497236364</v>
      </c>
    </row>
    <row r="3986" customFormat="false" ht="15" hidden="false" customHeight="false" outlineLevel="0" collapsed="false">
      <c r="A3986" s="0" t="n">
        <v>13</v>
      </c>
      <c r="B3986" s="0" t="n">
        <v>13</v>
      </c>
      <c r="C3986" s="0" t="n">
        <v>3</v>
      </c>
      <c r="D3986" s="0" t="n">
        <f aca="false">-1+A3986*0.125</f>
        <v>0.625</v>
      </c>
      <c r="E3986" s="0" t="n">
        <f aca="false">-1+B3986*0.125</f>
        <v>0.625</v>
      </c>
      <c r="F3986" s="0" t="n">
        <f aca="false">-1+C3986*0.125</f>
        <v>-0.625</v>
      </c>
      <c r="G3986" s="0" t="n">
        <f aca="false">1</f>
        <v>1</v>
      </c>
      <c r="H3986" s="0" t="n">
        <f aca="false">D3986</f>
        <v>0.625</v>
      </c>
      <c r="I3986" s="0" t="n">
        <f aca="false">E3986</f>
        <v>0.625</v>
      </c>
      <c r="J3986" s="0" t="n">
        <f aca="false">F3986</f>
        <v>-0.625</v>
      </c>
      <c r="K3986" s="0" t="n">
        <f aca="false">D3986*E3986</f>
        <v>0.390625</v>
      </c>
      <c r="L3986" s="0" t="n">
        <f aca="false">D3986*F3986</f>
        <v>-0.390625</v>
      </c>
      <c r="M3986" s="0" t="n">
        <f aca="false">E3986*F3986</f>
        <v>-0.390625</v>
      </c>
      <c r="N3986" s="0" t="n">
        <f aca="false">D3986*D3986</f>
        <v>0.390625</v>
      </c>
      <c r="O3986" s="0" t="n">
        <f aca="false">E3986*E3986</f>
        <v>0.390625</v>
      </c>
      <c r="P3986" s="0" t="n">
        <f aca="false">F3986*F3986</f>
        <v>0.390625</v>
      </c>
      <c r="Q3986" s="0" t="n">
        <f aca="false">SUMPRODUCT(G3986:P3986,_XtX!$B$71:$K$71)</f>
        <v>48.5915269886364</v>
      </c>
      <c r="R3986" s="0" t="n">
        <f aca="false">SUMPRODUCT(MMULT(G3986:P3986,_XtX!$B$58:$K$67),G3986:P3986)</f>
        <v>0.227670565518466</v>
      </c>
      <c r="S3986" s="0" t="n">
        <f aca="false">04_回帰ANOVA!$K$19*04_回帰ANOVA!$K$14*SQRT(1+R3986)</f>
        <v>1.03016681975165</v>
      </c>
      <c r="T3986" s="0" t="n">
        <f aca="false">Q3986-S3986</f>
        <v>47.5613601688847</v>
      </c>
      <c r="U3986" s="0" t="n">
        <f aca="false">Q3986+S3986</f>
        <v>49.621693808388</v>
      </c>
      <c r="V3986" s="54" t="b">
        <f aca="false">AND(D3986&gt;=01_因子設定!$L$5-0.000000001,D3986&lt;=01_因子設定!$M$5+0.000000001,E3986&gt;=01_因子設定!$L$6-0.000000001,E3986&lt;=01_因子設定!$M$6+0.000000001,F3986&gt;=01_因子設定!$L$7-0.000000001,F3986&lt;=01_因子設定!$M$7+0.000000001,IF(01_因子設定!$B$20="Box-Behnken",D3986^2+E3986^2+F3986^2&lt;=2+0.000000001,TRUE()))</f>
        <v>1</v>
      </c>
      <c r="W3986" s="55" t="n">
        <f aca="false">IF(V3986,IF(01_因子設定!$B$13="最大化",T3986-01_因子設定!$B$14,IF(01_因子設定!$B$13="最小化",01_因子設定!$B$15-U3986,MIN(T3986-01_因子設定!$B$14,01_因子設定!$B$15-U3986))),-1E+030)</f>
        <v>-0.938639831115275</v>
      </c>
      <c r="X3986" s="55" t="n">
        <f aca="false">IF(V3986,IF(01_因子設定!$B$13="最大化",Q3986,IF(01_因子設定!$B$13="最小化",-Q3986,-ABS(Q3986-01_因子設定!$B$16))),-1E+030)</f>
        <v>48.5915269886364</v>
      </c>
      <c r="Y3986" s="55" t="n">
        <f aca="false">W3986+ROW()*0.000000001</f>
        <v>-0.938635845115275</v>
      </c>
      <c r="Z3986" s="55" t="n">
        <f aca="false">X3986+ROW()*0.000000001</f>
        <v>48.5915309746364</v>
      </c>
    </row>
    <row r="3987" customFormat="false" ht="15" hidden="false" customHeight="false" outlineLevel="0" collapsed="false">
      <c r="A3987" s="0" t="n">
        <v>13</v>
      </c>
      <c r="B3987" s="0" t="n">
        <v>13</v>
      </c>
      <c r="C3987" s="0" t="n">
        <v>4</v>
      </c>
      <c r="D3987" s="0" t="n">
        <f aca="false">-1+A3987*0.125</f>
        <v>0.625</v>
      </c>
      <c r="E3987" s="0" t="n">
        <f aca="false">-1+B3987*0.125</f>
        <v>0.625</v>
      </c>
      <c r="F3987" s="0" t="n">
        <f aca="false">-1+C3987*0.125</f>
        <v>-0.5</v>
      </c>
      <c r="G3987" s="0" t="n">
        <f aca="false">1</f>
        <v>1</v>
      </c>
      <c r="H3987" s="0" t="n">
        <f aca="false">D3987</f>
        <v>0.625</v>
      </c>
      <c r="I3987" s="0" t="n">
        <f aca="false">E3987</f>
        <v>0.625</v>
      </c>
      <c r="J3987" s="0" t="n">
        <f aca="false">F3987</f>
        <v>-0.5</v>
      </c>
      <c r="K3987" s="0" t="n">
        <f aca="false">D3987*E3987</f>
        <v>0.390625</v>
      </c>
      <c r="L3987" s="0" t="n">
        <f aca="false">D3987*F3987</f>
        <v>-0.3125</v>
      </c>
      <c r="M3987" s="0" t="n">
        <f aca="false">E3987*F3987</f>
        <v>-0.3125</v>
      </c>
      <c r="N3987" s="0" t="n">
        <f aca="false">D3987*D3987</f>
        <v>0.390625</v>
      </c>
      <c r="O3987" s="0" t="n">
        <f aca="false">E3987*E3987</f>
        <v>0.390625</v>
      </c>
      <c r="P3987" s="0" t="n">
        <f aca="false">F3987*F3987</f>
        <v>0.25</v>
      </c>
      <c r="Q3987" s="0" t="n">
        <f aca="false">SUMPRODUCT(G3987:P3987,_XtX!$B$71:$K$71)</f>
        <v>48.9530184659091</v>
      </c>
      <c r="R3987" s="0" t="n">
        <f aca="false">SUMPRODUCT(MMULT(G3987:P3987,_XtX!$B$58:$K$67),G3987:P3987)</f>
        <v>0.209862726384943</v>
      </c>
      <c r="S3987" s="0" t="n">
        <f aca="false">04_回帰ANOVA!$K$19*04_回帰ANOVA!$K$14*SQRT(1+R3987)</f>
        <v>1.0226680420112</v>
      </c>
      <c r="T3987" s="0" t="n">
        <f aca="false">Q3987-S3987</f>
        <v>47.9303504238979</v>
      </c>
      <c r="U3987" s="0" t="n">
        <f aca="false">Q3987+S3987</f>
        <v>49.9756865079203</v>
      </c>
      <c r="V3987" s="54" t="b">
        <f aca="false">AND(D3987&gt;=01_因子設定!$L$5-0.000000001,D3987&lt;=01_因子設定!$M$5+0.000000001,E3987&gt;=01_因子設定!$L$6-0.000000001,E3987&lt;=01_因子設定!$M$6+0.000000001,F3987&gt;=01_因子設定!$L$7-0.000000001,F3987&lt;=01_因子設定!$M$7+0.000000001,IF(01_因子設定!$B$20="Box-Behnken",D3987^2+E3987^2+F3987^2&lt;=2+0.000000001,TRUE()))</f>
        <v>1</v>
      </c>
      <c r="W3987" s="55" t="n">
        <f aca="false">IF(V3987,IF(01_因子設定!$B$13="最大化",T3987-01_因子設定!$B$14,IF(01_因子設定!$B$13="最小化",01_因子設定!$B$15-U3987,MIN(T3987-01_因子設定!$B$14,01_因子設定!$B$15-U3987))),-1E+030)</f>
        <v>-0.569649576102101</v>
      </c>
      <c r="X3987" s="55" t="n">
        <f aca="false">IF(V3987,IF(01_因子設定!$B$13="最大化",Q3987,IF(01_因子設定!$B$13="最小化",-Q3987,-ABS(Q3987-01_因子設定!$B$16))),-1E+030)</f>
        <v>48.9530184659091</v>
      </c>
      <c r="Y3987" s="55" t="n">
        <f aca="false">W3987+ROW()*0.000000001</f>
        <v>-0.569645589102101</v>
      </c>
      <c r="Z3987" s="55" t="n">
        <f aca="false">X3987+ROW()*0.000000001</f>
        <v>48.9530224529091</v>
      </c>
    </row>
    <row r="3988" customFormat="false" ht="15" hidden="false" customHeight="false" outlineLevel="0" collapsed="false">
      <c r="A3988" s="0" t="n">
        <v>13</v>
      </c>
      <c r="B3988" s="0" t="n">
        <v>13</v>
      </c>
      <c r="C3988" s="0" t="n">
        <v>5</v>
      </c>
      <c r="D3988" s="0" t="n">
        <f aca="false">-1+A3988*0.125</f>
        <v>0.625</v>
      </c>
      <c r="E3988" s="0" t="n">
        <f aca="false">-1+B3988*0.125</f>
        <v>0.625</v>
      </c>
      <c r="F3988" s="0" t="n">
        <f aca="false">-1+C3988*0.125</f>
        <v>-0.375</v>
      </c>
      <c r="G3988" s="0" t="n">
        <f aca="false">1</f>
        <v>1</v>
      </c>
      <c r="H3988" s="0" t="n">
        <f aca="false">D3988</f>
        <v>0.625</v>
      </c>
      <c r="I3988" s="0" t="n">
        <f aca="false">E3988</f>
        <v>0.625</v>
      </c>
      <c r="J3988" s="0" t="n">
        <f aca="false">F3988</f>
        <v>-0.375</v>
      </c>
      <c r="K3988" s="0" t="n">
        <f aca="false">D3988*E3988</f>
        <v>0.390625</v>
      </c>
      <c r="L3988" s="0" t="n">
        <f aca="false">D3988*F3988</f>
        <v>-0.234375</v>
      </c>
      <c r="M3988" s="0" t="n">
        <f aca="false">E3988*F3988</f>
        <v>-0.234375</v>
      </c>
      <c r="N3988" s="0" t="n">
        <f aca="false">D3988*D3988</f>
        <v>0.390625</v>
      </c>
      <c r="O3988" s="0" t="n">
        <f aca="false">E3988*E3988</f>
        <v>0.390625</v>
      </c>
      <c r="P3988" s="0" t="n">
        <f aca="false">F3988*F3988</f>
        <v>0.140625</v>
      </c>
      <c r="Q3988" s="0" t="n">
        <f aca="false">SUMPRODUCT(G3988:P3988,_XtX!$B$71:$K$71)</f>
        <v>49.2777201704546</v>
      </c>
      <c r="R3988" s="0" t="n">
        <f aca="false">SUMPRODUCT(MMULT(G3988:P3988,_XtX!$B$58:$K$67),G3988:P3988)</f>
        <v>0.20595536665483</v>
      </c>
      <c r="S3988" s="0" t="n">
        <f aca="false">04_回帰ANOVA!$K$19*04_回帰ANOVA!$K$14*SQRT(1+R3988)</f>
        <v>1.02101530762963</v>
      </c>
      <c r="T3988" s="0" t="n">
        <f aca="false">Q3988-S3988</f>
        <v>48.2567048628249</v>
      </c>
      <c r="U3988" s="0" t="n">
        <f aca="false">Q3988+S3988</f>
        <v>50.2987354780842</v>
      </c>
      <c r="V3988" s="54" t="b">
        <f aca="false">AND(D3988&gt;=01_因子設定!$L$5-0.000000001,D3988&lt;=01_因子設定!$M$5+0.000000001,E3988&gt;=01_因子設定!$L$6-0.000000001,E3988&lt;=01_因子設定!$M$6+0.000000001,F3988&gt;=01_因子設定!$L$7-0.000000001,F3988&lt;=01_因子設定!$M$7+0.000000001,IF(01_因子設定!$B$20="Box-Behnken",D3988^2+E3988^2+F3988^2&lt;=2+0.000000001,TRUE()))</f>
        <v>1</v>
      </c>
      <c r="W3988" s="55" t="n">
        <f aca="false">IF(V3988,IF(01_因子設定!$B$13="最大化",T3988-01_因子設定!$B$14,IF(01_因子設定!$B$13="最小化",01_因子設定!$B$15-U3988,MIN(T3988-01_因子設定!$B$14,01_因子設定!$B$15-U3988))),-1E+030)</f>
        <v>-0.243295137175075</v>
      </c>
      <c r="X3988" s="55" t="n">
        <f aca="false">IF(V3988,IF(01_因子設定!$B$13="最大化",Q3988,IF(01_因子設定!$B$13="最小化",-Q3988,-ABS(Q3988-01_因子設定!$B$16))),-1E+030)</f>
        <v>49.2777201704546</v>
      </c>
      <c r="Y3988" s="55" t="n">
        <f aca="false">W3988+ROW()*0.000000001</f>
        <v>-0.243291149175075</v>
      </c>
      <c r="Z3988" s="55" t="n">
        <f aca="false">X3988+ROW()*0.000000001</f>
        <v>49.2777241584546</v>
      </c>
    </row>
    <row r="3989" customFormat="false" ht="15" hidden="false" customHeight="false" outlineLevel="0" collapsed="false">
      <c r="A3989" s="0" t="n">
        <v>13</v>
      </c>
      <c r="B3989" s="0" t="n">
        <v>13</v>
      </c>
      <c r="C3989" s="0" t="n">
        <v>6</v>
      </c>
      <c r="D3989" s="0" t="n">
        <f aca="false">-1+A3989*0.125</f>
        <v>0.625</v>
      </c>
      <c r="E3989" s="0" t="n">
        <f aca="false">-1+B3989*0.125</f>
        <v>0.625</v>
      </c>
      <c r="F3989" s="0" t="n">
        <f aca="false">-1+C3989*0.125</f>
        <v>-0.25</v>
      </c>
      <c r="G3989" s="0" t="n">
        <f aca="false">1</f>
        <v>1</v>
      </c>
      <c r="H3989" s="0" t="n">
        <f aca="false">D3989</f>
        <v>0.625</v>
      </c>
      <c r="I3989" s="0" t="n">
        <f aca="false">E3989</f>
        <v>0.625</v>
      </c>
      <c r="J3989" s="0" t="n">
        <f aca="false">F3989</f>
        <v>-0.25</v>
      </c>
      <c r="K3989" s="0" t="n">
        <f aca="false">D3989*E3989</f>
        <v>0.390625</v>
      </c>
      <c r="L3989" s="0" t="n">
        <f aca="false">D3989*F3989</f>
        <v>-0.15625</v>
      </c>
      <c r="M3989" s="0" t="n">
        <f aca="false">E3989*F3989</f>
        <v>-0.15625</v>
      </c>
      <c r="N3989" s="0" t="n">
        <f aca="false">D3989*D3989</f>
        <v>0.390625</v>
      </c>
      <c r="O3989" s="0" t="n">
        <f aca="false">E3989*E3989</f>
        <v>0.390625</v>
      </c>
      <c r="P3989" s="0" t="n">
        <f aca="false">F3989*F3989</f>
        <v>0.0625</v>
      </c>
      <c r="Q3989" s="0" t="n">
        <f aca="false">SUMPRODUCT(G3989:P3989,_XtX!$B$71:$K$71)</f>
        <v>49.5656321022727</v>
      </c>
      <c r="R3989" s="0" t="n">
        <f aca="false">SUMPRODUCT(MMULT(G3989:P3989,_XtX!$B$58:$K$67),G3989:P3989)</f>
        <v>0.208491099964489</v>
      </c>
      <c r="S3989" s="0" t="n">
        <f aca="false">04_回帰ANOVA!$K$19*04_回帰ANOVA!$K$14*SQRT(1+R3989)</f>
        <v>1.02208817610259</v>
      </c>
      <c r="T3989" s="0" t="n">
        <f aca="false">Q3989-S3989</f>
        <v>48.5435439261701</v>
      </c>
      <c r="U3989" s="0" t="n">
        <f aca="false">Q3989+S3989</f>
        <v>50.5877202783753</v>
      </c>
      <c r="V3989" s="54" t="b">
        <f aca="false">AND(D3989&gt;=01_因子設定!$L$5-0.000000001,D3989&lt;=01_因子設定!$M$5+0.000000001,E3989&gt;=01_因子設定!$L$6-0.000000001,E3989&lt;=01_因子設定!$M$6+0.000000001,F3989&gt;=01_因子設定!$L$7-0.000000001,F3989&lt;=01_因子設定!$M$7+0.000000001,IF(01_因子設定!$B$20="Box-Behnken",D3989^2+E3989^2+F3989^2&lt;=2+0.000000001,TRUE()))</f>
        <v>1</v>
      </c>
      <c r="W3989" s="55" t="n">
        <f aca="false">IF(V3989,IF(01_因子設定!$B$13="最大化",T3989-01_因子設定!$B$14,IF(01_因子設定!$B$13="最小化",01_因子設定!$B$15-U3989,MIN(T3989-01_因子設定!$B$14,01_因子設定!$B$15-U3989))),-1E+030)</f>
        <v>0.0435439261701447</v>
      </c>
      <c r="X3989" s="55" t="n">
        <f aca="false">IF(V3989,IF(01_因子設定!$B$13="最大化",Q3989,IF(01_因子設定!$B$13="最小化",-Q3989,-ABS(Q3989-01_因子設定!$B$16))),-1E+030)</f>
        <v>49.5656321022727</v>
      </c>
      <c r="Y3989" s="55" t="n">
        <f aca="false">W3989+ROW()*0.000000001</f>
        <v>0.0435479151701447</v>
      </c>
      <c r="Z3989" s="55" t="n">
        <f aca="false">X3989+ROW()*0.000000001</f>
        <v>49.5656360912727</v>
      </c>
    </row>
    <row r="3990" customFormat="false" ht="15" hidden="false" customHeight="false" outlineLevel="0" collapsed="false">
      <c r="A3990" s="0" t="n">
        <v>13</v>
      </c>
      <c r="B3990" s="0" t="n">
        <v>13</v>
      </c>
      <c r="C3990" s="0" t="n">
        <v>7</v>
      </c>
      <c r="D3990" s="0" t="n">
        <f aca="false">-1+A3990*0.125</f>
        <v>0.625</v>
      </c>
      <c r="E3990" s="0" t="n">
        <f aca="false">-1+B3990*0.125</f>
        <v>0.625</v>
      </c>
      <c r="F3990" s="0" t="n">
        <f aca="false">-1+C3990*0.125</f>
        <v>-0.125</v>
      </c>
      <c r="G3990" s="0" t="n">
        <f aca="false">1</f>
        <v>1</v>
      </c>
      <c r="H3990" s="0" t="n">
        <f aca="false">D3990</f>
        <v>0.625</v>
      </c>
      <c r="I3990" s="0" t="n">
        <f aca="false">E3990</f>
        <v>0.625</v>
      </c>
      <c r="J3990" s="0" t="n">
        <f aca="false">F3990</f>
        <v>-0.125</v>
      </c>
      <c r="K3990" s="0" t="n">
        <f aca="false">D3990*E3990</f>
        <v>0.390625</v>
      </c>
      <c r="L3990" s="0" t="n">
        <f aca="false">D3990*F3990</f>
        <v>-0.078125</v>
      </c>
      <c r="M3990" s="0" t="n">
        <f aca="false">E3990*F3990</f>
        <v>-0.078125</v>
      </c>
      <c r="N3990" s="0" t="n">
        <f aca="false">D3990*D3990</f>
        <v>0.390625</v>
      </c>
      <c r="O3990" s="0" t="n">
        <f aca="false">E3990*E3990</f>
        <v>0.390625</v>
      </c>
      <c r="P3990" s="0" t="n">
        <f aca="false">F3990*F3990</f>
        <v>0.015625</v>
      </c>
      <c r="Q3990" s="0" t="n">
        <f aca="false">SUMPRODUCT(G3990:P3990,_XtX!$B$71:$K$71)</f>
        <v>49.8167542613636</v>
      </c>
      <c r="R3990" s="0" t="n">
        <f aca="false">SUMPRODUCT(MMULT(G3990:P3990,_XtX!$B$58:$K$67),G3990:P3990)</f>
        <v>0.212143221768466</v>
      </c>
      <c r="S3990" s="0" t="n">
        <f aca="false">04_回帰ANOVA!$K$19*04_回帰ANOVA!$K$14*SQRT(1+R3990)</f>
        <v>1.02363141237304</v>
      </c>
      <c r="T3990" s="0" t="n">
        <f aca="false">Q3990-S3990</f>
        <v>48.7931228489906</v>
      </c>
      <c r="U3990" s="0" t="n">
        <f aca="false">Q3990+S3990</f>
        <v>50.8403856737367</v>
      </c>
      <c r="V3990" s="54" t="b">
        <f aca="false">AND(D3990&gt;=01_因子設定!$L$5-0.000000001,D3990&lt;=01_因子設定!$M$5+0.000000001,E3990&gt;=01_因子設定!$L$6-0.000000001,E3990&lt;=01_因子設定!$M$6+0.000000001,F3990&gt;=01_因子設定!$L$7-0.000000001,F3990&lt;=01_因子設定!$M$7+0.000000001,IF(01_因子設定!$B$20="Box-Behnken",D3990^2+E3990^2+F3990^2&lt;=2+0.000000001,TRUE()))</f>
        <v>1</v>
      </c>
      <c r="W3990" s="55" t="n">
        <f aca="false">IF(V3990,IF(01_因子設定!$B$13="最大化",T3990-01_因子設定!$B$14,IF(01_因子設定!$B$13="最小化",01_因子設定!$B$15-U3990,MIN(T3990-01_因子設定!$B$14,01_因子設定!$B$15-U3990))),-1E+030)</f>
        <v>0.293122848990599</v>
      </c>
      <c r="X3990" s="55" t="n">
        <f aca="false">IF(V3990,IF(01_因子設定!$B$13="最大化",Q3990,IF(01_因子設定!$B$13="最小化",-Q3990,-ABS(Q3990-01_因子設定!$B$16))),-1E+030)</f>
        <v>49.8167542613636</v>
      </c>
      <c r="Y3990" s="55" t="n">
        <f aca="false">W3990+ROW()*0.000000001</f>
        <v>0.293126838990599</v>
      </c>
      <c r="Z3990" s="55" t="n">
        <f aca="false">X3990+ROW()*0.000000001</f>
        <v>49.8167582513636</v>
      </c>
    </row>
    <row r="3991" customFormat="false" ht="15" hidden="false" customHeight="false" outlineLevel="0" collapsed="false">
      <c r="A3991" s="0" t="n">
        <v>13</v>
      </c>
      <c r="B3991" s="0" t="n">
        <v>13</v>
      </c>
      <c r="C3991" s="0" t="n">
        <v>8</v>
      </c>
      <c r="D3991" s="0" t="n">
        <f aca="false">-1+A3991*0.125</f>
        <v>0.625</v>
      </c>
      <c r="E3991" s="0" t="n">
        <f aca="false">-1+B3991*0.125</f>
        <v>0.625</v>
      </c>
      <c r="F3991" s="0" t="n">
        <f aca="false">-1+C3991*0.125</f>
        <v>0</v>
      </c>
      <c r="G3991" s="0" t="n">
        <f aca="false">1</f>
        <v>1</v>
      </c>
      <c r="H3991" s="0" t="n">
        <f aca="false">D3991</f>
        <v>0.625</v>
      </c>
      <c r="I3991" s="0" t="n">
        <f aca="false">E3991</f>
        <v>0.625</v>
      </c>
      <c r="J3991" s="0" t="n">
        <f aca="false">F3991</f>
        <v>0</v>
      </c>
      <c r="K3991" s="0" t="n">
        <f aca="false">D3991*E3991</f>
        <v>0.390625</v>
      </c>
      <c r="L3991" s="0" t="n">
        <f aca="false">D3991*F3991</f>
        <v>0</v>
      </c>
      <c r="M3991" s="0" t="n">
        <f aca="false">E3991*F3991</f>
        <v>0</v>
      </c>
      <c r="N3991" s="0" t="n">
        <f aca="false">D3991*D3991</f>
        <v>0.390625</v>
      </c>
      <c r="O3991" s="0" t="n">
        <f aca="false">E3991*E3991</f>
        <v>0.390625</v>
      </c>
      <c r="P3991" s="0" t="n">
        <f aca="false">F3991*F3991</f>
        <v>0</v>
      </c>
      <c r="Q3991" s="0" t="n">
        <f aca="false">SUMPRODUCT(G3991:P3991,_XtX!$B$71:$K$71)</f>
        <v>50.0310866477273</v>
      </c>
      <c r="R3991" s="0" t="n">
        <f aca="false">SUMPRODUCT(MMULT(G3991:P3991,_XtX!$B$58:$K$67),G3991:P3991)</f>
        <v>0.213715709339489</v>
      </c>
      <c r="S3991" s="0" t="n">
        <f aca="false">04_回帰ANOVA!$K$19*04_回帰ANOVA!$K$14*SQRT(1+R3991)</f>
        <v>1.02429516478377</v>
      </c>
      <c r="T3991" s="0" t="n">
        <f aca="false">Q3991-S3991</f>
        <v>49.0067914829435</v>
      </c>
      <c r="U3991" s="0" t="n">
        <f aca="false">Q3991+S3991</f>
        <v>51.0553818125111</v>
      </c>
      <c r="V3991" s="54" t="b">
        <f aca="false">AND(D3991&gt;=01_因子設定!$L$5-0.000000001,D3991&lt;=01_因子設定!$M$5+0.000000001,E3991&gt;=01_因子設定!$L$6-0.000000001,E3991&lt;=01_因子設定!$M$6+0.000000001,F3991&gt;=01_因子設定!$L$7-0.000000001,F3991&lt;=01_因子設定!$M$7+0.000000001,IF(01_因子設定!$B$20="Box-Behnken",D3991^2+E3991^2+F3991^2&lt;=2+0.000000001,TRUE()))</f>
        <v>1</v>
      </c>
      <c r="W3991" s="55" t="n">
        <f aca="false">IF(V3991,IF(01_因子設定!$B$13="最大化",T3991-01_因子設定!$B$14,IF(01_因子設定!$B$13="最小化",01_因子設定!$B$15-U3991,MIN(T3991-01_因子設定!$B$14,01_因子設定!$B$15-U3991))),-1E+030)</f>
        <v>0.506791482943505</v>
      </c>
      <c r="X3991" s="55" t="n">
        <f aca="false">IF(V3991,IF(01_因子設定!$B$13="最大化",Q3991,IF(01_因子設定!$B$13="最小化",-Q3991,-ABS(Q3991-01_因子設定!$B$16))),-1E+030)</f>
        <v>50.0310866477273</v>
      </c>
      <c r="Y3991" s="55" t="n">
        <f aca="false">W3991+ROW()*0.000000001</f>
        <v>0.506795473943505</v>
      </c>
      <c r="Z3991" s="55" t="n">
        <f aca="false">X3991+ROW()*0.000000001</f>
        <v>50.0310906387273</v>
      </c>
    </row>
    <row r="3992" customFormat="false" ht="15" hidden="false" customHeight="false" outlineLevel="0" collapsed="false">
      <c r="A3992" s="0" t="n">
        <v>13</v>
      </c>
      <c r="B3992" s="0" t="n">
        <v>13</v>
      </c>
      <c r="C3992" s="0" t="n">
        <v>9</v>
      </c>
      <c r="D3992" s="0" t="n">
        <f aca="false">-1+A3992*0.125</f>
        <v>0.625</v>
      </c>
      <c r="E3992" s="0" t="n">
        <f aca="false">-1+B3992*0.125</f>
        <v>0.625</v>
      </c>
      <c r="F3992" s="0" t="n">
        <f aca="false">-1+C3992*0.125</f>
        <v>0.125</v>
      </c>
      <c r="G3992" s="0" t="n">
        <f aca="false">1</f>
        <v>1</v>
      </c>
      <c r="H3992" s="0" t="n">
        <f aca="false">D3992</f>
        <v>0.625</v>
      </c>
      <c r="I3992" s="0" t="n">
        <f aca="false">E3992</f>
        <v>0.625</v>
      </c>
      <c r="J3992" s="0" t="n">
        <f aca="false">F3992</f>
        <v>0.125</v>
      </c>
      <c r="K3992" s="0" t="n">
        <f aca="false">D3992*E3992</f>
        <v>0.390625</v>
      </c>
      <c r="L3992" s="0" t="n">
        <f aca="false">D3992*F3992</f>
        <v>0.078125</v>
      </c>
      <c r="M3992" s="0" t="n">
        <f aca="false">E3992*F3992</f>
        <v>0.078125</v>
      </c>
      <c r="N3992" s="0" t="n">
        <f aca="false">D3992*D3992</f>
        <v>0.390625</v>
      </c>
      <c r="O3992" s="0" t="n">
        <f aca="false">E3992*E3992</f>
        <v>0.390625</v>
      </c>
      <c r="P3992" s="0" t="n">
        <f aca="false">F3992*F3992</f>
        <v>0.015625</v>
      </c>
      <c r="Q3992" s="0" t="n">
        <f aca="false">SUMPRODUCT(G3992:P3992,_XtX!$B$71:$K$71)</f>
        <v>50.2086292613636</v>
      </c>
      <c r="R3992" s="0" t="n">
        <f aca="false">SUMPRODUCT(MMULT(G3992:P3992,_XtX!$B$58:$K$67),G3992:P3992)</f>
        <v>0.212143221768466</v>
      </c>
      <c r="S3992" s="0" t="n">
        <f aca="false">04_回帰ANOVA!$K$19*04_回帰ANOVA!$K$14*SQRT(1+R3992)</f>
        <v>1.02363141237304</v>
      </c>
      <c r="T3992" s="0" t="n">
        <f aca="false">Q3992-S3992</f>
        <v>49.1849978489906</v>
      </c>
      <c r="U3992" s="0" t="n">
        <f aca="false">Q3992+S3992</f>
        <v>51.2322606737367</v>
      </c>
      <c r="V3992" s="54" t="b">
        <f aca="false">AND(D3992&gt;=01_因子設定!$L$5-0.000000001,D3992&lt;=01_因子設定!$M$5+0.000000001,E3992&gt;=01_因子設定!$L$6-0.000000001,E3992&lt;=01_因子設定!$M$6+0.000000001,F3992&gt;=01_因子設定!$L$7-0.000000001,F3992&lt;=01_因子設定!$M$7+0.000000001,IF(01_因子設定!$B$20="Box-Behnken",D3992^2+E3992^2+F3992^2&lt;=2+0.000000001,TRUE()))</f>
        <v>1</v>
      </c>
      <c r="W3992" s="55" t="n">
        <f aca="false">IF(V3992,IF(01_因子設定!$B$13="最大化",T3992-01_因子設定!$B$14,IF(01_因子設定!$B$13="最小化",01_因子設定!$B$15-U3992,MIN(T3992-01_因子設定!$B$14,01_因子設定!$B$15-U3992))),-1E+030)</f>
        <v>0.684997848990598</v>
      </c>
      <c r="X3992" s="55" t="n">
        <f aca="false">IF(V3992,IF(01_因子設定!$B$13="最大化",Q3992,IF(01_因子設定!$B$13="最小化",-Q3992,-ABS(Q3992-01_因子設定!$B$16))),-1E+030)</f>
        <v>50.2086292613636</v>
      </c>
      <c r="Y3992" s="55" t="n">
        <f aca="false">W3992+ROW()*0.000000001</f>
        <v>0.685001840990598</v>
      </c>
      <c r="Z3992" s="55" t="n">
        <f aca="false">X3992+ROW()*0.000000001</f>
        <v>50.2086332533636</v>
      </c>
    </row>
    <row r="3993" customFormat="false" ht="15" hidden="false" customHeight="false" outlineLevel="0" collapsed="false">
      <c r="A3993" s="0" t="n">
        <v>13</v>
      </c>
      <c r="B3993" s="0" t="n">
        <v>13</v>
      </c>
      <c r="C3993" s="0" t="n">
        <v>10</v>
      </c>
      <c r="D3993" s="0" t="n">
        <f aca="false">-1+A3993*0.125</f>
        <v>0.625</v>
      </c>
      <c r="E3993" s="0" t="n">
        <f aca="false">-1+B3993*0.125</f>
        <v>0.625</v>
      </c>
      <c r="F3993" s="0" t="n">
        <f aca="false">-1+C3993*0.125</f>
        <v>0.25</v>
      </c>
      <c r="G3993" s="0" t="n">
        <f aca="false">1</f>
        <v>1</v>
      </c>
      <c r="H3993" s="0" t="n">
        <f aca="false">D3993</f>
        <v>0.625</v>
      </c>
      <c r="I3993" s="0" t="n">
        <f aca="false">E3993</f>
        <v>0.625</v>
      </c>
      <c r="J3993" s="0" t="n">
        <f aca="false">F3993</f>
        <v>0.25</v>
      </c>
      <c r="K3993" s="0" t="n">
        <f aca="false">D3993*E3993</f>
        <v>0.390625</v>
      </c>
      <c r="L3993" s="0" t="n">
        <f aca="false">D3993*F3993</f>
        <v>0.15625</v>
      </c>
      <c r="M3993" s="0" t="n">
        <f aca="false">E3993*F3993</f>
        <v>0.15625</v>
      </c>
      <c r="N3993" s="0" t="n">
        <f aca="false">D3993*D3993</f>
        <v>0.390625</v>
      </c>
      <c r="O3993" s="0" t="n">
        <f aca="false">E3993*E3993</f>
        <v>0.390625</v>
      </c>
      <c r="P3993" s="0" t="n">
        <f aca="false">F3993*F3993</f>
        <v>0.0625</v>
      </c>
      <c r="Q3993" s="0" t="n">
        <f aca="false">SUMPRODUCT(G3993:P3993,_XtX!$B$71:$K$71)</f>
        <v>50.3493821022727</v>
      </c>
      <c r="R3993" s="0" t="n">
        <f aca="false">SUMPRODUCT(MMULT(G3993:P3993,_XtX!$B$58:$K$67),G3993:P3993)</f>
        <v>0.208491099964489</v>
      </c>
      <c r="S3993" s="0" t="n">
        <f aca="false">04_回帰ANOVA!$K$19*04_回帰ANOVA!$K$14*SQRT(1+R3993)</f>
        <v>1.02208817610259</v>
      </c>
      <c r="T3993" s="0" t="n">
        <f aca="false">Q3993-S3993</f>
        <v>49.3272939261701</v>
      </c>
      <c r="U3993" s="0" t="n">
        <f aca="false">Q3993+S3993</f>
        <v>51.3714702783753</v>
      </c>
      <c r="V3993" s="54" t="b">
        <f aca="false">AND(D3993&gt;=01_因子設定!$L$5-0.000000001,D3993&lt;=01_因子設定!$M$5+0.000000001,E3993&gt;=01_因子設定!$L$6-0.000000001,E3993&lt;=01_因子設定!$M$6+0.000000001,F3993&gt;=01_因子設定!$L$7-0.000000001,F3993&lt;=01_因子設定!$M$7+0.000000001,IF(01_因子設定!$B$20="Box-Behnken",D3993^2+E3993^2+F3993^2&lt;=2+0.000000001,TRUE()))</f>
        <v>1</v>
      </c>
      <c r="W3993" s="55" t="n">
        <f aca="false">IF(V3993,IF(01_因子設定!$B$13="最大化",T3993-01_因子設定!$B$14,IF(01_因子設定!$B$13="最小化",01_因子設定!$B$15-U3993,MIN(T3993-01_因子設定!$B$14,01_因子設定!$B$15-U3993))),-1E+030)</f>
        <v>0.827293926170142</v>
      </c>
      <c r="X3993" s="55" t="n">
        <f aca="false">IF(V3993,IF(01_因子設定!$B$13="最大化",Q3993,IF(01_因子設定!$B$13="最小化",-Q3993,-ABS(Q3993-01_因子設定!$B$16))),-1E+030)</f>
        <v>50.3493821022727</v>
      </c>
      <c r="Y3993" s="55" t="n">
        <f aca="false">W3993+ROW()*0.000000001</f>
        <v>0.827297919170142</v>
      </c>
      <c r="Z3993" s="55" t="n">
        <f aca="false">X3993+ROW()*0.000000001</f>
        <v>50.3493860952727</v>
      </c>
    </row>
    <row r="3994" customFormat="false" ht="15" hidden="false" customHeight="false" outlineLevel="0" collapsed="false">
      <c r="A3994" s="0" t="n">
        <v>13</v>
      </c>
      <c r="B3994" s="0" t="n">
        <v>13</v>
      </c>
      <c r="C3994" s="0" t="n">
        <v>11</v>
      </c>
      <c r="D3994" s="0" t="n">
        <f aca="false">-1+A3994*0.125</f>
        <v>0.625</v>
      </c>
      <c r="E3994" s="0" t="n">
        <f aca="false">-1+B3994*0.125</f>
        <v>0.625</v>
      </c>
      <c r="F3994" s="0" t="n">
        <f aca="false">-1+C3994*0.125</f>
        <v>0.375</v>
      </c>
      <c r="G3994" s="0" t="n">
        <f aca="false">1</f>
        <v>1</v>
      </c>
      <c r="H3994" s="0" t="n">
        <f aca="false">D3994</f>
        <v>0.625</v>
      </c>
      <c r="I3994" s="0" t="n">
        <f aca="false">E3994</f>
        <v>0.625</v>
      </c>
      <c r="J3994" s="0" t="n">
        <f aca="false">F3994</f>
        <v>0.375</v>
      </c>
      <c r="K3994" s="0" t="n">
        <f aca="false">D3994*E3994</f>
        <v>0.390625</v>
      </c>
      <c r="L3994" s="0" t="n">
        <f aca="false">D3994*F3994</f>
        <v>0.234375</v>
      </c>
      <c r="M3994" s="0" t="n">
        <f aca="false">E3994*F3994</f>
        <v>0.234375</v>
      </c>
      <c r="N3994" s="0" t="n">
        <f aca="false">D3994*D3994</f>
        <v>0.390625</v>
      </c>
      <c r="O3994" s="0" t="n">
        <f aca="false">E3994*E3994</f>
        <v>0.390625</v>
      </c>
      <c r="P3994" s="0" t="n">
        <f aca="false">F3994*F3994</f>
        <v>0.140625</v>
      </c>
      <c r="Q3994" s="0" t="n">
        <f aca="false">SUMPRODUCT(G3994:P3994,_XtX!$B$71:$K$71)</f>
        <v>50.4533451704546</v>
      </c>
      <c r="R3994" s="0" t="n">
        <f aca="false">SUMPRODUCT(MMULT(G3994:P3994,_XtX!$B$58:$K$67),G3994:P3994)</f>
        <v>0.20595536665483</v>
      </c>
      <c r="S3994" s="0" t="n">
        <f aca="false">04_回帰ANOVA!$K$19*04_回帰ANOVA!$K$14*SQRT(1+R3994)</f>
        <v>1.02101530762963</v>
      </c>
      <c r="T3994" s="0" t="n">
        <f aca="false">Q3994-S3994</f>
        <v>49.4323298628249</v>
      </c>
      <c r="U3994" s="0" t="n">
        <f aca="false">Q3994+S3994</f>
        <v>51.4743604780842</v>
      </c>
      <c r="V3994" s="54" t="b">
        <f aca="false">AND(D3994&gt;=01_因子設定!$L$5-0.000000001,D3994&lt;=01_因子設定!$M$5+0.000000001,E3994&gt;=01_因子設定!$L$6-0.000000001,E3994&lt;=01_因子設定!$M$6+0.000000001,F3994&gt;=01_因子設定!$L$7-0.000000001,F3994&lt;=01_因子設定!$M$7+0.000000001,IF(01_因子設定!$B$20="Box-Behnken",D3994^2+E3994^2+F3994^2&lt;=2+0.000000001,TRUE()))</f>
        <v>1</v>
      </c>
      <c r="W3994" s="55" t="n">
        <f aca="false">IF(V3994,IF(01_因子設定!$B$13="最大化",T3994-01_因子設定!$B$14,IF(01_因子設定!$B$13="最小化",01_因子設定!$B$15-U3994,MIN(T3994-01_因子設定!$B$14,01_因子設定!$B$15-U3994))),-1E+030)</f>
        <v>0.932329862824922</v>
      </c>
      <c r="X3994" s="55" t="n">
        <f aca="false">IF(V3994,IF(01_因子設定!$B$13="最大化",Q3994,IF(01_因子設定!$B$13="最小化",-Q3994,-ABS(Q3994-01_因子設定!$B$16))),-1E+030)</f>
        <v>50.4533451704546</v>
      </c>
      <c r="Y3994" s="55" t="n">
        <f aca="false">W3994+ROW()*0.000000001</f>
        <v>0.932333856824922</v>
      </c>
      <c r="Z3994" s="55" t="n">
        <f aca="false">X3994+ROW()*0.000000001</f>
        <v>50.4533491644545</v>
      </c>
    </row>
    <row r="3995" customFormat="false" ht="15" hidden="false" customHeight="false" outlineLevel="0" collapsed="false">
      <c r="A3995" s="0" t="n">
        <v>13</v>
      </c>
      <c r="B3995" s="0" t="n">
        <v>13</v>
      </c>
      <c r="C3995" s="0" t="n">
        <v>12</v>
      </c>
      <c r="D3995" s="0" t="n">
        <f aca="false">-1+A3995*0.125</f>
        <v>0.625</v>
      </c>
      <c r="E3995" s="0" t="n">
        <f aca="false">-1+B3995*0.125</f>
        <v>0.625</v>
      </c>
      <c r="F3995" s="0" t="n">
        <f aca="false">-1+C3995*0.125</f>
        <v>0.5</v>
      </c>
      <c r="G3995" s="0" t="n">
        <f aca="false">1</f>
        <v>1</v>
      </c>
      <c r="H3995" s="0" t="n">
        <f aca="false">D3995</f>
        <v>0.625</v>
      </c>
      <c r="I3995" s="0" t="n">
        <f aca="false">E3995</f>
        <v>0.625</v>
      </c>
      <c r="J3995" s="0" t="n">
        <f aca="false">F3995</f>
        <v>0.5</v>
      </c>
      <c r="K3995" s="0" t="n">
        <f aca="false">D3995*E3995</f>
        <v>0.390625</v>
      </c>
      <c r="L3995" s="0" t="n">
        <f aca="false">D3995*F3995</f>
        <v>0.3125</v>
      </c>
      <c r="M3995" s="0" t="n">
        <f aca="false">E3995*F3995</f>
        <v>0.3125</v>
      </c>
      <c r="N3995" s="0" t="n">
        <f aca="false">D3995*D3995</f>
        <v>0.390625</v>
      </c>
      <c r="O3995" s="0" t="n">
        <f aca="false">E3995*E3995</f>
        <v>0.390625</v>
      </c>
      <c r="P3995" s="0" t="n">
        <f aca="false">F3995*F3995</f>
        <v>0.25</v>
      </c>
      <c r="Q3995" s="0" t="n">
        <f aca="false">SUMPRODUCT(G3995:P3995,_XtX!$B$71:$K$71)</f>
        <v>50.5205184659091</v>
      </c>
      <c r="R3995" s="0" t="n">
        <f aca="false">SUMPRODUCT(MMULT(G3995:P3995,_XtX!$B$58:$K$67),G3995:P3995)</f>
        <v>0.209862726384943</v>
      </c>
      <c r="S3995" s="0" t="n">
        <f aca="false">04_回帰ANOVA!$K$19*04_回帰ANOVA!$K$14*SQRT(1+R3995)</f>
        <v>1.0226680420112</v>
      </c>
      <c r="T3995" s="0" t="n">
        <f aca="false">Q3995-S3995</f>
        <v>49.4978504238979</v>
      </c>
      <c r="U3995" s="0" t="n">
        <f aca="false">Q3995+S3995</f>
        <v>51.5431865079203</v>
      </c>
      <c r="V3995" s="54" t="b">
        <f aca="false">AND(D3995&gt;=01_因子設定!$L$5-0.000000001,D3995&lt;=01_因子設定!$M$5+0.000000001,E3995&gt;=01_因子設定!$L$6-0.000000001,E3995&lt;=01_因子設定!$M$6+0.000000001,F3995&gt;=01_因子設定!$L$7-0.000000001,F3995&lt;=01_因子設定!$M$7+0.000000001,IF(01_因子設定!$B$20="Box-Behnken",D3995^2+E3995^2+F3995^2&lt;=2+0.000000001,TRUE()))</f>
        <v>1</v>
      </c>
      <c r="W3995" s="55" t="n">
        <f aca="false">IF(V3995,IF(01_因子設定!$B$13="最大化",T3995-01_因子設定!$B$14,IF(01_因子設定!$B$13="最小化",01_因子設定!$B$15-U3995,MIN(T3995-01_因子設定!$B$14,01_因子設定!$B$15-U3995))),-1E+030)</f>
        <v>0.997850423897901</v>
      </c>
      <c r="X3995" s="55" t="n">
        <f aca="false">IF(V3995,IF(01_因子設定!$B$13="最大化",Q3995,IF(01_因子設定!$B$13="最小化",-Q3995,-ABS(Q3995-01_因子設定!$B$16))),-1E+030)</f>
        <v>50.5205184659091</v>
      </c>
      <c r="Y3995" s="55" t="n">
        <f aca="false">W3995+ROW()*0.000000001</f>
        <v>0.997854418897901</v>
      </c>
      <c r="Z3995" s="55" t="n">
        <f aca="false">X3995+ROW()*0.000000001</f>
        <v>50.5205224609091</v>
      </c>
    </row>
    <row r="3996" customFormat="false" ht="15" hidden="false" customHeight="false" outlineLevel="0" collapsed="false">
      <c r="A3996" s="0" t="n">
        <v>13</v>
      </c>
      <c r="B3996" s="0" t="n">
        <v>13</v>
      </c>
      <c r="C3996" s="0" t="n">
        <v>13</v>
      </c>
      <c r="D3996" s="0" t="n">
        <f aca="false">-1+A3996*0.125</f>
        <v>0.625</v>
      </c>
      <c r="E3996" s="0" t="n">
        <f aca="false">-1+B3996*0.125</f>
        <v>0.625</v>
      </c>
      <c r="F3996" s="0" t="n">
        <f aca="false">-1+C3996*0.125</f>
        <v>0.625</v>
      </c>
      <c r="G3996" s="0" t="n">
        <f aca="false">1</f>
        <v>1</v>
      </c>
      <c r="H3996" s="0" t="n">
        <f aca="false">D3996</f>
        <v>0.625</v>
      </c>
      <c r="I3996" s="0" t="n">
        <f aca="false">E3996</f>
        <v>0.625</v>
      </c>
      <c r="J3996" s="0" t="n">
        <f aca="false">F3996</f>
        <v>0.625</v>
      </c>
      <c r="K3996" s="0" t="n">
        <f aca="false">D3996*E3996</f>
        <v>0.390625</v>
      </c>
      <c r="L3996" s="0" t="n">
        <f aca="false">D3996*F3996</f>
        <v>0.390625</v>
      </c>
      <c r="M3996" s="0" t="n">
        <f aca="false">E3996*F3996</f>
        <v>0.390625</v>
      </c>
      <c r="N3996" s="0" t="n">
        <f aca="false">D3996*D3996</f>
        <v>0.390625</v>
      </c>
      <c r="O3996" s="0" t="n">
        <f aca="false">E3996*E3996</f>
        <v>0.390625</v>
      </c>
      <c r="P3996" s="0" t="n">
        <f aca="false">F3996*F3996</f>
        <v>0.390625</v>
      </c>
      <c r="Q3996" s="0" t="n">
        <f aca="false">SUMPRODUCT(G3996:P3996,_XtX!$B$71:$K$71)</f>
        <v>50.5509019886364</v>
      </c>
      <c r="R3996" s="0" t="n">
        <f aca="false">SUMPRODUCT(MMULT(G3996:P3996,_XtX!$B$58:$K$67),G3996:P3996)</f>
        <v>0.227670565518466</v>
      </c>
      <c r="S3996" s="0" t="n">
        <f aca="false">04_回帰ANOVA!$K$19*04_回帰ANOVA!$K$14*SQRT(1+R3996)</f>
        <v>1.03016681975165</v>
      </c>
      <c r="T3996" s="0" t="n">
        <f aca="false">Q3996-S3996</f>
        <v>49.5207351688847</v>
      </c>
      <c r="U3996" s="0" t="n">
        <f aca="false">Q3996+S3996</f>
        <v>51.581068808388</v>
      </c>
      <c r="V3996" s="54" t="b">
        <f aca="false">AND(D3996&gt;=01_因子設定!$L$5-0.000000001,D3996&lt;=01_因子設定!$M$5+0.000000001,E3996&gt;=01_因子設定!$L$6-0.000000001,E3996&lt;=01_因子設定!$M$6+0.000000001,F3996&gt;=01_因子設定!$L$7-0.000000001,F3996&lt;=01_因子設定!$M$7+0.000000001,IF(01_因子設定!$B$20="Box-Behnken",D3996^2+E3996^2+F3996^2&lt;=2+0.000000001,TRUE()))</f>
        <v>1</v>
      </c>
      <c r="W3996" s="55" t="n">
        <f aca="false">IF(V3996,IF(01_因子設定!$B$13="最大化",T3996-01_因子設定!$B$14,IF(01_因子設定!$B$13="最小化",01_因子設定!$B$15-U3996,MIN(T3996-01_因子設定!$B$14,01_因子設定!$B$15-U3996))),-1E+030)</f>
        <v>1.02073516888473</v>
      </c>
      <c r="X3996" s="55" t="n">
        <f aca="false">IF(V3996,IF(01_因子設定!$B$13="最大化",Q3996,IF(01_因子設定!$B$13="最小化",-Q3996,-ABS(Q3996-01_因子設定!$B$16))),-1E+030)</f>
        <v>50.5509019886364</v>
      </c>
      <c r="Y3996" s="55" t="n">
        <f aca="false">W3996+ROW()*0.000000001</f>
        <v>1.02073916488473</v>
      </c>
      <c r="Z3996" s="55" t="n">
        <f aca="false">X3996+ROW()*0.000000001</f>
        <v>50.5509059846364</v>
      </c>
    </row>
    <row r="3997" customFormat="false" ht="15" hidden="false" customHeight="false" outlineLevel="0" collapsed="false">
      <c r="A3997" s="0" t="n">
        <v>13</v>
      </c>
      <c r="B3997" s="0" t="n">
        <v>13</v>
      </c>
      <c r="C3997" s="0" t="n">
        <v>14</v>
      </c>
      <c r="D3997" s="0" t="n">
        <f aca="false">-1+A3997*0.125</f>
        <v>0.625</v>
      </c>
      <c r="E3997" s="0" t="n">
        <f aca="false">-1+B3997*0.125</f>
        <v>0.625</v>
      </c>
      <c r="F3997" s="0" t="n">
        <f aca="false">-1+C3997*0.125</f>
        <v>0.75</v>
      </c>
      <c r="G3997" s="0" t="n">
        <f aca="false">1</f>
        <v>1</v>
      </c>
      <c r="H3997" s="0" t="n">
        <f aca="false">D3997</f>
        <v>0.625</v>
      </c>
      <c r="I3997" s="0" t="n">
        <f aca="false">E3997</f>
        <v>0.625</v>
      </c>
      <c r="J3997" s="0" t="n">
        <f aca="false">F3997</f>
        <v>0.75</v>
      </c>
      <c r="K3997" s="0" t="n">
        <f aca="false">D3997*E3997</f>
        <v>0.390625</v>
      </c>
      <c r="L3997" s="0" t="n">
        <f aca="false">D3997*F3997</f>
        <v>0.46875</v>
      </c>
      <c r="M3997" s="0" t="n">
        <f aca="false">E3997*F3997</f>
        <v>0.46875</v>
      </c>
      <c r="N3997" s="0" t="n">
        <f aca="false">D3997*D3997</f>
        <v>0.390625</v>
      </c>
      <c r="O3997" s="0" t="n">
        <f aca="false">E3997*E3997</f>
        <v>0.390625</v>
      </c>
      <c r="P3997" s="0" t="n">
        <f aca="false">F3997*F3997</f>
        <v>0.5625</v>
      </c>
      <c r="Q3997" s="0" t="n">
        <f aca="false">SUMPRODUCT(G3997:P3997,_XtX!$B$71:$K$71)</f>
        <v>50.5444957386364</v>
      </c>
      <c r="R3997" s="0" t="n">
        <f aca="false">SUMPRODUCT(MMULT(G3997:P3997,_XtX!$B$58:$K$67),G3997:P3997)</f>
        <v>0.268966952237216</v>
      </c>
      <c r="S3997" s="0" t="n">
        <f aca="false">04_回帰ANOVA!$K$19*04_回帰ANOVA!$K$14*SQRT(1+R3997)</f>
        <v>1.04734989137801</v>
      </c>
      <c r="T3997" s="0" t="n">
        <f aca="false">Q3997-S3997</f>
        <v>49.4971458472584</v>
      </c>
      <c r="U3997" s="0" t="n">
        <f aca="false">Q3997+S3997</f>
        <v>51.5918456300144</v>
      </c>
      <c r="V3997" s="54" t="b">
        <f aca="false">AND(D3997&gt;=01_因子設定!$L$5-0.000000001,D3997&lt;=01_因子設定!$M$5+0.000000001,E3997&gt;=01_因子設定!$L$6-0.000000001,E3997&lt;=01_因子設定!$M$6+0.000000001,F3997&gt;=01_因子設定!$L$7-0.000000001,F3997&lt;=01_因子設定!$M$7+0.000000001,IF(01_因子設定!$B$20="Box-Behnken",D3997^2+E3997^2+F3997^2&lt;=2+0.000000001,TRUE()))</f>
        <v>1</v>
      </c>
      <c r="W3997" s="55" t="n">
        <f aca="false">IF(V3997,IF(01_因子設定!$B$13="最大化",T3997-01_因子設定!$B$14,IF(01_因子設定!$B$13="最小化",01_因子設定!$B$15-U3997,MIN(T3997-01_因子設定!$B$14,01_因子設定!$B$15-U3997))),-1E+030)</f>
        <v>0.997145847258366</v>
      </c>
      <c r="X3997" s="55" t="n">
        <f aca="false">IF(V3997,IF(01_因子設定!$B$13="最大化",Q3997,IF(01_因子設定!$B$13="最小化",-Q3997,-ABS(Q3997-01_因子設定!$B$16))),-1E+030)</f>
        <v>50.5444957386364</v>
      </c>
      <c r="Y3997" s="55" t="n">
        <f aca="false">W3997+ROW()*0.000000001</f>
        <v>0.997149844258366</v>
      </c>
      <c r="Z3997" s="55" t="n">
        <f aca="false">X3997+ROW()*0.000000001</f>
        <v>50.5444997356364</v>
      </c>
    </row>
    <row r="3998" customFormat="false" ht="15" hidden="false" customHeight="false" outlineLevel="0" collapsed="false">
      <c r="A3998" s="0" t="n">
        <v>13</v>
      </c>
      <c r="B3998" s="0" t="n">
        <v>13</v>
      </c>
      <c r="C3998" s="0" t="n">
        <v>15</v>
      </c>
      <c r="D3998" s="0" t="n">
        <f aca="false">-1+A3998*0.125</f>
        <v>0.625</v>
      </c>
      <c r="E3998" s="0" t="n">
        <f aca="false">-1+B3998*0.125</f>
        <v>0.625</v>
      </c>
      <c r="F3998" s="0" t="n">
        <f aca="false">-1+C3998*0.125</f>
        <v>0.875</v>
      </c>
      <c r="G3998" s="0" t="n">
        <f aca="false">1</f>
        <v>1</v>
      </c>
      <c r="H3998" s="0" t="n">
        <f aca="false">D3998</f>
        <v>0.625</v>
      </c>
      <c r="I3998" s="0" t="n">
        <f aca="false">E3998</f>
        <v>0.625</v>
      </c>
      <c r="J3998" s="0" t="n">
        <f aca="false">F3998</f>
        <v>0.875</v>
      </c>
      <c r="K3998" s="0" t="n">
        <f aca="false">D3998*E3998</f>
        <v>0.390625</v>
      </c>
      <c r="L3998" s="0" t="n">
        <f aca="false">D3998*F3998</f>
        <v>0.546875</v>
      </c>
      <c r="M3998" s="0" t="n">
        <f aca="false">E3998*F3998</f>
        <v>0.546875</v>
      </c>
      <c r="N3998" s="0" t="n">
        <f aca="false">D3998*D3998</f>
        <v>0.390625</v>
      </c>
      <c r="O3998" s="0" t="n">
        <f aca="false">E3998*E3998</f>
        <v>0.390625</v>
      </c>
      <c r="P3998" s="0" t="n">
        <f aca="false">F3998*F3998</f>
        <v>0.765625</v>
      </c>
      <c r="Q3998" s="0" t="n">
        <f aca="false">SUMPRODUCT(G3998:P3998,_XtX!$B$71:$K$71)</f>
        <v>50.5012997159091</v>
      </c>
      <c r="R3998" s="0" t="n">
        <f aca="false">SUMPRODUCT(MMULT(G3998:P3998,_XtX!$B$58:$K$67),G3998:P3998)</f>
        <v>0.345470636541193</v>
      </c>
      <c r="S3998" s="0" t="n">
        <f aca="false">04_回帰ANOVA!$K$19*04_回帰ANOVA!$K$14*SQRT(1+R3998)</f>
        <v>1.07845927083227</v>
      </c>
      <c r="T3998" s="0" t="n">
        <f aca="false">Q3998-S3998</f>
        <v>49.4228404450768</v>
      </c>
      <c r="U3998" s="0" t="n">
        <f aca="false">Q3998+S3998</f>
        <v>51.5797589867414</v>
      </c>
      <c r="V3998" s="54" t="b">
        <f aca="false">AND(D3998&gt;=01_因子設定!$L$5-0.000000001,D3998&lt;=01_因子設定!$M$5+0.000000001,E3998&gt;=01_因子設定!$L$6-0.000000001,E3998&lt;=01_因子設定!$M$6+0.000000001,F3998&gt;=01_因子設定!$L$7-0.000000001,F3998&lt;=01_因子設定!$M$7+0.000000001,IF(01_因子設定!$B$20="Box-Behnken",D3998^2+E3998^2+F3998^2&lt;=2+0.000000001,TRUE()))</f>
        <v>1</v>
      </c>
      <c r="W3998" s="55" t="n">
        <f aca="false">IF(V3998,IF(01_因子設定!$B$13="最大化",T3998-01_因子設定!$B$14,IF(01_因子設定!$B$13="最小化",01_因子設定!$B$15-U3998,MIN(T3998-01_因子設定!$B$14,01_因子設定!$B$15-U3998))),-1E+030)</f>
        <v>0.922840445076837</v>
      </c>
      <c r="X3998" s="55" t="n">
        <f aca="false">IF(V3998,IF(01_因子設定!$B$13="最大化",Q3998,IF(01_因子設定!$B$13="最小化",-Q3998,-ABS(Q3998-01_因子設定!$B$16))),-1E+030)</f>
        <v>50.5012997159091</v>
      </c>
      <c r="Y3998" s="55" t="n">
        <f aca="false">W3998+ROW()*0.000000001</f>
        <v>0.922844443076837</v>
      </c>
      <c r="Z3998" s="55" t="n">
        <f aca="false">X3998+ROW()*0.000000001</f>
        <v>50.5013037139091</v>
      </c>
    </row>
    <row r="3999" customFormat="false" ht="15" hidden="false" customHeight="false" outlineLevel="0" collapsed="false">
      <c r="A3999" s="0" t="n">
        <v>13</v>
      </c>
      <c r="B3999" s="0" t="n">
        <v>13</v>
      </c>
      <c r="C3999" s="0" t="n">
        <v>16</v>
      </c>
      <c r="D3999" s="0" t="n">
        <f aca="false">-1+A3999*0.125</f>
        <v>0.625</v>
      </c>
      <c r="E3999" s="0" t="n">
        <f aca="false">-1+B3999*0.125</f>
        <v>0.625</v>
      </c>
      <c r="F3999" s="0" t="n">
        <f aca="false">-1+C3999*0.125</f>
        <v>1</v>
      </c>
      <c r="G3999" s="0" t="n">
        <f aca="false">1</f>
        <v>1</v>
      </c>
      <c r="H3999" s="0" t="n">
        <f aca="false">D3999</f>
        <v>0.625</v>
      </c>
      <c r="I3999" s="0" t="n">
        <f aca="false">E3999</f>
        <v>0.625</v>
      </c>
      <c r="J3999" s="0" t="n">
        <f aca="false">F3999</f>
        <v>1</v>
      </c>
      <c r="K3999" s="0" t="n">
        <f aca="false">D3999*E3999</f>
        <v>0.390625</v>
      </c>
      <c r="L3999" s="0" t="n">
        <f aca="false">D3999*F3999</f>
        <v>0.625</v>
      </c>
      <c r="M3999" s="0" t="n">
        <f aca="false">E3999*F3999</f>
        <v>0.625</v>
      </c>
      <c r="N3999" s="0" t="n">
        <f aca="false">D3999*D3999</f>
        <v>0.390625</v>
      </c>
      <c r="O3999" s="0" t="n">
        <f aca="false">E3999*E3999</f>
        <v>0.390625</v>
      </c>
      <c r="P3999" s="0" t="n">
        <f aca="false">F3999*F3999</f>
        <v>1</v>
      </c>
      <c r="Q3999" s="0" t="n">
        <f aca="false">SUMPRODUCT(G3999:P3999,_XtX!$B$71:$K$71)</f>
        <v>50.4213139204546</v>
      </c>
      <c r="R3999" s="0" t="n">
        <f aca="false">SUMPRODUCT(MMULT(G3999:P3999,_XtX!$B$58:$K$67),G3999:P3999)</f>
        <v>0.47103105024858</v>
      </c>
      <c r="S3999" s="0" t="n">
        <f aca="false">04_回帰ANOVA!$K$19*04_回帰ANOVA!$K$14*SQRT(1+R3999)</f>
        <v>1.1276583912499</v>
      </c>
      <c r="T3999" s="0" t="n">
        <f aca="false">Q3999-S3999</f>
        <v>49.2936555292047</v>
      </c>
      <c r="U3999" s="0" t="n">
        <f aca="false">Q3999+S3999</f>
        <v>51.5489723117045</v>
      </c>
      <c r="V3999" s="54" t="b">
        <f aca="false">AND(D3999&gt;=01_因子設定!$L$5-0.000000001,D3999&lt;=01_因子設定!$M$5+0.000000001,E3999&gt;=01_因子設定!$L$6-0.000000001,E3999&lt;=01_因子設定!$M$6+0.000000001,F3999&gt;=01_因子設定!$L$7-0.000000001,F3999&lt;=01_因子設定!$M$7+0.000000001,IF(01_因子設定!$B$20="Box-Behnken",D3999^2+E3999^2+F3999^2&lt;=2+0.000000001,TRUE()))</f>
        <v>1</v>
      </c>
      <c r="W3999" s="55" t="n">
        <f aca="false">IF(V3999,IF(01_因子設定!$B$13="最大化",T3999-01_因子設定!$B$14,IF(01_因子設定!$B$13="最小化",01_因子設定!$B$15-U3999,MIN(T3999-01_因子設定!$B$14,01_因子設定!$B$15-U3999))),-1E+030)</f>
        <v>0.793655529204663</v>
      </c>
      <c r="X3999" s="55" t="n">
        <f aca="false">IF(V3999,IF(01_因子設定!$B$13="最大化",Q3999,IF(01_因子設定!$B$13="最小化",-Q3999,-ABS(Q3999-01_因子設定!$B$16))),-1E+030)</f>
        <v>50.4213139204546</v>
      </c>
      <c r="Y3999" s="55" t="n">
        <f aca="false">W3999+ROW()*0.000000001</f>
        <v>0.793659528204664</v>
      </c>
      <c r="Z3999" s="55" t="n">
        <f aca="false">X3999+ROW()*0.000000001</f>
        <v>50.4213179194546</v>
      </c>
    </row>
    <row r="4000" customFormat="false" ht="15" hidden="false" customHeight="false" outlineLevel="0" collapsed="false">
      <c r="A4000" s="0" t="n">
        <v>13</v>
      </c>
      <c r="B4000" s="0" t="n">
        <v>14</v>
      </c>
      <c r="C4000" s="0" t="n">
        <v>0</v>
      </c>
      <c r="D4000" s="0" t="n">
        <f aca="false">-1+A4000*0.125</f>
        <v>0.625</v>
      </c>
      <c r="E4000" s="0" t="n">
        <f aca="false">-1+B4000*0.125</f>
        <v>0.75</v>
      </c>
      <c r="F4000" s="0" t="n">
        <f aca="false">-1+C4000*0.125</f>
        <v>-1</v>
      </c>
      <c r="G4000" s="0" t="n">
        <f aca="false">1</f>
        <v>1</v>
      </c>
      <c r="H4000" s="0" t="n">
        <f aca="false">D4000</f>
        <v>0.625</v>
      </c>
      <c r="I4000" s="0" t="n">
        <f aca="false">E4000</f>
        <v>0.75</v>
      </c>
      <c r="J4000" s="0" t="n">
        <f aca="false">F4000</f>
        <v>-1</v>
      </c>
      <c r="K4000" s="0" t="n">
        <f aca="false">D4000*E4000</f>
        <v>0.46875</v>
      </c>
      <c r="L4000" s="0" t="n">
        <f aca="false">D4000*F4000</f>
        <v>-0.625</v>
      </c>
      <c r="M4000" s="0" t="n">
        <f aca="false">E4000*F4000</f>
        <v>-0.75</v>
      </c>
      <c r="N4000" s="0" t="n">
        <f aca="false">D4000*D4000</f>
        <v>0.390625</v>
      </c>
      <c r="O4000" s="0" t="n">
        <f aca="false">E4000*E4000</f>
        <v>0.5625</v>
      </c>
      <c r="P4000" s="0" t="n">
        <f aca="false">F4000*F4000</f>
        <v>1</v>
      </c>
      <c r="Q4000" s="0" t="n">
        <f aca="false">SUMPRODUCT(G4000:P4000,_XtX!$B$71:$K$71)</f>
        <v>47.2360795454546</v>
      </c>
      <c r="R4000" s="0" t="n">
        <f aca="false">SUMPRODUCT(MMULT(G4000:P4000,_XtX!$B$58:$K$67),G4000:P4000)</f>
        <v>0.496855024857955</v>
      </c>
      <c r="S4000" s="0" t="n">
        <f aca="false">04_回帰ANOVA!$K$19*04_回帰ANOVA!$K$14*SQRT(1+R4000)</f>
        <v>1.1375133593161</v>
      </c>
      <c r="T4000" s="0" t="n">
        <f aca="false">Q4000-S4000</f>
        <v>46.0985661861385</v>
      </c>
      <c r="U4000" s="0" t="n">
        <f aca="false">Q4000+S4000</f>
        <v>48.3735929047707</v>
      </c>
      <c r="V4000" s="54" t="b">
        <f aca="false">AND(D4000&gt;=01_因子設定!$L$5-0.000000001,D4000&lt;=01_因子設定!$M$5+0.000000001,E4000&gt;=01_因子設定!$L$6-0.000000001,E4000&lt;=01_因子設定!$M$6+0.000000001,F4000&gt;=01_因子設定!$L$7-0.000000001,F4000&lt;=01_因子設定!$M$7+0.000000001,IF(01_因子設定!$B$20="Box-Behnken",D4000^2+E4000^2+F4000^2&lt;=2+0.000000001,TRUE()))</f>
        <v>1</v>
      </c>
      <c r="W4000" s="55" t="n">
        <f aca="false">IF(V4000,IF(01_因子設定!$B$13="最大化",T4000-01_因子設定!$B$14,IF(01_因子設定!$B$13="最小化",01_因子設定!$B$15-U4000,MIN(T4000-01_因子設定!$B$14,01_因子設定!$B$15-U4000))),-1E+030)</f>
        <v>-2.40143381386153</v>
      </c>
      <c r="X4000" s="55" t="n">
        <f aca="false">IF(V4000,IF(01_因子設定!$B$13="最大化",Q4000,IF(01_因子設定!$B$13="最小化",-Q4000,-ABS(Q4000-01_因子設定!$B$16))),-1E+030)</f>
        <v>47.2360795454546</v>
      </c>
      <c r="Y4000" s="55" t="n">
        <f aca="false">W4000+ROW()*0.000000001</f>
        <v>-2.40142981386153</v>
      </c>
      <c r="Z4000" s="55" t="n">
        <f aca="false">X4000+ROW()*0.000000001</f>
        <v>47.2360835454546</v>
      </c>
    </row>
    <row r="4001" customFormat="false" ht="15" hidden="false" customHeight="false" outlineLevel="0" collapsed="false">
      <c r="A4001" s="0" t="n">
        <v>13</v>
      </c>
      <c r="B4001" s="0" t="n">
        <v>14</v>
      </c>
      <c r="C4001" s="0" t="n">
        <v>1</v>
      </c>
      <c r="D4001" s="0" t="n">
        <f aca="false">-1+A4001*0.125</f>
        <v>0.625</v>
      </c>
      <c r="E4001" s="0" t="n">
        <f aca="false">-1+B4001*0.125</f>
        <v>0.75</v>
      </c>
      <c r="F4001" s="0" t="n">
        <f aca="false">-1+C4001*0.125</f>
        <v>-0.875</v>
      </c>
      <c r="G4001" s="0" t="n">
        <f aca="false">1</f>
        <v>1</v>
      </c>
      <c r="H4001" s="0" t="n">
        <f aca="false">D4001</f>
        <v>0.625</v>
      </c>
      <c r="I4001" s="0" t="n">
        <f aca="false">E4001</f>
        <v>0.75</v>
      </c>
      <c r="J4001" s="0" t="n">
        <f aca="false">F4001</f>
        <v>-0.875</v>
      </c>
      <c r="K4001" s="0" t="n">
        <f aca="false">D4001*E4001</f>
        <v>0.46875</v>
      </c>
      <c r="L4001" s="0" t="n">
        <f aca="false">D4001*F4001</f>
        <v>-0.546875</v>
      </c>
      <c r="M4001" s="0" t="n">
        <f aca="false">E4001*F4001</f>
        <v>-0.65625</v>
      </c>
      <c r="N4001" s="0" t="n">
        <f aca="false">D4001*D4001</f>
        <v>0.390625</v>
      </c>
      <c r="O4001" s="0" t="n">
        <f aca="false">E4001*E4001</f>
        <v>0.5625</v>
      </c>
      <c r="P4001" s="0" t="n">
        <f aca="false">F4001*F4001</f>
        <v>0.765625</v>
      </c>
      <c r="Q4001" s="0" t="n">
        <f aca="false">SUMPRODUCT(G4001:P4001,_XtX!$B$71:$K$71)</f>
        <v>47.7149715909091</v>
      </c>
      <c r="R4001" s="0" t="n">
        <f aca="false">SUMPRODUCT(MMULT(G4001:P4001,_XtX!$B$58:$K$67),G4001:P4001)</f>
        <v>0.377245538884943</v>
      </c>
      <c r="S4001" s="0" t="n">
        <f aca="false">04_回帰ANOVA!$K$19*04_回帰ANOVA!$K$14*SQRT(1+R4001)</f>
        <v>1.09111951468927</v>
      </c>
      <c r="T4001" s="0" t="n">
        <f aca="false">Q4001-S4001</f>
        <v>46.6238520762198</v>
      </c>
      <c r="U4001" s="0" t="n">
        <f aca="false">Q4001+S4001</f>
        <v>48.8060911055984</v>
      </c>
      <c r="V4001" s="54" t="b">
        <f aca="false">AND(D4001&gt;=01_因子設定!$L$5-0.000000001,D4001&lt;=01_因子設定!$M$5+0.000000001,E4001&gt;=01_因子設定!$L$6-0.000000001,E4001&lt;=01_因子設定!$M$6+0.000000001,F4001&gt;=01_因子設定!$L$7-0.000000001,F4001&lt;=01_因子設定!$M$7+0.000000001,IF(01_因子設定!$B$20="Box-Behnken",D4001^2+E4001^2+F4001^2&lt;=2+0.000000001,TRUE()))</f>
        <v>1</v>
      </c>
      <c r="W4001" s="55" t="n">
        <f aca="false">IF(V4001,IF(01_因子設定!$B$13="最大化",T4001-01_因子設定!$B$14,IF(01_因子設定!$B$13="最小化",01_因子設定!$B$15-U4001,MIN(T4001-01_因子設定!$B$14,01_因子設定!$B$15-U4001))),-1E+030)</f>
        <v>-1.87614792378017</v>
      </c>
      <c r="X4001" s="55" t="n">
        <f aca="false">IF(V4001,IF(01_因子設定!$B$13="最大化",Q4001,IF(01_因子設定!$B$13="最小化",-Q4001,-ABS(Q4001-01_因子設定!$B$16))),-1E+030)</f>
        <v>47.7149715909091</v>
      </c>
      <c r="Y4001" s="55" t="n">
        <f aca="false">W4001+ROW()*0.000000001</f>
        <v>-1.87614392278017</v>
      </c>
      <c r="Z4001" s="55" t="n">
        <f aca="false">X4001+ROW()*0.000000001</f>
        <v>47.7149755919091</v>
      </c>
    </row>
    <row r="4002" customFormat="false" ht="15" hidden="false" customHeight="false" outlineLevel="0" collapsed="false">
      <c r="A4002" s="0" t="n">
        <v>13</v>
      </c>
      <c r="B4002" s="0" t="n">
        <v>14</v>
      </c>
      <c r="C4002" s="0" t="n">
        <v>2</v>
      </c>
      <c r="D4002" s="0" t="n">
        <f aca="false">-1+A4002*0.125</f>
        <v>0.625</v>
      </c>
      <c r="E4002" s="0" t="n">
        <f aca="false">-1+B4002*0.125</f>
        <v>0.75</v>
      </c>
      <c r="F4002" s="0" t="n">
        <f aca="false">-1+C4002*0.125</f>
        <v>-0.75</v>
      </c>
      <c r="G4002" s="0" t="n">
        <f aca="false">1</f>
        <v>1</v>
      </c>
      <c r="H4002" s="0" t="n">
        <f aca="false">D4002</f>
        <v>0.625</v>
      </c>
      <c r="I4002" s="0" t="n">
        <f aca="false">E4002</f>
        <v>0.75</v>
      </c>
      <c r="J4002" s="0" t="n">
        <f aca="false">F4002</f>
        <v>-0.75</v>
      </c>
      <c r="K4002" s="0" t="n">
        <f aca="false">D4002*E4002</f>
        <v>0.46875</v>
      </c>
      <c r="L4002" s="0" t="n">
        <f aca="false">D4002*F4002</f>
        <v>-0.46875</v>
      </c>
      <c r="M4002" s="0" t="n">
        <f aca="false">E4002*F4002</f>
        <v>-0.5625</v>
      </c>
      <c r="N4002" s="0" t="n">
        <f aca="false">D4002*D4002</f>
        <v>0.390625</v>
      </c>
      <c r="O4002" s="0" t="n">
        <f aca="false">E4002*E4002</f>
        <v>0.5625</v>
      </c>
      <c r="P4002" s="0" t="n">
        <f aca="false">F4002*F4002</f>
        <v>0.5625</v>
      </c>
      <c r="Q4002" s="0" t="n">
        <f aca="false">SUMPRODUCT(G4002:P4002,_XtX!$B$71:$K$71)</f>
        <v>48.1570738636364</v>
      </c>
      <c r="R4002" s="0" t="n">
        <f aca="false">SUMPRODUCT(MMULT(G4002:P4002,_XtX!$B$58:$K$67),G4002:P4002)</f>
        <v>0.305899325284091</v>
      </c>
      <c r="S4002" s="0" t="n">
        <f aca="false">04_回帰ANOVA!$K$19*04_回帰ANOVA!$K$14*SQRT(1+R4002)</f>
        <v>1.06248176416816</v>
      </c>
      <c r="T4002" s="0" t="n">
        <f aca="false">Q4002-S4002</f>
        <v>47.0945920994682</v>
      </c>
      <c r="U4002" s="0" t="n">
        <f aca="false">Q4002+S4002</f>
        <v>49.2195556278045</v>
      </c>
      <c r="V4002" s="54" t="b">
        <f aca="false">AND(D4002&gt;=01_因子設定!$L$5-0.000000001,D4002&lt;=01_因子設定!$M$5+0.000000001,E4002&gt;=01_因子設定!$L$6-0.000000001,E4002&lt;=01_因子設定!$M$6+0.000000001,F4002&gt;=01_因子設定!$L$7-0.000000001,F4002&lt;=01_因子設定!$M$7+0.000000001,IF(01_因子設定!$B$20="Box-Behnken",D4002^2+E4002^2+F4002^2&lt;=2+0.000000001,TRUE()))</f>
        <v>1</v>
      </c>
      <c r="W4002" s="55" t="n">
        <f aca="false">IF(V4002,IF(01_因子設定!$B$13="最大化",T4002-01_因子設定!$B$14,IF(01_因子設定!$B$13="最小化",01_因子設定!$B$15-U4002,MIN(T4002-01_因子設定!$B$14,01_因子設定!$B$15-U4002))),-1E+030)</f>
        <v>-1.40540790053178</v>
      </c>
      <c r="X4002" s="55" t="n">
        <f aca="false">IF(V4002,IF(01_因子設定!$B$13="最大化",Q4002,IF(01_因子設定!$B$13="最小化",-Q4002,-ABS(Q4002-01_因子設定!$B$16))),-1E+030)</f>
        <v>48.1570738636364</v>
      </c>
      <c r="Y4002" s="55" t="n">
        <f aca="false">W4002+ROW()*0.000000001</f>
        <v>-1.40540389853178</v>
      </c>
      <c r="Z4002" s="55" t="n">
        <f aca="false">X4002+ROW()*0.000000001</f>
        <v>48.1570778656364</v>
      </c>
    </row>
    <row r="4003" customFormat="false" ht="15" hidden="false" customHeight="false" outlineLevel="0" collapsed="false">
      <c r="A4003" s="0" t="n">
        <v>13</v>
      </c>
      <c r="B4003" s="0" t="n">
        <v>14</v>
      </c>
      <c r="C4003" s="0" t="n">
        <v>3</v>
      </c>
      <c r="D4003" s="0" t="n">
        <f aca="false">-1+A4003*0.125</f>
        <v>0.625</v>
      </c>
      <c r="E4003" s="0" t="n">
        <f aca="false">-1+B4003*0.125</f>
        <v>0.75</v>
      </c>
      <c r="F4003" s="0" t="n">
        <f aca="false">-1+C4003*0.125</f>
        <v>-0.625</v>
      </c>
      <c r="G4003" s="0" t="n">
        <f aca="false">1</f>
        <v>1</v>
      </c>
      <c r="H4003" s="0" t="n">
        <f aca="false">D4003</f>
        <v>0.625</v>
      </c>
      <c r="I4003" s="0" t="n">
        <f aca="false">E4003</f>
        <v>0.75</v>
      </c>
      <c r="J4003" s="0" t="n">
        <f aca="false">F4003</f>
        <v>-0.625</v>
      </c>
      <c r="K4003" s="0" t="n">
        <f aca="false">D4003*E4003</f>
        <v>0.46875</v>
      </c>
      <c r="L4003" s="0" t="n">
        <f aca="false">D4003*F4003</f>
        <v>-0.390625</v>
      </c>
      <c r="M4003" s="0" t="n">
        <f aca="false">E4003*F4003</f>
        <v>-0.46875</v>
      </c>
      <c r="N4003" s="0" t="n">
        <f aca="false">D4003*D4003</f>
        <v>0.390625</v>
      </c>
      <c r="O4003" s="0" t="n">
        <f aca="false">E4003*E4003</f>
        <v>0.5625</v>
      </c>
      <c r="P4003" s="0" t="n">
        <f aca="false">F4003*F4003</f>
        <v>0.390625</v>
      </c>
      <c r="Q4003" s="0" t="n">
        <f aca="false">SUMPRODUCT(G4003:P4003,_XtX!$B$71:$K$71)</f>
        <v>48.5623863636364</v>
      </c>
      <c r="R4003" s="0" t="n">
        <f aca="false">SUMPRODUCT(MMULT(G4003:P4003,_XtX!$B$58:$K$67),G4003:P4003)</f>
        <v>0.268966952237216</v>
      </c>
      <c r="S4003" s="0" t="n">
        <f aca="false">04_回帰ANOVA!$K$19*04_回帰ANOVA!$K$14*SQRT(1+R4003)</f>
        <v>1.04734989137801</v>
      </c>
      <c r="T4003" s="0" t="n">
        <f aca="false">Q4003-S4003</f>
        <v>47.5150364722584</v>
      </c>
      <c r="U4003" s="0" t="n">
        <f aca="false">Q4003+S4003</f>
        <v>49.6097362550144</v>
      </c>
      <c r="V4003" s="54" t="b">
        <f aca="false">AND(D4003&gt;=01_因子設定!$L$5-0.000000001,D4003&lt;=01_因子設定!$M$5+0.000000001,E4003&gt;=01_因子設定!$L$6-0.000000001,E4003&lt;=01_因子設定!$M$6+0.000000001,F4003&gt;=01_因子設定!$L$7-0.000000001,F4003&lt;=01_因子設定!$M$7+0.000000001,IF(01_因子設定!$B$20="Box-Behnken",D4003^2+E4003^2+F4003^2&lt;=2+0.000000001,TRUE()))</f>
        <v>1</v>
      </c>
      <c r="W4003" s="55" t="n">
        <f aca="false">IF(V4003,IF(01_因子設定!$B$13="最大化",T4003-01_因子設定!$B$14,IF(01_因子設定!$B$13="最小化",01_因子設定!$B$15-U4003,MIN(T4003-01_因子設定!$B$14,01_因子設定!$B$15-U4003))),-1E+030)</f>
        <v>-0.984963527741641</v>
      </c>
      <c r="X4003" s="55" t="n">
        <f aca="false">IF(V4003,IF(01_因子設定!$B$13="最大化",Q4003,IF(01_因子設定!$B$13="最小化",-Q4003,-ABS(Q4003-01_因子設定!$B$16))),-1E+030)</f>
        <v>48.5623863636364</v>
      </c>
      <c r="Y4003" s="55" t="n">
        <f aca="false">W4003+ROW()*0.000000001</f>
        <v>-0.984959524741641</v>
      </c>
      <c r="Z4003" s="55" t="n">
        <f aca="false">X4003+ROW()*0.000000001</f>
        <v>48.5623903666364</v>
      </c>
    </row>
    <row r="4004" customFormat="false" ht="15" hidden="false" customHeight="false" outlineLevel="0" collapsed="false">
      <c r="A4004" s="0" t="n">
        <v>13</v>
      </c>
      <c r="B4004" s="0" t="n">
        <v>14</v>
      </c>
      <c r="C4004" s="0" t="n">
        <v>4</v>
      </c>
      <c r="D4004" s="0" t="n">
        <f aca="false">-1+A4004*0.125</f>
        <v>0.625</v>
      </c>
      <c r="E4004" s="0" t="n">
        <f aca="false">-1+B4004*0.125</f>
        <v>0.75</v>
      </c>
      <c r="F4004" s="0" t="n">
        <f aca="false">-1+C4004*0.125</f>
        <v>-0.5</v>
      </c>
      <c r="G4004" s="0" t="n">
        <f aca="false">1</f>
        <v>1</v>
      </c>
      <c r="H4004" s="0" t="n">
        <f aca="false">D4004</f>
        <v>0.625</v>
      </c>
      <c r="I4004" s="0" t="n">
        <f aca="false">E4004</f>
        <v>0.75</v>
      </c>
      <c r="J4004" s="0" t="n">
        <f aca="false">F4004</f>
        <v>-0.5</v>
      </c>
      <c r="K4004" s="0" t="n">
        <f aca="false">D4004*E4004</f>
        <v>0.46875</v>
      </c>
      <c r="L4004" s="0" t="n">
        <f aca="false">D4004*F4004</f>
        <v>-0.3125</v>
      </c>
      <c r="M4004" s="0" t="n">
        <f aca="false">E4004*F4004</f>
        <v>-0.375</v>
      </c>
      <c r="N4004" s="0" t="n">
        <f aca="false">D4004*D4004</f>
        <v>0.390625</v>
      </c>
      <c r="O4004" s="0" t="n">
        <f aca="false">E4004*E4004</f>
        <v>0.5625</v>
      </c>
      <c r="P4004" s="0" t="n">
        <f aca="false">F4004*F4004</f>
        <v>0.25</v>
      </c>
      <c r="Q4004" s="0" t="n">
        <f aca="false">SUMPRODUCT(G4004:P4004,_XtX!$B$71:$K$71)</f>
        <v>48.9309090909091</v>
      </c>
      <c r="R4004" s="0" t="n">
        <f aca="false">SUMPRODUCT(MMULT(G4004:P4004,_XtX!$B$58:$K$67),G4004:P4004)</f>
        <v>0.254729669744318</v>
      </c>
      <c r="S4004" s="0" t="n">
        <f aca="false">04_回帰ANOVA!$K$19*04_回帰ANOVA!$K$14*SQRT(1+R4004)</f>
        <v>1.04145790281631</v>
      </c>
      <c r="T4004" s="0" t="n">
        <f aca="false">Q4004-S4004</f>
        <v>47.8894511880928</v>
      </c>
      <c r="U4004" s="0" t="n">
        <f aca="false">Q4004+S4004</f>
        <v>49.9723669937254</v>
      </c>
      <c r="V4004" s="54" t="b">
        <f aca="false">AND(D4004&gt;=01_因子設定!$L$5-0.000000001,D4004&lt;=01_因子設定!$M$5+0.000000001,E4004&gt;=01_因子設定!$L$6-0.000000001,E4004&lt;=01_因子設定!$M$6+0.000000001,F4004&gt;=01_因子設定!$L$7-0.000000001,F4004&lt;=01_因子設定!$M$7+0.000000001,IF(01_因子設定!$B$20="Box-Behnken",D4004^2+E4004^2+F4004^2&lt;=2+0.000000001,TRUE()))</f>
        <v>1</v>
      </c>
      <c r="W4004" s="55" t="n">
        <f aca="false">IF(V4004,IF(01_因子設定!$B$13="最大化",T4004-01_因子設定!$B$14,IF(01_因子設定!$B$13="最小化",01_因子設定!$B$15-U4004,MIN(T4004-01_因子設定!$B$14,01_因子設定!$B$15-U4004))),-1E+030)</f>
        <v>-0.610548811907215</v>
      </c>
      <c r="X4004" s="55" t="n">
        <f aca="false">IF(V4004,IF(01_因子設定!$B$13="最大化",Q4004,IF(01_因子設定!$B$13="最小化",-Q4004,-ABS(Q4004-01_因子設定!$B$16))),-1E+030)</f>
        <v>48.9309090909091</v>
      </c>
      <c r="Y4004" s="55" t="n">
        <f aca="false">W4004+ROW()*0.000000001</f>
        <v>-0.610544807907215</v>
      </c>
      <c r="Z4004" s="55" t="n">
        <f aca="false">X4004+ROW()*0.000000001</f>
        <v>48.9309130949091</v>
      </c>
    </row>
    <row r="4005" customFormat="false" ht="15" hidden="false" customHeight="false" outlineLevel="0" collapsed="false">
      <c r="A4005" s="0" t="n">
        <v>13</v>
      </c>
      <c r="B4005" s="0" t="n">
        <v>14</v>
      </c>
      <c r="C4005" s="0" t="n">
        <v>5</v>
      </c>
      <c r="D4005" s="0" t="n">
        <f aca="false">-1+A4005*0.125</f>
        <v>0.625</v>
      </c>
      <c r="E4005" s="0" t="n">
        <f aca="false">-1+B4005*0.125</f>
        <v>0.75</v>
      </c>
      <c r="F4005" s="0" t="n">
        <f aca="false">-1+C4005*0.125</f>
        <v>-0.375</v>
      </c>
      <c r="G4005" s="0" t="n">
        <f aca="false">1</f>
        <v>1</v>
      </c>
      <c r="H4005" s="0" t="n">
        <f aca="false">D4005</f>
        <v>0.625</v>
      </c>
      <c r="I4005" s="0" t="n">
        <f aca="false">E4005</f>
        <v>0.75</v>
      </c>
      <c r="J4005" s="0" t="n">
        <f aca="false">F4005</f>
        <v>-0.375</v>
      </c>
      <c r="K4005" s="0" t="n">
        <f aca="false">D4005*E4005</f>
        <v>0.46875</v>
      </c>
      <c r="L4005" s="0" t="n">
        <f aca="false">D4005*F4005</f>
        <v>-0.234375</v>
      </c>
      <c r="M4005" s="0" t="n">
        <f aca="false">E4005*F4005</f>
        <v>-0.28125</v>
      </c>
      <c r="N4005" s="0" t="n">
        <f aca="false">D4005*D4005</f>
        <v>0.390625</v>
      </c>
      <c r="O4005" s="0" t="n">
        <f aca="false">E4005*E4005</f>
        <v>0.5625</v>
      </c>
      <c r="P4005" s="0" t="n">
        <f aca="false">F4005*F4005</f>
        <v>0.140625</v>
      </c>
      <c r="Q4005" s="0" t="n">
        <f aca="false">SUMPRODUCT(G4005:P4005,_XtX!$B$71:$K$71)</f>
        <v>49.2626420454546</v>
      </c>
      <c r="R4005" s="0" t="n">
        <f aca="false">SUMPRODUCT(MMULT(G4005:P4005,_XtX!$B$58:$K$67),G4005:P4005)</f>
        <v>0.25359940962358</v>
      </c>
      <c r="S4005" s="0" t="n">
        <f aca="false">04_回帰ANOVA!$K$19*04_回帰ANOVA!$K$14*SQRT(1+R4005)</f>
        <v>1.04098872464599</v>
      </c>
      <c r="T4005" s="0" t="n">
        <f aca="false">Q4005-S4005</f>
        <v>48.2216533208086</v>
      </c>
      <c r="U4005" s="0" t="n">
        <f aca="false">Q4005+S4005</f>
        <v>50.3036307701005</v>
      </c>
      <c r="V4005" s="54" t="b">
        <f aca="false">AND(D4005&gt;=01_因子設定!$L$5-0.000000001,D4005&lt;=01_因子設定!$M$5+0.000000001,E4005&gt;=01_因子設定!$L$6-0.000000001,E4005&lt;=01_因子設定!$M$6+0.000000001,F4005&gt;=01_因子設定!$L$7-0.000000001,F4005&lt;=01_因子設定!$M$7+0.000000001,IF(01_因子設定!$B$20="Box-Behnken",D4005^2+E4005^2+F4005^2&lt;=2+0.000000001,TRUE()))</f>
        <v>1</v>
      </c>
      <c r="W4005" s="55" t="n">
        <f aca="false">IF(V4005,IF(01_因子設定!$B$13="最大化",T4005-01_因子設定!$B$14,IF(01_因子設定!$B$13="最小化",01_因子設定!$B$15-U4005,MIN(T4005-01_因子設定!$B$14,01_因子設定!$B$15-U4005))),-1E+030)</f>
        <v>-0.278346679191436</v>
      </c>
      <c r="X4005" s="55" t="n">
        <f aca="false">IF(V4005,IF(01_因子設定!$B$13="最大化",Q4005,IF(01_因子設定!$B$13="最小化",-Q4005,-ABS(Q4005-01_因子設定!$B$16))),-1E+030)</f>
        <v>49.2626420454546</v>
      </c>
      <c r="Y4005" s="55" t="n">
        <f aca="false">W4005+ROW()*0.000000001</f>
        <v>-0.278342674191436</v>
      </c>
      <c r="Z4005" s="55" t="n">
        <f aca="false">X4005+ROW()*0.000000001</f>
        <v>49.2626460504546</v>
      </c>
    </row>
    <row r="4006" customFormat="false" ht="15" hidden="false" customHeight="false" outlineLevel="0" collapsed="false">
      <c r="A4006" s="0" t="n">
        <v>13</v>
      </c>
      <c r="B4006" s="0" t="n">
        <v>14</v>
      </c>
      <c r="C4006" s="0" t="n">
        <v>6</v>
      </c>
      <c r="D4006" s="0" t="n">
        <f aca="false">-1+A4006*0.125</f>
        <v>0.625</v>
      </c>
      <c r="E4006" s="0" t="n">
        <f aca="false">-1+B4006*0.125</f>
        <v>0.75</v>
      </c>
      <c r="F4006" s="0" t="n">
        <f aca="false">-1+C4006*0.125</f>
        <v>-0.25</v>
      </c>
      <c r="G4006" s="0" t="n">
        <f aca="false">1</f>
        <v>1</v>
      </c>
      <c r="H4006" s="0" t="n">
        <f aca="false">D4006</f>
        <v>0.625</v>
      </c>
      <c r="I4006" s="0" t="n">
        <f aca="false">E4006</f>
        <v>0.75</v>
      </c>
      <c r="J4006" s="0" t="n">
        <f aca="false">F4006</f>
        <v>-0.25</v>
      </c>
      <c r="K4006" s="0" t="n">
        <f aca="false">D4006*E4006</f>
        <v>0.46875</v>
      </c>
      <c r="L4006" s="0" t="n">
        <f aca="false">D4006*F4006</f>
        <v>-0.15625</v>
      </c>
      <c r="M4006" s="0" t="n">
        <f aca="false">E4006*F4006</f>
        <v>-0.1875</v>
      </c>
      <c r="N4006" s="0" t="n">
        <f aca="false">D4006*D4006</f>
        <v>0.390625</v>
      </c>
      <c r="O4006" s="0" t="n">
        <f aca="false">E4006*E4006</f>
        <v>0.5625</v>
      </c>
      <c r="P4006" s="0" t="n">
        <f aca="false">F4006*F4006</f>
        <v>0.0625</v>
      </c>
      <c r="Q4006" s="0" t="n">
        <f aca="false">SUMPRODUCT(G4006:P4006,_XtX!$B$71:$K$71)</f>
        <v>49.5575852272727</v>
      </c>
      <c r="R4006" s="0" t="n">
        <f aca="false">SUMPRODUCT(MMULT(G4006:P4006,_XtX!$B$58:$K$67),G4006:P4006)</f>
        <v>0.258118785511364</v>
      </c>
      <c r="S4006" s="0" t="n">
        <f aca="false">04_回帰ANOVA!$K$19*04_回帰ANOVA!$K$14*SQRT(1+R4006)</f>
        <v>1.04286348094876</v>
      </c>
      <c r="T4006" s="0" t="n">
        <f aca="false">Q4006-S4006</f>
        <v>48.514721746324</v>
      </c>
      <c r="U4006" s="0" t="n">
        <f aca="false">Q4006+S4006</f>
        <v>50.6004487082215</v>
      </c>
      <c r="V4006" s="54" t="b">
        <f aca="false">AND(D4006&gt;=01_因子設定!$L$5-0.000000001,D4006&lt;=01_因子設定!$M$5+0.000000001,E4006&gt;=01_因子設定!$L$6-0.000000001,E4006&lt;=01_因子設定!$M$6+0.000000001,F4006&gt;=01_因子設定!$L$7-0.000000001,F4006&lt;=01_因子設定!$M$7+0.000000001,IF(01_因子設定!$B$20="Box-Behnken",D4006^2+E4006^2+F4006^2&lt;=2+0.000000001,TRUE()))</f>
        <v>1</v>
      </c>
      <c r="W4006" s="55" t="n">
        <f aca="false">IF(V4006,IF(01_因子設定!$B$13="最大化",T4006-01_因子設定!$B$14,IF(01_因子設定!$B$13="最小化",01_因子設定!$B$15-U4006,MIN(T4006-01_因子設定!$B$14,01_因子設定!$B$15-U4006))),-1E+030)</f>
        <v>0.0147217463239713</v>
      </c>
      <c r="X4006" s="55" t="n">
        <f aca="false">IF(V4006,IF(01_因子設定!$B$13="最大化",Q4006,IF(01_因子設定!$B$13="最小化",-Q4006,-ABS(Q4006-01_因子設定!$B$16))),-1E+030)</f>
        <v>49.5575852272727</v>
      </c>
      <c r="Y4006" s="55" t="n">
        <f aca="false">W4006+ROW()*0.000000001</f>
        <v>0.0147257523239713</v>
      </c>
      <c r="Z4006" s="55" t="n">
        <f aca="false">X4006+ROW()*0.000000001</f>
        <v>49.5575892332727</v>
      </c>
    </row>
    <row r="4007" customFormat="false" ht="15" hidden="false" customHeight="false" outlineLevel="0" collapsed="false">
      <c r="A4007" s="0" t="n">
        <v>13</v>
      </c>
      <c r="B4007" s="0" t="n">
        <v>14</v>
      </c>
      <c r="C4007" s="0" t="n">
        <v>7</v>
      </c>
      <c r="D4007" s="0" t="n">
        <f aca="false">-1+A4007*0.125</f>
        <v>0.625</v>
      </c>
      <c r="E4007" s="0" t="n">
        <f aca="false">-1+B4007*0.125</f>
        <v>0.75</v>
      </c>
      <c r="F4007" s="0" t="n">
        <f aca="false">-1+C4007*0.125</f>
        <v>-0.125</v>
      </c>
      <c r="G4007" s="0" t="n">
        <f aca="false">1</f>
        <v>1</v>
      </c>
      <c r="H4007" s="0" t="n">
        <f aca="false">D4007</f>
        <v>0.625</v>
      </c>
      <c r="I4007" s="0" t="n">
        <f aca="false">E4007</f>
        <v>0.75</v>
      </c>
      <c r="J4007" s="0" t="n">
        <f aca="false">F4007</f>
        <v>-0.125</v>
      </c>
      <c r="K4007" s="0" t="n">
        <f aca="false">D4007*E4007</f>
        <v>0.46875</v>
      </c>
      <c r="L4007" s="0" t="n">
        <f aca="false">D4007*F4007</f>
        <v>-0.078125</v>
      </c>
      <c r="M4007" s="0" t="n">
        <f aca="false">E4007*F4007</f>
        <v>-0.09375</v>
      </c>
      <c r="N4007" s="0" t="n">
        <f aca="false">D4007*D4007</f>
        <v>0.390625</v>
      </c>
      <c r="O4007" s="0" t="n">
        <f aca="false">E4007*E4007</f>
        <v>0.5625</v>
      </c>
      <c r="P4007" s="0" t="n">
        <f aca="false">F4007*F4007</f>
        <v>0.015625</v>
      </c>
      <c r="Q4007" s="0" t="n">
        <f aca="false">SUMPRODUCT(G4007:P4007,_XtX!$B$71:$K$71)</f>
        <v>49.8157386363636</v>
      </c>
      <c r="R4007" s="0" t="n">
        <f aca="false">SUMPRODUCT(MMULT(G4007:P4007,_XtX!$B$58:$K$67),G4007:P4007)</f>
        <v>0.262961092862216</v>
      </c>
      <c r="S4007" s="0" t="n">
        <f aca="false">04_回帰ANOVA!$K$19*04_回帰ANOVA!$K$14*SQRT(1+R4007)</f>
        <v>1.04486846483649</v>
      </c>
      <c r="T4007" s="0" t="n">
        <f aca="false">Q4007-S4007</f>
        <v>48.7708701715272</v>
      </c>
      <c r="U4007" s="0" t="n">
        <f aca="false">Q4007+S4007</f>
        <v>50.8606071012001</v>
      </c>
      <c r="V4007" s="54" t="b">
        <f aca="false">AND(D4007&gt;=01_因子設定!$L$5-0.000000001,D4007&lt;=01_因子設定!$M$5+0.000000001,E4007&gt;=01_因子設定!$L$6-0.000000001,E4007&lt;=01_因子設定!$M$6+0.000000001,F4007&gt;=01_因子設定!$L$7-0.000000001,F4007&lt;=01_因子設定!$M$7+0.000000001,IF(01_因子設定!$B$20="Box-Behnken",D4007^2+E4007^2+F4007^2&lt;=2+0.000000001,TRUE()))</f>
        <v>1</v>
      </c>
      <c r="W4007" s="55" t="n">
        <f aca="false">IF(V4007,IF(01_因子設定!$B$13="最大化",T4007-01_因子設定!$B$14,IF(01_因子設定!$B$13="最小化",01_因子設定!$B$15-U4007,MIN(T4007-01_因子設定!$B$14,01_因子設定!$B$15-U4007))),-1E+030)</f>
        <v>0.270870171527157</v>
      </c>
      <c r="X4007" s="55" t="n">
        <f aca="false">IF(V4007,IF(01_因子設定!$B$13="最大化",Q4007,IF(01_因子設定!$B$13="最小化",-Q4007,-ABS(Q4007-01_因子設定!$B$16))),-1E+030)</f>
        <v>49.8157386363636</v>
      </c>
      <c r="Y4007" s="55" t="n">
        <f aca="false">W4007+ROW()*0.000000001</f>
        <v>0.270874178527157</v>
      </c>
      <c r="Z4007" s="55" t="n">
        <f aca="false">X4007+ROW()*0.000000001</f>
        <v>49.8157426433636</v>
      </c>
    </row>
    <row r="4008" customFormat="false" ht="15" hidden="false" customHeight="false" outlineLevel="0" collapsed="false">
      <c r="A4008" s="0" t="n">
        <v>13</v>
      </c>
      <c r="B4008" s="0" t="n">
        <v>14</v>
      </c>
      <c r="C4008" s="0" t="n">
        <v>8</v>
      </c>
      <c r="D4008" s="0" t="n">
        <f aca="false">-1+A4008*0.125</f>
        <v>0.625</v>
      </c>
      <c r="E4008" s="0" t="n">
        <f aca="false">-1+B4008*0.125</f>
        <v>0.75</v>
      </c>
      <c r="F4008" s="0" t="n">
        <f aca="false">-1+C4008*0.125</f>
        <v>0</v>
      </c>
      <c r="G4008" s="0" t="n">
        <f aca="false">1</f>
        <v>1</v>
      </c>
      <c r="H4008" s="0" t="n">
        <f aca="false">D4008</f>
        <v>0.625</v>
      </c>
      <c r="I4008" s="0" t="n">
        <f aca="false">E4008</f>
        <v>0.75</v>
      </c>
      <c r="J4008" s="0" t="n">
        <f aca="false">F4008</f>
        <v>0</v>
      </c>
      <c r="K4008" s="0" t="n">
        <f aca="false">D4008*E4008</f>
        <v>0.46875</v>
      </c>
      <c r="L4008" s="0" t="n">
        <f aca="false">D4008*F4008</f>
        <v>0</v>
      </c>
      <c r="M4008" s="0" t="n">
        <f aca="false">E4008*F4008</f>
        <v>0</v>
      </c>
      <c r="N4008" s="0" t="n">
        <f aca="false">D4008*D4008</f>
        <v>0.390625</v>
      </c>
      <c r="O4008" s="0" t="n">
        <f aca="false">E4008*E4008</f>
        <v>0.5625</v>
      </c>
      <c r="P4008" s="0" t="n">
        <f aca="false">F4008*F4008</f>
        <v>0</v>
      </c>
      <c r="Q4008" s="0" t="n">
        <f aca="false">SUMPRODUCT(G4008:P4008,_XtX!$B$71:$K$71)</f>
        <v>50.0371022727273</v>
      </c>
      <c r="R4008" s="0" t="n">
        <f aca="false">SUMPRODUCT(MMULT(G4008:P4008,_XtX!$B$58:$K$67),G4008:P4008)</f>
        <v>0.264930308948864</v>
      </c>
      <c r="S4008" s="0" t="n">
        <f aca="false">04_回帰ANOVA!$K$19*04_回帰ANOVA!$K$14*SQRT(1+R4008)</f>
        <v>1.04568272997153</v>
      </c>
      <c r="T4008" s="0" t="n">
        <f aca="false">Q4008-S4008</f>
        <v>48.9914195427558</v>
      </c>
      <c r="U4008" s="0" t="n">
        <f aca="false">Q4008+S4008</f>
        <v>51.0827850026988</v>
      </c>
      <c r="V4008" s="54" t="b">
        <f aca="false">AND(D4008&gt;=01_因子設定!$L$5-0.000000001,D4008&lt;=01_因子設定!$M$5+0.000000001,E4008&gt;=01_因子設定!$L$6-0.000000001,E4008&lt;=01_因子設定!$M$6+0.000000001,F4008&gt;=01_因子設定!$L$7-0.000000001,F4008&lt;=01_因子設定!$M$7+0.000000001,IF(01_因子設定!$B$20="Box-Behnken",D4008^2+E4008^2+F4008^2&lt;=2+0.000000001,TRUE()))</f>
        <v>1</v>
      </c>
      <c r="W4008" s="55" t="n">
        <f aca="false">IF(V4008,IF(01_因子設定!$B$13="最大化",T4008-01_因子設定!$B$14,IF(01_因子設定!$B$13="最小化",01_因子設定!$B$15-U4008,MIN(T4008-01_因子設定!$B$14,01_因子設定!$B$15-U4008))),-1E+030)</f>
        <v>0.49141954275575</v>
      </c>
      <c r="X4008" s="55" t="n">
        <f aca="false">IF(V4008,IF(01_因子設定!$B$13="最大化",Q4008,IF(01_因子設定!$B$13="最小化",-Q4008,-ABS(Q4008-01_因子設定!$B$16))),-1E+030)</f>
        <v>50.0371022727273</v>
      </c>
      <c r="Y4008" s="55" t="n">
        <f aca="false">W4008+ROW()*0.000000001</f>
        <v>0.49142355075575</v>
      </c>
      <c r="Z4008" s="55" t="n">
        <f aca="false">X4008+ROW()*0.000000001</f>
        <v>50.0371062807273</v>
      </c>
    </row>
    <row r="4009" customFormat="false" ht="15" hidden="false" customHeight="false" outlineLevel="0" collapsed="false">
      <c r="A4009" s="0" t="n">
        <v>13</v>
      </c>
      <c r="B4009" s="0" t="n">
        <v>14</v>
      </c>
      <c r="C4009" s="0" t="n">
        <v>9</v>
      </c>
      <c r="D4009" s="0" t="n">
        <f aca="false">-1+A4009*0.125</f>
        <v>0.625</v>
      </c>
      <c r="E4009" s="0" t="n">
        <f aca="false">-1+B4009*0.125</f>
        <v>0.75</v>
      </c>
      <c r="F4009" s="0" t="n">
        <f aca="false">-1+C4009*0.125</f>
        <v>0.125</v>
      </c>
      <c r="G4009" s="0" t="n">
        <f aca="false">1</f>
        <v>1</v>
      </c>
      <c r="H4009" s="0" t="n">
        <f aca="false">D4009</f>
        <v>0.625</v>
      </c>
      <c r="I4009" s="0" t="n">
        <f aca="false">E4009</f>
        <v>0.75</v>
      </c>
      <c r="J4009" s="0" t="n">
        <f aca="false">F4009</f>
        <v>0.125</v>
      </c>
      <c r="K4009" s="0" t="n">
        <f aca="false">D4009*E4009</f>
        <v>0.46875</v>
      </c>
      <c r="L4009" s="0" t="n">
        <f aca="false">D4009*F4009</f>
        <v>0.078125</v>
      </c>
      <c r="M4009" s="0" t="n">
        <f aca="false">E4009*F4009</f>
        <v>0.09375</v>
      </c>
      <c r="N4009" s="0" t="n">
        <f aca="false">D4009*D4009</f>
        <v>0.390625</v>
      </c>
      <c r="O4009" s="0" t="n">
        <f aca="false">E4009*E4009</f>
        <v>0.5625</v>
      </c>
      <c r="P4009" s="0" t="n">
        <f aca="false">F4009*F4009</f>
        <v>0.015625</v>
      </c>
      <c r="Q4009" s="0" t="n">
        <f aca="false">SUMPRODUCT(G4009:P4009,_XtX!$B$71:$K$71)</f>
        <v>50.2216761363636</v>
      </c>
      <c r="R4009" s="0" t="n">
        <f aca="false">SUMPRODUCT(MMULT(G4009:P4009,_XtX!$B$58:$K$67),G4009:P4009)</f>
        <v>0.262961092862216</v>
      </c>
      <c r="S4009" s="0" t="n">
        <f aca="false">04_回帰ANOVA!$K$19*04_回帰ANOVA!$K$14*SQRT(1+R4009)</f>
        <v>1.04486846483649</v>
      </c>
      <c r="T4009" s="0" t="n">
        <f aca="false">Q4009-S4009</f>
        <v>49.1768076715272</v>
      </c>
      <c r="U4009" s="0" t="n">
        <f aca="false">Q4009+S4009</f>
        <v>51.2665446012001</v>
      </c>
      <c r="V4009" s="54" t="b">
        <f aca="false">AND(D4009&gt;=01_因子設定!$L$5-0.000000001,D4009&lt;=01_因子設定!$M$5+0.000000001,E4009&gt;=01_因子設定!$L$6-0.000000001,E4009&lt;=01_因子設定!$M$6+0.000000001,F4009&gt;=01_因子設定!$L$7-0.000000001,F4009&lt;=01_因子設定!$M$7+0.000000001,IF(01_因子設定!$B$20="Box-Behnken",D4009^2+E4009^2+F4009^2&lt;=2+0.000000001,TRUE()))</f>
        <v>1</v>
      </c>
      <c r="W4009" s="55" t="n">
        <f aca="false">IF(V4009,IF(01_因子設定!$B$13="最大化",T4009-01_因子設定!$B$14,IF(01_因子設定!$B$13="最小化",01_因子設定!$B$15-U4009,MIN(T4009-01_因子設定!$B$14,01_因子設定!$B$15-U4009))),-1E+030)</f>
        <v>0.676807671527158</v>
      </c>
      <c r="X4009" s="55" t="n">
        <f aca="false">IF(V4009,IF(01_因子設定!$B$13="最大化",Q4009,IF(01_因子設定!$B$13="最小化",-Q4009,-ABS(Q4009-01_因子設定!$B$16))),-1E+030)</f>
        <v>50.2216761363636</v>
      </c>
      <c r="Y4009" s="55" t="n">
        <f aca="false">W4009+ROW()*0.000000001</f>
        <v>0.676811680527158</v>
      </c>
      <c r="Z4009" s="55" t="n">
        <f aca="false">X4009+ROW()*0.000000001</f>
        <v>50.2216801453636</v>
      </c>
    </row>
    <row r="4010" customFormat="false" ht="15" hidden="false" customHeight="false" outlineLevel="0" collapsed="false">
      <c r="A4010" s="0" t="n">
        <v>13</v>
      </c>
      <c r="B4010" s="0" t="n">
        <v>14</v>
      </c>
      <c r="C4010" s="0" t="n">
        <v>10</v>
      </c>
      <c r="D4010" s="0" t="n">
        <f aca="false">-1+A4010*0.125</f>
        <v>0.625</v>
      </c>
      <c r="E4010" s="0" t="n">
        <f aca="false">-1+B4010*0.125</f>
        <v>0.75</v>
      </c>
      <c r="F4010" s="0" t="n">
        <f aca="false">-1+C4010*0.125</f>
        <v>0.25</v>
      </c>
      <c r="G4010" s="0" t="n">
        <f aca="false">1</f>
        <v>1</v>
      </c>
      <c r="H4010" s="0" t="n">
        <f aca="false">D4010</f>
        <v>0.625</v>
      </c>
      <c r="I4010" s="0" t="n">
        <f aca="false">E4010</f>
        <v>0.75</v>
      </c>
      <c r="J4010" s="0" t="n">
        <f aca="false">F4010</f>
        <v>0.25</v>
      </c>
      <c r="K4010" s="0" t="n">
        <f aca="false">D4010*E4010</f>
        <v>0.46875</v>
      </c>
      <c r="L4010" s="0" t="n">
        <f aca="false">D4010*F4010</f>
        <v>0.15625</v>
      </c>
      <c r="M4010" s="0" t="n">
        <f aca="false">E4010*F4010</f>
        <v>0.1875</v>
      </c>
      <c r="N4010" s="0" t="n">
        <f aca="false">D4010*D4010</f>
        <v>0.390625</v>
      </c>
      <c r="O4010" s="0" t="n">
        <f aca="false">E4010*E4010</f>
        <v>0.5625</v>
      </c>
      <c r="P4010" s="0" t="n">
        <f aca="false">F4010*F4010</f>
        <v>0.0625</v>
      </c>
      <c r="Q4010" s="0" t="n">
        <f aca="false">SUMPRODUCT(G4010:P4010,_XtX!$B$71:$K$71)</f>
        <v>50.3694602272727</v>
      </c>
      <c r="R4010" s="0" t="n">
        <f aca="false">SUMPRODUCT(MMULT(G4010:P4010,_XtX!$B$58:$K$67),G4010:P4010)</f>
        <v>0.258118785511364</v>
      </c>
      <c r="S4010" s="0" t="n">
        <f aca="false">04_回帰ANOVA!$K$19*04_回帰ANOVA!$K$14*SQRT(1+R4010)</f>
        <v>1.04286348094876</v>
      </c>
      <c r="T4010" s="0" t="n">
        <f aca="false">Q4010-S4010</f>
        <v>49.326596746324</v>
      </c>
      <c r="U4010" s="0" t="n">
        <f aca="false">Q4010+S4010</f>
        <v>51.4123237082215</v>
      </c>
      <c r="V4010" s="54" t="b">
        <f aca="false">AND(D4010&gt;=01_因子設定!$L$5-0.000000001,D4010&lt;=01_因子設定!$M$5+0.000000001,E4010&gt;=01_因子設定!$L$6-0.000000001,E4010&lt;=01_因子設定!$M$6+0.000000001,F4010&gt;=01_因子設定!$L$7-0.000000001,F4010&lt;=01_因子設定!$M$7+0.000000001,IF(01_因子設定!$B$20="Box-Behnken",D4010^2+E4010^2+F4010^2&lt;=2+0.000000001,TRUE()))</f>
        <v>1</v>
      </c>
      <c r="W4010" s="55" t="n">
        <f aca="false">IF(V4010,IF(01_因子設定!$B$13="最大化",T4010-01_因子設定!$B$14,IF(01_因子設定!$B$13="最小化",01_因子設定!$B$15-U4010,MIN(T4010-01_因子設定!$B$14,01_因子設定!$B$15-U4010))),-1E+030)</f>
        <v>0.826596746323972</v>
      </c>
      <c r="X4010" s="55" t="n">
        <f aca="false">IF(V4010,IF(01_因子設定!$B$13="最大化",Q4010,IF(01_因子設定!$B$13="最小化",-Q4010,-ABS(Q4010-01_因子設定!$B$16))),-1E+030)</f>
        <v>50.3694602272727</v>
      </c>
      <c r="Y4010" s="55" t="n">
        <f aca="false">W4010+ROW()*0.000000001</f>
        <v>0.826600756323972</v>
      </c>
      <c r="Z4010" s="55" t="n">
        <f aca="false">X4010+ROW()*0.000000001</f>
        <v>50.3694642372727</v>
      </c>
    </row>
    <row r="4011" customFormat="false" ht="15" hidden="false" customHeight="false" outlineLevel="0" collapsed="false">
      <c r="A4011" s="0" t="n">
        <v>13</v>
      </c>
      <c r="B4011" s="0" t="n">
        <v>14</v>
      </c>
      <c r="C4011" s="0" t="n">
        <v>11</v>
      </c>
      <c r="D4011" s="0" t="n">
        <f aca="false">-1+A4011*0.125</f>
        <v>0.625</v>
      </c>
      <c r="E4011" s="0" t="n">
        <f aca="false">-1+B4011*0.125</f>
        <v>0.75</v>
      </c>
      <c r="F4011" s="0" t="n">
        <f aca="false">-1+C4011*0.125</f>
        <v>0.375</v>
      </c>
      <c r="G4011" s="0" t="n">
        <f aca="false">1</f>
        <v>1</v>
      </c>
      <c r="H4011" s="0" t="n">
        <f aca="false">D4011</f>
        <v>0.625</v>
      </c>
      <c r="I4011" s="0" t="n">
        <f aca="false">E4011</f>
        <v>0.75</v>
      </c>
      <c r="J4011" s="0" t="n">
        <f aca="false">F4011</f>
        <v>0.375</v>
      </c>
      <c r="K4011" s="0" t="n">
        <f aca="false">D4011*E4011</f>
        <v>0.46875</v>
      </c>
      <c r="L4011" s="0" t="n">
        <f aca="false">D4011*F4011</f>
        <v>0.234375</v>
      </c>
      <c r="M4011" s="0" t="n">
        <f aca="false">E4011*F4011</f>
        <v>0.28125</v>
      </c>
      <c r="N4011" s="0" t="n">
        <f aca="false">D4011*D4011</f>
        <v>0.390625</v>
      </c>
      <c r="O4011" s="0" t="n">
        <f aca="false">E4011*E4011</f>
        <v>0.5625</v>
      </c>
      <c r="P4011" s="0" t="n">
        <f aca="false">F4011*F4011</f>
        <v>0.140625</v>
      </c>
      <c r="Q4011" s="0" t="n">
        <f aca="false">SUMPRODUCT(G4011:P4011,_XtX!$B$71:$K$71)</f>
        <v>50.4804545454546</v>
      </c>
      <c r="R4011" s="0" t="n">
        <f aca="false">SUMPRODUCT(MMULT(G4011:P4011,_XtX!$B$58:$K$67),G4011:P4011)</f>
        <v>0.25359940962358</v>
      </c>
      <c r="S4011" s="0" t="n">
        <f aca="false">04_回帰ANOVA!$K$19*04_回帰ANOVA!$K$14*SQRT(1+R4011)</f>
        <v>1.04098872464599</v>
      </c>
      <c r="T4011" s="0" t="n">
        <f aca="false">Q4011-S4011</f>
        <v>49.4394658208086</v>
      </c>
      <c r="U4011" s="0" t="n">
        <f aca="false">Q4011+S4011</f>
        <v>51.5214432701005</v>
      </c>
      <c r="V4011" s="54" t="b">
        <f aca="false">AND(D4011&gt;=01_因子設定!$L$5-0.000000001,D4011&lt;=01_因子設定!$M$5+0.000000001,E4011&gt;=01_因子設定!$L$6-0.000000001,E4011&lt;=01_因子設定!$M$6+0.000000001,F4011&gt;=01_因子設定!$L$7-0.000000001,F4011&lt;=01_因子設定!$M$7+0.000000001,IF(01_因子設定!$B$20="Box-Behnken",D4011^2+E4011^2+F4011^2&lt;=2+0.000000001,TRUE()))</f>
        <v>1</v>
      </c>
      <c r="W4011" s="55" t="n">
        <f aca="false">IF(V4011,IF(01_因子設定!$B$13="最大化",T4011-01_因子設定!$B$14,IF(01_因子設定!$B$13="最小化",01_因子設定!$B$15-U4011,MIN(T4011-01_因子設定!$B$14,01_因子設定!$B$15-U4011))),-1E+030)</f>
        <v>0.939465820808564</v>
      </c>
      <c r="X4011" s="55" t="n">
        <f aca="false">IF(V4011,IF(01_因子設定!$B$13="最大化",Q4011,IF(01_因子設定!$B$13="最小化",-Q4011,-ABS(Q4011-01_因子設定!$B$16))),-1E+030)</f>
        <v>50.4804545454546</v>
      </c>
      <c r="Y4011" s="55" t="n">
        <f aca="false">W4011+ROW()*0.000000001</f>
        <v>0.939469831808565</v>
      </c>
      <c r="Z4011" s="55" t="n">
        <f aca="false">X4011+ROW()*0.000000001</f>
        <v>50.4804585564546</v>
      </c>
    </row>
    <row r="4012" customFormat="false" ht="15" hidden="false" customHeight="false" outlineLevel="0" collapsed="false">
      <c r="A4012" s="0" t="n">
        <v>13</v>
      </c>
      <c r="B4012" s="0" t="n">
        <v>14</v>
      </c>
      <c r="C4012" s="0" t="n">
        <v>12</v>
      </c>
      <c r="D4012" s="0" t="n">
        <f aca="false">-1+A4012*0.125</f>
        <v>0.625</v>
      </c>
      <c r="E4012" s="0" t="n">
        <f aca="false">-1+B4012*0.125</f>
        <v>0.75</v>
      </c>
      <c r="F4012" s="0" t="n">
        <f aca="false">-1+C4012*0.125</f>
        <v>0.5</v>
      </c>
      <c r="G4012" s="0" t="n">
        <f aca="false">1</f>
        <v>1</v>
      </c>
      <c r="H4012" s="0" t="n">
        <f aca="false">D4012</f>
        <v>0.625</v>
      </c>
      <c r="I4012" s="0" t="n">
        <f aca="false">E4012</f>
        <v>0.75</v>
      </c>
      <c r="J4012" s="0" t="n">
        <f aca="false">F4012</f>
        <v>0.5</v>
      </c>
      <c r="K4012" s="0" t="n">
        <f aca="false">D4012*E4012</f>
        <v>0.46875</v>
      </c>
      <c r="L4012" s="0" t="n">
        <f aca="false">D4012*F4012</f>
        <v>0.3125</v>
      </c>
      <c r="M4012" s="0" t="n">
        <f aca="false">E4012*F4012</f>
        <v>0.375</v>
      </c>
      <c r="N4012" s="0" t="n">
        <f aca="false">D4012*D4012</f>
        <v>0.390625</v>
      </c>
      <c r="O4012" s="0" t="n">
        <f aca="false">E4012*E4012</f>
        <v>0.5625</v>
      </c>
      <c r="P4012" s="0" t="n">
        <f aca="false">F4012*F4012</f>
        <v>0.25</v>
      </c>
      <c r="Q4012" s="0" t="n">
        <f aca="false">SUMPRODUCT(G4012:P4012,_XtX!$B$71:$K$71)</f>
        <v>50.5546590909091</v>
      </c>
      <c r="R4012" s="0" t="n">
        <f aca="false">SUMPRODUCT(MMULT(G4012:P4012,_XtX!$B$58:$K$67),G4012:P4012)</f>
        <v>0.254729669744318</v>
      </c>
      <c r="S4012" s="0" t="n">
        <f aca="false">04_回帰ANOVA!$K$19*04_回帰ANOVA!$K$14*SQRT(1+R4012)</f>
        <v>1.04145790281631</v>
      </c>
      <c r="T4012" s="0" t="n">
        <f aca="false">Q4012-S4012</f>
        <v>49.5132011880928</v>
      </c>
      <c r="U4012" s="0" t="n">
        <f aca="false">Q4012+S4012</f>
        <v>51.5961169937254</v>
      </c>
      <c r="V4012" s="54" t="b">
        <f aca="false">AND(D4012&gt;=01_因子設定!$L$5-0.000000001,D4012&lt;=01_因子設定!$M$5+0.000000001,E4012&gt;=01_因子設定!$L$6-0.000000001,E4012&lt;=01_因子設定!$M$6+0.000000001,F4012&gt;=01_因子設定!$L$7-0.000000001,F4012&lt;=01_因子設定!$M$7+0.000000001,IF(01_因子設定!$B$20="Box-Behnken",D4012^2+E4012^2+F4012^2&lt;=2+0.000000001,TRUE()))</f>
        <v>1</v>
      </c>
      <c r="W4012" s="55" t="n">
        <f aca="false">IF(V4012,IF(01_因子設定!$B$13="最大化",T4012-01_因子設定!$B$14,IF(01_因子設定!$B$13="最小化",01_因子設定!$B$15-U4012,MIN(T4012-01_因子設定!$B$14,01_因子設定!$B$15-U4012))),-1E+030)</f>
        <v>1.01320118809279</v>
      </c>
      <c r="X4012" s="55" t="n">
        <f aca="false">IF(V4012,IF(01_因子設定!$B$13="最大化",Q4012,IF(01_因子設定!$B$13="最小化",-Q4012,-ABS(Q4012-01_因子設定!$B$16))),-1E+030)</f>
        <v>50.5546590909091</v>
      </c>
      <c r="Y4012" s="55" t="n">
        <f aca="false">W4012+ROW()*0.000000001</f>
        <v>1.01320520009279</v>
      </c>
      <c r="Z4012" s="55" t="n">
        <f aca="false">X4012+ROW()*0.000000001</f>
        <v>50.5546631029091</v>
      </c>
    </row>
    <row r="4013" customFormat="false" ht="15" hidden="false" customHeight="false" outlineLevel="0" collapsed="false">
      <c r="A4013" s="0" t="n">
        <v>13</v>
      </c>
      <c r="B4013" s="0" t="n">
        <v>14</v>
      </c>
      <c r="C4013" s="0" t="n">
        <v>13</v>
      </c>
      <c r="D4013" s="0" t="n">
        <f aca="false">-1+A4013*0.125</f>
        <v>0.625</v>
      </c>
      <c r="E4013" s="0" t="n">
        <f aca="false">-1+B4013*0.125</f>
        <v>0.75</v>
      </c>
      <c r="F4013" s="0" t="n">
        <f aca="false">-1+C4013*0.125</f>
        <v>0.625</v>
      </c>
      <c r="G4013" s="0" t="n">
        <f aca="false">1</f>
        <v>1</v>
      </c>
      <c r="H4013" s="0" t="n">
        <f aca="false">D4013</f>
        <v>0.625</v>
      </c>
      <c r="I4013" s="0" t="n">
        <f aca="false">E4013</f>
        <v>0.75</v>
      </c>
      <c r="J4013" s="0" t="n">
        <f aca="false">F4013</f>
        <v>0.625</v>
      </c>
      <c r="K4013" s="0" t="n">
        <f aca="false">D4013*E4013</f>
        <v>0.46875</v>
      </c>
      <c r="L4013" s="0" t="n">
        <f aca="false">D4013*F4013</f>
        <v>0.390625</v>
      </c>
      <c r="M4013" s="0" t="n">
        <f aca="false">E4013*F4013</f>
        <v>0.46875</v>
      </c>
      <c r="N4013" s="0" t="n">
        <f aca="false">D4013*D4013</f>
        <v>0.390625</v>
      </c>
      <c r="O4013" s="0" t="n">
        <f aca="false">E4013*E4013</f>
        <v>0.5625</v>
      </c>
      <c r="P4013" s="0" t="n">
        <f aca="false">F4013*F4013</f>
        <v>0.390625</v>
      </c>
      <c r="Q4013" s="0" t="n">
        <f aca="false">SUMPRODUCT(G4013:P4013,_XtX!$B$71:$K$71)</f>
        <v>50.5920738636364</v>
      </c>
      <c r="R4013" s="0" t="n">
        <f aca="false">SUMPRODUCT(MMULT(G4013:P4013,_XtX!$B$58:$K$67),G4013:P4013)</f>
        <v>0.268966952237216</v>
      </c>
      <c r="S4013" s="0" t="n">
        <f aca="false">04_回帰ANOVA!$K$19*04_回帰ANOVA!$K$14*SQRT(1+R4013)</f>
        <v>1.04734989137801</v>
      </c>
      <c r="T4013" s="0" t="n">
        <f aca="false">Q4013-S4013</f>
        <v>49.5447239722584</v>
      </c>
      <c r="U4013" s="0" t="n">
        <f aca="false">Q4013+S4013</f>
        <v>51.6394237550144</v>
      </c>
      <c r="V4013" s="54" t="b">
        <f aca="false">AND(D4013&gt;=01_因子設定!$L$5-0.000000001,D4013&lt;=01_因子設定!$M$5+0.000000001,E4013&gt;=01_因子設定!$L$6-0.000000001,E4013&lt;=01_因子設定!$M$6+0.000000001,F4013&gt;=01_因子設定!$L$7-0.000000001,F4013&lt;=01_因子設定!$M$7+0.000000001,IF(01_因子設定!$B$20="Box-Behnken",D4013^2+E4013^2+F4013^2&lt;=2+0.000000001,TRUE()))</f>
        <v>1</v>
      </c>
      <c r="W4013" s="55" t="n">
        <f aca="false">IF(V4013,IF(01_因子設定!$B$13="最大化",T4013-01_因子設定!$B$14,IF(01_因子設定!$B$13="最小化",01_因子設定!$B$15-U4013,MIN(T4013-01_因子設定!$B$14,01_因子設定!$B$15-U4013))),-1E+030)</f>
        <v>1.04472397225836</v>
      </c>
      <c r="X4013" s="55" t="n">
        <f aca="false">IF(V4013,IF(01_因子設定!$B$13="最大化",Q4013,IF(01_因子設定!$B$13="最小化",-Q4013,-ABS(Q4013-01_因子設定!$B$16))),-1E+030)</f>
        <v>50.5920738636364</v>
      </c>
      <c r="Y4013" s="55" t="n">
        <f aca="false">W4013+ROW()*0.000000001</f>
        <v>1.04472798525836</v>
      </c>
      <c r="Z4013" s="55" t="n">
        <f aca="false">X4013+ROW()*0.000000001</f>
        <v>50.5920778766364</v>
      </c>
    </row>
    <row r="4014" customFormat="false" ht="15" hidden="false" customHeight="false" outlineLevel="0" collapsed="false">
      <c r="A4014" s="0" t="n">
        <v>13</v>
      </c>
      <c r="B4014" s="0" t="n">
        <v>14</v>
      </c>
      <c r="C4014" s="0" t="n">
        <v>14</v>
      </c>
      <c r="D4014" s="0" t="n">
        <f aca="false">-1+A4014*0.125</f>
        <v>0.625</v>
      </c>
      <c r="E4014" s="0" t="n">
        <f aca="false">-1+B4014*0.125</f>
        <v>0.75</v>
      </c>
      <c r="F4014" s="0" t="n">
        <f aca="false">-1+C4014*0.125</f>
        <v>0.75</v>
      </c>
      <c r="G4014" s="0" t="n">
        <f aca="false">1</f>
        <v>1</v>
      </c>
      <c r="H4014" s="0" t="n">
        <f aca="false">D4014</f>
        <v>0.625</v>
      </c>
      <c r="I4014" s="0" t="n">
        <f aca="false">E4014</f>
        <v>0.75</v>
      </c>
      <c r="J4014" s="0" t="n">
        <f aca="false">F4014</f>
        <v>0.75</v>
      </c>
      <c r="K4014" s="0" t="n">
        <f aca="false">D4014*E4014</f>
        <v>0.46875</v>
      </c>
      <c r="L4014" s="0" t="n">
        <f aca="false">D4014*F4014</f>
        <v>0.46875</v>
      </c>
      <c r="M4014" s="0" t="n">
        <f aca="false">E4014*F4014</f>
        <v>0.5625</v>
      </c>
      <c r="N4014" s="0" t="n">
        <f aca="false">D4014*D4014</f>
        <v>0.390625</v>
      </c>
      <c r="O4014" s="0" t="n">
        <f aca="false">E4014*E4014</f>
        <v>0.5625</v>
      </c>
      <c r="P4014" s="0" t="n">
        <f aca="false">F4014*F4014</f>
        <v>0.5625</v>
      </c>
      <c r="Q4014" s="0" t="n">
        <f aca="false">SUMPRODUCT(G4014:P4014,_XtX!$B$71:$K$71)</f>
        <v>50.5926988636364</v>
      </c>
      <c r="R4014" s="0" t="n">
        <f aca="false">SUMPRODUCT(MMULT(G4014:P4014,_XtX!$B$58:$K$67),G4014:P4014)</f>
        <v>0.305899325284091</v>
      </c>
      <c r="S4014" s="0" t="n">
        <f aca="false">04_回帰ANOVA!$K$19*04_回帰ANOVA!$K$14*SQRT(1+R4014)</f>
        <v>1.06248176416816</v>
      </c>
      <c r="T4014" s="0" t="n">
        <f aca="false">Q4014-S4014</f>
        <v>49.5302170994682</v>
      </c>
      <c r="U4014" s="0" t="n">
        <f aca="false">Q4014+S4014</f>
        <v>51.6551806278045</v>
      </c>
      <c r="V4014" s="54" t="b">
        <f aca="false">AND(D4014&gt;=01_因子設定!$L$5-0.000000001,D4014&lt;=01_因子設定!$M$5+0.000000001,E4014&gt;=01_因子設定!$L$6-0.000000001,E4014&lt;=01_因子設定!$M$6+0.000000001,F4014&gt;=01_因子設定!$L$7-0.000000001,F4014&lt;=01_因子設定!$M$7+0.000000001,IF(01_因子設定!$B$20="Box-Behnken",D4014^2+E4014^2+F4014^2&lt;=2+0.000000001,TRUE()))</f>
        <v>1</v>
      </c>
      <c r="W4014" s="55" t="n">
        <f aca="false">IF(V4014,IF(01_因子設定!$B$13="最大化",T4014-01_因子設定!$B$14,IF(01_因子設定!$B$13="最小化",01_因子設定!$B$15-U4014,MIN(T4014-01_因子設定!$B$14,01_因子設定!$B$15-U4014))),-1E+030)</f>
        <v>1.03021709946822</v>
      </c>
      <c r="X4014" s="55" t="n">
        <f aca="false">IF(V4014,IF(01_因子設定!$B$13="最大化",Q4014,IF(01_因子設定!$B$13="最小化",-Q4014,-ABS(Q4014-01_因子設定!$B$16))),-1E+030)</f>
        <v>50.5926988636364</v>
      </c>
      <c r="Y4014" s="55" t="n">
        <f aca="false">W4014+ROW()*0.000000001</f>
        <v>1.03022111346822</v>
      </c>
      <c r="Z4014" s="55" t="n">
        <f aca="false">X4014+ROW()*0.000000001</f>
        <v>50.5927028776364</v>
      </c>
    </row>
    <row r="4015" customFormat="false" ht="15" hidden="false" customHeight="false" outlineLevel="0" collapsed="false">
      <c r="A4015" s="0" t="n">
        <v>13</v>
      </c>
      <c r="B4015" s="0" t="n">
        <v>14</v>
      </c>
      <c r="C4015" s="0" t="n">
        <v>15</v>
      </c>
      <c r="D4015" s="0" t="n">
        <f aca="false">-1+A4015*0.125</f>
        <v>0.625</v>
      </c>
      <c r="E4015" s="0" t="n">
        <f aca="false">-1+B4015*0.125</f>
        <v>0.75</v>
      </c>
      <c r="F4015" s="0" t="n">
        <f aca="false">-1+C4015*0.125</f>
        <v>0.875</v>
      </c>
      <c r="G4015" s="0" t="n">
        <f aca="false">1</f>
        <v>1</v>
      </c>
      <c r="H4015" s="0" t="n">
        <f aca="false">D4015</f>
        <v>0.625</v>
      </c>
      <c r="I4015" s="0" t="n">
        <f aca="false">E4015</f>
        <v>0.75</v>
      </c>
      <c r="J4015" s="0" t="n">
        <f aca="false">F4015</f>
        <v>0.875</v>
      </c>
      <c r="K4015" s="0" t="n">
        <f aca="false">D4015*E4015</f>
        <v>0.46875</v>
      </c>
      <c r="L4015" s="0" t="n">
        <f aca="false">D4015*F4015</f>
        <v>0.546875</v>
      </c>
      <c r="M4015" s="0" t="n">
        <f aca="false">E4015*F4015</f>
        <v>0.65625</v>
      </c>
      <c r="N4015" s="0" t="n">
        <f aca="false">D4015*D4015</f>
        <v>0.390625</v>
      </c>
      <c r="O4015" s="0" t="n">
        <f aca="false">E4015*E4015</f>
        <v>0.5625</v>
      </c>
      <c r="P4015" s="0" t="n">
        <f aca="false">F4015*F4015</f>
        <v>0.765625</v>
      </c>
      <c r="Q4015" s="0" t="n">
        <f aca="false">SUMPRODUCT(G4015:P4015,_XtX!$B$71:$K$71)</f>
        <v>50.5565340909091</v>
      </c>
      <c r="R4015" s="0" t="n">
        <f aca="false">SUMPRODUCT(MMULT(G4015:P4015,_XtX!$B$58:$K$67),G4015:P4015)</f>
        <v>0.377245538884943</v>
      </c>
      <c r="S4015" s="0" t="n">
        <f aca="false">04_回帰ANOVA!$K$19*04_回帰ANOVA!$K$14*SQRT(1+R4015)</f>
        <v>1.09111951468927</v>
      </c>
      <c r="T4015" s="0" t="n">
        <f aca="false">Q4015-S4015</f>
        <v>49.4654145762198</v>
      </c>
      <c r="U4015" s="0" t="n">
        <f aca="false">Q4015+S4015</f>
        <v>51.6476536055984</v>
      </c>
      <c r="V4015" s="54" t="b">
        <f aca="false">AND(D4015&gt;=01_因子設定!$L$5-0.000000001,D4015&lt;=01_因子設定!$M$5+0.000000001,E4015&gt;=01_因子設定!$L$6-0.000000001,E4015&lt;=01_因子設定!$M$6+0.000000001,F4015&gt;=01_因子設定!$L$7-0.000000001,F4015&lt;=01_因子設定!$M$7+0.000000001,IF(01_因子設定!$B$20="Box-Behnken",D4015^2+E4015^2+F4015^2&lt;=2+0.000000001,TRUE()))</f>
        <v>1</v>
      </c>
      <c r="W4015" s="55" t="n">
        <f aca="false">IF(V4015,IF(01_因子設定!$B$13="最大化",T4015-01_因子設定!$B$14,IF(01_因子設定!$B$13="最小化",01_因子設定!$B$15-U4015,MIN(T4015-01_因子設定!$B$14,01_因子設定!$B$15-U4015))),-1E+030)</f>
        <v>0.965414576219835</v>
      </c>
      <c r="X4015" s="55" t="n">
        <f aca="false">IF(V4015,IF(01_因子設定!$B$13="最大化",Q4015,IF(01_因子設定!$B$13="最小化",-Q4015,-ABS(Q4015-01_因子設定!$B$16))),-1E+030)</f>
        <v>50.5565340909091</v>
      </c>
      <c r="Y4015" s="55" t="n">
        <f aca="false">W4015+ROW()*0.000000001</f>
        <v>0.965418591219835</v>
      </c>
      <c r="Z4015" s="55" t="n">
        <f aca="false">X4015+ROW()*0.000000001</f>
        <v>50.5565381059091</v>
      </c>
    </row>
    <row r="4016" customFormat="false" ht="15" hidden="false" customHeight="false" outlineLevel="0" collapsed="false">
      <c r="A4016" s="0" t="n">
        <v>13</v>
      </c>
      <c r="B4016" s="0" t="n">
        <v>14</v>
      </c>
      <c r="C4016" s="0" t="n">
        <v>16</v>
      </c>
      <c r="D4016" s="0" t="n">
        <f aca="false">-1+A4016*0.125</f>
        <v>0.625</v>
      </c>
      <c r="E4016" s="0" t="n">
        <f aca="false">-1+B4016*0.125</f>
        <v>0.75</v>
      </c>
      <c r="F4016" s="0" t="n">
        <f aca="false">-1+C4016*0.125</f>
        <v>1</v>
      </c>
      <c r="G4016" s="0" t="n">
        <f aca="false">1</f>
        <v>1</v>
      </c>
      <c r="H4016" s="0" t="n">
        <f aca="false">D4016</f>
        <v>0.625</v>
      </c>
      <c r="I4016" s="0" t="n">
        <f aca="false">E4016</f>
        <v>0.75</v>
      </c>
      <c r="J4016" s="0" t="n">
        <f aca="false">F4016</f>
        <v>1</v>
      </c>
      <c r="K4016" s="0" t="n">
        <f aca="false">D4016*E4016</f>
        <v>0.46875</v>
      </c>
      <c r="L4016" s="0" t="n">
        <f aca="false">D4016*F4016</f>
        <v>0.625</v>
      </c>
      <c r="M4016" s="0" t="n">
        <f aca="false">E4016*F4016</f>
        <v>0.75</v>
      </c>
      <c r="N4016" s="0" t="n">
        <f aca="false">D4016*D4016</f>
        <v>0.390625</v>
      </c>
      <c r="O4016" s="0" t="n">
        <f aca="false">E4016*E4016</f>
        <v>0.5625</v>
      </c>
      <c r="P4016" s="0" t="n">
        <f aca="false">F4016*F4016</f>
        <v>1</v>
      </c>
      <c r="Q4016" s="0" t="n">
        <f aca="false">SUMPRODUCT(G4016:P4016,_XtX!$B$71:$K$71)</f>
        <v>50.4835795454546</v>
      </c>
      <c r="R4016" s="0" t="n">
        <f aca="false">SUMPRODUCT(MMULT(G4016:P4016,_XtX!$B$58:$K$67),G4016:P4016)</f>
        <v>0.496855024857955</v>
      </c>
      <c r="S4016" s="0" t="n">
        <f aca="false">04_回帰ANOVA!$K$19*04_回帰ANOVA!$K$14*SQRT(1+R4016)</f>
        <v>1.1375133593161</v>
      </c>
      <c r="T4016" s="0" t="n">
        <f aca="false">Q4016-S4016</f>
        <v>49.3460661861385</v>
      </c>
      <c r="U4016" s="0" t="n">
        <f aca="false">Q4016+S4016</f>
        <v>51.6210929047707</v>
      </c>
      <c r="V4016" s="54" t="b">
        <f aca="false">AND(D4016&gt;=01_因子設定!$L$5-0.000000001,D4016&lt;=01_因子設定!$M$5+0.000000001,E4016&gt;=01_因子設定!$L$6-0.000000001,E4016&lt;=01_因子設定!$M$6+0.000000001,F4016&gt;=01_因子設定!$L$7-0.000000001,F4016&lt;=01_因子設定!$M$7+0.000000001,IF(01_因子設定!$B$20="Box-Behnken",D4016^2+E4016^2+F4016^2&lt;=2+0.000000001,TRUE()))</f>
        <v>1</v>
      </c>
      <c r="W4016" s="55" t="n">
        <f aca="false">IF(V4016,IF(01_因子設定!$B$13="最大化",T4016-01_因子設定!$B$14,IF(01_因子設定!$B$13="最小化",01_因子設定!$B$15-U4016,MIN(T4016-01_因子設定!$B$14,01_因子設定!$B$15-U4016))),-1E+030)</f>
        <v>0.846066186138472</v>
      </c>
      <c r="X4016" s="55" t="n">
        <f aca="false">IF(V4016,IF(01_因子設定!$B$13="最大化",Q4016,IF(01_因子設定!$B$13="最小化",-Q4016,-ABS(Q4016-01_因子設定!$B$16))),-1E+030)</f>
        <v>50.4835795454546</v>
      </c>
      <c r="Y4016" s="55" t="n">
        <f aca="false">W4016+ROW()*0.000000001</f>
        <v>0.846070202138472</v>
      </c>
      <c r="Z4016" s="55" t="n">
        <f aca="false">X4016+ROW()*0.000000001</f>
        <v>50.4835835614546</v>
      </c>
    </row>
    <row r="4017" customFormat="false" ht="15" hidden="false" customHeight="false" outlineLevel="0" collapsed="false">
      <c r="A4017" s="0" t="n">
        <v>13</v>
      </c>
      <c r="B4017" s="0" t="n">
        <v>15</v>
      </c>
      <c r="C4017" s="0" t="n">
        <v>0</v>
      </c>
      <c r="D4017" s="0" t="n">
        <f aca="false">-1+A4017*0.125</f>
        <v>0.625</v>
      </c>
      <c r="E4017" s="0" t="n">
        <f aca="false">-1+B4017*0.125</f>
        <v>0.875</v>
      </c>
      <c r="F4017" s="0" t="n">
        <f aca="false">-1+C4017*0.125</f>
        <v>-1</v>
      </c>
      <c r="G4017" s="0" t="n">
        <f aca="false">1</f>
        <v>1</v>
      </c>
      <c r="H4017" s="0" t="n">
        <f aca="false">D4017</f>
        <v>0.625</v>
      </c>
      <c r="I4017" s="0" t="n">
        <f aca="false">E4017</f>
        <v>0.875</v>
      </c>
      <c r="J4017" s="0" t="n">
        <f aca="false">F4017</f>
        <v>-1</v>
      </c>
      <c r="K4017" s="0" t="n">
        <f aca="false">D4017*E4017</f>
        <v>0.546875</v>
      </c>
      <c r="L4017" s="0" t="n">
        <f aca="false">D4017*F4017</f>
        <v>-0.625</v>
      </c>
      <c r="M4017" s="0" t="n">
        <f aca="false">E4017*F4017</f>
        <v>-0.875</v>
      </c>
      <c r="N4017" s="0" t="n">
        <f aca="false">D4017*D4017</f>
        <v>0.390625</v>
      </c>
      <c r="O4017" s="0" t="n">
        <f aca="false">E4017*E4017</f>
        <v>0.765625</v>
      </c>
      <c r="P4017" s="0" t="n">
        <f aca="false">F4017*F4017</f>
        <v>1</v>
      </c>
      <c r="Q4017" s="0" t="n">
        <f aca="false">SUMPRODUCT(G4017:P4017,_XtX!$B$71:$K$71)</f>
        <v>47.1224928977273</v>
      </c>
      <c r="R4017" s="0" t="n">
        <f aca="false">SUMPRODUCT(MMULT(G4017:P4017,_XtX!$B$58:$K$67),G4017:P4017)</f>
        <v>0.555073131214489</v>
      </c>
      <c r="S4017" s="0" t="n">
        <f aca="false">04_回帰ANOVA!$K$19*04_回帰ANOVA!$K$14*SQRT(1+R4017)</f>
        <v>1.15942335628341</v>
      </c>
      <c r="T4017" s="0" t="n">
        <f aca="false">Q4017-S4017</f>
        <v>45.9630695414439</v>
      </c>
      <c r="U4017" s="0" t="n">
        <f aca="false">Q4017+S4017</f>
        <v>48.2819162540107</v>
      </c>
      <c r="V4017" s="54" t="b">
        <f aca="false">AND(D4017&gt;=01_因子設定!$L$5-0.000000001,D4017&lt;=01_因子設定!$M$5+0.000000001,E4017&gt;=01_因子設定!$L$6-0.000000001,E4017&lt;=01_因子設定!$M$6+0.000000001,F4017&gt;=01_因子設定!$L$7-0.000000001,F4017&lt;=01_因子設定!$M$7+0.000000001,IF(01_因子設定!$B$20="Box-Behnken",D4017^2+E4017^2+F4017^2&lt;=2+0.000000001,TRUE()))</f>
        <v>1</v>
      </c>
      <c r="W4017" s="55" t="n">
        <f aca="false">IF(V4017,IF(01_因子設定!$B$13="最大化",T4017-01_因子設定!$B$14,IF(01_因子設定!$B$13="最小化",01_因子設定!$B$15-U4017,MIN(T4017-01_因子設定!$B$14,01_因子設定!$B$15-U4017))),-1E+030)</f>
        <v>-2.53693045855611</v>
      </c>
      <c r="X4017" s="55" t="n">
        <f aca="false">IF(V4017,IF(01_因子設定!$B$13="最大化",Q4017,IF(01_因子設定!$B$13="最小化",-Q4017,-ABS(Q4017-01_因子設定!$B$16))),-1E+030)</f>
        <v>47.1224928977273</v>
      </c>
      <c r="Y4017" s="55" t="n">
        <f aca="false">W4017+ROW()*0.000000001</f>
        <v>-2.53692644155611</v>
      </c>
      <c r="Z4017" s="55" t="n">
        <f aca="false">X4017+ROW()*0.000000001</f>
        <v>47.1224969147273</v>
      </c>
    </row>
    <row r="4018" customFormat="false" ht="15" hidden="false" customHeight="false" outlineLevel="0" collapsed="false">
      <c r="A4018" s="0" t="n">
        <v>13</v>
      </c>
      <c r="B4018" s="0" t="n">
        <v>15</v>
      </c>
      <c r="C4018" s="0" t="n">
        <v>1</v>
      </c>
      <c r="D4018" s="0" t="n">
        <f aca="false">-1+A4018*0.125</f>
        <v>0.625</v>
      </c>
      <c r="E4018" s="0" t="n">
        <f aca="false">-1+B4018*0.125</f>
        <v>0.875</v>
      </c>
      <c r="F4018" s="0" t="n">
        <f aca="false">-1+C4018*0.125</f>
        <v>-0.875</v>
      </c>
      <c r="G4018" s="0" t="n">
        <f aca="false">1</f>
        <v>1</v>
      </c>
      <c r="H4018" s="0" t="n">
        <f aca="false">D4018</f>
        <v>0.625</v>
      </c>
      <c r="I4018" s="0" t="n">
        <f aca="false">E4018</f>
        <v>0.875</v>
      </c>
      <c r="J4018" s="0" t="n">
        <f aca="false">F4018</f>
        <v>-0.875</v>
      </c>
      <c r="K4018" s="0" t="n">
        <f aca="false">D4018*E4018</f>
        <v>0.546875</v>
      </c>
      <c r="L4018" s="0" t="n">
        <f aca="false">D4018*F4018</f>
        <v>-0.546875</v>
      </c>
      <c r="M4018" s="0" t="n">
        <f aca="false">E4018*F4018</f>
        <v>-0.765625</v>
      </c>
      <c r="N4018" s="0" t="n">
        <f aca="false">D4018*D4018</f>
        <v>0.390625</v>
      </c>
      <c r="O4018" s="0" t="n">
        <f aca="false">E4018*E4018</f>
        <v>0.765625</v>
      </c>
      <c r="P4018" s="0" t="n">
        <f aca="false">F4018*F4018</f>
        <v>0.765625</v>
      </c>
      <c r="Q4018" s="0" t="n">
        <f aca="false">SUMPRODUCT(G4018:P4018,_XtX!$B$71:$K$71)</f>
        <v>47.6084161931818</v>
      </c>
      <c r="R4018" s="0" t="n">
        <f aca="false">SUMPRODUCT(MMULT(G4018:P4018,_XtX!$B$58:$K$67),G4018:P4018)</f>
        <v>0.442496559836648</v>
      </c>
      <c r="S4018" s="0" t="n">
        <f aca="false">04_回帰ANOVA!$K$19*04_回帰ANOVA!$K$14*SQRT(1+R4018)</f>
        <v>1.11666789259284</v>
      </c>
      <c r="T4018" s="0" t="n">
        <f aca="false">Q4018-S4018</f>
        <v>46.491748300589</v>
      </c>
      <c r="U4018" s="0" t="n">
        <f aca="false">Q4018+S4018</f>
        <v>48.7250840857747</v>
      </c>
      <c r="V4018" s="54" t="b">
        <f aca="false">AND(D4018&gt;=01_因子設定!$L$5-0.000000001,D4018&lt;=01_因子設定!$M$5+0.000000001,E4018&gt;=01_因子設定!$L$6-0.000000001,E4018&lt;=01_因子設定!$M$6+0.000000001,F4018&gt;=01_因子設定!$L$7-0.000000001,F4018&lt;=01_因子設定!$M$7+0.000000001,IF(01_因子設定!$B$20="Box-Behnken",D4018^2+E4018^2+F4018^2&lt;=2+0.000000001,TRUE()))</f>
        <v>1</v>
      </c>
      <c r="W4018" s="55" t="n">
        <f aca="false">IF(V4018,IF(01_因子設定!$B$13="最大化",T4018-01_因子設定!$B$14,IF(01_因子設定!$B$13="最小化",01_因子設定!$B$15-U4018,MIN(T4018-01_因子設定!$B$14,01_因子設定!$B$15-U4018))),-1E+030)</f>
        <v>-2.00825169941101</v>
      </c>
      <c r="X4018" s="55" t="n">
        <f aca="false">IF(V4018,IF(01_因子設定!$B$13="最大化",Q4018,IF(01_因子設定!$B$13="最小化",-Q4018,-ABS(Q4018-01_因子設定!$B$16))),-1E+030)</f>
        <v>47.6084161931818</v>
      </c>
      <c r="Y4018" s="55" t="n">
        <f aca="false">W4018+ROW()*0.000000001</f>
        <v>-2.00824768141101</v>
      </c>
      <c r="Z4018" s="55" t="n">
        <f aca="false">X4018+ROW()*0.000000001</f>
        <v>47.6084202111818</v>
      </c>
    </row>
    <row r="4019" customFormat="false" ht="15" hidden="false" customHeight="false" outlineLevel="0" collapsed="false">
      <c r="A4019" s="0" t="n">
        <v>13</v>
      </c>
      <c r="B4019" s="0" t="n">
        <v>15</v>
      </c>
      <c r="C4019" s="0" t="n">
        <v>2</v>
      </c>
      <c r="D4019" s="0" t="n">
        <f aca="false">-1+A4019*0.125</f>
        <v>0.625</v>
      </c>
      <c r="E4019" s="0" t="n">
        <f aca="false">-1+B4019*0.125</f>
        <v>0.875</v>
      </c>
      <c r="F4019" s="0" t="n">
        <f aca="false">-1+C4019*0.125</f>
        <v>-0.75</v>
      </c>
      <c r="G4019" s="0" t="n">
        <f aca="false">1</f>
        <v>1</v>
      </c>
      <c r="H4019" s="0" t="n">
        <f aca="false">D4019</f>
        <v>0.625</v>
      </c>
      <c r="I4019" s="0" t="n">
        <f aca="false">E4019</f>
        <v>0.875</v>
      </c>
      <c r="J4019" s="0" t="n">
        <f aca="false">F4019</f>
        <v>-0.75</v>
      </c>
      <c r="K4019" s="0" t="n">
        <f aca="false">D4019*E4019</f>
        <v>0.546875</v>
      </c>
      <c r="L4019" s="0" t="n">
        <f aca="false">D4019*F4019</f>
        <v>-0.46875</v>
      </c>
      <c r="M4019" s="0" t="n">
        <f aca="false">E4019*F4019</f>
        <v>-0.65625</v>
      </c>
      <c r="N4019" s="0" t="n">
        <f aca="false">D4019*D4019</f>
        <v>0.390625</v>
      </c>
      <c r="O4019" s="0" t="n">
        <f aca="false">E4019*E4019</f>
        <v>0.765625</v>
      </c>
      <c r="P4019" s="0" t="n">
        <f aca="false">F4019*F4019</f>
        <v>0.5625</v>
      </c>
      <c r="Q4019" s="0" t="n">
        <f aca="false">SUMPRODUCT(G4019:P4019,_XtX!$B$71:$K$71)</f>
        <v>48.0575497159091</v>
      </c>
      <c r="R4019" s="0" t="n">
        <f aca="false">SUMPRODUCT(MMULT(G4019:P4019,_XtX!$B$58:$K$67),G4019:P4019)</f>
        <v>0.377245538884943</v>
      </c>
      <c r="S4019" s="0" t="n">
        <f aca="false">04_回帰ANOVA!$K$19*04_回帰ANOVA!$K$14*SQRT(1+R4019)</f>
        <v>1.09111951468927</v>
      </c>
      <c r="T4019" s="0" t="n">
        <f aca="false">Q4019-S4019</f>
        <v>46.9664302012198</v>
      </c>
      <c r="U4019" s="0" t="n">
        <f aca="false">Q4019+S4019</f>
        <v>49.1486692305984</v>
      </c>
      <c r="V4019" s="54" t="b">
        <f aca="false">AND(D4019&gt;=01_因子設定!$L$5-0.000000001,D4019&lt;=01_因子設定!$M$5+0.000000001,E4019&gt;=01_因子設定!$L$6-0.000000001,E4019&lt;=01_因子設定!$M$6+0.000000001,F4019&gt;=01_因子設定!$L$7-0.000000001,F4019&lt;=01_因子設定!$M$7+0.000000001,IF(01_因子設定!$B$20="Box-Behnken",D4019^2+E4019^2+F4019^2&lt;=2+0.000000001,TRUE()))</f>
        <v>1</v>
      </c>
      <c r="W4019" s="55" t="n">
        <f aca="false">IF(V4019,IF(01_因子設定!$B$13="最大化",T4019-01_因子設定!$B$14,IF(01_因子設定!$B$13="最小化",01_因子設定!$B$15-U4019,MIN(T4019-01_因子設定!$B$14,01_因子設定!$B$15-U4019))),-1E+030)</f>
        <v>-1.53356979878017</v>
      </c>
      <c r="X4019" s="55" t="n">
        <f aca="false">IF(V4019,IF(01_因子設定!$B$13="最大化",Q4019,IF(01_因子設定!$B$13="最小化",-Q4019,-ABS(Q4019-01_因子設定!$B$16))),-1E+030)</f>
        <v>48.0575497159091</v>
      </c>
      <c r="Y4019" s="55" t="n">
        <f aca="false">W4019+ROW()*0.000000001</f>
        <v>-1.53356577978017</v>
      </c>
      <c r="Z4019" s="55" t="n">
        <f aca="false">X4019+ROW()*0.000000001</f>
        <v>48.0575537349091</v>
      </c>
    </row>
    <row r="4020" customFormat="false" ht="15" hidden="false" customHeight="false" outlineLevel="0" collapsed="false">
      <c r="A4020" s="0" t="n">
        <v>13</v>
      </c>
      <c r="B4020" s="0" t="n">
        <v>15</v>
      </c>
      <c r="C4020" s="0" t="n">
        <v>3</v>
      </c>
      <c r="D4020" s="0" t="n">
        <f aca="false">-1+A4020*0.125</f>
        <v>0.625</v>
      </c>
      <c r="E4020" s="0" t="n">
        <f aca="false">-1+B4020*0.125</f>
        <v>0.875</v>
      </c>
      <c r="F4020" s="0" t="n">
        <f aca="false">-1+C4020*0.125</f>
        <v>-0.625</v>
      </c>
      <c r="G4020" s="0" t="n">
        <f aca="false">1</f>
        <v>1</v>
      </c>
      <c r="H4020" s="0" t="n">
        <f aca="false">D4020</f>
        <v>0.625</v>
      </c>
      <c r="I4020" s="0" t="n">
        <f aca="false">E4020</f>
        <v>0.875</v>
      </c>
      <c r="J4020" s="0" t="n">
        <f aca="false">F4020</f>
        <v>-0.625</v>
      </c>
      <c r="K4020" s="0" t="n">
        <f aca="false">D4020*E4020</f>
        <v>0.546875</v>
      </c>
      <c r="L4020" s="0" t="n">
        <f aca="false">D4020*F4020</f>
        <v>-0.390625</v>
      </c>
      <c r="M4020" s="0" t="n">
        <f aca="false">E4020*F4020</f>
        <v>-0.546875</v>
      </c>
      <c r="N4020" s="0" t="n">
        <f aca="false">D4020*D4020</f>
        <v>0.390625</v>
      </c>
      <c r="O4020" s="0" t="n">
        <f aca="false">E4020*E4020</f>
        <v>0.765625</v>
      </c>
      <c r="P4020" s="0" t="n">
        <f aca="false">F4020*F4020</f>
        <v>0.390625</v>
      </c>
      <c r="Q4020" s="0" t="n">
        <f aca="false">SUMPRODUCT(G4020:P4020,_XtX!$B$71:$K$71)</f>
        <v>48.4698934659091</v>
      </c>
      <c r="R4020" s="0" t="n">
        <f aca="false">SUMPRODUCT(MMULT(G4020:P4020,_XtX!$B$58:$K$67),G4020:P4020)</f>
        <v>0.345470636541193</v>
      </c>
      <c r="S4020" s="0" t="n">
        <f aca="false">04_回帰ANOVA!$K$19*04_回帰ANOVA!$K$14*SQRT(1+R4020)</f>
        <v>1.07845927083227</v>
      </c>
      <c r="T4020" s="0" t="n">
        <f aca="false">Q4020-S4020</f>
        <v>47.3914341950768</v>
      </c>
      <c r="U4020" s="0" t="n">
        <f aca="false">Q4020+S4020</f>
        <v>49.5483527367414</v>
      </c>
      <c r="V4020" s="54" t="b">
        <f aca="false">AND(D4020&gt;=01_因子設定!$L$5-0.000000001,D4020&lt;=01_因子設定!$M$5+0.000000001,E4020&gt;=01_因子設定!$L$6-0.000000001,E4020&lt;=01_因子設定!$M$6+0.000000001,F4020&gt;=01_因子設定!$L$7-0.000000001,F4020&lt;=01_因子設定!$M$7+0.000000001,IF(01_因子設定!$B$20="Box-Behnken",D4020^2+E4020^2+F4020^2&lt;=2+0.000000001,TRUE()))</f>
        <v>1</v>
      </c>
      <c r="W4020" s="55" t="n">
        <f aca="false">IF(V4020,IF(01_因子設定!$B$13="最大化",T4020-01_因子設定!$B$14,IF(01_因子設定!$B$13="最小化",01_因子設定!$B$15-U4020,MIN(T4020-01_因子設定!$B$14,01_因子設定!$B$15-U4020))),-1E+030)</f>
        <v>-1.10856580492317</v>
      </c>
      <c r="X4020" s="55" t="n">
        <f aca="false">IF(V4020,IF(01_因子設定!$B$13="最大化",Q4020,IF(01_因子設定!$B$13="最小化",-Q4020,-ABS(Q4020-01_因子設定!$B$16))),-1E+030)</f>
        <v>48.4698934659091</v>
      </c>
      <c r="Y4020" s="55" t="n">
        <f aca="false">W4020+ROW()*0.000000001</f>
        <v>-1.10856178492317</v>
      </c>
      <c r="Z4020" s="55" t="n">
        <f aca="false">X4020+ROW()*0.000000001</f>
        <v>48.4698974859091</v>
      </c>
    </row>
    <row r="4021" customFormat="false" ht="15" hidden="false" customHeight="false" outlineLevel="0" collapsed="false">
      <c r="A4021" s="0" t="n">
        <v>13</v>
      </c>
      <c r="B4021" s="0" t="n">
        <v>15</v>
      </c>
      <c r="C4021" s="0" t="n">
        <v>4</v>
      </c>
      <c r="D4021" s="0" t="n">
        <f aca="false">-1+A4021*0.125</f>
        <v>0.625</v>
      </c>
      <c r="E4021" s="0" t="n">
        <f aca="false">-1+B4021*0.125</f>
        <v>0.875</v>
      </c>
      <c r="F4021" s="0" t="n">
        <f aca="false">-1+C4021*0.125</f>
        <v>-0.5</v>
      </c>
      <c r="G4021" s="0" t="n">
        <f aca="false">1</f>
        <v>1</v>
      </c>
      <c r="H4021" s="0" t="n">
        <f aca="false">D4021</f>
        <v>0.625</v>
      </c>
      <c r="I4021" s="0" t="n">
        <f aca="false">E4021</f>
        <v>0.875</v>
      </c>
      <c r="J4021" s="0" t="n">
        <f aca="false">F4021</f>
        <v>-0.5</v>
      </c>
      <c r="K4021" s="0" t="n">
        <f aca="false">D4021*E4021</f>
        <v>0.546875</v>
      </c>
      <c r="L4021" s="0" t="n">
        <f aca="false">D4021*F4021</f>
        <v>-0.3125</v>
      </c>
      <c r="M4021" s="0" t="n">
        <f aca="false">E4021*F4021</f>
        <v>-0.4375</v>
      </c>
      <c r="N4021" s="0" t="n">
        <f aca="false">D4021*D4021</f>
        <v>0.390625</v>
      </c>
      <c r="O4021" s="0" t="n">
        <f aca="false">E4021*E4021</f>
        <v>0.765625</v>
      </c>
      <c r="P4021" s="0" t="n">
        <f aca="false">F4021*F4021</f>
        <v>0.25</v>
      </c>
      <c r="Q4021" s="0" t="n">
        <f aca="false">SUMPRODUCT(G4021:P4021,_XtX!$B$71:$K$71)</f>
        <v>48.8454474431818</v>
      </c>
      <c r="R4021" s="0" t="n">
        <f aca="false">SUMPRODUCT(MMULT(G4021:P4021,_XtX!$B$58:$K$67),G4021:P4021)</f>
        <v>0.335453102805398</v>
      </c>
      <c r="S4021" s="0" t="n">
        <f aca="false">04_回帰ANOVA!$K$19*04_回帰ANOVA!$K$14*SQRT(1+R4021)</f>
        <v>1.07443700305628</v>
      </c>
      <c r="T4021" s="0" t="n">
        <f aca="false">Q4021-S4021</f>
        <v>47.7710104401256</v>
      </c>
      <c r="U4021" s="0" t="n">
        <f aca="false">Q4021+S4021</f>
        <v>49.9198844462381</v>
      </c>
      <c r="V4021" s="54" t="b">
        <f aca="false">AND(D4021&gt;=01_因子設定!$L$5-0.000000001,D4021&lt;=01_因子設定!$M$5+0.000000001,E4021&gt;=01_因子設定!$L$6-0.000000001,E4021&lt;=01_因子設定!$M$6+0.000000001,F4021&gt;=01_因子設定!$L$7-0.000000001,F4021&lt;=01_因子設定!$M$7+0.000000001,IF(01_因子設定!$B$20="Box-Behnken",D4021^2+E4021^2+F4021^2&lt;=2+0.000000001,TRUE()))</f>
        <v>1</v>
      </c>
      <c r="W4021" s="55" t="n">
        <f aca="false">IF(V4021,IF(01_因子設定!$B$13="最大化",T4021-01_因子設定!$B$14,IF(01_因子設定!$B$13="最小化",01_因子設定!$B$15-U4021,MIN(T4021-01_因子設定!$B$14,01_因子設定!$B$15-U4021))),-1E+030)</f>
        <v>-0.728989559874449</v>
      </c>
      <c r="X4021" s="55" t="n">
        <f aca="false">IF(V4021,IF(01_因子設定!$B$13="最大化",Q4021,IF(01_因子設定!$B$13="最小化",-Q4021,-ABS(Q4021-01_因子設定!$B$16))),-1E+030)</f>
        <v>48.8454474431818</v>
      </c>
      <c r="Y4021" s="55" t="n">
        <f aca="false">W4021+ROW()*0.000000001</f>
        <v>-0.728985538874449</v>
      </c>
      <c r="Z4021" s="55" t="n">
        <f aca="false">X4021+ROW()*0.000000001</f>
        <v>48.8454514641818</v>
      </c>
    </row>
    <row r="4022" customFormat="false" ht="15" hidden="false" customHeight="false" outlineLevel="0" collapsed="false">
      <c r="A4022" s="0" t="n">
        <v>13</v>
      </c>
      <c r="B4022" s="0" t="n">
        <v>15</v>
      </c>
      <c r="C4022" s="0" t="n">
        <v>5</v>
      </c>
      <c r="D4022" s="0" t="n">
        <f aca="false">-1+A4022*0.125</f>
        <v>0.625</v>
      </c>
      <c r="E4022" s="0" t="n">
        <f aca="false">-1+B4022*0.125</f>
        <v>0.875</v>
      </c>
      <c r="F4022" s="0" t="n">
        <f aca="false">-1+C4022*0.125</f>
        <v>-0.375</v>
      </c>
      <c r="G4022" s="0" t="n">
        <f aca="false">1</f>
        <v>1</v>
      </c>
      <c r="H4022" s="0" t="n">
        <f aca="false">D4022</f>
        <v>0.625</v>
      </c>
      <c r="I4022" s="0" t="n">
        <f aca="false">E4022</f>
        <v>0.875</v>
      </c>
      <c r="J4022" s="0" t="n">
        <f aca="false">F4022</f>
        <v>-0.375</v>
      </c>
      <c r="K4022" s="0" t="n">
        <f aca="false">D4022*E4022</f>
        <v>0.546875</v>
      </c>
      <c r="L4022" s="0" t="n">
        <f aca="false">D4022*F4022</f>
        <v>-0.234375</v>
      </c>
      <c r="M4022" s="0" t="n">
        <f aca="false">E4022*F4022</f>
        <v>-0.328125</v>
      </c>
      <c r="N4022" s="0" t="n">
        <f aca="false">D4022*D4022</f>
        <v>0.390625</v>
      </c>
      <c r="O4022" s="0" t="n">
        <f aca="false">E4022*E4022</f>
        <v>0.765625</v>
      </c>
      <c r="P4022" s="0" t="n">
        <f aca="false">F4022*F4022</f>
        <v>0.140625</v>
      </c>
      <c r="Q4022" s="0" t="n">
        <f aca="false">SUMPRODUCT(G4022:P4022,_XtX!$B$71:$K$71)</f>
        <v>49.1842116477273</v>
      </c>
      <c r="R4022" s="0" t="n">
        <f aca="false">SUMPRODUCT(MMULT(G4022:P4022,_XtX!$B$58:$K$67),G4022:P4022)</f>
        <v>0.337604869495739</v>
      </c>
      <c r="S4022" s="0" t="n">
        <f aca="false">04_回帰ANOVA!$K$19*04_回帰ANOVA!$K$14*SQRT(1+R4022)</f>
        <v>1.07530225516193</v>
      </c>
      <c r="T4022" s="0" t="n">
        <f aca="false">Q4022-S4022</f>
        <v>48.1089093925654</v>
      </c>
      <c r="U4022" s="0" t="n">
        <f aca="false">Q4022+S4022</f>
        <v>50.2595139028892</v>
      </c>
      <c r="V4022" s="54" t="b">
        <f aca="false">AND(D4022&gt;=01_因子設定!$L$5-0.000000001,D4022&lt;=01_因子設定!$M$5+0.000000001,E4022&gt;=01_因子設定!$L$6-0.000000001,E4022&lt;=01_因子設定!$M$6+0.000000001,F4022&gt;=01_因子設定!$L$7-0.000000001,F4022&lt;=01_因子設定!$M$7+0.000000001,IF(01_因子設定!$B$20="Box-Behnken",D4022^2+E4022^2+F4022^2&lt;=2+0.000000001,TRUE()))</f>
        <v>1</v>
      </c>
      <c r="W4022" s="55" t="n">
        <f aca="false">IF(V4022,IF(01_因子設定!$B$13="最大化",T4022-01_因子設定!$B$14,IF(01_因子設定!$B$13="最小化",01_因子設定!$B$15-U4022,MIN(T4022-01_因子設定!$B$14,01_因子設定!$B$15-U4022))),-1E+030)</f>
        <v>-0.391090607434649</v>
      </c>
      <c r="X4022" s="55" t="n">
        <f aca="false">IF(V4022,IF(01_因子設定!$B$13="最大化",Q4022,IF(01_因子設定!$B$13="最小化",-Q4022,-ABS(Q4022-01_因子設定!$B$16))),-1E+030)</f>
        <v>49.1842116477273</v>
      </c>
      <c r="Y4022" s="55" t="n">
        <f aca="false">W4022+ROW()*0.000000001</f>
        <v>-0.391086585434649</v>
      </c>
      <c r="Z4022" s="55" t="n">
        <f aca="false">X4022+ROW()*0.000000001</f>
        <v>49.1842156697273</v>
      </c>
    </row>
    <row r="4023" customFormat="false" ht="15" hidden="false" customHeight="false" outlineLevel="0" collapsed="false">
      <c r="A4023" s="0" t="n">
        <v>13</v>
      </c>
      <c r="B4023" s="0" t="n">
        <v>15</v>
      </c>
      <c r="C4023" s="0" t="n">
        <v>6</v>
      </c>
      <c r="D4023" s="0" t="n">
        <f aca="false">-1+A4023*0.125</f>
        <v>0.625</v>
      </c>
      <c r="E4023" s="0" t="n">
        <f aca="false">-1+B4023*0.125</f>
        <v>0.875</v>
      </c>
      <c r="F4023" s="0" t="n">
        <f aca="false">-1+C4023*0.125</f>
        <v>-0.25</v>
      </c>
      <c r="G4023" s="0" t="n">
        <f aca="false">1</f>
        <v>1</v>
      </c>
      <c r="H4023" s="0" t="n">
        <f aca="false">D4023</f>
        <v>0.625</v>
      </c>
      <c r="I4023" s="0" t="n">
        <f aca="false">E4023</f>
        <v>0.875</v>
      </c>
      <c r="J4023" s="0" t="n">
        <f aca="false">F4023</f>
        <v>-0.25</v>
      </c>
      <c r="K4023" s="0" t="n">
        <f aca="false">D4023*E4023</f>
        <v>0.546875</v>
      </c>
      <c r="L4023" s="0" t="n">
        <f aca="false">D4023*F4023</f>
        <v>-0.15625</v>
      </c>
      <c r="M4023" s="0" t="n">
        <f aca="false">E4023*F4023</f>
        <v>-0.21875</v>
      </c>
      <c r="N4023" s="0" t="n">
        <f aca="false">D4023*D4023</f>
        <v>0.390625</v>
      </c>
      <c r="O4023" s="0" t="n">
        <f aca="false">E4023*E4023</f>
        <v>0.765625</v>
      </c>
      <c r="P4023" s="0" t="n">
        <f aca="false">F4023*F4023</f>
        <v>0.0625</v>
      </c>
      <c r="Q4023" s="0" t="n">
        <f aca="false">SUMPRODUCT(G4023:P4023,_XtX!$B$71:$K$71)</f>
        <v>49.4861860795455</v>
      </c>
      <c r="R4023" s="0" t="n">
        <f aca="false">SUMPRODUCT(MMULT(G4023:P4023,_XtX!$B$58:$K$67),G4023:P4023)</f>
        <v>0.34446855024858</v>
      </c>
      <c r="S4023" s="0" t="n">
        <f aca="false">04_回帰ANOVA!$K$19*04_回帰ANOVA!$K$14*SQRT(1+R4023)</f>
        <v>1.07805758590432</v>
      </c>
      <c r="T4023" s="0" t="n">
        <f aca="false">Q4023-S4023</f>
        <v>48.4081284936411</v>
      </c>
      <c r="U4023" s="0" t="n">
        <f aca="false">Q4023+S4023</f>
        <v>50.5642436654498</v>
      </c>
      <c r="V4023" s="54" t="b">
        <f aca="false">AND(D4023&gt;=01_因子設定!$L$5-0.000000001,D4023&lt;=01_因子設定!$M$5+0.000000001,E4023&gt;=01_因子設定!$L$6-0.000000001,E4023&lt;=01_因子設定!$M$6+0.000000001,F4023&gt;=01_因子設定!$L$7-0.000000001,F4023&lt;=01_因子設定!$M$7+0.000000001,IF(01_因子設定!$B$20="Box-Behnken",D4023^2+E4023^2+F4023^2&lt;=2+0.000000001,TRUE()))</f>
        <v>1</v>
      </c>
      <c r="W4023" s="55" t="n">
        <f aca="false">IF(V4023,IF(01_因子設定!$B$13="最大化",T4023-01_因子設定!$B$14,IF(01_因子設定!$B$13="最小化",01_因子設定!$B$15-U4023,MIN(T4023-01_因子設定!$B$14,01_因子設定!$B$15-U4023))),-1E+030)</f>
        <v>-0.0918715063588564</v>
      </c>
      <c r="X4023" s="55" t="n">
        <f aca="false">IF(V4023,IF(01_因子設定!$B$13="最大化",Q4023,IF(01_因子設定!$B$13="最小化",-Q4023,-ABS(Q4023-01_因子設定!$B$16))),-1E+030)</f>
        <v>49.4861860795455</v>
      </c>
      <c r="Y4023" s="55" t="n">
        <f aca="false">W4023+ROW()*0.000000001</f>
        <v>-0.0918674833588564</v>
      </c>
      <c r="Z4023" s="55" t="n">
        <f aca="false">X4023+ROW()*0.000000001</f>
        <v>49.4861901025455</v>
      </c>
    </row>
    <row r="4024" customFormat="false" ht="15" hidden="false" customHeight="false" outlineLevel="0" collapsed="false">
      <c r="A4024" s="0" t="n">
        <v>13</v>
      </c>
      <c r="B4024" s="0" t="n">
        <v>15</v>
      </c>
      <c r="C4024" s="0" t="n">
        <v>7</v>
      </c>
      <c r="D4024" s="0" t="n">
        <f aca="false">-1+A4024*0.125</f>
        <v>0.625</v>
      </c>
      <c r="E4024" s="0" t="n">
        <f aca="false">-1+B4024*0.125</f>
        <v>0.875</v>
      </c>
      <c r="F4024" s="0" t="n">
        <f aca="false">-1+C4024*0.125</f>
        <v>-0.125</v>
      </c>
      <c r="G4024" s="0" t="n">
        <f aca="false">1</f>
        <v>1</v>
      </c>
      <c r="H4024" s="0" t="n">
        <f aca="false">D4024</f>
        <v>0.625</v>
      </c>
      <c r="I4024" s="0" t="n">
        <f aca="false">E4024</f>
        <v>0.875</v>
      </c>
      <c r="J4024" s="0" t="n">
        <f aca="false">F4024</f>
        <v>-0.125</v>
      </c>
      <c r="K4024" s="0" t="n">
        <f aca="false">D4024*E4024</f>
        <v>0.546875</v>
      </c>
      <c r="L4024" s="0" t="n">
        <f aca="false">D4024*F4024</f>
        <v>-0.078125</v>
      </c>
      <c r="M4024" s="0" t="n">
        <f aca="false">E4024*F4024</f>
        <v>-0.109375</v>
      </c>
      <c r="N4024" s="0" t="n">
        <f aca="false">D4024*D4024</f>
        <v>0.390625</v>
      </c>
      <c r="O4024" s="0" t="n">
        <f aca="false">E4024*E4024</f>
        <v>0.765625</v>
      </c>
      <c r="P4024" s="0" t="n">
        <f aca="false">F4024*F4024</f>
        <v>0.015625</v>
      </c>
      <c r="Q4024" s="0" t="n">
        <f aca="false">SUMPRODUCT(G4024:P4024,_XtX!$B$71:$K$71)</f>
        <v>49.7513707386364</v>
      </c>
      <c r="R4024" s="0" t="n">
        <f aca="false">SUMPRODUCT(MMULT(G4024:P4024,_XtX!$B$58:$K$67),G4024:P4024)</f>
        <v>0.350717440518466</v>
      </c>
      <c r="S4024" s="0" t="n">
        <f aca="false">04_回帰ANOVA!$K$19*04_回帰ANOVA!$K$14*SQRT(1+R4024)</f>
        <v>1.08056000737898</v>
      </c>
      <c r="T4024" s="0" t="n">
        <f aca="false">Q4024-S4024</f>
        <v>48.6708107312574</v>
      </c>
      <c r="U4024" s="0" t="n">
        <f aca="false">Q4024+S4024</f>
        <v>50.8319307460153</v>
      </c>
      <c r="V4024" s="54" t="b">
        <f aca="false">AND(D4024&gt;=01_因子設定!$L$5-0.000000001,D4024&lt;=01_因子設定!$M$5+0.000000001,E4024&gt;=01_因子設定!$L$6-0.000000001,E4024&lt;=01_因子設定!$M$6+0.000000001,F4024&gt;=01_因子設定!$L$7-0.000000001,F4024&lt;=01_因子設定!$M$7+0.000000001,IF(01_因子設定!$B$20="Box-Behnken",D4024^2+E4024^2+F4024^2&lt;=2+0.000000001,TRUE()))</f>
        <v>1</v>
      </c>
      <c r="W4024" s="55" t="n">
        <f aca="false">IF(V4024,IF(01_因子設定!$B$13="最大化",T4024-01_因子設定!$B$14,IF(01_因子設定!$B$13="最小化",01_因子設定!$B$15-U4024,MIN(T4024-01_因子設定!$B$14,01_因子設定!$B$15-U4024))),-1E+030)</f>
        <v>0.17081073125739</v>
      </c>
      <c r="X4024" s="55" t="n">
        <f aca="false">IF(V4024,IF(01_因子設定!$B$13="最大化",Q4024,IF(01_因子設定!$B$13="最小化",-Q4024,-ABS(Q4024-01_因子設定!$B$16))),-1E+030)</f>
        <v>49.7513707386364</v>
      </c>
      <c r="Y4024" s="55" t="n">
        <f aca="false">W4024+ROW()*0.000000001</f>
        <v>0.17081475525739</v>
      </c>
      <c r="Z4024" s="55" t="n">
        <f aca="false">X4024+ROW()*0.000000001</f>
        <v>49.7513747626364</v>
      </c>
    </row>
    <row r="4025" customFormat="false" ht="15" hidden="false" customHeight="false" outlineLevel="0" collapsed="false">
      <c r="A4025" s="0" t="n">
        <v>13</v>
      </c>
      <c r="B4025" s="0" t="n">
        <v>15</v>
      </c>
      <c r="C4025" s="0" t="n">
        <v>8</v>
      </c>
      <c r="D4025" s="0" t="n">
        <f aca="false">-1+A4025*0.125</f>
        <v>0.625</v>
      </c>
      <c r="E4025" s="0" t="n">
        <f aca="false">-1+B4025*0.125</f>
        <v>0.875</v>
      </c>
      <c r="F4025" s="0" t="n">
        <f aca="false">-1+C4025*0.125</f>
        <v>0</v>
      </c>
      <c r="G4025" s="0" t="n">
        <f aca="false">1</f>
        <v>1</v>
      </c>
      <c r="H4025" s="0" t="n">
        <f aca="false">D4025</f>
        <v>0.625</v>
      </c>
      <c r="I4025" s="0" t="n">
        <f aca="false">E4025</f>
        <v>0.875</v>
      </c>
      <c r="J4025" s="0" t="n">
        <f aca="false">F4025</f>
        <v>0</v>
      </c>
      <c r="K4025" s="0" t="n">
        <f aca="false">D4025*E4025</f>
        <v>0.546875</v>
      </c>
      <c r="L4025" s="0" t="n">
        <f aca="false">D4025*F4025</f>
        <v>0</v>
      </c>
      <c r="M4025" s="0" t="n">
        <f aca="false">E4025*F4025</f>
        <v>0</v>
      </c>
      <c r="N4025" s="0" t="n">
        <f aca="false">D4025*D4025</f>
        <v>0.390625</v>
      </c>
      <c r="O4025" s="0" t="n">
        <f aca="false">E4025*E4025</f>
        <v>0.765625</v>
      </c>
      <c r="P4025" s="0" t="n">
        <f aca="false">F4025*F4025</f>
        <v>0</v>
      </c>
      <c r="Q4025" s="0" t="n">
        <f aca="false">SUMPRODUCT(G4025:P4025,_XtX!$B$71:$K$71)</f>
        <v>49.979765625</v>
      </c>
      <c r="R4025" s="0" t="n">
        <f aca="false">SUMPRODUCT(MMULT(G4025:P4025,_XtX!$B$58:$K$67),G4025:P4025)</f>
        <v>0.353155517578125</v>
      </c>
      <c r="S4025" s="0" t="n">
        <f aca="false">04_回帰ANOVA!$K$19*04_回帰ANOVA!$K$14*SQRT(1+R4025)</f>
        <v>1.08153478594098</v>
      </c>
      <c r="T4025" s="0" t="n">
        <f aca="false">Q4025-S4025</f>
        <v>48.898230839059</v>
      </c>
      <c r="U4025" s="0" t="n">
        <f aca="false">Q4025+S4025</f>
        <v>51.061300410941</v>
      </c>
      <c r="V4025" s="54" t="b">
        <f aca="false">AND(D4025&gt;=01_因子設定!$L$5-0.000000001,D4025&lt;=01_因子設定!$M$5+0.000000001,E4025&gt;=01_因子設定!$L$6-0.000000001,E4025&lt;=01_因子設定!$M$6+0.000000001,F4025&gt;=01_因子設定!$L$7-0.000000001,F4025&lt;=01_因子設定!$M$7+0.000000001,IF(01_因子設定!$B$20="Box-Behnken",D4025^2+E4025^2+F4025^2&lt;=2+0.000000001,TRUE()))</f>
        <v>1</v>
      </c>
      <c r="W4025" s="55" t="n">
        <f aca="false">IF(V4025,IF(01_因子設定!$B$13="最大化",T4025-01_因子設定!$B$14,IF(01_因子設定!$B$13="最小化",01_因子設定!$B$15-U4025,MIN(T4025-01_因子設定!$B$14,01_因子設定!$B$15-U4025))),-1E+030)</f>
        <v>0.398230839059025</v>
      </c>
      <c r="X4025" s="55" t="n">
        <f aca="false">IF(V4025,IF(01_因子設定!$B$13="最大化",Q4025,IF(01_因子設定!$B$13="最小化",-Q4025,-ABS(Q4025-01_因子設定!$B$16))),-1E+030)</f>
        <v>49.979765625</v>
      </c>
      <c r="Y4025" s="55" t="n">
        <f aca="false">W4025+ROW()*0.000000001</f>
        <v>0.398234864059025</v>
      </c>
      <c r="Z4025" s="55" t="n">
        <f aca="false">X4025+ROW()*0.000000001</f>
        <v>49.97976965</v>
      </c>
    </row>
    <row r="4026" customFormat="false" ht="15" hidden="false" customHeight="false" outlineLevel="0" collapsed="false">
      <c r="A4026" s="0" t="n">
        <v>13</v>
      </c>
      <c r="B4026" s="0" t="n">
        <v>15</v>
      </c>
      <c r="C4026" s="0" t="n">
        <v>9</v>
      </c>
      <c r="D4026" s="0" t="n">
        <f aca="false">-1+A4026*0.125</f>
        <v>0.625</v>
      </c>
      <c r="E4026" s="0" t="n">
        <f aca="false">-1+B4026*0.125</f>
        <v>0.875</v>
      </c>
      <c r="F4026" s="0" t="n">
        <f aca="false">-1+C4026*0.125</f>
        <v>0.125</v>
      </c>
      <c r="G4026" s="0" t="n">
        <f aca="false">1</f>
        <v>1</v>
      </c>
      <c r="H4026" s="0" t="n">
        <f aca="false">D4026</f>
        <v>0.625</v>
      </c>
      <c r="I4026" s="0" t="n">
        <f aca="false">E4026</f>
        <v>0.875</v>
      </c>
      <c r="J4026" s="0" t="n">
        <f aca="false">F4026</f>
        <v>0.125</v>
      </c>
      <c r="K4026" s="0" t="n">
        <f aca="false">D4026*E4026</f>
        <v>0.546875</v>
      </c>
      <c r="L4026" s="0" t="n">
        <f aca="false">D4026*F4026</f>
        <v>0.078125</v>
      </c>
      <c r="M4026" s="0" t="n">
        <f aca="false">E4026*F4026</f>
        <v>0.109375</v>
      </c>
      <c r="N4026" s="0" t="n">
        <f aca="false">D4026*D4026</f>
        <v>0.390625</v>
      </c>
      <c r="O4026" s="0" t="n">
        <f aca="false">E4026*E4026</f>
        <v>0.765625</v>
      </c>
      <c r="P4026" s="0" t="n">
        <f aca="false">F4026*F4026</f>
        <v>0.015625</v>
      </c>
      <c r="Q4026" s="0" t="n">
        <f aca="false">SUMPRODUCT(G4026:P4026,_XtX!$B$71:$K$71)</f>
        <v>50.1713707386364</v>
      </c>
      <c r="R4026" s="0" t="n">
        <f aca="false">SUMPRODUCT(MMULT(G4026:P4026,_XtX!$B$58:$K$67),G4026:P4026)</f>
        <v>0.350717440518466</v>
      </c>
      <c r="S4026" s="0" t="n">
        <f aca="false">04_回帰ANOVA!$K$19*04_回帰ANOVA!$K$14*SQRT(1+R4026)</f>
        <v>1.08056000737898</v>
      </c>
      <c r="T4026" s="0" t="n">
        <f aca="false">Q4026-S4026</f>
        <v>49.0908107312574</v>
      </c>
      <c r="U4026" s="0" t="n">
        <f aca="false">Q4026+S4026</f>
        <v>51.2519307460154</v>
      </c>
      <c r="V4026" s="54" t="b">
        <f aca="false">AND(D4026&gt;=01_因子設定!$L$5-0.000000001,D4026&lt;=01_因子設定!$M$5+0.000000001,E4026&gt;=01_因子設定!$L$6-0.000000001,E4026&lt;=01_因子設定!$M$6+0.000000001,F4026&gt;=01_因子設定!$L$7-0.000000001,F4026&lt;=01_因子設定!$M$7+0.000000001,IF(01_因子設定!$B$20="Box-Behnken",D4026^2+E4026^2+F4026^2&lt;=2+0.000000001,TRUE()))</f>
        <v>1</v>
      </c>
      <c r="W4026" s="55" t="n">
        <f aca="false">IF(V4026,IF(01_因子設定!$B$13="最大化",T4026-01_因子設定!$B$14,IF(01_因子設定!$B$13="最小化",01_因子設定!$B$15-U4026,MIN(T4026-01_因子設定!$B$14,01_因子設定!$B$15-U4026))),-1E+030)</f>
        <v>0.590810731257392</v>
      </c>
      <c r="X4026" s="55" t="n">
        <f aca="false">IF(V4026,IF(01_因子設定!$B$13="最大化",Q4026,IF(01_因子設定!$B$13="最小化",-Q4026,-ABS(Q4026-01_因子設定!$B$16))),-1E+030)</f>
        <v>50.1713707386364</v>
      </c>
      <c r="Y4026" s="55" t="n">
        <f aca="false">W4026+ROW()*0.000000001</f>
        <v>0.590814757257392</v>
      </c>
      <c r="Z4026" s="55" t="n">
        <f aca="false">X4026+ROW()*0.000000001</f>
        <v>50.1713747646364</v>
      </c>
    </row>
    <row r="4027" customFormat="false" ht="15" hidden="false" customHeight="false" outlineLevel="0" collapsed="false">
      <c r="A4027" s="0" t="n">
        <v>13</v>
      </c>
      <c r="B4027" s="0" t="n">
        <v>15</v>
      </c>
      <c r="C4027" s="0" t="n">
        <v>10</v>
      </c>
      <c r="D4027" s="0" t="n">
        <f aca="false">-1+A4027*0.125</f>
        <v>0.625</v>
      </c>
      <c r="E4027" s="0" t="n">
        <f aca="false">-1+B4027*0.125</f>
        <v>0.875</v>
      </c>
      <c r="F4027" s="0" t="n">
        <f aca="false">-1+C4027*0.125</f>
        <v>0.25</v>
      </c>
      <c r="G4027" s="0" t="n">
        <f aca="false">1</f>
        <v>1</v>
      </c>
      <c r="H4027" s="0" t="n">
        <f aca="false">D4027</f>
        <v>0.625</v>
      </c>
      <c r="I4027" s="0" t="n">
        <f aca="false">E4027</f>
        <v>0.875</v>
      </c>
      <c r="J4027" s="0" t="n">
        <f aca="false">F4027</f>
        <v>0.25</v>
      </c>
      <c r="K4027" s="0" t="n">
        <f aca="false">D4027*E4027</f>
        <v>0.546875</v>
      </c>
      <c r="L4027" s="0" t="n">
        <f aca="false">D4027*F4027</f>
        <v>0.15625</v>
      </c>
      <c r="M4027" s="0" t="n">
        <f aca="false">E4027*F4027</f>
        <v>0.21875</v>
      </c>
      <c r="N4027" s="0" t="n">
        <f aca="false">D4027*D4027</f>
        <v>0.390625</v>
      </c>
      <c r="O4027" s="0" t="n">
        <f aca="false">E4027*E4027</f>
        <v>0.765625</v>
      </c>
      <c r="P4027" s="0" t="n">
        <f aca="false">F4027*F4027</f>
        <v>0.0625</v>
      </c>
      <c r="Q4027" s="0" t="n">
        <f aca="false">SUMPRODUCT(G4027:P4027,_XtX!$B$71:$K$71)</f>
        <v>50.3261860795455</v>
      </c>
      <c r="R4027" s="0" t="n">
        <f aca="false">SUMPRODUCT(MMULT(G4027:P4027,_XtX!$B$58:$K$67),G4027:P4027)</f>
        <v>0.34446855024858</v>
      </c>
      <c r="S4027" s="0" t="n">
        <f aca="false">04_回帰ANOVA!$K$19*04_回帰ANOVA!$K$14*SQRT(1+R4027)</f>
        <v>1.07805758590432</v>
      </c>
      <c r="T4027" s="0" t="n">
        <f aca="false">Q4027-S4027</f>
        <v>49.2481284936411</v>
      </c>
      <c r="U4027" s="0" t="n">
        <f aca="false">Q4027+S4027</f>
        <v>51.4042436654498</v>
      </c>
      <c r="V4027" s="54" t="b">
        <f aca="false">AND(D4027&gt;=01_因子設定!$L$5-0.000000001,D4027&lt;=01_因子設定!$M$5+0.000000001,E4027&gt;=01_因子設定!$L$6-0.000000001,E4027&lt;=01_因子設定!$M$6+0.000000001,F4027&gt;=01_因子設定!$L$7-0.000000001,F4027&lt;=01_因子設定!$M$7+0.000000001,IF(01_因子設定!$B$20="Box-Behnken",D4027^2+E4027^2+F4027^2&lt;=2+0.000000001,TRUE()))</f>
        <v>1</v>
      </c>
      <c r="W4027" s="55" t="n">
        <f aca="false">IF(V4027,IF(01_因子設定!$B$13="最大化",T4027-01_因子設定!$B$14,IF(01_因子設定!$B$13="最小化",01_因子設定!$B$15-U4027,MIN(T4027-01_因子設定!$B$14,01_因子設定!$B$15-U4027))),-1E+030)</f>
        <v>0.74812849364114</v>
      </c>
      <c r="X4027" s="55" t="n">
        <f aca="false">IF(V4027,IF(01_因子設定!$B$13="最大化",Q4027,IF(01_因子設定!$B$13="最小化",-Q4027,-ABS(Q4027-01_因子設定!$B$16))),-1E+030)</f>
        <v>50.3261860795455</v>
      </c>
      <c r="Y4027" s="55" t="n">
        <f aca="false">W4027+ROW()*0.000000001</f>
        <v>0.74813252064114</v>
      </c>
      <c r="Z4027" s="55" t="n">
        <f aca="false">X4027+ROW()*0.000000001</f>
        <v>50.3261901065455</v>
      </c>
    </row>
    <row r="4028" customFormat="false" ht="15" hidden="false" customHeight="false" outlineLevel="0" collapsed="false">
      <c r="A4028" s="0" t="n">
        <v>13</v>
      </c>
      <c r="B4028" s="0" t="n">
        <v>15</v>
      </c>
      <c r="C4028" s="0" t="n">
        <v>11</v>
      </c>
      <c r="D4028" s="0" t="n">
        <f aca="false">-1+A4028*0.125</f>
        <v>0.625</v>
      </c>
      <c r="E4028" s="0" t="n">
        <f aca="false">-1+B4028*0.125</f>
        <v>0.875</v>
      </c>
      <c r="F4028" s="0" t="n">
        <f aca="false">-1+C4028*0.125</f>
        <v>0.375</v>
      </c>
      <c r="G4028" s="0" t="n">
        <f aca="false">1</f>
        <v>1</v>
      </c>
      <c r="H4028" s="0" t="n">
        <f aca="false">D4028</f>
        <v>0.625</v>
      </c>
      <c r="I4028" s="0" t="n">
        <f aca="false">E4028</f>
        <v>0.875</v>
      </c>
      <c r="J4028" s="0" t="n">
        <f aca="false">F4028</f>
        <v>0.375</v>
      </c>
      <c r="K4028" s="0" t="n">
        <f aca="false">D4028*E4028</f>
        <v>0.546875</v>
      </c>
      <c r="L4028" s="0" t="n">
        <f aca="false">D4028*F4028</f>
        <v>0.234375</v>
      </c>
      <c r="M4028" s="0" t="n">
        <f aca="false">E4028*F4028</f>
        <v>0.328125</v>
      </c>
      <c r="N4028" s="0" t="n">
        <f aca="false">D4028*D4028</f>
        <v>0.390625</v>
      </c>
      <c r="O4028" s="0" t="n">
        <f aca="false">E4028*E4028</f>
        <v>0.765625</v>
      </c>
      <c r="P4028" s="0" t="n">
        <f aca="false">F4028*F4028</f>
        <v>0.140625</v>
      </c>
      <c r="Q4028" s="0" t="n">
        <f aca="false">SUMPRODUCT(G4028:P4028,_XtX!$B$71:$K$71)</f>
        <v>50.4442116477273</v>
      </c>
      <c r="R4028" s="0" t="n">
        <f aca="false">SUMPRODUCT(MMULT(G4028:P4028,_XtX!$B$58:$K$67),G4028:P4028)</f>
        <v>0.337604869495739</v>
      </c>
      <c r="S4028" s="0" t="n">
        <f aca="false">04_回帰ANOVA!$K$19*04_回帰ANOVA!$K$14*SQRT(1+R4028)</f>
        <v>1.07530225516193</v>
      </c>
      <c r="T4028" s="0" t="n">
        <f aca="false">Q4028-S4028</f>
        <v>49.3689093925654</v>
      </c>
      <c r="U4028" s="0" t="n">
        <f aca="false">Q4028+S4028</f>
        <v>51.5195139028892</v>
      </c>
      <c r="V4028" s="54" t="b">
        <f aca="false">AND(D4028&gt;=01_因子設定!$L$5-0.000000001,D4028&lt;=01_因子設定!$M$5+0.000000001,E4028&gt;=01_因子設定!$L$6-0.000000001,E4028&lt;=01_因子設定!$M$6+0.000000001,F4028&gt;=01_因子設定!$L$7-0.000000001,F4028&lt;=01_因子設定!$M$7+0.000000001,IF(01_因子設定!$B$20="Box-Behnken",D4028^2+E4028^2+F4028^2&lt;=2+0.000000001,TRUE()))</f>
        <v>1</v>
      </c>
      <c r="W4028" s="55" t="n">
        <f aca="false">IF(V4028,IF(01_因子設定!$B$13="最大化",T4028-01_因子設定!$B$14,IF(01_因子設定!$B$13="最小化",01_因子設定!$B$15-U4028,MIN(T4028-01_因子設定!$B$14,01_因子設定!$B$15-U4028))),-1E+030)</f>
        <v>0.868909392565357</v>
      </c>
      <c r="X4028" s="55" t="n">
        <f aca="false">IF(V4028,IF(01_因子設定!$B$13="最大化",Q4028,IF(01_因子設定!$B$13="最小化",-Q4028,-ABS(Q4028-01_因子設定!$B$16))),-1E+030)</f>
        <v>50.4442116477273</v>
      </c>
      <c r="Y4028" s="55" t="n">
        <f aca="false">W4028+ROW()*0.000000001</f>
        <v>0.868913420565357</v>
      </c>
      <c r="Z4028" s="55" t="n">
        <f aca="false">X4028+ROW()*0.000000001</f>
        <v>50.4442156757273</v>
      </c>
    </row>
    <row r="4029" customFormat="false" ht="15" hidden="false" customHeight="false" outlineLevel="0" collapsed="false">
      <c r="A4029" s="0" t="n">
        <v>13</v>
      </c>
      <c r="B4029" s="0" t="n">
        <v>15</v>
      </c>
      <c r="C4029" s="0" t="n">
        <v>12</v>
      </c>
      <c r="D4029" s="0" t="n">
        <f aca="false">-1+A4029*0.125</f>
        <v>0.625</v>
      </c>
      <c r="E4029" s="0" t="n">
        <f aca="false">-1+B4029*0.125</f>
        <v>0.875</v>
      </c>
      <c r="F4029" s="0" t="n">
        <f aca="false">-1+C4029*0.125</f>
        <v>0.5</v>
      </c>
      <c r="G4029" s="0" t="n">
        <f aca="false">1</f>
        <v>1</v>
      </c>
      <c r="H4029" s="0" t="n">
        <f aca="false">D4029</f>
        <v>0.625</v>
      </c>
      <c r="I4029" s="0" t="n">
        <f aca="false">E4029</f>
        <v>0.875</v>
      </c>
      <c r="J4029" s="0" t="n">
        <f aca="false">F4029</f>
        <v>0.5</v>
      </c>
      <c r="K4029" s="0" t="n">
        <f aca="false">D4029*E4029</f>
        <v>0.546875</v>
      </c>
      <c r="L4029" s="0" t="n">
        <f aca="false">D4029*F4029</f>
        <v>0.3125</v>
      </c>
      <c r="M4029" s="0" t="n">
        <f aca="false">E4029*F4029</f>
        <v>0.4375</v>
      </c>
      <c r="N4029" s="0" t="n">
        <f aca="false">D4029*D4029</f>
        <v>0.390625</v>
      </c>
      <c r="O4029" s="0" t="n">
        <f aca="false">E4029*E4029</f>
        <v>0.765625</v>
      </c>
      <c r="P4029" s="0" t="n">
        <f aca="false">F4029*F4029</f>
        <v>0.25</v>
      </c>
      <c r="Q4029" s="0" t="n">
        <f aca="false">SUMPRODUCT(G4029:P4029,_XtX!$B$71:$K$71)</f>
        <v>50.5254474431818</v>
      </c>
      <c r="R4029" s="0" t="n">
        <f aca="false">SUMPRODUCT(MMULT(G4029:P4029,_XtX!$B$58:$K$67),G4029:P4029)</f>
        <v>0.335453102805398</v>
      </c>
      <c r="S4029" s="0" t="n">
        <f aca="false">04_回帰ANOVA!$K$19*04_回帰ANOVA!$K$14*SQRT(1+R4029)</f>
        <v>1.07443700305628</v>
      </c>
      <c r="T4029" s="0" t="n">
        <f aca="false">Q4029-S4029</f>
        <v>49.4510104401256</v>
      </c>
      <c r="U4029" s="0" t="n">
        <f aca="false">Q4029+S4029</f>
        <v>51.5998844462381</v>
      </c>
      <c r="V4029" s="54" t="b">
        <f aca="false">AND(D4029&gt;=01_因子設定!$L$5-0.000000001,D4029&lt;=01_因子設定!$M$5+0.000000001,E4029&gt;=01_因子設定!$L$6-0.000000001,E4029&lt;=01_因子設定!$M$6+0.000000001,F4029&gt;=01_因子設定!$L$7-0.000000001,F4029&lt;=01_因子設定!$M$7+0.000000001,IF(01_因子設定!$B$20="Box-Behnken",D4029^2+E4029^2+F4029^2&lt;=2+0.000000001,TRUE()))</f>
        <v>1</v>
      </c>
      <c r="W4029" s="55" t="n">
        <f aca="false">IF(V4029,IF(01_因子設定!$B$13="最大化",T4029-01_因子設定!$B$14,IF(01_因子設定!$B$13="最小化",01_因子設定!$B$15-U4029,MIN(T4029-01_因子設定!$B$14,01_因子設定!$B$15-U4029))),-1E+030)</f>
        <v>0.95101044012555</v>
      </c>
      <c r="X4029" s="55" t="n">
        <f aca="false">IF(V4029,IF(01_因子設定!$B$13="最大化",Q4029,IF(01_因子設定!$B$13="最小化",-Q4029,-ABS(Q4029-01_因子設定!$B$16))),-1E+030)</f>
        <v>50.5254474431818</v>
      </c>
      <c r="Y4029" s="55" t="n">
        <f aca="false">W4029+ROW()*0.000000001</f>
        <v>0.95101446912555</v>
      </c>
      <c r="Z4029" s="55" t="n">
        <f aca="false">X4029+ROW()*0.000000001</f>
        <v>50.5254514721818</v>
      </c>
    </row>
    <row r="4030" customFormat="false" ht="15" hidden="false" customHeight="false" outlineLevel="0" collapsed="false">
      <c r="A4030" s="0" t="n">
        <v>13</v>
      </c>
      <c r="B4030" s="0" t="n">
        <v>15</v>
      </c>
      <c r="C4030" s="0" t="n">
        <v>13</v>
      </c>
      <c r="D4030" s="0" t="n">
        <f aca="false">-1+A4030*0.125</f>
        <v>0.625</v>
      </c>
      <c r="E4030" s="0" t="n">
        <f aca="false">-1+B4030*0.125</f>
        <v>0.875</v>
      </c>
      <c r="F4030" s="0" t="n">
        <f aca="false">-1+C4030*0.125</f>
        <v>0.625</v>
      </c>
      <c r="G4030" s="0" t="n">
        <f aca="false">1</f>
        <v>1</v>
      </c>
      <c r="H4030" s="0" t="n">
        <f aca="false">D4030</f>
        <v>0.625</v>
      </c>
      <c r="I4030" s="0" t="n">
        <f aca="false">E4030</f>
        <v>0.875</v>
      </c>
      <c r="J4030" s="0" t="n">
        <f aca="false">F4030</f>
        <v>0.625</v>
      </c>
      <c r="K4030" s="0" t="n">
        <f aca="false">D4030*E4030</f>
        <v>0.546875</v>
      </c>
      <c r="L4030" s="0" t="n">
        <f aca="false">D4030*F4030</f>
        <v>0.390625</v>
      </c>
      <c r="M4030" s="0" t="n">
        <f aca="false">E4030*F4030</f>
        <v>0.546875</v>
      </c>
      <c r="N4030" s="0" t="n">
        <f aca="false">D4030*D4030</f>
        <v>0.390625</v>
      </c>
      <c r="O4030" s="0" t="n">
        <f aca="false">E4030*E4030</f>
        <v>0.765625</v>
      </c>
      <c r="P4030" s="0" t="n">
        <f aca="false">F4030*F4030</f>
        <v>0.390625</v>
      </c>
      <c r="Q4030" s="0" t="n">
        <f aca="false">SUMPRODUCT(G4030:P4030,_XtX!$B$71:$K$71)</f>
        <v>50.5698934659091</v>
      </c>
      <c r="R4030" s="0" t="n">
        <f aca="false">SUMPRODUCT(MMULT(G4030:P4030,_XtX!$B$58:$K$67),G4030:P4030)</f>
        <v>0.345470636541193</v>
      </c>
      <c r="S4030" s="0" t="n">
        <f aca="false">04_回帰ANOVA!$K$19*04_回帰ANOVA!$K$14*SQRT(1+R4030)</f>
        <v>1.07845927083227</v>
      </c>
      <c r="T4030" s="0" t="n">
        <f aca="false">Q4030-S4030</f>
        <v>49.4914341950768</v>
      </c>
      <c r="U4030" s="0" t="n">
        <f aca="false">Q4030+S4030</f>
        <v>51.6483527367414</v>
      </c>
      <c r="V4030" s="54" t="b">
        <f aca="false">AND(D4030&gt;=01_因子設定!$L$5-0.000000001,D4030&lt;=01_因子設定!$M$5+0.000000001,E4030&gt;=01_因子設定!$L$6-0.000000001,E4030&lt;=01_因子設定!$M$6+0.000000001,F4030&gt;=01_因子設定!$L$7-0.000000001,F4030&lt;=01_因子設定!$M$7+0.000000001,IF(01_因子設定!$B$20="Box-Behnken",D4030^2+E4030^2+F4030^2&lt;=2+0.000000001,TRUE()))</f>
        <v>1</v>
      </c>
      <c r="W4030" s="55" t="n">
        <f aca="false">IF(V4030,IF(01_因子設定!$B$13="最大化",T4030-01_因子設定!$B$14,IF(01_因子設定!$B$13="最小化",01_因子設定!$B$15-U4030,MIN(T4030-01_因子設定!$B$14,01_因子設定!$B$15-U4030))),-1E+030)</f>
        <v>0.991434195076835</v>
      </c>
      <c r="X4030" s="55" t="n">
        <f aca="false">IF(V4030,IF(01_因子設定!$B$13="最大化",Q4030,IF(01_因子設定!$B$13="最小化",-Q4030,-ABS(Q4030-01_因子設定!$B$16))),-1E+030)</f>
        <v>50.5698934659091</v>
      </c>
      <c r="Y4030" s="55" t="n">
        <f aca="false">W4030+ROW()*0.000000001</f>
        <v>0.991438225076835</v>
      </c>
      <c r="Z4030" s="55" t="n">
        <f aca="false">X4030+ROW()*0.000000001</f>
        <v>50.5698974959091</v>
      </c>
    </row>
    <row r="4031" customFormat="false" ht="15" hidden="false" customHeight="false" outlineLevel="0" collapsed="false">
      <c r="A4031" s="0" t="n">
        <v>13</v>
      </c>
      <c r="B4031" s="0" t="n">
        <v>15</v>
      </c>
      <c r="C4031" s="0" t="n">
        <v>14</v>
      </c>
      <c r="D4031" s="0" t="n">
        <f aca="false">-1+A4031*0.125</f>
        <v>0.625</v>
      </c>
      <c r="E4031" s="0" t="n">
        <f aca="false">-1+B4031*0.125</f>
        <v>0.875</v>
      </c>
      <c r="F4031" s="0" t="n">
        <f aca="false">-1+C4031*0.125</f>
        <v>0.75</v>
      </c>
      <c r="G4031" s="0" t="n">
        <f aca="false">1</f>
        <v>1</v>
      </c>
      <c r="H4031" s="0" t="n">
        <f aca="false">D4031</f>
        <v>0.625</v>
      </c>
      <c r="I4031" s="0" t="n">
        <f aca="false">E4031</f>
        <v>0.875</v>
      </c>
      <c r="J4031" s="0" t="n">
        <f aca="false">F4031</f>
        <v>0.75</v>
      </c>
      <c r="K4031" s="0" t="n">
        <f aca="false">D4031*E4031</f>
        <v>0.546875</v>
      </c>
      <c r="L4031" s="0" t="n">
        <f aca="false">D4031*F4031</f>
        <v>0.46875</v>
      </c>
      <c r="M4031" s="0" t="n">
        <f aca="false">E4031*F4031</f>
        <v>0.65625</v>
      </c>
      <c r="N4031" s="0" t="n">
        <f aca="false">D4031*D4031</f>
        <v>0.390625</v>
      </c>
      <c r="O4031" s="0" t="n">
        <f aca="false">E4031*E4031</f>
        <v>0.765625</v>
      </c>
      <c r="P4031" s="0" t="n">
        <f aca="false">F4031*F4031</f>
        <v>0.5625</v>
      </c>
      <c r="Q4031" s="0" t="n">
        <f aca="false">SUMPRODUCT(G4031:P4031,_XtX!$B$71:$K$71)</f>
        <v>50.5775497159091</v>
      </c>
      <c r="R4031" s="0" t="n">
        <f aca="false">SUMPRODUCT(MMULT(G4031:P4031,_XtX!$B$58:$K$67),G4031:P4031)</f>
        <v>0.377245538884943</v>
      </c>
      <c r="S4031" s="0" t="n">
        <f aca="false">04_回帰ANOVA!$K$19*04_回帰ANOVA!$K$14*SQRT(1+R4031)</f>
        <v>1.09111951468927</v>
      </c>
      <c r="T4031" s="0" t="n">
        <f aca="false">Q4031-S4031</f>
        <v>49.4864302012198</v>
      </c>
      <c r="U4031" s="0" t="n">
        <f aca="false">Q4031+S4031</f>
        <v>51.6686692305984</v>
      </c>
      <c r="V4031" s="54" t="b">
        <f aca="false">AND(D4031&gt;=01_因子設定!$L$5-0.000000001,D4031&lt;=01_因子設定!$M$5+0.000000001,E4031&gt;=01_因子設定!$L$6-0.000000001,E4031&lt;=01_因子設定!$M$6+0.000000001,F4031&gt;=01_因子設定!$L$7-0.000000001,F4031&lt;=01_因子設定!$M$7+0.000000001,IF(01_因子設定!$B$20="Box-Behnken",D4031^2+E4031^2+F4031^2&lt;=2+0.000000001,TRUE()))</f>
        <v>1</v>
      </c>
      <c r="W4031" s="55" t="n">
        <f aca="false">IF(V4031,IF(01_因子設定!$B$13="最大化",T4031-01_因子設定!$B$14,IF(01_因子設定!$B$13="最小化",01_因子設定!$B$15-U4031,MIN(T4031-01_因子設定!$B$14,01_因子設定!$B$15-U4031))),-1E+030)</f>
        <v>0.986430201219832</v>
      </c>
      <c r="X4031" s="55" t="n">
        <f aca="false">IF(V4031,IF(01_因子設定!$B$13="最大化",Q4031,IF(01_因子設定!$B$13="最小化",-Q4031,-ABS(Q4031-01_因子設定!$B$16))),-1E+030)</f>
        <v>50.5775497159091</v>
      </c>
      <c r="Y4031" s="55" t="n">
        <f aca="false">W4031+ROW()*0.000000001</f>
        <v>0.986434232219832</v>
      </c>
      <c r="Z4031" s="55" t="n">
        <f aca="false">X4031+ROW()*0.000000001</f>
        <v>50.5775537469091</v>
      </c>
    </row>
    <row r="4032" customFormat="false" ht="15" hidden="false" customHeight="false" outlineLevel="0" collapsed="false">
      <c r="A4032" s="0" t="n">
        <v>13</v>
      </c>
      <c r="B4032" s="0" t="n">
        <v>15</v>
      </c>
      <c r="C4032" s="0" t="n">
        <v>15</v>
      </c>
      <c r="D4032" s="0" t="n">
        <f aca="false">-1+A4032*0.125</f>
        <v>0.625</v>
      </c>
      <c r="E4032" s="0" t="n">
        <f aca="false">-1+B4032*0.125</f>
        <v>0.875</v>
      </c>
      <c r="F4032" s="0" t="n">
        <f aca="false">-1+C4032*0.125</f>
        <v>0.875</v>
      </c>
      <c r="G4032" s="0" t="n">
        <f aca="false">1</f>
        <v>1</v>
      </c>
      <c r="H4032" s="0" t="n">
        <f aca="false">D4032</f>
        <v>0.625</v>
      </c>
      <c r="I4032" s="0" t="n">
        <f aca="false">E4032</f>
        <v>0.875</v>
      </c>
      <c r="J4032" s="0" t="n">
        <f aca="false">F4032</f>
        <v>0.875</v>
      </c>
      <c r="K4032" s="0" t="n">
        <f aca="false">D4032*E4032</f>
        <v>0.546875</v>
      </c>
      <c r="L4032" s="0" t="n">
        <f aca="false">D4032*F4032</f>
        <v>0.546875</v>
      </c>
      <c r="M4032" s="0" t="n">
        <f aca="false">E4032*F4032</f>
        <v>0.765625</v>
      </c>
      <c r="N4032" s="0" t="n">
        <f aca="false">D4032*D4032</f>
        <v>0.390625</v>
      </c>
      <c r="O4032" s="0" t="n">
        <f aca="false">E4032*E4032</f>
        <v>0.765625</v>
      </c>
      <c r="P4032" s="0" t="n">
        <f aca="false">F4032*F4032</f>
        <v>0.765625</v>
      </c>
      <c r="Q4032" s="0" t="n">
        <f aca="false">SUMPRODUCT(G4032:P4032,_XtX!$B$71:$K$71)</f>
        <v>50.5484161931818</v>
      </c>
      <c r="R4032" s="0" t="n">
        <f aca="false">SUMPRODUCT(MMULT(G4032:P4032,_XtX!$B$58:$K$67),G4032:P4032)</f>
        <v>0.442496559836648</v>
      </c>
      <c r="S4032" s="0" t="n">
        <f aca="false">04_回帰ANOVA!$K$19*04_回帰ANOVA!$K$14*SQRT(1+R4032)</f>
        <v>1.11666789259284</v>
      </c>
      <c r="T4032" s="0" t="n">
        <f aca="false">Q4032-S4032</f>
        <v>49.431748300589</v>
      </c>
      <c r="U4032" s="0" t="n">
        <f aca="false">Q4032+S4032</f>
        <v>51.6650840857747</v>
      </c>
      <c r="V4032" s="54" t="b">
        <f aca="false">AND(D4032&gt;=01_因子設定!$L$5-0.000000001,D4032&lt;=01_因子設定!$M$5+0.000000001,E4032&gt;=01_因子設定!$L$6-0.000000001,E4032&lt;=01_因子設定!$M$6+0.000000001,F4032&gt;=01_因子設定!$L$7-0.000000001,F4032&lt;=01_因子設定!$M$7+0.000000001,IF(01_因子設定!$B$20="Box-Behnken",D4032^2+E4032^2+F4032^2&lt;=2+0.000000001,TRUE()))</f>
        <v>1</v>
      </c>
      <c r="W4032" s="55" t="n">
        <f aca="false">IF(V4032,IF(01_因子設定!$B$13="最大化",T4032-01_因子設定!$B$14,IF(01_因子設定!$B$13="最小化",01_因子設定!$B$15-U4032,MIN(T4032-01_因子設定!$B$14,01_因子設定!$B$15-U4032))),-1E+030)</f>
        <v>0.931748300588993</v>
      </c>
      <c r="X4032" s="55" t="n">
        <f aca="false">IF(V4032,IF(01_因子設定!$B$13="最大化",Q4032,IF(01_因子設定!$B$13="最小化",-Q4032,-ABS(Q4032-01_因子設定!$B$16))),-1E+030)</f>
        <v>50.5484161931818</v>
      </c>
      <c r="Y4032" s="55" t="n">
        <f aca="false">W4032+ROW()*0.000000001</f>
        <v>0.931752332588993</v>
      </c>
      <c r="Z4032" s="55" t="n">
        <f aca="false">X4032+ROW()*0.000000001</f>
        <v>50.5484202251818</v>
      </c>
    </row>
    <row r="4033" customFormat="false" ht="15" hidden="false" customHeight="false" outlineLevel="0" collapsed="false">
      <c r="A4033" s="0" t="n">
        <v>13</v>
      </c>
      <c r="B4033" s="0" t="n">
        <v>15</v>
      </c>
      <c r="C4033" s="0" t="n">
        <v>16</v>
      </c>
      <c r="D4033" s="0" t="n">
        <f aca="false">-1+A4033*0.125</f>
        <v>0.625</v>
      </c>
      <c r="E4033" s="0" t="n">
        <f aca="false">-1+B4033*0.125</f>
        <v>0.875</v>
      </c>
      <c r="F4033" s="0" t="n">
        <f aca="false">-1+C4033*0.125</f>
        <v>1</v>
      </c>
      <c r="G4033" s="0" t="n">
        <f aca="false">1</f>
        <v>1</v>
      </c>
      <c r="H4033" s="0" t="n">
        <f aca="false">D4033</f>
        <v>0.625</v>
      </c>
      <c r="I4033" s="0" t="n">
        <f aca="false">E4033</f>
        <v>0.875</v>
      </c>
      <c r="J4033" s="0" t="n">
        <f aca="false">F4033</f>
        <v>1</v>
      </c>
      <c r="K4033" s="0" t="n">
        <f aca="false">D4033*E4033</f>
        <v>0.546875</v>
      </c>
      <c r="L4033" s="0" t="n">
        <f aca="false">D4033*F4033</f>
        <v>0.625</v>
      </c>
      <c r="M4033" s="0" t="n">
        <f aca="false">E4033*F4033</f>
        <v>0.875</v>
      </c>
      <c r="N4033" s="0" t="n">
        <f aca="false">D4033*D4033</f>
        <v>0.390625</v>
      </c>
      <c r="O4033" s="0" t="n">
        <f aca="false">E4033*E4033</f>
        <v>0.765625</v>
      </c>
      <c r="P4033" s="0" t="n">
        <f aca="false">F4033*F4033</f>
        <v>1</v>
      </c>
      <c r="Q4033" s="0" t="n">
        <f aca="false">SUMPRODUCT(G4033:P4033,_XtX!$B$71:$K$71)</f>
        <v>50.4824928977273</v>
      </c>
      <c r="R4033" s="0" t="n">
        <f aca="false">SUMPRODUCT(MMULT(G4033:P4033,_XtX!$B$58:$K$67),G4033:P4033)</f>
        <v>0.555073131214489</v>
      </c>
      <c r="S4033" s="0" t="n">
        <f aca="false">04_回帰ANOVA!$K$19*04_回帰ANOVA!$K$14*SQRT(1+R4033)</f>
        <v>1.15942335628341</v>
      </c>
      <c r="T4033" s="0" t="n">
        <f aca="false">Q4033-S4033</f>
        <v>49.3230695414439</v>
      </c>
      <c r="U4033" s="0" t="n">
        <f aca="false">Q4033+S4033</f>
        <v>51.6419162540107</v>
      </c>
      <c r="V4033" s="54" t="b">
        <f aca="false">AND(D4033&gt;=01_因子設定!$L$5-0.000000001,D4033&lt;=01_因子設定!$M$5+0.000000001,E4033&gt;=01_因子設定!$L$6-0.000000001,E4033&lt;=01_因子設定!$M$6+0.000000001,F4033&gt;=01_因子設定!$L$7-0.000000001,F4033&lt;=01_因子設定!$M$7+0.000000001,IF(01_因子設定!$B$20="Box-Behnken",D4033^2+E4033^2+F4033^2&lt;=2+0.000000001,TRUE()))</f>
        <v>1</v>
      </c>
      <c r="W4033" s="55" t="n">
        <f aca="false">IF(V4033,IF(01_因子設定!$B$13="最大化",T4033-01_因子設定!$B$14,IF(01_因子設定!$B$13="最小化",01_因子設定!$B$15-U4033,MIN(T4033-01_因子設定!$B$14,01_因子設定!$B$15-U4033))),-1E+030)</f>
        <v>0.823069541443893</v>
      </c>
      <c r="X4033" s="55" t="n">
        <f aca="false">IF(V4033,IF(01_因子設定!$B$13="最大化",Q4033,IF(01_因子設定!$B$13="最小化",-Q4033,-ABS(Q4033-01_因子設定!$B$16))),-1E+030)</f>
        <v>50.4824928977273</v>
      </c>
      <c r="Y4033" s="55" t="n">
        <f aca="false">W4033+ROW()*0.000000001</f>
        <v>0.823073574443893</v>
      </c>
      <c r="Z4033" s="55" t="n">
        <f aca="false">X4033+ROW()*0.000000001</f>
        <v>50.4824969307273</v>
      </c>
    </row>
    <row r="4034" customFormat="false" ht="15" hidden="false" customHeight="false" outlineLevel="0" collapsed="false">
      <c r="A4034" s="0" t="n">
        <v>13</v>
      </c>
      <c r="B4034" s="0" t="n">
        <v>16</v>
      </c>
      <c r="C4034" s="0" t="n">
        <v>0</v>
      </c>
      <c r="D4034" s="0" t="n">
        <f aca="false">-1+A4034*0.125</f>
        <v>0.625</v>
      </c>
      <c r="E4034" s="0" t="n">
        <f aca="false">-1+B4034*0.125</f>
        <v>1</v>
      </c>
      <c r="F4034" s="0" t="n">
        <f aca="false">-1+C4034*0.125</f>
        <v>-1</v>
      </c>
      <c r="G4034" s="0" t="n">
        <f aca="false">1</f>
        <v>1</v>
      </c>
      <c r="H4034" s="0" t="n">
        <f aca="false">D4034</f>
        <v>0.625</v>
      </c>
      <c r="I4034" s="0" t="n">
        <f aca="false">E4034</f>
        <v>1</v>
      </c>
      <c r="J4034" s="0" t="n">
        <f aca="false">F4034</f>
        <v>-1</v>
      </c>
      <c r="K4034" s="0" t="n">
        <f aca="false">D4034*E4034</f>
        <v>0.625</v>
      </c>
      <c r="L4034" s="0" t="n">
        <f aca="false">D4034*F4034</f>
        <v>-0.625</v>
      </c>
      <c r="M4034" s="0" t="n">
        <f aca="false">E4034*F4034</f>
        <v>-1</v>
      </c>
      <c r="N4034" s="0" t="n">
        <f aca="false">D4034*D4034</f>
        <v>0.390625</v>
      </c>
      <c r="O4034" s="0" t="n">
        <f aca="false">E4034*E4034</f>
        <v>1</v>
      </c>
      <c r="P4034" s="0" t="n">
        <f aca="false">F4034*F4034</f>
        <v>1</v>
      </c>
      <c r="Q4034" s="0" t="n">
        <f aca="false">SUMPRODUCT(G4034:P4034,_XtX!$B$71:$K$71)</f>
        <v>46.9455539772728</v>
      </c>
      <c r="R4034" s="0" t="n">
        <f aca="false">SUMPRODUCT(MMULT(G4034:P4034,_XtX!$B$58:$K$67),G4034:P4034)</f>
        <v>0.659534801136364</v>
      </c>
      <c r="S4034" s="0" t="n">
        <f aca="false">04_回帰ANOVA!$K$19*04_回帰ANOVA!$K$14*SQRT(1+R4034)</f>
        <v>1.19773245593097</v>
      </c>
      <c r="T4034" s="0" t="n">
        <f aca="false">Q4034-S4034</f>
        <v>45.7478215213418</v>
      </c>
      <c r="U4034" s="0" t="n">
        <f aca="false">Q4034+S4034</f>
        <v>48.1432864332037</v>
      </c>
      <c r="V4034" s="54" t="b">
        <f aca="false">AND(D4034&gt;=01_因子設定!$L$5-0.000000001,D4034&lt;=01_因子設定!$M$5+0.000000001,E4034&gt;=01_因子設定!$L$6-0.000000001,E4034&lt;=01_因子設定!$M$6+0.000000001,F4034&gt;=01_因子設定!$L$7-0.000000001,F4034&lt;=01_因子設定!$M$7+0.000000001,IF(01_因子設定!$B$20="Box-Behnken",D4034^2+E4034^2+F4034^2&lt;=2+0.000000001,TRUE()))</f>
        <v>1</v>
      </c>
      <c r="W4034" s="55" t="n">
        <f aca="false">IF(V4034,IF(01_因子設定!$B$13="最大化",T4034-01_因子設定!$B$14,IF(01_因子設定!$B$13="最小化",01_因子設定!$B$15-U4034,MIN(T4034-01_因子設定!$B$14,01_因子設定!$B$15-U4034))),-1E+030)</f>
        <v>-2.75217847865822</v>
      </c>
      <c r="X4034" s="55" t="n">
        <f aca="false">IF(V4034,IF(01_因子設定!$B$13="最大化",Q4034,IF(01_因子設定!$B$13="最小化",-Q4034,-ABS(Q4034-01_因子設定!$B$16))),-1E+030)</f>
        <v>46.9455539772728</v>
      </c>
      <c r="Y4034" s="55" t="n">
        <f aca="false">W4034+ROW()*0.000000001</f>
        <v>-2.75217444465822</v>
      </c>
      <c r="Z4034" s="55" t="n">
        <f aca="false">X4034+ROW()*0.000000001</f>
        <v>46.9455580112728</v>
      </c>
    </row>
    <row r="4035" customFormat="false" ht="15" hidden="false" customHeight="false" outlineLevel="0" collapsed="false">
      <c r="A4035" s="0" t="n">
        <v>13</v>
      </c>
      <c r="B4035" s="0" t="n">
        <v>16</v>
      </c>
      <c r="C4035" s="0" t="n">
        <v>1</v>
      </c>
      <c r="D4035" s="0" t="n">
        <f aca="false">-1+A4035*0.125</f>
        <v>0.625</v>
      </c>
      <c r="E4035" s="0" t="n">
        <f aca="false">-1+B4035*0.125</f>
        <v>1</v>
      </c>
      <c r="F4035" s="0" t="n">
        <f aca="false">-1+C4035*0.125</f>
        <v>-0.875</v>
      </c>
      <c r="G4035" s="0" t="n">
        <f aca="false">1</f>
        <v>1</v>
      </c>
      <c r="H4035" s="0" t="n">
        <f aca="false">D4035</f>
        <v>0.625</v>
      </c>
      <c r="I4035" s="0" t="n">
        <f aca="false">E4035</f>
        <v>1</v>
      </c>
      <c r="J4035" s="0" t="n">
        <f aca="false">F4035</f>
        <v>-0.875</v>
      </c>
      <c r="K4035" s="0" t="n">
        <f aca="false">D4035*E4035</f>
        <v>0.625</v>
      </c>
      <c r="L4035" s="0" t="n">
        <f aca="false">D4035*F4035</f>
        <v>-0.546875</v>
      </c>
      <c r="M4035" s="0" t="n">
        <f aca="false">E4035*F4035</f>
        <v>-0.875</v>
      </c>
      <c r="N4035" s="0" t="n">
        <f aca="false">D4035*D4035</f>
        <v>0.390625</v>
      </c>
      <c r="O4035" s="0" t="n">
        <f aca="false">E4035*E4035</f>
        <v>1</v>
      </c>
      <c r="P4035" s="0" t="n">
        <f aca="false">F4035*F4035</f>
        <v>0.765625</v>
      </c>
      <c r="Q4035" s="0" t="n">
        <f aca="false">SUMPRODUCT(G4035:P4035,_XtX!$B$71:$K$71)</f>
        <v>47.4385085227273</v>
      </c>
      <c r="R4035" s="0" t="n">
        <f aca="false">SUMPRODUCT(MMULT(G4035:P4035,_XtX!$B$58:$K$67),G4035:P4035)</f>
        <v>0.555073131214489</v>
      </c>
      <c r="S4035" s="0" t="n">
        <f aca="false">04_回帰ANOVA!$K$19*04_回帰ANOVA!$K$14*SQRT(1+R4035)</f>
        <v>1.15942335628341</v>
      </c>
      <c r="T4035" s="0" t="n">
        <f aca="false">Q4035-S4035</f>
        <v>46.2790851664439</v>
      </c>
      <c r="U4035" s="0" t="n">
        <f aca="false">Q4035+S4035</f>
        <v>48.5979318790107</v>
      </c>
      <c r="V4035" s="54" t="b">
        <f aca="false">AND(D4035&gt;=01_因子設定!$L$5-0.000000001,D4035&lt;=01_因子設定!$M$5+0.000000001,E4035&gt;=01_因子設定!$L$6-0.000000001,E4035&lt;=01_因子設定!$M$6+0.000000001,F4035&gt;=01_因子設定!$L$7-0.000000001,F4035&lt;=01_因子設定!$M$7+0.000000001,IF(01_因子設定!$B$20="Box-Behnken",D4035^2+E4035^2+F4035^2&lt;=2+0.000000001,TRUE()))</f>
        <v>1</v>
      </c>
      <c r="W4035" s="55" t="n">
        <f aca="false">IF(V4035,IF(01_因子設定!$B$13="最大化",T4035-01_因子設定!$B$14,IF(01_因子設定!$B$13="最小化",01_因子設定!$B$15-U4035,MIN(T4035-01_因子設定!$B$14,01_因子設定!$B$15-U4035))),-1E+030)</f>
        <v>-2.22091483355612</v>
      </c>
      <c r="X4035" s="55" t="n">
        <f aca="false">IF(V4035,IF(01_因子設定!$B$13="最大化",Q4035,IF(01_因子設定!$B$13="最小化",-Q4035,-ABS(Q4035-01_因子設定!$B$16))),-1E+030)</f>
        <v>47.4385085227273</v>
      </c>
      <c r="Y4035" s="55" t="n">
        <f aca="false">W4035+ROW()*0.000000001</f>
        <v>-2.22091079855612</v>
      </c>
      <c r="Z4035" s="55" t="n">
        <f aca="false">X4035+ROW()*0.000000001</f>
        <v>47.4385125577273</v>
      </c>
    </row>
    <row r="4036" customFormat="false" ht="15" hidden="false" customHeight="false" outlineLevel="0" collapsed="false">
      <c r="A4036" s="0" t="n">
        <v>13</v>
      </c>
      <c r="B4036" s="0" t="n">
        <v>16</v>
      </c>
      <c r="C4036" s="0" t="n">
        <v>2</v>
      </c>
      <c r="D4036" s="0" t="n">
        <f aca="false">-1+A4036*0.125</f>
        <v>0.625</v>
      </c>
      <c r="E4036" s="0" t="n">
        <f aca="false">-1+B4036*0.125</f>
        <v>1</v>
      </c>
      <c r="F4036" s="0" t="n">
        <f aca="false">-1+C4036*0.125</f>
        <v>-0.75</v>
      </c>
      <c r="G4036" s="0" t="n">
        <f aca="false">1</f>
        <v>1</v>
      </c>
      <c r="H4036" s="0" t="n">
        <f aca="false">D4036</f>
        <v>0.625</v>
      </c>
      <c r="I4036" s="0" t="n">
        <f aca="false">E4036</f>
        <v>1</v>
      </c>
      <c r="J4036" s="0" t="n">
        <f aca="false">F4036</f>
        <v>-0.75</v>
      </c>
      <c r="K4036" s="0" t="n">
        <f aca="false">D4036*E4036</f>
        <v>0.625</v>
      </c>
      <c r="L4036" s="0" t="n">
        <f aca="false">D4036*F4036</f>
        <v>-0.46875</v>
      </c>
      <c r="M4036" s="0" t="n">
        <f aca="false">E4036*F4036</f>
        <v>-0.75</v>
      </c>
      <c r="N4036" s="0" t="n">
        <f aca="false">D4036*D4036</f>
        <v>0.390625</v>
      </c>
      <c r="O4036" s="0" t="n">
        <f aca="false">E4036*E4036</f>
        <v>1</v>
      </c>
      <c r="P4036" s="0" t="n">
        <f aca="false">F4036*F4036</f>
        <v>0.5625</v>
      </c>
      <c r="Q4036" s="0" t="n">
        <f aca="false">SUMPRODUCT(G4036:P4036,_XtX!$B$71:$K$71)</f>
        <v>47.8946732954546</v>
      </c>
      <c r="R4036" s="0" t="n">
        <f aca="false">SUMPRODUCT(MMULT(G4036:P4036,_XtX!$B$58:$K$67),G4036:P4036)</f>
        <v>0.496855024857955</v>
      </c>
      <c r="S4036" s="0" t="n">
        <f aca="false">04_回帰ANOVA!$K$19*04_回帰ANOVA!$K$14*SQRT(1+R4036)</f>
        <v>1.1375133593161</v>
      </c>
      <c r="T4036" s="0" t="n">
        <f aca="false">Q4036-S4036</f>
        <v>46.7571599361385</v>
      </c>
      <c r="U4036" s="0" t="n">
        <f aca="false">Q4036+S4036</f>
        <v>49.0321866547707</v>
      </c>
      <c r="V4036" s="54" t="b">
        <f aca="false">AND(D4036&gt;=01_因子設定!$L$5-0.000000001,D4036&lt;=01_因子設定!$M$5+0.000000001,E4036&gt;=01_因子設定!$L$6-0.000000001,E4036&lt;=01_因子設定!$M$6+0.000000001,F4036&gt;=01_因子設定!$L$7-0.000000001,F4036&lt;=01_因子設定!$M$7+0.000000001,IF(01_因子設定!$B$20="Box-Behnken",D4036^2+E4036^2+F4036^2&lt;=2+0.000000001,TRUE()))</f>
        <v>1</v>
      </c>
      <c r="W4036" s="55" t="n">
        <f aca="false">IF(V4036,IF(01_因子設定!$B$13="最大化",T4036-01_因子設定!$B$14,IF(01_因子設定!$B$13="最小化",01_因子設定!$B$15-U4036,MIN(T4036-01_因子設定!$B$14,01_因子設定!$B$15-U4036))),-1E+030)</f>
        <v>-1.74284006386154</v>
      </c>
      <c r="X4036" s="55" t="n">
        <f aca="false">IF(V4036,IF(01_因子設定!$B$13="最大化",Q4036,IF(01_因子設定!$B$13="最小化",-Q4036,-ABS(Q4036-01_因子設定!$B$16))),-1E+030)</f>
        <v>47.8946732954546</v>
      </c>
      <c r="Y4036" s="55" t="n">
        <f aca="false">W4036+ROW()*0.000000001</f>
        <v>-1.74283602786154</v>
      </c>
      <c r="Z4036" s="55" t="n">
        <f aca="false">X4036+ROW()*0.000000001</f>
        <v>47.8946773314546</v>
      </c>
    </row>
    <row r="4037" customFormat="false" ht="15" hidden="false" customHeight="false" outlineLevel="0" collapsed="false">
      <c r="A4037" s="0" t="n">
        <v>13</v>
      </c>
      <c r="B4037" s="0" t="n">
        <v>16</v>
      </c>
      <c r="C4037" s="0" t="n">
        <v>3</v>
      </c>
      <c r="D4037" s="0" t="n">
        <f aca="false">-1+A4037*0.125</f>
        <v>0.625</v>
      </c>
      <c r="E4037" s="0" t="n">
        <f aca="false">-1+B4037*0.125</f>
        <v>1</v>
      </c>
      <c r="F4037" s="0" t="n">
        <f aca="false">-1+C4037*0.125</f>
        <v>-0.625</v>
      </c>
      <c r="G4037" s="0" t="n">
        <f aca="false">1</f>
        <v>1</v>
      </c>
      <c r="H4037" s="0" t="n">
        <f aca="false">D4037</f>
        <v>0.625</v>
      </c>
      <c r="I4037" s="0" t="n">
        <f aca="false">E4037</f>
        <v>1</v>
      </c>
      <c r="J4037" s="0" t="n">
        <f aca="false">F4037</f>
        <v>-0.625</v>
      </c>
      <c r="K4037" s="0" t="n">
        <f aca="false">D4037*E4037</f>
        <v>0.625</v>
      </c>
      <c r="L4037" s="0" t="n">
        <f aca="false">D4037*F4037</f>
        <v>-0.390625</v>
      </c>
      <c r="M4037" s="0" t="n">
        <f aca="false">E4037*F4037</f>
        <v>-0.625</v>
      </c>
      <c r="N4037" s="0" t="n">
        <f aca="false">D4037*D4037</f>
        <v>0.390625</v>
      </c>
      <c r="O4037" s="0" t="n">
        <f aca="false">E4037*E4037</f>
        <v>1</v>
      </c>
      <c r="P4037" s="0" t="n">
        <f aca="false">F4037*F4037</f>
        <v>0.390625</v>
      </c>
      <c r="Q4037" s="0" t="n">
        <f aca="false">SUMPRODUCT(G4037:P4037,_XtX!$B$71:$K$71)</f>
        <v>48.3140482954546</v>
      </c>
      <c r="R4037" s="0" t="n">
        <f aca="false">SUMPRODUCT(MMULT(G4037:P4037,_XtX!$B$58:$K$67),G4037:P4037)</f>
        <v>0.47103105024858</v>
      </c>
      <c r="S4037" s="0" t="n">
        <f aca="false">04_回帰ANOVA!$K$19*04_回帰ANOVA!$K$14*SQRT(1+R4037)</f>
        <v>1.1276583912499</v>
      </c>
      <c r="T4037" s="0" t="n">
        <f aca="false">Q4037-S4037</f>
        <v>47.1863899042047</v>
      </c>
      <c r="U4037" s="0" t="n">
        <f aca="false">Q4037+S4037</f>
        <v>49.4417066867045</v>
      </c>
      <c r="V4037" s="54" t="b">
        <f aca="false">AND(D4037&gt;=01_因子設定!$L$5-0.000000001,D4037&lt;=01_因子設定!$M$5+0.000000001,E4037&gt;=01_因子設定!$L$6-0.000000001,E4037&lt;=01_因子設定!$M$6+0.000000001,F4037&gt;=01_因子設定!$L$7-0.000000001,F4037&lt;=01_因子設定!$M$7+0.000000001,IF(01_因子設定!$B$20="Box-Behnken",D4037^2+E4037^2+F4037^2&lt;=2+0.000000001,TRUE()))</f>
        <v>1</v>
      </c>
      <c r="W4037" s="55" t="n">
        <f aca="false">IF(V4037,IF(01_因子設定!$B$13="最大化",T4037-01_因子設定!$B$14,IF(01_因子設定!$B$13="最小化",01_因子設定!$B$15-U4037,MIN(T4037-01_因子設定!$B$14,01_因子設定!$B$15-U4037))),-1E+030)</f>
        <v>-1.31361009579535</v>
      </c>
      <c r="X4037" s="55" t="n">
        <f aca="false">IF(V4037,IF(01_因子設定!$B$13="最大化",Q4037,IF(01_因子設定!$B$13="最小化",-Q4037,-ABS(Q4037-01_因子設定!$B$16))),-1E+030)</f>
        <v>48.3140482954546</v>
      </c>
      <c r="Y4037" s="55" t="n">
        <f aca="false">W4037+ROW()*0.000000001</f>
        <v>-1.31360605879535</v>
      </c>
      <c r="Z4037" s="55" t="n">
        <f aca="false">X4037+ROW()*0.000000001</f>
        <v>48.3140523324546</v>
      </c>
    </row>
    <row r="4038" customFormat="false" ht="15" hidden="false" customHeight="false" outlineLevel="0" collapsed="false">
      <c r="A4038" s="0" t="n">
        <v>13</v>
      </c>
      <c r="B4038" s="0" t="n">
        <v>16</v>
      </c>
      <c r="C4038" s="0" t="n">
        <v>4</v>
      </c>
      <c r="D4038" s="0" t="n">
        <f aca="false">-1+A4038*0.125</f>
        <v>0.625</v>
      </c>
      <c r="E4038" s="0" t="n">
        <f aca="false">-1+B4038*0.125</f>
        <v>1</v>
      </c>
      <c r="F4038" s="0" t="n">
        <f aca="false">-1+C4038*0.125</f>
        <v>-0.5</v>
      </c>
      <c r="G4038" s="0" t="n">
        <f aca="false">1</f>
        <v>1</v>
      </c>
      <c r="H4038" s="0" t="n">
        <f aca="false">D4038</f>
        <v>0.625</v>
      </c>
      <c r="I4038" s="0" t="n">
        <f aca="false">E4038</f>
        <v>1</v>
      </c>
      <c r="J4038" s="0" t="n">
        <f aca="false">F4038</f>
        <v>-0.5</v>
      </c>
      <c r="K4038" s="0" t="n">
        <f aca="false">D4038*E4038</f>
        <v>0.625</v>
      </c>
      <c r="L4038" s="0" t="n">
        <f aca="false">D4038*F4038</f>
        <v>-0.3125</v>
      </c>
      <c r="M4038" s="0" t="n">
        <f aca="false">E4038*F4038</f>
        <v>-0.5</v>
      </c>
      <c r="N4038" s="0" t="n">
        <f aca="false">D4038*D4038</f>
        <v>0.390625</v>
      </c>
      <c r="O4038" s="0" t="n">
        <f aca="false">E4038*E4038</f>
        <v>1</v>
      </c>
      <c r="P4038" s="0" t="n">
        <f aca="false">F4038*F4038</f>
        <v>0.25</v>
      </c>
      <c r="Q4038" s="0" t="n">
        <f aca="false">SUMPRODUCT(G4038:P4038,_XtX!$B$71:$K$71)</f>
        <v>48.6966335227273</v>
      </c>
      <c r="R4038" s="0" t="n">
        <f aca="false">SUMPRODUCT(MMULT(G4038:P4038,_XtX!$B$58:$K$67),G4038:P4038)</f>
        <v>0.465882457386364</v>
      </c>
      <c r="S4038" s="0" t="n">
        <f aca="false">04_回帰ANOVA!$K$19*04_回帰ANOVA!$K$14*SQRT(1+R4038)</f>
        <v>1.12568326538173</v>
      </c>
      <c r="T4038" s="0" t="n">
        <f aca="false">Q4038-S4038</f>
        <v>47.5709502573456</v>
      </c>
      <c r="U4038" s="0" t="n">
        <f aca="false">Q4038+S4038</f>
        <v>49.822316788109</v>
      </c>
      <c r="V4038" s="54" t="b">
        <f aca="false">AND(D4038&gt;=01_因子設定!$L$5-0.000000001,D4038&lt;=01_因子設定!$M$5+0.000000001,E4038&gt;=01_因子設定!$L$6-0.000000001,E4038&lt;=01_因子設定!$M$6+0.000000001,F4038&gt;=01_因子設定!$L$7-0.000000001,F4038&lt;=01_因子設定!$M$7+0.000000001,IF(01_因子設定!$B$20="Box-Behnken",D4038^2+E4038^2+F4038^2&lt;=2+0.000000001,TRUE()))</f>
        <v>1</v>
      </c>
      <c r="W4038" s="55" t="n">
        <f aca="false">IF(V4038,IF(01_因子設定!$B$13="最大化",T4038-01_因子設定!$B$14,IF(01_因子設定!$B$13="最小化",01_因子設定!$B$15-U4038,MIN(T4038-01_因子設定!$B$14,01_因子設定!$B$15-U4038))),-1E+030)</f>
        <v>-0.929049742654442</v>
      </c>
      <c r="X4038" s="55" t="n">
        <f aca="false">IF(V4038,IF(01_因子設定!$B$13="最大化",Q4038,IF(01_因子設定!$B$13="最小化",-Q4038,-ABS(Q4038-01_因子設定!$B$16))),-1E+030)</f>
        <v>48.6966335227273</v>
      </c>
      <c r="Y4038" s="55" t="n">
        <f aca="false">W4038+ROW()*0.000000001</f>
        <v>-0.929045704654442</v>
      </c>
      <c r="Z4038" s="55" t="n">
        <f aca="false">X4038+ROW()*0.000000001</f>
        <v>48.6966375607273</v>
      </c>
    </row>
    <row r="4039" customFormat="false" ht="15" hidden="false" customHeight="false" outlineLevel="0" collapsed="false">
      <c r="A4039" s="0" t="n">
        <v>13</v>
      </c>
      <c r="B4039" s="0" t="n">
        <v>16</v>
      </c>
      <c r="C4039" s="0" t="n">
        <v>5</v>
      </c>
      <c r="D4039" s="0" t="n">
        <f aca="false">-1+A4039*0.125</f>
        <v>0.625</v>
      </c>
      <c r="E4039" s="0" t="n">
        <f aca="false">-1+B4039*0.125</f>
        <v>1</v>
      </c>
      <c r="F4039" s="0" t="n">
        <f aca="false">-1+C4039*0.125</f>
        <v>-0.375</v>
      </c>
      <c r="G4039" s="0" t="n">
        <f aca="false">1</f>
        <v>1</v>
      </c>
      <c r="H4039" s="0" t="n">
        <f aca="false">D4039</f>
        <v>0.625</v>
      </c>
      <c r="I4039" s="0" t="n">
        <f aca="false">E4039</f>
        <v>1</v>
      </c>
      <c r="J4039" s="0" t="n">
        <f aca="false">F4039</f>
        <v>-0.375</v>
      </c>
      <c r="K4039" s="0" t="n">
        <f aca="false">D4039*E4039</f>
        <v>0.625</v>
      </c>
      <c r="L4039" s="0" t="n">
        <f aca="false">D4039*F4039</f>
        <v>-0.234375</v>
      </c>
      <c r="M4039" s="0" t="n">
        <f aca="false">E4039*F4039</f>
        <v>-0.375</v>
      </c>
      <c r="N4039" s="0" t="n">
        <f aca="false">D4039*D4039</f>
        <v>0.390625</v>
      </c>
      <c r="O4039" s="0" t="n">
        <f aca="false">E4039*E4039</f>
        <v>1</v>
      </c>
      <c r="P4039" s="0" t="n">
        <f aca="false">F4039*F4039</f>
        <v>0.140625</v>
      </c>
      <c r="Q4039" s="0" t="n">
        <f aca="false">SUMPRODUCT(G4039:P4039,_XtX!$B$71:$K$71)</f>
        <v>49.0424289772727</v>
      </c>
      <c r="R4039" s="0" t="n">
        <f aca="false">SUMPRODUCT(MMULT(G4039:P4039,_XtX!$B$58:$K$67),G4039:P4039)</f>
        <v>0.471821178089489</v>
      </c>
      <c r="S4039" s="0" t="n">
        <f aca="false">04_回帰ANOVA!$K$19*04_回帰ANOVA!$K$14*SQRT(1+R4039)</f>
        <v>1.12796119746125</v>
      </c>
      <c r="T4039" s="0" t="n">
        <f aca="false">Q4039-S4039</f>
        <v>47.9144677798115</v>
      </c>
      <c r="U4039" s="0" t="n">
        <f aca="false">Q4039+S4039</f>
        <v>50.170390174734</v>
      </c>
      <c r="V4039" s="54" t="b">
        <f aca="false">AND(D4039&gt;=01_因子設定!$L$5-0.000000001,D4039&lt;=01_因子設定!$M$5+0.000000001,E4039&gt;=01_因子設定!$L$6-0.000000001,E4039&lt;=01_因子設定!$M$6+0.000000001,F4039&gt;=01_因子設定!$L$7-0.000000001,F4039&lt;=01_因子設定!$M$7+0.000000001,IF(01_因子設定!$B$20="Box-Behnken",D4039^2+E4039^2+F4039^2&lt;=2+0.000000001,TRUE()))</f>
        <v>1</v>
      </c>
      <c r="W4039" s="55" t="n">
        <f aca="false">IF(V4039,IF(01_因子設定!$B$13="最大化",T4039-01_因子設定!$B$14,IF(01_因子設定!$B$13="最小化",01_因子設定!$B$15-U4039,MIN(T4039-01_因子設定!$B$14,01_因子設定!$B$15-U4039))),-1E+030)</f>
        <v>-0.585532220188519</v>
      </c>
      <c r="X4039" s="55" t="n">
        <f aca="false">IF(V4039,IF(01_因子設定!$B$13="最大化",Q4039,IF(01_因子設定!$B$13="最小化",-Q4039,-ABS(Q4039-01_因子設定!$B$16))),-1E+030)</f>
        <v>49.0424289772727</v>
      </c>
      <c r="Y4039" s="55" t="n">
        <f aca="false">W4039+ROW()*0.000000001</f>
        <v>-0.585528181188519</v>
      </c>
      <c r="Z4039" s="55" t="n">
        <f aca="false">X4039+ROW()*0.000000001</f>
        <v>49.0424330162727</v>
      </c>
    </row>
    <row r="4040" customFormat="false" ht="15" hidden="false" customHeight="false" outlineLevel="0" collapsed="false">
      <c r="A4040" s="0" t="n">
        <v>13</v>
      </c>
      <c r="B4040" s="0" t="n">
        <v>16</v>
      </c>
      <c r="C4040" s="0" t="n">
        <v>6</v>
      </c>
      <c r="D4040" s="0" t="n">
        <f aca="false">-1+A4040*0.125</f>
        <v>0.625</v>
      </c>
      <c r="E4040" s="0" t="n">
        <f aca="false">-1+B4040*0.125</f>
        <v>1</v>
      </c>
      <c r="F4040" s="0" t="n">
        <f aca="false">-1+C4040*0.125</f>
        <v>-0.25</v>
      </c>
      <c r="G4040" s="0" t="n">
        <f aca="false">1</f>
        <v>1</v>
      </c>
      <c r="H4040" s="0" t="n">
        <f aca="false">D4040</f>
        <v>0.625</v>
      </c>
      <c r="I4040" s="0" t="n">
        <f aca="false">E4040</f>
        <v>1</v>
      </c>
      <c r="J4040" s="0" t="n">
        <f aca="false">F4040</f>
        <v>-0.25</v>
      </c>
      <c r="K4040" s="0" t="n">
        <f aca="false">D4040*E4040</f>
        <v>0.625</v>
      </c>
      <c r="L4040" s="0" t="n">
        <f aca="false">D4040*F4040</f>
        <v>-0.15625</v>
      </c>
      <c r="M4040" s="0" t="n">
        <f aca="false">E4040*F4040</f>
        <v>-0.25</v>
      </c>
      <c r="N4040" s="0" t="n">
        <f aca="false">D4040*D4040</f>
        <v>0.390625</v>
      </c>
      <c r="O4040" s="0" t="n">
        <f aca="false">E4040*E4040</f>
        <v>1</v>
      </c>
      <c r="P4040" s="0" t="n">
        <f aca="false">F4040*F4040</f>
        <v>0.0625</v>
      </c>
      <c r="Q4040" s="0" t="n">
        <f aca="false">SUMPRODUCT(G4040:P4040,_XtX!$B$71:$K$71)</f>
        <v>49.3514346590909</v>
      </c>
      <c r="R4040" s="0" t="n">
        <f aca="false">SUMPRODUCT(MMULT(G4040:P4040,_XtX!$B$58:$K$67),G4040:P4040)</f>
        <v>0.481389825994318</v>
      </c>
      <c r="S4040" s="0" t="n">
        <f aca="false">04_回帰ANOVA!$K$19*04_回帰ANOVA!$K$14*SQRT(1+R4040)</f>
        <v>1.13162182500693</v>
      </c>
      <c r="T4040" s="0" t="n">
        <f aca="false">Q4040-S4040</f>
        <v>48.219812834084</v>
      </c>
      <c r="U4040" s="0" t="n">
        <f aca="false">Q4040+S4040</f>
        <v>50.4830564840978</v>
      </c>
      <c r="V4040" s="54" t="b">
        <f aca="false">AND(D4040&gt;=01_因子設定!$L$5-0.000000001,D4040&lt;=01_因子設定!$M$5+0.000000001,E4040&gt;=01_因子設定!$L$6-0.000000001,E4040&lt;=01_因子設定!$M$6+0.000000001,F4040&gt;=01_因子設定!$L$7-0.000000001,F4040&lt;=01_因子設定!$M$7+0.000000001,IF(01_因子設定!$B$20="Box-Behnken",D4040^2+E4040^2+F4040^2&lt;=2+0.000000001,TRUE()))</f>
        <v>1</v>
      </c>
      <c r="W4040" s="55" t="n">
        <f aca="false">IF(V4040,IF(01_因子設定!$B$13="最大化",T4040-01_因子設定!$B$14,IF(01_因子設定!$B$13="最小化",01_因子設定!$B$15-U4040,MIN(T4040-01_因子設定!$B$14,01_因子設定!$B$15-U4040))),-1E+030)</f>
        <v>-0.280187165916011</v>
      </c>
      <c r="X4040" s="55" t="n">
        <f aca="false">IF(V4040,IF(01_因子設定!$B$13="最大化",Q4040,IF(01_因子設定!$B$13="最小化",-Q4040,-ABS(Q4040-01_因子設定!$B$16))),-1E+030)</f>
        <v>49.3514346590909</v>
      </c>
      <c r="Y4040" s="55" t="n">
        <f aca="false">W4040+ROW()*0.000000001</f>
        <v>-0.280183125916011</v>
      </c>
      <c r="Z4040" s="55" t="n">
        <f aca="false">X4040+ROW()*0.000000001</f>
        <v>49.3514386990909</v>
      </c>
    </row>
    <row r="4041" customFormat="false" ht="15" hidden="false" customHeight="false" outlineLevel="0" collapsed="false">
      <c r="A4041" s="0" t="n">
        <v>13</v>
      </c>
      <c r="B4041" s="0" t="n">
        <v>16</v>
      </c>
      <c r="C4041" s="0" t="n">
        <v>7</v>
      </c>
      <c r="D4041" s="0" t="n">
        <f aca="false">-1+A4041*0.125</f>
        <v>0.625</v>
      </c>
      <c r="E4041" s="0" t="n">
        <f aca="false">-1+B4041*0.125</f>
        <v>1</v>
      </c>
      <c r="F4041" s="0" t="n">
        <f aca="false">-1+C4041*0.125</f>
        <v>-0.125</v>
      </c>
      <c r="G4041" s="0" t="n">
        <f aca="false">1</f>
        <v>1</v>
      </c>
      <c r="H4041" s="0" t="n">
        <f aca="false">D4041</f>
        <v>0.625</v>
      </c>
      <c r="I4041" s="0" t="n">
        <f aca="false">E4041</f>
        <v>1</v>
      </c>
      <c r="J4041" s="0" t="n">
        <f aca="false">F4041</f>
        <v>-0.125</v>
      </c>
      <c r="K4041" s="0" t="n">
        <f aca="false">D4041*E4041</f>
        <v>0.625</v>
      </c>
      <c r="L4041" s="0" t="n">
        <f aca="false">D4041*F4041</f>
        <v>-0.078125</v>
      </c>
      <c r="M4041" s="0" t="n">
        <f aca="false">E4041*F4041</f>
        <v>-0.125</v>
      </c>
      <c r="N4041" s="0" t="n">
        <f aca="false">D4041*D4041</f>
        <v>0.390625</v>
      </c>
      <c r="O4041" s="0" t="n">
        <f aca="false">E4041*E4041</f>
        <v>1</v>
      </c>
      <c r="P4041" s="0" t="n">
        <f aca="false">F4041*F4041</f>
        <v>0.015625</v>
      </c>
      <c r="Q4041" s="0" t="n">
        <f aca="false">SUMPRODUCT(G4041:P4041,_XtX!$B$71:$K$71)</f>
        <v>49.6236505681818</v>
      </c>
      <c r="R4041" s="0" t="n">
        <f aca="false">SUMPRODUCT(MMULT(G4041:P4041,_XtX!$B$58:$K$67),G4041:P4041)</f>
        <v>0.489261696555398</v>
      </c>
      <c r="S4041" s="0" t="n">
        <f aca="false">04_回帰ANOVA!$K$19*04_回帰ANOVA!$K$14*SQRT(1+R4041)</f>
        <v>1.13462447083763</v>
      </c>
      <c r="T4041" s="0" t="n">
        <f aca="false">Q4041-S4041</f>
        <v>48.4890260973442</v>
      </c>
      <c r="U4041" s="0" t="n">
        <f aca="false">Q4041+S4041</f>
        <v>50.7582750390195</v>
      </c>
      <c r="V4041" s="54" t="b">
        <f aca="false">AND(D4041&gt;=01_因子設定!$L$5-0.000000001,D4041&lt;=01_因子設定!$M$5+0.000000001,E4041&gt;=01_因子設定!$L$6-0.000000001,E4041&lt;=01_因子設定!$M$6+0.000000001,F4041&gt;=01_因子設定!$L$7-0.000000001,F4041&lt;=01_因子設定!$M$7+0.000000001,IF(01_因子設定!$B$20="Box-Behnken",D4041^2+E4041^2+F4041^2&lt;=2+0.000000001,TRUE()))</f>
        <v>1</v>
      </c>
      <c r="W4041" s="55" t="n">
        <f aca="false">IF(V4041,IF(01_因子設定!$B$13="最大化",T4041-01_因子設定!$B$14,IF(01_因子設定!$B$13="最小化",01_因子設定!$B$15-U4041,MIN(T4041-01_因子設定!$B$14,01_因子設定!$B$15-U4041))),-1E+030)</f>
        <v>-0.0109739026558131</v>
      </c>
      <c r="X4041" s="55" t="n">
        <f aca="false">IF(V4041,IF(01_因子設定!$B$13="最大化",Q4041,IF(01_因子設定!$B$13="最小化",-Q4041,-ABS(Q4041-01_因子設定!$B$16))),-1E+030)</f>
        <v>49.6236505681818</v>
      </c>
      <c r="Y4041" s="55" t="n">
        <f aca="false">W4041+ROW()*0.000000001</f>
        <v>-0.0109698616558131</v>
      </c>
      <c r="Z4041" s="55" t="n">
        <f aca="false">X4041+ROW()*0.000000001</f>
        <v>49.6236546091818</v>
      </c>
    </row>
    <row r="4042" customFormat="false" ht="15" hidden="false" customHeight="false" outlineLevel="0" collapsed="false">
      <c r="A4042" s="0" t="n">
        <v>13</v>
      </c>
      <c r="B4042" s="0" t="n">
        <v>16</v>
      </c>
      <c r="C4042" s="0" t="n">
        <v>8</v>
      </c>
      <c r="D4042" s="0" t="n">
        <f aca="false">-1+A4042*0.125</f>
        <v>0.625</v>
      </c>
      <c r="E4042" s="0" t="n">
        <f aca="false">-1+B4042*0.125</f>
        <v>1</v>
      </c>
      <c r="F4042" s="0" t="n">
        <f aca="false">-1+C4042*0.125</f>
        <v>0</v>
      </c>
      <c r="G4042" s="0" t="n">
        <f aca="false">1</f>
        <v>1</v>
      </c>
      <c r="H4042" s="0" t="n">
        <f aca="false">D4042</f>
        <v>0.625</v>
      </c>
      <c r="I4042" s="0" t="n">
        <f aca="false">E4042</f>
        <v>1</v>
      </c>
      <c r="J4042" s="0" t="n">
        <f aca="false">F4042</f>
        <v>0</v>
      </c>
      <c r="K4042" s="0" t="n">
        <f aca="false">D4042*E4042</f>
        <v>0.625</v>
      </c>
      <c r="L4042" s="0" t="n">
        <f aca="false">D4042*F4042</f>
        <v>0</v>
      </c>
      <c r="M4042" s="0" t="n">
        <f aca="false">E4042*F4042</f>
        <v>0</v>
      </c>
      <c r="N4042" s="0" t="n">
        <f aca="false">D4042*D4042</f>
        <v>0.390625</v>
      </c>
      <c r="O4042" s="0" t="n">
        <f aca="false">E4042*E4042</f>
        <v>1</v>
      </c>
      <c r="P4042" s="0" t="n">
        <f aca="false">F4042*F4042</f>
        <v>0</v>
      </c>
      <c r="Q4042" s="0" t="n">
        <f aca="false">SUMPRODUCT(G4042:P4042,_XtX!$B$71:$K$71)</f>
        <v>49.8590767045455</v>
      </c>
      <c r="R4042" s="0" t="n">
        <f aca="false">SUMPRODUCT(MMULT(G4042:P4042,_XtX!$B$58:$K$67),G4042:P4042)</f>
        <v>0.492240767045455</v>
      </c>
      <c r="S4042" s="0" t="n">
        <f aca="false">04_回帰ANOVA!$K$19*04_回帰ANOVA!$K$14*SQRT(1+R4042)</f>
        <v>1.13575873676322</v>
      </c>
      <c r="T4042" s="0" t="n">
        <f aca="false">Q4042-S4042</f>
        <v>48.7233179677822</v>
      </c>
      <c r="U4042" s="0" t="n">
        <f aca="false">Q4042+S4042</f>
        <v>50.9948354413087</v>
      </c>
      <c r="V4042" s="54" t="b">
        <f aca="false">AND(D4042&gt;=01_因子設定!$L$5-0.000000001,D4042&lt;=01_因子設定!$M$5+0.000000001,E4042&gt;=01_因子設定!$L$6-0.000000001,E4042&lt;=01_因子設定!$M$6+0.000000001,F4042&gt;=01_因子設定!$L$7-0.000000001,F4042&lt;=01_因子設定!$M$7+0.000000001,IF(01_因子設定!$B$20="Box-Behnken",D4042^2+E4042^2+F4042^2&lt;=2+0.000000001,TRUE()))</f>
        <v>1</v>
      </c>
      <c r="W4042" s="55" t="n">
        <f aca="false">IF(V4042,IF(01_因子設定!$B$13="最大化",T4042-01_因子設定!$B$14,IF(01_因子設定!$B$13="最小化",01_因子設定!$B$15-U4042,MIN(T4042-01_因子設定!$B$14,01_因子設定!$B$15-U4042))),-1E+030)</f>
        <v>0.223317967782236</v>
      </c>
      <c r="X4042" s="55" t="n">
        <f aca="false">IF(V4042,IF(01_因子設定!$B$13="最大化",Q4042,IF(01_因子設定!$B$13="最小化",-Q4042,-ABS(Q4042-01_因子設定!$B$16))),-1E+030)</f>
        <v>49.8590767045455</v>
      </c>
      <c r="Y4042" s="55" t="n">
        <f aca="false">W4042+ROW()*0.000000001</f>
        <v>0.223322009782236</v>
      </c>
      <c r="Z4042" s="55" t="n">
        <f aca="false">X4042+ROW()*0.000000001</f>
        <v>49.8590807465455</v>
      </c>
    </row>
    <row r="4043" customFormat="false" ht="15" hidden="false" customHeight="false" outlineLevel="0" collapsed="false">
      <c r="A4043" s="0" t="n">
        <v>13</v>
      </c>
      <c r="B4043" s="0" t="n">
        <v>16</v>
      </c>
      <c r="C4043" s="0" t="n">
        <v>9</v>
      </c>
      <c r="D4043" s="0" t="n">
        <f aca="false">-1+A4043*0.125</f>
        <v>0.625</v>
      </c>
      <c r="E4043" s="0" t="n">
        <f aca="false">-1+B4043*0.125</f>
        <v>1</v>
      </c>
      <c r="F4043" s="0" t="n">
        <f aca="false">-1+C4043*0.125</f>
        <v>0.125</v>
      </c>
      <c r="G4043" s="0" t="n">
        <f aca="false">1</f>
        <v>1</v>
      </c>
      <c r="H4043" s="0" t="n">
        <f aca="false">D4043</f>
        <v>0.625</v>
      </c>
      <c r="I4043" s="0" t="n">
        <f aca="false">E4043</f>
        <v>1</v>
      </c>
      <c r="J4043" s="0" t="n">
        <f aca="false">F4043</f>
        <v>0.125</v>
      </c>
      <c r="K4043" s="0" t="n">
        <f aca="false">D4043*E4043</f>
        <v>0.625</v>
      </c>
      <c r="L4043" s="0" t="n">
        <f aca="false">D4043*F4043</f>
        <v>0.078125</v>
      </c>
      <c r="M4043" s="0" t="n">
        <f aca="false">E4043*F4043</f>
        <v>0.125</v>
      </c>
      <c r="N4043" s="0" t="n">
        <f aca="false">D4043*D4043</f>
        <v>0.390625</v>
      </c>
      <c r="O4043" s="0" t="n">
        <f aca="false">E4043*E4043</f>
        <v>1</v>
      </c>
      <c r="P4043" s="0" t="n">
        <f aca="false">F4043*F4043</f>
        <v>0.015625</v>
      </c>
      <c r="Q4043" s="0" t="n">
        <f aca="false">SUMPRODUCT(G4043:P4043,_XtX!$B$71:$K$71)</f>
        <v>50.0577130681818</v>
      </c>
      <c r="R4043" s="0" t="n">
        <f aca="false">SUMPRODUCT(MMULT(G4043:P4043,_XtX!$B$58:$K$67),G4043:P4043)</f>
        <v>0.489261696555398</v>
      </c>
      <c r="S4043" s="0" t="n">
        <f aca="false">04_回帰ANOVA!$K$19*04_回帰ANOVA!$K$14*SQRT(1+R4043)</f>
        <v>1.13462447083763</v>
      </c>
      <c r="T4043" s="0" t="n">
        <f aca="false">Q4043-S4043</f>
        <v>48.9230885973442</v>
      </c>
      <c r="U4043" s="0" t="n">
        <f aca="false">Q4043+S4043</f>
        <v>51.1923375390195</v>
      </c>
      <c r="V4043" s="54" t="b">
        <f aca="false">AND(D4043&gt;=01_因子設定!$L$5-0.000000001,D4043&lt;=01_因子設定!$M$5+0.000000001,E4043&gt;=01_因子設定!$L$6-0.000000001,E4043&lt;=01_因子設定!$M$6+0.000000001,F4043&gt;=01_因子設定!$L$7-0.000000001,F4043&lt;=01_因子設定!$M$7+0.000000001,IF(01_因子設定!$B$20="Box-Behnken",D4043^2+E4043^2+F4043^2&lt;=2+0.000000001,TRUE()))</f>
        <v>1</v>
      </c>
      <c r="W4043" s="55" t="n">
        <f aca="false">IF(V4043,IF(01_因子設定!$B$13="最大化",T4043-01_因子設定!$B$14,IF(01_因子設定!$B$13="最小化",01_因子設定!$B$15-U4043,MIN(T4043-01_因子設定!$B$14,01_因子設定!$B$15-U4043))),-1E+030)</f>
        <v>0.423088597344183</v>
      </c>
      <c r="X4043" s="55" t="n">
        <f aca="false">IF(V4043,IF(01_因子設定!$B$13="最大化",Q4043,IF(01_因子設定!$B$13="最小化",-Q4043,-ABS(Q4043-01_因子設定!$B$16))),-1E+030)</f>
        <v>50.0577130681818</v>
      </c>
      <c r="Y4043" s="55" t="n">
        <f aca="false">W4043+ROW()*0.000000001</f>
        <v>0.423092640344183</v>
      </c>
      <c r="Z4043" s="55" t="n">
        <f aca="false">X4043+ROW()*0.000000001</f>
        <v>50.0577171111818</v>
      </c>
    </row>
    <row r="4044" customFormat="false" ht="15" hidden="false" customHeight="false" outlineLevel="0" collapsed="false">
      <c r="A4044" s="0" t="n">
        <v>13</v>
      </c>
      <c r="B4044" s="0" t="n">
        <v>16</v>
      </c>
      <c r="C4044" s="0" t="n">
        <v>10</v>
      </c>
      <c r="D4044" s="0" t="n">
        <f aca="false">-1+A4044*0.125</f>
        <v>0.625</v>
      </c>
      <c r="E4044" s="0" t="n">
        <f aca="false">-1+B4044*0.125</f>
        <v>1</v>
      </c>
      <c r="F4044" s="0" t="n">
        <f aca="false">-1+C4044*0.125</f>
        <v>0.25</v>
      </c>
      <c r="G4044" s="0" t="n">
        <f aca="false">1</f>
        <v>1</v>
      </c>
      <c r="H4044" s="0" t="n">
        <f aca="false">D4044</f>
        <v>0.625</v>
      </c>
      <c r="I4044" s="0" t="n">
        <f aca="false">E4044</f>
        <v>1</v>
      </c>
      <c r="J4044" s="0" t="n">
        <f aca="false">F4044</f>
        <v>0.25</v>
      </c>
      <c r="K4044" s="0" t="n">
        <f aca="false">D4044*E4044</f>
        <v>0.625</v>
      </c>
      <c r="L4044" s="0" t="n">
        <f aca="false">D4044*F4044</f>
        <v>0.15625</v>
      </c>
      <c r="M4044" s="0" t="n">
        <f aca="false">E4044*F4044</f>
        <v>0.25</v>
      </c>
      <c r="N4044" s="0" t="n">
        <f aca="false">D4044*D4044</f>
        <v>0.390625</v>
      </c>
      <c r="O4044" s="0" t="n">
        <f aca="false">E4044*E4044</f>
        <v>1</v>
      </c>
      <c r="P4044" s="0" t="n">
        <f aca="false">F4044*F4044</f>
        <v>0.0625</v>
      </c>
      <c r="Q4044" s="0" t="n">
        <f aca="false">SUMPRODUCT(G4044:P4044,_XtX!$B$71:$K$71)</f>
        <v>50.2195596590909</v>
      </c>
      <c r="R4044" s="0" t="n">
        <f aca="false">SUMPRODUCT(MMULT(G4044:P4044,_XtX!$B$58:$K$67),G4044:P4044)</f>
        <v>0.481389825994318</v>
      </c>
      <c r="S4044" s="0" t="n">
        <f aca="false">04_回帰ANOVA!$K$19*04_回帰ANOVA!$K$14*SQRT(1+R4044)</f>
        <v>1.13162182500693</v>
      </c>
      <c r="T4044" s="0" t="n">
        <f aca="false">Q4044-S4044</f>
        <v>49.087937834084</v>
      </c>
      <c r="U4044" s="0" t="n">
        <f aca="false">Q4044+S4044</f>
        <v>51.3511814840978</v>
      </c>
      <c r="V4044" s="54" t="b">
        <f aca="false">AND(D4044&gt;=01_因子設定!$L$5-0.000000001,D4044&lt;=01_因子設定!$M$5+0.000000001,E4044&gt;=01_因子設定!$L$6-0.000000001,E4044&lt;=01_因子設定!$M$6+0.000000001,F4044&gt;=01_因子設定!$L$7-0.000000001,F4044&lt;=01_因子設定!$M$7+0.000000001,IF(01_因子設定!$B$20="Box-Behnken",D4044^2+E4044^2+F4044^2&lt;=2+0.000000001,TRUE()))</f>
        <v>1</v>
      </c>
      <c r="W4044" s="55" t="n">
        <f aca="false">IF(V4044,IF(01_因子設定!$B$13="最大化",T4044-01_因子設定!$B$14,IF(01_因子設定!$B$13="最小化",01_因子設定!$B$15-U4044,MIN(T4044-01_因子設定!$B$14,01_因子設定!$B$15-U4044))),-1E+030)</f>
        <v>0.587937834083988</v>
      </c>
      <c r="X4044" s="55" t="n">
        <f aca="false">IF(V4044,IF(01_因子設定!$B$13="最大化",Q4044,IF(01_因子設定!$B$13="最小化",-Q4044,-ABS(Q4044-01_因子設定!$B$16))),-1E+030)</f>
        <v>50.2195596590909</v>
      </c>
      <c r="Y4044" s="55" t="n">
        <f aca="false">W4044+ROW()*0.000000001</f>
        <v>0.587941878083988</v>
      </c>
      <c r="Z4044" s="55" t="n">
        <f aca="false">X4044+ROW()*0.000000001</f>
        <v>50.2195637030909</v>
      </c>
    </row>
    <row r="4045" customFormat="false" ht="15" hidden="false" customHeight="false" outlineLevel="0" collapsed="false">
      <c r="A4045" s="0" t="n">
        <v>13</v>
      </c>
      <c r="B4045" s="0" t="n">
        <v>16</v>
      </c>
      <c r="C4045" s="0" t="n">
        <v>11</v>
      </c>
      <c r="D4045" s="0" t="n">
        <f aca="false">-1+A4045*0.125</f>
        <v>0.625</v>
      </c>
      <c r="E4045" s="0" t="n">
        <f aca="false">-1+B4045*0.125</f>
        <v>1</v>
      </c>
      <c r="F4045" s="0" t="n">
        <f aca="false">-1+C4045*0.125</f>
        <v>0.375</v>
      </c>
      <c r="G4045" s="0" t="n">
        <f aca="false">1</f>
        <v>1</v>
      </c>
      <c r="H4045" s="0" t="n">
        <f aca="false">D4045</f>
        <v>0.625</v>
      </c>
      <c r="I4045" s="0" t="n">
        <f aca="false">E4045</f>
        <v>1</v>
      </c>
      <c r="J4045" s="0" t="n">
        <f aca="false">F4045</f>
        <v>0.375</v>
      </c>
      <c r="K4045" s="0" t="n">
        <f aca="false">D4045*E4045</f>
        <v>0.625</v>
      </c>
      <c r="L4045" s="0" t="n">
        <f aca="false">D4045*F4045</f>
        <v>0.234375</v>
      </c>
      <c r="M4045" s="0" t="n">
        <f aca="false">E4045*F4045</f>
        <v>0.375</v>
      </c>
      <c r="N4045" s="0" t="n">
        <f aca="false">D4045*D4045</f>
        <v>0.390625</v>
      </c>
      <c r="O4045" s="0" t="n">
        <f aca="false">E4045*E4045</f>
        <v>1</v>
      </c>
      <c r="P4045" s="0" t="n">
        <f aca="false">F4045*F4045</f>
        <v>0.140625</v>
      </c>
      <c r="Q4045" s="0" t="n">
        <f aca="false">SUMPRODUCT(G4045:P4045,_XtX!$B$71:$K$71)</f>
        <v>50.3446164772727</v>
      </c>
      <c r="R4045" s="0" t="n">
        <f aca="false">SUMPRODUCT(MMULT(G4045:P4045,_XtX!$B$58:$K$67),G4045:P4045)</f>
        <v>0.471821178089489</v>
      </c>
      <c r="S4045" s="0" t="n">
        <f aca="false">04_回帰ANOVA!$K$19*04_回帰ANOVA!$K$14*SQRT(1+R4045)</f>
        <v>1.12796119746125</v>
      </c>
      <c r="T4045" s="0" t="n">
        <f aca="false">Q4045-S4045</f>
        <v>49.2166552798115</v>
      </c>
      <c r="U4045" s="0" t="n">
        <f aca="false">Q4045+S4045</f>
        <v>51.472577674734</v>
      </c>
      <c r="V4045" s="54" t="b">
        <f aca="false">AND(D4045&gt;=01_因子設定!$L$5-0.000000001,D4045&lt;=01_因子設定!$M$5+0.000000001,E4045&gt;=01_因子設定!$L$6-0.000000001,E4045&lt;=01_因子設定!$M$6+0.000000001,F4045&gt;=01_因子設定!$L$7-0.000000001,F4045&lt;=01_因子設定!$M$7+0.000000001,IF(01_因子設定!$B$20="Box-Behnken",D4045^2+E4045^2+F4045^2&lt;=2+0.000000001,TRUE()))</f>
        <v>1</v>
      </c>
      <c r="W4045" s="55" t="n">
        <f aca="false">IF(V4045,IF(01_因子設定!$B$13="最大化",T4045-01_因子設定!$B$14,IF(01_因子設定!$B$13="最小化",01_因子設定!$B$15-U4045,MIN(T4045-01_因子設定!$B$14,01_因子設定!$B$15-U4045))),-1E+030)</f>
        <v>0.716655279811484</v>
      </c>
      <c r="X4045" s="55" t="n">
        <f aca="false">IF(V4045,IF(01_因子設定!$B$13="最大化",Q4045,IF(01_因子設定!$B$13="最小化",-Q4045,-ABS(Q4045-01_因子設定!$B$16))),-1E+030)</f>
        <v>50.3446164772727</v>
      </c>
      <c r="Y4045" s="55" t="n">
        <f aca="false">W4045+ROW()*0.000000001</f>
        <v>0.716659324811484</v>
      </c>
      <c r="Z4045" s="55" t="n">
        <f aca="false">X4045+ROW()*0.000000001</f>
        <v>50.3446205222727</v>
      </c>
    </row>
    <row r="4046" customFormat="false" ht="15" hidden="false" customHeight="false" outlineLevel="0" collapsed="false">
      <c r="A4046" s="0" t="n">
        <v>13</v>
      </c>
      <c r="B4046" s="0" t="n">
        <v>16</v>
      </c>
      <c r="C4046" s="0" t="n">
        <v>12</v>
      </c>
      <c r="D4046" s="0" t="n">
        <f aca="false">-1+A4046*0.125</f>
        <v>0.625</v>
      </c>
      <c r="E4046" s="0" t="n">
        <f aca="false">-1+B4046*0.125</f>
        <v>1</v>
      </c>
      <c r="F4046" s="0" t="n">
        <f aca="false">-1+C4046*0.125</f>
        <v>0.5</v>
      </c>
      <c r="G4046" s="0" t="n">
        <f aca="false">1</f>
        <v>1</v>
      </c>
      <c r="H4046" s="0" t="n">
        <f aca="false">D4046</f>
        <v>0.625</v>
      </c>
      <c r="I4046" s="0" t="n">
        <f aca="false">E4046</f>
        <v>1</v>
      </c>
      <c r="J4046" s="0" t="n">
        <f aca="false">F4046</f>
        <v>0.5</v>
      </c>
      <c r="K4046" s="0" t="n">
        <f aca="false">D4046*E4046</f>
        <v>0.625</v>
      </c>
      <c r="L4046" s="0" t="n">
        <f aca="false">D4046*F4046</f>
        <v>0.3125</v>
      </c>
      <c r="M4046" s="0" t="n">
        <f aca="false">E4046*F4046</f>
        <v>0.5</v>
      </c>
      <c r="N4046" s="0" t="n">
        <f aca="false">D4046*D4046</f>
        <v>0.390625</v>
      </c>
      <c r="O4046" s="0" t="n">
        <f aca="false">E4046*E4046</f>
        <v>1</v>
      </c>
      <c r="P4046" s="0" t="n">
        <f aca="false">F4046*F4046</f>
        <v>0.25</v>
      </c>
      <c r="Q4046" s="0" t="n">
        <f aca="false">SUMPRODUCT(G4046:P4046,_XtX!$B$71:$K$71)</f>
        <v>50.4328835227273</v>
      </c>
      <c r="R4046" s="0" t="n">
        <f aca="false">SUMPRODUCT(MMULT(G4046:P4046,_XtX!$B$58:$K$67),G4046:P4046)</f>
        <v>0.465882457386364</v>
      </c>
      <c r="S4046" s="0" t="n">
        <f aca="false">04_回帰ANOVA!$K$19*04_回帰ANOVA!$K$14*SQRT(1+R4046)</f>
        <v>1.12568326538173</v>
      </c>
      <c r="T4046" s="0" t="n">
        <f aca="false">Q4046-S4046</f>
        <v>49.3072002573456</v>
      </c>
      <c r="U4046" s="0" t="n">
        <f aca="false">Q4046+S4046</f>
        <v>51.558566788109</v>
      </c>
      <c r="V4046" s="54" t="b">
        <f aca="false">AND(D4046&gt;=01_因子設定!$L$5-0.000000001,D4046&lt;=01_因子設定!$M$5+0.000000001,E4046&gt;=01_因子設定!$L$6-0.000000001,E4046&lt;=01_因子設定!$M$6+0.000000001,F4046&gt;=01_因子設定!$L$7-0.000000001,F4046&lt;=01_因子設定!$M$7+0.000000001,IF(01_因子設定!$B$20="Box-Behnken",D4046^2+E4046^2+F4046^2&lt;=2+0.000000001,TRUE()))</f>
        <v>1</v>
      </c>
      <c r="W4046" s="55" t="n">
        <f aca="false">IF(V4046,IF(01_因子設定!$B$13="最大化",T4046-01_因子設定!$B$14,IF(01_因子設定!$B$13="最小化",01_因子設定!$B$15-U4046,MIN(T4046-01_因子設定!$B$14,01_因子設定!$B$15-U4046))),-1E+030)</f>
        <v>0.807200257345556</v>
      </c>
      <c r="X4046" s="55" t="n">
        <f aca="false">IF(V4046,IF(01_因子設定!$B$13="最大化",Q4046,IF(01_因子設定!$B$13="最小化",-Q4046,-ABS(Q4046-01_因子設定!$B$16))),-1E+030)</f>
        <v>50.4328835227273</v>
      </c>
      <c r="Y4046" s="55" t="n">
        <f aca="false">W4046+ROW()*0.000000001</f>
        <v>0.807204303345556</v>
      </c>
      <c r="Z4046" s="55" t="n">
        <f aca="false">X4046+ROW()*0.000000001</f>
        <v>50.4328875687273</v>
      </c>
    </row>
    <row r="4047" customFormat="false" ht="15" hidden="false" customHeight="false" outlineLevel="0" collapsed="false">
      <c r="A4047" s="0" t="n">
        <v>13</v>
      </c>
      <c r="B4047" s="0" t="n">
        <v>16</v>
      </c>
      <c r="C4047" s="0" t="n">
        <v>13</v>
      </c>
      <c r="D4047" s="0" t="n">
        <f aca="false">-1+A4047*0.125</f>
        <v>0.625</v>
      </c>
      <c r="E4047" s="0" t="n">
        <f aca="false">-1+B4047*0.125</f>
        <v>1</v>
      </c>
      <c r="F4047" s="0" t="n">
        <f aca="false">-1+C4047*0.125</f>
        <v>0.625</v>
      </c>
      <c r="G4047" s="0" t="n">
        <f aca="false">1</f>
        <v>1</v>
      </c>
      <c r="H4047" s="0" t="n">
        <f aca="false">D4047</f>
        <v>0.625</v>
      </c>
      <c r="I4047" s="0" t="n">
        <f aca="false">E4047</f>
        <v>1</v>
      </c>
      <c r="J4047" s="0" t="n">
        <f aca="false">F4047</f>
        <v>0.625</v>
      </c>
      <c r="K4047" s="0" t="n">
        <f aca="false">D4047*E4047</f>
        <v>0.625</v>
      </c>
      <c r="L4047" s="0" t="n">
        <f aca="false">D4047*F4047</f>
        <v>0.390625</v>
      </c>
      <c r="M4047" s="0" t="n">
        <f aca="false">E4047*F4047</f>
        <v>0.625</v>
      </c>
      <c r="N4047" s="0" t="n">
        <f aca="false">D4047*D4047</f>
        <v>0.390625</v>
      </c>
      <c r="O4047" s="0" t="n">
        <f aca="false">E4047*E4047</f>
        <v>1</v>
      </c>
      <c r="P4047" s="0" t="n">
        <f aca="false">F4047*F4047</f>
        <v>0.390625</v>
      </c>
      <c r="Q4047" s="0" t="n">
        <f aca="false">SUMPRODUCT(G4047:P4047,_XtX!$B$71:$K$71)</f>
        <v>50.4843607954546</v>
      </c>
      <c r="R4047" s="0" t="n">
        <f aca="false">SUMPRODUCT(MMULT(G4047:P4047,_XtX!$B$58:$K$67),G4047:P4047)</f>
        <v>0.47103105024858</v>
      </c>
      <c r="S4047" s="0" t="n">
        <f aca="false">04_回帰ANOVA!$K$19*04_回帰ANOVA!$K$14*SQRT(1+R4047)</f>
        <v>1.1276583912499</v>
      </c>
      <c r="T4047" s="0" t="n">
        <f aca="false">Q4047-S4047</f>
        <v>49.3567024042047</v>
      </c>
      <c r="U4047" s="0" t="n">
        <f aca="false">Q4047+S4047</f>
        <v>51.6120191867045</v>
      </c>
      <c r="V4047" s="54" t="b">
        <f aca="false">AND(D4047&gt;=01_因子設定!$L$5-0.000000001,D4047&lt;=01_因子設定!$M$5+0.000000001,E4047&gt;=01_因子設定!$L$6-0.000000001,E4047&lt;=01_因子設定!$M$6+0.000000001,F4047&gt;=01_因子設定!$L$7-0.000000001,F4047&lt;=01_因子設定!$M$7+0.000000001,IF(01_因子設定!$B$20="Box-Behnken",D4047^2+E4047^2+F4047^2&lt;=2+0.000000001,TRUE()))</f>
        <v>1</v>
      </c>
      <c r="W4047" s="55" t="n">
        <f aca="false">IF(V4047,IF(01_因子設定!$B$13="最大化",T4047-01_因子設定!$B$14,IF(01_因子設定!$B$13="最小化",01_因子設定!$B$15-U4047,MIN(T4047-01_因子設定!$B$14,01_因子設定!$B$15-U4047))),-1E+030)</f>
        <v>0.856702404204654</v>
      </c>
      <c r="X4047" s="55" t="n">
        <f aca="false">IF(V4047,IF(01_因子設定!$B$13="最大化",Q4047,IF(01_因子設定!$B$13="最小化",-Q4047,-ABS(Q4047-01_因子設定!$B$16))),-1E+030)</f>
        <v>50.4843607954546</v>
      </c>
      <c r="Y4047" s="55" t="n">
        <f aca="false">W4047+ROW()*0.000000001</f>
        <v>0.856706451204654</v>
      </c>
      <c r="Z4047" s="55" t="n">
        <f aca="false">X4047+ROW()*0.000000001</f>
        <v>50.4843648424546</v>
      </c>
    </row>
    <row r="4048" customFormat="false" ht="15" hidden="false" customHeight="false" outlineLevel="0" collapsed="false">
      <c r="A4048" s="0" t="n">
        <v>13</v>
      </c>
      <c r="B4048" s="0" t="n">
        <v>16</v>
      </c>
      <c r="C4048" s="0" t="n">
        <v>14</v>
      </c>
      <c r="D4048" s="0" t="n">
        <f aca="false">-1+A4048*0.125</f>
        <v>0.625</v>
      </c>
      <c r="E4048" s="0" t="n">
        <f aca="false">-1+B4048*0.125</f>
        <v>1</v>
      </c>
      <c r="F4048" s="0" t="n">
        <f aca="false">-1+C4048*0.125</f>
        <v>0.75</v>
      </c>
      <c r="G4048" s="0" t="n">
        <f aca="false">1</f>
        <v>1</v>
      </c>
      <c r="H4048" s="0" t="n">
        <f aca="false">D4048</f>
        <v>0.625</v>
      </c>
      <c r="I4048" s="0" t="n">
        <f aca="false">E4048</f>
        <v>1</v>
      </c>
      <c r="J4048" s="0" t="n">
        <f aca="false">F4048</f>
        <v>0.75</v>
      </c>
      <c r="K4048" s="0" t="n">
        <f aca="false">D4048*E4048</f>
        <v>0.625</v>
      </c>
      <c r="L4048" s="0" t="n">
        <f aca="false">D4048*F4048</f>
        <v>0.46875</v>
      </c>
      <c r="M4048" s="0" t="n">
        <f aca="false">E4048*F4048</f>
        <v>0.75</v>
      </c>
      <c r="N4048" s="0" t="n">
        <f aca="false">D4048*D4048</f>
        <v>0.390625</v>
      </c>
      <c r="O4048" s="0" t="n">
        <f aca="false">E4048*E4048</f>
        <v>1</v>
      </c>
      <c r="P4048" s="0" t="n">
        <f aca="false">F4048*F4048</f>
        <v>0.5625</v>
      </c>
      <c r="Q4048" s="0" t="n">
        <f aca="false">SUMPRODUCT(G4048:P4048,_XtX!$B$71:$K$71)</f>
        <v>50.4990482954546</v>
      </c>
      <c r="R4048" s="0" t="n">
        <f aca="false">SUMPRODUCT(MMULT(G4048:P4048,_XtX!$B$58:$K$67),G4048:P4048)</f>
        <v>0.496855024857955</v>
      </c>
      <c r="S4048" s="0" t="n">
        <f aca="false">04_回帰ANOVA!$K$19*04_回帰ANOVA!$K$14*SQRT(1+R4048)</f>
        <v>1.1375133593161</v>
      </c>
      <c r="T4048" s="0" t="n">
        <f aca="false">Q4048-S4048</f>
        <v>49.3615349361385</v>
      </c>
      <c r="U4048" s="0" t="n">
        <f aca="false">Q4048+S4048</f>
        <v>51.6365616547707</v>
      </c>
      <c r="V4048" s="54" t="b">
        <f aca="false">AND(D4048&gt;=01_因子設定!$L$5-0.000000001,D4048&lt;=01_因子設定!$M$5+0.000000001,E4048&gt;=01_因子設定!$L$6-0.000000001,E4048&lt;=01_因子設定!$M$6+0.000000001,F4048&gt;=01_因子設定!$L$7-0.000000001,F4048&lt;=01_因子設定!$M$7+0.000000001,IF(01_因子設定!$B$20="Box-Behnken",D4048^2+E4048^2+F4048^2&lt;=2+0.000000001,TRUE()))</f>
        <v>1</v>
      </c>
      <c r="W4048" s="55" t="n">
        <f aca="false">IF(V4048,IF(01_因子設定!$B$13="最大化",T4048-01_因子設定!$B$14,IF(01_因子設定!$B$13="最小化",01_因子設定!$B$15-U4048,MIN(T4048-01_因子設定!$B$14,01_因子設定!$B$15-U4048))),-1E+030)</f>
        <v>0.861534936138455</v>
      </c>
      <c r="X4048" s="55" t="n">
        <f aca="false">IF(V4048,IF(01_因子設定!$B$13="最大化",Q4048,IF(01_因子設定!$B$13="最小化",-Q4048,-ABS(Q4048-01_因子設定!$B$16))),-1E+030)</f>
        <v>50.4990482954546</v>
      </c>
      <c r="Y4048" s="55" t="n">
        <f aca="false">W4048+ROW()*0.000000001</f>
        <v>0.861538984138455</v>
      </c>
      <c r="Z4048" s="55" t="n">
        <f aca="false">X4048+ROW()*0.000000001</f>
        <v>50.4990523434546</v>
      </c>
    </row>
    <row r="4049" customFormat="false" ht="15" hidden="false" customHeight="false" outlineLevel="0" collapsed="false">
      <c r="A4049" s="0" t="n">
        <v>13</v>
      </c>
      <c r="B4049" s="0" t="n">
        <v>16</v>
      </c>
      <c r="C4049" s="0" t="n">
        <v>15</v>
      </c>
      <c r="D4049" s="0" t="n">
        <f aca="false">-1+A4049*0.125</f>
        <v>0.625</v>
      </c>
      <c r="E4049" s="0" t="n">
        <f aca="false">-1+B4049*0.125</f>
        <v>1</v>
      </c>
      <c r="F4049" s="0" t="n">
        <f aca="false">-1+C4049*0.125</f>
        <v>0.875</v>
      </c>
      <c r="G4049" s="0" t="n">
        <f aca="false">1</f>
        <v>1</v>
      </c>
      <c r="H4049" s="0" t="n">
        <f aca="false">D4049</f>
        <v>0.625</v>
      </c>
      <c r="I4049" s="0" t="n">
        <f aca="false">E4049</f>
        <v>1</v>
      </c>
      <c r="J4049" s="0" t="n">
        <f aca="false">F4049</f>
        <v>0.875</v>
      </c>
      <c r="K4049" s="0" t="n">
        <f aca="false">D4049*E4049</f>
        <v>0.625</v>
      </c>
      <c r="L4049" s="0" t="n">
        <f aca="false">D4049*F4049</f>
        <v>0.546875</v>
      </c>
      <c r="M4049" s="0" t="n">
        <f aca="false">E4049*F4049</f>
        <v>0.875</v>
      </c>
      <c r="N4049" s="0" t="n">
        <f aca="false">D4049*D4049</f>
        <v>0.390625</v>
      </c>
      <c r="O4049" s="0" t="n">
        <f aca="false">E4049*E4049</f>
        <v>1</v>
      </c>
      <c r="P4049" s="0" t="n">
        <f aca="false">F4049*F4049</f>
        <v>0.765625</v>
      </c>
      <c r="Q4049" s="0" t="n">
        <f aca="false">SUMPRODUCT(G4049:P4049,_XtX!$B$71:$K$71)</f>
        <v>50.4769460227273</v>
      </c>
      <c r="R4049" s="0" t="n">
        <f aca="false">SUMPRODUCT(MMULT(G4049:P4049,_XtX!$B$58:$K$67),G4049:P4049)</f>
        <v>0.555073131214489</v>
      </c>
      <c r="S4049" s="0" t="n">
        <f aca="false">04_回帰ANOVA!$K$19*04_回帰ANOVA!$K$14*SQRT(1+R4049)</f>
        <v>1.15942335628341</v>
      </c>
      <c r="T4049" s="0" t="n">
        <f aca="false">Q4049-S4049</f>
        <v>49.3175226664439</v>
      </c>
      <c r="U4049" s="0" t="n">
        <f aca="false">Q4049+S4049</f>
        <v>51.6363693790107</v>
      </c>
      <c r="V4049" s="54" t="b">
        <f aca="false">AND(D4049&gt;=01_因子設定!$L$5-0.000000001,D4049&lt;=01_因子設定!$M$5+0.000000001,E4049&gt;=01_因子設定!$L$6-0.000000001,E4049&lt;=01_因子設定!$M$6+0.000000001,F4049&gt;=01_因子設定!$L$7-0.000000001,F4049&lt;=01_因子設定!$M$7+0.000000001,IF(01_因子設定!$B$20="Box-Behnken",D4049^2+E4049^2+F4049^2&lt;=2+0.000000001,TRUE()))</f>
        <v>1</v>
      </c>
      <c r="W4049" s="55" t="n">
        <f aca="false">IF(V4049,IF(01_因子設定!$B$13="最大化",T4049-01_因子設定!$B$14,IF(01_因子設定!$B$13="最小化",01_因子設定!$B$15-U4049,MIN(T4049-01_因子設定!$B$14,01_因子設定!$B$15-U4049))),-1E+030)</f>
        <v>0.817522666443885</v>
      </c>
      <c r="X4049" s="55" t="n">
        <f aca="false">IF(V4049,IF(01_因子設定!$B$13="最大化",Q4049,IF(01_因子設定!$B$13="最小化",-Q4049,-ABS(Q4049-01_因子設定!$B$16))),-1E+030)</f>
        <v>50.4769460227273</v>
      </c>
      <c r="Y4049" s="55" t="n">
        <f aca="false">W4049+ROW()*0.000000001</f>
        <v>0.817526715443885</v>
      </c>
      <c r="Z4049" s="55" t="n">
        <f aca="false">X4049+ROW()*0.000000001</f>
        <v>50.4769500717273</v>
      </c>
    </row>
    <row r="4050" customFormat="false" ht="15" hidden="false" customHeight="false" outlineLevel="0" collapsed="false">
      <c r="A4050" s="0" t="n">
        <v>13</v>
      </c>
      <c r="B4050" s="0" t="n">
        <v>16</v>
      </c>
      <c r="C4050" s="0" t="n">
        <v>16</v>
      </c>
      <c r="D4050" s="0" t="n">
        <f aca="false">-1+A4050*0.125</f>
        <v>0.625</v>
      </c>
      <c r="E4050" s="0" t="n">
        <f aca="false">-1+B4050*0.125</f>
        <v>1</v>
      </c>
      <c r="F4050" s="0" t="n">
        <f aca="false">-1+C4050*0.125</f>
        <v>1</v>
      </c>
      <c r="G4050" s="0" t="n">
        <f aca="false">1</f>
        <v>1</v>
      </c>
      <c r="H4050" s="0" t="n">
        <f aca="false">D4050</f>
        <v>0.625</v>
      </c>
      <c r="I4050" s="0" t="n">
        <f aca="false">E4050</f>
        <v>1</v>
      </c>
      <c r="J4050" s="0" t="n">
        <f aca="false">F4050</f>
        <v>1</v>
      </c>
      <c r="K4050" s="0" t="n">
        <f aca="false">D4050*E4050</f>
        <v>0.625</v>
      </c>
      <c r="L4050" s="0" t="n">
        <f aca="false">D4050*F4050</f>
        <v>0.625</v>
      </c>
      <c r="M4050" s="0" t="n">
        <f aca="false">E4050*F4050</f>
        <v>1</v>
      </c>
      <c r="N4050" s="0" t="n">
        <f aca="false">D4050*D4050</f>
        <v>0.390625</v>
      </c>
      <c r="O4050" s="0" t="n">
        <f aca="false">E4050*E4050</f>
        <v>1</v>
      </c>
      <c r="P4050" s="0" t="n">
        <f aca="false">F4050*F4050</f>
        <v>1</v>
      </c>
      <c r="Q4050" s="0" t="n">
        <f aca="false">SUMPRODUCT(G4050:P4050,_XtX!$B$71:$K$71)</f>
        <v>50.4180539772728</v>
      </c>
      <c r="R4050" s="0" t="n">
        <f aca="false">SUMPRODUCT(MMULT(G4050:P4050,_XtX!$B$58:$K$67),G4050:P4050)</f>
        <v>0.659534801136364</v>
      </c>
      <c r="S4050" s="0" t="n">
        <f aca="false">04_回帰ANOVA!$K$19*04_回帰ANOVA!$K$14*SQRT(1+R4050)</f>
        <v>1.19773245593097</v>
      </c>
      <c r="T4050" s="0" t="n">
        <f aca="false">Q4050-S4050</f>
        <v>49.2203215213418</v>
      </c>
      <c r="U4050" s="0" t="n">
        <f aca="false">Q4050+S4050</f>
        <v>51.6157864332037</v>
      </c>
      <c r="V4050" s="54" t="b">
        <f aca="false">AND(D4050&gt;=01_因子設定!$L$5-0.000000001,D4050&lt;=01_因子設定!$M$5+0.000000001,E4050&gt;=01_因子設定!$L$6-0.000000001,E4050&lt;=01_因子設定!$M$6+0.000000001,F4050&gt;=01_因子設定!$L$7-0.000000001,F4050&lt;=01_因子設定!$M$7+0.000000001,IF(01_因子設定!$B$20="Box-Behnken",D4050^2+E4050^2+F4050^2&lt;=2+0.000000001,TRUE()))</f>
        <v>1</v>
      </c>
      <c r="W4050" s="55" t="n">
        <f aca="false">IF(V4050,IF(01_因子設定!$B$13="最大化",T4050-01_因子設定!$B$14,IF(01_因子設定!$B$13="最小化",01_因子設定!$B$15-U4050,MIN(T4050-01_因子設定!$B$14,01_因子設定!$B$15-U4050))),-1E+030)</f>
        <v>0.720321521341781</v>
      </c>
      <c r="X4050" s="55" t="n">
        <f aca="false">IF(V4050,IF(01_因子設定!$B$13="最大化",Q4050,IF(01_因子設定!$B$13="最小化",-Q4050,-ABS(Q4050-01_因子設定!$B$16))),-1E+030)</f>
        <v>50.4180539772728</v>
      </c>
      <c r="Y4050" s="55" t="n">
        <f aca="false">W4050+ROW()*0.000000001</f>
        <v>0.720325571341781</v>
      </c>
      <c r="Z4050" s="55" t="n">
        <f aca="false">X4050+ROW()*0.000000001</f>
        <v>50.4180580272728</v>
      </c>
    </row>
    <row r="4051" customFormat="false" ht="15" hidden="false" customHeight="false" outlineLevel="0" collapsed="false">
      <c r="A4051" s="0" t="n">
        <v>14</v>
      </c>
      <c r="B4051" s="0" t="n">
        <v>0</v>
      </c>
      <c r="C4051" s="0" t="n">
        <v>0</v>
      </c>
      <c r="D4051" s="0" t="n">
        <f aca="false">-1+A4051*0.125</f>
        <v>0.75</v>
      </c>
      <c r="E4051" s="0" t="n">
        <f aca="false">-1+B4051*0.125</f>
        <v>-1</v>
      </c>
      <c r="F4051" s="0" t="n">
        <f aca="false">-1+C4051*0.125</f>
        <v>-1</v>
      </c>
      <c r="G4051" s="0" t="n">
        <f aca="false">1</f>
        <v>1</v>
      </c>
      <c r="H4051" s="0" t="n">
        <f aca="false">D4051</f>
        <v>0.75</v>
      </c>
      <c r="I4051" s="0" t="n">
        <f aca="false">E4051</f>
        <v>-1</v>
      </c>
      <c r="J4051" s="0" t="n">
        <f aca="false">F4051</f>
        <v>-1</v>
      </c>
      <c r="K4051" s="0" t="n">
        <f aca="false">D4051*E4051</f>
        <v>-0.75</v>
      </c>
      <c r="L4051" s="0" t="n">
        <f aca="false">D4051*F4051</f>
        <v>-0.75</v>
      </c>
      <c r="M4051" s="0" t="n">
        <f aca="false">E4051*F4051</f>
        <v>1</v>
      </c>
      <c r="N4051" s="0" t="n">
        <f aca="false">D4051*D4051</f>
        <v>0.5625</v>
      </c>
      <c r="O4051" s="0" t="n">
        <f aca="false">E4051*E4051</f>
        <v>1</v>
      </c>
      <c r="P4051" s="0" t="n">
        <f aca="false">F4051*F4051</f>
        <v>1</v>
      </c>
      <c r="Q4051" s="0" t="n">
        <f aca="false">SUMPRODUCT(G4051:P4051,_XtX!$B$71:$K$71)</f>
        <v>41.9416477272728</v>
      </c>
      <c r="R4051" s="0" t="n">
        <f aca="false">SUMPRODUCT(MMULT(G4051:P4051,_XtX!$B$58:$K$67),G4051:P4051)</f>
        <v>0.669886363636364</v>
      </c>
      <c r="S4051" s="0" t="n">
        <f aca="false">04_回帰ANOVA!$K$19*04_回帰ANOVA!$K$14*SQRT(1+R4051)</f>
        <v>1.20146215423986</v>
      </c>
      <c r="T4051" s="0" t="n">
        <f aca="false">Q4051-S4051</f>
        <v>40.7401855730329</v>
      </c>
      <c r="U4051" s="0" t="n">
        <f aca="false">Q4051+S4051</f>
        <v>43.1431098815126</v>
      </c>
      <c r="V4051" s="54" t="b">
        <f aca="false">AND(D4051&gt;=01_因子設定!$L$5-0.000000001,D4051&lt;=01_因子設定!$M$5+0.000000001,E4051&gt;=01_因子設定!$L$6-0.000000001,E4051&lt;=01_因子設定!$M$6+0.000000001,F4051&gt;=01_因子設定!$L$7-0.000000001,F4051&lt;=01_因子設定!$M$7+0.000000001,IF(01_因子設定!$B$20="Box-Behnken",D4051^2+E4051^2+F4051^2&lt;=2+0.000000001,TRUE()))</f>
        <v>1</v>
      </c>
      <c r="W4051" s="55" t="n">
        <f aca="false">IF(V4051,IF(01_因子設定!$B$13="最大化",T4051-01_因子設定!$B$14,IF(01_因子設定!$B$13="最小化",01_因子設定!$B$15-U4051,MIN(T4051-01_因子設定!$B$14,01_因子設定!$B$15-U4051))),-1E+030)</f>
        <v>-7.75981442696711</v>
      </c>
      <c r="X4051" s="55" t="n">
        <f aca="false">IF(V4051,IF(01_因子設定!$B$13="最大化",Q4051,IF(01_因子設定!$B$13="最小化",-Q4051,-ABS(Q4051-01_因子設定!$B$16))),-1E+030)</f>
        <v>41.9416477272728</v>
      </c>
      <c r="Y4051" s="55" t="n">
        <f aca="false">W4051+ROW()*0.000000001</f>
        <v>-7.75981037596711</v>
      </c>
      <c r="Z4051" s="55" t="n">
        <f aca="false">X4051+ROW()*0.000000001</f>
        <v>41.9416517782728</v>
      </c>
    </row>
    <row r="4052" customFormat="false" ht="15" hidden="false" customHeight="false" outlineLevel="0" collapsed="false">
      <c r="A4052" s="0" t="n">
        <v>14</v>
      </c>
      <c r="B4052" s="0" t="n">
        <v>0</v>
      </c>
      <c r="C4052" s="0" t="n">
        <v>1</v>
      </c>
      <c r="D4052" s="0" t="n">
        <f aca="false">-1+A4052*0.125</f>
        <v>0.75</v>
      </c>
      <c r="E4052" s="0" t="n">
        <f aca="false">-1+B4052*0.125</f>
        <v>-1</v>
      </c>
      <c r="F4052" s="0" t="n">
        <f aca="false">-1+C4052*0.125</f>
        <v>-0.875</v>
      </c>
      <c r="G4052" s="0" t="n">
        <f aca="false">1</f>
        <v>1</v>
      </c>
      <c r="H4052" s="0" t="n">
        <f aca="false">D4052</f>
        <v>0.75</v>
      </c>
      <c r="I4052" s="0" t="n">
        <f aca="false">E4052</f>
        <v>-1</v>
      </c>
      <c r="J4052" s="0" t="n">
        <f aca="false">F4052</f>
        <v>-0.875</v>
      </c>
      <c r="K4052" s="0" t="n">
        <f aca="false">D4052*E4052</f>
        <v>-0.75</v>
      </c>
      <c r="L4052" s="0" t="n">
        <f aca="false">D4052*F4052</f>
        <v>-0.65625</v>
      </c>
      <c r="M4052" s="0" t="n">
        <f aca="false">E4052*F4052</f>
        <v>0.875</v>
      </c>
      <c r="N4052" s="0" t="n">
        <f aca="false">D4052*D4052</f>
        <v>0.5625</v>
      </c>
      <c r="O4052" s="0" t="n">
        <f aca="false">E4052*E4052</f>
        <v>1</v>
      </c>
      <c r="P4052" s="0" t="n">
        <f aca="false">F4052*F4052</f>
        <v>0.765625</v>
      </c>
      <c r="Q4052" s="0" t="n">
        <f aca="false">SUMPRODUCT(G4052:P4052,_XtX!$B$71:$K$71)</f>
        <v>42.3197585227273</v>
      </c>
      <c r="R4052" s="0" t="n">
        <f aca="false">SUMPRODUCT(MMULT(G4052:P4052,_XtX!$B$58:$K$67),G4052:P4052)</f>
        <v>0.571375621448864</v>
      </c>
      <c r="S4052" s="0" t="n">
        <f aca="false">04_回帰ANOVA!$K$19*04_回帰ANOVA!$K$14*SQRT(1+R4052)</f>
        <v>1.16548487437682</v>
      </c>
      <c r="T4052" s="0" t="n">
        <f aca="false">Q4052-S4052</f>
        <v>41.1542736483505</v>
      </c>
      <c r="U4052" s="0" t="n">
        <f aca="false">Q4052+S4052</f>
        <v>43.4852433971041</v>
      </c>
      <c r="V4052" s="54" t="b">
        <f aca="false">AND(D4052&gt;=01_因子設定!$L$5-0.000000001,D4052&lt;=01_因子設定!$M$5+0.000000001,E4052&gt;=01_因子設定!$L$6-0.000000001,E4052&lt;=01_因子設定!$M$6+0.000000001,F4052&gt;=01_因子設定!$L$7-0.000000001,F4052&lt;=01_因子設定!$M$7+0.000000001,IF(01_因子設定!$B$20="Box-Behnken",D4052^2+E4052^2+F4052^2&lt;=2+0.000000001,TRUE()))</f>
        <v>1</v>
      </c>
      <c r="W4052" s="55" t="n">
        <f aca="false">IF(V4052,IF(01_因子設定!$B$13="最大化",T4052-01_因子設定!$B$14,IF(01_因子設定!$B$13="最小化",01_因子設定!$B$15-U4052,MIN(T4052-01_因子設定!$B$14,01_因子設定!$B$15-U4052))),-1E+030)</f>
        <v>-7.34572635164953</v>
      </c>
      <c r="X4052" s="55" t="n">
        <f aca="false">IF(V4052,IF(01_因子設定!$B$13="最大化",Q4052,IF(01_因子設定!$B$13="最小化",-Q4052,-ABS(Q4052-01_因子設定!$B$16))),-1E+030)</f>
        <v>42.3197585227273</v>
      </c>
      <c r="Y4052" s="55" t="n">
        <f aca="false">W4052+ROW()*0.000000001</f>
        <v>-7.34572229964952</v>
      </c>
      <c r="Z4052" s="55" t="n">
        <f aca="false">X4052+ROW()*0.000000001</f>
        <v>42.3197625747273</v>
      </c>
    </row>
    <row r="4053" customFormat="false" ht="15" hidden="false" customHeight="false" outlineLevel="0" collapsed="false">
      <c r="A4053" s="0" t="n">
        <v>14</v>
      </c>
      <c r="B4053" s="0" t="n">
        <v>0</v>
      </c>
      <c r="C4053" s="0" t="n">
        <v>2</v>
      </c>
      <c r="D4053" s="0" t="n">
        <f aca="false">-1+A4053*0.125</f>
        <v>0.75</v>
      </c>
      <c r="E4053" s="0" t="n">
        <f aca="false">-1+B4053*0.125</f>
        <v>-1</v>
      </c>
      <c r="F4053" s="0" t="n">
        <f aca="false">-1+C4053*0.125</f>
        <v>-0.75</v>
      </c>
      <c r="G4053" s="0" t="n">
        <f aca="false">1</f>
        <v>1</v>
      </c>
      <c r="H4053" s="0" t="n">
        <f aca="false">D4053</f>
        <v>0.75</v>
      </c>
      <c r="I4053" s="0" t="n">
        <f aca="false">E4053</f>
        <v>-1</v>
      </c>
      <c r="J4053" s="0" t="n">
        <f aca="false">F4053</f>
        <v>-0.75</v>
      </c>
      <c r="K4053" s="0" t="n">
        <f aca="false">D4053*E4053</f>
        <v>-0.75</v>
      </c>
      <c r="L4053" s="0" t="n">
        <f aca="false">D4053*F4053</f>
        <v>-0.5625</v>
      </c>
      <c r="M4053" s="0" t="n">
        <f aca="false">E4053*F4053</f>
        <v>0.75</v>
      </c>
      <c r="N4053" s="0" t="n">
        <f aca="false">D4053*D4053</f>
        <v>0.5625</v>
      </c>
      <c r="O4053" s="0" t="n">
        <f aca="false">E4053*E4053</f>
        <v>1</v>
      </c>
      <c r="P4053" s="0" t="n">
        <f aca="false">F4053*F4053</f>
        <v>0.5625</v>
      </c>
      <c r="Q4053" s="0" t="n">
        <f aca="false">SUMPRODUCT(G4053:P4053,_XtX!$B$71:$K$71)</f>
        <v>42.6610795454546</v>
      </c>
      <c r="R4053" s="0" t="n">
        <f aca="false">SUMPRODUCT(MMULT(G4053:P4053,_XtX!$B$58:$K$67),G4053:P4053)</f>
        <v>0.518314985795455</v>
      </c>
      <c r="S4053" s="0" t="n">
        <f aca="false">04_回帰ANOVA!$K$19*04_回帰ANOVA!$K$14*SQRT(1+R4053)</f>
        <v>1.14563843495971</v>
      </c>
      <c r="T4053" s="0" t="n">
        <f aca="false">Q4053-S4053</f>
        <v>41.5154411104949</v>
      </c>
      <c r="U4053" s="0" t="n">
        <f aca="false">Q4053+S4053</f>
        <v>43.8067179804143</v>
      </c>
      <c r="V4053" s="54" t="b">
        <f aca="false">AND(D4053&gt;=01_因子設定!$L$5-0.000000001,D4053&lt;=01_因子設定!$M$5+0.000000001,E4053&gt;=01_因子設定!$L$6-0.000000001,E4053&lt;=01_因子設定!$M$6+0.000000001,F4053&gt;=01_因子設定!$L$7-0.000000001,F4053&lt;=01_因子設定!$M$7+0.000000001,IF(01_因子設定!$B$20="Box-Behnken",D4053^2+E4053^2+F4053^2&lt;=2+0.000000001,TRUE()))</f>
        <v>1</v>
      </c>
      <c r="W4053" s="55" t="n">
        <f aca="false">IF(V4053,IF(01_因子設定!$B$13="最大化",T4053-01_因子設定!$B$14,IF(01_因子設定!$B$13="最小化",01_因子設定!$B$15-U4053,MIN(T4053-01_因子設定!$B$14,01_因子設定!$B$15-U4053))),-1E+030)</f>
        <v>-6.98455888950515</v>
      </c>
      <c r="X4053" s="55" t="n">
        <f aca="false">IF(V4053,IF(01_因子設定!$B$13="最大化",Q4053,IF(01_因子設定!$B$13="最小化",-Q4053,-ABS(Q4053-01_因子設定!$B$16))),-1E+030)</f>
        <v>42.6610795454546</v>
      </c>
      <c r="Y4053" s="55" t="n">
        <f aca="false">W4053+ROW()*0.000000001</f>
        <v>-6.98455483650515</v>
      </c>
      <c r="Z4053" s="55" t="n">
        <f aca="false">X4053+ROW()*0.000000001</f>
        <v>42.6610835984546</v>
      </c>
    </row>
    <row r="4054" customFormat="false" ht="15" hidden="false" customHeight="false" outlineLevel="0" collapsed="false">
      <c r="A4054" s="0" t="n">
        <v>14</v>
      </c>
      <c r="B4054" s="0" t="n">
        <v>0</v>
      </c>
      <c r="C4054" s="0" t="n">
        <v>3</v>
      </c>
      <c r="D4054" s="0" t="n">
        <f aca="false">-1+A4054*0.125</f>
        <v>0.75</v>
      </c>
      <c r="E4054" s="0" t="n">
        <f aca="false">-1+B4054*0.125</f>
        <v>-1</v>
      </c>
      <c r="F4054" s="0" t="n">
        <f aca="false">-1+C4054*0.125</f>
        <v>-0.625</v>
      </c>
      <c r="G4054" s="0" t="n">
        <f aca="false">1</f>
        <v>1</v>
      </c>
      <c r="H4054" s="0" t="n">
        <f aca="false">D4054</f>
        <v>0.75</v>
      </c>
      <c r="I4054" s="0" t="n">
        <f aca="false">E4054</f>
        <v>-1</v>
      </c>
      <c r="J4054" s="0" t="n">
        <f aca="false">F4054</f>
        <v>-0.625</v>
      </c>
      <c r="K4054" s="0" t="n">
        <f aca="false">D4054*E4054</f>
        <v>-0.75</v>
      </c>
      <c r="L4054" s="0" t="n">
        <f aca="false">D4054*F4054</f>
        <v>-0.46875</v>
      </c>
      <c r="M4054" s="0" t="n">
        <f aca="false">E4054*F4054</f>
        <v>0.625</v>
      </c>
      <c r="N4054" s="0" t="n">
        <f aca="false">D4054*D4054</f>
        <v>0.5625</v>
      </c>
      <c r="O4054" s="0" t="n">
        <f aca="false">E4054*E4054</f>
        <v>1</v>
      </c>
      <c r="P4054" s="0" t="n">
        <f aca="false">F4054*F4054</f>
        <v>0.390625</v>
      </c>
      <c r="Q4054" s="0" t="n">
        <f aca="false">SUMPRODUCT(G4054:P4054,_XtX!$B$71:$K$71)</f>
        <v>42.9656107954546</v>
      </c>
      <c r="R4054" s="0" t="n">
        <f aca="false">SUMPRODUCT(MMULT(G4054:P4054,_XtX!$B$58:$K$67),G4054:P4054)</f>
        <v>0.496855024857955</v>
      </c>
      <c r="S4054" s="0" t="n">
        <f aca="false">04_回帰ANOVA!$K$19*04_回帰ANOVA!$K$14*SQRT(1+R4054)</f>
        <v>1.1375133593161</v>
      </c>
      <c r="T4054" s="0" t="n">
        <f aca="false">Q4054-S4054</f>
        <v>41.8280974361385</v>
      </c>
      <c r="U4054" s="0" t="n">
        <f aca="false">Q4054+S4054</f>
        <v>44.1031241547707</v>
      </c>
      <c r="V4054" s="54" t="b">
        <f aca="false">AND(D4054&gt;=01_因子設定!$L$5-0.000000001,D4054&lt;=01_因子設定!$M$5+0.000000001,E4054&gt;=01_因子設定!$L$6-0.000000001,E4054&lt;=01_因子設定!$M$6+0.000000001,F4054&gt;=01_因子設定!$L$7-0.000000001,F4054&lt;=01_因子設定!$M$7+0.000000001,IF(01_因子設定!$B$20="Box-Behnken",D4054^2+E4054^2+F4054^2&lt;=2+0.000000001,TRUE()))</f>
        <v>1</v>
      </c>
      <c r="W4054" s="55" t="n">
        <f aca="false">IF(V4054,IF(01_因子設定!$B$13="最大化",T4054-01_因子設定!$B$14,IF(01_因子設定!$B$13="最小化",01_因子設定!$B$15-U4054,MIN(T4054-01_因子設定!$B$14,01_因子設定!$B$15-U4054))),-1E+030)</f>
        <v>-6.67190256386155</v>
      </c>
      <c r="X4054" s="55" t="n">
        <f aca="false">IF(V4054,IF(01_因子設定!$B$13="最大化",Q4054,IF(01_因子設定!$B$13="最小化",-Q4054,-ABS(Q4054-01_因子設定!$B$16))),-1E+030)</f>
        <v>42.9656107954546</v>
      </c>
      <c r="Y4054" s="55" t="n">
        <f aca="false">W4054+ROW()*0.000000001</f>
        <v>-6.67189850986155</v>
      </c>
      <c r="Z4054" s="55" t="n">
        <f aca="false">X4054+ROW()*0.000000001</f>
        <v>42.9656148494546</v>
      </c>
    </row>
    <row r="4055" customFormat="false" ht="15" hidden="false" customHeight="false" outlineLevel="0" collapsed="false">
      <c r="A4055" s="0" t="n">
        <v>14</v>
      </c>
      <c r="B4055" s="0" t="n">
        <v>0</v>
      </c>
      <c r="C4055" s="0" t="n">
        <v>4</v>
      </c>
      <c r="D4055" s="0" t="n">
        <f aca="false">-1+A4055*0.125</f>
        <v>0.75</v>
      </c>
      <c r="E4055" s="0" t="n">
        <f aca="false">-1+B4055*0.125</f>
        <v>-1</v>
      </c>
      <c r="F4055" s="0" t="n">
        <f aca="false">-1+C4055*0.125</f>
        <v>-0.5</v>
      </c>
      <c r="G4055" s="0" t="n">
        <f aca="false">1</f>
        <v>1</v>
      </c>
      <c r="H4055" s="0" t="n">
        <f aca="false">D4055</f>
        <v>0.75</v>
      </c>
      <c r="I4055" s="0" t="n">
        <f aca="false">E4055</f>
        <v>-1</v>
      </c>
      <c r="J4055" s="0" t="n">
        <f aca="false">F4055</f>
        <v>-0.5</v>
      </c>
      <c r="K4055" s="0" t="n">
        <f aca="false">D4055*E4055</f>
        <v>-0.75</v>
      </c>
      <c r="L4055" s="0" t="n">
        <f aca="false">D4055*F4055</f>
        <v>-0.375</v>
      </c>
      <c r="M4055" s="0" t="n">
        <f aca="false">E4055*F4055</f>
        <v>0.5</v>
      </c>
      <c r="N4055" s="0" t="n">
        <f aca="false">D4055*D4055</f>
        <v>0.5625</v>
      </c>
      <c r="O4055" s="0" t="n">
        <f aca="false">E4055*E4055</f>
        <v>1</v>
      </c>
      <c r="P4055" s="0" t="n">
        <f aca="false">F4055*F4055</f>
        <v>0.25</v>
      </c>
      <c r="Q4055" s="0" t="n">
        <f aca="false">SUMPRODUCT(G4055:P4055,_XtX!$B$71:$K$71)</f>
        <v>43.2333522727273</v>
      </c>
      <c r="R4055" s="0" t="n">
        <f aca="false">SUMPRODUCT(MMULT(G4055:P4055,_XtX!$B$58:$K$67),G4055:P4055)</f>
        <v>0.495276988636364</v>
      </c>
      <c r="S4055" s="0" t="n">
        <f aca="false">04_回帰ANOVA!$K$19*04_回帰ANOVA!$K$14*SQRT(1+R4055)</f>
        <v>1.13691359828352</v>
      </c>
      <c r="T4055" s="0" t="n">
        <f aca="false">Q4055-S4055</f>
        <v>42.0964386744438</v>
      </c>
      <c r="U4055" s="0" t="n">
        <f aca="false">Q4055+S4055</f>
        <v>44.3702658710108</v>
      </c>
      <c r="V4055" s="54" t="b">
        <f aca="false">AND(D4055&gt;=01_因子設定!$L$5-0.000000001,D4055&lt;=01_因子設定!$M$5+0.000000001,E4055&gt;=01_因子設定!$L$6-0.000000001,E4055&lt;=01_因子設定!$M$6+0.000000001,F4055&gt;=01_因子設定!$L$7-0.000000001,F4055&lt;=01_因子設定!$M$7+0.000000001,IF(01_因子設定!$B$20="Box-Behnken",D4055^2+E4055^2+F4055^2&lt;=2+0.000000001,TRUE()))</f>
        <v>1</v>
      </c>
      <c r="W4055" s="55" t="n">
        <f aca="false">IF(V4055,IF(01_因子設定!$B$13="最大化",T4055-01_因子設定!$B$14,IF(01_因子設定!$B$13="最小化",01_因子設定!$B$15-U4055,MIN(T4055-01_因子設定!$B$14,01_因子設定!$B$15-U4055))),-1E+030)</f>
        <v>-6.40356132555624</v>
      </c>
      <c r="X4055" s="55" t="n">
        <f aca="false">IF(V4055,IF(01_因子設定!$B$13="最大化",Q4055,IF(01_因子設定!$B$13="最小化",-Q4055,-ABS(Q4055-01_因子設定!$B$16))),-1E+030)</f>
        <v>43.2333522727273</v>
      </c>
      <c r="Y4055" s="55" t="n">
        <f aca="false">W4055+ROW()*0.000000001</f>
        <v>-6.40355727055624</v>
      </c>
      <c r="Z4055" s="55" t="n">
        <f aca="false">X4055+ROW()*0.000000001</f>
        <v>43.2333563277273</v>
      </c>
    </row>
    <row r="4056" customFormat="false" ht="15" hidden="false" customHeight="false" outlineLevel="0" collapsed="false">
      <c r="A4056" s="0" t="n">
        <v>14</v>
      </c>
      <c r="B4056" s="0" t="n">
        <v>0</v>
      </c>
      <c r="C4056" s="0" t="n">
        <v>5</v>
      </c>
      <c r="D4056" s="0" t="n">
        <f aca="false">-1+A4056*0.125</f>
        <v>0.75</v>
      </c>
      <c r="E4056" s="0" t="n">
        <f aca="false">-1+B4056*0.125</f>
        <v>-1</v>
      </c>
      <c r="F4056" s="0" t="n">
        <f aca="false">-1+C4056*0.125</f>
        <v>-0.375</v>
      </c>
      <c r="G4056" s="0" t="n">
        <f aca="false">1</f>
        <v>1</v>
      </c>
      <c r="H4056" s="0" t="n">
        <f aca="false">D4056</f>
        <v>0.75</v>
      </c>
      <c r="I4056" s="0" t="n">
        <f aca="false">E4056</f>
        <v>-1</v>
      </c>
      <c r="J4056" s="0" t="n">
        <f aca="false">F4056</f>
        <v>-0.375</v>
      </c>
      <c r="K4056" s="0" t="n">
        <f aca="false">D4056*E4056</f>
        <v>-0.75</v>
      </c>
      <c r="L4056" s="0" t="n">
        <f aca="false">D4056*F4056</f>
        <v>-0.28125</v>
      </c>
      <c r="M4056" s="0" t="n">
        <f aca="false">E4056*F4056</f>
        <v>0.375</v>
      </c>
      <c r="N4056" s="0" t="n">
        <f aca="false">D4056*D4056</f>
        <v>0.5625</v>
      </c>
      <c r="O4056" s="0" t="n">
        <f aca="false">E4056*E4056</f>
        <v>1</v>
      </c>
      <c r="P4056" s="0" t="n">
        <f aca="false">F4056*F4056</f>
        <v>0.140625</v>
      </c>
      <c r="Q4056" s="0" t="n">
        <f aca="false">SUMPRODUCT(G4056:P4056,_XtX!$B$71:$K$71)</f>
        <v>43.4643039772727</v>
      </c>
      <c r="R4056" s="0" t="n">
        <f aca="false">SUMPRODUCT(MMULT(G4056:P4056,_XtX!$B$58:$K$67),G4056:P4056)</f>
        <v>0.503992808948864</v>
      </c>
      <c r="S4056" s="0" t="n">
        <f aca="false">04_回帰ANOVA!$K$19*04_回帰ANOVA!$K$14*SQRT(1+R4056)</f>
        <v>1.14022226176226</v>
      </c>
      <c r="T4056" s="0" t="n">
        <f aca="false">Q4056-S4056</f>
        <v>42.3240817155105</v>
      </c>
      <c r="U4056" s="0" t="n">
        <f aca="false">Q4056+S4056</f>
        <v>44.604526239035</v>
      </c>
      <c r="V4056" s="54" t="b">
        <f aca="false">AND(D4056&gt;=01_因子設定!$L$5-0.000000001,D4056&lt;=01_因子設定!$M$5+0.000000001,E4056&gt;=01_因子設定!$L$6-0.000000001,E4056&lt;=01_因子設定!$M$6+0.000000001,F4056&gt;=01_因子設定!$L$7-0.000000001,F4056&lt;=01_因子設定!$M$7+0.000000001,IF(01_因子設定!$B$20="Box-Behnken",D4056^2+E4056^2+F4056^2&lt;=2+0.000000001,TRUE()))</f>
        <v>1</v>
      </c>
      <c r="W4056" s="55" t="n">
        <f aca="false">IF(V4056,IF(01_因子設定!$B$13="最大化",T4056-01_因子設定!$B$14,IF(01_因子設定!$B$13="最小化",01_因子設定!$B$15-U4056,MIN(T4056-01_因子設定!$B$14,01_因子設定!$B$15-U4056))),-1E+030)</f>
        <v>-6.17591828448953</v>
      </c>
      <c r="X4056" s="55" t="n">
        <f aca="false">IF(V4056,IF(01_因子設定!$B$13="最大化",Q4056,IF(01_因子設定!$B$13="最小化",-Q4056,-ABS(Q4056-01_因子設定!$B$16))),-1E+030)</f>
        <v>43.4643039772727</v>
      </c>
      <c r="Y4056" s="55" t="n">
        <f aca="false">W4056+ROW()*0.000000001</f>
        <v>-6.17591422848953</v>
      </c>
      <c r="Z4056" s="55" t="n">
        <f aca="false">X4056+ROW()*0.000000001</f>
        <v>43.4643080332727</v>
      </c>
    </row>
    <row r="4057" customFormat="false" ht="15" hidden="false" customHeight="false" outlineLevel="0" collapsed="false">
      <c r="A4057" s="0" t="n">
        <v>14</v>
      </c>
      <c r="B4057" s="0" t="n">
        <v>0</v>
      </c>
      <c r="C4057" s="0" t="n">
        <v>6</v>
      </c>
      <c r="D4057" s="0" t="n">
        <f aca="false">-1+A4057*0.125</f>
        <v>0.75</v>
      </c>
      <c r="E4057" s="0" t="n">
        <f aca="false">-1+B4057*0.125</f>
        <v>-1</v>
      </c>
      <c r="F4057" s="0" t="n">
        <f aca="false">-1+C4057*0.125</f>
        <v>-0.25</v>
      </c>
      <c r="G4057" s="0" t="n">
        <f aca="false">1</f>
        <v>1</v>
      </c>
      <c r="H4057" s="0" t="n">
        <f aca="false">D4057</f>
        <v>0.75</v>
      </c>
      <c r="I4057" s="0" t="n">
        <f aca="false">E4057</f>
        <v>-1</v>
      </c>
      <c r="J4057" s="0" t="n">
        <f aca="false">F4057</f>
        <v>-0.25</v>
      </c>
      <c r="K4057" s="0" t="n">
        <f aca="false">D4057*E4057</f>
        <v>-0.75</v>
      </c>
      <c r="L4057" s="0" t="n">
        <f aca="false">D4057*F4057</f>
        <v>-0.1875</v>
      </c>
      <c r="M4057" s="0" t="n">
        <f aca="false">E4057*F4057</f>
        <v>0.25</v>
      </c>
      <c r="N4057" s="0" t="n">
        <f aca="false">D4057*D4057</f>
        <v>0.5625</v>
      </c>
      <c r="O4057" s="0" t="n">
        <f aca="false">E4057*E4057</f>
        <v>1</v>
      </c>
      <c r="P4057" s="0" t="n">
        <f aca="false">F4057*F4057</f>
        <v>0.0625</v>
      </c>
      <c r="Q4057" s="0" t="n">
        <f aca="false">SUMPRODUCT(G4057:P4057,_XtX!$B$71:$K$71)</f>
        <v>43.6584659090909</v>
      </c>
      <c r="R4057" s="0" t="n">
        <f aca="false">SUMPRODUCT(MMULT(G4057:P4057,_XtX!$B$58:$K$67),G4057:P4057)</f>
        <v>0.515545099431818</v>
      </c>
      <c r="S4057" s="0" t="n">
        <f aca="false">04_回帰ANOVA!$K$19*04_回帰ANOVA!$K$14*SQRT(1+R4057)</f>
        <v>1.14459295464101</v>
      </c>
      <c r="T4057" s="0" t="n">
        <f aca="false">Q4057-S4057</f>
        <v>42.5138729544499</v>
      </c>
      <c r="U4057" s="0" t="n">
        <f aca="false">Q4057+S4057</f>
        <v>44.8030588637319</v>
      </c>
      <c r="V4057" s="54" t="b">
        <f aca="false">AND(D4057&gt;=01_因子設定!$L$5-0.000000001,D4057&lt;=01_因子設定!$M$5+0.000000001,E4057&gt;=01_因子設定!$L$6-0.000000001,E4057&lt;=01_因子設定!$M$6+0.000000001,F4057&gt;=01_因子設定!$L$7-0.000000001,F4057&lt;=01_因子設定!$M$7+0.000000001,IF(01_因子設定!$B$20="Box-Behnken",D4057^2+E4057^2+F4057^2&lt;=2+0.000000001,TRUE()))</f>
        <v>1</v>
      </c>
      <c r="W4057" s="55" t="n">
        <f aca="false">IF(V4057,IF(01_因子設定!$B$13="最大化",T4057-01_因子設定!$B$14,IF(01_因子設定!$B$13="最小化",01_因子設定!$B$15-U4057,MIN(T4057-01_因子設定!$B$14,01_因子設定!$B$15-U4057))),-1E+030)</f>
        <v>-5.9861270455501</v>
      </c>
      <c r="X4057" s="55" t="n">
        <f aca="false">IF(V4057,IF(01_因子設定!$B$13="最大化",Q4057,IF(01_因子設定!$B$13="最小化",-Q4057,-ABS(Q4057-01_因子設定!$B$16))),-1E+030)</f>
        <v>43.6584659090909</v>
      </c>
      <c r="Y4057" s="55" t="n">
        <f aca="false">W4057+ROW()*0.000000001</f>
        <v>-5.9861229885501</v>
      </c>
      <c r="Z4057" s="55" t="n">
        <f aca="false">X4057+ROW()*0.000000001</f>
        <v>43.6584699660909</v>
      </c>
    </row>
    <row r="4058" customFormat="false" ht="15" hidden="false" customHeight="false" outlineLevel="0" collapsed="false">
      <c r="A4058" s="0" t="n">
        <v>14</v>
      </c>
      <c r="B4058" s="0" t="n">
        <v>0</v>
      </c>
      <c r="C4058" s="0" t="n">
        <v>7</v>
      </c>
      <c r="D4058" s="0" t="n">
        <f aca="false">-1+A4058*0.125</f>
        <v>0.75</v>
      </c>
      <c r="E4058" s="0" t="n">
        <f aca="false">-1+B4058*0.125</f>
        <v>-1</v>
      </c>
      <c r="F4058" s="0" t="n">
        <f aca="false">-1+C4058*0.125</f>
        <v>-0.125</v>
      </c>
      <c r="G4058" s="0" t="n">
        <f aca="false">1</f>
        <v>1</v>
      </c>
      <c r="H4058" s="0" t="n">
        <f aca="false">D4058</f>
        <v>0.75</v>
      </c>
      <c r="I4058" s="0" t="n">
        <f aca="false">E4058</f>
        <v>-1</v>
      </c>
      <c r="J4058" s="0" t="n">
        <f aca="false">F4058</f>
        <v>-0.125</v>
      </c>
      <c r="K4058" s="0" t="n">
        <f aca="false">D4058*E4058</f>
        <v>-0.75</v>
      </c>
      <c r="L4058" s="0" t="n">
        <f aca="false">D4058*F4058</f>
        <v>-0.09375</v>
      </c>
      <c r="M4058" s="0" t="n">
        <f aca="false">E4058*F4058</f>
        <v>0.125</v>
      </c>
      <c r="N4058" s="0" t="n">
        <f aca="false">D4058*D4058</f>
        <v>0.5625</v>
      </c>
      <c r="O4058" s="0" t="n">
        <f aca="false">E4058*E4058</f>
        <v>1</v>
      </c>
      <c r="P4058" s="0" t="n">
        <f aca="false">F4058*F4058</f>
        <v>0.015625</v>
      </c>
      <c r="Q4058" s="0" t="n">
        <f aca="false">SUMPRODUCT(G4058:P4058,_XtX!$B$71:$K$71)</f>
        <v>43.8158380681818</v>
      </c>
      <c r="R4058" s="0" t="n">
        <f aca="false">SUMPRODUCT(MMULT(G4058:P4058,_XtX!$B$58:$K$67),G4058:P4058)</f>
        <v>0.524607155539773</v>
      </c>
      <c r="S4058" s="0" t="n">
        <f aca="false">04_回帰ANOVA!$K$19*04_回帰ANOVA!$K$14*SQRT(1+R4058)</f>
        <v>1.14800984623412</v>
      </c>
      <c r="T4058" s="0" t="n">
        <f aca="false">Q4058-S4058</f>
        <v>42.6678282219477</v>
      </c>
      <c r="U4058" s="0" t="n">
        <f aca="false">Q4058+S4058</f>
        <v>44.9638479144159</v>
      </c>
      <c r="V4058" s="54" t="b">
        <f aca="false">AND(D4058&gt;=01_因子設定!$L$5-0.000000001,D4058&lt;=01_因子設定!$M$5+0.000000001,E4058&gt;=01_因子設定!$L$6-0.000000001,E4058&lt;=01_因子設定!$M$6+0.000000001,F4058&gt;=01_因子設定!$L$7-0.000000001,F4058&lt;=01_因子設定!$M$7+0.000000001,IF(01_因子設定!$B$20="Box-Behnken",D4058^2+E4058^2+F4058^2&lt;=2+0.000000001,TRUE()))</f>
        <v>1</v>
      </c>
      <c r="W4058" s="55" t="n">
        <f aca="false">IF(V4058,IF(01_因子設定!$B$13="最大化",T4058-01_因子設定!$B$14,IF(01_因子設定!$B$13="最小化",01_因子設定!$B$15-U4058,MIN(T4058-01_因子設定!$B$14,01_因子設定!$B$15-U4058))),-1E+030)</f>
        <v>-5.8321717780523</v>
      </c>
      <c r="X4058" s="55" t="n">
        <f aca="false">IF(V4058,IF(01_因子設定!$B$13="最大化",Q4058,IF(01_因子設定!$B$13="最小化",-Q4058,-ABS(Q4058-01_因子設定!$B$16))),-1E+030)</f>
        <v>43.8158380681818</v>
      </c>
      <c r="Y4058" s="55" t="n">
        <f aca="false">W4058+ROW()*0.000000001</f>
        <v>-5.8321677200523</v>
      </c>
      <c r="Z4058" s="55" t="n">
        <f aca="false">X4058+ROW()*0.000000001</f>
        <v>43.8158421261818</v>
      </c>
    </row>
    <row r="4059" customFormat="false" ht="15" hidden="false" customHeight="false" outlineLevel="0" collapsed="false">
      <c r="A4059" s="0" t="n">
        <v>14</v>
      </c>
      <c r="B4059" s="0" t="n">
        <v>0</v>
      </c>
      <c r="C4059" s="0" t="n">
        <v>8</v>
      </c>
      <c r="D4059" s="0" t="n">
        <f aca="false">-1+A4059*0.125</f>
        <v>0.75</v>
      </c>
      <c r="E4059" s="0" t="n">
        <f aca="false">-1+B4059*0.125</f>
        <v>-1</v>
      </c>
      <c r="F4059" s="0" t="n">
        <f aca="false">-1+C4059*0.125</f>
        <v>0</v>
      </c>
      <c r="G4059" s="0" t="n">
        <f aca="false">1</f>
        <v>1</v>
      </c>
      <c r="H4059" s="0" t="n">
        <f aca="false">D4059</f>
        <v>0.75</v>
      </c>
      <c r="I4059" s="0" t="n">
        <f aca="false">E4059</f>
        <v>-1</v>
      </c>
      <c r="J4059" s="0" t="n">
        <f aca="false">F4059</f>
        <v>0</v>
      </c>
      <c r="K4059" s="0" t="n">
        <f aca="false">D4059*E4059</f>
        <v>-0.75</v>
      </c>
      <c r="L4059" s="0" t="n">
        <f aca="false">D4059*F4059</f>
        <v>0</v>
      </c>
      <c r="M4059" s="0" t="n">
        <f aca="false">E4059*F4059</f>
        <v>-0</v>
      </c>
      <c r="N4059" s="0" t="n">
        <f aca="false">D4059*D4059</f>
        <v>0.5625</v>
      </c>
      <c r="O4059" s="0" t="n">
        <f aca="false">E4059*E4059</f>
        <v>1</v>
      </c>
      <c r="P4059" s="0" t="n">
        <f aca="false">F4059*F4059</f>
        <v>0</v>
      </c>
      <c r="Q4059" s="0" t="n">
        <f aca="false">SUMPRODUCT(G4059:P4059,_XtX!$B$71:$K$71)</f>
        <v>43.9364204545455</v>
      </c>
      <c r="R4059" s="0" t="n">
        <f aca="false">SUMPRODUCT(MMULT(G4059:P4059,_XtX!$B$58:$K$67),G4059:P4059)</f>
        <v>0.527982954545455</v>
      </c>
      <c r="S4059" s="0" t="n">
        <f aca="false">04_回帰ANOVA!$K$19*04_回帰ANOVA!$K$14*SQRT(1+R4059)</f>
        <v>1.14928011037747</v>
      </c>
      <c r="T4059" s="0" t="n">
        <f aca="false">Q4059-S4059</f>
        <v>42.787140344168</v>
      </c>
      <c r="U4059" s="0" t="n">
        <f aca="false">Q4059+S4059</f>
        <v>45.0857005649229</v>
      </c>
      <c r="V4059" s="54" t="b">
        <f aca="false">AND(D4059&gt;=01_因子設定!$L$5-0.000000001,D4059&lt;=01_因子設定!$M$5+0.000000001,E4059&gt;=01_因子設定!$L$6-0.000000001,E4059&lt;=01_因子設定!$M$6+0.000000001,F4059&gt;=01_因子設定!$L$7-0.000000001,F4059&lt;=01_因子設定!$M$7+0.000000001,IF(01_因子設定!$B$20="Box-Behnken",D4059^2+E4059^2+F4059^2&lt;=2+0.000000001,TRUE()))</f>
        <v>1</v>
      </c>
      <c r="W4059" s="55" t="n">
        <f aca="false">IF(V4059,IF(01_因子設定!$B$13="最大化",T4059-01_因子設定!$B$14,IF(01_因子設定!$B$13="最小化",01_因子設定!$B$15-U4059,MIN(T4059-01_因子設定!$B$14,01_因子設定!$B$15-U4059))),-1E+030)</f>
        <v>-5.71285965583202</v>
      </c>
      <c r="X4059" s="55" t="n">
        <f aca="false">IF(V4059,IF(01_因子設定!$B$13="最大化",Q4059,IF(01_因子設定!$B$13="最小化",-Q4059,-ABS(Q4059-01_因子設定!$B$16))),-1E+030)</f>
        <v>43.9364204545455</v>
      </c>
      <c r="Y4059" s="55" t="n">
        <f aca="false">W4059+ROW()*0.000000001</f>
        <v>-5.71285559683202</v>
      </c>
      <c r="Z4059" s="55" t="n">
        <f aca="false">X4059+ROW()*0.000000001</f>
        <v>43.9364245135455</v>
      </c>
    </row>
    <row r="4060" customFormat="false" ht="15" hidden="false" customHeight="false" outlineLevel="0" collapsed="false">
      <c r="A4060" s="0" t="n">
        <v>14</v>
      </c>
      <c r="B4060" s="0" t="n">
        <v>0</v>
      </c>
      <c r="C4060" s="0" t="n">
        <v>9</v>
      </c>
      <c r="D4060" s="0" t="n">
        <f aca="false">-1+A4060*0.125</f>
        <v>0.75</v>
      </c>
      <c r="E4060" s="0" t="n">
        <f aca="false">-1+B4060*0.125</f>
        <v>-1</v>
      </c>
      <c r="F4060" s="0" t="n">
        <f aca="false">-1+C4060*0.125</f>
        <v>0.125</v>
      </c>
      <c r="G4060" s="0" t="n">
        <f aca="false">1</f>
        <v>1</v>
      </c>
      <c r="H4060" s="0" t="n">
        <f aca="false">D4060</f>
        <v>0.75</v>
      </c>
      <c r="I4060" s="0" t="n">
        <f aca="false">E4060</f>
        <v>-1</v>
      </c>
      <c r="J4060" s="0" t="n">
        <f aca="false">F4060</f>
        <v>0.125</v>
      </c>
      <c r="K4060" s="0" t="n">
        <f aca="false">D4060*E4060</f>
        <v>-0.75</v>
      </c>
      <c r="L4060" s="0" t="n">
        <f aca="false">D4060*F4060</f>
        <v>0.09375</v>
      </c>
      <c r="M4060" s="0" t="n">
        <f aca="false">E4060*F4060</f>
        <v>-0.125</v>
      </c>
      <c r="N4060" s="0" t="n">
        <f aca="false">D4060*D4060</f>
        <v>0.5625</v>
      </c>
      <c r="O4060" s="0" t="n">
        <f aca="false">E4060*E4060</f>
        <v>1</v>
      </c>
      <c r="P4060" s="0" t="n">
        <f aca="false">F4060*F4060</f>
        <v>0.015625</v>
      </c>
      <c r="Q4060" s="0" t="n">
        <f aca="false">SUMPRODUCT(G4060:P4060,_XtX!$B$71:$K$71)</f>
        <v>44.0202130681818</v>
      </c>
      <c r="R4060" s="0" t="n">
        <f aca="false">SUMPRODUCT(MMULT(G4060:P4060,_XtX!$B$58:$K$67),G4060:P4060)</f>
        <v>0.524607155539773</v>
      </c>
      <c r="S4060" s="0" t="n">
        <f aca="false">04_回帰ANOVA!$K$19*04_回帰ANOVA!$K$14*SQRT(1+R4060)</f>
        <v>1.14800984623412</v>
      </c>
      <c r="T4060" s="0" t="n">
        <f aca="false">Q4060-S4060</f>
        <v>42.8722032219477</v>
      </c>
      <c r="U4060" s="0" t="n">
        <f aca="false">Q4060+S4060</f>
        <v>45.1682229144159</v>
      </c>
      <c r="V4060" s="54" t="b">
        <f aca="false">AND(D4060&gt;=01_因子設定!$L$5-0.000000001,D4060&lt;=01_因子設定!$M$5+0.000000001,E4060&gt;=01_因子設定!$L$6-0.000000001,E4060&lt;=01_因子設定!$M$6+0.000000001,F4060&gt;=01_因子設定!$L$7-0.000000001,F4060&lt;=01_因子設定!$M$7+0.000000001,IF(01_因子設定!$B$20="Box-Behnken",D4060^2+E4060^2+F4060^2&lt;=2+0.000000001,TRUE()))</f>
        <v>1</v>
      </c>
      <c r="W4060" s="55" t="n">
        <f aca="false">IF(V4060,IF(01_因子設定!$B$13="最大化",T4060-01_因子設定!$B$14,IF(01_因子設定!$B$13="最小化",01_因子設定!$B$15-U4060,MIN(T4060-01_因子設定!$B$14,01_因子設定!$B$15-U4060))),-1E+030)</f>
        <v>-5.6277967780523</v>
      </c>
      <c r="X4060" s="55" t="n">
        <f aca="false">IF(V4060,IF(01_因子設定!$B$13="最大化",Q4060,IF(01_因子設定!$B$13="最小化",-Q4060,-ABS(Q4060-01_因子設定!$B$16))),-1E+030)</f>
        <v>44.0202130681818</v>
      </c>
      <c r="Y4060" s="55" t="n">
        <f aca="false">W4060+ROW()*0.000000001</f>
        <v>-5.6277927180523</v>
      </c>
      <c r="Z4060" s="55" t="n">
        <f aca="false">X4060+ROW()*0.000000001</f>
        <v>44.0202171281818</v>
      </c>
    </row>
    <row r="4061" customFormat="false" ht="15" hidden="false" customHeight="false" outlineLevel="0" collapsed="false">
      <c r="A4061" s="0" t="n">
        <v>14</v>
      </c>
      <c r="B4061" s="0" t="n">
        <v>0</v>
      </c>
      <c r="C4061" s="0" t="n">
        <v>10</v>
      </c>
      <c r="D4061" s="0" t="n">
        <f aca="false">-1+A4061*0.125</f>
        <v>0.75</v>
      </c>
      <c r="E4061" s="0" t="n">
        <f aca="false">-1+B4061*0.125</f>
        <v>-1</v>
      </c>
      <c r="F4061" s="0" t="n">
        <f aca="false">-1+C4061*0.125</f>
        <v>0.25</v>
      </c>
      <c r="G4061" s="0" t="n">
        <f aca="false">1</f>
        <v>1</v>
      </c>
      <c r="H4061" s="0" t="n">
        <f aca="false">D4061</f>
        <v>0.75</v>
      </c>
      <c r="I4061" s="0" t="n">
        <f aca="false">E4061</f>
        <v>-1</v>
      </c>
      <c r="J4061" s="0" t="n">
        <f aca="false">F4061</f>
        <v>0.25</v>
      </c>
      <c r="K4061" s="0" t="n">
        <f aca="false">D4061*E4061</f>
        <v>-0.75</v>
      </c>
      <c r="L4061" s="0" t="n">
        <f aca="false">D4061*F4061</f>
        <v>0.1875</v>
      </c>
      <c r="M4061" s="0" t="n">
        <f aca="false">E4061*F4061</f>
        <v>-0.25</v>
      </c>
      <c r="N4061" s="0" t="n">
        <f aca="false">D4061*D4061</f>
        <v>0.5625</v>
      </c>
      <c r="O4061" s="0" t="n">
        <f aca="false">E4061*E4061</f>
        <v>1</v>
      </c>
      <c r="P4061" s="0" t="n">
        <f aca="false">F4061*F4061</f>
        <v>0.0625</v>
      </c>
      <c r="Q4061" s="0" t="n">
        <f aca="false">SUMPRODUCT(G4061:P4061,_XtX!$B$71:$K$71)</f>
        <v>44.0672159090909</v>
      </c>
      <c r="R4061" s="0" t="n">
        <f aca="false">SUMPRODUCT(MMULT(G4061:P4061,_XtX!$B$58:$K$67),G4061:P4061)</f>
        <v>0.515545099431818</v>
      </c>
      <c r="S4061" s="0" t="n">
        <f aca="false">04_回帰ANOVA!$K$19*04_回帰ANOVA!$K$14*SQRT(1+R4061)</f>
        <v>1.14459295464101</v>
      </c>
      <c r="T4061" s="0" t="n">
        <f aca="false">Q4061-S4061</f>
        <v>42.9226229544499</v>
      </c>
      <c r="U4061" s="0" t="n">
        <f aca="false">Q4061+S4061</f>
        <v>45.2118088637319</v>
      </c>
      <c r="V4061" s="54" t="b">
        <f aca="false">AND(D4061&gt;=01_因子設定!$L$5-0.000000001,D4061&lt;=01_因子設定!$M$5+0.000000001,E4061&gt;=01_因子設定!$L$6-0.000000001,E4061&lt;=01_因子設定!$M$6+0.000000001,F4061&gt;=01_因子設定!$L$7-0.000000001,F4061&lt;=01_因子設定!$M$7+0.000000001,IF(01_因子設定!$B$20="Box-Behnken",D4061^2+E4061^2+F4061^2&lt;=2+0.000000001,TRUE()))</f>
        <v>1</v>
      </c>
      <c r="W4061" s="55" t="n">
        <f aca="false">IF(V4061,IF(01_因子設定!$B$13="最大化",T4061-01_因子設定!$B$14,IF(01_因子設定!$B$13="最小化",01_因子設定!$B$15-U4061,MIN(T4061-01_因子設定!$B$14,01_因子設定!$B$15-U4061))),-1E+030)</f>
        <v>-5.5773770455501</v>
      </c>
      <c r="X4061" s="55" t="n">
        <f aca="false">IF(V4061,IF(01_因子設定!$B$13="最大化",Q4061,IF(01_因子設定!$B$13="最小化",-Q4061,-ABS(Q4061-01_因子設定!$B$16))),-1E+030)</f>
        <v>44.0672159090909</v>
      </c>
      <c r="Y4061" s="55" t="n">
        <f aca="false">W4061+ROW()*0.000000001</f>
        <v>-5.5773729845501</v>
      </c>
      <c r="Z4061" s="55" t="n">
        <f aca="false">X4061+ROW()*0.000000001</f>
        <v>44.0672199700909</v>
      </c>
    </row>
    <row r="4062" customFormat="false" ht="15" hidden="false" customHeight="false" outlineLevel="0" collapsed="false">
      <c r="A4062" s="0" t="n">
        <v>14</v>
      </c>
      <c r="B4062" s="0" t="n">
        <v>0</v>
      </c>
      <c r="C4062" s="0" t="n">
        <v>11</v>
      </c>
      <c r="D4062" s="0" t="n">
        <f aca="false">-1+A4062*0.125</f>
        <v>0.75</v>
      </c>
      <c r="E4062" s="0" t="n">
        <f aca="false">-1+B4062*0.125</f>
        <v>-1</v>
      </c>
      <c r="F4062" s="0" t="n">
        <f aca="false">-1+C4062*0.125</f>
        <v>0.375</v>
      </c>
      <c r="G4062" s="0" t="n">
        <f aca="false">1</f>
        <v>1</v>
      </c>
      <c r="H4062" s="0" t="n">
        <f aca="false">D4062</f>
        <v>0.75</v>
      </c>
      <c r="I4062" s="0" t="n">
        <f aca="false">E4062</f>
        <v>-1</v>
      </c>
      <c r="J4062" s="0" t="n">
        <f aca="false">F4062</f>
        <v>0.375</v>
      </c>
      <c r="K4062" s="0" t="n">
        <f aca="false">D4062*E4062</f>
        <v>-0.75</v>
      </c>
      <c r="L4062" s="0" t="n">
        <f aca="false">D4062*F4062</f>
        <v>0.28125</v>
      </c>
      <c r="M4062" s="0" t="n">
        <f aca="false">E4062*F4062</f>
        <v>-0.375</v>
      </c>
      <c r="N4062" s="0" t="n">
        <f aca="false">D4062*D4062</f>
        <v>0.5625</v>
      </c>
      <c r="O4062" s="0" t="n">
        <f aca="false">E4062*E4062</f>
        <v>1</v>
      </c>
      <c r="P4062" s="0" t="n">
        <f aca="false">F4062*F4062</f>
        <v>0.140625</v>
      </c>
      <c r="Q4062" s="0" t="n">
        <f aca="false">SUMPRODUCT(G4062:P4062,_XtX!$B$71:$K$71)</f>
        <v>44.0774289772727</v>
      </c>
      <c r="R4062" s="0" t="n">
        <f aca="false">SUMPRODUCT(MMULT(G4062:P4062,_XtX!$B$58:$K$67),G4062:P4062)</f>
        <v>0.503992808948864</v>
      </c>
      <c r="S4062" s="0" t="n">
        <f aca="false">04_回帰ANOVA!$K$19*04_回帰ANOVA!$K$14*SQRT(1+R4062)</f>
        <v>1.14022226176226</v>
      </c>
      <c r="T4062" s="0" t="n">
        <f aca="false">Q4062-S4062</f>
        <v>42.9372067155105</v>
      </c>
      <c r="U4062" s="0" t="n">
        <f aca="false">Q4062+S4062</f>
        <v>45.217651239035</v>
      </c>
      <c r="V4062" s="54" t="b">
        <f aca="false">AND(D4062&gt;=01_因子設定!$L$5-0.000000001,D4062&lt;=01_因子設定!$M$5+0.000000001,E4062&gt;=01_因子設定!$L$6-0.000000001,E4062&lt;=01_因子設定!$M$6+0.000000001,F4062&gt;=01_因子設定!$L$7-0.000000001,F4062&lt;=01_因子設定!$M$7+0.000000001,IF(01_因子設定!$B$20="Box-Behnken",D4062^2+E4062^2+F4062^2&lt;=2+0.000000001,TRUE()))</f>
        <v>1</v>
      </c>
      <c r="W4062" s="55" t="n">
        <f aca="false">IF(V4062,IF(01_因子設定!$B$13="最大化",T4062-01_因子設定!$B$14,IF(01_因子設定!$B$13="最小化",01_因子設定!$B$15-U4062,MIN(T4062-01_因子設定!$B$14,01_因子設定!$B$15-U4062))),-1E+030)</f>
        <v>-5.56279328448953</v>
      </c>
      <c r="X4062" s="55" t="n">
        <f aca="false">IF(V4062,IF(01_因子設定!$B$13="最大化",Q4062,IF(01_因子設定!$B$13="最小化",-Q4062,-ABS(Q4062-01_因子設定!$B$16))),-1E+030)</f>
        <v>44.0774289772727</v>
      </c>
      <c r="Y4062" s="55" t="n">
        <f aca="false">W4062+ROW()*0.000000001</f>
        <v>-5.56278922248953</v>
      </c>
      <c r="Z4062" s="55" t="n">
        <f aca="false">X4062+ROW()*0.000000001</f>
        <v>44.0774330392727</v>
      </c>
    </row>
    <row r="4063" customFormat="false" ht="15" hidden="false" customHeight="false" outlineLevel="0" collapsed="false">
      <c r="A4063" s="0" t="n">
        <v>14</v>
      </c>
      <c r="B4063" s="0" t="n">
        <v>0</v>
      </c>
      <c r="C4063" s="0" t="n">
        <v>12</v>
      </c>
      <c r="D4063" s="0" t="n">
        <f aca="false">-1+A4063*0.125</f>
        <v>0.75</v>
      </c>
      <c r="E4063" s="0" t="n">
        <f aca="false">-1+B4063*0.125</f>
        <v>-1</v>
      </c>
      <c r="F4063" s="0" t="n">
        <f aca="false">-1+C4063*0.125</f>
        <v>0.5</v>
      </c>
      <c r="G4063" s="0" t="n">
        <f aca="false">1</f>
        <v>1</v>
      </c>
      <c r="H4063" s="0" t="n">
        <f aca="false">D4063</f>
        <v>0.75</v>
      </c>
      <c r="I4063" s="0" t="n">
        <f aca="false">E4063</f>
        <v>-1</v>
      </c>
      <c r="J4063" s="0" t="n">
        <f aca="false">F4063</f>
        <v>0.5</v>
      </c>
      <c r="K4063" s="0" t="n">
        <f aca="false">D4063*E4063</f>
        <v>-0.75</v>
      </c>
      <c r="L4063" s="0" t="n">
        <f aca="false">D4063*F4063</f>
        <v>0.375</v>
      </c>
      <c r="M4063" s="0" t="n">
        <f aca="false">E4063*F4063</f>
        <v>-0.5</v>
      </c>
      <c r="N4063" s="0" t="n">
        <f aca="false">D4063*D4063</f>
        <v>0.5625</v>
      </c>
      <c r="O4063" s="0" t="n">
        <f aca="false">E4063*E4063</f>
        <v>1</v>
      </c>
      <c r="P4063" s="0" t="n">
        <f aca="false">F4063*F4063</f>
        <v>0.25</v>
      </c>
      <c r="Q4063" s="0" t="n">
        <f aca="false">SUMPRODUCT(G4063:P4063,_XtX!$B$71:$K$71)</f>
        <v>44.0508522727273</v>
      </c>
      <c r="R4063" s="0" t="n">
        <f aca="false">SUMPRODUCT(MMULT(G4063:P4063,_XtX!$B$58:$K$67),G4063:P4063)</f>
        <v>0.495276988636364</v>
      </c>
      <c r="S4063" s="0" t="n">
        <f aca="false">04_回帰ANOVA!$K$19*04_回帰ANOVA!$K$14*SQRT(1+R4063)</f>
        <v>1.13691359828352</v>
      </c>
      <c r="T4063" s="0" t="n">
        <f aca="false">Q4063-S4063</f>
        <v>42.9139386744438</v>
      </c>
      <c r="U4063" s="0" t="n">
        <f aca="false">Q4063+S4063</f>
        <v>45.1877658710108</v>
      </c>
      <c r="V4063" s="54" t="b">
        <f aca="false">AND(D4063&gt;=01_因子設定!$L$5-0.000000001,D4063&lt;=01_因子設定!$M$5+0.000000001,E4063&gt;=01_因子設定!$L$6-0.000000001,E4063&lt;=01_因子設定!$M$6+0.000000001,F4063&gt;=01_因子設定!$L$7-0.000000001,F4063&lt;=01_因子設定!$M$7+0.000000001,IF(01_因子設定!$B$20="Box-Behnken",D4063^2+E4063^2+F4063^2&lt;=2+0.000000001,TRUE()))</f>
        <v>1</v>
      </c>
      <c r="W4063" s="55" t="n">
        <f aca="false">IF(V4063,IF(01_因子設定!$B$13="最大化",T4063-01_因子設定!$B$14,IF(01_因子設定!$B$13="最小化",01_因子設定!$B$15-U4063,MIN(T4063-01_因子設定!$B$14,01_因子設定!$B$15-U4063))),-1E+030)</f>
        <v>-5.58606132555624</v>
      </c>
      <c r="X4063" s="55" t="n">
        <f aca="false">IF(V4063,IF(01_因子設定!$B$13="最大化",Q4063,IF(01_因子設定!$B$13="最小化",-Q4063,-ABS(Q4063-01_因子設定!$B$16))),-1E+030)</f>
        <v>44.0508522727273</v>
      </c>
      <c r="Y4063" s="55" t="n">
        <f aca="false">W4063+ROW()*0.000000001</f>
        <v>-5.58605726255624</v>
      </c>
      <c r="Z4063" s="55" t="n">
        <f aca="false">X4063+ROW()*0.000000001</f>
        <v>44.0508563357273</v>
      </c>
    </row>
    <row r="4064" customFormat="false" ht="15" hidden="false" customHeight="false" outlineLevel="0" collapsed="false">
      <c r="A4064" s="0" t="n">
        <v>14</v>
      </c>
      <c r="B4064" s="0" t="n">
        <v>0</v>
      </c>
      <c r="C4064" s="0" t="n">
        <v>13</v>
      </c>
      <c r="D4064" s="0" t="n">
        <f aca="false">-1+A4064*0.125</f>
        <v>0.75</v>
      </c>
      <c r="E4064" s="0" t="n">
        <f aca="false">-1+B4064*0.125</f>
        <v>-1</v>
      </c>
      <c r="F4064" s="0" t="n">
        <f aca="false">-1+C4064*0.125</f>
        <v>0.625</v>
      </c>
      <c r="G4064" s="0" t="n">
        <f aca="false">1</f>
        <v>1</v>
      </c>
      <c r="H4064" s="0" t="n">
        <f aca="false">D4064</f>
        <v>0.75</v>
      </c>
      <c r="I4064" s="0" t="n">
        <f aca="false">E4064</f>
        <v>-1</v>
      </c>
      <c r="J4064" s="0" t="n">
        <f aca="false">F4064</f>
        <v>0.625</v>
      </c>
      <c r="K4064" s="0" t="n">
        <f aca="false">D4064*E4064</f>
        <v>-0.75</v>
      </c>
      <c r="L4064" s="0" t="n">
        <f aca="false">D4064*F4064</f>
        <v>0.46875</v>
      </c>
      <c r="M4064" s="0" t="n">
        <f aca="false">E4064*F4064</f>
        <v>-0.625</v>
      </c>
      <c r="N4064" s="0" t="n">
        <f aca="false">D4064*D4064</f>
        <v>0.5625</v>
      </c>
      <c r="O4064" s="0" t="n">
        <f aca="false">E4064*E4064</f>
        <v>1</v>
      </c>
      <c r="P4064" s="0" t="n">
        <f aca="false">F4064*F4064</f>
        <v>0.390625</v>
      </c>
      <c r="Q4064" s="0" t="n">
        <f aca="false">SUMPRODUCT(G4064:P4064,_XtX!$B$71:$K$71)</f>
        <v>43.9874857954546</v>
      </c>
      <c r="R4064" s="0" t="n">
        <f aca="false">SUMPRODUCT(MMULT(G4064:P4064,_XtX!$B$58:$K$67),G4064:P4064)</f>
        <v>0.496855024857955</v>
      </c>
      <c r="S4064" s="0" t="n">
        <f aca="false">04_回帰ANOVA!$K$19*04_回帰ANOVA!$K$14*SQRT(1+R4064)</f>
        <v>1.1375133593161</v>
      </c>
      <c r="T4064" s="0" t="n">
        <f aca="false">Q4064-S4064</f>
        <v>42.8499724361385</v>
      </c>
      <c r="U4064" s="0" t="n">
        <f aca="false">Q4064+S4064</f>
        <v>45.1249991547707</v>
      </c>
      <c r="V4064" s="54" t="b">
        <f aca="false">AND(D4064&gt;=01_因子設定!$L$5-0.000000001,D4064&lt;=01_因子設定!$M$5+0.000000001,E4064&gt;=01_因子設定!$L$6-0.000000001,E4064&lt;=01_因子設定!$M$6+0.000000001,F4064&gt;=01_因子設定!$L$7-0.000000001,F4064&lt;=01_因子設定!$M$7+0.000000001,IF(01_因子設定!$B$20="Box-Behnken",D4064^2+E4064^2+F4064^2&lt;=2+0.000000001,TRUE()))</f>
        <v>1</v>
      </c>
      <c r="W4064" s="55" t="n">
        <f aca="false">IF(V4064,IF(01_因子設定!$B$13="最大化",T4064-01_因子設定!$B$14,IF(01_因子設定!$B$13="最小化",01_因子設定!$B$15-U4064,MIN(T4064-01_因子設定!$B$14,01_因子設定!$B$15-U4064))),-1E+030)</f>
        <v>-5.65002756386154</v>
      </c>
      <c r="X4064" s="55" t="n">
        <f aca="false">IF(V4064,IF(01_因子設定!$B$13="最大化",Q4064,IF(01_因子設定!$B$13="最小化",-Q4064,-ABS(Q4064-01_因子設定!$B$16))),-1E+030)</f>
        <v>43.9874857954546</v>
      </c>
      <c r="Y4064" s="55" t="n">
        <f aca="false">W4064+ROW()*0.000000001</f>
        <v>-5.65002349986154</v>
      </c>
      <c r="Z4064" s="55" t="n">
        <f aca="false">X4064+ROW()*0.000000001</f>
        <v>43.9874898594546</v>
      </c>
    </row>
    <row r="4065" customFormat="false" ht="15" hidden="false" customHeight="false" outlineLevel="0" collapsed="false">
      <c r="A4065" s="0" t="n">
        <v>14</v>
      </c>
      <c r="B4065" s="0" t="n">
        <v>0</v>
      </c>
      <c r="C4065" s="0" t="n">
        <v>14</v>
      </c>
      <c r="D4065" s="0" t="n">
        <f aca="false">-1+A4065*0.125</f>
        <v>0.75</v>
      </c>
      <c r="E4065" s="0" t="n">
        <f aca="false">-1+B4065*0.125</f>
        <v>-1</v>
      </c>
      <c r="F4065" s="0" t="n">
        <f aca="false">-1+C4065*0.125</f>
        <v>0.75</v>
      </c>
      <c r="G4065" s="0" t="n">
        <f aca="false">1</f>
        <v>1</v>
      </c>
      <c r="H4065" s="0" t="n">
        <f aca="false">D4065</f>
        <v>0.75</v>
      </c>
      <c r="I4065" s="0" t="n">
        <f aca="false">E4065</f>
        <v>-1</v>
      </c>
      <c r="J4065" s="0" t="n">
        <f aca="false">F4065</f>
        <v>0.75</v>
      </c>
      <c r="K4065" s="0" t="n">
        <f aca="false">D4065*E4065</f>
        <v>-0.75</v>
      </c>
      <c r="L4065" s="0" t="n">
        <f aca="false">D4065*F4065</f>
        <v>0.5625</v>
      </c>
      <c r="M4065" s="0" t="n">
        <f aca="false">E4065*F4065</f>
        <v>-0.75</v>
      </c>
      <c r="N4065" s="0" t="n">
        <f aca="false">D4065*D4065</f>
        <v>0.5625</v>
      </c>
      <c r="O4065" s="0" t="n">
        <f aca="false">E4065*E4065</f>
        <v>1</v>
      </c>
      <c r="P4065" s="0" t="n">
        <f aca="false">F4065*F4065</f>
        <v>0.5625</v>
      </c>
      <c r="Q4065" s="0" t="n">
        <f aca="false">SUMPRODUCT(G4065:P4065,_XtX!$B$71:$K$71)</f>
        <v>43.8873295454546</v>
      </c>
      <c r="R4065" s="0" t="n">
        <f aca="false">SUMPRODUCT(MMULT(G4065:P4065,_XtX!$B$58:$K$67),G4065:P4065)</f>
        <v>0.518314985795455</v>
      </c>
      <c r="S4065" s="0" t="n">
        <f aca="false">04_回帰ANOVA!$K$19*04_回帰ANOVA!$K$14*SQRT(1+R4065)</f>
        <v>1.14563843495971</v>
      </c>
      <c r="T4065" s="0" t="n">
        <f aca="false">Q4065-S4065</f>
        <v>42.7416911104949</v>
      </c>
      <c r="U4065" s="0" t="n">
        <f aca="false">Q4065+S4065</f>
        <v>45.0329679804143</v>
      </c>
      <c r="V4065" s="54" t="b">
        <f aca="false">AND(D4065&gt;=01_因子設定!$L$5-0.000000001,D4065&lt;=01_因子設定!$M$5+0.000000001,E4065&gt;=01_因子設定!$L$6-0.000000001,E4065&lt;=01_因子設定!$M$6+0.000000001,F4065&gt;=01_因子設定!$L$7-0.000000001,F4065&lt;=01_因子設定!$M$7+0.000000001,IF(01_因子設定!$B$20="Box-Behnken",D4065^2+E4065^2+F4065^2&lt;=2+0.000000001,TRUE()))</f>
        <v>1</v>
      </c>
      <c r="W4065" s="55" t="n">
        <f aca="false">IF(V4065,IF(01_因子設定!$B$13="最大化",T4065-01_因子設定!$B$14,IF(01_因子設定!$B$13="最小化",01_因子設定!$B$15-U4065,MIN(T4065-01_因子設定!$B$14,01_因子設定!$B$15-U4065))),-1E+030)</f>
        <v>-5.75830888950515</v>
      </c>
      <c r="X4065" s="55" t="n">
        <f aca="false">IF(V4065,IF(01_因子設定!$B$13="最大化",Q4065,IF(01_因子設定!$B$13="最小化",-Q4065,-ABS(Q4065-01_因子設定!$B$16))),-1E+030)</f>
        <v>43.8873295454546</v>
      </c>
      <c r="Y4065" s="55" t="n">
        <f aca="false">W4065+ROW()*0.000000001</f>
        <v>-5.75830482450515</v>
      </c>
      <c r="Z4065" s="55" t="n">
        <f aca="false">X4065+ROW()*0.000000001</f>
        <v>43.8873336104546</v>
      </c>
    </row>
    <row r="4066" customFormat="false" ht="15" hidden="false" customHeight="false" outlineLevel="0" collapsed="false">
      <c r="A4066" s="0" t="n">
        <v>14</v>
      </c>
      <c r="B4066" s="0" t="n">
        <v>0</v>
      </c>
      <c r="C4066" s="0" t="n">
        <v>15</v>
      </c>
      <c r="D4066" s="0" t="n">
        <f aca="false">-1+A4066*0.125</f>
        <v>0.75</v>
      </c>
      <c r="E4066" s="0" t="n">
        <f aca="false">-1+B4066*0.125</f>
        <v>-1</v>
      </c>
      <c r="F4066" s="0" t="n">
        <f aca="false">-1+C4066*0.125</f>
        <v>0.875</v>
      </c>
      <c r="G4066" s="0" t="n">
        <f aca="false">1</f>
        <v>1</v>
      </c>
      <c r="H4066" s="0" t="n">
        <f aca="false">D4066</f>
        <v>0.75</v>
      </c>
      <c r="I4066" s="0" t="n">
        <f aca="false">E4066</f>
        <v>-1</v>
      </c>
      <c r="J4066" s="0" t="n">
        <f aca="false">F4066</f>
        <v>0.875</v>
      </c>
      <c r="K4066" s="0" t="n">
        <f aca="false">D4066*E4066</f>
        <v>-0.75</v>
      </c>
      <c r="L4066" s="0" t="n">
        <f aca="false">D4066*F4066</f>
        <v>0.65625</v>
      </c>
      <c r="M4066" s="0" t="n">
        <f aca="false">E4066*F4066</f>
        <v>-0.875</v>
      </c>
      <c r="N4066" s="0" t="n">
        <f aca="false">D4066*D4066</f>
        <v>0.5625</v>
      </c>
      <c r="O4066" s="0" t="n">
        <f aca="false">E4066*E4066</f>
        <v>1</v>
      </c>
      <c r="P4066" s="0" t="n">
        <f aca="false">F4066*F4066</f>
        <v>0.765625</v>
      </c>
      <c r="Q4066" s="0" t="n">
        <f aca="false">SUMPRODUCT(G4066:P4066,_XtX!$B$71:$K$71)</f>
        <v>43.7503835227273</v>
      </c>
      <c r="R4066" s="0" t="n">
        <f aca="false">SUMPRODUCT(MMULT(G4066:P4066,_XtX!$B$58:$K$67),G4066:P4066)</f>
        <v>0.571375621448864</v>
      </c>
      <c r="S4066" s="0" t="n">
        <f aca="false">04_回帰ANOVA!$K$19*04_回帰ANOVA!$K$14*SQRT(1+R4066)</f>
        <v>1.16548487437682</v>
      </c>
      <c r="T4066" s="0" t="n">
        <f aca="false">Q4066-S4066</f>
        <v>42.5848986483505</v>
      </c>
      <c r="U4066" s="0" t="n">
        <f aca="false">Q4066+S4066</f>
        <v>44.9158683971041</v>
      </c>
      <c r="V4066" s="54" t="b">
        <f aca="false">AND(D4066&gt;=01_因子設定!$L$5-0.000000001,D4066&lt;=01_因子設定!$M$5+0.000000001,E4066&gt;=01_因子設定!$L$6-0.000000001,E4066&lt;=01_因子設定!$M$6+0.000000001,F4066&gt;=01_因子設定!$L$7-0.000000001,F4066&lt;=01_因子設定!$M$7+0.000000001,IF(01_因子設定!$B$20="Box-Behnken",D4066^2+E4066^2+F4066^2&lt;=2+0.000000001,TRUE()))</f>
        <v>1</v>
      </c>
      <c r="W4066" s="55" t="n">
        <f aca="false">IF(V4066,IF(01_因子設定!$B$13="最大化",T4066-01_因子設定!$B$14,IF(01_因子設定!$B$13="最小化",01_因子設定!$B$15-U4066,MIN(T4066-01_因子設定!$B$14,01_因子設定!$B$15-U4066))),-1E+030)</f>
        <v>-5.91510135164953</v>
      </c>
      <c r="X4066" s="55" t="n">
        <f aca="false">IF(V4066,IF(01_因子設定!$B$13="最大化",Q4066,IF(01_因子設定!$B$13="最小化",-Q4066,-ABS(Q4066-01_因子設定!$B$16))),-1E+030)</f>
        <v>43.7503835227273</v>
      </c>
      <c r="Y4066" s="55" t="n">
        <f aca="false">W4066+ROW()*0.000000001</f>
        <v>-5.91509728564953</v>
      </c>
      <c r="Z4066" s="55" t="n">
        <f aca="false">X4066+ROW()*0.000000001</f>
        <v>43.7503875887273</v>
      </c>
    </row>
    <row r="4067" customFormat="false" ht="15" hidden="false" customHeight="false" outlineLevel="0" collapsed="false">
      <c r="A4067" s="0" t="n">
        <v>14</v>
      </c>
      <c r="B4067" s="0" t="n">
        <v>0</v>
      </c>
      <c r="C4067" s="0" t="n">
        <v>16</v>
      </c>
      <c r="D4067" s="0" t="n">
        <f aca="false">-1+A4067*0.125</f>
        <v>0.75</v>
      </c>
      <c r="E4067" s="0" t="n">
        <f aca="false">-1+B4067*0.125</f>
        <v>-1</v>
      </c>
      <c r="F4067" s="0" t="n">
        <f aca="false">-1+C4067*0.125</f>
        <v>1</v>
      </c>
      <c r="G4067" s="0" t="n">
        <f aca="false">1</f>
        <v>1</v>
      </c>
      <c r="H4067" s="0" t="n">
        <f aca="false">D4067</f>
        <v>0.75</v>
      </c>
      <c r="I4067" s="0" t="n">
        <f aca="false">E4067</f>
        <v>-1</v>
      </c>
      <c r="J4067" s="0" t="n">
        <f aca="false">F4067</f>
        <v>1</v>
      </c>
      <c r="K4067" s="0" t="n">
        <f aca="false">D4067*E4067</f>
        <v>-0.75</v>
      </c>
      <c r="L4067" s="0" t="n">
        <f aca="false">D4067*F4067</f>
        <v>0.75</v>
      </c>
      <c r="M4067" s="0" t="n">
        <f aca="false">E4067*F4067</f>
        <v>-1</v>
      </c>
      <c r="N4067" s="0" t="n">
        <f aca="false">D4067*D4067</f>
        <v>0.5625</v>
      </c>
      <c r="O4067" s="0" t="n">
        <f aca="false">E4067*E4067</f>
        <v>1</v>
      </c>
      <c r="P4067" s="0" t="n">
        <f aca="false">F4067*F4067</f>
        <v>1</v>
      </c>
      <c r="Q4067" s="0" t="n">
        <f aca="false">SUMPRODUCT(G4067:P4067,_XtX!$B$71:$K$71)</f>
        <v>43.5766477272728</v>
      </c>
      <c r="R4067" s="0" t="n">
        <f aca="false">SUMPRODUCT(MMULT(G4067:P4067,_XtX!$B$58:$K$67),G4067:P4067)</f>
        <v>0.669886363636364</v>
      </c>
      <c r="S4067" s="0" t="n">
        <f aca="false">04_回帰ANOVA!$K$19*04_回帰ANOVA!$K$14*SQRT(1+R4067)</f>
        <v>1.20146215423986</v>
      </c>
      <c r="T4067" s="0" t="n">
        <f aca="false">Q4067-S4067</f>
        <v>42.3751855730329</v>
      </c>
      <c r="U4067" s="0" t="n">
        <f aca="false">Q4067+S4067</f>
        <v>44.7781098815126</v>
      </c>
      <c r="V4067" s="54" t="b">
        <f aca="false">AND(D4067&gt;=01_因子設定!$L$5-0.000000001,D4067&lt;=01_因子設定!$M$5+0.000000001,E4067&gt;=01_因子設定!$L$6-0.000000001,E4067&lt;=01_因子設定!$M$6+0.000000001,F4067&gt;=01_因子設定!$L$7-0.000000001,F4067&lt;=01_因子設定!$M$7+0.000000001,IF(01_因子設定!$B$20="Box-Behnken",D4067^2+E4067^2+F4067^2&lt;=2+0.000000001,TRUE()))</f>
        <v>1</v>
      </c>
      <c r="W4067" s="55" t="n">
        <f aca="false">IF(V4067,IF(01_因子設定!$B$13="最大化",T4067-01_因子設定!$B$14,IF(01_因子設定!$B$13="最小化",01_因子設定!$B$15-U4067,MIN(T4067-01_因子設定!$B$14,01_因子設定!$B$15-U4067))),-1E+030)</f>
        <v>-6.12481442696711</v>
      </c>
      <c r="X4067" s="55" t="n">
        <f aca="false">IF(V4067,IF(01_因子設定!$B$13="最大化",Q4067,IF(01_因子設定!$B$13="最小化",-Q4067,-ABS(Q4067-01_因子設定!$B$16))),-1E+030)</f>
        <v>43.5766477272728</v>
      </c>
      <c r="Y4067" s="55" t="n">
        <f aca="false">W4067+ROW()*0.000000001</f>
        <v>-6.12481035996711</v>
      </c>
      <c r="Z4067" s="55" t="n">
        <f aca="false">X4067+ROW()*0.000000001</f>
        <v>43.5766517942728</v>
      </c>
    </row>
    <row r="4068" customFormat="false" ht="15" hidden="false" customHeight="false" outlineLevel="0" collapsed="false">
      <c r="A4068" s="0" t="n">
        <v>14</v>
      </c>
      <c r="B4068" s="0" t="n">
        <v>1</v>
      </c>
      <c r="C4068" s="0" t="n">
        <v>0</v>
      </c>
      <c r="D4068" s="0" t="n">
        <f aca="false">-1+A4068*0.125</f>
        <v>0.75</v>
      </c>
      <c r="E4068" s="0" t="n">
        <f aca="false">-1+B4068*0.125</f>
        <v>-0.875</v>
      </c>
      <c r="F4068" s="0" t="n">
        <f aca="false">-1+C4068*0.125</f>
        <v>-1</v>
      </c>
      <c r="G4068" s="0" t="n">
        <f aca="false">1</f>
        <v>1</v>
      </c>
      <c r="H4068" s="0" t="n">
        <f aca="false">D4068</f>
        <v>0.75</v>
      </c>
      <c r="I4068" s="0" t="n">
        <f aca="false">E4068</f>
        <v>-0.875</v>
      </c>
      <c r="J4068" s="0" t="n">
        <f aca="false">F4068</f>
        <v>-1</v>
      </c>
      <c r="K4068" s="0" t="n">
        <f aca="false">D4068*E4068</f>
        <v>-0.65625</v>
      </c>
      <c r="L4068" s="0" t="n">
        <f aca="false">D4068*F4068</f>
        <v>-0.75</v>
      </c>
      <c r="M4068" s="0" t="n">
        <f aca="false">E4068*F4068</f>
        <v>0.875</v>
      </c>
      <c r="N4068" s="0" t="n">
        <f aca="false">D4068*D4068</f>
        <v>0.5625</v>
      </c>
      <c r="O4068" s="0" t="n">
        <f aca="false">E4068*E4068</f>
        <v>0.765625</v>
      </c>
      <c r="P4068" s="0" t="n">
        <f aca="false">F4068*F4068</f>
        <v>1</v>
      </c>
      <c r="Q4068" s="0" t="n">
        <f aca="false">SUMPRODUCT(G4068:P4068,_XtX!$B$71:$K$71)</f>
        <v>42.7341335227273</v>
      </c>
      <c r="R4068" s="0" t="n">
        <f aca="false">SUMPRODUCT(MMULT(G4068:P4068,_XtX!$B$58:$K$67),G4068:P4068)</f>
        <v>0.571375621448864</v>
      </c>
      <c r="S4068" s="0" t="n">
        <f aca="false">04_回帰ANOVA!$K$19*04_回帰ANOVA!$K$14*SQRT(1+R4068)</f>
        <v>1.16548487437682</v>
      </c>
      <c r="T4068" s="0" t="n">
        <f aca="false">Q4068-S4068</f>
        <v>41.5686486483505</v>
      </c>
      <c r="U4068" s="0" t="n">
        <f aca="false">Q4068+S4068</f>
        <v>43.8996183971041</v>
      </c>
      <c r="V4068" s="54" t="b">
        <f aca="false">AND(D4068&gt;=01_因子設定!$L$5-0.000000001,D4068&lt;=01_因子設定!$M$5+0.000000001,E4068&gt;=01_因子設定!$L$6-0.000000001,E4068&lt;=01_因子設定!$M$6+0.000000001,F4068&gt;=01_因子設定!$L$7-0.000000001,F4068&lt;=01_因子設定!$M$7+0.000000001,IF(01_因子設定!$B$20="Box-Behnken",D4068^2+E4068^2+F4068^2&lt;=2+0.000000001,TRUE()))</f>
        <v>1</v>
      </c>
      <c r="W4068" s="55" t="n">
        <f aca="false">IF(V4068,IF(01_因子設定!$B$13="最大化",T4068-01_因子設定!$B$14,IF(01_因子設定!$B$13="最小化",01_因子設定!$B$15-U4068,MIN(T4068-01_因子設定!$B$14,01_因子設定!$B$15-U4068))),-1E+030)</f>
        <v>-6.93135135164953</v>
      </c>
      <c r="X4068" s="55" t="n">
        <f aca="false">IF(V4068,IF(01_因子設定!$B$13="最大化",Q4068,IF(01_因子設定!$B$13="最小化",-Q4068,-ABS(Q4068-01_因子設定!$B$16))),-1E+030)</f>
        <v>42.7341335227273</v>
      </c>
      <c r="Y4068" s="55" t="n">
        <f aca="false">W4068+ROW()*0.000000001</f>
        <v>-6.93134728364953</v>
      </c>
      <c r="Z4068" s="55" t="n">
        <f aca="false">X4068+ROW()*0.000000001</f>
        <v>42.7341375907273</v>
      </c>
    </row>
    <row r="4069" customFormat="false" ht="15" hidden="false" customHeight="false" outlineLevel="0" collapsed="false">
      <c r="A4069" s="0" t="n">
        <v>14</v>
      </c>
      <c r="B4069" s="0" t="n">
        <v>1</v>
      </c>
      <c r="C4069" s="0" t="n">
        <v>1</v>
      </c>
      <c r="D4069" s="0" t="n">
        <f aca="false">-1+A4069*0.125</f>
        <v>0.75</v>
      </c>
      <c r="E4069" s="0" t="n">
        <f aca="false">-1+B4069*0.125</f>
        <v>-0.875</v>
      </c>
      <c r="F4069" s="0" t="n">
        <f aca="false">-1+C4069*0.125</f>
        <v>-0.875</v>
      </c>
      <c r="G4069" s="0" t="n">
        <f aca="false">1</f>
        <v>1</v>
      </c>
      <c r="H4069" s="0" t="n">
        <f aca="false">D4069</f>
        <v>0.75</v>
      </c>
      <c r="I4069" s="0" t="n">
        <f aca="false">E4069</f>
        <v>-0.875</v>
      </c>
      <c r="J4069" s="0" t="n">
        <f aca="false">F4069</f>
        <v>-0.875</v>
      </c>
      <c r="K4069" s="0" t="n">
        <f aca="false">D4069*E4069</f>
        <v>-0.65625</v>
      </c>
      <c r="L4069" s="0" t="n">
        <f aca="false">D4069*F4069</f>
        <v>-0.65625</v>
      </c>
      <c r="M4069" s="0" t="n">
        <f aca="false">E4069*F4069</f>
        <v>0.765625</v>
      </c>
      <c r="N4069" s="0" t="n">
        <f aca="false">D4069*D4069</f>
        <v>0.5625</v>
      </c>
      <c r="O4069" s="0" t="n">
        <f aca="false">E4069*E4069</f>
        <v>0.765625</v>
      </c>
      <c r="P4069" s="0" t="n">
        <f aca="false">F4069*F4069</f>
        <v>0.765625</v>
      </c>
      <c r="Q4069" s="0" t="n">
        <f aca="false">SUMPRODUCT(G4069:P4069,_XtX!$B$71:$K$71)</f>
        <v>43.1192755681818</v>
      </c>
      <c r="R4069" s="0" t="n">
        <f aca="false">SUMPRODUCT(MMULT(G4069:P4069,_XtX!$B$58:$K$67),G4069:P4069)</f>
        <v>0.464749977805398</v>
      </c>
      <c r="S4069" s="0" t="n">
        <f aca="false">04_回帰ANOVA!$K$19*04_回帰ANOVA!$K$14*SQRT(1+R4069)</f>
        <v>1.12524835342194</v>
      </c>
      <c r="T4069" s="0" t="n">
        <f aca="false">Q4069-S4069</f>
        <v>41.9940272147599</v>
      </c>
      <c r="U4069" s="0" t="n">
        <f aca="false">Q4069+S4069</f>
        <v>44.2445239216038</v>
      </c>
      <c r="V4069" s="54" t="b">
        <f aca="false">AND(D4069&gt;=01_因子設定!$L$5-0.000000001,D4069&lt;=01_因子設定!$M$5+0.000000001,E4069&gt;=01_因子設定!$L$6-0.000000001,E4069&lt;=01_因子設定!$M$6+0.000000001,F4069&gt;=01_因子設定!$L$7-0.000000001,F4069&lt;=01_因子設定!$M$7+0.000000001,IF(01_因子設定!$B$20="Box-Behnken",D4069^2+E4069^2+F4069^2&lt;=2+0.000000001,TRUE()))</f>
        <v>1</v>
      </c>
      <c r="W4069" s="55" t="n">
        <f aca="false">IF(V4069,IF(01_因子設定!$B$13="最大化",T4069-01_因子設定!$B$14,IF(01_因子設定!$B$13="最小化",01_因子設定!$B$15-U4069,MIN(T4069-01_因子設定!$B$14,01_因子設定!$B$15-U4069))),-1E+030)</f>
        <v>-6.5059727852401</v>
      </c>
      <c r="X4069" s="55" t="n">
        <f aca="false">IF(V4069,IF(01_因子設定!$B$13="最大化",Q4069,IF(01_因子設定!$B$13="最小化",-Q4069,-ABS(Q4069-01_因子設定!$B$16))),-1E+030)</f>
        <v>43.1192755681818</v>
      </c>
      <c r="Y4069" s="55" t="n">
        <f aca="false">W4069+ROW()*0.000000001</f>
        <v>-6.5059687162401</v>
      </c>
      <c r="Z4069" s="55" t="n">
        <f aca="false">X4069+ROW()*0.000000001</f>
        <v>43.1192796371818</v>
      </c>
    </row>
    <row r="4070" customFormat="false" ht="15" hidden="false" customHeight="false" outlineLevel="0" collapsed="false">
      <c r="A4070" s="0" t="n">
        <v>14</v>
      </c>
      <c r="B4070" s="0" t="n">
        <v>1</v>
      </c>
      <c r="C4070" s="0" t="n">
        <v>2</v>
      </c>
      <c r="D4070" s="0" t="n">
        <f aca="false">-1+A4070*0.125</f>
        <v>0.75</v>
      </c>
      <c r="E4070" s="0" t="n">
        <f aca="false">-1+B4070*0.125</f>
        <v>-0.875</v>
      </c>
      <c r="F4070" s="0" t="n">
        <f aca="false">-1+C4070*0.125</f>
        <v>-0.75</v>
      </c>
      <c r="G4070" s="0" t="n">
        <f aca="false">1</f>
        <v>1</v>
      </c>
      <c r="H4070" s="0" t="n">
        <f aca="false">D4070</f>
        <v>0.75</v>
      </c>
      <c r="I4070" s="0" t="n">
        <f aca="false">E4070</f>
        <v>-0.875</v>
      </c>
      <c r="J4070" s="0" t="n">
        <f aca="false">F4070</f>
        <v>-0.75</v>
      </c>
      <c r="K4070" s="0" t="n">
        <f aca="false">D4070*E4070</f>
        <v>-0.65625</v>
      </c>
      <c r="L4070" s="0" t="n">
        <f aca="false">D4070*F4070</f>
        <v>-0.5625</v>
      </c>
      <c r="M4070" s="0" t="n">
        <f aca="false">E4070*F4070</f>
        <v>0.65625</v>
      </c>
      <c r="N4070" s="0" t="n">
        <f aca="false">D4070*D4070</f>
        <v>0.5625</v>
      </c>
      <c r="O4070" s="0" t="n">
        <f aca="false">E4070*E4070</f>
        <v>0.765625</v>
      </c>
      <c r="P4070" s="0" t="n">
        <f aca="false">F4070*F4070</f>
        <v>0.5625</v>
      </c>
      <c r="Q4070" s="0" t="n">
        <f aca="false">SUMPRODUCT(G4070:P4070,_XtX!$B$71:$K$71)</f>
        <v>43.4676278409091</v>
      </c>
      <c r="R4070" s="0" t="n">
        <f aca="false">SUMPRODUCT(MMULT(G4070:P4070,_XtX!$B$58:$K$67),G4070:P4070)</f>
        <v>0.404656427556818</v>
      </c>
      <c r="S4070" s="0" t="n">
        <f aca="false">04_回帰ANOVA!$K$19*04_回帰ANOVA!$K$14*SQRT(1+R4070)</f>
        <v>1.10192412515358</v>
      </c>
      <c r="T4070" s="0" t="n">
        <f aca="false">Q4070-S4070</f>
        <v>42.3657037157555</v>
      </c>
      <c r="U4070" s="0" t="n">
        <f aca="false">Q4070+S4070</f>
        <v>44.5695519660627</v>
      </c>
      <c r="V4070" s="54" t="b">
        <f aca="false">AND(D4070&gt;=01_因子設定!$L$5-0.000000001,D4070&lt;=01_因子設定!$M$5+0.000000001,E4070&gt;=01_因子設定!$L$6-0.000000001,E4070&lt;=01_因子設定!$M$6+0.000000001,F4070&gt;=01_因子設定!$L$7-0.000000001,F4070&lt;=01_因子設定!$M$7+0.000000001,IF(01_因子設定!$B$20="Box-Behnken",D4070^2+E4070^2+F4070^2&lt;=2+0.000000001,TRUE()))</f>
        <v>1</v>
      </c>
      <c r="W4070" s="55" t="n">
        <f aca="false">IF(V4070,IF(01_因子設定!$B$13="最大化",T4070-01_因子設定!$B$14,IF(01_因子設定!$B$13="最小化",01_因子設定!$B$15-U4070,MIN(T4070-01_因子設定!$B$14,01_因子設定!$B$15-U4070))),-1E+030)</f>
        <v>-6.13429628424448</v>
      </c>
      <c r="X4070" s="55" t="n">
        <f aca="false">IF(V4070,IF(01_因子設定!$B$13="最大化",Q4070,IF(01_因子設定!$B$13="最小化",-Q4070,-ABS(Q4070-01_因子設定!$B$16))),-1E+030)</f>
        <v>43.4676278409091</v>
      </c>
      <c r="Y4070" s="55" t="n">
        <f aca="false">W4070+ROW()*0.000000001</f>
        <v>-6.13429221424448</v>
      </c>
      <c r="Z4070" s="55" t="n">
        <f aca="false">X4070+ROW()*0.000000001</f>
        <v>43.4676319109091</v>
      </c>
    </row>
    <row r="4071" customFormat="false" ht="15" hidden="false" customHeight="false" outlineLevel="0" collapsed="false">
      <c r="A4071" s="0" t="n">
        <v>14</v>
      </c>
      <c r="B4071" s="0" t="n">
        <v>1</v>
      </c>
      <c r="C4071" s="0" t="n">
        <v>3</v>
      </c>
      <c r="D4071" s="0" t="n">
        <f aca="false">-1+A4071*0.125</f>
        <v>0.75</v>
      </c>
      <c r="E4071" s="0" t="n">
        <f aca="false">-1+B4071*0.125</f>
        <v>-0.875</v>
      </c>
      <c r="F4071" s="0" t="n">
        <f aca="false">-1+C4071*0.125</f>
        <v>-0.625</v>
      </c>
      <c r="G4071" s="0" t="n">
        <f aca="false">1</f>
        <v>1</v>
      </c>
      <c r="H4071" s="0" t="n">
        <f aca="false">D4071</f>
        <v>0.75</v>
      </c>
      <c r="I4071" s="0" t="n">
        <f aca="false">E4071</f>
        <v>-0.875</v>
      </c>
      <c r="J4071" s="0" t="n">
        <f aca="false">F4071</f>
        <v>-0.625</v>
      </c>
      <c r="K4071" s="0" t="n">
        <f aca="false">D4071*E4071</f>
        <v>-0.65625</v>
      </c>
      <c r="L4071" s="0" t="n">
        <f aca="false">D4071*F4071</f>
        <v>-0.46875</v>
      </c>
      <c r="M4071" s="0" t="n">
        <f aca="false">E4071*F4071</f>
        <v>0.546875</v>
      </c>
      <c r="N4071" s="0" t="n">
        <f aca="false">D4071*D4071</f>
        <v>0.5625</v>
      </c>
      <c r="O4071" s="0" t="n">
        <f aca="false">E4071*E4071</f>
        <v>0.765625</v>
      </c>
      <c r="P4071" s="0" t="n">
        <f aca="false">F4071*F4071</f>
        <v>0.390625</v>
      </c>
      <c r="Q4071" s="0" t="n">
        <f aca="false">SUMPRODUCT(G4071:P4071,_XtX!$B$71:$K$71)</f>
        <v>43.7791903409091</v>
      </c>
      <c r="R4071" s="0" t="n">
        <f aca="false">SUMPRODUCT(MMULT(G4071:P4071,_XtX!$B$58:$K$67),G4071:P4071)</f>
        <v>0.377245538884943</v>
      </c>
      <c r="S4071" s="0" t="n">
        <f aca="false">04_回帰ANOVA!$K$19*04_回帰ANOVA!$K$14*SQRT(1+R4071)</f>
        <v>1.09111951468927</v>
      </c>
      <c r="T4071" s="0" t="n">
        <f aca="false">Q4071-S4071</f>
        <v>42.6880708262198</v>
      </c>
      <c r="U4071" s="0" t="n">
        <f aca="false">Q4071+S4071</f>
        <v>44.8703098555984</v>
      </c>
      <c r="V4071" s="54" t="b">
        <f aca="false">AND(D4071&gt;=01_因子設定!$L$5-0.000000001,D4071&lt;=01_因子設定!$M$5+0.000000001,E4071&gt;=01_因子設定!$L$6-0.000000001,E4071&lt;=01_因子設定!$M$6+0.000000001,F4071&gt;=01_因子設定!$L$7-0.000000001,F4071&lt;=01_因子設定!$M$7+0.000000001,IF(01_因子設定!$B$20="Box-Behnken",D4071^2+E4071^2+F4071^2&lt;=2+0.000000001,TRUE()))</f>
        <v>1</v>
      </c>
      <c r="W4071" s="55" t="n">
        <f aca="false">IF(V4071,IF(01_因子設定!$B$13="最大化",T4071-01_因子設定!$B$14,IF(01_因子設定!$B$13="最小化",01_因子設定!$B$15-U4071,MIN(T4071-01_因子設定!$B$14,01_因子設定!$B$15-U4071))),-1E+030)</f>
        <v>-5.81192917378018</v>
      </c>
      <c r="X4071" s="55" t="n">
        <f aca="false">IF(V4071,IF(01_因子設定!$B$13="最大化",Q4071,IF(01_因子設定!$B$13="最小化",-Q4071,-ABS(Q4071-01_因子設定!$B$16))),-1E+030)</f>
        <v>43.7791903409091</v>
      </c>
      <c r="Y4071" s="55" t="n">
        <f aca="false">W4071+ROW()*0.000000001</f>
        <v>-5.81192510278018</v>
      </c>
      <c r="Z4071" s="55" t="n">
        <f aca="false">X4071+ROW()*0.000000001</f>
        <v>43.7791944119091</v>
      </c>
    </row>
    <row r="4072" customFormat="false" ht="15" hidden="false" customHeight="false" outlineLevel="0" collapsed="false">
      <c r="A4072" s="0" t="n">
        <v>14</v>
      </c>
      <c r="B4072" s="0" t="n">
        <v>1</v>
      </c>
      <c r="C4072" s="0" t="n">
        <v>4</v>
      </c>
      <c r="D4072" s="0" t="n">
        <f aca="false">-1+A4072*0.125</f>
        <v>0.75</v>
      </c>
      <c r="E4072" s="0" t="n">
        <f aca="false">-1+B4072*0.125</f>
        <v>-0.875</v>
      </c>
      <c r="F4072" s="0" t="n">
        <f aca="false">-1+C4072*0.125</f>
        <v>-0.5</v>
      </c>
      <c r="G4072" s="0" t="n">
        <f aca="false">1</f>
        <v>1</v>
      </c>
      <c r="H4072" s="0" t="n">
        <f aca="false">D4072</f>
        <v>0.75</v>
      </c>
      <c r="I4072" s="0" t="n">
        <f aca="false">E4072</f>
        <v>-0.875</v>
      </c>
      <c r="J4072" s="0" t="n">
        <f aca="false">F4072</f>
        <v>-0.5</v>
      </c>
      <c r="K4072" s="0" t="n">
        <f aca="false">D4072*E4072</f>
        <v>-0.65625</v>
      </c>
      <c r="L4072" s="0" t="n">
        <f aca="false">D4072*F4072</f>
        <v>-0.375</v>
      </c>
      <c r="M4072" s="0" t="n">
        <f aca="false">E4072*F4072</f>
        <v>0.4375</v>
      </c>
      <c r="N4072" s="0" t="n">
        <f aca="false">D4072*D4072</f>
        <v>0.5625</v>
      </c>
      <c r="O4072" s="0" t="n">
        <f aca="false">E4072*E4072</f>
        <v>0.765625</v>
      </c>
      <c r="P4072" s="0" t="n">
        <f aca="false">F4072*F4072</f>
        <v>0.25</v>
      </c>
      <c r="Q4072" s="0" t="n">
        <f aca="false">SUMPRODUCT(G4072:P4072,_XtX!$B$71:$K$71)</f>
        <v>44.0539630681818</v>
      </c>
      <c r="R4072" s="0" t="n">
        <f aca="false">SUMPRODUCT(MMULT(G4072:P4072,_XtX!$B$58:$K$67),G4072:P4072)</f>
        <v>0.370798561789773</v>
      </c>
      <c r="S4072" s="0" t="n">
        <f aca="false">04_回帰ANOVA!$K$19*04_回帰ANOVA!$K$14*SQRT(1+R4072)</f>
        <v>1.08856271788237</v>
      </c>
      <c r="T4072" s="0" t="n">
        <f aca="false">Q4072-S4072</f>
        <v>42.9654003502995</v>
      </c>
      <c r="U4072" s="0" t="n">
        <f aca="false">Q4072+S4072</f>
        <v>45.1425257860642</v>
      </c>
      <c r="V4072" s="54" t="b">
        <f aca="false">AND(D4072&gt;=01_因子設定!$L$5-0.000000001,D4072&lt;=01_因子設定!$M$5+0.000000001,E4072&gt;=01_因子設定!$L$6-0.000000001,E4072&lt;=01_因子設定!$M$6+0.000000001,F4072&gt;=01_因子設定!$L$7-0.000000001,F4072&lt;=01_因子設定!$M$7+0.000000001,IF(01_因子設定!$B$20="Box-Behnken",D4072^2+E4072^2+F4072^2&lt;=2+0.000000001,TRUE()))</f>
        <v>1</v>
      </c>
      <c r="W4072" s="55" t="n">
        <f aca="false">IF(V4072,IF(01_因子設定!$B$13="最大化",T4072-01_因子設定!$B$14,IF(01_因子設定!$B$13="最小化",01_因子設定!$B$15-U4072,MIN(T4072-01_因子設定!$B$14,01_因子設定!$B$15-U4072))),-1E+030)</f>
        <v>-5.53459964970055</v>
      </c>
      <c r="X4072" s="55" t="n">
        <f aca="false">IF(V4072,IF(01_因子設定!$B$13="最大化",Q4072,IF(01_因子設定!$B$13="最小化",-Q4072,-ABS(Q4072-01_因子設定!$B$16))),-1E+030)</f>
        <v>44.0539630681818</v>
      </c>
      <c r="Y4072" s="55" t="n">
        <f aca="false">W4072+ROW()*0.000000001</f>
        <v>-5.53459557770055</v>
      </c>
      <c r="Z4072" s="55" t="n">
        <f aca="false">X4072+ROW()*0.000000001</f>
        <v>44.0539671401818</v>
      </c>
    </row>
    <row r="4073" customFormat="false" ht="15" hidden="false" customHeight="false" outlineLevel="0" collapsed="false">
      <c r="A4073" s="0" t="n">
        <v>14</v>
      </c>
      <c r="B4073" s="0" t="n">
        <v>1</v>
      </c>
      <c r="C4073" s="0" t="n">
        <v>5</v>
      </c>
      <c r="D4073" s="0" t="n">
        <f aca="false">-1+A4073*0.125</f>
        <v>0.75</v>
      </c>
      <c r="E4073" s="0" t="n">
        <f aca="false">-1+B4073*0.125</f>
        <v>-0.875</v>
      </c>
      <c r="F4073" s="0" t="n">
        <f aca="false">-1+C4073*0.125</f>
        <v>-0.375</v>
      </c>
      <c r="G4073" s="0" t="n">
        <f aca="false">1</f>
        <v>1</v>
      </c>
      <c r="H4073" s="0" t="n">
        <f aca="false">D4073</f>
        <v>0.75</v>
      </c>
      <c r="I4073" s="0" t="n">
        <f aca="false">E4073</f>
        <v>-0.875</v>
      </c>
      <c r="J4073" s="0" t="n">
        <f aca="false">F4073</f>
        <v>-0.375</v>
      </c>
      <c r="K4073" s="0" t="n">
        <f aca="false">D4073*E4073</f>
        <v>-0.65625</v>
      </c>
      <c r="L4073" s="0" t="n">
        <f aca="false">D4073*F4073</f>
        <v>-0.28125</v>
      </c>
      <c r="M4073" s="0" t="n">
        <f aca="false">E4073*F4073</f>
        <v>0.328125</v>
      </c>
      <c r="N4073" s="0" t="n">
        <f aca="false">D4073*D4073</f>
        <v>0.5625</v>
      </c>
      <c r="O4073" s="0" t="n">
        <f aca="false">E4073*E4073</f>
        <v>0.765625</v>
      </c>
      <c r="P4073" s="0" t="n">
        <f aca="false">F4073*F4073</f>
        <v>0.140625</v>
      </c>
      <c r="Q4073" s="0" t="n">
        <f aca="false">SUMPRODUCT(G4073:P4073,_XtX!$B$71:$K$71)</f>
        <v>44.2919460227273</v>
      </c>
      <c r="R4073" s="0" t="n">
        <f aca="false">SUMPRODUCT(MMULT(G4073:P4073,_XtX!$B$58:$K$67),G4073:P4073)</f>
        <v>0.375727428089489</v>
      </c>
      <c r="S4073" s="0" t="n">
        <f aca="false">04_回帰ANOVA!$K$19*04_回帰ANOVA!$K$14*SQRT(1+R4073)</f>
        <v>1.09051798904087</v>
      </c>
      <c r="T4073" s="0" t="n">
        <f aca="false">Q4073-S4073</f>
        <v>43.2014280336864</v>
      </c>
      <c r="U4073" s="0" t="n">
        <f aca="false">Q4073+S4073</f>
        <v>45.3824640117682</v>
      </c>
      <c r="V4073" s="54" t="b">
        <f aca="false">AND(D4073&gt;=01_因子設定!$L$5-0.000000001,D4073&lt;=01_因子設定!$M$5+0.000000001,E4073&gt;=01_因子設定!$L$6-0.000000001,E4073&lt;=01_因子設定!$M$6+0.000000001,F4073&gt;=01_因子設定!$L$7-0.000000001,F4073&lt;=01_因子設定!$M$7+0.000000001,IF(01_因子設定!$B$20="Box-Behnken",D4073^2+E4073^2+F4073^2&lt;=2+0.000000001,TRUE()))</f>
        <v>1</v>
      </c>
      <c r="W4073" s="55" t="n">
        <f aca="false">IF(V4073,IF(01_因子設定!$B$13="最大化",T4073-01_因子設定!$B$14,IF(01_因子設定!$B$13="最小化",01_因子設定!$B$15-U4073,MIN(T4073-01_因子設定!$B$14,01_因子設定!$B$15-U4073))),-1E+030)</f>
        <v>-5.2985719663136</v>
      </c>
      <c r="X4073" s="55" t="n">
        <f aca="false">IF(V4073,IF(01_因子設定!$B$13="最大化",Q4073,IF(01_因子設定!$B$13="最小化",-Q4073,-ABS(Q4073-01_因子設定!$B$16))),-1E+030)</f>
        <v>44.2919460227273</v>
      </c>
      <c r="Y4073" s="55" t="n">
        <f aca="false">W4073+ROW()*0.000000001</f>
        <v>-5.2985678933136</v>
      </c>
      <c r="Z4073" s="55" t="n">
        <f aca="false">X4073+ROW()*0.000000001</f>
        <v>44.2919500957273</v>
      </c>
    </row>
    <row r="4074" customFormat="false" ht="15" hidden="false" customHeight="false" outlineLevel="0" collapsed="false">
      <c r="A4074" s="0" t="n">
        <v>14</v>
      </c>
      <c r="B4074" s="0" t="n">
        <v>1</v>
      </c>
      <c r="C4074" s="0" t="n">
        <v>6</v>
      </c>
      <c r="D4074" s="0" t="n">
        <f aca="false">-1+A4074*0.125</f>
        <v>0.75</v>
      </c>
      <c r="E4074" s="0" t="n">
        <f aca="false">-1+B4074*0.125</f>
        <v>-0.875</v>
      </c>
      <c r="F4074" s="0" t="n">
        <f aca="false">-1+C4074*0.125</f>
        <v>-0.25</v>
      </c>
      <c r="G4074" s="0" t="n">
        <f aca="false">1</f>
        <v>1</v>
      </c>
      <c r="H4074" s="0" t="n">
        <f aca="false">D4074</f>
        <v>0.75</v>
      </c>
      <c r="I4074" s="0" t="n">
        <f aca="false">E4074</f>
        <v>-0.875</v>
      </c>
      <c r="J4074" s="0" t="n">
        <f aca="false">F4074</f>
        <v>-0.25</v>
      </c>
      <c r="K4074" s="0" t="n">
        <f aca="false">D4074*E4074</f>
        <v>-0.65625</v>
      </c>
      <c r="L4074" s="0" t="n">
        <f aca="false">D4074*F4074</f>
        <v>-0.1875</v>
      </c>
      <c r="M4074" s="0" t="n">
        <f aca="false">E4074*F4074</f>
        <v>0.21875</v>
      </c>
      <c r="N4074" s="0" t="n">
        <f aca="false">D4074*D4074</f>
        <v>0.5625</v>
      </c>
      <c r="O4074" s="0" t="n">
        <f aca="false">E4074*E4074</f>
        <v>0.765625</v>
      </c>
      <c r="P4074" s="0" t="n">
        <f aca="false">F4074*F4074</f>
        <v>0.0625</v>
      </c>
      <c r="Q4074" s="0" t="n">
        <f aca="false">SUMPRODUCT(G4074:P4074,_XtX!$B$71:$K$71)</f>
        <v>44.4931392045455</v>
      </c>
      <c r="R4074" s="0" t="n">
        <f aca="false">SUMPRODUCT(MMULT(G4074:P4074,_XtX!$B$58:$K$67),G4074:P4074)</f>
        <v>0.384574751420455</v>
      </c>
      <c r="S4074" s="0" t="n">
        <f aca="false">04_回帰ANOVA!$K$19*04_回帰ANOVA!$K$14*SQRT(1+R4074)</f>
        <v>1.0940189380139</v>
      </c>
      <c r="T4074" s="0" t="n">
        <f aca="false">Q4074-S4074</f>
        <v>43.3991202665316</v>
      </c>
      <c r="U4074" s="0" t="n">
        <f aca="false">Q4074+S4074</f>
        <v>45.5871581425594</v>
      </c>
      <c r="V4074" s="54" t="b">
        <f aca="false">AND(D4074&gt;=01_因子設定!$L$5-0.000000001,D4074&lt;=01_因子設定!$M$5+0.000000001,E4074&gt;=01_因子設定!$L$6-0.000000001,E4074&lt;=01_因子設定!$M$6+0.000000001,F4074&gt;=01_因子設定!$L$7-0.000000001,F4074&lt;=01_因子設定!$M$7+0.000000001,IF(01_因子設定!$B$20="Box-Behnken",D4074^2+E4074^2+F4074^2&lt;=2+0.000000001,TRUE()))</f>
        <v>1</v>
      </c>
      <c r="W4074" s="55" t="n">
        <f aca="false">IF(V4074,IF(01_因子設定!$B$13="最大化",T4074-01_因子設定!$B$14,IF(01_因子設定!$B$13="最小化",01_因子設定!$B$15-U4074,MIN(T4074-01_因子設定!$B$14,01_因子設定!$B$15-U4074))),-1E+030)</f>
        <v>-5.10087973346845</v>
      </c>
      <c r="X4074" s="55" t="n">
        <f aca="false">IF(V4074,IF(01_因子設定!$B$13="最大化",Q4074,IF(01_因子設定!$B$13="最小化",-Q4074,-ABS(Q4074-01_因子設定!$B$16))),-1E+030)</f>
        <v>44.4931392045455</v>
      </c>
      <c r="Y4074" s="55" t="n">
        <f aca="false">W4074+ROW()*0.000000001</f>
        <v>-5.10087565946845</v>
      </c>
      <c r="Z4074" s="55" t="n">
        <f aca="false">X4074+ROW()*0.000000001</f>
        <v>44.4931432785455</v>
      </c>
    </row>
    <row r="4075" customFormat="false" ht="15" hidden="false" customHeight="false" outlineLevel="0" collapsed="false">
      <c r="A4075" s="0" t="n">
        <v>14</v>
      </c>
      <c r="B4075" s="0" t="n">
        <v>1</v>
      </c>
      <c r="C4075" s="0" t="n">
        <v>7</v>
      </c>
      <c r="D4075" s="0" t="n">
        <f aca="false">-1+A4075*0.125</f>
        <v>0.75</v>
      </c>
      <c r="E4075" s="0" t="n">
        <f aca="false">-1+B4075*0.125</f>
        <v>-0.875</v>
      </c>
      <c r="F4075" s="0" t="n">
        <f aca="false">-1+C4075*0.125</f>
        <v>-0.125</v>
      </c>
      <c r="G4075" s="0" t="n">
        <f aca="false">1</f>
        <v>1</v>
      </c>
      <c r="H4075" s="0" t="n">
        <f aca="false">D4075</f>
        <v>0.75</v>
      </c>
      <c r="I4075" s="0" t="n">
        <f aca="false">E4075</f>
        <v>-0.875</v>
      </c>
      <c r="J4075" s="0" t="n">
        <f aca="false">F4075</f>
        <v>-0.125</v>
      </c>
      <c r="K4075" s="0" t="n">
        <f aca="false">D4075*E4075</f>
        <v>-0.65625</v>
      </c>
      <c r="L4075" s="0" t="n">
        <f aca="false">D4075*F4075</f>
        <v>-0.09375</v>
      </c>
      <c r="M4075" s="0" t="n">
        <f aca="false">E4075*F4075</f>
        <v>0.109375</v>
      </c>
      <c r="N4075" s="0" t="n">
        <f aca="false">D4075*D4075</f>
        <v>0.5625</v>
      </c>
      <c r="O4075" s="0" t="n">
        <f aca="false">E4075*E4075</f>
        <v>0.765625</v>
      </c>
      <c r="P4075" s="0" t="n">
        <f aca="false">F4075*F4075</f>
        <v>0.015625</v>
      </c>
      <c r="Q4075" s="0" t="n">
        <f aca="false">SUMPRODUCT(G4075:P4075,_XtX!$B$71:$K$71)</f>
        <v>44.6575426136364</v>
      </c>
      <c r="R4075" s="0" t="n">
        <f aca="false">SUMPRODUCT(MMULT(G4075:P4075,_XtX!$B$58:$K$67),G4075:P4075)</f>
        <v>0.392013827237216</v>
      </c>
      <c r="S4075" s="0" t="n">
        <f aca="false">04_回帰ANOVA!$K$19*04_回帰ANOVA!$K$14*SQRT(1+R4075)</f>
        <v>1.09695398627251</v>
      </c>
      <c r="T4075" s="0" t="n">
        <f aca="false">Q4075-S4075</f>
        <v>43.5605886273639</v>
      </c>
      <c r="U4075" s="0" t="n">
        <f aca="false">Q4075+S4075</f>
        <v>45.7544965999089</v>
      </c>
      <c r="V4075" s="54" t="b">
        <f aca="false">AND(D4075&gt;=01_因子設定!$L$5-0.000000001,D4075&lt;=01_因子設定!$M$5+0.000000001,E4075&gt;=01_因子設定!$L$6-0.000000001,E4075&lt;=01_因子設定!$M$6+0.000000001,F4075&gt;=01_因子設定!$L$7-0.000000001,F4075&lt;=01_因子設定!$M$7+0.000000001,IF(01_因子設定!$B$20="Box-Behnken",D4075^2+E4075^2+F4075^2&lt;=2+0.000000001,TRUE()))</f>
        <v>1</v>
      </c>
      <c r="W4075" s="55" t="n">
        <f aca="false">IF(V4075,IF(01_因子設定!$B$13="最大化",T4075-01_因子設定!$B$14,IF(01_因子設定!$B$13="最小化",01_因子設定!$B$15-U4075,MIN(T4075-01_因子設定!$B$14,01_因子設定!$B$15-U4075))),-1E+030)</f>
        <v>-4.93941137263614</v>
      </c>
      <c r="X4075" s="55" t="n">
        <f aca="false">IF(V4075,IF(01_因子設定!$B$13="最大化",Q4075,IF(01_因子設定!$B$13="最小化",-Q4075,-ABS(Q4075-01_因子設定!$B$16))),-1E+030)</f>
        <v>44.6575426136364</v>
      </c>
      <c r="Y4075" s="55" t="n">
        <f aca="false">W4075+ROW()*0.000000001</f>
        <v>-4.93940729763614</v>
      </c>
      <c r="Z4075" s="55" t="n">
        <f aca="false">X4075+ROW()*0.000000001</f>
        <v>44.6575466886364</v>
      </c>
    </row>
    <row r="4076" customFormat="false" ht="15" hidden="false" customHeight="false" outlineLevel="0" collapsed="false">
      <c r="A4076" s="0" t="n">
        <v>14</v>
      </c>
      <c r="B4076" s="0" t="n">
        <v>1</v>
      </c>
      <c r="C4076" s="0" t="n">
        <v>8</v>
      </c>
      <c r="D4076" s="0" t="n">
        <f aca="false">-1+A4076*0.125</f>
        <v>0.75</v>
      </c>
      <c r="E4076" s="0" t="n">
        <f aca="false">-1+B4076*0.125</f>
        <v>-0.875</v>
      </c>
      <c r="F4076" s="0" t="n">
        <f aca="false">-1+C4076*0.125</f>
        <v>0</v>
      </c>
      <c r="G4076" s="0" t="n">
        <f aca="false">1</f>
        <v>1</v>
      </c>
      <c r="H4076" s="0" t="n">
        <f aca="false">D4076</f>
        <v>0.75</v>
      </c>
      <c r="I4076" s="0" t="n">
        <f aca="false">E4076</f>
        <v>-0.875</v>
      </c>
      <c r="J4076" s="0" t="n">
        <f aca="false">F4076</f>
        <v>0</v>
      </c>
      <c r="K4076" s="0" t="n">
        <f aca="false">D4076*E4076</f>
        <v>-0.65625</v>
      </c>
      <c r="L4076" s="0" t="n">
        <f aca="false">D4076*F4076</f>
        <v>0</v>
      </c>
      <c r="M4076" s="0" t="n">
        <f aca="false">E4076*F4076</f>
        <v>-0</v>
      </c>
      <c r="N4076" s="0" t="n">
        <f aca="false">D4076*D4076</f>
        <v>0.5625</v>
      </c>
      <c r="O4076" s="0" t="n">
        <f aca="false">E4076*E4076</f>
        <v>0.765625</v>
      </c>
      <c r="P4076" s="0" t="n">
        <f aca="false">F4076*F4076</f>
        <v>0</v>
      </c>
      <c r="Q4076" s="0" t="n">
        <f aca="false">SUMPRODUCT(G4076:P4076,_XtX!$B$71:$K$71)</f>
        <v>44.78515625</v>
      </c>
      <c r="R4076" s="0" t="n">
        <f aca="false">SUMPRODUCT(MMULT(G4076:P4076,_XtX!$B$58:$K$67),G4076:P4076)</f>
        <v>0.3948486328125</v>
      </c>
      <c r="S4076" s="0" t="n">
        <f aca="false">04_回帰ANOVA!$K$19*04_回帰ANOVA!$K$14*SQRT(1+R4076)</f>
        <v>1.09807037952996</v>
      </c>
      <c r="T4076" s="0" t="n">
        <f aca="false">Q4076-S4076</f>
        <v>43.68708587047</v>
      </c>
      <c r="U4076" s="0" t="n">
        <f aca="false">Q4076+S4076</f>
        <v>45.88322662953</v>
      </c>
      <c r="V4076" s="54" t="b">
        <f aca="false">AND(D4076&gt;=01_因子設定!$L$5-0.000000001,D4076&lt;=01_因子設定!$M$5+0.000000001,E4076&gt;=01_因子設定!$L$6-0.000000001,E4076&lt;=01_因子設定!$M$6+0.000000001,F4076&gt;=01_因子設定!$L$7-0.000000001,F4076&lt;=01_因子設定!$M$7+0.000000001,IF(01_因子設定!$B$20="Box-Behnken",D4076^2+E4076^2+F4076^2&lt;=2+0.000000001,TRUE()))</f>
        <v>1</v>
      </c>
      <c r="W4076" s="55" t="n">
        <f aca="false">IF(V4076,IF(01_因子設定!$B$13="最大化",T4076-01_因子設定!$B$14,IF(01_因子設定!$B$13="最小化",01_因子設定!$B$15-U4076,MIN(T4076-01_因子設定!$B$14,01_因子設定!$B$15-U4076))),-1E+030)</f>
        <v>-4.81291412952996</v>
      </c>
      <c r="X4076" s="55" t="n">
        <f aca="false">IF(V4076,IF(01_因子設定!$B$13="最大化",Q4076,IF(01_因子設定!$B$13="最小化",-Q4076,-ABS(Q4076-01_因子設定!$B$16))),-1E+030)</f>
        <v>44.78515625</v>
      </c>
      <c r="Y4076" s="55" t="n">
        <f aca="false">W4076+ROW()*0.000000001</f>
        <v>-4.81291005352996</v>
      </c>
      <c r="Z4076" s="55" t="n">
        <f aca="false">X4076+ROW()*0.000000001</f>
        <v>44.785160326</v>
      </c>
    </row>
    <row r="4077" customFormat="false" ht="15" hidden="false" customHeight="false" outlineLevel="0" collapsed="false">
      <c r="A4077" s="0" t="n">
        <v>14</v>
      </c>
      <c r="B4077" s="0" t="n">
        <v>1</v>
      </c>
      <c r="C4077" s="0" t="n">
        <v>9</v>
      </c>
      <c r="D4077" s="0" t="n">
        <f aca="false">-1+A4077*0.125</f>
        <v>0.75</v>
      </c>
      <c r="E4077" s="0" t="n">
        <f aca="false">-1+B4077*0.125</f>
        <v>-0.875</v>
      </c>
      <c r="F4077" s="0" t="n">
        <f aca="false">-1+C4077*0.125</f>
        <v>0.125</v>
      </c>
      <c r="G4077" s="0" t="n">
        <f aca="false">1</f>
        <v>1</v>
      </c>
      <c r="H4077" s="0" t="n">
        <f aca="false">D4077</f>
        <v>0.75</v>
      </c>
      <c r="I4077" s="0" t="n">
        <f aca="false">E4077</f>
        <v>-0.875</v>
      </c>
      <c r="J4077" s="0" t="n">
        <f aca="false">F4077</f>
        <v>0.125</v>
      </c>
      <c r="K4077" s="0" t="n">
        <f aca="false">D4077*E4077</f>
        <v>-0.65625</v>
      </c>
      <c r="L4077" s="0" t="n">
        <f aca="false">D4077*F4077</f>
        <v>0.09375</v>
      </c>
      <c r="M4077" s="0" t="n">
        <f aca="false">E4077*F4077</f>
        <v>-0.109375</v>
      </c>
      <c r="N4077" s="0" t="n">
        <f aca="false">D4077*D4077</f>
        <v>0.5625</v>
      </c>
      <c r="O4077" s="0" t="n">
        <f aca="false">E4077*E4077</f>
        <v>0.765625</v>
      </c>
      <c r="P4077" s="0" t="n">
        <f aca="false">F4077*F4077</f>
        <v>0.015625</v>
      </c>
      <c r="Q4077" s="0" t="n">
        <f aca="false">SUMPRODUCT(G4077:P4077,_XtX!$B$71:$K$71)</f>
        <v>44.8759801136364</v>
      </c>
      <c r="R4077" s="0" t="n">
        <f aca="false">SUMPRODUCT(MMULT(G4077:P4077,_XtX!$B$58:$K$67),G4077:P4077)</f>
        <v>0.392013827237216</v>
      </c>
      <c r="S4077" s="0" t="n">
        <f aca="false">04_回帰ANOVA!$K$19*04_回帰ANOVA!$K$14*SQRT(1+R4077)</f>
        <v>1.09695398627251</v>
      </c>
      <c r="T4077" s="0" t="n">
        <f aca="false">Q4077-S4077</f>
        <v>43.7790261273639</v>
      </c>
      <c r="U4077" s="0" t="n">
        <f aca="false">Q4077+S4077</f>
        <v>45.9729340999089</v>
      </c>
      <c r="V4077" s="54" t="b">
        <f aca="false">AND(D4077&gt;=01_因子設定!$L$5-0.000000001,D4077&lt;=01_因子設定!$M$5+0.000000001,E4077&gt;=01_因子設定!$L$6-0.000000001,E4077&lt;=01_因子設定!$M$6+0.000000001,F4077&gt;=01_因子設定!$L$7-0.000000001,F4077&lt;=01_因子設定!$M$7+0.000000001,IF(01_因子設定!$B$20="Box-Behnken",D4077^2+E4077^2+F4077^2&lt;=2+0.000000001,TRUE()))</f>
        <v>1</v>
      </c>
      <c r="W4077" s="55" t="n">
        <f aca="false">IF(V4077,IF(01_因子設定!$B$13="最大化",T4077-01_因子設定!$B$14,IF(01_因子設定!$B$13="最小化",01_因子設定!$B$15-U4077,MIN(T4077-01_因子設定!$B$14,01_因子設定!$B$15-U4077))),-1E+030)</f>
        <v>-4.72097387263614</v>
      </c>
      <c r="X4077" s="55" t="n">
        <f aca="false">IF(V4077,IF(01_因子設定!$B$13="最大化",Q4077,IF(01_因子設定!$B$13="最小化",-Q4077,-ABS(Q4077-01_因子設定!$B$16))),-1E+030)</f>
        <v>44.8759801136364</v>
      </c>
      <c r="Y4077" s="55" t="n">
        <f aca="false">W4077+ROW()*0.000000001</f>
        <v>-4.72096979563614</v>
      </c>
      <c r="Z4077" s="55" t="n">
        <f aca="false">X4077+ROW()*0.000000001</f>
        <v>44.8759841906364</v>
      </c>
    </row>
    <row r="4078" customFormat="false" ht="15" hidden="false" customHeight="false" outlineLevel="0" collapsed="false">
      <c r="A4078" s="0" t="n">
        <v>14</v>
      </c>
      <c r="B4078" s="0" t="n">
        <v>1</v>
      </c>
      <c r="C4078" s="0" t="n">
        <v>10</v>
      </c>
      <c r="D4078" s="0" t="n">
        <f aca="false">-1+A4078*0.125</f>
        <v>0.75</v>
      </c>
      <c r="E4078" s="0" t="n">
        <f aca="false">-1+B4078*0.125</f>
        <v>-0.875</v>
      </c>
      <c r="F4078" s="0" t="n">
        <f aca="false">-1+C4078*0.125</f>
        <v>0.25</v>
      </c>
      <c r="G4078" s="0" t="n">
        <f aca="false">1</f>
        <v>1</v>
      </c>
      <c r="H4078" s="0" t="n">
        <f aca="false">D4078</f>
        <v>0.75</v>
      </c>
      <c r="I4078" s="0" t="n">
        <f aca="false">E4078</f>
        <v>-0.875</v>
      </c>
      <c r="J4078" s="0" t="n">
        <f aca="false">F4078</f>
        <v>0.25</v>
      </c>
      <c r="K4078" s="0" t="n">
        <f aca="false">D4078*E4078</f>
        <v>-0.65625</v>
      </c>
      <c r="L4078" s="0" t="n">
        <f aca="false">D4078*F4078</f>
        <v>0.1875</v>
      </c>
      <c r="M4078" s="0" t="n">
        <f aca="false">E4078*F4078</f>
        <v>-0.21875</v>
      </c>
      <c r="N4078" s="0" t="n">
        <f aca="false">D4078*D4078</f>
        <v>0.5625</v>
      </c>
      <c r="O4078" s="0" t="n">
        <f aca="false">E4078*E4078</f>
        <v>0.765625</v>
      </c>
      <c r="P4078" s="0" t="n">
        <f aca="false">F4078*F4078</f>
        <v>0.0625</v>
      </c>
      <c r="Q4078" s="0" t="n">
        <f aca="false">SUMPRODUCT(G4078:P4078,_XtX!$B$71:$K$71)</f>
        <v>44.9300142045455</v>
      </c>
      <c r="R4078" s="0" t="n">
        <f aca="false">SUMPRODUCT(MMULT(G4078:P4078,_XtX!$B$58:$K$67),G4078:P4078)</f>
        <v>0.384574751420455</v>
      </c>
      <c r="S4078" s="0" t="n">
        <f aca="false">04_回帰ANOVA!$K$19*04_回帰ANOVA!$K$14*SQRT(1+R4078)</f>
        <v>1.0940189380139</v>
      </c>
      <c r="T4078" s="0" t="n">
        <f aca="false">Q4078-S4078</f>
        <v>43.8359952665316</v>
      </c>
      <c r="U4078" s="0" t="n">
        <f aca="false">Q4078+S4078</f>
        <v>46.0240331425594</v>
      </c>
      <c r="V4078" s="54" t="b">
        <f aca="false">AND(D4078&gt;=01_因子設定!$L$5-0.000000001,D4078&lt;=01_因子設定!$M$5+0.000000001,E4078&gt;=01_因子設定!$L$6-0.000000001,E4078&lt;=01_因子設定!$M$6+0.000000001,F4078&gt;=01_因子設定!$L$7-0.000000001,F4078&lt;=01_因子設定!$M$7+0.000000001,IF(01_因子設定!$B$20="Box-Behnken",D4078^2+E4078^2+F4078^2&lt;=2+0.000000001,TRUE()))</f>
        <v>1</v>
      </c>
      <c r="W4078" s="55" t="n">
        <f aca="false">IF(V4078,IF(01_因子設定!$B$13="最大化",T4078-01_因子設定!$B$14,IF(01_因子設定!$B$13="最小化",01_因子設定!$B$15-U4078,MIN(T4078-01_因子設定!$B$14,01_因子設定!$B$15-U4078))),-1E+030)</f>
        <v>-4.66400473346845</v>
      </c>
      <c r="X4078" s="55" t="n">
        <f aca="false">IF(V4078,IF(01_因子設定!$B$13="最大化",Q4078,IF(01_因子設定!$B$13="最小化",-Q4078,-ABS(Q4078-01_因子設定!$B$16))),-1E+030)</f>
        <v>44.9300142045455</v>
      </c>
      <c r="Y4078" s="55" t="n">
        <f aca="false">W4078+ROW()*0.000000001</f>
        <v>-4.66400065546845</v>
      </c>
      <c r="Z4078" s="55" t="n">
        <f aca="false">X4078+ROW()*0.000000001</f>
        <v>44.9300182825455</v>
      </c>
    </row>
    <row r="4079" customFormat="false" ht="15" hidden="false" customHeight="false" outlineLevel="0" collapsed="false">
      <c r="A4079" s="0" t="n">
        <v>14</v>
      </c>
      <c r="B4079" s="0" t="n">
        <v>1</v>
      </c>
      <c r="C4079" s="0" t="n">
        <v>11</v>
      </c>
      <c r="D4079" s="0" t="n">
        <f aca="false">-1+A4079*0.125</f>
        <v>0.75</v>
      </c>
      <c r="E4079" s="0" t="n">
        <f aca="false">-1+B4079*0.125</f>
        <v>-0.875</v>
      </c>
      <c r="F4079" s="0" t="n">
        <f aca="false">-1+C4079*0.125</f>
        <v>0.375</v>
      </c>
      <c r="G4079" s="0" t="n">
        <f aca="false">1</f>
        <v>1</v>
      </c>
      <c r="H4079" s="0" t="n">
        <f aca="false">D4079</f>
        <v>0.75</v>
      </c>
      <c r="I4079" s="0" t="n">
        <f aca="false">E4079</f>
        <v>-0.875</v>
      </c>
      <c r="J4079" s="0" t="n">
        <f aca="false">F4079</f>
        <v>0.375</v>
      </c>
      <c r="K4079" s="0" t="n">
        <f aca="false">D4079*E4079</f>
        <v>-0.65625</v>
      </c>
      <c r="L4079" s="0" t="n">
        <f aca="false">D4079*F4079</f>
        <v>0.28125</v>
      </c>
      <c r="M4079" s="0" t="n">
        <f aca="false">E4079*F4079</f>
        <v>-0.328125</v>
      </c>
      <c r="N4079" s="0" t="n">
        <f aca="false">D4079*D4079</f>
        <v>0.5625</v>
      </c>
      <c r="O4079" s="0" t="n">
        <f aca="false">E4079*E4079</f>
        <v>0.765625</v>
      </c>
      <c r="P4079" s="0" t="n">
        <f aca="false">F4079*F4079</f>
        <v>0.140625</v>
      </c>
      <c r="Q4079" s="0" t="n">
        <f aca="false">SUMPRODUCT(G4079:P4079,_XtX!$B$71:$K$71)</f>
        <v>44.9472585227273</v>
      </c>
      <c r="R4079" s="0" t="n">
        <f aca="false">SUMPRODUCT(MMULT(G4079:P4079,_XtX!$B$58:$K$67),G4079:P4079)</f>
        <v>0.375727428089489</v>
      </c>
      <c r="S4079" s="0" t="n">
        <f aca="false">04_回帰ANOVA!$K$19*04_回帰ANOVA!$K$14*SQRT(1+R4079)</f>
        <v>1.09051798904087</v>
      </c>
      <c r="T4079" s="0" t="n">
        <f aca="false">Q4079-S4079</f>
        <v>43.8567405336864</v>
      </c>
      <c r="U4079" s="0" t="n">
        <f aca="false">Q4079+S4079</f>
        <v>46.0377765117682</v>
      </c>
      <c r="V4079" s="54" t="b">
        <f aca="false">AND(D4079&gt;=01_因子設定!$L$5-0.000000001,D4079&lt;=01_因子設定!$M$5+0.000000001,E4079&gt;=01_因子設定!$L$6-0.000000001,E4079&lt;=01_因子設定!$M$6+0.000000001,F4079&gt;=01_因子設定!$L$7-0.000000001,F4079&lt;=01_因子設定!$M$7+0.000000001,IF(01_因子設定!$B$20="Box-Behnken",D4079^2+E4079^2+F4079^2&lt;=2+0.000000001,TRUE()))</f>
        <v>1</v>
      </c>
      <c r="W4079" s="55" t="n">
        <f aca="false">IF(V4079,IF(01_因子設定!$B$13="最大化",T4079-01_因子設定!$B$14,IF(01_因子設定!$B$13="最小化",01_因子設定!$B$15-U4079,MIN(T4079-01_因子設定!$B$14,01_因子設定!$B$15-U4079))),-1E+030)</f>
        <v>-4.6432594663136</v>
      </c>
      <c r="X4079" s="55" t="n">
        <f aca="false">IF(V4079,IF(01_因子設定!$B$13="最大化",Q4079,IF(01_因子設定!$B$13="最小化",-Q4079,-ABS(Q4079-01_因子設定!$B$16))),-1E+030)</f>
        <v>44.9472585227273</v>
      </c>
      <c r="Y4079" s="55" t="n">
        <f aca="false">W4079+ROW()*0.000000001</f>
        <v>-4.6432553873136</v>
      </c>
      <c r="Z4079" s="55" t="n">
        <f aca="false">X4079+ROW()*0.000000001</f>
        <v>44.9472626017273</v>
      </c>
    </row>
    <row r="4080" customFormat="false" ht="15" hidden="false" customHeight="false" outlineLevel="0" collapsed="false">
      <c r="A4080" s="0" t="n">
        <v>14</v>
      </c>
      <c r="B4080" s="0" t="n">
        <v>1</v>
      </c>
      <c r="C4080" s="0" t="n">
        <v>12</v>
      </c>
      <c r="D4080" s="0" t="n">
        <f aca="false">-1+A4080*0.125</f>
        <v>0.75</v>
      </c>
      <c r="E4080" s="0" t="n">
        <f aca="false">-1+B4080*0.125</f>
        <v>-0.875</v>
      </c>
      <c r="F4080" s="0" t="n">
        <f aca="false">-1+C4080*0.125</f>
        <v>0.5</v>
      </c>
      <c r="G4080" s="0" t="n">
        <f aca="false">1</f>
        <v>1</v>
      </c>
      <c r="H4080" s="0" t="n">
        <f aca="false">D4080</f>
        <v>0.75</v>
      </c>
      <c r="I4080" s="0" t="n">
        <f aca="false">E4080</f>
        <v>-0.875</v>
      </c>
      <c r="J4080" s="0" t="n">
        <f aca="false">F4080</f>
        <v>0.5</v>
      </c>
      <c r="K4080" s="0" t="n">
        <f aca="false">D4080*E4080</f>
        <v>-0.65625</v>
      </c>
      <c r="L4080" s="0" t="n">
        <f aca="false">D4080*F4080</f>
        <v>0.375</v>
      </c>
      <c r="M4080" s="0" t="n">
        <f aca="false">E4080*F4080</f>
        <v>-0.4375</v>
      </c>
      <c r="N4080" s="0" t="n">
        <f aca="false">D4080*D4080</f>
        <v>0.5625</v>
      </c>
      <c r="O4080" s="0" t="n">
        <f aca="false">E4080*E4080</f>
        <v>0.765625</v>
      </c>
      <c r="P4080" s="0" t="n">
        <f aca="false">F4080*F4080</f>
        <v>0.25</v>
      </c>
      <c r="Q4080" s="0" t="n">
        <f aca="false">SUMPRODUCT(G4080:P4080,_XtX!$B$71:$K$71)</f>
        <v>44.9277130681818</v>
      </c>
      <c r="R4080" s="0" t="n">
        <f aca="false">SUMPRODUCT(MMULT(G4080:P4080,_XtX!$B$58:$K$67),G4080:P4080)</f>
        <v>0.370798561789773</v>
      </c>
      <c r="S4080" s="0" t="n">
        <f aca="false">04_回帰ANOVA!$K$19*04_回帰ANOVA!$K$14*SQRT(1+R4080)</f>
        <v>1.08856271788237</v>
      </c>
      <c r="T4080" s="0" t="n">
        <f aca="false">Q4080-S4080</f>
        <v>43.8391503502995</v>
      </c>
      <c r="U4080" s="0" t="n">
        <f aca="false">Q4080+S4080</f>
        <v>46.0162757860642</v>
      </c>
      <c r="V4080" s="54" t="b">
        <f aca="false">AND(D4080&gt;=01_因子設定!$L$5-0.000000001,D4080&lt;=01_因子設定!$M$5+0.000000001,E4080&gt;=01_因子設定!$L$6-0.000000001,E4080&lt;=01_因子設定!$M$6+0.000000001,F4080&gt;=01_因子設定!$L$7-0.000000001,F4080&lt;=01_因子設定!$M$7+0.000000001,IF(01_因子設定!$B$20="Box-Behnken",D4080^2+E4080^2+F4080^2&lt;=2+0.000000001,TRUE()))</f>
        <v>1</v>
      </c>
      <c r="W4080" s="55" t="n">
        <f aca="false">IF(V4080,IF(01_因子設定!$B$13="最大化",T4080-01_因子設定!$B$14,IF(01_因子設定!$B$13="最小化",01_因子設定!$B$15-U4080,MIN(T4080-01_因子設定!$B$14,01_因子設定!$B$15-U4080))),-1E+030)</f>
        <v>-4.66084964970055</v>
      </c>
      <c r="X4080" s="55" t="n">
        <f aca="false">IF(V4080,IF(01_因子設定!$B$13="最大化",Q4080,IF(01_因子設定!$B$13="最小化",-Q4080,-ABS(Q4080-01_因子設定!$B$16))),-1E+030)</f>
        <v>44.9277130681818</v>
      </c>
      <c r="Y4080" s="55" t="n">
        <f aca="false">W4080+ROW()*0.000000001</f>
        <v>-4.66084556970055</v>
      </c>
      <c r="Z4080" s="55" t="n">
        <f aca="false">X4080+ROW()*0.000000001</f>
        <v>44.9277171481818</v>
      </c>
    </row>
    <row r="4081" customFormat="false" ht="15" hidden="false" customHeight="false" outlineLevel="0" collapsed="false">
      <c r="A4081" s="0" t="n">
        <v>14</v>
      </c>
      <c r="B4081" s="0" t="n">
        <v>1</v>
      </c>
      <c r="C4081" s="0" t="n">
        <v>13</v>
      </c>
      <c r="D4081" s="0" t="n">
        <f aca="false">-1+A4081*0.125</f>
        <v>0.75</v>
      </c>
      <c r="E4081" s="0" t="n">
        <f aca="false">-1+B4081*0.125</f>
        <v>-0.875</v>
      </c>
      <c r="F4081" s="0" t="n">
        <f aca="false">-1+C4081*0.125</f>
        <v>0.625</v>
      </c>
      <c r="G4081" s="0" t="n">
        <f aca="false">1</f>
        <v>1</v>
      </c>
      <c r="H4081" s="0" t="n">
        <f aca="false">D4081</f>
        <v>0.75</v>
      </c>
      <c r="I4081" s="0" t="n">
        <f aca="false">E4081</f>
        <v>-0.875</v>
      </c>
      <c r="J4081" s="0" t="n">
        <f aca="false">F4081</f>
        <v>0.625</v>
      </c>
      <c r="K4081" s="0" t="n">
        <f aca="false">D4081*E4081</f>
        <v>-0.65625</v>
      </c>
      <c r="L4081" s="0" t="n">
        <f aca="false">D4081*F4081</f>
        <v>0.46875</v>
      </c>
      <c r="M4081" s="0" t="n">
        <f aca="false">E4081*F4081</f>
        <v>-0.546875</v>
      </c>
      <c r="N4081" s="0" t="n">
        <f aca="false">D4081*D4081</f>
        <v>0.5625</v>
      </c>
      <c r="O4081" s="0" t="n">
        <f aca="false">E4081*E4081</f>
        <v>0.765625</v>
      </c>
      <c r="P4081" s="0" t="n">
        <f aca="false">F4081*F4081</f>
        <v>0.390625</v>
      </c>
      <c r="Q4081" s="0" t="n">
        <f aca="false">SUMPRODUCT(G4081:P4081,_XtX!$B$71:$K$71)</f>
        <v>44.8713778409091</v>
      </c>
      <c r="R4081" s="0" t="n">
        <f aca="false">SUMPRODUCT(MMULT(G4081:P4081,_XtX!$B$58:$K$67),G4081:P4081)</f>
        <v>0.377245538884943</v>
      </c>
      <c r="S4081" s="0" t="n">
        <f aca="false">04_回帰ANOVA!$K$19*04_回帰ANOVA!$K$14*SQRT(1+R4081)</f>
        <v>1.09111951468927</v>
      </c>
      <c r="T4081" s="0" t="n">
        <f aca="false">Q4081-S4081</f>
        <v>43.7802583262198</v>
      </c>
      <c r="U4081" s="0" t="n">
        <f aca="false">Q4081+S4081</f>
        <v>45.9624973555984</v>
      </c>
      <c r="V4081" s="54" t="b">
        <f aca="false">AND(D4081&gt;=01_因子設定!$L$5-0.000000001,D4081&lt;=01_因子設定!$M$5+0.000000001,E4081&gt;=01_因子設定!$L$6-0.000000001,E4081&lt;=01_因子設定!$M$6+0.000000001,F4081&gt;=01_因子設定!$L$7-0.000000001,F4081&lt;=01_因子設定!$M$7+0.000000001,IF(01_因子設定!$B$20="Box-Behnken",D4081^2+E4081^2+F4081^2&lt;=2+0.000000001,TRUE()))</f>
        <v>1</v>
      </c>
      <c r="W4081" s="55" t="n">
        <f aca="false">IF(V4081,IF(01_因子設定!$B$13="最大化",T4081-01_因子設定!$B$14,IF(01_因子設定!$B$13="最小化",01_因子設定!$B$15-U4081,MIN(T4081-01_因子設定!$B$14,01_因子設定!$B$15-U4081))),-1E+030)</f>
        <v>-4.71974167378018</v>
      </c>
      <c r="X4081" s="55" t="n">
        <f aca="false">IF(V4081,IF(01_因子設定!$B$13="最大化",Q4081,IF(01_因子設定!$B$13="最小化",-Q4081,-ABS(Q4081-01_因子設定!$B$16))),-1E+030)</f>
        <v>44.8713778409091</v>
      </c>
      <c r="Y4081" s="55" t="n">
        <f aca="false">W4081+ROW()*0.000000001</f>
        <v>-4.71973759278018</v>
      </c>
      <c r="Z4081" s="55" t="n">
        <f aca="false">X4081+ROW()*0.000000001</f>
        <v>44.8713819219091</v>
      </c>
    </row>
    <row r="4082" customFormat="false" ht="15" hidden="false" customHeight="false" outlineLevel="0" collapsed="false">
      <c r="A4082" s="0" t="n">
        <v>14</v>
      </c>
      <c r="B4082" s="0" t="n">
        <v>1</v>
      </c>
      <c r="C4082" s="0" t="n">
        <v>14</v>
      </c>
      <c r="D4082" s="0" t="n">
        <f aca="false">-1+A4082*0.125</f>
        <v>0.75</v>
      </c>
      <c r="E4082" s="0" t="n">
        <f aca="false">-1+B4082*0.125</f>
        <v>-0.875</v>
      </c>
      <c r="F4082" s="0" t="n">
        <f aca="false">-1+C4082*0.125</f>
        <v>0.75</v>
      </c>
      <c r="G4082" s="0" t="n">
        <f aca="false">1</f>
        <v>1</v>
      </c>
      <c r="H4082" s="0" t="n">
        <f aca="false">D4082</f>
        <v>0.75</v>
      </c>
      <c r="I4082" s="0" t="n">
        <f aca="false">E4082</f>
        <v>-0.875</v>
      </c>
      <c r="J4082" s="0" t="n">
        <f aca="false">F4082</f>
        <v>0.75</v>
      </c>
      <c r="K4082" s="0" t="n">
        <f aca="false">D4082*E4082</f>
        <v>-0.65625</v>
      </c>
      <c r="L4082" s="0" t="n">
        <f aca="false">D4082*F4082</f>
        <v>0.5625</v>
      </c>
      <c r="M4082" s="0" t="n">
        <f aca="false">E4082*F4082</f>
        <v>-0.65625</v>
      </c>
      <c r="N4082" s="0" t="n">
        <f aca="false">D4082*D4082</f>
        <v>0.5625</v>
      </c>
      <c r="O4082" s="0" t="n">
        <f aca="false">E4082*E4082</f>
        <v>0.765625</v>
      </c>
      <c r="P4082" s="0" t="n">
        <f aca="false">F4082*F4082</f>
        <v>0.5625</v>
      </c>
      <c r="Q4082" s="0" t="n">
        <f aca="false">SUMPRODUCT(G4082:P4082,_XtX!$B$71:$K$71)</f>
        <v>44.7782528409091</v>
      </c>
      <c r="R4082" s="0" t="n">
        <f aca="false">SUMPRODUCT(MMULT(G4082:P4082,_XtX!$B$58:$K$67),G4082:P4082)</f>
        <v>0.404656427556818</v>
      </c>
      <c r="S4082" s="0" t="n">
        <f aca="false">04_回帰ANOVA!$K$19*04_回帰ANOVA!$K$14*SQRT(1+R4082)</f>
        <v>1.10192412515358</v>
      </c>
      <c r="T4082" s="0" t="n">
        <f aca="false">Q4082-S4082</f>
        <v>43.6763287157555</v>
      </c>
      <c r="U4082" s="0" t="n">
        <f aca="false">Q4082+S4082</f>
        <v>45.8801769660627</v>
      </c>
      <c r="V4082" s="54" t="b">
        <f aca="false">AND(D4082&gt;=01_因子設定!$L$5-0.000000001,D4082&lt;=01_因子設定!$M$5+0.000000001,E4082&gt;=01_因子設定!$L$6-0.000000001,E4082&lt;=01_因子設定!$M$6+0.000000001,F4082&gt;=01_因子設定!$L$7-0.000000001,F4082&lt;=01_因子設定!$M$7+0.000000001,IF(01_因子設定!$B$20="Box-Behnken",D4082^2+E4082^2+F4082^2&lt;=2+0.000000001,TRUE()))</f>
        <v>1</v>
      </c>
      <c r="W4082" s="55" t="n">
        <f aca="false">IF(V4082,IF(01_因子設定!$B$13="最大化",T4082-01_因子設定!$B$14,IF(01_因子設定!$B$13="最小化",01_因子設定!$B$15-U4082,MIN(T4082-01_因子設定!$B$14,01_因子設定!$B$15-U4082))),-1E+030)</f>
        <v>-4.82367128424448</v>
      </c>
      <c r="X4082" s="55" t="n">
        <f aca="false">IF(V4082,IF(01_因子設定!$B$13="最大化",Q4082,IF(01_因子設定!$B$13="最小化",-Q4082,-ABS(Q4082-01_因子設定!$B$16))),-1E+030)</f>
        <v>44.7782528409091</v>
      </c>
      <c r="Y4082" s="55" t="n">
        <f aca="false">W4082+ROW()*0.000000001</f>
        <v>-4.82366720224448</v>
      </c>
      <c r="Z4082" s="55" t="n">
        <f aca="false">X4082+ROW()*0.000000001</f>
        <v>44.7782569229091</v>
      </c>
    </row>
    <row r="4083" customFormat="false" ht="15" hidden="false" customHeight="false" outlineLevel="0" collapsed="false">
      <c r="A4083" s="0" t="n">
        <v>14</v>
      </c>
      <c r="B4083" s="0" t="n">
        <v>1</v>
      </c>
      <c r="C4083" s="0" t="n">
        <v>15</v>
      </c>
      <c r="D4083" s="0" t="n">
        <f aca="false">-1+A4083*0.125</f>
        <v>0.75</v>
      </c>
      <c r="E4083" s="0" t="n">
        <f aca="false">-1+B4083*0.125</f>
        <v>-0.875</v>
      </c>
      <c r="F4083" s="0" t="n">
        <f aca="false">-1+C4083*0.125</f>
        <v>0.875</v>
      </c>
      <c r="G4083" s="0" t="n">
        <f aca="false">1</f>
        <v>1</v>
      </c>
      <c r="H4083" s="0" t="n">
        <f aca="false">D4083</f>
        <v>0.75</v>
      </c>
      <c r="I4083" s="0" t="n">
        <f aca="false">E4083</f>
        <v>-0.875</v>
      </c>
      <c r="J4083" s="0" t="n">
        <f aca="false">F4083</f>
        <v>0.875</v>
      </c>
      <c r="K4083" s="0" t="n">
        <f aca="false">D4083*E4083</f>
        <v>-0.65625</v>
      </c>
      <c r="L4083" s="0" t="n">
        <f aca="false">D4083*F4083</f>
        <v>0.65625</v>
      </c>
      <c r="M4083" s="0" t="n">
        <f aca="false">E4083*F4083</f>
        <v>-0.765625</v>
      </c>
      <c r="N4083" s="0" t="n">
        <f aca="false">D4083*D4083</f>
        <v>0.5625</v>
      </c>
      <c r="O4083" s="0" t="n">
        <f aca="false">E4083*E4083</f>
        <v>0.765625</v>
      </c>
      <c r="P4083" s="0" t="n">
        <f aca="false">F4083*F4083</f>
        <v>0.765625</v>
      </c>
      <c r="Q4083" s="0" t="n">
        <f aca="false">SUMPRODUCT(G4083:P4083,_XtX!$B$71:$K$71)</f>
        <v>44.6483380681818</v>
      </c>
      <c r="R4083" s="0" t="n">
        <f aca="false">SUMPRODUCT(MMULT(G4083:P4083,_XtX!$B$58:$K$67),G4083:P4083)</f>
        <v>0.464749977805398</v>
      </c>
      <c r="S4083" s="0" t="n">
        <f aca="false">04_回帰ANOVA!$K$19*04_回帰ANOVA!$K$14*SQRT(1+R4083)</f>
        <v>1.12524835342194</v>
      </c>
      <c r="T4083" s="0" t="n">
        <f aca="false">Q4083-S4083</f>
        <v>43.5230897147599</v>
      </c>
      <c r="U4083" s="0" t="n">
        <f aca="false">Q4083+S4083</f>
        <v>45.7735864216038</v>
      </c>
      <c r="V4083" s="54" t="b">
        <f aca="false">AND(D4083&gt;=01_因子設定!$L$5-0.000000001,D4083&lt;=01_因子設定!$M$5+0.000000001,E4083&gt;=01_因子設定!$L$6-0.000000001,E4083&lt;=01_因子設定!$M$6+0.000000001,F4083&gt;=01_因子設定!$L$7-0.000000001,F4083&lt;=01_因子設定!$M$7+0.000000001,IF(01_因子設定!$B$20="Box-Behnken",D4083^2+E4083^2+F4083^2&lt;=2+0.000000001,TRUE()))</f>
        <v>1</v>
      </c>
      <c r="W4083" s="55" t="n">
        <f aca="false">IF(V4083,IF(01_因子設定!$B$13="最大化",T4083-01_因子設定!$B$14,IF(01_因子設定!$B$13="最小化",01_因子設定!$B$15-U4083,MIN(T4083-01_因子設定!$B$14,01_因子設定!$B$15-U4083))),-1E+030)</f>
        <v>-4.9769102852401</v>
      </c>
      <c r="X4083" s="55" t="n">
        <f aca="false">IF(V4083,IF(01_因子設定!$B$13="最大化",Q4083,IF(01_因子設定!$B$13="最小化",-Q4083,-ABS(Q4083-01_因子設定!$B$16))),-1E+030)</f>
        <v>44.6483380681818</v>
      </c>
      <c r="Y4083" s="55" t="n">
        <f aca="false">W4083+ROW()*0.000000001</f>
        <v>-4.9769062022401</v>
      </c>
      <c r="Z4083" s="55" t="n">
        <f aca="false">X4083+ROW()*0.000000001</f>
        <v>44.6483421511818</v>
      </c>
    </row>
    <row r="4084" customFormat="false" ht="15" hidden="false" customHeight="false" outlineLevel="0" collapsed="false">
      <c r="A4084" s="0" t="n">
        <v>14</v>
      </c>
      <c r="B4084" s="0" t="n">
        <v>1</v>
      </c>
      <c r="C4084" s="0" t="n">
        <v>16</v>
      </c>
      <c r="D4084" s="0" t="n">
        <f aca="false">-1+A4084*0.125</f>
        <v>0.75</v>
      </c>
      <c r="E4084" s="0" t="n">
        <f aca="false">-1+B4084*0.125</f>
        <v>-0.875</v>
      </c>
      <c r="F4084" s="0" t="n">
        <f aca="false">-1+C4084*0.125</f>
        <v>1</v>
      </c>
      <c r="G4084" s="0" t="n">
        <f aca="false">1</f>
        <v>1</v>
      </c>
      <c r="H4084" s="0" t="n">
        <f aca="false">D4084</f>
        <v>0.75</v>
      </c>
      <c r="I4084" s="0" t="n">
        <f aca="false">E4084</f>
        <v>-0.875</v>
      </c>
      <c r="J4084" s="0" t="n">
        <f aca="false">F4084</f>
        <v>1</v>
      </c>
      <c r="K4084" s="0" t="n">
        <f aca="false">D4084*E4084</f>
        <v>-0.65625</v>
      </c>
      <c r="L4084" s="0" t="n">
        <f aca="false">D4084*F4084</f>
        <v>0.75</v>
      </c>
      <c r="M4084" s="0" t="n">
        <f aca="false">E4084*F4084</f>
        <v>-0.875</v>
      </c>
      <c r="N4084" s="0" t="n">
        <f aca="false">D4084*D4084</f>
        <v>0.5625</v>
      </c>
      <c r="O4084" s="0" t="n">
        <f aca="false">E4084*E4084</f>
        <v>0.765625</v>
      </c>
      <c r="P4084" s="0" t="n">
        <f aca="false">F4084*F4084</f>
        <v>1</v>
      </c>
      <c r="Q4084" s="0" t="n">
        <f aca="false">SUMPRODUCT(G4084:P4084,_XtX!$B$71:$K$71)</f>
        <v>44.4816335227273</v>
      </c>
      <c r="R4084" s="0" t="n">
        <f aca="false">SUMPRODUCT(MMULT(G4084:P4084,_XtX!$B$58:$K$67),G4084:P4084)</f>
        <v>0.571375621448864</v>
      </c>
      <c r="S4084" s="0" t="n">
        <f aca="false">04_回帰ANOVA!$K$19*04_回帰ANOVA!$K$14*SQRT(1+R4084)</f>
        <v>1.16548487437682</v>
      </c>
      <c r="T4084" s="0" t="n">
        <f aca="false">Q4084-S4084</f>
        <v>43.3161486483505</v>
      </c>
      <c r="U4084" s="0" t="n">
        <f aca="false">Q4084+S4084</f>
        <v>45.6471183971041</v>
      </c>
      <c r="V4084" s="54" t="b">
        <f aca="false">AND(D4084&gt;=01_因子設定!$L$5-0.000000001,D4084&lt;=01_因子設定!$M$5+0.000000001,E4084&gt;=01_因子設定!$L$6-0.000000001,E4084&lt;=01_因子設定!$M$6+0.000000001,F4084&gt;=01_因子設定!$L$7-0.000000001,F4084&lt;=01_因子設定!$M$7+0.000000001,IF(01_因子設定!$B$20="Box-Behnken",D4084^2+E4084^2+F4084^2&lt;=2+0.000000001,TRUE()))</f>
        <v>1</v>
      </c>
      <c r="W4084" s="55" t="n">
        <f aca="false">IF(V4084,IF(01_因子設定!$B$13="最大化",T4084-01_因子設定!$B$14,IF(01_因子設定!$B$13="最小化",01_因子設定!$B$15-U4084,MIN(T4084-01_因子設定!$B$14,01_因子設定!$B$15-U4084))),-1E+030)</f>
        <v>-5.18385135164952</v>
      </c>
      <c r="X4084" s="55" t="n">
        <f aca="false">IF(V4084,IF(01_因子設定!$B$13="最大化",Q4084,IF(01_因子設定!$B$13="最小化",-Q4084,-ABS(Q4084-01_因子設定!$B$16))),-1E+030)</f>
        <v>44.4816335227273</v>
      </c>
      <c r="Y4084" s="55" t="n">
        <f aca="false">W4084+ROW()*0.000000001</f>
        <v>-5.18384726764952</v>
      </c>
      <c r="Z4084" s="55" t="n">
        <f aca="false">X4084+ROW()*0.000000001</f>
        <v>44.4816376067273</v>
      </c>
    </row>
    <row r="4085" customFormat="false" ht="15" hidden="false" customHeight="false" outlineLevel="0" collapsed="false">
      <c r="A4085" s="0" t="n">
        <v>14</v>
      </c>
      <c r="B4085" s="0" t="n">
        <v>2</v>
      </c>
      <c r="C4085" s="0" t="n">
        <v>0</v>
      </c>
      <c r="D4085" s="0" t="n">
        <f aca="false">-1+A4085*0.125</f>
        <v>0.75</v>
      </c>
      <c r="E4085" s="0" t="n">
        <f aca="false">-1+B4085*0.125</f>
        <v>-0.75</v>
      </c>
      <c r="F4085" s="0" t="n">
        <f aca="false">-1+C4085*0.125</f>
        <v>-1</v>
      </c>
      <c r="G4085" s="0" t="n">
        <f aca="false">1</f>
        <v>1</v>
      </c>
      <c r="H4085" s="0" t="n">
        <f aca="false">D4085</f>
        <v>0.75</v>
      </c>
      <c r="I4085" s="0" t="n">
        <f aca="false">E4085</f>
        <v>-0.75</v>
      </c>
      <c r="J4085" s="0" t="n">
        <f aca="false">F4085</f>
        <v>-1</v>
      </c>
      <c r="K4085" s="0" t="n">
        <f aca="false">D4085*E4085</f>
        <v>-0.5625</v>
      </c>
      <c r="L4085" s="0" t="n">
        <f aca="false">D4085*F4085</f>
        <v>-0.75</v>
      </c>
      <c r="M4085" s="0" t="n">
        <f aca="false">E4085*F4085</f>
        <v>0.75</v>
      </c>
      <c r="N4085" s="0" t="n">
        <f aca="false">D4085*D4085</f>
        <v>0.5625</v>
      </c>
      <c r="O4085" s="0" t="n">
        <f aca="false">E4085*E4085</f>
        <v>0.5625</v>
      </c>
      <c r="P4085" s="0" t="n">
        <f aca="false">F4085*F4085</f>
        <v>1</v>
      </c>
      <c r="Q4085" s="0" t="n">
        <f aca="false">SUMPRODUCT(G4085:P4085,_XtX!$B$71:$K$71)</f>
        <v>43.4632670454546</v>
      </c>
      <c r="R4085" s="0" t="n">
        <f aca="false">SUMPRODUCT(MMULT(G4085:P4085,_XtX!$B$58:$K$67),G4085:P4085)</f>
        <v>0.518314985795455</v>
      </c>
      <c r="S4085" s="0" t="n">
        <f aca="false">04_回帰ANOVA!$K$19*04_回帰ANOVA!$K$14*SQRT(1+R4085)</f>
        <v>1.14563843495971</v>
      </c>
      <c r="T4085" s="0" t="n">
        <f aca="false">Q4085-S4085</f>
        <v>42.3176286104949</v>
      </c>
      <c r="U4085" s="0" t="n">
        <f aca="false">Q4085+S4085</f>
        <v>44.6089054804143</v>
      </c>
      <c r="V4085" s="54" t="b">
        <f aca="false">AND(D4085&gt;=01_因子設定!$L$5-0.000000001,D4085&lt;=01_因子設定!$M$5+0.000000001,E4085&gt;=01_因子設定!$L$6-0.000000001,E4085&lt;=01_因子設定!$M$6+0.000000001,F4085&gt;=01_因子設定!$L$7-0.000000001,F4085&lt;=01_因子設定!$M$7+0.000000001,IF(01_因子設定!$B$20="Box-Behnken",D4085^2+E4085^2+F4085^2&lt;=2+0.000000001,TRUE()))</f>
        <v>1</v>
      </c>
      <c r="W4085" s="55" t="n">
        <f aca="false">IF(V4085,IF(01_因子設定!$B$13="最大化",T4085-01_因子設定!$B$14,IF(01_因子設定!$B$13="最小化",01_因子設定!$B$15-U4085,MIN(T4085-01_因子設定!$B$14,01_因子設定!$B$15-U4085))),-1E+030)</f>
        <v>-6.18237138950514</v>
      </c>
      <c r="X4085" s="55" t="n">
        <f aca="false">IF(V4085,IF(01_因子設定!$B$13="最大化",Q4085,IF(01_因子設定!$B$13="最小化",-Q4085,-ABS(Q4085-01_因子設定!$B$16))),-1E+030)</f>
        <v>43.4632670454546</v>
      </c>
      <c r="Y4085" s="55" t="n">
        <f aca="false">W4085+ROW()*0.000000001</f>
        <v>-6.18236730450514</v>
      </c>
      <c r="Z4085" s="55" t="n">
        <f aca="false">X4085+ROW()*0.000000001</f>
        <v>43.4632711304546</v>
      </c>
    </row>
    <row r="4086" customFormat="false" ht="15" hidden="false" customHeight="false" outlineLevel="0" collapsed="false">
      <c r="A4086" s="0" t="n">
        <v>14</v>
      </c>
      <c r="B4086" s="0" t="n">
        <v>2</v>
      </c>
      <c r="C4086" s="0" t="n">
        <v>1</v>
      </c>
      <c r="D4086" s="0" t="n">
        <f aca="false">-1+A4086*0.125</f>
        <v>0.75</v>
      </c>
      <c r="E4086" s="0" t="n">
        <f aca="false">-1+B4086*0.125</f>
        <v>-0.75</v>
      </c>
      <c r="F4086" s="0" t="n">
        <f aca="false">-1+C4086*0.125</f>
        <v>-0.875</v>
      </c>
      <c r="G4086" s="0" t="n">
        <f aca="false">1</f>
        <v>1</v>
      </c>
      <c r="H4086" s="0" t="n">
        <f aca="false">D4086</f>
        <v>0.75</v>
      </c>
      <c r="I4086" s="0" t="n">
        <f aca="false">E4086</f>
        <v>-0.75</v>
      </c>
      <c r="J4086" s="0" t="n">
        <f aca="false">F4086</f>
        <v>-0.875</v>
      </c>
      <c r="K4086" s="0" t="n">
        <f aca="false">D4086*E4086</f>
        <v>-0.5625</v>
      </c>
      <c r="L4086" s="0" t="n">
        <f aca="false">D4086*F4086</f>
        <v>-0.65625</v>
      </c>
      <c r="M4086" s="0" t="n">
        <f aca="false">E4086*F4086</f>
        <v>0.65625</v>
      </c>
      <c r="N4086" s="0" t="n">
        <f aca="false">D4086*D4086</f>
        <v>0.5625</v>
      </c>
      <c r="O4086" s="0" t="n">
        <f aca="false">E4086*E4086</f>
        <v>0.5625</v>
      </c>
      <c r="P4086" s="0" t="n">
        <f aca="false">F4086*F4086</f>
        <v>0.765625</v>
      </c>
      <c r="Q4086" s="0" t="n">
        <f aca="false">SUMPRODUCT(G4086:P4086,_XtX!$B$71:$K$71)</f>
        <v>43.8554403409091</v>
      </c>
      <c r="R4086" s="0" t="n">
        <f aca="false">SUMPRODUCT(MMULT(G4086:P4086,_XtX!$B$58:$K$67),G4086:P4086)</f>
        <v>0.404656427556818</v>
      </c>
      <c r="S4086" s="0" t="n">
        <f aca="false">04_回帰ANOVA!$K$19*04_回帰ANOVA!$K$14*SQRT(1+R4086)</f>
        <v>1.10192412515358</v>
      </c>
      <c r="T4086" s="0" t="n">
        <f aca="false">Q4086-S4086</f>
        <v>42.7535162157555</v>
      </c>
      <c r="U4086" s="0" t="n">
        <f aca="false">Q4086+S4086</f>
        <v>44.9573644660627</v>
      </c>
      <c r="V4086" s="54" t="b">
        <f aca="false">AND(D4086&gt;=01_因子設定!$L$5-0.000000001,D4086&lt;=01_因子設定!$M$5+0.000000001,E4086&gt;=01_因子設定!$L$6-0.000000001,E4086&lt;=01_因子設定!$M$6+0.000000001,F4086&gt;=01_因子設定!$L$7-0.000000001,F4086&lt;=01_因子設定!$M$7+0.000000001,IF(01_因子設定!$B$20="Box-Behnken",D4086^2+E4086^2+F4086^2&lt;=2+0.000000001,TRUE()))</f>
        <v>1</v>
      </c>
      <c r="W4086" s="55" t="n">
        <f aca="false">IF(V4086,IF(01_因子設定!$B$13="最大化",T4086-01_因子設定!$B$14,IF(01_因子設定!$B$13="最小化",01_因子設定!$B$15-U4086,MIN(T4086-01_因子設定!$B$14,01_因子設定!$B$15-U4086))),-1E+030)</f>
        <v>-5.74648378424448</v>
      </c>
      <c r="X4086" s="55" t="n">
        <f aca="false">IF(V4086,IF(01_因子設定!$B$13="最大化",Q4086,IF(01_因子設定!$B$13="最小化",-Q4086,-ABS(Q4086-01_因子設定!$B$16))),-1E+030)</f>
        <v>43.8554403409091</v>
      </c>
      <c r="Y4086" s="55" t="n">
        <f aca="false">W4086+ROW()*0.000000001</f>
        <v>-5.74647969824448</v>
      </c>
      <c r="Z4086" s="55" t="n">
        <f aca="false">X4086+ROW()*0.000000001</f>
        <v>43.8554444269091</v>
      </c>
    </row>
    <row r="4087" customFormat="false" ht="15" hidden="false" customHeight="false" outlineLevel="0" collapsed="false">
      <c r="A4087" s="0" t="n">
        <v>14</v>
      </c>
      <c r="B4087" s="0" t="n">
        <v>2</v>
      </c>
      <c r="C4087" s="0" t="n">
        <v>2</v>
      </c>
      <c r="D4087" s="0" t="n">
        <f aca="false">-1+A4087*0.125</f>
        <v>0.75</v>
      </c>
      <c r="E4087" s="0" t="n">
        <f aca="false">-1+B4087*0.125</f>
        <v>-0.75</v>
      </c>
      <c r="F4087" s="0" t="n">
        <f aca="false">-1+C4087*0.125</f>
        <v>-0.75</v>
      </c>
      <c r="G4087" s="0" t="n">
        <f aca="false">1</f>
        <v>1</v>
      </c>
      <c r="H4087" s="0" t="n">
        <f aca="false">D4087</f>
        <v>0.75</v>
      </c>
      <c r="I4087" s="0" t="n">
        <f aca="false">E4087</f>
        <v>-0.75</v>
      </c>
      <c r="J4087" s="0" t="n">
        <f aca="false">F4087</f>
        <v>-0.75</v>
      </c>
      <c r="K4087" s="0" t="n">
        <f aca="false">D4087*E4087</f>
        <v>-0.5625</v>
      </c>
      <c r="L4087" s="0" t="n">
        <f aca="false">D4087*F4087</f>
        <v>-0.5625</v>
      </c>
      <c r="M4087" s="0" t="n">
        <f aca="false">E4087*F4087</f>
        <v>0.5625</v>
      </c>
      <c r="N4087" s="0" t="n">
        <f aca="false">D4087*D4087</f>
        <v>0.5625</v>
      </c>
      <c r="O4087" s="0" t="n">
        <f aca="false">E4087*E4087</f>
        <v>0.5625</v>
      </c>
      <c r="P4087" s="0" t="n">
        <f aca="false">F4087*F4087</f>
        <v>0.5625</v>
      </c>
      <c r="Q4087" s="0" t="n">
        <f aca="false">SUMPRODUCT(G4087:P4087,_XtX!$B$71:$K$71)</f>
        <v>44.2108238636364</v>
      </c>
      <c r="R4087" s="0" t="n">
        <f aca="false">SUMPRODUCT(MMULT(G4087:P4087,_XtX!$B$58:$K$67),G4087:P4087)</f>
        <v>0.338467684659091</v>
      </c>
      <c r="S4087" s="0" t="n">
        <f aca="false">04_回帰ANOVA!$K$19*04_回帰ANOVA!$K$14*SQRT(1+R4087)</f>
        <v>1.07564900835648</v>
      </c>
      <c r="T4087" s="0" t="n">
        <f aca="false">Q4087-S4087</f>
        <v>43.1351748552799</v>
      </c>
      <c r="U4087" s="0" t="n">
        <f aca="false">Q4087+S4087</f>
        <v>45.2864728719929</v>
      </c>
      <c r="V4087" s="54" t="b">
        <f aca="false">AND(D4087&gt;=01_因子設定!$L$5-0.000000001,D4087&lt;=01_因子設定!$M$5+0.000000001,E4087&gt;=01_因子設定!$L$6-0.000000001,E4087&lt;=01_因子設定!$M$6+0.000000001,F4087&gt;=01_因子設定!$L$7-0.000000001,F4087&lt;=01_因子設定!$M$7+0.000000001,IF(01_因子設定!$B$20="Box-Behnken",D4087^2+E4087^2+F4087^2&lt;=2+0.000000001,TRUE()))</f>
        <v>1</v>
      </c>
      <c r="W4087" s="55" t="n">
        <f aca="false">IF(V4087,IF(01_因子設定!$B$13="最大化",T4087-01_因子設定!$B$14,IF(01_因子設定!$B$13="最小化",01_因子設定!$B$15-U4087,MIN(T4087-01_因子設定!$B$14,01_因子設定!$B$15-U4087))),-1E+030)</f>
        <v>-5.3648251447201</v>
      </c>
      <c r="X4087" s="55" t="n">
        <f aca="false">IF(V4087,IF(01_因子設定!$B$13="最大化",Q4087,IF(01_因子設定!$B$13="最小化",-Q4087,-ABS(Q4087-01_因子設定!$B$16))),-1E+030)</f>
        <v>44.2108238636364</v>
      </c>
      <c r="Y4087" s="55" t="n">
        <f aca="false">W4087+ROW()*0.000000001</f>
        <v>-5.3648210577201</v>
      </c>
      <c r="Z4087" s="55" t="n">
        <f aca="false">X4087+ROW()*0.000000001</f>
        <v>44.2108279506364</v>
      </c>
    </row>
    <row r="4088" customFormat="false" ht="15" hidden="false" customHeight="false" outlineLevel="0" collapsed="false">
      <c r="A4088" s="0" t="n">
        <v>14</v>
      </c>
      <c r="B4088" s="0" t="n">
        <v>2</v>
      </c>
      <c r="C4088" s="0" t="n">
        <v>3</v>
      </c>
      <c r="D4088" s="0" t="n">
        <f aca="false">-1+A4088*0.125</f>
        <v>0.75</v>
      </c>
      <c r="E4088" s="0" t="n">
        <f aca="false">-1+B4088*0.125</f>
        <v>-0.75</v>
      </c>
      <c r="F4088" s="0" t="n">
        <f aca="false">-1+C4088*0.125</f>
        <v>-0.625</v>
      </c>
      <c r="G4088" s="0" t="n">
        <f aca="false">1</f>
        <v>1</v>
      </c>
      <c r="H4088" s="0" t="n">
        <f aca="false">D4088</f>
        <v>0.75</v>
      </c>
      <c r="I4088" s="0" t="n">
        <f aca="false">E4088</f>
        <v>-0.75</v>
      </c>
      <c r="J4088" s="0" t="n">
        <f aca="false">F4088</f>
        <v>-0.625</v>
      </c>
      <c r="K4088" s="0" t="n">
        <f aca="false">D4088*E4088</f>
        <v>-0.5625</v>
      </c>
      <c r="L4088" s="0" t="n">
        <f aca="false">D4088*F4088</f>
        <v>-0.46875</v>
      </c>
      <c r="M4088" s="0" t="n">
        <f aca="false">E4088*F4088</f>
        <v>0.46875</v>
      </c>
      <c r="N4088" s="0" t="n">
        <f aca="false">D4088*D4088</f>
        <v>0.5625</v>
      </c>
      <c r="O4088" s="0" t="n">
        <f aca="false">E4088*E4088</f>
        <v>0.5625</v>
      </c>
      <c r="P4088" s="0" t="n">
        <f aca="false">F4088*F4088</f>
        <v>0.390625</v>
      </c>
      <c r="Q4088" s="0" t="n">
        <f aca="false">SUMPRODUCT(G4088:P4088,_XtX!$B$71:$K$71)</f>
        <v>44.5294176136364</v>
      </c>
      <c r="R4088" s="0" t="n">
        <f aca="false">SUMPRODUCT(MMULT(G4088:P4088,_XtX!$B$58:$K$67),G4088:P4088)</f>
        <v>0.305899325284091</v>
      </c>
      <c r="S4088" s="0" t="n">
        <f aca="false">04_回帰ANOVA!$K$19*04_回帰ANOVA!$K$14*SQRT(1+R4088)</f>
        <v>1.06248176416816</v>
      </c>
      <c r="T4088" s="0" t="n">
        <f aca="false">Q4088-S4088</f>
        <v>43.4669358494682</v>
      </c>
      <c r="U4088" s="0" t="n">
        <f aca="false">Q4088+S4088</f>
        <v>45.5918993778045</v>
      </c>
      <c r="V4088" s="54" t="b">
        <f aca="false">AND(D4088&gt;=01_因子設定!$L$5-0.000000001,D4088&lt;=01_因子設定!$M$5+0.000000001,E4088&gt;=01_因子設定!$L$6-0.000000001,E4088&lt;=01_因子設定!$M$6+0.000000001,F4088&gt;=01_因子設定!$L$7-0.000000001,F4088&lt;=01_因子設定!$M$7+0.000000001,IF(01_因子設定!$B$20="Box-Behnken",D4088^2+E4088^2+F4088^2&lt;=2+0.000000001,TRUE()))</f>
        <v>1</v>
      </c>
      <c r="W4088" s="55" t="n">
        <f aca="false">IF(V4088,IF(01_因子設定!$B$13="最大化",T4088-01_因子設定!$B$14,IF(01_因子設定!$B$13="最小化",01_因子設定!$B$15-U4088,MIN(T4088-01_因子設定!$B$14,01_因子設定!$B$15-U4088))),-1E+030)</f>
        <v>-5.03306415053179</v>
      </c>
      <c r="X4088" s="55" t="n">
        <f aca="false">IF(V4088,IF(01_因子設定!$B$13="最大化",Q4088,IF(01_因子設定!$B$13="最小化",-Q4088,-ABS(Q4088-01_因子設定!$B$16))),-1E+030)</f>
        <v>44.5294176136364</v>
      </c>
      <c r="Y4088" s="55" t="n">
        <f aca="false">W4088+ROW()*0.000000001</f>
        <v>-5.03306006253179</v>
      </c>
      <c r="Z4088" s="55" t="n">
        <f aca="false">X4088+ROW()*0.000000001</f>
        <v>44.5294217016364</v>
      </c>
    </row>
    <row r="4089" customFormat="false" ht="15" hidden="false" customHeight="false" outlineLevel="0" collapsed="false">
      <c r="A4089" s="0" t="n">
        <v>14</v>
      </c>
      <c r="B4089" s="0" t="n">
        <v>2</v>
      </c>
      <c r="C4089" s="0" t="n">
        <v>4</v>
      </c>
      <c r="D4089" s="0" t="n">
        <f aca="false">-1+A4089*0.125</f>
        <v>0.75</v>
      </c>
      <c r="E4089" s="0" t="n">
        <f aca="false">-1+B4089*0.125</f>
        <v>-0.75</v>
      </c>
      <c r="F4089" s="0" t="n">
        <f aca="false">-1+C4089*0.125</f>
        <v>-0.5</v>
      </c>
      <c r="G4089" s="0" t="n">
        <f aca="false">1</f>
        <v>1</v>
      </c>
      <c r="H4089" s="0" t="n">
        <f aca="false">D4089</f>
        <v>0.75</v>
      </c>
      <c r="I4089" s="0" t="n">
        <f aca="false">E4089</f>
        <v>-0.75</v>
      </c>
      <c r="J4089" s="0" t="n">
        <f aca="false">F4089</f>
        <v>-0.5</v>
      </c>
      <c r="K4089" s="0" t="n">
        <f aca="false">D4089*E4089</f>
        <v>-0.5625</v>
      </c>
      <c r="L4089" s="0" t="n">
        <f aca="false">D4089*F4089</f>
        <v>-0.375</v>
      </c>
      <c r="M4089" s="0" t="n">
        <f aca="false">E4089*F4089</f>
        <v>0.375</v>
      </c>
      <c r="N4089" s="0" t="n">
        <f aca="false">D4089*D4089</f>
        <v>0.5625</v>
      </c>
      <c r="O4089" s="0" t="n">
        <f aca="false">E4089*E4089</f>
        <v>0.5625</v>
      </c>
      <c r="P4089" s="0" t="n">
        <f aca="false">F4089*F4089</f>
        <v>0.25</v>
      </c>
      <c r="Q4089" s="0" t="n">
        <f aca="false">SUMPRODUCT(G4089:P4089,_XtX!$B$71:$K$71)</f>
        <v>44.8112215909091</v>
      </c>
      <c r="R4089" s="0" t="n">
        <f aca="false">SUMPRODUCT(MMULT(G4089:P4089,_XtX!$B$58:$K$67),G4089:P4089)</f>
        <v>0.295232599431818</v>
      </c>
      <c r="S4089" s="0" t="n">
        <f aca="false">04_回帰ANOVA!$K$19*04_回帰ANOVA!$K$14*SQRT(1+R4089)</f>
        <v>1.05813363442154</v>
      </c>
      <c r="T4089" s="0" t="n">
        <f aca="false">Q4089-S4089</f>
        <v>43.7530879564876</v>
      </c>
      <c r="U4089" s="0" t="n">
        <f aca="false">Q4089+S4089</f>
        <v>45.8693552253306</v>
      </c>
      <c r="V4089" s="54" t="b">
        <f aca="false">AND(D4089&gt;=01_因子設定!$L$5-0.000000001,D4089&lt;=01_因子設定!$M$5+0.000000001,E4089&gt;=01_因子設定!$L$6-0.000000001,E4089&lt;=01_因子設定!$M$6+0.000000001,F4089&gt;=01_因子設定!$L$7-0.000000001,F4089&lt;=01_因子設定!$M$7+0.000000001,IF(01_因子設定!$B$20="Box-Behnken",D4089^2+E4089^2+F4089^2&lt;=2+0.000000001,TRUE()))</f>
        <v>1</v>
      </c>
      <c r="W4089" s="55" t="n">
        <f aca="false">IF(V4089,IF(01_因子設定!$B$13="最大化",T4089-01_因子設定!$B$14,IF(01_因子設定!$B$13="最小化",01_因子設定!$B$15-U4089,MIN(T4089-01_因子設定!$B$14,01_因子設定!$B$15-U4089))),-1E+030)</f>
        <v>-4.74691204351244</v>
      </c>
      <c r="X4089" s="55" t="n">
        <f aca="false">IF(V4089,IF(01_因子設定!$B$13="最大化",Q4089,IF(01_因子設定!$B$13="最小化",-Q4089,-ABS(Q4089-01_因子設定!$B$16))),-1E+030)</f>
        <v>44.8112215909091</v>
      </c>
      <c r="Y4089" s="55" t="n">
        <f aca="false">W4089+ROW()*0.000000001</f>
        <v>-4.74690795451244</v>
      </c>
      <c r="Z4089" s="55" t="n">
        <f aca="false">X4089+ROW()*0.000000001</f>
        <v>44.8112256799091</v>
      </c>
    </row>
    <row r="4090" customFormat="false" ht="15" hidden="false" customHeight="false" outlineLevel="0" collapsed="false">
      <c r="A4090" s="0" t="n">
        <v>14</v>
      </c>
      <c r="B4090" s="0" t="n">
        <v>2</v>
      </c>
      <c r="C4090" s="0" t="n">
        <v>5</v>
      </c>
      <c r="D4090" s="0" t="n">
        <f aca="false">-1+A4090*0.125</f>
        <v>0.75</v>
      </c>
      <c r="E4090" s="0" t="n">
        <f aca="false">-1+B4090*0.125</f>
        <v>-0.75</v>
      </c>
      <c r="F4090" s="0" t="n">
        <f aca="false">-1+C4090*0.125</f>
        <v>-0.375</v>
      </c>
      <c r="G4090" s="0" t="n">
        <f aca="false">1</f>
        <v>1</v>
      </c>
      <c r="H4090" s="0" t="n">
        <f aca="false">D4090</f>
        <v>0.75</v>
      </c>
      <c r="I4090" s="0" t="n">
        <f aca="false">E4090</f>
        <v>-0.75</v>
      </c>
      <c r="J4090" s="0" t="n">
        <f aca="false">F4090</f>
        <v>-0.375</v>
      </c>
      <c r="K4090" s="0" t="n">
        <f aca="false">D4090*E4090</f>
        <v>-0.5625</v>
      </c>
      <c r="L4090" s="0" t="n">
        <f aca="false">D4090*F4090</f>
        <v>-0.28125</v>
      </c>
      <c r="M4090" s="0" t="n">
        <f aca="false">E4090*F4090</f>
        <v>0.28125</v>
      </c>
      <c r="N4090" s="0" t="n">
        <f aca="false">D4090*D4090</f>
        <v>0.5625</v>
      </c>
      <c r="O4090" s="0" t="n">
        <f aca="false">E4090*E4090</f>
        <v>0.5625</v>
      </c>
      <c r="P4090" s="0" t="n">
        <f aca="false">F4090*F4090</f>
        <v>0.140625</v>
      </c>
      <c r="Q4090" s="0" t="n">
        <f aca="false">SUMPRODUCT(G4090:P4090,_XtX!$B$71:$K$71)</f>
        <v>45.0562357954546</v>
      </c>
      <c r="R4090" s="0" t="n">
        <f aca="false">SUMPRODUCT(MMULT(G4090:P4090,_XtX!$B$58:$K$67),G4090:P4090)</f>
        <v>0.296879438920455</v>
      </c>
      <c r="S4090" s="0" t="n">
        <f aca="false">04_回帰ANOVA!$K$19*04_回帰ANOVA!$K$14*SQRT(1+R4090)</f>
        <v>1.05880610927316</v>
      </c>
      <c r="T4090" s="0" t="n">
        <f aca="false">Q4090-S4090</f>
        <v>43.9974296861814</v>
      </c>
      <c r="U4090" s="0" t="n">
        <f aca="false">Q4090+S4090</f>
        <v>46.1150419047277</v>
      </c>
      <c r="V4090" s="54" t="b">
        <f aca="false">AND(D4090&gt;=01_因子設定!$L$5-0.000000001,D4090&lt;=01_因子設定!$M$5+0.000000001,E4090&gt;=01_因子設定!$L$6-0.000000001,E4090&lt;=01_因子設定!$M$6+0.000000001,F4090&gt;=01_因子設定!$L$7-0.000000001,F4090&lt;=01_因子設定!$M$7+0.000000001,IF(01_因子設定!$B$20="Box-Behnken",D4090^2+E4090^2+F4090^2&lt;=2+0.000000001,TRUE()))</f>
        <v>1</v>
      </c>
      <c r="W4090" s="55" t="n">
        <f aca="false">IF(V4090,IF(01_因子設定!$B$13="最大化",T4090-01_因子設定!$B$14,IF(01_因子設定!$B$13="最小化",01_因子設定!$B$15-U4090,MIN(T4090-01_因子設定!$B$14,01_因子設定!$B$15-U4090))),-1E+030)</f>
        <v>-4.50257031381862</v>
      </c>
      <c r="X4090" s="55" t="n">
        <f aca="false">IF(V4090,IF(01_因子設定!$B$13="最大化",Q4090,IF(01_因子設定!$B$13="最小化",-Q4090,-ABS(Q4090-01_因子設定!$B$16))),-1E+030)</f>
        <v>45.0562357954546</v>
      </c>
      <c r="Y4090" s="55" t="n">
        <f aca="false">W4090+ROW()*0.000000001</f>
        <v>-4.50256622381862</v>
      </c>
      <c r="Z4090" s="55" t="n">
        <f aca="false">X4090+ROW()*0.000000001</f>
        <v>45.0562398854545</v>
      </c>
    </row>
    <row r="4091" customFormat="false" ht="15" hidden="false" customHeight="false" outlineLevel="0" collapsed="false">
      <c r="A4091" s="0" t="n">
        <v>14</v>
      </c>
      <c r="B4091" s="0" t="n">
        <v>2</v>
      </c>
      <c r="C4091" s="0" t="n">
        <v>6</v>
      </c>
      <c r="D4091" s="0" t="n">
        <f aca="false">-1+A4091*0.125</f>
        <v>0.75</v>
      </c>
      <c r="E4091" s="0" t="n">
        <f aca="false">-1+B4091*0.125</f>
        <v>-0.75</v>
      </c>
      <c r="F4091" s="0" t="n">
        <f aca="false">-1+C4091*0.125</f>
        <v>-0.25</v>
      </c>
      <c r="G4091" s="0" t="n">
        <f aca="false">1</f>
        <v>1</v>
      </c>
      <c r="H4091" s="0" t="n">
        <f aca="false">D4091</f>
        <v>0.75</v>
      </c>
      <c r="I4091" s="0" t="n">
        <f aca="false">E4091</f>
        <v>-0.75</v>
      </c>
      <c r="J4091" s="0" t="n">
        <f aca="false">F4091</f>
        <v>-0.25</v>
      </c>
      <c r="K4091" s="0" t="n">
        <f aca="false">D4091*E4091</f>
        <v>-0.5625</v>
      </c>
      <c r="L4091" s="0" t="n">
        <f aca="false">D4091*F4091</f>
        <v>-0.1875</v>
      </c>
      <c r="M4091" s="0" t="n">
        <f aca="false">E4091*F4091</f>
        <v>0.1875</v>
      </c>
      <c r="N4091" s="0" t="n">
        <f aca="false">D4091*D4091</f>
        <v>0.5625</v>
      </c>
      <c r="O4091" s="0" t="n">
        <f aca="false">E4091*E4091</f>
        <v>0.5625</v>
      </c>
      <c r="P4091" s="0" t="n">
        <f aca="false">F4091*F4091</f>
        <v>0.0625</v>
      </c>
      <c r="Q4091" s="0" t="n">
        <f aca="false">SUMPRODUCT(G4091:P4091,_XtX!$B$71:$K$71)</f>
        <v>45.2644602272727</v>
      </c>
      <c r="R4091" s="0" t="n">
        <f aca="false">SUMPRODUCT(MMULT(G4091:P4091,_XtX!$B$58:$K$67),G4091:P4091)</f>
        <v>0.303382457386364</v>
      </c>
      <c r="S4091" s="0" t="n">
        <f aca="false">04_回帰ANOVA!$K$19*04_回帰ANOVA!$K$14*SQRT(1+R4091)</f>
        <v>1.06145740650883</v>
      </c>
      <c r="T4091" s="0" t="n">
        <f aca="false">Q4091-S4091</f>
        <v>44.2030028207639</v>
      </c>
      <c r="U4091" s="0" t="n">
        <f aca="false">Q4091+S4091</f>
        <v>46.3259176337816</v>
      </c>
      <c r="V4091" s="54" t="b">
        <f aca="false">AND(D4091&gt;=01_因子設定!$L$5-0.000000001,D4091&lt;=01_因子設定!$M$5+0.000000001,E4091&gt;=01_因子設定!$L$6-0.000000001,E4091&lt;=01_因子設定!$M$6+0.000000001,F4091&gt;=01_因子設定!$L$7-0.000000001,F4091&lt;=01_因子設定!$M$7+0.000000001,IF(01_因子設定!$B$20="Box-Behnken",D4091^2+E4091^2+F4091^2&lt;=2+0.000000001,TRUE()))</f>
        <v>1</v>
      </c>
      <c r="W4091" s="55" t="n">
        <f aca="false">IF(V4091,IF(01_因子設定!$B$13="最大化",T4091-01_因子設定!$B$14,IF(01_因子設定!$B$13="最小化",01_因子設定!$B$15-U4091,MIN(T4091-01_因子設定!$B$14,01_因子設定!$B$15-U4091))),-1E+030)</f>
        <v>-4.29699717923611</v>
      </c>
      <c r="X4091" s="55" t="n">
        <f aca="false">IF(V4091,IF(01_因子設定!$B$13="最大化",Q4091,IF(01_因子設定!$B$13="最小化",-Q4091,-ABS(Q4091-01_因子設定!$B$16))),-1E+030)</f>
        <v>45.2644602272727</v>
      </c>
      <c r="Y4091" s="55" t="n">
        <f aca="false">W4091+ROW()*0.000000001</f>
        <v>-4.29699308823611</v>
      </c>
      <c r="Z4091" s="55" t="n">
        <f aca="false">X4091+ROW()*0.000000001</f>
        <v>45.2644643182727</v>
      </c>
    </row>
    <row r="4092" customFormat="false" ht="15" hidden="false" customHeight="false" outlineLevel="0" collapsed="false">
      <c r="A4092" s="0" t="n">
        <v>14</v>
      </c>
      <c r="B4092" s="0" t="n">
        <v>2</v>
      </c>
      <c r="C4092" s="0" t="n">
        <v>7</v>
      </c>
      <c r="D4092" s="0" t="n">
        <f aca="false">-1+A4092*0.125</f>
        <v>0.75</v>
      </c>
      <c r="E4092" s="0" t="n">
        <f aca="false">-1+B4092*0.125</f>
        <v>-0.75</v>
      </c>
      <c r="F4092" s="0" t="n">
        <f aca="false">-1+C4092*0.125</f>
        <v>-0.125</v>
      </c>
      <c r="G4092" s="0" t="n">
        <f aca="false">1</f>
        <v>1</v>
      </c>
      <c r="H4092" s="0" t="n">
        <f aca="false">D4092</f>
        <v>0.75</v>
      </c>
      <c r="I4092" s="0" t="n">
        <f aca="false">E4092</f>
        <v>-0.75</v>
      </c>
      <c r="J4092" s="0" t="n">
        <f aca="false">F4092</f>
        <v>-0.125</v>
      </c>
      <c r="K4092" s="0" t="n">
        <f aca="false">D4092*E4092</f>
        <v>-0.5625</v>
      </c>
      <c r="L4092" s="0" t="n">
        <f aca="false">D4092*F4092</f>
        <v>-0.09375</v>
      </c>
      <c r="M4092" s="0" t="n">
        <f aca="false">E4092*F4092</f>
        <v>0.09375</v>
      </c>
      <c r="N4092" s="0" t="n">
        <f aca="false">D4092*D4092</f>
        <v>0.5625</v>
      </c>
      <c r="O4092" s="0" t="n">
        <f aca="false">E4092*E4092</f>
        <v>0.5625</v>
      </c>
      <c r="P4092" s="0" t="n">
        <f aca="false">F4092*F4092</f>
        <v>0.015625</v>
      </c>
      <c r="Q4092" s="0" t="n">
        <f aca="false">SUMPRODUCT(G4092:P4092,_XtX!$B$71:$K$71)</f>
        <v>45.4358948863636</v>
      </c>
      <c r="R4092" s="0" t="n">
        <f aca="false">SUMPRODUCT(MMULT(G4092:P4092,_XtX!$B$58:$K$67),G4092:P4092)</f>
        <v>0.309414950284091</v>
      </c>
      <c r="S4092" s="0" t="n">
        <f aca="false">04_回帰ANOVA!$K$19*04_回帰ANOVA!$K$14*SQRT(1+R4092)</f>
        <v>1.06391096196568</v>
      </c>
      <c r="T4092" s="0" t="n">
        <f aca="false">Q4092-S4092</f>
        <v>44.371983924398</v>
      </c>
      <c r="U4092" s="0" t="n">
        <f aca="false">Q4092+S4092</f>
        <v>46.4998058483293</v>
      </c>
      <c r="V4092" s="54" t="b">
        <f aca="false">AND(D4092&gt;=01_因子設定!$L$5-0.000000001,D4092&lt;=01_因子設定!$M$5+0.000000001,E4092&gt;=01_因子設定!$L$6-0.000000001,E4092&lt;=01_因子設定!$M$6+0.000000001,F4092&gt;=01_因子設定!$L$7-0.000000001,F4092&lt;=01_因子設定!$M$7+0.000000001,IF(01_因子設定!$B$20="Box-Behnken",D4092^2+E4092^2+F4092^2&lt;=2+0.000000001,TRUE()))</f>
        <v>1</v>
      </c>
      <c r="W4092" s="55" t="n">
        <f aca="false">IF(V4092,IF(01_因子設定!$B$13="最大化",T4092-01_因子設定!$B$14,IF(01_因子設定!$B$13="最小化",01_因子設定!$B$15-U4092,MIN(T4092-01_因子設定!$B$14,01_因子設定!$B$15-U4092))),-1E+030)</f>
        <v>-4.12801607560204</v>
      </c>
      <c r="X4092" s="55" t="n">
        <f aca="false">IF(V4092,IF(01_因子設定!$B$13="最大化",Q4092,IF(01_因子設定!$B$13="最小化",-Q4092,-ABS(Q4092-01_因子設定!$B$16))),-1E+030)</f>
        <v>45.4358948863636</v>
      </c>
      <c r="Y4092" s="55" t="n">
        <f aca="false">W4092+ROW()*0.000000001</f>
        <v>-4.12801198360204</v>
      </c>
      <c r="Z4092" s="55" t="n">
        <f aca="false">X4092+ROW()*0.000000001</f>
        <v>45.4358989783636</v>
      </c>
    </row>
    <row r="4093" customFormat="false" ht="15" hidden="false" customHeight="false" outlineLevel="0" collapsed="false">
      <c r="A4093" s="0" t="n">
        <v>14</v>
      </c>
      <c r="B4093" s="0" t="n">
        <v>2</v>
      </c>
      <c r="C4093" s="0" t="n">
        <v>8</v>
      </c>
      <c r="D4093" s="0" t="n">
        <f aca="false">-1+A4093*0.125</f>
        <v>0.75</v>
      </c>
      <c r="E4093" s="0" t="n">
        <f aca="false">-1+B4093*0.125</f>
        <v>-0.75</v>
      </c>
      <c r="F4093" s="0" t="n">
        <f aca="false">-1+C4093*0.125</f>
        <v>0</v>
      </c>
      <c r="G4093" s="0" t="n">
        <f aca="false">1</f>
        <v>1</v>
      </c>
      <c r="H4093" s="0" t="n">
        <f aca="false">D4093</f>
        <v>0.75</v>
      </c>
      <c r="I4093" s="0" t="n">
        <f aca="false">E4093</f>
        <v>-0.75</v>
      </c>
      <c r="J4093" s="0" t="n">
        <f aca="false">F4093</f>
        <v>0</v>
      </c>
      <c r="K4093" s="0" t="n">
        <f aca="false">D4093*E4093</f>
        <v>-0.5625</v>
      </c>
      <c r="L4093" s="0" t="n">
        <f aca="false">D4093*F4093</f>
        <v>0</v>
      </c>
      <c r="M4093" s="0" t="n">
        <f aca="false">E4093*F4093</f>
        <v>-0</v>
      </c>
      <c r="N4093" s="0" t="n">
        <f aca="false">D4093*D4093</f>
        <v>0.5625</v>
      </c>
      <c r="O4093" s="0" t="n">
        <f aca="false">E4093*E4093</f>
        <v>0.5625</v>
      </c>
      <c r="P4093" s="0" t="n">
        <f aca="false">F4093*F4093</f>
        <v>0</v>
      </c>
      <c r="Q4093" s="0" t="n">
        <f aca="false">SUMPRODUCT(G4093:P4093,_XtX!$B$71:$K$71)</f>
        <v>45.5705397727273</v>
      </c>
      <c r="R4093" s="0" t="n">
        <f aca="false">SUMPRODUCT(MMULT(G4093:P4093,_XtX!$B$58:$K$67),G4093:P4093)</f>
        <v>0.311780894886364</v>
      </c>
      <c r="S4093" s="0" t="n">
        <f aca="false">04_回帰ANOVA!$K$19*04_回帰ANOVA!$K$14*SQRT(1+R4093)</f>
        <v>1.06487170339437</v>
      </c>
      <c r="T4093" s="0" t="n">
        <f aca="false">Q4093-S4093</f>
        <v>44.5056680693329</v>
      </c>
      <c r="U4093" s="0" t="n">
        <f aca="false">Q4093+S4093</f>
        <v>46.6354114761217</v>
      </c>
      <c r="V4093" s="54" t="b">
        <f aca="false">AND(D4093&gt;=01_因子設定!$L$5-0.000000001,D4093&lt;=01_因子設定!$M$5+0.000000001,E4093&gt;=01_因子設定!$L$6-0.000000001,E4093&lt;=01_因子設定!$M$6+0.000000001,F4093&gt;=01_因子設定!$L$7-0.000000001,F4093&lt;=01_因子設定!$M$7+0.000000001,IF(01_因子設定!$B$20="Box-Behnken",D4093^2+E4093^2+F4093^2&lt;=2+0.000000001,TRUE()))</f>
        <v>1</v>
      </c>
      <c r="W4093" s="55" t="n">
        <f aca="false">IF(V4093,IF(01_因子設定!$B$13="最大化",T4093-01_因子設定!$B$14,IF(01_因子設定!$B$13="最小化",01_因子設定!$B$15-U4093,MIN(T4093-01_因子設定!$B$14,01_因子設定!$B$15-U4093))),-1E+030)</f>
        <v>-3.9943319306671</v>
      </c>
      <c r="X4093" s="55" t="n">
        <f aca="false">IF(V4093,IF(01_因子設定!$B$13="最大化",Q4093,IF(01_因子設定!$B$13="最小化",-Q4093,-ABS(Q4093-01_因子設定!$B$16))),-1E+030)</f>
        <v>45.5705397727273</v>
      </c>
      <c r="Y4093" s="55" t="n">
        <f aca="false">W4093+ROW()*0.000000001</f>
        <v>-3.9943278376671</v>
      </c>
      <c r="Z4093" s="55" t="n">
        <f aca="false">X4093+ROW()*0.000000001</f>
        <v>45.5705438657273</v>
      </c>
    </row>
    <row r="4094" customFormat="false" ht="15" hidden="false" customHeight="false" outlineLevel="0" collapsed="false">
      <c r="A4094" s="0" t="n">
        <v>14</v>
      </c>
      <c r="B4094" s="0" t="n">
        <v>2</v>
      </c>
      <c r="C4094" s="0" t="n">
        <v>9</v>
      </c>
      <c r="D4094" s="0" t="n">
        <f aca="false">-1+A4094*0.125</f>
        <v>0.75</v>
      </c>
      <c r="E4094" s="0" t="n">
        <f aca="false">-1+B4094*0.125</f>
        <v>-0.75</v>
      </c>
      <c r="F4094" s="0" t="n">
        <f aca="false">-1+C4094*0.125</f>
        <v>0.125</v>
      </c>
      <c r="G4094" s="0" t="n">
        <f aca="false">1</f>
        <v>1</v>
      </c>
      <c r="H4094" s="0" t="n">
        <f aca="false">D4094</f>
        <v>0.75</v>
      </c>
      <c r="I4094" s="0" t="n">
        <f aca="false">E4094</f>
        <v>-0.75</v>
      </c>
      <c r="J4094" s="0" t="n">
        <f aca="false">F4094</f>
        <v>0.125</v>
      </c>
      <c r="K4094" s="0" t="n">
        <f aca="false">D4094*E4094</f>
        <v>-0.5625</v>
      </c>
      <c r="L4094" s="0" t="n">
        <f aca="false">D4094*F4094</f>
        <v>0.09375</v>
      </c>
      <c r="M4094" s="0" t="n">
        <f aca="false">E4094*F4094</f>
        <v>-0.09375</v>
      </c>
      <c r="N4094" s="0" t="n">
        <f aca="false">D4094*D4094</f>
        <v>0.5625</v>
      </c>
      <c r="O4094" s="0" t="n">
        <f aca="false">E4094*E4094</f>
        <v>0.5625</v>
      </c>
      <c r="P4094" s="0" t="n">
        <f aca="false">F4094*F4094</f>
        <v>0.015625</v>
      </c>
      <c r="Q4094" s="0" t="n">
        <f aca="false">SUMPRODUCT(G4094:P4094,_XtX!$B$71:$K$71)</f>
        <v>45.6683948863636</v>
      </c>
      <c r="R4094" s="0" t="n">
        <f aca="false">SUMPRODUCT(MMULT(G4094:P4094,_XtX!$B$58:$K$67),G4094:P4094)</f>
        <v>0.309414950284091</v>
      </c>
      <c r="S4094" s="0" t="n">
        <f aca="false">04_回帰ANOVA!$K$19*04_回帰ANOVA!$K$14*SQRT(1+R4094)</f>
        <v>1.06391096196568</v>
      </c>
      <c r="T4094" s="0" t="n">
        <f aca="false">Q4094-S4094</f>
        <v>44.604483924398</v>
      </c>
      <c r="U4094" s="0" t="n">
        <f aca="false">Q4094+S4094</f>
        <v>46.7323058483293</v>
      </c>
      <c r="V4094" s="54" t="b">
        <f aca="false">AND(D4094&gt;=01_因子設定!$L$5-0.000000001,D4094&lt;=01_因子設定!$M$5+0.000000001,E4094&gt;=01_因子設定!$L$6-0.000000001,E4094&lt;=01_因子設定!$M$6+0.000000001,F4094&gt;=01_因子設定!$L$7-0.000000001,F4094&lt;=01_因子設定!$M$7+0.000000001,IF(01_因子設定!$B$20="Box-Behnken",D4094^2+E4094^2+F4094^2&lt;=2+0.000000001,TRUE()))</f>
        <v>1</v>
      </c>
      <c r="W4094" s="55" t="n">
        <f aca="false">IF(V4094,IF(01_因子設定!$B$13="最大化",T4094-01_因子設定!$B$14,IF(01_因子設定!$B$13="最小化",01_因子設定!$B$15-U4094,MIN(T4094-01_因子設定!$B$14,01_因子設定!$B$15-U4094))),-1E+030)</f>
        <v>-3.89551607560204</v>
      </c>
      <c r="X4094" s="55" t="n">
        <f aca="false">IF(V4094,IF(01_因子設定!$B$13="最大化",Q4094,IF(01_因子設定!$B$13="最小化",-Q4094,-ABS(Q4094-01_因子設定!$B$16))),-1E+030)</f>
        <v>45.6683948863636</v>
      </c>
      <c r="Y4094" s="55" t="n">
        <f aca="false">W4094+ROW()*0.000000001</f>
        <v>-3.89551198160204</v>
      </c>
      <c r="Z4094" s="55" t="n">
        <f aca="false">X4094+ROW()*0.000000001</f>
        <v>45.6683989803636</v>
      </c>
    </row>
    <row r="4095" customFormat="false" ht="15" hidden="false" customHeight="false" outlineLevel="0" collapsed="false">
      <c r="A4095" s="0" t="n">
        <v>14</v>
      </c>
      <c r="B4095" s="0" t="n">
        <v>2</v>
      </c>
      <c r="C4095" s="0" t="n">
        <v>10</v>
      </c>
      <c r="D4095" s="0" t="n">
        <f aca="false">-1+A4095*0.125</f>
        <v>0.75</v>
      </c>
      <c r="E4095" s="0" t="n">
        <f aca="false">-1+B4095*0.125</f>
        <v>-0.75</v>
      </c>
      <c r="F4095" s="0" t="n">
        <f aca="false">-1+C4095*0.125</f>
        <v>0.25</v>
      </c>
      <c r="G4095" s="0" t="n">
        <f aca="false">1</f>
        <v>1</v>
      </c>
      <c r="H4095" s="0" t="n">
        <f aca="false">D4095</f>
        <v>0.75</v>
      </c>
      <c r="I4095" s="0" t="n">
        <f aca="false">E4095</f>
        <v>-0.75</v>
      </c>
      <c r="J4095" s="0" t="n">
        <f aca="false">F4095</f>
        <v>0.25</v>
      </c>
      <c r="K4095" s="0" t="n">
        <f aca="false">D4095*E4095</f>
        <v>-0.5625</v>
      </c>
      <c r="L4095" s="0" t="n">
        <f aca="false">D4095*F4095</f>
        <v>0.1875</v>
      </c>
      <c r="M4095" s="0" t="n">
        <f aca="false">E4095*F4095</f>
        <v>-0.1875</v>
      </c>
      <c r="N4095" s="0" t="n">
        <f aca="false">D4095*D4095</f>
        <v>0.5625</v>
      </c>
      <c r="O4095" s="0" t="n">
        <f aca="false">E4095*E4095</f>
        <v>0.5625</v>
      </c>
      <c r="P4095" s="0" t="n">
        <f aca="false">F4095*F4095</f>
        <v>0.0625</v>
      </c>
      <c r="Q4095" s="0" t="n">
        <f aca="false">SUMPRODUCT(G4095:P4095,_XtX!$B$71:$K$71)</f>
        <v>45.7294602272727</v>
      </c>
      <c r="R4095" s="0" t="n">
        <f aca="false">SUMPRODUCT(MMULT(G4095:P4095,_XtX!$B$58:$K$67),G4095:P4095)</f>
        <v>0.303382457386364</v>
      </c>
      <c r="S4095" s="0" t="n">
        <f aca="false">04_回帰ANOVA!$K$19*04_回帰ANOVA!$K$14*SQRT(1+R4095)</f>
        <v>1.06145740650883</v>
      </c>
      <c r="T4095" s="0" t="n">
        <f aca="false">Q4095-S4095</f>
        <v>44.6680028207639</v>
      </c>
      <c r="U4095" s="0" t="n">
        <f aca="false">Q4095+S4095</f>
        <v>46.7909176337816</v>
      </c>
      <c r="V4095" s="54" t="b">
        <f aca="false">AND(D4095&gt;=01_因子設定!$L$5-0.000000001,D4095&lt;=01_因子設定!$M$5+0.000000001,E4095&gt;=01_因子設定!$L$6-0.000000001,E4095&lt;=01_因子設定!$M$6+0.000000001,F4095&gt;=01_因子設定!$L$7-0.000000001,F4095&lt;=01_因子設定!$M$7+0.000000001,IF(01_因子設定!$B$20="Box-Behnken",D4095^2+E4095^2+F4095^2&lt;=2+0.000000001,TRUE()))</f>
        <v>1</v>
      </c>
      <c r="W4095" s="55" t="n">
        <f aca="false">IF(V4095,IF(01_因子設定!$B$13="最大化",T4095-01_因子設定!$B$14,IF(01_因子設定!$B$13="最小化",01_因子設定!$B$15-U4095,MIN(T4095-01_因子設定!$B$14,01_因子設定!$B$15-U4095))),-1E+030)</f>
        <v>-3.8319971792361</v>
      </c>
      <c r="X4095" s="55" t="n">
        <f aca="false">IF(V4095,IF(01_因子設定!$B$13="最大化",Q4095,IF(01_因子設定!$B$13="最小化",-Q4095,-ABS(Q4095-01_因子設定!$B$16))),-1E+030)</f>
        <v>45.7294602272727</v>
      </c>
      <c r="Y4095" s="55" t="n">
        <f aca="false">W4095+ROW()*0.000000001</f>
        <v>-3.8319930842361</v>
      </c>
      <c r="Z4095" s="55" t="n">
        <f aca="false">X4095+ROW()*0.000000001</f>
        <v>45.7294643222727</v>
      </c>
    </row>
    <row r="4096" customFormat="false" ht="15" hidden="false" customHeight="false" outlineLevel="0" collapsed="false">
      <c r="A4096" s="0" t="n">
        <v>14</v>
      </c>
      <c r="B4096" s="0" t="n">
        <v>2</v>
      </c>
      <c r="C4096" s="0" t="n">
        <v>11</v>
      </c>
      <c r="D4096" s="0" t="n">
        <f aca="false">-1+A4096*0.125</f>
        <v>0.75</v>
      </c>
      <c r="E4096" s="0" t="n">
        <f aca="false">-1+B4096*0.125</f>
        <v>-0.75</v>
      </c>
      <c r="F4096" s="0" t="n">
        <f aca="false">-1+C4096*0.125</f>
        <v>0.375</v>
      </c>
      <c r="G4096" s="0" t="n">
        <f aca="false">1</f>
        <v>1</v>
      </c>
      <c r="H4096" s="0" t="n">
        <f aca="false">D4096</f>
        <v>0.75</v>
      </c>
      <c r="I4096" s="0" t="n">
        <f aca="false">E4096</f>
        <v>-0.75</v>
      </c>
      <c r="J4096" s="0" t="n">
        <f aca="false">F4096</f>
        <v>0.375</v>
      </c>
      <c r="K4096" s="0" t="n">
        <f aca="false">D4096*E4096</f>
        <v>-0.5625</v>
      </c>
      <c r="L4096" s="0" t="n">
        <f aca="false">D4096*F4096</f>
        <v>0.28125</v>
      </c>
      <c r="M4096" s="0" t="n">
        <f aca="false">E4096*F4096</f>
        <v>-0.28125</v>
      </c>
      <c r="N4096" s="0" t="n">
        <f aca="false">D4096*D4096</f>
        <v>0.5625</v>
      </c>
      <c r="O4096" s="0" t="n">
        <f aca="false">E4096*E4096</f>
        <v>0.5625</v>
      </c>
      <c r="P4096" s="0" t="n">
        <f aca="false">F4096*F4096</f>
        <v>0.140625</v>
      </c>
      <c r="Q4096" s="0" t="n">
        <f aca="false">SUMPRODUCT(G4096:P4096,_XtX!$B$71:$K$71)</f>
        <v>45.7537357954545</v>
      </c>
      <c r="R4096" s="0" t="n">
        <f aca="false">SUMPRODUCT(MMULT(G4096:P4096,_XtX!$B$58:$K$67),G4096:P4096)</f>
        <v>0.296879438920455</v>
      </c>
      <c r="S4096" s="0" t="n">
        <f aca="false">04_回帰ANOVA!$K$19*04_回帰ANOVA!$K$14*SQRT(1+R4096)</f>
        <v>1.05880610927316</v>
      </c>
      <c r="T4096" s="0" t="n">
        <f aca="false">Q4096-S4096</f>
        <v>44.6949296861814</v>
      </c>
      <c r="U4096" s="0" t="n">
        <f aca="false">Q4096+S4096</f>
        <v>46.8125419047277</v>
      </c>
      <c r="V4096" s="54" t="b">
        <f aca="false">AND(D4096&gt;=01_因子設定!$L$5-0.000000001,D4096&lt;=01_因子設定!$M$5+0.000000001,E4096&gt;=01_因子設定!$L$6-0.000000001,E4096&lt;=01_因子設定!$M$6+0.000000001,F4096&gt;=01_因子設定!$L$7-0.000000001,F4096&lt;=01_因子設定!$M$7+0.000000001,IF(01_因子設定!$B$20="Box-Behnken",D4096^2+E4096^2+F4096^2&lt;=2+0.000000001,TRUE()))</f>
        <v>1</v>
      </c>
      <c r="W4096" s="55" t="n">
        <f aca="false">IF(V4096,IF(01_因子設定!$B$13="最大化",T4096-01_因子設定!$B$14,IF(01_因子設定!$B$13="最小化",01_因子設定!$B$15-U4096,MIN(T4096-01_因子設定!$B$14,01_因子設定!$B$15-U4096))),-1E+030)</f>
        <v>-3.80507031381862</v>
      </c>
      <c r="X4096" s="55" t="n">
        <f aca="false">IF(V4096,IF(01_因子設定!$B$13="最大化",Q4096,IF(01_因子設定!$B$13="最小化",-Q4096,-ABS(Q4096-01_因子設定!$B$16))),-1E+030)</f>
        <v>45.7537357954545</v>
      </c>
      <c r="Y4096" s="55" t="n">
        <f aca="false">W4096+ROW()*0.000000001</f>
        <v>-3.80506621781862</v>
      </c>
      <c r="Z4096" s="55" t="n">
        <f aca="false">X4096+ROW()*0.000000001</f>
        <v>45.7537398914545</v>
      </c>
    </row>
    <row r="4097" customFormat="false" ht="15" hidden="false" customHeight="false" outlineLevel="0" collapsed="false">
      <c r="A4097" s="0" t="n">
        <v>14</v>
      </c>
      <c r="B4097" s="0" t="n">
        <v>2</v>
      </c>
      <c r="C4097" s="0" t="n">
        <v>12</v>
      </c>
      <c r="D4097" s="0" t="n">
        <f aca="false">-1+A4097*0.125</f>
        <v>0.75</v>
      </c>
      <c r="E4097" s="0" t="n">
        <f aca="false">-1+B4097*0.125</f>
        <v>-0.75</v>
      </c>
      <c r="F4097" s="0" t="n">
        <f aca="false">-1+C4097*0.125</f>
        <v>0.5</v>
      </c>
      <c r="G4097" s="0" t="n">
        <f aca="false">1</f>
        <v>1</v>
      </c>
      <c r="H4097" s="0" t="n">
        <f aca="false">D4097</f>
        <v>0.75</v>
      </c>
      <c r="I4097" s="0" t="n">
        <f aca="false">E4097</f>
        <v>-0.75</v>
      </c>
      <c r="J4097" s="0" t="n">
        <f aca="false">F4097</f>
        <v>0.5</v>
      </c>
      <c r="K4097" s="0" t="n">
        <f aca="false">D4097*E4097</f>
        <v>-0.5625</v>
      </c>
      <c r="L4097" s="0" t="n">
        <f aca="false">D4097*F4097</f>
        <v>0.375</v>
      </c>
      <c r="M4097" s="0" t="n">
        <f aca="false">E4097*F4097</f>
        <v>-0.375</v>
      </c>
      <c r="N4097" s="0" t="n">
        <f aca="false">D4097*D4097</f>
        <v>0.5625</v>
      </c>
      <c r="O4097" s="0" t="n">
        <f aca="false">E4097*E4097</f>
        <v>0.5625</v>
      </c>
      <c r="P4097" s="0" t="n">
        <f aca="false">F4097*F4097</f>
        <v>0.25</v>
      </c>
      <c r="Q4097" s="0" t="n">
        <f aca="false">SUMPRODUCT(G4097:P4097,_XtX!$B$71:$K$71)</f>
        <v>45.7412215909091</v>
      </c>
      <c r="R4097" s="0" t="n">
        <f aca="false">SUMPRODUCT(MMULT(G4097:P4097,_XtX!$B$58:$K$67),G4097:P4097)</f>
        <v>0.295232599431818</v>
      </c>
      <c r="S4097" s="0" t="n">
        <f aca="false">04_回帰ANOVA!$K$19*04_回帰ANOVA!$K$14*SQRT(1+R4097)</f>
        <v>1.05813363442154</v>
      </c>
      <c r="T4097" s="0" t="n">
        <f aca="false">Q4097-S4097</f>
        <v>44.6830879564876</v>
      </c>
      <c r="U4097" s="0" t="n">
        <f aca="false">Q4097+S4097</f>
        <v>46.7993552253306</v>
      </c>
      <c r="V4097" s="54" t="b">
        <f aca="false">AND(D4097&gt;=01_因子設定!$L$5-0.000000001,D4097&lt;=01_因子設定!$M$5+0.000000001,E4097&gt;=01_因子設定!$L$6-0.000000001,E4097&lt;=01_因子設定!$M$6+0.000000001,F4097&gt;=01_因子設定!$L$7-0.000000001,F4097&lt;=01_因子設定!$M$7+0.000000001,IF(01_因子設定!$B$20="Box-Behnken",D4097^2+E4097^2+F4097^2&lt;=2+0.000000001,TRUE()))</f>
        <v>1</v>
      </c>
      <c r="W4097" s="55" t="n">
        <f aca="false">IF(V4097,IF(01_因子設定!$B$13="最大化",T4097-01_因子設定!$B$14,IF(01_因子設定!$B$13="最小化",01_因子設定!$B$15-U4097,MIN(T4097-01_因子設定!$B$14,01_因子設定!$B$15-U4097))),-1E+030)</f>
        <v>-3.81691204351244</v>
      </c>
      <c r="X4097" s="55" t="n">
        <f aca="false">IF(V4097,IF(01_因子設定!$B$13="最大化",Q4097,IF(01_因子設定!$B$13="最小化",-Q4097,-ABS(Q4097-01_因子設定!$B$16))),-1E+030)</f>
        <v>45.7412215909091</v>
      </c>
      <c r="Y4097" s="55" t="n">
        <f aca="false">W4097+ROW()*0.000000001</f>
        <v>-3.81690794651244</v>
      </c>
      <c r="Z4097" s="55" t="n">
        <f aca="false">X4097+ROW()*0.000000001</f>
        <v>45.7412256879091</v>
      </c>
    </row>
    <row r="4098" customFormat="false" ht="15" hidden="false" customHeight="false" outlineLevel="0" collapsed="false">
      <c r="A4098" s="0" t="n">
        <v>14</v>
      </c>
      <c r="B4098" s="0" t="n">
        <v>2</v>
      </c>
      <c r="C4098" s="0" t="n">
        <v>13</v>
      </c>
      <c r="D4098" s="0" t="n">
        <f aca="false">-1+A4098*0.125</f>
        <v>0.75</v>
      </c>
      <c r="E4098" s="0" t="n">
        <f aca="false">-1+B4098*0.125</f>
        <v>-0.75</v>
      </c>
      <c r="F4098" s="0" t="n">
        <f aca="false">-1+C4098*0.125</f>
        <v>0.625</v>
      </c>
      <c r="G4098" s="0" t="n">
        <f aca="false">1</f>
        <v>1</v>
      </c>
      <c r="H4098" s="0" t="n">
        <f aca="false">D4098</f>
        <v>0.75</v>
      </c>
      <c r="I4098" s="0" t="n">
        <f aca="false">E4098</f>
        <v>-0.75</v>
      </c>
      <c r="J4098" s="0" t="n">
        <f aca="false">F4098</f>
        <v>0.625</v>
      </c>
      <c r="K4098" s="0" t="n">
        <f aca="false">D4098*E4098</f>
        <v>-0.5625</v>
      </c>
      <c r="L4098" s="0" t="n">
        <f aca="false">D4098*F4098</f>
        <v>0.46875</v>
      </c>
      <c r="M4098" s="0" t="n">
        <f aca="false">E4098*F4098</f>
        <v>-0.46875</v>
      </c>
      <c r="N4098" s="0" t="n">
        <f aca="false">D4098*D4098</f>
        <v>0.5625</v>
      </c>
      <c r="O4098" s="0" t="n">
        <f aca="false">E4098*E4098</f>
        <v>0.5625</v>
      </c>
      <c r="P4098" s="0" t="n">
        <f aca="false">F4098*F4098</f>
        <v>0.390625</v>
      </c>
      <c r="Q4098" s="0" t="n">
        <f aca="false">SUMPRODUCT(G4098:P4098,_XtX!$B$71:$K$71)</f>
        <v>45.6919176136364</v>
      </c>
      <c r="R4098" s="0" t="n">
        <f aca="false">SUMPRODUCT(MMULT(G4098:P4098,_XtX!$B$58:$K$67),G4098:P4098)</f>
        <v>0.305899325284091</v>
      </c>
      <c r="S4098" s="0" t="n">
        <f aca="false">04_回帰ANOVA!$K$19*04_回帰ANOVA!$K$14*SQRT(1+R4098)</f>
        <v>1.06248176416816</v>
      </c>
      <c r="T4098" s="0" t="n">
        <f aca="false">Q4098-S4098</f>
        <v>44.6294358494682</v>
      </c>
      <c r="U4098" s="0" t="n">
        <f aca="false">Q4098+S4098</f>
        <v>46.7543993778045</v>
      </c>
      <c r="V4098" s="54" t="b">
        <f aca="false">AND(D4098&gt;=01_因子設定!$L$5-0.000000001,D4098&lt;=01_因子設定!$M$5+0.000000001,E4098&gt;=01_因子設定!$L$6-0.000000001,E4098&lt;=01_因子設定!$M$6+0.000000001,F4098&gt;=01_因子設定!$L$7-0.000000001,F4098&lt;=01_因子設定!$M$7+0.000000001,IF(01_因子設定!$B$20="Box-Behnken",D4098^2+E4098^2+F4098^2&lt;=2+0.000000001,TRUE()))</f>
        <v>1</v>
      </c>
      <c r="W4098" s="55" t="n">
        <f aca="false">IF(V4098,IF(01_因子設定!$B$13="最大化",T4098-01_因子設定!$B$14,IF(01_因子設定!$B$13="最小化",01_因子設定!$B$15-U4098,MIN(T4098-01_因子設定!$B$14,01_因子設定!$B$15-U4098))),-1E+030)</f>
        <v>-3.87056415053179</v>
      </c>
      <c r="X4098" s="55" t="n">
        <f aca="false">IF(V4098,IF(01_因子設定!$B$13="最大化",Q4098,IF(01_因子設定!$B$13="最小化",-Q4098,-ABS(Q4098-01_因子設定!$B$16))),-1E+030)</f>
        <v>45.6919176136364</v>
      </c>
      <c r="Y4098" s="55" t="n">
        <f aca="false">W4098+ROW()*0.000000001</f>
        <v>-3.87056005253179</v>
      </c>
      <c r="Z4098" s="55" t="n">
        <f aca="false">X4098+ROW()*0.000000001</f>
        <v>45.6919217116364</v>
      </c>
    </row>
    <row r="4099" customFormat="false" ht="15" hidden="false" customHeight="false" outlineLevel="0" collapsed="false">
      <c r="A4099" s="0" t="n">
        <v>14</v>
      </c>
      <c r="B4099" s="0" t="n">
        <v>2</v>
      </c>
      <c r="C4099" s="0" t="n">
        <v>14</v>
      </c>
      <c r="D4099" s="0" t="n">
        <f aca="false">-1+A4099*0.125</f>
        <v>0.75</v>
      </c>
      <c r="E4099" s="0" t="n">
        <f aca="false">-1+B4099*0.125</f>
        <v>-0.75</v>
      </c>
      <c r="F4099" s="0" t="n">
        <f aca="false">-1+C4099*0.125</f>
        <v>0.75</v>
      </c>
      <c r="G4099" s="0" t="n">
        <f aca="false">1</f>
        <v>1</v>
      </c>
      <c r="H4099" s="0" t="n">
        <f aca="false">D4099</f>
        <v>0.75</v>
      </c>
      <c r="I4099" s="0" t="n">
        <f aca="false">E4099</f>
        <v>-0.75</v>
      </c>
      <c r="J4099" s="0" t="n">
        <f aca="false">F4099</f>
        <v>0.75</v>
      </c>
      <c r="K4099" s="0" t="n">
        <f aca="false">D4099*E4099</f>
        <v>-0.5625</v>
      </c>
      <c r="L4099" s="0" t="n">
        <f aca="false">D4099*F4099</f>
        <v>0.5625</v>
      </c>
      <c r="M4099" s="0" t="n">
        <f aca="false">E4099*F4099</f>
        <v>-0.5625</v>
      </c>
      <c r="N4099" s="0" t="n">
        <f aca="false">D4099*D4099</f>
        <v>0.5625</v>
      </c>
      <c r="O4099" s="0" t="n">
        <f aca="false">E4099*E4099</f>
        <v>0.5625</v>
      </c>
      <c r="P4099" s="0" t="n">
        <f aca="false">F4099*F4099</f>
        <v>0.5625</v>
      </c>
      <c r="Q4099" s="0" t="n">
        <f aca="false">SUMPRODUCT(G4099:P4099,_XtX!$B$71:$K$71)</f>
        <v>45.6058238636364</v>
      </c>
      <c r="R4099" s="0" t="n">
        <f aca="false">SUMPRODUCT(MMULT(G4099:P4099,_XtX!$B$58:$K$67),G4099:P4099)</f>
        <v>0.338467684659091</v>
      </c>
      <c r="S4099" s="0" t="n">
        <f aca="false">04_回帰ANOVA!$K$19*04_回帰ANOVA!$K$14*SQRT(1+R4099)</f>
        <v>1.07564900835648</v>
      </c>
      <c r="T4099" s="0" t="n">
        <f aca="false">Q4099-S4099</f>
        <v>44.5301748552799</v>
      </c>
      <c r="U4099" s="0" t="n">
        <f aca="false">Q4099+S4099</f>
        <v>46.6814728719929</v>
      </c>
      <c r="V4099" s="54" t="b">
        <f aca="false">AND(D4099&gt;=01_因子設定!$L$5-0.000000001,D4099&lt;=01_因子設定!$M$5+0.000000001,E4099&gt;=01_因子設定!$L$6-0.000000001,E4099&lt;=01_因子設定!$M$6+0.000000001,F4099&gt;=01_因子設定!$L$7-0.000000001,F4099&lt;=01_因子設定!$M$7+0.000000001,IF(01_因子設定!$B$20="Box-Behnken",D4099^2+E4099^2+F4099^2&lt;=2+0.000000001,TRUE()))</f>
        <v>1</v>
      </c>
      <c r="W4099" s="55" t="n">
        <f aca="false">IF(V4099,IF(01_因子設定!$B$13="最大化",T4099-01_因子設定!$B$14,IF(01_因子設定!$B$13="最小化",01_因子設定!$B$15-U4099,MIN(T4099-01_因子設定!$B$14,01_因子設定!$B$15-U4099))),-1E+030)</f>
        <v>-3.9698251447201</v>
      </c>
      <c r="X4099" s="55" t="n">
        <f aca="false">IF(V4099,IF(01_因子設定!$B$13="最大化",Q4099,IF(01_因子設定!$B$13="最小化",-Q4099,-ABS(Q4099-01_因子設定!$B$16))),-1E+030)</f>
        <v>45.6058238636364</v>
      </c>
      <c r="Y4099" s="55" t="n">
        <f aca="false">W4099+ROW()*0.000000001</f>
        <v>-3.9698210457201</v>
      </c>
      <c r="Z4099" s="55" t="n">
        <f aca="false">X4099+ROW()*0.000000001</f>
        <v>45.6058279626364</v>
      </c>
    </row>
    <row r="4100" customFormat="false" ht="15" hidden="false" customHeight="false" outlineLevel="0" collapsed="false">
      <c r="A4100" s="0" t="n">
        <v>14</v>
      </c>
      <c r="B4100" s="0" t="n">
        <v>2</v>
      </c>
      <c r="C4100" s="0" t="n">
        <v>15</v>
      </c>
      <c r="D4100" s="0" t="n">
        <f aca="false">-1+A4100*0.125</f>
        <v>0.75</v>
      </c>
      <c r="E4100" s="0" t="n">
        <f aca="false">-1+B4100*0.125</f>
        <v>-0.75</v>
      </c>
      <c r="F4100" s="0" t="n">
        <f aca="false">-1+C4100*0.125</f>
        <v>0.875</v>
      </c>
      <c r="G4100" s="0" t="n">
        <f aca="false">1</f>
        <v>1</v>
      </c>
      <c r="H4100" s="0" t="n">
        <f aca="false">D4100</f>
        <v>0.75</v>
      </c>
      <c r="I4100" s="0" t="n">
        <f aca="false">E4100</f>
        <v>-0.75</v>
      </c>
      <c r="J4100" s="0" t="n">
        <f aca="false">F4100</f>
        <v>0.875</v>
      </c>
      <c r="K4100" s="0" t="n">
        <f aca="false">D4100*E4100</f>
        <v>-0.5625</v>
      </c>
      <c r="L4100" s="0" t="n">
        <f aca="false">D4100*F4100</f>
        <v>0.65625</v>
      </c>
      <c r="M4100" s="0" t="n">
        <f aca="false">E4100*F4100</f>
        <v>-0.65625</v>
      </c>
      <c r="N4100" s="0" t="n">
        <f aca="false">D4100*D4100</f>
        <v>0.5625</v>
      </c>
      <c r="O4100" s="0" t="n">
        <f aca="false">E4100*E4100</f>
        <v>0.5625</v>
      </c>
      <c r="P4100" s="0" t="n">
        <f aca="false">F4100*F4100</f>
        <v>0.765625</v>
      </c>
      <c r="Q4100" s="0" t="n">
        <f aca="false">SUMPRODUCT(G4100:P4100,_XtX!$B$71:$K$71)</f>
        <v>45.4829403409091</v>
      </c>
      <c r="R4100" s="0" t="n">
        <f aca="false">SUMPRODUCT(MMULT(G4100:P4100,_XtX!$B$58:$K$67),G4100:P4100)</f>
        <v>0.404656427556818</v>
      </c>
      <c r="S4100" s="0" t="n">
        <f aca="false">04_回帰ANOVA!$K$19*04_回帰ANOVA!$K$14*SQRT(1+R4100)</f>
        <v>1.10192412515358</v>
      </c>
      <c r="T4100" s="0" t="n">
        <f aca="false">Q4100-S4100</f>
        <v>44.3810162157555</v>
      </c>
      <c r="U4100" s="0" t="n">
        <f aca="false">Q4100+S4100</f>
        <v>46.5848644660627</v>
      </c>
      <c r="V4100" s="54" t="b">
        <f aca="false">AND(D4100&gt;=01_因子設定!$L$5-0.000000001,D4100&lt;=01_因子設定!$M$5+0.000000001,E4100&gt;=01_因子設定!$L$6-0.000000001,E4100&lt;=01_因子設定!$M$6+0.000000001,F4100&gt;=01_因子設定!$L$7-0.000000001,F4100&lt;=01_因子設定!$M$7+0.000000001,IF(01_因子設定!$B$20="Box-Behnken",D4100^2+E4100^2+F4100^2&lt;=2+0.000000001,TRUE()))</f>
        <v>1</v>
      </c>
      <c r="W4100" s="55" t="n">
        <f aca="false">IF(V4100,IF(01_因子設定!$B$13="最大化",T4100-01_因子設定!$B$14,IF(01_因子設定!$B$13="最小化",01_因子設定!$B$15-U4100,MIN(T4100-01_因子設定!$B$14,01_因子設定!$B$15-U4100))),-1E+030)</f>
        <v>-4.11898378424447</v>
      </c>
      <c r="X4100" s="55" t="n">
        <f aca="false">IF(V4100,IF(01_因子設定!$B$13="最大化",Q4100,IF(01_因子設定!$B$13="最小化",-Q4100,-ABS(Q4100-01_因子設定!$B$16))),-1E+030)</f>
        <v>45.4829403409091</v>
      </c>
      <c r="Y4100" s="55" t="n">
        <f aca="false">W4100+ROW()*0.000000001</f>
        <v>-4.11897968424447</v>
      </c>
      <c r="Z4100" s="55" t="n">
        <f aca="false">X4100+ROW()*0.000000001</f>
        <v>45.4829444409091</v>
      </c>
    </row>
    <row r="4101" customFormat="false" ht="15" hidden="false" customHeight="false" outlineLevel="0" collapsed="false">
      <c r="A4101" s="0" t="n">
        <v>14</v>
      </c>
      <c r="B4101" s="0" t="n">
        <v>2</v>
      </c>
      <c r="C4101" s="0" t="n">
        <v>16</v>
      </c>
      <c r="D4101" s="0" t="n">
        <f aca="false">-1+A4101*0.125</f>
        <v>0.75</v>
      </c>
      <c r="E4101" s="0" t="n">
        <f aca="false">-1+B4101*0.125</f>
        <v>-0.75</v>
      </c>
      <c r="F4101" s="0" t="n">
        <f aca="false">-1+C4101*0.125</f>
        <v>1</v>
      </c>
      <c r="G4101" s="0" t="n">
        <f aca="false">1</f>
        <v>1</v>
      </c>
      <c r="H4101" s="0" t="n">
        <f aca="false">D4101</f>
        <v>0.75</v>
      </c>
      <c r="I4101" s="0" t="n">
        <f aca="false">E4101</f>
        <v>-0.75</v>
      </c>
      <c r="J4101" s="0" t="n">
        <f aca="false">F4101</f>
        <v>1</v>
      </c>
      <c r="K4101" s="0" t="n">
        <f aca="false">D4101*E4101</f>
        <v>-0.5625</v>
      </c>
      <c r="L4101" s="0" t="n">
        <f aca="false">D4101*F4101</f>
        <v>0.75</v>
      </c>
      <c r="M4101" s="0" t="n">
        <f aca="false">E4101*F4101</f>
        <v>-0.75</v>
      </c>
      <c r="N4101" s="0" t="n">
        <f aca="false">D4101*D4101</f>
        <v>0.5625</v>
      </c>
      <c r="O4101" s="0" t="n">
        <f aca="false">E4101*E4101</f>
        <v>0.5625</v>
      </c>
      <c r="P4101" s="0" t="n">
        <f aca="false">F4101*F4101</f>
        <v>1</v>
      </c>
      <c r="Q4101" s="0" t="n">
        <f aca="false">SUMPRODUCT(G4101:P4101,_XtX!$B$71:$K$71)</f>
        <v>45.3232670454546</v>
      </c>
      <c r="R4101" s="0" t="n">
        <f aca="false">SUMPRODUCT(MMULT(G4101:P4101,_XtX!$B$58:$K$67),G4101:P4101)</f>
        <v>0.518314985795455</v>
      </c>
      <c r="S4101" s="0" t="n">
        <f aca="false">04_回帰ANOVA!$K$19*04_回帰ANOVA!$K$14*SQRT(1+R4101)</f>
        <v>1.14563843495971</v>
      </c>
      <c r="T4101" s="0" t="n">
        <f aca="false">Q4101-S4101</f>
        <v>44.1776286104949</v>
      </c>
      <c r="U4101" s="0" t="n">
        <f aca="false">Q4101+S4101</f>
        <v>46.4689054804143</v>
      </c>
      <c r="V4101" s="54" t="b">
        <f aca="false">AND(D4101&gt;=01_因子設定!$L$5-0.000000001,D4101&lt;=01_因子設定!$M$5+0.000000001,E4101&gt;=01_因子設定!$L$6-0.000000001,E4101&lt;=01_因子設定!$M$6+0.000000001,F4101&gt;=01_因子設定!$L$7-0.000000001,F4101&lt;=01_因子設定!$M$7+0.000000001,IF(01_因子設定!$B$20="Box-Behnken",D4101^2+E4101^2+F4101^2&lt;=2+0.000000001,TRUE()))</f>
        <v>1</v>
      </c>
      <c r="W4101" s="55" t="n">
        <f aca="false">IF(V4101,IF(01_因子設定!$B$13="最大化",T4101-01_因子設定!$B$14,IF(01_因子設定!$B$13="最小化",01_因子設定!$B$15-U4101,MIN(T4101-01_因子設定!$B$14,01_因子設定!$B$15-U4101))),-1E+030)</f>
        <v>-4.32237138950514</v>
      </c>
      <c r="X4101" s="55" t="n">
        <f aca="false">IF(V4101,IF(01_因子設定!$B$13="最大化",Q4101,IF(01_因子設定!$B$13="最小化",-Q4101,-ABS(Q4101-01_因子設定!$B$16))),-1E+030)</f>
        <v>45.3232670454546</v>
      </c>
      <c r="Y4101" s="55" t="n">
        <f aca="false">W4101+ROW()*0.000000001</f>
        <v>-4.32236728850514</v>
      </c>
      <c r="Z4101" s="55" t="n">
        <f aca="false">X4101+ROW()*0.000000001</f>
        <v>45.3232711464546</v>
      </c>
    </row>
    <row r="4102" customFormat="false" ht="15" hidden="false" customHeight="false" outlineLevel="0" collapsed="false">
      <c r="A4102" s="0" t="n">
        <v>14</v>
      </c>
      <c r="B4102" s="0" t="n">
        <v>3</v>
      </c>
      <c r="C4102" s="0" t="n">
        <v>0</v>
      </c>
      <c r="D4102" s="0" t="n">
        <f aca="false">-1+A4102*0.125</f>
        <v>0.75</v>
      </c>
      <c r="E4102" s="0" t="n">
        <f aca="false">-1+B4102*0.125</f>
        <v>-0.625</v>
      </c>
      <c r="F4102" s="0" t="n">
        <f aca="false">-1+C4102*0.125</f>
        <v>-1</v>
      </c>
      <c r="G4102" s="0" t="n">
        <f aca="false">1</f>
        <v>1</v>
      </c>
      <c r="H4102" s="0" t="n">
        <f aca="false">D4102</f>
        <v>0.75</v>
      </c>
      <c r="I4102" s="0" t="n">
        <f aca="false">E4102</f>
        <v>-0.625</v>
      </c>
      <c r="J4102" s="0" t="n">
        <f aca="false">F4102</f>
        <v>-1</v>
      </c>
      <c r="K4102" s="0" t="n">
        <f aca="false">D4102*E4102</f>
        <v>-0.46875</v>
      </c>
      <c r="L4102" s="0" t="n">
        <f aca="false">D4102*F4102</f>
        <v>-0.75</v>
      </c>
      <c r="M4102" s="0" t="n">
        <f aca="false">E4102*F4102</f>
        <v>0.625</v>
      </c>
      <c r="N4102" s="0" t="n">
        <f aca="false">D4102*D4102</f>
        <v>0.5625</v>
      </c>
      <c r="O4102" s="0" t="n">
        <f aca="false">E4102*E4102</f>
        <v>0.390625</v>
      </c>
      <c r="P4102" s="0" t="n">
        <f aca="false">F4102*F4102</f>
        <v>1</v>
      </c>
      <c r="Q4102" s="0" t="n">
        <f aca="false">SUMPRODUCT(G4102:P4102,_XtX!$B$71:$K$71)</f>
        <v>44.1290482954546</v>
      </c>
      <c r="R4102" s="0" t="n">
        <f aca="false">SUMPRODUCT(MMULT(G4102:P4102,_XtX!$B$58:$K$67),G4102:P4102)</f>
        <v>0.496855024857955</v>
      </c>
      <c r="S4102" s="0" t="n">
        <f aca="false">04_回帰ANOVA!$K$19*04_回帰ANOVA!$K$14*SQRT(1+R4102)</f>
        <v>1.1375133593161</v>
      </c>
      <c r="T4102" s="0" t="n">
        <f aca="false">Q4102-S4102</f>
        <v>42.9915349361385</v>
      </c>
      <c r="U4102" s="0" t="n">
        <f aca="false">Q4102+S4102</f>
        <v>45.2665616547707</v>
      </c>
      <c r="V4102" s="54" t="b">
        <f aca="false">AND(D4102&gt;=01_因子設定!$L$5-0.000000001,D4102&lt;=01_因子設定!$M$5+0.000000001,E4102&gt;=01_因子設定!$L$6-0.000000001,E4102&lt;=01_因子設定!$M$6+0.000000001,F4102&gt;=01_因子設定!$L$7-0.000000001,F4102&lt;=01_因子設定!$M$7+0.000000001,IF(01_因子設定!$B$20="Box-Behnken",D4102^2+E4102^2+F4102^2&lt;=2+0.000000001,TRUE()))</f>
        <v>1</v>
      </c>
      <c r="W4102" s="55" t="n">
        <f aca="false">IF(V4102,IF(01_因子設定!$B$13="最大化",T4102-01_因子設定!$B$14,IF(01_因子設定!$B$13="最小化",01_因子設定!$B$15-U4102,MIN(T4102-01_因子設定!$B$14,01_因子設定!$B$15-U4102))),-1E+030)</f>
        <v>-5.50846506386154</v>
      </c>
      <c r="X4102" s="55" t="n">
        <f aca="false">IF(V4102,IF(01_因子設定!$B$13="最大化",Q4102,IF(01_因子設定!$B$13="最小化",-Q4102,-ABS(Q4102-01_因子設定!$B$16))),-1E+030)</f>
        <v>44.1290482954546</v>
      </c>
      <c r="Y4102" s="55" t="n">
        <f aca="false">W4102+ROW()*0.000000001</f>
        <v>-5.50846096186154</v>
      </c>
      <c r="Z4102" s="55" t="n">
        <f aca="false">X4102+ROW()*0.000000001</f>
        <v>44.1290523974546</v>
      </c>
    </row>
    <row r="4103" customFormat="false" ht="15" hidden="false" customHeight="false" outlineLevel="0" collapsed="false">
      <c r="A4103" s="0" t="n">
        <v>14</v>
      </c>
      <c r="B4103" s="0" t="n">
        <v>3</v>
      </c>
      <c r="C4103" s="0" t="n">
        <v>1</v>
      </c>
      <c r="D4103" s="0" t="n">
        <f aca="false">-1+A4103*0.125</f>
        <v>0.75</v>
      </c>
      <c r="E4103" s="0" t="n">
        <f aca="false">-1+B4103*0.125</f>
        <v>-0.625</v>
      </c>
      <c r="F4103" s="0" t="n">
        <f aca="false">-1+C4103*0.125</f>
        <v>-0.875</v>
      </c>
      <c r="G4103" s="0" t="n">
        <f aca="false">1</f>
        <v>1</v>
      </c>
      <c r="H4103" s="0" t="n">
        <f aca="false">D4103</f>
        <v>0.75</v>
      </c>
      <c r="I4103" s="0" t="n">
        <f aca="false">E4103</f>
        <v>-0.625</v>
      </c>
      <c r="J4103" s="0" t="n">
        <f aca="false">F4103</f>
        <v>-0.875</v>
      </c>
      <c r="K4103" s="0" t="n">
        <f aca="false">D4103*E4103</f>
        <v>-0.46875</v>
      </c>
      <c r="L4103" s="0" t="n">
        <f aca="false">D4103*F4103</f>
        <v>-0.65625</v>
      </c>
      <c r="M4103" s="0" t="n">
        <f aca="false">E4103*F4103</f>
        <v>0.546875</v>
      </c>
      <c r="N4103" s="0" t="n">
        <f aca="false">D4103*D4103</f>
        <v>0.5625</v>
      </c>
      <c r="O4103" s="0" t="n">
        <f aca="false">E4103*E4103</f>
        <v>0.390625</v>
      </c>
      <c r="P4103" s="0" t="n">
        <f aca="false">F4103*F4103</f>
        <v>0.765625</v>
      </c>
      <c r="Q4103" s="0" t="n">
        <f aca="false">SUMPRODUCT(G4103:P4103,_XtX!$B$71:$K$71)</f>
        <v>44.5282528409091</v>
      </c>
      <c r="R4103" s="0" t="n">
        <f aca="false">SUMPRODUCT(MMULT(G4103:P4103,_XtX!$B$58:$K$67),G4103:P4103)</f>
        <v>0.377245538884943</v>
      </c>
      <c r="S4103" s="0" t="n">
        <f aca="false">04_回帰ANOVA!$K$19*04_回帰ANOVA!$K$14*SQRT(1+R4103)</f>
        <v>1.09111951468927</v>
      </c>
      <c r="T4103" s="0" t="n">
        <f aca="false">Q4103-S4103</f>
        <v>43.4371333262198</v>
      </c>
      <c r="U4103" s="0" t="n">
        <f aca="false">Q4103+S4103</f>
        <v>45.6193723555984</v>
      </c>
      <c r="V4103" s="54" t="b">
        <f aca="false">AND(D4103&gt;=01_因子設定!$L$5-0.000000001,D4103&lt;=01_因子設定!$M$5+0.000000001,E4103&gt;=01_因子設定!$L$6-0.000000001,E4103&lt;=01_因子設定!$M$6+0.000000001,F4103&gt;=01_因子設定!$L$7-0.000000001,F4103&lt;=01_因子設定!$M$7+0.000000001,IF(01_因子設定!$B$20="Box-Behnken",D4103^2+E4103^2+F4103^2&lt;=2+0.000000001,TRUE()))</f>
        <v>1</v>
      </c>
      <c r="W4103" s="55" t="n">
        <f aca="false">IF(V4103,IF(01_因子設定!$B$13="最大化",T4103-01_因子設定!$B$14,IF(01_因子設定!$B$13="最小化",01_因子設定!$B$15-U4103,MIN(T4103-01_因子設定!$B$14,01_因子設定!$B$15-U4103))),-1E+030)</f>
        <v>-5.06286667378017</v>
      </c>
      <c r="X4103" s="55" t="n">
        <f aca="false">IF(V4103,IF(01_因子設定!$B$13="最大化",Q4103,IF(01_因子設定!$B$13="最小化",-Q4103,-ABS(Q4103-01_因子設定!$B$16))),-1E+030)</f>
        <v>44.5282528409091</v>
      </c>
      <c r="Y4103" s="55" t="n">
        <f aca="false">W4103+ROW()*0.000000001</f>
        <v>-5.06286257078017</v>
      </c>
      <c r="Z4103" s="55" t="n">
        <f aca="false">X4103+ROW()*0.000000001</f>
        <v>44.5282569439091</v>
      </c>
    </row>
    <row r="4104" customFormat="false" ht="15" hidden="false" customHeight="false" outlineLevel="0" collapsed="false">
      <c r="A4104" s="0" t="n">
        <v>14</v>
      </c>
      <c r="B4104" s="0" t="n">
        <v>3</v>
      </c>
      <c r="C4104" s="0" t="n">
        <v>2</v>
      </c>
      <c r="D4104" s="0" t="n">
        <f aca="false">-1+A4104*0.125</f>
        <v>0.75</v>
      </c>
      <c r="E4104" s="0" t="n">
        <f aca="false">-1+B4104*0.125</f>
        <v>-0.625</v>
      </c>
      <c r="F4104" s="0" t="n">
        <f aca="false">-1+C4104*0.125</f>
        <v>-0.75</v>
      </c>
      <c r="G4104" s="0" t="n">
        <f aca="false">1</f>
        <v>1</v>
      </c>
      <c r="H4104" s="0" t="n">
        <f aca="false">D4104</f>
        <v>0.75</v>
      </c>
      <c r="I4104" s="0" t="n">
        <f aca="false">E4104</f>
        <v>-0.625</v>
      </c>
      <c r="J4104" s="0" t="n">
        <f aca="false">F4104</f>
        <v>-0.75</v>
      </c>
      <c r="K4104" s="0" t="n">
        <f aca="false">D4104*E4104</f>
        <v>-0.46875</v>
      </c>
      <c r="L4104" s="0" t="n">
        <f aca="false">D4104*F4104</f>
        <v>-0.5625</v>
      </c>
      <c r="M4104" s="0" t="n">
        <f aca="false">E4104*F4104</f>
        <v>0.46875</v>
      </c>
      <c r="N4104" s="0" t="n">
        <f aca="false">D4104*D4104</f>
        <v>0.5625</v>
      </c>
      <c r="O4104" s="0" t="n">
        <f aca="false">E4104*E4104</f>
        <v>0.390625</v>
      </c>
      <c r="P4104" s="0" t="n">
        <f aca="false">F4104*F4104</f>
        <v>0.5625</v>
      </c>
      <c r="Q4104" s="0" t="n">
        <f aca="false">SUMPRODUCT(G4104:P4104,_XtX!$B$71:$K$71)</f>
        <v>44.8906676136364</v>
      </c>
      <c r="R4104" s="0" t="n">
        <f aca="false">SUMPRODUCT(MMULT(G4104:P4104,_XtX!$B$58:$K$67),G4104:P4104)</f>
        <v>0.305899325284091</v>
      </c>
      <c r="S4104" s="0" t="n">
        <f aca="false">04_回帰ANOVA!$K$19*04_回帰ANOVA!$K$14*SQRT(1+R4104)</f>
        <v>1.06248176416816</v>
      </c>
      <c r="T4104" s="0" t="n">
        <f aca="false">Q4104-S4104</f>
        <v>43.8281858494682</v>
      </c>
      <c r="U4104" s="0" t="n">
        <f aca="false">Q4104+S4104</f>
        <v>45.9531493778045</v>
      </c>
      <c r="V4104" s="54" t="b">
        <f aca="false">AND(D4104&gt;=01_因子設定!$L$5-0.000000001,D4104&lt;=01_因子設定!$M$5+0.000000001,E4104&gt;=01_因子設定!$L$6-0.000000001,E4104&lt;=01_因子設定!$M$6+0.000000001,F4104&gt;=01_因子設定!$L$7-0.000000001,F4104&lt;=01_因子設定!$M$7+0.000000001,IF(01_因子設定!$B$20="Box-Behnken",D4104^2+E4104^2+F4104^2&lt;=2+0.000000001,TRUE()))</f>
        <v>1</v>
      </c>
      <c r="W4104" s="55" t="n">
        <f aca="false">IF(V4104,IF(01_因子設定!$B$13="最大化",T4104-01_因子設定!$B$14,IF(01_因子設定!$B$13="最小化",01_因子設定!$B$15-U4104,MIN(T4104-01_因子設定!$B$14,01_因子設定!$B$15-U4104))),-1E+030)</f>
        <v>-4.67181415053179</v>
      </c>
      <c r="X4104" s="55" t="n">
        <f aca="false">IF(V4104,IF(01_因子設定!$B$13="最大化",Q4104,IF(01_因子設定!$B$13="最小化",-Q4104,-ABS(Q4104-01_因子設定!$B$16))),-1E+030)</f>
        <v>44.8906676136364</v>
      </c>
      <c r="Y4104" s="55" t="n">
        <f aca="false">W4104+ROW()*0.000000001</f>
        <v>-4.67181004653179</v>
      </c>
      <c r="Z4104" s="55" t="n">
        <f aca="false">X4104+ROW()*0.000000001</f>
        <v>44.8906717176364</v>
      </c>
    </row>
    <row r="4105" customFormat="false" ht="15" hidden="false" customHeight="false" outlineLevel="0" collapsed="false">
      <c r="A4105" s="0" t="n">
        <v>14</v>
      </c>
      <c r="B4105" s="0" t="n">
        <v>3</v>
      </c>
      <c r="C4105" s="0" t="n">
        <v>3</v>
      </c>
      <c r="D4105" s="0" t="n">
        <f aca="false">-1+A4105*0.125</f>
        <v>0.75</v>
      </c>
      <c r="E4105" s="0" t="n">
        <f aca="false">-1+B4105*0.125</f>
        <v>-0.625</v>
      </c>
      <c r="F4105" s="0" t="n">
        <f aca="false">-1+C4105*0.125</f>
        <v>-0.625</v>
      </c>
      <c r="G4105" s="0" t="n">
        <f aca="false">1</f>
        <v>1</v>
      </c>
      <c r="H4105" s="0" t="n">
        <f aca="false">D4105</f>
        <v>0.75</v>
      </c>
      <c r="I4105" s="0" t="n">
        <f aca="false">E4105</f>
        <v>-0.625</v>
      </c>
      <c r="J4105" s="0" t="n">
        <f aca="false">F4105</f>
        <v>-0.625</v>
      </c>
      <c r="K4105" s="0" t="n">
        <f aca="false">D4105*E4105</f>
        <v>-0.46875</v>
      </c>
      <c r="L4105" s="0" t="n">
        <f aca="false">D4105*F4105</f>
        <v>-0.46875</v>
      </c>
      <c r="M4105" s="0" t="n">
        <f aca="false">E4105*F4105</f>
        <v>0.390625</v>
      </c>
      <c r="N4105" s="0" t="n">
        <f aca="false">D4105*D4105</f>
        <v>0.5625</v>
      </c>
      <c r="O4105" s="0" t="n">
        <f aca="false">E4105*E4105</f>
        <v>0.390625</v>
      </c>
      <c r="P4105" s="0" t="n">
        <f aca="false">F4105*F4105</f>
        <v>0.390625</v>
      </c>
      <c r="Q4105" s="0" t="n">
        <f aca="false">SUMPRODUCT(G4105:P4105,_XtX!$B$71:$K$71)</f>
        <v>45.2162926136364</v>
      </c>
      <c r="R4105" s="0" t="n">
        <f aca="false">SUMPRODUCT(MMULT(G4105:P4105,_XtX!$B$58:$K$67),G4105:P4105)</f>
        <v>0.268966952237216</v>
      </c>
      <c r="S4105" s="0" t="n">
        <f aca="false">04_回帰ANOVA!$K$19*04_回帰ANOVA!$K$14*SQRT(1+R4105)</f>
        <v>1.04734989137801</v>
      </c>
      <c r="T4105" s="0" t="n">
        <f aca="false">Q4105-S4105</f>
        <v>44.1689427222584</v>
      </c>
      <c r="U4105" s="0" t="n">
        <f aca="false">Q4105+S4105</f>
        <v>46.2636425050144</v>
      </c>
      <c r="V4105" s="54" t="b">
        <f aca="false">AND(D4105&gt;=01_因子設定!$L$5-0.000000001,D4105&lt;=01_因子設定!$M$5+0.000000001,E4105&gt;=01_因子設定!$L$6-0.000000001,E4105&lt;=01_因子設定!$M$6+0.000000001,F4105&gt;=01_因子設定!$L$7-0.000000001,F4105&lt;=01_因子設定!$M$7+0.000000001,IF(01_因子設定!$B$20="Box-Behnken",D4105^2+E4105^2+F4105^2&lt;=2+0.000000001,TRUE()))</f>
        <v>1</v>
      </c>
      <c r="W4105" s="55" t="n">
        <f aca="false">IF(V4105,IF(01_因子設定!$B$13="最大化",T4105-01_因子設定!$B$14,IF(01_因子設定!$B$13="最小化",01_因子設定!$B$15-U4105,MIN(T4105-01_因子設定!$B$14,01_因子設定!$B$15-U4105))),-1E+030)</f>
        <v>-4.33105727774164</v>
      </c>
      <c r="X4105" s="55" t="n">
        <f aca="false">IF(V4105,IF(01_因子設定!$B$13="最大化",Q4105,IF(01_因子設定!$B$13="最小化",-Q4105,-ABS(Q4105-01_因子設定!$B$16))),-1E+030)</f>
        <v>45.2162926136364</v>
      </c>
      <c r="Y4105" s="55" t="n">
        <f aca="false">W4105+ROW()*0.000000001</f>
        <v>-4.33105317274164</v>
      </c>
      <c r="Z4105" s="55" t="n">
        <f aca="false">X4105+ROW()*0.000000001</f>
        <v>45.2162967186364</v>
      </c>
    </row>
    <row r="4106" customFormat="false" ht="15" hidden="false" customHeight="false" outlineLevel="0" collapsed="false">
      <c r="A4106" s="0" t="n">
        <v>14</v>
      </c>
      <c r="B4106" s="0" t="n">
        <v>3</v>
      </c>
      <c r="C4106" s="0" t="n">
        <v>4</v>
      </c>
      <c r="D4106" s="0" t="n">
        <f aca="false">-1+A4106*0.125</f>
        <v>0.75</v>
      </c>
      <c r="E4106" s="0" t="n">
        <f aca="false">-1+B4106*0.125</f>
        <v>-0.625</v>
      </c>
      <c r="F4106" s="0" t="n">
        <f aca="false">-1+C4106*0.125</f>
        <v>-0.5</v>
      </c>
      <c r="G4106" s="0" t="n">
        <f aca="false">1</f>
        <v>1</v>
      </c>
      <c r="H4106" s="0" t="n">
        <f aca="false">D4106</f>
        <v>0.75</v>
      </c>
      <c r="I4106" s="0" t="n">
        <f aca="false">E4106</f>
        <v>-0.625</v>
      </c>
      <c r="J4106" s="0" t="n">
        <f aca="false">F4106</f>
        <v>-0.5</v>
      </c>
      <c r="K4106" s="0" t="n">
        <f aca="false">D4106*E4106</f>
        <v>-0.46875</v>
      </c>
      <c r="L4106" s="0" t="n">
        <f aca="false">D4106*F4106</f>
        <v>-0.375</v>
      </c>
      <c r="M4106" s="0" t="n">
        <f aca="false">E4106*F4106</f>
        <v>0.3125</v>
      </c>
      <c r="N4106" s="0" t="n">
        <f aca="false">D4106*D4106</f>
        <v>0.5625</v>
      </c>
      <c r="O4106" s="0" t="n">
        <f aca="false">E4106*E4106</f>
        <v>0.390625</v>
      </c>
      <c r="P4106" s="0" t="n">
        <f aca="false">F4106*F4106</f>
        <v>0.25</v>
      </c>
      <c r="Q4106" s="0" t="n">
        <f aca="false">SUMPRODUCT(G4106:P4106,_XtX!$B$71:$K$71)</f>
        <v>45.5051278409091</v>
      </c>
      <c r="R4106" s="0" t="n">
        <f aca="false">SUMPRODUCT(MMULT(G4106:P4106,_XtX!$B$58:$K$67),G4106:P4106)</f>
        <v>0.254729669744318</v>
      </c>
      <c r="S4106" s="0" t="n">
        <f aca="false">04_回帰ANOVA!$K$19*04_回帰ANOVA!$K$14*SQRT(1+R4106)</f>
        <v>1.04145790281631</v>
      </c>
      <c r="T4106" s="0" t="n">
        <f aca="false">Q4106-S4106</f>
        <v>44.4636699380928</v>
      </c>
      <c r="U4106" s="0" t="n">
        <f aca="false">Q4106+S4106</f>
        <v>46.5465857437254</v>
      </c>
      <c r="V4106" s="54" t="b">
        <f aca="false">AND(D4106&gt;=01_因子設定!$L$5-0.000000001,D4106&lt;=01_因子設定!$M$5+0.000000001,E4106&gt;=01_因子設定!$L$6-0.000000001,E4106&lt;=01_因子設定!$M$6+0.000000001,F4106&gt;=01_因子設定!$L$7-0.000000001,F4106&lt;=01_因子設定!$M$7+0.000000001,IF(01_因子設定!$B$20="Box-Behnken",D4106^2+E4106^2+F4106^2&lt;=2+0.000000001,TRUE()))</f>
        <v>1</v>
      </c>
      <c r="W4106" s="55" t="n">
        <f aca="false">IF(V4106,IF(01_因子設定!$B$13="最大化",T4106-01_因子設定!$B$14,IF(01_因子設定!$B$13="最小化",01_因子設定!$B$15-U4106,MIN(T4106-01_因子設定!$B$14,01_因子設定!$B$15-U4106))),-1E+030)</f>
        <v>-4.03633006190722</v>
      </c>
      <c r="X4106" s="55" t="n">
        <f aca="false">IF(V4106,IF(01_因子設定!$B$13="最大化",Q4106,IF(01_因子設定!$B$13="最小化",-Q4106,-ABS(Q4106-01_因子設定!$B$16))),-1E+030)</f>
        <v>45.5051278409091</v>
      </c>
      <c r="Y4106" s="55" t="n">
        <f aca="false">W4106+ROW()*0.000000001</f>
        <v>-4.03632595590722</v>
      </c>
      <c r="Z4106" s="55" t="n">
        <f aca="false">X4106+ROW()*0.000000001</f>
        <v>45.5051319469091</v>
      </c>
    </row>
    <row r="4107" customFormat="false" ht="15" hidden="false" customHeight="false" outlineLevel="0" collapsed="false">
      <c r="A4107" s="0" t="n">
        <v>14</v>
      </c>
      <c r="B4107" s="0" t="n">
        <v>3</v>
      </c>
      <c r="C4107" s="0" t="n">
        <v>5</v>
      </c>
      <c r="D4107" s="0" t="n">
        <f aca="false">-1+A4107*0.125</f>
        <v>0.75</v>
      </c>
      <c r="E4107" s="0" t="n">
        <f aca="false">-1+B4107*0.125</f>
        <v>-0.625</v>
      </c>
      <c r="F4107" s="0" t="n">
        <f aca="false">-1+C4107*0.125</f>
        <v>-0.375</v>
      </c>
      <c r="G4107" s="0" t="n">
        <f aca="false">1</f>
        <v>1</v>
      </c>
      <c r="H4107" s="0" t="n">
        <f aca="false">D4107</f>
        <v>0.75</v>
      </c>
      <c r="I4107" s="0" t="n">
        <f aca="false">E4107</f>
        <v>-0.625</v>
      </c>
      <c r="J4107" s="0" t="n">
        <f aca="false">F4107</f>
        <v>-0.375</v>
      </c>
      <c r="K4107" s="0" t="n">
        <f aca="false">D4107*E4107</f>
        <v>-0.46875</v>
      </c>
      <c r="L4107" s="0" t="n">
        <f aca="false">D4107*F4107</f>
        <v>-0.28125</v>
      </c>
      <c r="M4107" s="0" t="n">
        <f aca="false">E4107*F4107</f>
        <v>0.234375</v>
      </c>
      <c r="N4107" s="0" t="n">
        <f aca="false">D4107*D4107</f>
        <v>0.5625</v>
      </c>
      <c r="O4107" s="0" t="n">
        <f aca="false">E4107*E4107</f>
        <v>0.390625</v>
      </c>
      <c r="P4107" s="0" t="n">
        <f aca="false">F4107*F4107</f>
        <v>0.140625</v>
      </c>
      <c r="Q4107" s="0" t="n">
        <f aca="false">SUMPRODUCT(G4107:P4107,_XtX!$B$71:$K$71)</f>
        <v>45.7571732954546</v>
      </c>
      <c r="R4107" s="0" t="n">
        <f aca="false">SUMPRODUCT(MMULT(G4107:P4107,_XtX!$B$58:$K$67),G4107:P4107)</f>
        <v>0.25359940962358</v>
      </c>
      <c r="S4107" s="0" t="n">
        <f aca="false">04_回帰ANOVA!$K$19*04_回帰ANOVA!$K$14*SQRT(1+R4107)</f>
        <v>1.04098872464599</v>
      </c>
      <c r="T4107" s="0" t="n">
        <f aca="false">Q4107-S4107</f>
        <v>44.7161845708086</v>
      </c>
      <c r="U4107" s="0" t="n">
        <f aca="false">Q4107+S4107</f>
        <v>46.7981620201005</v>
      </c>
      <c r="V4107" s="54" t="b">
        <f aca="false">AND(D4107&gt;=01_因子設定!$L$5-0.000000001,D4107&lt;=01_因子設定!$M$5+0.000000001,E4107&gt;=01_因子設定!$L$6-0.000000001,E4107&lt;=01_因子設定!$M$6+0.000000001,F4107&gt;=01_因子設定!$L$7-0.000000001,F4107&lt;=01_因子設定!$M$7+0.000000001,IF(01_因子設定!$B$20="Box-Behnken",D4107^2+E4107^2+F4107^2&lt;=2+0.000000001,TRUE()))</f>
        <v>1</v>
      </c>
      <c r="W4107" s="55" t="n">
        <f aca="false">IF(V4107,IF(01_因子設定!$B$13="最大化",T4107-01_因子設定!$B$14,IF(01_因子設定!$B$13="最小化",01_因子設定!$B$15-U4107,MIN(T4107-01_因子設定!$B$14,01_因子設定!$B$15-U4107))),-1E+030)</f>
        <v>-3.78381542919144</v>
      </c>
      <c r="X4107" s="55" t="n">
        <f aca="false">IF(V4107,IF(01_因子設定!$B$13="最大化",Q4107,IF(01_因子設定!$B$13="最小化",-Q4107,-ABS(Q4107-01_因子設定!$B$16))),-1E+030)</f>
        <v>45.7571732954546</v>
      </c>
      <c r="Y4107" s="55" t="n">
        <f aca="false">W4107+ROW()*0.000000001</f>
        <v>-3.78381132219144</v>
      </c>
      <c r="Z4107" s="55" t="n">
        <f aca="false">X4107+ROW()*0.000000001</f>
        <v>45.7571774024546</v>
      </c>
    </row>
    <row r="4108" customFormat="false" ht="15" hidden="false" customHeight="false" outlineLevel="0" collapsed="false">
      <c r="A4108" s="0" t="n">
        <v>14</v>
      </c>
      <c r="B4108" s="0" t="n">
        <v>3</v>
      </c>
      <c r="C4108" s="0" t="n">
        <v>6</v>
      </c>
      <c r="D4108" s="0" t="n">
        <f aca="false">-1+A4108*0.125</f>
        <v>0.75</v>
      </c>
      <c r="E4108" s="0" t="n">
        <f aca="false">-1+B4108*0.125</f>
        <v>-0.625</v>
      </c>
      <c r="F4108" s="0" t="n">
        <f aca="false">-1+C4108*0.125</f>
        <v>-0.25</v>
      </c>
      <c r="G4108" s="0" t="n">
        <f aca="false">1</f>
        <v>1</v>
      </c>
      <c r="H4108" s="0" t="n">
        <f aca="false">D4108</f>
        <v>0.75</v>
      </c>
      <c r="I4108" s="0" t="n">
        <f aca="false">E4108</f>
        <v>-0.625</v>
      </c>
      <c r="J4108" s="0" t="n">
        <f aca="false">F4108</f>
        <v>-0.25</v>
      </c>
      <c r="K4108" s="0" t="n">
        <f aca="false">D4108*E4108</f>
        <v>-0.46875</v>
      </c>
      <c r="L4108" s="0" t="n">
        <f aca="false">D4108*F4108</f>
        <v>-0.1875</v>
      </c>
      <c r="M4108" s="0" t="n">
        <f aca="false">E4108*F4108</f>
        <v>0.15625</v>
      </c>
      <c r="N4108" s="0" t="n">
        <f aca="false">D4108*D4108</f>
        <v>0.5625</v>
      </c>
      <c r="O4108" s="0" t="n">
        <f aca="false">E4108*E4108</f>
        <v>0.390625</v>
      </c>
      <c r="P4108" s="0" t="n">
        <f aca="false">F4108*F4108</f>
        <v>0.0625</v>
      </c>
      <c r="Q4108" s="0" t="n">
        <f aca="false">SUMPRODUCT(G4108:P4108,_XtX!$B$71:$K$71)</f>
        <v>45.9724289772727</v>
      </c>
      <c r="R4108" s="0" t="n">
        <f aca="false">SUMPRODUCT(MMULT(G4108:P4108,_XtX!$B$58:$K$67),G4108:P4108)</f>
        <v>0.258118785511364</v>
      </c>
      <c r="S4108" s="0" t="n">
        <f aca="false">04_回帰ANOVA!$K$19*04_回帰ANOVA!$K$14*SQRT(1+R4108)</f>
        <v>1.04286348094876</v>
      </c>
      <c r="T4108" s="0" t="n">
        <f aca="false">Q4108-S4108</f>
        <v>44.929565496324</v>
      </c>
      <c r="U4108" s="0" t="n">
        <f aca="false">Q4108+S4108</f>
        <v>47.0152924582215</v>
      </c>
      <c r="V4108" s="54" t="b">
        <f aca="false">AND(D4108&gt;=01_因子設定!$L$5-0.000000001,D4108&lt;=01_因子設定!$M$5+0.000000001,E4108&gt;=01_因子設定!$L$6-0.000000001,E4108&lt;=01_因子設定!$M$6+0.000000001,F4108&gt;=01_因子設定!$L$7-0.000000001,F4108&lt;=01_因子設定!$M$7+0.000000001,IF(01_因子設定!$B$20="Box-Behnken",D4108^2+E4108^2+F4108^2&lt;=2+0.000000001,TRUE()))</f>
        <v>1</v>
      </c>
      <c r="W4108" s="55" t="n">
        <f aca="false">IF(V4108,IF(01_因子設定!$B$13="最大化",T4108-01_因子設定!$B$14,IF(01_因子設定!$B$13="最小化",01_因子設定!$B$15-U4108,MIN(T4108-01_因子設定!$B$14,01_因子設定!$B$15-U4108))),-1E+030)</f>
        <v>-3.57043450367603</v>
      </c>
      <c r="X4108" s="55" t="n">
        <f aca="false">IF(V4108,IF(01_因子設定!$B$13="最大化",Q4108,IF(01_因子設定!$B$13="最小化",-Q4108,-ABS(Q4108-01_因子設定!$B$16))),-1E+030)</f>
        <v>45.9724289772727</v>
      </c>
      <c r="Y4108" s="55" t="n">
        <f aca="false">W4108+ROW()*0.000000001</f>
        <v>-3.57043039567603</v>
      </c>
      <c r="Z4108" s="55" t="n">
        <f aca="false">X4108+ROW()*0.000000001</f>
        <v>45.9724330852727</v>
      </c>
    </row>
    <row r="4109" customFormat="false" ht="15" hidden="false" customHeight="false" outlineLevel="0" collapsed="false">
      <c r="A4109" s="0" t="n">
        <v>14</v>
      </c>
      <c r="B4109" s="0" t="n">
        <v>3</v>
      </c>
      <c r="C4109" s="0" t="n">
        <v>7</v>
      </c>
      <c r="D4109" s="0" t="n">
        <f aca="false">-1+A4109*0.125</f>
        <v>0.75</v>
      </c>
      <c r="E4109" s="0" t="n">
        <f aca="false">-1+B4109*0.125</f>
        <v>-0.625</v>
      </c>
      <c r="F4109" s="0" t="n">
        <f aca="false">-1+C4109*0.125</f>
        <v>-0.125</v>
      </c>
      <c r="G4109" s="0" t="n">
        <f aca="false">1</f>
        <v>1</v>
      </c>
      <c r="H4109" s="0" t="n">
        <f aca="false">D4109</f>
        <v>0.75</v>
      </c>
      <c r="I4109" s="0" t="n">
        <f aca="false">E4109</f>
        <v>-0.625</v>
      </c>
      <c r="J4109" s="0" t="n">
        <f aca="false">F4109</f>
        <v>-0.125</v>
      </c>
      <c r="K4109" s="0" t="n">
        <f aca="false">D4109*E4109</f>
        <v>-0.46875</v>
      </c>
      <c r="L4109" s="0" t="n">
        <f aca="false">D4109*F4109</f>
        <v>-0.09375</v>
      </c>
      <c r="M4109" s="0" t="n">
        <f aca="false">E4109*F4109</f>
        <v>0.078125</v>
      </c>
      <c r="N4109" s="0" t="n">
        <f aca="false">D4109*D4109</f>
        <v>0.5625</v>
      </c>
      <c r="O4109" s="0" t="n">
        <f aca="false">E4109*E4109</f>
        <v>0.390625</v>
      </c>
      <c r="P4109" s="0" t="n">
        <f aca="false">F4109*F4109</f>
        <v>0.015625</v>
      </c>
      <c r="Q4109" s="0" t="n">
        <f aca="false">SUMPRODUCT(G4109:P4109,_XtX!$B$71:$K$71)</f>
        <v>46.1508948863636</v>
      </c>
      <c r="R4109" s="0" t="n">
        <f aca="false">SUMPRODUCT(MMULT(G4109:P4109,_XtX!$B$58:$K$67),G4109:P4109)</f>
        <v>0.262961092862216</v>
      </c>
      <c r="S4109" s="0" t="n">
        <f aca="false">04_回帰ANOVA!$K$19*04_回帰ANOVA!$K$14*SQRT(1+R4109)</f>
        <v>1.04486846483649</v>
      </c>
      <c r="T4109" s="0" t="n">
        <f aca="false">Q4109-S4109</f>
        <v>45.1060264215272</v>
      </c>
      <c r="U4109" s="0" t="n">
        <f aca="false">Q4109+S4109</f>
        <v>47.1957633512001</v>
      </c>
      <c r="V4109" s="54" t="b">
        <f aca="false">AND(D4109&gt;=01_因子設定!$L$5-0.000000001,D4109&lt;=01_因子設定!$M$5+0.000000001,E4109&gt;=01_因子設定!$L$6-0.000000001,E4109&lt;=01_因子設定!$M$6+0.000000001,F4109&gt;=01_因子設定!$L$7-0.000000001,F4109&lt;=01_因子設定!$M$7+0.000000001,IF(01_因子設定!$B$20="Box-Behnken",D4109^2+E4109^2+F4109^2&lt;=2+0.000000001,TRUE()))</f>
        <v>1</v>
      </c>
      <c r="W4109" s="55" t="n">
        <f aca="false">IF(V4109,IF(01_因子設定!$B$13="最大化",T4109-01_因子設定!$B$14,IF(01_因子設定!$B$13="最小化",01_因子設定!$B$15-U4109,MIN(T4109-01_因子設定!$B$14,01_因子設定!$B$15-U4109))),-1E+030)</f>
        <v>-3.39397357847285</v>
      </c>
      <c r="X4109" s="55" t="n">
        <f aca="false">IF(V4109,IF(01_因子設定!$B$13="最大化",Q4109,IF(01_因子設定!$B$13="最小化",-Q4109,-ABS(Q4109-01_因子設定!$B$16))),-1E+030)</f>
        <v>46.1508948863636</v>
      </c>
      <c r="Y4109" s="55" t="n">
        <f aca="false">W4109+ROW()*0.000000001</f>
        <v>-3.39396946947285</v>
      </c>
      <c r="Z4109" s="55" t="n">
        <f aca="false">X4109+ROW()*0.000000001</f>
        <v>46.1508989953636</v>
      </c>
    </row>
    <row r="4110" customFormat="false" ht="15" hidden="false" customHeight="false" outlineLevel="0" collapsed="false">
      <c r="A4110" s="0" t="n">
        <v>14</v>
      </c>
      <c r="B4110" s="0" t="n">
        <v>3</v>
      </c>
      <c r="C4110" s="0" t="n">
        <v>8</v>
      </c>
      <c r="D4110" s="0" t="n">
        <f aca="false">-1+A4110*0.125</f>
        <v>0.75</v>
      </c>
      <c r="E4110" s="0" t="n">
        <f aca="false">-1+B4110*0.125</f>
        <v>-0.625</v>
      </c>
      <c r="F4110" s="0" t="n">
        <f aca="false">-1+C4110*0.125</f>
        <v>0</v>
      </c>
      <c r="G4110" s="0" t="n">
        <f aca="false">1</f>
        <v>1</v>
      </c>
      <c r="H4110" s="0" t="n">
        <f aca="false">D4110</f>
        <v>0.75</v>
      </c>
      <c r="I4110" s="0" t="n">
        <f aca="false">E4110</f>
        <v>-0.625</v>
      </c>
      <c r="J4110" s="0" t="n">
        <f aca="false">F4110</f>
        <v>0</v>
      </c>
      <c r="K4110" s="0" t="n">
        <f aca="false">D4110*E4110</f>
        <v>-0.46875</v>
      </c>
      <c r="L4110" s="0" t="n">
        <f aca="false">D4110*F4110</f>
        <v>0</v>
      </c>
      <c r="M4110" s="0" t="n">
        <f aca="false">E4110*F4110</f>
        <v>-0</v>
      </c>
      <c r="N4110" s="0" t="n">
        <f aca="false">D4110*D4110</f>
        <v>0.5625</v>
      </c>
      <c r="O4110" s="0" t="n">
        <f aca="false">E4110*E4110</f>
        <v>0.390625</v>
      </c>
      <c r="P4110" s="0" t="n">
        <f aca="false">F4110*F4110</f>
        <v>0</v>
      </c>
      <c r="Q4110" s="0" t="n">
        <f aca="false">SUMPRODUCT(G4110:P4110,_XtX!$B$71:$K$71)</f>
        <v>46.2925710227273</v>
      </c>
      <c r="R4110" s="0" t="n">
        <f aca="false">SUMPRODUCT(MMULT(G4110:P4110,_XtX!$B$58:$K$67),G4110:P4110)</f>
        <v>0.264930308948864</v>
      </c>
      <c r="S4110" s="0" t="n">
        <f aca="false">04_回帰ANOVA!$K$19*04_回帰ANOVA!$K$14*SQRT(1+R4110)</f>
        <v>1.04568272997153</v>
      </c>
      <c r="T4110" s="0" t="n">
        <f aca="false">Q4110-S4110</f>
        <v>45.2468882927558</v>
      </c>
      <c r="U4110" s="0" t="n">
        <f aca="false">Q4110+S4110</f>
        <v>47.3382537526988</v>
      </c>
      <c r="V4110" s="54" t="b">
        <f aca="false">AND(D4110&gt;=01_因子設定!$L$5-0.000000001,D4110&lt;=01_因子設定!$M$5+0.000000001,E4110&gt;=01_因子設定!$L$6-0.000000001,E4110&lt;=01_因子設定!$M$6+0.000000001,F4110&gt;=01_因子設定!$L$7-0.000000001,F4110&lt;=01_因子設定!$M$7+0.000000001,IF(01_因子設定!$B$20="Box-Behnken",D4110^2+E4110^2+F4110^2&lt;=2+0.000000001,TRUE()))</f>
        <v>1</v>
      </c>
      <c r="W4110" s="55" t="n">
        <f aca="false">IF(V4110,IF(01_因子設定!$B$13="最大化",T4110-01_因子設定!$B$14,IF(01_因子設定!$B$13="最小化",01_因子設定!$B$15-U4110,MIN(T4110-01_因子設定!$B$14,01_因子設定!$B$15-U4110))),-1E+030)</f>
        <v>-3.25311170724425</v>
      </c>
      <c r="X4110" s="55" t="n">
        <f aca="false">IF(V4110,IF(01_因子設定!$B$13="最大化",Q4110,IF(01_因子設定!$B$13="最小化",-Q4110,-ABS(Q4110-01_因子設定!$B$16))),-1E+030)</f>
        <v>46.2925710227273</v>
      </c>
      <c r="Y4110" s="55" t="n">
        <f aca="false">W4110+ROW()*0.000000001</f>
        <v>-3.25310759724425</v>
      </c>
      <c r="Z4110" s="55" t="n">
        <f aca="false">X4110+ROW()*0.000000001</f>
        <v>46.2925751327273</v>
      </c>
    </row>
    <row r="4111" customFormat="false" ht="15" hidden="false" customHeight="false" outlineLevel="0" collapsed="false">
      <c r="A4111" s="0" t="n">
        <v>14</v>
      </c>
      <c r="B4111" s="0" t="n">
        <v>3</v>
      </c>
      <c r="C4111" s="0" t="n">
        <v>9</v>
      </c>
      <c r="D4111" s="0" t="n">
        <f aca="false">-1+A4111*0.125</f>
        <v>0.75</v>
      </c>
      <c r="E4111" s="0" t="n">
        <f aca="false">-1+B4111*0.125</f>
        <v>-0.625</v>
      </c>
      <c r="F4111" s="0" t="n">
        <f aca="false">-1+C4111*0.125</f>
        <v>0.125</v>
      </c>
      <c r="G4111" s="0" t="n">
        <f aca="false">1</f>
        <v>1</v>
      </c>
      <c r="H4111" s="0" t="n">
        <f aca="false">D4111</f>
        <v>0.75</v>
      </c>
      <c r="I4111" s="0" t="n">
        <f aca="false">E4111</f>
        <v>-0.625</v>
      </c>
      <c r="J4111" s="0" t="n">
        <f aca="false">F4111</f>
        <v>0.125</v>
      </c>
      <c r="K4111" s="0" t="n">
        <f aca="false">D4111*E4111</f>
        <v>-0.46875</v>
      </c>
      <c r="L4111" s="0" t="n">
        <f aca="false">D4111*F4111</f>
        <v>0.09375</v>
      </c>
      <c r="M4111" s="0" t="n">
        <f aca="false">E4111*F4111</f>
        <v>-0.078125</v>
      </c>
      <c r="N4111" s="0" t="n">
        <f aca="false">D4111*D4111</f>
        <v>0.5625</v>
      </c>
      <c r="O4111" s="0" t="n">
        <f aca="false">E4111*E4111</f>
        <v>0.390625</v>
      </c>
      <c r="P4111" s="0" t="n">
        <f aca="false">F4111*F4111</f>
        <v>0.015625</v>
      </c>
      <c r="Q4111" s="0" t="n">
        <f aca="false">SUMPRODUCT(G4111:P4111,_XtX!$B$71:$K$71)</f>
        <v>46.3974573863636</v>
      </c>
      <c r="R4111" s="0" t="n">
        <f aca="false">SUMPRODUCT(MMULT(G4111:P4111,_XtX!$B$58:$K$67),G4111:P4111)</f>
        <v>0.262961092862216</v>
      </c>
      <c r="S4111" s="0" t="n">
        <f aca="false">04_回帰ANOVA!$K$19*04_回帰ANOVA!$K$14*SQRT(1+R4111)</f>
        <v>1.04486846483649</v>
      </c>
      <c r="T4111" s="0" t="n">
        <f aca="false">Q4111-S4111</f>
        <v>45.3525889215272</v>
      </c>
      <c r="U4111" s="0" t="n">
        <f aca="false">Q4111+S4111</f>
        <v>47.4423258512001</v>
      </c>
      <c r="V4111" s="54" t="b">
        <f aca="false">AND(D4111&gt;=01_因子設定!$L$5-0.000000001,D4111&lt;=01_因子設定!$M$5+0.000000001,E4111&gt;=01_因子設定!$L$6-0.000000001,E4111&lt;=01_因子設定!$M$6+0.000000001,F4111&gt;=01_因子設定!$L$7-0.000000001,F4111&lt;=01_因子設定!$M$7+0.000000001,IF(01_因子設定!$B$20="Box-Behnken",D4111^2+E4111^2+F4111^2&lt;=2+0.000000001,TRUE()))</f>
        <v>1</v>
      </c>
      <c r="W4111" s="55" t="n">
        <f aca="false">IF(V4111,IF(01_因子設定!$B$13="最大化",T4111-01_因子設定!$B$14,IF(01_因子設定!$B$13="最小化",01_因子設定!$B$15-U4111,MIN(T4111-01_因子設定!$B$14,01_因子設定!$B$15-U4111))),-1E+030)</f>
        <v>-3.14741107847285</v>
      </c>
      <c r="X4111" s="55" t="n">
        <f aca="false">IF(V4111,IF(01_因子設定!$B$13="最大化",Q4111,IF(01_因子設定!$B$13="最小化",-Q4111,-ABS(Q4111-01_因子設定!$B$16))),-1E+030)</f>
        <v>46.3974573863636</v>
      </c>
      <c r="Y4111" s="55" t="n">
        <f aca="false">W4111+ROW()*0.000000001</f>
        <v>-3.14740696747285</v>
      </c>
      <c r="Z4111" s="55" t="n">
        <f aca="false">X4111+ROW()*0.000000001</f>
        <v>46.3974614973636</v>
      </c>
    </row>
    <row r="4112" customFormat="false" ht="15" hidden="false" customHeight="false" outlineLevel="0" collapsed="false">
      <c r="A4112" s="0" t="n">
        <v>14</v>
      </c>
      <c r="B4112" s="0" t="n">
        <v>3</v>
      </c>
      <c r="C4112" s="0" t="n">
        <v>10</v>
      </c>
      <c r="D4112" s="0" t="n">
        <f aca="false">-1+A4112*0.125</f>
        <v>0.75</v>
      </c>
      <c r="E4112" s="0" t="n">
        <f aca="false">-1+B4112*0.125</f>
        <v>-0.625</v>
      </c>
      <c r="F4112" s="0" t="n">
        <f aca="false">-1+C4112*0.125</f>
        <v>0.25</v>
      </c>
      <c r="G4112" s="0" t="n">
        <f aca="false">1</f>
        <v>1</v>
      </c>
      <c r="H4112" s="0" t="n">
        <f aca="false">D4112</f>
        <v>0.75</v>
      </c>
      <c r="I4112" s="0" t="n">
        <f aca="false">E4112</f>
        <v>-0.625</v>
      </c>
      <c r="J4112" s="0" t="n">
        <f aca="false">F4112</f>
        <v>0.25</v>
      </c>
      <c r="K4112" s="0" t="n">
        <f aca="false">D4112*E4112</f>
        <v>-0.46875</v>
      </c>
      <c r="L4112" s="0" t="n">
        <f aca="false">D4112*F4112</f>
        <v>0.1875</v>
      </c>
      <c r="M4112" s="0" t="n">
        <f aca="false">E4112*F4112</f>
        <v>-0.15625</v>
      </c>
      <c r="N4112" s="0" t="n">
        <f aca="false">D4112*D4112</f>
        <v>0.5625</v>
      </c>
      <c r="O4112" s="0" t="n">
        <f aca="false">E4112*E4112</f>
        <v>0.390625</v>
      </c>
      <c r="P4112" s="0" t="n">
        <f aca="false">F4112*F4112</f>
        <v>0.0625</v>
      </c>
      <c r="Q4112" s="0" t="n">
        <f aca="false">SUMPRODUCT(G4112:P4112,_XtX!$B$71:$K$71)</f>
        <v>46.4655539772727</v>
      </c>
      <c r="R4112" s="0" t="n">
        <f aca="false">SUMPRODUCT(MMULT(G4112:P4112,_XtX!$B$58:$K$67),G4112:P4112)</f>
        <v>0.258118785511364</v>
      </c>
      <c r="S4112" s="0" t="n">
        <f aca="false">04_回帰ANOVA!$K$19*04_回帰ANOVA!$K$14*SQRT(1+R4112)</f>
        <v>1.04286348094876</v>
      </c>
      <c r="T4112" s="0" t="n">
        <f aca="false">Q4112-S4112</f>
        <v>45.422690496324</v>
      </c>
      <c r="U4112" s="0" t="n">
        <f aca="false">Q4112+S4112</f>
        <v>47.5084174582215</v>
      </c>
      <c r="V4112" s="54" t="b">
        <f aca="false">AND(D4112&gt;=01_因子設定!$L$5-0.000000001,D4112&lt;=01_因子設定!$M$5+0.000000001,E4112&gt;=01_因子設定!$L$6-0.000000001,E4112&lt;=01_因子設定!$M$6+0.000000001,F4112&gt;=01_因子設定!$L$7-0.000000001,F4112&lt;=01_因子設定!$M$7+0.000000001,IF(01_因子設定!$B$20="Box-Behnken",D4112^2+E4112^2+F4112^2&lt;=2+0.000000001,TRUE()))</f>
        <v>1</v>
      </c>
      <c r="W4112" s="55" t="n">
        <f aca="false">IF(V4112,IF(01_因子設定!$B$13="最大化",T4112-01_因子設定!$B$14,IF(01_因子設定!$B$13="最小化",01_因子設定!$B$15-U4112,MIN(T4112-01_因子設定!$B$14,01_因子設定!$B$15-U4112))),-1E+030)</f>
        <v>-3.07730950367603</v>
      </c>
      <c r="X4112" s="55" t="n">
        <f aca="false">IF(V4112,IF(01_因子設定!$B$13="最大化",Q4112,IF(01_因子設定!$B$13="最小化",-Q4112,-ABS(Q4112-01_因子設定!$B$16))),-1E+030)</f>
        <v>46.4655539772727</v>
      </c>
      <c r="Y4112" s="55" t="n">
        <f aca="false">W4112+ROW()*0.000000001</f>
        <v>-3.07730539167603</v>
      </c>
      <c r="Z4112" s="55" t="n">
        <f aca="false">X4112+ROW()*0.000000001</f>
        <v>46.4655580892727</v>
      </c>
    </row>
    <row r="4113" customFormat="false" ht="15" hidden="false" customHeight="false" outlineLevel="0" collapsed="false">
      <c r="A4113" s="0" t="n">
        <v>14</v>
      </c>
      <c r="B4113" s="0" t="n">
        <v>3</v>
      </c>
      <c r="C4113" s="0" t="n">
        <v>11</v>
      </c>
      <c r="D4113" s="0" t="n">
        <f aca="false">-1+A4113*0.125</f>
        <v>0.75</v>
      </c>
      <c r="E4113" s="0" t="n">
        <f aca="false">-1+B4113*0.125</f>
        <v>-0.625</v>
      </c>
      <c r="F4113" s="0" t="n">
        <f aca="false">-1+C4113*0.125</f>
        <v>0.375</v>
      </c>
      <c r="G4113" s="0" t="n">
        <f aca="false">1</f>
        <v>1</v>
      </c>
      <c r="H4113" s="0" t="n">
        <f aca="false">D4113</f>
        <v>0.75</v>
      </c>
      <c r="I4113" s="0" t="n">
        <f aca="false">E4113</f>
        <v>-0.625</v>
      </c>
      <c r="J4113" s="0" t="n">
        <f aca="false">F4113</f>
        <v>0.375</v>
      </c>
      <c r="K4113" s="0" t="n">
        <f aca="false">D4113*E4113</f>
        <v>-0.46875</v>
      </c>
      <c r="L4113" s="0" t="n">
        <f aca="false">D4113*F4113</f>
        <v>0.28125</v>
      </c>
      <c r="M4113" s="0" t="n">
        <f aca="false">E4113*F4113</f>
        <v>-0.234375</v>
      </c>
      <c r="N4113" s="0" t="n">
        <f aca="false">D4113*D4113</f>
        <v>0.5625</v>
      </c>
      <c r="O4113" s="0" t="n">
        <f aca="false">E4113*E4113</f>
        <v>0.390625</v>
      </c>
      <c r="P4113" s="0" t="n">
        <f aca="false">F4113*F4113</f>
        <v>0.140625</v>
      </c>
      <c r="Q4113" s="0" t="n">
        <f aca="false">SUMPRODUCT(G4113:P4113,_XtX!$B$71:$K$71)</f>
        <v>46.4968607954545</v>
      </c>
      <c r="R4113" s="0" t="n">
        <f aca="false">SUMPRODUCT(MMULT(G4113:P4113,_XtX!$B$58:$K$67),G4113:P4113)</f>
        <v>0.25359940962358</v>
      </c>
      <c r="S4113" s="0" t="n">
        <f aca="false">04_回帰ANOVA!$K$19*04_回帰ANOVA!$K$14*SQRT(1+R4113)</f>
        <v>1.04098872464599</v>
      </c>
      <c r="T4113" s="0" t="n">
        <f aca="false">Q4113-S4113</f>
        <v>45.4558720708086</v>
      </c>
      <c r="U4113" s="0" t="n">
        <f aca="false">Q4113+S4113</f>
        <v>47.5378495201005</v>
      </c>
      <c r="V4113" s="54" t="b">
        <f aca="false">AND(D4113&gt;=01_因子設定!$L$5-0.000000001,D4113&lt;=01_因子設定!$M$5+0.000000001,E4113&gt;=01_因子設定!$L$6-0.000000001,E4113&lt;=01_因子設定!$M$6+0.000000001,F4113&gt;=01_因子設定!$L$7-0.000000001,F4113&lt;=01_因子設定!$M$7+0.000000001,IF(01_因子設定!$B$20="Box-Behnken",D4113^2+E4113^2+F4113^2&lt;=2+0.000000001,TRUE()))</f>
        <v>1</v>
      </c>
      <c r="W4113" s="55" t="n">
        <f aca="false">IF(V4113,IF(01_因子設定!$B$13="最大化",T4113-01_因子設定!$B$14,IF(01_因子設定!$B$13="最小化",01_因子設定!$B$15-U4113,MIN(T4113-01_因子設定!$B$14,01_因子設定!$B$15-U4113))),-1E+030)</f>
        <v>-3.04412792919144</v>
      </c>
      <c r="X4113" s="55" t="n">
        <f aca="false">IF(V4113,IF(01_因子設定!$B$13="最大化",Q4113,IF(01_因子設定!$B$13="最小化",-Q4113,-ABS(Q4113-01_因子設定!$B$16))),-1E+030)</f>
        <v>46.4968607954545</v>
      </c>
      <c r="Y4113" s="55" t="n">
        <f aca="false">W4113+ROW()*0.000000001</f>
        <v>-3.04412381619144</v>
      </c>
      <c r="Z4113" s="55" t="n">
        <f aca="false">X4113+ROW()*0.000000001</f>
        <v>46.4968649084546</v>
      </c>
    </row>
    <row r="4114" customFormat="false" ht="15" hidden="false" customHeight="false" outlineLevel="0" collapsed="false">
      <c r="A4114" s="0" t="n">
        <v>14</v>
      </c>
      <c r="B4114" s="0" t="n">
        <v>3</v>
      </c>
      <c r="C4114" s="0" t="n">
        <v>12</v>
      </c>
      <c r="D4114" s="0" t="n">
        <f aca="false">-1+A4114*0.125</f>
        <v>0.75</v>
      </c>
      <c r="E4114" s="0" t="n">
        <f aca="false">-1+B4114*0.125</f>
        <v>-0.625</v>
      </c>
      <c r="F4114" s="0" t="n">
        <f aca="false">-1+C4114*0.125</f>
        <v>0.5</v>
      </c>
      <c r="G4114" s="0" t="n">
        <f aca="false">1</f>
        <v>1</v>
      </c>
      <c r="H4114" s="0" t="n">
        <f aca="false">D4114</f>
        <v>0.75</v>
      </c>
      <c r="I4114" s="0" t="n">
        <f aca="false">E4114</f>
        <v>-0.625</v>
      </c>
      <c r="J4114" s="0" t="n">
        <f aca="false">F4114</f>
        <v>0.5</v>
      </c>
      <c r="K4114" s="0" t="n">
        <f aca="false">D4114*E4114</f>
        <v>-0.46875</v>
      </c>
      <c r="L4114" s="0" t="n">
        <f aca="false">D4114*F4114</f>
        <v>0.375</v>
      </c>
      <c r="M4114" s="0" t="n">
        <f aca="false">E4114*F4114</f>
        <v>-0.3125</v>
      </c>
      <c r="N4114" s="0" t="n">
        <f aca="false">D4114*D4114</f>
        <v>0.5625</v>
      </c>
      <c r="O4114" s="0" t="n">
        <f aca="false">E4114*E4114</f>
        <v>0.390625</v>
      </c>
      <c r="P4114" s="0" t="n">
        <f aca="false">F4114*F4114</f>
        <v>0.25</v>
      </c>
      <c r="Q4114" s="0" t="n">
        <f aca="false">SUMPRODUCT(G4114:P4114,_XtX!$B$71:$K$71)</f>
        <v>46.4913778409091</v>
      </c>
      <c r="R4114" s="0" t="n">
        <f aca="false">SUMPRODUCT(MMULT(G4114:P4114,_XtX!$B$58:$K$67),G4114:P4114)</f>
        <v>0.254729669744318</v>
      </c>
      <c r="S4114" s="0" t="n">
        <f aca="false">04_回帰ANOVA!$K$19*04_回帰ANOVA!$K$14*SQRT(1+R4114)</f>
        <v>1.04145790281631</v>
      </c>
      <c r="T4114" s="0" t="n">
        <f aca="false">Q4114-S4114</f>
        <v>45.4499199380928</v>
      </c>
      <c r="U4114" s="0" t="n">
        <f aca="false">Q4114+S4114</f>
        <v>47.5328357437254</v>
      </c>
      <c r="V4114" s="54" t="b">
        <f aca="false">AND(D4114&gt;=01_因子設定!$L$5-0.000000001,D4114&lt;=01_因子設定!$M$5+0.000000001,E4114&gt;=01_因子設定!$L$6-0.000000001,E4114&lt;=01_因子設定!$M$6+0.000000001,F4114&gt;=01_因子設定!$L$7-0.000000001,F4114&lt;=01_因子設定!$M$7+0.000000001,IF(01_因子設定!$B$20="Box-Behnken",D4114^2+E4114^2+F4114^2&lt;=2+0.000000001,TRUE()))</f>
        <v>1</v>
      </c>
      <c r="W4114" s="55" t="n">
        <f aca="false">IF(V4114,IF(01_因子設定!$B$13="最大化",T4114-01_因子設定!$B$14,IF(01_因子設定!$B$13="最小化",01_因子設定!$B$15-U4114,MIN(T4114-01_因子設定!$B$14,01_因子設定!$B$15-U4114))),-1E+030)</f>
        <v>-3.05008006190722</v>
      </c>
      <c r="X4114" s="55" t="n">
        <f aca="false">IF(V4114,IF(01_因子設定!$B$13="最大化",Q4114,IF(01_因子設定!$B$13="最小化",-Q4114,-ABS(Q4114-01_因子設定!$B$16))),-1E+030)</f>
        <v>46.4913778409091</v>
      </c>
      <c r="Y4114" s="55" t="n">
        <f aca="false">W4114+ROW()*0.000000001</f>
        <v>-3.05007594790722</v>
      </c>
      <c r="Z4114" s="55" t="n">
        <f aca="false">X4114+ROW()*0.000000001</f>
        <v>46.4913819549091</v>
      </c>
    </row>
    <row r="4115" customFormat="false" ht="15" hidden="false" customHeight="false" outlineLevel="0" collapsed="false">
      <c r="A4115" s="0" t="n">
        <v>14</v>
      </c>
      <c r="B4115" s="0" t="n">
        <v>3</v>
      </c>
      <c r="C4115" s="0" t="n">
        <v>13</v>
      </c>
      <c r="D4115" s="0" t="n">
        <f aca="false">-1+A4115*0.125</f>
        <v>0.75</v>
      </c>
      <c r="E4115" s="0" t="n">
        <f aca="false">-1+B4115*0.125</f>
        <v>-0.625</v>
      </c>
      <c r="F4115" s="0" t="n">
        <f aca="false">-1+C4115*0.125</f>
        <v>0.625</v>
      </c>
      <c r="G4115" s="0" t="n">
        <f aca="false">1</f>
        <v>1</v>
      </c>
      <c r="H4115" s="0" t="n">
        <f aca="false">D4115</f>
        <v>0.75</v>
      </c>
      <c r="I4115" s="0" t="n">
        <f aca="false">E4115</f>
        <v>-0.625</v>
      </c>
      <c r="J4115" s="0" t="n">
        <f aca="false">F4115</f>
        <v>0.625</v>
      </c>
      <c r="K4115" s="0" t="n">
        <f aca="false">D4115*E4115</f>
        <v>-0.46875</v>
      </c>
      <c r="L4115" s="0" t="n">
        <f aca="false">D4115*F4115</f>
        <v>0.46875</v>
      </c>
      <c r="M4115" s="0" t="n">
        <f aca="false">E4115*F4115</f>
        <v>-0.390625</v>
      </c>
      <c r="N4115" s="0" t="n">
        <f aca="false">D4115*D4115</f>
        <v>0.5625</v>
      </c>
      <c r="O4115" s="0" t="n">
        <f aca="false">E4115*E4115</f>
        <v>0.390625</v>
      </c>
      <c r="P4115" s="0" t="n">
        <f aca="false">F4115*F4115</f>
        <v>0.390625</v>
      </c>
      <c r="Q4115" s="0" t="n">
        <f aca="false">SUMPRODUCT(G4115:P4115,_XtX!$B$71:$K$71)</f>
        <v>46.4491051136364</v>
      </c>
      <c r="R4115" s="0" t="n">
        <f aca="false">SUMPRODUCT(MMULT(G4115:P4115,_XtX!$B$58:$K$67),G4115:P4115)</f>
        <v>0.268966952237216</v>
      </c>
      <c r="S4115" s="0" t="n">
        <f aca="false">04_回帰ANOVA!$K$19*04_回帰ANOVA!$K$14*SQRT(1+R4115)</f>
        <v>1.04734989137801</v>
      </c>
      <c r="T4115" s="0" t="n">
        <f aca="false">Q4115-S4115</f>
        <v>45.4017552222584</v>
      </c>
      <c r="U4115" s="0" t="n">
        <f aca="false">Q4115+S4115</f>
        <v>47.4964550050144</v>
      </c>
      <c r="V4115" s="54" t="b">
        <f aca="false">AND(D4115&gt;=01_因子設定!$L$5-0.000000001,D4115&lt;=01_因子設定!$M$5+0.000000001,E4115&gt;=01_因子設定!$L$6-0.000000001,E4115&lt;=01_因子設定!$M$6+0.000000001,F4115&gt;=01_因子設定!$L$7-0.000000001,F4115&lt;=01_因子設定!$M$7+0.000000001,IF(01_因子設定!$B$20="Box-Behnken",D4115^2+E4115^2+F4115^2&lt;=2+0.000000001,TRUE()))</f>
        <v>1</v>
      </c>
      <c r="W4115" s="55" t="n">
        <f aca="false">IF(V4115,IF(01_因子設定!$B$13="最大化",T4115-01_因子設定!$B$14,IF(01_因子設定!$B$13="最小化",01_因子設定!$B$15-U4115,MIN(T4115-01_因子設定!$B$14,01_因子設定!$B$15-U4115))),-1E+030)</f>
        <v>-3.09824477774164</v>
      </c>
      <c r="X4115" s="55" t="n">
        <f aca="false">IF(V4115,IF(01_因子設定!$B$13="最大化",Q4115,IF(01_因子設定!$B$13="最小化",-Q4115,-ABS(Q4115-01_因子設定!$B$16))),-1E+030)</f>
        <v>46.4491051136364</v>
      </c>
      <c r="Y4115" s="55" t="n">
        <f aca="false">W4115+ROW()*0.000000001</f>
        <v>-3.09824066274164</v>
      </c>
      <c r="Z4115" s="55" t="n">
        <f aca="false">X4115+ROW()*0.000000001</f>
        <v>46.4491092286364</v>
      </c>
    </row>
    <row r="4116" customFormat="false" ht="15" hidden="false" customHeight="false" outlineLevel="0" collapsed="false">
      <c r="A4116" s="0" t="n">
        <v>14</v>
      </c>
      <c r="B4116" s="0" t="n">
        <v>3</v>
      </c>
      <c r="C4116" s="0" t="n">
        <v>14</v>
      </c>
      <c r="D4116" s="0" t="n">
        <f aca="false">-1+A4116*0.125</f>
        <v>0.75</v>
      </c>
      <c r="E4116" s="0" t="n">
        <f aca="false">-1+B4116*0.125</f>
        <v>-0.625</v>
      </c>
      <c r="F4116" s="0" t="n">
        <f aca="false">-1+C4116*0.125</f>
        <v>0.75</v>
      </c>
      <c r="G4116" s="0" t="n">
        <f aca="false">1</f>
        <v>1</v>
      </c>
      <c r="H4116" s="0" t="n">
        <f aca="false">D4116</f>
        <v>0.75</v>
      </c>
      <c r="I4116" s="0" t="n">
        <f aca="false">E4116</f>
        <v>-0.625</v>
      </c>
      <c r="J4116" s="0" t="n">
        <f aca="false">F4116</f>
        <v>0.75</v>
      </c>
      <c r="K4116" s="0" t="n">
        <f aca="false">D4116*E4116</f>
        <v>-0.46875</v>
      </c>
      <c r="L4116" s="0" t="n">
        <f aca="false">D4116*F4116</f>
        <v>0.5625</v>
      </c>
      <c r="M4116" s="0" t="n">
        <f aca="false">E4116*F4116</f>
        <v>-0.46875</v>
      </c>
      <c r="N4116" s="0" t="n">
        <f aca="false">D4116*D4116</f>
        <v>0.5625</v>
      </c>
      <c r="O4116" s="0" t="n">
        <f aca="false">E4116*E4116</f>
        <v>0.390625</v>
      </c>
      <c r="P4116" s="0" t="n">
        <f aca="false">F4116*F4116</f>
        <v>0.5625</v>
      </c>
      <c r="Q4116" s="0" t="n">
        <f aca="false">SUMPRODUCT(G4116:P4116,_XtX!$B$71:$K$71)</f>
        <v>46.3700426136364</v>
      </c>
      <c r="R4116" s="0" t="n">
        <f aca="false">SUMPRODUCT(MMULT(G4116:P4116,_XtX!$B$58:$K$67),G4116:P4116)</f>
        <v>0.305899325284091</v>
      </c>
      <c r="S4116" s="0" t="n">
        <f aca="false">04_回帰ANOVA!$K$19*04_回帰ANOVA!$K$14*SQRT(1+R4116)</f>
        <v>1.06248176416816</v>
      </c>
      <c r="T4116" s="0" t="n">
        <f aca="false">Q4116-S4116</f>
        <v>45.3075608494682</v>
      </c>
      <c r="U4116" s="0" t="n">
        <f aca="false">Q4116+S4116</f>
        <v>47.4325243778045</v>
      </c>
      <c r="V4116" s="54" t="b">
        <f aca="false">AND(D4116&gt;=01_因子設定!$L$5-0.000000001,D4116&lt;=01_因子設定!$M$5+0.000000001,E4116&gt;=01_因子設定!$L$6-0.000000001,E4116&lt;=01_因子設定!$M$6+0.000000001,F4116&gt;=01_因子設定!$L$7-0.000000001,F4116&lt;=01_因子設定!$M$7+0.000000001,IF(01_因子設定!$B$20="Box-Behnken",D4116^2+E4116^2+F4116^2&lt;=2+0.000000001,TRUE()))</f>
        <v>1</v>
      </c>
      <c r="W4116" s="55" t="n">
        <f aca="false">IF(V4116,IF(01_因子設定!$B$13="最大化",T4116-01_因子設定!$B$14,IF(01_因子設定!$B$13="最小化",01_因子設定!$B$15-U4116,MIN(T4116-01_因子設定!$B$14,01_因子設定!$B$15-U4116))),-1E+030)</f>
        <v>-3.19243915053179</v>
      </c>
      <c r="X4116" s="55" t="n">
        <f aca="false">IF(V4116,IF(01_因子設定!$B$13="最大化",Q4116,IF(01_因子設定!$B$13="最小化",-Q4116,-ABS(Q4116-01_因子設定!$B$16))),-1E+030)</f>
        <v>46.3700426136364</v>
      </c>
      <c r="Y4116" s="55" t="n">
        <f aca="false">W4116+ROW()*0.000000001</f>
        <v>-3.19243503453179</v>
      </c>
      <c r="Z4116" s="55" t="n">
        <f aca="false">X4116+ROW()*0.000000001</f>
        <v>46.3700467296364</v>
      </c>
    </row>
    <row r="4117" customFormat="false" ht="15" hidden="false" customHeight="false" outlineLevel="0" collapsed="false">
      <c r="A4117" s="0" t="n">
        <v>14</v>
      </c>
      <c r="B4117" s="0" t="n">
        <v>3</v>
      </c>
      <c r="C4117" s="0" t="n">
        <v>15</v>
      </c>
      <c r="D4117" s="0" t="n">
        <f aca="false">-1+A4117*0.125</f>
        <v>0.75</v>
      </c>
      <c r="E4117" s="0" t="n">
        <f aca="false">-1+B4117*0.125</f>
        <v>-0.625</v>
      </c>
      <c r="F4117" s="0" t="n">
        <f aca="false">-1+C4117*0.125</f>
        <v>0.875</v>
      </c>
      <c r="G4117" s="0" t="n">
        <f aca="false">1</f>
        <v>1</v>
      </c>
      <c r="H4117" s="0" t="n">
        <f aca="false">D4117</f>
        <v>0.75</v>
      </c>
      <c r="I4117" s="0" t="n">
        <f aca="false">E4117</f>
        <v>-0.625</v>
      </c>
      <c r="J4117" s="0" t="n">
        <f aca="false">F4117</f>
        <v>0.875</v>
      </c>
      <c r="K4117" s="0" t="n">
        <f aca="false">D4117*E4117</f>
        <v>-0.46875</v>
      </c>
      <c r="L4117" s="0" t="n">
        <f aca="false">D4117*F4117</f>
        <v>0.65625</v>
      </c>
      <c r="M4117" s="0" t="n">
        <f aca="false">E4117*F4117</f>
        <v>-0.546875</v>
      </c>
      <c r="N4117" s="0" t="n">
        <f aca="false">D4117*D4117</f>
        <v>0.5625</v>
      </c>
      <c r="O4117" s="0" t="n">
        <f aca="false">E4117*E4117</f>
        <v>0.390625</v>
      </c>
      <c r="P4117" s="0" t="n">
        <f aca="false">F4117*F4117</f>
        <v>0.765625</v>
      </c>
      <c r="Q4117" s="0" t="n">
        <f aca="false">SUMPRODUCT(G4117:P4117,_XtX!$B$71:$K$71)</f>
        <v>46.2541903409091</v>
      </c>
      <c r="R4117" s="0" t="n">
        <f aca="false">SUMPRODUCT(MMULT(G4117:P4117,_XtX!$B$58:$K$67),G4117:P4117)</f>
        <v>0.377245538884943</v>
      </c>
      <c r="S4117" s="0" t="n">
        <f aca="false">04_回帰ANOVA!$K$19*04_回帰ANOVA!$K$14*SQRT(1+R4117)</f>
        <v>1.09111951468927</v>
      </c>
      <c r="T4117" s="0" t="n">
        <f aca="false">Q4117-S4117</f>
        <v>45.1630708262198</v>
      </c>
      <c r="U4117" s="0" t="n">
        <f aca="false">Q4117+S4117</f>
        <v>47.3453098555984</v>
      </c>
      <c r="V4117" s="54" t="b">
        <f aca="false">AND(D4117&gt;=01_因子設定!$L$5-0.000000001,D4117&lt;=01_因子設定!$M$5+0.000000001,E4117&gt;=01_因子設定!$L$6-0.000000001,E4117&lt;=01_因子設定!$M$6+0.000000001,F4117&gt;=01_因子設定!$L$7-0.000000001,F4117&lt;=01_因子設定!$M$7+0.000000001,IF(01_因子設定!$B$20="Box-Behnken",D4117^2+E4117^2+F4117^2&lt;=2+0.000000001,TRUE()))</f>
        <v>1</v>
      </c>
      <c r="W4117" s="55" t="n">
        <f aca="false">IF(V4117,IF(01_因子設定!$B$13="最大化",T4117-01_因子設定!$B$14,IF(01_因子設定!$B$13="最小化",01_因子設定!$B$15-U4117,MIN(T4117-01_因子設定!$B$14,01_因子設定!$B$15-U4117))),-1E+030)</f>
        <v>-3.33692917378017</v>
      </c>
      <c r="X4117" s="55" t="n">
        <f aca="false">IF(V4117,IF(01_因子設定!$B$13="最大化",Q4117,IF(01_因子設定!$B$13="最小化",-Q4117,-ABS(Q4117-01_因子設定!$B$16))),-1E+030)</f>
        <v>46.2541903409091</v>
      </c>
      <c r="Y4117" s="55" t="n">
        <f aca="false">W4117+ROW()*0.000000001</f>
        <v>-3.33692505678017</v>
      </c>
      <c r="Z4117" s="55" t="n">
        <f aca="false">X4117+ROW()*0.000000001</f>
        <v>46.2541944579091</v>
      </c>
    </row>
    <row r="4118" customFormat="false" ht="15" hidden="false" customHeight="false" outlineLevel="0" collapsed="false">
      <c r="A4118" s="0" t="n">
        <v>14</v>
      </c>
      <c r="B4118" s="0" t="n">
        <v>3</v>
      </c>
      <c r="C4118" s="0" t="n">
        <v>16</v>
      </c>
      <c r="D4118" s="0" t="n">
        <f aca="false">-1+A4118*0.125</f>
        <v>0.75</v>
      </c>
      <c r="E4118" s="0" t="n">
        <f aca="false">-1+B4118*0.125</f>
        <v>-0.625</v>
      </c>
      <c r="F4118" s="0" t="n">
        <f aca="false">-1+C4118*0.125</f>
        <v>1</v>
      </c>
      <c r="G4118" s="0" t="n">
        <f aca="false">1</f>
        <v>1</v>
      </c>
      <c r="H4118" s="0" t="n">
        <f aca="false">D4118</f>
        <v>0.75</v>
      </c>
      <c r="I4118" s="0" t="n">
        <f aca="false">E4118</f>
        <v>-0.625</v>
      </c>
      <c r="J4118" s="0" t="n">
        <f aca="false">F4118</f>
        <v>1</v>
      </c>
      <c r="K4118" s="0" t="n">
        <f aca="false">D4118*E4118</f>
        <v>-0.46875</v>
      </c>
      <c r="L4118" s="0" t="n">
        <f aca="false">D4118*F4118</f>
        <v>0.75</v>
      </c>
      <c r="M4118" s="0" t="n">
        <f aca="false">E4118*F4118</f>
        <v>-0.625</v>
      </c>
      <c r="N4118" s="0" t="n">
        <f aca="false">D4118*D4118</f>
        <v>0.5625</v>
      </c>
      <c r="O4118" s="0" t="n">
        <f aca="false">E4118*E4118</f>
        <v>0.390625</v>
      </c>
      <c r="P4118" s="0" t="n">
        <f aca="false">F4118*F4118</f>
        <v>1</v>
      </c>
      <c r="Q4118" s="0" t="n">
        <f aca="false">SUMPRODUCT(G4118:P4118,_XtX!$B$71:$K$71)</f>
        <v>46.1015482954546</v>
      </c>
      <c r="R4118" s="0" t="n">
        <f aca="false">SUMPRODUCT(MMULT(G4118:P4118,_XtX!$B$58:$K$67),G4118:P4118)</f>
        <v>0.496855024857955</v>
      </c>
      <c r="S4118" s="0" t="n">
        <f aca="false">04_回帰ANOVA!$K$19*04_回帰ANOVA!$K$14*SQRT(1+R4118)</f>
        <v>1.1375133593161</v>
      </c>
      <c r="T4118" s="0" t="n">
        <f aca="false">Q4118-S4118</f>
        <v>44.9640349361385</v>
      </c>
      <c r="U4118" s="0" t="n">
        <f aca="false">Q4118+S4118</f>
        <v>47.2390616547707</v>
      </c>
      <c r="V4118" s="54" t="b">
        <f aca="false">AND(D4118&gt;=01_因子設定!$L$5-0.000000001,D4118&lt;=01_因子設定!$M$5+0.000000001,E4118&gt;=01_因子設定!$L$6-0.000000001,E4118&lt;=01_因子設定!$M$6+0.000000001,F4118&gt;=01_因子設定!$L$7-0.000000001,F4118&lt;=01_因子設定!$M$7+0.000000001,IF(01_因子設定!$B$20="Box-Behnken",D4118^2+E4118^2+F4118^2&lt;=2+0.000000001,TRUE()))</f>
        <v>1</v>
      </c>
      <c r="W4118" s="55" t="n">
        <f aca="false">IF(V4118,IF(01_因子設定!$B$13="最大化",T4118-01_因子設定!$B$14,IF(01_因子設定!$B$13="最小化",01_因子設定!$B$15-U4118,MIN(T4118-01_因子設定!$B$14,01_因子設定!$B$15-U4118))),-1E+030)</f>
        <v>-3.53596506386154</v>
      </c>
      <c r="X4118" s="55" t="n">
        <f aca="false">IF(V4118,IF(01_因子設定!$B$13="最大化",Q4118,IF(01_因子設定!$B$13="最小化",-Q4118,-ABS(Q4118-01_因子設定!$B$16))),-1E+030)</f>
        <v>46.1015482954546</v>
      </c>
      <c r="Y4118" s="55" t="n">
        <f aca="false">W4118+ROW()*0.000000001</f>
        <v>-3.53596094586154</v>
      </c>
      <c r="Z4118" s="55" t="n">
        <f aca="false">X4118+ROW()*0.000000001</f>
        <v>46.1015524134546</v>
      </c>
    </row>
    <row r="4119" customFormat="false" ht="15" hidden="false" customHeight="false" outlineLevel="0" collapsed="false">
      <c r="A4119" s="0" t="n">
        <v>14</v>
      </c>
      <c r="B4119" s="0" t="n">
        <v>4</v>
      </c>
      <c r="C4119" s="0" t="n">
        <v>0</v>
      </c>
      <c r="D4119" s="0" t="n">
        <f aca="false">-1+A4119*0.125</f>
        <v>0.75</v>
      </c>
      <c r="E4119" s="0" t="n">
        <f aca="false">-1+B4119*0.125</f>
        <v>-0.5</v>
      </c>
      <c r="F4119" s="0" t="n">
        <f aca="false">-1+C4119*0.125</f>
        <v>-1</v>
      </c>
      <c r="G4119" s="0" t="n">
        <f aca="false">1</f>
        <v>1</v>
      </c>
      <c r="H4119" s="0" t="n">
        <f aca="false">D4119</f>
        <v>0.75</v>
      </c>
      <c r="I4119" s="0" t="n">
        <f aca="false">E4119</f>
        <v>-0.5</v>
      </c>
      <c r="J4119" s="0" t="n">
        <f aca="false">F4119</f>
        <v>-1</v>
      </c>
      <c r="K4119" s="0" t="n">
        <f aca="false">D4119*E4119</f>
        <v>-0.375</v>
      </c>
      <c r="L4119" s="0" t="n">
        <f aca="false">D4119*F4119</f>
        <v>-0.75</v>
      </c>
      <c r="M4119" s="0" t="n">
        <f aca="false">E4119*F4119</f>
        <v>0.5</v>
      </c>
      <c r="N4119" s="0" t="n">
        <f aca="false">D4119*D4119</f>
        <v>0.5625</v>
      </c>
      <c r="O4119" s="0" t="n">
        <f aca="false">E4119*E4119</f>
        <v>0.25</v>
      </c>
      <c r="P4119" s="0" t="n">
        <f aca="false">F4119*F4119</f>
        <v>1</v>
      </c>
      <c r="Q4119" s="0" t="n">
        <f aca="false">SUMPRODUCT(G4119:P4119,_XtX!$B$71:$K$71)</f>
        <v>44.7314772727273</v>
      </c>
      <c r="R4119" s="0" t="n">
        <f aca="false">SUMPRODUCT(MMULT(G4119:P4119,_XtX!$B$58:$K$67),G4119:P4119)</f>
        <v>0.495276988636364</v>
      </c>
      <c r="S4119" s="0" t="n">
        <f aca="false">04_回帰ANOVA!$K$19*04_回帰ANOVA!$K$14*SQRT(1+R4119)</f>
        <v>1.13691359828352</v>
      </c>
      <c r="T4119" s="0" t="n">
        <f aca="false">Q4119-S4119</f>
        <v>43.5945636744438</v>
      </c>
      <c r="U4119" s="0" t="n">
        <f aca="false">Q4119+S4119</f>
        <v>45.8683908710108</v>
      </c>
      <c r="V4119" s="54" t="b">
        <f aca="false">AND(D4119&gt;=01_因子設定!$L$5-0.000000001,D4119&lt;=01_因子設定!$M$5+0.000000001,E4119&gt;=01_因子設定!$L$6-0.000000001,E4119&lt;=01_因子設定!$M$6+0.000000001,F4119&gt;=01_因子設定!$L$7-0.000000001,F4119&lt;=01_因子設定!$M$7+0.000000001,IF(01_因子設定!$B$20="Box-Behnken",D4119^2+E4119^2+F4119^2&lt;=2+0.000000001,TRUE()))</f>
        <v>1</v>
      </c>
      <c r="W4119" s="55" t="n">
        <f aca="false">IF(V4119,IF(01_因子設定!$B$13="最大化",T4119-01_因子設定!$B$14,IF(01_因子設定!$B$13="最小化",01_因子設定!$B$15-U4119,MIN(T4119-01_因子設定!$B$14,01_因子設定!$B$15-U4119))),-1E+030)</f>
        <v>-4.90543632555623</v>
      </c>
      <c r="X4119" s="55" t="n">
        <f aca="false">IF(V4119,IF(01_因子設定!$B$13="最大化",Q4119,IF(01_因子設定!$B$13="最小化",-Q4119,-ABS(Q4119-01_因子設定!$B$16))),-1E+030)</f>
        <v>44.7314772727273</v>
      </c>
      <c r="Y4119" s="55" t="n">
        <f aca="false">W4119+ROW()*0.000000001</f>
        <v>-4.90543220655623</v>
      </c>
      <c r="Z4119" s="55" t="n">
        <f aca="false">X4119+ROW()*0.000000001</f>
        <v>44.7314813917273</v>
      </c>
    </row>
    <row r="4120" customFormat="false" ht="15" hidden="false" customHeight="false" outlineLevel="0" collapsed="false">
      <c r="A4120" s="0" t="n">
        <v>14</v>
      </c>
      <c r="B4120" s="0" t="n">
        <v>4</v>
      </c>
      <c r="C4120" s="0" t="n">
        <v>1</v>
      </c>
      <c r="D4120" s="0" t="n">
        <f aca="false">-1+A4120*0.125</f>
        <v>0.75</v>
      </c>
      <c r="E4120" s="0" t="n">
        <f aca="false">-1+B4120*0.125</f>
        <v>-0.5</v>
      </c>
      <c r="F4120" s="0" t="n">
        <f aca="false">-1+C4120*0.125</f>
        <v>-0.875</v>
      </c>
      <c r="G4120" s="0" t="n">
        <f aca="false">1</f>
        <v>1</v>
      </c>
      <c r="H4120" s="0" t="n">
        <f aca="false">D4120</f>
        <v>0.75</v>
      </c>
      <c r="I4120" s="0" t="n">
        <f aca="false">E4120</f>
        <v>-0.5</v>
      </c>
      <c r="J4120" s="0" t="n">
        <f aca="false">F4120</f>
        <v>-0.875</v>
      </c>
      <c r="K4120" s="0" t="n">
        <f aca="false">D4120*E4120</f>
        <v>-0.375</v>
      </c>
      <c r="L4120" s="0" t="n">
        <f aca="false">D4120*F4120</f>
        <v>-0.65625</v>
      </c>
      <c r="M4120" s="0" t="n">
        <f aca="false">E4120*F4120</f>
        <v>0.4375</v>
      </c>
      <c r="N4120" s="0" t="n">
        <f aca="false">D4120*D4120</f>
        <v>0.5625</v>
      </c>
      <c r="O4120" s="0" t="n">
        <f aca="false">E4120*E4120</f>
        <v>0.25</v>
      </c>
      <c r="P4120" s="0" t="n">
        <f aca="false">F4120*F4120</f>
        <v>0.765625</v>
      </c>
      <c r="Q4120" s="0" t="n">
        <f aca="false">SUMPRODUCT(G4120:P4120,_XtX!$B$71:$K$71)</f>
        <v>45.1377130681818</v>
      </c>
      <c r="R4120" s="0" t="n">
        <f aca="false">SUMPRODUCT(MMULT(G4120:P4120,_XtX!$B$58:$K$67),G4120:P4120)</f>
        <v>0.370798561789773</v>
      </c>
      <c r="S4120" s="0" t="n">
        <f aca="false">04_回帰ANOVA!$K$19*04_回帰ANOVA!$K$14*SQRT(1+R4120)</f>
        <v>1.08856271788237</v>
      </c>
      <c r="T4120" s="0" t="n">
        <f aca="false">Q4120-S4120</f>
        <v>44.0491503502995</v>
      </c>
      <c r="U4120" s="0" t="n">
        <f aca="false">Q4120+S4120</f>
        <v>46.2262757860642</v>
      </c>
      <c r="V4120" s="54" t="b">
        <f aca="false">AND(D4120&gt;=01_因子設定!$L$5-0.000000001,D4120&lt;=01_因子設定!$M$5+0.000000001,E4120&gt;=01_因子設定!$L$6-0.000000001,E4120&lt;=01_因子設定!$M$6+0.000000001,F4120&gt;=01_因子設定!$L$7-0.000000001,F4120&lt;=01_因子設定!$M$7+0.000000001,IF(01_因子設定!$B$20="Box-Behnken",D4120^2+E4120^2+F4120^2&lt;=2+0.000000001,TRUE()))</f>
        <v>1</v>
      </c>
      <c r="W4120" s="55" t="n">
        <f aca="false">IF(V4120,IF(01_因子設定!$B$13="最大化",T4120-01_因子設定!$B$14,IF(01_因子設定!$B$13="最小化",01_因子設定!$B$15-U4120,MIN(T4120-01_因子設定!$B$14,01_因子設定!$B$15-U4120))),-1E+030)</f>
        <v>-4.45084964970054</v>
      </c>
      <c r="X4120" s="55" t="n">
        <f aca="false">IF(V4120,IF(01_因子設定!$B$13="最大化",Q4120,IF(01_因子設定!$B$13="最小化",-Q4120,-ABS(Q4120-01_因子設定!$B$16))),-1E+030)</f>
        <v>45.1377130681818</v>
      </c>
      <c r="Y4120" s="55" t="n">
        <f aca="false">W4120+ROW()*0.000000001</f>
        <v>-4.45084552970054</v>
      </c>
      <c r="Z4120" s="55" t="n">
        <f aca="false">X4120+ROW()*0.000000001</f>
        <v>45.1377171881818</v>
      </c>
    </row>
    <row r="4121" customFormat="false" ht="15" hidden="false" customHeight="false" outlineLevel="0" collapsed="false">
      <c r="A4121" s="0" t="n">
        <v>14</v>
      </c>
      <c r="B4121" s="0" t="n">
        <v>4</v>
      </c>
      <c r="C4121" s="0" t="n">
        <v>2</v>
      </c>
      <c r="D4121" s="0" t="n">
        <f aca="false">-1+A4121*0.125</f>
        <v>0.75</v>
      </c>
      <c r="E4121" s="0" t="n">
        <f aca="false">-1+B4121*0.125</f>
        <v>-0.5</v>
      </c>
      <c r="F4121" s="0" t="n">
        <f aca="false">-1+C4121*0.125</f>
        <v>-0.75</v>
      </c>
      <c r="G4121" s="0" t="n">
        <f aca="false">1</f>
        <v>1</v>
      </c>
      <c r="H4121" s="0" t="n">
        <f aca="false">D4121</f>
        <v>0.75</v>
      </c>
      <c r="I4121" s="0" t="n">
        <f aca="false">E4121</f>
        <v>-0.5</v>
      </c>
      <c r="J4121" s="0" t="n">
        <f aca="false">F4121</f>
        <v>-0.75</v>
      </c>
      <c r="K4121" s="0" t="n">
        <f aca="false">D4121*E4121</f>
        <v>-0.375</v>
      </c>
      <c r="L4121" s="0" t="n">
        <f aca="false">D4121*F4121</f>
        <v>-0.5625</v>
      </c>
      <c r="M4121" s="0" t="n">
        <f aca="false">E4121*F4121</f>
        <v>0.375</v>
      </c>
      <c r="N4121" s="0" t="n">
        <f aca="false">D4121*D4121</f>
        <v>0.5625</v>
      </c>
      <c r="O4121" s="0" t="n">
        <f aca="false">E4121*E4121</f>
        <v>0.25</v>
      </c>
      <c r="P4121" s="0" t="n">
        <f aca="false">F4121*F4121</f>
        <v>0.5625</v>
      </c>
      <c r="Q4121" s="0" t="n">
        <f aca="false">SUMPRODUCT(G4121:P4121,_XtX!$B$71:$K$71)</f>
        <v>45.5071590909091</v>
      </c>
      <c r="R4121" s="0" t="n">
        <f aca="false">SUMPRODUCT(MMULT(G4121:P4121,_XtX!$B$58:$K$67),G4121:P4121)</f>
        <v>0.295232599431818</v>
      </c>
      <c r="S4121" s="0" t="n">
        <f aca="false">04_回帰ANOVA!$K$19*04_回帰ANOVA!$K$14*SQRT(1+R4121)</f>
        <v>1.05813363442154</v>
      </c>
      <c r="T4121" s="0" t="n">
        <f aca="false">Q4121-S4121</f>
        <v>44.4490254564876</v>
      </c>
      <c r="U4121" s="0" t="n">
        <f aca="false">Q4121+S4121</f>
        <v>46.5652927253306</v>
      </c>
      <c r="V4121" s="54" t="b">
        <f aca="false">AND(D4121&gt;=01_因子設定!$L$5-0.000000001,D4121&lt;=01_因子設定!$M$5+0.000000001,E4121&gt;=01_因子設定!$L$6-0.000000001,E4121&lt;=01_因子設定!$M$6+0.000000001,F4121&gt;=01_因子設定!$L$7-0.000000001,F4121&lt;=01_因子設定!$M$7+0.000000001,IF(01_因子設定!$B$20="Box-Behnken",D4121^2+E4121^2+F4121^2&lt;=2+0.000000001,TRUE()))</f>
        <v>1</v>
      </c>
      <c r="W4121" s="55" t="n">
        <f aca="false">IF(V4121,IF(01_因子設定!$B$13="最大化",T4121-01_因子設定!$B$14,IF(01_因子設定!$B$13="最小化",01_因子設定!$B$15-U4121,MIN(T4121-01_因子設定!$B$14,01_因子設定!$B$15-U4121))),-1E+030)</f>
        <v>-4.05097454351244</v>
      </c>
      <c r="X4121" s="55" t="n">
        <f aca="false">IF(V4121,IF(01_因子設定!$B$13="最大化",Q4121,IF(01_因子設定!$B$13="最小化",-Q4121,-ABS(Q4121-01_因子設定!$B$16))),-1E+030)</f>
        <v>45.5071590909091</v>
      </c>
      <c r="Y4121" s="55" t="n">
        <f aca="false">W4121+ROW()*0.000000001</f>
        <v>-4.05097042251244</v>
      </c>
      <c r="Z4121" s="55" t="n">
        <f aca="false">X4121+ROW()*0.000000001</f>
        <v>45.5071632119091</v>
      </c>
    </row>
    <row r="4122" customFormat="false" ht="15" hidden="false" customHeight="false" outlineLevel="0" collapsed="false">
      <c r="A4122" s="0" t="n">
        <v>14</v>
      </c>
      <c r="B4122" s="0" t="n">
        <v>4</v>
      </c>
      <c r="C4122" s="0" t="n">
        <v>3</v>
      </c>
      <c r="D4122" s="0" t="n">
        <f aca="false">-1+A4122*0.125</f>
        <v>0.75</v>
      </c>
      <c r="E4122" s="0" t="n">
        <f aca="false">-1+B4122*0.125</f>
        <v>-0.5</v>
      </c>
      <c r="F4122" s="0" t="n">
        <f aca="false">-1+C4122*0.125</f>
        <v>-0.625</v>
      </c>
      <c r="G4122" s="0" t="n">
        <f aca="false">1</f>
        <v>1</v>
      </c>
      <c r="H4122" s="0" t="n">
        <f aca="false">D4122</f>
        <v>0.75</v>
      </c>
      <c r="I4122" s="0" t="n">
        <f aca="false">E4122</f>
        <v>-0.5</v>
      </c>
      <c r="J4122" s="0" t="n">
        <f aca="false">F4122</f>
        <v>-0.625</v>
      </c>
      <c r="K4122" s="0" t="n">
        <f aca="false">D4122*E4122</f>
        <v>-0.375</v>
      </c>
      <c r="L4122" s="0" t="n">
        <f aca="false">D4122*F4122</f>
        <v>-0.46875</v>
      </c>
      <c r="M4122" s="0" t="n">
        <f aca="false">E4122*F4122</f>
        <v>0.3125</v>
      </c>
      <c r="N4122" s="0" t="n">
        <f aca="false">D4122*D4122</f>
        <v>0.5625</v>
      </c>
      <c r="O4122" s="0" t="n">
        <f aca="false">E4122*E4122</f>
        <v>0.25</v>
      </c>
      <c r="P4122" s="0" t="n">
        <f aca="false">F4122*F4122</f>
        <v>0.390625</v>
      </c>
      <c r="Q4122" s="0" t="n">
        <f aca="false">SUMPRODUCT(G4122:P4122,_XtX!$B$71:$K$71)</f>
        <v>45.8398153409091</v>
      </c>
      <c r="R4122" s="0" t="n">
        <f aca="false">SUMPRODUCT(MMULT(G4122:P4122,_XtX!$B$58:$K$67),G4122:P4122)</f>
        <v>0.254729669744318</v>
      </c>
      <c r="S4122" s="0" t="n">
        <f aca="false">04_回帰ANOVA!$K$19*04_回帰ANOVA!$K$14*SQRT(1+R4122)</f>
        <v>1.04145790281631</v>
      </c>
      <c r="T4122" s="0" t="n">
        <f aca="false">Q4122-S4122</f>
        <v>44.7983574380928</v>
      </c>
      <c r="U4122" s="0" t="n">
        <f aca="false">Q4122+S4122</f>
        <v>46.8812732437254</v>
      </c>
      <c r="V4122" s="54" t="b">
        <f aca="false">AND(D4122&gt;=01_因子設定!$L$5-0.000000001,D4122&lt;=01_因子設定!$M$5+0.000000001,E4122&gt;=01_因子設定!$L$6-0.000000001,E4122&lt;=01_因子設定!$M$6+0.000000001,F4122&gt;=01_因子設定!$L$7-0.000000001,F4122&lt;=01_因子設定!$M$7+0.000000001,IF(01_因子設定!$B$20="Box-Behnken",D4122^2+E4122^2+F4122^2&lt;=2+0.000000001,TRUE()))</f>
        <v>1</v>
      </c>
      <c r="W4122" s="55" t="n">
        <f aca="false">IF(V4122,IF(01_因子設定!$B$13="最大化",T4122-01_因子設定!$B$14,IF(01_因子設定!$B$13="最小化",01_因子設定!$B$15-U4122,MIN(T4122-01_因子設定!$B$14,01_因子設定!$B$15-U4122))),-1E+030)</f>
        <v>-3.70164256190721</v>
      </c>
      <c r="X4122" s="55" t="n">
        <f aca="false">IF(V4122,IF(01_因子設定!$B$13="最大化",Q4122,IF(01_因子設定!$B$13="最小化",-Q4122,-ABS(Q4122-01_因子設定!$B$16))),-1E+030)</f>
        <v>45.8398153409091</v>
      </c>
      <c r="Y4122" s="55" t="n">
        <f aca="false">W4122+ROW()*0.000000001</f>
        <v>-3.70163843990721</v>
      </c>
      <c r="Z4122" s="55" t="n">
        <f aca="false">X4122+ROW()*0.000000001</f>
        <v>45.8398194629091</v>
      </c>
    </row>
    <row r="4123" customFormat="false" ht="15" hidden="false" customHeight="false" outlineLevel="0" collapsed="false">
      <c r="A4123" s="0" t="n">
        <v>14</v>
      </c>
      <c r="B4123" s="0" t="n">
        <v>4</v>
      </c>
      <c r="C4123" s="0" t="n">
        <v>4</v>
      </c>
      <c r="D4123" s="0" t="n">
        <f aca="false">-1+A4123*0.125</f>
        <v>0.75</v>
      </c>
      <c r="E4123" s="0" t="n">
        <f aca="false">-1+B4123*0.125</f>
        <v>-0.5</v>
      </c>
      <c r="F4123" s="0" t="n">
        <f aca="false">-1+C4123*0.125</f>
        <v>-0.5</v>
      </c>
      <c r="G4123" s="0" t="n">
        <f aca="false">1</f>
        <v>1</v>
      </c>
      <c r="H4123" s="0" t="n">
        <f aca="false">D4123</f>
        <v>0.75</v>
      </c>
      <c r="I4123" s="0" t="n">
        <f aca="false">E4123</f>
        <v>-0.5</v>
      </c>
      <c r="J4123" s="0" t="n">
        <f aca="false">F4123</f>
        <v>-0.5</v>
      </c>
      <c r="K4123" s="0" t="n">
        <f aca="false">D4123*E4123</f>
        <v>-0.375</v>
      </c>
      <c r="L4123" s="0" t="n">
        <f aca="false">D4123*F4123</f>
        <v>-0.375</v>
      </c>
      <c r="M4123" s="0" t="n">
        <f aca="false">E4123*F4123</f>
        <v>0.25</v>
      </c>
      <c r="N4123" s="0" t="n">
        <f aca="false">D4123*D4123</f>
        <v>0.5625</v>
      </c>
      <c r="O4123" s="0" t="n">
        <f aca="false">E4123*E4123</f>
        <v>0.25</v>
      </c>
      <c r="P4123" s="0" t="n">
        <f aca="false">F4123*F4123</f>
        <v>0.25</v>
      </c>
      <c r="Q4123" s="0" t="n">
        <f aca="false">SUMPRODUCT(G4123:P4123,_XtX!$B$71:$K$71)</f>
        <v>46.1356818181818</v>
      </c>
      <c r="R4123" s="0" t="n">
        <f aca="false">SUMPRODUCT(MMULT(G4123:P4123,_XtX!$B$58:$K$67),G4123:P4123)</f>
        <v>0.237571022727273</v>
      </c>
      <c r="S4123" s="0" t="n">
        <f aca="false">04_回帰ANOVA!$K$19*04_回帰ANOVA!$K$14*SQRT(1+R4123)</f>
        <v>1.0343123302758</v>
      </c>
      <c r="T4123" s="0" t="n">
        <f aca="false">Q4123-S4123</f>
        <v>45.101369487906</v>
      </c>
      <c r="U4123" s="0" t="n">
        <f aca="false">Q4123+S4123</f>
        <v>47.1699941484576</v>
      </c>
      <c r="V4123" s="54" t="b">
        <f aca="false">AND(D4123&gt;=01_因子設定!$L$5-0.000000001,D4123&lt;=01_因子設定!$M$5+0.000000001,E4123&gt;=01_因子設定!$L$6-0.000000001,E4123&lt;=01_因子設定!$M$6+0.000000001,F4123&gt;=01_因子設定!$L$7-0.000000001,F4123&lt;=01_因子設定!$M$7+0.000000001,IF(01_因子設定!$B$20="Box-Behnken",D4123^2+E4123^2+F4123^2&lt;=2+0.000000001,TRUE()))</f>
        <v>1</v>
      </c>
      <c r="W4123" s="55" t="n">
        <f aca="false">IF(V4123,IF(01_因子設定!$B$13="最大化",T4123-01_因子設定!$B$14,IF(01_因子設定!$B$13="最小化",01_因子設定!$B$15-U4123,MIN(T4123-01_因子設定!$B$14,01_因子設定!$B$15-U4123))),-1E+030)</f>
        <v>-3.39863051209398</v>
      </c>
      <c r="X4123" s="55" t="n">
        <f aca="false">IF(V4123,IF(01_因子設定!$B$13="最大化",Q4123,IF(01_因子設定!$B$13="最小化",-Q4123,-ABS(Q4123-01_因子設定!$B$16))),-1E+030)</f>
        <v>46.1356818181818</v>
      </c>
      <c r="Y4123" s="55" t="n">
        <f aca="false">W4123+ROW()*0.000000001</f>
        <v>-3.39862638909398</v>
      </c>
      <c r="Z4123" s="55" t="n">
        <f aca="false">X4123+ROW()*0.000000001</f>
        <v>46.1356859411818</v>
      </c>
    </row>
    <row r="4124" customFormat="false" ht="15" hidden="false" customHeight="false" outlineLevel="0" collapsed="false">
      <c r="A4124" s="0" t="n">
        <v>14</v>
      </c>
      <c r="B4124" s="0" t="n">
        <v>4</v>
      </c>
      <c r="C4124" s="0" t="n">
        <v>5</v>
      </c>
      <c r="D4124" s="0" t="n">
        <f aca="false">-1+A4124*0.125</f>
        <v>0.75</v>
      </c>
      <c r="E4124" s="0" t="n">
        <f aca="false">-1+B4124*0.125</f>
        <v>-0.5</v>
      </c>
      <c r="F4124" s="0" t="n">
        <f aca="false">-1+C4124*0.125</f>
        <v>-0.375</v>
      </c>
      <c r="G4124" s="0" t="n">
        <f aca="false">1</f>
        <v>1</v>
      </c>
      <c r="H4124" s="0" t="n">
        <f aca="false">D4124</f>
        <v>0.75</v>
      </c>
      <c r="I4124" s="0" t="n">
        <f aca="false">E4124</f>
        <v>-0.5</v>
      </c>
      <c r="J4124" s="0" t="n">
        <f aca="false">F4124</f>
        <v>-0.375</v>
      </c>
      <c r="K4124" s="0" t="n">
        <f aca="false">D4124*E4124</f>
        <v>-0.375</v>
      </c>
      <c r="L4124" s="0" t="n">
        <f aca="false">D4124*F4124</f>
        <v>-0.28125</v>
      </c>
      <c r="M4124" s="0" t="n">
        <f aca="false">E4124*F4124</f>
        <v>0.1875</v>
      </c>
      <c r="N4124" s="0" t="n">
        <f aca="false">D4124*D4124</f>
        <v>0.5625</v>
      </c>
      <c r="O4124" s="0" t="n">
        <f aca="false">E4124*E4124</f>
        <v>0.25</v>
      </c>
      <c r="P4124" s="0" t="n">
        <f aca="false">F4124*F4124</f>
        <v>0.140625</v>
      </c>
      <c r="Q4124" s="0" t="n">
        <f aca="false">SUMPRODUCT(G4124:P4124,_XtX!$B$71:$K$71)</f>
        <v>46.3947585227273</v>
      </c>
      <c r="R4124" s="0" t="n">
        <f aca="false">SUMPRODUCT(MMULT(G4124:P4124,_XtX!$B$58:$K$67),G4124:P4124)</f>
        <v>0.234168590198864</v>
      </c>
      <c r="S4124" s="0" t="n">
        <f aca="false">04_回帰ANOVA!$K$19*04_回帰ANOVA!$K$14*SQRT(1+R4124)</f>
        <v>1.03288954322488</v>
      </c>
      <c r="T4124" s="0" t="n">
        <f aca="false">Q4124-S4124</f>
        <v>45.3618689795024</v>
      </c>
      <c r="U4124" s="0" t="n">
        <f aca="false">Q4124+S4124</f>
        <v>47.4276480659522</v>
      </c>
      <c r="V4124" s="54" t="b">
        <f aca="false">AND(D4124&gt;=01_因子設定!$L$5-0.000000001,D4124&lt;=01_因子設定!$M$5+0.000000001,E4124&gt;=01_因子設定!$L$6-0.000000001,E4124&lt;=01_因子設定!$M$6+0.000000001,F4124&gt;=01_因子設定!$L$7-0.000000001,F4124&lt;=01_因子設定!$M$7+0.000000001,IF(01_因子設定!$B$20="Box-Behnken",D4124^2+E4124^2+F4124^2&lt;=2+0.000000001,TRUE()))</f>
        <v>1</v>
      </c>
      <c r="W4124" s="55" t="n">
        <f aca="false">IF(V4124,IF(01_因子設定!$B$13="最大化",T4124-01_因子設定!$B$14,IF(01_因子設定!$B$13="最小化",01_因子設定!$B$15-U4124,MIN(T4124-01_因子設定!$B$14,01_因子設定!$B$15-U4124))),-1E+030)</f>
        <v>-3.1381310204976</v>
      </c>
      <c r="X4124" s="55" t="n">
        <f aca="false">IF(V4124,IF(01_因子設定!$B$13="最大化",Q4124,IF(01_因子設定!$B$13="最小化",-Q4124,-ABS(Q4124-01_因子設定!$B$16))),-1E+030)</f>
        <v>46.3947585227273</v>
      </c>
      <c r="Y4124" s="55" t="n">
        <f aca="false">W4124+ROW()*0.000000001</f>
        <v>-3.1381268964976</v>
      </c>
      <c r="Z4124" s="55" t="n">
        <f aca="false">X4124+ROW()*0.000000001</f>
        <v>46.3947626467273</v>
      </c>
    </row>
    <row r="4125" customFormat="false" ht="15" hidden="false" customHeight="false" outlineLevel="0" collapsed="false">
      <c r="A4125" s="0" t="n">
        <v>14</v>
      </c>
      <c r="B4125" s="0" t="n">
        <v>4</v>
      </c>
      <c r="C4125" s="0" t="n">
        <v>6</v>
      </c>
      <c r="D4125" s="0" t="n">
        <f aca="false">-1+A4125*0.125</f>
        <v>0.75</v>
      </c>
      <c r="E4125" s="0" t="n">
        <f aca="false">-1+B4125*0.125</f>
        <v>-0.5</v>
      </c>
      <c r="F4125" s="0" t="n">
        <f aca="false">-1+C4125*0.125</f>
        <v>-0.25</v>
      </c>
      <c r="G4125" s="0" t="n">
        <f aca="false">1</f>
        <v>1</v>
      </c>
      <c r="H4125" s="0" t="n">
        <f aca="false">D4125</f>
        <v>0.75</v>
      </c>
      <c r="I4125" s="0" t="n">
        <f aca="false">E4125</f>
        <v>-0.5</v>
      </c>
      <c r="J4125" s="0" t="n">
        <f aca="false">F4125</f>
        <v>-0.25</v>
      </c>
      <c r="K4125" s="0" t="n">
        <f aca="false">D4125*E4125</f>
        <v>-0.375</v>
      </c>
      <c r="L4125" s="0" t="n">
        <f aca="false">D4125*F4125</f>
        <v>-0.1875</v>
      </c>
      <c r="M4125" s="0" t="n">
        <f aca="false">E4125*F4125</f>
        <v>0.125</v>
      </c>
      <c r="N4125" s="0" t="n">
        <f aca="false">D4125*D4125</f>
        <v>0.5625</v>
      </c>
      <c r="O4125" s="0" t="n">
        <f aca="false">E4125*E4125</f>
        <v>0.25</v>
      </c>
      <c r="P4125" s="0" t="n">
        <f aca="false">F4125*F4125</f>
        <v>0.0625</v>
      </c>
      <c r="Q4125" s="0" t="n">
        <f aca="false">SUMPRODUCT(G4125:P4125,_XtX!$B$71:$K$71)</f>
        <v>46.6170454545455</v>
      </c>
      <c r="R4125" s="0" t="n">
        <f aca="false">SUMPRODUCT(MMULT(G4125:P4125,_XtX!$B$58:$K$67),G4125:P4125)</f>
        <v>0.237064985795455</v>
      </c>
      <c r="S4125" s="0" t="n">
        <f aca="false">04_回帰ANOVA!$K$19*04_回帰ANOVA!$K$14*SQRT(1+R4125)</f>
        <v>1.03410084594745</v>
      </c>
      <c r="T4125" s="0" t="n">
        <f aca="false">Q4125-S4125</f>
        <v>45.582944608598</v>
      </c>
      <c r="U4125" s="0" t="n">
        <f aca="false">Q4125+S4125</f>
        <v>47.6511463004929</v>
      </c>
      <c r="V4125" s="54" t="b">
        <f aca="false">AND(D4125&gt;=01_因子設定!$L$5-0.000000001,D4125&lt;=01_因子設定!$M$5+0.000000001,E4125&gt;=01_因子設定!$L$6-0.000000001,E4125&lt;=01_因子設定!$M$6+0.000000001,F4125&gt;=01_因子設定!$L$7-0.000000001,F4125&lt;=01_因子設定!$M$7+0.000000001,IF(01_因子設定!$B$20="Box-Behnken",D4125^2+E4125^2+F4125^2&lt;=2+0.000000001,TRUE()))</f>
        <v>1</v>
      </c>
      <c r="W4125" s="55" t="n">
        <f aca="false">IF(V4125,IF(01_因子設定!$B$13="最大化",T4125-01_因子設定!$B$14,IF(01_因子設定!$B$13="最小化",01_因子設定!$B$15-U4125,MIN(T4125-01_因子設定!$B$14,01_因子設定!$B$15-U4125))),-1E+030)</f>
        <v>-2.91705539140199</v>
      </c>
      <c r="X4125" s="55" t="n">
        <f aca="false">IF(V4125,IF(01_因子設定!$B$13="最大化",Q4125,IF(01_因子設定!$B$13="最小化",-Q4125,-ABS(Q4125-01_因子設定!$B$16))),-1E+030)</f>
        <v>46.6170454545455</v>
      </c>
      <c r="Y4125" s="55" t="n">
        <f aca="false">W4125+ROW()*0.000000001</f>
        <v>-2.91705126640199</v>
      </c>
      <c r="Z4125" s="55" t="n">
        <f aca="false">X4125+ROW()*0.000000001</f>
        <v>46.6170495795455</v>
      </c>
    </row>
    <row r="4126" customFormat="false" ht="15" hidden="false" customHeight="false" outlineLevel="0" collapsed="false">
      <c r="A4126" s="0" t="n">
        <v>14</v>
      </c>
      <c r="B4126" s="0" t="n">
        <v>4</v>
      </c>
      <c r="C4126" s="0" t="n">
        <v>7</v>
      </c>
      <c r="D4126" s="0" t="n">
        <f aca="false">-1+A4126*0.125</f>
        <v>0.75</v>
      </c>
      <c r="E4126" s="0" t="n">
        <f aca="false">-1+B4126*0.125</f>
        <v>-0.5</v>
      </c>
      <c r="F4126" s="0" t="n">
        <f aca="false">-1+C4126*0.125</f>
        <v>-0.125</v>
      </c>
      <c r="G4126" s="0" t="n">
        <f aca="false">1</f>
        <v>1</v>
      </c>
      <c r="H4126" s="0" t="n">
        <f aca="false">D4126</f>
        <v>0.75</v>
      </c>
      <c r="I4126" s="0" t="n">
        <f aca="false">E4126</f>
        <v>-0.5</v>
      </c>
      <c r="J4126" s="0" t="n">
        <f aca="false">F4126</f>
        <v>-0.125</v>
      </c>
      <c r="K4126" s="0" t="n">
        <f aca="false">D4126*E4126</f>
        <v>-0.375</v>
      </c>
      <c r="L4126" s="0" t="n">
        <f aca="false">D4126*F4126</f>
        <v>-0.09375</v>
      </c>
      <c r="M4126" s="0" t="n">
        <f aca="false">E4126*F4126</f>
        <v>0.0625</v>
      </c>
      <c r="N4126" s="0" t="n">
        <f aca="false">D4126*D4126</f>
        <v>0.5625</v>
      </c>
      <c r="O4126" s="0" t="n">
        <f aca="false">E4126*E4126</f>
        <v>0.25</v>
      </c>
      <c r="P4126" s="0" t="n">
        <f aca="false">F4126*F4126</f>
        <v>0.015625</v>
      </c>
      <c r="Q4126" s="0" t="n">
        <f aca="false">SUMPRODUCT(G4126:P4126,_XtX!$B$71:$K$71)</f>
        <v>46.8025426136364</v>
      </c>
      <c r="R4126" s="0" t="n">
        <f aca="false">SUMPRODUCT(MMULT(G4126:P4126,_XtX!$B$58:$K$67),G4126:P4126)</f>
        <v>0.240933504971591</v>
      </c>
      <c r="S4126" s="0" t="n">
        <f aca="false">04_回帰ANOVA!$K$19*04_回帰ANOVA!$K$14*SQRT(1+R4126)</f>
        <v>1.03571649118863</v>
      </c>
      <c r="T4126" s="0" t="n">
        <f aca="false">Q4126-S4126</f>
        <v>45.7668261224477</v>
      </c>
      <c r="U4126" s="0" t="n">
        <f aca="false">Q4126+S4126</f>
        <v>47.838259104825</v>
      </c>
      <c r="V4126" s="54" t="b">
        <f aca="false">AND(D4126&gt;=01_因子設定!$L$5-0.000000001,D4126&lt;=01_因子設定!$M$5+0.000000001,E4126&gt;=01_因子設定!$L$6-0.000000001,E4126&lt;=01_因子設定!$M$6+0.000000001,F4126&gt;=01_因子設定!$L$7-0.000000001,F4126&lt;=01_因子設定!$M$7+0.000000001,IF(01_因子設定!$B$20="Box-Behnken",D4126^2+E4126^2+F4126^2&lt;=2+0.000000001,TRUE()))</f>
        <v>1</v>
      </c>
      <c r="W4126" s="55" t="n">
        <f aca="false">IF(V4126,IF(01_因子設定!$B$13="最大化",T4126-01_因子設定!$B$14,IF(01_因子設定!$B$13="最小化",01_因子設定!$B$15-U4126,MIN(T4126-01_因子設定!$B$14,01_因子設定!$B$15-U4126))),-1E+030)</f>
        <v>-2.73317387755226</v>
      </c>
      <c r="X4126" s="55" t="n">
        <f aca="false">IF(V4126,IF(01_因子設定!$B$13="最大化",Q4126,IF(01_因子設定!$B$13="最小化",-Q4126,-ABS(Q4126-01_因子設定!$B$16))),-1E+030)</f>
        <v>46.8025426136364</v>
      </c>
      <c r="Y4126" s="55" t="n">
        <f aca="false">W4126+ROW()*0.000000001</f>
        <v>-2.73316975155226</v>
      </c>
      <c r="Z4126" s="55" t="n">
        <f aca="false">X4126+ROW()*0.000000001</f>
        <v>46.8025467396364</v>
      </c>
    </row>
    <row r="4127" customFormat="false" ht="15" hidden="false" customHeight="false" outlineLevel="0" collapsed="false">
      <c r="A4127" s="0" t="n">
        <v>14</v>
      </c>
      <c r="B4127" s="0" t="n">
        <v>4</v>
      </c>
      <c r="C4127" s="0" t="n">
        <v>8</v>
      </c>
      <c r="D4127" s="0" t="n">
        <f aca="false">-1+A4127*0.125</f>
        <v>0.75</v>
      </c>
      <c r="E4127" s="0" t="n">
        <f aca="false">-1+B4127*0.125</f>
        <v>-0.5</v>
      </c>
      <c r="F4127" s="0" t="n">
        <f aca="false">-1+C4127*0.125</f>
        <v>0</v>
      </c>
      <c r="G4127" s="0" t="n">
        <f aca="false">1</f>
        <v>1</v>
      </c>
      <c r="H4127" s="0" t="n">
        <f aca="false">D4127</f>
        <v>0.75</v>
      </c>
      <c r="I4127" s="0" t="n">
        <f aca="false">E4127</f>
        <v>-0.5</v>
      </c>
      <c r="J4127" s="0" t="n">
        <f aca="false">F4127</f>
        <v>0</v>
      </c>
      <c r="K4127" s="0" t="n">
        <f aca="false">D4127*E4127</f>
        <v>-0.375</v>
      </c>
      <c r="L4127" s="0" t="n">
        <f aca="false">D4127*F4127</f>
        <v>0</v>
      </c>
      <c r="M4127" s="0" t="n">
        <f aca="false">E4127*F4127</f>
        <v>-0</v>
      </c>
      <c r="N4127" s="0" t="n">
        <f aca="false">D4127*D4127</f>
        <v>0.5625</v>
      </c>
      <c r="O4127" s="0" t="n">
        <f aca="false">E4127*E4127</f>
        <v>0.25</v>
      </c>
      <c r="P4127" s="0" t="n">
        <f aca="false">F4127*F4127</f>
        <v>0</v>
      </c>
      <c r="Q4127" s="0" t="n">
        <f aca="false">SUMPRODUCT(G4127:P4127,_XtX!$B$71:$K$71)</f>
        <v>46.95125</v>
      </c>
      <c r="R4127" s="0" t="n">
        <f aca="false">SUMPRODUCT(MMULT(G4127:P4127,_XtX!$B$58:$K$67),G4127:P4127)</f>
        <v>0.242578125</v>
      </c>
      <c r="S4127" s="0" t="n">
        <f aca="false">04_回帰ANOVA!$K$19*04_回帰ANOVA!$K$14*SQRT(1+R4127)</f>
        <v>1.03640258600455</v>
      </c>
      <c r="T4127" s="0" t="n">
        <f aca="false">Q4127-S4127</f>
        <v>45.9148474139955</v>
      </c>
      <c r="U4127" s="0" t="n">
        <f aca="false">Q4127+S4127</f>
        <v>47.9876525860046</v>
      </c>
      <c r="V4127" s="54" t="b">
        <f aca="false">AND(D4127&gt;=01_因子設定!$L$5-0.000000001,D4127&lt;=01_因子設定!$M$5+0.000000001,E4127&gt;=01_因子設定!$L$6-0.000000001,E4127&lt;=01_因子設定!$M$6+0.000000001,F4127&gt;=01_因子設定!$L$7-0.000000001,F4127&lt;=01_因子設定!$M$7+0.000000001,IF(01_因子設定!$B$20="Box-Behnken",D4127^2+E4127^2+F4127^2&lt;=2+0.000000001,TRUE()))</f>
        <v>1</v>
      </c>
      <c r="W4127" s="55" t="n">
        <f aca="false">IF(V4127,IF(01_因子設定!$B$13="最大化",T4127-01_因子設定!$B$14,IF(01_因子設定!$B$13="最小化",01_因子設定!$B$15-U4127,MIN(T4127-01_因子設定!$B$14,01_因子設定!$B$15-U4127))),-1E+030)</f>
        <v>-2.58515258600455</v>
      </c>
      <c r="X4127" s="55" t="n">
        <f aca="false">IF(V4127,IF(01_因子設定!$B$13="最大化",Q4127,IF(01_因子設定!$B$13="最小化",-Q4127,-ABS(Q4127-01_因子設定!$B$16))),-1E+030)</f>
        <v>46.95125</v>
      </c>
      <c r="Y4127" s="55" t="n">
        <f aca="false">W4127+ROW()*0.000000001</f>
        <v>-2.58514845900455</v>
      </c>
      <c r="Z4127" s="55" t="n">
        <f aca="false">X4127+ROW()*0.000000001</f>
        <v>46.951254127</v>
      </c>
    </row>
    <row r="4128" customFormat="false" ht="15" hidden="false" customHeight="false" outlineLevel="0" collapsed="false">
      <c r="A4128" s="0" t="n">
        <v>14</v>
      </c>
      <c r="B4128" s="0" t="n">
        <v>4</v>
      </c>
      <c r="C4128" s="0" t="n">
        <v>9</v>
      </c>
      <c r="D4128" s="0" t="n">
        <f aca="false">-1+A4128*0.125</f>
        <v>0.75</v>
      </c>
      <c r="E4128" s="0" t="n">
        <f aca="false">-1+B4128*0.125</f>
        <v>-0.5</v>
      </c>
      <c r="F4128" s="0" t="n">
        <f aca="false">-1+C4128*0.125</f>
        <v>0.125</v>
      </c>
      <c r="G4128" s="0" t="n">
        <f aca="false">1</f>
        <v>1</v>
      </c>
      <c r="H4128" s="0" t="n">
        <f aca="false">D4128</f>
        <v>0.75</v>
      </c>
      <c r="I4128" s="0" t="n">
        <f aca="false">E4128</f>
        <v>-0.5</v>
      </c>
      <c r="J4128" s="0" t="n">
        <f aca="false">F4128</f>
        <v>0.125</v>
      </c>
      <c r="K4128" s="0" t="n">
        <f aca="false">D4128*E4128</f>
        <v>-0.375</v>
      </c>
      <c r="L4128" s="0" t="n">
        <f aca="false">D4128*F4128</f>
        <v>0.09375</v>
      </c>
      <c r="M4128" s="0" t="n">
        <f aca="false">E4128*F4128</f>
        <v>-0.0625</v>
      </c>
      <c r="N4128" s="0" t="n">
        <f aca="false">D4128*D4128</f>
        <v>0.5625</v>
      </c>
      <c r="O4128" s="0" t="n">
        <f aca="false">E4128*E4128</f>
        <v>0.25</v>
      </c>
      <c r="P4128" s="0" t="n">
        <f aca="false">F4128*F4128</f>
        <v>0.015625</v>
      </c>
      <c r="Q4128" s="0" t="n">
        <f aca="false">SUMPRODUCT(G4128:P4128,_XtX!$B$71:$K$71)</f>
        <v>47.0631676136364</v>
      </c>
      <c r="R4128" s="0" t="n">
        <f aca="false">SUMPRODUCT(MMULT(G4128:P4128,_XtX!$B$58:$K$67),G4128:P4128)</f>
        <v>0.240933504971591</v>
      </c>
      <c r="S4128" s="0" t="n">
        <f aca="false">04_回帰ANOVA!$K$19*04_回帰ANOVA!$K$14*SQRT(1+R4128)</f>
        <v>1.03571649118863</v>
      </c>
      <c r="T4128" s="0" t="n">
        <f aca="false">Q4128-S4128</f>
        <v>46.0274511224477</v>
      </c>
      <c r="U4128" s="0" t="n">
        <f aca="false">Q4128+S4128</f>
        <v>48.098884104825</v>
      </c>
      <c r="V4128" s="54" t="b">
        <f aca="false">AND(D4128&gt;=01_因子設定!$L$5-0.000000001,D4128&lt;=01_因子設定!$M$5+0.000000001,E4128&gt;=01_因子設定!$L$6-0.000000001,E4128&lt;=01_因子設定!$M$6+0.000000001,F4128&gt;=01_因子設定!$L$7-0.000000001,F4128&lt;=01_因子設定!$M$7+0.000000001,IF(01_因子設定!$B$20="Box-Behnken",D4128^2+E4128^2+F4128^2&lt;=2+0.000000001,TRUE()))</f>
        <v>1</v>
      </c>
      <c r="W4128" s="55" t="n">
        <f aca="false">IF(V4128,IF(01_因子設定!$B$13="最大化",T4128-01_因子設定!$B$14,IF(01_因子設定!$B$13="最小化",01_因子設定!$B$15-U4128,MIN(T4128-01_因子設定!$B$14,01_因子設定!$B$15-U4128))),-1E+030)</f>
        <v>-2.47254887755226</v>
      </c>
      <c r="X4128" s="55" t="n">
        <f aca="false">IF(V4128,IF(01_因子設定!$B$13="最大化",Q4128,IF(01_因子設定!$B$13="最小化",-Q4128,-ABS(Q4128-01_因子設定!$B$16))),-1E+030)</f>
        <v>47.0631676136364</v>
      </c>
      <c r="Y4128" s="55" t="n">
        <f aca="false">W4128+ROW()*0.000000001</f>
        <v>-2.47254474955226</v>
      </c>
      <c r="Z4128" s="55" t="n">
        <f aca="false">X4128+ROW()*0.000000001</f>
        <v>47.0631717416364</v>
      </c>
    </row>
    <row r="4129" customFormat="false" ht="15" hidden="false" customHeight="false" outlineLevel="0" collapsed="false">
      <c r="A4129" s="0" t="n">
        <v>14</v>
      </c>
      <c r="B4129" s="0" t="n">
        <v>4</v>
      </c>
      <c r="C4129" s="0" t="n">
        <v>10</v>
      </c>
      <c r="D4129" s="0" t="n">
        <f aca="false">-1+A4129*0.125</f>
        <v>0.75</v>
      </c>
      <c r="E4129" s="0" t="n">
        <f aca="false">-1+B4129*0.125</f>
        <v>-0.5</v>
      </c>
      <c r="F4129" s="0" t="n">
        <f aca="false">-1+C4129*0.125</f>
        <v>0.25</v>
      </c>
      <c r="G4129" s="0" t="n">
        <f aca="false">1</f>
        <v>1</v>
      </c>
      <c r="H4129" s="0" t="n">
        <f aca="false">D4129</f>
        <v>0.75</v>
      </c>
      <c r="I4129" s="0" t="n">
        <f aca="false">E4129</f>
        <v>-0.5</v>
      </c>
      <c r="J4129" s="0" t="n">
        <f aca="false">F4129</f>
        <v>0.25</v>
      </c>
      <c r="K4129" s="0" t="n">
        <f aca="false">D4129*E4129</f>
        <v>-0.375</v>
      </c>
      <c r="L4129" s="0" t="n">
        <f aca="false">D4129*F4129</f>
        <v>0.1875</v>
      </c>
      <c r="M4129" s="0" t="n">
        <f aca="false">E4129*F4129</f>
        <v>-0.125</v>
      </c>
      <c r="N4129" s="0" t="n">
        <f aca="false">D4129*D4129</f>
        <v>0.5625</v>
      </c>
      <c r="O4129" s="0" t="n">
        <f aca="false">E4129*E4129</f>
        <v>0.25</v>
      </c>
      <c r="P4129" s="0" t="n">
        <f aca="false">F4129*F4129</f>
        <v>0.0625</v>
      </c>
      <c r="Q4129" s="0" t="n">
        <f aca="false">SUMPRODUCT(G4129:P4129,_XtX!$B$71:$K$71)</f>
        <v>47.1382954545455</v>
      </c>
      <c r="R4129" s="0" t="n">
        <f aca="false">SUMPRODUCT(MMULT(G4129:P4129,_XtX!$B$58:$K$67),G4129:P4129)</f>
        <v>0.237064985795455</v>
      </c>
      <c r="S4129" s="0" t="n">
        <f aca="false">04_回帰ANOVA!$K$19*04_回帰ANOVA!$K$14*SQRT(1+R4129)</f>
        <v>1.03410084594745</v>
      </c>
      <c r="T4129" s="0" t="n">
        <f aca="false">Q4129-S4129</f>
        <v>46.104194608598</v>
      </c>
      <c r="U4129" s="0" t="n">
        <f aca="false">Q4129+S4129</f>
        <v>48.1723963004929</v>
      </c>
      <c r="V4129" s="54" t="b">
        <f aca="false">AND(D4129&gt;=01_因子設定!$L$5-0.000000001,D4129&lt;=01_因子設定!$M$5+0.000000001,E4129&gt;=01_因子設定!$L$6-0.000000001,E4129&lt;=01_因子設定!$M$6+0.000000001,F4129&gt;=01_因子設定!$L$7-0.000000001,F4129&lt;=01_因子設定!$M$7+0.000000001,IF(01_因子設定!$B$20="Box-Behnken",D4129^2+E4129^2+F4129^2&lt;=2+0.000000001,TRUE()))</f>
        <v>1</v>
      </c>
      <c r="W4129" s="55" t="n">
        <f aca="false">IF(V4129,IF(01_因子設定!$B$13="最大化",T4129-01_因子設定!$B$14,IF(01_因子設定!$B$13="最小化",01_因子設定!$B$15-U4129,MIN(T4129-01_因子設定!$B$14,01_因子設定!$B$15-U4129))),-1E+030)</f>
        <v>-2.39580539140199</v>
      </c>
      <c r="X4129" s="55" t="n">
        <f aca="false">IF(V4129,IF(01_因子設定!$B$13="最大化",Q4129,IF(01_因子設定!$B$13="最小化",-Q4129,-ABS(Q4129-01_因子設定!$B$16))),-1E+030)</f>
        <v>47.1382954545455</v>
      </c>
      <c r="Y4129" s="55" t="n">
        <f aca="false">W4129+ROW()*0.000000001</f>
        <v>-2.39580126240199</v>
      </c>
      <c r="Z4129" s="55" t="n">
        <f aca="false">X4129+ROW()*0.000000001</f>
        <v>47.1382995835455</v>
      </c>
    </row>
    <row r="4130" customFormat="false" ht="15" hidden="false" customHeight="false" outlineLevel="0" collapsed="false">
      <c r="A4130" s="0" t="n">
        <v>14</v>
      </c>
      <c r="B4130" s="0" t="n">
        <v>4</v>
      </c>
      <c r="C4130" s="0" t="n">
        <v>11</v>
      </c>
      <c r="D4130" s="0" t="n">
        <f aca="false">-1+A4130*0.125</f>
        <v>0.75</v>
      </c>
      <c r="E4130" s="0" t="n">
        <f aca="false">-1+B4130*0.125</f>
        <v>-0.5</v>
      </c>
      <c r="F4130" s="0" t="n">
        <f aca="false">-1+C4130*0.125</f>
        <v>0.375</v>
      </c>
      <c r="G4130" s="0" t="n">
        <f aca="false">1</f>
        <v>1</v>
      </c>
      <c r="H4130" s="0" t="n">
        <f aca="false">D4130</f>
        <v>0.75</v>
      </c>
      <c r="I4130" s="0" t="n">
        <f aca="false">E4130</f>
        <v>-0.5</v>
      </c>
      <c r="J4130" s="0" t="n">
        <f aca="false">F4130</f>
        <v>0.375</v>
      </c>
      <c r="K4130" s="0" t="n">
        <f aca="false">D4130*E4130</f>
        <v>-0.375</v>
      </c>
      <c r="L4130" s="0" t="n">
        <f aca="false">D4130*F4130</f>
        <v>0.28125</v>
      </c>
      <c r="M4130" s="0" t="n">
        <f aca="false">E4130*F4130</f>
        <v>-0.1875</v>
      </c>
      <c r="N4130" s="0" t="n">
        <f aca="false">D4130*D4130</f>
        <v>0.5625</v>
      </c>
      <c r="O4130" s="0" t="n">
        <f aca="false">E4130*E4130</f>
        <v>0.25</v>
      </c>
      <c r="P4130" s="0" t="n">
        <f aca="false">F4130*F4130</f>
        <v>0.140625</v>
      </c>
      <c r="Q4130" s="0" t="n">
        <f aca="false">SUMPRODUCT(G4130:P4130,_XtX!$B$71:$K$71)</f>
        <v>47.1766335227273</v>
      </c>
      <c r="R4130" s="0" t="n">
        <f aca="false">SUMPRODUCT(MMULT(G4130:P4130,_XtX!$B$58:$K$67),G4130:P4130)</f>
        <v>0.234168590198864</v>
      </c>
      <c r="S4130" s="0" t="n">
        <f aca="false">04_回帰ANOVA!$K$19*04_回帰ANOVA!$K$14*SQRT(1+R4130)</f>
        <v>1.03288954322488</v>
      </c>
      <c r="T4130" s="0" t="n">
        <f aca="false">Q4130-S4130</f>
        <v>46.1437439795024</v>
      </c>
      <c r="U4130" s="0" t="n">
        <f aca="false">Q4130+S4130</f>
        <v>48.2095230659522</v>
      </c>
      <c r="V4130" s="54" t="b">
        <f aca="false">AND(D4130&gt;=01_因子設定!$L$5-0.000000001,D4130&lt;=01_因子設定!$M$5+0.000000001,E4130&gt;=01_因子設定!$L$6-0.000000001,E4130&lt;=01_因子設定!$M$6+0.000000001,F4130&gt;=01_因子設定!$L$7-0.000000001,F4130&lt;=01_因子設定!$M$7+0.000000001,IF(01_因子設定!$B$20="Box-Behnken",D4130^2+E4130^2+F4130^2&lt;=2+0.000000001,TRUE()))</f>
        <v>1</v>
      </c>
      <c r="W4130" s="55" t="n">
        <f aca="false">IF(V4130,IF(01_因子設定!$B$13="最大化",T4130-01_因子設定!$B$14,IF(01_因子設定!$B$13="最小化",01_因子設定!$B$15-U4130,MIN(T4130-01_因子設定!$B$14,01_因子設定!$B$15-U4130))),-1E+030)</f>
        <v>-2.3562560204976</v>
      </c>
      <c r="X4130" s="55" t="n">
        <f aca="false">IF(V4130,IF(01_因子設定!$B$13="最大化",Q4130,IF(01_因子設定!$B$13="最小化",-Q4130,-ABS(Q4130-01_因子設定!$B$16))),-1E+030)</f>
        <v>47.1766335227273</v>
      </c>
      <c r="Y4130" s="55" t="n">
        <f aca="false">W4130+ROW()*0.000000001</f>
        <v>-2.3562518904976</v>
      </c>
      <c r="Z4130" s="55" t="n">
        <f aca="false">X4130+ROW()*0.000000001</f>
        <v>47.1766376527273</v>
      </c>
    </row>
    <row r="4131" customFormat="false" ht="15" hidden="false" customHeight="false" outlineLevel="0" collapsed="false">
      <c r="A4131" s="0" t="n">
        <v>14</v>
      </c>
      <c r="B4131" s="0" t="n">
        <v>4</v>
      </c>
      <c r="C4131" s="0" t="n">
        <v>12</v>
      </c>
      <c r="D4131" s="0" t="n">
        <f aca="false">-1+A4131*0.125</f>
        <v>0.75</v>
      </c>
      <c r="E4131" s="0" t="n">
        <f aca="false">-1+B4131*0.125</f>
        <v>-0.5</v>
      </c>
      <c r="F4131" s="0" t="n">
        <f aca="false">-1+C4131*0.125</f>
        <v>0.5</v>
      </c>
      <c r="G4131" s="0" t="n">
        <f aca="false">1</f>
        <v>1</v>
      </c>
      <c r="H4131" s="0" t="n">
        <f aca="false">D4131</f>
        <v>0.75</v>
      </c>
      <c r="I4131" s="0" t="n">
        <f aca="false">E4131</f>
        <v>-0.5</v>
      </c>
      <c r="J4131" s="0" t="n">
        <f aca="false">F4131</f>
        <v>0.5</v>
      </c>
      <c r="K4131" s="0" t="n">
        <f aca="false">D4131*E4131</f>
        <v>-0.375</v>
      </c>
      <c r="L4131" s="0" t="n">
        <f aca="false">D4131*F4131</f>
        <v>0.375</v>
      </c>
      <c r="M4131" s="0" t="n">
        <f aca="false">E4131*F4131</f>
        <v>-0.25</v>
      </c>
      <c r="N4131" s="0" t="n">
        <f aca="false">D4131*D4131</f>
        <v>0.5625</v>
      </c>
      <c r="O4131" s="0" t="n">
        <f aca="false">E4131*E4131</f>
        <v>0.25</v>
      </c>
      <c r="P4131" s="0" t="n">
        <f aca="false">F4131*F4131</f>
        <v>0.25</v>
      </c>
      <c r="Q4131" s="0" t="n">
        <f aca="false">SUMPRODUCT(G4131:P4131,_XtX!$B$71:$K$71)</f>
        <v>47.1781818181818</v>
      </c>
      <c r="R4131" s="0" t="n">
        <f aca="false">SUMPRODUCT(MMULT(G4131:P4131,_XtX!$B$58:$K$67),G4131:P4131)</f>
        <v>0.237571022727273</v>
      </c>
      <c r="S4131" s="0" t="n">
        <f aca="false">04_回帰ANOVA!$K$19*04_回帰ANOVA!$K$14*SQRT(1+R4131)</f>
        <v>1.0343123302758</v>
      </c>
      <c r="T4131" s="0" t="n">
        <f aca="false">Q4131-S4131</f>
        <v>46.143869487906</v>
      </c>
      <c r="U4131" s="0" t="n">
        <f aca="false">Q4131+S4131</f>
        <v>48.2124941484576</v>
      </c>
      <c r="V4131" s="54" t="b">
        <f aca="false">AND(D4131&gt;=01_因子設定!$L$5-0.000000001,D4131&lt;=01_因子設定!$M$5+0.000000001,E4131&gt;=01_因子設定!$L$6-0.000000001,E4131&lt;=01_因子設定!$M$6+0.000000001,F4131&gt;=01_因子設定!$L$7-0.000000001,F4131&lt;=01_因子設定!$M$7+0.000000001,IF(01_因子設定!$B$20="Box-Behnken",D4131^2+E4131^2+F4131^2&lt;=2+0.000000001,TRUE()))</f>
        <v>1</v>
      </c>
      <c r="W4131" s="55" t="n">
        <f aca="false">IF(V4131,IF(01_因子設定!$B$13="最大化",T4131-01_因子設定!$B$14,IF(01_因子設定!$B$13="最小化",01_因子設定!$B$15-U4131,MIN(T4131-01_因子設定!$B$14,01_因子設定!$B$15-U4131))),-1E+030)</f>
        <v>-2.35613051209398</v>
      </c>
      <c r="X4131" s="55" t="n">
        <f aca="false">IF(V4131,IF(01_因子設定!$B$13="最大化",Q4131,IF(01_因子設定!$B$13="最小化",-Q4131,-ABS(Q4131-01_因子設定!$B$16))),-1E+030)</f>
        <v>47.1781818181818</v>
      </c>
      <c r="Y4131" s="55" t="n">
        <f aca="false">W4131+ROW()*0.000000001</f>
        <v>-2.35612638109398</v>
      </c>
      <c r="Z4131" s="55" t="n">
        <f aca="false">X4131+ROW()*0.000000001</f>
        <v>47.1781859491818</v>
      </c>
    </row>
    <row r="4132" customFormat="false" ht="15" hidden="false" customHeight="false" outlineLevel="0" collapsed="false">
      <c r="A4132" s="0" t="n">
        <v>14</v>
      </c>
      <c r="B4132" s="0" t="n">
        <v>4</v>
      </c>
      <c r="C4132" s="0" t="n">
        <v>13</v>
      </c>
      <c r="D4132" s="0" t="n">
        <f aca="false">-1+A4132*0.125</f>
        <v>0.75</v>
      </c>
      <c r="E4132" s="0" t="n">
        <f aca="false">-1+B4132*0.125</f>
        <v>-0.5</v>
      </c>
      <c r="F4132" s="0" t="n">
        <f aca="false">-1+C4132*0.125</f>
        <v>0.625</v>
      </c>
      <c r="G4132" s="0" t="n">
        <f aca="false">1</f>
        <v>1</v>
      </c>
      <c r="H4132" s="0" t="n">
        <f aca="false">D4132</f>
        <v>0.75</v>
      </c>
      <c r="I4132" s="0" t="n">
        <f aca="false">E4132</f>
        <v>-0.5</v>
      </c>
      <c r="J4132" s="0" t="n">
        <f aca="false">F4132</f>
        <v>0.625</v>
      </c>
      <c r="K4132" s="0" t="n">
        <f aca="false">D4132*E4132</f>
        <v>-0.375</v>
      </c>
      <c r="L4132" s="0" t="n">
        <f aca="false">D4132*F4132</f>
        <v>0.46875</v>
      </c>
      <c r="M4132" s="0" t="n">
        <f aca="false">E4132*F4132</f>
        <v>-0.3125</v>
      </c>
      <c r="N4132" s="0" t="n">
        <f aca="false">D4132*D4132</f>
        <v>0.5625</v>
      </c>
      <c r="O4132" s="0" t="n">
        <f aca="false">E4132*E4132</f>
        <v>0.25</v>
      </c>
      <c r="P4132" s="0" t="n">
        <f aca="false">F4132*F4132</f>
        <v>0.390625</v>
      </c>
      <c r="Q4132" s="0" t="n">
        <f aca="false">SUMPRODUCT(G4132:P4132,_XtX!$B$71:$K$71)</f>
        <v>47.1429403409091</v>
      </c>
      <c r="R4132" s="0" t="n">
        <f aca="false">SUMPRODUCT(MMULT(G4132:P4132,_XtX!$B$58:$K$67),G4132:P4132)</f>
        <v>0.254729669744318</v>
      </c>
      <c r="S4132" s="0" t="n">
        <f aca="false">04_回帰ANOVA!$K$19*04_回帰ANOVA!$K$14*SQRT(1+R4132)</f>
        <v>1.04145790281631</v>
      </c>
      <c r="T4132" s="0" t="n">
        <f aca="false">Q4132-S4132</f>
        <v>46.1014824380928</v>
      </c>
      <c r="U4132" s="0" t="n">
        <f aca="false">Q4132+S4132</f>
        <v>48.1843982437254</v>
      </c>
      <c r="V4132" s="54" t="b">
        <f aca="false">AND(D4132&gt;=01_因子設定!$L$5-0.000000001,D4132&lt;=01_因子設定!$M$5+0.000000001,E4132&gt;=01_因子設定!$L$6-0.000000001,E4132&lt;=01_因子設定!$M$6+0.000000001,F4132&gt;=01_因子設定!$L$7-0.000000001,F4132&lt;=01_因子設定!$M$7+0.000000001,IF(01_因子設定!$B$20="Box-Behnken",D4132^2+E4132^2+F4132^2&lt;=2+0.000000001,TRUE()))</f>
        <v>1</v>
      </c>
      <c r="W4132" s="55" t="n">
        <f aca="false">IF(V4132,IF(01_因子設定!$B$13="最大化",T4132-01_因子設定!$B$14,IF(01_因子設定!$B$13="最小化",01_因子設定!$B$15-U4132,MIN(T4132-01_因子設定!$B$14,01_因子設定!$B$15-U4132))),-1E+030)</f>
        <v>-2.39851756190721</v>
      </c>
      <c r="X4132" s="55" t="n">
        <f aca="false">IF(V4132,IF(01_因子設定!$B$13="最大化",Q4132,IF(01_因子設定!$B$13="最小化",-Q4132,-ABS(Q4132-01_因子設定!$B$16))),-1E+030)</f>
        <v>47.1429403409091</v>
      </c>
      <c r="Y4132" s="55" t="n">
        <f aca="false">W4132+ROW()*0.000000001</f>
        <v>-2.39851342990721</v>
      </c>
      <c r="Z4132" s="55" t="n">
        <f aca="false">X4132+ROW()*0.000000001</f>
        <v>47.1429444729091</v>
      </c>
    </row>
    <row r="4133" customFormat="false" ht="15" hidden="false" customHeight="false" outlineLevel="0" collapsed="false">
      <c r="A4133" s="0" t="n">
        <v>14</v>
      </c>
      <c r="B4133" s="0" t="n">
        <v>4</v>
      </c>
      <c r="C4133" s="0" t="n">
        <v>14</v>
      </c>
      <c r="D4133" s="0" t="n">
        <f aca="false">-1+A4133*0.125</f>
        <v>0.75</v>
      </c>
      <c r="E4133" s="0" t="n">
        <f aca="false">-1+B4133*0.125</f>
        <v>-0.5</v>
      </c>
      <c r="F4133" s="0" t="n">
        <f aca="false">-1+C4133*0.125</f>
        <v>0.75</v>
      </c>
      <c r="G4133" s="0" t="n">
        <f aca="false">1</f>
        <v>1</v>
      </c>
      <c r="H4133" s="0" t="n">
        <f aca="false">D4133</f>
        <v>0.75</v>
      </c>
      <c r="I4133" s="0" t="n">
        <f aca="false">E4133</f>
        <v>-0.5</v>
      </c>
      <c r="J4133" s="0" t="n">
        <f aca="false">F4133</f>
        <v>0.75</v>
      </c>
      <c r="K4133" s="0" t="n">
        <f aca="false">D4133*E4133</f>
        <v>-0.375</v>
      </c>
      <c r="L4133" s="0" t="n">
        <f aca="false">D4133*F4133</f>
        <v>0.5625</v>
      </c>
      <c r="M4133" s="0" t="n">
        <f aca="false">E4133*F4133</f>
        <v>-0.375</v>
      </c>
      <c r="N4133" s="0" t="n">
        <f aca="false">D4133*D4133</f>
        <v>0.5625</v>
      </c>
      <c r="O4133" s="0" t="n">
        <f aca="false">E4133*E4133</f>
        <v>0.25</v>
      </c>
      <c r="P4133" s="0" t="n">
        <f aca="false">F4133*F4133</f>
        <v>0.5625</v>
      </c>
      <c r="Q4133" s="0" t="n">
        <f aca="false">SUMPRODUCT(G4133:P4133,_XtX!$B$71:$K$71)</f>
        <v>47.0709090909091</v>
      </c>
      <c r="R4133" s="0" t="n">
        <f aca="false">SUMPRODUCT(MMULT(G4133:P4133,_XtX!$B$58:$K$67),G4133:P4133)</f>
        <v>0.295232599431818</v>
      </c>
      <c r="S4133" s="0" t="n">
        <f aca="false">04_回帰ANOVA!$K$19*04_回帰ANOVA!$K$14*SQRT(1+R4133)</f>
        <v>1.05813363442154</v>
      </c>
      <c r="T4133" s="0" t="n">
        <f aca="false">Q4133-S4133</f>
        <v>46.0127754564876</v>
      </c>
      <c r="U4133" s="0" t="n">
        <f aca="false">Q4133+S4133</f>
        <v>48.1290427253306</v>
      </c>
      <c r="V4133" s="54" t="b">
        <f aca="false">AND(D4133&gt;=01_因子設定!$L$5-0.000000001,D4133&lt;=01_因子設定!$M$5+0.000000001,E4133&gt;=01_因子設定!$L$6-0.000000001,E4133&lt;=01_因子設定!$M$6+0.000000001,F4133&gt;=01_因子設定!$L$7-0.000000001,F4133&lt;=01_因子設定!$M$7+0.000000001,IF(01_因子設定!$B$20="Box-Behnken",D4133^2+E4133^2+F4133^2&lt;=2+0.000000001,TRUE()))</f>
        <v>1</v>
      </c>
      <c r="W4133" s="55" t="n">
        <f aca="false">IF(V4133,IF(01_因子設定!$B$13="最大化",T4133-01_因子設定!$B$14,IF(01_因子設定!$B$13="最小化",01_因子設定!$B$15-U4133,MIN(T4133-01_因子設定!$B$14,01_因子設定!$B$15-U4133))),-1E+030)</f>
        <v>-2.48722454351243</v>
      </c>
      <c r="X4133" s="55" t="n">
        <f aca="false">IF(V4133,IF(01_因子設定!$B$13="最大化",Q4133,IF(01_因子設定!$B$13="最小化",-Q4133,-ABS(Q4133-01_因子設定!$B$16))),-1E+030)</f>
        <v>47.0709090909091</v>
      </c>
      <c r="Y4133" s="55" t="n">
        <f aca="false">W4133+ROW()*0.000000001</f>
        <v>-2.48722041051243</v>
      </c>
      <c r="Z4133" s="55" t="n">
        <f aca="false">X4133+ROW()*0.000000001</f>
        <v>47.0709132239091</v>
      </c>
    </row>
    <row r="4134" customFormat="false" ht="15" hidden="false" customHeight="false" outlineLevel="0" collapsed="false">
      <c r="A4134" s="0" t="n">
        <v>14</v>
      </c>
      <c r="B4134" s="0" t="n">
        <v>4</v>
      </c>
      <c r="C4134" s="0" t="n">
        <v>15</v>
      </c>
      <c r="D4134" s="0" t="n">
        <f aca="false">-1+A4134*0.125</f>
        <v>0.75</v>
      </c>
      <c r="E4134" s="0" t="n">
        <f aca="false">-1+B4134*0.125</f>
        <v>-0.5</v>
      </c>
      <c r="F4134" s="0" t="n">
        <f aca="false">-1+C4134*0.125</f>
        <v>0.875</v>
      </c>
      <c r="G4134" s="0" t="n">
        <f aca="false">1</f>
        <v>1</v>
      </c>
      <c r="H4134" s="0" t="n">
        <f aca="false">D4134</f>
        <v>0.75</v>
      </c>
      <c r="I4134" s="0" t="n">
        <f aca="false">E4134</f>
        <v>-0.5</v>
      </c>
      <c r="J4134" s="0" t="n">
        <f aca="false">F4134</f>
        <v>0.875</v>
      </c>
      <c r="K4134" s="0" t="n">
        <f aca="false">D4134*E4134</f>
        <v>-0.375</v>
      </c>
      <c r="L4134" s="0" t="n">
        <f aca="false">D4134*F4134</f>
        <v>0.65625</v>
      </c>
      <c r="M4134" s="0" t="n">
        <f aca="false">E4134*F4134</f>
        <v>-0.4375</v>
      </c>
      <c r="N4134" s="0" t="n">
        <f aca="false">D4134*D4134</f>
        <v>0.5625</v>
      </c>
      <c r="O4134" s="0" t="n">
        <f aca="false">E4134*E4134</f>
        <v>0.25</v>
      </c>
      <c r="P4134" s="0" t="n">
        <f aca="false">F4134*F4134</f>
        <v>0.765625</v>
      </c>
      <c r="Q4134" s="0" t="n">
        <f aca="false">SUMPRODUCT(G4134:P4134,_XtX!$B$71:$K$71)</f>
        <v>46.9620880681818</v>
      </c>
      <c r="R4134" s="0" t="n">
        <f aca="false">SUMPRODUCT(MMULT(G4134:P4134,_XtX!$B$58:$K$67),G4134:P4134)</f>
        <v>0.370798561789773</v>
      </c>
      <c r="S4134" s="0" t="n">
        <f aca="false">04_回帰ANOVA!$K$19*04_回帰ANOVA!$K$14*SQRT(1+R4134)</f>
        <v>1.08856271788237</v>
      </c>
      <c r="T4134" s="0" t="n">
        <f aca="false">Q4134-S4134</f>
        <v>45.8735253502995</v>
      </c>
      <c r="U4134" s="0" t="n">
        <f aca="false">Q4134+S4134</f>
        <v>48.0506507860642</v>
      </c>
      <c r="V4134" s="54" t="b">
        <f aca="false">AND(D4134&gt;=01_因子設定!$L$5-0.000000001,D4134&lt;=01_因子設定!$M$5+0.000000001,E4134&gt;=01_因子設定!$L$6-0.000000001,E4134&lt;=01_因子設定!$M$6+0.000000001,F4134&gt;=01_因子設定!$L$7-0.000000001,F4134&lt;=01_因子設定!$M$7+0.000000001,IF(01_因子設定!$B$20="Box-Behnken",D4134^2+E4134^2+F4134^2&lt;=2+0.000000001,TRUE()))</f>
        <v>1</v>
      </c>
      <c r="W4134" s="55" t="n">
        <f aca="false">IF(V4134,IF(01_因子設定!$B$13="最大化",T4134-01_因子設定!$B$14,IF(01_因子設定!$B$13="最小化",01_因子設定!$B$15-U4134,MIN(T4134-01_因子設定!$B$14,01_因子設定!$B$15-U4134))),-1E+030)</f>
        <v>-2.62647464970054</v>
      </c>
      <c r="X4134" s="55" t="n">
        <f aca="false">IF(V4134,IF(01_因子設定!$B$13="最大化",Q4134,IF(01_因子設定!$B$13="最小化",-Q4134,-ABS(Q4134-01_因子設定!$B$16))),-1E+030)</f>
        <v>46.9620880681818</v>
      </c>
      <c r="Y4134" s="55" t="n">
        <f aca="false">W4134+ROW()*0.000000001</f>
        <v>-2.62647051570054</v>
      </c>
      <c r="Z4134" s="55" t="n">
        <f aca="false">X4134+ROW()*0.000000001</f>
        <v>46.9620922021818</v>
      </c>
    </row>
    <row r="4135" customFormat="false" ht="15" hidden="false" customHeight="false" outlineLevel="0" collapsed="false">
      <c r="A4135" s="0" t="n">
        <v>14</v>
      </c>
      <c r="B4135" s="0" t="n">
        <v>4</v>
      </c>
      <c r="C4135" s="0" t="n">
        <v>16</v>
      </c>
      <c r="D4135" s="0" t="n">
        <f aca="false">-1+A4135*0.125</f>
        <v>0.75</v>
      </c>
      <c r="E4135" s="0" t="n">
        <f aca="false">-1+B4135*0.125</f>
        <v>-0.5</v>
      </c>
      <c r="F4135" s="0" t="n">
        <f aca="false">-1+C4135*0.125</f>
        <v>1</v>
      </c>
      <c r="G4135" s="0" t="n">
        <f aca="false">1</f>
        <v>1</v>
      </c>
      <c r="H4135" s="0" t="n">
        <f aca="false">D4135</f>
        <v>0.75</v>
      </c>
      <c r="I4135" s="0" t="n">
        <f aca="false">E4135</f>
        <v>-0.5</v>
      </c>
      <c r="J4135" s="0" t="n">
        <f aca="false">F4135</f>
        <v>1</v>
      </c>
      <c r="K4135" s="0" t="n">
        <f aca="false">D4135*E4135</f>
        <v>-0.375</v>
      </c>
      <c r="L4135" s="0" t="n">
        <f aca="false">D4135*F4135</f>
        <v>0.75</v>
      </c>
      <c r="M4135" s="0" t="n">
        <f aca="false">E4135*F4135</f>
        <v>-0.5</v>
      </c>
      <c r="N4135" s="0" t="n">
        <f aca="false">D4135*D4135</f>
        <v>0.5625</v>
      </c>
      <c r="O4135" s="0" t="n">
        <f aca="false">E4135*E4135</f>
        <v>0.25</v>
      </c>
      <c r="P4135" s="0" t="n">
        <f aca="false">F4135*F4135</f>
        <v>1</v>
      </c>
      <c r="Q4135" s="0" t="n">
        <f aca="false">SUMPRODUCT(G4135:P4135,_XtX!$B$71:$K$71)</f>
        <v>46.8164772727273</v>
      </c>
      <c r="R4135" s="0" t="n">
        <f aca="false">SUMPRODUCT(MMULT(G4135:P4135,_XtX!$B$58:$K$67),G4135:P4135)</f>
        <v>0.495276988636364</v>
      </c>
      <c r="S4135" s="0" t="n">
        <f aca="false">04_回帰ANOVA!$K$19*04_回帰ANOVA!$K$14*SQRT(1+R4135)</f>
        <v>1.13691359828352</v>
      </c>
      <c r="T4135" s="0" t="n">
        <f aca="false">Q4135-S4135</f>
        <v>45.6795636744438</v>
      </c>
      <c r="U4135" s="0" t="n">
        <f aca="false">Q4135+S4135</f>
        <v>47.9533908710108</v>
      </c>
      <c r="V4135" s="54" t="b">
        <f aca="false">AND(D4135&gt;=01_因子設定!$L$5-0.000000001,D4135&lt;=01_因子設定!$M$5+0.000000001,E4135&gt;=01_因子設定!$L$6-0.000000001,E4135&lt;=01_因子設定!$M$6+0.000000001,F4135&gt;=01_因子設定!$L$7-0.000000001,F4135&lt;=01_因子設定!$M$7+0.000000001,IF(01_因子設定!$B$20="Box-Behnken",D4135^2+E4135^2+F4135^2&lt;=2+0.000000001,TRUE()))</f>
        <v>1</v>
      </c>
      <c r="W4135" s="55" t="n">
        <f aca="false">IF(V4135,IF(01_因子設定!$B$13="最大化",T4135-01_因子設定!$B$14,IF(01_因子設定!$B$13="最小化",01_因子設定!$B$15-U4135,MIN(T4135-01_因子設定!$B$14,01_因子設定!$B$15-U4135))),-1E+030)</f>
        <v>-2.82043632555623</v>
      </c>
      <c r="X4135" s="55" t="n">
        <f aca="false">IF(V4135,IF(01_因子設定!$B$13="最大化",Q4135,IF(01_因子設定!$B$13="最小化",-Q4135,-ABS(Q4135-01_因子設定!$B$16))),-1E+030)</f>
        <v>46.8164772727273</v>
      </c>
      <c r="Y4135" s="55" t="n">
        <f aca="false">W4135+ROW()*0.000000001</f>
        <v>-2.82043219055623</v>
      </c>
      <c r="Z4135" s="55" t="n">
        <f aca="false">X4135+ROW()*0.000000001</f>
        <v>46.8164814077273</v>
      </c>
    </row>
    <row r="4136" customFormat="false" ht="15" hidden="false" customHeight="false" outlineLevel="0" collapsed="false">
      <c r="A4136" s="0" t="n">
        <v>14</v>
      </c>
      <c r="B4136" s="0" t="n">
        <v>5</v>
      </c>
      <c r="C4136" s="0" t="n">
        <v>0</v>
      </c>
      <c r="D4136" s="0" t="n">
        <f aca="false">-1+A4136*0.125</f>
        <v>0.75</v>
      </c>
      <c r="E4136" s="0" t="n">
        <f aca="false">-1+B4136*0.125</f>
        <v>-0.375</v>
      </c>
      <c r="F4136" s="0" t="n">
        <f aca="false">-1+C4136*0.125</f>
        <v>-1</v>
      </c>
      <c r="G4136" s="0" t="n">
        <f aca="false">1</f>
        <v>1</v>
      </c>
      <c r="H4136" s="0" t="n">
        <f aca="false">D4136</f>
        <v>0.75</v>
      </c>
      <c r="I4136" s="0" t="n">
        <f aca="false">E4136</f>
        <v>-0.375</v>
      </c>
      <c r="J4136" s="0" t="n">
        <f aca="false">F4136</f>
        <v>-1</v>
      </c>
      <c r="K4136" s="0" t="n">
        <f aca="false">D4136*E4136</f>
        <v>-0.28125</v>
      </c>
      <c r="L4136" s="0" t="n">
        <f aca="false">D4136*F4136</f>
        <v>-0.75</v>
      </c>
      <c r="M4136" s="0" t="n">
        <f aca="false">E4136*F4136</f>
        <v>0.375</v>
      </c>
      <c r="N4136" s="0" t="n">
        <f aca="false">D4136*D4136</f>
        <v>0.5625</v>
      </c>
      <c r="O4136" s="0" t="n">
        <f aca="false">E4136*E4136</f>
        <v>0.140625</v>
      </c>
      <c r="P4136" s="0" t="n">
        <f aca="false">F4136*F4136</f>
        <v>1</v>
      </c>
      <c r="Q4136" s="0" t="n">
        <f aca="false">SUMPRODUCT(G4136:P4136,_XtX!$B$71:$K$71)</f>
        <v>45.2705539772728</v>
      </c>
      <c r="R4136" s="0" t="n">
        <f aca="false">SUMPRODUCT(MMULT(G4136:P4136,_XtX!$B$58:$K$67),G4136:P4136)</f>
        <v>0.503992808948864</v>
      </c>
      <c r="S4136" s="0" t="n">
        <f aca="false">04_回帰ANOVA!$K$19*04_回帰ANOVA!$K$14*SQRT(1+R4136)</f>
        <v>1.14022226176226</v>
      </c>
      <c r="T4136" s="0" t="n">
        <f aca="false">Q4136-S4136</f>
        <v>44.1303317155105</v>
      </c>
      <c r="U4136" s="0" t="n">
        <f aca="false">Q4136+S4136</f>
        <v>46.410776239035</v>
      </c>
      <c r="V4136" s="54" t="b">
        <f aca="false">AND(D4136&gt;=01_因子設定!$L$5-0.000000001,D4136&lt;=01_因子設定!$M$5+0.000000001,E4136&gt;=01_因子設定!$L$6-0.000000001,E4136&lt;=01_因子設定!$M$6+0.000000001,F4136&gt;=01_因子設定!$L$7-0.000000001,F4136&lt;=01_因子設定!$M$7+0.000000001,IF(01_因子設定!$B$20="Box-Behnken",D4136^2+E4136^2+F4136^2&lt;=2+0.000000001,TRUE()))</f>
        <v>1</v>
      </c>
      <c r="W4136" s="55" t="n">
        <f aca="false">IF(V4136,IF(01_因子設定!$B$13="最大化",T4136-01_因子設定!$B$14,IF(01_因子設定!$B$13="最小化",01_因子設定!$B$15-U4136,MIN(T4136-01_因子設定!$B$14,01_因子設定!$B$15-U4136))),-1E+030)</f>
        <v>-4.36966828448951</v>
      </c>
      <c r="X4136" s="55" t="n">
        <f aca="false">IF(V4136,IF(01_因子設定!$B$13="最大化",Q4136,IF(01_因子設定!$B$13="最小化",-Q4136,-ABS(Q4136-01_因子設定!$B$16))),-1E+030)</f>
        <v>45.2705539772728</v>
      </c>
      <c r="Y4136" s="55" t="n">
        <f aca="false">W4136+ROW()*0.000000001</f>
        <v>-4.36966414848951</v>
      </c>
      <c r="Z4136" s="55" t="n">
        <f aca="false">X4136+ROW()*0.000000001</f>
        <v>45.2705581132728</v>
      </c>
    </row>
    <row r="4137" customFormat="false" ht="15" hidden="false" customHeight="false" outlineLevel="0" collapsed="false">
      <c r="A4137" s="0" t="n">
        <v>14</v>
      </c>
      <c r="B4137" s="0" t="n">
        <v>5</v>
      </c>
      <c r="C4137" s="0" t="n">
        <v>1</v>
      </c>
      <c r="D4137" s="0" t="n">
        <f aca="false">-1+A4137*0.125</f>
        <v>0.75</v>
      </c>
      <c r="E4137" s="0" t="n">
        <f aca="false">-1+B4137*0.125</f>
        <v>-0.375</v>
      </c>
      <c r="F4137" s="0" t="n">
        <f aca="false">-1+C4137*0.125</f>
        <v>-0.875</v>
      </c>
      <c r="G4137" s="0" t="n">
        <f aca="false">1</f>
        <v>1</v>
      </c>
      <c r="H4137" s="0" t="n">
        <f aca="false">D4137</f>
        <v>0.75</v>
      </c>
      <c r="I4137" s="0" t="n">
        <f aca="false">E4137</f>
        <v>-0.375</v>
      </c>
      <c r="J4137" s="0" t="n">
        <f aca="false">F4137</f>
        <v>-0.875</v>
      </c>
      <c r="K4137" s="0" t="n">
        <f aca="false">D4137*E4137</f>
        <v>-0.28125</v>
      </c>
      <c r="L4137" s="0" t="n">
        <f aca="false">D4137*F4137</f>
        <v>-0.65625</v>
      </c>
      <c r="M4137" s="0" t="n">
        <f aca="false">E4137*F4137</f>
        <v>0.328125</v>
      </c>
      <c r="N4137" s="0" t="n">
        <f aca="false">D4137*D4137</f>
        <v>0.5625</v>
      </c>
      <c r="O4137" s="0" t="n">
        <f aca="false">E4137*E4137</f>
        <v>0.140625</v>
      </c>
      <c r="P4137" s="0" t="n">
        <f aca="false">F4137*F4137</f>
        <v>0.765625</v>
      </c>
      <c r="Q4137" s="0" t="n">
        <f aca="false">SUMPRODUCT(G4137:P4137,_XtX!$B$71:$K$71)</f>
        <v>45.6838210227273</v>
      </c>
      <c r="R4137" s="0" t="n">
        <f aca="false">SUMPRODUCT(MMULT(G4137:P4137,_XtX!$B$58:$K$67),G4137:P4137)</f>
        <v>0.375727428089489</v>
      </c>
      <c r="S4137" s="0" t="n">
        <f aca="false">04_回帰ANOVA!$K$19*04_回帰ANOVA!$K$14*SQRT(1+R4137)</f>
        <v>1.09051798904087</v>
      </c>
      <c r="T4137" s="0" t="n">
        <f aca="false">Q4137-S4137</f>
        <v>44.5933030336864</v>
      </c>
      <c r="U4137" s="0" t="n">
        <f aca="false">Q4137+S4137</f>
        <v>46.7743390117682</v>
      </c>
      <c r="V4137" s="54" t="b">
        <f aca="false">AND(D4137&gt;=01_因子設定!$L$5-0.000000001,D4137&lt;=01_因子設定!$M$5+0.000000001,E4137&gt;=01_因子設定!$L$6-0.000000001,E4137&lt;=01_因子設定!$M$6+0.000000001,F4137&gt;=01_因子設定!$L$7-0.000000001,F4137&lt;=01_因子設定!$M$7+0.000000001,IF(01_因子設定!$B$20="Box-Behnken",D4137^2+E4137^2+F4137^2&lt;=2+0.000000001,TRUE()))</f>
        <v>1</v>
      </c>
      <c r="W4137" s="55" t="n">
        <f aca="false">IF(V4137,IF(01_因子設定!$B$13="最大化",T4137-01_因子設定!$B$14,IF(01_因子設定!$B$13="最小化",01_因子設定!$B$15-U4137,MIN(T4137-01_因子設定!$B$14,01_因子設定!$B$15-U4137))),-1E+030)</f>
        <v>-3.90669696631359</v>
      </c>
      <c r="X4137" s="55" t="n">
        <f aca="false">IF(V4137,IF(01_因子設定!$B$13="最大化",Q4137,IF(01_因子設定!$B$13="最小化",-Q4137,-ABS(Q4137-01_因子設定!$B$16))),-1E+030)</f>
        <v>45.6838210227273</v>
      </c>
      <c r="Y4137" s="55" t="n">
        <f aca="false">W4137+ROW()*0.000000001</f>
        <v>-3.90669282931359</v>
      </c>
      <c r="Z4137" s="55" t="n">
        <f aca="false">X4137+ROW()*0.000000001</f>
        <v>45.6838251597273</v>
      </c>
    </row>
    <row r="4138" customFormat="false" ht="15" hidden="false" customHeight="false" outlineLevel="0" collapsed="false">
      <c r="A4138" s="0" t="n">
        <v>14</v>
      </c>
      <c r="B4138" s="0" t="n">
        <v>5</v>
      </c>
      <c r="C4138" s="0" t="n">
        <v>2</v>
      </c>
      <c r="D4138" s="0" t="n">
        <f aca="false">-1+A4138*0.125</f>
        <v>0.75</v>
      </c>
      <c r="E4138" s="0" t="n">
        <f aca="false">-1+B4138*0.125</f>
        <v>-0.375</v>
      </c>
      <c r="F4138" s="0" t="n">
        <f aca="false">-1+C4138*0.125</f>
        <v>-0.75</v>
      </c>
      <c r="G4138" s="0" t="n">
        <f aca="false">1</f>
        <v>1</v>
      </c>
      <c r="H4138" s="0" t="n">
        <f aca="false">D4138</f>
        <v>0.75</v>
      </c>
      <c r="I4138" s="0" t="n">
        <f aca="false">E4138</f>
        <v>-0.375</v>
      </c>
      <c r="J4138" s="0" t="n">
        <f aca="false">F4138</f>
        <v>-0.75</v>
      </c>
      <c r="K4138" s="0" t="n">
        <f aca="false">D4138*E4138</f>
        <v>-0.28125</v>
      </c>
      <c r="L4138" s="0" t="n">
        <f aca="false">D4138*F4138</f>
        <v>-0.5625</v>
      </c>
      <c r="M4138" s="0" t="n">
        <f aca="false">E4138*F4138</f>
        <v>0.28125</v>
      </c>
      <c r="N4138" s="0" t="n">
        <f aca="false">D4138*D4138</f>
        <v>0.5625</v>
      </c>
      <c r="O4138" s="0" t="n">
        <f aca="false">E4138*E4138</f>
        <v>0.140625</v>
      </c>
      <c r="P4138" s="0" t="n">
        <f aca="false">F4138*F4138</f>
        <v>0.5625</v>
      </c>
      <c r="Q4138" s="0" t="n">
        <f aca="false">SUMPRODUCT(G4138:P4138,_XtX!$B$71:$K$71)</f>
        <v>46.0602982954546</v>
      </c>
      <c r="R4138" s="0" t="n">
        <f aca="false">SUMPRODUCT(MMULT(G4138:P4138,_XtX!$B$58:$K$67),G4138:P4138)</f>
        <v>0.296879438920455</v>
      </c>
      <c r="S4138" s="0" t="n">
        <f aca="false">04_回帰ANOVA!$K$19*04_回帰ANOVA!$K$14*SQRT(1+R4138)</f>
        <v>1.05880610927316</v>
      </c>
      <c r="T4138" s="0" t="n">
        <f aca="false">Q4138-S4138</f>
        <v>45.0014921861814</v>
      </c>
      <c r="U4138" s="0" t="n">
        <f aca="false">Q4138+S4138</f>
        <v>47.1191044047277</v>
      </c>
      <c r="V4138" s="54" t="b">
        <f aca="false">AND(D4138&gt;=01_因子設定!$L$5-0.000000001,D4138&lt;=01_因子設定!$M$5+0.000000001,E4138&gt;=01_因子設定!$L$6-0.000000001,E4138&lt;=01_因子設定!$M$6+0.000000001,F4138&gt;=01_因子設定!$L$7-0.000000001,F4138&lt;=01_因子設定!$M$7+0.000000001,IF(01_因子設定!$B$20="Box-Behnken",D4138^2+E4138^2+F4138^2&lt;=2+0.000000001,TRUE()))</f>
        <v>1</v>
      </c>
      <c r="W4138" s="55" t="n">
        <f aca="false">IF(V4138,IF(01_因子設定!$B$13="最大化",T4138-01_因子設定!$B$14,IF(01_因子設定!$B$13="最小化",01_因子設定!$B$15-U4138,MIN(T4138-01_因子設定!$B$14,01_因子設定!$B$15-U4138))),-1E+030)</f>
        <v>-3.49850781381861</v>
      </c>
      <c r="X4138" s="55" t="n">
        <f aca="false">IF(V4138,IF(01_因子設定!$B$13="最大化",Q4138,IF(01_因子設定!$B$13="最小化",-Q4138,-ABS(Q4138-01_因子設定!$B$16))),-1E+030)</f>
        <v>46.0602982954546</v>
      </c>
      <c r="Y4138" s="55" t="n">
        <f aca="false">W4138+ROW()*0.000000001</f>
        <v>-3.49850367581861</v>
      </c>
      <c r="Z4138" s="55" t="n">
        <f aca="false">X4138+ROW()*0.000000001</f>
        <v>46.0603024334546</v>
      </c>
    </row>
    <row r="4139" customFormat="false" ht="15" hidden="false" customHeight="false" outlineLevel="0" collapsed="false">
      <c r="A4139" s="0" t="n">
        <v>14</v>
      </c>
      <c r="B4139" s="0" t="n">
        <v>5</v>
      </c>
      <c r="C4139" s="0" t="n">
        <v>3</v>
      </c>
      <c r="D4139" s="0" t="n">
        <f aca="false">-1+A4139*0.125</f>
        <v>0.75</v>
      </c>
      <c r="E4139" s="0" t="n">
        <f aca="false">-1+B4139*0.125</f>
        <v>-0.375</v>
      </c>
      <c r="F4139" s="0" t="n">
        <f aca="false">-1+C4139*0.125</f>
        <v>-0.625</v>
      </c>
      <c r="G4139" s="0" t="n">
        <f aca="false">1</f>
        <v>1</v>
      </c>
      <c r="H4139" s="0" t="n">
        <f aca="false">D4139</f>
        <v>0.75</v>
      </c>
      <c r="I4139" s="0" t="n">
        <f aca="false">E4139</f>
        <v>-0.375</v>
      </c>
      <c r="J4139" s="0" t="n">
        <f aca="false">F4139</f>
        <v>-0.625</v>
      </c>
      <c r="K4139" s="0" t="n">
        <f aca="false">D4139*E4139</f>
        <v>-0.28125</v>
      </c>
      <c r="L4139" s="0" t="n">
        <f aca="false">D4139*F4139</f>
        <v>-0.46875</v>
      </c>
      <c r="M4139" s="0" t="n">
        <f aca="false">E4139*F4139</f>
        <v>0.234375</v>
      </c>
      <c r="N4139" s="0" t="n">
        <f aca="false">D4139*D4139</f>
        <v>0.5625</v>
      </c>
      <c r="O4139" s="0" t="n">
        <f aca="false">E4139*E4139</f>
        <v>0.140625</v>
      </c>
      <c r="P4139" s="0" t="n">
        <f aca="false">F4139*F4139</f>
        <v>0.390625</v>
      </c>
      <c r="Q4139" s="0" t="n">
        <f aca="false">SUMPRODUCT(G4139:P4139,_XtX!$B$71:$K$71)</f>
        <v>46.3999857954546</v>
      </c>
      <c r="R4139" s="0" t="n">
        <f aca="false">SUMPRODUCT(MMULT(G4139:P4139,_XtX!$B$58:$K$67),G4139:P4139)</f>
        <v>0.25359940962358</v>
      </c>
      <c r="S4139" s="0" t="n">
        <f aca="false">04_回帰ANOVA!$K$19*04_回帰ANOVA!$K$14*SQRT(1+R4139)</f>
        <v>1.04098872464599</v>
      </c>
      <c r="T4139" s="0" t="n">
        <f aca="false">Q4139-S4139</f>
        <v>45.3589970708086</v>
      </c>
      <c r="U4139" s="0" t="n">
        <f aca="false">Q4139+S4139</f>
        <v>47.4409745201005</v>
      </c>
      <c r="V4139" s="54" t="b">
        <f aca="false">AND(D4139&gt;=01_因子設定!$L$5-0.000000001,D4139&lt;=01_因子設定!$M$5+0.000000001,E4139&gt;=01_因子設定!$L$6-0.000000001,E4139&lt;=01_因子設定!$M$6+0.000000001,F4139&gt;=01_因子設定!$L$7-0.000000001,F4139&lt;=01_因子設定!$M$7+0.000000001,IF(01_因子設定!$B$20="Box-Behnken",D4139^2+E4139^2+F4139^2&lt;=2+0.000000001,TRUE()))</f>
        <v>1</v>
      </c>
      <c r="W4139" s="55" t="n">
        <f aca="false">IF(V4139,IF(01_因子設定!$B$13="最大化",T4139-01_因子設定!$B$14,IF(01_因子設定!$B$13="最小化",01_因子設定!$B$15-U4139,MIN(T4139-01_因子設定!$B$14,01_因子設定!$B$15-U4139))),-1E+030)</f>
        <v>-3.14100292919143</v>
      </c>
      <c r="X4139" s="55" t="n">
        <f aca="false">IF(V4139,IF(01_因子設定!$B$13="最大化",Q4139,IF(01_因子設定!$B$13="最小化",-Q4139,-ABS(Q4139-01_因子設定!$B$16))),-1E+030)</f>
        <v>46.3999857954546</v>
      </c>
      <c r="Y4139" s="55" t="n">
        <f aca="false">W4139+ROW()*0.000000001</f>
        <v>-3.14099879019143</v>
      </c>
      <c r="Z4139" s="55" t="n">
        <f aca="false">X4139+ROW()*0.000000001</f>
        <v>46.3999899344546</v>
      </c>
    </row>
    <row r="4140" customFormat="false" ht="15" hidden="false" customHeight="false" outlineLevel="0" collapsed="false">
      <c r="A4140" s="0" t="n">
        <v>14</v>
      </c>
      <c r="B4140" s="0" t="n">
        <v>5</v>
      </c>
      <c r="C4140" s="0" t="n">
        <v>4</v>
      </c>
      <c r="D4140" s="0" t="n">
        <f aca="false">-1+A4140*0.125</f>
        <v>0.75</v>
      </c>
      <c r="E4140" s="0" t="n">
        <f aca="false">-1+B4140*0.125</f>
        <v>-0.375</v>
      </c>
      <c r="F4140" s="0" t="n">
        <f aca="false">-1+C4140*0.125</f>
        <v>-0.5</v>
      </c>
      <c r="G4140" s="0" t="n">
        <f aca="false">1</f>
        <v>1</v>
      </c>
      <c r="H4140" s="0" t="n">
        <f aca="false">D4140</f>
        <v>0.75</v>
      </c>
      <c r="I4140" s="0" t="n">
        <f aca="false">E4140</f>
        <v>-0.375</v>
      </c>
      <c r="J4140" s="0" t="n">
        <f aca="false">F4140</f>
        <v>-0.5</v>
      </c>
      <c r="K4140" s="0" t="n">
        <f aca="false">D4140*E4140</f>
        <v>-0.28125</v>
      </c>
      <c r="L4140" s="0" t="n">
        <f aca="false">D4140*F4140</f>
        <v>-0.375</v>
      </c>
      <c r="M4140" s="0" t="n">
        <f aca="false">E4140*F4140</f>
        <v>0.1875</v>
      </c>
      <c r="N4140" s="0" t="n">
        <f aca="false">D4140*D4140</f>
        <v>0.5625</v>
      </c>
      <c r="O4140" s="0" t="n">
        <f aca="false">E4140*E4140</f>
        <v>0.140625</v>
      </c>
      <c r="P4140" s="0" t="n">
        <f aca="false">F4140*F4140</f>
        <v>0.25</v>
      </c>
      <c r="Q4140" s="0" t="n">
        <f aca="false">SUMPRODUCT(G4140:P4140,_XtX!$B$71:$K$71)</f>
        <v>46.7028835227273</v>
      </c>
      <c r="R4140" s="0" t="n">
        <f aca="false">SUMPRODUCT(MMULT(G4140:P4140,_XtX!$B$58:$K$67),G4140:P4140)</f>
        <v>0.234168590198864</v>
      </c>
      <c r="S4140" s="0" t="n">
        <f aca="false">04_回帰ANOVA!$K$19*04_回帰ANOVA!$K$14*SQRT(1+R4140)</f>
        <v>1.03288954322488</v>
      </c>
      <c r="T4140" s="0" t="n">
        <f aca="false">Q4140-S4140</f>
        <v>45.6699939795024</v>
      </c>
      <c r="U4140" s="0" t="n">
        <f aca="false">Q4140+S4140</f>
        <v>47.7357730659522</v>
      </c>
      <c r="V4140" s="54" t="b">
        <f aca="false">AND(D4140&gt;=01_因子設定!$L$5-0.000000001,D4140&lt;=01_因子設定!$M$5+0.000000001,E4140&gt;=01_因子設定!$L$6-0.000000001,E4140&lt;=01_因子設定!$M$6+0.000000001,F4140&gt;=01_因子設定!$L$7-0.000000001,F4140&lt;=01_因子設定!$M$7+0.000000001,IF(01_因子設定!$B$20="Box-Behnken",D4140^2+E4140^2+F4140^2&lt;=2+0.000000001,TRUE()))</f>
        <v>1</v>
      </c>
      <c r="W4140" s="55" t="n">
        <f aca="false">IF(V4140,IF(01_因子設定!$B$13="最大化",T4140-01_因子設定!$B$14,IF(01_因子設定!$B$13="最小化",01_因子設定!$B$15-U4140,MIN(T4140-01_因子設定!$B$14,01_因子設定!$B$15-U4140))),-1E+030)</f>
        <v>-2.8300060204976</v>
      </c>
      <c r="X4140" s="55" t="n">
        <f aca="false">IF(V4140,IF(01_因子設定!$B$13="最大化",Q4140,IF(01_因子設定!$B$13="最小化",-Q4140,-ABS(Q4140-01_因子設定!$B$16))),-1E+030)</f>
        <v>46.7028835227273</v>
      </c>
      <c r="Y4140" s="55" t="n">
        <f aca="false">W4140+ROW()*0.000000001</f>
        <v>-2.8300018804976</v>
      </c>
      <c r="Z4140" s="55" t="n">
        <f aca="false">X4140+ROW()*0.000000001</f>
        <v>46.7028876627273</v>
      </c>
    </row>
    <row r="4141" customFormat="false" ht="15" hidden="false" customHeight="false" outlineLevel="0" collapsed="false">
      <c r="A4141" s="0" t="n">
        <v>14</v>
      </c>
      <c r="B4141" s="0" t="n">
        <v>5</v>
      </c>
      <c r="C4141" s="0" t="n">
        <v>5</v>
      </c>
      <c r="D4141" s="0" t="n">
        <f aca="false">-1+A4141*0.125</f>
        <v>0.75</v>
      </c>
      <c r="E4141" s="0" t="n">
        <f aca="false">-1+B4141*0.125</f>
        <v>-0.375</v>
      </c>
      <c r="F4141" s="0" t="n">
        <f aca="false">-1+C4141*0.125</f>
        <v>-0.375</v>
      </c>
      <c r="G4141" s="0" t="n">
        <f aca="false">1</f>
        <v>1</v>
      </c>
      <c r="H4141" s="0" t="n">
        <f aca="false">D4141</f>
        <v>0.75</v>
      </c>
      <c r="I4141" s="0" t="n">
        <f aca="false">E4141</f>
        <v>-0.375</v>
      </c>
      <c r="J4141" s="0" t="n">
        <f aca="false">F4141</f>
        <v>-0.375</v>
      </c>
      <c r="K4141" s="0" t="n">
        <f aca="false">D4141*E4141</f>
        <v>-0.28125</v>
      </c>
      <c r="L4141" s="0" t="n">
        <f aca="false">D4141*F4141</f>
        <v>-0.28125</v>
      </c>
      <c r="M4141" s="0" t="n">
        <f aca="false">E4141*F4141</f>
        <v>0.140625</v>
      </c>
      <c r="N4141" s="0" t="n">
        <f aca="false">D4141*D4141</f>
        <v>0.5625</v>
      </c>
      <c r="O4141" s="0" t="n">
        <f aca="false">E4141*E4141</f>
        <v>0.140625</v>
      </c>
      <c r="P4141" s="0" t="n">
        <f aca="false">F4141*F4141</f>
        <v>0.140625</v>
      </c>
      <c r="Q4141" s="0" t="n">
        <f aca="false">SUMPRODUCT(G4141:P4141,_XtX!$B$71:$K$71)</f>
        <v>46.9689914772727</v>
      </c>
      <c r="R4141" s="0" t="n">
        <f aca="false">SUMPRODUCT(MMULT(G4141:P4141,_XtX!$B$58:$K$67),G4141:P4141)</f>
        <v>0.228998912464489</v>
      </c>
      <c r="S4141" s="0" t="n">
        <f aca="false">04_回帰ANOVA!$K$19*04_回帰ANOVA!$K$14*SQRT(1+R4141)</f>
        <v>1.03072399242813</v>
      </c>
      <c r="T4141" s="0" t="n">
        <f aca="false">Q4141-S4141</f>
        <v>45.9382674848446</v>
      </c>
      <c r="U4141" s="0" t="n">
        <f aca="false">Q4141+S4141</f>
        <v>47.9997154697009</v>
      </c>
      <c r="V4141" s="54" t="b">
        <f aca="false">AND(D4141&gt;=01_因子設定!$L$5-0.000000001,D4141&lt;=01_因子設定!$M$5+0.000000001,E4141&gt;=01_因子設定!$L$6-0.000000001,E4141&lt;=01_因子設定!$M$6+0.000000001,F4141&gt;=01_因子設定!$L$7-0.000000001,F4141&lt;=01_因子設定!$M$7+0.000000001,IF(01_因子設定!$B$20="Box-Behnken",D4141^2+E4141^2+F4141^2&lt;=2+0.000000001,TRUE()))</f>
        <v>1</v>
      </c>
      <c r="W4141" s="55" t="n">
        <f aca="false">IF(V4141,IF(01_因子設定!$B$13="最大化",T4141-01_因子設定!$B$14,IF(01_因子設定!$B$13="最小化",01_因子設定!$B$15-U4141,MIN(T4141-01_因子設定!$B$14,01_因子設定!$B$15-U4141))),-1E+030)</f>
        <v>-2.5617325151554</v>
      </c>
      <c r="X4141" s="55" t="n">
        <f aca="false">IF(V4141,IF(01_因子設定!$B$13="最大化",Q4141,IF(01_因子設定!$B$13="最小化",-Q4141,-ABS(Q4141-01_因子設定!$B$16))),-1E+030)</f>
        <v>46.9689914772727</v>
      </c>
      <c r="Y4141" s="55" t="n">
        <f aca="false">W4141+ROW()*0.000000001</f>
        <v>-2.5617283741554</v>
      </c>
      <c r="Z4141" s="55" t="n">
        <f aca="false">X4141+ROW()*0.000000001</f>
        <v>46.9689956182727</v>
      </c>
    </row>
    <row r="4142" customFormat="false" ht="15" hidden="false" customHeight="false" outlineLevel="0" collapsed="false">
      <c r="A4142" s="0" t="n">
        <v>14</v>
      </c>
      <c r="B4142" s="0" t="n">
        <v>5</v>
      </c>
      <c r="C4142" s="0" t="n">
        <v>6</v>
      </c>
      <c r="D4142" s="0" t="n">
        <f aca="false">-1+A4142*0.125</f>
        <v>0.75</v>
      </c>
      <c r="E4142" s="0" t="n">
        <f aca="false">-1+B4142*0.125</f>
        <v>-0.375</v>
      </c>
      <c r="F4142" s="0" t="n">
        <f aca="false">-1+C4142*0.125</f>
        <v>-0.25</v>
      </c>
      <c r="G4142" s="0" t="n">
        <f aca="false">1</f>
        <v>1</v>
      </c>
      <c r="H4142" s="0" t="n">
        <f aca="false">D4142</f>
        <v>0.75</v>
      </c>
      <c r="I4142" s="0" t="n">
        <f aca="false">E4142</f>
        <v>-0.375</v>
      </c>
      <c r="J4142" s="0" t="n">
        <f aca="false">F4142</f>
        <v>-0.25</v>
      </c>
      <c r="K4142" s="0" t="n">
        <f aca="false">D4142*E4142</f>
        <v>-0.28125</v>
      </c>
      <c r="L4142" s="0" t="n">
        <f aca="false">D4142*F4142</f>
        <v>-0.1875</v>
      </c>
      <c r="M4142" s="0" t="n">
        <f aca="false">E4142*F4142</f>
        <v>0.09375</v>
      </c>
      <c r="N4142" s="0" t="n">
        <f aca="false">D4142*D4142</f>
        <v>0.5625</v>
      </c>
      <c r="O4142" s="0" t="n">
        <f aca="false">E4142*E4142</f>
        <v>0.140625</v>
      </c>
      <c r="P4142" s="0" t="n">
        <f aca="false">F4142*F4142</f>
        <v>0.0625</v>
      </c>
      <c r="Q4142" s="0" t="n">
        <f aca="false">SUMPRODUCT(G4142:P4142,_XtX!$B$71:$K$71)</f>
        <v>47.1983096590909</v>
      </c>
      <c r="R4142" s="0" t="n">
        <f aca="false">SUMPRODUCT(MMULT(G4142:P4142,_XtX!$B$58:$K$67),G4142:P4142)</f>
        <v>0.230632990056818</v>
      </c>
      <c r="S4142" s="0" t="n">
        <f aca="false">04_回帰ANOVA!$K$19*04_回帰ANOVA!$K$14*SQRT(1+R4142)</f>
        <v>1.03140899038819</v>
      </c>
      <c r="T4142" s="0" t="n">
        <f aca="false">Q4142-S4142</f>
        <v>46.1669006687027</v>
      </c>
      <c r="U4142" s="0" t="n">
        <f aca="false">Q4142+S4142</f>
        <v>48.2297186494791</v>
      </c>
      <c r="V4142" s="54" t="b">
        <f aca="false">AND(D4142&gt;=01_因子設定!$L$5-0.000000001,D4142&lt;=01_因子設定!$M$5+0.000000001,E4142&gt;=01_因子設定!$L$6-0.000000001,E4142&lt;=01_因子設定!$M$6+0.000000001,F4142&gt;=01_因子設定!$L$7-0.000000001,F4142&lt;=01_因子設定!$M$7+0.000000001,IF(01_因子設定!$B$20="Box-Behnken",D4142^2+E4142^2+F4142^2&lt;=2+0.000000001,TRUE()))</f>
        <v>1</v>
      </c>
      <c r="W4142" s="55" t="n">
        <f aca="false">IF(V4142,IF(01_因子設定!$B$13="最大化",T4142-01_因子設定!$B$14,IF(01_因子設定!$B$13="最小化",01_因子設定!$B$15-U4142,MIN(T4142-01_因子設定!$B$14,01_因子設定!$B$15-U4142))),-1E+030)</f>
        <v>-2.33309933129728</v>
      </c>
      <c r="X4142" s="55" t="n">
        <f aca="false">IF(V4142,IF(01_因子設定!$B$13="最大化",Q4142,IF(01_因子設定!$B$13="最小化",-Q4142,-ABS(Q4142-01_因子設定!$B$16))),-1E+030)</f>
        <v>47.1983096590909</v>
      </c>
      <c r="Y4142" s="55" t="n">
        <f aca="false">W4142+ROW()*0.000000001</f>
        <v>-2.33309518929728</v>
      </c>
      <c r="Z4142" s="55" t="n">
        <f aca="false">X4142+ROW()*0.000000001</f>
        <v>47.1983138010909</v>
      </c>
    </row>
    <row r="4143" customFormat="false" ht="15" hidden="false" customHeight="false" outlineLevel="0" collapsed="false">
      <c r="A4143" s="0" t="n">
        <v>14</v>
      </c>
      <c r="B4143" s="0" t="n">
        <v>5</v>
      </c>
      <c r="C4143" s="0" t="n">
        <v>7</v>
      </c>
      <c r="D4143" s="0" t="n">
        <f aca="false">-1+A4143*0.125</f>
        <v>0.75</v>
      </c>
      <c r="E4143" s="0" t="n">
        <f aca="false">-1+B4143*0.125</f>
        <v>-0.375</v>
      </c>
      <c r="F4143" s="0" t="n">
        <f aca="false">-1+C4143*0.125</f>
        <v>-0.125</v>
      </c>
      <c r="G4143" s="0" t="n">
        <f aca="false">1</f>
        <v>1</v>
      </c>
      <c r="H4143" s="0" t="n">
        <f aca="false">D4143</f>
        <v>0.75</v>
      </c>
      <c r="I4143" s="0" t="n">
        <f aca="false">E4143</f>
        <v>-0.375</v>
      </c>
      <c r="J4143" s="0" t="n">
        <f aca="false">F4143</f>
        <v>-0.125</v>
      </c>
      <c r="K4143" s="0" t="n">
        <f aca="false">D4143*E4143</f>
        <v>-0.28125</v>
      </c>
      <c r="L4143" s="0" t="n">
        <f aca="false">D4143*F4143</f>
        <v>-0.09375</v>
      </c>
      <c r="M4143" s="0" t="n">
        <f aca="false">E4143*F4143</f>
        <v>0.046875</v>
      </c>
      <c r="N4143" s="0" t="n">
        <f aca="false">D4143*D4143</f>
        <v>0.5625</v>
      </c>
      <c r="O4143" s="0" t="n">
        <f aca="false">E4143*E4143</f>
        <v>0.140625</v>
      </c>
      <c r="P4143" s="0" t="n">
        <f aca="false">F4143*F4143</f>
        <v>0.015625</v>
      </c>
      <c r="Q4143" s="0" t="n">
        <f aca="false">SUMPRODUCT(G4143:P4143,_XtX!$B$71:$K$71)</f>
        <v>47.3908380681818</v>
      </c>
      <c r="R4143" s="0" t="n">
        <f aca="false">SUMPRODUCT(MMULT(G4143:P4143,_XtX!$B$58:$K$67),G4143:P4143)</f>
        <v>0.233744118430398</v>
      </c>
      <c r="S4143" s="0" t="n">
        <f aca="false">04_回帰ANOVA!$K$19*04_回帰ANOVA!$K$14*SQRT(1+R4143)</f>
        <v>1.0327119053564</v>
      </c>
      <c r="T4143" s="0" t="n">
        <f aca="false">Q4143-S4143</f>
        <v>46.3581261628254</v>
      </c>
      <c r="U4143" s="0" t="n">
        <f aca="false">Q4143+S4143</f>
        <v>48.4235499735382</v>
      </c>
      <c r="V4143" s="54" t="b">
        <f aca="false">AND(D4143&gt;=01_因子設定!$L$5-0.000000001,D4143&lt;=01_因子設定!$M$5+0.000000001,E4143&gt;=01_因子設定!$L$6-0.000000001,E4143&lt;=01_因子設定!$M$6+0.000000001,F4143&gt;=01_因子設定!$L$7-0.000000001,F4143&lt;=01_因子設定!$M$7+0.000000001,IF(01_因子設定!$B$20="Box-Behnken",D4143^2+E4143^2+F4143^2&lt;=2+0.000000001,TRUE()))</f>
        <v>1</v>
      </c>
      <c r="W4143" s="55" t="n">
        <f aca="false">IF(V4143,IF(01_因子設定!$B$13="最大化",T4143-01_因子設定!$B$14,IF(01_因子設定!$B$13="最小化",01_因子設定!$B$15-U4143,MIN(T4143-01_因子設定!$B$14,01_因子設定!$B$15-U4143))),-1E+030)</f>
        <v>-2.14187383717459</v>
      </c>
      <c r="X4143" s="55" t="n">
        <f aca="false">IF(V4143,IF(01_因子設定!$B$13="最大化",Q4143,IF(01_因子設定!$B$13="最小化",-Q4143,-ABS(Q4143-01_因子設定!$B$16))),-1E+030)</f>
        <v>47.3908380681818</v>
      </c>
      <c r="Y4143" s="55" t="n">
        <f aca="false">W4143+ROW()*0.000000001</f>
        <v>-2.14186969417459</v>
      </c>
      <c r="Z4143" s="55" t="n">
        <f aca="false">X4143+ROW()*0.000000001</f>
        <v>47.3908422111818</v>
      </c>
    </row>
    <row r="4144" customFormat="false" ht="15" hidden="false" customHeight="false" outlineLevel="0" collapsed="false">
      <c r="A4144" s="0" t="n">
        <v>14</v>
      </c>
      <c r="B4144" s="0" t="n">
        <v>5</v>
      </c>
      <c r="C4144" s="0" t="n">
        <v>8</v>
      </c>
      <c r="D4144" s="0" t="n">
        <f aca="false">-1+A4144*0.125</f>
        <v>0.75</v>
      </c>
      <c r="E4144" s="0" t="n">
        <f aca="false">-1+B4144*0.125</f>
        <v>-0.375</v>
      </c>
      <c r="F4144" s="0" t="n">
        <f aca="false">-1+C4144*0.125</f>
        <v>0</v>
      </c>
      <c r="G4144" s="0" t="n">
        <f aca="false">1</f>
        <v>1</v>
      </c>
      <c r="H4144" s="0" t="n">
        <f aca="false">D4144</f>
        <v>0.75</v>
      </c>
      <c r="I4144" s="0" t="n">
        <f aca="false">E4144</f>
        <v>-0.375</v>
      </c>
      <c r="J4144" s="0" t="n">
        <f aca="false">F4144</f>
        <v>0</v>
      </c>
      <c r="K4144" s="0" t="n">
        <f aca="false">D4144*E4144</f>
        <v>-0.28125</v>
      </c>
      <c r="L4144" s="0" t="n">
        <f aca="false">D4144*F4144</f>
        <v>0</v>
      </c>
      <c r="M4144" s="0" t="n">
        <f aca="false">E4144*F4144</f>
        <v>-0</v>
      </c>
      <c r="N4144" s="0" t="n">
        <f aca="false">D4144*D4144</f>
        <v>0.5625</v>
      </c>
      <c r="O4144" s="0" t="n">
        <f aca="false">E4144*E4144</f>
        <v>0.140625</v>
      </c>
      <c r="P4144" s="0" t="n">
        <f aca="false">F4144*F4144</f>
        <v>0</v>
      </c>
      <c r="Q4144" s="0" t="n">
        <f aca="false">SUMPRODUCT(G4144:P4144,_XtX!$B$71:$K$71)</f>
        <v>47.5465767045455</v>
      </c>
      <c r="R4144" s="0" t="n">
        <f aca="false">SUMPRODUCT(MMULT(G4144:P4144,_XtX!$B$58:$K$67),G4144:P4144)</f>
        <v>0.235136274857955</v>
      </c>
      <c r="S4144" s="0" t="n">
        <f aca="false">04_回帰ANOVA!$K$19*04_回帰ANOVA!$K$14*SQRT(1+R4144)</f>
        <v>1.03329439695656</v>
      </c>
      <c r="T4144" s="0" t="n">
        <f aca="false">Q4144-S4144</f>
        <v>46.5132823075889</v>
      </c>
      <c r="U4144" s="0" t="n">
        <f aca="false">Q4144+S4144</f>
        <v>48.579871101502</v>
      </c>
      <c r="V4144" s="54" t="b">
        <f aca="false">AND(D4144&gt;=01_因子設定!$L$5-0.000000001,D4144&lt;=01_因子設定!$M$5+0.000000001,E4144&gt;=01_因子設定!$L$6-0.000000001,E4144&lt;=01_因子設定!$M$6+0.000000001,F4144&gt;=01_因子設定!$L$7-0.000000001,F4144&lt;=01_因子設定!$M$7+0.000000001,IF(01_因子設定!$B$20="Box-Behnken",D4144^2+E4144^2+F4144^2&lt;=2+0.000000001,TRUE()))</f>
        <v>1</v>
      </c>
      <c r="W4144" s="55" t="n">
        <f aca="false">IF(V4144,IF(01_因子設定!$B$13="最大化",T4144-01_因子設定!$B$14,IF(01_因子設定!$B$13="最小化",01_因子設定!$B$15-U4144,MIN(T4144-01_因子設定!$B$14,01_因子設定!$B$15-U4144))),-1E+030)</f>
        <v>-1.98671769241111</v>
      </c>
      <c r="X4144" s="55" t="n">
        <f aca="false">IF(V4144,IF(01_因子設定!$B$13="最大化",Q4144,IF(01_因子設定!$B$13="最小化",-Q4144,-ABS(Q4144-01_因子設定!$B$16))),-1E+030)</f>
        <v>47.5465767045455</v>
      </c>
      <c r="Y4144" s="55" t="n">
        <f aca="false">W4144+ROW()*0.000000001</f>
        <v>-1.98671354841111</v>
      </c>
      <c r="Z4144" s="55" t="n">
        <f aca="false">X4144+ROW()*0.000000001</f>
        <v>47.5465808485455</v>
      </c>
    </row>
    <row r="4145" customFormat="false" ht="15" hidden="false" customHeight="false" outlineLevel="0" collapsed="false">
      <c r="A4145" s="0" t="n">
        <v>14</v>
      </c>
      <c r="B4145" s="0" t="n">
        <v>5</v>
      </c>
      <c r="C4145" s="0" t="n">
        <v>9</v>
      </c>
      <c r="D4145" s="0" t="n">
        <f aca="false">-1+A4145*0.125</f>
        <v>0.75</v>
      </c>
      <c r="E4145" s="0" t="n">
        <f aca="false">-1+B4145*0.125</f>
        <v>-0.375</v>
      </c>
      <c r="F4145" s="0" t="n">
        <f aca="false">-1+C4145*0.125</f>
        <v>0.125</v>
      </c>
      <c r="G4145" s="0" t="n">
        <f aca="false">1</f>
        <v>1</v>
      </c>
      <c r="H4145" s="0" t="n">
        <f aca="false">D4145</f>
        <v>0.75</v>
      </c>
      <c r="I4145" s="0" t="n">
        <f aca="false">E4145</f>
        <v>-0.375</v>
      </c>
      <c r="J4145" s="0" t="n">
        <f aca="false">F4145</f>
        <v>0.125</v>
      </c>
      <c r="K4145" s="0" t="n">
        <f aca="false">D4145*E4145</f>
        <v>-0.28125</v>
      </c>
      <c r="L4145" s="0" t="n">
        <f aca="false">D4145*F4145</f>
        <v>0.09375</v>
      </c>
      <c r="M4145" s="0" t="n">
        <f aca="false">E4145*F4145</f>
        <v>-0.046875</v>
      </c>
      <c r="N4145" s="0" t="n">
        <f aca="false">D4145*D4145</f>
        <v>0.5625</v>
      </c>
      <c r="O4145" s="0" t="n">
        <f aca="false">E4145*E4145</f>
        <v>0.140625</v>
      </c>
      <c r="P4145" s="0" t="n">
        <f aca="false">F4145*F4145</f>
        <v>0.015625</v>
      </c>
      <c r="Q4145" s="0" t="n">
        <f aca="false">SUMPRODUCT(G4145:P4145,_XtX!$B$71:$K$71)</f>
        <v>47.6655255681818</v>
      </c>
      <c r="R4145" s="0" t="n">
        <f aca="false">SUMPRODUCT(MMULT(G4145:P4145,_XtX!$B$58:$K$67),G4145:P4145)</f>
        <v>0.233744118430398</v>
      </c>
      <c r="S4145" s="0" t="n">
        <f aca="false">04_回帰ANOVA!$K$19*04_回帰ANOVA!$K$14*SQRT(1+R4145)</f>
        <v>1.0327119053564</v>
      </c>
      <c r="T4145" s="0" t="n">
        <f aca="false">Q4145-S4145</f>
        <v>46.6328136628254</v>
      </c>
      <c r="U4145" s="0" t="n">
        <f aca="false">Q4145+S4145</f>
        <v>48.6982374735382</v>
      </c>
      <c r="V4145" s="54" t="b">
        <f aca="false">AND(D4145&gt;=01_因子設定!$L$5-0.000000001,D4145&lt;=01_因子設定!$M$5+0.000000001,E4145&gt;=01_因子設定!$L$6-0.000000001,E4145&lt;=01_因子設定!$M$6+0.000000001,F4145&gt;=01_因子設定!$L$7-0.000000001,F4145&lt;=01_因子設定!$M$7+0.000000001,IF(01_因子設定!$B$20="Box-Behnken",D4145^2+E4145^2+F4145^2&lt;=2+0.000000001,TRUE()))</f>
        <v>1</v>
      </c>
      <c r="W4145" s="55" t="n">
        <f aca="false">IF(V4145,IF(01_因子設定!$B$13="最大化",T4145-01_因子設定!$B$14,IF(01_因子設定!$B$13="最小化",01_因子設定!$B$15-U4145,MIN(T4145-01_因子設定!$B$14,01_因子設定!$B$15-U4145))),-1E+030)</f>
        <v>-1.86718633717458</v>
      </c>
      <c r="X4145" s="55" t="n">
        <f aca="false">IF(V4145,IF(01_因子設定!$B$13="最大化",Q4145,IF(01_因子設定!$B$13="最小化",-Q4145,-ABS(Q4145-01_因子設定!$B$16))),-1E+030)</f>
        <v>47.6655255681818</v>
      </c>
      <c r="Y4145" s="55" t="n">
        <f aca="false">W4145+ROW()*0.000000001</f>
        <v>-1.86718219217458</v>
      </c>
      <c r="Z4145" s="55" t="n">
        <f aca="false">X4145+ROW()*0.000000001</f>
        <v>47.6655297131818</v>
      </c>
    </row>
    <row r="4146" customFormat="false" ht="15" hidden="false" customHeight="false" outlineLevel="0" collapsed="false">
      <c r="A4146" s="0" t="n">
        <v>14</v>
      </c>
      <c r="B4146" s="0" t="n">
        <v>5</v>
      </c>
      <c r="C4146" s="0" t="n">
        <v>10</v>
      </c>
      <c r="D4146" s="0" t="n">
        <f aca="false">-1+A4146*0.125</f>
        <v>0.75</v>
      </c>
      <c r="E4146" s="0" t="n">
        <f aca="false">-1+B4146*0.125</f>
        <v>-0.375</v>
      </c>
      <c r="F4146" s="0" t="n">
        <f aca="false">-1+C4146*0.125</f>
        <v>0.25</v>
      </c>
      <c r="G4146" s="0" t="n">
        <f aca="false">1</f>
        <v>1</v>
      </c>
      <c r="H4146" s="0" t="n">
        <f aca="false">D4146</f>
        <v>0.75</v>
      </c>
      <c r="I4146" s="0" t="n">
        <f aca="false">E4146</f>
        <v>-0.375</v>
      </c>
      <c r="J4146" s="0" t="n">
        <f aca="false">F4146</f>
        <v>0.25</v>
      </c>
      <c r="K4146" s="0" t="n">
        <f aca="false">D4146*E4146</f>
        <v>-0.28125</v>
      </c>
      <c r="L4146" s="0" t="n">
        <f aca="false">D4146*F4146</f>
        <v>0.1875</v>
      </c>
      <c r="M4146" s="0" t="n">
        <f aca="false">E4146*F4146</f>
        <v>-0.09375</v>
      </c>
      <c r="N4146" s="0" t="n">
        <f aca="false">D4146*D4146</f>
        <v>0.5625</v>
      </c>
      <c r="O4146" s="0" t="n">
        <f aca="false">E4146*E4146</f>
        <v>0.140625</v>
      </c>
      <c r="P4146" s="0" t="n">
        <f aca="false">F4146*F4146</f>
        <v>0.0625</v>
      </c>
      <c r="Q4146" s="0" t="n">
        <f aca="false">SUMPRODUCT(G4146:P4146,_XtX!$B$71:$K$71)</f>
        <v>47.7476846590909</v>
      </c>
      <c r="R4146" s="0" t="n">
        <f aca="false">SUMPRODUCT(MMULT(G4146:P4146,_XtX!$B$58:$K$67),G4146:P4146)</f>
        <v>0.230632990056818</v>
      </c>
      <c r="S4146" s="0" t="n">
        <f aca="false">04_回帰ANOVA!$K$19*04_回帰ANOVA!$K$14*SQRT(1+R4146)</f>
        <v>1.03140899038819</v>
      </c>
      <c r="T4146" s="0" t="n">
        <f aca="false">Q4146-S4146</f>
        <v>46.7162756687027</v>
      </c>
      <c r="U4146" s="0" t="n">
        <f aca="false">Q4146+S4146</f>
        <v>48.7790936494791</v>
      </c>
      <c r="V4146" s="54" t="b">
        <f aca="false">AND(D4146&gt;=01_因子設定!$L$5-0.000000001,D4146&lt;=01_因子設定!$M$5+0.000000001,E4146&gt;=01_因子設定!$L$6-0.000000001,E4146&lt;=01_因子設定!$M$6+0.000000001,F4146&gt;=01_因子設定!$L$7-0.000000001,F4146&lt;=01_因子設定!$M$7+0.000000001,IF(01_因子設定!$B$20="Box-Behnken",D4146^2+E4146^2+F4146^2&lt;=2+0.000000001,TRUE()))</f>
        <v>1</v>
      </c>
      <c r="W4146" s="55" t="n">
        <f aca="false">IF(V4146,IF(01_因子設定!$B$13="最大化",T4146-01_因子設定!$B$14,IF(01_因子設定!$B$13="最小化",01_因子設定!$B$15-U4146,MIN(T4146-01_因子設定!$B$14,01_因子設定!$B$15-U4146))),-1E+030)</f>
        <v>-1.78372433129728</v>
      </c>
      <c r="X4146" s="55" t="n">
        <f aca="false">IF(V4146,IF(01_因子設定!$B$13="最大化",Q4146,IF(01_因子設定!$B$13="最小化",-Q4146,-ABS(Q4146-01_因子設定!$B$16))),-1E+030)</f>
        <v>47.7476846590909</v>
      </c>
      <c r="Y4146" s="55" t="n">
        <f aca="false">W4146+ROW()*0.000000001</f>
        <v>-1.78372018529728</v>
      </c>
      <c r="Z4146" s="55" t="n">
        <f aca="false">X4146+ROW()*0.000000001</f>
        <v>47.7476888050909</v>
      </c>
    </row>
    <row r="4147" customFormat="false" ht="15" hidden="false" customHeight="false" outlineLevel="0" collapsed="false">
      <c r="A4147" s="0" t="n">
        <v>14</v>
      </c>
      <c r="B4147" s="0" t="n">
        <v>5</v>
      </c>
      <c r="C4147" s="0" t="n">
        <v>11</v>
      </c>
      <c r="D4147" s="0" t="n">
        <f aca="false">-1+A4147*0.125</f>
        <v>0.75</v>
      </c>
      <c r="E4147" s="0" t="n">
        <f aca="false">-1+B4147*0.125</f>
        <v>-0.375</v>
      </c>
      <c r="F4147" s="0" t="n">
        <f aca="false">-1+C4147*0.125</f>
        <v>0.375</v>
      </c>
      <c r="G4147" s="0" t="n">
        <f aca="false">1</f>
        <v>1</v>
      </c>
      <c r="H4147" s="0" t="n">
        <f aca="false">D4147</f>
        <v>0.75</v>
      </c>
      <c r="I4147" s="0" t="n">
        <f aca="false">E4147</f>
        <v>-0.375</v>
      </c>
      <c r="J4147" s="0" t="n">
        <f aca="false">F4147</f>
        <v>0.375</v>
      </c>
      <c r="K4147" s="0" t="n">
        <f aca="false">D4147*E4147</f>
        <v>-0.28125</v>
      </c>
      <c r="L4147" s="0" t="n">
        <f aca="false">D4147*F4147</f>
        <v>0.28125</v>
      </c>
      <c r="M4147" s="0" t="n">
        <f aca="false">E4147*F4147</f>
        <v>-0.140625</v>
      </c>
      <c r="N4147" s="0" t="n">
        <f aca="false">D4147*D4147</f>
        <v>0.5625</v>
      </c>
      <c r="O4147" s="0" t="n">
        <f aca="false">E4147*E4147</f>
        <v>0.140625</v>
      </c>
      <c r="P4147" s="0" t="n">
        <f aca="false">F4147*F4147</f>
        <v>0.140625</v>
      </c>
      <c r="Q4147" s="0" t="n">
        <f aca="false">SUMPRODUCT(G4147:P4147,_XtX!$B$71:$K$71)</f>
        <v>47.7930539772727</v>
      </c>
      <c r="R4147" s="0" t="n">
        <f aca="false">SUMPRODUCT(MMULT(G4147:P4147,_XtX!$B$58:$K$67),G4147:P4147)</f>
        <v>0.228998912464489</v>
      </c>
      <c r="S4147" s="0" t="n">
        <f aca="false">04_回帰ANOVA!$K$19*04_回帰ANOVA!$K$14*SQRT(1+R4147)</f>
        <v>1.03072399242813</v>
      </c>
      <c r="T4147" s="0" t="n">
        <f aca="false">Q4147-S4147</f>
        <v>46.7623299848446</v>
      </c>
      <c r="U4147" s="0" t="n">
        <f aca="false">Q4147+S4147</f>
        <v>48.8237779697009</v>
      </c>
      <c r="V4147" s="54" t="b">
        <f aca="false">AND(D4147&gt;=01_因子設定!$L$5-0.000000001,D4147&lt;=01_因子設定!$M$5+0.000000001,E4147&gt;=01_因子設定!$L$6-0.000000001,E4147&lt;=01_因子設定!$M$6+0.000000001,F4147&gt;=01_因子設定!$L$7-0.000000001,F4147&lt;=01_因子設定!$M$7+0.000000001,IF(01_因子設定!$B$20="Box-Behnken",D4147^2+E4147^2+F4147^2&lt;=2+0.000000001,TRUE()))</f>
        <v>1</v>
      </c>
      <c r="W4147" s="55" t="n">
        <f aca="false">IF(V4147,IF(01_因子設定!$B$13="最大化",T4147-01_因子設定!$B$14,IF(01_因子設定!$B$13="最小化",01_因子設定!$B$15-U4147,MIN(T4147-01_因子設定!$B$14,01_因子設定!$B$15-U4147))),-1E+030)</f>
        <v>-1.7376700151554</v>
      </c>
      <c r="X4147" s="55" t="n">
        <f aca="false">IF(V4147,IF(01_因子設定!$B$13="最大化",Q4147,IF(01_因子設定!$B$13="最小化",-Q4147,-ABS(Q4147-01_因子設定!$B$16))),-1E+030)</f>
        <v>47.7930539772727</v>
      </c>
      <c r="Y4147" s="55" t="n">
        <f aca="false">W4147+ROW()*0.000000001</f>
        <v>-1.7376658681554</v>
      </c>
      <c r="Z4147" s="55" t="n">
        <f aca="false">X4147+ROW()*0.000000001</f>
        <v>47.7930581242727</v>
      </c>
    </row>
    <row r="4148" customFormat="false" ht="15" hidden="false" customHeight="false" outlineLevel="0" collapsed="false">
      <c r="A4148" s="0" t="n">
        <v>14</v>
      </c>
      <c r="B4148" s="0" t="n">
        <v>5</v>
      </c>
      <c r="C4148" s="0" t="n">
        <v>12</v>
      </c>
      <c r="D4148" s="0" t="n">
        <f aca="false">-1+A4148*0.125</f>
        <v>0.75</v>
      </c>
      <c r="E4148" s="0" t="n">
        <f aca="false">-1+B4148*0.125</f>
        <v>-0.375</v>
      </c>
      <c r="F4148" s="0" t="n">
        <f aca="false">-1+C4148*0.125</f>
        <v>0.5</v>
      </c>
      <c r="G4148" s="0" t="n">
        <f aca="false">1</f>
        <v>1</v>
      </c>
      <c r="H4148" s="0" t="n">
        <f aca="false">D4148</f>
        <v>0.75</v>
      </c>
      <c r="I4148" s="0" t="n">
        <f aca="false">E4148</f>
        <v>-0.375</v>
      </c>
      <c r="J4148" s="0" t="n">
        <f aca="false">F4148</f>
        <v>0.5</v>
      </c>
      <c r="K4148" s="0" t="n">
        <f aca="false">D4148*E4148</f>
        <v>-0.28125</v>
      </c>
      <c r="L4148" s="0" t="n">
        <f aca="false">D4148*F4148</f>
        <v>0.375</v>
      </c>
      <c r="M4148" s="0" t="n">
        <f aca="false">E4148*F4148</f>
        <v>-0.1875</v>
      </c>
      <c r="N4148" s="0" t="n">
        <f aca="false">D4148*D4148</f>
        <v>0.5625</v>
      </c>
      <c r="O4148" s="0" t="n">
        <f aca="false">E4148*E4148</f>
        <v>0.140625</v>
      </c>
      <c r="P4148" s="0" t="n">
        <f aca="false">F4148*F4148</f>
        <v>0.25</v>
      </c>
      <c r="Q4148" s="0" t="n">
        <f aca="false">SUMPRODUCT(G4148:P4148,_XtX!$B$71:$K$71)</f>
        <v>47.8016335227273</v>
      </c>
      <c r="R4148" s="0" t="n">
        <f aca="false">SUMPRODUCT(MMULT(G4148:P4148,_XtX!$B$58:$K$67),G4148:P4148)</f>
        <v>0.234168590198864</v>
      </c>
      <c r="S4148" s="0" t="n">
        <f aca="false">04_回帰ANOVA!$K$19*04_回帰ANOVA!$K$14*SQRT(1+R4148)</f>
        <v>1.03288954322488</v>
      </c>
      <c r="T4148" s="0" t="n">
        <f aca="false">Q4148-S4148</f>
        <v>46.7687439795024</v>
      </c>
      <c r="U4148" s="0" t="n">
        <f aca="false">Q4148+S4148</f>
        <v>48.8345230659522</v>
      </c>
      <c r="V4148" s="54" t="b">
        <f aca="false">AND(D4148&gt;=01_因子設定!$L$5-0.000000001,D4148&lt;=01_因子設定!$M$5+0.000000001,E4148&gt;=01_因子設定!$L$6-0.000000001,E4148&lt;=01_因子設定!$M$6+0.000000001,F4148&gt;=01_因子設定!$L$7-0.000000001,F4148&lt;=01_因子設定!$M$7+0.000000001,IF(01_因子設定!$B$20="Box-Behnken",D4148^2+E4148^2+F4148^2&lt;=2+0.000000001,TRUE()))</f>
        <v>1</v>
      </c>
      <c r="W4148" s="55" t="n">
        <f aca="false">IF(V4148,IF(01_因子設定!$B$13="最大化",T4148-01_因子設定!$B$14,IF(01_因子設定!$B$13="最小化",01_因子設定!$B$15-U4148,MIN(T4148-01_因子設定!$B$14,01_因子設定!$B$15-U4148))),-1E+030)</f>
        <v>-1.7312560204976</v>
      </c>
      <c r="X4148" s="55" t="n">
        <f aca="false">IF(V4148,IF(01_因子設定!$B$13="最大化",Q4148,IF(01_因子設定!$B$13="最小化",-Q4148,-ABS(Q4148-01_因子設定!$B$16))),-1E+030)</f>
        <v>47.8016335227273</v>
      </c>
      <c r="Y4148" s="55" t="n">
        <f aca="false">W4148+ROW()*0.000000001</f>
        <v>-1.7312518724976</v>
      </c>
      <c r="Z4148" s="55" t="n">
        <f aca="false">X4148+ROW()*0.000000001</f>
        <v>47.8016376707273</v>
      </c>
    </row>
    <row r="4149" customFormat="false" ht="15" hidden="false" customHeight="false" outlineLevel="0" collapsed="false">
      <c r="A4149" s="0" t="n">
        <v>14</v>
      </c>
      <c r="B4149" s="0" t="n">
        <v>5</v>
      </c>
      <c r="C4149" s="0" t="n">
        <v>13</v>
      </c>
      <c r="D4149" s="0" t="n">
        <f aca="false">-1+A4149*0.125</f>
        <v>0.75</v>
      </c>
      <c r="E4149" s="0" t="n">
        <f aca="false">-1+B4149*0.125</f>
        <v>-0.375</v>
      </c>
      <c r="F4149" s="0" t="n">
        <f aca="false">-1+C4149*0.125</f>
        <v>0.625</v>
      </c>
      <c r="G4149" s="0" t="n">
        <f aca="false">1</f>
        <v>1</v>
      </c>
      <c r="H4149" s="0" t="n">
        <f aca="false">D4149</f>
        <v>0.75</v>
      </c>
      <c r="I4149" s="0" t="n">
        <f aca="false">E4149</f>
        <v>-0.375</v>
      </c>
      <c r="J4149" s="0" t="n">
        <f aca="false">F4149</f>
        <v>0.625</v>
      </c>
      <c r="K4149" s="0" t="n">
        <f aca="false">D4149*E4149</f>
        <v>-0.28125</v>
      </c>
      <c r="L4149" s="0" t="n">
        <f aca="false">D4149*F4149</f>
        <v>0.46875</v>
      </c>
      <c r="M4149" s="0" t="n">
        <f aca="false">E4149*F4149</f>
        <v>-0.234375</v>
      </c>
      <c r="N4149" s="0" t="n">
        <f aca="false">D4149*D4149</f>
        <v>0.5625</v>
      </c>
      <c r="O4149" s="0" t="n">
        <f aca="false">E4149*E4149</f>
        <v>0.140625</v>
      </c>
      <c r="P4149" s="0" t="n">
        <f aca="false">F4149*F4149</f>
        <v>0.390625</v>
      </c>
      <c r="Q4149" s="0" t="n">
        <f aca="false">SUMPRODUCT(G4149:P4149,_XtX!$B$71:$K$71)</f>
        <v>47.7734232954546</v>
      </c>
      <c r="R4149" s="0" t="n">
        <f aca="false">SUMPRODUCT(MMULT(G4149:P4149,_XtX!$B$58:$K$67),G4149:P4149)</f>
        <v>0.25359940962358</v>
      </c>
      <c r="S4149" s="0" t="n">
        <f aca="false">04_回帰ANOVA!$K$19*04_回帰ANOVA!$K$14*SQRT(1+R4149)</f>
        <v>1.04098872464599</v>
      </c>
      <c r="T4149" s="0" t="n">
        <f aca="false">Q4149-S4149</f>
        <v>46.7324345708086</v>
      </c>
      <c r="U4149" s="0" t="n">
        <f aca="false">Q4149+S4149</f>
        <v>48.8144120201005</v>
      </c>
      <c r="V4149" s="54" t="b">
        <f aca="false">AND(D4149&gt;=01_因子設定!$L$5-0.000000001,D4149&lt;=01_因子設定!$M$5+0.000000001,E4149&gt;=01_因子設定!$L$6-0.000000001,E4149&lt;=01_因子設定!$M$6+0.000000001,F4149&gt;=01_因子設定!$L$7-0.000000001,F4149&lt;=01_因子設定!$M$7+0.000000001,IF(01_因子設定!$B$20="Box-Behnken",D4149^2+E4149^2+F4149^2&lt;=2+0.000000001,TRUE()))</f>
        <v>1</v>
      </c>
      <c r="W4149" s="55" t="n">
        <f aca="false">IF(V4149,IF(01_因子設定!$B$13="最大化",T4149-01_因子設定!$B$14,IF(01_因子設定!$B$13="最小化",01_因子設定!$B$15-U4149,MIN(T4149-01_因子設定!$B$14,01_因子設定!$B$15-U4149))),-1E+030)</f>
        <v>-1.76756542919144</v>
      </c>
      <c r="X4149" s="55" t="n">
        <f aca="false">IF(V4149,IF(01_因子設定!$B$13="最大化",Q4149,IF(01_因子設定!$B$13="最小化",-Q4149,-ABS(Q4149-01_因子設定!$B$16))),-1E+030)</f>
        <v>47.7734232954546</v>
      </c>
      <c r="Y4149" s="55" t="n">
        <f aca="false">W4149+ROW()*0.000000001</f>
        <v>-1.76756128019144</v>
      </c>
      <c r="Z4149" s="55" t="n">
        <f aca="false">X4149+ROW()*0.000000001</f>
        <v>47.7734274444546</v>
      </c>
    </row>
    <row r="4150" customFormat="false" ht="15" hidden="false" customHeight="false" outlineLevel="0" collapsed="false">
      <c r="A4150" s="0" t="n">
        <v>14</v>
      </c>
      <c r="B4150" s="0" t="n">
        <v>5</v>
      </c>
      <c r="C4150" s="0" t="n">
        <v>14</v>
      </c>
      <c r="D4150" s="0" t="n">
        <f aca="false">-1+A4150*0.125</f>
        <v>0.75</v>
      </c>
      <c r="E4150" s="0" t="n">
        <f aca="false">-1+B4150*0.125</f>
        <v>-0.375</v>
      </c>
      <c r="F4150" s="0" t="n">
        <f aca="false">-1+C4150*0.125</f>
        <v>0.75</v>
      </c>
      <c r="G4150" s="0" t="n">
        <f aca="false">1</f>
        <v>1</v>
      </c>
      <c r="H4150" s="0" t="n">
        <f aca="false">D4150</f>
        <v>0.75</v>
      </c>
      <c r="I4150" s="0" t="n">
        <f aca="false">E4150</f>
        <v>-0.375</v>
      </c>
      <c r="J4150" s="0" t="n">
        <f aca="false">F4150</f>
        <v>0.75</v>
      </c>
      <c r="K4150" s="0" t="n">
        <f aca="false">D4150*E4150</f>
        <v>-0.28125</v>
      </c>
      <c r="L4150" s="0" t="n">
        <f aca="false">D4150*F4150</f>
        <v>0.5625</v>
      </c>
      <c r="M4150" s="0" t="n">
        <f aca="false">E4150*F4150</f>
        <v>-0.28125</v>
      </c>
      <c r="N4150" s="0" t="n">
        <f aca="false">D4150*D4150</f>
        <v>0.5625</v>
      </c>
      <c r="O4150" s="0" t="n">
        <f aca="false">E4150*E4150</f>
        <v>0.140625</v>
      </c>
      <c r="P4150" s="0" t="n">
        <f aca="false">F4150*F4150</f>
        <v>0.5625</v>
      </c>
      <c r="Q4150" s="0" t="n">
        <f aca="false">SUMPRODUCT(G4150:P4150,_XtX!$B$71:$K$71)</f>
        <v>47.7084232954546</v>
      </c>
      <c r="R4150" s="0" t="n">
        <f aca="false">SUMPRODUCT(MMULT(G4150:P4150,_XtX!$B$58:$K$67),G4150:P4150)</f>
        <v>0.296879438920455</v>
      </c>
      <c r="S4150" s="0" t="n">
        <f aca="false">04_回帰ANOVA!$K$19*04_回帰ANOVA!$K$14*SQRT(1+R4150)</f>
        <v>1.05880610927316</v>
      </c>
      <c r="T4150" s="0" t="n">
        <f aca="false">Q4150-S4150</f>
        <v>46.6496171861814</v>
      </c>
      <c r="U4150" s="0" t="n">
        <f aca="false">Q4150+S4150</f>
        <v>48.7672294047277</v>
      </c>
      <c r="V4150" s="54" t="b">
        <f aca="false">AND(D4150&gt;=01_因子設定!$L$5-0.000000001,D4150&lt;=01_因子設定!$M$5+0.000000001,E4150&gt;=01_因子設定!$L$6-0.000000001,E4150&lt;=01_因子設定!$M$6+0.000000001,F4150&gt;=01_因子設定!$L$7-0.000000001,F4150&lt;=01_因子設定!$M$7+0.000000001,IF(01_因子設定!$B$20="Box-Behnken",D4150^2+E4150^2+F4150^2&lt;=2+0.000000001,TRUE()))</f>
        <v>1</v>
      </c>
      <c r="W4150" s="55" t="n">
        <f aca="false">IF(V4150,IF(01_因子設定!$B$13="最大化",T4150-01_因子設定!$B$14,IF(01_因子設定!$B$13="最小化",01_因子設定!$B$15-U4150,MIN(T4150-01_因子設定!$B$14,01_因子設定!$B$15-U4150))),-1E+030)</f>
        <v>-1.85038281381861</v>
      </c>
      <c r="X4150" s="55" t="n">
        <f aca="false">IF(V4150,IF(01_因子設定!$B$13="最大化",Q4150,IF(01_因子設定!$B$13="最小化",-Q4150,-ABS(Q4150-01_因子設定!$B$16))),-1E+030)</f>
        <v>47.7084232954546</v>
      </c>
      <c r="Y4150" s="55" t="n">
        <f aca="false">W4150+ROW()*0.000000001</f>
        <v>-1.85037866381861</v>
      </c>
      <c r="Z4150" s="55" t="n">
        <f aca="false">X4150+ROW()*0.000000001</f>
        <v>47.7084274454546</v>
      </c>
    </row>
    <row r="4151" customFormat="false" ht="15" hidden="false" customHeight="false" outlineLevel="0" collapsed="false">
      <c r="A4151" s="0" t="n">
        <v>14</v>
      </c>
      <c r="B4151" s="0" t="n">
        <v>5</v>
      </c>
      <c r="C4151" s="0" t="n">
        <v>15</v>
      </c>
      <c r="D4151" s="0" t="n">
        <f aca="false">-1+A4151*0.125</f>
        <v>0.75</v>
      </c>
      <c r="E4151" s="0" t="n">
        <f aca="false">-1+B4151*0.125</f>
        <v>-0.375</v>
      </c>
      <c r="F4151" s="0" t="n">
        <f aca="false">-1+C4151*0.125</f>
        <v>0.875</v>
      </c>
      <c r="G4151" s="0" t="n">
        <f aca="false">1</f>
        <v>1</v>
      </c>
      <c r="H4151" s="0" t="n">
        <f aca="false">D4151</f>
        <v>0.75</v>
      </c>
      <c r="I4151" s="0" t="n">
        <f aca="false">E4151</f>
        <v>-0.375</v>
      </c>
      <c r="J4151" s="0" t="n">
        <f aca="false">F4151</f>
        <v>0.875</v>
      </c>
      <c r="K4151" s="0" t="n">
        <f aca="false">D4151*E4151</f>
        <v>-0.28125</v>
      </c>
      <c r="L4151" s="0" t="n">
        <f aca="false">D4151*F4151</f>
        <v>0.65625</v>
      </c>
      <c r="M4151" s="0" t="n">
        <f aca="false">E4151*F4151</f>
        <v>-0.328125</v>
      </c>
      <c r="N4151" s="0" t="n">
        <f aca="false">D4151*D4151</f>
        <v>0.5625</v>
      </c>
      <c r="O4151" s="0" t="n">
        <f aca="false">E4151*E4151</f>
        <v>0.140625</v>
      </c>
      <c r="P4151" s="0" t="n">
        <f aca="false">F4151*F4151</f>
        <v>0.765625</v>
      </c>
      <c r="Q4151" s="0" t="n">
        <f aca="false">SUMPRODUCT(G4151:P4151,_XtX!$B$71:$K$71)</f>
        <v>47.6066335227273</v>
      </c>
      <c r="R4151" s="0" t="n">
        <f aca="false">SUMPRODUCT(MMULT(G4151:P4151,_XtX!$B$58:$K$67),G4151:P4151)</f>
        <v>0.375727428089489</v>
      </c>
      <c r="S4151" s="0" t="n">
        <f aca="false">04_回帰ANOVA!$K$19*04_回帰ANOVA!$K$14*SQRT(1+R4151)</f>
        <v>1.09051798904087</v>
      </c>
      <c r="T4151" s="0" t="n">
        <f aca="false">Q4151-S4151</f>
        <v>46.5161155336864</v>
      </c>
      <c r="U4151" s="0" t="n">
        <f aca="false">Q4151+S4151</f>
        <v>48.6971515117682</v>
      </c>
      <c r="V4151" s="54" t="b">
        <f aca="false">AND(D4151&gt;=01_因子設定!$L$5-0.000000001,D4151&lt;=01_因子設定!$M$5+0.000000001,E4151&gt;=01_因子設定!$L$6-0.000000001,E4151&lt;=01_因子設定!$M$6+0.000000001,F4151&gt;=01_因子設定!$L$7-0.000000001,F4151&lt;=01_因子設定!$M$7+0.000000001,IF(01_因子設定!$B$20="Box-Behnken",D4151^2+E4151^2+F4151^2&lt;=2+0.000000001,TRUE()))</f>
        <v>1</v>
      </c>
      <c r="W4151" s="55" t="n">
        <f aca="false">IF(V4151,IF(01_因子設定!$B$13="最大化",T4151-01_因子設定!$B$14,IF(01_因子設定!$B$13="最小化",01_因子設定!$B$15-U4151,MIN(T4151-01_因子設定!$B$14,01_因子設定!$B$15-U4151))),-1E+030)</f>
        <v>-1.98388446631359</v>
      </c>
      <c r="X4151" s="55" t="n">
        <f aca="false">IF(V4151,IF(01_因子設定!$B$13="最大化",Q4151,IF(01_因子設定!$B$13="最小化",-Q4151,-ABS(Q4151-01_因子設定!$B$16))),-1E+030)</f>
        <v>47.6066335227273</v>
      </c>
      <c r="Y4151" s="55" t="n">
        <f aca="false">W4151+ROW()*0.000000001</f>
        <v>-1.98388031531359</v>
      </c>
      <c r="Z4151" s="55" t="n">
        <f aca="false">X4151+ROW()*0.000000001</f>
        <v>47.6066376737273</v>
      </c>
    </row>
    <row r="4152" customFormat="false" ht="15" hidden="false" customHeight="false" outlineLevel="0" collapsed="false">
      <c r="A4152" s="0" t="n">
        <v>14</v>
      </c>
      <c r="B4152" s="0" t="n">
        <v>5</v>
      </c>
      <c r="C4152" s="0" t="n">
        <v>16</v>
      </c>
      <c r="D4152" s="0" t="n">
        <f aca="false">-1+A4152*0.125</f>
        <v>0.75</v>
      </c>
      <c r="E4152" s="0" t="n">
        <f aca="false">-1+B4152*0.125</f>
        <v>-0.375</v>
      </c>
      <c r="F4152" s="0" t="n">
        <f aca="false">-1+C4152*0.125</f>
        <v>1</v>
      </c>
      <c r="G4152" s="0" t="n">
        <f aca="false">1</f>
        <v>1</v>
      </c>
      <c r="H4152" s="0" t="n">
        <f aca="false">D4152</f>
        <v>0.75</v>
      </c>
      <c r="I4152" s="0" t="n">
        <f aca="false">E4152</f>
        <v>-0.375</v>
      </c>
      <c r="J4152" s="0" t="n">
        <f aca="false">F4152</f>
        <v>1</v>
      </c>
      <c r="K4152" s="0" t="n">
        <f aca="false">D4152*E4152</f>
        <v>-0.28125</v>
      </c>
      <c r="L4152" s="0" t="n">
        <f aca="false">D4152*F4152</f>
        <v>0.75</v>
      </c>
      <c r="M4152" s="0" t="n">
        <f aca="false">E4152*F4152</f>
        <v>-0.375</v>
      </c>
      <c r="N4152" s="0" t="n">
        <f aca="false">D4152*D4152</f>
        <v>0.5625</v>
      </c>
      <c r="O4152" s="0" t="n">
        <f aca="false">E4152*E4152</f>
        <v>0.140625</v>
      </c>
      <c r="P4152" s="0" t="n">
        <f aca="false">F4152*F4152</f>
        <v>1</v>
      </c>
      <c r="Q4152" s="0" t="n">
        <f aca="false">SUMPRODUCT(G4152:P4152,_XtX!$B$71:$K$71)</f>
        <v>47.4680539772727</v>
      </c>
      <c r="R4152" s="0" t="n">
        <f aca="false">SUMPRODUCT(MMULT(G4152:P4152,_XtX!$B$58:$K$67),G4152:P4152)</f>
        <v>0.503992808948864</v>
      </c>
      <c r="S4152" s="0" t="n">
        <f aca="false">04_回帰ANOVA!$K$19*04_回帰ANOVA!$K$14*SQRT(1+R4152)</f>
        <v>1.14022226176226</v>
      </c>
      <c r="T4152" s="0" t="n">
        <f aca="false">Q4152-S4152</f>
        <v>46.3278317155105</v>
      </c>
      <c r="U4152" s="0" t="n">
        <f aca="false">Q4152+S4152</f>
        <v>48.608276239035</v>
      </c>
      <c r="V4152" s="54" t="b">
        <f aca="false">AND(D4152&gt;=01_因子設定!$L$5-0.000000001,D4152&lt;=01_因子設定!$M$5+0.000000001,E4152&gt;=01_因子設定!$L$6-0.000000001,E4152&lt;=01_因子設定!$M$6+0.000000001,F4152&gt;=01_因子設定!$L$7-0.000000001,F4152&lt;=01_因子設定!$M$7+0.000000001,IF(01_因子設定!$B$20="Box-Behnken",D4152^2+E4152^2+F4152^2&lt;=2+0.000000001,TRUE()))</f>
        <v>1</v>
      </c>
      <c r="W4152" s="55" t="n">
        <f aca="false">IF(V4152,IF(01_因子設定!$B$13="最大化",T4152-01_因子設定!$B$14,IF(01_因子設定!$B$13="最小化",01_因子設定!$B$15-U4152,MIN(T4152-01_因子設定!$B$14,01_因子設定!$B$15-U4152))),-1E+030)</f>
        <v>-2.17216828448952</v>
      </c>
      <c r="X4152" s="55" t="n">
        <f aca="false">IF(V4152,IF(01_因子設定!$B$13="最大化",Q4152,IF(01_因子設定!$B$13="最小化",-Q4152,-ABS(Q4152-01_因子設定!$B$16))),-1E+030)</f>
        <v>47.4680539772727</v>
      </c>
      <c r="Y4152" s="55" t="n">
        <f aca="false">W4152+ROW()*0.000000001</f>
        <v>-2.17216413248952</v>
      </c>
      <c r="Z4152" s="55" t="n">
        <f aca="false">X4152+ROW()*0.000000001</f>
        <v>47.4680581292728</v>
      </c>
    </row>
    <row r="4153" customFormat="false" ht="15" hidden="false" customHeight="false" outlineLevel="0" collapsed="false">
      <c r="A4153" s="0" t="n">
        <v>14</v>
      </c>
      <c r="B4153" s="0" t="n">
        <v>6</v>
      </c>
      <c r="C4153" s="0" t="n">
        <v>0</v>
      </c>
      <c r="D4153" s="0" t="n">
        <f aca="false">-1+A4153*0.125</f>
        <v>0.75</v>
      </c>
      <c r="E4153" s="0" t="n">
        <f aca="false">-1+B4153*0.125</f>
        <v>-0.25</v>
      </c>
      <c r="F4153" s="0" t="n">
        <f aca="false">-1+C4153*0.125</f>
        <v>-1</v>
      </c>
      <c r="G4153" s="0" t="n">
        <f aca="false">1</f>
        <v>1</v>
      </c>
      <c r="H4153" s="0" t="n">
        <f aca="false">D4153</f>
        <v>0.75</v>
      </c>
      <c r="I4153" s="0" t="n">
        <f aca="false">E4153</f>
        <v>-0.25</v>
      </c>
      <c r="J4153" s="0" t="n">
        <f aca="false">F4153</f>
        <v>-1</v>
      </c>
      <c r="K4153" s="0" t="n">
        <f aca="false">D4153*E4153</f>
        <v>-0.1875</v>
      </c>
      <c r="L4153" s="0" t="n">
        <f aca="false">D4153*F4153</f>
        <v>-0.75</v>
      </c>
      <c r="M4153" s="0" t="n">
        <f aca="false">E4153*F4153</f>
        <v>0.25</v>
      </c>
      <c r="N4153" s="0" t="n">
        <f aca="false">D4153*D4153</f>
        <v>0.5625</v>
      </c>
      <c r="O4153" s="0" t="n">
        <f aca="false">E4153*E4153</f>
        <v>0.0625</v>
      </c>
      <c r="P4153" s="0" t="n">
        <f aca="false">F4153*F4153</f>
        <v>1</v>
      </c>
      <c r="Q4153" s="0" t="n">
        <f aca="false">SUMPRODUCT(G4153:P4153,_XtX!$B$71:$K$71)</f>
        <v>45.7462784090909</v>
      </c>
      <c r="R4153" s="0" t="n">
        <f aca="false">SUMPRODUCT(MMULT(G4153:P4153,_XtX!$B$58:$K$67),G4153:P4153)</f>
        <v>0.515545099431818</v>
      </c>
      <c r="S4153" s="0" t="n">
        <f aca="false">04_回帰ANOVA!$K$19*04_回帰ANOVA!$K$14*SQRT(1+R4153)</f>
        <v>1.14459295464101</v>
      </c>
      <c r="T4153" s="0" t="n">
        <f aca="false">Q4153-S4153</f>
        <v>44.6016854544499</v>
      </c>
      <c r="U4153" s="0" t="n">
        <f aca="false">Q4153+S4153</f>
        <v>46.8908713637319</v>
      </c>
      <c r="V4153" s="54" t="b">
        <f aca="false">AND(D4153&gt;=01_因子設定!$L$5-0.000000001,D4153&lt;=01_因子設定!$M$5+0.000000001,E4153&gt;=01_因子設定!$L$6-0.000000001,E4153&lt;=01_因子設定!$M$6+0.000000001,F4153&gt;=01_因子設定!$L$7-0.000000001,F4153&lt;=01_因子設定!$M$7+0.000000001,IF(01_因子設定!$B$20="Box-Behnken",D4153^2+E4153^2+F4153^2&lt;=2+0.000000001,TRUE()))</f>
        <v>1</v>
      </c>
      <c r="W4153" s="55" t="n">
        <f aca="false">IF(V4153,IF(01_因子設定!$B$13="最大化",T4153-01_因子設定!$B$14,IF(01_因子設定!$B$13="最小化",01_因子設定!$B$15-U4153,MIN(T4153-01_因子設定!$B$14,01_因子設定!$B$15-U4153))),-1E+030)</f>
        <v>-3.89831454555009</v>
      </c>
      <c r="X4153" s="55" t="n">
        <f aca="false">IF(V4153,IF(01_因子設定!$B$13="最大化",Q4153,IF(01_因子設定!$B$13="最小化",-Q4153,-ABS(Q4153-01_因子設定!$B$16))),-1E+030)</f>
        <v>45.7462784090909</v>
      </c>
      <c r="Y4153" s="55" t="n">
        <f aca="false">W4153+ROW()*0.000000001</f>
        <v>-3.89831039255009</v>
      </c>
      <c r="Z4153" s="55" t="n">
        <f aca="false">X4153+ROW()*0.000000001</f>
        <v>45.7462825620909</v>
      </c>
    </row>
    <row r="4154" customFormat="false" ht="15" hidden="false" customHeight="false" outlineLevel="0" collapsed="false">
      <c r="A4154" s="0" t="n">
        <v>14</v>
      </c>
      <c r="B4154" s="0" t="n">
        <v>6</v>
      </c>
      <c r="C4154" s="0" t="n">
        <v>1</v>
      </c>
      <c r="D4154" s="0" t="n">
        <f aca="false">-1+A4154*0.125</f>
        <v>0.75</v>
      </c>
      <c r="E4154" s="0" t="n">
        <f aca="false">-1+B4154*0.125</f>
        <v>-0.25</v>
      </c>
      <c r="F4154" s="0" t="n">
        <f aca="false">-1+C4154*0.125</f>
        <v>-0.875</v>
      </c>
      <c r="G4154" s="0" t="n">
        <f aca="false">1</f>
        <v>1</v>
      </c>
      <c r="H4154" s="0" t="n">
        <f aca="false">D4154</f>
        <v>0.75</v>
      </c>
      <c r="I4154" s="0" t="n">
        <f aca="false">E4154</f>
        <v>-0.25</v>
      </c>
      <c r="J4154" s="0" t="n">
        <f aca="false">F4154</f>
        <v>-0.875</v>
      </c>
      <c r="K4154" s="0" t="n">
        <f aca="false">D4154*E4154</f>
        <v>-0.1875</v>
      </c>
      <c r="L4154" s="0" t="n">
        <f aca="false">D4154*F4154</f>
        <v>-0.65625</v>
      </c>
      <c r="M4154" s="0" t="n">
        <f aca="false">E4154*F4154</f>
        <v>0.21875</v>
      </c>
      <c r="N4154" s="0" t="n">
        <f aca="false">D4154*D4154</f>
        <v>0.5625</v>
      </c>
      <c r="O4154" s="0" t="n">
        <f aca="false">E4154*E4154</f>
        <v>0.0625</v>
      </c>
      <c r="P4154" s="0" t="n">
        <f aca="false">F4154*F4154</f>
        <v>0.765625</v>
      </c>
      <c r="Q4154" s="0" t="n">
        <f aca="false">SUMPRODUCT(G4154:P4154,_XtX!$B$71:$K$71)</f>
        <v>46.1665767045455</v>
      </c>
      <c r="R4154" s="0" t="n">
        <f aca="false">SUMPRODUCT(MMULT(G4154:P4154,_XtX!$B$58:$K$67),G4154:P4154)</f>
        <v>0.384574751420455</v>
      </c>
      <c r="S4154" s="0" t="n">
        <f aca="false">04_回帰ANOVA!$K$19*04_回帰ANOVA!$K$14*SQRT(1+R4154)</f>
        <v>1.0940189380139</v>
      </c>
      <c r="T4154" s="0" t="n">
        <f aca="false">Q4154-S4154</f>
        <v>45.0725577665316</v>
      </c>
      <c r="U4154" s="0" t="n">
        <f aca="false">Q4154+S4154</f>
        <v>47.2605956425594</v>
      </c>
      <c r="V4154" s="54" t="b">
        <f aca="false">AND(D4154&gt;=01_因子設定!$L$5-0.000000001,D4154&lt;=01_因子設定!$M$5+0.000000001,E4154&gt;=01_因子設定!$L$6-0.000000001,E4154&lt;=01_因子設定!$M$6+0.000000001,F4154&gt;=01_因子設定!$L$7-0.000000001,F4154&lt;=01_因子設定!$M$7+0.000000001,IF(01_因子設定!$B$20="Box-Behnken",D4154^2+E4154^2+F4154^2&lt;=2+0.000000001,TRUE()))</f>
        <v>1</v>
      </c>
      <c r="W4154" s="55" t="n">
        <f aca="false">IF(V4154,IF(01_因子設定!$B$13="最大化",T4154-01_因子設定!$B$14,IF(01_因子設定!$B$13="最小化",01_因子設定!$B$15-U4154,MIN(T4154-01_因子設定!$B$14,01_因子設定!$B$15-U4154))),-1E+030)</f>
        <v>-3.42744223346843</v>
      </c>
      <c r="X4154" s="55" t="n">
        <f aca="false">IF(V4154,IF(01_因子設定!$B$13="最大化",Q4154,IF(01_因子設定!$B$13="最小化",-Q4154,-ABS(Q4154-01_因子設定!$B$16))),-1E+030)</f>
        <v>46.1665767045455</v>
      </c>
      <c r="Y4154" s="55" t="n">
        <f aca="false">W4154+ROW()*0.000000001</f>
        <v>-3.42743807946843</v>
      </c>
      <c r="Z4154" s="55" t="n">
        <f aca="false">X4154+ROW()*0.000000001</f>
        <v>46.1665808585455</v>
      </c>
    </row>
    <row r="4155" customFormat="false" ht="15" hidden="false" customHeight="false" outlineLevel="0" collapsed="false">
      <c r="A4155" s="0" t="n">
        <v>14</v>
      </c>
      <c r="B4155" s="0" t="n">
        <v>6</v>
      </c>
      <c r="C4155" s="0" t="n">
        <v>2</v>
      </c>
      <c r="D4155" s="0" t="n">
        <f aca="false">-1+A4155*0.125</f>
        <v>0.75</v>
      </c>
      <c r="E4155" s="0" t="n">
        <f aca="false">-1+B4155*0.125</f>
        <v>-0.25</v>
      </c>
      <c r="F4155" s="0" t="n">
        <f aca="false">-1+C4155*0.125</f>
        <v>-0.75</v>
      </c>
      <c r="G4155" s="0" t="n">
        <f aca="false">1</f>
        <v>1</v>
      </c>
      <c r="H4155" s="0" t="n">
        <f aca="false">D4155</f>
        <v>0.75</v>
      </c>
      <c r="I4155" s="0" t="n">
        <f aca="false">E4155</f>
        <v>-0.25</v>
      </c>
      <c r="J4155" s="0" t="n">
        <f aca="false">F4155</f>
        <v>-0.75</v>
      </c>
      <c r="K4155" s="0" t="n">
        <f aca="false">D4155*E4155</f>
        <v>-0.1875</v>
      </c>
      <c r="L4155" s="0" t="n">
        <f aca="false">D4155*F4155</f>
        <v>-0.5625</v>
      </c>
      <c r="M4155" s="0" t="n">
        <f aca="false">E4155*F4155</f>
        <v>0.1875</v>
      </c>
      <c r="N4155" s="0" t="n">
        <f aca="false">D4155*D4155</f>
        <v>0.5625</v>
      </c>
      <c r="O4155" s="0" t="n">
        <f aca="false">E4155*E4155</f>
        <v>0.0625</v>
      </c>
      <c r="P4155" s="0" t="n">
        <f aca="false">F4155*F4155</f>
        <v>0.5625</v>
      </c>
      <c r="Q4155" s="0" t="n">
        <f aca="false">SUMPRODUCT(G4155:P4155,_XtX!$B$71:$K$71)</f>
        <v>46.5500852272727</v>
      </c>
      <c r="R4155" s="0" t="n">
        <f aca="false">SUMPRODUCT(MMULT(G4155:P4155,_XtX!$B$58:$K$67),G4155:P4155)</f>
        <v>0.303382457386364</v>
      </c>
      <c r="S4155" s="0" t="n">
        <f aca="false">04_回帰ANOVA!$K$19*04_回帰ANOVA!$K$14*SQRT(1+R4155)</f>
        <v>1.06145740650883</v>
      </c>
      <c r="T4155" s="0" t="n">
        <f aca="false">Q4155-S4155</f>
        <v>45.4886278207639</v>
      </c>
      <c r="U4155" s="0" t="n">
        <f aca="false">Q4155+S4155</f>
        <v>47.6115426337816</v>
      </c>
      <c r="V4155" s="54" t="b">
        <f aca="false">AND(D4155&gt;=01_因子設定!$L$5-0.000000001,D4155&lt;=01_因子設定!$M$5+0.000000001,E4155&gt;=01_因子設定!$L$6-0.000000001,E4155&lt;=01_因子設定!$M$6+0.000000001,F4155&gt;=01_因子設定!$L$7-0.000000001,F4155&lt;=01_因子設定!$M$7+0.000000001,IF(01_因子設定!$B$20="Box-Behnken",D4155^2+E4155^2+F4155^2&lt;=2+0.000000001,TRUE()))</f>
        <v>1</v>
      </c>
      <c r="W4155" s="55" t="n">
        <f aca="false">IF(V4155,IF(01_因子設定!$B$13="最大化",T4155-01_因子設定!$B$14,IF(01_因子設定!$B$13="最小化",01_因子設定!$B$15-U4155,MIN(T4155-01_因子設定!$B$14,01_因子設定!$B$15-U4155))),-1E+030)</f>
        <v>-3.0113721792361</v>
      </c>
      <c r="X4155" s="55" t="n">
        <f aca="false">IF(V4155,IF(01_因子設定!$B$13="最大化",Q4155,IF(01_因子設定!$B$13="最小化",-Q4155,-ABS(Q4155-01_因子設定!$B$16))),-1E+030)</f>
        <v>46.5500852272727</v>
      </c>
      <c r="Y4155" s="55" t="n">
        <f aca="false">W4155+ROW()*0.000000001</f>
        <v>-3.0113680242361</v>
      </c>
      <c r="Z4155" s="55" t="n">
        <f aca="false">X4155+ROW()*0.000000001</f>
        <v>46.5500893822727</v>
      </c>
    </row>
    <row r="4156" customFormat="false" ht="15" hidden="false" customHeight="false" outlineLevel="0" collapsed="false">
      <c r="A4156" s="0" t="n">
        <v>14</v>
      </c>
      <c r="B4156" s="0" t="n">
        <v>6</v>
      </c>
      <c r="C4156" s="0" t="n">
        <v>3</v>
      </c>
      <c r="D4156" s="0" t="n">
        <f aca="false">-1+A4156*0.125</f>
        <v>0.75</v>
      </c>
      <c r="E4156" s="0" t="n">
        <f aca="false">-1+B4156*0.125</f>
        <v>-0.25</v>
      </c>
      <c r="F4156" s="0" t="n">
        <f aca="false">-1+C4156*0.125</f>
        <v>-0.625</v>
      </c>
      <c r="G4156" s="0" t="n">
        <f aca="false">1</f>
        <v>1</v>
      </c>
      <c r="H4156" s="0" t="n">
        <f aca="false">D4156</f>
        <v>0.75</v>
      </c>
      <c r="I4156" s="0" t="n">
        <f aca="false">E4156</f>
        <v>-0.25</v>
      </c>
      <c r="J4156" s="0" t="n">
        <f aca="false">F4156</f>
        <v>-0.625</v>
      </c>
      <c r="K4156" s="0" t="n">
        <f aca="false">D4156*E4156</f>
        <v>-0.1875</v>
      </c>
      <c r="L4156" s="0" t="n">
        <f aca="false">D4156*F4156</f>
        <v>-0.46875</v>
      </c>
      <c r="M4156" s="0" t="n">
        <f aca="false">E4156*F4156</f>
        <v>0.15625</v>
      </c>
      <c r="N4156" s="0" t="n">
        <f aca="false">D4156*D4156</f>
        <v>0.5625</v>
      </c>
      <c r="O4156" s="0" t="n">
        <f aca="false">E4156*E4156</f>
        <v>0.0625</v>
      </c>
      <c r="P4156" s="0" t="n">
        <f aca="false">F4156*F4156</f>
        <v>0.390625</v>
      </c>
      <c r="Q4156" s="0" t="n">
        <f aca="false">SUMPRODUCT(G4156:P4156,_XtX!$B$71:$K$71)</f>
        <v>46.8968039772727</v>
      </c>
      <c r="R4156" s="0" t="n">
        <f aca="false">SUMPRODUCT(MMULT(G4156:P4156,_XtX!$B$58:$K$67),G4156:P4156)</f>
        <v>0.258118785511364</v>
      </c>
      <c r="S4156" s="0" t="n">
        <f aca="false">04_回帰ANOVA!$K$19*04_回帰ANOVA!$K$14*SQRT(1+R4156)</f>
        <v>1.04286348094876</v>
      </c>
      <c r="T4156" s="0" t="n">
        <f aca="false">Q4156-S4156</f>
        <v>45.853940496324</v>
      </c>
      <c r="U4156" s="0" t="n">
        <f aca="false">Q4156+S4156</f>
        <v>47.9396674582215</v>
      </c>
      <c r="V4156" s="54" t="b">
        <f aca="false">AND(D4156&gt;=01_因子設定!$L$5-0.000000001,D4156&lt;=01_因子設定!$M$5+0.000000001,E4156&gt;=01_因子設定!$L$6-0.000000001,E4156&lt;=01_因子設定!$M$6+0.000000001,F4156&gt;=01_因子設定!$L$7-0.000000001,F4156&lt;=01_因子設定!$M$7+0.000000001,IF(01_因子設定!$B$20="Box-Behnken",D4156^2+E4156^2+F4156^2&lt;=2+0.000000001,TRUE()))</f>
        <v>1</v>
      </c>
      <c r="W4156" s="55" t="n">
        <f aca="false">IF(V4156,IF(01_因子設定!$B$13="最大化",T4156-01_因子設定!$B$14,IF(01_因子設定!$B$13="最小化",01_因子設定!$B$15-U4156,MIN(T4156-01_因子設定!$B$14,01_因子設定!$B$15-U4156))),-1E+030)</f>
        <v>-2.64605950367603</v>
      </c>
      <c r="X4156" s="55" t="n">
        <f aca="false">IF(V4156,IF(01_因子設定!$B$13="最大化",Q4156,IF(01_因子設定!$B$13="最小化",-Q4156,-ABS(Q4156-01_因子設定!$B$16))),-1E+030)</f>
        <v>46.8968039772727</v>
      </c>
      <c r="Y4156" s="55" t="n">
        <f aca="false">W4156+ROW()*0.000000001</f>
        <v>-2.64605534767603</v>
      </c>
      <c r="Z4156" s="55" t="n">
        <f aca="false">X4156+ROW()*0.000000001</f>
        <v>46.8968081332727</v>
      </c>
    </row>
    <row r="4157" customFormat="false" ht="15" hidden="false" customHeight="false" outlineLevel="0" collapsed="false">
      <c r="A4157" s="0" t="n">
        <v>14</v>
      </c>
      <c r="B4157" s="0" t="n">
        <v>6</v>
      </c>
      <c r="C4157" s="0" t="n">
        <v>4</v>
      </c>
      <c r="D4157" s="0" t="n">
        <f aca="false">-1+A4157*0.125</f>
        <v>0.75</v>
      </c>
      <c r="E4157" s="0" t="n">
        <f aca="false">-1+B4157*0.125</f>
        <v>-0.25</v>
      </c>
      <c r="F4157" s="0" t="n">
        <f aca="false">-1+C4157*0.125</f>
        <v>-0.5</v>
      </c>
      <c r="G4157" s="0" t="n">
        <f aca="false">1</f>
        <v>1</v>
      </c>
      <c r="H4157" s="0" t="n">
        <f aca="false">D4157</f>
        <v>0.75</v>
      </c>
      <c r="I4157" s="0" t="n">
        <f aca="false">E4157</f>
        <v>-0.25</v>
      </c>
      <c r="J4157" s="0" t="n">
        <f aca="false">F4157</f>
        <v>-0.5</v>
      </c>
      <c r="K4157" s="0" t="n">
        <f aca="false">D4157*E4157</f>
        <v>-0.1875</v>
      </c>
      <c r="L4157" s="0" t="n">
        <f aca="false">D4157*F4157</f>
        <v>-0.375</v>
      </c>
      <c r="M4157" s="0" t="n">
        <f aca="false">E4157*F4157</f>
        <v>0.125</v>
      </c>
      <c r="N4157" s="0" t="n">
        <f aca="false">D4157*D4157</f>
        <v>0.5625</v>
      </c>
      <c r="O4157" s="0" t="n">
        <f aca="false">E4157*E4157</f>
        <v>0.0625</v>
      </c>
      <c r="P4157" s="0" t="n">
        <f aca="false">F4157*F4157</f>
        <v>0.25</v>
      </c>
      <c r="Q4157" s="0" t="n">
        <f aca="false">SUMPRODUCT(G4157:P4157,_XtX!$B$71:$K$71)</f>
        <v>47.2067329545455</v>
      </c>
      <c r="R4157" s="0" t="n">
        <f aca="false">SUMPRODUCT(MMULT(G4157:P4157,_XtX!$B$58:$K$67),G4157:P4157)</f>
        <v>0.237064985795455</v>
      </c>
      <c r="S4157" s="0" t="n">
        <f aca="false">04_回帰ANOVA!$K$19*04_回帰ANOVA!$K$14*SQRT(1+R4157)</f>
        <v>1.03410084594745</v>
      </c>
      <c r="T4157" s="0" t="n">
        <f aca="false">Q4157-S4157</f>
        <v>46.172632108598</v>
      </c>
      <c r="U4157" s="0" t="n">
        <f aca="false">Q4157+S4157</f>
        <v>48.2408338004929</v>
      </c>
      <c r="V4157" s="54" t="b">
        <f aca="false">AND(D4157&gt;=01_因子設定!$L$5-0.000000001,D4157&lt;=01_因子設定!$M$5+0.000000001,E4157&gt;=01_因子設定!$L$6-0.000000001,E4157&lt;=01_因子設定!$M$6+0.000000001,F4157&gt;=01_因子設定!$L$7-0.000000001,F4157&lt;=01_因子設定!$M$7+0.000000001,IF(01_因子設定!$B$20="Box-Behnken",D4157^2+E4157^2+F4157^2&lt;=2+0.000000001,TRUE()))</f>
        <v>1</v>
      </c>
      <c r="W4157" s="55" t="n">
        <f aca="false">IF(V4157,IF(01_因子設定!$B$13="最大化",T4157-01_因子設定!$B$14,IF(01_因子設定!$B$13="最小化",01_因子設定!$B$15-U4157,MIN(T4157-01_因子設定!$B$14,01_因子設定!$B$15-U4157))),-1E+030)</f>
        <v>-2.32736789140198</v>
      </c>
      <c r="X4157" s="55" t="n">
        <f aca="false">IF(V4157,IF(01_因子設定!$B$13="最大化",Q4157,IF(01_因子設定!$B$13="最小化",-Q4157,-ABS(Q4157-01_因子設定!$B$16))),-1E+030)</f>
        <v>47.2067329545455</v>
      </c>
      <c r="Y4157" s="55" t="n">
        <f aca="false">W4157+ROW()*0.000000001</f>
        <v>-2.32736373440198</v>
      </c>
      <c r="Z4157" s="55" t="n">
        <f aca="false">X4157+ROW()*0.000000001</f>
        <v>47.2067371115455</v>
      </c>
    </row>
    <row r="4158" customFormat="false" ht="15" hidden="false" customHeight="false" outlineLevel="0" collapsed="false">
      <c r="A4158" s="0" t="n">
        <v>14</v>
      </c>
      <c r="B4158" s="0" t="n">
        <v>6</v>
      </c>
      <c r="C4158" s="0" t="n">
        <v>5</v>
      </c>
      <c r="D4158" s="0" t="n">
        <f aca="false">-1+A4158*0.125</f>
        <v>0.75</v>
      </c>
      <c r="E4158" s="0" t="n">
        <f aca="false">-1+B4158*0.125</f>
        <v>-0.25</v>
      </c>
      <c r="F4158" s="0" t="n">
        <f aca="false">-1+C4158*0.125</f>
        <v>-0.375</v>
      </c>
      <c r="G4158" s="0" t="n">
        <f aca="false">1</f>
        <v>1</v>
      </c>
      <c r="H4158" s="0" t="n">
        <f aca="false">D4158</f>
        <v>0.75</v>
      </c>
      <c r="I4158" s="0" t="n">
        <f aca="false">E4158</f>
        <v>-0.25</v>
      </c>
      <c r="J4158" s="0" t="n">
        <f aca="false">F4158</f>
        <v>-0.375</v>
      </c>
      <c r="K4158" s="0" t="n">
        <f aca="false">D4158*E4158</f>
        <v>-0.1875</v>
      </c>
      <c r="L4158" s="0" t="n">
        <f aca="false">D4158*F4158</f>
        <v>-0.28125</v>
      </c>
      <c r="M4158" s="0" t="n">
        <f aca="false">E4158*F4158</f>
        <v>0.09375</v>
      </c>
      <c r="N4158" s="0" t="n">
        <f aca="false">D4158*D4158</f>
        <v>0.5625</v>
      </c>
      <c r="O4158" s="0" t="n">
        <f aca="false">E4158*E4158</f>
        <v>0.0625</v>
      </c>
      <c r="P4158" s="0" t="n">
        <f aca="false">F4158*F4158</f>
        <v>0.140625</v>
      </c>
      <c r="Q4158" s="0" t="n">
        <f aca="false">SUMPRODUCT(G4158:P4158,_XtX!$B$71:$K$71)</f>
        <v>47.4798721590909</v>
      </c>
      <c r="R4158" s="0" t="n">
        <f aca="false">SUMPRODUCT(MMULT(G4158:P4158,_XtX!$B$58:$K$67),G4158:P4158)</f>
        <v>0.230632990056818</v>
      </c>
      <c r="S4158" s="0" t="n">
        <f aca="false">04_回帰ANOVA!$K$19*04_回帰ANOVA!$K$14*SQRT(1+R4158)</f>
        <v>1.03140899038819</v>
      </c>
      <c r="T4158" s="0" t="n">
        <f aca="false">Q4158-S4158</f>
        <v>46.4484631687027</v>
      </c>
      <c r="U4158" s="0" t="n">
        <f aca="false">Q4158+S4158</f>
        <v>48.5112811494791</v>
      </c>
      <c r="V4158" s="54" t="b">
        <f aca="false">AND(D4158&gt;=01_因子設定!$L$5-0.000000001,D4158&lt;=01_因子設定!$M$5+0.000000001,E4158&gt;=01_因子設定!$L$6-0.000000001,E4158&lt;=01_因子設定!$M$6+0.000000001,F4158&gt;=01_因子設定!$L$7-0.000000001,F4158&lt;=01_因子設定!$M$7+0.000000001,IF(01_因子設定!$B$20="Box-Behnken",D4158^2+E4158^2+F4158^2&lt;=2+0.000000001,TRUE()))</f>
        <v>1</v>
      </c>
      <c r="W4158" s="55" t="n">
        <f aca="false">IF(V4158,IF(01_因子設定!$B$13="最大化",T4158-01_因子設定!$B$14,IF(01_因子設定!$B$13="最小化",01_因子設定!$B$15-U4158,MIN(T4158-01_因子設定!$B$14,01_因子設定!$B$15-U4158))),-1E+030)</f>
        <v>-2.05153683129728</v>
      </c>
      <c r="X4158" s="55" t="n">
        <f aca="false">IF(V4158,IF(01_因子設定!$B$13="最大化",Q4158,IF(01_因子設定!$B$13="最小化",-Q4158,-ABS(Q4158-01_因子設定!$B$16))),-1E+030)</f>
        <v>47.4798721590909</v>
      </c>
      <c r="Y4158" s="55" t="n">
        <f aca="false">W4158+ROW()*0.000000001</f>
        <v>-2.05153267329728</v>
      </c>
      <c r="Z4158" s="55" t="n">
        <f aca="false">X4158+ROW()*0.000000001</f>
        <v>47.4798763170909</v>
      </c>
    </row>
    <row r="4159" customFormat="false" ht="15" hidden="false" customHeight="false" outlineLevel="0" collapsed="false">
      <c r="A4159" s="0" t="n">
        <v>14</v>
      </c>
      <c r="B4159" s="0" t="n">
        <v>6</v>
      </c>
      <c r="C4159" s="0" t="n">
        <v>6</v>
      </c>
      <c r="D4159" s="0" t="n">
        <f aca="false">-1+A4159*0.125</f>
        <v>0.75</v>
      </c>
      <c r="E4159" s="0" t="n">
        <f aca="false">-1+B4159*0.125</f>
        <v>-0.25</v>
      </c>
      <c r="F4159" s="0" t="n">
        <f aca="false">-1+C4159*0.125</f>
        <v>-0.25</v>
      </c>
      <c r="G4159" s="0" t="n">
        <f aca="false">1</f>
        <v>1</v>
      </c>
      <c r="H4159" s="0" t="n">
        <f aca="false">D4159</f>
        <v>0.75</v>
      </c>
      <c r="I4159" s="0" t="n">
        <f aca="false">E4159</f>
        <v>-0.25</v>
      </c>
      <c r="J4159" s="0" t="n">
        <f aca="false">F4159</f>
        <v>-0.25</v>
      </c>
      <c r="K4159" s="0" t="n">
        <f aca="false">D4159*E4159</f>
        <v>-0.1875</v>
      </c>
      <c r="L4159" s="0" t="n">
        <f aca="false">D4159*F4159</f>
        <v>-0.1875</v>
      </c>
      <c r="M4159" s="0" t="n">
        <f aca="false">E4159*F4159</f>
        <v>0.0625</v>
      </c>
      <c r="N4159" s="0" t="n">
        <f aca="false">D4159*D4159</f>
        <v>0.5625</v>
      </c>
      <c r="O4159" s="0" t="n">
        <f aca="false">E4159*E4159</f>
        <v>0.0625</v>
      </c>
      <c r="P4159" s="0" t="n">
        <f aca="false">F4159*F4159</f>
        <v>0.0625</v>
      </c>
      <c r="Q4159" s="0" t="n">
        <f aca="false">SUMPRODUCT(G4159:P4159,_XtX!$B$71:$K$71)</f>
        <v>47.7162215909091</v>
      </c>
      <c r="R4159" s="0" t="n">
        <f aca="false">SUMPRODUCT(MMULT(G4159:P4159,_XtX!$B$58:$K$67),G4159:P4159)</f>
        <v>0.231365411931818</v>
      </c>
      <c r="S4159" s="0" t="n">
        <f aca="false">04_回帰ANOVA!$K$19*04_回帰ANOVA!$K$14*SQRT(1+R4159)</f>
        <v>1.03171587072803</v>
      </c>
      <c r="T4159" s="0" t="n">
        <f aca="false">Q4159-S4159</f>
        <v>46.6845057201811</v>
      </c>
      <c r="U4159" s="0" t="n">
        <f aca="false">Q4159+S4159</f>
        <v>48.7479374616371</v>
      </c>
      <c r="V4159" s="54" t="b">
        <f aca="false">AND(D4159&gt;=01_因子設定!$L$5-0.000000001,D4159&lt;=01_因子設定!$M$5+0.000000001,E4159&gt;=01_因子設定!$L$6-0.000000001,E4159&lt;=01_因子設定!$M$6+0.000000001,F4159&gt;=01_因子設定!$L$7-0.000000001,F4159&lt;=01_因子設定!$M$7+0.000000001,IF(01_因子設定!$B$20="Box-Behnken",D4159^2+E4159^2+F4159^2&lt;=2+0.000000001,TRUE()))</f>
        <v>1</v>
      </c>
      <c r="W4159" s="55" t="n">
        <f aca="false">IF(V4159,IF(01_因子設定!$B$13="最大化",T4159-01_因子設定!$B$14,IF(01_因子設定!$B$13="最小化",01_因子設定!$B$15-U4159,MIN(T4159-01_因子設定!$B$14,01_因子設定!$B$15-U4159))),-1E+030)</f>
        <v>-1.81549427981894</v>
      </c>
      <c r="X4159" s="55" t="n">
        <f aca="false">IF(V4159,IF(01_因子設定!$B$13="最大化",Q4159,IF(01_因子設定!$B$13="最小化",-Q4159,-ABS(Q4159-01_因子設定!$B$16))),-1E+030)</f>
        <v>47.7162215909091</v>
      </c>
      <c r="Y4159" s="55" t="n">
        <f aca="false">W4159+ROW()*0.000000001</f>
        <v>-1.81549012081894</v>
      </c>
      <c r="Z4159" s="55" t="n">
        <f aca="false">X4159+ROW()*0.000000001</f>
        <v>47.7162257499091</v>
      </c>
    </row>
    <row r="4160" customFormat="false" ht="15" hidden="false" customHeight="false" outlineLevel="0" collapsed="false">
      <c r="A4160" s="0" t="n">
        <v>14</v>
      </c>
      <c r="B4160" s="0" t="n">
        <v>6</v>
      </c>
      <c r="C4160" s="0" t="n">
        <v>7</v>
      </c>
      <c r="D4160" s="0" t="n">
        <f aca="false">-1+A4160*0.125</f>
        <v>0.75</v>
      </c>
      <c r="E4160" s="0" t="n">
        <f aca="false">-1+B4160*0.125</f>
        <v>-0.25</v>
      </c>
      <c r="F4160" s="0" t="n">
        <f aca="false">-1+C4160*0.125</f>
        <v>-0.125</v>
      </c>
      <c r="G4160" s="0" t="n">
        <f aca="false">1</f>
        <v>1</v>
      </c>
      <c r="H4160" s="0" t="n">
        <f aca="false">D4160</f>
        <v>0.75</v>
      </c>
      <c r="I4160" s="0" t="n">
        <f aca="false">E4160</f>
        <v>-0.25</v>
      </c>
      <c r="J4160" s="0" t="n">
        <f aca="false">F4160</f>
        <v>-0.125</v>
      </c>
      <c r="K4160" s="0" t="n">
        <f aca="false">D4160*E4160</f>
        <v>-0.1875</v>
      </c>
      <c r="L4160" s="0" t="n">
        <f aca="false">D4160*F4160</f>
        <v>-0.09375</v>
      </c>
      <c r="M4160" s="0" t="n">
        <f aca="false">E4160*F4160</f>
        <v>0.03125</v>
      </c>
      <c r="N4160" s="0" t="n">
        <f aca="false">D4160*D4160</f>
        <v>0.5625</v>
      </c>
      <c r="O4160" s="0" t="n">
        <f aca="false">E4160*E4160</f>
        <v>0.0625</v>
      </c>
      <c r="P4160" s="0" t="n">
        <f aca="false">F4160*F4160</f>
        <v>0.015625</v>
      </c>
      <c r="Q4160" s="0" t="n">
        <f aca="false">SUMPRODUCT(G4160:P4160,_XtX!$B$71:$K$71)</f>
        <v>47.91578125</v>
      </c>
      <c r="R4160" s="0" t="n">
        <f aca="false">SUMPRODUCT(MMULT(G4160:P4160,_XtX!$B$58:$K$67),G4160:P4160)</f>
        <v>0.233935546875</v>
      </c>
      <c r="S4160" s="0" t="n">
        <f aca="false">04_回帰ANOVA!$K$19*04_回帰ANOVA!$K$14*SQRT(1+R4160)</f>
        <v>1.03279202033444</v>
      </c>
      <c r="T4160" s="0" t="n">
        <f aca="false">Q4160-S4160</f>
        <v>46.8829892296656</v>
      </c>
      <c r="U4160" s="0" t="n">
        <f aca="false">Q4160+S4160</f>
        <v>48.9485732703344</v>
      </c>
      <c r="V4160" s="54" t="b">
        <f aca="false">AND(D4160&gt;=01_因子設定!$L$5-0.000000001,D4160&lt;=01_因子設定!$M$5+0.000000001,E4160&gt;=01_因子設定!$L$6-0.000000001,E4160&lt;=01_因子設定!$M$6+0.000000001,F4160&gt;=01_因子設定!$L$7-0.000000001,F4160&lt;=01_因子設定!$M$7+0.000000001,IF(01_因子設定!$B$20="Box-Behnken",D4160^2+E4160^2+F4160^2&lt;=2+0.000000001,TRUE()))</f>
        <v>1</v>
      </c>
      <c r="W4160" s="55" t="n">
        <f aca="false">IF(V4160,IF(01_因子設定!$B$13="最大化",T4160-01_因子設定!$B$14,IF(01_因子設定!$B$13="最小化",01_因子設定!$B$15-U4160,MIN(T4160-01_因子設定!$B$14,01_因子設定!$B$15-U4160))),-1E+030)</f>
        <v>-1.61701077033444</v>
      </c>
      <c r="X4160" s="55" t="n">
        <f aca="false">IF(V4160,IF(01_因子設定!$B$13="最大化",Q4160,IF(01_因子設定!$B$13="最小化",-Q4160,-ABS(Q4160-01_因子設定!$B$16))),-1E+030)</f>
        <v>47.91578125</v>
      </c>
      <c r="Y4160" s="55" t="n">
        <f aca="false">W4160+ROW()*0.000000001</f>
        <v>-1.61700661033444</v>
      </c>
      <c r="Z4160" s="55" t="n">
        <f aca="false">X4160+ROW()*0.000000001</f>
        <v>47.91578541</v>
      </c>
    </row>
    <row r="4161" customFormat="false" ht="15" hidden="false" customHeight="false" outlineLevel="0" collapsed="false">
      <c r="A4161" s="0" t="n">
        <v>14</v>
      </c>
      <c r="B4161" s="0" t="n">
        <v>6</v>
      </c>
      <c r="C4161" s="0" t="n">
        <v>8</v>
      </c>
      <c r="D4161" s="0" t="n">
        <f aca="false">-1+A4161*0.125</f>
        <v>0.75</v>
      </c>
      <c r="E4161" s="0" t="n">
        <f aca="false">-1+B4161*0.125</f>
        <v>-0.25</v>
      </c>
      <c r="F4161" s="0" t="n">
        <f aca="false">-1+C4161*0.125</f>
        <v>0</v>
      </c>
      <c r="G4161" s="0" t="n">
        <f aca="false">1</f>
        <v>1</v>
      </c>
      <c r="H4161" s="0" t="n">
        <f aca="false">D4161</f>
        <v>0.75</v>
      </c>
      <c r="I4161" s="0" t="n">
        <f aca="false">E4161</f>
        <v>-0.25</v>
      </c>
      <c r="J4161" s="0" t="n">
        <f aca="false">F4161</f>
        <v>0</v>
      </c>
      <c r="K4161" s="0" t="n">
        <f aca="false">D4161*E4161</f>
        <v>-0.1875</v>
      </c>
      <c r="L4161" s="0" t="n">
        <f aca="false">D4161*F4161</f>
        <v>0</v>
      </c>
      <c r="M4161" s="0" t="n">
        <f aca="false">E4161*F4161</f>
        <v>-0</v>
      </c>
      <c r="N4161" s="0" t="n">
        <f aca="false">D4161*D4161</f>
        <v>0.5625</v>
      </c>
      <c r="O4161" s="0" t="n">
        <f aca="false">E4161*E4161</f>
        <v>0.0625</v>
      </c>
      <c r="P4161" s="0" t="n">
        <f aca="false">F4161*F4161</f>
        <v>0</v>
      </c>
      <c r="Q4161" s="0" t="n">
        <f aca="false">SUMPRODUCT(G4161:P4161,_XtX!$B$71:$K$71)</f>
        <v>48.0785511363636</v>
      </c>
      <c r="R4161" s="0" t="n">
        <f aca="false">SUMPRODUCT(MMULT(G4161:P4161,_XtX!$B$58:$K$67),G4161:P4161)</f>
        <v>0.235147372159091</v>
      </c>
      <c r="S4161" s="0" t="n">
        <f aca="false">04_回帰ANOVA!$K$19*04_回帰ANOVA!$K$14*SQRT(1+R4161)</f>
        <v>1.03329903885461</v>
      </c>
      <c r="T4161" s="0" t="n">
        <f aca="false">Q4161-S4161</f>
        <v>47.045252097509</v>
      </c>
      <c r="U4161" s="0" t="n">
        <f aca="false">Q4161+S4161</f>
        <v>49.1118501752182</v>
      </c>
      <c r="V4161" s="54" t="b">
        <f aca="false">AND(D4161&gt;=01_因子設定!$L$5-0.000000001,D4161&lt;=01_因子設定!$M$5+0.000000001,E4161&gt;=01_因子設定!$L$6-0.000000001,E4161&lt;=01_因子設定!$M$6+0.000000001,F4161&gt;=01_因子設定!$L$7-0.000000001,F4161&lt;=01_因子設定!$M$7+0.000000001,IF(01_因子設定!$B$20="Box-Behnken",D4161^2+E4161^2+F4161^2&lt;=2+0.000000001,TRUE()))</f>
        <v>1</v>
      </c>
      <c r="W4161" s="55" t="n">
        <f aca="false">IF(V4161,IF(01_因子設定!$B$13="最大化",T4161-01_因子設定!$B$14,IF(01_因子設定!$B$13="最小化",01_因子設定!$B$15-U4161,MIN(T4161-01_因子設定!$B$14,01_因子設定!$B$15-U4161))),-1E+030)</f>
        <v>-1.45474790249097</v>
      </c>
      <c r="X4161" s="55" t="n">
        <f aca="false">IF(V4161,IF(01_因子設定!$B$13="最大化",Q4161,IF(01_因子設定!$B$13="最小化",-Q4161,-ABS(Q4161-01_因子設定!$B$16))),-1E+030)</f>
        <v>48.0785511363636</v>
      </c>
      <c r="Y4161" s="55" t="n">
        <f aca="false">W4161+ROW()*0.000000001</f>
        <v>-1.45474374149097</v>
      </c>
      <c r="Z4161" s="55" t="n">
        <f aca="false">X4161+ROW()*0.000000001</f>
        <v>48.0785552973636</v>
      </c>
    </row>
    <row r="4162" customFormat="false" ht="15" hidden="false" customHeight="false" outlineLevel="0" collapsed="false">
      <c r="A4162" s="0" t="n">
        <v>14</v>
      </c>
      <c r="B4162" s="0" t="n">
        <v>6</v>
      </c>
      <c r="C4162" s="0" t="n">
        <v>9</v>
      </c>
      <c r="D4162" s="0" t="n">
        <f aca="false">-1+A4162*0.125</f>
        <v>0.75</v>
      </c>
      <c r="E4162" s="0" t="n">
        <f aca="false">-1+B4162*0.125</f>
        <v>-0.25</v>
      </c>
      <c r="F4162" s="0" t="n">
        <f aca="false">-1+C4162*0.125</f>
        <v>0.125</v>
      </c>
      <c r="G4162" s="0" t="n">
        <f aca="false">1</f>
        <v>1</v>
      </c>
      <c r="H4162" s="0" t="n">
        <f aca="false">D4162</f>
        <v>0.75</v>
      </c>
      <c r="I4162" s="0" t="n">
        <f aca="false">E4162</f>
        <v>-0.25</v>
      </c>
      <c r="J4162" s="0" t="n">
        <f aca="false">F4162</f>
        <v>0.125</v>
      </c>
      <c r="K4162" s="0" t="n">
        <f aca="false">D4162*E4162</f>
        <v>-0.1875</v>
      </c>
      <c r="L4162" s="0" t="n">
        <f aca="false">D4162*F4162</f>
        <v>0.09375</v>
      </c>
      <c r="M4162" s="0" t="n">
        <f aca="false">E4162*F4162</f>
        <v>-0.03125</v>
      </c>
      <c r="N4162" s="0" t="n">
        <f aca="false">D4162*D4162</f>
        <v>0.5625</v>
      </c>
      <c r="O4162" s="0" t="n">
        <f aca="false">E4162*E4162</f>
        <v>0.0625</v>
      </c>
      <c r="P4162" s="0" t="n">
        <f aca="false">F4162*F4162</f>
        <v>0.015625</v>
      </c>
      <c r="Q4162" s="0" t="n">
        <f aca="false">SUMPRODUCT(G4162:P4162,_XtX!$B$71:$K$71)</f>
        <v>48.20453125</v>
      </c>
      <c r="R4162" s="0" t="n">
        <f aca="false">SUMPRODUCT(MMULT(G4162:P4162,_XtX!$B$58:$K$67),G4162:P4162)</f>
        <v>0.233935546875</v>
      </c>
      <c r="S4162" s="0" t="n">
        <f aca="false">04_回帰ANOVA!$K$19*04_回帰ANOVA!$K$14*SQRT(1+R4162)</f>
        <v>1.03279202033444</v>
      </c>
      <c r="T4162" s="0" t="n">
        <f aca="false">Q4162-S4162</f>
        <v>47.1717392296656</v>
      </c>
      <c r="U4162" s="0" t="n">
        <f aca="false">Q4162+S4162</f>
        <v>49.2373232703344</v>
      </c>
      <c r="V4162" s="54" t="b">
        <f aca="false">AND(D4162&gt;=01_因子設定!$L$5-0.000000001,D4162&lt;=01_因子設定!$M$5+0.000000001,E4162&gt;=01_因子設定!$L$6-0.000000001,E4162&lt;=01_因子設定!$M$6+0.000000001,F4162&gt;=01_因子設定!$L$7-0.000000001,F4162&lt;=01_因子設定!$M$7+0.000000001,IF(01_因子設定!$B$20="Box-Behnken",D4162^2+E4162^2+F4162^2&lt;=2+0.000000001,TRUE()))</f>
        <v>1</v>
      </c>
      <c r="W4162" s="55" t="n">
        <f aca="false">IF(V4162,IF(01_因子設定!$B$13="最大化",T4162-01_因子設定!$B$14,IF(01_因子設定!$B$13="最小化",01_因子設定!$B$15-U4162,MIN(T4162-01_因子設定!$B$14,01_因子設定!$B$15-U4162))),-1E+030)</f>
        <v>-1.32826077033444</v>
      </c>
      <c r="X4162" s="55" t="n">
        <f aca="false">IF(V4162,IF(01_因子設定!$B$13="最大化",Q4162,IF(01_因子設定!$B$13="最小化",-Q4162,-ABS(Q4162-01_因子設定!$B$16))),-1E+030)</f>
        <v>48.20453125</v>
      </c>
      <c r="Y4162" s="55" t="n">
        <f aca="false">W4162+ROW()*0.000000001</f>
        <v>-1.32825660833444</v>
      </c>
      <c r="Z4162" s="55" t="n">
        <f aca="false">X4162+ROW()*0.000000001</f>
        <v>48.204535412</v>
      </c>
    </row>
    <row r="4163" customFormat="false" ht="15" hidden="false" customHeight="false" outlineLevel="0" collapsed="false">
      <c r="A4163" s="0" t="n">
        <v>14</v>
      </c>
      <c r="B4163" s="0" t="n">
        <v>6</v>
      </c>
      <c r="C4163" s="0" t="n">
        <v>10</v>
      </c>
      <c r="D4163" s="0" t="n">
        <f aca="false">-1+A4163*0.125</f>
        <v>0.75</v>
      </c>
      <c r="E4163" s="0" t="n">
        <f aca="false">-1+B4163*0.125</f>
        <v>-0.25</v>
      </c>
      <c r="F4163" s="0" t="n">
        <f aca="false">-1+C4163*0.125</f>
        <v>0.25</v>
      </c>
      <c r="G4163" s="0" t="n">
        <f aca="false">1</f>
        <v>1</v>
      </c>
      <c r="H4163" s="0" t="n">
        <f aca="false">D4163</f>
        <v>0.75</v>
      </c>
      <c r="I4163" s="0" t="n">
        <f aca="false">E4163</f>
        <v>-0.25</v>
      </c>
      <c r="J4163" s="0" t="n">
        <f aca="false">F4163</f>
        <v>0.25</v>
      </c>
      <c r="K4163" s="0" t="n">
        <f aca="false">D4163*E4163</f>
        <v>-0.1875</v>
      </c>
      <c r="L4163" s="0" t="n">
        <f aca="false">D4163*F4163</f>
        <v>0.1875</v>
      </c>
      <c r="M4163" s="0" t="n">
        <f aca="false">E4163*F4163</f>
        <v>-0.0625</v>
      </c>
      <c r="N4163" s="0" t="n">
        <f aca="false">D4163*D4163</f>
        <v>0.5625</v>
      </c>
      <c r="O4163" s="0" t="n">
        <f aca="false">E4163*E4163</f>
        <v>0.0625</v>
      </c>
      <c r="P4163" s="0" t="n">
        <f aca="false">F4163*F4163</f>
        <v>0.0625</v>
      </c>
      <c r="Q4163" s="0" t="n">
        <f aca="false">SUMPRODUCT(G4163:P4163,_XtX!$B$71:$K$71)</f>
        <v>48.2937215909091</v>
      </c>
      <c r="R4163" s="0" t="n">
        <f aca="false">SUMPRODUCT(MMULT(G4163:P4163,_XtX!$B$58:$K$67),G4163:P4163)</f>
        <v>0.231365411931818</v>
      </c>
      <c r="S4163" s="0" t="n">
        <f aca="false">04_回帰ANOVA!$K$19*04_回帰ANOVA!$K$14*SQRT(1+R4163)</f>
        <v>1.03171587072803</v>
      </c>
      <c r="T4163" s="0" t="n">
        <f aca="false">Q4163-S4163</f>
        <v>47.2620057201811</v>
      </c>
      <c r="U4163" s="0" t="n">
        <f aca="false">Q4163+S4163</f>
        <v>49.3254374616371</v>
      </c>
      <c r="V4163" s="54" t="b">
        <f aca="false">AND(D4163&gt;=01_因子設定!$L$5-0.000000001,D4163&lt;=01_因子設定!$M$5+0.000000001,E4163&gt;=01_因子設定!$L$6-0.000000001,E4163&lt;=01_因子設定!$M$6+0.000000001,F4163&gt;=01_因子設定!$L$7-0.000000001,F4163&lt;=01_因子設定!$M$7+0.000000001,IF(01_因子設定!$B$20="Box-Behnken",D4163^2+E4163^2+F4163^2&lt;=2+0.000000001,TRUE()))</f>
        <v>1</v>
      </c>
      <c r="W4163" s="55" t="n">
        <f aca="false">IF(V4163,IF(01_因子設定!$B$13="最大化",T4163-01_因子設定!$B$14,IF(01_因子設定!$B$13="最小化",01_因子設定!$B$15-U4163,MIN(T4163-01_因子設定!$B$14,01_因子設定!$B$15-U4163))),-1E+030)</f>
        <v>-1.23799427981893</v>
      </c>
      <c r="X4163" s="55" t="n">
        <f aca="false">IF(V4163,IF(01_因子設定!$B$13="最大化",Q4163,IF(01_因子設定!$B$13="最小化",-Q4163,-ABS(Q4163-01_因子設定!$B$16))),-1E+030)</f>
        <v>48.2937215909091</v>
      </c>
      <c r="Y4163" s="55" t="n">
        <f aca="false">W4163+ROW()*0.000000001</f>
        <v>-1.23799011681893</v>
      </c>
      <c r="Z4163" s="55" t="n">
        <f aca="false">X4163+ROW()*0.000000001</f>
        <v>48.2937257539091</v>
      </c>
    </row>
    <row r="4164" customFormat="false" ht="15" hidden="false" customHeight="false" outlineLevel="0" collapsed="false">
      <c r="A4164" s="0" t="n">
        <v>14</v>
      </c>
      <c r="B4164" s="0" t="n">
        <v>6</v>
      </c>
      <c r="C4164" s="0" t="n">
        <v>11</v>
      </c>
      <c r="D4164" s="0" t="n">
        <f aca="false">-1+A4164*0.125</f>
        <v>0.75</v>
      </c>
      <c r="E4164" s="0" t="n">
        <f aca="false">-1+B4164*0.125</f>
        <v>-0.25</v>
      </c>
      <c r="F4164" s="0" t="n">
        <f aca="false">-1+C4164*0.125</f>
        <v>0.375</v>
      </c>
      <c r="G4164" s="0" t="n">
        <f aca="false">1</f>
        <v>1</v>
      </c>
      <c r="H4164" s="0" t="n">
        <f aca="false">D4164</f>
        <v>0.75</v>
      </c>
      <c r="I4164" s="0" t="n">
        <f aca="false">E4164</f>
        <v>-0.25</v>
      </c>
      <c r="J4164" s="0" t="n">
        <f aca="false">F4164</f>
        <v>0.375</v>
      </c>
      <c r="K4164" s="0" t="n">
        <f aca="false">D4164*E4164</f>
        <v>-0.1875</v>
      </c>
      <c r="L4164" s="0" t="n">
        <f aca="false">D4164*F4164</f>
        <v>0.28125</v>
      </c>
      <c r="M4164" s="0" t="n">
        <f aca="false">E4164*F4164</f>
        <v>-0.09375</v>
      </c>
      <c r="N4164" s="0" t="n">
        <f aca="false">D4164*D4164</f>
        <v>0.5625</v>
      </c>
      <c r="O4164" s="0" t="n">
        <f aca="false">E4164*E4164</f>
        <v>0.0625</v>
      </c>
      <c r="P4164" s="0" t="n">
        <f aca="false">F4164*F4164</f>
        <v>0.140625</v>
      </c>
      <c r="Q4164" s="0" t="n">
        <f aca="false">SUMPRODUCT(G4164:P4164,_XtX!$B$71:$K$71)</f>
        <v>48.3461221590909</v>
      </c>
      <c r="R4164" s="0" t="n">
        <f aca="false">SUMPRODUCT(MMULT(G4164:P4164,_XtX!$B$58:$K$67),G4164:P4164)</f>
        <v>0.230632990056818</v>
      </c>
      <c r="S4164" s="0" t="n">
        <f aca="false">04_回帰ANOVA!$K$19*04_回帰ANOVA!$K$14*SQRT(1+R4164)</f>
        <v>1.03140899038819</v>
      </c>
      <c r="T4164" s="0" t="n">
        <f aca="false">Q4164-S4164</f>
        <v>47.3147131687027</v>
      </c>
      <c r="U4164" s="0" t="n">
        <f aca="false">Q4164+S4164</f>
        <v>49.3775311494791</v>
      </c>
      <c r="V4164" s="54" t="b">
        <f aca="false">AND(D4164&gt;=01_因子設定!$L$5-0.000000001,D4164&lt;=01_因子設定!$M$5+0.000000001,E4164&gt;=01_因子設定!$L$6-0.000000001,E4164&lt;=01_因子設定!$M$6+0.000000001,F4164&gt;=01_因子設定!$L$7-0.000000001,F4164&lt;=01_因子設定!$M$7+0.000000001,IF(01_因子設定!$B$20="Box-Behnken",D4164^2+E4164^2+F4164^2&lt;=2+0.000000001,TRUE()))</f>
        <v>1</v>
      </c>
      <c r="W4164" s="55" t="n">
        <f aca="false">IF(V4164,IF(01_因子設定!$B$13="最大化",T4164-01_因子設定!$B$14,IF(01_因子設定!$B$13="最小化",01_因子設定!$B$15-U4164,MIN(T4164-01_因子設定!$B$14,01_因子設定!$B$15-U4164))),-1E+030)</f>
        <v>-1.18528683129728</v>
      </c>
      <c r="X4164" s="55" t="n">
        <f aca="false">IF(V4164,IF(01_因子設定!$B$13="最大化",Q4164,IF(01_因子設定!$B$13="最小化",-Q4164,-ABS(Q4164-01_因子設定!$B$16))),-1E+030)</f>
        <v>48.3461221590909</v>
      </c>
      <c r="Y4164" s="55" t="n">
        <f aca="false">W4164+ROW()*0.000000001</f>
        <v>-1.18528266729728</v>
      </c>
      <c r="Z4164" s="55" t="n">
        <f aca="false">X4164+ROW()*0.000000001</f>
        <v>48.3461263230909</v>
      </c>
    </row>
    <row r="4165" customFormat="false" ht="15" hidden="false" customHeight="false" outlineLevel="0" collapsed="false">
      <c r="A4165" s="0" t="n">
        <v>14</v>
      </c>
      <c r="B4165" s="0" t="n">
        <v>6</v>
      </c>
      <c r="C4165" s="0" t="n">
        <v>12</v>
      </c>
      <c r="D4165" s="0" t="n">
        <f aca="false">-1+A4165*0.125</f>
        <v>0.75</v>
      </c>
      <c r="E4165" s="0" t="n">
        <f aca="false">-1+B4165*0.125</f>
        <v>-0.25</v>
      </c>
      <c r="F4165" s="0" t="n">
        <f aca="false">-1+C4165*0.125</f>
        <v>0.5</v>
      </c>
      <c r="G4165" s="0" t="n">
        <f aca="false">1</f>
        <v>1</v>
      </c>
      <c r="H4165" s="0" t="n">
        <f aca="false">D4165</f>
        <v>0.75</v>
      </c>
      <c r="I4165" s="0" t="n">
        <f aca="false">E4165</f>
        <v>-0.25</v>
      </c>
      <c r="J4165" s="0" t="n">
        <f aca="false">F4165</f>
        <v>0.5</v>
      </c>
      <c r="K4165" s="0" t="n">
        <f aca="false">D4165*E4165</f>
        <v>-0.1875</v>
      </c>
      <c r="L4165" s="0" t="n">
        <f aca="false">D4165*F4165</f>
        <v>0.375</v>
      </c>
      <c r="M4165" s="0" t="n">
        <f aca="false">E4165*F4165</f>
        <v>-0.125</v>
      </c>
      <c r="N4165" s="0" t="n">
        <f aca="false">D4165*D4165</f>
        <v>0.5625</v>
      </c>
      <c r="O4165" s="0" t="n">
        <f aca="false">E4165*E4165</f>
        <v>0.0625</v>
      </c>
      <c r="P4165" s="0" t="n">
        <f aca="false">F4165*F4165</f>
        <v>0.25</v>
      </c>
      <c r="Q4165" s="0" t="n">
        <f aca="false">SUMPRODUCT(G4165:P4165,_XtX!$B$71:$K$71)</f>
        <v>48.3617329545455</v>
      </c>
      <c r="R4165" s="0" t="n">
        <f aca="false">SUMPRODUCT(MMULT(G4165:P4165,_XtX!$B$58:$K$67),G4165:P4165)</f>
        <v>0.237064985795455</v>
      </c>
      <c r="S4165" s="0" t="n">
        <f aca="false">04_回帰ANOVA!$K$19*04_回帰ANOVA!$K$14*SQRT(1+R4165)</f>
        <v>1.03410084594745</v>
      </c>
      <c r="T4165" s="0" t="n">
        <f aca="false">Q4165-S4165</f>
        <v>47.327632108598</v>
      </c>
      <c r="U4165" s="0" t="n">
        <f aca="false">Q4165+S4165</f>
        <v>49.3958338004929</v>
      </c>
      <c r="V4165" s="54" t="b">
        <f aca="false">AND(D4165&gt;=01_因子設定!$L$5-0.000000001,D4165&lt;=01_因子設定!$M$5+0.000000001,E4165&gt;=01_因子設定!$L$6-0.000000001,E4165&lt;=01_因子設定!$M$6+0.000000001,F4165&gt;=01_因子設定!$L$7-0.000000001,F4165&lt;=01_因子設定!$M$7+0.000000001,IF(01_因子設定!$B$20="Box-Behnken",D4165^2+E4165^2+F4165^2&lt;=2+0.000000001,TRUE()))</f>
        <v>1</v>
      </c>
      <c r="W4165" s="55" t="n">
        <f aca="false">IF(V4165,IF(01_因子設定!$B$13="最大化",T4165-01_因子設定!$B$14,IF(01_因子設定!$B$13="最小化",01_因子設定!$B$15-U4165,MIN(T4165-01_因子設定!$B$14,01_因子設定!$B$15-U4165))),-1E+030)</f>
        <v>-1.17236789140198</v>
      </c>
      <c r="X4165" s="55" t="n">
        <f aca="false">IF(V4165,IF(01_因子設定!$B$13="最大化",Q4165,IF(01_因子設定!$B$13="最小化",-Q4165,-ABS(Q4165-01_因子設定!$B$16))),-1E+030)</f>
        <v>48.3617329545455</v>
      </c>
      <c r="Y4165" s="55" t="n">
        <f aca="false">W4165+ROW()*0.000000001</f>
        <v>-1.17236372640198</v>
      </c>
      <c r="Z4165" s="55" t="n">
        <f aca="false">X4165+ROW()*0.000000001</f>
        <v>48.3617371195455</v>
      </c>
    </row>
    <row r="4166" customFormat="false" ht="15" hidden="false" customHeight="false" outlineLevel="0" collapsed="false">
      <c r="A4166" s="0" t="n">
        <v>14</v>
      </c>
      <c r="B4166" s="0" t="n">
        <v>6</v>
      </c>
      <c r="C4166" s="0" t="n">
        <v>13</v>
      </c>
      <c r="D4166" s="0" t="n">
        <f aca="false">-1+A4166*0.125</f>
        <v>0.75</v>
      </c>
      <c r="E4166" s="0" t="n">
        <f aca="false">-1+B4166*0.125</f>
        <v>-0.25</v>
      </c>
      <c r="F4166" s="0" t="n">
        <f aca="false">-1+C4166*0.125</f>
        <v>0.625</v>
      </c>
      <c r="G4166" s="0" t="n">
        <f aca="false">1</f>
        <v>1</v>
      </c>
      <c r="H4166" s="0" t="n">
        <f aca="false">D4166</f>
        <v>0.75</v>
      </c>
      <c r="I4166" s="0" t="n">
        <f aca="false">E4166</f>
        <v>-0.25</v>
      </c>
      <c r="J4166" s="0" t="n">
        <f aca="false">F4166</f>
        <v>0.625</v>
      </c>
      <c r="K4166" s="0" t="n">
        <f aca="false">D4166*E4166</f>
        <v>-0.1875</v>
      </c>
      <c r="L4166" s="0" t="n">
        <f aca="false">D4166*F4166</f>
        <v>0.46875</v>
      </c>
      <c r="M4166" s="0" t="n">
        <f aca="false">E4166*F4166</f>
        <v>-0.15625</v>
      </c>
      <c r="N4166" s="0" t="n">
        <f aca="false">D4166*D4166</f>
        <v>0.5625</v>
      </c>
      <c r="O4166" s="0" t="n">
        <f aca="false">E4166*E4166</f>
        <v>0.0625</v>
      </c>
      <c r="P4166" s="0" t="n">
        <f aca="false">F4166*F4166</f>
        <v>0.390625</v>
      </c>
      <c r="Q4166" s="0" t="n">
        <f aca="false">SUMPRODUCT(G4166:P4166,_XtX!$B$71:$K$71)</f>
        <v>48.3405539772727</v>
      </c>
      <c r="R4166" s="0" t="n">
        <f aca="false">SUMPRODUCT(MMULT(G4166:P4166,_XtX!$B$58:$K$67),G4166:P4166)</f>
        <v>0.258118785511364</v>
      </c>
      <c r="S4166" s="0" t="n">
        <f aca="false">04_回帰ANOVA!$K$19*04_回帰ANOVA!$K$14*SQRT(1+R4166)</f>
        <v>1.04286348094876</v>
      </c>
      <c r="T4166" s="0" t="n">
        <f aca="false">Q4166-S4166</f>
        <v>47.297690496324</v>
      </c>
      <c r="U4166" s="0" t="n">
        <f aca="false">Q4166+S4166</f>
        <v>49.3834174582215</v>
      </c>
      <c r="V4166" s="54" t="b">
        <f aca="false">AND(D4166&gt;=01_因子設定!$L$5-0.000000001,D4166&lt;=01_因子設定!$M$5+0.000000001,E4166&gt;=01_因子設定!$L$6-0.000000001,E4166&lt;=01_因子設定!$M$6+0.000000001,F4166&gt;=01_因子設定!$L$7-0.000000001,F4166&lt;=01_因子設定!$M$7+0.000000001,IF(01_因子設定!$B$20="Box-Behnken",D4166^2+E4166^2+F4166^2&lt;=2+0.000000001,TRUE()))</f>
        <v>1</v>
      </c>
      <c r="W4166" s="55" t="n">
        <f aca="false">IF(V4166,IF(01_因子設定!$B$13="最大化",T4166-01_因子設定!$B$14,IF(01_因子設定!$B$13="最小化",01_因子設定!$B$15-U4166,MIN(T4166-01_因子設定!$B$14,01_因子設定!$B$15-U4166))),-1E+030)</f>
        <v>-1.20230950367603</v>
      </c>
      <c r="X4166" s="55" t="n">
        <f aca="false">IF(V4166,IF(01_因子設定!$B$13="最大化",Q4166,IF(01_因子設定!$B$13="最小化",-Q4166,-ABS(Q4166-01_因子設定!$B$16))),-1E+030)</f>
        <v>48.3405539772727</v>
      </c>
      <c r="Y4166" s="55" t="n">
        <f aca="false">W4166+ROW()*0.000000001</f>
        <v>-1.20230533767603</v>
      </c>
      <c r="Z4166" s="55" t="n">
        <f aca="false">X4166+ROW()*0.000000001</f>
        <v>48.3405581432727</v>
      </c>
    </row>
    <row r="4167" customFormat="false" ht="15" hidden="false" customHeight="false" outlineLevel="0" collapsed="false">
      <c r="A4167" s="0" t="n">
        <v>14</v>
      </c>
      <c r="B4167" s="0" t="n">
        <v>6</v>
      </c>
      <c r="C4167" s="0" t="n">
        <v>14</v>
      </c>
      <c r="D4167" s="0" t="n">
        <f aca="false">-1+A4167*0.125</f>
        <v>0.75</v>
      </c>
      <c r="E4167" s="0" t="n">
        <f aca="false">-1+B4167*0.125</f>
        <v>-0.25</v>
      </c>
      <c r="F4167" s="0" t="n">
        <f aca="false">-1+C4167*0.125</f>
        <v>0.75</v>
      </c>
      <c r="G4167" s="0" t="n">
        <f aca="false">1</f>
        <v>1</v>
      </c>
      <c r="H4167" s="0" t="n">
        <f aca="false">D4167</f>
        <v>0.75</v>
      </c>
      <c r="I4167" s="0" t="n">
        <f aca="false">E4167</f>
        <v>-0.25</v>
      </c>
      <c r="J4167" s="0" t="n">
        <f aca="false">F4167</f>
        <v>0.75</v>
      </c>
      <c r="K4167" s="0" t="n">
        <f aca="false">D4167*E4167</f>
        <v>-0.1875</v>
      </c>
      <c r="L4167" s="0" t="n">
        <f aca="false">D4167*F4167</f>
        <v>0.5625</v>
      </c>
      <c r="M4167" s="0" t="n">
        <f aca="false">E4167*F4167</f>
        <v>-0.1875</v>
      </c>
      <c r="N4167" s="0" t="n">
        <f aca="false">D4167*D4167</f>
        <v>0.5625</v>
      </c>
      <c r="O4167" s="0" t="n">
        <f aca="false">E4167*E4167</f>
        <v>0.0625</v>
      </c>
      <c r="P4167" s="0" t="n">
        <f aca="false">F4167*F4167</f>
        <v>0.5625</v>
      </c>
      <c r="Q4167" s="0" t="n">
        <f aca="false">SUMPRODUCT(G4167:P4167,_XtX!$B$71:$K$71)</f>
        <v>48.2825852272727</v>
      </c>
      <c r="R4167" s="0" t="n">
        <f aca="false">SUMPRODUCT(MMULT(G4167:P4167,_XtX!$B$58:$K$67),G4167:P4167)</f>
        <v>0.303382457386364</v>
      </c>
      <c r="S4167" s="0" t="n">
        <f aca="false">04_回帰ANOVA!$K$19*04_回帰ANOVA!$K$14*SQRT(1+R4167)</f>
        <v>1.06145740650883</v>
      </c>
      <c r="T4167" s="0" t="n">
        <f aca="false">Q4167-S4167</f>
        <v>47.2211278207639</v>
      </c>
      <c r="U4167" s="0" t="n">
        <f aca="false">Q4167+S4167</f>
        <v>49.3440426337816</v>
      </c>
      <c r="V4167" s="54" t="b">
        <f aca="false">AND(D4167&gt;=01_因子設定!$L$5-0.000000001,D4167&lt;=01_因子設定!$M$5+0.000000001,E4167&gt;=01_因子設定!$L$6-0.000000001,E4167&lt;=01_因子設定!$M$6+0.000000001,F4167&gt;=01_因子設定!$L$7-0.000000001,F4167&lt;=01_因子設定!$M$7+0.000000001,IF(01_因子設定!$B$20="Box-Behnken",D4167^2+E4167^2+F4167^2&lt;=2+0.000000001,TRUE()))</f>
        <v>1</v>
      </c>
      <c r="W4167" s="55" t="n">
        <f aca="false">IF(V4167,IF(01_因子設定!$B$13="最大化",T4167-01_因子設定!$B$14,IF(01_因子設定!$B$13="最小化",01_因子設定!$B$15-U4167,MIN(T4167-01_因子設定!$B$14,01_因子設定!$B$15-U4167))),-1E+030)</f>
        <v>-1.2788721792361</v>
      </c>
      <c r="X4167" s="55" t="n">
        <f aca="false">IF(V4167,IF(01_因子設定!$B$13="最大化",Q4167,IF(01_因子設定!$B$13="最小化",-Q4167,-ABS(Q4167-01_因子設定!$B$16))),-1E+030)</f>
        <v>48.2825852272727</v>
      </c>
      <c r="Y4167" s="55" t="n">
        <f aca="false">W4167+ROW()*0.000000001</f>
        <v>-1.2788680122361</v>
      </c>
      <c r="Z4167" s="55" t="n">
        <f aca="false">X4167+ROW()*0.000000001</f>
        <v>48.2825893942727</v>
      </c>
    </row>
    <row r="4168" customFormat="false" ht="15" hidden="false" customHeight="false" outlineLevel="0" collapsed="false">
      <c r="A4168" s="0" t="n">
        <v>14</v>
      </c>
      <c r="B4168" s="0" t="n">
        <v>6</v>
      </c>
      <c r="C4168" s="0" t="n">
        <v>15</v>
      </c>
      <c r="D4168" s="0" t="n">
        <f aca="false">-1+A4168*0.125</f>
        <v>0.75</v>
      </c>
      <c r="E4168" s="0" t="n">
        <f aca="false">-1+B4168*0.125</f>
        <v>-0.25</v>
      </c>
      <c r="F4168" s="0" t="n">
        <f aca="false">-1+C4168*0.125</f>
        <v>0.875</v>
      </c>
      <c r="G4168" s="0" t="n">
        <f aca="false">1</f>
        <v>1</v>
      </c>
      <c r="H4168" s="0" t="n">
        <f aca="false">D4168</f>
        <v>0.75</v>
      </c>
      <c r="I4168" s="0" t="n">
        <f aca="false">E4168</f>
        <v>-0.25</v>
      </c>
      <c r="J4168" s="0" t="n">
        <f aca="false">F4168</f>
        <v>0.875</v>
      </c>
      <c r="K4168" s="0" t="n">
        <f aca="false">D4168*E4168</f>
        <v>-0.1875</v>
      </c>
      <c r="L4168" s="0" t="n">
        <f aca="false">D4168*F4168</f>
        <v>0.65625</v>
      </c>
      <c r="M4168" s="0" t="n">
        <f aca="false">E4168*F4168</f>
        <v>-0.21875</v>
      </c>
      <c r="N4168" s="0" t="n">
        <f aca="false">D4168*D4168</f>
        <v>0.5625</v>
      </c>
      <c r="O4168" s="0" t="n">
        <f aca="false">E4168*E4168</f>
        <v>0.0625</v>
      </c>
      <c r="P4168" s="0" t="n">
        <f aca="false">F4168*F4168</f>
        <v>0.765625</v>
      </c>
      <c r="Q4168" s="0" t="n">
        <f aca="false">SUMPRODUCT(G4168:P4168,_XtX!$B$71:$K$71)</f>
        <v>48.1878267045455</v>
      </c>
      <c r="R4168" s="0" t="n">
        <f aca="false">SUMPRODUCT(MMULT(G4168:P4168,_XtX!$B$58:$K$67),G4168:P4168)</f>
        <v>0.384574751420455</v>
      </c>
      <c r="S4168" s="0" t="n">
        <f aca="false">04_回帰ANOVA!$K$19*04_回帰ANOVA!$K$14*SQRT(1+R4168)</f>
        <v>1.0940189380139</v>
      </c>
      <c r="T4168" s="0" t="n">
        <f aca="false">Q4168-S4168</f>
        <v>47.0938077665316</v>
      </c>
      <c r="U4168" s="0" t="n">
        <f aca="false">Q4168+S4168</f>
        <v>49.2818456425594</v>
      </c>
      <c r="V4168" s="54" t="b">
        <f aca="false">AND(D4168&gt;=01_因子設定!$L$5-0.000000001,D4168&lt;=01_因子設定!$M$5+0.000000001,E4168&gt;=01_因子設定!$L$6-0.000000001,E4168&lt;=01_因子設定!$M$6+0.000000001,F4168&gt;=01_因子設定!$L$7-0.000000001,F4168&lt;=01_因子設定!$M$7+0.000000001,IF(01_因子設定!$B$20="Box-Behnken",D4168^2+E4168^2+F4168^2&lt;=2+0.000000001,TRUE()))</f>
        <v>1</v>
      </c>
      <c r="W4168" s="55" t="n">
        <f aca="false">IF(V4168,IF(01_因子設定!$B$13="最大化",T4168-01_因子設定!$B$14,IF(01_因子設定!$B$13="最小化",01_因子設定!$B$15-U4168,MIN(T4168-01_因子設定!$B$14,01_因子設定!$B$15-U4168))),-1E+030)</f>
        <v>-1.40619223346844</v>
      </c>
      <c r="X4168" s="55" t="n">
        <f aca="false">IF(V4168,IF(01_因子設定!$B$13="最大化",Q4168,IF(01_因子設定!$B$13="最小化",-Q4168,-ABS(Q4168-01_因子設定!$B$16))),-1E+030)</f>
        <v>48.1878267045455</v>
      </c>
      <c r="Y4168" s="55" t="n">
        <f aca="false">W4168+ROW()*0.000000001</f>
        <v>-1.40618806546844</v>
      </c>
      <c r="Z4168" s="55" t="n">
        <f aca="false">X4168+ROW()*0.000000001</f>
        <v>48.1878308725455</v>
      </c>
    </row>
    <row r="4169" customFormat="false" ht="15" hidden="false" customHeight="false" outlineLevel="0" collapsed="false">
      <c r="A4169" s="0" t="n">
        <v>14</v>
      </c>
      <c r="B4169" s="0" t="n">
        <v>6</v>
      </c>
      <c r="C4169" s="0" t="n">
        <v>16</v>
      </c>
      <c r="D4169" s="0" t="n">
        <f aca="false">-1+A4169*0.125</f>
        <v>0.75</v>
      </c>
      <c r="E4169" s="0" t="n">
        <f aca="false">-1+B4169*0.125</f>
        <v>-0.25</v>
      </c>
      <c r="F4169" s="0" t="n">
        <f aca="false">-1+C4169*0.125</f>
        <v>1</v>
      </c>
      <c r="G4169" s="0" t="n">
        <f aca="false">1</f>
        <v>1</v>
      </c>
      <c r="H4169" s="0" t="n">
        <f aca="false">D4169</f>
        <v>0.75</v>
      </c>
      <c r="I4169" s="0" t="n">
        <f aca="false">E4169</f>
        <v>-0.25</v>
      </c>
      <c r="J4169" s="0" t="n">
        <f aca="false">F4169</f>
        <v>1</v>
      </c>
      <c r="K4169" s="0" t="n">
        <f aca="false">D4169*E4169</f>
        <v>-0.1875</v>
      </c>
      <c r="L4169" s="0" t="n">
        <f aca="false">D4169*F4169</f>
        <v>0.75</v>
      </c>
      <c r="M4169" s="0" t="n">
        <f aca="false">E4169*F4169</f>
        <v>-0.25</v>
      </c>
      <c r="N4169" s="0" t="n">
        <f aca="false">D4169*D4169</f>
        <v>0.5625</v>
      </c>
      <c r="O4169" s="0" t="n">
        <f aca="false">E4169*E4169</f>
        <v>0.0625</v>
      </c>
      <c r="P4169" s="0" t="n">
        <f aca="false">F4169*F4169</f>
        <v>1</v>
      </c>
      <c r="Q4169" s="0" t="n">
        <f aca="false">SUMPRODUCT(G4169:P4169,_XtX!$B$71:$K$71)</f>
        <v>48.0562784090909</v>
      </c>
      <c r="R4169" s="0" t="n">
        <f aca="false">SUMPRODUCT(MMULT(G4169:P4169,_XtX!$B$58:$K$67),G4169:P4169)</f>
        <v>0.515545099431818</v>
      </c>
      <c r="S4169" s="0" t="n">
        <f aca="false">04_回帰ANOVA!$K$19*04_回帰ANOVA!$K$14*SQRT(1+R4169)</f>
        <v>1.14459295464101</v>
      </c>
      <c r="T4169" s="0" t="n">
        <f aca="false">Q4169-S4169</f>
        <v>46.9116854544499</v>
      </c>
      <c r="U4169" s="0" t="n">
        <f aca="false">Q4169+S4169</f>
        <v>49.2008713637319</v>
      </c>
      <c r="V4169" s="54" t="b">
        <f aca="false">AND(D4169&gt;=01_因子設定!$L$5-0.000000001,D4169&lt;=01_因子設定!$M$5+0.000000001,E4169&gt;=01_因子設定!$L$6-0.000000001,E4169&lt;=01_因子設定!$M$6+0.000000001,F4169&gt;=01_因子設定!$L$7-0.000000001,F4169&lt;=01_因子設定!$M$7+0.000000001,IF(01_因子設定!$B$20="Box-Behnken",D4169^2+E4169^2+F4169^2&lt;=2+0.000000001,TRUE()))</f>
        <v>1</v>
      </c>
      <c r="W4169" s="55" t="n">
        <f aca="false">IF(V4169,IF(01_因子設定!$B$13="最大化",T4169-01_因子設定!$B$14,IF(01_因子設定!$B$13="最小化",01_因子設定!$B$15-U4169,MIN(T4169-01_因子設定!$B$14,01_因子設定!$B$15-U4169))),-1E+030)</f>
        <v>-1.58831454555008</v>
      </c>
      <c r="X4169" s="55" t="n">
        <f aca="false">IF(V4169,IF(01_因子設定!$B$13="最大化",Q4169,IF(01_因子設定!$B$13="最小化",-Q4169,-ABS(Q4169-01_因子設定!$B$16))),-1E+030)</f>
        <v>48.0562784090909</v>
      </c>
      <c r="Y4169" s="55" t="n">
        <f aca="false">W4169+ROW()*0.000000001</f>
        <v>-1.58831037655008</v>
      </c>
      <c r="Z4169" s="55" t="n">
        <f aca="false">X4169+ROW()*0.000000001</f>
        <v>48.0562825780909</v>
      </c>
    </row>
    <row r="4170" customFormat="false" ht="15" hidden="false" customHeight="false" outlineLevel="0" collapsed="false">
      <c r="A4170" s="0" t="n">
        <v>14</v>
      </c>
      <c r="B4170" s="0" t="n">
        <v>7</v>
      </c>
      <c r="C4170" s="0" t="n">
        <v>0</v>
      </c>
      <c r="D4170" s="0" t="n">
        <f aca="false">-1+A4170*0.125</f>
        <v>0.75</v>
      </c>
      <c r="E4170" s="0" t="n">
        <f aca="false">-1+B4170*0.125</f>
        <v>-0.125</v>
      </c>
      <c r="F4170" s="0" t="n">
        <f aca="false">-1+C4170*0.125</f>
        <v>-1</v>
      </c>
      <c r="G4170" s="0" t="n">
        <f aca="false">1</f>
        <v>1</v>
      </c>
      <c r="H4170" s="0" t="n">
        <f aca="false">D4170</f>
        <v>0.75</v>
      </c>
      <c r="I4170" s="0" t="n">
        <f aca="false">E4170</f>
        <v>-0.125</v>
      </c>
      <c r="J4170" s="0" t="n">
        <f aca="false">F4170</f>
        <v>-1</v>
      </c>
      <c r="K4170" s="0" t="n">
        <f aca="false">D4170*E4170</f>
        <v>-0.09375</v>
      </c>
      <c r="L4170" s="0" t="n">
        <f aca="false">D4170*F4170</f>
        <v>-0.75</v>
      </c>
      <c r="M4170" s="0" t="n">
        <f aca="false">E4170*F4170</f>
        <v>0.125</v>
      </c>
      <c r="N4170" s="0" t="n">
        <f aca="false">D4170*D4170</f>
        <v>0.5625</v>
      </c>
      <c r="O4170" s="0" t="n">
        <f aca="false">E4170*E4170</f>
        <v>0.015625</v>
      </c>
      <c r="P4170" s="0" t="n">
        <f aca="false">F4170*F4170</f>
        <v>1</v>
      </c>
      <c r="Q4170" s="0" t="n">
        <f aca="false">SUMPRODUCT(G4170:P4170,_XtX!$B$71:$K$71)</f>
        <v>46.1586505681818</v>
      </c>
      <c r="R4170" s="0" t="n">
        <f aca="false">SUMPRODUCT(MMULT(G4170:P4170,_XtX!$B$58:$K$67),G4170:P4170)</f>
        <v>0.524607155539773</v>
      </c>
      <c r="S4170" s="0" t="n">
        <f aca="false">04_回帰ANOVA!$K$19*04_回帰ANOVA!$K$14*SQRT(1+R4170)</f>
        <v>1.14800984623412</v>
      </c>
      <c r="T4170" s="0" t="n">
        <f aca="false">Q4170-S4170</f>
        <v>45.0106407219477</v>
      </c>
      <c r="U4170" s="0" t="n">
        <f aca="false">Q4170+S4170</f>
        <v>47.306660414416</v>
      </c>
      <c r="V4170" s="54" t="b">
        <f aca="false">AND(D4170&gt;=01_因子設定!$L$5-0.000000001,D4170&lt;=01_因子設定!$M$5+0.000000001,E4170&gt;=01_因子設定!$L$6-0.000000001,E4170&lt;=01_因子設定!$M$6+0.000000001,F4170&gt;=01_因子設定!$L$7-0.000000001,F4170&lt;=01_因子設定!$M$7+0.000000001,IF(01_因子設定!$B$20="Box-Behnken",D4170^2+E4170^2+F4170^2&lt;=2+0.000000001,TRUE()))</f>
        <v>1</v>
      </c>
      <c r="W4170" s="55" t="n">
        <f aca="false">IF(V4170,IF(01_因子設定!$B$13="最大化",T4170-01_因子設定!$B$14,IF(01_因子設定!$B$13="最小化",01_因子設定!$B$15-U4170,MIN(T4170-01_因子設定!$B$14,01_因子設定!$B$15-U4170))),-1E+030)</f>
        <v>-3.48935927805228</v>
      </c>
      <c r="X4170" s="55" t="n">
        <f aca="false">IF(V4170,IF(01_因子設定!$B$13="最大化",Q4170,IF(01_因子設定!$B$13="最小化",-Q4170,-ABS(Q4170-01_因子設定!$B$16))),-1E+030)</f>
        <v>46.1586505681818</v>
      </c>
      <c r="Y4170" s="55" t="n">
        <f aca="false">W4170+ROW()*0.000000001</f>
        <v>-3.48935510805228</v>
      </c>
      <c r="Z4170" s="55" t="n">
        <f aca="false">X4170+ROW()*0.000000001</f>
        <v>46.1586547381818</v>
      </c>
    </row>
    <row r="4171" customFormat="false" ht="15" hidden="false" customHeight="false" outlineLevel="0" collapsed="false">
      <c r="A4171" s="0" t="n">
        <v>14</v>
      </c>
      <c r="B4171" s="0" t="n">
        <v>7</v>
      </c>
      <c r="C4171" s="0" t="n">
        <v>1</v>
      </c>
      <c r="D4171" s="0" t="n">
        <f aca="false">-1+A4171*0.125</f>
        <v>0.75</v>
      </c>
      <c r="E4171" s="0" t="n">
        <f aca="false">-1+B4171*0.125</f>
        <v>-0.125</v>
      </c>
      <c r="F4171" s="0" t="n">
        <f aca="false">-1+C4171*0.125</f>
        <v>-0.875</v>
      </c>
      <c r="G4171" s="0" t="n">
        <f aca="false">1</f>
        <v>1</v>
      </c>
      <c r="H4171" s="0" t="n">
        <f aca="false">D4171</f>
        <v>0.75</v>
      </c>
      <c r="I4171" s="0" t="n">
        <f aca="false">E4171</f>
        <v>-0.125</v>
      </c>
      <c r="J4171" s="0" t="n">
        <f aca="false">F4171</f>
        <v>-0.875</v>
      </c>
      <c r="K4171" s="0" t="n">
        <f aca="false">D4171*E4171</f>
        <v>-0.09375</v>
      </c>
      <c r="L4171" s="0" t="n">
        <f aca="false">D4171*F4171</f>
        <v>-0.65625</v>
      </c>
      <c r="M4171" s="0" t="n">
        <f aca="false">E4171*F4171</f>
        <v>0.109375</v>
      </c>
      <c r="N4171" s="0" t="n">
        <f aca="false">D4171*D4171</f>
        <v>0.5625</v>
      </c>
      <c r="O4171" s="0" t="n">
        <f aca="false">E4171*E4171</f>
        <v>0.015625</v>
      </c>
      <c r="P4171" s="0" t="n">
        <f aca="false">F4171*F4171</f>
        <v>0.765625</v>
      </c>
      <c r="Q4171" s="0" t="n">
        <f aca="false">SUMPRODUCT(G4171:P4171,_XtX!$B$71:$K$71)</f>
        <v>46.5859801136364</v>
      </c>
      <c r="R4171" s="0" t="n">
        <f aca="false">SUMPRODUCT(MMULT(G4171:P4171,_XtX!$B$58:$K$67),G4171:P4171)</f>
        <v>0.392013827237216</v>
      </c>
      <c r="S4171" s="0" t="n">
        <f aca="false">04_回帰ANOVA!$K$19*04_回帰ANOVA!$K$14*SQRT(1+R4171)</f>
        <v>1.09695398627251</v>
      </c>
      <c r="T4171" s="0" t="n">
        <f aca="false">Q4171-S4171</f>
        <v>45.4890261273639</v>
      </c>
      <c r="U4171" s="0" t="n">
        <f aca="false">Q4171+S4171</f>
        <v>47.6829340999089</v>
      </c>
      <c r="V4171" s="54" t="b">
        <f aca="false">AND(D4171&gt;=01_因子設定!$L$5-0.000000001,D4171&lt;=01_因子設定!$M$5+0.000000001,E4171&gt;=01_因子設定!$L$6-0.000000001,E4171&lt;=01_因子設定!$M$6+0.000000001,F4171&gt;=01_因子設定!$L$7-0.000000001,F4171&lt;=01_因子設定!$M$7+0.000000001,IF(01_因子設定!$B$20="Box-Behnken",D4171^2+E4171^2+F4171^2&lt;=2+0.000000001,TRUE()))</f>
        <v>1</v>
      </c>
      <c r="W4171" s="55" t="n">
        <f aca="false">IF(V4171,IF(01_因子設定!$B$13="最大化",T4171-01_因子設定!$B$14,IF(01_因子設定!$B$13="最小化",01_因子設定!$B$15-U4171,MIN(T4171-01_因子設定!$B$14,01_因子設定!$B$15-U4171))),-1E+030)</f>
        <v>-3.01097387263614</v>
      </c>
      <c r="X4171" s="55" t="n">
        <f aca="false">IF(V4171,IF(01_因子設定!$B$13="最大化",Q4171,IF(01_因子設定!$B$13="最小化",-Q4171,-ABS(Q4171-01_因子設定!$B$16))),-1E+030)</f>
        <v>46.5859801136364</v>
      </c>
      <c r="Y4171" s="55" t="n">
        <f aca="false">W4171+ROW()*0.000000001</f>
        <v>-3.01096970163614</v>
      </c>
      <c r="Z4171" s="55" t="n">
        <f aca="false">X4171+ROW()*0.000000001</f>
        <v>46.5859842846364</v>
      </c>
    </row>
    <row r="4172" customFormat="false" ht="15" hidden="false" customHeight="false" outlineLevel="0" collapsed="false">
      <c r="A4172" s="0" t="n">
        <v>14</v>
      </c>
      <c r="B4172" s="0" t="n">
        <v>7</v>
      </c>
      <c r="C4172" s="0" t="n">
        <v>2</v>
      </c>
      <c r="D4172" s="0" t="n">
        <f aca="false">-1+A4172*0.125</f>
        <v>0.75</v>
      </c>
      <c r="E4172" s="0" t="n">
        <f aca="false">-1+B4172*0.125</f>
        <v>-0.125</v>
      </c>
      <c r="F4172" s="0" t="n">
        <f aca="false">-1+C4172*0.125</f>
        <v>-0.75</v>
      </c>
      <c r="G4172" s="0" t="n">
        <f aca="false">1</f>
        <v>1</v>
      </c>
      <c r="H4172" s="0" t="n">
        <f aca="false">D4172</f>
        <v>0.75</v>
      </c>
      <c r="I4172" s="0" t="n">
        <f aca="false">E4172</f>
        <v>-0.125</v>
      </c>
      <c r="J4172" s="0" t="n">
        <f aca="false">F4172</f>
        <v>-0.75</v>
      </c>
      <c r="K4172" s="0" t="n">
        <f aca="false">D4172*E4172</f>
        <v>-0.09375</v>
      </c>
      <c r="L4172" s="0" t="n">
        <f aca="false">D4172*F4172</f>
        <v>-0.5625</v>
      </c>
      <c r="M4172" s="0" t="n">
        <f aca="false">E4172*F4172</f>
        <v>0.09375</v>
      </c>
      <c r="N4172" s="0" t="n">
        <f aca="false">D4172*D4172</f>
        <v>0.5625</v>
      </c>
      <c r="O4172" s="0" t="n">
        <f aca="false">E4172*E4172</f>
        <v>0.015625</v>
      </c>
      <c r="P4172" s="0" t="n">
        <f aca="false">F4172*F4172</f>
        <v>0.5625</v>
      </c>
      <c r="Q4172" s="0" t="n">
        <f aca="false">SUMPRODUCT(G4172:P4172,_XtX!$B$71:$K$71)</f>
        <v>46.9765198863637</v>
      </c>
      <c r="R4172" s="0" t="n">
        <f aca="false">SUMPRODUCT(MMULT(G4172:P4172,_XtX!$B$58:$K$67),G4172:P4172)</f>
        <v>0.309414950284091</v>
      </c>
      <c r="S4172" s="0" t="n">
        <f aca="false">04_回帰ANOVA!$K$19*04_回帰ANOVA!$K$14*SQRT(1+R4172)</f>
        <v>1.06391096196568</v>
      </c>
      <c r="T4172" s="0" t="n">
        <f aca="false">Q4172-S4172</f>
        <v>45.912608924398</v>
      </c>
      <c r="U4172" s="0" t="n">
        <f aca="false">Q4172+S4172</f>
        <v>48.0404308483293</v>
      </c>
      <c r="V4172" s="54" t="b">
        <f aca="false">AND(D4172&gt;=01_因子設定!$L$5-0.000000001,D4172&lt;=01_因子設定!$M$5+0.000000001,E4172&gt;=01_因子設定!$L$6-0.000000001,E4172&lt;=01_因子設定!$M$6+0.000000001,F4172&gt;=01_因子設定!$L$7-0.000000001,F4172&lt;=01_因子設定!$M$7+0.000000001,IF(01_因子設定!$B$20="Box-Behnken",D4172^2+E4172^2+F4172^2&lt;=2+0.000000001,TRUE()))</f>
        <v>1</v>
      </c>
      <c r="W4172" s="55" t="n">
        <f aca="false">IF(V4172,IF(01_因子設定!$B$13="最大化",T4172-01_因子設定!$B$14,IF(01_因子設定!$B$13="最小化",01_因子設定!$B$15-U4172,MIN(T4172-01_因子設定!$B$14,01_因子設定!$B$15-U4172))),-1E+030)</f>
        <v>-2.58739107560203</v>
      </c>
      <c r="X4172" s="55" t="n">
        <f aca="false">IF(V4172,IF(01_因子設定!$B$13="最大化",Q4172,IF(01_因子設定!$B$13="最小化",-Q4172,-ABS(Q4172-01_因子設定!$B$16))),-1E+030)</f>
        <v>46.9765198863637</v>
      </c>
      <c r="Y4172" s="55" t="n">
        <f aca="false">W4172+ROW()*0.000000001</f>
        <v>-2.58738690360203</v>
      </c>
      <c r="Z4172" s="55" t="n">
        <f aca="false">X4172+ROW()*0.000000001</f>
        <v>46.9765240583636</v>
      </c>
    </row>
    <row r="4173" customFormat="false" ht="15" hidden="false" customHeight="false" outlineLevel="0" collapsed="false">
      <c r="A4173" s="0" t="n">
        <v>14</v>
      </c>
      <c r="B4173" s="0" t="n">
        <v>7</v>
      </c>
      <c r="C4173" s="0" t="n">
        <v>3</v>
      </c>
      <c r="D4173" s="0" t="n">
        <f aca="false">-1+A4173*0.125</f>
        <v>0.75</v>
      </c>
      <c r="E4173" s="0" t="n">
        <f aca="false">-1+B4173*0.125</f>
        <v>-0.125</v>
      </c>
      <c r="F4173" s="0" t="n">
        <f aca="false">-1+C4173*0.125</f>
        <v>-0.625</v>
      </c>
      <c r="G4173" s="0" t="n">
        <f aca="false">1</f>
        <v>1</v>
      </c>
      <c r="H4173" s="0" t="n">
        <f aca="false">D4173</f>
        <v>0.75</v>
      </c>
      <c r="I4173" s="0" t="n">
        <f aca="false">E4173</f>
        <v>-0.125</v>
      </c>
      <c r="J4173" s="0" t="n">
        <f aca="false">F4173</f>
        <v>-0.625</v>
      </c>
      <c r="K4173" s="0" t="n">
        <f aca="false">D4173*E4173</f>
        <v>-0.09375</v>
      </c>
      <c r="L4173" s="0" t="n">
        <f aca="false">D4173*F4173</f>
        <v>-0.46875</v>
      </c>
      <c r="M4173" s="0" t="n">
        <f aca="false">E4173*F4173</f>
        <v>0.078125</v>
      </c>
      <c r="N4173" s="0" t="n">
        <f aca="false">D4173*D4173</f>
        <v>0.5625</v>
      </c>
      <c r="O4173" s="0" t="n">
        <f aca="false">E4173*E4173</f>
        <v>0.015625</v>
      </c>
      <c r="P4173" s="0" t="n">
        <f aca="false">F4173*F4173</f>
        <v>0.390625</v>
      </c>
      <c r="Q4173" s="0" t="n">
        <f aca="false">SUMPRODUCT(G4173:P4173,_XtX!$B$71:$K$71)</f>
        <v>47.3302698863636</v>
      </c>
      <c r="R4173" s="0" t="n">
        <f aca="false">SUMPRODUCT(MMULT(G4173:P4173,_XtX!$B$58:$K$67),G4173:P4173)</f>
        <v>0.262961092862216</v>
      </c>
      <c r="S4173" s="0" t="n">
        <f aca="false">04_回帰ANOVA!$K$19*04_回帰ANOVA!$K$14*SQRT(1+R4173)</f>
        <v>1.04486846483649</v>
      </c>
      <c r="T4173" s="0" t="n">
        <f aca="false">Q4173-S4173</f>
        <v>46.2854014215272</v>
      </c>
      <c r="U4173" s="0" t="n">
        <f aca="false">Q4173+S4173</f>
        <v>48.3751383512001</v>
      </c>
      <c r="V4173" s="54" t="b">
        <f aca="false">AND(D4173&gt;=01_因子設定!$L$5-0.000000001,D4173&lt;=01_因子設定!$M$5+0.000000001,E4173&gt;=01_因子設定!$L$6-0.000000001,E4173&lt;=01_因子設定!$M$6+0.000000001,F4173&gt;=01_因子設定!$L$7-0.000000001,F4173&lt;=01_因子設定!$M$7+0.000000001,IF(01_因子設定!$B$20="Box-Behnken",D4173^2+E4173^2+F4173^2&lt;=2+0.000000001,TRUE()))</f>
        <v>1</v>
      </c>
      <c r="W4173" s="55" t="n">
        <f aca="false">IF(V4173,IF(01_因子設定!$B$13="最大化",T4173-01_因子設定!$B$14,IF(01_因子設定!$B$13="最小化",01_因子設定!$B$15-U4173,MIN(T4173-01_因子設定!$B$14,01_因子設定!$B$15-U4173))),-1E+030)</f>
        <v>-2.21459857847284</v>
      </c>
      <c r="X4173" s="55" t="n">
        <f aca="false">IF(V4173,IF(01_因子設定!$B$13="最大化",Q4173,IF(01_因子設定!$B$13="最小化",-Q4173,-ABS(Q4173-01_因子設定!$B$16))),-1E+030)</f>
        <v>47.3302698863636</v>
      </c>
      <c r="Y4173" s="55" t="n">
        <f aca="false">W4173+ROW()*0.000000001</f>
        <v>-2.21459440547284</v>
      </c>
      <c r="Z4173" s="55" t="n">
        <f aca="false">X4173+ROW()*0.000000001</f>
        <v>47.3302740593636</v>
      </c>
    </row>
    <row r="4174" customFormat="false" ht="15" hidden="false" customHeight="false" outlineLevel="0" collapsed="false">
      <c r="A4174" s="0" t="n">
        <v>14</v>
      </c>
      <c r="B4174" s="0" t="n">
        <v>7</v>
      </c>
      <c r="C4174" s="0" t="n">
        <v>4</v>
      </c>
      <c r="D4174" s="0" t="n">
        <f aca="false">-1+A4174*0.125</f>
        <v>0.75</v>
      </c>
      <c r="E4174" s="0" t="n">
        <f aca="false">-1+B4174*0.125</f>
        <v>-0.125</v>
      </c>
      <c r="F4174" s="0" t="n">
        <f aca="false">-1+C4174*0.125</f>
        <v>-0.5</v>
      </c>
      <c r="G4174" s="0" t="n">
        <f aca="false">1</f>
        <v>1</v>
      </c>
      <c r="H4174" s="0" t="n">
        <f aca="false">D4174</f>
        <v>0.75</v>
      </c>
      <c r="I4174" s="0" t="n">
        <f aca="false">E4174</f>
        <v>-0.125</v>
      </c>
      <c r="J4174" s="0" t="n">
        <f aca="false">F4174</f>
        <v>-0.5</v>
      </c>
      <c r="K4174" s="0" t="n">
        <f aca="false">D4174*E4174</f>
        <v>-0.09375</v>
      </c>
      <c r="L4174" s="0" t="n">
        <f aca="false">D4174*F4174</f>
        <v>-0.375</v>
      </c>
      <c r="M4174" s="0" t="n">
        <f aca="false">E4174*F4174</f>
        <v>0.0625</v>
      </c>
      <c r="N4174" s="0" t="n">
        <f aca="false">D4174*D4174</f>
        <v>0.5625</v>
      </c>
      <c r="O4174" s="0" t="n">
        <f aca="false">E4174*E4174</f>
        <v>0.015625</v>
      </c>
      <c r="P4174" s="0" t="n">
        <f aca="false">F4174*F4174</f>
        <v>0.25</v>
      </c>
      <c r="Q4174" s="0" t="n">
        <f aca="false">SUMPRODUCT(G4174:P4174,_XtX!$B$71:$K$71)</f>
        <v>47.6472301136364</v>
      </c>
      <c r="R4174" s="0" t="n">
        <f aca="false">SUMPRODUCT(MMULT(G4174:P4174,_XtX!$B$58:$K$67),G4174:P4174)</f>
        <v>0.240933504971591</v>
      </c>
      <c r="S4174" s="0" t="n">
        <f aca="false">04_回帰ANOVA!$K$19*04_回帰ANOVA!$K$14*SQRT(1+R4174)</f>
        <v>1.03571649118863</v>
      </c>
      <c r="T4174" s="0" t="n">
        <f aca="false">Q4174-S4174</f>
        <v>46.6115136224477</v>
      </c>
      <c r="U4174" s="0" t="n">
        <f aca="false">Q4174+S4174</f>
        <v>48.682946604825</v>
      </c>
      <c r="V4174" s="54" t="b">
        <f aca="false">AND(D4174&gt;=01_因子設定!$L$5-0.000000001,D4174&lt;=01_因子設定!$M$5+0.000000001,E4174&gt;=01_因子設定!$L$6-0.000000001,E4174&lt;=01_因子設定!$M$6+0.000000001,F4174&gt;=01_因子設定!$L$7-0.000000001,F4174&lt;=01_因子設定!$M$7+0.000000001,IF(01_因子設定!$B$20="Box-Behnken",D4174^2+E4174^2+F4174^2&lt;=2+0.000000001,TRUE()))</f>
        <v>1</v>
      </c>
      <c r="W4174" s="55" t="n">
        <f aca="false">IF(V4174,IF(01_因子設定!$B$13="最大化",T4174-01_因子設定!$B$14,IF(01_因子設定!$B$13="最小化",01_因子設定!$B$15-U4174,MIN(T4174-01_因子設定!$B$14,01_因子設定!$B$15-U4174))),-1E+030)</f>
        <v>-1.88848637755225</v>
      </c>
      <c r="X4174" s="55" t="n">
        <f aca="false">IF(V4174,IF(01_因子設定!$B$13="最大化",Q4174,IF(01_因子設定!$B$13="最小化",-Q4174,-ABS(Q4174-01_因子設定!$B$16))),-1E+030)</f>
        <v>47.6472301136364</v>
      </c>
      <c r="Y4174" s="55" t="n">
        <f aca="false">W4174+ROW()*0.000000001</f>
        <v>-1.88848220355225</v>
      </c>
      <c r="Z4174" s="55" t="n">
        <f aca="false">X4174+ROW()*0.000000001</f>
        <v>47.6472342876364</v>
      </c>
    </row>
    <row r="4175" customFormat="false" ht="15" hidden="false" customHeight="false" outlineLevel="0" collapsed="false">
      <c r="A4175" s="0" t="n">
        <v>14</v>
      </c>
      <c r="B4175" s="0" t="n">
        <v>7</v>
      </c>
      <c r="C4175" s="0" t="n">
        <v>5</v>
      </c>
      <c r="D4175" s="0" t="n">
        <f aca="false">-1+A4175*0.125</f>
        <v>0.75</v>
      </c>
      <c r="E4175" s="0" t="n">
        <f aca="false">-1+B4175*0.125</f>
        <v>-0.125</v>
      </c>
      <c r="F4175" s="0" t="n">
        <f aca="false">-1+C4175*0.125</f>
        <v>-0.375</v>
      </c>
      <c r="G4175" s="0" t="n">
        <f aca="false">1</f>
        <v>1</v>
      </c>
      <c r="H4175" s="0" t="n">
        <f aca="false">D4175</f>
        <v>0.75</v>
      </c>
      <c r="I4175" s="0" t="n">
        <f aca="false">E4175</f>
        <v>-0.125</v>
      </c>
      <c r="J4175" s="0" t="n">
        <f aca="false">F4175</f>
        <v>-0.375</v>
      </c>
      <c r="K4175" s="0" t="n">
        <f aca="false">D4175*E4175</f>
        <v>-0.09375</v>
      </c>
      <c r="L4175" s="0" t="n">
        <f aca="false">D4175*F4175</f>
        <v>-0.28125</v>
      </c>
      <c r="M4175" s="0" t="n">
        <f aca="false">E4175*F4175</f>
        <v>0.046875</v>
      </c>
      <c r="N4175" s="0" t="n">
        <f aca="false">D4175*D4175</f>
        <v>0.5625</v>
      </c>
      <c r="O4175" s="0" t="n">
        <f aca="false">E4175*E4175</f>
        <v>0.015625</v>
      </c>
      <c r="P4175" s="0" t="n">
        <f aca="false">F4175*F4175</f>
        <v>0.140625</v>
      </c>
      <c r="Q4175" s="0" t="n">
        <f aca="false">SUMPRODUCT(G4175:P4175,_XtX!$B$71:$K$71)</f>
        <v>47.9274005681818</v>
      </c>
      <c r="R4175" s="0" t="n">
        <f aca="false">SUMPRODUCT(MMULT(G4175:P4175,_XtX!$B$58:$K$67),G4175:P4175)</f>
        <v>0.233744118430398</v>
      </c>
      <c r="S4175" s="0" t="n">
        <f aca="false">04_回帰ANOVA!$K$19*04_回帰ANOVA!$K$14*SQRT(1+R4175)</f>
        <v>1.0327119053564</v>
      </c>
      <c r="T4175" s="0" t="n">
        <f aca="false">Q4175-S4175</f>
        <v>46.8946886628254</v>
      </c>
      <c r="U4175" s="0" t="n">
        <f aca="false">Q4175+S4175</f>
        <v>48.9601124735382</v>
      </c>
      <c r="V4175" s="54" t="b">
        <f aca="false">AND(D4175&gt;=01_因子設定!$L$5-0.000000001,D4175&lt;=01_因子設定!$M$5+0.000000001,E4175&gt;=01_因子設定!$L$6-0.000000001,E4175&lt;=01_因子設定!$M$6+0.000000001,F4175&gt;=01_因子設定!$L$7-0.000000001,F4175&lt;=01_因子設定!$M$7+0.000000001,IF(01_因子設定!$B$20="Box-Behnken",D4175^2+E4175^2+F4175^2&lt;=2+0.000000001,TRUE()))</f>
        <v>1</v>
      </c>
      <c r="W4175" s="55" t="n">
        <f aca="false">IF(V4175,IF(01_因子設定!$B$13="最大化",T4175-01_因子設定!$B$14,IF(01_因子設定!$B$13="最小化",01_因子設定!$B$15-U4175,MIN(T4175-01_因子設定!$B$14,01_因子設定!$B$15-U4175))),-1E+030)</f>
        <v>-1.60531133717458</v>
      </c>
      <c r="X4175" s="55" t="n">
        <f aca="false">IF(V4175,IF(01_因子設定!$B$13="最大化",Q4175,IF(01_因子設定!$B$13="最小化",-Q4175,-ABS(Q4175-01_因子設定!$B$16))),-1E+030)</f>
        <v>47.9274005681818</v>
      </c>
      <c r="Y4175" s="55" t="n">
        <f aca="false">W4175+ROW()*0.000000001</f>
        <v>-1.60530716217458</v>
      </c>
      <c r="Z4175" s="55" t="n">
        <f aca="false">X4175+ROW()*0.000000001</f>
        <v>47.9274047431818</v>
      </c>
    </row>
    <row r="4176" customFormat="false" ht="15" hidden="false" customHeight="false" outlineLevel="0" collapsed="false">
      <c r="A4176" s="0" t="n">
        <v>14</v>
      </c>
      <c r="B4176" s="0" t="n">
        <v>7</v>
      </c>
      <c r="C4176" s="0" t="n">
        <v>6</v>
      </c>
      <c r="D4176" s="0" t="n">
        <f aca="false">-1+A4176*0.125</f>
        <v>0.75</v>
      </c>
      <c r="E4176" s="0" t="n">
        <f aca="false">-1+B4176*0.125</f>
        <v>-0.125</v>
      </c>
      <c r="F4176" s="0" t="n">
        <f aca="false">-1+C4176*0.125</f>
        <v>-0.25</v>
      </c>
      <c r="G4176" s="0" t="n">
        <f aca="false">1</f>
        <v>1</v>
      </c>
      <c r="H4176" s="0" t="n">
        <f aca="false">D4176</f>
        <v>0.75</v>
      </c>
      <c r="I4176" s="0" t="n">
        <f aca="false">E4176</f>
        <v>-0.125</v>
      </c>
      <c r="J4176" s="0" t="n">
        <f aca="false">F4176</f>
        <v>-0.25</v>
      </c>
      <c r="K4176" s="0" t="n">
        <f aca="false">D4176*E4176</f>
        <v>-0.09375</v>
      </c>
      <c r="L4176" s="0" t="n">
        <f aca="false">D4176*F4176</f>
        <v>-0.1875</v>
      </c>
      <c r="M4176" s="0" t="n">
        <f aca="false">E4176*F4176</f>
        <v>0.03125</v>
      </c>
      <c r="N4176" s="0" t="n">
        <f aca="false">D4176*D4176</f>
        <v>0.5625</v>
      </c>
      <c r="O4176" s="0" t="n">
        <f aca="false">E4176*E4176</f>
        <v>0.015625</v>
      </c>
      <c r="P4176" s="0" t="n">
        <f aca="false">F4176*F4176</f>
        <v>0.0625</v>
      </c>
      <c r="Q4176" s="0" t="n">
        <f aca="false">SUMPRODUCT(G4176:P4176,_XtX!$B$71:$K$71)</f>
        <v>48.17078125</v>
      </c>
      <c r="R4176" s="0" t="n">
        <f aca="false">SUMPRODUCT(MMULT(G4176:P4176,_XtX!$B$58:$K$67),G4176:P4176)</f>
        <v>0.233935546875</v>
      </c>
      <c r="S4176" s="0" t="n">
        <f aca="false">04_回帰ANOVA!$K$19*04_回帰ANOVA!$K$14*SQRT(1+R4176)</f>
        <v>1.03279202033444</v>
      </c>
      <c r="T4176" s="0" t="n">
        <f aca="false">Q4176-S4176</f>
        <v>47.1379892296656</v>
      </c>
      <c r="U4176" s="0" t="n">
        <f aca="false">Q4176+S4176</f>
        <v>49.2035732703344</v>
      </c>
      <c r="V4176" s="54" t="b">
        <f aca="false">AND(D4176&gt;=01_因子設定!$L$5-0.000000001,D4176&lt;=01_因子設定!$M$5+0.000000001,E4176&gt;=01_因子設定!$L$6-0.000000001,E4176&lt;=01_因子設定!$M$6+0.000000001,F4176&gt;=01_因子設定!$L$7-0.000000001,F4176&lt;=01_因子設定!$M$7+0.000000001,IF(01_因子設定!$B$20="Box-Behnken",D4176^2+E4176^2+F4176^2&lt;=2+0.000000001,TRUE()))</f>
        <v>1</v>
      </c>
      <c r="W4176" s="55" t="n">
        <f aca="false">IF(V4176,IF(01_因子設定!$B$13="最大化",T4176-01_因子設定!$B$14,IF(01_因子設定!$B$13="最小化",01_因子設定!$B$15-U4176,MIN(T4176-01_因子設定!$B$14,01_因子設定!$B$15-U4176))),-1E+030)</f>
        <v>-1.36201077033444</v>
      </c>
      <c r="X4176" s="55" t="n">
        <f aca="false">IF(V4176,IF(01_因子設定!$B$13="最大化",Q4176,IF(01_因子設定!$B$13="最小化",-Q4176,-ABS(Q4176-01_因子設定!$B$16))),-1E+030)</f>
        <v>48.17078125</v>
      </c>
      <c r="Y4176" s="55" t="n">
        <f aca="false">W4176+ROW()*0.000000001</f>
        <v>-1.36200659433444</v>
      </c>
      <c r="Z4176" s="55" t="n">
        <f aca="false">X4176+ROW()*0.000000001</f>
        <v>48.170785426</v>
      </c>
    </row>
    <row r="4177" customFormat="false" ht="15" hidden="false" customHeight="false" outlineLevel="0" collapsed="false">
      <c r="A4177" s="0" t="n">
        <v>14</v>
      </c>
      <c r="B4177" s="0" t="n">
        <v>7</v>
      </c>
      <c r="C4177" s="0" t="n">
        <v>7</v>
      </c>
      <c r="D4177" s="0" t="n">
        <f aca="false">-1+A4177*0.125</f>
        <v>0.75</v>
      </c>
      <c r="E4177" s="0" t="n">
        <f aca="false">-1+B4177*0.125</f>
        <v>-0.125</v>
      </c>
      <c r="F4177" s="0" t="n">
        <f aca="false">-1+C4177*0.125</f>
        <v>-0.125</v>
      </c>
      <c r="G4177" s="0" t="n">
        <f aca="false">1</f>
        <v>1</v>
      </c>
      <c r="H4177" s="0" t="n">
        <f aca="false">D4177</f>
        <v>0.75</v>
      </c>
      <c r="I4177" s="0" t="n">
        <f aca="false">E4177</f>
        <v>-0.125</v>
      </c>
      <c r="J4177" s="0" t="n">
        <f aca="false">F4177</f>
        <v>-0.125</v>
      </c>
      <c r="K4177" s="0" t="n">
        <f aca="false">D4177*E4177</f>
        <v>-0.09375</v>
      </c>
      <c r="L4177" s="0" t="n">
        <f aca="false">D4177*F4177</f>
        <v>-0.09375</v>
      </c>
      <c r="M4177" s="0" t="n">
        <f aca="false">E4177*F4177</f>
        <v>0.015625</v>
      </c>
      <c r="N4177" s="0" t="n">
        <f aca="false">D4177*D4177</f>
        <v>0.5625</v>
      </c>
      <c r="O4177" s="0" t="n">
        <f aca="false">E4177*E4177</f>
        <v>0.015625</v>
      </c>
      <c r="P4177" s="0" t="n">
        <f aca="false">F4177*F4177</f>
        <v>0.015625</v>
      </c>
      <c r="Q4177" s="0" t="n">
        <f aca="false">SUMPRODUCT(G4177:P4177,_XtX!$B$71:$K$71)</f>
        <v>48.3773721590909</v>
      </c>
      <c r="R4177" s="0" t="n">
        <f aca="false">SUMPRODUCT(MMULT(G4177:P4177,_XtX!$B$58:$K$67),G4177:P4177)</f>
        <v>0.236181085759943</v>
      </c>
      <c r="S4177" s="0" t="n">
        <f aca="false">04_回帰ANOVA!$K$19*04_回帰ANOVA!$K$14*SQRT(1+R4177)</f>
        <v>1.03373134025567</v>
      </c>
      <c r="T4177" s="0" t="n">
        <f aca="false">Q4177-S4177</f>
        <v>47.3436408188352</v>
      </c>
      <c r="U4177" s="0" t="n">
        <f aca="false">Q4177+S4177</f>
        <v>49.4111034993466</v>
      </c>
      <c r="V4177" s="54" t="b">
        <f aca="false">AND(D4177&gt;=01_因子設定!$L$5-0.000000001,D4177&lt;=01_因子設定!$M$5+0.000000001,E4177&gt;=01_因子設定!$L$6-0.000000001,E4177&lt;=01_因子設定!$M$6+0.000000001,F4177&gt;=01_因子設定!$L$7-0.000000001,F4177&lt;=01_因子設定!$M$7+0.000000001,IF(01_因子設定!$B$20="Box-Behnken",D4177^2+E4177^2+F4177^2&lt;=2+0.000000001,TRUE()))</f>
        <v>1</v>
      </c>
      <c r="W4177" s="55" t="n">
        <f aca="false">IF(V4177,IF(01_因子設定!$B$13="最大化",T4177-01_因子設定!$B$14,IF(01_因子設定!$B$13="最小化",01_因子設定!$B$15-U4177,MIN(T4177-01_因子設定!$B$14,01_因子設定!$B$15-U4177))),-1E+030)</f>
        <v>-1.15635918116477</v>
      </c>
      <c r="X4177" s="55" t="n">
        <f aca="false">IF(V4177,IF(01_因子設定!$B$13="最大化",Q4177,IF(01_因子設定!$B$13="最小化",-Q4177,-ABS(Q4177-01_因子設定!$B$16))),-1E+030)</f>
        <v>48.3773721590909</v>
      </c>
      <c r="Y4177" s="55" t="n">
        <f aca="false">W4177+ROW()*0.000000001</f>
        <v>-1.15635500416477</v>
      </c>
      <c r="Z4177" s="55" t="n">
        <f aca="false">X4177+ROW()*0.000000001</f>
        <v>48.3773763360909</v>
      </c>
    </row>
    <row r="4178" customFormat="false" ht="15" hidden="false" customHeight="false" outlineLevel="0" collapsed="false">
      <c r="A4178" s="0" t="n">
        <v>14</v>
      </c>
      <c r="B4178" s="0" t="n">
        <v>7</v>
      </c>
      <c r="C4178" s="0" t="n">
        <v>8</v>
      </c>
      <c r="D4178" s="0" t="n">
        <f aca="false">-1+A4178*0.125</f>
        <v>0.75</v>
      </c>
      <c r="E4178" s="0" t="n">
        <f aca="false">-1+B4178*0.125</f>
        <v>-0.125</v>
      </c>
      <c r="F4178" s="0" t="n">
        <f aca="false">-1+C4178*0.125</f>
        <v>0</v>
      </c>
      <c r="G4178" s="0" t="n">
        <f aca="false">1</f>
        <v>1</v>
      </c>
      <c r="H4178" s="0" t="n">
        <f aca="false">D4178</f>
        <v>0.75</v>
      </c>
      <c r="I4178" s="0" t="n">
        <f aca="false">E4178</f>
        <v>-0.125</v>
      </c>
      <c r="J4178" s="0" t="n">
        <f aca="false">F4178</f>
        <v>0</v>
      </c>
      <c r="K4178" s="0" t="n">
        <f aca="false">D4178*E4178</f>
        <v>-0.09375</v>
      </c>
      <c r="L4178" s="0" t="n">
        <f aca="false">D4178*F4178</f>
        <v>0</v>
      </c>
      <c r="M4178" s="0" t="n">
        <f aca="false">E4178*F4178</f>
        <v>-0</v>
      </c>
      <c r="N4178" s="0" t="n">
        <f aca="false">D4178*D4178</f>
        <v>0.5625</v>
      </c>
      <c r="O4178" s="0" t="n">
        <f aca="false">E4178*E4178</f>
        <v>0.015625</v>
      </c>
      <c r="P4178" s="0" t="n">
        <f aca="false">F4178*F4178</f>
        <v>0</v>
      </c>
      <c r="Q4178" s="0" t="n">
        <f aca="false">SUMPRODUCT(G4178:P4178,_XtX!$B$71:$K$71)</f>
        <v>48.5471732954545</v>
      </c>
      <c r="R4178" s="0" t="n">
        <f aca="false">SUMPRODUCT(MMULT(G4178:P4178,_XtX!$B$58:$K$67),G4178:P4178)</f>
        <v>0.237284712357955</v>
      </c>
      <c r="S4178" s="0" t="n">
        <f aca="false">04_回帰ANOVA!$K$19*04_回帰ANOVA!$K$14*SQRT(1+R4178)</f>
        <v>1.03419267998124</v>
      </c>
      <c r="T4178" s="0" t="n">
        <f aca="false">Q4178-S4178</f>
        <v>47.5129806154733</v>
      </c>
      <c r="U4178" s="0" t="n">
        <f aca="false">Q4178+S4178</f>
        <v>49.5813659754358</v>
      </c>
      <c r="V4178" s="54" t="b">
        <f aca="false">AND(D4178&gt;=01_因子設定!$L$5-0.000000001,D4178&lt;=01_因子設定!$M$5+0.000000001,E4178&gt;=01_因子設定!$L$6-0.000000001,E4178&lt;=01_因子設定!$M$6+0.000000001,F4178&gt;=01_因子設定!$L$7-0.000000001,F4178&lt;=01_因子設定!$M$7+0.000000001,IF(01_因子設定!$B$20="Box-Behnken",D4178^2+E4178^2+F4178^2&lt;=2+0.000000001,TRUE()))</f>
        <v>1</v>
      </c>
      <c r="W4178" s="55" t="n">
        <f aca="false">IF(V4178,IF(01_因子設定!$B$13="最大化",T4178-01_因子設定!$B$14,IF(01_因子設定!$B$13="最小化",01_因子設定!$B$15-U4178,MIN(T4178-01_因子設定!$B$14,01_因子設定!$B$15-U4178))),-1E+030)</f>
        <v>-0.987019384526697</v>
      </c>
      <c r="X4178" s="55" t="n">
        <f aca="false">IF(V4178,IF(01_因子設定!$B$13="最大化",Q4178,IF(01_因子設定!$B$13="最小化",-Q4178,-ABS(Q4178-01_因子設定!$B$16))),-1E+030)</f>
        <v>48.5471732954545</v>
      </c>
      <c r="Y4178" s="55" t="n">
        <f aca="false">W4178+ROW()*0.000000001</f>
        <v>-0.987015206526697</v>
      </c>
      <c r="Z4178" s="55" t="n">
        <f aca="false">X4178+ROW()*0.000000001</f>
        <v>48.5471774734545</v>
      </c>
    </row>
    <row r="4179" customFormat="false" ht="15" hidden="false" customHeight="false" outlineLevel="0" collapsed="false">
      <c r="A4179" s="0" t="n">
        <v>14</v>
      </c>
      <c r="B4179" s="0" t="n">
        <v>7</v>
      </c>
      <c r="C4179" s="0" t="n">
        <v>9</v>
      </c>
      <c r="D4179" s="0" t="n">
        <f aca="false">-1+A4179*0.125</f>
        <v>0.75</v>
      </c>
      <c r="E4179" s="0" t="n">
        <f aca="false">-1+B4179*0.125</f>
        <v>-0.125</v>
      </c>
      <c r="F4179" s="0" t="n">
        <f aca="false">-1+C4179*0.125</f>
        <v>0.125</v>
      </c>
      <c r="G4179" s="0" t="n">
        <f aca="false">1</f>
        <v>1</v>
      </c>
      <c r="H4179" s="0" t="n">
        <f aca="false">D4179</f>
        <v>0.75</v>
      </c>
      <c r="I4179" s="0" t="n">
        <f aca="false">E4179</f>
        <v>-0.125</v>
      </c>
      <c r="J4179" s="0" t="n">
        <f aca="false">F4179</f>
        <v>0.125</v>
      </c>
      <c r="K4179" s="0" t="n">
        <f aca="false">D4179*E4179</f>
        <v>-0.09375</v>
      </c>
      <c r="L4179" s="0" t="n">
        <f aca="false">D4179*F4179</f>
        <v>0.09375</v>
      </c>
      <c r="M4179" s="0" t="n">
        <f aca="false">E4179*F4179</f>
        <v>-0.015625</v>
      </c>
      <c r="N4179" s="0" t="n">
        <f aca="false">D4179*D4179</f>
        <v>0.5625</v>
      </c>
      <c r="O4179" s="0" t="n">
        <f aca="false">E4179*E4179</f>
        <v>0.015625</v>
      </c>
      <c r="P4179" s="0" t="n">
        <f aca="false">F4179*F4179</f>
        <v>0.015625</v>
      </c>
      <c r="Q4179" s="0" t="n">
        <f aca="false">SUMPRODUCT(G4179:P4179,_XtX!$B$71:$K$71)</f>
        <v>48.6801846590909</v>
      </c>
      <c r="R4179" s="0" t="n">
        <f aca="false">SUMPRODUCT(MMULT(G4179:P4179,_XtX!$B$58:$K$67),G4179:P4179)</f>
        <v>0.236181085759943</v>
      </c>
      <c r="S4179" s="0" t="n">
        <f aca="false">04_回帰ANOVA!$K$19*04_回帰ANOVA!$K$14*SQRT(1+R4179)</f>
        <v>1.03373134025567</v>
      </c>
      <c r="T4179" s="0" t="n">
        <f aca="false">Q4179-S4179</f>
        <v>47.6464533188352</v>
      </c>
      <c r="U4179" s="0" t="n">
        <f aca="false">Q4179+S4179</f>
        <v>49.7139159993466</v>
      </c>
      <c r="V4179" s="54" t="b">
        <f aca="false">AND(D4179&gt;=01_因子設定!$L$5-0.000000001,D4179&lt;=01_因子設定!$M$5+0.000000001,E4179&gt;=01_因子設定!$L$6-0.000000001,E4179&lt;=01_因子設定!$M$6+0.000000001,F4179&gt;=01_因子設定!$L$7-0.000000001,F4179&lt;=01_因子設定!$M$7+0.000000001,IF(01_因子設定!$B$20="Box-Behnken",D4179^2+E4179^2+F4179^2&lt;=2+0.000000001,TRUE()))</f>
        <v>1</v>
      </c>
      <c r="W4179" s="55" t="n">
        <f aca="false">IF(V4179,IF(01_因子設定!$B$13="最大化",T4179-01_因子設定!$B$14,IF(01_因子設定!$B$13="最小化",01_因子設定!$B$15-U4179,MIN(T4179-01_因子設定!$B$14,01_因子設定!$B$15-U4179))),-1E+030)</f>
        <v>-0.853546681164772</v>
      </c>
      <c r="X4179" s="55" t="n">
        <f aca="false">IF(V4179,IF(01_因子設定!$B$13="最大化",Q4179,IF(01_因子設定!$B$13="最小化",-Q4179,-ABS(Q4179-01_因子設定!$B$16))),-1E+030)</f>
        <v>48.6801846590909</v>
      </c>
      <c r="Y4179" s="55" t="n">
        <f aca="false">W4179+ROW()*0.000000001</f>
        <v>-0.853542502164772</v>
      </c>
      <c r="Z4179" s="55" t="n">
        <f aca="false">X4179+ROW()*0.000000001</f>
        <v>48.6801888380909</v>
      </c>
    </row>
    <row r="4180" customFormat="false" ht="15" hidden="false" customHeight="false" outlineLevel="0" collapsed="false">
      <c r="A4180" s="0" t="n">
        <v>14</v>
      </c>
      <c r="B4180" s="0" t="n">
        <v>7</v>
      </c>
      <c r="C4180" s="0" t="n">
        <v>10</v>
      </c>
      <c r="D4180" s="0" t="n">
        <f aca="false">-1+A4180*0.125</f>
        <v>0.75</v>
      </c>
      <c r="E4180" s="0" t="n">
        <f aca="false">-1+B4180*0.125</f>
        <v>-0.125</v>
      </c>
      <c r="F4180" s="0" t="n">
        <f aca="false">-1+C4180*0.125</f>
        <v>0.25</v>
      </c>
      <c r="G4180" s="0" t="n">
        <f aca="false">1</f>
        <v>1</v>
      </c>
      <c r="H4180" s="0" t="n">
        <f aca="false">D4180</f>
        <v>0.75</v>
      </c>
      <c r="I4180" s="0" t="n">
        <f aca="false">E4180</f>
        <v>-0.125</v>
      </c>
      <c r="J4180" s="0" t="n">
        <f aca="false">F4180</f>
        <v>0.25</v>
      </c>
      <c r="K4180" s="0" t="n">
        <f aca="false">D4180*E4180</f>
        <v>-0.09375</v>
      </c>
      <c r="L4180" s="0" t="n">
        <f aca="false">D4180*F4180</f>
        <v>0.1875</v>
      </c>
      <c r="M4180" s="0" t="n">
        <f aca="false">E4180*F4180</f>
        <v>-0.03125</v>
      </c>
      <c r="N4180" s="0" t="n">
        <f aca="false">D4180*D4180</f>
        <v>0.5625</v>
      </c>
      <c r="O4180" s="0" t="n">
        <f aca="false">E4180*E4180</f>
        <v>0.015625</v>
      </c>
      <c r="P4180" s="0" t="n">
        <f aca="false">F4180*F4180</f>
        <v>0.0625</v>
      </c>
      <c r="Q4180" s="0" t="n">
        <f aca="false">SUMPRODUCT(G4180:P4180,_XtX!$B$71:$K$71)</f>
        <v>48.77640625</v>
      </c>
      <c r="R4180" s="0" t="n">
        <f aca="false">SUMPRODUCT(MMULT(G4180:P4180,_XtX!$B$58:$K$67),G4180:P4180)</f>
        <v>0.233935546875</v>
      </c>
      <c r="S4180" s="0" t="n">
        <f aca="false">04_回帰ANOVA!$K$19*04_回帰ANOVA!$K$14*SQRT(1+R4180)</f>
        <v>1.03279202033444</v>
      </c>
      <c r="T4180" s="0" t="n">
        <f aca="false">Q4180-S4180</f>
        <v>47.7436142296656</v>
      </c>
      <c r="U4180" s="0" t="n">
        <f aca="false">Q4180+S4180</f>
        <v>49.8091982703344</v>
      </c>
      <c r="V4180" s="54" t="b">
        <f aca="false">AND(D4180&gt;=01_因子設定!$L$5-0.000000001,D4180&lt;=01_因子設定!$M$5+0.000000001,E4180&gt;=01_因子設定!$L$6-0.000000001,E4180&lt;=01_因子設定!$M$6+0.000000001,F4180&gt;=01_因子設定!$L$7-0.000000001,F4180&lt;=01_因子設定!$M$7+0.000000001,IF(01_因子設定!$B$20="Box-Behnken",D4180^2+E4180^2+F4180^2&lt;=2+0.000000001,TRUE()))</f>
        <v>1</v>
      </c>
      <c r="W4180" s="55" t="n">
        <f aca="false">IF(V4180,IF(01_因子設定!$B$13="最大化",T4180-01_因子設定!$B$14,IF(01_因子設定!$B$13="最小化",01_因子設定!$B$15-U4180,MIN(T4180-01_因子設定!$B$14,01_因子設定!$B$15-U4180))),-1E+030)</f>
        <v>-0.75638577033444</v>
      </c>
      <c r="X4180" s="55" t="n">
        <f aca="false">IF(V4180,IF(01_因子設定!$B$13="最大化",Q4180,IF(01_因子設定!$B$13="最小化",-Q4180,-ABS(Q4180-01_因子設定!$B$16))),-1E+030)</f>
        <v>48.77640625</v>
      </c>
      <c r="Y4180" s="55" t="n">
        <f aca="false">W4180+ROW()*0.000000001</f>
        <v>-0.75638159033444</v>
      </c>
      <c r="Z4180" s="55" t="n">
        <f aca="false">X4180+ROW()*0.000000001</f>
        <v>48.77641043</v>
      </c>
    </row>
    <row r="4181" customFormat="false" ht="15" hidden="false" customHeight="false" outlineLevel="0" collapsed="false">
      <c r="A4181" s="0" t="n">
        <v>14</v>
      </c>
      <c r="B4181" s="0" t="n">
        <v>7</v>
      </c>
      <c r="C4181" s="0" t="n">
        <v>11</v>
      </c>
      <c r="D4181" s="0" t="n">
        <f aca="false">-1+A4181*0.125</f>
        <v>0.75</v>
      </c>
      <c r="E4181" s="0" t="n">
        <f aca="false">-1+B4181*0.125</f>
        <v>-0.125</v>
      </c>
      <c r="F4181" s="0" t="n">
        <f aca="false">-1+C4181*0.125</f>
        <v>0.375</v>
      </c>
      <c r="G4181" s="0" t="n">
        <f aca="false">1</f>
        <v>1</v>
      </c>
      <c r="H4181" s="0" t="n">
        <f aca="false">D4181</f>
        <v>0.75</v>
      </c>
      <c r="I4181" s="0" t="n">
        <f aca="false">E4181</f>
        <v>-0.125</v>
      </c>
      <c r="J4181" s="0" t="n">
        <f aca="false">F4181</f>
        <v>0.375</v>
      </c>
      <c r="K4181" s="0" t="n">
        <f aca="false">D4181*E4181</f>
        <v>-0.09375</v>
      </c>
      <c r="L4181" s="0" t="n">
        <f aca="false">D4181*F4181</f>
        <v>0.28125</v>
      </c>
      <c r="M4181" s="0" t="n">
        <f aca="false">E4181*F4181</f>
        <v>-0.046875</v>
      </c>
      <c r="N4181" s="0" t="n">
        <f aca="false">D4181*D4181</f>
        <v>0.5625</v>
      </c>
      <c r="O4181" s="0" t="n">
        <f aca="false">E4181*E4181</f>
        <v>0.015625</v>
      </c>
      <c r="P4181" s="0" t="n">
        <f aca="false">F4181*F4181</f>
        <v>0.140625</v>
      </c>
      <c r="Q4181" s="0" t="n">
        <f aca="false">SUMPRODUCT(G4181:P4181,_XtX!$B$71:$K$71)</f>
        <v>48.8358380681818</v>
      </c>
      <c r="R4181" s="0" t="n">
        <f aca="false">SUMPRODUCT(MMULT(G4181:P4181,_XtX!$B$58:$K$67),G4181:P4181)</f>
        <v>0.233744118430398</v>
      </c>
      <c r="S4181" s="0" t="n">
        <f aca="false">04_回帰ANOVA!$K$19*04_回帰ANOVA!$K$14*SQRT(1+R4181)</f>
        <v>1.0327119053564</v>
      </c>
      <c r="T4181" s="0" t="n">
        <f aca="false">Q4181-S4181</f>
        <v>47.8031261628254</v>
      </c>
      <c r="U4181" s="0" t="n">
        <f aca="false">Q4181+S4181</f>
        <v>49.8685499735382</v>
      </c>
      <c r="V4181" s="54" t="b">
        <f aca="false">AND(D4181&gt;=01_因子設定!$L$5-0.000000001,D4181&lt;=01_因子設定!$M$5+0.000000001,E4181&gt;=01_因子設定!$L$6-0.000000001,E4181&lt;=01_因子設定!$M$6+0.000000001,F4181&gt;=01_因子設定!$L$7-0.000000001,F4181&lt;=01_因子設定!$M$7+0.000000001,IF(01_因子設定!$B$20="Box-Behnken",D4181^2+E4181^2+F4181^2&lt;=2+0.000000001,TRUE()))</f>
        <v>1</v>
      </c>
      <c r="W4181" s="55" t="n">
        <f aca="false">IF(V4181,IF(01_因子設定!$B$13="最大化",T4181-01_因子設定!$B$14,IF(01_因子設定!$B$13="最小化",01_因子設定!$B$15-U4181,MIN(T4181-01_因子設定!$B$14,01_因子設定!$B$15-U4181))),-1E+030)</f>
        <v>-0.696873837174579</v>
      </c>
      <c r="X4181" s="55" t="n">
        <f aca="false">IF(V4181,IF(01_因子設定!$B$13="最大化",Q4181,IF(01_因子設定!$B$13="最小化",-Q4181,-ABS(Q4181-01_因子設定!$B$16))),-1E+030)</f>
        <v>48.8358380681818</v>
      </c>
      <c r="Y4181" s="55" t="n">
        <f aca="false">W4181+ROW()*0.000000001</f>
        <v>-0.696869656174579</v>
      </c>
      <c r="Z4181" s="55" t="n">
        <f aca="false">X4181+ROW()*0.000000001</f>
        <v>48.8358422491818</v>
      </c>
    </row>
    <row r="4182" customFormat="false" ht="15" hidden="false" customHeight="false" outlineLevel="0" collapsed="false">
      <c r="A4182" s="0" t="n">
        <v>14</v>
      </c>
      <c r="B4182" s="0" t="n">
        <v>7</v>
      </c>
      <c r="C4182" s="0" t="n">
        <v>12</v>
      </c>
      <c r="D4182" s="0" t="n">
        <f aca="false">-1+A4182*0.125</f>
        <v>0.75</v>
      </c>
      <c r="E4182" s="0" t="n">
        <f aca="false">-1+B4182*0.125</f>
        <v>-0.125</v>
      </c>
      <c r="F4182" s="0" t="n">
        <f aca="false">-1+C4182*0.125</f>
        <v>0.5</v>
      </c>
      <c r="G4182" s="0" t="n">
        <f aca="false">1</f>
        <v>1</v>
      </c>
      <c r="H4182" s="0" t="n">
        <f aca="false">D4182</f>
        <v>0.75</v>
      </c>
      <c r="I4182" s="0" t="n">
        <f aca="false">E4182</f>
        <v>-0.125</v>
      </c>
      <c r="J4182" s="0" t="n">
        <f aca="false">F4182</f>
        <v>0.5</v>
      </c>
      <c r="K4182" s="0" t="n">
        <f aca="false">D4182*E4182</f>
        <v>-0.09375</v>
      </c>
      <c r="L4182" s="0" t="n">
        <f aca="false">D4182*F4182</f>
        <v>0.375</v>
      </c>
      <c r="M4182" s="0" t="n">
        <f aca="false">E4182*F4182</f>
        <v>-0.0625</v>
      </c>
      <c r="N4182" s="0" t="n">
        <f aca="false">D4182*D4182</f>
        <v>0.5625</v>
      </c>
      <c r="O4182" s="0" t="n">
        <f aca="false">E4182*E4182</f>
        <v>0.015625</v>
      </c>
      <c r="P4182" s="0" t="n">
        <f aca="false">F4182*F4182</f>
        <v>0.25</v>
      </c>
      <c r="Q4182" s="0" t="n">
        <f aca="false">SUMPRODUCT(G4182:P4182,_XtX!$B$71:$K$71)</f>
        <v>48.8584801136364</v>
      </c>
      <c r="R4182" s="0" t="n">
        <f aca="false">SUMPRODUCT(MMULT(G4182:P4182,_XtX!$B$58:$K$67),G4182:P4182)</f>
        <v>0.240933504971591</v>
      </c>
      <c r="S4182" s="0" t="n">
        <f aca="false">04_回帰ANOVA!$K$19*04_回帰ANOVA!$K$14*SQRT(1+R4182)</f>
        <v>1.03571649118863</v>
      </c>
      <c r="T4182" s="0" t="n">
        <f aca="false">Q4182-S4182</f>
        <v>47.8227636224477</v>
      </c>
      <c r="U4182" s="0" t="n">
        <f aca="false">Q4182+S4182</f>
        <v>49.894196604825</v>
      </c>
      <c r="V4182" s="54" t="b">
        <f aca="false">AND(D4182&gt;=01_因子設定!$L$5-0.000000001,D4182&lt;=01_因子設定!$M$5+0.000000001,E4182&gt;=01_因子設定!$L$6-0.000000001,E4182&lt;=01_因子設定!$M$6+0.000000001,F4182&gt;=01_因子設定!$L$7-0.000000001,F4182&lt;=01_因子設定!$M$7+0.000000001,IF(01_因子設定!$B$20="Box-Behnken",D4182^2+E4182^2+F4182^2&lt;=2+0.000000001,TRUE()))</f>
        <v>1</v>
      </c>
      <c r="W4182" s="55" t="n">
        <f aca="false">IF(V4182,IF(01_因子設定!$B$13="最大化",T4182-01_因子設定!$B$14,IF(01_因子設定!$B$13="最小化",01_因子設定!$B$15-U4182,MIN(T4182-01_因子設定!$B$14,01_因子設定!$B$15-U4182))),-1E+030)</f>
        <v>-0.677236377552255</v>
      </c>
      <c r="X4182" s="55" t="n">
        <f aca="false">IF(V4182,IF(01_因子設定!$B$13="最大化",Q4182,IF(01_因子設定!$B$13="最小化",-Q4182,-ABS(Q4182-01_因子設定!$B$16))),-1E+030)</f>
        <v>48.8584801136364</v>
      </c>
      <c r="Y4182" s="55" t="n">
        <f aca="false">W4182+ROW()*0.000000001</f>
        <v>-0.677232195552255</v>
      </c>
      <c r="Z4182" s="55" t="n">
        <f aca="false">X4182+ROW()*0.000000001</f>
        <v>48.8584842956364</v>
      </c>
    </row>
    <row r="4183" customFormat="false" ht="15" hidden="false" customHeight="false" outlineLevel="0" collapsed="false">
      <c r="A4183" s="0" t="n">
        <v>14</v>
      </c>
      <c r="B4183" s="0" t="n">
        <v>7</v>
      </c>
      <c r="C4183" s="0" t="n">
        <v>13</v>
      </c>
      <c r="D4183" s="0" t="n">
        <f aca="false">-1+A4183*0.125</f>
        <v>0.75</v>
      </c>
      <c r="E4183" s="0" t="n">
        <f aca="false">-1+B4183*0.125</f>
        <v>-0.125</v>
      </c>
      <c r="F4183" s="0" t="n">
        <f aca="false">-1+C4183*0.125</f>
        <v>0.625</v>
      </c>
      <c r="G4183" s="0" t="n">
        <f aca="false">1</f>
        <v>1</v>
      </c>
      <c r="H4183" s="0" t="n">
        <f aca="false">D4183</f>
        <v>0.75</v>
      </c>
      <c r="I4183" s="0" t="n">
        <f aca="false">E4183</f>
        <v>-0.125</v>
      </c>
      <c r="J4183" s="0" t="n">
        <f aca="false">F4183</f>
        <v>0.625</v>
      </c>
      <c r="K4183" s="0" t="n">
        <f aca="false">D4183*E4183</f>
        <v>-0.09375</v>
      </c>
      <c r="L4183" s="0" t="n">
        <f aca="false">D4183*F4183</f>
        <v>0.46875</v>
      </c>
      <c r="M4183" s="0" t="n">
        <f aca="false">E4183*F4183</f>
        <v>-0.078125</v>
      </c>
      <c r="N4183" s="0" t="n">
        <f aca="false">D4183*D4183</f>
        <v>0.5625</v>
      </c>
      <c r="O4183" s="0" t="n">
        <f aca="false">E4183*E4183</f>
        <v>0.015625</v>
      </c>
      <c r="P4183" s="0" t="n">
        <f aca="false">F4183*F4183</f>
        <v>0.390625</v>
      </c>
      <c r="Q4183" s="0" t="n">
        <f aca="false">SUMPRODUCT(G4183:P4183,_XtX!$B$71:$K$71)</f>
        <v>48.8443323863636</v>
      </c>
      <c r="R4183" s="0" t="n">
        <f aca="false">SUMPRODUCT(MMULT(G4183:P4183,_XtX!$B$58:$K$67),G4183:P4183)</f>
        <v>0.262961092862216</v>
      </c>
      <c r="S4183" s="0" t="n">
        <f aca="false">04_回帰ANOVA!$K$19*04_回帰ANOVA!$K$14*SQRT(1+R4183)</f>
        <v>1.04486846483649</v>
      </c>
      <c r="T4183" s="0" t="n">
        <f aca="false">Q4183-S4183</f>
        <v>47.7994639215272</v>
      </c>
      <c r="U4183" s="0" t="n">
        <f aca="false">Q4183+S4183</f>
        <v>49.8892008512001</v>
      </c>
      <c r="V4183" s="54" t="b">
        <f aca="false">AND(D4183&gt;=01_因子設定!$L$5-0.000000001,D4183&lt;=01_因子設定!$M$5+0.000000001,E4183&gt;=01_因子設定!$L$6-0.000000001,E4183&lt;=01_因子設定!$M$6+0.000000001,F4183&gt;=01_因子設定!$L$7-0.000000001,F4183&lt;=01_因子設定!$M$7+0.000000001,IF(01_因子設定!$B$20="Box-Behnken",D4183^2+E4183^2+F4183^2&lt;=2+0.000000001,TRUE()))</f>
        <v>1</v>
      </c>
      <c r="W4183" s="55" t="n">
        <f aca="false">IF(V4183,IF(01_因子設定!$B$13="最大化",T4183-01_因子設定!$B$14,IF(01_因子設定!$B$13="最小化",01_因子設定!$B$15-U4183,MIN(T4183-01_因子設定!$B$14,01_因子設定!$B$15-U4183))),-1E+030)</f>
        <v>-0.700536078472844</v>
      </c>
      <c r="X4183" s="55" t="n">
        <f aca="false">IF(V4183,IF(01_因子設定!$B$13="最大化",Q4183,IF(01_因子設定!$B$13="最小化",-Q4183,-ABS(Q4183-01_因子設定!$B$16))),-1E+030)</f>
        <v>48.8443323863636</v>
      </c>
      <c r="Y4183" s="55" t="n">
        <f aca="false">W4183+ROW()*0.000000001</f>
        <v>-0.700531895472844</v>
      </c>
      <c r="Z4183" s="55" t="n">
        <f aca="false">X4183+ROW()*0.000000001</f>
        <v>48.8443365693636</v>
      </c>
    </row>
    <row r="4184" customFormat="false" ht="15" hidden="false" customHeight="false" outlineLevel="0" collapsed="false">
      <c r="A4184" s="0" t="n">
        <v>14</v>
      </c>
      <c r="B4184" s="0" t="n">
        <v>7</v>
      </c>
      <c r="C4184" s="0" t="n">
        <v>14</v>
      </c>
      <c r="D4184" s="0" t="n">
        <f aca="false">-1+A4184*0.125</f>
        <v>0.75</v>
      </c>
      <c r="E4184" s="0" t="n">
        <f aca="false">-1+B4184*0.125</f>
        <v>-0.125</v>
      </c>
      <c r="F4184" s="0" t="n">
        <f aca="false">-1+C4184*0.125</f>
        <v>0.75</v>
      </c>
      <c r="G4184" s="0" t="n">
        <f aca="false">1</f>
        <v>1</v>
      </c>
      <c r="H4184" s="0" t="n">
        <f aca="false">D4184</f>
        <v>0.75</v>
      </c>
      <c r="I4184" s="0" t="n">
        <f aca="false">E4184</f>
        <v>-0.125</v>
      </c>
      <c r="J4184" s="0" t="n">
        <f aca="false">F4184</f>
        <v>0.75</v>
      </c>
      <c r="K4184" s="0" t="n">
        <f aca="false">D4184*E4184</f>
        <v>-0.09375</v>
      </c>
      <c r="L4184" s="0" t="n">
        <f aca="false">D4184*F4184</f>
        <v>0.5625</v>
      </c>
      <c r="M4184" s="0" t="n">
        <f aca="false">E4184*F4184</f>
        <v>-0.09375</v>
      </c>
      <c r="N4184" s="0" t="n">
        <f aca="false">D4184*D4184</f>
        <v>0.5625</v>
      </c>
      <c r="O4184" s="0" t="n">
        <f aca="false">E4184*E4184</f>
        <v>0.015625</v>
      </c>
      <c r="P4184" s="0" t="n">
        <f aca="false">F4184*F4184</f>
        <v>0.5625</v>
      </c>
      <c r="Q4184" s="0" t="n">
        <f aca="false">SUMPRODUCT(G4184:P4184,_XtX!$B$71:$K$71)</f>
        <v>48.7933948863636</v>
      </c>
      <c r="R4184" s="0" t="n">
        <f aca="false">SUMPRODUCT(MMULT(G4184:P4184,_XtX!$B$58:$K$67),G4184:P4184)</f>
        <v>0.309414950284091</v>
      </c>
      <c r="S4184" s="0" t="n">
        <f aca="false">04_回帰ANOVA!$K$19*04_回帰ANOVA!$K$14*SQRT(1+R4184)</f>
        <v>1.06391096196568</v>
      </c>
      <c r="T4184" s="0" t="n">
        <f aca="false">Q4184-S4184</f>
        <v>47.729483924398</v>
      </c>
      <c r="U4184" s="0" t="n">
        <f aca="false">Q4184+S4184</f>
        <v>49.8573058483293</v>
      </c>
      <c r="V4184" s="54" t="b">
        <f aca="false">AND(D4184&gt;=01_因子設定!$L$5-0.000000001,D4184&lt;=01_因子設定!$M$5+0.000000001,E4184&gt;=01_因子設定!$L$6-0.000000001,E4184&lt;=01_因子設定!$M$6+0.000000001,F4184&gt;=01_因子設定!$L$7-0.000000001,F4184&lt;=01_因子設定!$M$7+0.000000001,IF(01_因子設定!$B$20="Box-Behnken",D4184^2+E4184^2+F4184^2&lt;=2+0.000000001,TRUE()))</f>
        <v>1</v>
      </c>
      <c r="W4184" s="55" t="n">
        <f aca="false">IF(V4184,IF(01_因子設定!$B$13="最大化",T4184-01_因子設定!$B$14,IF(01_因子設定!$B$13="最小化",01_因子設定!$B$15-U4184,MIN(T4184-01_因子設定!$B$14,01_因子設定!$B$15-U4184))),-1E+030)</f>
        <v>-0.770516075602032</v>
      </c>
      <c r="X4184" s="55" t="n">
        <f aca="false">IF(V4184,IF(01_因子設定!$B$13="最大化",Q4184,IF(01_因子設定!$B$13="最小化",-Q4184,-ABS(Q4184-01_因子設定!$B$16))),-1E+030)</f>
        <v>48.7933948863636</v>
      </c>
      <c r="Y4184" s="55" t="n">
        <f aca="false">W4184+ROW()*0.000000001</f>
        <v>-0.770511891602032</v>
      </c>
      <c r="Z4184" s="55" t="n">
        <f aca="false">X4184+ROW()*0.000000001</f>
        <v>48.7933990703636</v>
      </c>
    </row>
    <row r="4185" customFormat="false" ht="15" hidden="false" customHeight="false" outlineLevel="0" collapsed="false">
      <c r="A4185" s="0" t="n">
        <v>14</v>
      </c>
      <c r="B4185" s="0" t="n">
        <v>7</v>
      </c>
      <c r="C4185" s="0" t="n">
        <v>15</v>
      </c>
      <c r="D4185" s="0" t="n">
        <f aca="false">-1+A4185*0.125</f>
        <v>0.75</v>
      </c>
      <c r="E4185" s="0" t="n">
        <f aca="false">-1+B4185*0.125</f>
        <v>-0.125</v>
      </c>
      <c r="F4185" s="0" t="n">
        <f aca="false">-1+C4185*0.125</f>
        <v>0.875</v>
      </c>
      <c r="G4185" s="0" t="n">
        <f aca="false">1</f>
        <v>1</v>
      </c>
      <c r="H4185" s="0" t="n">
        <f aca="false">D4185</f>
        <v>0.75</v>
      </c>
      <c r="I4185" s="0" t="n">
        <f aca="false">E4185</f>
        <v>-0.125</v>
      </c>
      <c r="J4185" s="0" t="n">
        <f aca="false">F4185</f>
        <v>0.875</v>
      </c>
      <c r="K4185" s="0" t="n">
        <f aca="false">D4185*E4185</f>
        <v>-0.09375</v>
      </c>
      <c r="L4185" s="0" t="n">
        <f aca="false">D4185*F4185</f>
        <v>0.65625</v>
      </c>
      <c r="M4185" s="0" t="n">
        <f aca="false">E4185*F4185</f>
        <v>-0.109375</v>
      </c>
      <c r="N4185" s="0" t="n">
        <f aca="false">D4185*D4185</f>
        <v>0.5625</v>
      </c>
      <c r="O4185" s="0" t="n">
        <f aca="false">E4185*E4185</f>
        <v>0.015625</v>
      </c>
      <c r="P4185" s="0" t="n">
        <f aca="false">F4185*F4185</f>
        <v>0.765625</v>
      </c>
      <c r="Q4185" s="0" t="n">
        <f aca="false">SUMPRODUCT(G4185:P4185,_XtX!$B$71:$K$71)</f>
        <v>48.7056676136364</v>
      </c>
      <c r="R4185" s="0" t="n">
        <f aca="false">SUMPRODUCT(MMULT(G4185:P4185,_XtX!$B$58:$K$67),G4185:P4185)</f>
        <v>0.392013827237216</v>
      </c>
      <c r="S4185" s="0" t="n">
        <f aca="false">04_回帰ANOVA!$K$19*04_回帰ANOVA!$K$14*SQRT(1+R4185)</f>
        <v>1.09695398627251</v>
      </c>
      <c r="T4185" s="0" t="n">
        <f aca="false">Q4185-S4185</f>
        <v>47.6087136273639</v>
      </c>
      <c r="U4185" s="0" t="n">
        <f aca="false">Q4185+S4185</f>
        <v>49.8026215999089</v>
      </c>
      <c r="V4185" s="54" t="b">
        <f aca="false">AND(D4185&gt;=01_因子設定!$L$5-0.000000001,D4185&lt;=01_因子設定!$M$5+0.000000001,E4185&gt;=01_因子設定!$L$6-0.000000001,E4185&lt;=01_因子設定!$M$6+0.000000001,F4185&gt;=01_因子設定!$L$7-0.000000001,F4185&lt;=01_因子設定!$M$7+0.000000001,IF(01_因子設定!$B$20="Box-Behnken",D4185^2+E4185^2+F4185^2&lt;=2+0.000000001,TRUE()))</f>
        <v>1</v>
      </c>
      <c r="W4185" s="55" t="n">
        <f aca="false">IF(V4185,IF(01_因子設定!$B$13="最大化",T4185-01_因子設定!$B$14,IF(01_因子設定!$B$13="最小化",01_因子設定!$B$15-U4185,MIN(T4185-01_因子設定!$B$14,01_因子設定!$B$15-U4185))),-1E+030)</f>
        <v>-0.891286372636131</v>
      </c>
      <c r="X4185" s="55" t="n">
        <f aca="false">IF(V4185,IF(01_因子設定!$B$13="最大化",Q4185,IF(01_因子設定!$B$13="最小化",-Q4185,-ABS(Q4185-01_因子設定!$B$16))),-1E+030)</f>
        <v>48.7056676136364</v>
      </c>
      <c r="Y4185" s="55" t="n">
        <f aca="false">W4185+ROW()*0.000000001</f>
        <v>-0.891282187636131</v>
      </c>
      <c r="Z4185" s="55" t="n">
        <f aca="false">X4185+ROW()*0.000000001</f>
        <v>48.7056717986364</v>
      </c>
    </row>
    <row r="4186" customFormat="false" ht="15" hidden="false" customHeight="false" outlineLevel="0" collapsed="false">
      <c r="A4186" s="0" t="n">
        <v>14</v>
      </c>
      <c r="B4186" s="0" t="n">
        <v>7</v>
      </c>
      <c r="C4186" s="0" t="n">
        <v>16</v>
      </c>
      <c r="D4186" s="0" t="n">
        <f aca="false">-1+A4186*0.125</f>
        <v>0.75</v>
      </c>
      <c r="E4186" s="0" t="n">
        <f aca="false">-1+B4186*0.125</f>
        <v>-0.125</v>
      </c>
      <c r="F4186" s="0" t="n">
        <f aca="false">-1+C4186*0.125</f>
        <v>1</v>
      </c>
      <c r="G4186" s="0" t="n">
        <f aca="false">1</f>
        <v>1</v>
      </c>
      <c r="H4186" s="0" t="n">
        <f aca="false">D4186</f>
        <v>0.75</v>
      </c>
      <c r="I4186" s="0" t="n">
        <f aca="false">E4186</f>
        <v>-0.125</v>
      </c>
      <c r="J4186" s="0" t="n">
        <f aca="false">F4186</f>
        <v>1</v>
      </c>
      <c r="K4186" s="0" t="n">
        <f aca="false">D4186*E4186</f>
        <v>-0.09375</v>
      </c>
      <c r="L4186" s="0" t="n">
        <f aca="false">D4186*F4186</f>
        <v>0.75</v>
      </c>
      <c r="M4186" s="0" t="n">
        <f aca="false">E4186*F4186</f>
        <v>-0.125</v>
      </c>
      <c r="N4186" s="0" t="n">
        <f aca="false">D4186*D4186</f>
        <v>0.5625</v>
      </c>
      <c r="O4186" s="0" t="n">
        <f aca="false">E4186*E4186</f>
        <v>0.015625</v>
      </c>
      <c r="P4186" s="0" t="n">
        <f aca="false">F4186*F4186</f>
        <v>1</v>
      </c>
      <c r="Q4186" s="0" t="n">
        <f aca="false">SUMPRODUCT(G4186:P4186,_XtX!$B$71:$K$71)</f>
        <v>48.5811505681818</v>
      </c>
      <c r="R4186" s="0" t="n">
        <f aca="false">SUMPRODUCT(MMULT(G4186:P4186,_XtX!$B$58:$K$67),G4186:P4186)</f>
        <v>0.524607155539773</v>
      </c>
      <c r="S4186" s="0" t="n">
        <f aca="false">04_回帰ANOVA!$K$19*04_回帰ANOVA!$K$14*SQRT(1+R4186)</f>
        <v>1.14800984623412</v>
      </c>
      <c r="T4186" s="0" t="n">
        <f aca="false">Q4186-S4186</f>
        <v>47.4331407219477</v>
      </c>
      <c r="U4186" s="0" t="n">
        <f aca="false">Q4186+S4186</f>
        <v>49.729160414416</v>
      </c>
      <c r="V4186" s="54" t="b">
        <f aca="false">AND(D4186&gt;=01_因子設定!$L$5-0.000000001,D4186&lt;=01_因子設定!$M$5+0.000000001,E4186&gt;=01_因子設定!$L$6-0.000000001,E4186&lt;=01_因子設定!$M$6+0.000000001,F4186&gt;=01_因子設定!$L$7-0.000000001,F4186&lt;=01_因子設定!$M$7+0.000000001,IF(01_因子設定!$B$20="Box-Behnken",D4186^2+E4186^2+F4186^2&lt;=2+0.000000001,TRUE()))</f>
        <v>1</v>
      </c>
      <c r="W4186" s="55" t="n">
        <f aca="false">IF(V4186,IF(01_因子設定!$B$13="最大化",T4186-01_因子設定!$B$14,IF(01_因子設定!$B$13="最小化",01_因子設定!$B$15-U4186,MIN(T4186-01_因子設定!$B$14,01_因子設定!$B$15-U4186))),-1E+030)</f>
        <v>-1.06685927805228</v>
      </c>
      <c r="X4186" s="55" t="n">
        <f aca="false">IF(V4186,IF(01_因子設定!$B$13="最大化",Q4186,IF(01_因子設定!$B$13="最小化",-Q4186,-ABS(Q4186-01_因子設定!$B$16))),-1E+030)</f>
        <v>48.5811505681818</v>
      </c>
      <c r="Y4186" s="55" t="n">
        <f aca="false">W4186+ROW()*0.000000001</f>
        <v>-1.06685509205228</v>
      </c>
      <c r="Z4186" s="55" t="n">
        <f aca="false">X4186+ROW()*0.000000001</f>
        <v>48.5811547541818</v>
      </c>
    </row>
    <row r="4187" customFormat="false" ht="15" hidden="false" customHeight="false" outlineLevel="0" collapsed="false">
      <c r="A4187" s="0" t="n">
        <v>14</v>
      </c>
      <c r="B4187" s="0" t="n">
        <v>8</v>
      </c>
      <c r="C4187" s="0" t="n">
        <v>0</v>
      </c>
      <c r="D4187" s="0" t="n">
        <f aca="false">-1+A4187*0.125</f>
        <v>0.75</v>
      </c>
      <c r="E4187" s="0" t="n">
        <f aca="false">-1+B4187*0.125</f>
        <v>0</v>
      </c>
      <c r="F4187" s="0" t="n">
        <f aca="false">-1+C4187*0.125</f>
        <v>-1</v>
      </c>
      <c r="G4187" s="0" t="n">
        <f aca="false">1</f>
        <v>1</v>
      </c>
      <c r="H4187" s="0" t="n">
        <f aca="false">D4187</f>
        <v>0.75</v>
      </c>
      <c r="I4187" s="0" t="n">
        <f aca="false">E4187</f>
        <v>0</v>
      </c>
      <c r="J4187" s="0" t="n">
        <f aca="false">F4187</f>
        <v>-1</v>
      </c>
      <c r="K4187" s="0" t="n">
        <f aca="false">D4187*E4187</f>
        <v>0</v>
      </c>
      <c r="L4187" s="0" t="n">
        <f aca="false">D4187*F4187</f>
        <v>-0.75</v>
      </c>
      <c r="M4187" s="0" t="n">
        <f aca="false">E4187*F4187</f>
        <v>-0</v>
      </c>
      <c r="N4187" s="0" t="n">
        <f aca="false">D4187*D4187</f>
        <v>0.5625</v>
      </c>
      <c r="O4187" s="0" t="n">
        <f aca="false">E4187*E4187</f>
        <v>0</v>
      </c>
      <c r="P4187" s="0" t="n">
        <f aca="false">F4187*F4187</f>
        <v>1</v>
      </c>
      <c r="Q4187" s="0" t="n">
        <f aca="false">SUMPRODUCT(G4187:P4187,_XtX!$B$71:$K$71)</f>
        <v>46.5076704545455</v>
      </c>
      <c r="R4187" s="0" t="n">
        <f aca="false">SUMPRODUCT(MMULT(G4187:P4187,_XtX!$B$58:$K$67),G4187:P4187)</f>
        <v>0.527982954545455</v>
      </c>
      <c r="S4187" s="0" t="n">
        <f aca="false">04_回帰ANOVA!$K$19*04_回帰ANOVA!$K$14*SQRT(1+R4187)</f>
        <v>1.14928011037747</v>
      </c>
      <c r="T4187" s="0" t="n">
        <f aca="false">Q4187-S4187</f>
        <v>45.358390344168</v>
      </c>
      <c r="U4187" s="0" t="n">
        <f aca="false">Q4187+S4187</f>
        <v>47.6569505649229</v>
      </c>
      <c r="V4187" s="54" t="b">
        <f aca="false">AND(D4187&gt;=01_因子設定!$L$5-0.000000001,D4187&lt;=01_因子設定!$M$5+0.000000001,E4187&gt;=01_因子設定!$L$6-0.000000001,E4187&lt;=01_因子設定!$M$6+0.000000001,F4187&gt;=01_因子設定!$L$7-0.000000001,F4187&lt;=01_因子設定!$M$7+0.000000001,IF(01_因子設定!$B$20="Box-Behnken",D4187^2+E4187^2+F4187^2&lt;=2+0.000000001,TRUE()))</f>
        <v>1</v>
      </c>
      <c r="W4187" s="55" t="n">
        <f aca="false">IF(V4187,IF(01_因子設定!$B$13="最大化",T4187-01_因子設定!$B$14,IF(01_因子設定!$B$13="最小化",01_因子設定!$B$15-U4187,MIN(T4187-01_因子設定!$B$14,01_因子設定!$B$15-U4187))),-1E+030)</f>
        <v>-3.14160965583201</v>
      </c>
      <c r="X4187" s="55" t="n">
        <f aca="false">IF(V4187,IF(01_因子設定!$B$13="最大化",Q4187,IF(01_因子設定!$B$13="最小化",-Q4187,-ABS(Q4187-01_因子設定!$B$16))),-1E+030)</f>
        <v>46.5076704545455</v>
      </c>
      <c r="Y4187" s="55" t="n">
        <f aca="false">W4187+ROW()*0.000000001</f>
        <v>-3.14160546883201</v>
      </c>
      <c r="Z4187" s="55" t="n">
        <f aca="false">X4187+ROW()*0.000000001</f>
        <v>46.5076746415455</v>
      </c>
    </row>
    <row r="4188" customFormat="false" ht="15" hidden="false" customHeight="false" outlineLevel="0" collapsed="false">
      <c r="A4188" s="0" t="n">
        <v>14</v>
      </c>
      <c r="B4188" s="0" t="n">
        <v>8</v>
      </c>
      <c r="C4188" s="0" t="n">
        <v>1</v>
      </c>
      <c r="D4188" s="0" t="n">
        <f aca="false">-1+A4188*0.125</f>
        <v>0.75</v>
      </c>
      <c r="E4188" s="0" t="n">
        <f aca="false">-1+B4188*0.125</f>
        <v>0</v>
      </c>
      <c r="F4188" s="0" t="n">
        <f aca="false">-1+C4188*0.125</f>
        <v>-0.875</v>
      </c>
      <c r="G4188" s="0" t="n">
        <f aca="false">1</f>
        <v>1</v>
      </c>
      <c r="H4188" s="0" t="n">
        <f aca="false">D4188</f>
        <v>0.75</v>
      </c>
      <c r="I4188" s="0" t="n">
        <f aca="false">E4188</f>
        <v>0</v>
      </c>
      <c r="J4188" s="0" t="n">
        <f aca="false">F4188</f>
        <v>-0.875</v>
      </c>
      <c r="K4188" s="0" t="n">
        <f aca="false">D4188*E4188</f>
        <v>0</v>
      </c>
      <c r="L4188" s="0" t="n">
        <f aca="false">D4188*F4188</f>
        <v>-0.65625</v>
      </c>
      <c r="M4188" s="0" t="n">
        <f aca="false">E4188*F4188</f>
        <v>-0</v>
      </c>
      <c r="N4188" s="0" t="n">
        <f aca="false">D4188*D4188</f>
        <v>0.5625</v>
      </c>
      <c r="O4188" s="0" t="n">
        <f aca="false">E4188*E4188</f>
        <v>0</v>
      </c>
      <c r="P4188" s="0" t="n">
        <f aca="false">F4188*F4188</f>
        <v>0.765625</v>
      </c>
      <c r="Q4188" s="0" t="n">
        <f aca="false">SUMPRODUCT(G4188:P4188,_XtX!$B$71:$K$71)</f>
        <v>46.94203125</v>
      </c>
      <c r="R4188" s="0" t="n">
        <f aca="false">SUMPRODUCT(MMULT(G4188:P4188,_XtX!$B$58:$K$67),G4188:P4188)</f>
        <v>0.3948486328125</v>
      </c>
      <c r="S4188" s="0" t="n">
        <f aca="false">04_回帰ANOVA!$K$19*04_回帰ANOVA!$K$14*SQRT(1+R4188)</f>
        <v>1.09807037952996</v>
      </c>
      <c r="T4188" s="0" t="n">
        <f aca="false">Q4188-S4188</f>
        <v>45.8439608704701</v>
      </c>
      <c r="U4188" s="0" t="n">
        <f aca="false">Q4188+S4188</f>
        <v>48.04010162953</v>
      </c>
      <c r="V4188" s="54" t="b">
        <f aca="false">AND(D4188&gt;=01_因子設定!$L$5-0.000000001,D4188&lt;=01_因子設定!$M$5+0.000000001,E4188&gt;=01_因子設定!$L$6-0.000000001,E4188&lt;=01_因子設定!$M$6+0.000000001,F4188&gt;=01_因子設定!$L$7-0.000000001,F4188&lt;=01_因子設定!$M$7+0.000000001,IF(01_因子設定!$B$20="Box-Behnken",D4188^2+E4188^2+F4188^2&lt;=2+0.000000001,TRUE()))</f>
        <v>1</v>
      </c>
      <c r="W4188" s="55" t="n">
        <f aca="false">IF(V4188,IF(01_因子設定!$B$13="最大化",T4188-01_因子設定!$B$14,IF(01_因子設定!$B$13="最小化",01_因子設定!$B$15-U4188,MIN(T4188-01_因子設定!$B$14,01_因子設定!$B$15-U4188))),-1E+030)</f>
        <v>-2.65603912952994</v>
      </c>
      <c r="X4188" s="55" t="n">
        <f aca="false">IF(V4188,IF(01_因子設定!$B$13="最大化",Q4188,IF(01_因子設定!$B$13="最小化",-Q4188,-ABS(Q4188-01_因子設定!$B$16))),-1E+030)</f>
        <v>46.94203125</v>
      </c>
      <c r="Y4188" s="55" t="n">
        <f aca="false">W4188+ROW()*0.000000001</f>
        <v>-2.65603494152994</v>
      </c>
      <c r="Z4188" s="55" t="n">
        <f aca="false">X4188+ROW()*0.000000001</f>
        <v>46.942035438</v>
      </c>
    </row>
    <row r="4189" customFormat="false" ht="15" hidden="false" customHeight="false" outlineLevel="0" collapsed="false">
      <c r="A4189" s="0" t="n">
        <v>14</v>
      </c>
      <c r="B4189" s="0" t="n">
        <v>8</v>
      </c>
      <c r="C4189" s="0" t="n">
        <v>2</v>
      </c>
      <c r="D4189" s="0" t="n">
        <f aca="false">-1+A4189*0.125</f>
        <v>0.75</v>
      </c>
      <c r="E4189" s="0" t="n">
        <f aca="false">-1+B4189*0.125</f>
        <v>0</v>
      </c>
      <c r="F4189" s="0" t="n">
        <f aca="false">-1+C4189*0.125</f>
        <v>-0.75</v>
      </c>
      <c r="G4189" s="0" t="n">
        <f aca="false">1</f>
        <v>1</v>
      </c>
      <c r="H4189" s="0" t="n">
        <f aca="false">D4189</f>
        <v>0.75</v>
      </c>
      <c r="I4189" s="0" t="n">
        <f aca="false">E4189</f>
        <v>0</v>
      </c>
      <c r="J4189" s="0" t="n">
        <f aca="false">F4189</f>
        <v>-0.75</v>
      </c>
      <c r="K4189" s="0" t="n">
        <f aca="false">D4189*E4189</f>
        <v>0</v>
      </c>
      <c r="L4189" s="0" t="n">
        <f aca="false">D4189*F4189</f>
        <v>-0.5625</v>
      </c>
      <c r="M4189" s="0" t="n">
        <f aca="false">E4189*F4189</f>
        <v>-0</v>
      </c>
      <c r="N4189" s="0" t="n">
        <f aca="false">D4189*D4189</f>
        <v>0.5625</v>
      </c>
      <c r="O4189" s="0" t="n">
        <f aca="false">E4189*E4189</f>
        <v>0</v>
      </c>
      <c r="P4189" s="0" t="n">
        <f aca="false">F4189*F4189</f>
        <v>0.5625</v>
      </c>
      <c r="Q4189" s="0" t="n">
        <f aca="false">SUMPRODUCT(G4189:P4189,_XtX!$B$71:$K$71)</f>
        <v>47.3396022727273</v>
      </c>
      <c r="R4189" s="0" t="n">
        <f aca="false">SUMPRODUCT(MMULT(G4189:P4189,_XtX!$B$58:$K$67),G4189:P4189)</f>
        <v>0.311780894886364</v>
      </c>
      <c r="S4189" s="0" t="n">
        <f aca="false">04_回帰ANOVA!$K$19*04_回帰ANOVA!$K$14*SQRT(1+R4189)</f>
        <v>1.06487170339437</v>
      </c>
      <c r="T4189" s="0" t="n">
        <f aca="false">Q4189-S4189</f>
        <v>46.2747305693329</v>
      </c>
      <c r="U4189" s="0" t="n">
        <f aca="false">Q4189+S4189</f>
        <v>48.4044739761217</v>
      </c>
      <c r="V4189" s="54" t="b">
        <f aca="false">AND(D4189&gt;=01_因子設定!$L$5-0.000000001,D4189&lt;=01_因子設定!$M$5+0.000000001,E4189&gt;=01_因子設定!$L$6-0.000000001,E4189&lt;=01_因子設定!$M$6+0.000000001,F4189&gt;=01_因子設定!$L$7-0.000000001,F4189&lt;=01_因子設定!$M$7+0.000000001,IF(01_因子設定!$B$20="Box-Behnken",D4189^2+E4189^2+F4189^2&lt;=2+0.000000001,TRUE()))</f>
        <v>1</v>
      </c>
      <c r="W4189" s="55" t="n">
        <f aca="false">IF(V4189,IF(01_因子設定!$B$13="最大化",T4189-01_因子設定!$B$14,IF(01_因子設定!$B$13="最小化",01_因子設定!$B$15-U4189,MIN(T4189-01_因子設定!$B$14,01_因子設定!$B$15-U4189))),-1E+030)</f>
        <v>-2.22526943066709</v>
      </c>
      <c r="X4189" s="55" t="n">
        <f aca="false">IF(V4189,IF(01_因子設定!$B$13="最大化",Q4189,IF(01_因子設定!$B$13="最小化",-Q4189,-ABS(Q4189-01_因子設定!$B$16))),-1E+030)</f>
        <v>47.3396022727273</v>
      </c>
      <c r="Y4189" s="55" t="n">
        <f aca="false">W4189+ROW()*0.000000001</f>
        <v>-2.22526524166709</v>
      </c>
      <c r="Z4189" s="55" t="n">
        <f aca="false">X4189+ROW()*0.000000001</f>
        <v>47.3396064617273</v>
      </c>
    </row>
    <row r="4190" customFormat="false" ht="15" hidden="false" customHeight="false" outlineLevel="0" collapsed="false">
      <c r="A4190" s="0" t="n">
        <v>14</v>
      </c>
      <c r="B4190" s="0" t="n">
        <v>8</v>
      </c>
      <c r="C4190" s="0" t="n">
        <v>3</v>
      </c>
      <c r="D4190" s="0" t="n">
        <f aca="false">-1+A4190*0.125</f>
        <v>0.75</v>
      </c>
      <c r="E4190" s="0" t="n">
        <f aca="false">-1+B4190*0.125</f>
        <v>0</v>
      </c>
      <c r="F4190" s="0" t="n">
        <f aca="false">-1+C4190*0.125</f>
        <v>-0.625</v>
      </c>
      <c r="G4190" s="0" t="n">
        <f aca="false">1</f>
        <v>1</v>
      </c>
      <c r="H4190" s="0" t="n">
        <f aca="false">D4190</f>
        <v>0.75</v>
      </c>
      <c r="I4190" s="0" t="n">
        <f aca="false">E4190</f>
        <v>0</v>
      </c>
      <c r="J4190" s="0" t="n">
        <f aca="false">F4190</f>
        <v>-0.625</v>
      </c>
      <c r="K4190" s="0" t="n">
        <f aca="false">D4190*E4190</f>
        <v>0</v>
      </c>
      <c r="L4190" s="0" t="n">
        <f aca="false">D4190*F4190</f>
        <v>-0.46875</v>
      </c>
      <c r="M4190" s="0" t="n">
        <f aca="false">E4190*F4190</f>
        <v>-0</v>
      </c>
      <c r="N4190" s="0" t="n">
        <f aca="false">D4190*D4190</f>
        <v>0.5625</v>
      </c>
      <c r="O4190" s="0" t="n">
        <f aca="false">E4190*E4190</f>
        <v>0</v>
      </c>
      <c r="P4190" s="0" t="n">
        <f aca="false">F4190*F4190</f>
        <v>0.390625</v>
      </c>
      <c r="Q4190" s="0" t="n">
        <f aca="false">SUMPRODUCT(G4190:P4190,_XtX!$B$71:$K$71)</f>
        <v>47.7003835227273</v>
      </c>
      <c r="R4190" s="0" t="n">
        <f aca="false">SUMPRODUCT(MMULT(G4190:P4190,_XtX!$B$58:$K$67),G4190:P4190)</f>
        <v>0.264930308948864</v>
      </c>
      <c r="S4190" s="0" t="n">
        <f aca="false">04_回帰ANOVA!$K$19*04_回帰ANOVA!$K$14*SQRT(1+R4190)</f>
        <v>1.04568272997153</v>
      </c>
      <c r="T4190" s="0" t="n">
        <f aca="false">Q4190-S4190</f>
        <v>46.6547007927558</v>
      </c>
      <c r="U4190" s="0" t="n">
        <f aca="false">Q4190+S4190</f>
        <v>48.7460662526988</v>
      </c>
      <c r="V4190" s="54" t="b">
        <f aca="false">AND(D4190&gt;=01_因子設定!$L$5-0.000000001,D4190&lt;=01_因子設定!$M$5+0.000000001,E4190&gt;=01_因子設定!$L$6-0.000000001,E4190&lt;=01_因子設定!$M$6+0.000000001,F4190&gt;=01_因子設定!$L$7-0.000000001,F4190&lt;=01_因子設定!$M$7+0.000000001,IF(01_因子設定!$B$20="Box-Behnken",D4190^2+E4190^2+F4190^2&lt;=2+0.000000001,TRUE()))</f>
        <v>1</v>
      </c>
      <c r="W4190" s="55" t="n">
        <f aca="false">IF(V4190,IF(01_因子設定!$B$13="最大化",T4190-01_因子設定!$B$14,IF(01_因子設定!$B$13="最小化",01_因子設定!$B$15-U4190,MIN(T4190-01_因子設定!$B$14,01_因子設定!$B$15-U4190))),-1E+030)</f>
        <v>-1.84529920724425</v>
      </c>
      <c r="X4190" s="55" t="n">
        <f aca="false">IF(V4190,IF(01_因子設定!$B$13="最大化",Q4190,IF(01_因子設定!$B$13="最小化",-Q4190,-ABS(Q4190-01_因子設定!$B$16))),-1E+030)</f>
        <v>47.7003835227273</v>
      </c>
      <c r="Y4190" s="55" t="n">
        <f aca="false">W4190+ROW()*0.000000001</f>
        <v>-1.84529501724425</v>
      </c>
      <c r="Z4190" s="55" t="n">
        <f aca="false">X4190+ROW()*0.000000001</f>
        <v>47.7003877127273</v>
      </c>
    </row>
    <row r="4191" customFormat="false" ht="15" hidden="false" customHeight="false" outlineLevel="0" collapsed="false">
      <c r="A4191" s="0" t="n">
        <v>14</v>
      </c>
      <c r="B4191" s="0" t="n">
        <v>8</v>
      </c>
      <c r="C4191" s="0" t="n">
        <v>4</v>
      </c>
      <c r="D4191" s="0" t="n">
        <f aca="false">-1+A4191*0.125</f>
        <v>0.75</v>
      </c>
      <c r="E4191" s="0" t="n">
        <f aca="false">-1+B4191*0.125</f>
        <v>0</v>
      </c>
      <c r="F4191" s="0" t="n">
        <f aca="false">-1+C4191*0.125</f>
        <v>-0.5</v>
      </c>
      <c r="G4191" s="0" t="n">
        <f aca="false">1</f>
        <v>1</v>
      </c>
      <c r="H4191" s="0" t="n">
        <f aca="false">D4191</f>
        <v>0.75</v>
      </c>
      <c r="I4191" s="0" t="n">
        <f aca="false">E4191</f>
        <v>0</v>
      </c>
      <c r="J4191" s="0" t="n">
        <f aca="false">F4191</f>
        <v>-0.5</v>
      </c>
      <c r="K4191" s="0" t="n">
        <f aca="false">D4191*E4191</f>
        <v>0</v>
      </c>
      <c r="L4191" s="0" t="n">
        <f aca="false">D4191*F4191</f>
        <v>-0.375</v>
      </c>
      <c r="M4191" s="0" t="n">
        <f aca="false">E4191*F4191</f>
        <v>-0</v>
      </c>
      <c r="N4191" s="0" t="n">
        <f aca="false">D4191*D4191</f>
        <v>0.5625</v>
      </c>
      <c r="O4191" s="0" t="n">
        <f aca="false">E4191*E4191</f>
        <v>0</v>
      </c>
      <c r="P4191" s="0" t="n">
        <f aca="false">F4191*F4191</f>
        <v>0.25</v>
      </c>
      <c r="Q4191" s="0" t="n">
        <f aca="false">SUMPRODUCT(G4191:P4191,_XtX!$B$71:$K$71)</f>
        <v>48.024375</v>
      </c>
      <c r="R4191" s="0" t="n">
        <f aca="false">SUMPRODUCT(MMULT(G4191:P4191,_XtX!$B$58:$K$67),G4191:P4191)</f>
        <v>0.242578125</v>
      </c>
      <c r="S4191" s="0" t="n">
        <f aca="false">04_回帰ANOVA!$K$19*04_回帰ANOVA!$K$14*SQRT(1+R4191)</f>
        <v>1.03640258600455</v>
      </c>
      <c r="T4191" s="0" t="n">
        <f aca="false">Q4191-S4191</f>
        <v>46.9879724139955</v>
      </c>
      <c r="U4191" s="0" t="n">
        <f aca="false">Q4191+S4191</f>
        <v>49.0607775860046</v>
      </c>
      <c r="V4191" s="54" t="b">
        <f aca="false">AND(D4191&gt;=01_因子設定!$L$5-0.000000001,D4191&lt;=01_因子設定!$M$5+0.000000001,E4191&gt;=01_因子設定!$L$6-0.000000001,E4191&lt;=01_因子設定!$M$6+0.000000001,F4191&gt;=01_因子設定!$L$7-0.000000001,F4191&lt;=01_因子設定!$M$7+0.000000001,IF(01_因子設定!$B$20="Box-Behnken",D4191^2+E4191^2+F4191^2&lt;=2+0.000000001,TRUE()))</f>
        <v>1</v>
      </c>
      <c r="W4191" s="55" t="n">
        <f aca="false">IF(V4191,IF(01_因子設定!$B$13="最大化",T4191-01_因子設定!$B$14,IF(01_因子設定!$B$13="最小化",01_因子設定!$B$15-U4191,MIN(T4191-01_因子設定!$B$14,01_因子設定!$B$15-U4191))),-1E+030)</f>
        <v>-1.51202758600455</v>
      </c>
      <c r="X4191" s="55" t="n">
        <f aca="false">IF(V4191,IF(01_因子設定!$B$13="最大化",Q4191,IF(01_因子設定!$B$13="最小化",-Q4191,-ABS(Q4191-01_因子設定!$B$16))),-1E+030)</f>
        <v>48.024375</v>
      </c>
      <c r="Y4191" s="55" t="n">
        <f aca="false">W4191+ROW()*0.000000001</f>
        <v>-1.51202339500455</v>
      </c>
      <c r="Z4191" s="55" t="n">
        <f aca="false">X4191+ROW()*0.000000001</f>
        <v>48.024379191</v>
      </c>
    </row>
    <row r="4192" customFormat="false" ht="15" hidden="false" customHeight="false" outlineLevel="0" collapsed="false">
      <c r="A4192" s="0" t="n">
        <v>14</v>
      </c>
      <c r="B4192" s="0" t="n">
        <v>8</v>
      </c>
      <c r="C4192" s="0" t="n">
        <v>5</v>
      </c>
      <c r="D4192" s="0" t="n">
        <f aca="false">-1+A4192*0.125</f>
        <v>0.75</v>
      </c>
      <c r="E4192" s="0" t="n">
        <f aca="false">-1+B4192*0.125</f>
        <v>0</v>
      </c>
      <c r="F4192" s="0" t="n">
        <f aca="false">-1+C4192*0.125</f>
        <v>-0.375</v>
      </c>
      <c r="G4192" s="0" t="n">
        <f aca="false">1</f>
        <v>1</v>
      </c>
      <c r="H4192" s="0" t="n">
        <f aca="false">D4192</f>
        <v>0.75</v>
      </c>
      <c r="I4192" s="0" t="n">
        <f aca="false">E4192</f>
        <v>0</v>
      </c>
      <c r="J4192" s="0" t="n">
        <f aca="false">F4192</f>
        <v>-0.375</v>
      </c>
      <c r="K4192" s="0" t="n">
        <f aca="false">D4192*E4192</f>
        <v>0</v>
      </c>
      <c r="L4192" s="0" t="n">
        <f aca="false">D4192*F4192</f>
        <v>-0.28125</v>
      </c>
      <c r="M4192" s="0" t="n">
        <f aca="false">E4192*F4192</f>
        <v>-0</v>
      </c>
      <c r="N4192" s="0" t="n">
        <f aca="false">D4192*D4192</f>
        <v>0.5625</v>
      </c>
      <c r="O4192" s="0" t="n">
        <f aca="false">E4192*E4192</f>
        <v>0</v>
      </c>
      <c r="P4192" s="0" t="n">
        <f aca="false">F4192*F4192</f>
        <v>0.140625</v>
      </c>
      <c r="Q4192" s="0" t="n">
        <f aca="false">SUMPRODUCT(G4192:P4192,_XtX!$B$71:$K$71)</f>
        <v>48.3115767045455</v>
      </c>
      <c r="R4192" s="0" t="n">
        <f aca="false">SUMPRODUCT(MMULT(G4192:P4192,_XtX!$B$58:$K$67),G4192:P4192)</f>
        <v>0.235136274857955</v>
      </c>
      <c r="S4192" s="0" t="n">
        <f aca="false">04_回帰ANOVA!$K$19*04_回帰ANOVA!$K$14*SQRT(1+R4192)</f>
        <v>1.03329439695656</v>
      </c>
      <c r="T4192" s="0" t="n">
        <f aca="false">Q4192-S4192</f>
        <v>47.2782823075889</v>
      </c>
      <c r="U4192" s="0" t="n">
        <f aca="false">Q4192+S4192</f>
        <v>49.344871101502</v>
      </c>
      <c r="V4192" s="54" t="b">
        <f aca="false">AND(D4192&gt;=01_因子設定!$L$5-0.000000001,D4192&lt;=01_因子設定!$M$5+0.000000001,E4192&gt;=01_因子設定!$L$6-0.000000001,E4192&lt;=01_因子設定!$M$6+0.000000001,F4192&gt;=01_因子設定!$L$7-0.000000001,F4192&lt;=01_因子設定!$M$7+0.000000001,IF(01_因子設定!$B$20="Box-Behnken",D4192^2+E4192^2+F4192^2&lt;=2+0.000000001,TRUE()))</f>
        <v>1</v>
      </c>
      <c r="W4192" s="55" t="n">
        <f aca="false">IF(V4192,IF(01_因子設定!$B$13="最大化",T4192-01_因子設定!$B$14,IF(01_因子設定!$B$13="最小化",01_因子設定!$B$15-U4192,MIN(T4192-01_因子設定!$B$14,01_因子設定!$B$15-U4192))),-1E+030)</f>
        <v>-1.2217176924111</v>
      </c>
      <c r="X4192" s="55" t="n">
        <f aca="false">IF(V4192,IF(01_因子設定!$B$13="最大化",Q4192,IF(01_因子設定!$B$13="最小化",-Q4192,-ABS(Q4192-01_因子設定!$B$16))),-1E+030)</f>
        <v>48.3115767045455</v>
      </c>
      <c r="Y4192" s="55" t="n">
        <f aca="false">W4192+ROW()*0.000000001</f>
        <v>-1.2217135004111</v>
      </c>
      <c r="Z4192" s="55" t="n">
        <f aca="false">X4192+ROW()*0.000000001</f>
        <v>48.3115808965455</v>
      </c>
    </row>
    <row r="4193" customFormat="false" ht="15" hidden="false" customHeight="false" outlineLevel="0" collapsed="false">
      <c r="A4193" s="0" t="n">
        <v>14</v>
      </c>
      <c r="B4193" s="0" t="n">
        <v>8</v>
      </c>
      <c r="C4193" s="0" t="n">
        <v>6</v>
      </c>
      <c r="D4193" s="0" t="n">
        <f aca="false">-1+A4193*0.125</f>
        <v>0.75</v>
      </c>
      <c r="E4193" s="0" t="n">
        <f aca="false">-1+B4193*0.125</f>
        <v>0</v>
      </c>
      <c r="F4193" s="0" t="n">
        <f aca="false">-1+C4193*0.125</f>
        <v>-0.25</v>
      </c>
      <c r="G4193" s="0" t="n">
        <f aca="false">1</f>
        <v>1</v>
      </c>
      <c r="H4193" s="0" t="n">
        <f aca="false">D4193</f>
        <v>0.75</v>
      </c>
      <c r="I4193" s="0" t="n">
        <f aca="false">E4193</f>
        <v>0</v>
      </c>
      <c r="J4193" s="0" t="n">
        <f aca="false">F4193</f>
        <v>-0.25</v>
      </c>
      <c r="K4193" s="0" t="n">
        <f aca="false">D4193*E4193</f>
        <v>0</v>
      </c>
      <c r="L4193" s="0" t="n">
        <f aca="false">D4193*F4193</f>
        <v>-0.1875</v>
      </c>
      <c r="M4193" s="0" t="n">
        <f aca="false">E4193*F4193</f>
        <v>-0</v>
      </c>
      <c r="N4193" s="0" t="n">
        <f aca="false">D4193*D4193</f>
        <v>0.5625</v>
      </c>
      <c r="O4193" s="0" t="n">
        <f aca="false">E4193*E4193</f>
        <v>0</v>
      </c>
      <c r="P4193" s="0" t="n">
        <f aca="false">F4193*F4193</f>
        <v>0.0625</v>
      </c>
      <c r="Q4193" s="0" t="n">
        <f aca="false">SUMPRODUCT(G4193:P4193,_XtX!$B$71:$K$71)</f>
        <v>48.5619886363636</v>
      </c>
      <c r="R4193" s="0" t="n">
        <f aca="false">SUMPRODUCT(MMULT(G4193:P4193,_XtX!$B$58:$K$67),G4193:P4193)</f>
        <v>0.235147372159091</v>
      </c>
      <c r="S4193" s="0" t="n">
        <f aca="false">04_回帰ANOVA!$K$19*04_回帰ANOVA!$K$14*SQRT(1+R4193)</f>
        <v>1.03329903885461</v>
      </c>
      <c r="T4193" s="0" t="n">
        <f aca="false">Q4193-S4193</f>
        <v>47.528689597509</v>
      </c>
      <c r="U4193" s="0" t="n">
        <f aca="false">Q4193+S4193</f>
        <v>49.5952876752182</v>
      </c>
      <c r="V4193" s="54" t="b">
        <f aca="false">AND(D4193&gt;=01_因子設定!$L$5-0.000000001,D4193&lt;=01_因子設定!$M$5+0.000000001,E4193&gt;=01_因子設定!$L$6-0.000000001,E4193&lt;=01_因子設定!$M$6+0.000000001,F4193&gt;=01_因子設定!$L$7-0.000000001,F4193&lt;=01_因子設定!$M$7+0.000000001,IF(01_因子設定!$B$20="Box-Behnken",D4193^2+E4193^2+F4193^2&lt;=2+0.000000001,TRUE()))</f>
        <v>1</v>
      </c>
      <c r="W4193" s="55" t="n">
        <f aca="false">IF(V4193,IF(01_因子設定!$B$13="最大化",T4193-01_因子設定!$B$14,IF(01_因子設定!$B$13="最小化",01_因子設定!$B$15-U4193,MIN(T4193-01_因子設定!$B$14,01_因子設定!$B$15-U4193))),-1E+030)</f>
        <v>-0.971310402490971</v>
      </c>
      <c r="X4193" s="55" t="n">
        <f aca="false">IF(V4193,IF(01_因子設定!$B$13="最大化",Q4193,IF(01_因子設定!$B$13="最小化",-Q4193,-ABS(Q4193-01_因子設定!$B$16))),-1E+030)</f>
        <v>48.5619886363636</v>
      </c>
      <c r="Y4193" s="55" t="n">
        <f aca="false">W4193+ROW()*0.000000001</f>
        <v>-0.971306209490971</v>
      </c>
      <c r="Z4193" s="55" t="n">
        <f aca="false">X4193+ROW()*0.000000001</f>
        <v>48.5619928293636</v>
      </c>
    </row>
    <row r="4194" customFormat="false" ht="15" hidden="false" customHeight="false" outlineLevel="0" collapsed="false">
      <c r="A4194" s="0" t="n">
        <v>14</v>
      </c>
      <c r="B4194" s="0" t="n">
        <v>8</v>
      </c>
      <c r="C4194" s="0" t="n">
        <v>7</v>
      </c>
      <c r="D4194" s="0" t="n">
        <f aca="false">-1+A4194*0.125</f>
        <v>0.75</v>
      </c>
      <c r="E4194" s="0" t="n">
        <f aca="false">-1+B4194*0.125</f>
        <v>0</v>
      </c>
      <c r="F4194" s="0" t="n">
        <f aca="false">-1+C4194*0.125</f>
        <v>-0.125</v>
      </c>
      <c r="G4194" s="0" t="n">
        <f aca="false">1</f>
        <v>1</v>
      </c>
      <c r="H4194" s="0" t="n">
        <f aca="false">D4194</f>
        <v>0.75</v>
      </c>
      <c r="I4194" s="0" t="n">
        <f aca="false">E4194</f>
        <v>0</v>
      </c>
      <c r="J4194" s="0" t="n">
        <f aca="false">F4194</f>
        <v>-0.125</v>
      </c>
      <c r="K4194" s="0" t="n">
        <f aca="false">D4194*E4194</f>
        <v>0</v>
      </c>
      <c r="L4194" s="0" t="n">
        <f aca="false">D4194*F4194</f>
        <v>-0.09375</v>
      </c>
      <c r="M4194" s="0" t="n">
        <f aca="false">E4194*F4194</f>
        <v>-0</v>
      </c>
      <c r="N4194" s="0" t="n">
        <f aca="false">D4194*D4194</f>
        <v>0.5625</v>
      </c>
      <c r="O4194" s="0" t="n">
        <f aca="false">E4194*E4194</f>
        <v>0</v>
      </c>
      <c r="P4194" s="0" t="n">
        <f aca="false">F4194*F4194</f>
        <v>0.015625</v>
      </c>
      <c r="Q4194" s="0" t="n">
        <f aca="false">SUMPRODUCT(G4194:P4194,_XtX!$B$71:$K$71)</f>
        <v>48.7756107954546</v>
      </c>
      <c r="R4194" s="0" t="n">
        <f aca="false">SUMPRODUCT(MMULT(G4194:P4194,_XtX!$B$58:$K$67),G4194:P4194)</f>
        <v>0.237284712357955</v>
      </c>
      <c r="S4194" s="0" t="n">
        <f aca="false">04_回帰ANOVA!$K$19*04_回帰ANOVA!$K$14*SQRT(1+R4194)</f>
        <v>1.03419267998124</v>
      </c>
      <c r="T4194" s="0" t="n">
        <f aca="false">Q4194-S4194</f>
        <v>47.7414181154733</v>
      </c>
      <c r="U4194" s="0" t="n">
        <f aca="false">Q4194+S4194</f>
        <v>49.8098034754358</v>
      </c>
      <c r="V4194" s="54" t="b">
        <f aca="false">AND(D4194&gt;=01_因子設定!$L$5-0.000000001,D4194&lt;=01_因子設定!$M$5+0.000000001,E4194&gt;=01_因子設定!$L$6-0.000000001,E4194&lt;=01_因子設定!$M$6+0.000000001,F4194&gt;=01_因子設定!$L$7-0.000000001,F4194&lt;=01_因子設定!$M$7+0.000000001,IF(01_因子設定!$B$20="Box-Behnken",D4194^2+E4194^2+F4194^2&lt;=2+0.000000001,TRUE()))</f>
        <v>1</v>
      </c>
      <c r="W4194" s="55" t="n">
        <f aca="false">IF(V4194,IF(01_因子設定!$B$13="最大化",T4194-01_因子設定!$B$14,IF(01_因子設定!$B$13="最小化",01_因子設定!$B$15-U4194,MIN(T4194-01_因子設定!$B$14,01_因子設定!$B$15-U4194))),-1E+030)</f>
        <v>-0.758581884526691</v>
      </c>
      <c r="X4194" s="55" t="n">
        <f aca="false">IF(V4194,IF(01_因子設定!$B$13="最大化",Q4194,IF(01_因子設定!$B$13="最小化",-Q4194,-ABS(Q4194-01_因子設定!$B$16))),-1E+030)</f>
        <v>48.7756107954546</v>
      </c>
      <c r="Y4194" s="55" t="n">
        <f aca="false">W4194+ROW()*0.000000001</f>
        <v>-0.758577690526691</v>
      </c>
      <c r="Z4194" s="55" t="n">
        <f aca="false">X4194+ROW()*0.000000001</f>
        <v>48.7756149894545</v>
      </c>
    </row>
    <row r="4195" customFormat="false" ht="15" hidden="false" customHeight="false" outlineLevel="0" collapsed="false">
      <c r="A4195" s="0" t="n">
        <v>14</v>
      </c>
      <c r="B4195" s="0" t="n">
        <v>8</v>
      </c>
      <c r="C4195" s="0" t="n">
        <v>8</v>
      </c>
      <c r="D4195" s="0" t="n">
        <f aca="false">-1+A4195*0.125</f>
        <v>0.75</v>
      </c>
      <c r="E4195" s="0" t="n">
        <f aca="false">-1+B4195*0.125</f>
        <v>0</v>
      </c>
      <c r="F4195" s="0" t="n">
        <f aca="false">-1+C4195*0.125</f>
        <v>0</v>
      </c>
      <c r="G4195" s="0" t="n">
        <f aca="false">1</f>
        <v>1</v>
      </c>
      <c r="H4195" s="0" t="n">
        <f aca="false">D4195</f>
        <v>0.75</v>
      </c>
      <c r="I4195" s="0" t="n">
        <f aca="false">E4195</f>
        <v>0</v>
      </c>
      <c r="J4195" s="0" t="n">
        <f aca="false">F4195</f>
        <v>0</v>
      </c>
      <c r="K4195" s="0" t="n">
        <f aca="false">D4195*E4195</f>
        <v>0</v>
      </c>
      <c r="L4195" s="0" t="n">
        <f aca="false">D4195*F4195</f>
        <v>0</v>
      </c>
      <c r="M4195" s="0" t="n">
        <f aca="false">E4195*F4195</f>
        <v>0</v>
      </c>
      <c r="N4195" s="0" t="n">
        <f aca="false">D4195*D4195</f>
        <v>0.5625</v>
      </c>
      <c r="O4195" s="0" t="n">
        <f aca="false">E4195*E4195</f>
        <v>0</v>
      </c>
      <c r="P4195" s="0" t="n">
        <f aca="false">F4195*F4195</f>
        <v>0</v>
      </c>
      <c r="Q4195" s="0" t="n">
        <f aca="false">SUMPRODUCT(G4195:P4195,_XtX!$B$71:$K$71)</f>
        <v>48.9524431818182</v>
      </c>
      <c r="R4195" s="0" t="n">
        <f aca="false">SUMPRODUCT(MMULT(G4195:P4195,_XtX!$B$58:$K$67),G4195:P4195)</f>
        <v>0.238352272727273</v>
      </c>
      <c r="S4195" s="0" t="n">
        <f aca="false">04_回帰ANOVA!$K$19*04_回帰ANOVA!$K$14*SQRT(1+R4195)</f>
        <v>1.03463874751028</v>
      </c>
      <c r="T4195" s="0" t="n">
        <f aca="false">Q4195-S4195</f>
        <v>47.9178044343079</v>
      </c>
      <c r="U4195" s="0" t="n">
        <f aca="false">Q4195+S4195</f>
        <v>49.9870819293285</v>
      </c>
      <c r="V4195" s="54" t="b">
        <f aca="false">AND(D4195&gt;=01_因子設定!$L$5-0.000000001,D4195&lt;=01_因子設定!$M$5+0.000000001,E4195&gt;=01_因子設定!$L$6-0.000000001,E4195&lt;=01_因子設定!$M$6+0.000000001,F4195&gt;=01_因子設定!$L$7-0.000000001,F4195&lt;=01_因子設定!$M$7+0.000000001,IF(01_因子設定!$B$20="Box-Behnken",D4195^2+E4195^2+F4195^2&lt;=2+0.000000001,TRUE()))</f>
        <v>1</v>
      </c>
      <c r="W4195" s="55" t="n">
        <f aca="false">IF(V4195,IF(01_因子設定!$B$13="最大化",T4195-01_因子設定!$B$14,IF(01_因子設定!$B$13="最小化",01_因子設定!$B$15-U4195,MIN(T4195-01_因子設定!$B$14,01_因子設定!$B$15-U4195))),-1E+030)</f>
        <v>-0.582195565692096</v>
      </c>
      <c r="X4195" s="55" t="n">
        <f aca="false">IF(V4195,IF(01_因子設定!$B$13="最大化",Q4195,IF(01_因子設定!$B$13="最小化",-Q4195,-ABS(Q4195-01_因子設定!$B$16))),-1E+030)</f>
        <v>48.9524431818182</v>
      </c>
      <c r="Y4195" s="55" t="n">
        <f aca="false">W4195+ROW()*0.000000001</f>
        <v>-0.582191370692096</v>
      </c>
      <c r="Z4195" s="55" t="n">
        <f aca="false">X4195+ROW()*0.000000001</f>
        <v>48.9524473768182</v>
      </c>
    </row>
    <row r="4196" customFormat="false" ht="15" hidden="false" customHeight="false" outlineLevel="0" collapsed="false">
      <c r="A4196" s="0" t="n">
        <v>14</v>
      </c>
      <c r="B4196" s="0" t="n">
        <v>8</v>
      </c>
      <c r="C4196" s="0" t="n">
        <v>9</v>
      </c>
      <c r="D4196" s="0" t="n">
        <f aca="false">-1+A4196*0.125</f>
        <v>0.75</v>
      </c>
      <c r="E4196" s="0" t="n">
        <f aca="false">-1+B4196*0.125</f>
        <v>0</v>
      </c>
      <c r="F4196" s="0" t="n">
        <f aca="false">-1+C4196*0.125</f>
        <v>0.125</v>
      </c>
      <c r="G4196" s="0" t="n">
        <f aca="false">1</f>
        <v>1</v>
      </c>
      <c r="H4196" s="0" t="n">
        <f aca="false">D4196</f>
        <v>0.75</v>
      </c>
      <c r="I4196" s="0" t="n">
        <f aca="false">E4196</f>
        <v>0</v>
      </c>
      <c r="J4196" s="0" t="n">
        <f aca="false">F4196</f>
        <v>0.125</v>
      </c>
      <c r="K4196" s="0" t="n">
        <f aca="false">D4196*E4196</f>
        <v>0</v>
      </c>
      <c r="L4196" s="0" t="n">
        <f aca="false">D4196*F4196</f>
        <v>0.09375</v>
      </c>
      <c r="M4196" s="0" t="n">
        <f aca="false">E4196*F4196</f>
        <v>0</v>
      </c>
      <c r="N4196" s="0" t="n">
        <f aca="false">D4196*D4196</f>
        <v>0.5625</v>
      </c>
      <c r="O4196" s="0" t="n">
        <f aca="false">E4196*E4196</f>
        <v>0</v>
      </c>
      <c r="P4196" s="0" t="n">
        <f aca="false">F4196*F4196</f>
        <v>0.015625</v>
      </c>
      <c r="Q4196" s="0" t="n">
        <f aca="false">SUMPRODUCT(G4196:P4196,_XtX!$B$71:$K$71)</f>
        <v>49.0924857954545</v>
      </c>
      <c r="R4196" s="0" t="n">
        <f aca="false">SUMPRODUCT(MMULT(G4196:P4196,_XtX!$B$58:$K$67),G4196:P4196)</f>
        <v>0.237284712357955</v>
      </c>
      <c r="S4196" s="0" t="n">
        <f aca="false">04_回帰ANOVA!$K$19*04_回帰ANOVA!$K$14*SQRT(1+R4196)</f>
        <v>1.03419267998124</v>
      </c>
      <c r="T4196" s="0" t="n">
        <f aca="false">Q4196-S4196</f>
        <v>48.0582931154733</v>
      </c>
      <c r="U4196" s="0" t="n">
        <f aca="false">Q4196+S4196</f>
        <v>50.1266784754358</v>
      </c>
      <c r="V4196" s="54" t="b">
        <f aca="false">AND(D4196&gt;=01_因子設定!$L$5-0.000000001,D4196&lt;=01_因子設定!$M$5+0.000000001,E4196&gt;=01_因子設定!$L$6-0.000000001,E4196&lt;=01_因子設定!$M$6+0.000000001,F4196&gt;=01_因子設定!$L$7-0.000000001,F4196&lt;=01_因子設定!$M$7+0.000000001,IF(01_因子設定!$B$20="Box-Behnken",D4196^2+E4196^2+F4196^2&lt;=2+0.000000001,TRUE()))</f>
        <v>1</v>
      </c>
      <c r="W4196" s="55" t="n">
        <f aca="false">IF(V4196,IF(01_因子設定!$B$13="最大化",T4196-01_因子設定!$B$14,IF(01_因子設定!$B$13="最小化",01_因子設定!$B$15-U4196,MIN(T4196-01_因子設定!$B$14,01_因子設定!$B$15-U4196))),-1E+030)</f>
        <v>-0.441706884526695</v>
      </c>
      <c r="X4196" s="55" t="n">
        <f aca="false">IF(V4196,IF(01_因子設定!$B$13="最大化",Q4196,IF(01_因子設定!$B$13="最小化",-Q4196,-ABS(Q4196-01_因子設定!$B$16))),-1E+030)</f>
        <v>49.0924857954545</v>
      </c>
      <c r="Y4196" s="55" t="n">
        <f aca="false">W4196+ROW()*0.000000001</f>
        <v>-0.441702688526695</v>
      </c>
      <c r="Z4196" s="55" t="n">
        <f aca="false">X4196+ROW()*0.000000001</f>
        <v>49.0924899914545</v>
      </c>
    </row>
    <row r="4197" customFormat="false" ht="15" hidden="false" customHeight="false" outlineLevel="0" collapsed="false">
      <c r="A4197" s="0" t="n">
        <v>14</v>
      </c>
      <c r="B4197" s="0" t="n">
        <v>8</v>
      </c>
      <c r="C4197" s="0" t="n">
        <v>10</v>
      </c>
      <c r="D4197" s="0" t="n">
        <f aca="false">-1+A4197*0.125</f>
        <v>0.75</v>
      </c>
      <c r="E4197" s="0" t="n">
        <f aca="false">-1+B4197*0.125</f>
        <v>0</v>
      </c>
      <c r="F4197" s="0" t="n">
        <f aca="false">-1+C4197*0.125</f>
        <v>0.25</v>
      </c>
      <c r="G4197" s="0" t="n">
        <f aca="false">1</f>
        <v>1</v>
      </c>
      <c r="H4197" s="0" t="n">
        <f aca="false">D4197</f>
        <v>0.75</v>
      </c>
      <c r="I4197" s="0" t="n">
        <f aca="false">E4197</f>
        <v>0</v>
      </c>
      <c r="J4197" s="0" t="n">
        <f aca="false">F4197</f>
        <v>0.25</v>
      </c>
      <c r="K4197" s="0" t="n">
        <f aca="false">D4197*E4197</f>
        <v>0</v>
      </c>
      <c r="L4197" s="0" t="n">
        <f aca="false">D4197*F4197</f>
        <v>0.1875</v>
      </c>
      <c r="M4197" s="0" t="n">
        <f aca="false">E4197*F4197</f>
        <v>0</v>
      </c>
      <c r="N4197" s="0" t="n">
        <f aca="false">D4197*D4197</f>
        <v>0.5625</v>
      </c>
      <c r="O4197" s="0" t="n">
        <f aca="false">E4197*E4197</f>
        <v>0</v>
      </c>
      <c r="P4197" s="0" t="n">
        <f aca="false">F4197*F4197</f>
        <v>0.0625</v>
      </c>
      <c r="Q4197" s="0" t="n">
        <f aca="false">SUMPRODUCT(G4197:P4197,_XtX!$B$71:$K$71)</f>
        <v>49.1957386363636</v>
      </c>
      <c r="R4197" s="0" t="n">
        <f aca="false">SUMPRODUCT(MMULT(G4197:P4197,_XtX!$B$58:$K$67),G4197:P4197)</f>
        <v>0.235147372159091</v>
      </c>
      <c r="S4197" s="0" t="n">
        <f aca="false">04_回帰ANOVA!$K$19*04_回帰ANOVA!$K$14*SQRT(1+R4197)</f>
        <v>1.03329903885461</v>
      </c>
      <c r="T4197" s="0" t="n">
        <f aca="false">Q4197-S4197</f>
        <v>48.162439597509</v>
      </c>
      <c r="U4197" s="0" t="n">
        <f aca="false">Q4197+S4197</f>
        <v>50.2290376752182</v>
      </c>
      <c r="V4197" s="54" t="b">
        <f aca="false">AND(D4197&gt;=01_因子設定!$L$5-0.000000001,D4197&lt;=01_因子設定!$M$5+0.000000001,E4197&gt;=01_因子設定!$L$6-0.000000001,E4197&lt;=01_因子設定!$M$6+0.000000001,F4197&gt;=01_因子設定!$L$7-0.000000001,F4197&lt;=01_因子設定!$M$7+0.000000001,IF(01_因子設定!$B$20="Box-Behnken",D4197^2+E4197^2+F4197^2&lt;=2+0.000000001,TRUE()))</f>
        <v>1</v>
      </c>
      <c r="W4197" s="55" t="n">
        <f aca="false">IF(V4197,IF(01_因子設定!$B$13="最大化",T4197-01_因子設定!$B$14,IF(01_因子設定!$B$13="最小化",01_因子設定!$B$15-U4197,MIN(T4197-01_因子設定!$B$14,01_因子設定!$B$15-U4197))),-1E+030)</f>
        <v>-0.337560402490972</v>
      </c>
      <c r="X4197" s="55" t="n">
        <f aca="false">IF(V4197,IF(01_因子設定!$B$13="最大化",Q4197,IF(01_因子設定!$B$13="最小化",-Q4197,-ABS(Q4197-01_因子設定!$B$16))),-1E+030)</f>
        <v>49.1957386363636</v>
      </c>
      <c r="Y4197" s="55" t="n">
        <f aca="false">W4197+ROW()*0.000000001</f>
        <v>-0.337556205490972</v>
      </c>
      <c r="Z4197" s="55" t="n">
        <f aca="false">X4197+ROW()*0.000000001</f>
        <v>49.1957428333636</v>
      </c>
    </row>
    <row r="4198" customFormat="false" ht="15" hidden="false" customHeight="false" outlineLevel="0" collapsed="false">
      <c r="A4198" s="0" t="n">
        <v>14</v>
      </c>
      <c r="B4198" s="0" t="n">
        <v>8</v>
      </c>
      <c r="C4198" s="0" t="n">
        <v>11</v>
      </c>
      <c r="D4198" s="0" t="n">
        <f aca="false">-1+A4198*0.125</f>
        <v>0.75</v>
      </c>
      <c r="E4198" s="0" t="n">
        <f aca="false">-1+B4198*0.125</f>
        <v>0</v>
      </c>
      <c r="F4198" s="0" t="n">
        <f aca="false">-1+C4198*0.125</f>
        <v>0.375</v>
      </c>
      <c r="G4198" s="0" t="n">
        <f aca="false">1</f>
        <v>1</v>
      </c>
      <c r="H4198" s="0" t="n">
        <f aca="false">D4198</f>
        <v>0.75</v>
      </c>
      <c r="I4198" s="0" t="n">
        <f aca="false">E4198</f>
        <v>0</v>
      </c>
      <c r="J4198" s="0" t="n">
        <f aca="false">F4198</f>
        <v>0.375</v>
      </c>
      <c r="K4198" s="0" t="n">
        <f aca="false">D4198*E4198</f>
        <v>0</v>
      </c>
      <c r="L4198" s="0" t="n">
        <f aca="false">D4198*F4198</f>
        <v>0.28125</v>
      </c>
      <c r="M4198" s="0" t="n">
        <f aca="false">E4198*F4198</f>
        <v>0</v>
      </c>
      <c r="N4198" s="0" t="n">
        <f aca="false">D4198*D4198</f>
        <v>0.5625</v>
      </c>
      <c r="O4198" s="0" t="n">
        <f aca="false">E4198*E4198</f>
        <v>0</v>
      </c>
      <c r="P4198" s="0" t="n">
        <f aca="false">F4198*F4198</f>
        <v>0.140625</v>
      </c>
      <c r="Q4198" s="0" t="n">
        <f aca="false">SUMPRODUCT(G4198:P4198,_XtX!$B$71:$K$71)</f>
        <v>49.2622017045455</v>
      </c>
      <c r="R4198" s="0" t="n">
        <f aca="false">SUMPRODUCT(MMULT(G4198:P4198,_XtX!$B$58:$K$67),G4198:P4198)</f>
        <v>0.235136274857955</v>
      </c>
      <c r="S4198" s="0" t="n">
        <f aca="false">04_回帰ANOVA!$K$19*04_回帰ANOVA!$K$14*SQRT(1+R4198)</f>
        <v>1.03329439695656</v>
      </c>
      <c r="T4198" s="0" t="n">
        <f aca="false">Q4198-S4198</f>
        <v>48.2289073075889</v>
      </c>
      <c r="U4198" s="0" t="n">
        <f aca="false">Q4198+S4198</f>
        <v>50.295496101502</v>
      </c>
      <c r="V4198" s="54" t="b">
        <f aca="false">AND(D4198&gt;=01_因子設定!$L$5-0.000000001,D4198&lt;=01_因子設定!$M$5+0.000000001,E4198&gt;=01_因子設定!$L$6-0.000000001,E4198&lt;=01_因子設定!$M$6+0.000000001,F4198&gt;=01_因子設定!$L$7-0.000000001,F4198&lt;=01_因子設定!$M$7+0.000000001,IF(01_因子設定!$B$20="Box-Behnken",D4198^2+E4198^2+F4198^2&lt;=2+0.000000001,TRUE()))</f>
        <v>1</v>
      </c>
      <c r="W4198" s="55" t="n">
        <f aca="false">IF(V4198,IF(01_因子設定!$B$13="最大化",T4198-01_因子設定!$B$14,IF(01_因子設定!$B$13="最小化",01_因子設定!$B$15-U4198,MIN(T4198-01_因子設定!$B$14,01_因子設定!$B$15-U4198))),-1E+030)</f>
        <v>-0.271092692411102</v>
      </c>
      <c r="X4198" s="55" t="n">
        <f aca="false">IF(V4198,IF(01_因子設定!$B$13="最大化",Q4198,IF(01_因子設定!$B$13="最小化",-Q4198,-ABS(Q4198-01_因子設定!$B$16))),-1E+030)</f>
        <v>49.2622017045455</v>
      </c>
      <c r="Y4198" s="55" t="n">
        <f aca="false">W4198+ROW()*0.000000001</f>
        <v>-0.271088494411102</v>
      </c>
      <c r="Z4198" s="55" t="n">
        <f aca="false">X4198+ROW()*0.000000001</f>
        <v>49.2622059025455</v>
      </c>
    </row>
    <row r="4199" customFormat="false" ht="15" hidden="false" customHeight="false" outlineLevel="0" collapsed="false">
      <c r="A4199" s="0" t="n">
        <v>14</v>
      </c>
      <c r="B4199" s="0" t="n">
        <v>8</v>
      </c>
      <c r="C4199" s="0" t="n">
        <v>12</v>
      </c>
      <c r="D4199" s="0" t="n">
        <f aca="false">-1+A4199*0.125</f>
        <v>0.75</v>
      </c>
      <c r="E4199" s="0" t="n">
        <f aca="false">-1+B4199*0.125</f>
        <v>0</v>
      </c>
      <c r="F4199" s="0" t="n">
        <f aca="false">-1+C4199*0.125</f>
        <v>0.5</v>
      </c>
      <c r="G4199" s="0" t="n">
        <f aca="false">1</f>
        <v>1</v>
      </c>
      <c r="H4199" s="0" t="n">
        <f aca="false">D4199</f>
        <v>0.75</v>
      </c>
      <c r="I4199" s="0" t="n">
        <f aca="false">E4199</f>
        <v>0</v>
      </c>
      <c r="J4199" s="0" t="n">
        <f aca="false">F4199</f>
        <v>0.5</v>
      </c>
      <c r="K4199" s="0" t="n">
        <f aca="false">D4199*E4199</f>
        <v>0</v>
      </c>
      <c r="L4199" s="0" t="n">
        <f aca="false">D4199*F4199</f>
        <v>0.375</v>
      </c>
      <c r="M4199" s="0" t="n">
        <f aca="false">E4199*F4199</f>
        <v>0</v>
      </c>
      <c r="N4199" s="0" t="n">
        <f aca="false">D4199*D4199</f>
        <v>0.5625</v>
      </c>
      <c r="O4199" s="0" t="n">
        <f aca="false">E4199*E4199</f>
        <v>0</v>
      </c>
      <c r="P4199" s="0" t="n">
        <f aca="false">F4199*F4199</f>
        <v>0.25</v>
      </c>
      <c r="Q4199" s="0" t="n">
        <f aca="false">SUMPRODUCT(G4199:P4199,_XtX!$B$71:$K$71)</f>
        <v>49.291875</v>
      </c>
      <c r="R4199" s="0" t="n">
        <f aca="false">SUMPRODUCT(MMULT(G4199:P4199,_XtX!$B$58:$K$67),G4199:P4199)</f>
        <v>0.242578125</v>
      </c>
      <c r="S4199" s="0" t="n">
        <f aca="false">04_回帰ANOVA!$K$19*04_回帰ANOVA!$K$14*SQRT(1+R4199)</f>
        <v>1.03640258600455</v>
      </c>
      <c r="T4199" s="0" t="n">
        <f aca="false">Q4199-S4199</f>
        <v>48.2554724139955</v>
      </c>
      <c r="U4199" s="0" t="n">
        <f aca="false">Q4199+S4199</f>
        <v>50.3282775860046</v>
      </c>
      <c r="V4199" s="54" t="b">
        <f aca="false">AND(D4199&gt;=01_因子設定!$L$5-0.000000001,D4199&lt;=01_因子設定!$M$5+0.000000001,E4199&gt;=01_因子設定!$L$6-0.000000001,E4199&lt;=01_因子設定!$M$6+0.000000001,F4199&gt;=01_因子設定!$L$7-0.000000001,F4199&lt;=01_因子設定!$M$7+0.000000001,IF(01_因子設定!$B$20="Box-Behnken",D4199^2+E4199^2+F4199^2&lt;=2+0.000000001,TRUE()))</f>
        <v>1</v>
      </c>
      <c r="W4199" s="55" t="n">
        <f aca="false">IF(V4199,IF(01_因子設定!$B$13="最大化",T4199-01_因子設定!$B$14,IF(01_因子設定!$B$13="最小化",01_因子設定!$B$15-U4199,MIN(T4199-01_因子設定!$B$14,01_因子設定!$B$15-U4199))),-1E+030)</f>
        <v>-0.244527586004544</v>
      </c>
      <c r="X4199" s="55" t="n">
        <f aca="false">IF(V4199,IF(01_因子設定!$B$13="最大化",Q4199,IF(01_因子設定!$B$13="最小化",-Q4199,-ABS(Q4199-01_因子設定!$B$16))),-1E+030)</f>
        <v>49.291875</v>
      </c>
      <c r="Y4199" s="55" t="n">
        <f aca="false">W4199+ROW()*0.000000001</f>
        <v>-0.244523387004544</v>
      </c>
      <c r="Z4199" s="55" t="n">
        <f aca="false">X4199+ROW()*0.000000001</f>
        <v>49.291879199</v>
      </c>
    </row>
    <row r="4200" customFormat="false" ht="15" hidden="false" customHeight="false" outlineLevel="0" collapsed="false">
      <c r="A4200" s="0" t="n">
        <v>14</v>
      </c>
      <c r="B4200" s="0" t="n">
        <v>8</v>
      </c>
      <c r="C4200" s="0" t="n">
        <v>13</v>
      </c>
      <c r="D4200" s="0" t="n">
        <f aca="false">-1+A4200*0.125</f>
        <v>0.75</v>
      </c>
      <c r="E4200" s="0" t="n">
        <f aca="false">-1+B4200*0.125</f>
        <v>0</v>
      </c>
      <c r="F4200" s="0" t="n">
        <f aca="false">-1+C4200*0.125</f>
        <v>0.625</v>
      </c>
      <c r="G4200" s="0" t="n">
        <f aca="false">1</f>
        <v>1</v>
      </c>
      <c r="H4200" s="0" t="n">
        <f aca="false">D4200</f>
        <v>0.75</v>
      </c>
      <c r="I4200" s="0" t="n">
        <f aca="false">E4200</f>
        <v>0</v>
      </c>
      <c r="J4200" s="0" t="n">
        <f aca="false">F4200</f>
        <v>0.625</v>
      </c>
      <c r="K4200" s="0" t="n">
        <f aca="false">D4200*E4200</f>
        <v>0</v>
      </c>
      <c r="L4200" s="0" t="n">
        <f aca="false">D4200*F4200</f>
        <v>0.46875</v>
      </c>
      <c r="M4200" s="0" t="n">
        <f aca="false">E4200*F4200</f>
        <v>0</v>
      </c>
      <c r="N4200" s="0" t="n">
        <f aca="false">D4200*D4200</f>
        <v>0.5625</v>
      </c>
      <c r="O4200" s="0" t="n">
        <f aca="false">E4200*E4200</f>
        <v>0</v>
      </c>
      <c r="P4200" s="0" t="n">
        <f aca="false">F4200*F4200</f>
        <v>0.390625</v>
      </c>
      <c r="Q4200" s="0" t="n">
        <f aca="false">SUMPRODUCT(G4200:P4200,_XtX!$B$71:$K$71)</f>
        <v>49.2847585227273</v>
      </c>
      <c r="R4200" s="0" t="n">
        <f aca="false">SUMPRODUCT(MMULT(G4200:P4200,_XtX!$B$58:$K$67),G4200:P4200)</f>
        <v>0.264930308948864</v>
      </c>
      <c r="S4200" s="0" t="n">
        <f aca="false">04_回帰ANOVA!$K$19*04_回帰ANOVA!$K$14*SQRT(1+R4200)</f>
        <v>1.04568272997153</v>
      </c>
      <c r="T4200" s="0" t="n">
        <f aca="false">Q4200-S4200</f>
        <v>48.2390757927558</v>
      </c>
      <c r="U4200" s="0" t="n">
        <f aca="false">Q4200+S4200</f>
        <v>50.3304412526988</v>
      </c>
      <c r="V4200" s="54" t="b">
        <f aca="false">AND(D4200&gt;=01_因子設定!$L$5-0.000000001,D4200&lt;=01_因子設定!$M$5+0.000000001,E4200&gt;=01_因子設定!$L$6-0.000000001,E4200&lt;=01_因子設定!$M$6+0.000000001,F4200&gt;=01_因子設定!$L$7-0.000000001,F4200&lt;=01_因子設定!$M$7+0.000000001,IF(01_因子設定!$B$20="Box-Behnken",D4200^2+E4200^2+F4200^2&lt;=2+0.000000001,TRUE()))</f>
        <v>1</v>
      </c>
      <c r="W4200" s="55" t="n">
        <f aca="false">IF(V4200,IF(01_因子設定!$B$13="最大化",T4200-01_因子設定!$B$14,IF(01_因子設定!$B$13="最小化",01_因子設定!$B$15-U4200,MIN(T4200-01_因子設定!$B$14,01_因子設定!$B$15-U4200))),-1E+030)</f>
        <v>-0.260924207244244</v>
      </c>
      <c r="X4200" s="55" t="n">
        <f aca="false">IF(V4200,IF(01_因子設定!$B$13="最大化",Q4200,IF(01_因子設定!$B$13="最小化",-Q4200,-ABS(Q4200-01_因子設定!$B$16))),-1E+030)</f>
        <v>49.2847585227273</v>
      </c>
      <c r="Y4200" s="55" t="n">
        <f aca="false">W4200+ROW()*0.000000001</f>
        <v>-0.260920007244244</v>
      </c>
      <c r="Z4200" s="55" t="n">
        <f aca="false">X4200+ROW()*0.000000001</f>
        <v>49.2847627227273</v>
      </c>
    </row>
    <row r="4201" customFormat="false" ht="15" hidden="false" customHeight="false" outlineLevel="0" collapsed="false">
      <c r="A4201" s="0" t="n">
        <v>14</v>
      </c>
      <c r="B4201" s="0" t="n">
        <v>8</v>
      </c>
      <c r="C4201" s="0" t="n">
        <v>14</v>
      </c>
      <c r="D4201" s="0" t="n">
        <f aca="false">-1+A4201*0.125</f>
        <v>0.75</v>
      </c>
      <c r="E4201" s="0" t="n">
        <f aca="false">-1+B4201*0.125</f>
        <v>0</v>
      </c>
      <c r="F4201" s="0" t="n">
        <f aca="false">-1+C4201*0.125</f>
        <v>0.75</v>
      </c>
      <c r="G4201" s="0" t="n">
        <f aca="false">1</f>
        <v>1</v>
      </c>
      <c r="H4201" s="0" t="n">
        <f aca="false">D4201</f>
        <v>0.75</v>
      </c>
      <c r="I4201" s="0" t="n">
        <f aca="false">E4201</f>
        <v>0</v>
      </c>
      <c r="J4201" s="0" t="n">
        <f aca="false">F4201</f>
        <v>0.75</v>
      </c>
      <c r="K4201" s="0" t="n">
        <f aca="false">D4201*E4201</f>
        <v>0</v>
      </c>
      <c r="L4201" s="0" t="n">
        <f aca="false">D4201*F4201</f>
        <v>0.5625</v>
      </c>
      <c r="M4201" s="0" t="n">
        <f aca="false">E4201*F4201</f>
        <v>0</v>
      </c>
      <c r="N4201" s="0" t="n">
        <f aca="false">D4201*D4201</f>
        <v>0.5625</v>
      </c>
      <c r="O4201" s="0" t="n">
        <f aca="false">E4201*E4201</f>
        <v>0</v>
      </c>
      <c r="P4201" s="0" t="n">
        <f aca="false">F4201*F4201</f>
        <v>0.5625</v>
      </c>
      <c r="Q4201" s="0" t="n">
        <f aca="false">SUMPRODUCT(G4201:P4201,_XtX!$B$71:$K$71)</f>
        <v>49.2408522727273</v>
      </c>
      <c r="R4201" s="0" t="n">
        <f aca="false">SUMPRODUCT(MMULT(G4201:P4201,_XtX!$B$58:$K$67),G4201:P4201)</f>
        <v>0.311780894886364</v>
      </c>
      <c r="S4201" s="0" t="n">
        <f aca="false">04_回帰ANOVA!$K$19*04_回帰ANOVA!$K$14*SQRT(1+R4201)</f>
        <v>1.06487170339437</v>
      </c>
      <c r="T4201" s="0" t="n">
        <f aca="false">Q4201-S4201</f>
        <v>48.1759805693329</v>
      </c>
      <c r="U4201" s="0" t="n">
        <f aca="false">Q4201+S4201</f>
        <v>50.3057239761217</v>
      </c>
      <c r="V4201" s="54" t="b">
        <f aca="false">AND(D4201&gt;=01_因子設定!$L$5-0.000000001,D4201&lt;=01_因子設定!$M$5+0.000000001,E4201&gt;=01_因子設定!$L$6-0.000000001,E4201&lt;=01_因子設定!$M$6+0.000000001,F4201&gt;=01_因子設定!$L$7-0.000000001,F4201&lt;=01_因子設定!$M$7+0.000000001,IF(01_因子設定!$B$20="Box-Behnken",D4201^2+E4201^2+F4201^2&lt;=2+0.000000001,TRUE()))</f>
        <v>1</v>
      </c>
      <c r="W4201" s="55" t="n">
        <f aca="false">IF(V4201,IF(01_因子設定!$B$13="最大化",T4201-01_因子設定!$B$14,IF(01_因子設定!$B$13="最小化",01_因子設定!$B$15-U4201,MIN(T4201-01_因子設定!$B$14,01_因子設定!$B$15-U4201))),-1E+030)</f>
        <v>-0.324019430667093</v>
      </c>
      <c r="X4201" s="55" t="n">
        <f aca="false">IF(V4201,IF(01_因子設定!$B$13="最大化",Q4201,IF(01_因子設定!$B$13="最小化",-Q4201,-ABS(Q4201-01_因子設定!$B$16))),-1E+030)</f>
        <v>49.2408522727273</v>
      </c>
      <c r="Y4201" s="55" t="n">
        <f aca="false">W4201+ROW()*0.000000001</f>
        <v>-0.324015229667093</v>
      </c>
      <c r="Z4201" s="55" t="n">
        <f aca="false">X4201+ROW()*0.000000001</f>
        <v>49.2408564737273</v>
      </c>
    </row>
    <row r="4202" customFormat="false" ht="15" hidden="false" customHeight="false" outlineLevel="0" collapsed="false">
      <c r="A4202" s="0" t="n">
        <v>14</v>
      </c>
      <c r="B4202" s="0" t="n">
        <v>8</v>
      </c>
      <c r="C4202" s="0" t="n">
        <v>15</v>
      </c>
      <c r="D4202" s="0" t="n">
        <f aca="false">-1+A4202*0.125</f>
        <v>0.75</v>
      </c>
      <c r="E4202" s="0" t="n">
        <f aca="false">-1+B4202*0.125</f>
        <v>0</v>
      </c>
      <c r="F4202" s="0" t="n">
        <f aca="false">-1+C4202*0.125</f>
        <v>0.875</v>
      </c>
      <c r="G4202" s="0" t="n">
        <f aca="false">1</f>
        <v>1</v>
      </c>
      <c r="H4202" s="0" t="n">
        <f aca="false">D4202</f>
        <v>0.75</v>
      </c>
      <c r="I4202" s="0" t="n">
        <f aca="false">E4202</f>
        <v>0</v>
      </c>
      <c r="J4202" s="0" t="n">
        <f aca="false">F4202</f>
        <v>0.875</v>
      </c>
      <c r="K4202" s="0" t="n">
        <f aca="false">D4202*E4202</f>
        <v>0</v>
      </c>
      <c r="L4202" s="0" t="n">
        <f aca="false">D4202*F4202</f>
        <v>0.65625</v>
      </c>
      <c r="M4202" s="0" t="n">
        <f aca="false">E4202*F4202</f>
        <v>0</v>
      </c>
      <c r="N4202" s="0" t="n">
        <f aca="false">D4202*D4202</f>
        <v>0.5625</v>
      </c>
      <c r="O4202" s="0" t="n">
        <f aca="false">E4202*E4202</f>
        <v>0</v>
      </c>
      <c r="P4202" s="0" t="n">
        <f aca="false">F4202*F4202</f>
        <v>0.765625</v>
      </c>
      <c r="Q4202" s="0" t="n">
        <f aca="false">SUMPRODUCT(G4202:P4202,_XtX!$B$71:$K$71)</f>
        <v>49.16015625</v>
      </c>
      <c r="R4202" s="0" t="n">
        <f aca="false">SUMPRODUCT(MMULT(G4202:P4202,_XtX!$B$58:$K$67),G4202:P4202)</f>
        <v>0.3948486328125</v>
      </c>
      <c r="S4202" s="0" t="n">
        <f aca="false">04_回帰ANOVA!$K$19*04_回帰ANOVA!$K$14*SQRT(1+R4202)</f>
        <v>1.09807037952996</v>
      </c>
      <c r="T4202" s="0" t="n">
        <f aca="false">Q4202-S4202</f>
        <v>48.0620858704701</v>
      </c>
      <c r="U4202" s="0" t="n">
        <f aca="false">Q4202+S4202</f>
        <v>50.25822662953</v>
      </c>
      <c r="V4202" s="54" t="b">
        <f aca="false">AND(D4202&gt;=01_因子設定!$L$5-0.000000001,D4202&lt;=01_因子設定!$M$5+0.000000001,E4202&gt;=01_因子設定!$L$6-0.000000001,E4202&lt;=01_因子設定!$M$6+0.000000001,F4202&gt;=01_因子設定!$L$7-0.000000001,F4202&lt;=01_因子設定!$M$7+0.000000001,IF(01_因子設定!$B$20="Box-Behnken",D4202^2+E4202^2+F4202^2&lt;=2+0.000000001,TRUE()))</f>
        <v>1</v>
      </c>
      <c r="W4202" s="55" t="n">
        <f aca="false">IF(V4202,IF(01_因子設定!$B$13="最大化",T4202-01_因子設定!$B$14,IF(01_因子設定!$B$13="最小化",01_因子設定!$B$15-U4202,MIN(T4202-01_因子設定!$B$14,01_因子設定!$B$15-U4202))),-1E+030)</f>
        <v>-0.437914129529943</v>
      </c>
      <c r="X4202" s="55" t="n">
        <f aca="false">IF(V4202,IF(01_因子設定!$B$13="最大化",Q4202,IF(01_因子設定!$B$13="最小化",-Q4202,-ABS(Q4202-01_因子設定!$B$16))),-1E+030)</f>
        <v>49.16015625</v>
      </c>
      <c r="Y4202" s="55" t="n">
        <f aca="false">W4202+ROW()*0.000000001</f>
        <v>-0.437909927529943</v>
      </c>
      <c r="Z4202" s="55" t="n">
        <f aca="false">X4202+ROW()*0.000000001</f>
        <v>49.160160452</v>
      </c>
    </row>
    <row r="4203" customFormat="false" ht="15" hidden="false" customHeight="false" outlineLevel="0" collapsed="false">
      <c r="A4203" s="0" t="n">
        <v>14</v>
      </c>
      <c r="B4203" s="0" t="n">
        <v>8</v>
      </c>
      <c r="C4203" s="0" t="n">
        <v>16</v>
      </c>
      <c r="D4203" s="0" t="n">
        <f aca="false">-1+A4203*0.125</f>
        <v>0.75</v>
      </c>
      <c r="E4203" s="0" t="n">
        <f aca="false">-1+B4203*0.125</f>
        <v>0</v>
      </c>
      <c r="F4203" s="0" t="n">
        <f aca="false">-1+C4203*0.125</f>
        <v>1</v>
      </c>
      <c r="G4203" s="0" t="n">
        <f aca="false">1</f>
        <v>1</v>
      </c>
      <c r="H4203" s="0" t="n">
        <f aca="false">D4203</f>
        <v>0.75</v>
      </c>
      <c r="I4203" s="0" t="n">
        <f aca="false">E4203</f>
        <v>0</v>
      </c>
      <c r="J4203" s="0" t="n">
        <f aca="false">F4203</f>
        <v>1</v>
      </c>
      <c r="K4203" s="0" t="n">
        <f aca="false">D4203*E4203</f>
        <v>0</v>
      </c>
      <c r="L4203" s="0" t="n">
        <f aca="false">D4203*F4203</f>
        <v>0.75</v>
      </c>
      <c r="M4203" s="0" t="n">
        <f aca="false">E4203*F4203</f>
        <v>0</v>
      </c>
      <c r="N4203" s="0" t="n">
        <f aca="false">D4203*D4203</f>
        <v>0.5625</v>
      </c>
      <c r="O4203" s="0" t="n">
        <f aca="false">E4203*E4203</f>
        <v>0</v>
      </c>
      <c r="P4203" s="0" t="n">
        <f aca="false">F4203*F4203</f>
        <v>1</v>
      </c>
      <c r="Q4203" s="0" t="n">
        <f aca="false">SUMPRODUCT(G4203:P4203,_XtX!$B$71:$K$71)</f>
        <v>49.0426704545455</v>
      </c>
      <c r="R4203" s="0" t="n">
        <f aca="false">SUMPRODUCT(MMULT(G4203:P4203,_XtX!$B$58:$K$67),G4203:P4203)</f>
        <v>0.527982954545455</v>
      </c>
      <c r="S4203" s="0" t="n">
        <f aca="false">04_回帰ANOVA!$K$19*04_回帰ANOVA!$K$14*SQRT(1+R4203)</f>
        <v>1.14928011037747</v>
      </c>
      <c r="T4203" s="0" t="n">
        <f aca="false">Q4203-S4203</f>
        <v>47.893390344168</v>
      </c>
      <c r="U4203" s="0" t="n">
        <f aca="false">Q4203+S4203</f>
        <v>50.191950564923</v>
      </c>
      <c r="V4203" s="54" t="b">
        <f aca="false">AND(D4203&gt;=01_因子設定!$L$5-0.000000001,D4203&lt;=01_因子設定!$M$5+0.000000001,E4203&gt;=01_因子設定!$L$6-0.000000001,E4203&lt;=01_因子設定!$M$6+0.000000001,F4203&gt;=01_因子設定!$L$7-0.000000001,F4203&lt;=01_因子設定!$M$7+0.000000001,IF(01_因子設定!$B$20="Box-Behnken",D4203^2+E4203^2+F4203^2&lt;=2+0.000000001,TRUE()))</f>
        <v>1</v>
      </c>
      <c r="W4203" s="55" t="n">
        <f aca="false">IF(V4203,IF(01_因子設定!$B$13="最大化",T4203-01_因子設定!$B$14,IF(01_因子設定!$B$13="最小化",01_因子設定!$B$15-U4203,MIN(T4203-01_因子設定!$B$14,01_因子設定!$B$15-U4203))),-1E+030)</f>
        <v>-0.606609655832003</v>
      </c>
      <c r="X4203" s="55" t="n">
        <f aca="false">IF(V4203,IF(01_因子設定!$B$13="最大化",Q4203,IF(01_因子設定!$B$13="最小化",-Q4203,-ABS(Q4203-01_因子設定!$B$16))),-1E+030)</f>
        <v>49.0426704545455</v>
      </c>
      <c r="Y4203" s="55" t="n">
        <f aca="false">W4203+ROW()*0.000000001</f>
        <v>-0.606605452832003</v>
      </c>
      <c r="Z4203" s="55" t="n">
        <f aca="false">X4203+ROW()*0.000000001</f>
        <v>49.0426746575455</v>
      </c>
    </row>
    <row r="4204" customFormat="false" ht="15" hidden="false" customHeight="false" outlineLevel="0" collapsed="false">
      <c r="A4204" s="0" t="n">
        <v>14</v>
      </c>
      <c r="B4204" s="0" t="n">
        <v>9</v>
      </c>
      <c r="C4204" s="0" t="n">
        <v>0</v>
      </c>
      <c r="D4204" s="0" t="n">
        <f aca="false">-1+A4204*0.125</f>
        <v>0.75</v>
      </c>
      <c r="E4204" s="0" t="n">
        <f aca="false">-1+B4204*0.125</f>
        <v>0.125</v>
      </c>
      <c r="F4204" s="0" t="n">
        <f aca="false">-1+C4204*0.125</f>
        <v>-1</v>
      </c>
      <c r="G4204" s="0" t="n">
        <f aca="false">1</f>
        <v>1</v>
      </c>
      <c r="H4204" s="0" t="n">
        <f aca="false">D4204</f>
        <v>0.75</v>
      </c>
      <c r="I4204" s="0" t="n">
        <f aca="false">E4204</f>
        <v>0.125</v>
      </c>
      <c r="J4204" s="0" t="n">
        <f aca="false">F4204</f>
        <v>-1</v>
      </c>
      <c r="K4204" s="0" t="n">
        <f aca="false">D4204*E4204</f>
        <v>0.09375</v>
      </c>
      <c r="L4204" s="0" t="n">
        <f aca="false">D4204*F4204</f>
        <v>-0.75</v>
      </c>
      <c r="M4204" s="0" t="n">
        <f aca="false">E4204*F4204</f>
        <v>-0.125</v>
      </c>
      <c r="N4204" s="0" t="n">
        <f aca="false">D4204*D4204</f>
        <v>0.5625</v>
      </c>
      <c r="O4204" s="0" t="n">
        <f aca="false">E4204*E4204</f>
        <v>0.015625</v>
      </c>
      <c r="P4204" s="0" t="n">
        <f aca="false">F4204*F4204</f>
        <v>1</v>
      </c>
      <c r="Q4204" s="0" t="n">
        <f aca="false">SUMPRODUCT(G4204:P4204,_XtX!$B$71:$K$71)</f>
        <v>46.7933380681818</v>
      </c>
      <c r="R4204" s="0" t="n">
        <f aca="false">SUMPRODUCT(MMULT(G4204:P4204,_XtX!$B$58:$K$67),G4204:P4204)</f>
        <v>0.524607155539773</v>
      </c>
      <c r="S4204" s="0" t="n">
        <f aca="false">04_回帰ANOVA!$K$19*04_回帰ANOVA!$K$14*SQRT(1+R4204)</f>
        <v>1.14800984623412</v>
      </c>
      <c r="T4204" s="0" t="n">
        <f aca="false">Q4204-S4204</f>
        <v>45.6453282219477</v>
      </c>
      <c r="U4204" s="0" t="n">
        <f aca="false">Q4204+S4204</f>
        <v>47.941347914416</v>
      </c>
      <c r="V4204" s="54" t="b">
        <f aca="false">AND(D4204&gt;=01_因子設定!$L$5-0.000000001,D4204&lt;=01_因子設定!$M$5+0.000000001,E4204&gt;=01_因子設定!$L$6-0.000000001,E4204&lt;=01_因子設定!$M$6+0.000000001,F4204&gt;=01_因子設定!$L$7-0.000000001,F4204&lt;=01_因子設定!$M$7+0.000000001,IF(01_因子設定!$B$20="Box-Behnken",D4204^2+E4204^2+F4204^2&lt;=2+0.000000001,TRUE()))</f>
        <v>1</v>
      </c>
      <c r="W4204" s="55" t="n">
        <f aca="false">IF(V4204,IF(01_因子設定!$B$13="最大化",T4204-01_因子設定!$B$14,IF(01_因子設定!$B$13="最小化",01_因子設定!$B$15-U4204,MIN(T4204-01_因子設定!$B$14,01_因子設定!$B$15-U4204))),-1E+030)</f>
        <v>-2.85467177805229</v>
      </c>
      <c r="X4204" s="55" t="n">
        <f aca="false">IF(V4204,IF(01_因子設定!$B$13="最大化",Q4204,IF(01_因子設定!$B$13="最小化",-Q4204,-ABS(Q4204-01_因子設定!$B$16))),-1E+030)</f>
        <v>46.7933380681818</v>
      </c>
      <c r="Y4204" s="55" t="n">
        <f aca="false">W4204+ROW()*0.000000001</f>
        <v>-2.85466757405229</v>
      </c>
      <c r="Z4204" s="55" t="n">
        <f aca="false">X4204+ROW()*0.000000001</f>
        <v>46.7933422721818</v>
      </c>
    </row>
    <row r="4205" customFormat="false" ht="15" hidden="false" customHeight="false" outlineLevel="0" collapsed="false">
      <c r="A4205" s="0" t="n">
        <v>14</v>
      </c>
      <c r="B4205" s="0" t="n">
        <v>9</v>
      </c>
      <c r="C4205" s="0" t="n">
        <v>1</v>
      </c>
      <c r="D4205" s="0" t="n">
        <f aca="false">-1+A4205*0.125</f>
        <v>0.75</v>
      </c>
      <c r="E4205" s="0" t="n">
        <f aca="false">-1+B4205*0.125</f>
        <v>0.125</v>
      </c>
      <c r="F4205" s="0" t="n">
        <f aca="false">-1+C4205*0.125</f>
        <v>-0.875</v>
      </c>
      <c r="G4205" s="0" t="n">
        <f aca="false">1</f>
        <v>1</v>
      </c>
      <c r="H4205" s="0" t="n">
        <f aca="false">D4205</f>
        <v>0.75</v>
      </c>
      <c r="I4205" s="0" t="n">
        <f aca="false">E4205</f>
        <v>0.125</v>
      </c>
      <c r="J4205" s="0" t="n">
        <f aca="false">F4205</f>
        <v>-0.875</v>
      </c>
      <c r="K4205" s="0" t="n">
        <f aca="false">D4205*E4205</f>
        <v>0.09375</v>
      </c>
      <c r="L4205" s="0" t="n">
        <f aca="false">D4205*F4205</f>
        <v>-0.65625</v>
      </c>
      <c r="M4205" s="0" t="n">
        <f aca="false">E4205*F4205</f>
        <v>-0.109375</v>
      </c>
      <c r="N4205" s="0" t="n">
        <f aca="false">D4205*D4205</f>
        <v>0.5625</v>
      </c>
      <c r="O4205" s="0" t="n">
        <f aca="false">E4205*E4205</f>
        <v>0.015625</v>
      </c>
      <c r="P4205" s="0" t="n">
        <f aca="false">F4205*F4205</f>
        <v>0.765625</v>
      </c>
      <c r="Q4205" s="0" t="n">
        <f aca="false">SUMPRODUCT(G4205:P4205,_XtX!$B$71:$K$71)</f>
        <v>47.2347301136364</v>
      </c>
      <c r="R4205" s="0" t="n">
        <f aca="false">SUMPRODUCT(MMULT(G4205:P4205,_XtX!$B$58:$K$67),G4205:P4205)</f>
        <v>0.392013827237216</v>
      </c>
      <c r="S4205" s="0" t="n">
        <f aca="false">04_回帰ANOVA!$K$19*04_回帰ANOVA!$K$14*SQRT(1+R4205)</f>
        <v>1.09695398627251</v>
      </c>
      <c r="T4205" s="0" t="n">
        <f aca="false">Q4205-S4205</f>
        <v>46.1377761273639</v>
      </c>
      <c r="U4205" s="0" t="n">
        <f aca="false">Q4205+S4205</f>
        <v>48.3316840999089</v>
      </c>
      <c r="V4205" s="54" t="b">
        <f aca="false">AND(D4205&gt;=01_因子設定!$L$5-0.000000001,D4205&lt;=01_因子設定!$M$5+0.000000001,E4205&gt;=01_因子設定!$L$6-0.000000001,E4205&lt;=01_因子設定!$M$6+0.000000001,F4205&gt;=01_因子設定!$L$7-0.000000001,F4205&lt;=01_因子設定!$M$7+0.000000001,IF(01_因子設定!$B$20="Box-Behnken",D4205^2+E4205^2+F4205^2&lt;=2+0.000000001,TRUE()))</f>
        <v>1</v>
      </c>
      <c r="W4205" s="55" t="n">
        <f aca="false">IF(V4205,IF(01_因子設定!$B$13="最大化",T4205-01_因子設定!$B$14,IF(01_因子設定!$B$13="最小化",01_因子設定!$B$15-U4205,MIN(T4205-01_因子設定!$B$14,01_因子設定!$B$15-U4205))),-1E+030)</f>
        <v>-2.36222387263614</v>
      </c>
      <c r="X4205" s="55" t="n">
        <f aca="false">IF(V4205,IF(01_因子設定!$B$13="最大化",Q4205,IF(01_因子設定!$B$13="最小化",-Q4205,-ABS(Q4205-01_因子設定!$B$16))),-1E+030)</f>
        <v>47.2347301136364</v>
      </c>
      <c r="Y4205" s="55" t="n">
        <f aca="false">W4205+ROW()*0.000000001</f>
        <v>-2.36221966763614</v>
      </c>
      <c r="Z4205" s="55" t="n">
        <f aca="false">X4205+ROW()*0.000000001</f>
        <v>47.2347343186364</v>
      </c>
    </row>
    <row r="4206" customFormat="false" ht="15" hidden="false" customHeight="false" outlineLevel="0" collapsed="false">
      <c r="A4206" s="0" t="n">
        <v>14</v>
      </c>
      <c r="B4206" s="0" t="n">
        <v>9</v>
      </c>
      <c r="C4206" s="0" t="n">
        <v>2</v>
      </c>
      <c r="D4206" s="0" t="n">
        <f aca="false">-1+A4206*0.125</f>
        <v>0.75</v>
      </c>
      <c r="E4206" s="0" t="n">
        <f aca="false">-1+B4206*0.125</f>
        <v>0.125</v>
      </c>
      <c r="F4206" s="0" t="n">
        <f aca="false">-1+C4206*0.125</f>
        <v>-0.75</v>
      </c>
      <c r="G4206" s="0" t="n">
        <f aca="false">1</f>
        <v>1</v>
      </c>
      <c r="H4206" s="0" t="n">
        <f aca="false">D4206</f>
        <v>0.75</v>
      </c>
      <c r="I4206" s="0" t="n">
        <f aca="false">E4206</f>
        <v>0.125</v>
      </c>
      <c r="J4206" s="0" t="n">
        <f aca="false">F4206</f>
        <v>-0.75</v>
      </c>
      <c r="K4206" s="0" t="n">
        <f aca="false">D4206*E4206</f>
        <v>0.09375</v>
      </c>
      <c r="L4206" s="0" t="n">
        <f aca="false">D4206*F4206</f>
        <v>-0.5625</v>
      </c>
      <c r="M4206" s="0" t="n">
        <f aca="false">E4206*F4206</f>
        <v>-0.09375</v>
      </c>
      <c r="N4206" s="0" t="n">
        <f aca="false">D4206*D4206</f>
        <v>0.5625</v>
      </c>
      <c r="O4206" s="0" t="n">
        <f aca="false">E4206*E4206</f>
        <v>0.015625</v>
      </c>
      <c r="P4206" s="0" t="n">
        <f aca="false">F4206*F4206</f>
        <v>0.5625</v>
      </c>
      <c r="Q4206" s="0" t="n">
        <f aca="false">SUMPRODUCT(G4206:P4206,_XtX!$B$71:$K$71)</f>
        <v>47.6393323863637</v>
      </c>
      <c r="R4206" s="0" t="n">
        <f aca="false">SUMPRODUCT(MMULT(G4206:P4206,_XtX!$B$58:$K$67),G4206:P4206)</f>
        <v>0.309414950284091</v>
      </c>
      <c r="S4206" s="0" t="n">
        <f aca="false">04_回帰ANOVA!$K$19*04_回帰ANOVA!$K$14*SQRT(1+R4206)</f>
        <v>1.06391096196568</v>
      </c>
      <c r="T4206" s="0" t="n">
        <f aca="false">Q4206-S4206</f>
        <v>46.575421424398</v>
      </c>
      <c r="U4206" s="0" t="n">
        <f aca="false">Q4206+S4206</f>
        <v>48.7032433483293</v>
      </c>
      <c r="V4206" s="54" t="b">
        <f aca="false">AND(D4206&gt;=01_因子設定!$L$5-0.000000001,D4206&lt;=01_因子設定!$M$5+0.000000001,E4206&gt;=01_因子設定!$L$6-0.000000001,E4206&lt;=01_因子設定!$M$6+0.000000001,F4206&gt;=01_因子設定!$L$7-0.000000001,F4206&lt;=01_因子設定!$M$7+0.000000001,IF(01_因子設定!$B$20="Box-Behnken",D4206^2+E4206^2+F4206^2&lt;=2+0.000000001,TRUE()))</f>
        <v>1</v>
      </c>
      <c r="W4206" s="55" t="n">
        <f aca="false">IF(V4206,IF(01_因子設定!$B$13="最大化",T4206-01_因子設定!$B$14,IF(01_因子設定!$B$13="最小化",01_因子設定!$B$15-U4206,MIN(T4206-01_因子設定!$B$14,01_因子設定!$B$15-U4206))),-1E+030)</f>
        <v>-1.92457857560203</v>
      </c>
      <c r="X4206" s="55" t="n">
        <f aca="false">IF(V4206,IF(01_因子設定!$B$13="最大化",Q4206,IF(01_因子設定!$B$13="最小化",-Q4206,-ABS(Q4206-01_因子設定!$B$16))),-1E+030)</f>
        <v>47.6393323863637</v>
      </c>
      <c r="Y4206" s="55" t="n">
        <f aca="false">W4206+ROW()*0.000000001</f>
        <v>-1.92457436960203</v>
      </c>
      <c r="Z4206" s="55" t="n">
        <f aca="false">X4206+ROW()*0.000000001</f>
        <v>47.6393365923637</v>
      </c>
    </row>
    <row r="4207" customFormat="false" ht="15" hidden="false" customHeight="false" outlineLevel="0" collapsed="false">
      <c r="A4207" s="0" t="n">
        <v>14</v>
      </c>
      <c r="B4207" s="0" t="n">
        <v>9</v>
      </c>
      <c r="C4207" s="0" t="n">
        <v>3</v>
      </c>
      <c r="D4207" s="0" t="n">
        <f aca="false">-1+A4207*0.125</f>
        <v>0.75</v>
      </c>
      <c r="E4207" s="0" t="n">
        <f aca="false">-1+B4207*0.125</f>
        <v>0.125</v>
      </c>
      <c r="F4207" s="0" t="n">
        <f aca="false">-1+C4207*0.125</f>
        <v>-0.625</v>
      </c>
      <c r="G4207" s="0" t="n">
        <f aca="false">1</f>
        <v>1</v>
      </c>
      <c r="H4207" s="0" t="n">
        <f aca="false">D4207</f>
        <v>0.75</v>
      </c>
      <c r="I4207" s="0" t="n">
        <f aca="false">E4207</f>
        <v>0.125</v>
      </c>
      <c r="J4207" s="0" t="n">
        <f aca="false">F4207</f>
        <v>-0.625</v>
      </c>
      <c r="K4207" s="0" t="n">
        <f aca="false">D4207*E4207</f>
        <v>0.09375</v>
      </c>
      <c r="L4207" s="0" t="n">
        <f aca="false">D4207*F4207</f>
        <v>-0.46875</v>
      </c>
      <c r="M4207" s="0" t="n">
        <f aca="false">E4207*F4207</f>
        <v>-0.078125</v>
      </c>
      <c r="N4207" s="0" t="n">
        <f aca="false">D4207*D4207</f>
        <v>0.5625</v>
      </c>
      <c r="O4207" s="0" t="n">
        <f aca="false">E4207*E4207</f>
        <v>0.015625</v>
      </c>
      <c r="P4207" s="0" t="n">
        <f aca="false">F4207*F4207</f>
        <v>0.390625</v>
      </c>
      <c r="Q4207" s="0" t="n">
        <f aca="false">SUMPRODUCT(G4207:P4207,_XtX!$B$71:$K$71)</f>
        <v>48.0071448863636</v>
      </c>
      <c r="R4207" s="0" t="n">
        <f aca="false">SUMPRODUCT(MMULT(G4207:P4207,_XtX!$B$58:$K$67),G4207:P4207)</f>
        <v>0.262961092862216</v>
      </c>
      <c r="S4207" s="0" t="n">
        <f aca="false">04_回帰ANOVA!$K$19*04_回帰ANOVA!$K$14*SQRT(1+R4207)</f>
        <v>1.04486846483649</v>
      </c>
      <c r="T4207" s="0" t="n">
        <f aca="false">Q4207-S4207</f>
        <v>46.9622764215272</v>
      </c>
      <c r="U4207" s="0" t="n">
        <f aca="false">Q4207+S4207</f>
        <v>49.0520133512001</v>
      </c>
      <c r="V4207" s="54" t="b">
        <f aca="false">AND(D4207&gt;=01_因子設定!$L$5-0.000000001,D4207&lt;=01_因子設定!$M$5+0.000000001,E4207&gt;=01_因子設定!$L$6-0.000000001,E4207&lt;=01_因子設定!$M$6+0.000000001,F4207&gt;=01_因子設定!$L$7-0.000000001,F4207&lt;=01_因子設定!$M$7+0.000000001,IF(01_因子設定!$B$20="Box-Behnken",D4207^2+E4207^2+F4207^2&lt;=2+0.000000001,TRUE()))</f>
        <v>1</v>
      </c>
      <c r="W4207" s="55" t="n">
        <f aca="false">IF(V4207,IF(01_因子設定!$B$13="最大化",T4207-01_因子設定!$B$14,IF(01_因子設定!$B$13="最小化",01_因子設定!$B$15-U4207,MIN(T4207-01_因子設定!$B$14,01_因子設定!$B$15-U4207))),-1E+030)</f>
        <v>-1.53772357847284</v>
      </c>
      <c r="X4207" s="55" t="n">
        <f aca="false">IF(V4207,IF(01_因子設定!$B$13="最大化",Q4207,IF(01_因子設定!$B$13="最小化",-Q4207,-ABS(Q4207-01_因子設定!$B$16))),-1E+030)</f>
        <v>48.0071448863636</v>
      </c>
      <c r="Y4207" s="55" t="n">
        <f aca="false">W4207+ROW()*0.000000001</f>
        <v>-1.53771937147284</v>
      </c>
      <c r="Z4207" s="55" t="n">
        <f aca="false">X4207+ROW()*0.000000001</f>
        <v>48.0071490933636</v>
      </c>
    </row>
    <row r="4208" customFormat="false" ht="15" hidden="false" customHeight="false" outlineLevel="0" collapsed="false">
      <c r="A4208" s="0" t="n">
        <v>14</v>
      </c>
      <c r="B4208" s="0" t="n">
        <v>9</v>
      </c>
      <c r="C4208" s="0" t="n">
        <v>4</v>
      </c>
      <c r="D4208" s="0" t="n">
        <f aca="false">-1+A4208*0.125</f>
        <v>0.75</v>
      </c>
      <c r="E4208" s="0" t="n">
        <f aca="false">-1+B4208*0.125</f>
        <v>0.125</v>
      </c>
      <c r="F4208" s="0" t="n">
        <f aca="false">-1+C4208*0.125</f>
        <v>-0.5</v>
      </c>
      <c r="G4208" s="0" t="n">
        <f aca="false">1</f>
        <v>1</v>
      </c>
      <c r="H4208" s="0" t="n">
        <f aca="false">D4208</f>
        <v>0.75</v>
      </c>
      <c r="I4208" s="0" t="n">
        <f aca="false">E4208</f>
        <v>0.125</v>
      </c>
      <c r="J4208" s="0" t="n">
        <f aca="false">F4208</f>
        <v>-0.5</v>
      </c>
      <c r="K4208" s="0" t="n">
        <f aca="false">D4208*E4208</f>
        <v>0.09375</v>
      </c>
      <c r="L4208" s="0" t="n">
        <f aca="false">D4208*F4208</f>
        <v>-0.375</v>
      </c>
      <c r="M4208" s="0" t="n">
        <f aca="false">E4208*F4208</f>
        <v>-0.0625</v>
      </c>
      <c r="N4208" s="0" t="n">
        <f aca="false">D4208*D4208</f>
        <v>0.5625</v>
      </c>
      <c r="O4208" s="0" t="n">
        <f aca="false">E4208*E4208</f>
        <v>0.015625</v>
      </c>
      <c r="P4208" s="0" t="n">
        <f aca="false">F4208*F4208</f>
        <v>0.25</v>
      </c>
      <c r="Q4208" s="0" t="n">
        <f aca="false">SUMPRODUCT(G4208:P4208,_XtX!$B$71:$K$71)</f>
        <v>48.3381676136364</v>
      </c>
      <c r="R4208" s="0" t="n">
        <f aca="false">SUMPRODUCT(MMULT(G4208:P4208,_XtX!$B$58:$K$67),G4208:P4208)</f>
        <v>0.240933504971591</v>
      </c>
      <c r="S4208" s="0" t="n">
        <f aca="false">04_回帰ANOVA!$K$19*04_回帰ANOVA!$K$14*SQRT(1+R4208)</f>
        <v>1.03571649118863</v>
      </c>
      <c r="T4208" s="0" t="n">
        <f aca="false">Q4208-S4208</f>
        <v>47.3024511224477</v>
      </c>
      <c r="U4208" s="0" t="n">
        <f aca="false">Q4208+S4208</f>
        <v>49.373884104825</v>
      </c>
      <c r="V4208" s="54" t="b">
        <f aca="false">AND(D4208&gt;=01_因子設定!$L$5-0.000000001,D4208&lt;=01_因子設定!$M$5+0.000000001,E4208&gt;=01_因子設定!$L$6-0.000000001,E4208&lt;=01_因子設定!$M$6+0.000000001,F4208&gt;=01_因子設定!$L$7-0.000000001,F4208&lt;=01_因子設定!$M$7+0.000000001,IF(01_因子設定!$B$20="Box-Behnken",D4208^2+E4208^2+F4208^2&lt;=2+0.000000001,TRUE()))</f>
        <v>1</v>
      </c>
      <c r="W4208" s="55" t="n">
        <f aca="false">IF(V4208,IF(01_因子設定!$B$13="最大化",T4208-01_因子設定!$B$14,IF(01_因子設定!$B$13="最小化",01_因子設定!$B$15-U4208,MIN(T4208-01_因子設定!$B$14,01_因子設定!$B$15-U4208))),-1E+030)</f>
        <v>-1.19754887755226</v>
      </c>
      <c r="X4208" s="55" t="n">
        <f aca="false">IF(V4208,IF(01_因子設定!$B$13="最大化",Q4208,IF(01_因子設定!$B$13="最小化",-Q4208,-ABS(Q4208-01_因子設定!$B$16))),-1E+030)</f>
        <v>48.3381676136364</v>
      </c>
      <c r="Y4208" s="55" t="n">
        <f aca="false">W4208+ROW()*0.000000001</f>
        <v>-1.19754466955226</v>
      </c>
      <c r="Z4208" s="55" t="n">
        <f aca="false">X4208+ROW()*0.000000001</f>
        <v>48.3381718216364</v>
      </c>
    </row>
    <row r="4209" customFormat="false" ht="15" hidden="false" customHeight="false" outlineLevel="0" collapsed="false">
      <c r="A4209" s="0" t="n">
        <v>14</v>
      </c>
      <c r="B4209" s="0" t="n">
        <v>9</v>
      </c>
      <c r="C4209" s="0" t="n">
        <v>5</v>
      </c>
      <c r="D4209" s="0" t="n">
        <f aca="false">-1+A4209*0.125</f>
        <v>0.75</v>
      </c>
      <c r="E4209" s="0" t="n">
        <f aca="false">-1+B4209*0.125</f>
        <v>0.125</v>
      </c>
      <c r="F4209" s="0" t="n">
        <f aca="false">-1+C4209*0.125</f>
        <v>-0.375</v>
      </c>
      <c r="G4209" s="0" t="n">
        <f aca="false">1</f>
        <v>1</v>
      </c>
      <c r="H4209" s="0" t="n">
        <f aca="false">D4209</f>
        <v>0.75</v>
      </c>
      <c r="I4209" s="0" t="n">
        <f aca="false">E4209</f>
        <v>0.125</v>
      </c>
      <c r="J4209" s="0" t="n">
        <f aca="false">F4209</f>
        <v>-0.375</v>
      </c>
      <c r="K4209" s="0" t="n">
        <f aca="false">D4209*E4209</f>
        <v>0.09375</v>
      </c>
      <c r="L4209" s="0" t="n">
        <f aca="false">D4209*F4209</f>
        <v>-0.28125</v>
      </c>
      <c r="M4209" s="0" t="n">
        <f aca="false">E4209*F4209</f>
        <v>-0.046875</v>
      </c>
      <c r="N4209" s="0" t="n">
        <f aca="false">D4209*D4209</f>
        <v>0.5625</v>
      </c>
      <c r="O4209" s="0" t="n">
        <f aca="false">E4209*E4209</f>
        <v>0.015625</v>
      </c>
      <c r="P4209" s="0" t="n">
        <f aca="false">F4209*F4209</f>
        <v>0.140625</v>
      </c>
      <c r="Q4209" s="0" t="n">
        <f aca="false">SUMPRODUCT(G4209:P4209,_XtX!$B$71:$K$71)</f>
        <v>48.6324005681818</v>
      </c>
      <c r="R4209" s="0" t="n">
        <f aca="false">SUMPRODUCT(MMULT(G4209:P4209,_XtX!$B$58:$K$67),G4209:P4209)</f>
        <v>0.233744118430398</v>
      </c>
      <c r="S4209" s="0" t="n">
        <f aca="false">04_回帰ANOVA!$K$19*04_回帰ANOVA!$K$14*SQRT(1+R4209)</f>
        <v>1.0327119053564</v>
      </c>
      <c r="T4209" s="0" t="n">
        <f aca="false">Q4209-S4209</f>
        <v>47.5996886628254</v>
      </c>
      <c r="U4209" s="0" t="n">
        <f aca="false">Q4209+S4209</f>
        <v>49.6651124735382</v>
      </c>
      <c r="V4209" s="54" t="b">
        <f aca="false">AND(D4209&gt;=01_因子設定!$L$5-0.000000001,D4209&lt;=01_因子設定!$M$5+0.000000001,E4209&gt;=01_因子設定!$L$6-0.000000001,E4209&lt;=01_因子設定!$M$6+0.000000001,F4209&gt;=01_因子設定!$L$7-0.000000001,F4209&lt;=01_因子設定!$M$7+0.000000001,IF(01_因子設定!$B$20="Box-Behnken",D4209^2+E4209^2+F4209^2&lt;=2+0.000000001,TRUE()))</f>
        <v>1</v>
      </c>
      <c r="W4209" s="55" t="n">
        <f aca="false">IF(V4209,IF(01_因子設定!$B$13="最大化",T4209-01_因子設定!$B$14,IF(01_因子設定!$B$13="最小化",01_因子設定!$B$15-U4209,MIN(T4209-01_因子設定!$B$14,01_因子設定!$B$15-U4209))),-1E+030)</f>
        <v>-0.900311337174578</v>
      </c>
      <c r="X4209" s="55" t="n">
        <f aca="false">IF(V4209,IF(01_因子設定!$B$13="最大化",Q4209,IF(01_因子設定!$B$13="最小化",-Q4209,-ABS(Q4209-01_因子設定!$B$16))),-1E+030)</f>
        <v>48.6324005681818</v>
      </c>
      <c r="Y4209" s="55" t="n">
        <f aca="false">W4209+ROW()*0.000000001</f>
        <v>-0.900307128174578</v>
      </c>
      <c r="Z4209" s="55" t="n">
        <f aca="false">X4209+ROW()*0.000000001</f>
        <v>48.6324047771818</v>
      </c>
    </row>
    <row r="4210" customFormat="false" ht="15" hidden="false" customHeight="false" outlineLevel="0" collapsed="false">
      <c r="A4210" s="0" t="n">
        <v>14</v>
      </c>
      <c r="B4210" s="0" t="n">
        <v>9</v>
      </c>
      <c r="C4210" s="0" t="n">
        <v>6</v>
      </c>
      <c r="D4210" s="0" t="n">
        <f aca="false">-1+A4210*0.125</f>
        <v>0.75</v>
      </c>
      <c r="E4210" s="0" t="n">
        <f aca="false">-1+B4210*0.125</f>
        <v>0.125</v>
      </c>
      <c r="F4210" s="0" t="n">
        <f aca="false">-1+C4210*0.125</f>
        <v>-0.25</v>
      </c>
      <c r="G4210" s="0" t="n">
        <f aca="false">1</f>
        <v>1</v>
      </c>
      <c r="H4210" s="0" t="n">
        <f aca="false">D4210</f>
        <v>0.75</v>
      </c>
      <c r="I4210" s="0" t="n">
        <f aca="false">E4210</f>
        <v>0.125</v>
      </c>
      <c r="J4210" s="0" t="n">
        <f aca="false">F4210</f>
        <v>-0.25</v>
      </c>
      <c r="K4210" s="0" t="n">
        <f aca="false">D4210*E4210</f>
        <v>0.09375</v>
      </c>
      <c r="L4210" s="0" t="n">
        <f aca="false">D4210*F4210</f>
        <v>-0.1875</v>
      </c>
      <c r="M4210" s="0" t="n">
        <f aca="false">E4210*F4210</f>
        <v>-0.03125</v>
      </c>
      <c r="N4210" s="0" t="n">
        <f aca="false">D4210*D4210</f>
        <v>0.5625</v>
      </c>
      <c r="O4210" s="0" t="n">
        <f aca="false">E4210*E4210</f>
        <v>0.015625</v>
      </c>
      <c r="P4210" s="0" t="n">
        <f aca="false">F4210*F4210</f>
        <v>0.0625</v>
      </c>
      <c r="Q4210" s="0" t="n">
        <f aca="false">SUMPRODUCT(G4210:P4210,_XtX!$B$71:$K$71)</f>
        <v>48.88984375</v>
      </c>
      <c r="R4210" s="0" t="n">
        <f aca="false">SUMPRODUCT(MMULT(G4210:P4210,_XtX!$B$58:$K$67),G4210:P4210)</f>
        <v>0.233935546875</v>
      </c>
      <c r="S4210" s="0" t="n">
        <f aca="false">04_回帰ANOVA!$K$19*04_回帰ANOVA!$K$14*SQRT(1+R4210)</f>
        <v>1.03279202033444</v>
      </c>
      <c r="T4210" s="0" t="n">
        <f aca="false">Q4210-S4210</f>
        <v>47.8570517296656</v>
      </c>
      <c r="U4210" s="0" t="n">
        <f aca="false">Q4210+S4210</f>
        <v>49.9226357703344</v>
      </c>
      <c r="V4210" s="54" t="b">
        <f aca="false">AND(D4210&gt;=01_因子設定!$L$5-0.000000001,D4210&lt;=01_因子設定!$M$5+0.000000001,E4210&gt;=01_因子設定!$L$6-0.000000001,E4210&lt;=01_因子設定!$M$6+0.000000001,F4210&gt;=01_因子設定!$L$7-0.000000001,F4210&lt;=01_因子設定!$M$7+0.000000001,IF(01_因子設定!$B$20="Box-Behnken",D4210^2+E4210^2+F4210^2&lt;=2+0.000000001,TRUE()))</f>
        <v>1</v>
      </c>
      <c r="W4210" s="55" t="n">
        <f aca="false">IF(V4210,IF(01_因子設定!$B$13="最大化",T4210-01_因子設定!$B$14,IF(01_因子設定!$B$13="最小化",01_因子設定!$B$15-U4210,MIN(T4210-01_因子設定!$B$14,01_因子設定!$B$15-U4210))),-1E+030)</f>
        <v>-0.642948270334443</v>
      </c>
      <c r="X4210" s="55" t="n">
        <f aca="false">IF(V4210,IF(01_因子設定!$B$13="最大化",Q4210,IF(01_因子設定!$B$13="最小化",-Q4210,-ABS(Q4210-01_因子設定!$B$16))),-1E+030)</f>
        <v>48.88984375</v>
      </c>
      <c r="Y4210" s="55" t="n">
        <f aca="false">W4210+ROW()*0.000000001</f>
        <v>-0.642944060334443</v>
      </c>
      <c r="Z4210" s="55" t="n">
        <f aca="false">X4210+ROW()*0.000000001</f>
        <v>48.88984796</v>
      </c>
    </row>
    <row r="4211" customFormat="false" ht="15" hidden="false" customHeight="false" outlineLevel="0" collapsed="false">
      <c r="A4211" s="0" t="n">
        <v>14</v>
      </c>
      <c r="B4211" s="0" t="n">
        <v>9</v>
      </c>
      <c r="C4211" s="0" t="n">
        <v>7</v>
      </c>
      <c r="D4211" s="0" t="n">
        <f aca="false">-1+A4211*0.125</f>
        <v>0.75</v>
      </c>
      <c r="E4211" s="0" t="n">
        <f aca="false">-1+B4211*0.125</f>
        <v>0.125</v>
      </c>
      <c r="F4211" s="0" t="n">
        <f aca="false">-1+C4211*0.125</f>
        <v>-0.125</v>
      </c>
      <c r="G4211" s="0" t="n">
        <f aca="false">1</f>
        <v>1</v>
      </c>
      <c r="H4211" s="0" t="n">
        <f aca="false">D4211</f>
        <v>0.75</v>
      </c>
      <c r="I4211" s="0" t="n">
        <f aca="false">E4211</f>
        <v>0.125</v>
      </c>
      <c r="J4211" s="0" t="n">
        <f aca="false">F4211</f>
        <v>-0.125</v>
      </c>
      <c r="K4211" s="0" t="n">
        <f aca="false">D4211*E4211</f>
        <v>0.09375</v>
      </c>
      <c r="L4211" s="0" t="n">
        <f aca="false">D4211*F4211</f>
        <v>-0.09375</v>
      </c>
      <c r="M4211" s="0" t="n">
        <f aca="false">E4211*F4211</f>
        <v>-0.015625</v>
      </c>
      <c r="N4211" s="0" t="n">
        <f aca="false">D4211*D4211</f>
        <v>0.5625</v>
      </c>
      <c r="O4211" s="0" t="n">
        <f aca="false">E4211*E4211</f>
        <v>0.015625</v>
      </c>
      <c r="P4211" s="0" t="n">
        <f aca="false">F4211*F4211</f>
        <v>0.015625</v>
      </c>
      <c r="Q4211" s="0" t="n">
        <f aca="false">SUMPRODUCT(G4211:P4211,_XtX!$B$71:$K$71)</f>
        <v>49.1104971590909</v>
      </c>
      <c r="R4211" s="0" t="n">
        <f aca="false">SUMPRODUCT(MMULT(G4211:P4211,_XtX!$B$58:$K$67),G4211:P4211)</f>
        <v>0.236181085759943</v>
      </c>
      <c r="S4211" s="0" t="n">
        <f aca="false">04_回帰ANOVA!$K$19*04_回帰ANOVA!$K$14*SQRT(1+R4211)</f>
        <v>1.03373134025567</v>
      </c>
      <c r="T4211" s="0" t="n">
        <f aca="false">Q4211-S4211</f>
        <v>48.0767658188352</v>
      </c>
      <c r="U4211" s="0" t="n">
        <f aca="false">Q4211+S4211</f>
        <v>50.1442284993466</v>
      </c>
      <c r="V4211" s="54" t="b">
        <f aca="false">AND(D4211&gt;=01_因子設定!$L$5-0.000000001,D4211&lt;=01_因子設定!$M$5+0.000000001,E4211&gt;=01_因子設定!$L$6-0.000000001,E4211&lt;=01_因子設定!$M$6+0.000000001,F4211&gt;=01_因子設定!$L$7-0.000000001,F4211&lt;=01_因子設定!$M$7+0.000000001,IF(01_因子設定!$B$20="Box-Behnken",D4211^2+E4211^2+F4211^2&lt;=2+0.000000001,TRUE()))</f>
        <v>1</v>
      </c>
      <c r="W4211" s="55" t="n">
        <f aca="false">IF(V4211,IF(01_因子設定!$B$13="最大化",T4211-01_因子設定!$B$14,IF(01_因子設定!$B$13="最小化",01_因子設定!$B$15-U4211,MIN(T4211-01_因子設定!$B$14,01_因子設定!$B$15-U4211))),-1E+030)</f>
        <v>-0.423234181164773</v>
      </c>
      <c r="X4211" s="55" t="n">
        <f aca="false">IF(V4211,IF(01_因子設定!$B$13="最大化",Q4211,IF(01_因子設定!$B$13="最小化",-Q4211,-ABS(Q4211-01_因子設定!$B$16))),-1E+030)</f>
        <v>49.1104971590909</v>
      </c>
      <c r="Y4211" s="55" t="n">
        <f aca="false">W4211+ROW()*0.000000001</f>
        <v>-0.423229970164773</v>
      </c>
      <c r="Z4211" s="55" t="n">
        <f aca="false">X4211+ROW()*0.000000001</f>
        <v>49.1105013700909</v>
      </c>
    </row>
    <row r="4212" customFormat="false" ht="15" hidden="false" customHeight="false" outlineLevel="0" collapsed="false">
      <c r="A4212" s="0" t="n">
        <v>14</v>
      </c>
      <c r="B4212" s="0" t="n">
        <v>9</v>
      </c>
      <c r="C4212" s="0" t="n">
        <v>8</v>
      </c>
      <c r="D4212" s="0" t="n">
        <f aca="false">-1+A4212*0.125</f>
        <v>0.75</v>
      </c>
      <c r="E4212" s="0" t="n">
        <f aca="false">-1+B4212*0.125</f>
        <v>0.125</v>
      </c>
      <c r="F4212" s="0" t="n">
        <f aca="false">-1+C4212*0.125</f>
        <v>0</v>
      </c>
      <c r="G4212" s="0" t="n">
        <f aca="false">1</f>
        <v>1</v>
      </c>
      <c r="H4212" s="0" t="n">
        <f aca="false">D4212</f>
        <v>0.75</v>
      </c>
      <c r="I4212" s="0" t="n">
        <f aca="false">E4212</f>
        <v>0.125</v>
      </c>
      <c r="J4212" s="0" t="n">
        <f aca="false">F4212</f>
        <v>0</v>
      </c>
      <c r="K4212" s="0" t="n">
        <f aca="false">D4212*E4212</f>
        <v>0.09375</v>
      </c>
      <c r="L4212" s="0" t="n">
        <f aca="false">D4212*F4212</f>
        <v>0</v>
      </c>
      <c r="M4212" s="0" t="n">
        <f aca="false">E4212*F4212</f>
        <v>0</v>
      </c>
      <c r="N4212" s="0" t="n">
        <f aca="false">D4212*D4212</f>
        <v>0.5625</v>
      </c>
      <c r="O4212" s="0" t="n">
        <f aca="false">E4212*E4212</f>
        <v>0.015625</v>
      </c>
      <c r="P4212" s="0" t="n">
        <f aca="false">F4212*F4212</f>
        <v>0</v>
      </c>
      <c r="Q4212" s="0" t="n">
        <f aca="false">SUMPRODUCT(G4212:P4212,_XtX!$B$71:$K$71)</f>
        <v>49.2943607954545</v>
      </c>
      <c r="R4212" s="0" t="n">
        <f aca="false">SUMPRODUCT(MMULT(G4212:P4212,_XtX!$B$58:$K$67),G4212:P4212)</f>
        <v>0.237284712357955</v>
      </c>
      <c r="S4212" s="0" t="n">
        <f aca="false">04_回帰ANOVA!$K$19*04_回帰ANOVA!$K$14*SQRT(1+R4212)</f>
        <v>1.03419267998124</v>
      </c>
      <c r="T4212" s="0" t="n">
        <f aca="false">Q4212-S4212</f>
        <v>48.2601681154733</v>
      </c>
      <c r="U4212" s="0" t="n">
        <f aca="false">Q4212+S4212</f>
        <v>50.3285534754358</v>
      </c>
      <c r="V4212" s="54" t="b">
        <f aca="false">AND(D4212&gt;=01_因子設定!$L$5-0.000000001,D4212&lt;=01_因子設定!$M$5+0.000000001,E4212&gt;=01_因子設定!$L$6-0.000000001,E4212&lt;=01_因子設定!$M$6+0.000000001,F4212&gt;=01_因子設定!$L$7-0.000000001,F4212&lt;=01_因子設定!$M$7+0.000000001,IF(01_因子設定!$B$20="Box-Behnken",D4212^2+E4212^2+F4212^2&lt;=2+0.000000001,TRUE()))</f>
        <v>1</v>
      </c>
      <c r="W4212" s="55" t="n">
        <f aca="false">IF(V4212,IF(01_因子設定!$B$13="最大化",T4212-01_因子設定!$B$14,IF(01_因子設定!$B$13="最小化",01_因子設定!$B$15-U4212,MIN(T4212-01_因子設定!$B$14,01_因子設定!$B$15-U4212))),-1E+030)</f>
        <v>-0.239831884526694</v>
      </c>
      <c r="X4212" s="55" t="n">
        <f aca="false">IF(V4212,IF(01_因子設定!$B$13="最大化",Q4212,IF(01_因子設定!$B$13="最小化",-Q4212,-ABS(Q4212-01_因子設定!$B$16))),-1E+030)</f>
        <v>49.2943607954545</v>
      </c>
      <c r="Y4212" s="55" t="n">
        <f aca="false">W4212+ROW()*0.000000001</f>
        <v>-0.239827672526694</v>
      </c>
      <c r="Z4212" s="55" t="n">
        <f aca="false">X4212+ROW()*0.000000001</f>
        <v>49.2943650074545</v>
      </c>
    </row>
    <row r="4213" customFormat="false" ht="15" hidden="false" customHeight="false" outlineLevel="0" collapsed="false">
      <c r="A4213" s="0" t="n">
        <v>14</v>
      </c>
      <c r="B4213" s="0" t="n">
        <v>9</v>
      </c>
      <c r="C4213" s="0" t="n">
        <v>9</v>
      </c>
      <c r="D4213" s="0" t="n">
        <f aca="false">-1+A4213*0.125</f>
        <v>0.75</v>
      </c>
      <c r="E4213" s="0" t="n">
        <f aca="false">-1+B4213*0.125</f>
        <v>0.125</v>
      </c>
      <c r="F4213" s="0" t="n">
        <f aca="false">-1+C4213*0.125</f>
        <v>0.125</v>
      </c>
      <c r="G4213" s="0" t="n">
        <f aca="false">1</f>
        <v>1</v>
      </c>
      <c r="H4213" s="0" t="n">
        <f aca="false">D4213</f>
        <v>0.75</v>
      </c>
      <c r="I4213" s="0" t="n">
        <f aca="false">E4213</f>
        <v>0.125</v>
      </c>
      <c r="J4213" s="0" t="n">
        <f aca="false">F4213</f>
        <v>0.125</v>
      </c>
      <c r="K4213" s="0" t="n">
        <f aca="false">D4213*E4213</f>
        <v>0.09375</v>
      </c>
      <c r="L4213" s="0" t="n">
        <f aca="false">D4213*F4213</f>
        <v>0.09375</v>
      </c>
      <c r="M4213" s="0" t="n">
        <f aca="false">E4213*F4213</f>
        <v>0.015625</v>
      </c>
      <c r="N4213" s="0" t="n">
        <f aca="false">D4213*D4213</f>
        <v>0.5625</v>
      </c>
      <c r="O4213" s="0" t="n">
        <f aca="false">E4213*E4213</f>
        <v>0.015625</v>
      </c>
      <c r="P4213" s="0" t="n">
        <f aca="false">F4213*F4213</f>
        <v>0.015625</v>
      </c>
      <c r="Q4213" s="0" t="n">
        <f aca="false">SUMPRODUCT(G4213:P4213,_XtX!$B$71:$K$71)</f>
        <v>49.4414346590909</v>
      </c>
      <c r="R4213" s="0" t="n">
        <f aca="false">SUMPRODUCT(MMULT(G4213:P4213,_XtX!$B$58:$K$67),G4213:P4213)</f>
        <v>0.236181085759943</v>
      </c>
      <c r="S4213" s="0" t="n">
        <f aca="false">04_回帰ANOVA!$K$19*04_回帰ANOVA!$K$14*SQRT(1+R4213)</f>
        <v>1.03373134025567</v>
      </c>
      <c r="T4213" s="0" t="n">
        <f aca="false">Q4213-S4213</f>
        <v>48.4077033188352</v>
      </c>
      <c r="U4213" s="0" t="n">
        <f aca="false">Q4213+S4213</f>
        <v>50.4751659993466</v>
      </c>
      <c r="V4213" s="54" t="b">
        <f aca="false">AND(D4213&gt;=01_因子設定!$L$5-0.000000001,D4213&lt;=01_因子設定!$M$5+0.000000001,E4213&gt;=01_因子設定!$L$6-0.000000001,E4213&lt;=01_因子設定!$M$6+0.000000001,F4213&gt;=01_因子設定!$L$7-0.000000001,F4213&lt;=01_因子設定!$M$7+0.000000001,IF(01_因子設定!$B$20="Box-Behnken",D4213^2+E4213^2+F4213^2&lt;=2+0.000000001,TRUE()))</f>
        <v>1</v>
      </c>
      <c r="W4213" s="55" t="n">
        <f aca="false">IF(V4213,IF(01_因子設定!$B$13="最大化",T4213-01_因子設定!$B$14,IF(01_因子設定!$B$13="最小化",01_因子設定!$B$15-U4213,MIN(T4213-01_因子設定!$B$14,01_因子設定!$B$15-U4213))),-1E+030)</f>
        <v>-0.0922966811647683</v>
      </c>
      <c r="X4213" s="55" t="n">
        <f aca="false">IF(V4213,IF(01_因子設定!$B$13="最大化",Q4213,IF(01_因子設定!$B$13="最小化",-Q4213,-ABS(Q4213-01_因子設定!$B$16))),-1E+030)</f>
        <v>49.4414346590909</v>
      </c>
      <c r="Y4213" s="55" t="n">
        <f aca="false">W4213+ROW()*0.000000001</f>
        <v>-0.0922924681647683</v>
      </c>
      <c r="Z4213" s="55" t="n">
        <f aca="false">X4213+ROW()*0.000000001</f>
        <v>49.4414388720909</v>
      </c>
    </row>
    <row r="4214" customFormat="false" ht="15" hidden="false" customHeight="false" outlineLevel="0" collapsed="false">
      <c r="A4214" s="0" t="n">
        <v>14</v>
      </c>
      <c r="B4214" s="0" t="n">
        <v>9</v>
      </c>
      <c r="C4214" s="0" t="n">
        <v>10</v>
      </c>
      <c r="D4214" s="0" t="n">
        <f aca="false">-1+A4214*0.125</f>
        <v>0.75</v>
      </c>
      <c r="E4214" s="0" t="n">
        <f aca="false">-1+B4214*0.125</f>
        <v>0.125</v>
      </c>
      <c r="F4214" s="0" t="n">
        <f aca="false">-1+C4214*0.125</f>
        <v>0.25</v>
      </c>
      <c r="G4214" s="0" t="n">
        <f aca="false">1</f>
        <v>1</v>
      </c>
      <c r="H4214" s="0" t="n">
        <f aca="false">D4214</f>
        <v>0.75</v>
      </c>
      <c r="I4214" s="0" t="n">
        <f aca="false">E4214</f>
        <v>0.125</v>
      </c>
      <c r="J4214" s="0" t="n">
        <f aca="false">F4214</f>
        <v>0.25</v>
      </c>
      <c r="K4214" s="0" t="n">
        <f aca="false">D4214*E4214</f>
        <v>0.09375</v>
      </c>
      <c r="L4214" s="0" t="n">
        <f aca="false">D4214*F4214</f>
        <v>0.1875</v>
      </c>
      <c r="M4214" s="0" t="n">
        <f aca="false">E4214*F4214</f>
        <v>0.03125</v>
      </c>
      <c r="N4214" s="0" t="n">
        <f aca="false">D4214*D4214</f>
        <v>0.5625</v>
      </c>
      <c r="O4214" s="0" t="n">
        <f aca="false">E4214*E4214</f>
        <v>0.015625</v>
      </c>
      <c r="P4214" s="0" t="n">
        <f aca="false">F4214*F4214</f>
        <v>0.0625</v>
      </c>
      <c r="Q4214" s="0" t="n">
        <f aca="false">SUMPRODUCT(G4214:P4214,_XtX!$B$71:$K$71)</f>
        <v>49.55171875</v>
      </c>
      <c r="R4214" s="0" t="n">
        <f aca="false">SUMPRODUCT(MMULT(G4214:P4214,_XtX!$B$58:$K$67),G4214:P4214)</f>
        <v>0.233935546875</v>
      </c>
      <c r="S4214" s="0" t="n">
        <f aca="false">04_回帰ANOVA!$K$19*04_回帰ANOVA!$K$14*SQRT(1+R4214)</f>
        <v>1.03279202033444</v>
      </c>
      <c r="T4214" s="0" t="n">
        <f aca="false">Q4214-S4214</f>
        <v>48.5189267296656</v>
      </c>
      <c r="U4214" s="0" t="n">
        <f aca="false">Q4214+S4214</f>
        <v>50.5845107703344</v>
      </c>
      <c r="V4214" s="54" t="b">
        <f aca="false">AND(D4214&gt;=01_因子設定!$L$5-0.000000001,D4214&lt;=01_因子設定!$M$5+0.000000001,E4214&gt;=01_因子設定!$L$6-0.000000001,E4214&lt;=01_因子設定!$M$6+0.000000001,F4214&gt;=01_因子設定!$L$7-0.000000001,F4214&lt;=01_因子設定!$M$7+0.000000001,IF(01_因子設定!$B$20="Box-Behnken",D4214^2+E4214^2+F4214^2&lt;=2+0.000000001,TRUE()))</f>
        <v>1</v>
      </c>
      <c r="W4214" s="55" t="n">
        <f aca="false">IF(V4214,IF(01_因子設定!$B$13="最大化",T4214-01_因子設定!$B$14,IF(01_因子設定!$B$13="最小化",01_因子設定!$B$15-U4214,MIN(T4214-01_因子設定!$B$14,01_因子設定!$B$15-U4214))),-1E+030)</f>
        <v>0.0189267296655586</v>
      </c>
      <c r="X4214" s="55" t="n">
        <f aca="false">IF(V4214,IF(01_因子設定!$B$13="最大化",Q4214,IF(01_因子設定!$B$13="最小化",-Q4214,-ABS(Q4214-01_因子設定!$B$16))),-1E+030)</f>
        <v>49.55171875</v>
      </c>
      <c r="Y4214" s="55" t="n">
        <f aca="false">W4214+ROW()*0.000000001</f>
        <v>0.0189309436655586</v>
      </c>
      <c r="Z4214" s="55" t="n">
        <f aca="false">X4214+ROW()*0.000000001</f>
        <v>49.551722964</v>
      </c>
    </row>
    <row r="4215" customFormat="false" ht="15" hidden="false" customHeight="false" outlineLevel="0" collapsed="false">
      <c r="A4215" s="0" t="n">
        <v>14</v>
      </c>
      <c r="B4215" s="0" t="n">
        <v>9</v>
      </c>
      <c r="C4215" s="0" t="n">
        <v>11</v>
      </c>
      <c r="D4215" s="0" t="n">
        <f aca="false">-1+A4215*0.125</f>
        <v>0.75</v>
      </c>
      <c r="E4215" s="0" t="n">
        <f aca="false">-1+B4215*0.125</f>
        <v>0.125</v>
      </c>
      <c r="F4215" s="0" t="n">
        <f aca="false">-1+C4215*0.125</f>
        <v>0.375</v>
      </c>
      <c r="G4215" s="0" t="n">
        <f aca="false">1</f>
        <v>1</v>
      </c>
      <c r="H4215" s="0" t="n">
        <f aca="false">D4215</f>
        <v>0.75</v>
      </c>
      <c r="I4215" s="0" t="n">
        <f aca="false">E4215</f>
        <v>0.125</v>
      </c>
      <c r="J4215" s="0" t="n">
        <f aca="false">F4215</f>
        <v>0.375</v>
      </c>
      <c r="K4215" s="0" t="n">
        <f aca="false">D4215*E4215</f>
        <v>0.09375</v>
      </c>
      <c r="L4215" s="0" t="n">
        <f aca="false">D4215*F4215</f>
        <v>0.28125</v>
      </c>
      <c r="M4215" s="0" t="n">
        <f aca="false">E4215*F4215</f>
        <v>0.046875</v>
      </c>
      <c r="N4215" s="0" t="n">
        <f aca="false">D4215*D4215</f>
        <v>0.5625</v>
      </c>
      <c r="O4215" s="0" t="n">
        <f aca="false">E4215*E4215</f>
        <v>0.015625</v>
      </c>
      <c r="P4215" s="0" t="n">
        <f aca="false">F4215*F4215</f>
        <v>0.140625</v>
      </c>
      <c r="Q4215" s="0" t="n">
        <f aca="false">SUMPRODUCT(G4215:P4215,_XtX!$B$71:$K$71)</f>
        <v>49.6252130681818</v>
      </c>
      <c r="R4215" s="0" t="n">
        <f aca="false">SUMPRODUCT(MMULT(G4215:P4215,_XtX!$B$58:$K$67),G4215:P4215)</f>
        <v>0.233744118430398</v>
      </c>
      <c r="S4215" s="0" t="n">
        <f aca="false">04_回帰ANOVA!$K$19*04_回帰ANOVA!$K$14*SQRT(1+R4215)</f>
        <v>1.0327119053564</v>
      </c>
      <c r="T4215" s="0" t="n">
        <f aca="false">Q4215-S4215</f>
        <v>48.5925011628254</v>
      </c>
      <c r="U4215" s="0" t="n">
        <f aca="false">Q4215+S4215</f>
        <v>50.6579249735382</v>
      </c>
      <c r="V4215" s="54" t="b">
        <f aca="false">AND(D4215&gt;=01_因子設定!$L$5-0.000000001,D4215&lt;=01_因子設定!$M$5+0.000000001,E4215&gt;=01_因子設定!$L$6-0.000000001,E4215&lt;=01_因子設定!$M$6+0.000000001,F4215&gt;=01_因子設定!$L$7-0.000000001,F4215&lt;=01_因子設定!$M$7+0.000000001,IF(01_因子設定!$B$20="Box-Behnken",D4215^2+E4215^2+F4215^2&lt;=2+0.000000001,TRUE()))</f>
        <v>1</v>
      </c>
      <c r="W4215" s="55" t="n">
        <f aca="false">IF(V4215,IF(01_因子設定!$B$13="最大化",T4215-01_因子設定!$B$14,IF(01_因子設定!$B$13="最小化",01_因子設定!$B$15-U4215,MIN(T4215-01_因子設定!$B$14,01_因子設定!$B$15-U4215))),-1E+030)</f>
        <v>0.0925011628254211</v>
      </c>
      <c r="X4215" s="55" t="n">
        <f aca="false">IF(V4215,IF(01_因子設定!$B$13="最大化",Q4215,IF(01_因子設定!$B$13="最小化",-Q4215,-ABS(Q4215-01_因子設定!$B$16))),-1E+030)</f>
        <v>49.6252130681818</v>
      </c>
      <c r="Y4215" s="55" t="n">
        <f aca="false">W4215+ROW()*0.000000001</f>
        <v>0.0925053778254211</v>
      </c>
      <c r="Z4215" s="55" t="n">
        <f aca="false">X4215+ROW()*0.000000001</f>
        <v>49.6252172831818</v>
      </c>
    </row>
    <row r="4216" customFormat="false" ht="15" hidden="false" customHeight="false" outlineLevel="0" collapsed="false">
      <c r="A4216" s="0" t="n">
        <v>14</v>
      </c>
      <c r="B4216" s="0" t="n">
        <v>9</v>
      </c>
      <c r="C4216" s="0" t="n">
        <v>12</v>
      </c>
      <c r="D4216" s="0" t="n">
        <f aca="false">-1+A4216*0.125</f>
        <v>0.75</v>
      </c>
      <c r="E4216" s="0" t="n">
        <f aca="false">-1+B4216*0.125</f>
        <v>0.125</v>
      </c>
      <c r="F4216" s="0" t="n">
        <f aca="false">-1+C4216*0.125</f>
        <v>0.5</v>
      </c>
      <c r="G4216" s="0" t="n">
        <f aca="false">1</f>
        <v>1</v>
      </c>
      <c r="H4216" s="0" t="n">
        <f aca="false">D4216</f>
        <v>0.75</v>
      </c>
      <c r="I4216" s="0" t="n">
        <f aca="false">E4216</f>
        <v>0.125</v>
      </c>
      <c r="J4216" s="0" t="n">
        <f aca="false">F4216</f>
        <v>0.5</v>
      </c>
      <c r="K4216" s="0" t="n">
        <f aca="false">D4216*E4216</f>
        <v>0.09375</v>
      </c>
      <c r="L4216" s="0" t="n">
        <f aca="false">D4216*F4216</f>
        <v>0.375</v>
      </c>
      <c r="M4216" s="0" t="n">
        <f aca="false">E4216*F4216</f>
        <v>0.0625</v>
      </c>
      <c r="N4216" s="0" t="n">
        <f aca="false">D4216*D4216</f>
        <v>0.5625</v>
      </c>
      <c r="O4216" s="0" t="n">
        <f aca="false">E4216*E4216</f>
        <v>0.015625</v>
      </c>
      <c r="P4216" s="0" t="n">
        <f aca="false">F4216*F4216</f>
        <v>0.25</v>
      </c>
      <c r="Q4216" s="0" t="n">
        <f aca="false">SUMPRODUCT(G4216:P4216,_XtX!$B$71:$K$71)</f>
        <v>49.6619176136364</v>
      </c>
      <c r="R4216" s="0" t="n">
        <f aca="false">SUMPRODUCT(MMULT(G4216:P4216,_XtX!$B$58:$K$67),G4216:P4216)</f>
        <v>0.240933504971591</v>
      </c>
      <c r="S4216" s="0" t="n">
        <f aca="false">04_回帰ANOVA!$K$19*04_回帰ANOVA!$K$14*SQRT(1+R4216)</f>
        <v>1.03571649118863</v>
      </c>
      <c r="T4216" s="0" t="n">
        <f aca="false">Q4216-S4216</f>
        <v>48.6262011224477</v>
      </c>
      <c r="U4216" s="0" t="n">
        <f aca="false">Q4216+S4216</f>
        <v>50.697634104825</v>
      </c>
      <c r="V4216" s="54" t="b">
        <f aca="false">AND(D4216&gt;=01_因子設定!$L$5-0.000000001,D4216&lt;=01_因子設定!$M$5+0.000000001,E4216&gt;=01_因子設定!$L$6-0.000000001,E4216&lt;=01_因子設定!$M$6+0.000000001,F4216&gt;=01_因子設定!$L$7-0.000000001,F4216&lt;=01_因子設定!$M$7+0.000000001,IF(01_因子設定!$B$20="Box-Behnken",D4216^2+E4216^2+F4216^2&lt;=2+0.000000001,TRUE()))</f>
        <v>1</v>
      </c>
      <c r="W4216" s="55" t="n">
        <f aca="false">IF(V4216,IF(01_因子設定!$B$13="最大化",T4216-01_因子設定!$B$14,IF(01_因子設定!$B$13="最小化",01_因子設定!$B$15-U4216,MIN(T4216-01_因子設定!$B$14,01_因子設定!$B$15-U4216))),-1E+030)</f>
        <v>0.126201122447746</v>
      </c>
      <c r="X4216" s="55" t="n">
        <f aca="false">IF(V4216,IF(01_因子設定!$B$13="最大化",Q4216,IF(01_因子設定!$B$13="最小化",-Q4216,-ABS(Q4216-01_因子設定!$B$16))),-1E+030)</f>
        <v>49.6619176136364</v>
      </c>
      <c r="Y4216" s="55" t="n">
        <f aca="false">W4216+ROW()*0.000000001</f>
        <v>0.126205338447746</v>
      </c>
      <c r="Z4216" s="55" t="n">
        <f aca="false">X4216+ROW()*0.000000001</f>
        <v>49.6619218296364</v>
      </c>
    </row>
    <row r="4217" customFormat="false" ht="15" hidden="false" customHeight="false" outlineLevel="0" collapsed="false">
      <c r="A4217" s="0" t="n">
        <v>14</v>
      </c>
      <c r="B4217" s="0" t="n">
        <v>9</v>
      </c>
      <c r="C4217" s="0" t="n">
        <v>13</v>
      </c>
      <c r="D4217" s="0" t="n">
        <f aca="false">-1+A4217*0.125</f>
        <v>0.75</v>
      </c>
      <c r="E4217" s="0" t="n">
        <f aca="false">-1+B4217*0.125</f>
        <v>0.125</v>
      </c>
      <c r="F4217" s="0" t="n">
        <f aca="false">-1+C4217*0.125</f>
        <v>0.625</v>
      </c>
      <c r="G4217" s="0" t="n">
        <f aca="false">1</f>
        <v>1</v>
      </c>
      <c r="H4217" s="0" t="n">
        <f aca="false">D4217</f>
        <v>0.75</v>
      </c>
      <c r="I4217" s="0" t="n">
        <f aca="false">E4217</f>
        <v>0.125</v>
      </c>
      <c r="J4217" s="0" t="n">
        <f aca="false">F4217</f>
        <v>0.625</v>
      </c>
      <c r="K4217" s="0" t="n">
        <f aca="false">D4217*E4217</f>
        <v>0.09375</v>
      </c>
      <c r="L4217" s="0" t="n">
        <f aca="false">D4217*F4217</f>
        <v>0.46875</v>
      </c>
      <c r="M4217" s="0" t="n">
        <f aca="false">E4217*F4217</f>
        <v>0.078125</v>
      </c>
      <c r="N4217" s="0" t="n">
        <f aca="false">D4217*D4217</f>
        <v>0.5625</v>
      </c>
      <c r="O4217" s="0" t="n">
        <f aca="false">E4217*E4217</f>
        <v>0.015625</v>
      </c>
      <c r="P4217" s="0" t="n">
        <f aca="false">F4217*F4217</f>
        <v>0.390625</v>
      </c>
      <c r="Q4217" s="0" t="n">
        <f aca="false">SUMPRODUCT(G4217:P4217,_XtX!$B$71:$K$71)</f>
        <v>49.6618323863636</v>
      </c>
      <c r="R4217" s="0" t="n">
        <f aca="false">SUMPRODUCT(MMULT(G4217:P4217,_XtX!$B$58:$K$67),G4217:P4217)</f>
        <v>0.262961092862216</v>
      </c>
      <c r="S4217" s="0" t="n">
        <f aca="false">04_回帰ANOVA!$K$19*04_回帰ANOVA!$K$14*SQRT(1+R4217)</f>
        <v>1.04486846483649</v>
      </c>
      <c r="T4217" s="0" t="n">
        <f aca="false">Q4217-S4217</f>
        <v>48.6169639215272</v>
      </c>
      <c r="U4217" s="0" t="n">
        <f aca="false">Q4217+S4217</f>
        <v>50.7067008512001</v>
      </c>
      <c r="V4217" s="54" t="b">
        <f aca="false">AND(D4217&gt;=01_因子設定!$L$5-0.000000001,D4217&lt;=01_因子設定!$M$5+0.000000001,E4217&gt;=01_因子設定!$L$6-0.000000001,E4217&lt;=01_因子設定!$M$6+0.000000001,F4217&gt;=01_因子設定!$L$7-0.000000001,F4217&lt;=01_因子設定!$M$7+0.000000001,IF(01_因子設定!$B$20="Box-Behnken",D4217^2+E4217^2+F4217^2&lt;=2+0.000000001,TRUE()))</f>
        <v>1</v>
      </c>
      <c r="W4217" s="55" t="n">
        <f aca="false">IF(V4217,IF(01_因子設定!$B$13="最大化",T4217-01_因子設定!$B$14,IF(01_因子設定!$B$13="最小化",01_因子設定!$B$15-U4217,MIN(T4217-01_因子設定!$B$14,01_因子設定!$B$15-U4217))),-1E+030)</f>
        <v>0.116963921527159</v>
      </c>
      <c r="X4217" s="55" t="n">
        <f aca="false">IF(V4217,IF(01_因子設定!$B$13="最大化",Q4217,IF(01_因子設定!$B$13="最小化",-Q4217,-ABS(Q4217-01_因子設定!$B$16))),-1E+030)</f>
        <v>49.6618323863636</v>
      </c>
      <c r="Y4217" s="55" t="n">
        <f aca="false">W4217+ROW()*0.000000001</f>
        <v>0.116968138527159</v>
      </c>
      <c r="Z4217" s="55" t="n">
        <f aca="false">X4217+ROW()*0.000000001</f>
        <v>49.6618366033636</v>
      </c>
    </row>
    <row r="4218" customFormat="false" ht="15" hidden="false" customHeight="false" outlineLevel="0" collapsed="false">
      <c r="A4218" s="0" t="n">
        <v>14</v>
      </c>
      <c r="B4218" s="0" t="n">
        <v>9</v>
      </c>
      <c r="C4218" s="0" t="n">
        <v>14</v>
      </c>
      <c r="D4218" s="0" t="n">
        <f aca="false">-1+A4218*0.125</f>
        <v>0.75</v>
      </c>
      <c r="E4218" s="0" t="n">
        <f aca="false">-1+B4218*0.125</f>
        <v>0.125</v>
      </c>
      <c r="F4218" s="0" t="n">
        <f aca="false">-1+C4218*0.125</f>
        <v>0.75</v>
      </c>
      <c r="G4218" s="0" t="n">
        <f aca="false">1</f>
        <v>1</v>
      </c>
      <c r="H4218" s="0" t="n">
        <f aca="false">D4218</f>
        <v>0.75</v>
      </c>
      <c r="I4218" s="0" t="n">
        <f aca="false">E4218</f>
        <v>0.125</v>
      </c>
      <c r="J4218" s="0" t="n">
        <f aca="false">F4218</f>
        <v>0.75</v>
      </c>
      <c r="K4218" s="0" t="n">
        <f aca="false">D4218*E4218</f>
        <v>0.09375</v>
      </c>
      <c r="L4218" s="0" t="n">
        <f aca="false">D4218*F4218</f>
        <v>0.5625</v>
      </c>
      <c r="M4218" s="0" t="n">
        <f aca="false">E4218*F4218</f>
        <v>0.09375</v>
      </c>
      <c r="N4218" s="0" t="n">
        <f aca="false">D4218*D4218</f>
        <v>0.5625</v>
      </c>
      <c r="O4218" s="0" t="n">
        <f aca="false">E4218*E4218</f>
        <v>0.015625</v>
      </c>
      <c r="P4218" s="0" t="n">
        <f aca="false">F4218*F4218</f>
        <v>0.5625</v>
      </c>
      <c r="Q4218" s="0" t="n">
        <f aca="false">SUMPRODUCT(G4218:P4218,_XtX!$B$71:$K$71)</f>
        <v>49.6249573863637</v>
      </c>
      <c r="R4218" s="0" t="n">
        <f aca="false">SUMPRODUCT(MMULT(G4218:P4218,_XtX!$B$58:$K$67),G4218:P4218)</f>
        <v>0.309414950284091</v>
      </c>
      <c r="S4218" s="0" t="n">
        <f aca="false">04_回帰ANOVA!$K$19*04_回帰ANOVA!$K$14*SQRT(1+R4218)</f>
        <v>1.06391096196568</v>
      </c>
      <c r="T4218" s="0" t="n">
        <f aca="false">Q4218-S4218</f>
        <v>48.561046424398</v>
      </c>
      <c r="U4218" s="0" t="n">
        <f aca="false">Q4218+S4218</f>
        <v>50.6888683483293</v>
      </c>
      <c r="V4218" s="54" t="b">
        <f aca="false">AND(D4218&gt;=01_因子設定!$L$5-0.000000001,D4218&lt;=01_因子設定!$M$5+0.000000001,E4218&gt;=01_因子設定!$L$6-0.000000001,E4218&lt;=01_因子設定!$M$6+0.000000001,F4218&gt;=01_因子設定!$L$7-0.000000001,F4218&lt;=01_因子設定!$M$7+0.000000001,IF(01_因子設定!$B$20="Box-Behnken",D4218^2+E4218^2+F4218^2&lt;=2+0.000000001,TRUE()))</f>
        <v>1</v>
      </c>
      <c r="W4218" s="55" t="n">
        <f aca="false">IF(V4218,IF(01_因子設定!$B$13="最大化",T4218-01_因子設定!$B$14,IF(01_因子設定!$B$13="最小化",01_因子設定!$B$15-U4218,MIN(T4218-01_因子設定!$B$14,01_因子設定!$B$15-U4218))),-1E+030)</f>
        <v>0.061046424397972</v>
      </c>
      <c r="X4218" s="55" t="n">
        <f aca="false">IF(V4218,IF(01_因子設定!$B$13="最大化",Q4218,IF(01_因子設定!$B$13="最小化",-Q4218,-ABS(Q4218-01_因子設定!$B$16))),-1E+030)</f>
        <v>49.6249573863637</v>
      </c>
      <c r="Y4218" s="55" t="n">
        <f aca="false">W4218+ROW()*0.000000001</f>
        <v>0.061050642397972</v>
      </c>
      <c r="Z4218" s="55" t="n">
        <f aca="false">X4218+ROW()*0.000000001</f>
        <v>49.6249616043637</v>
      </c>
    </row>
    <row r="4219" customFormat="false" ht="15" hidden="false" customHeight="false" outlineLevel="0" collapsed="false">
      <c r="A4219" s="0" t="n">
        <v>14</v>
      </c>
      <c r="B4219" s="0" t="n">
        <v>9</v>
      </c>
      <c r="C4219" s="0" t="n">
        <v>15</v>
      </c>
      <c r="D4219" s="0" t="n">
        <f aca="false">-1+A4219*0.125</f>
        <v>0.75</v>
      </c>
      <c r="E4219" s="0" t="n">
        <f aca="false">-1+B4219*0.125</f>
        <v>0.125</v>
      </c>
      <c r="F4219" s="0" t="n">
        <f aca="false">-1+C4219*0.125</f>
        <v>0.875</v>
      </c>
      <c r="G4219" s="0" t="n">
        <f aca="false">1</f>
        <v>1</v>
      </c>
      <c r="H4219" s="0" t="n">
        <f aca="false">D4219</f>
        <v>0.75</v>
      </c>
      <c r="I4219" s="0" t="n">
        <f aca="false">E4219</f>
        <v>0.125</v>
      </c>
      <c r="J4219" s="0" t="n">
        <f aca="false">F4219</f>
        <v>0.875</v>
      </c>
      <c r="K4219" s="0" t="n">
        <f aca="false">D4219*E4219</f>
        <v>0.09375</v>
      </c>
      <c r="L4219" s="0" t="n">
        <f aca="false">D4219*F4219</f>
        <v>0.65625</v>
      </c>
      <c r="M4219" s="0" t="n">
        <f aca="false">E4219*F4219</f>
        <v>0.109375</v>
      </c>
      <c r="N4219" s="0" t="n">
        <f aca="false">D4219*D4219</f>
        <v>0.5625</v>
      </c>
      <c r="O4219" s="0" t="n">
        <f aca="false">E4219*E4219</f>
        <v>0.015625</v>
      </c>
      <c r="P4219" s="0" t="n">
        <f aca="false">F4219*F4219</f>
        <v>0.765625</v>
      </c>
      <c r="Q4219" s="0" t="n">
        <f aca="false">SUMPRODUCT(G4219:P4219,_XtX!$B$71:$K$71)</f>
        <v>49.5512926136364</v>
      </c>
      <c r="R4219" s="0" t="n">
        <f aca="false">SUMPRODUCT(MMULT(G4219:P4219,_XtX!$B$58:$K$67),G4219:P4219)</f>
        <v>0.392013827237216</v>
      </c>
      <c r="S4219" s="0" t="n">
        <f aca="false">04_回帰ANOVA!$K$19*04_回帰ANOVA!$K$14*SQRT(1+R4219)</f>
        <v>1.09695398627251</v>
      </c>
      <c r="T4219" s="0" t="n">
        <f aca="false">Q4219-S4219</f>
        <v>48.4543386273639</v>
      </c>
      <c r="U4219" s="0" t="n">
        <f aca="false">Q4219+S4219</f>
        <v>50.6482465999089</v>
      </c>
      <c r="V4219" s="54" t="b">
        <f aca="false">AND(D4219&gt;=01_因子設定!$L$5-0.000000001,D4219&lt;=01_因子設定!$M$5+0.000000001,E4219&gt;=01_因子設定!$L$6-0.000000001,E4219&lt;=01_因子設定!$M$6+0.000000001,F4219&gt;=01_因子設定!$L$7-0.000000001,F4219&lt;=01_因子設定!$M$7+0.000000001,IF(01_因子設定!$B$20="Box-Behnken",D4219^2+E4219^2+F4219^2&lt;=2+0.000000001,TRUE()))</f>
        <v>1</v>
      </c>
      <c r="W4219" s="55" t="n">
        <f aca="false">IF(V4219,IF(01_因子設定!$B$13="最大化",T4219-01_因子設定!$B$14,IF(01_因子設定!$B$13="最小化",01_因子設定!$B$15-U4219,MIN(T4219-01_因子設定!$B$14,01_因子設定!$B$15-U4219))),-1E+030)</f>
        <v>-0.0456613726361326</v>
      </c>
      <c r="X4219" s="55" t="n">
        <f aca="false">IF(V4219,IF(01_因子設定!$B$13="最大化",Q4219,IF(01_因子設定!$B$13="最小化",-Q4219,-ABS(Q4219-01_因子設定!$B$16))),-1E+030)</f>
        <v>49.5512926136364</v>
      </c>
      <c r="Y4219" s="55" t="n">
        <f aca="false">W4219+ROW()*0.000000001</f>
        <v>-0.0456571536361326</v>
      </c>
      <c r="Z4219" s="55" t="n">
        <f aca="false">X4219+ROW()*0.000000001</f>
        <v>49.5512968326364</v>
      </c>
    </row>
    <row r="4220" customFormat="false" ht="15" hidden="false" customHeight="false" outlineLevel="0" collapsed="false">
      <c r="A4220" s="0" t="n">
        <v>14</v>
      </c>
      <c r="B4220" s="0" t="n">
        <v>9</v>
      </c>
      <c r="C4220" s="0" t="n">
        <v>16</v>
      </c>
      <c r="D4220" s="0" t="n">
        <f aca="false">-1+A4220*0.125</f>
        <v>0.75</v>
      </c>
      <c r="E4220" s="0" t="n">
        <f aca="false">-1+B4220*0.125</f>
        <v>0.125</v>
      </c>
      <c r="F4220" s="0" t="n">
        <f aca="false">-1+C4220*0.125</f>
        <v>1</v>
      </c>
      <c r="G4220" s="0" t="n">
        <f aca="false">1</f>
        <v>1</v>
      </c>
      <c r="H4220" s="0" t="n">
        <f aca="false">D4220</f>
        <v>0.75</v>
      </c>
      <c r="I4220" s="0" t="n">
        <f aca="false">E4220</f>
        <v>0.125</v>
      </c>
      <c r="J4220" s="0" t="n">
        <f aca="false">F4220</f>
        <v>1</v>
      </c>
      <c r="K4220" s="0" t="n">
        <f aca="false">D4220*E4220</f>
        <v>0.09375</v>
      </c>
      <c r="L4220" s="0" t="n">
        <f aca="false">D4220*F4220</f>
        <v>0.75</v>
      </c>
      <c r="M4220" s="0" t="n">
        <f aca="false">E4220*F4220</f>
        <v>0.125</v>
      </c>
      <c r="N4220" s="0" t="n">
        <f aca="false">D4220*D4220</f>
        <v>0.5625</v>
      </c>
      <c r="O4220" s="0" t="n">
        <f aca="false">E4220*E4220</f>
        <v>0.015625</v>
      </c>
      <c r="P4220" s="0" t="n">
        <f aca="false">F4220*F4220</f>
        <v>1</v>
      </c>
      <c r="Q4220" s="0" t="n">
        <f aca="false">SUMPRODUCT(G4220:P4220,_XtX!$B$71:$K$71)</f>
        <v>49.4408380681818</v>
      </c>
      <c r="R4220" s="0" t="n">
        <f aca="false">SUMPRODUCT(MMULT(G4220:P4220,_XtX!$B$58:$K$67),G4220:P4220)</f>
        <v>0.524607155539773</v>
      </c>
      <c r="S4220" s="0" t="n">
        <f aca="false">04_回帰ANOVA!$K$19*04_回帰ANOVA!$K$14*SQRT(1+R4220)</f>
        <v>1.14800984623412</v>
      </c>
      <c r="T4220" s="0" t="n">
        <f aca="false">Q4220-S4220</f>
        <v>48.2928282219477</v>
      </c>
      <c r="U4220" s="0" t="n">
        <f aca="false">Q4220+S4220</f>
        <v>50.588847914416</v>
      </c>
      <c r="V4220" s="54" t="b">
        <f aca="false">AND(D4220&gt;=01_因子設定!$L$5-0.000000001,D4220&lt;=01_因子設定!$M$5+0.000000001,E4220&gt;=01_因子設定!$L$6-0.000000001,E4220&lt;=01_因子設定!$M$6+0.000000001,F4220&gt;=01_因子設定!$L$7-0.000000001,F4220&lt;=01_因子設定!$M$7+0.000000001,IF(01_因子設定!$B$20="Box-Behnken",D4220^2+E4220^2+F4220^2&lt;=2+0.000000001,TRUE()))</f>
        <v>1</v>
      </c>
      <c r="W4220" s="55" t="n">
        <f aca="false">IF(V4220,IF(01_因子設定!$B$13="最大化",T4220-01_因子設定!$B$14,IF(01_因子設定!$B$13="最小化",01_因子設定!$B$15-U4220,MIN(T4220-01_因子設定!$B$14,01_因子設定!$B$15-U4220))),-1E+030)</f>
        <v>-0.207171778052285</v>
      </c>
      <c r="X4220" s="55" t="n">
        <f aca="false">IF(V4220,IF(01_因子設定!$B$13="最大化",Q4220,IF(01_因子設定!$B$13="最小化",-Q4220,-ABS(Q4220-01_因子設定!$B$16))),-1E+030)</f>
        <v>49.4408380681818</v>
      </c>
      <c r="Y4220" s="55" t="n">
        <f aca="false">W4220+ROW()*0.000000001</f>
        <v>-0.207167558052285</v>
      </c>
      <c r="Z4220" s="55" t="n">
        <f aca="false">X4220+ROW()*0.000000001</f>
        <v>49.4408422881818</v>
      </c>
    </row>
    <row r="4221" customFormat="false" ht="15" hidden="false" customHeight="false" outlineLevel="0" collapsed="false">
      <c r="A4221" s="0" t="n">
        <v>14</v>
      </c>
      <c r="B4221" s="0" t="n">
        <v>10</v>
      </c>
      <c r="C4221" s="0" t="n">
        <v>0</v>
      </c>
      <c r="D4221" s="0" t="n">
        <f aca="false">-1+A4221*0.125</f>
        <v>0.75</v>
      </c>
      <c r="E4221" s="0" t="n">
        <f aca="false">-1+B4221*0.125</f>
        <v>0.25</v>
      </c>
      <c r="F4221" s="0" t="n">
        <f aca="false">-1+C4221*0.125</f>
        <v>-1</v>
      </c>
      <c r="G4221" s="0" t="n">
        <f aca="false">1</f>
        <v>1</v>
      </c>
      <c r="H4221" s="0" t="n">
        <f aca="false">D4221</f>
        <v>0.75</v>
      </c>
      <c r="I4221" s="0" t="n">
        <f aca="false">E4221</f>
        <v>0.25</v>
      </c>
      <c r="J4221" s="0" t="n">
        <f aca="false">F4221</f>
        <v>-1</v>
      </c>
      <c r="K4221" s="0" t="n">
        <f aca="false">D4221*E4221</f>
        <v>0.1875</v>
      </c>
      <c r="L4221" s="0" t="n">
        <f aca="false">D4221*F4221</f>
        <v>-0.75</v>
      </c>
      <c r="M4221" s="0" t="n">
        <f aca="false">E4221*F4221</f>
        <v>-0.25</v>
      </c>
      <c r="N4221" s="0" t="n">
        <f aca="false">D4221*D4221</f>
        <v>0.5625</v>
      </c>
      <c r="O4221" s="0" t="n">
        <f aca="false">E4221*E4221</f>
        <v>0.0625</v>
      </c>
      <c r="P4221" s="0" t="n">
        <f aca="false">F4221*F4221</f>
        <v>1</v>
      </c>
      <c r="Q4221" s="0" t="n">
        <f aca="false">SUMPRODUCT(G4221:P4221,_XtX!$B$71:$K$71)</f>
        <v>47.0156534090909</v>
      </c>
      <c r="R4221" s="0" t="n">
        <f aca="false">SUMPRODUCT(MMULT(G4221:P4221,_XtX!$B$58:$K$67),G4221:P4221)</f>
        <v>0.515545099431818</v>
      </c>
      <c r="S4221" s="0" t="n">
        <f aca="false">04_回帰ANOVA!$K$19*04_回帰ANOVA!$K$14*SQRT(1+R4221)</f>
        <v>1.14459295464101</v>
      </c>
      <c r="T4221" s="0" t="n">
        <f aca="false">Q4221-S4221</f>
        <v>45.8710604544499</v>
      </c>
      <c r="U4221" s="0" t="n">
        <f aca="false">Q4221+S4221</f>
        <v>48.1602463637319</v>
      </c>
      <c r="V4221" s="54" t="b">
        <f aca="false">AND(D4221&gt;=01_因子設定!$L$5-0.000000001,D4221&lt;=01_因子設定!$M$5+0.000000001,E4221&gt;=01_因子設定!$L$6-0.000000001,E4221&lt;=01_因子設定!$M$6+0.000000001,F4221&gt;=01_因子設定!$L$7-0.000000001,F4221&lt;=01_因子設定!$M$7+0.000000001,IF(01_因子設定!$B$20="Box-Behnken",D4221^2+E4221^2+F4221^2&lt;=2+0.000000001,TRUE()))</f>
        <v>1</v>
      </c>
      <c r="W4221" s="55" t="n">
        <f aca="false">IF(V4221,IF(01_因子設定!$B$13="最大化",T4221-01_因子設定!$B$14,IF(01_因子設定!$B$13="最小化",01_因子設定!$B$15-U4221,MIN(T4221-01_因子設定!$B$14,01_因子設定!$B$15-U4221))),-1E+030)</f>
        <v>-2.62893954555009</v>
      </c>
      <c r="X4221" s="55" t="n">
        <f aca="false">IF(V4221,IF(01_因子設定!$B$13="最大化",Q4221,IF(01_因子設定!$B$13="最小化",-Q4221,-ABS(Q4221-01_因子設定!$B$16))),-1E+030)</f>
        <v>47.0156534090909</v>
      </c>
      <c r="Y4221" s="55" t="n">
        <f aca="false">W4221+ROW()*0.000000001</f>
        <v>-2.62893532455009</v>
      </c>
      <c r="Z4221" s="55" t="n">
        <f aca="false">X4221+ROW()*0.000000001</f>
        <v>47.0156576300909</v>
      </c>
    </row>
    <row r="4222" customFormat="false" ht="15" hidden="false" customHeight="false" outlineLevel="0" collapsed="false">
      <c r="A4222" s="0" t="n">
        <v>14</v>
      </c>
      <c r="B4222" s="0" t="n">
        <v>10</v>
      </c>
      <c r="C4222" s="0" t="n">
        <v>1</v>
      </c>
      <c r="D4222" s="0" t="n">
        <f aca="false">-1+A4222*0.125</f>
        <v>0.75</v>
      </c>
      <c r="E4222" s="0" t="n">
        <f aca="false">-1+B4222*0.125</f>
        <v>0.25</v>
      </c>
      <c r="F4222" s="0" t="n">
        <f aca="false">-1+C4222*0.125</f>
        <v>-0.875</v>
      </c>
      <c r="G4222" s="0" t="n">
        <f aca="false">1</f>
        <v>1</v>
      </c>
      <c r="H4222" s="0" t="n">
        <f aca="false">D4222</f>
        <v>0.75</v>
      </c>
      <c r="I4222" s="0" t="n">
        <f aca="false">E4222</f>
        <v>0.25</v>
      </c>
      <c r="J4222" s="0" t="n">
        <f aca="false">F4222</f>
        <v>-0.875</v>
      </c>
      <c r="K4222" s="0" t="n">
        <f aca="false">D4222*E4222</f>
        <v>0.1875</v>
      </c>
      <c r="L4222" s="0" t="n">
        <f aca="false">D4222*F4222</f>
        <v>-0.65625</v>
      </c>
      <c r="M4222" s="0" t="n">
        <f aca="false">E4222*F4222</f>
        <v>-0.21875</v>
      </c>
      <c r="N4222" s="0" t="n">
        <f aca="false">D4222*D4222</f>
        <v>0.5625</v>
      </c>
      <c r="O4222" s="0" t="n">
        <f aca="false">E4222*E4222</f>
        <v>0.0625</v>
      </c>
      <c r="P4222" s="0" t="n">
        <f aca="false">F4222*F4222</f>
        <v>0.765625</v>
      </c>
      <c r="Q4222" s="0" t="n">
        <f aca="false">SUMPRODUCT(G4222:P4222,_XtX!$B$71:$K$71)</f>
        <v>47.4640767045455</v>
      </c>
      <c r="R4222" s="0" t="n">
        <f aca="false">SUMPRODUCT(MMULT(G4222:P4222,_XtX!$B$58:$K$67),G4222:P4222)</f>
        <v>0.384574751420455</v>
      </c>
      <c r="S4222" s="0" t="n">
        <f aca="false">04_回帰ANOVA!$K$19*04_回帰ANOVA!$K$14*SQRT(1+R4222)</f>
        <v>1.0940189380139</v>
      </c>
      <c r="T4222" s="0" t="n">
        <f aca="false">Q4222-S4222</f>
        <v>46.3700577665316</v>
      </c>
      <c r="U4222" s="0" t="n">
        <f aca="false">Q4222+S4222</f>
        <v>48.5580956425594</v>
      </c>
      <c r="V4222" s="54" t="b">
        <f aca="false">AND(D4222&gt;=01_因子設定!$L$5-0.000000001,D4222&lt;=01_因子設定!$M$5+0.000000001,E4222&gt;=01_因子設定!$L$6-0.000000001,E4222&lt;=01_因子設定!$M$6+0.000000001,F4222&gt;=01_因子設定!$L$7-0.000000001,F4222&lt;=01_因子設定!$M$7+0.000000001,IF(01_因子設定!$B$20="Box-Behnken",D4222^2+E4222^2+F4222^2&lt;=2+0.000000001,TRUE()))</f>
        <v>1</v>
      </c>
      <c r="W4222" s="55" t="n">
        <f aca="false">IF(V4222,IF(01_因子設定!$B$13="最大化",T4222-01_因子設定!$B$14,IF(01_因子設定!$B$13="最小化",01_因子設定!$B$15-U4222,MIN(T4222-01_因子設定!$B$14,01_因子設定!$B$15-U4222))),-1E+030)</f>
        <v>-2.12994223346843</v>
      </c>
      <c r="X4222" s="55" t="n">
        <f aca="false">IF(V4222,IF(01_因子設定!$B$13="最大化",Q4222,IF(01_因子設定!$B$13="最小化",-Q4222,-ABS(Q4222-01_因子設定!$B$16))),-1E+030)</f>
        <v>47.4640767045455</v>
      </c>
      <c r="Y4222" s="55" t="n">
        <f aca="false">W4222+ROW()*0.000000001</f>
        <v>-2.12993801146843</v>
      </c>
      <c r="Z4222" s="55" t="n">
        <f aca="false">X4222+ROW()*0.000000001</f>
        <v>47.4640809265455</v>
      </c>
    </row>
    <row r="4223" customFormat="false" ht="15" hidden="false" customHeight="false" outlineLevel="0" collapsed="false">
      <c r="A4223" s="0" t="n">
        <v>14</v>
      </c>
      <c r="B4223" s="0" t="n">
        <v>10</v>
      </c>
      <c r="C4223" s="0" t="n">
        <v>2</v>
      </c>
      <c r="D4223" s="0" t="n">
        <f aca="false">-1+A4223*0.125</f>
        <v>0.75</v>
      </c>
      <c r="E4223" s="0" t="n">
        <f aca="false">-1+B4223*0.125</f>
        <v>0.25</v>
      </c>
      <c r="F4223" s="0" t="n">
        <f aca="false">-1+C4223*0.125</f>
        <v>-0.75</v>
      </c>
      <c r="G4223" s="0" t="n">
        <f aca="false">1</f>
        <v>1</v>
      </c>
      <c r="H4223" s="0" t="n">
        <f aca="false">D4223</f>
        <v>0.75</v>
      </c>
      <c r="I4223" s="0" t="n">
        <f aca="false">E4223</f>
        <v>0.25</v>
      </c>
      <c r="J4223" s="0" t="n">
        <f aca="false">F4223</f>
        <v>-0.75</v>
      </c>
      <c r="K4223" s="0" t="n">
        <f aca="false">D4223*E4223</f>
        <v>0.1875</v>
      </c>
      <c r="L4223" s="0" t="n">
        <f aca="false">D4223*F4223</f>
        <v>-0.5625</v>
      </c>
      <c r="M4223" s="0" t="n">
        <f aca="false">E4223*F4223</f>
        <v>-0.1875</v>
      </c>
      <c r="N4223" s="0" t="n">
        <f aca="false">D4223*D4223</f>
        <v>0.5625</v>
      </c>
      <c r="O4223" s="0" t="n">
        <f aca="false">E4223*E4223</f>
        <v>0.0625</v>
      </c>
      <c r="P4223" s="0" t="n">
        <f aca="false">F4223*F4223</f>
        <v>0.5625</v>
      </c>
      <c r="Q4223" s="0" t="n">
        <f aca="false">SUMPRODUCT(G4223:P4223,_XtX!$B$71:$K$71)</f>
        <v>47.8757102272727</v>
      </c>
      <c r="R4223" s="0" t="n">
        <f aca="false">SUMPRODUCT(MMULT(G4223:P4223,_XtX!$B$58:$K$67),G4223:P4223)</f>
        <v>0.303382457386364</v>
      </c>
      <c r="S4223" s="0" t="n">
        <f aca="false">04_回帰ANOVA!$K$19*04_回帰ANOVA!$K$14*SQRT(1+R4223)</f>
        <v>1.06145740650883</v>
      </c>
      <c r="T4223" s="0" t="n">
        <f aca="false">Q4223-S4223</f>
        <v>46.8142528207639</v>
      </c>
      <c r="U4223" s="0" t="n">
        <f aca="false">Q4223+S4223</f>
        <v>48.9371676337816</v>
      </c>
      <c r="V4223" s="54" t="b">
        <f aca="false">AND(D4223&gt;=01_因子設定!$L$5-0.000000001,D4223&lt;=01_因子設定!$M$5+0.000000001,E4223&gt;=01_因子設定!$L$6-0.000000001,E4223&lt;=01_因子設定!$M$6+0.000000001,F4223&gt;=01_因子設定!$L$7-0.000000001,F4223&lt;=01_因子設定!$M$7+0.000000001,IF(01_因子設定!$B$20="Box-Behnken",D4223^2+E4223^2+F4223^2&lt;=2+0.000000001,TRUE()))</f>
        <v>1</v>
      </c>
      <c r="W4223" s="55" t="n">
        <f aca="false">IF(V4223,IF(01_因子設定!$B$13="最大化",T4223-01_因子設定!$B$14,IF(01_因子設定!$B$13="最小化",01_因子設定!$B$15-U4223,MIN(T4223-01_因子設定!$B$14,01_因子設定!$B$15-U4223))),-1E+030)</f>
        <v>-1.6857471792361</v>
      </c>
      <c r="X4223" s="55" t="n">
        <f aca="false">IF(V4223,IF(01_因子設定!$B$13="最大化",Q4223,IF(01_因子設定!$B$13="最小化",-Q4223,-ABS(Q4223-01_因子設定!$B$16))),-1E+030)</f>
        <v>47.8757102272727</v>
      </c>
      <c r="Y4223" s="55" t="n">
        <f aca="false">W4223+ROW()*0.000000001</f>
        <v>-1.6857429562361</v>
      </c>
      <c r="Z4223" s="55" t="n">
        <f aca="false">X4223+ROW()*0.000000001</f>
        <v>47.8757144502727</v>
      </c>
    </row>
    <row r="4224" customFormat="false" ht="15" hidden="false" customHeight="false" outlineLevel="0" collapsed="false">
      <c r="A4224" s="0" t="n">
        <v>14</v>
      </c>
      <c r="B4224" s="0" t="n">
        <v>10</v>
      </c>
      <c r="C4224" s="0" t="n">
        <v>3</v>
      </c>
      <c r="D4224" s="0" t="n">
        <f aca="false">-1+A4224*0.125</f>
        <v>0.75</v>
      </c>
      <c r="E4224" s="0" t="n">
        <f aca="false">-1+B4224*0.125</f>
        <v>0.25</v>
      </c>
      <c r="F4224" s="0" t="n">
        <f aca="false">-1+C4224*0.125</f>
        <v>-0.625</v>
      </c>
      <c r="G4224" s="0" t="n">
        <f aca="false">1</f>
        <v>1</v>
      </c>
      <c r="H4224" s="0" t="n">
        <f aca="false">D4224</f>
        <v>0.75</v>
      </c>
      <c r="I4224" s="0" t="n">
        <f aca="false">E4224</f>
        <v>0.25</v>
      </c>
      <c r="J4224" s="0" t="n">
        <f aca="false">F4224</f>
        <v>-0.625</v>
      </c>
      <c r="K4224" s="0" t="n">
        <f aca="false">D4224*E4224</f>
        <v>0.1875</v>
      </c>
      <c r="L4224" s="0" t="n">
        <f aca="false">D4224*F4224</f>
        <v>-0.46875</v>
      </c>
      <c r="M4224" s="0" t="n">
        <f aca="false">E4224*F4224</f>
        <v>-0.15625</v>
      </c>
      <c r="N4224" s="0" t="n">
        <f aca="false">D4224*D4224</f>
        <v>0.5625</v>
      </c>
      <c r="O4224" s="0" t="n">
        <f aca="false">E4224*E4224</f>
        <v>0.0625</v>
      </c>
      <c r="P4224" s="0" t="n">
        <f aca="false">F4224*F4224</f>
        <v>0.390625</v>
      </c>
      <c r="Q4224" s="0" t="n">
        <f aca="false">SUMPRODUCT(G4224:P4224,_XtX!$B$71:$K$71)</f>
        <v>48.2505539772727</v>
      </c>
      <c r="R4224" s="0" t="n">
        <f aca="false">SUMPRODUCT(MMULT(G4224:P4224,_XtX!$B$58:$K$67),G4224:P4224)</f>
        <v>0.258118785511364</v>
      </c>
      <c r="S4224" s="0" t="n">
        <f aca="false">04_回帰ANOVA!$K$19*04_回帰ANOVA!$K$14*SQRT(1+R4224)</f>
        <v>1.04286348094876</v>
      </c>
      <c r="T4224" s="0" t="n">
        <f aca="false">Q4224-S4224</f>
        <v>47.207690496324</v>
      </c>
      <c r="U4224" s="0" t="n">
        <f aca="false">Q4224+S4224</f>
        <v>49.2934174582215</v>
      </c>
      <c r="V4224" s="54" t="b">
        <f aca="false">AND(D4224&gt;=01_因子設定!$L$5-0.000000001,D4224&lt;=01_因子設定!$M$5+0.000000001,E4224&gt;=01_因子設定!$L$6-0.000000001,E4224&lt;=01_因子設定!$M$6+0.000000001,F4224&gt;=01_因子設定!$L$7-0.000000001,F4224&lt;=01_因子設定!$M$7+0.000000001,IF(01_因子設定!$B$20="Box-Behnken",D4224^2+E4224^2+F4224^2&lt;=2+0.000000001,TRUE()))</f>
        <v>1</v>
      </c>
      <c r="W4224" s="55" t="n">
        <f aca="false">IF(V4224,IF(01_因子設定!$B$13="最大化",T4224-01_因子設定!$B$14,IF(01_因子設定!$B$13="最小化",01_因子設定!$B$15-U4224,MIN(T4224-01_因子設定!$B$14,01_因子設定!$B$15-U4224))),-1E+030)</f>
        <v>-1.29230950367603</v>
      </c>
      <c r="X4224" s="55" t="n">
        <f aca="false">IF(V4224,IF(01_因子設定!$B$13="最大化",Q4224,IF(01_因子設定!$B$13="最小化",-Q4224,-ABS(Q4224-01_因子設定!$B$16))),-1E+030)</f>
        <v>48.2505539772727</v>
      </c>
      <c r="Y4224" s="55" t="n">
        <f aca="false">W4224+ROW()*0.000000001</f>
        <v>-1.29230527967603</v>
      </c>
      <c r="Z4224" s="55" t="n">
        <f aca="false">X4224+ROW()*0.000000001</f>
        <v>48.2505582012727</v>
      </c>
    </row>
    <row r="4225" customFormat="false" ht="15" hidden="false" customHeight="false" outlineLevel="0" collapsed="false">
      <c r="A4225" s="0" t="n">
        <v>14</v>
      </c>
      <c r="B4225" s="0" t="n">
        <v>10</v>
      </c>
      <c r="C4225" s="0" t="n">
        <v>4</v>
      </c>
      <c r="D4225" s="0" t="n">
        <f aca="false">-1+A4225*0.125</f>
        <v>0.75</v>
      </c>
      <c r="E4225" s="0" t="n">
        <f aca="false">-1+B4225*0.125</f>
        <v>0.25</v>
      </c>
      <c r="F4225" s="0" t="n">
        <f aca="false">-1+C4225*0.125</f>
        <v>-0.5</v>
      </c>
      <c r="G4225" s="0" t="n">
        <f aca="false">1</f>
        <v>1</v>
      </c>
      <c r="H4225" s="0" t="n">
        <f aca="false">D4225</f>
        <v>0.75</v>
      </c>
      <c r="I4225" s="0" t="n">
        <f aca="false">E4225</f>
        <v>0.25</v>
      </c>
      <c r="J4225" s="0" t="n">
        <f aca="false">F4225</f>
        <v>-0.5</v>
      </c>
      <c r="K4225" s="0" t="n">
        <f aca="false">D4225*E4225</f>
        <v>0.1875</v>
      </c>
      <c r="L4225" s="0" t="n">
        <f aca="false">D4225*F4225</f>
        <v>-0.375</v>
      </c>
      <c r="M4225" s="0" t="n">
        <f aca="false">E4225*F4225</f>
        <v>-0.125</v>
      </c>
      <c r="N4225" s="0" t="n">
        <f aca="false">D4225*D4225</f>
        <v>0.5625</v>
      </c>
      <c r="O4225" s="0" t="n">
        <f aca="false">E4225*E4225</f>
        <v>0.0625</v>
      </c>
      <c r="P4225" s="0" t="n">
        <f aca="false">F4225*F4225</f>
        <v>0.25</v>
      </c>
      <c r="Q4225" s="0" t="n">
        <f aca="false">SUMPRODUCT(G4225:P4225,_XtX!$B$71:$K$71)</f>
        <v>48.5886079545455</v>
      </c>
      <c r="R4225" s="0" t="n">
        <f aca="false">SUMPRODUCT(MMULT(G4225:P4225,_XtX!$B$58:$K$67),G4225:P4225)</f>
        <v>0.237064985795455</v>
      </c>
      <c r="S4225" s="0" t="n">
        <f aca="false">04_回帰ANOVA!$K$19*04_回帰ANOVA!$K$14*SQRT(1+R4225)</f>
        <v>1.03410084594745</v>
      </c>
      <c r="T4225" s="0" t="n">
        <f aca="false">Q4225-S4225</f>
        <v>47.554507108598</v>
      </c>
      <c r="U4225" s="0" t="n">
        <f aca="false">Q4225+S4225</f>
        <v>49.6227088004929</v>
      </c>
      <c r="V4225" s="54" t="b">
        <f aca="false">AND(D4225&gt;=01_因子設定!$L$5-0.000000001,D4225&lt;=01_因子設定!$M$5+0.000000001,E4225&gt;=01_因子設定!$L$6-0.000000001,E4225&lt;=01_因子設定!$M$6+0.000000001,F4225&gt;=01_因子設定!$L$7-0.000000001,F4225&lt;=01_因子設定!$M$7+0.000000001,IF(01_因子設定!$B$20="Box-Behnken",D4225^2+E4225^2+F4225^2&lt;=2+0.000000001,TRUE()))</f>
        <v>1</v>
      </c>
      <c r="W4225" s="55" t="n">
        <f aca="false">IF(V4225,IF(01_因子設定!$B$13="最大化",T4225-01_因子設定!$B$14,IF(01_因子設定!$B$13="最小化",01_因子設定!$B$15-U4225,MIN(T4225-01_因子設定!$B$14,01_因子設定!$B$15-U4225))),-1E+030)</f>
        <v>-0.945492891401983</v>
      </c>
      <c r="X4225" s="55" t="n">
        <f aca="false">IF(V4225,IF(01_因子設定!$B$13="最大化",Q4225,IF(01_因子設定!$B$13="最小化",-Q4225,-ABS(Q4225-01_因子設定!$B$16))),-1E+030)</f>
        <v>48.5886079545455</v>
      </c>
      <c r="Y4225" s="55" t="n">
        <f aca="false">W4225+ROW()*0.000000001</f>
        <v>-0.945488666401983</v>
      </c>
      <c r="Z4225" s="55" t="n">
        <f aca="false">X4225+ROW()*0.000000001</f>
        <v>48.5886121795455</v>
      </c>
    </row>
    <row r="4226" customFormat="false" ht="15" hidden="false" customHeight="false" outlineLevel="0" collapsed="false">
      <c r="A4226" s="0" t="n">
        <v>14</v>
      </c>
      <c r="B4226" s="0" t="n">
        <v>10</v>
      </c>
      <c r="C4226" s="0" t="n">
        <v>5</v>
      </c>
      <c r="D4226" s="0" t="n">
        <f aca="false">-1+A4226*0.125</f>
        <v>0.75</v>
      </c>
      <c r="E4226" s="0" t="n">
        <f aca="false">-1+B4226*0.125</f>
        <v>0.25</v>
      </c>
      <c r="F4226" s="0" t="n">
        <f aca="false">-1+C4226*0.125</f>
        <v>-0.375</v>
      </c>
      <c r="G4226" s="0" t="n">
        <f aca="false">1</f>
        <v>1</v>
      </c>
      <c r="H4226" s="0" t="n">
        <f aca="false">D4226</f>
        <v>0.75</v>
      </c>
      <c r="I4226" s="0" t="n">
        <f aca="false">E4226</f>
        <v>0.25</v>
      </c>
      <c r="J4226" s="0" t="n">
        <f aca="false">F4226</f>
        <v>-0.375</v>
      </c>
      <c r="K4226" s="0" t="n">
        <f aca="false">D4226*E4226</f>
        <v>0.1875</v>
      </c>
      <c r="L4226" s="0" t="n">
        <f aca="false">D4226*F4226</f>
        <v>-0.28125</v>
      </c>
      <c r="M4226" s="0" t="n">
        <f aca="false">E4226*F4226</f>
        <v>-0.09375</v>
      </c>
      <c r="N4226" s="0" t="n">
        <f aca="false">D4226*D4226</f>
        <v>0.5625</v>
      </c>
      <c r="O4226" s="0" t="n">
        <f aca="false">E4226*E4226</f>
        <v>0.0625</v>
      </c>
      <c r="P4226" s="0" t="n">
        <f aca="false">F4226*F4226</f>
        <v>0.140625</v>
      </c>
      <c r="Q4226" s="0" t="n">
        <f aca="false">SUMPRODUCT(G4226:P4226,_XtX!$B$71:$K$71)</f>
        <v>48.8898721590909</v>
      </c>
      <c r="R4226" s="0" t="n">
        <f aca="false">SUMPRODUCT(MMULT(G4226:P4226,_XtX!$B$58:$K$67),G4226:P4226)</f>
        <v>0.230632990056818</v>
      </c>
      <c r="S4226" s="0" t="n">
        <f aca="false">04_回帰ANOVA!$K$19*04_回帰ANOVA!$K$14*SQRT(1+R4226)</f>
        <v>1.03140899038819</v>
      </c>
      <c r="T4226" s="0" t="n">
        <f aca="false">Q4226-S4226</f>
        <v>47.8584631687027</v>
      </c>
      <c r="U4226" s="0" t="n">
        <f aca="false">Q4226+S4226</f>
        <v>49.9212811494791</v>
      </c>
      <c r="V4226" s="54" t="b">
        <f aca="false">AND(D4226&gt;=01_因子設定!$L$5-0.000000001,D4226&lt;=01_因子設定!$M$5+0.000000001,E4226&gt;=01_因子設定!$L$6-0.000000001,E4226&lt;=01_因子設定!$M$6+0.000000001,F4226&gt;=01_因子設定!$L$7-0.000000001,F4226&lt;=01_因子設定!$M$7+0.000000001,IF(01_因子設定!$B$20="Box-Behnken",D4226^2+E4226^2+F4226^2&lt;=2+0.000000001,TRUE()))</f>
        <v>1</v>
      </c>
      <c r="W4226" s="55" t="n">
        <f aca="false">IF(V4226,IF(01_因子設定!$B$13="最大化",T4226-01_因子設定!$B$14,IF(01_因子設定!$B$13="最小化",01_因子設定!$B$15-U4226,MIN(T4226-01_因子設定!$B$14,01_因子設定!$B$15-U4226))),-1E+030)</f>
        <v>-0.64153683129728</v>
      </c>
      <c r="X4226" s="55" t="n">
        <f aca="false">IF(V4226,IF(01_因子設定!$B$13="最大化",Q4226,IF(01_因子設定!$B$13="最小化",-Q4226,-ABS(Q4226-01_因子設定!$B$16))),-1E+030)</f>
        <v>48.8898721590909</v>
      </c>
      <c r="Y4226" s="55" t="n">
        <f aca="false">W4226+ROW()*0.000000001</f>
        <v>-0.64153260529728</v>
      </c>
      <c r="Z4226" s="55" t="n">
        <f aca="false">X4226+ROW()*0.000000001</f>
        <v>48.8898763850909</v>
      </c>
    </row>
    <row r="4227" customFormat="false" ht="15" hidden="false" customHeight="false" outlineLevel="0" collapsed="false">
      <c r="A4227" s="0" t="n">
        <v>14</v>
      </c>
      <c r="B4227" s="0" t="n">
        <v>10</v>
      </c>
      <c r="C4227" s="0" t="n">
        <v>6</v>
      </c>
      <c r="D4227" s="0" t="n">
        <f aca="false">-1+A4227*0.125</f>
        <v>0.75</v>
      </c>
      <c r="E4227" s="0" t="n">
        <f aca="false">-1+B4227*0.125</f>
        <v>0.25</v>
      </c>
      <c r="F4227" s="0" t="n">
        <f aca="false">-1+C4227*0.125</f>
        <v>-0.25</v>
      </c>
      <c r="G4227" s="0" t="n">
        <f aca="false">1</f>
        <v>1</v>
      </c>
      <c r="H4227" s="0" t="n">
        <f aca="false">D4227</f>
        <v>0.75</v>
      </c>
      <c r="I4227" s="0" t="n">
        <f aca="false">E4227</f>
        <v>0.25</v>
      </c>
      <c r="J4227" s="0" t="n">
        <f aca="false">F4227</f>
        <v>-0.25</v>
      </c>
      <c r="K4227" s="0" t="n">
        <f aca="false">D4227*E4227</f>
        <v>0.1875</v>
      </c>
      <c r="L4227" s="0" t="n">
        <f aca="false">D4227*F4227</f>
        <v>-0.1875</v>
      </c>
      <c r="M4227" s="0" t="n">
        <f aca="false">E4227*F4227</f>
        <v>-0.0625</v>
      </c>
      <c r="N4227" s="0" t="n">
        <f aca="false">D4227*D4227</f>
        <v>0.5625</v>
      </c>
      <c r="O4227" s="0" t="n">
        <f aca="false">E4227*E4227</f>
        <v>0.0625</v>
      </c>
      <c r="P4227" s="0" t="n">
        <f aca="false">F4227*F4227</f>
        <v>0.0625</v>
      </c>
      <c r="Q4227" s="0" t="n">
        <f aca="false">SUMPRODUCT(G4227:P4227,_XtX!$B$71:$K$71)</f>
        <v>49.1543465909091</v>
      </c>
      <c r="R4227" s="0" t="n">
        <f aca="false">SUMPRODUCT(MMULT(G4227:P4227,_XtX!$B$58:$K$67),G4227:P4227)</f>
        <v>0.231365411931818</v>
      </c>
      <c r="S4227" s="0" t="n">
        <f aca="false">04_回帰ANOVA!$K$19*04_回帰ANOVA!$K$14*SQRT(1+R4227)</f>
        <v>1.03171587072803</v>
      </c>
      <c r="T4227" s="0" t="n">
        <f aca="false">Q4227-S4227</f>
        <v>48.1226307201811</v>
      </c>
      <c r="U4227" s="0" t="n">
        <f aca="false">Q4227+S4227</f>
        <v>50.1860624616371</v>
      </c>
      <c r="V4227" s="54" t="b">
        <f aca="false">AND(D4227&gt;=01_因子設定!$L$5-0.000000001,D4227&lt;=01_因子設定!$M$5+0.000000001,E4227&gt;=01_因子設定!$L$6-0.000000001,E4227&lt;=01_因子設定!$M$6+0.000000001,F4227&gt;=01_因子設定!$L$7-0.000000001,F4227&lt;=01_因子設定!$M$7+0.000000001,IF(01_因子設定!$B$20="Box-Behnken",D4227^2+E4227^2+F4227^2&lt;=2+0.000000001,TRUE()))</f>
        <v>1</v>
      </c>
      <c r="W4227" s="55" t="n">
        <f aca="false">IF(V4227,IF(01_因子設定!$B$13="最大化",T4227-01_因子設定!$B$14,IF(01_因子設定!$B$13="最小化",01_因子設定!$B$15-U4227,MIN(T4227-01_因子設定!$B$14,01_因子設定!$B$15-U4227))),-1E+030)</f>
        <v>-0.377369279818936</v>
      </c>
      <c r="X4227" s="55" t="n">
        <f aca="false">IF(V4227,IF(01_因子設定!$B$13="最大化",Q4227,IF(01_因子設定!$B$13="最小化",-Q4227,-ABS(Q4227-01_因子設定!$B$16))),-1E+030)</f>
        <v>49.1543465909091</v>
      </c>
      <c r="Y4227" s="55" t="n">
        <f aca="false">W4227+ROW()*0.000000001</f>
        <v>-0.377365052818936</v>
      </c>
      <c r="Z4227" s="55" t="n">
        <f aca="false">X4227+ROW()*0.000000001</f>
        <v>49.1543508179091</v>
      </c>
    </row>
    <row r="4228" customFormat="false" ht="15" hidden="false" customHeight="false" outlineLevel="0" collapsed="false">
      <c r="A4228" s="0" t="n">
        <v>14</v>
      </c>
      <c r="B4228" s="0" t="n">
        <v>10</v>
      </c>
      <c r="C4228" s="0" t="n">
        <v>7</v>
      </c>
      <c r="D4228" s="0" t="n">
        <f aca="false">-1+A4228*0.125</f>
        <v>0.75</v>
      </c>
      <c r="E4228" s="0" t="n">
        <f aca="false">-1+B4228*0.125</f>
        <v>0.25</v>
      </c>
      <c r="F4228" s="0" t="n">
        <f aca="false">-1+C4228*0.125</f>
        <v>-0.125</v>
      </c>
      <c r="G4228" s="0" t="n">
        <f aca="false">1</f>
        <v>1</v>
      </c>
      <c r="H4228" s="0" t="n">
        <f aca="false">D4228</f>
        <v>0.75</v>
      </c>
      <c r="I4228" s="0" t="n">
        <f aca="false">E4228</f>
        <v>0.25</v>
      </c>
      <c r="J4228" s="0" t="n">
        <f aca="false">F4228</f>
        <v>-0.125</v>
      </c>
      <c r="K4228" s="0" t="n">
        <f aca="false">D4228*E4228</f>
        <v>0.1875</v>
      </c>
      <c r="L4228" s="0" t="n">
        <f aca="false">D4228*F4228</f>
        <v>-0.09375</v>
      </c>
      <c r="M4228" s="0" t="n">
        <f aca="false">E4228*F4228</f>
        <v>-0.03125</v>
      </c>
      <c r="N4228" s="0" t="n">
        <f aca="false">D4228*D4228</f>
        <v>0.5625</v>
      </c>
      <c r="O4228" s="0" t="n">
        <f aca="false">E4228*E4228</f>
        <v>0.0625</v>
      </c>
      <c r="P4228" s="0" t="n">
        <f aca="false">F4228*F4228</f>
        <v>0.015625</v>
      </c>
      <c r="Q4228" s="0" t="n">
        <f aca="false">SUMPRODUCT(G4228:P4228,_XtX!$B$71:$K$71)</f>
        <v>49.38203125</v>
      </c>
      <c r="R4228" s="0" t="n">
        <f aca="false">SUMPRODUCT(MMULT(G4228:P4228,_XtX!$B$58:$K$67),G4228:P4228)</f>
        <v>0.233935546875</v>
      </c>
      <c r="S4228" s="0" t="n">
        <f aca="false">04_回帰ANOVA!$K$19*04_回帰ANOVA!$K$14*SQRT(1+R4228)</f>
        <v>1.03279202033444</v>
      </c>
      <c r="T4228" s="0" t="n">
        <f aca="false">Q4228-S4228</f>
        <v>48.3492392296656</v>
      </c>
      <c r="U4228" s="0" t="n">
        <f aca="false">Q4228+S4228</f>
        <v>50.4148232703344</v>
      </c>
      <c r="V4228" s="54" t="b">
        <f aca="false">AND(D4228&gt;=01_因子設定!$L$5-0.000000001,D4228&lt;=01_因子設定!$M$5+0.000000001,E4228&gt;=01_因子設定!$L$6-0.000000001,E4228&lt;=01_因子設定!$M$6+0.000000001,F4228&gt;=01_因子設定!$L$7-0.000000001,F4228&lt;=01_因子設定!$M$7+0.000000001,IF(01_因子設定!$B$20="Box-Behnken",D4228^2+E4228^2+F4228^2&lt;=2+0.000000001,TRUE()))</f>
        <v>1</v>
      </c>
      <c r="W4228" s="55" t="n">
        <f aca="false">IF(V4228,IF(01_因子設定!$B$13="最大化",T4228-01_因子設定!$B$14,IF(01_因子設定!$B$13="最小化",01_因子設定!$B$15-U4228,MIN(T4228-01_因子設定!$B$14,01_因子設定!$B$15-U4228))),-1E+030)</f>
        <v>-0.150760770334443</v>
      </c>
      <c r="X4228" s="55" t="n">
        <f aca="false">IF(V4228,IF(01_因子設定!$B$13="最大化",Q4228,IF(01_因子設定!$B$13="最小化",-Q4228,-ABS(Q4228-01_因子設定!$B$16))),-1E+030)</f>
        <v>49.38203125</v>
      </c>
      <c r="Y4228" s="55" t="n">
        <f aca="false">W4228+ROW()*0.000000001</f>
        <v>-0.150756542334443</v>
      </c>
      <c r="Z4228" s="55" t="n">
        <f aca="false">X4228+ROW()*0.000000001</f>
        <v>49.382035478</v>
      </c>
    </row>
    <row r="4229" customFormat="false" ht="15" hidden="false" customHeight="false" outlineLevel="0" collapsed="false">
      <c r="A4229" s="0" t="n">
        <v>14</v>
      </c>
      <c r="B4229" s="0" t="n">
        <v>10</v>
      </c>
      <c r="C4229" s="0" t="n">
        <v>8</v>
      </c>
      <c r="D4229" s="0" t="n">
        <f aca="false">-1+A4229*0.125</f>
        <v>0.75</v>
      </c>
      <c r="E4229" s="0" t="n">
        <f aca="false">-1+B4229*0.125</f>
        <v>0.25</v>
      </c>
      <c r="F4229" s="0" t="n">
        <f aca="false">-1+C4229*0.125</f>
        <v>0</v>
      </c>
      <c r="G4229" s="0" t="n">
        <f aca="false">1</f>
        <v>1</v>
      </c>
      <c r="H4229" s="0" t="n">
        <f aca="false">D4229</f>
        <v>0.75</v>
      </c>
      <c r="I4229" s="0" t="n">
        <f aca="false">E4229</f>
        <v>0.25</v>
      </c>
      <c r="J4229" s="0" t="n">
        <f aca="false">F4229</f>
        <v>0</v>
      </c>
      <c r="K4229" s="0" t="n">
        <f aca="false">D4229*E4229</f>
        <v>0.1875</v>
      </c>
      <c r="L4229" s="0" t="n">
        <f aca="false">D4229*F4229</f>
        <v>0</v>
      </c>
      <c r="M4229" s="0" t="n">
        <f aca="false">E4229*F4229</f>
        <v>0</v>
      </c>
      <c r="N4229" s="0" t="n">
        <f aca="false">D4229*D4229</f>
        <v>0.5625</v>
      </c>
      <c r="O4229" s="0" t="n">
        <f aca="false">E4229*E4229</f>
        <v>0.0625</v>
      </c>
      <c r="P4229" s="0" t="n">
        <f aca="false">F4229*F4229</f>
        <v>0</v>
      </c>
      <c r="Q4229" s="0" t="n">
        <f aca="false">SUMPRODUCT(G4229:P4229,_XtX!$B$71:$K$71)</f>
        <v>49.5729261363636</v>
      </c>
      <c r="R4229" s="0" t="n">
        <f aca="false">SUMPRODUCT(MMULT(G4229:P4229,_XtX!$B$58:$K$67),G4229:P4229)</f>
        <v>0.235147372159091</v>
      </c>
      <c r="S4229" s="0" t="n">
        <f aca="false">04_回帰ANOVA!$K$19*04_回帰ANOVA!$K$14*SQRT(1+R4229)</f>
        <v>1.03329903885461</v>
      </c>
      <c r="T4229" s="0" t="n">
        <f aca="false">Q4229-S4229</f>
        <v>48.539627097509</v>
      </c>
      <c r="U4229" s="0" t="n">
        <f aca="false">Q4229+S4229</f>
        <v>50.6062251752182</v>
      </c>
      <c r="V4229" s="54" t="b">
        <f aca="false">AND(D4229&gt;=01_因子設定!$L$5-0.000000001,D4229&lt;=01_因子設定!$M$5+0.000000001,E4229&gt;=01_因子設定!$L$6-0.000000001,E4229&lt;=01_因子設定!$M$6+0.000000001,F4229&gt;=01_因子設定!$L$7-0.000000001,F4229&lt;=01_因子設定!$M$7+0.000000001,IF(01_因子設定!$B$20="Box-Behnken",D4229^2+E4229^2+F4229^2&lt;=2+0.000000001,TRUE()))</f>
        <v>1</v>
      </c>
      <c r="W4229" s="55" t="n">
        <f aca="false">IF(V4229,IF(01_因子設定!$B$13="最大化",T4229-01_因子設定!$B$14,IF(01_因子設定!$B$13="最小化",01_因子設定!$B$15-U4229,MIN(T4229-01_因子設定!$B$14,01_因子設定!$B$15-U4229))),-1E+030)</f>
        <v>0.039627097509026</v>
      </c>
      <c r="X4229" s="55" t="n">
        <f aca="false">IF(V4229,IF(01_因子設定!$B$13="最大化",Q4229,IF(01_因子設定!$B$13="最小化",-Q4229,-ABS(Q4229-01_因子設定!$B$16))),-1E+030)</f>
        <v>49.5729261363636</v>
      </c>
      <c r="Y4229" s="55" t="n">
        <f aca="false">W4229+ROW()*0.000000001</f>
        <v>0.039631326509026</v>
      </c>
      <c r="Z4229" s="55" t="n">
        <f aca="false">X4229+ROW()*0.000000001</f>
        <v>49.5729303653636</v>
      </c>
    </row>
    <row r="4230" customFormat="false" ht="15" hidden="false" customHeight="false" outlineLevel="0" collapsed="false">
      <c r="A4230" s="0" t="n">
        <v>14</v>
      </c>
      <c r="B4230" s="0" t="n">
        <v>10</v>
      </c>
      <c r="C4230" s="0" t="n">
        <v>9</v>
      </c>
      <c r="D4230" s="0" t="n">
        <f aca="false">-1+A4230*0.125</f>
        <v>0.75</v>
      </c>
      <c r="E4230" s="0" t="n">
        <f aca="false">-1+B4230*0.125</f>
        <v>0.25</v>
      </c>
      <c r="F4230" s="0" t="n">
        <f aca="false">-1+C4230*0.125</f>
        <v>0.125</v>
      </c>
      <c r="G4230" s="0" t="n">
        <f aca="false">1</f>
        <v>1</v>
      </c>
      <c r="H4230" s="0" t="n">
        <f aca="false">D4230</f>
        <v>0.75</v>
      </c>
      <c r="I4230" s="0" t="n">
        <f aca="false">E4230</f>
        <v>0.25</v>
      </c>
      <c r="J4230" s="0" t="n">
        <f aca="false">F4230</f>
        <v>0.125</v>
      </c>
      <c r="K4230" s="0" t="n">
        <f aca="false">D4230*E4230</f>
        <v>0.1875</v>
      </c>
      <c r="L4230" s="0" t="n">
        <f aca="false">D4230*F4230</f>
        <v>0.09375</v>
      </c>
      <c r="M4230" s="0" t="n">
        <f aca="false">E4230*F4230</f>
        <v>0.03125</v>
      </c>
      <c r="N4230" s="0" t="n">
        <f aca="false">D4230*D4230</f>
        <v>0.5625</v>
      </c>
      <c r="O4230" s="0" t="n">
        <f aca="false">E4230*E4230</f>
        <v>0.0625</v>
      </c>
      <c r="P4230" s="0" t="n">
        <f aca="false">F4230*F4230</f>
        <v>0.015625</v>
      </c>
      <c r="Q4230" s="0" t="n">
        <f aca="false">SUMPRODUCT(G4230:P4230,_XtX!$B$71:$K$71)</f>
        <v>49.72703125</v>
      </c>
      <c r="R4230" s="0" t="n">
        <f aca="false">SUMPRODUCT(MMULT(G4230:P4230,_XtX!$B$58:$K$67),G4230:P4230)</f>
        <v>0.233935546875</v>
      </c>
      <c r="S4230" s="0" t="n">
        <f aca="false">04_回帰ANOVA!$K$19*04_回帰ANOVA!$K$14*SQRT(1+R4230)</f>
        <v>1.03279202033444</v>
      </c>
      <c r="T4230" s="0" t="n">
        <f aca="false">Q4230-S4230</f>
        <v>48.6942392296656</v>
      </c>
      <c r="U4230" s="0" t="n">
        <f aca="false">Q4230+S4230</f>
        <v>50.7598232703344</v>
      </c>
      <c r="V4230" s="54" t="b">
        <f aca="false">AND(D4230&gt;=01_因子設定!$L$5-0.000000001,D4230&lt;=01_因子設定!$M$5+0.000000001,E4230&gt;=01_因子設定!$L$6-0.000000001,E4230&lt;=01_因子設定!$M$6+0.000000001,F4230&gt;=01_因子設定!$L$7-0.000000001,F4230&lt;=01_因子設定!$M$7+0.000000001,IF(01_因子設定!$B$20="Box-Behnken",D4230^2+E4230^2+F4230^2&lt;=2+0.000000001,TRUE()))</f>
        <v>1</v>
      </c>
      <c r="W4230" s="55" t="n">
        <f aca="false">IF(V4230,IF(01_因子設定!$B$13="最大化",T4230-01_因子設定!$B$14,IF(01_因子設定!$B$13="最小化",01_因子設定!$B$15-U4230,MIN(T4230-01_因子設定!$B$14,01_因子設定!$B$15-U4230))),-1E+030)</f>
        <v>0.194239229665556</v>
      </c>
      <c r="X4230" s="55" t="n">
        <f aca="false">IF(V4230,IF(01_因子設定!$B$13="最大化",Q4230,IF(01_因子設定!$B$13="最小化",-Q4230,-ABS(Q4230-01_因子設定!$B$16))),-1E+030)</f>
        <v>49.72703125</v>
      </c>
      <c r="Y4230" s="55" t="n">
        <f aca="false">W4230+ROW()*0.000000001</f>
        <v>0.194243459665556</v>
      </c>
      <c r="Z4230" s="55" t="n">
        <f aca="false">X4230+ROW()*0.000000001</f>
        <v>49.72703548</v>
      </c>
    </row>
    <row r="4231" customFormat="false" ht="15" hidden="false" customHeight="false" outlineLevel="0" collapsed="false">
      <c r="A4231" s="0" t="n">
        <v>14</v>
      </c>
      <c r="B4231" s="0" t="n">
        <v>10</v>
      </c>
      <c r="C4231" s="0" t="n">
        <v>10</v>
      </c>
      <c r="D4231" s="0" t="n">
        <f aca="false">-1+A4231*0.125</f>
        <v>0.75</v>
      </c>
      <c r="E4231" s="0" t="n">
        <f aca="false">-1+B4231*0.125</f>
        <v>0.25</v>
      </c>
      <c r="F4231" s="0" t="n">
        <f aca="false">-1+C4231*0.125</f>
        <v>0.25</v>
      </c>
      <c r="G4231" s="0" t="n">
        <f aca="false">1</f>
        <v>1</v>
      </c>
      <c r="H4231" s="0" t="n">
        <f aca="false">D4231</f>
        <v>0.75</v>
      </c>
      <c r="I4231" s="0" t="n">
        <f aca="false">E4231</f>
        <v>0.25</v>
      </c>
      <c r="J4231" s="0" t="n">
        <f aca="false">F4231</f>
        <v>0.25</v>
      </c>
      <c r="K4231" s="0" t="n">
        <f aca="false">D4231*E4231</f>
        <v>0.1875</v>
      </c>
      <c r="L4231" s="0" t="n">
        <f aca="false">D4231*F4231</f>
        <v>0.1875</v>
      </c>
      <c r="M4231" s="0" t="n">
        <f aca="false">E4231*F4231</f>
        <v>0.0625</v>
      </c>
      <c r="N4231" s="0" t="n">
        <f aca="false">D4231*D4231</f>
        <v>0.5625</v>
      </c>
      <c r="O4231" s="0" t="n">
        <f aca="false">E4231*E4231</f>
        <v>0.0625</v>
      </c>
      <c r="P4231" s="0" t="n">
        <f aca="false">F4231*F4231</f>
        <v>0.0625</v>
      </c>
      <c r="Q4231" s="0" t="n">
        <f aca="false">SUMPRODUCT(G4231:P4231,_XtX!$B$71:$K$71)</f>
        <v>49.8443465909091</v>
      </c>
      <c r="R4231" s="0" t="n">
        <f aca="false">SUMPRODUCT(MMULT(G4231:P4231,_XtX!$B$58:$K$67),G4231:P4231)</f>
        <v>0.231365411931818</v>
      </c>
      <c r="S4231" s="0" t="n">
        <f aca="false">04_回帰ANOVA!$K$19*04_回帰ANOVA!$K$14*SQRT(1+R4231)</f>
        <v>1.03171587072803</v>
      </c>
      <c r="T4231" s="0" t="n">
        <f aca="false">Q4231-S4231</f>
        <v>48.8126307201811</v>
      </c>
      <c r="U4231" s="0" t="n">
        <f aca="false">Q4231+S4231</f>
        <v>50.8760624616371</v>
      </c>
      <c r="V4231" s="54" t="b">
        <f aca="false">AND(D4231&gt;=01_因子設定!$L$5-0.000000001,D4231&lt;=01_因子設定!$M$5+0.000000001,E4231&gt;=01_因子設定!$L$6-0.000000001,E4231&lt;=01_因子設定!$M$6+0.000000001,F4231&gt;=01_因子設定!$L$7-0.000000001,F4231&lt;=01_因子設定!$M$7+0.000000001,IF(01_因子設定!$B$20="Box-Behnken",D4231^2+E4231^2+F4231^2&lt;=2+0.000000001,TRUE()))</f>
        <v>1</v>
      </c>
      <c r="W4231" s="55" t="n">
        <f aca="false">IF(V4231,IF(01_因子設定!$B$13="最大化",T4231-01_因子設定!$B$14,IF(01_因子設定!$B$13="最小化",01_因子設定!$B$15-U4231,MIN(T4231-01_因子設定!$B$14,01_因子設定!$B$15-U4231))),-1E+030)</f>
        <v>0.312630720181062</v>
      </c>
      <c r="X4231" s="55" t="n">
        <f aca="false">IF(V4231,IF(01_因子設定!$B$13="最大化",Q4231,IF(01_因子設定!$B$13="最小化",-Q4231,-ABS(Q4231-01_因子設定!$B$16))),-1E+030)</f>
        <v>49.8443465909091</v>
      </c>
      <c r="Y4231" s="55" t="n">
        <f aca="false">W4231+ROW()*0.000000001</f>
        <v>0.312634951181062</v>
      </c>
      <c r="Z4231" s="55" t="n">
        <f aca="false">X4231+ROW()*0.000000001</f>
        <v>49.8443508219091</v>
      </c>
    </row>
    <row r="4232" customFormat="false" ht="15" hidden="false" customHeight="false" outlineLevel="0" collapsed="false">
      <c r="A4232" s="0" t="n">
        <v>14</v>
      </c>
      <c r="B4232" s="0" t="n">
        <v>10</v>
      </c>
      <c r="C4232" s="0" t="n">
        <v>11</v>
      </c>
      <c r="D4232" s="0" t="n">
        <f aca="false">-1+A4232*0.125</f>
        <v>0.75</v>
      </c>
      <c r="E4232" s="0" t="n">
        <f aca="false">-1+B4232*0.125</f>
        <v>0.25</v>
      </c>
      <c r="F4232" s="0" t="n">
        <f aca="false">-1+C4232*0.125</f>
        <v>0.375</v>
      </c>
      <c r="G4232" s="0" t="n">
        <f aca="false">1</f>
        <v>1</v>
      </c>
      <c r="H4232" s="0" t="n">
        <f aca="false">D4232</f>
        <v>0.75</v>
      </c>
      <c r="I4232" s="0" t="n">
        <f aca="false">E4232</f>
        <v>0.25</v>
      </c>
      <c r="J4232" s="0" t="n">
        <f aca="false">F4232</f>
        <v>0.375</v>
      </c>
      <c r="K4232" s="0" t="n">
        <f aca="false">D4232*E4232</f>
        <v>0.1875</v>
      </c>
      <c r="L4232" s="0" t="n">
        <f aca="false">D4232*F4232</f>
        <v>0.28125</v>
      </c>
      <c r="M4232" s="0" t="n">
        <f aca="false">E4232*F4232</f>
        <v>0.09375</v>
      </c>
      <c r="N4232" s="0" t="n">
        <f aca="false">D4232*D4232</f>
        <v>0.5625</v>
      </c>
      <c r="O4232" s="0" t="n">
        <f aca="false">E4232*E4232</f>
        <v>0.0625</v>
      </c>
      <c r="P4232" s="0" t="n">
        <f aca="false">F4232*F4232</f>
        <v>0.140625</v>
      </c>
      <c r="Q4232" s="0" t="n">
        <f aca="false">SUMPRODUCT(G4232:P4232,_XtX!$B$71:$K$71)</f>
        <v>49.9248721590909</v>
      </c>
      <c r="R4232" s="0" t="n">
        <f aca="false">SUMPRODUCT(MMULT(G4232:P4232,_XtX!$B$58:$K$67),G4232:P4232)</f>
        <v>0.230632990056818</v>
      </c>
      <c r="S4232" s="0" t="n">
        <f aca="false">04_回帰ANOVA!$K$19*04_回帰ANOVA!$K$14*SQRT(1+R4232)</f>
        <v>1.03140899038819</v>
      </c>
      <c r="T4232" s="0" t="n">
        <f aca="false">Q4232-S4232</f>
        <v>48.8934631687027</v>
      </c>
      <c r="U4232" s="0" t="n">
        <f aca="false">Q4232+S4232</f>
        <v>50.9562811494791</v>
      </c>
      <c r="V4232" s="54" t="b">
        <f aca="false">AND(D4232&gt;=01_因子設定!$L$5-0.000000001,D4232&lt;=01_因子設定!$M$5+0.000000001,E4232&gt;=01_因子設定!$L$6-0.000000001,E4232&lt;=01_因子設定!$M$6+0.000000001,F4232&gt;=01_因子設定!$L$7-0.000000001,F4232&lt;=01_因子設定!$M$7+0.000000001,IF(01_因子設定!$B$20="Box-Behnken",D4232^2+E4232^2+F4232^2&lt;=2+0.000000001,TRUE()))</f>
        <v>1</v>
      </c>
      <c r="W4232" s="55" t="n">
        <f aca="false">IF(V4232,IF(01_因子設定!$B$13="最大化",T4232-01_因子設定!$B$14,IF(01_因子設定!$B$13="最小化",01_因子設定!$B$15-U4232,MIN(T4232-01_因子設定!$B$14,01_因子設定!$B$15-U4232))),-1E+030)</f>
        <v>0.393463168702723</v>
      </c>
      <c r="X4232" s="55" t="n">
        <f aca="false">IF(V4232,IF(01_因子設定!$B$13="最大化",Q4232,IF(01_因子設定!$B$13="最小化",-Q4232,-ABS(Q4232-01_因子設定!$B$16))),-1E+030)</f>
        <v>49.9248721590909</v>
      </c>
      <c r="Y4232" s="55" t="n">
        <f aca="false">W4232+ROW()*0.000000001</f>
        <v>0.393467400702723</v>
      </c>
      <c r="Z4232" s="55" t="n">
        <f aca="false">X4232+ROW()*0.000000001</f>
        <v>49.9248763910909</v>
      </c>
    </row>
    <row r="4233" customFormat="false" ht="15" hidden="false" customHeight="false" outlineLevel="0" collapsed="false">
      <c r="A4233" s="0" t="n">
        <v>14</v>
      </c>
      <c r="B4233" s="0" t="n">
        <v>10</v>
      </c>
      <c r="C4233" s="0" t="n">
        <v>12</v>
      </c>
      <c r="D4233" s="0" t="n">
        <f aca="false">-1+A4233*0.125</f>
        <v>0.75</v>
      </c>
      <c r="E4233" s="0" t="n">
        <f aca="false">-1+B4233*0.125</f>
        <v>0.25</v>
      </c>
      <c r="F4233" s="0" t="n">
        <f aca="false">-1+C4233*0.125</f>
        <v>0.5</v>
      </c>
      <c r="G4233" s="0" t="n">
        <f aca="false">1</f>
        <v>1</v>
      </c>
      <c r="H4233" s="0" t="n">
        <f aca="false">D4233</f>
        <v>0.75</v>
      </c>
      <c r="I4233" s="0" t="n">
        <f aca="false">E4233</f>
        <v>0.25</v>
      </c>
      <c r="J4233" s="0" t="n">
        <f aca="false">F4233</f>
        <v>0.5</v>
      </c>
      <c r="K4233" s="0" t="n">
        <f aca="false">D4233*E4233</f>
        <v>0.1875</v>
      </c>
      <c r="L4233" s="0" t="n">
        <f aca="false">D4233*F4233</f>
        <v>0.375</v>
      </c>
      <c r="M4233" s="0" t="n">
        <f aca="false">E4233*F4233</f>
        <v>0.125</v>
      </c>
      <c r="N4233" s="0" t="n">
        <f aca="false">D4233*D4233</f>
        <v>0.5625</v>
      </c>
      <c r="O4233" s="0" t="n">
        <f aca="false">E4233*E4233</f>
        <v>0.0625</v>
      </c>
      <c r="P4233" s="0" t="n">
        <f aca="false">F4233*F4233</f>
        <v>0.25</v>
      </c>
      <c r="Q4233" s="0" t="n">
        <f aca="false">SUMPRODUCT(G4233:P4233,_XtX!$B$71:$K$71)</f>
        <v>49.9686079545455</v>
      </c>
      <c r="R4233" s="0" t="n">
        <f aca="false">SUMPRODUCT(MMULT(G4233:P4233,_XtX!$B$58:$K$67),G4233:P4233)</f>
        <v>0.237064985795455</v>
      </c>
      <c r="S4233" s="0" t="n">
        <f aca="false">04_回帰ANOVA!$K$19*04_回帰ANOVA!$K$14*SQRT(1+R4233)</f>
        <v>1.03410084594745</v>
      </c>
      <c r="T4233" s="0" t="n">
        <f aca="false">Q4233-S4233</f>
        <v>48.934507108598</v>
      </c>
      <c r="U4233" s="0" t="n">
        <f aca="false">Q4233+S4233</f>
        <v>51.0027088004929</v>
      </c>
      <c r="V4233" s="54" t="b">
        <f aca="false">AND(D4233&gt;=01_因子設定!$L$5-0.000000001,D4233&lt;=01_因子設定!$M$5+0.000000001,E4233&gt;=01_因子設定!$L$6-0.000000001,E4233&lt;=01_因子設定!$M$6+0.000000001,F4233&gt;=01_因子設定!$L$7-0.000000001,F4233&lt;=01_因子設定!$M$7+0.000000001,IF(01_因子設定!$B$20="Box-Behnken",D4233^2+E4233^2+F4233^2&lt;=2+0.000000001,TRUE()))</f>
        <v>1</v>
      </c>
      <c r="W4233" s="55" t="n">
        <f aca="false">IF(V4233,IF(01_因子設定!$B$13="最大化",T4233-01_因子設定!$B$14,IF(01_因子設定!$B$13="最小化",01_因子設定!$B$15-U4233,MIN(T4233-01_因子設定!$B$14,01_因子設定!$B$15-U4233))),-1E+030)</f>
        <v>0.434507108598012</v>
      </c>
      <c r="X4233" s="55" t="n">
        <f aca="false">IF(V4233,IF(01_因子設定!$B$13="最大化",Q4233,IF(01_因子設定!$B$13="最小化",-Q4233,-ABS(Q4233-01_因子設定!$B$16))),-1E+030)</f>
        <v>49.9686079545455</v>
      </c>
      <c r="Y4233" s="55" t="n">
        <f aca="false">W4233+ROW()*0.000000001</f>
        <v>0.434511341598012</v>
      </c>
      <c r="Z4233" s="55" t="n">
        <f aca="false">X4233+ROW()*0.000000001</f>
        <v>49.9686121875455</v>
      </c>
    </row>
    <row r="4234" customFormat="false" ht="15" hidden="false" customHeight="false" outlineLevel="0" collapsed="false">
      <c r="A4234" s="0" t="n">
        <v>14</v>
      </c>
      <c r="B4234" s="0" t="n">
        <v>10</v>
      </c>
      <c r="C4234" s="0" t="n">
        <v>13</v>
      </c>
      <c r="D4234" s="0" t="n">
        <f aca="false">-1+A4234*0.125</f>
        <v>0.75</v>
      </c>
      <c r="E4234" s="0" t="n">
        <f aca="false">-1+B4234*0.125</f>
        <v>0.25</v>
      </c>
      <c r="F4234" s="0" t="n">
        <f aca="false">-1+C4234*0.125</f>
        <v>0.625</v>
      </c>
      <c r="G4234" s="0" t="n">
        <f aca="false">1</f>
        <v>1</v>
      </c>
      <c r="H4234" s="0" t="n">
        <f aca="false">D4234</f>
        <v>0.75</v>
      </c>
      <c r="I4234" s="0" t="n">
        <f aca="false">E4234</f>
        <v>0.25</v>
      </c>
      <c r="J4234" s="0" t="n">
        <f aca="false">F4234</f>
        <v>0.625</v>
      </c>
      <c r="K4234" s="0" t="n">
        <f aca="false">D4234*E4234</f>
        <v>0.1875</v>
      </c>
      <c r="L4234" s="0" t="n">
        <f aca="false">D4234*F4234</f>
        <v>0.46875</v>
      </c>
      <c r="M4234" s="0" t="n">
        <f aca="false">E4234*F4234</f>
        <v>0.15625</v>
      </c>
      <c r="N4234" s="0" t="n">
        <f aca="false">D4234*D4234</f>
        <v>0.5625</v>
      </c>
      <c r="O4234" s="0" t="n">
        <f aca="false">E4234*E4234</f>
        <v>0.0625</v>
      </c>
      <c r="P4234" s="0" t="n">
        <f aca="false">F4234*F4234</f>
        <v>0.390625</v>
      </c>
      <c r="Q4234" s="0" t="n">
        <f aca="false">SUMPRODUCT(G4234:P4234,_XtX!$B$71:$K$71)</f>
        <v>49.9755539772727</v>
      </c>
      <c r="R4234" s="0" t="n">
        <f aca="false">SUMPRODUCT(MMULT(G4234:P4234,_XtX!$B$58:$K$67),G4234:P4234)</f>
        <v>0.258118785511364</v>
      </c>
      <c r="S4234" s="0" t="n">
        <f aca="false">04_回帰ANOVA!$K$19*04_回帰ANOVA!$K$14*SQRT(1+R4234)</f>
        <v>1.04286348094876</v>
      </c>
      <c r="T4234" s="0" t="n">
        <f aca="false">Q4234-S4234</f>
        <v>48.932690496324</v>
      </c>
      <c r="U4234" s="0" t="n">
        <f aca="false">Q4234+S4234</f>
        <v>51.0184174582215</v>
      </c>
      <c r="V4234" s="54" t="b">
        <f aca="false">AND(D4234&gt;=01_因子設定!$L$5-0.000000001,D4234&lt;=01_因子設定!$M$5+0.000000001,E4234&gt;=01_因子設定!$L$6-0.000000001,E4234&lt;=01_因子設定!$M$6+0.000000001,F4234&gt;=01_因子設定!$L$7-0.000000001,F4234&lt;=01_因子設定!$M$7+0.000000001,IF(01_因子設定!$B$20="Box-Behnken",D4234^2+E4234^2+F4234^2&lt;=2+0.000000001,TRUE()))</f>
        <v>1</v>
      </c>
      <c r="W4234" s="55" t="n">
        <f aca="false">IF(V4234,IF(01_因子設定!$B$13="最大化",T4234-01_因子設定!$B$14,IF(01_因子設定!$B$13="最小化",01_因子設定!$B$15-U4234,MIN(T4234-01_因子設定!$B$14,01_因子設定!$B$15-U4234))),-1E+030)</f>
        <v>0.432690496323971</v>
      </c>
      <c r="X4234" s="55" t="n">
        <f aca="false">IF(V4234,IF(01_因子設定!$B$13="最大化",Q4234,IF(01_因子設定!$B$13="最小化",-Q4234,-ABS(Q4234-01_因子設定!$B$16))),-1E+030)</f>
        <v>49.9755539772727</v>
      </c>
      <c r="Y4234" s="55" t="n">
        <f aca="false">W4234+ROW()*0.000000001</f>
        <v>0.432694730323971</v>
      </c>
      <c r="Z4234" s="55" t="n">
        <f aca="false">X4234+ROW()*0.000000001</f>
        <v>49.9755582112727</v>
      </c>
    </row>
    <row r="4235" customFormat="false" ht="15" hidden="false" customHeight="false" outlineLevel="0" collapsed="false">
      <c r="A4235" s="0" t="n">
        <v>14</v>
      </c>
      <c r="B4235" s="0" t="n">
        <v>10</v>
      </c>
      <c r="C4235" s="0" t="n">
        <v>14</v>
      </c>
      <c r="D4235" s="0" t="n">
        <f aca="false">-1+A4235*0.125</f>
        <v>0.75</v>
      </c>
      <c r="E4235" s="0" t="n">
        <f aca="false">-1+B4235*0.125</f>
        <v>0.25</v>
      </c>
      <c r="F4235" s="0" t="n">
        <f aca="false">-1+C4235*0.125</f>
        <v>0.75</v>
      </c>
      <c r="G4235" s="0" t="n">
        <f aca="false">1</f>
        <v>1</v>
      </c>
      <c r="H4235" s="0" t="n">
        <f aca="false">D4235</f>
        <v>0.75</v>
      </c>
      <c r="I4235" s="0" t="n">
        <f aca="false">E4235</f>
        <v>0.25</v>
      </c>
      <c r="J4235" s="0" t="n">
        <f aca="false">F4235</f>
        <v>0.75</v>
      </c>
      <c r="K4235" s="0" t="n">
        <f aca="false">D4235*E4235</f>
        <v>0.1875</v>
      </c>
      <c r="L4235" s="0" t="n">
        <f aca="false">D4235*F4235</f>
        <v>0.5625</v>
      </c>
      <c r="M4235" s="0" t="n">
        <f aca="false">E4235*F4235</f>
        <v>0.1875</v>
      </c>
      <c r="N4235" s="0" t="n">
        <f aca="false">D4235*D4235</f>
        <v>0.5625</v>
      </c>
      <c r="O4235" s="0" t="n">
        <f aca="false">E4235*E4235</f>
        <v>0.0625</v>
      </c>
      <c r="P4235" s="0" t="n">
        <f aca="false">F4235*F4235</f>
        <v>0.5625</v>
      </c>
      <c r="Q4235" s="0" t="n">
        <f aca="false">SUMPRODUCT(G4235:P4235,_XtX!$B$71:$K$71)</f>
        <v>49.9457102272727</v>
      </c>
      <c r="R4235" s="0" t="n">
        <f aca="false">SUMPRODUCT(MMULT(G4235:P4235,_XtX!$B$58:$K$67),G4235:P4235)</f>
        <v>0.303382457386364</v>
      </c>
      <c r="S4235" s="0" t="n">
        <f aca="false">04_回帰ANOVA!$K$19*04_回帰ANOVA!$K$14*SQRT(1+R4235)</f>
        <v>1.06145740650883</v>
      </c>
      <c r="T4235" s="0" t="n">
        <f aca="false">Q4235-S4235</f>
        <v>48.8842528207639</v>
      </c>
      <c r="U4235" s="0" t="n">
        <f aca="false">Q4235+S4235</f>
        <v>51.0071676337816</v>
      </c>
      <c r="V4235" s="54" t="b">
        <f aca="false">AND(D4235&gt;=01_因子設定!$L$5-0.000000001,D4235&lt;=01_因子設定!$M$5+0.000000001,E4235&gt;=01_因子設定!$L$6-0.000000001,E4235&lt;=01_因子設定!$M$6+0.000000001,F4235&gt;=01_因子設定!$L$7-0.000000001,F4235&lt;=01_因子設定!$M$7+0.000000001,IF(01_因子設定!$B$20="Box-Behnken",D4235^2+E4235^2+F4235^2&lt;=2+0.000000001,TRUE()))</f>
        <v>1</v>
      </c>
      <c r="W4235" s="55" t="n">
        <f aca="false">IF(V4235,IF(01_因子設定!$B$13="最大化",T4235-01_因子設定!$B$14,IF(01_因子設定!$B$13="最小化",01_因子設定!$B$15-U4235,MIN(T4235-01_因子設定!$B$14,01_因子設定!$B$15-U4235))),-1E+030)</f>
        <v>0.384252820763898</v>
      </c>
      <c r="X4235" s="55" t="n">
        <f aca="false">IF(V4235,IF(01_因子設定!$B$13="最大化",Q4235,IF(01_因子設定!$B$13="最小化",-Q4235,-ABS(Q4235-01_因子設定!$B$16))),-1E+030)</f>
        <v>49.9457102272727</v>
      </c>
      <c r="Y4235" s="55" t="n">
        <f aca="false">W4235+ROW()*0.000000001</f>
        <v>0.384257055763898</v>
      </c>
      <c r="Z4235" s="55" t="n">
        <f aca="false">X4235+ROW()*0.000000001</f>
        <v>49.9457144622727</v>
      </c>
    </row>
    <row r="4236" customFormat="false" ht="15" hidden="false" customHeight="false" outlineLevel="0" collapsed="false">
      <c r="A4236" s="0" t="n">
        <v>14</v>
      </c>
      <c r="B4236" s="0" t="n">
        <v>10</v>
      </c>
      <c r="C4236" s="0" t="n">
        <v>15</v>
      </c>
      <c r="D4236" s="0" t="n">
        <f aca="false">-1+A4236*0.125</f>
        <v>0.75</v>
      </c>
      <c r="E4236" s="0" t="n">
        <f aca="false">-1+B4236*0.125</f>
        <v>0.25</v>
      </c>
      <c r="F4236" s="0" t="n">
        <f aca="false">-1+C4236*0.125</f>
        <v>0.875</v>
      </c>
      <c r="G4236" s="0" t="n">
        <f aca="false">1</f>
        <v>1</v>
      </c>
      <c r="H4236" s="0" t="n">
        <f aca="false">D4236</f>
        <v>0.75</v>
      </c>
      <c r="I4236" s="0" t="n">
        <f aca="false">E4236</f>
        <v>0.25</v>
      </c>
      <c r="J4236" s="0" t="n">
        <f aca="false">F4236</f>
        <v>0.875</v>
      </c>
      <c r="K4236" s="0" t="n">
        <f aca="false">D4236*E4236</f>
        <v>0.1875</v>
      </c>
      <c r="L4236" s="0" t="n">
        <f aca="false">D4236*F4236</f>
        <v>0.65625</v>
      </c>
      <c r="M4236" s="0" t="n">
        <f aca="false">E4236*F4236</f>
        <v>0.21875</v>
      </c>
      <c r="N4236" s="0" t="n">
        <f aca="false">D4236*D4236</f>
        <v>0.5625</v>
      </c>
      <c r="O4236" s="0" t="n">
        <f aca="false">E4236*E4236</f>
        <v>0.0625</v>
      </c>
      <c r="P4236" s="0" t="n">
        <f aca="false">F4236*F4236</f>
        <v>0.765625</v>
      </c>
      <c r="Q4236" s="0" t="n">
        <f aca="false">SUMPRODUCT(G4236:P4236,_XtX!$B$71:$K$71)</f>
        <v>49.8790767045455</v>
      </c>
      <c r="R4236" s="0" t="n">
        <f aca="false">SUMPRODUCT(MMULT(G4236:P4236,_XtX!$B$58:$K$67),G4236:P4236)</f>
        <v>0.384574751420455</v>
      </c>
      <c r="S4236" s="0" t="n">
        <f aca="false">04_回帰ANOVA!$K$19*04_回帰ANOVA!$K$14*SQRT(1+R4236)</f>
        <v>1.0940189380139</v>
      </c>
      <c r="T4236" s="0" t="n">
        <f aca="false">Q4236-S4236</f>
        <v>48.7850577665316</v>
      </c>
      <c r="U4236" s="0" t="n">
        <f aca="false">Q4236+S4236</f>
        <v>50.9730956425594</v>
      </c>
      <c r="V4236" s="54" t="b">
        <f aca="false">AND(D4236&gt;=01_因子設定!$L$5-0.000000001,D4236&lt;=01_因子設定!$M$5+0.000000001,E4236&gt;=01_因子設定!$L$6-0.000000001,E4236&lt;=01_因子設定!$M$6+0.000000001,F4236&gt;=01_因子設定!$L$7-0.000000001,F4236&lt;=01_因子設定!$M$7+0.000000001,IF(01_因子設定!$B$20="Box-Behnken",D4236^2+E4236^2+F4236^2&lt;=2+0.000000001,TRUE()))</f>
        <v>1</v>
      </c>
      <c r="W4236" s="55" t="n">
        <f aca="false">IF(V4236,IF(01_因子設定!$B$13="最大化",T4236-01_因子設定!$B$14,IF(01_因子設定!$B$13="最小化",01_因子設定!$B$15-U4236,MIN(T4236-01_因子設定!$B$14,01_因子設定!$B$15-U4236))),-1E+030)</f>
        <v>0.285057766531565</v>
      </c>
      <c r="X4236" s="55" t="n">
        <f aca="false">IF(V4236,IF(01_因子設定!$B$13="最大化",Q4236,IF(01_因子設定!$B$13="最小化",-Q4236,-ABS(Q4236-01_因子設定!$B$16))),-1E+030)</f>
        <v>49.8790767045455</v>
      </c>
      <c r="Y4236" s="55" t="n">
        <f aca="false">W4236+ROW()*0.000000001</f>
        <v>0.285062002531565</v>
      </c>
      <c r="Z4236" s="55" t="n">
        <f aca="false">X4236+ROW()*0.000000001</f>
        <v>49.8790809405455</v>
      </c>
    </row>
    <row r="4237" customFormat="false" ht="15" hidden="false" customHeight="false" outlineLevel="0" collapsed="false">
      <c r="A4237" s="0" t="n">
        <v>14</v>
      </c>
      <c r="B4237" s="0" t="n">
        <v>10</v>
      </c>
      <c r="C4237" s="0" t="n">
        <v>16</v>
      </c>
      <c r="D4237" s="0" t="n">
        <f aca="false">-1+A4237*0.125</f>
        <v>0.75</v>
      </c>
      <c r="E4237" s="0" t="n">
        <f aca="false">-1+B4237*0.125</f>
        <v>0.25</v>
      </c>
      <c r="F4237" s="0" t="n">
        <f aca="false">-1+C4237*0.125</f>
        <v>1</v>
      </c>
      <c r="G4237" s="0" t="n">
        <f aca="false">1</f>
        <v>1</v>
      </c>
      <c r="H4237" s="0" t="n">
        <f aca="false">D4237</f>
        <v>0.75</v>
      </c>
      <c r="I4237" s="0" t="n">
        <f aca="false">E4237</f>
        <v>0.25</v>
      </c>
      <c r="J4237" s="0" t="n">
        <f aca="false">F4237</f>
        <v>1</v>
      </c>
      <c r="K4237" s="0" t="n">
        <f aca="false">D4237*E4237</f>
        <v>0.1875</v>
      </c>
      <c r="L4237" s="0" t="n">
        <f aca="false">D4237*F4237</f>
        <v>0.75</v>
      </c>
      <c r="M4237" s="0" t="n">
        <f aca="false">E4237*F4237</f>
        <v>0.25</v>
      </c>
      <c r="N4237" s="0" t="n">
        <f aca="false">D4237*D4237</f>
        <v>0.5625</v>
      </c>
      <c r="O4237" s="0" t="n">
        <f aca="false">E4237*E4237</f>
        <v>0.0625</v>
      </c>
      <c r="P4237" s="0" t="n">
        <f aca="false">F4237*F4237</f>
        <v>1</v>
      </c>
      <c r="Q4237" s="0" t="n">
        <f aca="false">SUMPRODUCT(G4237:P4237,_XtX!$B$71:$K$71)</f>
        <v>49.7756534090909</v>
      </c>
      <c r="R4237" s="0" t="n">
        <f aca="false">SUMPRODUCT(MMULT(G4237:P4237,_XtX!$B$58:$K$67),G4237:P4237)</f>
        <v>0.515545099431818</v>
      </c>
      <c r="S4237" s="0" t="n">
        <f aca="false">04_回帰ANOVA!$K$19*04_回帰ANOVA!$K$14*SQRT(1+R4237)</f>
        <v>1.14459295464101</v>
      </c>
      <c r="T4237" s="0" t="n">
        <f aca="false">Q4237-S4237</f>
        <v>48.6310604544499</v>
      </c>
      <c r="U4237" s="0" t="n">
        <f aca="false">Q4237+S4237</f>
        <v>50.9202463637319</v>
      </c>
      <c r="V4237" s="54" t="b">
        <f aca="false">AND(D4237&gt;=01_因子設定!$L$5-0.000000001,D4237&lt;=01_因子設定!$M$5+0.000000001,E4237&gt;=01_因子設定!$L$6-0.000000001,E4237&lt;=01_因子設定!$M$6+0.000000001,F4237&gt;=01_因子設定!$L$7-0.000000001,F4237&lt;=01_因子設定!$M$7+0.000000001,IF(01_因子設定!$B$20="Box-Behnken",D4237^2+E4237^2+F4237^2&lt;=2+0.000000001,TRUE()))</f>
        <v>1</v>
      </c>
      <c r="W4237" s="55" t="n">
        <f aca="false">IF(V4237,IF(01_因子設定!$B$13="最大化",T4237-01_因子設定!$B$14,IF(01_因子設定!$B$13="最小化",01_因子設定!$B$15-U4237,MIN(T4237-01_因子設定!$B$14,01_因子設定!$B$15-U4237))),-1E+030)</f>
        <v>0.131060454449916</v>
      </c>
      <c r="X4237" s="55" t="n">
        <f aca="false">IF(V4237,IF(01_因子設定!$B$13="最大化",Q4237,IF(01_因子設定!$B$13="最小化",-Q4237,-ABS(Q4237-01_因子設定!$B$16))),-1E+030)</f>
        <v>49.7756534090909</v>
      </c>
      <c r="Y4237" s="55" t="n">
        <f aca="false">W4237+ROW()*0.000000001</f>
        <v>0.131064691449916</v>
      </c>
      <c r="Z4237" s="55" t="n">
        <f aca="false">X4237+ROW()*0.000000001</f>
        <v>49.7756576460909</v>
      </c>
    </row>
    <row r="4238" customFormat="false" ht="15" hidden="false" customHeight="false" outlineLevel="0" collapsed="false">
      <c r="A4238" s="0" t="n">
        <v>14</v>
      </c>
      <c r="B4238" s="0" t="n">
        <v>11</v>
      </c>
      <c r="C4238" s="0" t="n">
        <v>0</v>
      </c>
      <c r="D4238" s="0" t="n">
        <f aca="false">-1+A4238*0.125</f>
        <v>0.75</v>
      </c>
      <c r="E4238" s="0" t="n">
        <f aca="false">-1+B4238*0.125</f>
        <v>0.375</v>
      </c>
      <c r="F4238" s="0" t="n">
        <f aca="false">-1+C4238*0.125</f>
        <v>-1</v>
      </c>
      <c r="G4238" s="0" t="n">
        <f aca="false">1</f>
        <v>1</v>
      </c>
      <c r="H4238" s="0" t="n">
        <f aca="false">D4238</f>
        <v>0.75</v>
      </c>
      <c r="I4238" s="0" t="n">
        <f aca="false">E4238</f>
        <v>0.375</v>
      </c>
      <c r="J4238" s="0" t="n">
        <f aca="false">F4238</f>
        <v>-1</v>
      </c>
      <c r="K4238" s="0" t="n">
        <f aca="false">D4238*E4238</f>
        <v>0.28125</v>
      </c>
      <c r="L4238" s="0" t="n">
        <f aca="false">D4238*F4238</f>
        <v>-0.75</v>
      </c>
      <c r="M4238" s="0" t="n">
        <f aca="false">E4238*F4238</f>
        <v>-0.375</v>
      </c>
      <c r="N4238" s="0" t="n">
        <f aca="false">D4238*D4238</f>
        <v>0.5625</v>
      </c>
      <c r="O4238" s="0" t="n">
        <f aca="false">E4238*E4238</f>
        <v>0.140625</v>
      </c>
      <c r="P4238" s="0" t="n">
        <f aca="false">F4238*F4238</f>
        <v>1</v>
      </c>
      <c r="Q4238" s="0" t="n">
        <f aca="false">SUMPRODUCT(G4238:P4238,_XtX!$B$71:$K$71)</f>
        <v>47.1746164772727</v>
      </c>
      <c r="R4238" s="0" t="n">
        <f aca="false">SUMPRODUCT(MMULT(G4238:P4238,_XtX!$B$58:$K$67),G4238:P4238)</f>
        <v>0.503992808948864</v>
      </c>
      <c r="S4238" s="0" t="n">
        <f aca="false">04_回帰ANOVA!$K$19*04_回帰ANOVA!$K$14*SQRT(1+R4238)</f>
        <v>1.14022226176226</v>
      </c>
      <c r="T4238" s="0" t="n">
        <f aca="false">Q4238-S4238</f>
        <v>46.0343942155105</v>
      </c>
      <c r="U4238" s="0" t="n">
        <f aca="false">Q4238+S4238</f>
        <v>48.314838739035</v>
      </c>
      <c r="V4238" s="54" t="b">
        <f aca="false">AND(D4238&gt;=01_因子設定!$L$5-0.000000001,D4238&lt;=01_因子設定!$M$5+0.000000001,E4238&gt;=01_因子設定!$L$6-0.000000001,E4238&lt;=01_因子設定!$M$6+0.000000001,F4238&gt;=01_因子設定!$L$7-0.000000001,F4238&lt;=01_因子設定!$M$7+0.000000001,IF(01_因子設定!$B$20="Box-Behnken",D4238^2+E4238^2+F4238^2&lt;=2+0.000000001,TRUE()))</f>
        <v>1</v>
      </c>
      <c r="W4238" s="55" t="n">
        <f aca="false">IF(V4238,IF(01_因子設定!$B$13="最大化",T4238-01_因子設定!$B$14,IF(01_因子設定!$B$13="最小化",01_因子設定!$B$15-U4238,MIN(T4238-01_因子設定!$B$14,01_因子設定!$B$15-U4238))),-1E+030)</f>
        <v>-2.46560578448952</v>
      </c>
      <c r="X4238" s="55" t="n">
        <f aca="false">IF(V4238,IF(01_因子設定!$B$13="最大化",Q4238,IF(01_因子設定!$B$13="最小化",-Q4238,-ABS(Q4238-01_因子設定!$B$16))),-1E+030)</f>
        <v>47.1746164772727</v>
      </c>
      <c r="Y4238" s="55" t="n">
        <f aca="false">W4238+ROW()*0.000000001</f>
        <v>-2.46560154648952</v>
      </c>
      <c r="Z4238" s="55" t="n">
        <f aca="false">X4238+ROW()*0.000000001</f>
        <v>47.1746207152727</v>
      </c>
    </row>
    <row r="4239" customFormat="false" ht="15" hidden="false" customHeight="false" outlineLevel="0" collapsed="false">
      <c r="A4239" s="0" t="n">
        <v>14</v>
      </c>
      <c r="B4239" s="0" t="n">
        <v>11</v>
      </c>
      <c r="C4239" s="0" t="n">
        <v>1</v>
      </c>
      <c r="D4239" s="0" t="n">
        <f aca="false">-1+A4239*0.125</f>
        <v>0.75</v>
      </c>
      <c r="E4239" s="0" t="n">
        <f aca="false">-1+B4239*0.125</f>
        <v>0.375</v>
      </c>
      <c r="F4239" s="0" t="n">
        <f aca="false">-1+C4239*0.125</f>
        <v>-0.875</v>
      </c>
      <c r="G4239" s="0" t="n">
        <f aca="false">1</f>
        <v>1</v>
      </c>
      <c r="H4239" s="0" t="n">
        <f aca="false">D4239</f>
        <v>0.75</v>
      </c>
      <c r="I4239" s="0" t="n">
        <f aca="false">E4239</f>
        <v>0.375</v>
      </c>
      <c r="J4239" s="0" t="n">
        <f aca="false">F4239</f>
        <v>-0.875</v>
      </c>
      <c r="K4239" s="0" t="n">
        <f aca="false">D4239*E4239</f>
        <v>0.28125</v>
      </c>
      <c r="L4239" s="0" t="n">
        <f aca="false">D4239*F4239</f>
        <v>-0.65625</v>
      </c>
      <c r="M4239" s="0" t="n">
        <f aca="false">E4239*F4239</f>
        <v>-0.328125</v>
      </c>
      <c r="N4239" s="0" t="n">
        <f aca="false">D4239*D4239</f>
        <v>0.5625</v>
      </c>
      <c r="O4239" s="0" t="n">
        <f aca="false">E4239*E4239</f>
        <v>0.140625</v>
      </c>
      <c r="P4239" s="0" t="n">
        <f aca="false">F4239*F4239</f>
        <v>0.765625</v>
      </c>
      <c r="Q4239" s="0" t="n">
        <f aca="false">SUMPRODUCT(G4239:P4239,_XtX!$B$71:$K$71)</f>
        <v>47.6300710227273</v>
      </c>
      <c r="R4239" s="0" t="n">
        <f aca="false">SUMPRODUCT(MMULT(G4239:P4239,_XtX!$B$58:$K$67),G4239:P4239)</f>
        <v>0.375727428089489</v>
      </c>
      <c r="S4239" s="0" t="n">
        <f aca="false">04_回帰ANOVA!$K$19*04_回帰ANOVA!$K$14*SQRT(1+R4239)</f>
        <v>1.09051798904087</v>
      </c>
      <c r="T4239" s="0" t="n">
        <f aca="false">Q4239-S4239</f>
        <v>46.5395530336864</v>
      </c>
      <c r="U4239" s="0" t="n">
        <f aca="false">Q4239+S4239</f>
        <v>48.7205890117682</v>
      </c>
      <c r="V4239" s="54" t="b">
        <f aca="false">AND(D4239&gt;=01_因子設定!$L$5-0.000000001,D4239&lt;=01_因子設定!$M$5+0.000000001,E4239&gt;=01_因子設定!$L$6-0.000000001,E4239&lt;=01_因子設定!$M$6+0.000000001,F4239&gt;=01_因子設定!$L$7-0.000000001,F4239&lt;=01_因子設定!$M$7+0.000000001,IF(01_因子設定!$B$20="Box-Behnken",D4239^2+E4239^2+F4239^2&lt;=2+0.000000001,TRUE()))</f>
        <v>1</v>
      </c>
      <c r="W4239" s="55" t="n">
        <f aca="false">IF(V4239,IF(01_因子設定!$B$13="最大化",T4239-01_因子設定!$B$14,IF(01_因子設定!$B$13="最小化",01_因子設定!$B$15-U4239,MIN(T4239-01_因子設定!$B$14,01_因子設定!$B$15-U4239))),-1E+030)</f>
        <v>-1.96044696631359</v>
      </c>
      <c r="X4239" s="55" t="n">
        <f aca="false">IF(V4239,IF(01_因子設定!$B$13="最大化",Q4239,IF(01_因子設定!$B$13="最小化",-Q4239,-ABS(Q4239-01_因子設定!$B$16))),-1E+030)</f>
        <v>47.6300710227273</v>
      </c>
      <c r="Y4239" s="55" t="n">
        <f aca="false">W4239+ROW()*0.000000001</f>
        <v>-1.96044272731359</v>
      </c>
      <c r="Z4239" s="55" t="n">
        <f aca="false">X4239+ROW()*0.000000001</f>
        <v>47.6300752617273</v>
      </c>
    </row>
    <row r="4240" customFormat="false" ht="15" hidden="false" customHeight="false" outlineLevel="0" collapsed="false">
      <c r="A4240" s="0" t="n">
        <v>14</v>
      </c>
      <c r="B4240" s="0" t="n">
        <v>11</v>
      </c>
      <c r="C4240" s="0" t="n">
        <v>2</v>
      </c>
      <c r="D4240" s="0" t="n">
        <f aca="false">-1+A4240*0.125</f>
        <v>0.75</v>
      </c>
      <c r="E4240" s="0" t="n">
        <f aca="false">-1+B4240*0.125</f>
        <v>0.375</v>
      </c>
      <c r="F4240" s="0" t="n">
        <f aca="false">-1+C4240*0.125</f>
        <v>-0.75</v>
      </c>
      <c r="G4240" s="0" t="n">
        <f aca="false">1</f>
        <v>1</v>
      </c>
      <c r="H4240" s="0" t="n">
        <f aca="false">D4240</f>
        <v>0.75</v>
      </c>
      <c r="I4240" s="0" t="n">
        <f aca="false">E4240</f>
        <v>0.375</v>
      </c>
      <c r="J4240" s="0" t="n">
        <f aca="false">F4240</f>
        <v>-0.75</v>
      </c>
      <c r="K4240" s="0" t="n">
        <f aca="false">D4240*E4240</f>
        <v>0.28125</v>
      </c>
      <c r="L4240" s="0" t="n">
        <f aca="false">D4240*F4240</f>
        <v>-0.5625</v>
      </c>
      <c r="M4240" s="0" t="n">
        <f aca="false">E4240*F4240</f>
        <v>-0.28125</v>
      </c>
      <c r="N4240" s="0" t="n">
        <f aca="false">D4240*D4240</f>
        <v>0.5625</v>
      </c>
      <c r="O4240" s="0" t="n">
        <f aca="false">E4240*E4240</f>
        <v>0.140625</v>
      </c>
      <c r="P4240" s="0" t="n">
        <f aca="false">F4240*F4240</f>
        <v>0.5625</v>
      </c>
      <c r="Q4240" s="0" t="n">
        <f aca="false">SUMPRODUCT(G4240:P4240,_XtX!$B$71:$K$71)</f>
        <v>48.0487357954546</v>
      </c>
      <c r="R4240" s="0" t="n">
        <f aca="false">SUMPRODUCT(MMULT(G4240:P4240,_XtX!$B$58:$K$67),G4240:P4240)</f>
        <v>0.296879438920455</v>
      </c>
      <c r="S4240" s="0" t="n">
        <f aca="false">04_回帰ANOVA!$K$19*04_回帰ANOVA!$K$14*SQRT(1+R4240)</f>
        <v>1.05880610927316</v>
      </c>
      <c r="T4240" s="0" t="n">
        <f aca="false">Q4240-S4240</f>
        <v>46.9899296861814</v>
      </c>
      <c r="U4240" s="0" t="n">
        <f aca="false">Q4240+S4240</f>
        <v>49.1075419047277</v>
      </c>
      <c r="V4240" s="54" t="b">
        <f aca="false">AND(D4240&gt;=01_因子設定!$L$5-0.000000001,D4240&lt;=01_因子設定!$M$5+0.000000001,E4240&gt;=01_因子設定!$L$6-0.000000001,E4240&lt;=01_因子設定!$M$6+0.000000001,F4240&gt;=01_因子設定!$L$7-0.000000001,F4240&lt;=01_因子設定!$M$7+0.000000001,IF(01_因子設定!$B$20="Box-Behnken",D4240^2+E4240^2+F4240^2&lt;=2+0.000000001,TRUE()))</f>
        <v>1</v>
      </c>
      <c r="W4240" s="55" t="n">
        <f aca="false">IF(V4240,IF(01_因子設定!$B$13="最大化",T4240-01_因子設定!$B$14,IF(01_因子設定!$B$13="最小化",01_因子設定!$B$15-U4240,MIN(T4240-01_因子設定!$B$14,01_因子設定!$B$15-U4240))),-1E+030)</f>
        <v>-1.51007031381861</v>
      </c>
      <c r="X4240" s="55" t="n">
        <f aca="false">IF(V4240,IF(01_因子設定!$B$13="最大化",Q4240,IF(01_因子設定!$B$13="最小化",-Q4240,-ABS(Q4240-01_因子設定!$B$16))),-1E+030)</f>
        <v>48.0487357954546</v>
      </c>
      <c r="Y4240" s="55" t="n">
        <f aca="false">W4240+ROW()*0.000000001</f>
        <v>-1.51006607381861</v>
      </c>
      <c r="Z4240" s="55" t="n">
        <f aca="false">X4240+ROW()*0.000000001</f>
        <v>48.0487400354546</v>
      </c>
    </row>
    <row r="4241" customFormat="false" ht="15" hidden="false" customHeight="false" outlineLevel="0" collapsed="false">
      <c r="A4241" s="0" t="n">
        <v>14</v>
      </c>
      <c r="B4241" s="0" t="n">
        <v>11</v>
      </c>
      <c r="C4241" s="0" t="n">
        <v>3</v>
      </c>
      <c r="D4241" s="0" t="n">
        <f aca="false">-1+A4241*0.125</f>
        <v>0.75</v>
      </c>
      <c r="E4241" s="0" t="n">
        <f aca="false">-1+B4241*0.125</f>
        <v>0.375</v>
      </c>
      <c r="F4241" s="0" t="n">
        <f aca="false">-1+C4241*0.125</f>
        <v>-0.625</v>
      </c>
      <c r="G4241" s="0" t="n">
        <f aca="false">1</f>
        <v>1</v>
      </c>
      <c r="H4241" s="0" t="n">
        <f aca="false">D4241</f>
        <v>0.75</v>
      </c>
      <c r="I4241" s="0" t="n">
        <f aca="false">E4241</f>
        <v>0.375</v>
      </c>
      <c r="J4241" s="0" t="n">
        <f aca="false">F4241</f>
        <v>-0.625</v>
      </c>
      <c r="K4241" s="0" t="n">
        <f aca="false">D4241*E4241</f>
        <v>0.28125</v>
      </c>
      <c r="L4241" s="0" t="n">
        <f aca="false">D4241*F4241</f>
        <v>-0.46875</v>
      </c>
      <c r="M4241" s="0" t="n">
        <f aca="false">E4241*F4241</f>
        <v>-0.234375</v>
      </c>
      <c r="N4241" s="0" t="n">
        <f aca="false">D4241*D4241</f>
        <v>0.5625</v>
      </c>
      <c r="O4241" s="0" t="n">
        <f aca="false">E4241*E4241</f>
        <v>0.140625</v>
      </c>
      <c r="P4241" s="0" t="n">
        <f aca="false">F4241*F4241</f>
        <v>0.390625</v>
      </c>
      <c r="Q4241" s="0" t="n">
        <f aca="false">SUMPRODUCT(G4241:P4241,_XtX!$B$71:$K$71)</f>
        <v>48.4306107954546</v>
      </c>
      <c r="R4241" s="0" t="n">
        <f aca="false">SUMPRODUCT(MMULT(G4241:P4241,_XtX!$B$58:$K$67),G4241:P4241)</f>
        <v>0.25359940962358</v>
      </c>
      <c r="S4241" s="0" t="n">
        <f aca="false">04_回帰ANOVA!$K$19*04_回帰ANOVA!$K$14*SQRT(1+R4241)</f>
        <v>1.04098872464599</v>
      </c>
      <c r="T4241" s="0" t="n">
        <f aca="false">Q4241-S4241</f>
        <v>47.3896220708086</v>
      </c>
      <c r="U4241" s="0" t="n">
        <f aca="false">Q4241+S4241</f>
        <v>49.4715995201005</v>
      </c>
      <c r="V4241" s="54" t="b">
        <f aca="false">AND(D4241&gt;=01_因子設定!$L$5-0.000000001,D4241&lt;=01_因子設定!$M$5+0.000000001,E4241&gt;=01_因子設定!$L$6-0.000000001,E4241&lt;=01_因子設定!$M$6+0.000000001,F4241&gt;=01_因子設定!$L$7-0.000000001,F4241&lt;=01_因子設定!$M$7+0.000000001,IF(01_因子設定!$B$20="Box-Behnken",D4241^2+E4241^2+F4241^2&lt;=2+0.000000001,TRUE()))</f>
        <v>1</v>
      </c>
      <c r="W4241" s="55" t="n">
        <f aca="false">IF(V4241,IF(01_因子設定!$B$13="最大化",T4241-01_因子設定!$B$14,IF(01_因子設定!$B$13="最小化",01_因子設定!$B$15-U4241,MIN(T4241-01_因子設定!$B$14,01_因子設定!$B$15-U4241))),-1E+030)</f>
        <v>-1.11037792919144</v>
      </c>
      <c r="X4241" s="55" t="n">
        <f aca="false">IF(V4241,IF(01_因子設定!$B$13="最大化",Q4241,IF(01_因子設定!$B$13="最小化",-Q4241,-ABS(Q4241-01_因子設定!$B$16))),-1E+030)</f>
        <v>48.4306107954546</v>
      </c>
      <c r="Y4241" s="55" t="n">
        <f aca="false">W4241+ROW()*0.000000001</f>
        <v>-1.11037368819144</v>
      </c>
      <c r="Z4241" s="55" t="n">
        <f aca="false">X4241+ROW()*0.000000001</f>
        <v>48.4306150364546</v>
      </c>
    </row>
    <row r="4242" customFormat="false" ht="15" hidden="false" customHeight="false" outlineLevel="0" collapsed="false">
      <c r="A4242" s="0" t="n">
        <v>14</v>
      </c>
      <c r="B4242" s="0" t="n">
        <v>11</v>
      </c>
      <c r="C4242" s="0" t="n">
        <v>4</v>
      </c>
      <c r="D4242" s="0" t="n">
        <f aca="false">-1+A4242*0.125</f>
        <v>0.75</v>
      </c>
      <c r="E4242" s="0" t="n">
        <f aca="false">-1+B4242*0.125</f>
        <v>0.375</v>
      </c>
      <c r="F4242" s="0" t="n">
        <f aca="false">-1+C4242*0.125</f>
        <v>-0.5</v>
      </c>
      <c r="G4242" s="0" t="n">
        <f aca="false">1</f>
        <v>1</v>
      </c>
      <c r="H4242" s="0" t="n">
        <f aca="false">D4242</f>
        <v>0.75</v>
      </c>
      <c r="I4242" s="0" t="n">
        <f aca="false">E4242</f>
        <v>0.375</v>
      </c>
      <c r="J4242" s="0" t="n">
        <f aca="false">F4242</f>
        <v>-0.5</v>
      </c>
      <c r="K4242" s="0" t="n">
        <f aca="false">D4242*E4242</f>
        <v>0.28125</v>
      </c>
      <c r="L4242" s="0" t="n">
        <f aca="false">D4242*F4242</f>
        <v>-0.375</v>
      </c>
      <c r="M4242" s="0" t="n">
        <f aca="false">E4242*F4242</f>
        <v>-0.1875</v>
      </c>
      <c r="N4242" s="0" t="n">
        <f aca="false">D4242*D4242</f>
        <v>0.5625</v>
      </c>
      <c r="O4242" s="0" t="n">
        <f aca="false">E4242*E4242</f>
        <v>0.140625</v>
      </c>
      <c r="P4242" s="0" t="n">
        <f aca="false">F4242*F4242</f>
        <v>0.25</v>
      </c>
      <c r="Q4242" s="0" t="n">
        <f aca="false">SUMPRODUCT(G4242:P4242,_XtX!$B$71:$K$71)</f>
        <v>48.7756960227273</v>
      </c>
      <c r="R4242" s="0" t="n">
        <f aca="false">SUMPRODUCT(MMULT(G4242:P4242,_XtX!$B$58:$K$67),G4242:P4242)</f>
        <v>0.234168590198864</v>
      </c>
      <c r="S4242" s="0" t="n">
        <f aca="false">04_回帰ANOVA!$K$19*04_回帰ANOVA!$K$14*SQRT(1+R4242)</f>
        <v>1.03288954322488</v>
      </c>
      <c r="T4242" s="0" t="n">
        <f aca="false">Q4242-S4242</f>
        <v>47.7428064795024</v>
      </c>
      <c r="U4242" s="0" t="n">
        <f aca="false">Q4242+S4242</f>
        <v>49.8085855659522</v>
      </c>
      <c r="V4242" s="54" t="b">
        <f aca="false">AND(D4242&gt;=01_因子設定!$L$5-0.000000001,D4242&lt;=01_因子設定!$M$5+0.000000001,E4242&gt;=01_因子設定!$L$6-0.000000001,E4242&lt;=01_因子設定!$M$6+0.000000001,F4242&gt;=01_因子設定!$L$7-0.000000001,F4242&lt;=01_因子設定!$M$7+0.000000001,IF(01_因子設定!$B$20="Box-Behnken",D4242^2+E4242^2+F4242^2&lt;=2+0.000000001,TRUE()))</f>
        <v>1</v>
      </c>
      <c r="W4242" s="55" t="n">
        <f aca="false">IF(V4242,IF(01_因子設定!$B$13="最大化",T4242-01_因子設定!$B$14,IF(01_因子設定!$B$13="最小化",01_因子設定!$B$15-U4242,MIN(T4242-01_因子設定!$B$14,01_因子設定!$B$15-U4242))),-1E+030)</f>
        <v>-0.757193520497602</v>
      </c>
      <c r="X4242" s="55" t="n">
        <f aca="false">IF(V4242,IF(01_因子設定!$B$13="最大化",Q4242,IF(01_因子設定!$B$13="最小化",-Q4242,-ABS(Q4242-01_因子設定!$B$16))),-1E+030)</f>
        <v>48.7756960227273</v>
      </c>
      <c r="Y4242" s="55" t="n">
        <f aca="false">W4242+ROW()*0.000000001</f>
        <v>-0.757189278497601</v>
      </c>
      <c r="Z4242" s="55" t="n">
        <f aca="false">X4242+ROW()*0.000000001</f>
        <v>48.7757002647273</v>
      </c>
    </row>
    <row r="4243" customFormat="false" ht="15" hidden="false" customHeight="false" outlineLevel="0" collapsed="false">
      <c r="A4243" s="0" t="n">
        <v>14</v>
      </c>
      <c r="B4243" s="0" t="n">
        <v>11</v>
      </c>
      <c r="C4243" s="0" t="n">
        <v>5</v>
      </c>
      <c r="D4243" s="0" t="n">
        <f aca="false">-1+A4243*0.125</f>
        <v>0.75</v>
      </c>
      <c r="E4243" s="0" t="n">
        <f aca="false">-1+B4243*0.125</f>
        <v>0.375</v>
      </c>
      <c r="F4243" s="0" t="n">
        <f aca="false">-1+C4243*0.125</f>
        <v>-0.375</v>
      </c>
      <c r="G4243" s="0" t="n">
        <f aca="false">1</f>
        <v>1</v>
      </c>
      <c r="H4243" s="0" t="n">
        <f aca="false">D4243</f>
        <v>0.75</v>
      </c>
      <c r="I4243" s="0" t="n">
        <f aca="false">E4243</f>
        <v>0.375</v>
      </c>
      <c r="J4243" s="0" t="n">
        <f aca="false">F4243</f>
        <v>-0.375</v>
      </c>
      <c r="K4243" s="0" t="n">
        <f aca="false">D4243*E4243</f>
        <v>0.28125</v>
      </c>
      <c r="L4243" s="0" t="n">
        <f aca="false">D4243*F4243</f>
        <v>-0.28125</v>
      </c>
      <c r="M4243" s="0" t="n">
        <f aca="false">E4243*F4243</f>
        <v>-0.140625</v>
      </c>
      <c r="N4243" s="0" t="n">
        <f aca="false">D4243*D4243</f>
        <v>0.5625</v>
      </c>
      <c r="O4243" s="0" t="n">
        <f aca="false">E4243*E4243</f>
        <v>0.140625</v>
      </c>
      <c r="P4243" s="0" t="n">
        <f aca="false">F4243*F4243</f>
        <v>0.140625</v>
      </c>
      <c r="Q4243" s="0" t="n">
        <f aca="false">SUMPRODUCT(G4243:P4243,_XtX!$B$71:$K$71)</f>
        <v>49.0839914772727</v>
      </c>
      <c r="R4243" s="0" t="n">
        <f aca="false">SUMPRODUCT(MMULT(G4243:P4243,_XtX!$B$58:$K$67),G4243:P4243)</f>
        <v>0.228998912464489</v>
      </c>
      <c r="S4243" s="0" t="n">
        <f aca="false">04_回帰ANOVA!$K$19*04_回帰ANOVA!$K$14*SQRT(1+R4243)</f>
        <v>1.03072399242813</v>
      </c>
      <c r="T4243" s="0" t="n">
        <f aca="false">Q4243-S4243</f>
        <v>48.0532674848446</v>
      </c>
      <c r="U4243" s="0" t="n">
        <f aca="false">Q4243+S4243</f>
        <v>50.1147154697009</v>
      </c>
      <c r="V4243" s="54" t="b">
        <f aca="false">AND(D4243&gt;=01_因子設定!$L$5-0.000000001,D4243&lt;=01_因子設定!$M$5+0.000000001,E4243&gt;=01_因子設定!$L$6-0.000000001,E4243&lt;=01_因子設定!$M$6+0.000000001,F4243&gt;=01_因子設定!$L$7-0.000000001,F4243&lt;=01_因子設定!$M$7+0.000000001,IF(01_因子設定!$B$20="Box-Behnken",D4243^2+E4243^2+F4243^2&lt;=2+0.000000001,TRUE()))</f>
        <v>1</v>
      </c>
      <c r="W4243" s="55" t="n">
        <f aca="false">IF(V4243,IF(01_因子設定!$B$13="最大化",T4243-01_因子設定!$B$14,IF(01_因子設定!$B$13="最小化",01_因子設定!$B$15-U4243,MIN(T4243-01_因子設定!$B$14,01_因子設定!$B$15-U4243))),-1E+030)</f>
        <v>-0.446732515155404</v>
      </c>
      <c r="X4243" s="55" t="n">
        <f aca="false">IF(V4243,IF(01_因子設定!$B$13="最大化",Q4243,IF(01_因子設定!$B$13="最小化",-Q4243,-ABS(Q4243-01_因子設定!$B$16))),-1E+030)</f>
        <v>49.0839914772727</v>
      </c>
      <c r="Y4243" s="55" t="n">
        <f aca="false">W4243+ROW()*0.000000001</f>
        <v>-0.446728272155404</v>
      </c>
      <c r="Z4243" s="55" t="n">
        <f aca="false">X4243+ROW()*0.000000001</f>
        <v>49.0839957202727</v>
      </c>
    </row>
    <row r="4244" customFormat="false" ht="15" hidden="false" customHeight="false" outlineLevel="0" collapsed="false">
      <c r="A4244" s="0" t="n">
        <v>14</v>
      </c>
      <c r="B4244" s="0" t="n">
        <v>11</v>
      </c>
      <c r="C4244" s="0" t="n">
        <v>6</v>
      </c>
      <c r="D4244" s="0" t="n">
        <f aca="false">-1+A4244*0.125</f>
        <v>0.75</v>
      </c>
      <c r="E4244" s="0" t="n">
        <f aca="false">-1+B4244*0.125</f>
        <v>0.375</v>
      </c>
      <c r="F4244" s="0" t="n">
        <f aca="false">-1+C4244*0.125</f>
        <v>-0.25</v>
      </c>
      <c r="G4244" s="0" t="n">
        <f aca="false">1</f>
        <v>1</v>
      </c>
      <c r="H4244" s="0" t="n">
        <f aca="false">D4244</f>
        <v>0.75</v>
      </c>
      <c r="I4244" s="0" t="n">
        <f aca="false">E4244</f>
        <v>0.375</v>
      </c>
      <c r="J4244" s="0" t="n">
        <f aca="false">F4244</f>
        <v>-0.25</v>
      </c>
      <c r="K4244" s="0" t="n">
        <f aca="false">D4244*E4244</f>
        <v>0.28125</v>
      </c>
      <c r="L4244" s="0" t="n">
        <f aca="false">D4244*F4244</f>
        <v>-0.1875</v>
      </c>
      <c r="M4244" s="0" t="n">
        <f aca="false">E4244*F4244</f>
        <v>-0.09375</v>
      </c>
      <c r="N4244" s="0" t="n">
        <f aca="false">D4244*D4244</f>
        <v>0.5625</v>
      </c>
      <c r="O4244" s="0" t="n">
        <f aca="false">E4244*E4244</f>
        <v>0.140625</v>
      </c>
      <c r="P4244" s="0" t="n">
        <f aca="false">F4244*F4244</f>
        <v>0.0625</v>
      </c>
      <c r="Q4244" s="0" t="n">
        <f aca="false">SUMPRODUCT(G4244:P4244,_XtX!$B$71:$K$71)</f>
        <v>49.3554971590909</v>
      </c>
      <c r="R4244" s="0" t="n">
        <f aca="false">SUMPRODUCT(MMULT(G4244:P4244,_XtX!$B$58:$K$67),G4244:P4244)</f>
        <v>0.230632990056818</v>
      </c>
      <c r="S4244" s="0" t="n">
        <f aca="false">04_回帰ANOVA!$K$19*04_回帰ANOVA!$K$14*SQRT(1+R4244)</f>
        <v>1.03140899038819</v>
      </c>
      <c r="T4244" s="0" t="n">
        <f aca="false">Q4244-S4244</f>
        <v>48.3240881687027</v>
      </c>
      <c r="U4244" s="0" t="n">
        <f aca="false">Q4244+S4244</f>
        <v>50.3869061494791</v>
      </c>
      <c r="V4244" s="54" t="b">
        <f aca="false">AND(D4244&gt;=01_因子設定!$L$5-0.000000001,D4244&lt;=01_因子設定!$M$5+0.000000001,E4244&gt;=01_因子設定!$L$6-0.000000001,E4244&lt;=01_因子設定!$M$6+0.000000001,F4244&gt;=01_因子設定!$L$7-0.000000001,F4244&lt;=01_因子設定!$M$7+0.000000001,IF(01_因子設定!$B$20="Box-Behnken",D4244^2+E4244^2+F4244^2&lt;=2+0.000000001,TRUE()))</f>
        <v>1</v>
      </c>
      <c r="W4244" s="55" t="n">
        <f aca="false">IF(V4244,IF(01_因子設定!$B$13="最大化",T4244-01_因子設定!$B$14,IF(01_因子設定!$B$13="最小化",01_因子設定!$B$15-U4244,MIN(T4244-01_因子設定!$B$14,01_因子設定!$B$15-U4244))),-1E+030)</f>
        <v>-0.175911831297277</v>
      </c>
      <c r="X4244" s="55" t="n">
        <f aca="false">IF(V4244,IF(01_因子設定!$B$13="最大化",Q4244,IF(01_因子設定!$B$13="最小化",-Q4244,-ABS(Q4244-01_因子設定!$B$16))),-1E+030)</f>
        <v>49.3554971590909</v>
      </c>
      <c r="Y4244" s="55" t="n">
        <f aca="false">W4244+ROW()*0.000000001</f>
        <v>-0.175907587297277</v>
      </c>
      <c r="Z4244" s="55" t="n">
        <f aca="false">X4244+ROW()*0.000000001</f>
        <v>49.3555014030909</v>
      </c>
    </row>
    <row r="4245" customFormat="false" ht="15" hidden="false" customHeight="false" outlineLevel="0" collapsed="false">
      <c r="A4245" s="0" t="n">
        <v>14</v>
      </c>
      <c r="B4245" s="0" t="n">
        <v>11</v>
      </c>
      <c r="C4245" s="0" t="n">
        <v>7</v>
      </c>
      <c r="D4245" s="0" t="n">
        <f aca="false">-1+A4245*0.125</f>
        <v>0.75</v>
      </c>
      <c r="E4245" s="0" t="n">
        <f aca="false">-1+B4245*0.125</f>
        <v>0.375</v>
      </c>
      <c r="F4245" s="0" t="n">
        <f aca="false">-1+C4245*0.125</f>
        <v>-0.125</v>
      </c>
      <c r="G4245" s="0" t="n">
        <f aca="false">1</f>
        <v>1</v>
      </c>
      <c r="H4245" s="0" t="n">
        <f aca="false">D4245</f>
        <v>0.75</v>
      </c>
      <c r="I4245" s="0" t="n">
        <f aca="false">E4245</f>
        <v>0.375</v>
      </c>
      <c r="J4245" s="0" t="n">
        <f aca="false">F4245</f>
        <v>-0.125</v>
      </c>
      <c r="K4245" s="0" t="n">
        <f aca="false">D4245*E4245</f>
        <v>0.28125</v>
      </c>
      <c r="L4245" s="0" t="n">
        <f aca="false">D4245*F4245</f>
        <v>-0.09375</v>
      </c>
      <c r="M4245" s="0" t="n">
        <f aca="false">E4245*F4245</f>
        <v>-0.046875</v>
      </c>
      <c r="N4245" s="0" t="n">
        <f aca="false">D4245*D4245</f>
        <v>0.5625</v>
      </c>
      <c r="O4245" s="0" t="n">
        <f aca="false">E4245*E4245</f>
        <v>0.140625</v>
      </c>
      <c r="P4245" s="0" t="n">
        <f aca="false">F4245*F4245</f>
        <v>0.015625</v>
      </c>
      <c r="Q4245" s="0" t="n">
        <f aca="false">SUMPRODUCT(G4245:P4245,_XtX!$B$71:$K$71)</f>
        <v>49.5902130681818</v>
      </c>
      <c r="R4245" s="0" t="n">
        <f aca="false">SUMPRODUCT(MMULT(G4245:P4245,_XtX!$B$58:$K$67),G4245:P4245)</f>
        <v>0.233744118430398</v>
      </c>
      <c r="S4245" s="0" t="n">
        <f aca="false">04_回帰ANOVA!$K$19*04_回帰ANOVA!$K$14*SQRT(1+R4245)</f>
        <v>1.0327119053564</v>
      </c>
      <c r="T4245" s="0" t="n">
        <f aca="false">Q4245-S4245</f>
        <v>48.5575011628254</v>
      </c>
      <c r="U4245" s="0" t="n">
        <f aca="false">Q4245+S4245</f>
        <v>50.6229249735382</v>
      </c>
      <c r="V4245" s="54" t="b">
        <f aca="false">AND(D4245&gt;=01_因子設定!$L$5-0.000000001,D4245&lt;=01_因子設定!$M$5+0.000000001,E4245&gt;=01_因子設定!$L$6-0.000000001,E4245&lt;=01_因子設定!$M$6+0.000000001,F4245&gt;=01_因子設定!$L$7-0.000000001,F4245&lt;=01_因子設定!$M$7+0.000000001,IF(01_因子設定!$B$20="Box-Behnken",D4245^2+E4245^2+F4245^2&lt;=2+0.000000001,TRUE()))</f>
        <v>1</v>
      </c>
      <c r="W4245" s="55" t="n">
        <f aca="false">IF(V4245,IF(01_因子設定!$B$13="最大化",T4245-01_因子設定!$B$14,IF(01_因子設定!$B$13="最小化",01_因子設定!$B$15-U4245,MIN(T4245-01_因子設定!$B$14,01_因子設定!$B$15-U4245))),-1E+030)</f>
        <v>0.0575011628254174</v>
      </c>
      <c r="X4245" s="55" t="n">
        <f aca="false">IF(V4245,IF(01_因子設定!$B$13="最大化",Q4245,IF(01_因子設定!$B$13="最小化",-Q4245,-ABS(Q4245-01_因子設定!$B$16))),-1E+030)</f>
        <v>49.5902130681818</v>
      </c>
      <c r="Y4245" s="55" t="n">
        <f aca="false">W4245+ROW()*0.000000001</f>
        <v>0.0575054078254174</v>
      </c>
      <c r="Z4245" s="55" t="n">
        <f aca="false">X4245+ROW()*0.000000001</f>
        <v>49.5902173131818</v>
      </c>
    </row>
    <row r="4246" customFormat="false" ht="15" hidden="false" customHeight="false" outlineLevel="0" collapsed="false">
      <c r="A4246" s="0" t="n">
        <v>14</v>
      </c>
      <c r="B4246" s="0" t="n">
        <v>11</v>
      </c>
      <c r="C4246" s="0" t="n">
        <v>8</v>
      </c>
      <c r="D4246" s="0" t="n">
        <f aca="false">-1+A4246*0.125</f>
        <v>0.75</v>
      </c>
      <c r="E4246" s="0" t="n">
        <f aca="false">-1+B4246*0.125</f>
        <v>0.375</v>
      </c>
      <c r="F4246" s="0" t="n">
        <f aca="false">-1+C4246*0.125</f>
        <v>0</v>
      </c>
      <c r="G4246" s="0" t="n">
        <f aca="false">1</f>
        <v>1</v>
      </c>
      <c r="H4246" s="0" t="n">
        <f aca="false">D4246</f>
        <v>0.75</v>
      </c>
      <c r="I4246" s="0" t="n">
        <f aca="false">E4246</f>
        <v>0.375</v>
      </c>
      <c r="J4246" s="0" t="n">
        <f aca="false">F4246</f>
        <v>0</v>
      </c>
      <c r="K4246" s="0" t="n">
        <f aca="false">D4246*E4246</f>
        <v>0.28125</v>
      </c>
      <c r="L4246" s="0" t="n">
        <f aca="false">D4246*F4246</f>
        <v>0</v>
      </c>
      <c r="M4246" s="0" t="n">
        <f aca="false">E4246*F4246</f>
        <v>0</v>
      </c>
      <c r="N4246" s="0" t="n">
        <f aca="false">D4246*D4246</f>
        <v>0.5625</v>
      </c>
      <c r="O4246" s="0" t="n">
        <f aca="false">E4246*E4246</f>
        <v>0.140625</v>
      </c>
      <c r="P4246" s="0" t="n">
        <f aca="false">F4246*F4246</f>
        <v>0</v>
      </c>
      <c r="Q4246" s="0" t="n">
        <f aca="false">SUMPRODUCT(G4246:P4246,_XtX!$B$71:$K$71)</f>
        <v>49.7881392045455</v>
      </c>
      <c r="R4246" s="0" t="n">
        <f aca="false">SUMPRODUCT(MMULT(G4246:P4246,_XtX!$B$58:$K$67),G4246:P4246)</f>
        <v>0.235136274857955</v>
      </c>
      <c r="S4246" s="0" t="n">
        <f aca="false">04_回帰ANOVA!$K$19*04_回帰ANOVA!$K$14*SQRT(1+R4246)</f>
        <v>1.03329439695656</v>
      </c>
      <c r="T4246" s="0" t="n">
        <f aca="false">Q4246-S4246</f>
        <v>48.7548448075889</v>
      </c>
      <c r="U4246" s="0" t="n">
        <f aca="false">Q4246+S4246</f>
        <v>50.821433601502</v>
      </c>
      <c r="V4246" s="54" t="b">
        <f aca="false">AND(D4246&gt;=01_因子設定!$L$5-0.000000001,D4246&lt;=01_因子設定!$M$5+0.000000001,E4246&gt;=01_因子設定!$L$6-0.000000001,E4246&lt;=01_因子設定!$M$6+0.000000001,F4246&gt;=01_因子設定!$L$7-0.000000001,F4246&lt;=01_因子設定!$M$7+0.000000001,IF(01_因子設定!$B$20="Box-Behnken",D4246^2+E4246^2+F4246^2&lt;=2+0.000000001,TRUE()))</f>
        <v>1</v>
      </c>
      <c r="W4246" s="55" t="n">
        <f aca="false">IF(V4246,IF(01_因子設定!$B$13="最大化",T4246-01_因子設定!$B$14,IF(01_因子設定!$B$13="最小化",01_因子設定!$B$15-U4246,MIN(T4246-01_因子設定!$B$14,01_因子設定!$B$15-U4246))),-1E+030)</f>
        <v>0.254844807588896</v>
      </c>
      <c r="X4246" s="55" t="n">
        <f aca="false">IF(V4246,IF(01_因子設定!$B$13="最大化",Q4246,IF(01_因子設定!$B$13="最小化",-Q4246,-ABS(Q4246-01_因子設定!$B$16))),-1E+030)</f>
        <v>49.7881392045455</v>
      </c>
      <c r="Y4246" s="55" t="n">
        <f aca="false">W4246+ROW()*0.000000001</f>
        <v>0.254849053588896</v>
      </c>
      <c r="Z4246" s="55" t="n">
        <f aca="false">X4246+ROW()*0.000000001</f>
        <v>49.7881434505455</v>
      </c>
    </row>
    <row r="4247" customFormat="false" ht="15" hidden="false" customHeight="false" outlineLevel="0" collapsed="false">
      <c r="A4247" s="0" t="n">
        <v>14</v>
      </c>
      <c r="B4247" s="0" t="n">
        <v>11</v>
      </c>
      <c r="C4247" s="0" t="n">
        <v>9</v>
      </c>
      <c r="D4247" s="0" t="n">
        <f aca="false">-1+A4247*0.125</f>
        <v>0.75</v>
      </c>
      <c r="E4247" s="0" t="n">
        <f aca="false">-1+B4247*0.125</f>
        <v>0.375</v>
      </c>
      <c r="F4247" s="0" t="n">
        <f aca="false">-1+C4247*0.125</f>
        <v>0.125</v>
      </c>
      <c r="G4247" s="0" t="n">
        <f aca="false">1</f>
        <v>1</v>
      </c>
      <c r="H4247" s="0" t="n">
        <f aca="false">D4247</f>
        <v>0.75</v>
      </c>
      <c r="I4247" s="0" t="n">
        <f aca="false">E4247</f>
        <v>0.375</v>
      </c>
      <c r="J4247" s="0" t="n">
        <f aca="false">F4247</f>
        <v>0.125</v>
      </c>
      <c r="K4247" s="0" t="n">
        <f aca="false">D4247*E4247</f>
        <v>0.28125</v>
      </c>
      <c r="L4247" s="0" t="n">
        <f aca="false">D4247*F4247</f>
        <v>0.09375</v>
      </c>
      <c r="M4247" s="0" t="n">
        <f aca="false">E4247*F4247</f>
        <v>0.046875</v>
      </c>
      <c r="N4247" s="0" t="n">
        <f aca="false">D4247*D4247</f>
        <v>0.5625</v>
      </c>
      <c r="O4247" s="0" t="n">
        <f aca="false">E4247*E4247</f>
        <v>0.140625</v>
      </c>
      <c r="P4247" s="0" t="n">
        <f aca="false">F4247*F4247</f>
        <v>0.015625</v>
      </c>
      <c r="Q4247" s="0" t="n">
        <f aca="false">SUMPRODUCT(G4247:P4247,_XtX!$B$71:$K$71)</f>
        <v>49.9492755681818</v>
      </c>
      <c r="R4247" s="0" t="n">
        <f aca="false">SUMPRODUCT(MMULT(G4247:P4247,_XtX!$B$58:$K$67),G4247:P4247)</f>
        <v>0.233744118430398</v>
      </c>
      <c r="S4247" s="0" t="n">
        <f aca="false">04_回帰ANOVA!$K$19*04_回帰ANOVA!$K$14*SQRT(1+R4247)</f>
        <v>1.0327119053564</v>
      </c>
      <c r="T4247" s="0" t="n">
        <f aca="false">Q4247-S4247</f>
        <v>48.9165636628254</v>
      </c>
      <c r="U4247" s="0" t="n">
        <f aca="false">Q4247+S4247</f>
        <v>50.9819874735382</v>
      </c>
      <c r="V4247" s="54" t="b">
        <f aca="false">AND(D4247&gt;=01_因子設定!$L$5-0.000000001,D4247&lt;=01_因子設定!$M$5+0.000000001,E4247&gt;=01_因子設定!$L$6-0.000000001,E4247&lt;=01_因子設定!$M$6+0.000000001,F4247&gt;=01_因子設定!$L$7-0.000000001,F4247&lt;=01_因子設定!$M$7+0.000000001,IF(01_因子設定!$B$20="Box-Behnken",D4247^2+E4247^2+F4247^2&lt;=2+0.000000001,TRUE()))</f>
        <v>1</v>
      </c>
      <c r="W4247" s="55" t="n">
        <f aca="false">IF(V4247,IF(01_因子設定!$B$13="最大化",T4247-01_因子設定!$B$14,IF(01_因子設定!$B$13="最小化",01_因子設定!$B$15-U4247,MIN(T4247-01_因子設定!$B$14,01_因子設定!$B$15-U4247))),-1E+030)</f>
        <v>0.416563662825418</v>
      </c>
      <c r="X4247" s="55" t="n">
        <f aca="false">IF(V4247,IF(01_因子設定!$B$13="最大化",Q4247,IF(01_因子設定!$B$13="最小化",-Q4247,-ABS(Q4247-01_因子設定!$B$16))),-1E+030)</f>
        <v>49.9492755681818</v>
      </c>
      <c r="Y4247" s="55" t="n">
        <f aca="false">W4247+ROW()*0.000000001</f>
        <v>0.416567909825418</v>
      </c>
      <c r="Z4247" s="55" t="n">
        <f aca="false">X4247+ROW()*0.000000001</f>
        <v>49.9492798151818</v>
      </c>
    </row>
    <row r="4248" customFormat="false" ht="15" hidden="false" customHeight="false" outlineLevel="0" collapsed="false">
      <c r="A4248" s="0" t="n">
        <v>14</v>
      </c>
      <c r="B4248" s="0" t="n">
        <v>11</v>
      </c>
      <c r="C4248" s="0" t="n">
        <v>10</v>
      </c>
      <c r="D4248" s="0" t="n">
        <f aca="false">-1+A4248*0.125</f>
        <v>0.75</v>
      </c>
      <c r="E4248" s="0" t="n">
        <f aca="false">-1+B4248*0.125</f>
        <v>0.375</v>
      </c>
      <c r="F4248" s="0" t="n">
        <f aca="false">-1+C4248*0.125</f>
        <v>0.25</v>
      </c>
      <c r="G4248" s="0" t="n">
        <f aca="false">1</f>
        <v>1</v>
      </c>
      <c r="H4248" s="0" t="n">
        <f aca="false">D4248</f>
        <v>0.75</v>
      </c>
      <c r="I4248" s="0" t="n">
        <f aca="false">E4248</f>
        <v>0.375</v>
      </c>
      <c r="J4248" s="0" t="n">
        <f aca="false">F4248</f>
        <v>0.25</v>
      </c>
      <c r="K4248" s="0" t="n">
        <f aca="false">D4248*E4248</f>
        <v>0.28125</v>
      </c>
      <c r="L4248" s="0" t="n">
        <f aca="false">D4248*F4248</f>
        <v>0.1875</v>
      </c>
      <c r="M4248" s="0" t="n">
        <f aca="false">E4248*F4248</f>
        <v>0.09375</v>
      </c>
      <c r="N4248" s="0" t="n">
        <f aca="false">D4248*D4248</f>
        <v>0.5625</v>
      </c>
      <c r="O4248" s="0" t="n">
        <f aca="false">E4248*E4248</f>
        <v>0.140625</v>
      </c>
      <c r="P4248" s="0" t="n">
        <f aca="false">F4248*F4248</f>
        <v>0.0625</v>
      </c>
      <c r="Q4248" s="0" t="n">
        <f aca="false">SUMPRODUCT(G4248:P4248,_XtX!$B$71:$K$71)</f>
        <v>50.0736221590909</v>
      </c>
      <c r="R4248" s="0" t="n">
        <f aca="false">SUMPRODUCT(MMULT(G4248:P4248,_XtX!$B$58:$K$67),G4248:P4248)</f>
        <v>0.230632990056818</v>
      </c>
      <c r="S4248" s="0" t="n">
        <f aca="false">04_回帰ANOVA!$K$19*04_回帰ANOVA!$K$14*SQRT(1+R4248)</f>
        <v>1.03140899038819</v>
      </c>
      <c r="T4248" s="0" t="n">
        <f aca="false">Q4248-S4248</f>
        <v>49.0422131687027</v>
      </c>
      <c r="U4248" s="0" t="n">
        <f aca="false">Q4248+S4248</f>
        <v>51.1050311494791</v>
      </c>
      <c r="V4248" s="54" t="b">
        <f aca="false">AND(D4248&gt;=01_因子設定!$L$5-0.000000001,D4248&lt;=01_因子設定!$M$5+0.000000001,E4248&gt;=01_因子設定!$L$6-0.000000001,E4248&lt;=01_因子設定!$M$6+0.000000001,F4248&gt;=01_因子設定!$L$7-0.000000001,F4248&lt;=01_因子設定!$M$7+0.000000001,IF(01_因子設定!$B$20="Box-Behnken",D4248^2+E4248^2+F4248^2&lt;=2+0.000000001,TRUE()))</f>
        <v>1</v>
      </c>
      <c r="W4248" s="55" t="n">
        <f aca="false">IF(V4248,IF(01_因子設定!$B$13="最大化",T4248-01_因子設定!$B$14,IF(01_因子設定!$B$13="最小化",01_因子設定!$B$15-U4248,MIN(T4248-01_因子設定!$B$14,01_因子設定!$B$15-U4248))),-1E+030)</f>
        <v>0.542213168702723</v>
      </c>
      <c r="X4248" s="55" t="n">
        <f aca="false">IF(V4248,IF(01_因子設定!$B$13="最大化",Q4248,IF(01_因子設定!$B$13="最小化",-Q4248,-ABS(Q4248-01_因子設定!$B$16))),-1E+030)</f>
        <v>50.0736221590909</v>
      </c>
      <c r="Y4248" s="55" t="n">
        <f aca="false">W4248+ROW()*0.000000001</f>
        <v>0.542217416702723</v>
      </c>
      <c r="Z4248" s="55" t="n">
        <f aca="false">X4248+ROW()*0.000000001</f>
        <v>50.0736264070909</v>
      </c>
    </row>
    <row r="4249" customFormat="false" ht="15" hidden="false" customHeight="false" outlineLevel="0" collapsed="false">
      <c r="A4249" s="0" t="n">
        <v>14</v>
      </c>
      <c r="B4249" s="0" t="n">
        <v>11</v>
      </c>
      <c r="C4249" s="0" t="n">
        <v>11</v>
      </c>
      <c r="D4249" s="0" t="n">
        <f aca="false">-1+A4249*0.125</f>
        <v>0.75</v>
      </c>
      <c r="E4249" s="0" t="n">
        <f aca="false">-1+B4249*0.125</f>
        <v>0.375</v>
      </c>
      <c r="F4249" s="0" t="n">
        <f aca="false">-1+C4249*0.125</f>
        <v>0.375</v>
      </c>
      <c r="G4249" s="0" t="n">
        <f aca="false">1</f>
        <v>1</v>
      </c>
      <c r="H4249" s="0" t="n">
        <f aca="false">D4249</f>
        <v>0.75</v>
      </c>
      <c r="I4249" s="0" t="n">
        <f aca="false">E4249</f>
        <v>0.375</v>
      </c>
      <c r="J4249" s="0" t="n">
        <f aca="false">F4249</f>
        <v>0.375</v>
      </c>
      <c r="K4249" s="0" t="n">
        <f aca="false">D4249*E4249</f>
        <v>0.28125</v>
      </c>
      <c r="L4249" s="0" t="n">
        <f aca="false">D4249*F4249</f>
        <v>0.28125</v>
      </c>
      <c r="M4249" s="0" t="n">
        <f aca="false">E4249*F4249</f>
        <v>0.140625</v>
      </c>
      <c r="N4249" s="0" t="n">
        <f aca="false">D4249*D4249</f>
        <v>0.5625</v>
      </c>
      <c r="O4249" s="0" t="n">
        <f aca="false">E4249*E4249</f>
        <v>0.140625</v>
      </c>
      <c r="P4249" s="0" t="n">
        <f aca="false">F4249*F4249</f>
        <v>0.140625</v>
      </c>
      <c r="Q4249" s="0" t="n">
        <f aca="false">SUMPRODUCT(G4249:P4249,_XtX!$B$71:$K$71)</f>
        <v>50.1611789772727</v>
      </c>
      <c r="R4249" s="0" t="n">
        <f aca="false">SUMPRODUCT(MMULT(G4249:P4249,_XtX!$B$58:$K$67),G4249:P4249)</f>
        <v>0.228998912464489</v>
      </c>
      <c r="S4249" s="0" t="n">
        <f aca="false">04_回帰ANOVA!$K$19*04_回帰ANOVA!$K$14*SQRT(1+R4249)</f>
        <v>1.03072399242813</v>
      </c>
      <c r="T4249" s="0" t="n">
        <f aca="false">Q4249-S4249</f>
        <v>49.1304549848446</v>
      </c>
      <c r="U4249" s="0" t="n">
        <f aca="false">Q4249+S4249</f>
        <v>51.1919029697009</v>
      </c>
      <c r="V4249" s="54" t="b">
        <f aca="false">AND(D4249&gt;=01_因子設定!$L$5-0.000000001,D4249&lt;=01_因子設定!$M$5+0.000000001,E4249&gt;=01_因子設定!$L$6-0.000000001,E4249&lt;=01_因子設定!$M$6+0.000000001,F4249&gt;=01_因子設定!$L$7-0.000000001,F4249&lt;=01_因子設定!$M$7+0.000000001,IF(01_因子設定!$B$20="Box-Behnken",D4249^2+E4249^2+F4249^2&lt;=2+0.000000001,TRUE()))</f>
        <v>1</v>
      </c>
      <c r="W4249" s="55" t="n">
        <f aca="false">IF(V4249,IF(01_因子設定!$B$13="最大化",T4249-01_因子設定!$B$14,IF(01_因子設定!$B$13="最小化",01_因子設定!$B$15-U4249,MIN(T4249-01_因子設定!$B$14,01_因子設定!$B$15-U4249))),-1E+030)</f>
        <v>0.630454984844597</v>
      </c>
      <c r="X4249" s="55" t="n">
        <f aca="false">IF(V4249,IF(01_因子設定!$B$13="最大化",Q4249,IF(01_因子設定!$B$13="最小化",-Q4249,-ABS(Q4249-01_因子設定!$B$16))),-1E+030)</f>
        <v>50.1611789772727</v>
      </c>
      <c r="Y4249" s="55" t="n">
        <f aca="false">W4249+ROW()*0.000000001</f>
        <v>0.630459233844597</v>
      </c>
      <c r="Z4249" s="55" t="n">
        <f aca="false">X4249+ROW()*0.000000001</f>
        <v>50.1611832262727</v>
      </c>
    </row>
    <row r="4250" customFormat="false" ht="15" hidden="false" customHeight="false" outlineLevel="0" collapsed="false">
      <c r="A4250" s="0" t="n">
        <v>14</v>
      </c>
      <c r="B4250" s="0" t="n">
        <v>11</v>
      </c>
      <c r="C4250" s="0" t="n">
        <v>12</v>
      </c>
      <c r="D4250" s="0" t="n">
        <f aca="false">-1+A4250*0.125</f>
        <v>0.75</v>
      </c>
      <c r="E4250" s="0" t="n">
        <f aca="false">-1+B4250*0.125</f>
        <v>0.375</v>
      </c>
      <c r="F4250" s="0" t="n">
        <f aca="false">-1+C4250*0.125</f>
        <v>0.5</v>
      </c>
      <c r="G4250" s="0" t="n">
        <f aca="false">1</f>
        <v>1</v>
      </c>
      <c r="H4250" s="0" t="n">
        <f aca="false">D4250</f>
        <v>0.75</v>
      </c>
      <c r="I4250" s="0" t="n">
        <f aca="false">E4250</f>
        <v>0.375</v>
      </c>
      <c r="J4250" s="0" t="n">
        <f aca="false">F4250</f>
        <v>0.5</v>
      </c>
      <c r="K4250" s="0" t="n">
        <f aca="false">D4250*E4250</f>
        <v>0.28125</v>
      </c>
      <c r="L4250" s="0" t="n">
        <f aca="false">D4250*F4250</f>
        <v>0.375</v>
      </c>
      <c r="M4250" s="0" t="n">
        <f aca="false">E4250*F4250</f>
        <v>0.1875</v>
      </c>
      <c r="N4250" s="0" t="n">
        <f aca="false">D4250*D4250</f>
        <v>0.5625</v>
      </c>
      <c r="O4250" s="0" t="n">
        <f aca="false">E4250*E4250</f>
        <v>0.140625</v>
      </c>
      <c r="P4250" s="0" t="n">
        <f aca="false">F4250*F4250</f>
        <v>0.25</v>
      </c>
      <c r="Q4250" s="0" t="n">
        <f aca="false">SUMPRODUCT(G4250:P4250,_XtX!$B$71:$K$71)</f>
        <v>50.2119460227273</v>
      </c>
      <c r="R4250" s="0" t="n">
        <f aca="false">SUMPRODUCT(MMULT(G4250:P4250,_XtX!$B$58:$K$67),G4250:P4250)</f>
        <v>0.234168590198864</v>
      </c>
      <c r="S4250" s="0" t="n">
        <f aca="false">04_回帰ANOVA!$K$19*04_回帰ANOVA!$K$14*SQRT(1+R4250)</f>
        <v>1.03288954322488</v>
      </c>
      <c r="T4250" s="0" t="n">
        <f aca="false">Q4250-S4250</f>
        <v>49.1790564795024</v>
      </c>
      <c r="U4250" s="0" t="n">
        <f aca="false">Q4250+S4250</f>
        <v>51.2448355659522</v>
      </c>
      <c r="V4250" s="54" t="b">
        <f aca="false">AND(D4250&gt;=01_因子設定!$L$5-0.000000001,D4250&lt;=01_因子設定!$M$5+0.000000001,E4250&gt;=01_因子設定!$L$6-0.000000001,E4250&lt;=01_因子設定!$M$6+0.000000001,F4250&gt;=01_因子設定!$L$7-0.000000001,F4250&lt;=01_因子設定!$M$7+0.000000001,IF(01_因子設定!$B$20="Box-Behnken",D4250^2+E4250^2+F4250^2&lt;=2+0.000000001,TRUE()))</f>
        <v>1</v>
      </c>
      <c r="W4250" s="55" t="n">
        <f aca="false">IF(V4250,IF(01_因子設定!$B$13="最大化",T4250-01_因子設定!$B$14,IF(01_因子設定!$B$13="最小化",01_因子設定!$B$15-U4250,MIN(T4250-01_因子設定!$B$14,01_因子設定!$B$15-U4250))),-1E+030)</f>
        <v>0.6790564795024</v>
      </c>
      <c r="X4250" s="55" t="n">
        <f aca="false">IF(V4250,IF(01_因子設定!$B$13="最大化",Q4250,IF(01_因子設定!$B$13="最小化",-Q4250,-ABS(Q4250-01_因子設定!$B$16))),-1E+030)</f>
        <v>50.2119460227273</v>
      </c>
      <c r="Y4250" s="55" t="n">
        <f aca="false">W4250+ROW()*0.000000001</f>
        <v>0.6790607295024</v>
      </c>
      <c r="Z4250" s="55" t="n">
        <f aca="false">X4250+ROW()*0.000000001</f>
        <v>50.2119502727273</v>
      </c>
    </row>
    <row r="4251" customFormat="false" ht="15" hidden="false" customHeight="false" outlineLevel="0" collapsed="false">
      <c r="A4251" s="0" t="n">
        <v>14</v>
      </c>
      <c r="B4251" s="0" t="n">
        <v>11</v>
      </c>
      <c r="C4251" s="0" t="n">
        <v>13</v>
      </c>
      <c r="D4251" s="0" t="n">
        <f aca="false">-1+A4251*0.125</f>
        <v>0.75</v>
      </c>
      <c r="E4251" s="0" t="n">
        <f aca="false">-1+B4251*0.125</f>
        <v>0.375</v>
      </c>
      <c r="F4251" s="0" t="n">
        <f aca="false">-1+C4251*0.125</f>
        <v>0.625</v>
      </c>
      <c r="G4251" s="0" t="n">
        <f aca="false">1</f>
        <v>1</v>
      </c>
      <c r="H4251" s="0" t="n">
        <f aca="false">D4251</f>
        <v>0.75</v>
      </c>
      <c r="I4251" s="0" t="n">
        <f aca="false">E4251</f>
        <v>0.375</v>
      </c>
      <c r="J4251" s="0" t="n">
        <f aca="false">F4251</f>
        <v>0.625</v>
      </c>
      <c r="K4251" s="0" t="n">
        <f aca="false">D4251*E4251</f>
        <v>0.28125</v>
      </c>
      <c r="L4251" s="0" t="n">
        <f aca="false">D4251*F4251</f>
        <v>0.46875</v>
      </c>
      <c r="M4251" s="0" t="n">
        <f aca="false">E4251*F4251</f>
        <v>0.234375</v>
      </c>
      <c r="N4251" s="0" t="n">
        <f aca="false">D4251*D4251</f>
        <v>0.5625</v>
      </c>
      <c r="O4251" s="0" t="n">
        <f aca="false">E4251*E4251</f>
        <v>0.140625</v>
      </c>
      <c r="P4251" s="0" t="n">
        <f aca="false">F4251*F4251</f>
        <v>0.390625</v>
      </c>
      <c r="Q4251" s="0" t="n">
        <f aca="false">SUMPRODUCT(G4251:P4251,_XtX!$B$71:$K$71)</f>
        <v>50.2259232954546</v>
      </c>
      <c r="R4251" s="0" t="n">
        <f aca="false">SUMPRODUCT(MMULT(G4251:P4251,_XtX!$B$58:$K$67),G4251:P4251)</f>
        <v>0.25359940962358</v>
      </c>
      <c r="S4251" s="0" t="n">
        <f aca="false">04_回帰ANOVA!$K$19*04_回帰ANOVA!$K$14*SQRT(1+R4251)</f>
        <v>1.04098872464599</v>
      </c>
      <c r="T4251" s="0" t="n">
        <f aca="false">Q4251-S4251</f>
        <v>49.1849345708086</v>
      </c>
      <c r="U4251" s="0" t="n">
        <f aca="false">Q4251+S4251</f>
        <v>51.2669120201005</v>
      </c>
      <c r="V4251" s="54" t="b">
        <f aca="false">AND(D4251&gt;=01_因子設定!$L$5-0.000000001,D4251&lt;=01_因子設定!$M$5+0.000000001,E4251&gt;=01_因子設定!$L$6-0.000000001,E4251&lt;=01_因子設定!$M$6+0.000000001,F4251&gt;=01_因子設定!$L$7-0.000000001,F4251&lt;=01_因子設定!$M$7+0.000000001,IF(01_因子設定!$B$20="Box-Behnken",D4251^2+E4251^2+F4251^2&lt;=2+0.000000001,TRUE()))</f>
        <v>1</v>
      </c>
      <c r="W4251" s="55" t="n">
        <f aca="false">IF(V4251,IF(01_因子設定!$B$13="最大化",T4251-01_因子設定!$B$14,IF(01_因子設定!$B$13="最小化",01_因子設定!$B$15-U4251,MIN(T4251-01_因子設定!$B$14,01_因子設定!$B$15-U4251))),-1E+030)</f>
        <v>0.684934570808565</v>
      </c>
      <c r="X4251" s="55" t="n">
        <f aca="false">IF(V4251,IF(01_因子設定!$B$13="最大化",Q4251,IF(01_因子設定!$B$13="最小化",-Q4251,-ABS(Q4251-01_因子設定!$B$16))),-1E+030)</f>
        <v>50.2259232954546</v>
      </c>
      <c r="Y4251" s="55" t="n">
        <f aca="false">W4251+ROW()*0.000000001</f>
        <v>0.684938821808565</v>
      </c>
      <c r="Z4251" s="55" t="n">
        <f aca="false">X4251+ROW()*0.000000001</f>
        <v>50.2259275464546</v>
      </c>
    </row>
    <row r="4252" customFormat="false" ht="15" hidden="false" customHeight="false" outlineLevel="0" collapsed="false">
      <c r="A4252" s="0" t="n">
        <v>14</v>
      </c>
      <c r="B4252" s="0" t="n">
        <v>11</v>
      </c>
      <c r="C4252" s="0" t="n">
        <v>14</v>
      </c>
      <c r="D4252" s="0" t="n">
        <f aca="false">-1+A4252*0.125</f>
        <v>0.75</v>
      </c>
      <c r="E4252" s="0" t="n">
        <f aca="false">-1+B4252*0.125</f>
        <v>0.375</v>
      </c>
      <c r="F4252" s="0" t="n">
        <f aca="false">-1+C4252*0.125</f>
        <v>0.75</v>
      </c>
      <c r="G4252" s="0" t="n">
        <f aca="false">1</f>
        <v>1</v>
      </c>
      <c r="H4252" s="0" t="n">
        <f aca="false">D4252</f>
        <v>0.75</v>
      </c>
      <c r="I4252" s="0" t="n">
        <f aca="false">E4252</f>
        <v>0.375</v>
      </c>
      <c r="J4252" s="0" t="n">
        <f aca="false">F4252</f>
        <v>0.75</v>
      </c>
      <c r="K4252" s="0" t="n">
        <f aca="false">D4252*E4252</f>
        <v>0.28125</v>
      </c>
      <c r="L4252" s="0" t="n">
        <f aca="false">D4252*F4252</f>
        <v>0.5625</v>
      </c>
      <c r="M4252" s="0" t="n">
        <f aca="false">E4252*F4252</f>
        <v>0.28125</v>
      </c>
      <c r="N4252" s="0" t="n">
        <f aca="false">D4252*D4252</f>
        <v>0.5625</v>
      </c>
      <c r="O4252" s="0" t="n">
        <f aca="false">E4252*E4252</f>
        <v>0.140625</v>
      </c>
      <c r="P4252" s="0" t="n">
        <f aca="false">F4252*F4252</f>
        <v>0.5625</v>
      </c>
      <c r="Q4252" s="0" t="n">
        <f aca="false">SUMPRODUCT(G4252:P4252,_XtX!$B$71:$K$71)</f>
        <v>50.2031107954546</v>
      </c>
      <c r="R4252" s="0" t="n">
        <f aca="false">SUMPRODUCT(MMULT(G4252:P4252,_XtX!$B$58:$K$67),G4252:P4252)</f>
        <v>0.296879438920455</v>
      </c>
      <c r="S4252" s="0" t="n">
        <f aca="false">04_回帰ANOVA!$K$19*04_回帰ANOVA!$K$14*SQRT(1+R4252)</f>
        <v>1.05880610927316</v>
      </c>
      <c r="T4252" s="0" t="n">
        <f aca="false">Q4252-S4252</f>
        <v>49.1443046861814</v>
      </c>
      <c r="U4252" s="0" t="n">
        <f aca="false">Q4252+S4252</f>
        <v>51.2619169047277</v>
      </c>
      <c r="V4252" s="54" t="b">
        <f aca="false">AND(D4252&gt;=01_因子設定!$L$5-0.000000001,D4252&lt;=01_因子設定!$M$5+0.000000001,E4252&gt;=01_因子設定!$L$6-0.000000001,E4252&lt;=01_因子設定!$M$6+0.000000001,F4252&gt;=01_因子設定!$L$7-0.000000001,F4252&lt;=01_因子設定!$M$7+0.000000001,IF(01_因子設定!$B$20="Box-Behnken",D4252^2+E4252^2+F4252^2&lt;=2+0.000000001,TRUE()))</f>
        <v>1</v>
      </c>
      <c r="W4252" s="55" t="n">
        <f aca="false">IF(V4252,IF(01_因子設定!$B$13="最大化",T4252-01_因子設定!$B$14,IF(01_因子設定!$B$13="最小化",01_因子設定!$B$15-U4252,MIN(T4252-01_因子設定!$B$14,01_因子設定!$B$15-U4252))),-1E+030)</f>
        <v>0.644304686181393</v>
      </c>
      <c r="X4252" s="55" t="n">
        <f aca="false">IF(V4252,IF(01_因子設定!$B$13="最大化",Q4252,IF(01_因子設定!$B$13="最小化",-Q4252,-ABS(Q4252-01_因子設定!$B$16))),-1E+030)</f>
        <v>50.2031107954546</v>
      </c>
      <c r="Y4252" s="55" t="n">
        <f aca="false">W4252+ROW()*0.000000001</f>
        <v>0.644308938181393</v>
      </c>
      <c r="Z4252" s="55" t="n">
        <f aca="false">X4252+ROW()*0.000000001</f>
        <v>50.2031150474546</v>
      </c>
    </row>
    <row r="4253" customFormat="false" ht="15" hidden="false" customHeight="false" outlineLevel="0" collapsed="false">
      <c r="A4253" s="0" t="n">
        <v>14</v>
      </c>
      <c r="B4253" s="0" t="n">
        <v>11</v>
      </c>
      <c r="C4253" s="0" t="n">
        <v>15</v>
      </c>
      <c r="D4253" s="0" t="n">
        <f aca="false">-1+A4253*0.125</f>
        <v>0.75</v>
      </c>
      <c r="E4253" s="0" t="n">
        <f aca="false">-1+B4253*0.125</f>
        <v>0.375</v>
      </c>
      <c r="F4253" s="0" t="n">
        <f aca="false">-1+C4253*0.125</f>
        <v>0.875</v>
      </c>
      <c r="G4253" s="0" t="n">
        <f aca="false">1</f>
        <v>1</v>
      </c>
      <c r="H4253" s="0" t="n">
        <f aca="false">D4253</f>
        <v>0.75</v>
      </c>
      <c r="I4253" s="0" t="n">
        <f aca="false">E4253</f>
        <v>0.375</v>
      </c>
      <c r="J4253" s="0" t="n">
        <f aca="false">F4253</f>
        <v>0.875</v>
      </c>
      <c r="K4253" s="0" t="n">
        <f aca="false">D4253*E4253</f>
        <v>0.28125</v>
      </c>
      <c r="L4253" s="0" t="n">
        <f aca="false">D4253*F4253</f>
        <v>0.65625</v>
      </c>
      <c r="M4253" s="0" t="n">
        <f aca="false">E4253*F4253</f>
        <v>0.328125</v>
      </c>
      <c r="N4253" s="0" t="n">
        <f aca="false">D4253*D4253</f>
        <v>0.5625</v>
      </c>
      <c r="O4253" s="0" t="n">
        <f aca="false">E4253*E4253</f>
        <v>0.140625</v>
      </c>
      <c r="P4253" s="0" t="n">
        <f aca="false">F4253*F4253</f>
        <v>0.765625</v>
      </c>
      <c r="Q4253" s="0" t="n">
        <f aca="false">SUMPRODUCT(G4253:P4253,_XtX!$B$71:$K$71)</f>
        <v>50.1435085227273</v>
      </c>
      <c r="R4253" s="0" t="n">
        <f aca="false">SUMPRODUCT(MMULT(G4253:P4253,_XtX!$B$58:$K$67),G4253:P4253)</f>
        <v>0.375727428089489</v>
      </c>
      <c r="S4253" s="0" t="n">
        <f aca="false">04_回帰ANOVA!$K$19*04_回帰ANOVA!$K$14*SQRT(1+R4253)</f>
        <v>1.09051798904087</v>
      </c>
      <c r="T4253" s="0" t="n">
        <f aca="false">Q4253-S4253</f>
        <v>49.0529905336864</v>
      </c>
      <c r="U4253" s="0" t="n">
        <f aca="false">Q4253+S4253</f>
        <v>51.2340265117682</v>
      </c>
      <c r="V4253" s="54" t="b">
        <f aca="false">AND(D4253&gt;=01_因子設定!$L$5-0.000000001,D4253&lt;=01_因子設定!$M$5+0.000000001,E4253&gt;=01_因子設定!$L$6-0.000000001,E4253&lt;=01_因子設定!$M$6+0.000000001,F4253&gt;=01_因子設定!$L$7-0.000000001,F4253&lt;=01_因子設定!$M$7+0.000000001,IF(01_因子設定!$B$20="Box-Behnken",D4253^2+E4253^2+F4253^2&lt;=2+0.000000001,TRUE()))</f>
        <v>1</v>
      </c>
      <c r="W4253" s="55" t="n">
        <f aca="false">IF(V4253,IF(01_因子設定!$B$13="最大化",T4253-01_因子設定!$B$14,IF(01_因子設定!$B$13="最小化",01_因子設定!$B$15-U4253,MIN(T4253-01_因子設定!$B$14,01_因子設定!$B$15-U4253))),-1E+030)</f>
        <v>0.552990533686412</v>
      </c>
      <c r="X4253" s="55" t="n">
        <f aca="false">IF(V4253,IF(01_因子設定!$B$13="最大化",Q4253,IF(01_因子設定!$B$13="最小化",-Q4253,-ABS(Q4253-01_因子設定!$B$16))),-1E+030)</f>
        <v>50.1435085227273</v>
      </c>
      <c r="Y4253" s="55" t="n">
        <f aca="false">W4253+ROW()*0.000000001</f>
        <v>0.552994786686412</v>
      </c>
      <c r="Z4253" s="55" t="n">
        <f aca="false">X4253+ROW()*0.000000001</f>
        <v>50.1435127757273</v>
      </c>
    </row>
    <row r="4254" customFormat="false" ht="15" hidden="false" customHeight="false" outlineLevel="0" collapsed="false">
      <c r="A4254" s="0" t="n">
        <v>14</v>
      </c>
      <c r="B4254" s="0" t="n">
        <v>11</v>
      </c>
      <c r="C4254" s="0" t="n">
        <v>16</v>
      </c>
      <c r="D4254" s="0" t="n">
        <f aca="false">-1+A4254*0.125</f>
        <v>0.75</v>
      </c>
      <c r="E4254" s="0" t="n">
        <f aca="false">-1+B4254*0.125</f>
        <v>0.375</v>
      </c>
      <c r="F4254" s="0" t="n">
        <f aca="false">-1+C4254*0.125</f>
        <v>1</v>
      </c>
      <c r="G4254" s="0" t="n">
        <f aca="false">1</f>
        <v>1</v>
      </c>
      <c r="H4254" s="0" t="n">
        <f aca="false">D4254</f>
        <v>0.75</v>
      </c>
      <c r="I4254" s="0" t="n">
        <f aca="false">E4254</f>
        <v>0.375</v>
      </c>
      <c r="J4254" s="0" t="n">
        <f aca="false">F4254</f>
        <v>1</v>
      </c>
      <c r="K4254" s="0" t="n">
        <f aca="false">D4254*E4254</f>
        <v>0.28125</v>
      </c>
      <c r="L4254" s="0" t="n">
        <f aca="false">D4254*F4254</f>
        <v>0.75</v>
      </c>
      <c r="M4254" s="0" t="n">
        <f aca="false">E4254*F4254</f>
        <v>0.375</v>
      </c>
      <c r="N4254" s="0" t="n">
        <f aca="false">D4254*D4254</f>
        <v>0.5625</v>
      </c>
      <c r="O4254" s="0" t="n">
        <f aca="false">E4254*E4254</f>
        <v>0.140625</v>
      </c>
      <c r="P4254" s="0" t="n">
        <f aca="false">F4254*F4254</f>
        <v>1</v>
      </c>
      <c r="Q4254" s="0" t="n">
        <f aca="false">SUMPRODUCT(G4254:P4254,_XtX!$B$71:$K$71)</f>
        <v>50.0471164772727</v>
      </c>
      <c r="R4254" s="0" t="n">
        <f aca="false">SUMPRODUCT(MMULT(G4254:P4254,_XtX!$B$58:$K$67),G4254:P4254)</f>
        <v>0.503992808948864</v>
      </c>
      <c r="S4254" s="0" t="n">
        <f aca="false">04_回帰ANOVA!$K$19*04_回帰ANOVA!$K$14*SQRT(1+R4254)</f>
        <v>1.14022226176226</v>
      </c>
      <c r="T4254" s="0" t="n">
        <f aca="false">Q4254-S4254</f>
        <v>48.9068942155105</v>
      </c>
      <c r="U4254" s="0" t="n">
        <f aca="false">Q4254+S4254</f>
        <v>51.187338739035</v>
      </c>
      <c r="V4254" s="54" t="b">
        <f aca="false">AND(D4254&gt;=01_因子設定!$L$5-0.000000001,D4254&lt;=01_因子設定!$M$5+0.000000001,E4254&gt;=01_因子設定!$L$6-0.000000001,E4254&lt;=01_因子設定!$M$6+0.000000001,F4254&gt;=01_因子設定!$L$7-0.000000001,F4254&lt;=01_因子設定!$M$7+0.000000001,IF(01_因子設定!$B$20="Box-Behnken",D4254^2+E4254^2+F4254^2&lt;=2+0.000000001,TRUE()))</f>
        <v>1</v>
      </c>
      <c r="W4254" s="55" t="n">
        <f aca="false">IF(V4254,IF(01_因子設定!$B$13="最大化",T4254-01_因子設定!$B$14,IF(01_因子設定!$B$13="最小化",01_因子設定!$B$15-U4254,MIN(T4254-01_因子設定!$B$14,01_因子設定!$B$15-U4254))),-1E+030)</f>
        <v>0.406894215510484</v>
      </c>
      <c r="X4254" s="55" t="n">
        <f aca="false">IF(V4254,IF(01_因子設定!$B$13="最大化",Q4254,IF(01_因子設定!$B$13="最小化",-Q4254,-ABS(Q4254-01_因子設定!$B$16))),-1E+030)</f>
        <v>50.0471164772727</v>
      </c>
      <c r="Y4254" s="55" t="n">
        <f aca="false">W4254+ROW()*0.000000001</f>
        <v>0.406898469510484</v>
      </c>
      <c r="Z4254" s="55" t="n">
        <f aca="false">X4254+ROW()*0.000000001</f>
        <v>50.0471207312727</v>
      </c>
    </row>
    <row r="4255" customFormat="false" ht="15" hidden="false" customHeight="false" outlineLevel="0" collapsed="false">
      <c r="A4255" s="0" t="n">
        <v>14</v>
      </c>
      <c r="B4255" s="0" t="n">
        <v>12</v>
      </c>
      <c r="C4255" s="0" t="n">
        <v>0</v>
      </c>
      <c r="D4255" s="0" t="n">
        <f aca="false">-1+A4255*0.125</f>
        <v>0.75</v>
      </c>
      <c r="E4255" s="0" t="n">
        <f aca="false">-1+B4255*0.125</f>
        <v>0.5</v>
      </c>
      <c r="F4255" s="0" t="n">
        <f aca="false">-1+C4255*0.125</f>
        <v>-1</v>
      </c>
      <c r="G4255" s="0" t="n">
        <f aca="false">1</f>
        <v>1</v>
      </c>
      <c r="H4255" s="0" t="n">
        <f aca="false">D4255</f>
        <v>0.75</v>
      </c>
      <c r="I4255" s="0" t="n">
        <f aca="false">E4255</f>
        <v>0.5</v>
      </c>
      <c r="J4255" s="0" t="n">
        <f aca="false">F4255</f>
        <v>-1</v>
      </c>
      <c r="K4255" s="0" t="n">
        <f aca="false">D4255*E4255</f>
        <v>0.375</v>
      </c>
      <c r="L4255" s="0" t="n">
        <f aca="false">D4255*F4255</f>
        <v>-0.75</v>
      </c>
      <c r="M4255" s="0" t="n">
        <f aca="false">E4255*F4255</f>
        <v>-0.5</v>
      </c>
      <c r="N4255" s="0" t="n">
        <f aca="false">D4255*D4255</f>
        <v>0.5625</v>
      </c>
      <c r="O4255" s="0" t="n">
        <f aca="false">E4255*E4255</f>
        <v>0.25</v>
      </c>
      <c r="P4255" s="0" t="n">
        <f aca="false">F4255*F4255</f>
        <v>1</v>
      </c>
      <c r="Q4255" s="0" t="n">
        <f aca="false">SUMPRODUCT(G4255:P4255,_XtX!$B$71:$K$71)</f>
        <v>47.2702272727273</v>
      </c>
      <c r="R4255" s="0" t="n">
        <f aca="false">SUMPRODUCT(MMULT(G4255:P4255,_XtX!$B$58:$K$67),G4255:P4255)</f>
        <v>0.495276988636364</v>
      </c>
      <c r="S4255" s="0" t="n">
        <f aca="false">04_回帰ANOVA!$K$19*04_回帰ANOVA!$K$14*SQRT(1+R4255)</f>
        <v>1.13691359828352</v>
      </c>
      <c r="T4255" s="0" t="n">
        <f aca="false">Q4255-S4255</f>
        <v>46.1333136744438</v>
      </c>
      <c r="U4255" s="0" t="n">
        <f aca="false">Q4255+S4255</f>
        <v>48.4071408710108</v>
      </c>
      <c r="V4255" s="54" t="b">
        <f aca="false">AND(D4255&gt;=01_因子設定!$L$5-0.000000001,D4255&lt;=01_因子設定!$M$5+0.000000001,E4255&gt;=01_因子設定!$L$6-0.000000001,E4255&lt;=01_因子設定!$M$6+0.000000001,F4255&gt;=01_因子設定!$L$7-0.000000001,F4255&lt;=01_因子設定!$M$7+0.000000001,IF(01_因子設定!$B$20="Box-Behnken",D4255^2+E4255^2+F4255^2&lt;=2+0.000000001,TRUE()))</f>
        <v>1</v>
      </c>
      <c r="W4255" s="55" t="n">
        <f aca="false">IF(V4255,IF(01_因子設定!$B$13="最大化",T4255-01_因子設定!$B$14,IF(01_因子設定!$B$13="最小化",01_因子設定!$B$15-U4255,MIN(T4255-01_因子設定!$B$14,01_因子設定!$B$15-U4255))),-1E+030)</f>
        <v>-2.36668632555623</v>
      </c>
      <c r="X4255" s="55" t="n">
        <f aca="false">IF(V4255,IF(01_因子設定!$B$13="最大化",Q4255,IF(01_因子設定!$B$13="最小化",-Q4255,-ABS(Q4255-01_因子設定!$B$16))),-1E+030)</f>
        <v>47.2702272727273</v>
      </c>
      <c r="Y4255" s="55" t="n">
        <f aca="false">W4255+ROW()*0.000000001</f>
        <v>-2.36668207055623</v>
      </c>
      <c r="Z4255" s="55" t="n">
        <f aca="false">X4255+ROW()*0.000000001</f>
        <v>47.2702315277273</v>
      </c>
    </row>
    <row r="4256" customFormat="false" ht="15" hidden="false" customHeight="false" outlineLevel="0" collapsed="false">
      <c r="A4256" s="0" t="n">
        <v>14</v>
      </c>
      <c r="B4256" s="0" t="n">
        <v>12</v>
      </c>
      <c r="C4256" s="0" t="n">
        <v>1</v>
      </c>
      <c r="D4256" s="0" t="n">
        <f aca="false">-1+A4256*0.125</f>
        <v>0.75</v>
      </c>
      <c r="E4256" s="0" t="n">
        <f aca="false">-1+B4256*0.125</f>
        <v>0.5</v>
      </c>
      <c r="F4256" s="0" t="n">
        <f aca="false">-1+C4256*0.125</f>
        <v>-0.875</v>
      </c>
      <c r="G4256" s="0" t="n">
        <f aca="false">1</f>
        <v>1</v>
      </c>
      <c r="H4256" s="0" t="n">
        <f aca="false">D4256</f>
        <v>0.75</v>
      </c>
      <c r="I4256" s="0" t="n">
        <f aca="false">E4256</f>
        <v>0.5</v>
      </c>
      <c r="J4256" s="0" t="n">
        <f aca="false">F4256</f>
        <v>-0.875</v>
      </c>
      <c r="K4256" s="0" t="n">
        <f aca="false">D4256*E4256</f>
        <v>0.375</v>
      </c>
      <c r="L4256" s="0" t="n">
        <f aca="false">D4256*F4256</f>
        <v>-0.65625</v>
      </c>
      <c r="M4256" s="0" t="n">
        <f aca="false">E4256*F4256</f>
        <v>-0.4375</v>
      </c>
      <c r="N4256" s="0" t="n">
        <f aca="false">D4256*D4256</f>
        <v>0.5625</v>
      </c>
      <c r="O4256" s="0" t="n">
        <f aca="false">E4256*E4256</f>
        <v>0.25</v>
      </c>
      <c r="P4256" s="0" t="n">
        <f aca="false">F4256*F4256</f>
        <v>0.765625</v>
      </c>
      <c r="Q4256" s="0" t="n">
        <f aca="false">SUMPRODUCT(G4256:P4256,_XtX!$B$71:$K$71)</f>
        <v>47.7327130681818</v>
      </c>
      <c r="R4256" s="0" t="n">
        <f aca="false">SUMPRODUCT(MMULT(G4256:P4256,_XtX!$B$58:$K$67),G4256:P4256)</f>
        <v>0.370798561789773</v>
      </c>
      <c r="S4256" s="0" t="n">
        <f aca="false">04_回帰ANOVA!$K$19*04_回帰ANOVA!$K$14*SQRT(1+R4256)</f>
        <v>1.08856271788237</v>
      </c>
      <c r="T4256" s="0" t="n">
        <f aca="false">Q4256-S4256</f>
        <v>46.6441503502995</v>
      </c>
      <c r="U4256" s="0" t="n">
        <f aca="false">Q4256+S4256</f>
        <v>48.8212757860642</v>
      </c>
      <c r="V4256" s="54" t="b">
        <f aca="false">AND(D4256&gt;=01_因子設定!$L$5-0.000000001,D4256&lt;=01_因子設定!$M$5+0.000000001,E4256&gt;=01_因子設定!$L$6-0.000000001,E4256&lt;=01_因子設定!$M$6+0.000000001,F4256&gt;=01_因子設定!$L$7-0.000000001,F4256&lt;=01_因子設定!$M$7+0.000000001,IF(01_因子設定!$B$20="Box-Behnken",D4256^2+E4256^2+F4256^2&lt;=2+0.000000001,TRUE()))</f>
        <v>1</v>
      </c>
      <c r="W4256" s="55" t="n">
        <f aca="false">IF(V4256,IF(01_因子設定!$B$13="最大化",T4256-01_因子設定!$B$14,IF(01_因子設定!$B$13="最小化",01_因子設定!$B$15-U4256,MIN(T4256-01_因子設定!$B$14,01_因子設定!$B$15-U4256))),-1E+030)</f>
        <v>-1.85584964970055</v>
      </c>
      <c r="X4256" s="55" t="n">
        <f aca="false">IF(V4256,IF(01_因子設定!$B$13="最大化",Q4256,IF(01_因子設定!$B$13="最小化",-Q4256,-ABS(Q4256-01_因子設定!$B$16))),-1E+030)</f>
        <v>47.7327130681818</v>
      </c>
      <c r="Y4256" s="55" t="n">
        <f aca="false">W4256+ROW()*0.000000001</f>
        <v>-1.85584539370055</v>
      </c>
      <c r="Z4256" s="55" t="n">
        <f aca="false">X4256+ROW()*0.000000001</f>
        <v>47.7327173241818</v>
      </c>
    </row>
    <row r="4257" customFormat="false" ht="15" hidden="false" customHeight="false" outlineLevel="0" collapsed="false">
      <c r="A4257" s="0" t="n">
        <v>14</v>
      </c>
      <c r="B4257" s="0" t="n">
        <v>12</v>
      </c>
      <c r="C4257" s="0" t="n">
        <v>2</v>
      </c>
      <c r="D4257" s="0" t="n">
        <f aca="false">-1+A4257*0.125</f>
        <v>0.75</v>
      </c>
      <c r="E4257" s="0" t="n">
        <f aca="false">-1+B4257*0.125</f>
        <v>0.5</v>
      </c>
      <c r="F4257" s="0" t="n">
        <f aca="false">-1+C4257*0.125</f>
        <v>-0.75</v>
      </c>
      <c r="G4257" s="0" t="n">
        <f aca="false">1</f>
        <v>1</v>
      </c>
      <c r="H4257" s="0" t="n">
        <f aca="false">D4257</f>
        <v>0.75</v>
      </c>
      <c r="I4257" s="0" t="n">
        <f aca="false">E4257</f>
        <v>0.5</v>
      </c>
      <c r="J4257" s="0" t="n">
        <f aca="false">F4257</f>
        <v>-0.75</v>
      </c>
      <c r="K4257" s="0" t="n">
        <f aca="false">D4257*E4257</f>
        <v>0.375</v>
      </c>
      <c r="L4257" s="0" t="n">
        <f aca="false">D4257*F4257</f>
        <v>-0.5625</v>
      </c>
      <c r="M4257" s="0" t="n">
        <f aca="false">E4257*F4257</f>
        <v>-0.375</v>
      </c>
      <c r="N4257" s="0" t="n">
        <f aca="false">D4257*D4257</f>
        <v>0.5625</v>
      </c>
      <c r="O4257" s="0" t="n">
        <f aca="false">E4257*E4257</f>
        <v>0.25</v>
      </c>
      <c r="P4257" s="0" t="n">
        <f aca="false">F4257*F4257</f>
        <v>0.5625</v>
      </c>
      <c r="Q4257" s="0" t="n">
        <f aca="false">SUMPRODUCT(G4257:P4257,_XtX!$B$71:$K$71)</f>
        <v>48.1584090909091</v>
      </c>
      <c r="R4257" s="0" t="n">
        <f aca="false">SUMPRODUCT(MMULT(G4257:P4257,_XtX!$B$58:$K$67),G4257:P4257)</f>
        <v>0.295232599431818</v>
      </c>
      <c r="S4257" s="0" t="n">
        <f aca="false">04_回帰ANOVA!$K$19*04_回帰ANOVA!$K$14*SQRT(1+R4257)</f>
        <v>1.05813363442154</v>
      </c>
      <c r="T4257" s="0" t="n">
        <f aca="false">Q4257-S4257</f>
        <v>47.1002754564876</v>
      </c>
      <c r="U4257" s="0" t="n">
        <f aca="false">Q4257+S4257</f>
        <v>49.2165427253306</v>
      </c>
      <c r="V4257" s="54" t="b">
        <f aca="false">AND(D4257&gt;=01_因子設定!$L$5-0.000000001,D4257&lt;=01_因子設定!$M$5+0.000000001,E4257&gt;=01_因子設定!$L$6-0.000000001,E4257&lt;=01_因子設定!$M$6+0.000000001,F4257&gt;=01_因子設定!$L$7-0.000000001,F4257&lt;=01_因子設定!$M$7+0.000000001,IF(01_因子設定!$B$20="Box-Behnken",D4257^2+E4257^2+F4257^2&lt;=2+0.000000001,TRUE()))</f>
        <v>1</v>
      </c>
      <c r="W4257" s="55" t="n">
        <f aca="false">IF(V4257,IF(01_因子設定!$B$13="最大化",T4257-01_因子設定!$B$14,IF(01_因子設定!$B$13="最小化",01_因子設定!$B$15-U4257,MIN(T4257-01_因子設定!$B$14,01_因子設定!$B$15-U4257))),-1E+030)</f>
        <v>-1.39972454351243</v>
      </c>
      <c r="X4257" s="55" t="n">
        <f aca="false">IF(V4257,IF(01_因子設定!$B$13="最大化",Q4257,IF(01_因子設定!$B$13="最小化",-Q4257,-ABS(Q4257-01_因子設定!$B$16))),-1E+030)</f>
        <v>48.1584090909091</v>
      </c>
      <c r="Y4257" s="55" t="n">
        <f aca="false">W4257+ROW()*0.000000001</f>
        <v>-1.39972028651243</v>
      </c>
      <c r="Z4257" s="55" t="n">
        <f aca="false">X4257+ROW()*0.000000001</f>
        <v>48.1584133479091</v>
      </c>
    </row>
    <row r="4258" customFormat="false" ht="15" hidden="false" customHeight="false" outlineLevel="0" collapsed="false">
      <c r="A4258" s="0" t="n">
        <v>14</v>
      </c>
      <c r="B4258" s="0" t="n">
        <v>12</v>
      </c>
      <c r="C4258" s="0" t="n">
        <v>3</v>
      </c>
      <c r="D4258" s="0" t="n">
        <f aca="false">-1+A4258*0.125</f>
        <v>0.75</v>
      </c>
      <c r="E4258" s="0" t="n">
        <f aca="false">-1+B4258*0.125</f>
        <v>0.5</v>
      </c>
      <c r="F4258" s="0" t="n">
        <f aca="false">-1+C4258*0.125</f>
        <v>-0.625</v>
      </c>
      <c r="G4258" s="0" t="n">
        <f aca="false">1</f>
        <v>1</v>
      </c>
      <c r="H4258" s="0" t="n">
        <f aca="false">D4258</f>
        <v>0.75</v>
      </c>
      <c r="I4258" s="0" t="n">
        <f aca="false">E4258</f>
        <v>0.5</v>
      </c>
      <c r="J4258" s="0" t="n">
        <f aca="false">F4258</f>
        <v>-0.625</v>
      </c>
      <c r="K4258" s="0" t="n">
        <f aca="false">D4258*E4258</f>
        <v>0.375</v>
      </c>
      <c r="L4258" s="0" t="n">
        <f aca="false">D4258*F4258</f>
        <v>-0.46875</v>
      </c>
      <c r="M4258" s="0" t="n">
        <f aca="false">E4258*F4258</f>
        <v>-0.3125</v>
      </c>
      <c r="N4258" s="0" t="n">
        <f aca="false">D4258*D4258</f>
        <v>0.5625</v>
      </c>
      <c r="O4258" s="0" t="n">
        <f aca="false">E4258*E4258</f>
        <v>0.25</v>
      </c>
      <c r="P4258" s="0" t="n">
        <f aca="false">F4258*F4258</f>
        <v>0.390625</v>
      </c>
      <c r="Q4258" s="0" t="n">
        <f aca="false">SUMPRODUCT(G4258:P4258,_XtX!$B$71:$K$71)</f>
        <v>48.5473153409091</v>
      </c>
      <c r="R4258" s="0" t="n">
        <f aca="false">SUMPRODUCT(MMULT(G4258:P4258,_XtX!$B$58:$K$67),G4258:P4258)</f>
        <v>0.254729669744318</v>
      </c>
      <c r="S4258" s="0" t="n">
        <f aca="false">04_回帰ANOVA!$K$19*04_回帰ANOVA!$K$14*SQRT(1+R4258)</f>
        <v>1.04145790281631</v>
      </c>
      <c r="T4258" s="0" t="n">
        <f aca="false">Q4258-S4258</f>
        <v>47.5058574380928</v>
      </c>
      <c r="U4258" s="0" t="n">
        <f aca="false">Q4258+S4258</f>
        <v>49.5887732437254</v>
      </c>
      <c r="V4258" s="54" t="b">
        <f aca="false">AND(D4258&gt;=01_因子設定!$L$5-0.000000001,D4258&lt;=01_因子設定!$M$5+0.000000001,E4258&gt;=01_因子設定!$L$6-0.000000001,E4258&lt;=01_因子設定!$M$6+0.000000001,F4258&gt;=01_因子設定!$L$7-0.000000001,F4258&lt;=01_因子設定!$M$7+0.000000001,IF(01_因子設定!$B$20="Box-Behnken",D4258^2+E4258^2+F4258^2&lt;=2+0.000000001,TRUE()))</f>
        <v>1</v>
      </c>
      <c r="W4258" s="55" t="n">
        <f aca="false">IF(V4258,IF(01_因子設定!$B$13="最大化",T4258-01_因子設定!$B$14,IF(01_因子設定!$B$13="最小化",01_因子設定!$B$15-U4258,MIN(T4258-01_因子設定!$B$14,01_因子設定!$B$15-U4258))),-1E+030)</f>
        <v>-0.994142561907218</v>
      </c>
      <c r="X4258" s="55" t="n">
        <f aca="false">IF(V4258,IF(01_因子設定!$B$13="最大化",Q4258,IF(01_因子設定!$B$13="最小化",-Q4258,-ABS(Q4258-01_因子設定!$B$16))),-1E+030)</f>
        <v>48.5473153409091</v>
      </c>
      <c r="Y4258" s="55" t="n">
        <f aca="false">W4258+ROW()*0.000000001</f>
        <v>-0.994138303907218</v>
      </c>
      <c r="Z4258" s="55" t="n">
        <f aca="false">X4258+ROW()*0.000000001</f>
        <v>48.5473195989091</v>
      </c>
    </row>
    <row r="4259" customFormat="false" ht="15" hidden="false" customHeight="false" outlineLevel="0" collapsed="false">
      <c r="A4259" s="0" t="n">
        <v>14</v>
      </c>
      <c r="B4259" s="0" t="n">
        <v>12</v>
      </c>
      <c r="C4259" s="0" t="n">
        <v>4</v>
      </c>
      <c r="D4259" s="0" t="n">
        <f aca="false">-1+A4259*0.125</f>
        <v>0.75</v>
      </c>
      <c r="E4259" s="0" t="n">
        <f aca="false">-1+B4259*0.125</f>
        <v>0.5</v>
      </c>
      <c r="F4259" s="0" t="n">
        <f aca="false">-1+C4259*0.125</f>
        <v>-0.5</v>
      </c>
      <c r="G4259" s="0" t="n">
        <f aca="false">1</f>
        <v>1</v>
      </c>
      <c r="H4259" s="0" t="n">
        <f aca="false">D4259</f>
        <v>0.75</v>
      </c>
      <c r="I4259" s="0" t="n">
        <f aca="false">E4259</f>
        <v>0.5</v>
      </c>
      <c r="J4259" s="0" t="n">
        <f aca="false">F4259</f>
        <v>-0.5</v>
      </c>
      <c r="K4259" s="0" t="n">
        <f aca="false">D4259*E4259</f>
        <v>0.375</v>
      </c>
      <c r="L4259" s="0" t="n">
        <f aca="false">D4259*F4259</f>
        <v>-0.375</v>
      </c>
      <c r="M4259" s="0" t="n">
        <f aca="false">E4259*F4259</f>
        <v>-0.25</v>
      </c>
      <c r="N4259" s="0" t="n">
        <f aca="false">D4259*D4259</f>
        <v>0.5625</v>
      </c>
      <c r="O4259" s="0" t="n">
        <f aca="false">E4259*E4259</f>
        <v>0.25</v>
      </c>
      <c r="P4259" s="0" t="n">
        <f aca="false">F4259*F4259</f>
        <v>0.25</v>
      </c>
      <c r="Q4259" s="0" t="n">
        <f aca="false">SUMPRODUCT(G4259:P4259,_XtX!$B$71:$K$71)</f>
        <v>48.8994318181818</v>
      </c>
      <c r="R4259" s="0" t="n">
        <f aca="false">SUMPRODUCT(MMULT(G4259:P4259,_XtX!$B$58:$K$67),G4259:P4259)</f>
        <v>0.237571022727273</v>
      </c>
      <c r="S4259" s="0" t="n">
        <f aca="false">04_回帰ANOVA!$K$19*04_回帰ANOVA!$K$14*SQRT(1+R4259)</f>
        <v>1.0343123302758</v>
      </c>
      <c r="T4259" s="0" t="n">
        <f aca="false">Q4259-S4259</f>
        <v>47.865119487906</v>
      </c>
      <c r="U4259" s="0" t="n">
        <f aca="false">Q4259+S4259</f>
        <v>49.9337441484576</v>
      </c>
      <c r="V4259" s="54" t="b">
        <f aca="false">AND(D4259&gt;=01_因子設定!$L$5-0.000000001,D4259&lt;=01_因子設定!$M$5+0.000000001,E4259&gt;=01_因子設定!$L$6-0.000000001,E4259&lt;=01_因子設定!$M$6+0.000000001,F4259&gt;=01_因子設定!$L$7-0.000000001,F4259&lt;=01_因子設定!$M$7+0.000000001,IF(01_因子設定!$B$20="Box-Behnken",D4259^2+E4259^2+F4259^2&lt;=2+0.000000001,TRUE()))</f>
        <v>1</v>
      </c>
      <c r="W4259" s="55" t="n">
        <f aca="false">IF(V4259,IF(01_因子設定!$B$13="最大化",T4259-01_因子設定!$B$14,IF(01_因子設定!$B$13="最小化",01_因子設定!$B$15-U4259,MIN(T4259-01_因子設定!$B$14,01_因子設定!$B$15-U4259))),-1E+030)</f>
        <v>-0.634880512093979</v>
      </c>
      <c r="X4259" s="55" t="n">
        <f aca="false">IF(V4259,IF(01_因子設定!$B$13="最大化",Q4259,IF(01_因子設定!$B$13="最小化",-Q4259,-ABS(Q4259-01_因子設定!$B$16))),-1E+030)</f>
        <v>48.8994318181818</v>
      </c>
      <c r="Y4259" s="55" t="n">
        <f aca="false">W4259+ROW()*0.000000001</f>
        <v>-0.634876253093979</v>
      </c>
      <c r="Z4259" s="55" t="n">
        <f aca="false">X4259+ROW()*0.000000001</f>
        <v>48.8994360771818</v>
      </c>
    </row>
    <row r="4260" customFormat="false" ht="15" hidden="false" customHeight="false" outlineLevel="0" collapsed="false">
      <c r="A4260" s="0" t="n">
        <v>14</v>
      </c>
      <c r="B4260" s="0" t="n">
        <v>12</v>
      </c>
      <c r="C4260" s="0" t="n">
        <v>5</v>
      </c>
      <c r="D4260" s="0" t="n">
        <f aca="false">-1+A4260*0.125</f>
        <v>0.75</v>
      </c>
      <c r="E4260" s="0" t="n">
        <f aca="false">-1+B4260*0.125</f>
        <v>0.5</v>
      </c>
      <c r="F4260" s="0" t="n">
        <f aca="false">-1+C4260*0.125</f>
        <v>-0.375</v>
      </c>
      <c r="G4260" s="0" t="n">
        <f aca="false">1</f>
        <v>1</v>
      </c>
      <c r="H4260" s="0" t="n">
        <f aca="false">D4260</f>
        <v>0.75</v>
      </c>
      <c r="I4260" s="0" t="n">
        <f aca="false">E4260</f>
        <v>0.5</v>
      </c>
      <c r="J4260" s="0" t="n">
        <f aca="false">F4260</f>
        <v>-0.375</v>
      </c>
      <c r="K4260" s="0" t="n">
        <f aca="false">D4260*E4260</f>
        <v>0.375</v>
      </c>
      <c r="L4260" s="0" t="n">
        <f aca="false">D4260*F4260</f>
        <v>-0.28125</v>
      </c>
      <c r="M4260" s="0" t="n">
        <f aca="false">E4260*F4260</f>
        <v>-0.1875</v>
      </c>
      <c r="N4260" s="0" t="n">
        <f aca="false">D4260*D4260</f>
        <v>0.5625</v>
      </c>
      <c r="O4260" s="0" t="n">
        <f aca="false">E4260*E4260</f>
        <v>0.25</v>
      </c>
      <c r="P4260" s="0" t="n">
        <f aca="false">F4260*F4260</f>
        <v>0.140625</v>
      </c>
      <c r="Q4260" s="0" t="n">
        <f aca="false">SUMPRODUCT(G4260:P4260,_XtX!$B$71:$K$71)</f>
        <v>49.2147585227273</v>
      </c>
      <c r="R4260" s="0" t="n">
        <f aca="false">SUMPRODUCT(MMULT(G4260:P4260,_XtX!$B$58:$K$67),G4260:P4260)</f>
        <v>0.234168590198864</v>
      </c>
      <c r="S4260" s="0" t="n">
        <f aca="false">04_回帰ANOVA!$K$19*04_回帰ANOVA!$K$14*SQRT(1+R4260)</f>
        <v>1.03288954322488</v>
      </c>
      <c r="T4260" s="0" t="n">
        <f aca="false">Q4260-S4260</f>
        <v>48.1818689795024</v>
      </c>
      <c r="U4260" s="0" t="n">
        <f aca="false">Q4260+S4260</f>
        <v>50.2476480659522</v>
      </c>
      <c r="V4260" s="54" t="b">
        <f aca="false">AND(D4260&gt;=01_因子設定!$L$5-0.000000001,D4260&lt;=01_因子設定!$M$5+0.000000001,E4260&gt;=01_因子設定!$L$6-0.000000001,E4260&lt;=01_因子設定!$M$6+0.000000001,F4260&gt;=01_因子設定!$L$7-0.000000001,F4260&lt;=01_因子設定!$M$7+0.000000001,IF(01_因子設定!$B$20="Box-Behnken",D4260^2+E4260^2+F4260^2&lt;=2+0.000000001,TRUE()))</f>
        <v>1</v>
      </c>
      <c r="W4260" s="55" t="n">
        <f aca="false">IF(V4260,IF(01_因子設定!$B$13="最大化",T4260-01_因子設定!$B$14,IF(01_因子設定!$B$13="最小化",01_因子設定!$B$15-U4260,MIN(T4260-01_因子設定!$B$14,01_因子設定!$B$15-U4260))),-1E+030)</f>
        <v>-0.318131020497603</v>
      </c>
      <c r="X4260" s="55" t="n">
        <f aca="false">IF(V4260,IF(01_因子設定!$B$13="最大化",Q4260,IF(01_因子設定!$B$13="最小化",-Q4260,-ABS(Q4260-01_因子設定!$B$16))),-1E+030)</f>
        <v>49.2147585227273</v>
      </c>
      <c r="Y4260" s="55" t="n">
        <f aca="false">W4260+ROW()*0.000000001</f>
        <v>-0.318126760497603</v>
      </c>
      <c r="Z4260" s="55" t="n">
        <f aca="false">X4260+ROW()*0.000000001</f>
        <v>49.2147627827273</v>
      </c>
    </row>
    <row r="4261" customFormat="false" ht="15" hidden="false" customHeight="false" outlineLevel="0" collapsed="false">
      <c r="A4261" s="0" t="n">
        <v>14</v>
      </c>
      <c r="B4261" s="0" t="n">
        <v>12</v>
      </c>
      <c r="C4261" s="0" t="n">
        <v>6</v>
      </c>
      <c r="D4261" s="0" t="n">
        <f aca="false">-1+A4261*0.125</f>
        <v>0.75</v>
      </c>
      <c r="E4261" s="0" t="n">
        <f aca="false">-1+B4261*0.125</f>
        <v>0.5</v>
      </c>
      <c r="F4261" s="0" t="n">
        <f aca="false">-1+C4261*0.125</f>
        <v>-0.25</v>
      </c>
      <c r="G4261" s="0" t="n">
        <f aca="false">1</f>
        <v>1</v>
      </c>
      <c r="H4261" s="0" t="n">
        <f aca="false">D4261</f>
        <v>0.75</v>
      </c>
      <c r="I4261" s="0" t="n">
        <f aca="false">E4261</f>
        <v>0.5</v>
      </c>
      <c r="J4261" s="0" t="n">
        <f aca="false">F4261</f>
        <v>-0.25</v>
      </c>
      <c r="K4261" s="0" t="n">
        <f aca="false">D4261*E4261</f>
        <v>0.375</v>
      </c>
      <c r="L4261" s="0" t="n">
        <f aca="false">D4261*F4261</f>
        <v>-0.1875</v>
      </c>
      <c r="M4261" s="0" t="n">
        <f aca="false">E4261*F4261</f>
        <v>-0.125</v>
      </c>
      <c r="N4261" s="0" t="n">
        <f aca="false">D4261*D4261</f>
        <v>0.5625</v>
      </c>
      <c r="O4261" s="0" t="n">
        <f aca="false">E4261*E4261</f>
        <v>0.25</v>
      </c>
      <c r="P4261" s="0" t="n">
        <f aca="false">F4261*F4261</f>
        <v>0.0625</v>
      </c>
      <c r="Q4261" s="0" t="n">
        <f aca="false">SUMPRODUCT(G4261:P4261,_XtX!$B$71:$K$71)</f>
        <v>49.4932954545455</v>
      </c>
      <c r="R4261" s="0" t="n">
        <f aca="false">SUMPRODUCT(MMULT(G4261:P4261,_XtX!$B$58:$K$67),G4261:P4261)</f>
        <v>0.237064985795455</v>
      </c>
      <c r="S4261" s="0" t="n">
        <f aca="false">04_回帰ANOVA!$K$19*04_回帰ANOVA!$K$14*SQRT(1+R4261)</f>
        <v>1.03410084594745</v>
      </c>
      <c r="T4261" s="0" t="n">
        <f aca="false">Q4261-S4261</f>
        <v>48.459194608598</v>
      </c>
      <c r="U4261" s="0" t="n">
        <f aca="false">Q4261+S4261</f>
        <v>50.5273963004929</v>
      </c>
      <c r="V4261" s="54" t="b">
        <f aca="false">AND(D4261&gt;=01_因子設定!$L$5-0.000000001,D4261&lt;=01_因子設定!$M$5+0.000000001,E4261&gt;=01_因子設定!$L$6-0.000000001,E4261&lt;=01_因子設定!$M$6+0.000000001,F4261&gt;=01_因子設定!$L$7-0.000000001,F4261&lt;=01_因子設定!$M$7+0.000000001,IF(01_因子設定!$B$20="Box-Behnken",D4261^2+E4261^2+F4261^2&lt;=2+0.000000001,TRUE()))</f>
        <v>1</v>
      </c>
      <c r="W4261" s="55" t="n">
        <f aca="false">IF(V4261,IF(01_因子設定!$B$13="最大化",T4261-01_因子設定!$B$14,IF(01_因子設定!$B$13="最小化",01_因子設定!$B$15-U4261,MIN(T4261-01_因子設定!$B$14,01_因子設定!$B$15-U4261))),-1E+030)</f>
        <v>-0.0408053914019888</v>
      </c>
      <c r="X4261" s="55" t="n">
        <f aca="false">IF(V4261,IF(01_因子設定!$B$13="最大化",Q4261,IF(01_因子設定!$B$13="最小化",-Q4261,-ABS(Q4261-01_因子設定!$B$16))),-1E+030)</f>
        <v>49.4932954545455</v>
      </c>
      <c r="Y4261" s="55" t="n">
        <f aca="false">W4261+ROW()*0.000000001</f>
        <v>-0.0408011304019888</v>
      </c>
      <c r="Z4261" s="55" t="n">
        <f aca="false">X4261+ROW()*0.000000001</f>
        <v>49.4932997155455</v>
      </c>
    </row>
    <row r="4262" customFormat="false" ht="15" hidden="false" customHeight="false" outlineLevel="0" collapsed="false">
      <c r="A4262" s="0" t="n">
        <v>14</v>
      </c>
      <c r="B4262" s="0" t="n">
        <v>12</v>
      </c>
      <c r="C4262" s="0" t="n">
        <v>7</v>
      </c>
      <c r="D4262" s="0" t="n">
        <f aca="false">-1+A4262*0.125</f>
        <v>0.75</v>
      </c>
      <c r="E4262" s="0" t="n">
        <f aca="false">-1+B4262*0.125</f>
        <v>0.5</v>
      </c>
      <c r="F4262" s="0" t="n">
        <f aca="false">-1+C4262*0.125</f>
        <v>-0.125</v>
      </c>
      <c r="G4262" s="0" t="n">
        <f aca="false">1</f>
        <v>1</v>
      </c>
      <c r="H4262" s="0" t="n">
        <f aca="false">D4262</f>
        <v>0.75</v>
      </c>
      <c r="I4262" s="0" t="n">
        <f aca="false">E4262</f>
        <v>0.5</v>
      </c>
      <c r="J4262" s="0" t="n">
        <f aca="false">F4262</f>
        <v>-0.125</v>
      </c>
      <c r="K4262" s="0" t="n">
        <f aca="false">D4262*E4262</f>
        <v>0.375</v>
      </c>
      <c r="L4262" s="0" t="n">
        <f aca="false">D4262*F4262</f>
        <v>-0.09375</v>
      </c>
      <c r="M4262" s="0" t="n">
        <f aca="false">E4262*F4262</f>
        <v>-0.0625</v>
      </c>
      <c r="N4262" s="0" t="n">
        <f aca="false">D4262*D4262</f>
        <v>0.5625</v>
      </c>
      <c r="O4262" s="0" t="n">
        <f aca="false">E4262*E4262</f>
        <v>0.25</v>
      </c>
      <c r="P4262" s="0" t="n">
        <f aca="false">F4262*F4262</f>
        <v>0.015625</v>
      </c>
      <c r="Q4262" s="0" t="n">
        <f aca="false">SUMPRODUCT(G4262:P4262,_XtX!$B$71:$K$71)</f>
        <v>49.7350426136364</v>
      </c>
      <c r="R4262" s="0" t="n">
        <f aca="false">SUMPRODUCT(MMULT(G4262:P4262,_XtX!$B$58:$K$67),G4262:P4262)</f>
        <v>0.240933504971591</v>
      </c>
      <c r="S4262" s="0" t="n">
        <f aca="false">04_回帰ANOVA!$K$19*04_回帰ANOVA!$K$14*SQRT(1+R4262)</f>
        <v>1.03571649118863</v>
      </c>
      <c r="T4262" s="0" t="n">
        <f aca="false">Q4262-S4262</f>
        <v>48.6993261224477</v>
      </c>
      <c r="U4262" s="0" t="n">
        <f aca="false">Q4262+S4262</f>
        <v>50.770759104825</v>
      </c>
      <c r="V4262" s="54" t="b">
        <f aca="false">AND(D4262&gt;=01_因子設定!$L$5-0.000000001,D4262&lt;=01_因子設定!$M$5+0.000000001,E4262&gt;=01_因子設定!$L$6-0.000000001,E4262&lt;=01_因子設定!$M$6+0.000000001,F4262&gt;=01_因子設定!$L$7-0.000000001,F4262&lt;=01_因子設定!$M$7+0.000000001,IF(01_因子設定!$B$20="Box-Behnken",D4262^2+E4262^2+F4262^2&lt;=2+0.000000001,TRUE()))</f>
        <v>1</v>
      </c>
      <c r="W4262" s="55" t="n">
        <f aca="false">IF(V4262,IF(01_因子設定!$B$13="最大化",T4262-01_因子設定!$B$14,IF(01_因子設定!$B$13="最小化",01_因子設定!$B$15-U4262,MIN(T4262-01_因子設定!$B$14,01_因子設定!$B$15-U4262))),-1E+030)</f>
        <v>0.199326122447737</v>
      </c>
      <c r="X4262" s="55" t="n">
        <f aca="false">IF(V4262,IF(01_因子設定!$B$13="最大化",Q4262,IF(01_因子設定!$B$13="最小化",-Q4262,-ABS(Q4262-01_因子設定!$B$16))),-1E+030)</f>
        <v>49.7350426136364</v>
      </c>
      <c r="Y4262" s="55" t="n">
        <f aca="false">W4262+ROW()*0.000000001</f>
        <v>0.199330384447737</v>
      </c>
      <c r="Z4262" s="55" t="n">
        <f aca="false">X4262+ROW()*0.000000001</f>
        <v>49.7350468756364</v>
      </c>
    </row>
    <row r="4263" customFormat="false" ht="15" hidden="false" customHeight="false" outlineLevel="0" collapsed="false">
      <c r="A4263" s="0" t="n">
        <v>14</v>
      </c>
      <c r="B4263" s="0" t="n">
        <v>12</v>
      </c>
      <c r="C4263" s="0" t="n">
        <v>8</v>
      </c>
      <c r="D4263" s="0" t="n">
        <f aca="false">-1+A4263*0.125</f>
        <v>0.75</v>
      </c>
      <c r="E4263" s="0" t="n">
        <f aca="false">-1+B4263*0.125</f>
        <v>0.5</v>
      </c>
      <c r="F4263" s="0" t="n">
        <f aca="false">-1+C4263*0.125</f>
        <v>0</v>
      </c>
      <c r="G4263" s="0" t="n">
        <f aca="false">1</f>
        <v>1</v>
      </c>
      <c r="H4263" s="0" t="n">
        <f aca="false">D4263</f>
        <v>0.75</v>
      </c>
      <c r="I4263" s="0" t="n">
        <f aca="false">E4263</f>
        <v>0.5</v>
      </c>
      <c r="J4263" s="0" t="n">
        <f aca="false">F4263</f>
        <v>0</v>
      </c>
      <c r="K4263" s="0" t="n">
        <f aca="false">D4263*E4263</f>
        <v>0.375</v>
      </c>
      <c r="L4263" s="0" t="n">
        <f aca="false">D4263*F4263</f>
        <v>0</v>
      </c>
      <c r="M4263" s="0" t="n">
        <f aca="false">E4263*F4263</f>
        <v>0</v>
      </c>
      <c r="N4263" s="0" t="n">
        <f aca="false">D4263*D4263</f>
        <v>0.5625</v>
      </c>
      <c r="O4263" s="0" t="n">
        <f aca="false">E4263*E4263</f>
        <v>0.25</v>
      </c>
      <c r="P4263" s="0" t="n">
        <f aca="false">F4263*F4263</f>
        <v>0</v>
      </c>
      <c r="Q4263" s="0" t="n">
        <f aca="false">SUMPRODUCT(G4263:P4263,_XtX!$B$71:$K$71)</f>
        <v>49.94</v>
      </c>
      <c r="R4263" s="0" t="n">
        <f aca="false">SUMPRODUCT(MMULT(G4263:P4263,_XtX!$B$58:$K$67),G4263:P4263)</f>
        <v>0.242578125</v>
      </c>
      <c r="S4263" s="0" t="n">
        <f aca="false">04_回帰ANOVA!$K$19*04_回帰ANOVA!$K$14*SQRT(1+R4263)</f>
        <v>1.03640258600455</v>
      </c>
      <c r="T4263" s="0" t="n">
        <f aca="false">Q4263-S4263</f>
        <v>48.9035974139955</v>
      </c>
      <c r="U4263" s="0" t="n">
        <f aca="false">Q4263+S4263</f>
        <v>50.9764025860045</v>
      </c>
      <c r="V4263" s="54" t="b">
        <f aca="false">AND(D4263&gt;=01_因子設定!$L$5-0.000000001,D4263&lt;=01_因子設定!$M$5+0.000000001,E4263&gt;=01_因子設定!$L$6-0.000000001,E4263&lt;=01_因子設定!$M$6+0.000000001,F4263&gt;=01_因子設定!$L$7-0.000000001,F4263&lt;=01_因子設定!$M$7+0.000000001,IF(01_因子設定!$B$20="Box-Behnken",D4263^2+E4263^2+F4263^2&lt;=2+0.000000001,TRUE()))</f>
        <v>1</v>
      </c>
      <c r="W4263" s="55" t="n">
        <f aca="false">IF(V4263,IF(01_因子設定!$B$13="最大化",T4263-01_因子設定!$B$14,IF(01_因子設定!$B$13="最小化",01_因子設定!$B$15-U4263,MIN(T4263-01_因子設定!$B$14,01_因子設定!$B$15-U4263))),-1E+030)</f>
        <v>0.403597413995449</v>
      </c>
      <c r="X4263" s="55" t="n">
        <f aca="false">IF(V4263,IF(01_因子設定!$B$13="最大化",Q4263,IF(01_因子設定!$B$13="最小化",-Q4263,-ABS(Q4263-01_因子設定!$B$16))),-1E+030)</f>
        <v>49.94</v>
      </c>
      <c r="Y4263" s="55" t="n">
        <f aca="false">W4263+ROW()*0.000000001</f>
        <v>0.403601676995449</v>
      </c>
      <c r="Z4263" s="55" t="n">
        <f aca="false">X4263+ROW()*0.000000001</f>
        <v>49.940004263</v>
      </c>
    </row>
    <row r="4264" customFormat="false" ht="15" hidden="false" customHeight="false" outlineLevel="0" collapsed="false">
      <c r="A4264" s="0" t="n">
        <v>14</v>
      </c>
      <c r="B4264" s="0" t="n">
        <v>12</v>
      </c>
      <c r="C4264" s="0" t="n">
        <v>9</v>
      </c>
      <c r="D4264" s="0" t="n">
        <f aca="false">-1+A4264*0.125</f>
        <v>0.75</v>
      </c>
      <c r="E4264" s="0" t="n">
        <f aca="false">-1+B4264*0.125</f>
        <v>0.5</v>
      </c>
      <c r="F4264" s="0" t="n">
        <f aca="false">-1+C4264*0.125</f>
        <v>0.125</v>
      </c>
      <c r="G4264" s="0" t="n">
        <f aca="false">1</f>
        <v>1</v>
      </c>
      <c r="H4264" s="0" t="n">
        <f aca="false">D4264</f>
        <v>0.75</v>
      </c>
      <c r="I4264" s="0" t="n">
        <f aca="false">E4264</f>
        <v>0.5</v>
      </c>
      <c r="J4264" s="0" t="n">
        <f aca="false">F4264</f>
        <v>0.125</v>
      </c>
      <c r="K4264" s="0" t="n">
        <f aca="false">D4264*E4264</f>
        <v>0.375</v>
      </c>
      <c r="L4264" s="0" t="n">
        <f aca="false">D4264*F4264</f>
        <v>0.09375</v>
      </c>
      <c r="M4264" s="0" t="n">
        <f aca="false">E4264*F4264</f>
        <v>0.0625</v>
      </c>
      <c r="N4264" s="0" t="n">
        <f aca="false">D4264*D4264</f>
        <v>0.5625</v>
      </c>
      <c r="O4264" s="0" t="n">
        <f aca="false">E4264*E4264</f>
        <v>0.25</v>
      </c>
      <c r="P4264" s="0" t="n">
        <f aca="false">F4264*F4264</f>
        <v>0.015625</v>
      </c>
      <c r="Q4264" s="0" t="n">
        <f aca="false">SUMPRODUCT(G4264:P4264,_XtX!$B$71:$K$71)</f>
        <v>50.1081676136364</v>
      </c>
      <c r="R4264" s="0" t="n">
        <f aca="false">SUMPRODUCT(MMULT(G4264:P4264,_XtX!$B$58:$K$67),G4264:P4264)</f>
        <v>0.240933504971591</v>
      </c>
      <c r="S4264" s="0" t="n">
        <f aca="false">04_回帰ANOVA!$K$19*04_回帰ANOVA!$K$14*SQRT(1+R4264)</f>
        <v>1.03571649118863</v>
      </c>
      <c r="T4264" s="0" t="n">
        <f aca="false">Q4264-S4264</f>
        <v>49.0724511224477</v>
      </c>
      <c r="U4264" s="0" t="n">
        <f aca="false">Q4264+S4264</f>
        <v>51.143884104825</v>
      </c>
      <c r="V4264" s="54" t="b">
        <f aca="false">AND(D4264&gt;=01_因子設定!$L$5-0.000000001,D4264&lt;=01_因子設定!$M$5+0.000000001,E4264&gt;=01_因子設定!$L$6-0.000000001,E4264&lt;=01_因子設定!$M$6+0.000000001,F4264&gt;=01_因子設定!$L$7-0.000000001,F4264&lt;=01_因子設定!$M$7+0.000000001,IF(01_因子設定!$B$20="Box-Behnken",D4264^2+E4264^2+F4264^2&lt;=2+0.000000001,TRUE()))</f>
        <v>1</v>
      </c>
      <c r="W4264" s="55" t="n">
        <f aca="false">IF(V4264,IF(01_因子設定!$B$13="最大化",T4264-01_因子設定!$B$14,IF(01_因子設定!$B$13="最小化",01_因子設定!$B$15-U4264,MIN(T4264-01_因子設定!$B$14,01_因子設定!$B$15-U4264))),-1E+030)</f>
        <v>0.572451122447738</v>
      </c>
      <c r="X4264" s="55" t="n">
        <f aca="false">IF(V4264,IF(01_因子設定!$B$13="最大化",Q4264,IF(01_因子設定!$B$13="最小化",-Q4264,-ABS(Q4264-01_因子設定!$B$16))),-1E+030)</f>
        <v>50.1081676136364</v>
      </c>
      <c r="Y4264" s="55" t="n">
        <f aca="false">W4264+ROW()*0.000000001</f>
        <v>0.572455386447738</v>
      </c>
      <c r="Z4264" s="55" t="n">
        <f aca="false">X4264+ROW()*0.000000001</f>
        <v>50.1081718776364</v>
      </c>
    </row>
    <row r="4265" customFormat="false" ht="15" hidden="false" customHeight="false" outlineLevel="0" collapsed="false">
      <c r="A4265" s="0" t="n">
        <v>14</v>
      </c>
      <c r="B4265" s="0" t="n">
        <v>12</v>
      </c>
      <c r="C4265" s="0" t="n">
        <v>10</v>
      </c>
      <c r="D4265" s="0" t="n">
        <f aca="false">-1+A4265*0.125</f>
        <v>0.75</v>
      </c>
      <c r="E4265" s="0" t="n">
        <f aca="false">-1+B4265*0.125</f>
        <v>0.5</v>
      </c>
      <c r="F4265" s="0" t="n">
        <f aca="false">-1+C4265*0.125</f>
        <v>0.25</v>
      </c>
      <c r="G4265" s="0" t="n">
        <f aca="false">1</f>
        <v>1</v>
      </c>
      <c r="H4265" s="0" t="n">
        <f aca="false">D4265</f>
        <v>0.75</v>
      </c>
      <c r="I4265" s="0" t="n">
        <f aca="false">E4265</f>
        <v>0.5</v>
      </c>
      <c r="J4265" s="0" t="n">
        <f aca="false">F4265</f>
        <v>0.25</v>
      </c>
      <c r="K4265" s="0" t="n">
        <f aca="false">D4265*E4265</f>
        <v>0.375</v>
      </c>
      <c r="L4265" s="0" t="n">
        <f aca="false">D4265*F4265</f>
        <v>0.1875</v>
      </c>
      <c r="M4265" s="0" t="n">
        <f aca="false">E4265*F4265</f>
        <v>0.125</v>
      </c>
      <c r="N4265" s="0" t="n">
        <f aca="false">D4265*D4265</f>
        <v>0.5625</v>
      </c>
      <c r="O4265" s="0" t="n">
        <f aca="false">E4265*E4265</f>
        <v>0.25</v>
      </c>
      <c r="P4265" s="0" t="n">
        <f aca="false">F4265*F4265</f>
        <v>0.0625</v>
      </c>
      <c r="Q4265" s="0" t="n">
        <f aca="false">SUMPRODUCT(G4265:P4265,_XtX!$B$71:$K$71)</f>
        <v>50.2395454545455</v>
      </c>
      <c r="R4265" s="0" t="n">
        <f aca="false">SUMPRODUCT(MMULT(G4265:P4265,_XtX!$B$58:$K$67),G4265:P4265)</f>
        <v>0.237064985795455</v>
      </c>
      <c r="S4265" s="0" t="n">
        <f aca="false">04_回帰ANOVA!$K$19*04_回帰ANOVA!$K$14*SQRT(1+R4265)</f>
        <v>1.03410084594745</v>
      </c>
      <c r="T4265" s="0" t="n">
        <f aca="false">Q4265-S4265</f>
        <v>49.205444608598</v>
      </c>
      <c r="U4265" s="0" t="n">
        <f aca="false">Q4265+S4265</f>
        <v>51.2736463004929</v>
      </c>
      <c r="V4265" s="54" t="b">
        <f aca="false">AND(D4265&gt;=01_因子設定!$L$5-0.000000001,D4265&lt;=01_因子設定!$M$5+0.000000001,E4265&gt;=01_因子設定!$L$6-0.000000001,E4265&lt;=01_因子設定!$M$6+0.000000001,F4265&gt;=01_因子設定!$L$7-0.000000001,F4265&lt;=01_因子設定!$M$7+0.000000001,IF(01_因子設定!$B$20="Box-Behnken",D4265^2+E4265^2+F4265^2&lt;=2+0.000000001,TRUE()))</f>
        <v>1</v>
      </c>
      <c r="W4265" s="55" t="n">
        <f aca="false">IF(V4265,IF(01_因子設定!$B$13="最大化",T4265-01_因子設定!$B$14,IF(01_因子設定!$B$13="最小化",01_因子設定!$B$15-U4265,MIN(T4265-01_因子設定!$B$14,01_因子設定!$B$15-U4265))),-1E+030)</f>
        <v>0.705444608598015</v>
      </c>
      <c r="X4265" s="55" t="n">
        <f aca="false">IF(V4265,IF(01_因子設定!$B$13="最大化",Q4265,IF(01_因子設定!$B$13="最小化",-Q4265,-ABS(Q4265-01_因子設定!$B$16))),-1E+030)</f>
        <v>50.2395454545455</v>
      </c>
      <c r="Y4265" s="55" t="n">
        <f aca="false">W4265+ROW()*0.000000001</f>
        <v>0.705448873598015</v>
      </c>
      <c r="Z4265" s="55" t="n">
        <f aca="false">X4265+ROW()*0.000000001</f>
        <v>50.2395497195455</v>
      </c>
    </row>
    <row r="4266" customFormat="false" ht="15" hidden="false" customHeight="false" outlineLevel="0" collapsed="false">
      <c r="A4266" s="0" t="n">
        <v>14</v>
      </c>
      <c r="B4266" s="0" t="n">
        <v>12</v>
      </c>
      <c r="C4266" s="0" t="n">
        <v>11</v>
      </c>
      <c r="D4266" s="0" t="n">
        <f aca="false">-1+A4266*0.125</f>
        <v>0.75</v>
      </c>
      <c r="E4266" s="0" t="n">
        <f aca="false">-1+B4266*0.125</f>
        <v>0.5</v>
      </c>
      <c r="F4266" s="0" t="n">
        <f aca="false">-1+C4266*0.125</f>
        <v>0.375</v>
      </c>
      <c r="G4266" s="0" t="n">
        <f aca="false">1</f>
        <v>1</v>
      </c>
      <c r="H4266" s="0" t="n">
        <f aca="false">D4266</f>
        <v>0.75</v>
      </c>
      <c r="I4266" s="0" t="n">
        <f aca="false">E4266</f>
        <v>0.5</v>
      </c>
      <c r="J4266" s="0" t="n">
        <f aca="false">F4266</f>
        <v>0.375</v>
      </c>
      <c r="K4266" s="0" t="n">
        <f aca="false">D4266*E4266</f>
        <v>0.375</v>
      </c>
      <c r="L4266" s="0" t="n">
        <f aca="false">D4266*F4266</f>
        <v>0.28125</v>
      </c>
      <c r="M4266" s="0" t="n">
        <f aca="false">E4266*F4266</f>
        <v>0.1875</v>
      </c>
      <c r="N4266" s="0" t="n">
        <f aca="false">D4266*D4266</f>
        <v>0.5625</v>
      </c>
      <c r="O4266" s="0" t="n">
        <f aca="false">E4266*E4266</f>
        <v>0.25</v>
      </c>
      <c r="P4266" s="0" t="n">
        <f aca="false">F4266*F4266</f>
        <v>0.140625</v>
      </c>
      <c r="Q4266" s="0" t="n">
        <f aca="false">SUMPRODUCT(G4266:P4266,_XtX!$B$71:$K$71)</f>
        <v>50.3341335227273</v>
      </c>
      <c r="R4266" s="0" t="n">
        <f aca="false">SUMPRODUCT(MMULT(G4266:P4266,_XtX!$B$58:$K$67),G4266:P4266)</f>
        <v>0.234168590198864</v>
      </c>
      <c r="S4266" s="0" t="n">
        <f aca="false">04_回帰ANOVA!$K$19*04_回帰ANOVA!$K$14*SQRT(1+R4266)</f>
        <v>1.03288954322488</v>
      </c>
      <c r="T4266" s="0" t="n">
        <f aca="false">Q4266-S4266</f>
        <v>49.3012439795024</v>
      </c>
      <c r="U4266" s="0" t="n">
        <f aca="false">Q4266+S4266</f>
        <v>51.3670230659522</v>
      </c>
      <c r="V4266" s="54" t="b">
        <f aca="false">AND(D4266&gt;=01_因子設定!$L$5-0.000000001,D4266&lt;=01_因子設定!$M$5+0.000000001,E4266&gt;=01_因子設定!$L$6-0.000000001,E4266&lt;=01_因子設定!$M$6+0.000000001,F4266&gt;=01_因子設定!$L$7-0.000000001,F4266&lt;=01_因子設定!$M$7+0.000000001,IF(01_因子設定!$B$20="Box-Behnken",D4266^2+E4266^2+F4266^2&lt;=2+0.000000001,TRUE()))</f>
        <v>1</v>
      </c>
      <c r="W4266" s="55" t="n">
        <f aca="false">IF(V4266,IF(01_因子設定!$B$13="最大化",T4266-01_因子設定!$B$14,IF(01_因子設定!$B$13="最小化",01_因子設定!$B$15-U4266,MIN(T4266-01_因子設定!$B$14,01_因子設定!$B$15-U4266))),-1E+030)</f>
        <v>0.801243979502395</v>
      </c>
      <c r="X4266" s="55" t="n">
        <f aca="false">IF(V4266,IF(01_因子設定!$B$13="最大化",Q4266,IF(01_因子設定!$B$13="最小化",-Q4266,-ABS(Q4266-01_因子設定!$B$16))),-1E+030)</f>
        <v>50.3341335227273</v>
      </c>
      <c r="Y4266" s="55" t="n">
        <f aca="false">W4266+ROW()*0.000000001</f>
        <v>0.801248245502395</v>
      </c>
      <c r="Z4266" s="55" t="n">
        <f aca="false">X4266+ROW()*0.000000001</f>
        <v>50.3341377887273</v>
      </c>
    </row>
    <row r="4267" customFormat="false" ht="15" hidden="false" customHeight="false" outlineLevel="0" collapsed="false">
      <c r="A4267" s="0" t="n">
        <v>14</v>
      </c>
      <c r="B4267" s="0" t="n">
        <v>12</v>
      </c>
      <c r="C4267" s="0" t="n">
        <v>12</v>
      </c>
      <c r="D4267" s="0" t="n">
        <f aca="false">-1+A4267*0.125</f>
        <v>0.75</v>
      </c>
      <c r="E4267" s="0" t="n">
        <f aca="false">-1+B4267*0.125</f>
        <v>0.5</v>
      </c>
      <c r="F4267" s="0" t="n">
        <f aca="false">-1+C4267*0.125</f>
        <v>0.5</v>
      </c>
      <c r="G4267" s="0" t="n">
        <f aca="false">1</f>
        <v>1</v>
      </c>
      <c r="H4267" s="0" t="n">
        <f aca="false">D4267</f>
        <v>0.75</v>
      </c>
      <c r="I4267" s="0" t="n">
        <f aca="false">E4267</f>
        <v>0.5</v>
      </c>
      <c r="J4267" s="0" t="n">
        <f aca="false">F4267</f>
        <v>0.5</v>
      </c>
      <c r="K4267" s="0" t="n">
        <f aca="false">D4267*E4267</f>
        <v>0.375</v>
      </c>
      <c r="L4267" s="0" t="n">
        <f aca="false">D4267*F4267</f>
        <v>0.375</v>
      </c>
      <c r="M4267" s="0" t="n">
        <f aca="false">E4267*F4267</f>
        <v>0.25</v>
      </c>
      <c r="N4267" s="0" t="n">
        <f aca="false">D4267*D4267</f>
        <v>0.5625</v>
      </c>
      <c r="O4267" s="0" t="n">
        <f aca="false">E4267*E4267</f>
        <v>0.25</v>
      </c>
      <c r="P4267" s="0" t="n">
        <f aca="false">F4267*F4267</f>
        <v>0.25</v>
      </c>
      <c r="Q4267" s="0" t="n">
        <f aca="false">SUMPRODUCT(G4267:P4267,_XtX!$B$71:$K$71)</f>
        <v>50.3919318181818</v>
      </c>
      <c r="R4267" s="0" t="n">
        <f aca="false">SUMPRODUCT(MMULT(G4267:P4267,_XtX!$B$58:$K$67),G4267:P4267)</f>
        <v>0.237571022727273</v>
      </c>
      <c r="S4267" s="0" t="n">
        <f aca="false">04_回帰ANOVA!$K$19*04_回帰ANOVA!$K$14*SQRT(1+R4267)</f>
        <v>1.0343123302758</v>
      </c>
      <c r="T4267" s="0" t="n">
        <f aca="false">Q4267-S4267</f>
        <v>49.357619487906</v>
      </c>
      <c r="U4267" s="0" t="n">
        <f aca="false">Q4267+S4267</f>
        <v>51.4262441484576</v>
      </c>
      <c r="V4267" s="54" t="b">
        <f aca="false">AND(D4267&gt;=01_因子設定!$L$5-0.000000001,D4267&lt;=01_因子設定!$M$5+0.000000001,E4267&gt;=01_因子設定!$L$6-0.000000001,E4267&lt;=01_因子設定!$M$6+0.000000001,F4267&gt;=01_因子設定!$L$7-0.000000001,F4267&lt;=01_因子設定!$M$7+0.000000001,IF(01_因子設定!$B$20="Box-Behnken",D4267^2+E4267^2+F4267^2&lt;=2+0.000000001,TRUE()))</f>
        <v>1</v>
      </c>
      <c r="W4267" s="55" t="n">
        <f aca="false">IF(V4267,IF(01_因子設定!$B$13="最大化",T4267-01_因子設定!$B$14,IF(01_因子設定!$B$13="最小化",01_因子設定!$B$15-U4267,MIN(T4267-01_因子設定!$B$14,01_因子設定!$B$15-U4267))),-1E+030)</f>
        <v>0.857619487906021</v>
      </c>
      <c r="X4267" s="55" t="n">
        <f aca="false">IF(V4267,IF(01_因子設定!$B$13="最大化",Q4267,IF(01_因子設定!$B$13="最小化",-Q4267,-ABS(Q4267-01_因子設定!$B$16))),-1E+030)</f>
        <v>50.3919318181818</v>
      </c>
      <c r="Y4267" s="55" t="n">
        <f aca="false">W4267+ROW()*0.000000001</f>
        <v>0.857623754906021</v>
      </c>
      <c r="Z4267" s="55" t="n">
        <f aca="false">X4267+ROW()*0.000000001</f>
        <v>50.3919360851818</v>
      </c>
    </row>
    <row r="4268" customFormat="false" ht="15" hidden="false" customHeight="false" outlineLevel="0" collapsed="false">
      <c r="A4268" s="0" t="n">
        <v>14</v>
      </c>
      <c r="B4268" s="0" t="n">
        <v>12</v>
      </c>
      <c r="C4268" s="0" t="n">
        <v>13</v>
      </c>
      <c r="D4268" s="0" t="n">
        <f aca="false">-1+A4268*0.125</f>
        <v>0.75</v>
      </c>
      <c r="E4268" s="0" t="n">
        <f aca="false">-1+B4268*0.125</f>
        <v>0.5</v>
      </c>
      <c r="F4268" s="0" t="n">
        <f aca="false">-1+C4268*0.125</f>
        <v>0.625</v>
      </c>
      <c r="G4268" s="0" t="n">
        <f aca="false">1</f>
        <v>1</v>
      </c>
      <c r="H4268" s="0" t="n">
        <f aca="false">D4268</f>
        <v>0.75</v>
      </c>
      <c r="I4268" s="0" t="n">
        <f aca="false">E4268</f>
        <v>0.5</v>
      </c>
      <c r="J4268" s="0" t="n">
        <f aca="false">F4268</f>
        <v>0.625</v>
      </c>
      <c r="K4268" s="0" t="n">
        <f aca="false">D4268*E4268</f>
        <v>0.375</v>
      </c>
      <c r="L4268" s="0" t="n">
        <f aca="false">D4268*F4268</f>
        <v>0.46875</v>
      </c>
      <c r="M4268" s="0" t="n">
        <f aca="false">E4268*F4268</f>
        <v>0.3125</v>
      </c>
      <c r="N4268" s="0" t="n">
        <f aca="false">D4268*D4268</f>
        <v>0.5625</v>
      </c>
      <c r="O4268" s="0" t="n">
        <f aca="false">E4268*E4268</f>
        <v>0.25</v>
      </c>
      <c r="P4268" s="0" t="n">
        <f aca="false">F4268*F4268</f>
        <v>0.390625</v>
      </c>
      <c r="Q4268" s="0" t="n">
        <f aca="false">SUMPRODUCT(G4268:P4268,_XtX!$B$71:$K$71)</f>
        <v>50.4129403409091</v>
      </c>
      <c r="R4268" s="0" t="n">
        <f aca="false">SUMPRODUCT(MMULT(G4268:P4268,_XtX!$B$58:$K$67),G4268:P4268)</f>
        <v>0.254729669744318</v>
      </c>
      <c r="S4268" s="0" t="n">
        <f aca="false">04_回帰ANOVA!$K$19*04_回帰ANOVA!$K$14*SQRT(1+R4268)</f>
        <v>1.04145790281631</v>
      </c>
      <c r="T4268" s="0" t="n">
        <f aca="false">Q4268-S4268</f>
        <v>49.3714824380928</v>
      </c>
      <c r="U4268" s="0" t="n">
        <f aca="false">Q4268+S4268</f>
        <v>51.4543982437254</v>
      </c>
      <c r="V4268" s="54" t="b">
        <f aca="false">AND(D4268&gt;=01_因子設定!$L$5-0.000000001,D4268&lt;=01_因子設定!$M$5+0.000000001,E4268&gt;=01_因子設定!$L$6-0.000000001,E4268&lt;=01_因子設定!$M$6+0.000000001,F4268&gt;=01_因子設定!$L$7-0.000000001,F4268&lt;=01_因子設定!$M$7+0.000000001,IF(01_因子設定!$B$20="Box-Behnken",D4268^2+E4268^2+F4268^2&lt;=2+0.000000001,TRUE()))</f>
        <v>1</v>
      </c>
      <c r="W4268" s="55" t="n">
        <f aca="false">IF(V4268,IF(01_因子設定!$B$13="最大化",T4268-01_因子設定!$B$14,IF(01_因子設定!$B$13="最小化",01_因子設定!$B$15-U4268,MIN(T4268-01_因子設定!$B$14,01_因子設定!$B$15-U4268))),-1E+030)</f>
        <v>0.871482438092784</v>
      </c>
      <c r="X4268" s="55" t="n">
        <f aca="false">IF(V4268,IF(01_因子設定!$B$13="最大化",Q4268,IF(01_因子設定!$B$13="最小化",-Q4268,-ABS(Q4268-01_因子設定!$B$16))),-1E+030)</f>
        <v>50.4129403409091</v>
      </c>
      <c r="Y4268" s="55" t="n">
        <f aca="false">W4268+ROW()*0.000000001</f>
        <v>0.871486706092784</v>
      </c>
      <c r="Z4268" s="55" t="n">
        <f aca="false">X4268+ROW()*0.000000001</f>
        <v>50.4129446089091</v>
      </c>
    </row>
    <row r="4269" customFormat="false" ht="15" hidden="false" customHeight="false" outlineLevel="0" collapsed="false">
      <c r="A4269" s="0" t="n">
        <v>14</v>
      </c>
      <c r="B4269" s="0" t="n">
        <v>12</v>
      </c>
      <c r="C4269" s="0" t="n">
        <v>14</v>
      </c>
      <c r="D4269" s="0" t="n">
        <f aca="false">-1+A4269*0.125</f>
        <v>0.75</v>
      </c>
      <c r="E4269" s="0" t="n">
        <f aca="false">-1+B4269*0.125</f>
        <v>0.5</v>
      </c>
      <c r="F4269" s="0" t="n">
        <f aca="false">-1+C4269*0.125</f>
        <v>0.75</v>
      </c>
      <c r="G4269" s="0" t="n">
        <f aca="false">1</f>
        <v>1</v>
      </c>
      <c r="H4269" s="0" t="n">
        <f aca="false">D4269</f>
        <v>0.75</v>
      </c>
      <c r="I4269" s="0" t="n">
        <f aca="false">E4269</f>
        <v>0.5</v>
      </c>
      <c r="J4269" s="0" t="n">
        <f aca="false">F4269</f>
        <v>0.75</v>
      </c>
      <c r="K4269" s="0" t="n">
        <f aca="false">D4269*E4269</f>
        <v>0.375</v>
      </c>
      <c r="L4269" s="0" t="n">
        <f aca="false">D4269*F4269</f>
        <v>0.5625</v>
      </c>
      <c r="M4269" s="0" t="n">
        <f aca="false">E4269*F4269</f>
        <v>0.375</v>
      </c>
      <c r="N4269" s="0" t="n">
        <f aca="false">D4269*D4269</f>
        <v>0.5625</v>
      </c>
      <c r="O4269" s="0" t="n">
        <f aca="false">E4269*E4269</f>
        <v>0.25</v>
      </c>
      <c r="P4269" s="0" t="n">
        <f aca="false">F4269*F4269</f>
        <v>0.5625</v>
      </c>
      <c r="Q4269" s="0" t="n">
        <f aca="false">SUMPRODUCT(G4269:P4269,_XtX!$B$71:$K$71)</f>
        <v>50.3971590909091</v>
      </c>
      <c r="R4269" s="0" t="n">
        <f aca="false">SUMPRODUCT(MMULT(G4269:P4269,_XtX!$B$58:$K$67),G4269:P4269)</f>
        <v>0.295232599431818</v>
      </c>
      <c r="S4269" s="0" t="n">
        <f aca="false">04_回帰ANOVA!$K$19*04_回帰ANOVA!$K$14*SQRT(1+R4269)</f>
        <v>1.05813363442154</v>
      </c>
      <c r="T4269" s="0" t="n">
        <f aca="false">Q4269-S4269</f>
        <v>49.3390254564876</v>
      </c>
      <c r="U4269" s="0" t="n">
        <f aca="false">Q4269+S4269</f>
        <v>51.4552927253306</v>
      </c>
      <c r="V4269" s="54" t="b">
        <f aca="false">AND(D4269&gt;=01_因子設定!$L$5-0.000000001,D4269&lt;=01_因子設定!$M$5+0.000000001,E4269&gt;=01_因子設定!$L$6-0.000000001,E4269&lt;=01_因子設定!$M$6+0.000000001,F4269&gt;=01_因子設定!$L$7-0.000000001,F4269&lt;=01_因子設定!$M$7+0.000000001,IF(01_因子設定!$B$20="Box-Behnken",D4269^2+E4269^2+F4269^2&lt;=2+0.000000001,TRUE()))</f>
        <v>1</v>
      </c>
      <c r="W4269" s="55" t="n">
        <f aca="false">IF(V4269,IF(01_因子設定!$B$13="最大化",T4269-01_因子設定!$B$14,IF(01_因子設定!$B$13="最小化",01_因子設定!$B$15-U4269,MIN(T4269-01_因子設定!$B$14,01_因子設定!$B$15-U4269))),-1E+030)</f>
        <v>0.839025456487562</v>
      </c>
      <c r="X4269" s="55" t="n">
        <f aca="false">IF(V4269,IF(01_因子設定!$B$13="最大化",Q4269,IF(01_因子設定!$B$13="最小化",-Q4269,-ABS(Q4269-01_因子設定!$B$16))),-1E+030)</f>
        <v>50.3971590909091</v>
      </c>
      <c r="Y4269" s="55" t="n">
        <f aca="false">W4269+ROW()*0.000000001</f>
        <v>0.839029725487562</v>
      </c>
      <c r="Z4269" s="55" t="n">
        <f aca="false">X4269+ROW()*0.000000001</f>
        <v>50.3971633599091</v>
      </c>
    </row>
    <row r="4270" customFormat="false" ht="15" hidden="false" customHeight="false" outlineLevel="0" collapsed="false">
      <c r="A4270" s="0" t="n">
        <v>14</v>
      </c>
      <c r="B4270" s="0" t="n">
        <v>12</v>
      </c>
      <c r="C4270" s="0" t="n">
        <v>15</v>
      </c>
      <c r="D4270" s="0" t="n">
        <f aca="false">-1+A4270*0.125</f>
        <v>0.75</v>
      </c>
      <c r="E4270" s="0" t="n">
        <f aca="false">-1+B4270*0.125</f>
        <v>0.5</v>
      </c>
      <c r="F4270" s="0" t="n">
        <f aca="false">-1+C4270*0.125</f>
        <v>0.875</v>
      </c>
      <c r="G4270" s="0" t="n">
        <f aca="false">1</f>
        <v>1</v>
      </c>
      <c r="H4270" s="0" t="n">
        <f aca="false">D4270</f>
        <v>0.75</v>
      </c>
      <c r="I4270" s="0" t="n">
        <f aca="false">E4270</f>
        <v>0.5</v>
      </c>
      <c r="J4270" s="0" t="n">
        <f aca="false">F4270</f>
        <v>0.875</v>
      </c>
      <c r="K4270" s="0" t="n">
        <f aca="false">D4270*E4270</f>
        <v>0.375</v>
      </c>
      <c r="L4270" s="0" t="n">
        <f aca="false">D4270*F4270</f>
        <v>0.65625</v>
      </c>
      <c r="M4270" s="0" t="n">
        <f aca="false">E4270*F4270</f>
        <v>0.4375</v>
      </c>
      <c r="N4270" s="0" t="n">
        <f aca="false">D4270*D4270</f>
        <v>0.5625</v>
      </c>
      <c r="O4270" s="0" t="n">
        <f aca="false">E4270*E4270</f>
        <v>0.25</v>
      </c>
      <c r="P4270" s="0" t="n">
        <f aca="false">F4270*F4270</f>
        <v>0.765625</v>
      </c>
      <c r="Q4270" s="0" t="n">
        <f aca="false">SUMPRODUCT(G4270:P4270,_XtX!$B$71:$K$71)</f>
        <v>50.3445880681818</v>
      </c>
      <c r="R4270" s="0" t="n">
        <f aca="false">SUMPRODUCT(MMULT(G4270:P4270,_XtX!$B$58:$K$67),G4270:P4270)</f>
        <v>0.370798561789773</v>
      </c>
      <c r="S4270" s="0" t="n">
        <f aca="false">04_回帰ANOVA!$K$19*04_回帰ANOVA!$K$14*SQRT(1+R4270)</f>
        <v>1.08856271788237</v>
      </c>
      <c r="T4270" s="0" t="n">
        <f aca="false">Q4270-S4270</f>
        <v>49.2560253502995</v>
      </c>
      <c r="U4270" s="0" t="n">
        <f aca="false">Q4270+S4270</f>
        <v>51.4331507860642</v>
      </c>
      <c r="V4270" s="54" t="b">
        <f aca="false">AND(D4270&gt;=01_因子設定!$L$5-0.000000001,D4270&lt;=01_因子設定!$M$5+0.000000001,E4270&gt;=01_因子設定!$L$6-0.000000001,E4270&lt;=01_因子設定!$M$6+0.000000001,F4270&gt;=01_因子設定!$L$7-0.000000001,F4270&lt;=01_因子設定!$M$7+0.000000001,IF(01_因子設定!$B$20="Box-Behnken",D4270^2+E4270^2+F4270^2&lt;=2+0.000000001,TRUE()))</f>
        <v>1</v>
      </c>
      <c r="W4270" s="55" t="n">
        <f aca="false">IF(V4270,IF(01_因子設定!$B$13="最大化",T4270-01_因子設定!$B$14,IF(01_因子設定!$B$13="最小化",01_因子設定!$B$15-U4270,MIN(T4270-01_因子設定!$B$14,01_因子設定!$B$15-U4270))),-1E+030)</f>
        <v>0.756025350299453</v>
      </c>
      <c r="X4270" s="55" t="n">
        <f aca="false">IF(V4270,IF(01_因子設定!$B$13="最大化",Q4270,IF(01_因子設定!$B$13="最小化",-Q4270,-ABS(Q4270-01_因子設定!$B$16))),-1E+030)</f>
        <v>50.3445880681818</v>
      </c>
      <c r="Y4270" s="55" t="n">
        <f aca="false">W4270+ROW()*0.000000001</f>
        <v>0.756029620299453</v>
      </c>
      <c r="Z4270" s="55" t="n">
        <f aca="false">X4270+ROW()*0.000000001</f>
        <v>50.3445923381818</v>
      </c>
    </row>
    <row r="4271" customFormat="false" ht="15" hidden="false" customHeight="false" outlineLevel="0" collapsed="false">
      <c r="A4271" s="0" t="n">
        <v>14</v>
      </c>
      <c r="B4271" s="0" t="n">
        <v>12</v>
      </c>
      <c r="C4271" s="0" t="n">
        <v>16</v>
      </c>
      <c r="D4271" s="0" t="n">
        <f aca="false">-1+A4271*0.125</f>
        <v>0.75</v>
      </c>
      <c r="E4271" s="0" t="n">
        <f aca="false">-1+B4271*0.125</f>
        <v>0.5</v>
      </c>
      <c r="F4271" s="0" t="n">
        <f aca="false">-1+C4271*0.125</f>
        <v>1</v>
      </c>
      <c r="G4271" s="0" t="n">
        <f aca="false">1</f>
        <v>1</v>
      </c>
      <c r="H4271" s="0" t="n">
        <f aca="false">D4271</f>
        <v>0.75</v>
      </c>
      <c r="I4271" s="0" t="n">
        <f aca="false">E4271</f>
        <v>0.5</v>
      </c>
      <c r="J4271" s="0" t="n">
        <f aca="false">F4271</f>
        <v>1</v>
      </c>
      <c r="K4271" s="0" t="n">
        <f aca="false">D4271*E4271</f>
        <v>0.375</v>
      </c>
      <c r="L4271" s="0" t="n">
        <f aca="false">D4271*F4271</f>
        <v>0.75</v>
      </c>
      <c r="M4271" s="0" t="n">
        <f aca="false">E4271*F4271</f>
        <v>0.5</v>
      </c>
      <c r="N4271" s="0" t="n">
        <f aca="false">D4271*D4271</f>
        <v>0.5625</v>
      </c>
      <c r="O4271" s="0" t="n">
        <f aca="false">E4271*E4271</f>
        <v>0.25</v>
      </c>
      <c r="P4271" s="0" t="n">
        <f aca="false">F4271*F4271</f>
        <v>1</v>
      </c>
      <c r="Q4271" s="0" t="n">
        <f aca="false">SUMPRODUCT(G4271:P4271,_XtX!$B$71:$K$71)</f>
        <v>50.2552272727273</v>
      </c>
      <c r="R4271" s="0" t="n">
        <f aca="false">SUMPRODUCT(MMULT(G4271:P4271,_XtX!$B$58:$K$67),G4271:P4271)</f>
        <v>0.495276988636364</v>
      </c>
      <c r="S4271" s="0" t="n">
        <f aca="false">04_回帰ANOVA!$K$19*04_回帰ANOVA!$K$14*SQRT(1+R4271)</f>
        <v>1.13691359828352</v>
      </c>
      <c r="T4271" s="0" t="n">
        <f aca="false">Q4271-S4271</f>
        <v>49.1183136744438</v>
      </c>
      <c r="U4271" s="0" t="n">
        <f aca="false">Q4271+S4271</f>
        <v>51.3921408710108</v>
      </c>
      <c r="V4271" s="54" t="b">
        <f aca="false">AND(D4271&gt;=01_因子設定!$L$5-0.000000001,D4271&lt;=01_因子設定!$M$5+0.000000001,E4271&gt;=01_因子設定!$L$6-0.000000001,E4271&lt;=01_因子設定!$M$6+0.000000001,F4271&gt;=01_因子設定!$L$7-0.000000001,F4271&lt;=01_因子設定!$M$7+0.000000001,IF(01_因子設定!$B$20="Box-Behnken",D4271^2+E4271^2+F4271^2&lt;=2+0.000000001,TRUE()))</f>
        <v>1</v>
      </c>
      <c r="W4271" s="55" t="n">
        <f aca="false">IF(V4271,IF(01_因子設定!$B$13="最大化",T4271-01_因子設定!$B$14,IF(01_因子設定!$B$13="最小化",01_因子設定!$B$15-U4271,MIN(T4271-01_因子設定!$B$14,01_因子設定!$B$15-U4271))),-1E+030)</f>
        <v>0.618313674443769</v>
      </c>
      <c r="X4271" s="55" t="n">
        <f aca="false">IF(V4271,IF(01_因子設定!$B$13="最大化",Q4271,IF(01_因子設定!$B$13="最小化",-Q4271,-ABS(Q4271-01_因子設定!$B$16))),-1E+030)</f>
        <v>50.2552272727273</v>
      </c>
      <c r="Y4271" s="55" t="n">
        <f aca="false">W4271+ROW()*0.000000001</f>
        <v>0.618317945443769</v>
      </c>
      <c r="Z4271" s="55" t="n">
        <f aca="false">X4271+ROW()*0.000000001</f>
        <v>50.2552315437273</v>
      </c>
    </row>
    <row r="4272" customFormat="false" ht="15" hidden="false" customHeight="false" outlineLevel="0" collapsed="false">
      <c r="A4272" s="0" t="n">
        <v>14</v>
      </c>
      <c r="B4272" s="0" t="n">
        <v>13</v>
      </c>
      <c r="C4272" s="0" t="n">
        <v>0</v>
      </c>
      <c r="D4272" s="0" t="n">
        <f aca="false">-1+A4272*0.125</f>
        <v>0.75</v>
      </c>
      <c r="E4272" s="0" t="n">
        <f aca="false">-1+B4272*0.125</f>
        <v>0.625</v>
      </c>
      <c r="F4272" s="0" t="n">
        <f aca="false">-1+C4272*0.125</f>
        <v>-1</v>
      </c>
      <c r="G4272" s="0" t="n">
        <f aca="false">1</f>
        <v>1</v>
      </c>
      <c r="H4272" s="0" t="n">
        <f aca="false">D4272</f>
        <v>0.75</v>
      </c>
      <c r="I4272" s="0" t="n">
        <f aca="false">E4272</f>
        <v>0.625</v>
      </c>
      <c r="J4272" s="0" t="n">
        <f aca="false">F4272</f>
        <v>-1</v>
      </c>
      <c r="K4272" s="0" t="n">
        <f aca="false">D4272*E4272</f>
        <v>0.46875</v>
      </c>
      <c r="L4272" s="0" t="n">
        <f aca="false">D4272*F4272</f>
        <v>-0.75</v>
      </c>
      <c r="M4272" s="0" t="n">
        <f aca="false">E4272*F4272</f>
        <v>-0.625</v>
      </c>
      <c r="N4272" s="0" t="n">
        <f aca="false">D4272*D4272</f>
        <v>0.5625</v>
      </c>
      <c r="O4272" s="0" t="n">
        <f aca="false">E4272*E4272</f>
        <v>0.390625</v>
      </c>
      <c r="P4272" s="0" t="n">
        <f aca="false">F4272*F4272</f>
        <v>1</v>
      </c>
      <c r="Q4272" s="0" t="n">
        <f aca="false">SUMPRODUCT(G4272:P4272,_XtX!$B$71:$K$71)</f>
        <v>47.3024857954546</v>
      </c>
      <c r="R4272" s="0" t="n">
        <f aca="false">SUMPRODUCT(MMULT(G4272:P4272,_XtX!$B$58:$K$67),G4272:P4272)</f>
        <v>0.496855024857955</v>
      </c>
      <c r="S4272" s="0" t="n">
        <f aca="false">04_回帰ANOVA!$K$19*04_回帰ANOVA!$K$14*SQRT(1+R4272)</f>
        <v>1.1375133593161</v>
      </c>
      <c r="T4272" s="0" t="n">
        <f aca="false">Q4272-S4272</f>
        <v>46.1649724361385</v>
      </c>
      <c r="U4272" s="0" t="n">
        <f aca="false">Q4272+S4272</f>
        <v>48.4399991547707</v>
      </c>
      <c r="V4272" s="54" t="b">
        <f aca="false">AND(D4272&gt;=01_因子設定!$L$5-0.000000001,D4272&lt;=01_因子設定!$M$5+0.000000001,E4272&gt;=01_因子設定!$L$6-0.000000001,E4272&lt;=01_因子設定!$M$6+0.000000001,F4272&gt;=01_因子設定!$L$7-0.000000001,F4272&lt;=01_因子設定!$M$7+0.000000001,IF(01_因子設定!$B$20="Box-Behnken",D4272^2+E4272^2+F4272^2&lt;=2+0.000000001,TRUE()))</f>
        <v>1</v>
      </c>
      <c r="W4272" s="55" t="n">
        <f aca="false">IF(V4272,IF(01_因子設定!$B$13="最大化",T4272-01_因子設定!$B$14,IF(01_因子設定!$B$13="最小化",01_因子設定!$B$15-U4272,MIN(T4272-01_因子設定!$B$14,01_因子設定!$B$15-U4272))),-1E+030)</f>
        <v>-2.33502756386153</v>
      </c>
      <c r="X4272" s="55" t="n">
        <f aca="false">IF(V4272,IF(01_因子設定!$B$13="最大化",Q4272,IF(01_因子設定!$B$13="最小化",-Q4272,-ABS(Q4272-01_因子設定!$B$16))),-1E+030)</f>
        <v>47.3024857954546</v>
      </c>
      <c r="Y4272" s="55" t="n">
        <f aca="false">W4272+ROW()*0.000000001</f>
        <v>-2.33502329186153</v>
      </c>
      <c r="Z4272" s="55" t="n">
        <f aca="false">X4272+ROW()*0.000000001</f>
        <v>47.3024900674546</v>
      </c>
    </row>
    <row r="4273" customFormat="false" ht="15" hidden="false" customHeight="false" outlineLevel="0" collapsed="false">
      <c r="A4273" s="0" t="n">
        <v>14</v>
      </c>
      <c r="B4273" s="0" t="n">
        <v>13</v>
      </c>
      <c r="C4273" s="0" t="n">
        <v>1</v>
      </c>
      <c r="D4273" s="0" t="n">
        <f aca="false">-1+A4273*0.125</f>
        <v>0.75</v>
      </c>
      <c r="E4273" s="0" t="n">
        <f aca="false">-1+B4273*0.125</f>
        <v>0.625</v>
      </c>
      <c r="F4273" s="0" t="n">
        <f aca="false">-1+C4273*0.125</f>
        <v>-0.875</v>
      </c>
      <c r="G4273" s="0" t="n">
        <f aca="false">1</f>
        <v>1</v>
      </c>
      <c r="H4273" s="0" t="n">
        <f aca="false">D4273</f>
        <v>0.75</v>
      </c>
      <c r="I4273" s="0" t="n">
        <f aca="false">E4273</f>
        <v>0.625</v>
      </c>
      <c r="J4273" s="0" t="n">
        <f aca="false">F4273</f>
        <v>-0.875</v>
      </c>
      <c r="K4273" s="0" t="n">
        <f aca="false">D4273*E4273</f>
        <v>0.46875</v>
      </c>
      <c r="L4273" s="0" t="n">
        <f aca="false">D4273*F4273</f>
        <v>-0.65625</v>
      </c>
      <c r="M4273" s="0" t="n">
        <f aca="false">E4273*F4273</f>
        <v>-0.546875</v>
      </c>
      <c r="N4273" s="0" t="n">
        <f aca="false">D4273*D4273</f>
        <v>0.5625</v>
      </c>
      <c r="O4273" s="0" t="n">
        <f aca="false">E4273*E4273</f>
        <v>0.390625</v>
      </c>
      <c r="P4273" s="0" t="n">
        <f aca="false">F4273*F4273</f>
        <v>0.765625</v>
      </c>
      <c r="Q4273" s="0" t="n">
        <f aca="false">SUMPRODUCT(G4273:P4273,_XtX!$B$71:$K$71)</f>
        <v>47.7720028409091</v>
      </c>
      <c r="R4273" s="0" t="n">
        <f aca="false">SUMPRODUCT(MMULT(G4273:P4273,_XtX!$B$58:$K$67),G4273:P4273)</f>
        <v>0.377245538884943</v>
      </c>
      <c r="S4273" s="0" t="n">
        <f aca="false">04_回帰ANOVA!$K$19*04_回帰ANOVA!$K$14*SQRT(1+R4273)</f>
        <v>1.09111951468927</v>
      </c>
      <c r="T4273" s="0" t="n">
        <f aca="false">Q4273-S4273</f>
        <v>46.6808833262198</v>
      </c>
      <c r="U4273" s="0" t="n">
        <f aca="false">Q4273+S4273</f>
        <v>48.8631223555984</v>
      </c>
      <c r="V4273" s="54" t="b">
        <f aca="false">AND(D4273&gt;=01_因子設定!$L$5-0.000000001,D4273&lt;=01_因子設定!$M$5+0.000000001,E4273&gt;=01_因子設定!$L$6-0.000000001,E4273&lt;=01_因子設定!$M$6+0.000000001,F4273&gt;=01_因子設定!$L$7-0.000000001,F4273&lt;=01_因子設定!$M$7+0.000000001,IF(01_因子設定!$B$20="Box-Behnken",D4273^2+E4273^2+F4273^2&lt;=2+0.000000001,TRUE()))</f>
        <v>1</v>
      </c>
      <c r="W4273" s="55" t="n">
        <f aca="false">IF(V4273,IF(01_因子設定!$B$13="最大化",T4273-01_因子設定!$B$14,IF(01_因子設定!$B$13="最小化",01_因子設定!$B$15-U4273,MIN(T4273-01_因子設定!$B$14,01_因子設定!$B$15-U4273))),-1E+030)</f>
        <v>-1.81911667378017</v>
      </c>
      <c r="X4273" s="55" t="n">
        <f aca="false">IF(V4273,IF(01_因子設定!$B$13="最大化",Q4273,IF(01_因子設定!$B$13="最小化",-Q4273,-ABS(Q4273-01_因子設定!$B$16))),-1E+030)</f>
        <v>47.7720028409091</v>
      </c>
      <c r="Y4273" s="55" t="n">
        <f aca="false">W4273+ROW()*0.000000001</f>
        <v>-1.81911240078017</v>
      </c>
      <c r="Z4273" s="55" t="n">
        <f aca="false">X4273+ROW()*0.000000001</f>
        <v>47.7720071139091</v>
      </c>
    </row>
    <row r="4274" customFormat="false" ht="15" hidden="false" customHeight="false" outlineLevel="0" collapsed="false">
      <c r="A4274" s="0" t="n">
        <v>14</v>
      </c>
      <c r="B4274" s="0" t="n">
        <v>13</v>
      </c>
      <c r="C4274" s="0" t="n">
        <v>2</v>
      </c>
      <c r="D4274" s="0" t="n">
        <f aca="false">-1+A4274*0.125</f>
        <v>0.75</v>
      </c>
      <c r="E4274" s="0" t="n">
        <f aca="false">-1+B4274*0.125</f>
        <v>0.625</v>
      </c>
      <c r="F4274" s="0" t="n">
        <f aca="false">-1+C4274*0.125</f>
        <v>-0.75</v>
      </c>
      <c r="G4274" s="0" t="n">
        <f aca="false">1</f>
        <v>1</v>
      </c>
      <c r="H4274" s="0" t="n">
        <f aca="false">D4274</f>
        <v>0.75</v>
      </c>
      <c r="I4274" s="0" t="n">
        <f aca="false">E4274</f>
        <v>0.625</v>
      </c>
      <c r="J4274" s="0" t="n">
        <f aca="false">F4274</f>
        <v>-0.75</v>
      </c>
      <c r="K4274" s="0" t="n">
        <f aca="false">D4274*E4274</f>
        <v>0.46875</v>
      </c>
      <c r="L4274" s="0" t="n">
        <f aca="false">D4274*F4274</f>
        <v>-0.5625</v>
      </c>
      <c r="M4274" s="0" t="n">
        <f aca="false">E4274*F4274</f>
        <v>-0.46875</v>
      </c>
      <c r="N4274" s="0" t="n">
        <f aca="false">D4274*D4274</f>
        <v>0.5625</v>
      </c>
      <c r="O4274" s="0" t="n">
        <f aca="false">E4274*E4274</f>
        <v>0.390625</v>
      </c>
      <c r="P4274" s="0" t="n">
        <f aca="false">F4274*F4274</f>
        <v>0.5625</v>
      </c>
      <c r="Q4274" s="0" t="n">
        <f aca="false">SUMPRODUCT(G4274:P4274,_XtX!$B$71:$K$71)</f>
        <v>48.2047301136364</v>
      </c>
      <c r="R4274" s="0" t="n">
        <f aca="false">SUMPRODUCT(MMULT(G4274:P4274,_XtX!$B$58:$K$67),G4274:P4274)</f>
        <v>0.305899325284091</v>
      </c>
      <c r="S4274" s="0" t="n">
        <f aca="false">04_回帰ANOVA!$K$19*04_回帰ANOVA!$K$14*SQRT(1+R4274)</f>
        <v>1.06248176416816</v>
      </c>
      <c r="T4274" s="0" t="n">
        <f aca="false">Q4274-S4274</f>
        <v>47.1422483494682</v>
      </c>
      <c r="U4274" s="0" t="n">
        <f aca="false">Q4274+S4274</f>
        <v>49.2672118778045</v>
      </c>
      <c r="V4274" s="54" t="b">
        <f aca="false">AND(D4274&gt;=01_因子設定!$L$5-0.000000001,D4274&lt;=01_因子設定!$M$5+0.000000001,E4274&gt;=01_因子設定!$L$6-0.000000001,E4274&lt;=01_因子設定!$M$6+0.000000001,F4274&gt;=01_因子設定!$L$7-0.000000001,F4274&lt;=01_因子設定!$M$7+0.000000001,IF(01_因子設定!$B$20="Box-Behnken",D4274^2+E4274^2+F4274^2&lt;=2+0.000000001,TRUE()))</f>
        <v>1</v>
      </c>
      <c r="W4274" s="55" t="n">
        <f aca="false">IF(V4274,IF(01_因子設定!$B$13="最大化",T4274-01_因子設定!$B$14,IF(01_因子設定!$B$13="最小化",01_因子設定!$B$15-U4274,MIN(T4274-01_因子設定!$B$14,01_因子設定!$B$15-U4274))),-1E+030)</f>
        <v>-1.35775165053179</v>
      </c>
      <c r="X4274" s="55" t="n">
        <f aca="false">IF(V4274,IF(01_因子設定!$B$13="最大化",Q4274,IF(01_因子設定!$B$13="最小化",-Q4274,-ABS(Q4274-01_因子設定!$B$16))),-1E+030)</f>
        <v>48.2047301136364</v>
      </c>
      <c r="Y4274" s="55" t="n">
        <f aca="false">W4274+ROW()*0.000000001</f>
        <v>-1.35774737653179</v>
      </c>
      <c r="Z4274" s="55" t="n">
        <f aca="false">X4274+ROW()*0.000000001</f>
        <v>48.2047343876364</v>
      </c>
    </row>
    <row r="4275" customFormat="false" ht="15" hidden="false" customHeight="false" outlineLevel="0" collapsed="false">
      <c r="A4275" s="0" t="n">
        <v>14</v>
      </c>
      <c r="B4275" s="0" t="n">
        <v>13</v>
      </c>
      <c r="C4275" s="0" t="n">
        <v>3</v>
      </c>
      <c r="D4275" s="0" t="n">
        <f aca="false">-1+A4275*0.125</f>
        <v>0.75</v>
      </c>
      <c r="E4275" s="0" t="n">
        <f aca="false">-1+B4275*0.125</f>
        <v>0.625</v>
      </c>
      <c r="F4275" s="0" t="n">
        <f aca="false">-1+C4275*0.125</f>
        <v>-0.625</v>
      </c>
      <c r="G4275" s="0" t="n">
        <f aca="false">1</f>
        <v>1</v>
      </c>
      <c r="H4275" s="0" t="n">
        <f aca="false">D4275</f>
        <v>0.75</v>
      </c>
      <c r="I4275" s="0" t="n">
        <f aca="false">E4275</f>
        <v>0.625</v>
      </c>
      <c r="J4275" s="0" t="n">
        <f aca="false">F4275</f>
        <v>-0.625</v>
      </c>
      <c r="K4275" s="0" t="n">
        <f aca="false">D4275*E4275</f>
        <v>0.46875</v>
      </c>
      <c r="L4275" s="0" t="n">
        <f aca="false">D4275*F4275</f>
        <v>-0.46875</v>
      </c>
      <c r="M4275" s="0" t="n">
        <f aca="false">E4275*F4275</f>
        <v>-0.390625</v>
      </c>
      <c r="N4275" s="0" t="n">
        <f aca="false">D4275*D4275</f>
        <v>0.5625</v>
      </c>
      <c r="O4275" s="0" t="n">
        <f aca="false">E4275*E4275</f>
        <v>0.390625</v>
      </c>
      <c r="P4275" s="0" t="n">
        <f aca="false">F4275*F4275</f>
        <v>0.390625</v>
      </c>
      <c r="Q4275" s="0" t="n">
        <f aca="false">SUMPRODUCT(G4275:P4275,_XtX!$B$71:$K$71)</f>
        <v>48.6006676136364</v>
      </c>
      <c r="R4275" s="0" t="n">
        <f aca="false">SUMPRODUCT(MMULT(G4275:P4275,_XtX!$B$58:$K$67),G4275:P4275)</f>
        <v>0.268966952237216</v>
      </c>
      <c r="S4275" s="0" t="n">
        <f aca="false">04_回帰ANOVA!$K$19*04_回帰ANOVA!$K$14*SQRT(1+R4275)</f>
        <v>1.04734989137801</v>
      </c>
      <c r="T4275" s="0" t="n">
        <f aca="false">Q4275-S4275</f>
        <v>47.5533177222584</v>
      </c>
      <c r="U4275" s="0" t="n">
        <f aca="false">Q4275+S4275</f>
        <v>49.6480175050144</v>
      </c>
      <c r="V4275" s="54" t="b">
        <f aca="false">AND(D4275&gt;=01_因子設定!$L$5-0.000000001,D4275&lt;=01_因子設定!$M$5+0.000000001,E4275&gt;=01_因子設定!$L$6-0.000000001,E4275&lt;=01_因子設定!$M$6+0.000000001,F4275&gt;=01_因子設定!$L$7-0.000000001,F4275&lt;=01_因子設定!$M$7+0.000000001,IF(01_因子設定!$B$20="Box-Behnken",D4275^2+E4275^2+F4275^2&lt;=2+0.000000001,TRUE()))</f>
        <v>1</v>
      </c>
      <c r="W4275" s="55" t="n">
        <f aca="false">IF(V4275,IF(01_因子設定!$B$13="最大化",T4275-01_因子設定!$B$14,IF(01_因子設定!$B$13="最小化",01_因子設定!$B$15-U4275,MIN(T4275-01_因子設定!$B$14,01_因子設定!$B$15-U4275))),-1E+030)</f>
        <v>-0.946682277741644</v>
      </c>
      <c r="X4275" s="55" t="n">
        <f aca="false">IF(V4275,IF(01_因子設定!$B$13="最大化",Q4275,IF(01_因子設定!$B$13="最小化",-Q4275,-ABS(Q4275-01_因子設定!$B$16))),-1E+030)</f>
        <v>48.6006676136364</v>
      </c>
      <c r="Y4275" s="55" t="n">
        <f aca="false">W4275+ROW()*0.000000001</f>
        <v>-0.946678002741644</v>
      </c>
      <c r="Z4275" s="55" t="n">
        <f aca="false">X4275+ROW()*0.000000001</f>
        <v>48.6006718886364</v>
      </c>
    </row>
    <row r="4276" customFormat="false" ht="15" hidden="false" customHeight="false" outlineLevel="0" collapsed="false">
      <c r="A4276" s="0" t="n">
        <v>14</v>
      </c>
      <c r="B4276" s="0" t="n">
        <v>13</v>
      </c>
      <c r="C4276" s="0" t="n">
        <v>4</v>
      </c>
      <c r="D4276" s="0" t="n">
        <f aca="false">-1+A4276*0.125</f>
        <v>0.75</v>
      </c>
      <c r="E4276" s="0" t="n">
        <f aca="false">-1+B4276*0.125</f>
        <v>0.625</v>
      </c>
      <c r="F4276" s="0" t="n">
        <f aca="false">-1+C4276*0.125</f>
        <v>-0.5</v>
      </c>
      <c r="G4276" s="0" t="n">
        <f aca="false">1</f>
        <v>1</v>
      </c>
      <c r="H4276" s="0" t="n">
        <f aca="false">D4276</f>
        <v>0.75</v>
      </c>
      <c r="I4276" s="0" t="n">
        <f aca="false">E4276</f>
        <v>0.625</v>
      </c>
      <c r="J4276" s="0" t="n">
        <f aca="false">F4276</f>
        <v>-0.5</v>
      </c>
      <c r="K4276" s="0" t="n">
        <f aca="false">D4276*E4276</f>
        <v>0.46875</v>
      </c>
      <c r="L4276" s="0" t="n">
        <f aca="false">D4276*F4276</f>
        <v>-0.375</v>
      </c>
      <c r="M4276" s="0" t="n">
        <f aca="false">E4276*F4276</f>
        <v>-0.3125</v>
      </c>
      <c r="N4276" s="0" t="n">
        <f aca="false">D4276*D4276</f>
        <v>0.5625</v>
      </c>
      <c r="O4276" s="0" t="n">
        <f aca="false">E4276*E4276</f>
        <v>0.390625</v>
      </c>
      <c r="P4276" s="0" t="n">
        <f aca="false">F4276*F4276</f>
        <v>0.25</v>
      </c>
      <c r="Q4276" s="0" t="n">
        <f aca="false">SUMPRODUCT(G4276:P4276,_XtX!$B$71:$K$71)</f>
        <v>48.9598153409091</v>
      </c>
      <c r="R4276" s="0" t="n">
        <f aca="false">SUMPRODUCT(MMULT(G4276:P4276,_XtX!$B$58:$K$67),G4276:P4276)</f>
        <v>0.254729669744318</v>
      </c>
      <c r="S4276" s="0" t="n">
        <f aca="false">04_回帰ANOVA!$K$19*04_回帰ANOVA!$K$14*SQRT(1+R4276)</f>
        <v>1.04145790281631</v>
      </c>
      <c r="T4276" s="0" t="n">
        <f aca="false">Q4276-S4276</f>
        <v>47.9183574380928</v>
      </c>
      <c r="U4276" s="0" t="n">
        <f aca="false">Q4276+S4276</f>
        <v>50.0012732437254</v>
      </c>
      <c r="V4276" s="54" t="b">
        <f aca="false">AND(D4276&gt;=01_因子設定!$L$5-0.000000001,D4276&lt;=01_因子設定!$M$5+0.000000001,E4276&gt;=01_因子設定!$L$6-0.000000001,E4276&lt;=01_因子設定!$M$6+0.000000001,F4276&gt;=01_因子設定!$L$7-0.000000001,F4276&lt;=01_因子設定!$M$7+0.000000001,IF(01_因子設定!$B$20="Box-Behnken",D4276^2+E4276^2+F4276^2&lt;=2+0.000000001,TRUE()))</f>
        <v>1</v>
      </c>
      <c r="W4276" s="55" t="n">
        <f aca="false">IF(V4276,IF(01_因子設定!$B$13="最大化",T4276-01_因子設定!$B$14,IF(01_因子設定!$B$13="最小化",01_因子設定!$B$15-U4276,MIN(T4276-01_因子設定!$B$14,01_因子設定!$B$15-U4276))),-1E+030)</f>
        <v>-0.581642561907216</v>
      </c>
      <c r="X4276" s="55" t="n">
        <f aca="false">IF(V4276,IF(01_因子設定!$B$13="最大化",Q4276,IF(01_因子設定!$B$13="最小化",-Q4276,-ABS(Q4276-01_因子設定!$B$16))),-1E+030)</f>
        <v>48.9598153409091</v>
      </c>
      <c r="Y4276" s="55" t="n">
        <f aca="false">W4276+ROW()*0.000000001</f>
        <v>-0.581638285907216</v>
      </c>
      <c r="Z4276" s="55" t="n">
        <f aca="false">X4276+ROW()*0.000000001</f>
        <v>48.9598196169091</v>
      </c>
    </row>
    <row r="4277" customFormat="false" ht="15" hidden="false" customHeight="false" outlineLevel="0" collapsed="false">
      <c r="A4277" s="0" t="n">
        <v>14</v>
      </c>
      <c r="B4277" s="0" t="n">
        <v>13</v>
      </c>
      <c r="C4277" s="0" t="n">
        <v>5</v>
      </c>
      <c r="D4277" s="0" t="n">
        <f aca="false">-1+A4277*0.125</f>
        <v>0.75</v>
      </c>
      <c r="E4277" s="0" t="n">
        <f aca="false">-1+B4277*0.125</f>
        <v>0.625</v>
      </c>
      <c r="F4277" s="0" t="n">
        <f aca="false">-1+C4277*0.125</f>
        <v>-0.375</v>
      </c>
      <c r="G4277" s="0" t="n">
        <f aca="false">1</f>
        <v>1</v>
      </c>
      <c r="H4277" s="0" t="n">
        <f aca="false">D4277</f>
        <v>0.75</v>
      </c>
      <c r="I4277" s="0" t="n">
        <f aca="false">E4277</f>
        <v>0.625</v>
      </c>
      <c r="J4277" s="0" t="n">
        <f aca="false">F4277</f>
        <v>-0.375</v>
      </c>
      <c r="K4277" s="0" t="n">
        <f aca="false">D4277*E4277</f>
        <v>0.46875</v>
      </c>
      <c r="L4277" s="0" t="n">
        <f aca="false">D4277*F4277</f>
        <v>-0.28125</v>
      </c>
      <c r="M4277" s="0" t="n">
        <f aca="false">E4277*F4277</f>
        <v>-0.234375</v>
      </c>
      <c r="N4277" s="0" t="n">
        <f aca="false">D4277*D4277</f>
        <v>0.5625</v>
      </c>
      <c r="O4277" s="0" t="n">
        <f aca="false">E4277*E4277</f>
        <v>0.390625</v>
      </c>
      <c r="P4277" s="0" t="n">
        <f aca="false">F4277*F4277</f>
        <v>0.140625</v>
      </c>
      <c r="Q4277" s="0" t="n">
        <f aca="false">SUMPRODUCT(G4277:P4277,_XtX!$B$71:$K$71)</f>
        <v>49.2821732954546</v>
      </c>
      <c r="R4277" s="0" t="n">
        <f aca="false">SUMPRODUCT(MMULT(G4277:P4277,_XtX!$B$58:$K$67),G4277:P4277)</f>
        <v>0.25359940962358</v>
      </c>
      <c r="S4277" s="0" t="n">
        <f aca="false">04_回帰ANOVA!$K$19*04_回帰ANOVA!$K$14*SQRT(1+R4277)</f>
        <v>1.04098872464599</v>
      </c>
      <c r="T4277" s="0" t="n">
        <f aca="false">Q4277-S4277</f>
        <v>48.2411845708086</v>
      </c>
      <c r="U4277" s="0" t="n">
        <f aca="false">Q4277+S4277</f>
        <v>50.3231620201005</v>
      </c>
      <c r="V4277" s="54" t="b">
        <f aca="false">AND(D4277&gt;=01_因子設定!$L$5-0.000000001,D4277&lt;=01_因子設定!$M$5+0.000000001,E4277&gt;=01_因子設定!$L$6-0.000000001,E4277&lt;=01_因子設定!$M$6+0.000000001,F4277&gt;=01_因子設定!$L$7-0.000000001,F4277&lt;=01_因子設定!$M$7+0.000000001,IF(01_因子設定!$B$20="Box-Behnken",D4277^2+E4277^2+F4277^2&lt;=2+0.000000001,TRUE()))</f>
        <v>1</v>
      </c>
      <c r="W4277" s="55" t="n">
        <f aca="false">IF(V4277,IF(01_因子設定!$B$13="最大化",T4277-01_因子設定!$B$14,IF(01_因子設定!$B$13="最小化",01_因子設定!$B$15-U4277,MIN(T4277-01_因子設定!$B$14,01_因子設定!$B$15-U4277))),-1E+030)</f>
        <v>-0.258815429191436</v>
      </c>
      <c r="X4277" s="55" t="n">
        <f aca="false">IF(V4277,IF(01_因子設定!$B$13="最大化",Q4277,IF(01_因子設定!$B$13="最小化",-Q4277,-ABS(Q4277-01_因子設定!$B$16))),-1E+030)</f>
        <v>49.2821732954546</v>
      </c>
      <c r="Y4277" s="55" t="n">
        <f aca="false">W4277+ROW()*0.000000001</f>
        <v>-0.258811152191436</v>
      </c>
      <c r="Z4277" s="55" t="n">
        <f aca="false">X4277+ROW()*0.000000001</f>
        <v>49.2821775724546</v>
      </c>
    </row>
    <row r="4278" customFormat="false" ht="15" hidden="false" customHeight="false" outlineLevel="0" collapsed="false">
      <c r="A4278" s="0" t="n">
        <v>14</v>
      </c>
      <c r="B4278" s="0" t="n">
        <v>13</v>
      </c>
      <c r="C4278" s="0" t="n">
        <v>6</v>
      </c>
      <c r="D4278" s="0" t="n">
        <f aca="false">-1+A4278*0.125</f>
        <v>0.75</v>
      </c>
      <c r="E4278" s="0" t="n">
        <f aca="false">-1+B4278*0.125</f>
        <v>0.625</v>
      </c>
      <c r="F4278" s="0" t="n">
        <f aca="false">-1+C4278*0.125</f>
        <v>-0.25</v>
      </c>
      <c r="G4278" s="0" t="n">
        <f aca="false">1</f>
        <v>1</v>
      </c>
      <c r="H4278" s="0" t="n">
        <f aca="false">D4278</f>
        <v>0.75</v>
      </c>
      <c r="I4278" s="0" t="n">
        <f aca="false">E4278</f>
        <v>0.625</v>
      </c>
      <c r="J4278" s="0" t="n">
        <f aca="false">F4278</f>
        <v>-0.25</v>
      </c>
      <c r="K4278" s="0" t="n">
        <f aca="false">D4278*E4278</f>
        <v>0.46875</v>
      </c>
      <c r="L4278" s="0" t="n">
        <f aca="false">D4278*F4278</f>
        <v>-0.1875</v>
      </c>
      <c r="M4278" s="0" t="n">
        <f aca="false">E4278*F4278</f>
        <v>-0.15625</v>
      </c>
      <c r="N4278" s="0" t="n">
        <f aca="false">D4278*D4278</f>
        <v>0.5625</v>
      </c>
      <c r="O4278" s="0" t="n">
        <f aca="false">E4278*E4278</f>
        <v>0.390625</v>
      </c>
      <c r="P4278" s="0" t="n">
        <f aca="false">F4278*F4278</f>
        <v>0.0625</v>
      </c>
      <c r="Q4278" s="0" t="n">
        <f aca="false">SUMPRODUCT(G4278:P4278,_XtX!$B$71:$K$71)</f>
        <v>49.5677414772727</v>
      </c>
      <c r="R4278" s="0" t="n">
        <f aca="false">SUMPRODUCT(MMULT(G4278:P4278,_XtX!$B$58:$K$67),G4278:P4278)</f>
        <v>0.258118785511364</v>
      </c>
      <c r="S4278" s="0" t="n">
        <f aca="false">04_回帰ANOVA!$K$19*04_回帰ANOVA!$K$14*SQRT(1+R4278)</f>
        <v>1.04286348094876</v>
      </c>
      <c r="T4278" s="0" t="n">
        <f aca="false">Q4278-S4278</f>
        <v>48.524877996324</v>
      </c>
      <c r="U4278" s="0" t="n">
        <f aca="false">Q4278+S4278</f>
        <v>50.6106049582215</v>
      </c>
      <c r="V4278" s="54" t="b">
        <f aca="false">AND(D4278&gt;=01_因子設定!$L$5-0.000000001,D4278&lt;=01_因子設定!$M$5+0.000000001,E4278&gt;=01_因子設定!$L$6-0.000000001,E4278&lt;=01_因子設定!$M$6+0.000000001,F4278&gt;=01_因子設定!$L$7-0.000000001,F4278&lt;=01_因子設定!$M$7+0.000000001,IF(01_因子設定!$B$20="Box-Behnken",D4278^2+E4278^2+F4278^2&lt;=2+0.000000001,TRUE()))</f>
        <v>1</v>
      </c>
      <c r="W4278" s="55" t="n">
        <f aca="false">IF(V4278,IF(01_因子設定!$B$13="最大化",T4278-01_因子設定!$B$14,IF(01_因子設定!$B$13="最小化",01_因子設定!$B$15-U4278,MIN(T4278-01_因子設定!$B$14,01_因子設定!$B$15-U4278))),-1E+030)</f>
        <v>0.0248779963239656</v>
      </c>
      <c r="X4278" s="55" t="n">
        <f aca="false">IF(V4278,IF(01_因子設定!$B$13="最大化",Q4278,IF(01_因子設定!$B$13="最小化",-Q4278,-ABS(Q4278-01_因子設定!$B$16))),-1E+030)</f>
        <v>49.5677414772727</v>
      </c>
      <c r="Y4278" s="55" t="n">
        <f aca="false">W4278+ROW()*0.000000001</f>
        <v>0.0248822743239656</v>
      </c>
      <c r="Z4278" s="55" t="n">
        <f aca="false">X4278+ROW()*0.000000001</f>
        <v>49.5677457552727</v>
      </c>
    </row>
    <row r="4279" customFormat="false" ht="15" hidden="false" customHeight="false" outlineLevel="0" collapsed="false">
      <c r="A4279" s="0" t="n">
        <v>14</v>
      </c>
      <c r="B4279" s="0" t="n">
        <v>13</v>
      </c>
      <c r="C4279" s="0" t="n">
        <v>7</v>
      </c>
      <c r="D4279" s="0" t="n">
        <f aca="false">-1+A4279*0.125</f>
        <v>0.75</v>
      </c>
      <c r="E4279" s="0" t="n">
        <f aca="false">-1+B4279*0.125</f>
        <v>0.625</v>
      </c>
      <c r="F4279" s="0" t="n">
        <f aca="false">-1+C4279*0.125</f>
        <v>-0.125</v>
      </c>
      <c r="G4279" s="0" t="n">
        <f aca="false">1</f>
        <v>1</v>
      </c>
      <c r="H4279" s="0" t="n">
        <f aca="false">D4279</f>
        <v>0.75</v>
      </c>
      <c r="I4279" s="0" t="n">
        <f aca="false">E4279</f>
        <v>0.625</v>
      </c>
      <c r="J4279" s="0" t="n">
        <f aca="false">F4279</f>
        <v>-0.125</v>
      </c>
      <c r="K4279" s="0" t="n">
        <f aca="false">D4279*E4279</f>
        <v>0.46875</v>
      </c>
      <c r="L4279" s="0" t="n">
        <f aca="false">D4279*F4279</f>
        <v>-0.09375</v>
      </c>
      <c r="M4279" s="0" t="n">
        <f aca="false">E4279*F4279</f>
        <v>-0.078125</v>
      </c>
      <c r="N4279" s="0" t="n">
        <f aca="false">D4279*D4279</f>
        <v>0.5625</v>
      </c>
      <c r="O4279" s="0" t="n">
        <f aca="false">E4279*E4279</f>
        <v>0.390625</v>
      </c>
      <c r="P4279" s="0" t="n">
        <f aca="false">F4279*F4279</f>
        <v>0.015625</v>
      </c>
      <c r="Q4279" s="0" t="n">
        <f aca="false">SUMPRODUCT(G4279:P4279,_XtX!$B$71:$K$71)</f>
        <v>49.8165198863636</v>
      </c>
      <c r="R4279" s="0" t="n">
        <f aca="false">SUMPRODUCT(MMULT(G4279:P4279,_XtX!$B$58:$K$67),G4279:P4279)</f>
        <v>0.262961092862216</v>
      </c>
      <c r="S4279" s="0" t="n">
        <f aca="false">04_回帰ANOVA!$K$19*04_回帰ANOVA!$K$14*SQRT(1+R4279)</f>
        <v>1.04486846483649</v>
      </c>
      <c r="T4279" s="0" t="n">
        <f aca="false">Q4279-S4279</f>
        <v>48.7716514215272</v>
      </c>
      <c r="U4279" s="0" t="n">
        <f aca="false">Q4279+S4279</f>
        <v>50.8613883512001</v>
      </c>
      <c r="V4279" s="54" t="b">
        <f aca="false">AND(D4279&gt;=01_因子設定!$L$5-0.000000001,D4279&lt;=01_因子設定!$M$5+0.000000001,E4279&gt;=01_因子設定!$L$6-0.000000001,E4279&lt;=01_因子設定!$M$6+0.000000001,F4279&gt;=01_因子設定!$L$7-0.000000001,F4279&lt;=01_因子設定!$M$7+0.000000001,IF(01_因子設定!$B$20="Box-Behnken",D4279^2+E4279^2+F4279^2&lt;=2+0.000000001,TRUE()))</f>
        <v>1</v>
      </c>
      <c r="W4279" s="55" t="n">
        <f aca="false">IF(V4279,IF(01_因子設定!$B$13="最大化",T4279-01_因子設定!$B$14,IF(01_因子設定!$B$13="最小化",01_因子設定!$B$15-U4279,MIN(T4279-01_因子設定!$B$14,01_因子設定!$B$15-U4279))),-1E+030)</f>
        <v>0.271651421527153</v>
      </c>
      <c r="X4279" s="55" t="n">
        <f aca="false">IF(V4279,IF(01_因子設定!$B$13="最大化",Q4279,IF(01_因子設定!$B$13="最小化",-Q4279,-ABS(Q4279-01_因子設定!$B$16))),-1E+030)</f>
        <v>49.8165198863636</v>
      </c>
      <c r="Y4279" s="55" t="n">
        <f aca="false">W4279+ROW()*0.000000001</f>
        <v>0.271655700527153</v>
      </c>
      <c r="Z4279" s="55" t="n">
        <f aca="false">X4279+ROW()*0.000000001</f>
        <v>49.8165241653636</v>
      </c>
    </row>
    <row r="4280" customFormat="false" ht="15" hidden="false" customHeight="false" outlineLevel="0" collapsed="false">
      <c r="A4280" s="0" t="n">
        <v>14</v>
      </c>
      <c r="B4280" s="0" t="n">
        <v>13</v>
      </c>
      <c r="C4280" s="0" t="n">
        <v>8</v>
      </c>
      <c r="D4280" s="0" t="n">
        <f aca="false">-1+A4280*0.125</f>
        <v>0.75</v>
      </c>
      <c r="E4280" s="0" t="n">
        <f aca="false">-1+B4280*0.125</f>
        <v>0.625</v>
      </c>
      <c r="F4280" s="0" t="n">
        <f aca="false">-1+C4280*0.125</f>
        <v>0</v>
      </c>
      <c r="G4280" s="0" t="n">
        <f aca="false">1</f>
        <v>1</v>
      </c>
      <c r="H4280" s="0" t="n">
        <f aca="false">D4280</f>
        <v>0.75</v>
      </c>
      <c r="I4280" s="0" t="n">
        <f aca="false">E4280</f>
        <v>0.625</v>
      </c>
      <c r="J4280" s="0" t="n">
        <f aca="false">F4280</f>
        <v>0</v>
      </c>
      <c r="K4280" s="0" t="n">
        <f aca="false">D4280*E4280</f>
        <v>0.46875</v>
      </c>
      <c r="L4280" s="0" t="n">
        <f aca="false">D4280*F4280</f>
        <v>0</v>
      </c>
      <c r="M4280" s="0" t="n">
        <f aca="false">E4280*F4280</f>
        <v>0</v>
      </c>
      <c r="N4280" s="0" t="n">
        <f aca="false">D4280*D4280</f>
        <v>0.5625</v>
      </c>
      <c r="O4280" s="0" t="n">
        <f aca="false">E4280*E4280</f>
        <v>0.390625</v>
      </c>
      <c r="P4280" s="0" t="n">
        <f aca="false">F4280*F4280</f>
        <v>0</v>
      </c>
      <c r="Q4280" s="0" t="n">
        <f aca="false">SUMPRODUCT(G4280:P4280,_XtX!$B$71:$K$71)</f>
        <v>50.0285085227273</v>
      </c>
      <c r="R4280" s="0" t="n">
        <f aca="false">SUMPRODUCT(MMULT(G4280:P4280,_XtX!$B$58:$K$67),G4280:P4280)</f>
        <v>0.264930308948864</v>
      </c>
      <c r="S4280" s="0" t="n">
        <f aca="false">04_回帰ANOVA!$K$19*04_回帰ANOVA!$K$14*SQRT(1+R4280)</f>
        <v>1.04568272997153</v>
      </c>
      <c r="T4280" s="0" t="n">
        <f aca="false">Q4280-S4280</f>
        <v>48.9828257927558</v>
      </c>
      <c r="U4280" s="0" t="n">
        <f aca="false">Q4280+S4280</f>
        <v>51.0741912526988</v>
      </c>
      <c r="V4280" s="54" t="b">
        <f aca="false">AND(D4280&gt;=01_因子設定!$L$5-0.000000001,D4280&lt;=01_因子設定!$M$5+0.000000001,E4280&gt;=01_因子設定!$L$6-0.000000001,E4280&lt;=01_因子設定!$M$6+0.000000001,F4280&gt;=01_因子設定!$L$7-0.000000001,F4280&lt;=01_因子設定!$M$7+0.000000001,IF(01_因子設定!$B$20="Box-Behnken",D4280^2+E4280^2+F4280^2&lt;=2+0.000000001,TRUE()))</f>
        <v>1</v>
      </c>
      <c r="W4280" s="55" t="n">
        <f aca="false">IF(V4280,IF(01_因子設定!$B$13="最大化",T4280-01_因子設定!$B$14,IF(01_因子設定!$B$13="最小化",01_因子設定!$B$15-U4280,MIN(T4280-01_因子設定!$B$14,01_因子設定!$B$15-U4280))),-1E+030)</f>
        <v>0.482825792755747</v>
      </c>
      <c r="X4280" s="55" t="n">
        <f aca="false">IF(V4280,IF(01_因子設定!$B$13="最大化",Q4280,IF(01_因子設定!$B$13="最小化",-Q4280,-ABS(Q4280-01_因子設定!$B$16))),-1E+030)</f>
        <v>50.0285085227273</v>
      </c>
      <c r="Y4280" s="55" t="n">
        <f aca="false">W4280+ROW()*0.000000001</f>
        <v>0.482830072755747</v>
      </c>
      <c r="Z4280" s="55" t="n">
        <f aca="false">X4280+ROW()*0.000000001</f>
        <v>50.0285128027273</v>
      </c>
    </row>
    <row r="4281" customFormat="false" ht="15" hidden="false" customHeight="false" outlineLevel="0" collapsed="false">
      <c r="A4281" s="0" t="n">
        <v>14</v>
      </c>
      <c r="B4281" s="0" t="n">
        <v>13</v>
      </c>
      <c r="C4281" s="0" t="n">
        <v>9</v>
      </c>
      <c r="D4281" s="0" t="n">
        <f aca="false">-1+A4281*0.125</f>
        <v>0.75</v>
      </c>
      <c r="E4281" s="0" t="n">
        <f aca="false">-1+B4281*0.125</f>
        <v>0.625</v>
      </c>
      <c r="F4281" s="0" t="n">
        <f aca="false">-1+C4281*0.125</f>
        <v>0.125</v>
      </c>
      <c r="G4281" s="0" t="n">
        <f aca="false">1</f>
        <v>1</v>
      </c>
      <c r="H4281" s="0" t="n">
        <f aca="false">D4281</f>
        <v>0.75</v>
      </c>
      <c r="I4281" s="0" t="n">
        <f aca="false">E4281</f>
        <v>0.625</v>
      </c>
      <c r="J4281" s="0" t="n">
        <f aca="false">F4281</f>
        <v>0.125</v>
      </c>
      <c r="K4281" s="0" t="n">
        <f aca="false">D4281*E4281</f>
        <v>0.46875</v>
      </c>
      <c r="L4281" s="0" t="n">
        <f aca="false">D4281*F4281</f>
        <v>0.09375</v>
      </c>
      <c r="M4281" s="0" t="n">
        <f aca="false">E4281*F4281</f>
        <v>0.078125</v>
      </c>
      <c r="N4281" s="0" t="n">
        <f aca="false">D4281*D4281</f>
        <v>0.5625</v>
      </c>
      <c r="O4281" s="0" t="n">
        <f aca="false">E4281*E4281</f>
        <v>0.390625</v>
      </c>
      <c r="P4281" s="0" t="n">
        <f aca="false">F4281*F4281</f>
        <v>0.015625</v>
      </c>
      <c r="Q4281" s="0" t="n">
        <f aca="false">SUMPRODUCT(G4281:P4281,_XtX!$B$71:$K$71)</f>
        <v>50.2037073863636</v>
      </c>
      <c r="R4281" s="0" t="n">
        <f aca="false">SUMPRODUCT(MMULT(G4281:P4281,_XtX!$B$58:$K$67),G4281:P4281)</f>
        <v>0.262961092862216</v>
      </c>
      <c r="S4281" s="0" t="n">
        <f aca="false">04_回帰ANOVA!$K$19*04_回帰ANOVA!$K$14*SQRT(1+R4281)</f>
        <v>1.04486846483649</v>
      </c>
      <c r="T4281" s="0" t="n">
        <f aca="false">Q4281-S4281</f>
        <v>49.1588389215272</v>
      </c>
      <c r="U4281" s="0" t="n">
        <f aca="false">Q4281+S4281</f>
        <v>51.2485758512001</v>
      </c>
      <c r="V4281" s="54" t="b">
        <f aca="false">AND(D4281&gt;=01_因子設定!$L$5-0.000000001,D4281&lt;=01_因子設定!$M$5+0.000000001,E4281&gt;=01_因子設定!$L$6-0.000000001,E4281&lt;=01_因子設定!$M$6+0.000000001,F4281&gt;=01_因子設定!$L$7-0.000000001,F4281&lt;=01_因子設定!$M$7+0.000000001,IF(01_因子設定!$B$20="Box-Behnken",D4281^2+E4281^2+F4281^2&lt;=2+0.000000001,TRUE()))</f>
        <v>1</v>
      </c>
      <c r="W4281" s="55" t="n">
        <f aca="false">IF(V4281,IF(01_因子設定!$B$13="最大化",T4281-01_因子設定!$B$14,IF(01_因子設定!$B$13="最小化",01_因子設定!$B$15-U4281,MIN(T4281-01_因子設定!$B$14,01_因子設定!$B$15-U4281))),-1E+030)</f>
        <v>0.658838921527149</v>
      </c>
      <c r="X4281" s="55" t="n">
        <f aca="false">IF(V4281,IF(01_因子設定!$B$13="最大化",Q4281,IF(01_因子設定!$B$13="最小化",-Q4281,-ABS(Q4281-01_因子設定!$B$16))),-1E+030)</f>
        <v>50.2037073863636</v>
      </c>
      <c r="Y4281" s="55" t="n">
        <f aca="false">W4281+ROW()*0.000000001</f>
        <v>0.658843202527149</v>
      </c>
      <c r="Z4281" s="55" t="n">
        <f aca="false">X4281+ROW()*0.000000001</f>
        <v>50.2037116673636</v>
      </c>
    </row>
    <row r="4282" customFormat="false" ht="15" hidden="false" customHeight="false" outlineLevel="0" collapsed="false">
      <c r="A4282" s="0" t="n">
        <v>14</v>
      </c>
      <c r="B4282" s="0" t="n">
        <v>13</v>
      </c>
      <c r="C4282" s="0" t="n">
        <v>10</v>
      </c>
      <c r="D4282" s="0" t="n">
        <f aca="false">-1+A4282*0.125</f>
        <v>0.75</v>
      </c>
      <c r="E4282" s="0" t="n">
        <f aca="false">-1+B4282*0.125</f>
        <v>0.625</v>
      </c>
      <c r="F4282" s="0" t="n">
        <f aca="false">-1+C4282*0.125</f>
        <v>0.25</v>
      </c>
      <c r="G4282" s="0" t="n">
        <f aca="false">1</f>
        <v>1</v>
      </c>
      <c r="H4282" s="0" t="n">
        <f aca="false">D4282</f>
        <v>0.75</v>
      </c>
      <c r="I4282" s="0" t="n">
        <f aca="false">E4282</f>
        <v>0.625</v>
      </c>
      <c r="J4282" s="0" t="n">
        <f aca="false">F4282</f>
        <v>0.25</v>
      </c>
      <c r="K4282" s="0" t="n">
        <f aca="false">D4282*E4282</f>
        <v>0.46875</v>
      </c>
      <c r="L4282" s="0" t="n">
        <f aca="false">D4282*F4282</f>
        <v>0.1875</v>
      </c>
      <c r="M4282" s="0" t="n">
        <f aca="false">E4282*F4282</f>
        <v>0.15625</v>
      </c>
      <c r="N4282" s="0" t="n">
        <f aca="false">D4282*D4282</f>
        <v>0.5625</v>
      </c>
      <c r="O4282" s="0" t="n">
        <f aca="false">E4282*E4282</f>
        <v>0.390625</v>
      </c>
      <c r="P4282" s="0" t="n">
        <f aca="false">F4282*F4282</f>
        <v>0.0625</v>
      </c>
      <c r="Q4282" s="0" t="n">
        <f aca="false">SUMPRODUCT(G4282:P4282,_XtX!$B$71:$K$71)</f>
        <v>50.3421164772727</v>
      </c>
      <c r="R4282" s="0" t="n">
        <f aca="false">SUMPRODUCT(MMULT(G4282:P4282,_XtX!$B$58:$K$67),G4282:P4282)</f>
        <v>0.258118785511364</v>
      </c>
      <c r="S4282" s="0" t="n">
        <f aca="false">04_回帰ANOVA!$K$19*04_回帰ANOVA!$K$14*SQRT(1+R4282)</f>
        <v>1.04286348094876</v>
      </c>
      <c r="T4282" s="0" t="n">
        <f aca="false">Q4282-S4282</f>
        <v>49.299252996324</v>
      </c>
      <c r="U4282" s="0" t="n">
        <f aca="false">Q4282+S4282</f>
        <v>51.3849799582215</v>
      </c>
      <c r="V4282" s="54" t="b">
        <f aca="false">AND(D4282&gt;=01_因子設定!$L$5-0.000000001,D4282&lt;=01_因子設定!$M$5+0.000000001,E4282&gt;=01_因子設定!$L$6-0.000000001,E4282&lt;=01_因子設定!$M$6+0.000000001,F4282&gt;=01_因子設定!$L$7-0.000000001,F4282&lt;=01_因子設定!$M$7+0.000000001,IF(01_因子設定!$B$20="Box-Behnken",D4282^2+E4282^2+F4282^2&lt;=2+0.000000001,TRUE()))</f>
        <v>1</v>
      </c>
      <c r="W4282" s="55" t="n">
        <f aca="false">IF(V4282,IF(01_因子設定!$B$13="最大化",T4282-01_因子設定!$B$14,IF(01_因子設定!$B$13="最小化",01_因子設定!$B$15-U4282,MIN(T4282-01_因子設定!$B$14,01_因子設定!$B$15-U4282))),-1E+030)</f>
        <v>0.799252996323965</v>
      </c>
      <c r="X4282" s="55" t="n">
        <f aca="false">IF(V4282,IF(01_因子設定!$B$13="最大化",Q4282,IF(01_因子設定!$B$13="最小化",-Q4282,-ABS(Q4282-01_因子設定!$B$16))),-1E+030)</f>
        <v>50.3421164772727</v>
      </c>
      <c r="Y4282" s="55" t="n">
        <f aca="false">W4282+ROW()*0.000000001</f>
        <v>0.799257278323965</v>
      </c>
      <c r="Z4282" s="55" t="n">
        <f aca="false">X4282+ROW()*0.000000001</f>
        <v>50.3421207592727</v>
      </c>
    </row>
    <row r="4283" customFormat="false" ht="15" hidden="false" customHeight="false" outlineLevel="0" collapsed="false">
      <c r="A4283" s="0" t="n">
        <v>14</v>
      </c>
      <c r="B4283" s="0" t="n">
        <v>13</v>
      </c>
      <c r="C4283" s="0" t="n">
        <v>11</v>
      </c>
      <c r="D4283" s="0" t="n">
        <f aca="false">-1+A4283*0.125</f>
        <v>0.75</v>
      </c>
      <c r="E4283" s="0" t="n">
        <f aca="false">-1+B4283*0.125</f>
        <v>0.625</v>
      </c>
      <c r="F4283" s="0" t="n">
        <f aca="false">-1+C4283*0.125</f>
        <v>0.375</v>
      </c>
      <c r="G4283" s="0" t="n">
        <f aca="false">1</f>
        <v>1</v>
      </c>
      <c r="H4283" s="0" t="n">
        <f aca="false">D4283</f>
        <v>0.75</v>
      </c>
      <c r="I4283" s="0" t="n">
        <f aca="false">E4283</f>
        <v>0.625</v>
      </c>
      <c r="J4283" s="0" t="n">
        <f aca="false">F4283</f>
        <v>0.375</v>
      </c>
      <c r="K4283" s="0" t="n">
        <f aca="false">D4283*E4283</f>
        <v>0.46875</v>
      </c>
      <c r="L4283" s="0" t="n">
        <f aca="false">D4283*F4283</f>
        <v>0.28125</v>
      </c>
      <c r="M4283" s="0" t="n">
        <f aca="false">E4283*F4283</f>
        <v>0.234375</v>
      </c>
      <c r="N4283" s="0" t="n">
        <f aca="false">D4283*D4283</f>
        <v>0.5625</v>
      </c>
      <c r="O4283" s="0" t="n">
        <f aca="false">E4283*E4283</f>
        <v>0.390625</v>
      </c>
      <c r="P4283" s="0" t="n">
        <f aca="false">F4283*F4283</f>
        <v>0.140625</v>
      </c>
      <c r="Q4283" s="0" t="n">
        <f aca="false">SUMPRODUCT(G4283:P4283,_XtX!$B$71:$K$71)</f>
        <v>50.4437357954546</v>
      </c>
      <c r="R4283" s="0" t="n">
        <f aca="false">SUMPRODUCT(MMULT(G4283:P4283,_XtX!$B$58:$K$67),G4283:P4283)</f>
        <v>0.25359940962358</v>
      </c>
      <c r="S4283" s="0" t="n">
        <f aca="false">04_回帰ANOVA!$K$19*04_回帰ANOVA!$K$14*SQRT(1+R4283)</f>
        <v>1.04098872464599</v>
      </c>
      <c r="T4283" s="0" t="n">
        <f aca="false">Q4283-S4283</f>
        <v>49.4027470708086</v>
      </c>
      <c r="U4283" s="0" t="n">
        <f aca="false">Q4283+S4283</f>
        <v>51.4847245201005</v>
      </c>
      <c r="V4283" s="54" t="b">
        <f aca="false">AND(D4283&gt;=01_因子設定!$L$5-0.000000001,D4283&lt;=01_因子設定!$M$5+0.000000001,E4283&gt;=01_因子設定!$L$6-0.000000001,E4283&lt;=01_因子設定!$M$6+0.000000001,F4283&gt;=01_因子設定!$L$7-0.000000001,F4283&lt;=01_因子設定!$M$7+0.000000001,IF(01_因子設定!$B$20="Box-Behnken",D4283^2+E4283^2+F4283^2&lt;=2+0.000000001,TRUE()))</f>
        <v>1</v>
      </c>
      <c r="W4283" s="55" t="n">
        <f aca="false">IF(V4283,IF(01_因子設定!$B$13="最大化",T4283-01_因子設定!$B$14,IF(01_因子設定!$B$13="最小化",01_因子設定!$B$15-U4283,MIN(T4283-01_因子設定!$B$14,01_因子設定!$B$15-U4283))),-1E+030)</f>
        <v>0.902747070808566</v>
      </c>
      <c r="X4283" s="55" t="n">
        <f aca="false">IF(V4283,IF(01_因子設定!$B$13="最大化",Q4283,IF(01_因子設定!$B$13="最小化",-Q4283,-ABS(Q4283-01_因子設定!$B$16))),-1E+030)</f>
        <v>50.4437357954546</v>
      </c>
      <c r="Y4283" s="55" t="n">
        <f aca="false">W4283+ROW()*0.000000001</f>
        <v>0.902751353808566</v>
      </c>
      <c r="Z4283" s="55" t="n">
        <f aca="false">X4283+ROW()*0.000000001</f>
        <v>50.4437400784546</v>
      </c>
    </row>
    <row r="4284" customFormat="false" ht="15" hidden="false" customHeight="false" outlineLevel="0" collapsed="false">
      <c r="A4284" s="0" t="n">
        <v>14</v>
      </c>
      <c r="B4284" s="0" t="n">
        <v>13</v>
      </c>
      <c r="C4284" s="0" t="n">
        <v>12</v>
      </c>
      <c r="D4284" s="0" t="n">
        <f aca="false">-1+A4284*0.125</f>
        <v>0.75</v>
      </c>
      <c r="E4284" s="0" t="n">
        <f aca="false">-1+B4284*0.125</f>
        <v>0.625</v>
      </c>
      <c r="F4284" s="0" t="n">
        <f aca="false">-1+C4284*0.125</f>
        <v>0.5</v>
      </c>
      <c r="G4284" s="0" t="n">
        <f aca="false">1</f>
        <v>1</v>
      </c>
      <c r="H4284" s="0" t="n">
        <f aca="false">D4284</f>
        <v>0.75</v>
      </c>
      <c r="I4284" s="0" t="n">
        <f aca="false">E4284</f>
        <v>0.625</v>
      </c>
      <c r="J4284" s="0" t="n">
        <f aca="false">F4284</f>
        <v>0.5</v>
      </c>
      <c r="K4284" s="0" t="n">
        <f aca="false">D4284*E4284</f>
        <v>0.46875</v>
      </c>
      <c r="L4284" s="0" t="n">
        <f aca="false">D4284*F4284</f>
        <v>0.375</v>
      </c>
      <c r="M4284" s="0" t="n">
        <f aca="false">E4284*F4284</f>
        <v>0.3125</v>
      </c>
      <c r="N4284" s="0" t="n">
        <f aca="false">D4284*D4284</f>
        <v>0.5625</v>
      </c>
      <c r="O4284" s="0" t="n">
        <f aca="false">E4284*E4284</f>
        <v>0.390625</v>
      </c>
      <c r="P4284" s="0" t="n">
        <f aca="false">F4284*F4284</f>
        <v>0.25</v>
      </c>
      <c r="Q4284" s="0" t="n">
        <f aca="false">SUMPRODUCT(G4284:P4284,_XtX!$B$71:$K$71)</f>
        <v>50.5085653409091</v>
      </c>
      <c r="R4284" s="0" t="n">
        <f aca="false">SUMPRODUCT(MMULT(G4284:P4284,_XtX!$B$58:$K$67),G4284:P4284)</f>
        <v>0.254729669744318</v>
      </c>
      <c r="S4284" s="0" t="n">
        <f aca="false">04_回帰ANOVA!$K$19*04_回帰ANOVA!$K$14*SQRT(1+R4284)</f>
        <v>1.04145790281631</v>
      </c>
      <c r="T4284" s="0" t="n">
        <f aca="false">Q4284-S4284</f>
        <v>49.4671074380928</v>
      </c>
      <c r="U4284" s="0" t="n">
        <f aca="false">Q4284+S4284</f>
        <v>51.5500232437254</v>
      </c>
      <c r="V4284" s="54" t="b">
        <f aca="false">AND(D4284&gt;=01_因子設定!$L$5-0.000000001,D4284&lt;=01_因子設定!$M$5+0.000000001,E4284&gt;=01_因子設定!$L$6-0.000000001,E4284&lt;=01_因子設定!$M$6+0.000000001,F4284&gt;=01_因子設定!$L$7-0.000000001,F4284&lt;=01_因子設定!$M$7+0.000000001,IF(01_因子設定!$B$20="Box-Behnken",D4284^2+E4284^2+F4284^2&lt;=2+0.000000001,TRUE()))</f>
        <v>1</v>
      </c>
      <c r="W4284" s="55" t="n">
        <f aca="false">IF(V4284,IF(01_因子設定!$B$13="最大化",T4284-01_因子設定!$B$14,IF(01_因子設定!$B$13="最小化",01_因子設定!$B$15-U4284,MIN(T4284-01_因子設定!$B$14,01_因子設定!$B$15-U4284))),-1E+030)</f>
        <v>0.967107438092782</v>
      </c>
      <c r="X4284" s="55" t="n">
        <f aca="false">IF(V4284,IF(01_因子設定!$B$13="最大化",Q4284,IF(01_因子設定!$B$13="最小化",-Q4284,-ABS(Q4284-01_因子設定!$B$16))),-1E+030)</f>
        <v>50.5085653409091</v>
      </c>
      <c r="Y4284" s="55" t="n">
        <f aca="false">W4284+ROW()*0.000000001</f>
        <v>0.967111722092782</v>
      </c>
      <c r="Z4284" s="55" t="n">
        <f aca="false">X4284+ROW()*0.000000001</f>
        <v>50.5085696249091</v>
      </c>
    </row>
    <row r="4285" customFormat="false" ht="15" hidden="false" customHeight="false" outlineLevel="0" collapsed="false">
      <c r="A4285" s="0" t="n">
        <v>14</v>
      </c>
      <c r="B4285" s="0" t="n">
        <v>13</v>
      </c>
      <c r="C4285" s="0" t="n">
        <v>13</v>
      </c>
      <c r="D4285" s="0" t="n">
        <f aca="false">-1+A4285*0.125</f>
        <v>0.75</v>
      </c>
      <c r="E4285" s="0" t="n">
        <f aca="false">-1+B4285*0.125</f>
        <v>0.625</v>
      </c>
      <c r="F4285" s="0" t="n">
        <f aca="false">-1+C4285*0.125</f>
        <v>0.625</v>
      </c>
      <c r="G4285" s="0" t="n">
        <f aca="false">1</f>
        <v>1</v>
      </c>
      <c r="H4285" s="0" t="n">
        <f aca="false">D4285</f>
        <v>0.75</v>
      </c>
      <c r="I4285" s="0" t="n">
        <f aca="false">E4285</f>
        <v>0.625</v>
      </c>
      <c r="J4285" s="0" t="n">
        <f aca="false">F4285</f>
        <v>0.625</v>
      </c>
      <c r="K4285" s="0" t="n">
        <f aca="false">D4285*E4285</f>
        <v>0.46875</v>
      </c>
      <c r="L4285" s="0" t="n">
        <f aca="false">D4285*F4285</f>
        <v>0.46875</v>
      </c>
      <c r="M4285" s="0" t="n">
        <f aca="false">E4285*F4285</f>
        <v>0.390625</v>
      </c>
      <c r="N4285" s="0" t="n">
        <f aca="false">D4285*D4285</f>
        <v>0.5625</v>
      </c>
      <c r="O4285" s="0" t="n">
        <f aca="false">E4285*E4285</f>
        <v>0.390625</v>
      </c>
      <c r="P4285" s="0" t="n">
        <f aca="false">F4285*F4285</f>
        <v>0.390625</v>
      </c>
      <c r="Q4285" s="0" t="n">
        <f aca="false">SUMPRODUCT(G4285:P4285,_XtX!$B$71:$K$71)</f>
        <v>50.5366051136364</v>
      </c>
      <c r="R4285" s="0" t="n">
        <f aca="false">SUMPRODUCT(MMULT(G4285:P4285,_XtX!$B$58:$K$67),G4285:P4285)</f>
        <v>0.268966952237216</v>
      </c>
      <c r="S4285" s="0" t="n">
        <f aca="false">04_回帰ANOVA!$K$19*04_回帰ANOVA!$K$14*SQRT(1+R4285)</f>
        <v>1.04734989137801</v>
      </c>
      <c r="T4285" s="0" t="n">
        <f aca="false">Q4285-S4285</f>
        <v>49.4892552222584</v>
      </c>
      <c r="U4285" s="0" t="n">
        <f aca="false">Q4285+S4285</f>
        <v>51.5839550050144</v>
      </c>
      <c r="V4285" s="54" t="b">
        <f aca="false">AND(D4285&gt;=01_因子設定!$L$5-0.000000001,D4285&lt;=01_因子設定!$M$5+0.000000001,E4285&gt;=01_因子設定!$L$6-0.000000001,E4285&lt;=01_因子設定!$M$6+0.000000001,F4285&gt;=01_因子設定!$L$7-0.000000001,F4285&lt;=01_因子設定!$M$7+0.000000001,IF(01_因子設定!$B$20="Box-Behnken",D4285^2+E4285^2+F4285^2&lt;=2+0.000000001,TRUE()))</f>
        <v>1</v>
      </c>
      <c r="W4285" s="55" t="n">
        <f aca="false">IF(V4285,IF(01_因子設定!$B$13="最大化",T4285-01_因子設定!$B$14,IF(01_因子設定!$B$13="最小化",01_因子設定!$B$15-U4285,MIN(T4285-01_因子設定!$B$14,01_因子設定!$B$15-U4285))),-1E+030)</f>
        <v>0.989255222258358</v>
      </c>
      <c r="X4285" s="55" t="n">
        <f aca="false">IF(V4285,IF(01_因子設定!$B$13="最大化",Q4285,IF(01_因子設定!$B$13="最小化",-Q4285,-ABS(Q4285-01_因子設定!$B$16))),-1E+030)</f>
        <v>50.5366051136364</v>
      </c>
      <c r="Y4285" s="55" t="n">
        <f aca="false">W4285+ROW()*0.000000001</f>
        <v>0.989259507258358</v>
      </c>
      <c r="Z4285" s="55" t="n">
        <f aca="false">X4285+ROW()*0.000000001</f>
        <v>50.5366093986364</v>
      </c>
    </row>
    <row r="4286" customFormat="false" ht="15" hidden="false" customHeight="false" outlineLevel="0" collapsed="false">
      <c r="A4286" s="0" t="n">
        <v>14</v>
      </c>
      <c r="B4286" s="0" t="n">
        <v>13</v>
      </c>
      <c r="C4286" s="0" t="n">
        <v>14</v>
      </c>
      <c r="D4286" s="0" t="n">
        <f aca="false">-1+A4286*0.125</f>
        <v>0.75</v>
      </c>
      <c r="E4286" s="0" t="n">
        <f aca="false">-1+B4286*0.125</f>
        <v>0.625</v>
      </c>
      <c r="F4286" s="0" t="n">
        <f aca="false">-1+C4286*0.125</f>
        <v>0.75</v>
      </c>
      <c r="G4286" s="0" t="n">
        <f aca="false">1</f>
        <v>1</v>
      </c>
      <c r="H4286" s="0" t="n">
        <f aca="false">D4286</f>
        <v>0.75</v>
      </c>
      <c r="I4286" s="0" t="n">
        <f aca="false">E4286</f>
        <v>0.625</v>
      </c>
      <c r="J4286" s="0" t="n">
        <f aca="false">F4286</f>
        <v>0.75</v>
      </c>
      <c r="K4286" s="0" t="n">
        <f aca="false">D4286*E4286</f>
        <v>0.46875</v>
      </c>
      <c r="L4286" s="0" t="n">
        <f aca="false">D4286*F4286</f>
        <v>0.5625</v>
      </c>
      <c r="M4286" s="0" t="n">
        <f aca="false">E4286*F4286</f>
        <v>0.46875</v>
      </c>
      <c r="N4286" s="0" t="n">
        <f aca="false">D4286*D4286</f>
        <v>0.5625</v>
      </c>
      <c r="O4286" s="0" t="n">
        <f aca="false">E4286*E4286</f>
        <v>0.390625</v>
      </c>
      <c r="P4286" s="0" t="n">
        <f aca="false">F4286*F4286</f>
        <v>0.5625</v>
      </c>
      <c r="Q4286" s="0" t="n">
        <f aca="false">SUMPRODUCT(G4286:P4286,_XtX!$B$71:$K$71)</f>
        <v>50.5278551136364</v>
      </c>
      <c r="R4286" s="0" t="n">
        <f aca="false">SUMPRODUCT(MMULT(G4286:P4286,_XtX!$B$58:$K$67),G4286:P4286)</f>
        <v>0.305899325284091</v>
      </c>
      <c r="S4286" s="0" t="n">
        <f aca="false">04_回帰ANOVA!$K$19*04_回帰ANOVA!$K$14*SQRT(1+R4286)</f>
        <v>1.06248176416816</v>
      </c>
      <c r="T4286" s="0" t="n">
        <f aca="false">Q4286-S4286</f>
        <v>49.4653733494682</v>
      </c>
      <c r="U4286" s="0" t="n">
        <f aca="false">Q4286+S4286</f>
        <v>51.5903368778045</v>
      </c>
      <c r="V4286" s="54" t="b">
        <f aca="false">AND(D4286&gt;=01_因子設定!$L$5-0.000000001,D4286&lt;=01_因子設定!$M$5+0.000000001,E4286&gt;=01_因子設定!$L$6-0.000000001,E4286&lt;=01_因子設定!$M$6+0.000000001,F4286&gt;=01_因子設定!$L$7-0.000000001,F4286&lt;=01_因子設定!$M$7+0.000000001,IF(01_因子設定!$B$20="Box-Behnken",D4286^2+E4286^2+F4286^2&lt;=2+0.000000001,TRUE()))</f>
        <v>1</v>
      </c>
      <c r="W4286" s="55" t="n">
        <f aca="false">IF(V4286,IF(01_因子設定!$B$13="最大化",T4286-01_因子設定!$B$14,IF(01_因子設定!$B$13="最小化",01_因子設定!$B$15-U4286,MIN(T4286-01_因子設定!$B$14,01_因子設定!$B$15-U4286))),-1E+030)</f>
        <v>0.965373349468209</v>
      </c>
      <c r="X4286" s="55" t="n">
        <f aca="false">IF(V4286,IF(01_因子設定!$B$13="最大化",Q4286,IF(01_因子設定!$B$13="最小化",-Q4286,-ABS(Q4286-01_因子設定!$B$16))),-1E+030)</f>
        <v>50.5278551136364</v>
      </c>
      <c r="Y4286" s="55" t="n">
        <f aca="false">W4286+ROW()*0.000000001</f>
        <v>0.965377635468209</v>
      </c>
      <c r="Z4286" s="55" t="n">
        <f aca="false">X4286+ROW()*0.000000001</f>
        <v>50.5278593996364</v>
      </c>
    </row>
    <row r="4287" customFormat="false" ht="15" hidden="false" customHeight="false" outlineLevel="0" collapsed="false">
      <c r="A4287" s="0" t="n">
        <v>14</v>
      </c>
      <c r="B4287" s="0" t="n">
        <v>13</v>
      </c>
      <c r="C4287" s="0" t="n">
        <v>15</v>
      </c>
      <c r="D4287" s="0" t="n">
        <f aca="false">-1+A4287*0.125</f>
        <v>0.75</v>
      </c>
      <c r="E4287" s="0" t="n">
        <f aca="false">-1+B4287*0.125</f>
        <v>0.625</v>
      </c>
      <c r="F4287" s="0" t="n">
        <f aca="false">-1+C4287*0.125</f>
        <v>0.875</v>
      </c>
      <c r="G4287" s="0" t="n">
        <f aca="false">1</f>
        <v>1</v>
      </c>
      <c r="H4287" s="0" t="n">
        <f aca="false">D4287</f>
        <v>0.75</v>
      </c>
      <c r="I4287" s="0" t="n">
        <f aca="false">E4287</f>
        <v>0.625</v>
      </c>
      <c r="J4287" s="0" t="n">
        <f aca="false">F4287</f>
        <v>0.875</v>
      </c>
      <c r="K4287" s="0" t="n">
        <f aca="false">D4287*E4287</f>
        <v>0.46875</v>
      </c>
      <c r="L4287" s="0" t="n">
        <f aca="false">D4287*F4287</f>
        <v>0.65625</v>
      </c>
      <c r="M4287" s="0" t="n">
        <f aca="false">E4287*F4287</f>
        <v>0.546875</v>
      </c>
      <c r="N4287" s="0" t="n">
        <f aca="false">D4287*D4287</f>
        <v>0.5625</v>
      </c>
      <c r="O4287" s="0" t="n">
        <f aca="false">E4287*E4287</f>
        <v>0.390625</v>
      </c>
      <c r="P4287" s="0" t="n">
        <f aca="false">F4287*F4287</f>
        <v>0.765625</v>
      </c>
      <c r="Q4287" s="0" t="n">
        <f aca="false">SUMPRODUCT(G4287:P4287,_XtX!$B$71:$K$71)</f>
        <v>50.4823153409091</v>
      </c>
      <c r="R4287" s="0" t="n">
        <f aca="false">SUMPRODUCT(MMULT(G4287:P4287,_XtX!$B$58:$K$67),G4287:P4287)</f>
        <v>0.377245538884943</v>
      </c>
      <c r="S4287" s="0" t="n">
        <f aca="false">04_回帰ANOVA!$K$19*04_回帰ANOVA!$K$14*SQRT(1+R4287)</f>
        <v>1.09111951468927</v>
      </c>
      <c r="T4287" s="0" t="n">
        <f aca="false">Q4287-S4287</f>
        <v>49.3911958262198</v>
      </c>
      <c r="U4287" s="0" t="n">
        <f aca="false">Q4287+S4287</f>
        <v>51.5734348555984</v>
      </c>
      <c r="V4287" s="54" t="b">
        <f aca="false">AND(D4287&gt;=01_因子設定!$L$5-0.000000001,D4287&lt;=01_因子設定!$M$5+0.000000001,E4287&gt;=01_因子設定!$L$6-0.000000001,E4287&lt;=01_因子設定!$M$6+0.000000001,F4287&gt;=01_因子設定!$L$7-0.000000001,F4287&lt;=01_因子設定!$M$7+0.000000001,IF(01_因子設定!$B$20="Box-Behnken",D4287^2+E4287^2+F4287^2&lt;=2+0.000000001,TRUE()))</f>
        <v>1</v>
      </c>
      <c r="W4287" s="55" t="n">
        <f aca="false">IF(V4287,IF(01_因子設定!$B$13="最大化",T4287-01_因子設定!$B$14,IF(01_因子設定!$B$13="最小化",01_因子設定!$B$15-U4287,MIN(T4287-01_因子設定!$B$14,01_因子設定!$B$15-U4287))),-1E+030)</f>
        <v>0.891195826219828</v>
      </c>
      <c r="X4287" s="55" t="n">
        <f aca="false">IF(V4287,IF(01_因子設定!$B$13="最大化",Q4287,IF(01_因子設定!$B$13="最小化",-Q4287,-ABS(Q4287-01_因子設定!$B$16))),-1E+030)</f>
        <v>50.4823153409091</v>
      </c>
      <c r="Y4287" s="55" t="n">
        <f aca="false">W4287+ROW()*0.000000001</f>
        <v>0.891200113219828</v>
      </c>
      <c r="Z4287" s="55" t="n">
        <f aca="false">X4287+ROW()*0.000000001</f>
        <v>50.4823196279091</v>
      </c>
    </row>
    <row r="4288" customFormat="false" ht="15" hidden="false" customHeight="false" outlineLevel="0" collapsed="false">
      <c r="A4288" s="0" t="n">
        <v>14</v>
      </c>
      <c r="B4288" s="0" t="n">
        <v>13</v>
      </c>
      <c r="C4288" s="0" t="n">
        <v>16</v>
      </c>
      <c r="D4288" s="0" t="n">
        <f aca="false">-1+A4288*0.125</f>
        <v>0.75</v>
      </c>
      <c r="E4288" s="0" t="n">
        <f aca="false">-1+B4288*0.125</f>
        <v>0.625</v>
      </c>
      <c r="F4288" s="0" t="n">
        <f aca="false">-1+C4288*0.125</f>
        <v>1</v>
      </c>
      <c r="G4288" s="0" t="n">
        <f aca="false">1</f>
        <v>1</v>
      </c>
      <c r="H4288" s="0" t="n">
        <f aca="false">D4288</f>
        <v>0.75</v>
      </c>
      <c r="I4288" s="0" t="n">
        <f aca="false">E4288</f>
        <v>0.625</v>
      </c>
      <c r="J4288" s="0" t="n">
        <f aca="false">F4288</f>
        <v>1</v>
      </c>
      <c r="K4288" s="0" t="n">
        <f aca="false">D4288*E4288</f>
        <v>0.46875</v>
      </c>
      <c r="L4288" s="0" t="n">
        <f aca="false">D4288*F4288</f>
        <v>0.75</v>
      </c>
      <c r="M4288" s="0" t="n">
        <f aca="false">E4288*F4288</f>
        <v>0.625</v>
      </c>
      <c r="N4288" s="0" t="n">
        <f aca="false">D4288*D4288</f>
        <v>0.5625</v>
      </c>
      <c r="O4288" s="0" t="n">
        <f aca="false">E4288*E4288</f>
        <v>0.390625</v>
      </c>
      <c r="P4288" s="0" t="n">
        <f aca="false">F4288*F4288</f>
        <v>1</v>
      </c>
      <c r="Q4288" s="0" t="n">
        <f aca="false">SUMPRODUCT(G4288:P4288,_XtX!$B$71:$K$71)</f>
        <v>50.3999857954546</v>
      </c>
      <c r="R4288" s="0" t="n">
        <f aca="false">SUMPRODUCT(MMULT(G4288:P4288,_XtX!$B$58:$K$67),G4288:P4288)</f>
        <v>0.496855024857955</v>
      </c>
      <c r="S4288" s="0" t="n">
        <f aca="false">04_回帰ANOVA!$K$19*04_回帰ANOVA!$K$14*SQRT(1+R4288)</f>
        <v>1.1375133593161</v>
      </c>
      <c r="T4288" s="0" t="n">
        <f aca="false">Q4288-S4288</f>
        <v>49.2624724361385</v>
      </c>
      <c r="U4288" s="0" t="n">
        <f aca="false">Q4288+S4288</f>
        <v>51.5374991547707</v>
      </c>
      <c r="V4288" s="54" t="b">
        <f aca="false">AND(D4288&gt;=01_因子設定!$L$5-0.000000001,D4288&lt;=01_因子設定!$M$5+0.000000001,E4288&gt;=01_因子設定!$L$6-0.000000001,E4288&lt;=01_因子設定!$M$6+0.000000001,F4288&gt;=01_因子設定!$L$7-0.000000001,F4288&lt;=01_因子設定!$M$7+0.000000001,IF(01_因子設定!$B$20="Box-Behnken",D4288^2+E4288^2+F4288^2&lt;=2+0.000000001,TRUE()))</f>
        <v>1</v>
      </c>
      <c r="W4288" s="55" t="n">
        <f aca="false">IF(V4288,IF(01_因子設定!$B$13="最大化",T4288-01_因子設定!$B$14,IF(01_因子設定!$B$13="最小化",01_因子設定!$B$15-U4288,MIN(T4288-01_因子設定!$B$14,01_因子設定!$B$15-U4288))),-1E+030)</f>
        <v>0.762472436138467</v>
      </c>
      <c r="X4288" s="55" t="n">
        <f aca="false">IF(V4288,IF(01_因子設定!$B$13="最大化",Q4288,IF(01_因子設定!$B$13="最小化",-Q4288,-ABS(Q4288-01_因子設定!$B$16))),-1E+030)</f>
        <v>50.3999857954546</v>
      </c>
      <c r="Y4288" s="55" t="n">
        <f aca="false">W4288+ROW()*0.000000001</f>
        <v>0.762476724138467</v>
      </c>
      <c r="Z4288" s="55" t="n">
        <f aca="false">X4288+ROW()*0.000000001</f>
        <v>50.3999900834546</v>
      </c>
    </row>
    <row r="4289" customFormat="false" ht="15" hidden="false" customHeight="false" outlineLevel="0" collapsed="false">
      <c r="A4289" s="0" t="n">
        <v>14</v>
      </c>
      <c r="B4289" s="0" t="n">
        <v>14</v>
      </c>
      <c r="C4289" s="0" t="n">
        <v>0</v>
      </c>
      <c r="D4289" s="0" t="n">
        <f aca="false">-1+A4289*0.125</f>
        <v>0.75</v>
      </c>
      <c r="E4289" s="0" t="n">
        <f aca="false">-1+B4289*0.125</f>
        <v>0.75</v>
      </c>
      <c r="F4289" s="0" t="n">
        <f aca="false">-1+C4289*0.125</f>
        <v>-1</v>
      </c>
      <c r="G4289" s="0" t="n">
        <f aca="false">1</f>
        <v>1</v>
      </c>
      <c r="H4289" s="0" t="n">
        <f aca="false">D4289</f>
        <v>0.75</v>
      </c>
      <c r="I4289" s="0" t="n">
        <f aca="false">E4289</f>
        <v>0.75</v>
      </c>
      <c r="J4289" s="0" t="n">
        <f aca="false">F4289</f>
        <v>-1</v>
      </c>
      <c r="K4289" s="0" t="n">
        <f aca="false">D4289*E4289</f>
        <v>0.5625</v>
      </c>
      <c r="L4289" s="0" t="n">
        <f aca="false">D4289*F4289</f>
        <v>-0.75</v>
      </c>
      <c r="M4289" s="0" t="n">
        <f aca="false">E4289*F4289</f>
        <v>-0.75</v>
      </c>
      <c r="N4289" s="0" t="n">
        <f aca="false">D4289*D4289</f>
        <v>0.5625</v>
      </c>
      <c r="O4289" s="0" t="n">
        <f aca="false">E4289*E4289</f>
        <v>0.5625</v>
      </c>
      <c r="P4289" s="0" t="n">
        <f aca="false">F4289*F4289</f>
        <v>1</v>
      </c>
      <c r="Q4289" s="0" t="n">
        <f aca="false">SUMPRODUCT(G4289:P4289,_XtX!$B$71:$K$71)</f>
        <v>47.2713920454546</v>
      </c>
      <c r="R4289" s="0" t="n">
        <f aca="false">SUMPRODUCT(MMULT(G4289:P4289,_XtX!$B$58:$K$67),G4289:P4289)</f>
        <v>0.518314985795455</v>
      </c>
      <c r="S4289" s="0" t="n">
        <f aca="false">04_回帰ANOVA!$K$19*04_回帰ANOVA!$K$14*SQRT(1+R4289)</f>
        <v>1.14563843495971</v>
      </c>
      <c r="T4289" s="0" t="n">
        <f aca="false">Q4289-S4289</f>
        <v>46.1257536104949</v>
      </c>
      <c r="U4289" s="0" t="n">
        <f aca="false">Q4289+S4289</f>
        <v>48.4170304804143</v>
      </c>
      <c r="V4289" s="54" t="b">
        <f aca="false">AND(D4289&gt;=01_因子設定!$L$5-0.000000001,D4289&lt;=01_因子設定!$M$5+0.000000001,E4289&gt;=01_因子設定!$L$6-0.000000001,E4289&lt;=01_因子設定!$M$6+0.000000001,F4289&gt;=01_因子設定!$L$7-0.000000001,F4289&lt;=01_因子設定!$M$7+0.000000001,IF(01_因子設定!$B$20="Box-Behnken",D4289^2+E4289^2+F4289^2&lt;=2+0.000000001,TRUE()))</f>
        <v>1</v>
      </c>
      <c r="W4289" s="55" t="n">
        <f aca="false">IF(V4289,IF(01_因子設定!$B$13="最大化",T4289-01_因子設定!$B$14,IF(01_因子設定!$B$13="最小化",01_因子設定!$B$15-U4289,MIN(T4289-01_因子設定!$B$14,01_因子設定!$B$15-U4289))),-1E+030)</f>
        <v>-2.37424638950515</v>
      </c>
      <c r="X4289" s="55" t="n">
        <f aca="false">IF(V4289,IF(01_因子設定!$B$13="最大化",Q4289,IF(01_因子設定!$B$13="最小化",-Q4289,-ABS(Q4289-01_因子設定!$B$16))),-1E+030)</f>
        <v>47.2713920454546</v>
      </c>
      <c r="Y4289" s="55" t="n">
        <f aca="false">W4289+ROW()*0.000000001</f>
        <v>-2.37424210050515</v>
      </c>
      <c r="Z4289" s="55" t="n">
        <f aca="false">X4289+ROW()*0.000000001</f>
        <v>47.2713963344546</v>
      </c>
    </row>
    <row r="4290" customFormat="false" ht="15" hidden="false" customHeight="false" outlineLevel="0" collapsed="false">
      <c r="A4290" s="0" t="n">
        <v>14</v>
      </c>
      <c r="B4290" s="0" t="n">
        <v>14</v>
      </c>
      <c r="C4290" s="0" t="n">
        <v>1</v>
      </c>
      <c r="D4290" s="0" t="n">
        <f aca="false">-1+A4290*0.125</f>
        <v>0.75</v>
      </c>
      <c r="E4290" s="0" t="n">
        <f aca="false">-1+B4290*0.125</f>
        <v>0.75</v>
      </c>
      <c r="F4290" s="0" t="n">
        <f aca="false">-1+C4290*0.125</f>
        <v>-0.875</v>
      </c>
      <c r="G4290" s="0" t="n">
        <f aca="false">1</f>
        <v>1</v>
      </c>
      <c r="H4290" s="0" t="n">
        <f aca="false">D4290</f>
        <v>0.75</v>
      </c>
      <c r="I4290" s="0" t="n">
        <f aca="false">E4290</f>
        <v>0.75</v>
      </c>
      <c r="J4290" s="0" t="n">
        <f aca="false">F4290</f>
        <v>-0.875</v>
      </c>
      <c r="K4290" s="0" t="n">
        <f aca="false">D4290*E4290</f>
        <v>0.5625</v>
      </c>
      <c r="L4290" s="0" t="n">
        <f aca="false">D4290*F4290</f>
        <v>-0.65625</v>
      </c>
      <c r="M4290" s="0" t="n">
        <f aca="false">E4290*F4290</f>
        <v>-0.65625</v>
      </c>
      <c r="N4290" s="0" t="n">
        <f aca="false">D4290*D4290</f>
        <v>0.5625</v>
      </c>
      <c r="O4290" s="0" t="n">
        <f aca="false">E4290*E4290</f>
        <v>0.5625</v>
      </c>
      <c r="P4290" s="0" t="n">
        <f aca="false">F4290*F4290</f>
        <v>0.765625</v>
      </c>
      <c r="Q4290" s="0" t="n">
        <f aca="false">SUMPRODUCT(G4290:P4290,_XtX!$B$71:$K$71)</f>
        <v>47.7479403409091</v>
      </c>
      <c r="R4290" s="0" t="n">
        <f aca="false">SUMPRODUCT(MMULT(G4290:P4290,_XtX!$B$58:$K$67),G4290:P4290)</f>
        <v>0.404656427556818</v>
      </c>
      <c r="S4290" s="0" t="n">
        <f aca="false">04_回帰ANOVA!$K$19*04_回帰ANOVA!$K$14*SQRT(1+R4290)</f>
        <v>1.10192412515358</v>
      </c>
      <c r="T4290" s="0" t="n">
        <f aca="false">Q4290-S4290</f>
        <v>46.6460162157555</v>
      </c>
      <c r="U4290" s="0" t="n">
        <f aca="false">Q4290+S4290</f>
        <v>48.8498644660627</v>
      </c>
      <c r="V4290" s="54" t="b">
        <f aca="false">AND(D4290&gt;=01_因子設定!$L$5-0.000000001,D4290&lt;=01_因子設定!$M$5+0.000000001,E4290&gt;=01_因子設定!$L$6-0.000000001,E4290&lt;=01_因子設定!$M$6+0.000000001,F4290&gt;=01_因子設定!$L$7-0.000000001,F4290&lt;=01_因子設定!$M$7+0.000000001,IF(01_因子設定!$B$20="Box-Behnken",D4290^2+E4290^2+F4290^2&lt;=2+0.000000001,TRUE()))</f>
        <v>1</v>
      </c>
      <c r="W4290" s="55" t="n">
        <f aca="false">IF(V4290,IF(01_因子設定!$B$13="最大化",T4290-01_因子設定!$B$14,IF(01_因子設定!$B$13="最小化",01_因子設定!$B$15-U4290,MIN(T4290-01_因子設定!$B$14,01_因子設定!$B$15-U4290))),-1E+030)</f>
        <v>-1.85398378424448</v>
      </c>
      <c r="X4290" s="55" t="n">
        <f aca="false">IF(V4290,IF(01_因子設定!$B$13="最大化",Q4290,IF(01_因子設定!$B$13="最小化",-Q4290,-ABS(Q4290-01_因子設定!$B$16))),-1E+030)</f>
        <v>47.7479403409091</v>
      </c>
      <c r="Y4290" s="55" t="n">
        <f aca="false">W4290+ROW()*0.000000001</f>
        <v>-1.85397949424448</v>
      </c>
      <c r="Z4290" s="55" t="n">
        <f aca="false">X4290+ROW()*0.000000001</f>
        <v>47.7479446309091</v>
      </c>
    </row>
    <row r="4291" customFormat="false" ht="15" hidden="false" customHeight="false" outlineLevel="0" collapsed="false">
      <c r="A4291" s="0" t="n">
        <v>14</v>
      </c>
      <c r="B4291" s="0" t="n">
        <v>14</v>
      </c>
      <c r="C4291" s="0" t="n">
        <v>2</v>
      </c>
      <c r="D4291" s="0" t="n">
        <f aca="false">-1+A4291*0.125</f>
        <v>0.75</v>
      </c>
      <c r="E4291" s="0" t="n">
        <f aca="false">-1+B4291*0.125</f>
        <v>0.75</v>
      </c>
      <c r="F4291" s="0" t="n">
        <f aca="false">-1+C4291*0.125</f>
        <v>-0.75</v>
      </c>
      <c r="G4291" s="0" t="n">
        <f aca="false">1</f>
        <v>1</v>
      </c>
      <c r="H4291" s="0" t="n">
        <f aca="false">D4291</f>
        <v>0.75</v>
      </c>
      <c r="I4291" s="0" t="n">
        <f aca="false">E4291</f>
        <v>0.75</v>
      </c>
      <c r="J4291" s="0" t="n">
        <f aca="false">F4291</f>
        <v>-0.75</v>
      </c>
      <c r="K4291" s="0" t="n">
        <f aca="false">D4291*E4291</f>
        <v>0.5625</v>
      </c>
      <c r="L4291" s="0" t="n">
        <f aca="false">D4291*F4291</f>
        <v>-0.5625</v>
      </c>
      <c r="M4291" s="0" t="n">
        <f aca="false">E4291*F4291</f>
        <v>-0.5625</v>
      </c>
      <c r="N4291" s="0" t="n">
        <f aca="false">D4291*D4291</f>
        <v>0.5625</v>
      </c>
      <c r="O4291" s="0" t="n">
        <f aca="false">E4291*E4291</f>
        <v>0.5625</v>
      </c>
      <c r="P4291" s="0" t="n">
        <f aca="false">F4291*F4291</f>
        <v>0.5625</v>
      </c>
      <c r="Q4291" s="0" t="n">
        <f aca="false">SUMPRODUCT(G4291:P4291,_XtX!$B$71:$K$71)</f>
        <v>48.1876988636364</v>
      </c>
      <c r="R4291" s="0" t="n">
        <f aca="false">SUMPRODUCT(MMULT(G4291:P4291,_XtX!$B$58:$K$67),G4291:P4291)</f>
        <v>0.338467684659091</v>
      </c>
      <c r="S4291" s="0" t="n">
        <f aca="false">04_回帰ANOVA!$K$19*04_回帰ANOVA!$K$14*SQRT(1+R4291)</f>
        <v>1.07564900835648</v>
      </c>
      <c r="T4291" s="0" t="n">
        <f aca="false">Q4291-S4291</f>
        <v>47.1120498552799</v>
      </c>
      <c r="U4291" s="0" t="n">
        <f aca="false">Q4291+S4291</f>
        <v>49.2633478719929</v>
      </c>
      <c r="V4291" s="54" t="b">
        <f aca="false">AND(D4291&gt;=01_因子設定!$L$5-0.000000001,D4291&lt;=01_因子設定!$M$5+0.000000001,E4291&gt;=01_因子設定!$L$6-0.000000001,E4291&lt;=01_因子設定!$M$6+0.000000001,F4291&gt;=01_因子設定!$L$7-0.000000001,F4291&lt;=01_因子設定!$M$7+0.000000001,IF(01_因子設定!$B$20="Box-Behnken",D4291^2+E4291^2+F4291^2&lt;=2+0.000000001,TRUE()))</f>
        <v>1</v>
      </c>
      <c r="W4291" s="55" t="n">
        <f aca="false">IF(V4291,IF(01_因子設定!$B$13="最大化",T4291-01_因子設定!$B$14,IF(01_因子設定!$B$13="最小化",01_因子設定!$B$15-U4291,MIN(T4291-01_因子設定!$B$14,01_因子設定!$B$15-U4291))),-1E+030)</f>
        <v>-1.38795014472011</v>
      </c>
      <c r="X4291" s="55" t="n">
        <f aca="false">IF(V4291,IF(01_因子設定!$B$13="最大化",Q4291,IF(01_因子設定!$B$13="最小化",-Q4291,-ABS(Q4291-01_因子設定!$B$16))),-1E+030)</f>
        <v>48.1876988636364</v>
      </c>
      <c r="Y4291" s="55" t="n">
        <f aca="false">W4291+ROW()*0.000000001</f>
        <v>-1.38794585372011</v>
      </c>
      <c r="Z4291" s="55" t="n">
        <f aca="false">X4291+ROW()*0.000000001</f>
        <v>48.1877031546364</v>
      </c>
    </row>
    <row r="4292" customFormat="false" ht="15" hidden="false" customHeight="false" outlineLevel="0" collapsed="false">
      <c r="A4292" s="0" t="n">
        <v>14</v>
      </c>
      <c r="B4292" s="0" t="n">
        <v>14</v>
      </c>
      <c r="C4292" s="0" t="n">
        <v>3</v>
      </c>
      <c r="D4292" s="0" t="n">
        <f aca="false">-1+A4292*0.125</f>
        <v>0.75</v>
      </c>
      <c r="E4292" s="0" t="n">
        <f aca="false">-1+B4292*0.125</f>
        <v>0.75</v>
      </c>
      <c r="F4292" s="0" t="n">
        <f aca="false">-1+C4292*0.125</f>
        <v>-0.625</v>
      </c>
      <c r="G4292" s="0" t="n">
        <f aca="false">1</f>
        <v>1</v>
      </c>
      <c r="H4292" s="0" t="n">
        <f aca="false">D4292</f>
        <v>0.75</v>
      </c>
      <c r="I4292" s="0" t="n">
        <f aca="false">E4292</f>
        <v>0.75</v>
      </c>
      <c r="J4292" s="0" t="n">
        <f aca="false">F4292</f>
        <v>-0.625</v>
      </c>
      <c r="K4292" s="0" t="n">
        <f aca="false">D4292*E4292</f>
        <v>0.5625</v>
      </c>
      <c r="L4292" s="0" t="n">
        <f aca="false">D4292*F4292</f>
        <v>-0.46875</v>
      </c>
      <c r="M4292" s="0" t="n">
        <f aca="false">E4292*F4292</f>
        <v>-0.46875</v>
      </c>
      <c r="N4292" s="0" t="n">
        <f aca="false">D4292*D4292</f>
        <v>0.5625</v>
      </c>
      <c r="O4292" s="0" t="n">
        <f aca="false">E4292*E4292</f>
        <v>0.5625</v>
      </c>
      <c r="P4292" s="0" t="n">
        <f aca="false">F4292*F4292</f>
        <v>0.390625</v>
      </c>
      <c r="Q4292" s="0" t="n">
        <f aca="false">SUMPRODUCT(G4292:P4292,_XtX!$B$71:$K$71)</f>
        <v>48.5906676136364</v>
      </c>
      <c r="R4292" s="0" t="n">
        <f aca="false">SUMPRODUCT(MMULT(G4292:P4292,_XtX!$B$58:$K$67),G4292:P4292)</f>
        <v>0.305899325284091</v>
      </c>
      <c r="S4292" s="0" t="n">
        <f aca="false">04_回帰ANOVA!$K$19*04_回帰ANOVA!$K$14*SQRT(1+R4292)</f>
        <v>1.06248176416816</v>
      </c>
      <c r="T4292" s="0" t="n">
        <f aca="false">Q4292-S4292</f>
        <v>47.5281858494682</v>
      </c>
      <c r="U4292" s="0" t="n">
        <f aca="false">Q4292+S4292</f>
        <v>49.6531493778045</v>
      </c>
      <c r="V4292" s="54" t="b">
        <f aca="false">AND(D4292&gt;=01_因子設定!$L$5-0.000000001,D4292&lt;=01_因子設定!$M$5+0.000000001,E4292&gt;=01_因子設定!$L$6-0.000000001,E4292&lt;=01_因子設定!$M$6+0.000000001,F4292&gt;=01_因子設定!$L$7-0.000000001,F4292&lt;=01_因子設定!$M$7+0.000000001,IF(01_因子設定!$B$20="Box-Behnken",D4292^2+E4292^2+F4292^2&lt;=2+0.000000001,TRUE()))</f>
        <v>1</v>
      </c>
      <c r="W4292" s="55" t="n">
        <f aca="false">IF(V4292,IF(01_因子設定!$B$13="最大化",T4292-01_因子設定!$B$14,IF(01_因子設定!$B$13="最小化",01_因子設定!$B$15-U4292,MIN(T4292-01_因子設定!$B$14,01_因子設定!$B$15-U4292))),-1E+030)</f>
        <v>-0.971814150531792</v>
      </c>
      <c r="X4292" s="55" t="n">
        <f aca="false">IF(V4292,IF(01_因子設定!$B$13="最大化",Q4292,IF(01_因子設定!$B$13="最小化",-Q4292,-ABS(Q4292-01_因子設定!$B$16))),-1E+030)</f>
        <v>48.5906676136364</v>
      </c>
      <c r="Y4292" s="55" t="n">
        <f aca="false">W4292+ROW()*0.000000001</f>
        <v>-0.971809858531792</v>
      </c>
      <c r="Z4292" s="55" t="n">
        <f aca="false">X4292+ROW()*0.000000001</f>
        <v>48.5906719056364</v>
      </c>
    </row>
    <row r="4293" customFormat="false" ht="15" hidden="false" customHeight="false" outlineLevel="0" collapsed="false">
      <c r="A4293" s="0" t="n">
        <v>14</v>
      </c>
      <c r="B4293" s="0" t="n">
        <v>14</v>
      </c>
      <c r="C4293" s="0" t="n">
        <v>4</v>
      </c>
      <c r="D4293" s="0" t="n">
        <f aca="false">-1+A4293*0.125</f>
        <v>0.75</v>
      </c>
      <c r="E4293" s="0" t="n">
        <f aca="false">-1+B4293*0.125</f>
        <v>0.75</v>
      </c>
      <c r="F4293" s="0" t="n">
        <f aca="false">-1+C4293*0.125</f>
        <v>-0.5</v>
      </c>
      <c r="G4293" s="0" t="n">
        <f aca="false">1</f>
        <v>1</v>
      </c>
      <c r="H4293" s="0" t="n">
        <f aca="false">D4293</f>
        <v>0.75</v>
      </c>
      <c r="I4293" s="0" t="n">
        <f aca="false">E4293</f>
        <v>0.75</v>
      </c>
      <c r="J4293" s="0" t="n">
        <f aca="false">F4293</f>
        <v>-0.5</v>
      </c>
      <c r="K4293" s="0" t="n">
        <f aca="false">D4293*E4293</f>
        <v>0.5625</v>
      </c>
      <c r="L4293" s="0" t="n">
        <f aca="false">D4293*F4293</f>
        <v>-0.375</v>
      </c>
      <c r="M4293" s="0" t="n">
        <f aca="false">E4293*F4293</f>
        <v>-0.375</v>
      </c>
      <c r="N4293" s="0" t="n">
        <f aca="false">D4293*D4293</f>
        <v>0.5625</v>
      </c>
      <c r="O4293" s="0" t="n">
        <f aca="false">E4293*E4293</f>
        <v>0.5625</v>
      </c>
      <c r="P4293" s="0" t="n">
        <f aca="false">F4293*F4293</f>
        <v>0.25</v>
      </c>
      <c r="Q4293" s="0" t="n">
        <f aca="false">SUMPRODUCT(G4293:P4293,_XtX!$B$71:$K$71)</f>
        <v>48.9568465909091</v>
      </c>
      <c r="R4293" s="0" t="n">
        <f aca="false">SUMPRODUCT(MMULT(G4293:P4293,_XtX!$B$58:$K$67),G4293:P4293)</f>
        <v>0.295232599431818</v>
      </c>
      <c r="S4293" s="0" t="n">
        <f aca="false">04_回帰ANOVA!$K$19*04_回帰ANOVA!$K$14*SQRT(1+R4293)</f>
        <v>1.05813363442154</v>
      </c>
      <c r="T4293" s="0" t="n">
        <f aca="false">Q4293-S4293</f>
        <v>47.8987129564876</v>
      </c>
      <c r="U4293" s="0" t="n">
        <f aca="false">Q4293+S4293</f>
        <v>50.0149802253306</v>
      </c>
      <c r="V4293" s="54" t="b">
        <f aca="false">AND(D4293&gt;=01_因子設定!$L$5-0.000000001,D4293&lt;=01_因子設定!$M$5+0.000000001,E4293&gt;=01_因子設定!$L$6-0.000000001,E4293&lt;=01_因子設定!$M$6+0.000000001,F4293&gt;=01_因子設定!$L$7-0.000000001,F4293&lt;=01_因子設定!$M$7+0.000000001,IF(01_因子設定!$B$20="Box-Behnken",D4293^2+E4293^2+F4293^2&lt;=2+0.000000001,TRUE()))</f>
        <v>1</v>
      </c>
      <c r="W4293" s="55" t="n">
        <f aca="false">IF(V4293,IF(01_因子設定!$B$13="最大化",T4293-01_因子設定!$B$14,IF(01_因子設定!$B$13="最小化",01_因子設定!$B$15-U4293,MIN(T4293-01_因子設定!$B$14,01_因子設定!$B$15-U4293))),-1E+030)</f>
        <v>-0.601287043512443</v>
      </c>
      <c r="X4293" s="55" t="n">
        <f aca="false">IF(V4293,IF(01_因子設定!$B$13="最大化",Q4293,IF(01_因子設定!$B$13="最小化",-Q4293,-ABS(Q4293-01_因子設定!$B$16))),-1E+030)</f>
        <v>48.9568465909091</v>
      </c>
      <c r="Y4293" s="55" t="n">
        <f aca="false">W4293+ROW()*0.000000001</f>
        <v>-0.601282750512443</v>
      </c>
      <c r="Z4293" s="55" t="n">
        <f aca="false">X4293+ROW()*0.000000001</f>
        <v>48.9568508839091</v>
      </c>
    </row>
    <row r="4294" customFormat="false" ht="15" hidden="false" customHeight="false" outlineLevel="0" collapsed="false">
      <c r="A4294" s="0" t="n">
        <v>14</v>
      </c>
      <c r="B4294" s="0" t="n">
        <v>14</v>
      </c>
      <c r="C4294" s="0" t="n">
        <v>5</v>
      </c>
      <c r="D4294" s="0" t="n">
        <f aca="false">-1+A4294*0.125</f>
        <v>0.75</v>
      </c>
      <c r="E4294" s="0" t="n">
        <f aca="false">-1+B4294*0.125</f>
        <v>0.75</v>
      </c>
      <c r="F4294" s="0" t="n">
        <f aca="false">-1+C4294*0.125</f>
        <v>-0.375</v>
      </c>
      <c r="G4294" s="0" t="n">
        <f aca="false">1</f>
        <v>1</v>
      </c>
      <c r="H4294" s="0" t="n">
        <f aca="false">D4294</f>
        <v>0.75</v>
      </c>
      <c r="I4294" s="0" t="n">
        <f aca="false">E4294</f>
        <v>0.75</v>
      </c>
      <c r="J4294" s="0" t="n">
        <f aca="false">F4294</f>
        <v>-0.375</v>
      </c>
      <c r="K4294" s="0" t="n">
        <f aca="false">D4294*E4294</f>
        <v>0.5625</v>
      </c>
      <c r="L4294" s="0" t="n">
        <f aca="false">D4294*F4294</f>
        <v>-0.28125</v>
      </c>
      <c r="M4294" s="0" t="n">
        <f aca="false">E4294*F4294</f>
        <v>-0.28125</v>
      </c>
      <c r="N4294" s="0" t="n">
        <f aca="false">D4294*D4294</f>
        <v>0.5625</v>
      </c>
      <c r="O4294" s="0" t="n">
        <f aca="false">E4294*E4294</f>
        <v>0.5625</v>
      </c>
      <c r="P4294" s="0" t="n">
        <f aca="false">F4294*F4294</f>
        <v>0.140625</v>
      </c>
      <c r="Q4294" s="0" t="n">
        <f aca="false">SUMPRODUCT(G4294:P4294,_XtX!$B$71:$K$71)</f>
        <v>49.2862357954545</v>
      </c>
      <c r="R4294" s="0" t="n">
        <f aca="false">SUMPRODUCT(MMULT(G4294:P4294,_XtX!$B$58:$K$67),G4294:P4294)</f>
        <v>0.296879438920455</v>
      </c>
      <c r="S4294" s="0" t="n">
        <f aca="false">04_回帰ANOVA!$K$19*04_回帰ANOVA!$K$14*SQRT(1+R4294)</f>
        <v>1.05880610927316</v>
      </c>
      <c r="T4294" s="0" t="n">
        <f aca="false">Q4294-S4294</f>
        <v>48.2274296861814</v>
      </c>
      <c r="U4294" s="0" t="n">
        <f aca="false">Q4294+S4294</f>
        <v>50.3450419047277</v>
      </c>
      <c r="V4294" s="54" t="b">
        <f aca="false">AND(D4294&gt;=01_因子設定!$L$5-0.000000001,D4294&lt;=01_因子設定!$M$5+0.000000001,E4294&gt;=01_因子設定!$L$6-0.000000001,E4294&lt;=01_因子設定!$M$6+0.000000001,F4294&gt;=01_因子設定!$L$7-0.000000001,F4294&lt;=01_因子設定!$M$7+0.000000001,IF(01_因子設定!$B$20="Box-Behnken",D4294^2+E4294^2+F4294^2&lt;=2+0.000000001,TRUE()))</f>
        <v>1</v>
      </c>
      <c r="W4294" s="55" t="n">
        <f aca="false">IF(V4294,IF(01_因子設定!$B$13="最大化",T4294-01_因子設定!$B$14,IF(01_因子設定!$B$13="最小化",01_因子設定!$B$15-U4294,MIN(T4294-01_因子設定!$B$14,01_因子設定!$B$15-U4294))),-1E+030)</f>
        <v>-0.272570313818619</v>
      </c>
      <c r="X4294" s="55" t="n">
        <f aca="false">IF(V4294,IF(01_因子設定!$B$13="最大化",Q4294,IF(01_因子設定!$B$13="最小化",-Q4294,-ABS(Q4294-01_因子設定!$B$16))),-1E+030)</f>
        <v>49.2862357954545</v>
      </c>
      <c r="Y4294" s="55" t="n">
        <f aca="false">W4294+ROW()*0.000000001</f>
        <v>-0.272566019818619</v>
      </c>
      <c r="Z4294" s="55" t="n">
        <f aca="false">X4294+ROW()*0.000000001</f>
        <v>49.2862400894545</v>
      </c>
    </row>
    <row r="4295" customFormat="false" ht="15" hidden="false" customHeight="false" outlineLevel="0" collapsed="false">
      <c r="A4295" s="0" t="n">
        <v>14</v>
      </c>
      <c r="B4295" s="0" t="n">
        <v>14</v>
      </c>
      <c r="C4295" s="0" t="n">
        <v>6</v>
      </c>
      <c r="D4295" s="0" t="n">
        <f aca="false">-1+A4295*0.125</f>
        <v>0.75</v>
      </c>
      <c r="E4295" s="0" t="n">
        <f aca="false">-1+B4295*0.125</f>
        <v>0.75</v>
      </c>
      <c r="F4295" s="0" t="n">
        <f aca="false">-1+C4295*0.125</f>
        <v>-0.25</v>
      </c>
      <c r="G4295" s="0" t="n">
        <f aca="false">1</f>
        <v>1</v>
      </c>
      <c r="H4295" s="0" t="n">
        <f aca="false">D4295</f>
        <v>0.75</v>
      </c>
      <c r="I4295" s="0" t="n">
        <f aca="false">E4295</f>
        <v>0.75</v>
      </c>
      <c r="J4295" s="0" t="n">
        <f aca="false">F4295</f>
        <v>-0.25</v>
      </c>
      <c r="K4295" s="0" t="n">
        <f aca="false">D4295*E4295</f>
        <v>0.5625</v>
      </c>
      <c r="L4295" s="0" t="n">
        <f aca="false">D4295*F4295</f>
        <v>-0.1875</v>
      </c>
      <c r="M4295" s="0" t="n">
        <f aca="false">E4295*F4295</f>
        <v>-0.1875</v>
      </c>
      <c r="N4295" s="0" t="n">
        <f aca="false">D4295*D4295</f>
        <v>0.5625</v>
      </c>
      <c r="O4295" s="0" t="n">
        <f aca="false">E4295*E4295</f>
        <v>0.5625</v>
      </c>
      <c r="P4295" s="0" t="n">
        <f aca="false">F4295*F4295</f>
        <v>0.0625</v>
      </c>
      <c r="Q4295" s="0" t="n">
        <f aca="false">SUMPRODUCT(G4295:P4295,_XtX!$B$71:$K$71)</f>
        <v>49.5788352272727</v>
      </c>
      <c r="R4295" s="0" t="n">
        <f aca="false">SUMPRODUCT(MMULT(G4295:P4295,_XtX!$B$58:$K$67),G4295:P4295)</f>
        <v>0.303382457386364</v>
      </c>
      <c r="S4295" s="0" t="n">
        <f aca="false">04_回帰ANOVA!$K$19*04_回帰ANOVA!$K$14*SQRT(1+R4295)</f>
        <v>1.06145740650883</v>
      </c>
      <c r="T4295" s="0" t="n">
        <f aca="false">Q4295-S4295</f>
        <v>48.5173778207639</v>
      </c>
      <c r="U4295" s="0" t="n">
        <f aca="false">Q4295+S4295</f>
        <v>50.6402926337816</v>
      </c>
      <c r="V4295" s="54" t="b">
        <f aca="false">AND(D4295&gt;=01_因子設定!$L$5-0.000000001,D4295&lt;=01_因子設定!$M$5+0.000000001,E4295&gt;=01_因子設定!$L$6-0.000000001,E4295&lt;=01_因子設定!$M$6+0.000000001,F4295&gt;=01_因子設定!$L$7-0.000000001,F4295&lt;=01_因子設定!$M$7+0.000000001,IF(01_因子設定!$B$20="Box-Behnken",D4295^2+E4295^2+F4295^2&lt;=2+0.000000001,TRUE()))</f>
        <v>1</v>
      </c>
      <c r="W4295" s="55" t="n">
        <f aca="false">IF(V4295,IF(01_因子設定!$B$13="最大化",T4295-01_因子設定!$B$14,IF(01_因子設定!$B$13="最小化",01_因子設定!$B$15-U4295,MIN(T4295-01_因子設定!$B$14,01_因子設定!$B$15-U4295))),-1E+030)</f>
        <v>0.0173778207638904</v>
      </c>
      <c r="X4295" s="55" t="n">
        <f aca="false">IF(V4295,IF(01_因子設定!$B$13="最大化",Q4295,IF(01_因子設定!$B$13="最小化",-Q4295,-ABS(Q4295-01_因子設定!$B$16))),-1E+030)</f>
        <v>49.5788352272727</v>
      </c>
      <c r="Y4295" s="55" t="n">
        <f aca="false">W4295+ROW()*0.000000001</f>
        <v>0.0173821157638904</v>
      </c>
      <c r="Z4295" s="55" t="n">
        <f aca="false">X4295+ROW()*0.000000001</f>
        <v>49.5788395222727</v>
      </c>
    </row>
    <row r="4296" customFormat="false" ht="15" hidden="false" customHeight="false" outlineLevel="0" collapsed="false">
      <c r="A4296" s="0" t="n">
        <v>14</v>
      </c>
      <c r="B4296" s="0" t="n">
        <v>14</v>
      </c>
      <c r="C4296" s="0" t="n">
        <v>7</v>
      </c>
      <c r="D4296" s="0" t="n">
        <f aca="false">-1+A4296*0.125</f>
        <v>0.75</v>
      </c>
      <c r="E4296" s="0" t="n">
        <f aca="false">-1+B4296*0.125</f>
        <v>0.75</v>
      </c>
      <c r="F4296" s="0" t="n">
        <f aca="false">-1+C4296*0.125</f>
        <v>-0.125</v>
      </c>
      <c r="G4296" s="0" t="n">
        <f aca="false">1</f>
        <v>1</v>
      </c>
      <c r="H4296" s="0" t="n">
        <f aca="false">D4296</f>
        <v>0.75</v>
      </c>
      <c r="I4296" s="0" t="n">
        <f aca="false">E4296</f>
        <v>0.75</v>
      </c>
      <c r="J4296" s="0" t="n">
        <f aca="false">F4296</f>
        <v>-0.125</v>
      </c>
      <c r="K4296" s="0" t="n">
        <f aca="false">D4296*E4296</f>
        <v>0.5625</v>
      </c>
      <c r="L4296" s="0" t="n">
        <f aca="false">D4296*F4296</f>
        <v>-0.09375</v>
      </c>
      <c r="M4296" s="0" t="n">
        <f aca="false">E4296*F4296</f>
        <v>-0.09375</v>
      </c>
      <c r="N4296" s="0" t="n">
        <f aca="false">D4296*D4296</f>
        <v>0.5625</v>
      </c>
      <c r="O4296" s="0" t="n">
        <f aca="false">E4296*E4296</f>
        <v>0.5625</v>
      </c>
      <c r="P4296" s="0" t="n">
        <f aca="false">F4296*F4296</f>
        <v>0.015625</v>
      </c>
      <c r="Q4296" s="0" t="n">
        <f aca="false">SUMPRODUCT(G4296:P4296,_XtX!$B$71:$K$71)</f>
        <v>49.8346448863636</v>
      </c>
      <c r="R4296" s="0" t="n">
        <f aca="false">SUMPRODUCT(MMULT(G4296:P4296,_XtX!$B$58:$K$67),G4296:P4296)</f>
        <v>0.309414950284091</v>
      </c>
      <c r="S4296" s="0" t="n">
        <f aca="false">04_回帰ANOVA!$K$19*04_回帰ANOVA!$K$14*SQRT(1+R4296)</f>
        <v>1.06391096196568</v>
      </c>
      <c r="T4296" s="0" t="n">
        <f aca="false">Q4296-S4296</f>
        <v>48.770733924398</v>
      </c>
      <c r="U4296" s="0" t="n">
        <f aca="false">Q4296+S4296</f>
        <v>50.8985558483293</v>
      </c>
      <c r="V4296" s="54" t="b">
        <f aca="false">AND(D4296&gt;=01_因子設定!$L$5-0.000000001,D4296&lt;=01_因子設定!$M$5+0.000000001,E4296&gt;=01_因子設定!$L$6-0.000000001,E4296&lt;=01_因子設定!$M$6+0.000000001,F4296&gt;=01_因子設定!$L$7-0.000000001,F4296&lt;=01_因子設定!$M$7+0.000000001,IF(01_因子設定!$B$20="Box-Behnken",D4296^2+E4296^2+F4296^2&lt;=2+0.000000001,TRUE()))</f>
        <v>1</v>
      </c>
      <c r="W4296" s="55" t="n">
        <f aca="false">IF(V4296,IF(01_因子設定!$B$13="最大化",T4296-01_因子設定!$B$14,IF(01_因子設定!$B$13="最小化",01_因子設定!$B$15-U4296,MIN(T4296-01_因子設定!$B$14,01_因子設定!$B$15-U4296))),-1E+030)</f>
        <v>0.270733924397959</v>
      </c>
      <c r="X4296" s="55" t="n">
        <f aca="false">IF(V4296,IF(01_因子設定!$B$13="最大化",Q4296,IF(01_因子設定!$B$13="最小化",-Q4296,-ABS(Q4296-01_因子設定!$B$16))),-1E+030)</f>
        <v>49.8346448863636</v>
      </c>
      <c r="Y4296" s="55" t="n">
        <f aca="false">W4296+ROW()*0.000000001</f>
        <v>0.270738220397959</v>
      </c>
      <c r="Z4296" s="55" t="n">
        <f aca="false">X4296+ROW()*0.000000001</f>
        <v>49.8346491823636</v>
      </c>
    </row>
    <row r="4297" customFormat="false" ht="15" hidden="false" customHeight="false" outlineLevel="0" collapsed="false">
      <c r="A4297" s="0" t="n">
        <v>14</v>
      </c>
      <c r="B4297" s="0" t="n">
        <v>14</v>
      </c>
      <c r="C4297" s="0" t="n">
        <v>8</v>
      </c>
      <c r="D4297" s="0" t="n">
        <f aca="false">-1+A4297*0.125</f>
        <v>0.75</v>
      </c>
      <c r="E4297" s="0" t="n">
        <f aca="false">-1+B4297*0.125</f>
        <v>0.75</v>
      </c>
      <c r="F4297" s="0" t="n">
        <f aca="false">-1+C4297*0.125</f>
        <v>0</v>
      </c>
      <c r="G4297" s="0" t="n">
        <f aca="false">1</f>
        <v>1</v>
      </c>
      <c r="H4297" s="0" t="n">
        <f aca="false">D4297</f>
        <v>0.75</v>
      </c>
      <c r="I4297" s="0" t="n">
        <f aca="false">E4297</f>
        <v>0.75</v>
      </c>
      <c r="J4297" s="0" t="n">
        <f aca="false">F4297</f>
        <v>0</v>
      </c>
      <c r="K4297" s="0" t="n">
        <f aca="false">D4297*E4297</f>
        <v>0.5625</v>
      </c>
      <c r="L4297" s="0" t="n">
        <f aca="false">D4297*F4297</f>
        <v>0</v>
      </c>
      <c r="M4297" s="0" t="n">
        <f aca="false">E4297*F4297</f>
        <v>0</v>
      </c>
      <c r="N4297" s="0" t="n">
        <f aca="false">D4297*D4297</f>
        <v>0.5625</v>
      </c>
      <c r="O4297" s="0" t="n">
        <f aca="false">E4297*E4297</f>
        <v>0.5625</v>
      </c>
      <c r="P4297" s="0" t="n">
        <f aca="false">F4297*F4297</f>
        <v>0</v>
      </c>
      <c r="Q4297" s="0" t="n">
        <f aca="false">SUMPRODUCT(G4297:P4297,_XtX!$B$71:$K$71)</f>
        <v>50.0536647727273</v>
      </c>
      <c r="R4297" s="0" t="n">
        <f aca="false">SUMPRODUCT(MMULT(G4297:P4297,_XtX!$B$58:$K$67),G4297:P4297)</f>
        <v>0.311780894886364</v>
      </c>
      <c r="S4297" s="0" t="n">
        <f aca="false">04_回帰ANOVA!$K$19*04_回帰ANOVA!$K$14*SQRT(1+R4297)</f>
        <v>1.06487170339437</v>
      </c>
      <c r="T4297" s="0" t="n">
        <f aca="false">Q4297-S4297</f>
        <v>48.9887930693329</v>
      </c>
      <c r="U4297" s="0" t="n">
        <f aca="false">Q4297+S4297</f>
        <v>51.1185364761217</v>
      </c>
      <c r="V4297" s="54" t="b">
        <f aca="false">AND(D4297&gt;=01_因子設定!$L$5-0.000000001,D4297&lt;=01_因子設定!$M$5+0.000000001,E4297&gt;=01_因子設定!$L$6-0.000000001,E4297&lt;=01_因子設定!$M$6+0.000000001,F4297&gt;=01_因子設定!$L$7-0.000000001,F4297&lt;=01_因子設定!$M$7+0.000000001,IF(01_因子設定!$B$20="Box-Behnken",D4297^2+E4297^2+F4297^2&lt;=2+0.000000001,TRUE()))</f>
        <v>1</v>
      </c>
      <c r="W4297" s="55" t="n">
        <f aca="false">IF(V4297,IF(01_因子設定!$B$13="最大化",T4297-01_因子設定!$B$14,IF(01_因子設定!$B$13="最小化",01_因子設定!$B$15-U4297,MIN(T4297-01_因子設定!$B$14,01_因子設定!$B$15-U4297))),-1E+030)</f>
        <v>0.4887930693329</v>
      </c>
      <c r="X4297" s="55" t="n">
        <f aca="false">IF(V4297,IF(01_因子設定!$B$13="最大化",Q4297,IF(01_因子設定!$B$13="最小化",-Q4297,-ABS(Q4297-01_因子設定!$B$16))),-1E+030)</f>
        <v>50.0536647727273</v>
      </c>
      <c r="Y4297" s="55" t="n">
        <f aca="false">W4297+ROW()*0.000000001</f>
        <v>0.4887973663329</v>
      </c>
      <c r="Z4297" s="55" t="n">
        <f aca="false">X4297+ROW()*0.000000001</f>
        <v>50.0536690697273</v>
      </c>
    </row>
    <row r="4298" customFormat="false" ht="15" hidden="false" customHeight="false" outlineLevel="0" collapsed="false">
      <c r="A4298" s="0" t="n">
        <v>14</v>
      </c>
      <c r="B4298" s="0" t="n">
        <v>14</v>
      </c>
      <c r="C4298" s="0" t="n">
        <v>9</v>
      </c>
      <c r="D4298" s="0" t="n">
        <f aca="false">-1+A4298*0.125</f>
        <v>0.75</v>
      </c>
      <c r="E4298" s="0" t="n">
        <f aca="false">-1+B4298*0.125</f>
        <v>0.75</v>
      </c>
      <c r="F4298" s="0" t="n">
        <f aca="false">-1+C4298*0.125</f>
        <v>0.125</v>
      </c>
      <c r="G4298" s="0" t="n">
        <f aca="false">1</f>
        <v>1</v>
      </c>
      <c r="H4298" s="0" t="n">
        <f aca="false">D4298</f>
        <v>0.75</v>
      </c>
      <c r="I4298" s="0" t="n">
        <f aca="false">E4298</f>
        <v>0.75</v>
      </c>
      <c r="J4298" s="0" t="n">
        <f aca="false">F4298</f>
        <v>0.125</v>
      </c>
      <c r="K4298" s="0" t="n">
        <f aca="false">D4298*E4298</f>
        <v>0.5625</v>
      </c>
      <c r="L4298" s="0" t="n">
        <f aca="false">D4298*F4298</f>
        <v>0.09375</v>
      </c>
      <c r="M4298" s="0" t="n">
        <f aca="false">E4298*F4298</f>
        <v>0.09375</v>
      </c>
      <c r="N4298" s="0" t="n">
        <f aca="false">D4298*D4298</f>
        <v>0.5625</v>
      </c>
      <c r="O4298" s="0" t="n">
        <f aca="false">E4298*E4298</f>
        <v>0.5625</v>
      </c>
      <c r="P4298" s="0" t="n">
        <f aca="false">F4298*F4298</f>
        <v>0.015625</v>
      </c>
      <c r="Q4298" s="0" t="n">
        <f aca="false">SUMPRODUCT(G4298:P4298,_XtX!$B$71:$K$71)</f>
        <v>50.2358948863636</v>
      </c>
      <c r="R4298" s="0" t="n">
        <f aca="false">SUMPRODUCT(MMULT(G4298:P4298,_XtX!$B$58:$K$67),G4298:P4298)</f>
        <v>0.309414950284091</v>
      </c>
      <c r="S4298" s="0" t="n">
        <f aca="false">04_回帰ANOVA!$K$19*04_回帰ANOVA!$K$14*SQRT(1+R4298)</f>
        <v>1.06391096196568</v>
      </c>
      <c r="T4298" s="0" t="n">
        <f aca="false">Q4298-S4298</f>
        <v>49.171983924398</v>
      </c>
      <c r="U4298" s="0" t="n">
        <f aca="false">Q4298+S4298</f>
        <v>51.2998058483293</v>
      </c>
      <c r="V4298" s="54" t="b">
        <f aca="false">AND(D4298&gt;=01_因子設定!$L$5-0.000000001,D4298&lt;=01_因子設定!$M$5+0.000000001,E4298&gt;=01_因子設定!$L$6-0.000000001,E4298&lt;=01_因子設定!$M$6+0.000000001,F4298&gt;=01_因子設定!$L$7-0.000000001,F4298&lt;=01_因子設定!$M$7+0.000000001,IF(01_因子設定!$B$20="Box-Behnken",D4298^2+E4298^2+F4298^2&lt;=2+0.000000001,TRUE()))</f>
        <v>1</v>
      </c>
      <c r="W4298" s="55" t="n">
        <f aca="false">IF(V4298,IF(01_因子設定!$B$13="最大化",T4298-01_因子設定!$B$14,IF(01_因子設定!$B$13="最小化",01_因子設定!$B$15-U4298,MIN(T4298-01_因子設定!$B$14,01_因子設定!$B$15-U4298))),-1E+030)</f>
        <v>0.671983924397964</v>
      </c>
      <c r="X4298" s="55" t="n">
        <f aca="false">IF(V4298,IF(01_因子設定!$B$13="最大化",Q4298,IF(01_因子設定!$B$13="最小化",-Q4298,-ABS(Q4298-01_因子設定!$B$16))),-1E+030)</f>
        <v>50.2358948863636</v>
      </c>
      <c r="Y4298" s="55" t="n">
        <f aca="false">W4298+ROW()*0.000000001</f>
        <v>0.671988222397964</v>
      </c>
      <c r="Z4298" s="55" t="n">
        <f aca="false">X4298+ROW()*0.000000001</f>
        <v>50.2358991843636</v>
      </c>
    </row>
    <row r="4299" customFormat="false" ht="15" hidden="false" customHeight="false" outlineLevel="0" collapsed="false">
      <c r="A4299" s="0" t="n">
        <v>14</v>
      </c>
      <c r="B4299" s="0" t="n">
        <v>14</v>
      </c>
      <c r="C4299" s="0" t="n">
        <v>10</v>
      </c>
      <c r="D4299" s="0" t="n">
        <f aca="false">-1+A4299*0.125</f>
        <v>0.75</v>
      </c>
      <c r="E4299" s="0" t="n">
        <f aca="false">-1+B4299*0.125</f>
        <v>0.75</v>
      </c>
      <c r="F4299" s="0" t="n">
        <f aca="false">-1+C4299*0.125</f>
        <v>0.25</v>
      </c>
      <c r="G4299" s="0" t="n">
        <f aca="false">1</f>
        <v>1</v>
      </c>
      <c r="H4299" s="0" t="n">
        <f aca="false">D4299</f>
        <v>0.75</v>
      </c>
      <c r="I4299" s="0" t="n">
        <f aca="false">E4299</f>
        <v>0.75</v>
      </c>
      <c r="J4299" s="0" t="n">
        <f aca="false">F4299</f>
        <v>0.25</v>
      </c>
      <c r="K4299" s="0" t="n">
        <f aca="false">D4299*E4299</f>
        <v>0.5625</v>
      </c>
      <c r="L4299" s="0" t="n">
        <f aca="false">D4299*F4299</f>
        <v>0.1875</v>
      </c>
      <c r="M4299" s="0" t="n">
        <f aca="false">E4299*F4299</f>
        <v>0.1875</v>
      </c>
      <c r="N4299" s="0" t="n">
        <f aca="false">D4299*D4299</f>
        <v>0.5625</v>
      </c>
      <c r="O4299" s="0" t="n">
        <f aca="false">E4299*E4299</f>
        <v>0.5625</v>
      </c>
      <c r="P4299" s="0" t="n">
        <f aca="false">F4299*F4299</f>
        <v>0.0625</v>
      </c>
      <c r="Q4299" s="0" t="n">
        <f aca="false">SUMPRODUCT(G4299:P4299,_XtX!$B$71:$K$71)</f>
        <v>50.3813352272727</v>
      </c>
      <c r="R4299" s="0" t="n">
        <f aca="false">SUMPRODUCT(MMULT(G4299:P4299,_XtX!$B$58:$K$67),G4299:P4299)</f>
        <v>0.303382457386364</v>
      </c>
      <c r="S4299" s="0" t="n">
        <f aca="false">04_回帰ANOVA!$K$19*04_回帰ANOVA!$K$14*SQRT(1+R4299)</f>
        <v>1.06145740650883</v>
      </c>
      <c r="T4299" s="0" t="n">
        <f aca="false">Q4299-S4299</f>
        <v>49.3198778207639</v>
      </c>
      <c r="U4299" s="0" t="n">
        <f aca="false">Q4299+S4299</f>
        <v>51.4427926337816</v>
      </c>
      <c r="V4299" s="54" t="b">
        <f aca="false">AND(D4299&gt;=01_因子設定!$L$5-0.000000001,D4299&lt;=01_因子設定!$M$5+0.000000001,E4299&gt;=01_因子設定!$L$6-0.000000001,E4299&lt;=01_因子設定!$M$6+0.000000001,F4299&gt;=01_因子設定!$L$7-0.000000001,F4299&lt;=01_因子設定!$M$7+0.000000001,IF(01_因子設定!$B$20="Box-Behnken",D4299^2+E4299^2+F4299^2&lt;=2+0.000000001,TRUE()))</f>
        <v>1</v>
      </c>
      <c r="W4299" s="55" t="n">
        <f aca="false">IF(V4299,IF(01_因子設定!$B$13="最大化",T4299-01_因子設定!$B$14,IF(01_因子設定!$B$13="最小化",01_因子設定!$B$15-U4299,MIN(T4299-01_因子設定!$B$14,01_因子設定!$B$15-U4299))),-1E+030)</f>
        <v>0.819877820763892</v>
      </c>
      <c r="X4299" s="55" t="n">
        <f aca="false">IF(V4299,IF(01_因子設定!$B$13="最大化",Q4299,IF(01_因子設定!$B$13="最小化",-Q4299,-ABS(Q4299-01_因子設定!$B$16))),-1E+030)</f>
        <v>50.3813352272727</v>
      </c>
      <c r="Y4299" s="55" t="n">
        <f aca="false">W4299+ROW()*0.000000001</f>
        <v>0.819882119763892</v>
      </c>
      <c r="Z4299" s="55" t="n">
        <f aca="false">X4299+ROW()*0.000000001</f>
        <v>50.3813395262727</v>
      </c>
    </row>
    <row r="4300" customFormat="false" ht="15" hidden="false" customHeight="false" outlineLevel="0" collapsed="false">
      <c r="A4300" s="0" t="n">
        <v>14</v>
      </c>
      <c r="B4300" s="0" t="n">
        <v>14</v>
      </c>
      <c r="C4300" s="0" t="n">
        <v>11</v>
      </c>
      <c r="D4300" s="0" t="n">
        <f aca="false">-1+A4300*0.125</f>
        <v>0.75</v>
      </c>
      <c r="E4300" s="0" t="n">
        <f aca="false">-1+B4300*0.125</f>
        <v>0.75</v>
      </c>
      <c r="F4300" s="0" t="n">
        <f aca="false">-1+C4300*0.125</f>
        <v>0.375</v>
      </c>
      <c r="G4300" s="0" t="n">
        <f aca="false">1</f>
        <v>1</v>
      </c>
      <c r="H4300" s="0" t="n">
        <f aca="false">D4300</f>
        <v>0.75</v>
      </c>
      <c r="I4300" s="0" t="n">
        <f aca="false">E4300</f>
        <v>0.75</v>
      </c>
      <c r="J4300" s="0" t="n">
        <f aca="false">F4300</f>
        <v>0.375</v>
      </c>
      <c r="K4300" s="0" t="n">
        <f aca="false">D4300*E4300</f>
        <v>0.5625</v>
      </c>
      <c r="L4300" s="0" t="n">
        <f aca="false">D4300*F4300</f>
        <v>0.28125</v>
      </c>
      <c r="M4300" s="0" t="n">
        <f aca="false">E4300*F4300</f>
        <v>0.28125</v>
      </c>
      <c r="N4300" s="0" t="n">
        <f aca="false">D4300*D4300</f>
        <v>0.5625</v>
      </c>
      <c r="O4300" s="0" t="n">
        <f aca="false">E4300*E4300</f>
        <v>0.5625</v>
      </c>
      <c r="P4300" s="0" t="n">
        <f aca="false">F4300*F4300</f>
        <v>0.140625</v>
      </c>
      <c r="Q4300" s="0" t="n">
        <f aca="false">SUMPRODUCT(G4300:P4300,_XtX!$B$71:$K$71)</f>
        <v>50.4899857954545</v>
      </c>
      <c r="R4300" s="0" t="n">
        <f aca="false">SUMPRODUCT(MMULT(G4300:P4300,_XtX!$B$58:$K$67),G4300:P4300)</f>
        <v>0.296879438920455</v>
      </c>
      <c r="S4300" s="0" t="n">
        <f aca="false">04_回帰ANOVA!$K$19*04_回帰ANOVA!$K$14*SQRT(1+R4300)</f>
        <v>1.05880610927316</v>
      </c>
      <c r="T4300" s="0" t="n">
        <f aca="false">Q4300-S4300</f>
        <v>49.4311796861814</v>
      </c>
      <c r="U4300" s="0" t="n">
        <f aca="false">Q4300+S4300</f>
        <v>51.5487919047277</v>
      </c>
      <c r="V4300" s="54" t="b">
        <f aca="false">AND(D4300&gt;=01_因子設定!$L$5-0.000000001,D4300&lt;=01_因子設定!$M$5+0.000000001,E4300&gt;=01_因子設定!$L$6-0.000000001,E4300&lt;=01_因子設定!$M$6+0.000000001,F4300&gt;=01_因子設定!$L$7-0.000000001,F4300&lt;=01_因子設定!$M$7+0.000000001,IF(01_因子設定!$B$20="Box-Behnken",D4300^2+E4300^2+F4300^2&lt;=2+0.000000001,TRUE()))</f>
        <v>1</v>
      </c>
      <c r="W4300" s="55" t="n">
        <f aca="false">IF(V4300,IF(01_因子設定!$B$13="最大化",T4300-01_因子設定!$B$14,IF(01_因子設定!$B$13="最小化",01_因子設定!$B$15-U4300,MIN(T4300-01_因子設定!$B$14,01_因子設定!$B$15-U4300))),-1E+030)</f>
        <v>0.93117968618138</v>
      </c>
      <c r="X4300" s="55" t="n">
        <f aca="false">IF(V4300,IF(01_因子設定!$B$13="最大化",Q4300,IF(01_因子設定!$B$13="最小化",-Q4300,-ABS(Q4300-01_因子設定!$B$16))),-1E+030)</f>
        <v>50.4899857954545</v>
      </c>
      <c r="Y4300" s="55" t="n">
        <f aca="false">W4300+ROW()*0.000000001</f>
        <v>0.93118398618138</v>
      </c>
      <c r="Z4300" s="55" t="n">
        <f aca="false">X4300+ROW()*0.000000001</f>
        <v>50.4899900954545</v>
      </c>
    </row>
    <row r="4301" customFormat="false" ht="15" hidden="false" customHeight="false" outlineLevel="0" collapsed="false">
      <c r="A4301" s="0" t="n">
        <v>14</v>
      </c>
      <c r="B4301" s="0" t="n">
        <v>14</v>
      </c>
      <c r="C4301" s="0" t="n">
        <v>12</v>
      </c>
      <c r="D4301" s="0" t="n">
        <f aca="false">-1+A4301*0.125</f>
        <v>0.75</v>
      </c>
      <c r="E4301" s="0" t="n">
        <f aca="false">-1+B4301*0.125</f>
        <v>0.75</v>
      </c>
      <c r="F4301" s="0" t="n">
        <f aca="false">-1+C4301*0.125</f>
        <v>0.5</v>
      </c>
      <c r="G4301" s="0" t="n">
        <f aca="false">1</f>
        <v>1</v>
      </c>
      <c r="H4301" s="0" t="n">
        <f aca="false">D4301</f>
        <v>0.75</v>
      </c>
      <c r="I4301" s="0" t="n">
        <f aca="false">E4301</f>
        <v>0.75</v>
      </c>
      <c r="J4301" s="0" t="n">
        <f aca="false">F4301</f>
        <v>0.5</v>
      </c>
      <c r="K4301" s="0" t="n">
        <f aca="false">D4301*E4301</f>
        <v>0.5625</v>
      </c>
      <c r="L4301" s="0" t="n">
        <f aca="false">D4301*F4301</f>
        <v>0.375</v>
      </c>
      <c r="M4301" s="0" t="n">
        <f aca="false">E4301*F4301</f>
        <v>0.375</v>
      </c>
      <c r="N4301" s="0" t="n">
        <f aca="false">D4301*D4301</f>
        <v>0.5625</v>
      </c>
      <c r="O4301" s="0" t="n">
        <f aca="false">E4301*E4301</f>
        <v>0.5625</v>
      </c>
      <c r="P4301" s="0" t="n">
        <f aca="false">F4301*F4301</f>
        <v>0.25</v>
      </c>
      <c r="Q4301" s="0" t="n">
        <f aca="false">SUMPRODUCT(G4301:P4301,_XtX!$B$71:$K$71)</f>
        <v>50.5618465909091</v>
      </c>
      <c r="R4301" s="0" t="n">
        <f aca="false">SUMPRODUCT(MMULT(G4301:P4301,_XtX!$B$58:$K$67),G4301:P4301)</f>
        <v>0.295232599431818</v>
      </c>
      <c r="S4301" s="0" t="n">
        <f aca="false">04_回帰ANOVA!$K$19*04_回帰ANOVA!$K$14*SQRT(1+R4301)</f>
        <v>1.05813363442154</v>
      </c>
      <c r="T4301" s="0" t="n">
        <f aca="false">Q4301-S4301</f>
        <v>49.5037129564876</v>
      </c>
      <c r="U4301" s="0" t="n">
        <f aca="false">Q4301+S4301</f>
        <v>51.6199802253306</v>
      </c>
      <c r="V4301" s="54" t="b">
        <f aca="false">AND(D4301&gt;=01_因子設定!$L$5-0.000000001,D4301&lt;=01_因子設定!$M$5+0.000000001,E4301&gt;=01_因子設定!$L$6-0.000000001,E4301&lt;=01_因子設定!$M$6+0.000000001,F4301&gt;=01_因子設定!$L$7-0.000000001,F4301&lt;=01_因子設定!$M$7+0.000000001,IF(01_因子設定!$B$20="Box-Behnken",D4301^2+E4301^2+F4301^2&lt;=2+0.000000001,TRUE()))</f>
        <v>1</v>
      </c>
      <c r="W4301" s="55" t="n">
        <f aca="false">IF(V4301,IF(01_因子設定!$B$13="最大化",T4301-01_因子設定!$B$14,IF(01_因子設定!$B$13="最小化",01_因子設定!$B$15-U4301,MIN(T4301-01_因子設定!$B$14,01_因子設定!$B$15-U4301))),-1E+030)</f>
        <v>1.00371295648755</v>
      </c>
      <c r="X4301" s="55" t="n">
        <f aca="false">IF(V4301,IF(01_因子設定!$B$13="最大化",Q4301,IF(01_因子設定!$B$13="最小化",-Q4301,-ABS(Q4301-01_因子設定!$B$16))),-1E+030)</f>
        <v>50.5618465909091</v>
      </c>
      <c r="Y4301" s="55" t="n">
        <f aca="false">W4301+ROW()*0.000000001</f>
        <v>1.00371725748755</v>
      </c>
      <c r="Z4301" s="55" t="n">
        <f aca="false">X4301+ROW()*0.000000001</f>
        <v>50.5618508919091</v>
      </c>
    </row>
    <row r="4302" customFormat="false" ht="15" hidden="false" customHeight="false" outlineLevel="0" collapsed="false">
      <c r="A4302" s="0" t="n">
        <v>14</v>
      </c>
      <c r="B4302" s="0" t="n">
        <v>14</v>
      </c>
      <c r="C4302" s="0" t="n">
        <v>13</v>
      </c>
      <c r="D4302" s="0" t="n">
        <f aca="false">-1+A4302*0.125</f>
        <v>0.75</v>
      </c>
      <c r="E4302" s="0" t="n">
        <f aca="false">-1+B4302*0.125</f>
        <v>0.75</v>
      </c>
      <c r="F4302" s="0" t="n">
        <f aca="false">-1+C4302*0.125</f>
        <v>0.625</v>
      </c>
      <c r="G4302" s="0" t="n">
        <f aca="false">1</f>
        <v>1</v>
      </c>
      <c r="H4302" s="0" t="n">
        <f aca="false">D4302</f>
        <v>0.75</v>
      </c>
      <c r="I4302" s="0" t="n">
        <f aca="false">E4302</f>
        <v>0.75</v>
      </c>
      <c r="J4302" s="0" t="n">
        <f aca="false">F4302</f>
        <v>0.625</v>
      </c>
      <c r="K4302" s="0" t="n">
        <f aca="false">D4302*E4302</f>
        <v>0.5625</v>
      </c>
      <c r="L4302" s="0" t="n">
        <f aca="false">D4302*F4302</f>
        <v>0.46875</v>
      </c>
      <c r="M4302" s="0" t="n">
        <f aca="false">E4302*F4302</f>
        <v>0.46875</v>
      </c>
      <c r="N4302" s="0" t="n">
        <f aca="false">D4302*D4302</f>
        <v>0.5625</v>
      </c>
      <c r="O4302" s="0" t="n">
        <f aca="false">E4302*E4302</f>
        <v>0.5625</v>
      </c>
      <c r="P4302" s="0" t="n">
        <f aca="false">F4302*F4302</f>
        <v>0.390625</v>
      </c>
      <c r="Q4302" s="0" t="n">
        <f aca="false">SUMPRODUCT(G4302:P4302,_XtX!$B$71:$K$71)</f>
        <v>50.5969176136364</v>
      </c>
      <c r="R4302" s="0" t="n">
        <f aca="false">SUMPRODUCT(MMULT(G4302:P4302,_XtX!$B$58:$K$67),G4302:P4302)</f>
        <v>0.305899325284091</v>
      </c>
      <c r="S4302" s="0" t="n">
        <f aca="false">04_回帰ANOVA!$K$19*04_回帰ANOVA!$K$14*SQRT(1+R4302)</f>
        <v>1.06248176416816</v>
      </c>
      <c r="T4302" s="0" t="n">
        <f aca="false">Q4302-S4302</f>
        <v>49.5344358494682</v>
      </c>
      <c r="U4302" s="0" t="n">
        <f aca="false">Q4302+S4302</f>
        <v>51.6593993778045</v>
      </c>
      <c r="V4302" s="54" t="b">
        <f aca="false">AND(D4302&gt;=01_因子設定!$L$5-0.000000001,D4302&lt;=01_因子設定!$M$5+0.000000001,E4302&gt;=01_因子設定!$L$6-0.000000001,E4302&lt;=01_因子設定!$M$6+0.000000001,F4302&gt;=01_因子設定!$L$7-0.000000001,F4302&lt;=01_因子設定!$M$7+0.000000001,IF(01_因子設定!$B$20="Box-Behnken",D4302^2+E4302^2+F4302^2&lt;=2+0.000000001,TRUE()))</f>
        <v>1</v>
      </c>
      <c r="W4302" s="55" t="n">
        <f aca="false">IF(V4302,IF(01_因子設定!$B$13="最大化",T4302-01_因子設定!$B$14,IF(01_因子設定!$B$13="最小化",01_因子設定!$B$15-U4302,MIN(T4302-01_因子設定!$B$14,01_因子設定!$B$15-U4302))),-1E+030)</f>
        <v>1.03443584946821</v>
      </c>
      <c r="X4302" s="55" t="n">
        <f aca="false">IF(V4302,IF(01_因子設定!$B$13="最大化",Q4302,IF(01_因子設定!$B$13="最小化",-Q4302,-ABS(Q4302-01_因子設定!$B$16))),-1E+030)</f>
        <v>50.5969176136364</v>
      </c>
      <c r="Y4302" s="55" t="n">
        <f aca="false">W4302+ROW()*0.000000001</f>
        <v>1.03444015146821</v>
      </c>
      <c r="Z4302" s="55" t="n">
        <f aca="false">X4302+ROW()*0.000000001</f>
        <v>50.5969219156364</v>
      </c>
    </row>
    <row r="4303" customFormat="false" ht="15" hidden="false" customHeight="false" outlineLevel="0" collapsed="false">
      <c r="A4303" s="0" t="n">
        <v>14</v>
      </c>
      <c r="B4303" s="0" t="n">
        <v>14</v>
      </c>
      <c r="C4303" s="0" t="n">
        <v>14</v>
      </c>
      <c r="D4303" s="0" t="n">
        <f aca="false">-1+A4303*0.125</f>
        <v>0.75</v>
      </c>
      <c r="E4303" s="0" t="n">
        <f aca="false">-1+B4303*0.125</f>
        <v>0.75</v>
      </c>
      <c r="F4303" s="0" t="n">
        <f aca="false">-1+C4303*0.125</f>
        <v>0.75</v>
      </c>
      <c r="G4303" s="0" t="n">
        <f aca="false">1</f>
        <v>1</v>
      </c>
      <c r="H4303" s="0" t="n">
        <f aca="false">D4303</f>
        <v>0.75</v>
      </c>
      <c r="I4303" s="0" t="n">
        <f aca="false">E4303</f>
        <v>0.75</v>
      </c>
      <c r="J4303" s="0" t="n">
        <f aca="false">F4303</f>
        <v>0.75</v>
      </c>
      <c r="K4303" s="0" t="n">
        <f aca="false">D4303*E4303</f>
        <v>0.5625</v>
      </c>
      <c r="L4303" s="0" t="n">
        <f aca="false">D4303*F4303</f>
        <v>0.5625</v>
      </c>
      <c r="M4303" s="0" t="n">
        <f aca="false">E4303*F4303</f>
        <v>0.5625</v>
      </c>
      <c r="N4303" s="0" t="n">
        <f aca="false">D4303*D4303</f>
        <v>0.5625</v>
      </c>
      <c r="O4303" s="0" t="n">
        <f aca="false">E4303*E4303</f>
        <v>0.5625</v>
      </c>
      <c r="P4303" s="0" t="n">
        <f aca="false">F4303*F4303</f>
        <v>0.5625</v>
      </c>
      <c r="Q4303" s="0" t="n">
        <f aca="false">SUMPRODUCT(G4303:P4303,_XtX!$B$71:$K$71)</f>
        <v>50.5951988636364</v>
      </c>
      <c r="R4303" s="0" t="n">
        <f aca="false">SUMPRODUCT(MMULT(G4303:P4303,_XtX!$B$58:$K$67),G4303:P4303)</f>
        <v>0.338467684659091</v>
      </c>
      <c r="S4303" s="0" t="n">
        <f aca="false">04_回帰ANOVA!$K$19*04_回帰ANOVA!$K$14*SQRT(1+R4303)</f>
        <v>1.07564900835648</v>
      </c>
      <c r="T4303" s="0" t="n">
        <f aca="false">Q4303-S4303</f>
        <v>49.5195498552799</v>
      </c>
      <c r="U4303" s="0" t="n">
        <f aca="false">Q4303+S4303</f>
        <v>51.6708478719929</v>
      </c>
      <c r="V4303" s="54" t="b">
        <f aca="false">AND(D4303&gt;=01_因子設定!$L$5-0.000000001,D4303&lt;=01_因子設定!$M$5+0.000000001,E4303&gt;=01_因子設定!$L$6-0.000000001,E4303&lt;=01_因子設定!$M$6+0.000000001,F4303&gt;=01_因子設定!$L$7-0.000000001,F4303&lt;=01_因子設定!$M$7+0.000000001,IF(01_因子設定!$B$20="Box-Behnken",D4303^2+E4303^2+F4303^2&lt;=2+0.000000001,TRUE()))</f>
        <v>1</v>
      </c>
      <c r="W4303" s="55" t="n">
        <f aca="false">IF(V4303,IF(01_因子設定!$B$13="最大化",T4303-01_因子設定!$B$14,IF(01_因子設定!$B$13="最小化",01_因子設定!$B$15-U4303,MIN(T4303-01_因子設定!$B$14,01_因子設定!$B$15-U4303))),-1E+030)</f>
        <v>1.0195498552799</v>
      </c>
      <c r="X4303" s="55" t="n">
        <f aca="false">IF(V4303,IF(01_因子設定!$B$13="最大化",Q4303,IF(01_因子設定!$B$13="最小化",-Q4303,-ABS(Q4303-01_因子設定!$B$16))),-1E+030)</f>
        <v>50.5951988636364</v>
      </c>
      <c r="Y4303" s="55" t="n">
        <f aca="false">W4303+ROW()*0.000000001</f>
        <v>1.0195541582799</v>
      </c>
      <c r="Z4303" s="55" t="n">
        <f aca="false">X4303+ROW()*0.000000001</f>
        <v>50.5952031666364</v>
      </c>
    </row>
    <row r="4304" customFormat="false" ht="15" hidden="false" customHeight="false" outlineLevel="0" collapsed="false">
      <c r="A4304" s="0" t="n">
        <v>14</v>
      </c>
      <c r="B4304" s="0" t="n">
        <v>14</v>
      </c>
      <c r="C4304" s="0" t="n">
        <v>15</v>
      </c>
      <c r="D4304" s="0" t="n">
        <f aca="false">-1+A4304*0.125</f>
        <v>0.75</v>
      </c>
      <c r="E4304" s="0" t="n">
        <f aca="false">-1+B4304*0.125</f>
        <v>0.75</v>
      </c>
      <c r="F4304" s="0" t="n">
        <f aca="false">-1+C4304*0.125</f>
        <v>0.875</v>
      </c>
      <c r="G4304" s="0" t="n">
        <f aca="false">1</f>
        <v>1</v>
      </c>
      <c r="H4304" s="0" t="n">
        <f aca="false">D4304</f>
        <v>0.75</v>
      </c>
      <c r="I4304" s="0" t="n">
        <f aca="false">E4304</f>
        <v>0.75</v>
      </c>
      <c r="J4304" s="0" t="n">
        <f aca="false">F4304</f>
        <v>0.875</v>
      </c>
      <c r="K4304" s="0" t="n">
        <f aca="false">D4304*E4304</f>
        <v>0.5625</v>
      </c>
      <c r="L4304" s="0" t="n">
        <f aca="false">D4304*F4304</f>
        <v>0.65625</v>
      </c>
      <c r="M4304" s="0" t="n">
        <f aca="false">E4304*F4304</f>
        <v>0.65625</v>
      </c>
      <c r="N4304" s="0" t="n">
        <f aca="false">D4304*D4304</f>
        <v>0.5625</v>
      </c>
      <c r="O4304" s="0" t="n">
        <f aca="false">E4304*E4304</f>
        <v>0.5625</v>
      </c>
      <c r="P4304" s="0" t="n">
        <f aca="false">F4304*F4304</f>
        <v>0.765625</v>
      </c>
      <c r="Q4304" s="0" t="n">
        <f aca="false">SUMPRODUCT(G4304:P4304,_XtX!$B$71:$K$71)</f>
        <v>50.5566903409091</v>
      </c>
      <c r="R4304" s="0" t="n">
        <f aca="false">SUMPRODUCT(MMULT(G4304:P4304,_XtX!$B$58:$K$67),G4304:P4304)</f>
        <v>0.404656427556818</v>
      </c>
      <c r="S4304" s="0" t="n">
        <f aca="false">04_回帰ANOVA!$K$19*04_回帰ANOVA!$K$14*SQRT(1+R4304)</f>
        <v>1.10192412515358</v>
      </c>
      <c r="T4304" s="0" t="n">
        <f aca="false">Q4304-S4304</f>
        <v>49.4547662157555</v>
      </c>
      <c r="U4304" s="0" t="n">
        <f aca="false">Q4304+S4304</f>
        <v>51.6586144660627</v>
      </c>
      <c r="V4304" s="54" t="b">
        <f aca="false">AND(D4304&gt;=01_因子設定!$L$5-0.000000001,D4304&lt;=01_因子設定!$M$5+0.000000001,E4304&gt;=01_因子設定!$L$6-0.000000001,E4304&lt;=01_因子設定!$M$6+0.000000001,F4304&gt;=01_因子設定!$L$7-0.000000001,F4304&lt;=01_因子設定!$M$7+0.000000001,IF(01_因子設定!$B$20="Box-Behnken",D4304^2+E4304^2+F4304^2&lt;=2+0.000000001,TRUE()))</f>
        <v>1</v>
      </c>
      <c r="W4304" s="55" t="n">
        <f aca="false">IF(V4304,IF(01_因子設定!$B$13="最大化",T4304-01_因子設定!$B$14,IF(01_因子設定!$B$13="最小化",01_因子設定!$B$15-U4304,MIN(T4304-01_因子設定!$B$14,01_因子設定!$B$15-U4304))),-1E+030)</f>
        <v>0.954766215755527</v>
      </c>
      <c r="X4304" s="55" t="n">
        <f aca="false">IF(V4304,IF(01_因子設定!$B$13="最大化",Q4304,IF(01_因子設定!$B$13="最小化",-Q4304,-ABS(Q4304-01_因子設定!$B$16))),-1E+030)</f>
        <v>50.5566903409091</v>
      </c>
      <c r="Y4304" s="55" t="n">
        <f aca="false">W4304+ROW()*0.000000001</f>
        <v>0.954770519755527</v>
      </c>
      <c r="Z4304" s="55" t="n">
        <f aca="false">X4304+ROW()*0.000000001</f>
        <v>50.5566946449091</v>
      </c>
    </row>
    <row r="4305" customFormat="false" ht="15" hidden="false" customHeight="false" outlineLevel="0" collapsed="false">
      <c r="A4305" s="0" t="n">
        <v>14</v>
      </c>
      <c r="B4305" s="0" t="n">
        <v>14</v>
      </c>
      <c r="C4305" s="0" t="n">
        <v>16</v>
      </c>
      <c r="D4305" s="0" t="n">
        <f aca="false">-1+A4305*0.125</f>
        <v>0.75</v>
      </c>
      <c r="E4305" s="0" t="n">
        <f aca="false">-1+B4305*0.125</f>
        <v>0.75</v>
      </c>
      <c r="F4305" s="0" t="n">
        <f aca="false">-1+C4305*0.125</f>
        <v>1</v>
      </c>
      <c r="G4305" s="0" t="n">
        <f aca="false">1</f>
        <v>1</v>
      </c>
      <c r="H4305" s="0" t="n">
        <f aca="false">D4305</f>
        <v>0.75</v>
      </c>
      <c r="I4305" s="0" t="n">
        <f aca="false">E4305</f>
        <v>0.75</v>
      </c>
      <c r="J4305" s="0" t="n">
        <f aca="false">F4305</f>
        <v>1</v>
      </c>
      <c r="K4305" s="0" t="n">
        <f aca="false">D4305*E4305</f>
        <v>0.5625</v>
      </c>
      <c r="L4305" s="0" t="n">
        <f aca="false">D4305*F4305</f>
        <v>0.75</v>
      </c>
      <c r="M4305" s="0" t="n">
        <f aca="false">E4305*F4305</f>
        <v>0.75</v>
      </c>
      <c r="N4305" s="0" t="n">
        <f aca="false">D4305*D4305</f>
        <v>0.5625</v>
      </c>
      <c r="O4305" s="0" t="n">
        <f aca="false">E4305*E4305</f>
        <v>0.5625</v>
      </c>
      <c r="P4305" s="0" t="n">
        <f aca="false">F4305*F4305</f>
        <v>1</v>
      </c>
      <c r="Q4305" s="0" t="n">
        <f aca="false">SUMPRODUCT(G4305:P4305,_XtX!$B$71:$K$71)</f>
        <v>50.4813920454546</v>
      </c>
      <c r="R4305" s="0" t="n">
        <f aca="false">SUMPRODUCT(MMULT(G4305:P4305,_XtX!$B$58:$K$67),G4305:P4305)</f>
        <v>0.518314985795455</v>
      </c>
      <c r="S4305" s="0" t="n">
        <f aca="false">04_回帰ANOVA!$K$19*04_回帰ANOVA!$K$14*SQRT(1+R4305)</f>
        <v>1.14563843495971</v>
      </c>
      <c r="T4305" s="0" t="n">
        <f aca="false">Q4305-S4305</f>
        <v>49.3357536104949</v>
      </c>
      <c r="U4305" s="0" t="n">
        <f aca="false">Q4305+S4305</f>
        <v>51.6270304804143</v>
      </c>
      <c r="V4305" s="54" t="b">
        <f aca="false">AND(D4305&gt;=01_因子設定!$L$5-0.000000001,D4305&lt;=01_因子設定!$M$5+0.000000001,E4305&gt;=01_因子設定!$L$6-0.000000001,E4305&lt;=01_因子設定!$M$6+0.000000001,F4305&gt;=01_因子設定!$L$7-0.000000001,F4305&lt;=01_因子設定!$M$7+0.000000001,IF(01_因子設定!$B$20="Box-Behnken",D4305^2+E4305^2+F4305^2&lt;=2+0.000000001,TRUE()))</f>
        <v>1</v>
      </c>
      <c r="W4305" s="55" t="n">
        <f aca="false">IF(V4305,IF(01_因子設定!$B$13="最大化",T4305-01_因子設定!$B$14,IF(01_因子設定!$B$13="最小化",01_因子設定!$B$15-U4305,MIN(T4305-01_因子設定!$B$14,01_因子設定!$B$15-U4305))),-1E+030)</f>
        <v>0.835753610494855</v>
      </c>
      <c r="X4305" s="55" t="n">
        <f aca="false">IF(V4305,IF(01_因子設定!$B$13="最大化",Q4305,IF(01_因子設定!$B$13="最小化",-Q4305,-ABS(Q4305-01_因子設定!$B$16))),-1E+030)</f>
        <v>50.4813920454546</v>
      </c>
      <c r="Y4305" s="55" t="n">
        <f aca="false">W4305+ROW()*0.000000001</f>
        <v>0.835757915494855</v>
      </c>
      <c r="Z4305" s="55" t="n">
        <f aca="false">X4305+ROW()*0.000000001</f>
        <v>50.4813963504546</v>
      </c>
    </row>
    <row r="4306" customFormat="false" ht="15" hidden="false" customHeight="false" outlineLevel="0" collapsed="false">
      <c r="A4306" s="0" t="n">
        <v>14</v>
      </c>
      <c r="B4306" s="0" t="n">
        <v>15</v>
      </c>
      <c r="C4306" s="0" t="n">
        <v>0</v>
      </c>
      <c r="D4306" s="0" t="n">
        <f aca="false">-1+A4306*0.125</f>
        <v>0.75</v>
      </c>
      <c r="E4306" s="0" t="n">
        <f aca="false">-1+B4306*0.125</f>
        <v>0.875</v>
      </c>
      <c r="F4306" s="0" t="n">
        <f aca="false">-1+C4306*0.125</f>
        <v>-1</v>
      </c>
      <c r="G4306" s="0" t="n">
        <f aca="false">1</f>
        <v>1</v>
      </c>
      <c r="H4306" s="0" t="n">
        <f aca="false">D4306</f>
        <v>0.75</v>
      </c>
      <c r="I4306" s="0" t="n">
        <f aca="false">E4306</f>
        <v>0.875</v>
      </c>
      <c r="J4306" s="0" t="n">
        <f aca="false">F4306</f>
        <v>-1</v>
      </c>
      <c r="K4306" s="0" t="n">
        <f aca="false">D4306*E4306</f>
        <v>0.65625</v>
      </c>
      <c r="L4306" s="0" t="n">
        <f aca="false">D4306*F4306</f>
        <v>-0.75</v>
      </c>
      <c r="M4306" s="0" t="n">
        <f aca="false">E4306*F4306</f>
        <v>-0.875</v>
      </c>
      <c r="N4306" s="0" t="n">
        <f aca="false">D4306*D4306</f>
        <v>0.5625</v>
      </c>
      <c r="O4306" s="0" t="n">
        <f aca="false">E4306*E4306</f>
        <v>0.765625</v>
      </c>
      <c r="P4306" s="0" t="n">
        <f aca="false">F4306*F4306</f>
        <v>1</v>
      </c>
      <c r="Q4306" s="0" t="n">
        <f aca="false">SUMPRODUCT(G4306:P4306,_XtX!$B$71:$K$71)</f>
        <v>47.1769460227273</v>
      </c>
      <c r="R4306" s="0" t="n">
        <f aca="false">SUMPRODUCT(MMULT(G4306:P4306,_XtX!$B$58:$K$67),G4306:P4306)</f>
        <v>0.571375621448864</v>
      </c>
      <c r="S4306" s="0" t="n">
        <f aca="false">04_回帰ANOVA!$K$19*04_回帰ANOVA!$K$14*SQRT(1+R4306)</f>
        <v>1.16548487437682</v>
      </c>
      <c r="T4306" s="0" t="n">
        <f aca="false">Q4306-S4306</f>
        <v>46.0114611483505</v>
      </c>
      <c r="U4306" s="0" t="n">
        <f aca="false">Q4306+S4306</f>
        <v>48.3424308971041</v>
      </c>
      <c r="V4306" s="54" t="b">
        <f aca="false">AND(D4306&gt;=01_因子設定!$L$5-0.000000001,D4306&lt;=01_因子設定!$M$5+0.000000001,E4306&gt;=01_因子設定!$L$6-0.000000001,E4306&lt;=01_因子設定!$M$6+0.000000001,F4306&gt;=01_因子設定!$L$7-0.000000001,F4306&lt;=01_因子設定!$M$7+0.000000001,IF(01_因子設定!$B$20="Box-Behnken",D4306^2+E4306^2+F4306^2&lt;=2+0.000000001,TRUE()))</f>
        <v>1</v>
      </c>
      <c r="W4306" s="55" t="n">
        <f aca="false">IF(V4306,IF(01_因子設定!$B$13="最大化",T4306-01_因子設定!$B$14,IF(01_因子設定!$B$13="最小化",01_因子設定!$B$15-U4306,MIN(T4306-01_因子設定!$B$14,01_因子設定!$B$15-U4306))),-1E+030)</f>
        <v>-2.48853885164952</v>
      </c>
      <c r="X4306" s="55" t="n">
        <f aca="false">IF(V4306,IF(01_因子設定!$B$13="最大化",Q4306,IF(01_因子設定!$B$13="最小化",-Q4306,-ABS(Q4306-01_因子設定!$B$16))),-1E+030)</f>
        <v>47.1769460227273</v>
      </c>
      <c r="Y4306" s="55" t="n">
        <f aca="false">W4306+ROW()*0.000000001</f>
        <v>-2.48853454564952</v>
      </c>
      <c r="Z4306" s="55" t="n">
        <f aca="false">X4306+ROW()*0.000000001</f>
        <v>47.1769503287273</v>
      </c>
    </row>
    <row r="4307" customFormat="false" ht="15" hidden="false" customHeight="false" outlineLevel="0" collapsed="false">
      <c r="A4307" s="0" t="n">
        <v>14</v>
      </c>
      <c r="B4307" s="0" t="n">
        <v>15</v>
      </c>
      <c r="C4307" s="0" t="n">
        <v>1</v>
      </c>
      <c r="D4307" s="0" t="n">
        <f aca="false">-1+A4307*0.125</f>
        <v>0.75</v>
      </c>
      <c r="E4307" s="0" t="n">
        <f aca="false">-1+B4307*0.125</f>
        <v>0.875</v>
      </c>
      <c r="F4307" s="0" t="n">
        <f aca="false">-1+C4307*0.125</f>
        <v>-0.875</v>
      </c>
      <c r="G4307" s="0" t="n">
        <f aca="false">1</f>
        <v>1</v>
      </c>
      <c r="H4307" s="0" t="n">
        <f aca="false">D4307</f>
        <v>0.75</v>
      </c>
      <c r="I4307" s="0" t="n">
        <f aca="false">E4307</f>
        <v>0.875</v>
      </c>
      <c r="J4307" s="0" t="n">
        <f aca="false">F4307</f>
        <v>-0.875</v>
      </c>
      <c r="K4307" s="0" t="n">
        <f aca="false">D4307*E4307</f>
        <v>0.65625</v>
      </c>
      <c r="L4307" s="0" t="n">
        <f aca="false">D4307*F4307</f>
        <v>-0.65625</v>
      </c>
      <c r="M4307" s="0" t="n">
        <f aca="false">E4307*F4307</f>
        <v>-0.765625</v>
      </c>
      <c r="N4307" s="0" t="n">
        <f aca="false">D4307*D4307</f>
        <v>0.5625</v>
      </c>
      <c r="O4307" s="0" t="n">
        <f aca="false">E4307*E4307</f>
        <v>0.765625</v>
      </c>
      <c r="P4307" s="0" t="n">
        <f aca="false">F4307*F4307</f>
        <v>0.765625</v>
      </c>
      <c r="Q4307" s="0" t="n">
        <f aca="false">SUMPRODUCT(G4307:P4307,_XtX!$B$71:$K$71)</f>
        <v>47.6605255681818</v>
      </c>
      <c r="R4307" s="0" t="n">
        <f aca="false">SUMPRODUCT(MMULT(G4307:P4307,_XtX!$B$58:$K$67),G4307:P4307)</f>
        <v>0.464749977805398</v>
      </c>
      <c r="S4307" s="0" t="n">
        <f aca="false">04_回帰ANOVA!$K$19*04_回帰ANOVA!$K$14*SQRT(1+R4307)</f>
        <v>1.12524835342194</v>
      </c>
      <c r="T4307" s="0" t="n">
        <f aca="false">Q4307-S4307</f>
        <v>46.5352772147599</v>
      </c>
      <c r="U4307" s="0" t="n">
        <f aca="false">Q4307+S4307</f>
        <v>48.7857739216038</v>
      </c>
      <c r="V4307" s="54" t="b">
        <f aca="false">AND(D4307&gt;=01_因子設定!$L$5-0.000000001,D4307&lt;=01_因子設定!$M$5+0.000000001,E4307&gt;=01_因子設定!$L$6-0.000000001,E4307&lt;=01_因子設定!$M$6+0.000000001,F4307&gt;=01_因子設定!$L$7-0.000000001,F4307&lt;=01_因子設定!$M$7+0.000000001,IF(01_因子設定!$B$20="Box-Behnken",D4307^2+E4307^2+F4307^2&lt;=2+0.000000001,TRUE()))</f>
        <v>1</v>
      </c>
      <c r="W4307" s="55" t="n">
        <f aca="false">IF(V4307,IF(01_因子設定!$B$13="最大化",T4307-01_因子設定!$B$14,IF(01_因子設定!$B$13="最小化",01_因子設定!$B$15-U4307,MIN(T4307-01_因子設定!$B$14,01_因子設定!$B$15-U4307))),-1E+030)</f>
        <v>-1.96472278524011</v>
      </c>
      <c r="X4307" s="55" t="n">
        <f aca="false">IF(V4307,IF(01_因子設定!$B$13="最大化",Q4307,IF(01_因子設定!$B$13="最小化",-Q4307,-ABS(Q4307-01_因子設定!$B$16))),-1E+030)</f>
        <v>47.6605255681818</v>
      </c>
      <c r="Y4307" s="55" t="n">
        <f aca="false">W4307+ROW()*0.000000001</f>
        <v>-1.96471847824011</v>
      </c>
      <c r="Z4307" s="55" t="n">
        <f aca="false">X4307+ROW()*0.000000001</f>
        <v>47.6605298751818</v>
      </c>
    </row>
    <row r="4308" customFormat="false" ht="15" hidden="false" customHeight="false" outlineLevel="0" collapsed="false">
      <c r="A4308" s="0" t="n">
        <v>14</v>
      </c>
      <c r="B4308" s="0" t="n">
        <v>15</v>
      </c>
      <c r="C4308" s="0" t="n">
        <v>2</v>
      </c>
      <c r="D4308" s="0" t="n">
        <f aca="false">-1+A4308*0.125</f>
        <v>0.75</v>
      </c>
      <c r="E4308" s="0" t="n">
        <f aca="false">-1+B4308*0.125</f>
        <v>0.875</v>
      </c>
      <c r="F4308" s="0" t="n">
        <f aca="false">-1+C4308*0.125</f>
        <v>-0.75</v>
      </c>
      <c r="G4308" s="0" t="n">
        <f aca="false">1</f>
        <v>1</v>
      </c>
      <c r="H4308" s="0" t="n">
        <f aca="false">D4308</f>
        <v>0.75</v>
      </c>
      <c r="I4308" s="0" t="n">
        <f aca="false">E4308</f>
        <v>0.875</v>
      </c>
      <c r="J4308" s="0" t="n">
        <f aca="false">F4308</f>
        <v>-0.75</v>
      </c>
      <c r="K4308" s="0" t="n">
        <f aca="false">D4308*E4308</f>
        <v>0.65625</v>
      </c>
      <c r="L4308" s="0" t="n">
        <f aca="false">D4308*F4308</f>
        <v>-0.5625</v>
      </c>
      <c r="M4308" s="0" t="n">
        <f aca="false">E4308*F4308</f>
        <v>-0.65625</v>
      </c>
      <c r="N4308" s="0" t="n">
        <f aca="false">D4308*D4308</f>
        <v>0.5625</v>
      </c>
      <c r="O4308" s="0" t="n">
        <f aca="false">E4308*E4308</f>
        <v>0.765625</v>
      </c>
      <c r="P4308" s="0" t="n">
        <f aca="false">F4308*F4308</f>
        <v>0.5625</v>
      </c>
      <c r="Q4308" s="0" t="n">
        <f aca="false">SUMPRODUCT(G4308:P4308,_XtX!$B$71:$K$71)</f>
        <v>48.1073153409091</v>
      </c>
      <c r="R4308" s="0" t="n">
        <f aca="false">SUMPRODUCT(MMULT(G4308:P4308,_XtX!$B$58:$K$67),G4308:P4308)</f>
        <v>0.404656427556818</v>
      </c>
      <c r="S4308" s="0" t="n">
        <f aca="false">04_回帰ANOVA!$K$19*04_回帰ANOVA!$K$14*SQRT(1+R4308)</f>
        <v>1.10192412515358</v>
      </c>
      <c r="T4308" s="0" t="n">
        <f aca="false">Q4308-S4308</f>
        <v>47.0053912157555</v>
      </c>
      <c r="U4308" s="0" t="n">
        <f aca="false">Q4308+S4308</f>
        <v>49.2092394660627</v>
      </c>
      <c r="V4308" s="54" t="b">
        <f aca="false">AND(D4308&gt;=01_因子設定!$L$5-0.000000001,D4308&lt;=01_因子設定!$M$5+0.000000001,E4308&gt;=01_因子設定!$L$6-0.000000001,E4308&lt;=01_因子設定!$M$6+0.000000001,F4308&gt;=01_因子設定!$L$7-0.000000001,F4308&lt;=01_因子設定!$M$7+0.000000001,IF(01_因子設定!$B$20="Box-Behnken",D4308^2+E4308^2+F4308^2&lt;=2+0.000000001,TRUE()))</f>
        <v>1</v>
      </c>
      <c r="W4308" s="55" t="n">
        <f aca="false">IF(V4308,IF(01_因子設定!$B$13="最大化",T4308-01_因子設定!$B$14,IF(01_因子設定!$B$13="最小化",01_因子設定!$B$15-U4308,MIN(T4308-01_因子設定!$B$14,01_因子設定!$B$15-U4308))),-1E+030)</f>
        <v>-1.49460878424448</v>
      </c>
      <c r="X4308" s="55" t="n">
        <f aca="false">IF(V4308,IF(01_因子設定!$B$13="最大化",Q4308,IF(01_因子設定!$B$13="最小化",-Q4308,-ABS(Q4308-01_因子設定!$B$16))),-1E+030)</f>
        <v>48.1073153409091</v>
      </c>
      <c r="Y4308" s="55" t="n">
        <f aca="false">W4308+ROW()*0.000000001</f>
        <v>-1.49460447624448</v>
      </c>
      <c r="Z4308" s="55" t="n">
        <f aca="false">X4308+ROW()*0.000000001</f>
        <v>48.1073196489091</v>
      </c>
    </row>
    <row r="4309" customFormat="false" ht="15" hidden="false" customHeight="false" outlineLevel="0" collapsed="false">
      <c r="A4309" s="0" t="n">
        <v>14</v>
      </c>
      <c r="B4309" s="0" t="n">
        <v>15</v>
      </c>
      <c r="C4309" s="0" t="n">
        <v>3</v>
      </c>
      <c r="D4309" s="0" t="n">
        <f aca="false">-1+A4309*0.125</f>
        <v>0.75</v>
      </c>
      <c r="E4309" s="0" t="n">
        <f aca="false">-1+B4309*0.125</f>
        <v>0.875</v>
      </c>
      <c r="F4309" s="0" t="n">
        <f aca="false">-1+C4309*0.125</f>
        <v>-0.625</v>
      </c>
      <c r="G4309" s="0" t="n">
        <f aca="false">1</f>
        <v>1</v>
      </c>
      <c r="H4309" s="0" t="n">
        <f aca="false">D4309</f>
        <v>0.75</v>
      </c>
      <c r="I4309" s="0" t="n">
        <f aca="false">E4309</f>
        <v>0.875</v>
      </c>
      <c r="J4309" s="0" t="n">
        <f aca="false">F4309</f>
        <v>-0.625</v>
      </c>
      <c r="K4309" s="0" t="n">
        <f aca="false">D4309*E4309</f>
        <v>0.65625</v>
      </c>
      <c r="L4309" s="0" t="n">
        <f aca="false">D4309*F4309</f>
        <v>-0.46875</v>
      </c>
      <c r="M4309" s="0" t="n">
        <f aca="false">E4309*F4309</f>
        <v>-0.546875</v>
      </c>
      <c r="N4309" s="0" t="n">
        <f aca="false">D4309*D4309</f>
        <v>0.5625</v>
      </c>
      <c r="O4309" s="0" t="n">
        <f aca="false">E4309*E4309</f>
        <v>0.765625</v>
      </c>
      <c r="P4309" s="0" t="n">
        <f aca="false">F4309*F4309</f>
        <v>0.390625</v>
      </c>
      <c r="Q4309" s="0" t="n">
        <f aca="false">SUMPRODUCT(G4309:P4309,_XtX!$B$71:$K$71)</f>
        <v>48.5173153409091</v>
      </c>
      <c r="R4309" s="0" t="n">
        <f aca="false">SUMPRODUCT(MMULT(G4309:P4309,_XtX!$B$58:$K$67),G4309:P4309)</f>
        <v>0.377245538884943</v>
      </c>
      <c r="S4309" s="0" t="n">
        <f aca="false">04_回帰ANOVA!$K$19*04_回帰ANOVA!$K$14*SQRT(1+R4309)</f>
        <v>1.09111951468927</v>
      </c>
      <c r="T4309" s="0" t="n">
        <f aca="false">Q4309-S4309</f>
        <v>47.4261958262198</v>
      </c>
      <c r="U4309" s="0" t="n">
        <f aca="false">Q4309+S4309</f>
        <v>49.6084348555984</v>
      </c>
      <c r="V4309" s="54" t="b">
        <f aca="false">AND(D4309&gt;=01_因子設定!$L$5-0.000000001,D4309&lt;=01_因子設定!$M$5+0.000000001,E4309&gt;=01_因子設定!$L$6-0.000000001,E4309&lt;=01_因子設定!$M$6+0.000000001,F4309&gt;=01_因子設定!$L$7-0.000000001,F4309&lt;=01_因子設定!$M$7+0.000000001,IF(01_因子設定!$B$20="Box-Behnken",D4309^2+E4309^2+F4309^2&lt;=2+0.000000001,TRUE()))</f>
        <v>1</v>
      </c>
      <c r="W4309" s="55" t="n">
        <f aca="false">IF(V4309,IF(01_因子設定!$B$13="最大化",T4309-01_因子設定!$B$14,IF(01_因子設定!$B$13="最小化",01_因子設定!$B$15-U4309,MIN(T4309-01_因子設定!$B$14,01_因子設定!$B$15-U4309))),-1E+030)</f>
        <v>-1.07380417378018</v>
      </c>
      <c r="X4309" s="55" t="n">
        <f aca="false">IF(V4309,IF(01_因子設定!$B$13="最大化",Q4309,IF(01_因子設定!$B$13="最小化",-Q4309,-ABS(Q4309-01_因子設定!$B$16))),-1E+030)</f>
        <v>48.5173153409091</v>
      </c>
      <c r="Y4309" s="55" t="n">
        <f aca="false">W4309+ROW()*0.000000001</f>
        <v>-1.07379986478018</v>
      </c>
      <c r="Z4309" s="55" t="n">
        <f aca="false">X4309+ROW()*0.000000001</f>
        <v>48.5173196499091</v>
      </c>
    </row>
    <row r="4310" customFormat="false" ht="15" hidden="false" customHeight="false" outlineLevel="0" collapsed="false">
      <c r="A4310" s="0" t="n">
        <v>14</v>
      </c>
      <c r="B4310" s="0" t="n">
        <v>15</v>
      </c>
      <c r="C4310" s="0" t="n">
        <v>4</v>
      </c>
      <c r="D4310" s="0" t="n">
        <f aca="false">-1+A4310*0.125</f>
        <v>0.75</v>
      </c>
      <c r="E4310" s="0" t="n">
        <f aca="false">-1+B4310*0.125</f>
        <v>0.875</v>
      </c>
      <c r="F4310" s="0" t="n">
        <f aca="false">-1+C4310*0.125</f>
        <v>-0.5</v>
      </c>
      <c r="G4310" s="0" t="n">
        <f aca="false">1</f>
        <v>1</v>
      </c>
      <c r="H4310" s="0" t="n">
        <f aca="false">D4310</f>
        <v>0.75</v>
      </c>
      <c r="I4310" s="0" t="n">
        <f aca="false">E4310</f>
        <v>0.875</v>
      </c>
      <c r="J4310" s="0" t="n">
        <f aca="false">F4310</f>
        <v>-0.5</v>
      </c>
      <c r="K4310" s="0" t="n">
        <f aca="false">D4310*E4310</f>
        <v>0.65625</v>
      </c>
      <c r="L4310" s="0" t="n">
        <f aca="false">D4310*F4310</f>
        <v>-0.375</v>
      </c>
      <c r="M4310" s="0" t="n">
        <f aca="false">E4310*F4310</f>
        <v>-0.4375</v>
      </c>
      <c r="N4310" s="0" t="n">
        <f aca="false">D4310*D4310</f>
        <v>0.5625</v>
      </c>
      <c r="O4310" s="0" t="n">
        <f aca="false">E4310*E4310</f>
        <v>0.765625</v>
      </c>
      <c r="P4310" s="0" t="n">
        <f aca="false">F4310*F4310</f>
        <v>0.25</v>
      </c>
      <c r="Q4310" s="0" t="n">
        <f aca="false">SUMPRODUCT(G4310:P4310,_XtX!$B$71:$K$71)</f>
        <v>48.8905255681818</v>
      </c>
      <c r="R4310" s="0" t="n">
        <f aca="false">SUMPRODUCT(MMULT(G4310:P4310,_XtX!$B$58:$K$67),G4310:P4310)</f>
        <v>0.370798561789773</v>
      </c>
      <c r="S4310" s="0" t="n">
        <f aca="false">04_回帰ANOVA!$K$19*04_回帰ANOVA!$K$14*SQRT(1+R4310)</f>
        <v>1.08856271788237</v>
      </c>
      <c r="T4310" s="0" t="n">
        <f aca="false">Q4310-S4310</f>
        <v>47.8019628502995</v>
      </c>
      <c r="U4310" s="0" t="n">
        <f aca="false">Q4310+S4310</f>
        <v>49.9790882860642</v>
      </c>
      <c r="V4310" s="54" t="b">
        <f aca="false">AND(D4310&gt;=01_因子設定!$L$5-0.000000001,D4310&lt;=01_因子設定!$M$5+0.000000001,E4310&gt;=01_因子設定!$L$6-0.000000001,E4310&lt;=01_因子設定!$M$6+0.000000001,F4310&gt;=01_因子設定!$L$7-0.000000001,F4310&lt;=01_因子設定!$M$7+0.000000001,IF(01_因子設定!$B$20="Box-Behnken",D4310^2+E4310^2+F4310^2&lt;=2+0.000000001,TRUE()))</f>
        <v>1</v>
      </c>
      <c r="W4310" s="55" t="n">
        <f aca="false">IF(V4310,IF(01_因子設定!$B$13="最大化",T4310-01_因子設定!$B$14,IF(01_因子設定!$B$13="最小化",01_因子設定!$B$15-U4310,MIN(T4310-01_因子設定!$B$14,01_因子設定!$B$15-U4310))),-1E+030)</f>
        <v>-0.698037149700554</v>
      </c>
      <c r="X4310" s="55" t="n">
        <f aca="false">IF(V4310,IF(01_因子設定!$B$13="最大化",Q4310,IF(01_因子設定!$B$13="最小化",-Q4310,-ABS(Q4310-01_因子設定!$B$16))),-1E+030)</f>
        <v>48.8905255681818</v>
      </c>
      <c r="Y4310" s="55" t="n">
        <f aca="false">W4310+ROW()*0.000000001</f>
        <v>-0.698032839700554</v>
      </c>
      <c r="Z4310" s="55" t="n">
        <f aca="false">X4310+ROW()*0.000000001</f>
        <v>48.8905298781818</v>
      </c>
    </row>
    <row r="4311" customFormat="false" ht="15" hidden="false" customHeight="false" outlineLevel="0" collapsed="false">
      <c r="A4311" s="0" t="n">
        <v>14</v>
      </c>
      <c r="B4311" s="0" t="n">
        <v>15</v>
      </c>
      <c r="C4311" s="0" t="n">
        <v>5</v>
      </c>
      <c r="D4311" s="0" t="n">
        <f aca="false">-1+A4311*0.125</f>
        <v>0.75</v>
      </c>
      <c r="E4311" s="0" t="n">
        <f aca="false">-1+B4311*0.125</f>
        <v>0.875</v>
      </c>
      <c r="F4311" s="0" t="n">
        <f aca="false">-1+C4311*0.125</f>
        <v>-0.375</v>
      </c>
      <c r="G4311" s="0" t="n">
        <f aca="false">1</f>
        <v>1</v>
      </c>
      <c r="H4311" s="0" t="n">
        <f aca="false">D4311</f>
        <v>0.75</v>
      </c>
      <c r="I4311" s="0" t="n">
        <f aca="false">E4311</f>
        <v>0.875</v>
      </c>
      <c r="J4311" s="0" t="n">
        <f aca="false">F4311</f>
        <v>-0.375</v>
      </c>
      <c r="K4311" s="0" t="n">
        <f aca="false">D4311*E4311</f>
        <v>0.65625</v>
      </c>
      <c r="L4311" s="0" t="n">
        <f aca="false">D4311*F4311</f>
        <v>-0.28125</v>
      </c>
      <c r="M4311" s="0" t="n">
        <f aca="false">E4311*F4311</f>
        <v>-0.328125</v>
      </c>
      <c r="N4311" s="0" t="n">
        <f aca="false">D4311*D4311</f>
        <v>0.5625</v>
      </c>
      <c r="O4311" s="0" t="n">
        <f aca="false">E4311*E4311</f>
        <v>0.765625</v>
      </c>
      <c r="P4311" s="0" t="n">
        <f aca="false">F4311*F4311</f>
        <v>0.140625</v>
      </c>
      <c r="Q4311" s="0" t="n">
        <f aca="false">SUMPRODUCT(G4311:P4311,_XtX!$B$71:$K$71)</f>
        <v>49.2269460227273</v>
      </c>
      <c r="R4311" s="0" t="n">
        <f aca="false">SUMPRODUCT(MMULT(G4311:P4311,_XtX!$B$58:$K$67),G4311:P4311)</f>
        <v>0.375727428089489</v>
      </c>
      <c r="S4311" s="0" t="n">
        <f aca="false">04_回帰ANOVA!$K$19*04_回帰ANOVA!$K$14*SQRT(1+R4311)</f>
        <v>1.09051798904087</v>
      </c>
      <c r="T4311" s="0" t="n">
        <f aca="false">Q4311-S4311</f>
        <v>48.1364280336864</v>
      </c>
      <c r="U4311" s="0" t="n">
        <f aca="false">Q4311+S4311</f>
        <v>50.3174640117682</v>
      </c>
      <c r="V4311" s="54" t="b">
        <f aca="false">AND(D4311&gt;=01_因子設定!$L$5-0.000000001,D4311&lt;=01_因子設定!$M$5+0.000000001,E4311&gt;=01_因子設定!$L$6-0.000000001,E4311&lt;=01_因子設定!$M$6+0.000000001,F4311&gt;=01_因子設定!$L$7-0.000000001,F4311&lt;=01_因子設定!$M$7+0.000000001,IF(01_因子設定!$B$20="Box-Behnken",D4311^2+E4311^2+F4311^2&lt;=2+0.000000001,TRUE()))</f>
        <v>1</v>
      </c>
      <c r="W4311" s="55" t="n">
        <f aca="false">IF(V4311,IF(01_因子設定!$B$13="最大化",T4311-01_因子設定!$B$14,IF(01_因子設定!$B$13="最小化",01_因子設定!$B$15-U4311,MIN(T4311-01_因子設定!$B$14,01_因子設定!$B$15-U4311))),-1E+030)</f>
        <v>-0.3635719663136</v>
      </c>
      <c r="X4311" s="55" t="n">
        <f aca="false">IF(V4311,IF(01_因子設定!$B$13="最大化",Q4311,IF(01_因子設定!$B$13="最小化",-Q4311,-ABS(Q4311-01_因子設定!$B$16))),-1E+030)</f>
        <v>49.2269460227273</v>
      </c>
      <c r="Y4311" s="55" t="n">
        <f aca="false">W4311+ROW()*0.000000001</f>
        <v>-0.3635676553136</v>
      </c>
      <c r="Z4311" s="55" t="n">
        <f aca="false">X4311+ROW()*0.000000001</f>
        <v>49.2269503337273</v>
      </c>
    </row>
    <row r="4312" customFormat="false" ht="15" hidden="false" customHeight="false" outlineLevel="0" collapsed="false">
      <c r="A4312" s="0" t="n">
        <v>14</v>
      </c>
      <c r="B4312" s="0" t="n">
        <v>15</v>
      </c>
      <c r="C4312" s="0" t="n">
        <v>6</v>
      </c>
      <c r="D4312" s="0" t="n">
        <f aca="false">-1+A4312*0.125</f>
        <v>0.75</v>
      </c>
      <c r="E4312" s="0" t="n">
        <f aca="false">-1+B4312*0.125</f>
        <v>0.875</v>
      </c>
      <c r="F4312" s="0" t="n">
        <f aca="false">-1+C4312*0.125</f>
        <v>-0.25</v>
      </c>
      <c r="G4312" s="0" t="n">
        <f aca="false">1</f>
        <v>1</v>
      </c>
      <c r="H4312" s="0" t="n">
        <f aca="false">D4312</f>
        <v>0.75</v>
      </c>
      <c r="I4312" s="0" t="n">
        <f aca="false">E4312</f>
        <v>0.875</v>
      </c>
      <c r="J4312" s="0" t="n">
        <f aca="false">F4312</f>
        <v>-0.25</v>
      </c>
      <c r="K4312" s="0" t="n">
        <f aca="false">D4312*E4312</f>
        <v>0.65625</v>
      </c>
      <c r="L4312" s="0" t="n">
        <f aca="false">D4312*F4312</f>
        <v>-0.1875</v>
      </c>
      <c r="M4312" s="0" t="n">
        <f aca="false">E4312*F4312</f>
        <v>-0.21875</v>
      </c>
      <c r="N4312" s="0" t="n">
        <f aca="false">D4312*D4312</f>
        <v>0.5625</v>
      </c>
      <c r="O4312" s="0" t="n">
        <f aca="false">E4312*E4312</f>
        <v>0.765625</v>
      </c>
      <c r="P4312" s="0" t="n">
        <f aca="false">F4312*F4312</f>
        <v>0.0625</v>
      </c>
      <c r="Q4312" s="0" t="n">
        <f aca="false">SUMPRODUCT(G4312:P4312,_XtX!$B$71:$K$71)</f>
        <v>49.5265767045455</v>
      </c>
      <c r="R4312" s="0" t="n">
        <f aca="false">SUMPRODUCT(MMULT(G4312:P4312,_XtX!$B$58:$K$67),G4312:P4312)</f>
        <v>0.384574751420455</v>
      </c>
      <c r="S4312" s="0" t="n">
        <f aca="false">04_回帰ANOVA!$K$19*04_回帰ANOVA!$K$14*SQRT(1+R4312)</f>
        <v>1.0940189380139</v>
      </c>
      <c r="T4312" s="0" t="n">
        <f aca="false">Q4312-S4312</f>
        <v>48.4325577665316</v>
      </c>
      <c r="U4312" s="0" t="n">
        <f aca="false">Q4312+S4312</f>
        <v>50.6205956425594</v>
      </c>
      <c r="V4312" s="54" t="b">
        <f aca="false">AND(D4312&gt;=01_因子設定!$L$5-0.000000001,D4312&lt;=01_因子設定!$M$5+0.000000001,E4312&gt;=01_因子設定!$L$6-0.000000001,E4312&lt;=01_因子設定!$M$6+0.000000001,F4312&gt;=01_因子設定!$L$7-0.000000001,F4312&lt;=01_因子設定!$M$7+0.000000001,IF(01_因子設定!$B$20="Box-Behnken",D4312^2+E4312^2+F4312^2&lt;=2+0.000000001,TRUE()))</f>
        <v>1</v>
      </c>
      <c r="W4312" s="55" t="n">
        <f aca="false">IF(V4312,IF(01_因子設定!$B$13="最大化",T4312-01_因子設定!$B$14,IF(01_因子設定!$B$13="最小化",01_因子設定!$B$15-U4312,MIN(T4312-01_因子設定!$B$14,01_因子設定!$B$15-U4312))),-1E+030)</f>
        <v>-0.0674422334684479</v>
      </c>
      <c r="X4312" s="55" t="n">
        <f aca="false">IF(V4312,IF(01_因子設定!$B$13="最大化",Q4312,IF(01_因子設定!$B$13="最小化",-Q4312,-ABS(Q4312-01_因子設定!$B$16))),-1E+030)</f>
        <v>49.5265767045455</v>
      </c>
      <c r="Y4312" s="55" t="n">
        <f aca="false">W4312+ROW()*0.000000001</f>
        <v>-0.0674379214684479</v>
      </c>
      <c r="Z4312" s="55" t="n">
        <f aca="false">X4312+ROW()*0.000000001</f>
        <v>49.5265810165455</v>
      </c>
    </row>
    <row r="4313" customFormat="false" ht="15" hidden="false" customHeight="false" outlineLevel="0" collapsed="false">
      <c r="A4313" s="0" t="n">
        <v>14</v>
      </c>
      <c r="B4313" s="0" t="n">
        <v>15</v>
      </c>
      <c r="C4313" s="0" t="n">
        <v>7</v>
      </c>
      <c r="D4313" s="0" t="n">
        <f aca="false">-1+A4313*0.125</f>
        <v>0.75</v>
      </c>
      <c r="E4313" s="0" t="n">
        <f aca="false">-1+B4313*0.125</f>
        <v>0.875</v>
      </c>
      <c r="F4313" s="0" t="n">
        <f aca="false">-1+C4313*0.125</f>
        <v>-0.125</v>
      </c>
      <c r="G4313" s="0" t="n">
        <f aca="false">1</f>
        <v>1</v>
      </c>
      <c r="H4313" s="0" t="n">
        <f aca="false">D4313</f>
        <v>0.75</v>
      </c>
      <c r="I4313" s="0" t="n">
        <f aca="false">E4313</f>
        <v>0.875</v>
      </c>
      <c r="J4313" s="0" t="n">
        <f aca="false">F4313</f>
        <v>-0.125</v>
      </c>
      <c r="K4313" s="0" t="n">
        <f aca="false">D4313*E4313</f>
        <v>0.65625</v>
      </c>
      <c r="L4313" s="0" t="n">
        <f aca="false">D4313*F4313</f>
        <v>-0.09375</v>
      </c>
      <c r="M4313" s="0" t="n">
        <f aca="false">E4313*F4313</f>
        <v>-0.109375</v>
      </c>
      <c r="N4313" s="0" t="n">
        <f aca="false">D4313*D4313</f>
        <v>0.5625</v>
      </c>
      <c r="O4313" s="0" t="n">
        <f aca="false">E4313*E4313</f>
        <v>0.765625</v>
      </c>
      <c r="P4313" s="0" t="n">
        <f aca="false">F4313*F4313</f>
        <v>0.015625</v>
      </c>
      <c r="Q4313" s="0" t="n">
        <f aca="false">SUMPRODUCT(G4313:P4313,_XtX!$B$71:$K$71)</f>
        <v>49.7894176136364</v>
      </c>
      <c r="R4313" s="0" t="n">
        <f aca="false">SUMPRODUCT(MMULT(G4313:P4313,_XtX!$B$58:$K$67),G4313:P4313)</f>
        <v>0.392013827237216</v>
      </c>
      <c r="S4313" s="0" t="n">
        <f aca="false">04_回帰ANOVA!$K$19*04_回帰ANOVA!$K$14*SQRT(1+R4313)</f>
        <v>1.09695398627251</v>
      </c>
      <c r="T4313" s="0" t="n">
        <f aca="false">Q4313-S4313</f>
        <v>48.6924636273639</v>
      </c>
      <c r="U4313" s="0" t="n">
        <f aca="false">Q4313+S4313</f>
        <v>50.8863715999089</v>
      </c>
      <c r="V4313" s="54" t="b">
        <f aca="false">AND(D4313&gt;=01_因子設定!$L$5-0.000000001,D4313&lt;=01_因子設定!$M$5+0.000000001,E4313&gt;=01_因子設定!$L$6-0.000000001,E4313&lt;=01_因子設定!$M$6+0.000000001,F4313&gt;=01_因子設定!$L$7-0.000000001,F4313&lt;=01_因子設定!$M$7+0.000000001,IF(01_因子設定!$B$20="Box-Behnken",D4313^2+E4313^2+F4313^2&lt;=2+0.000000001,TRUE()))</f>
        <v>1</v>
      </c>
      <c r="W4313" s="55" t="n">
        <f aca="false">IF(V4313,IF(01_因子設定!$B$13="最大化",T4313-01_因子設定!$B$14,IF(01_因子設定!$B$13="最小化",01_因子設定!$B$15-U4313,MIN(T4313-01_因子設定!$B$14,01_因子設定!$B$15-U4313))),-1E+030)</f>
        <v>0.192463627363857</v>
      </c>
      <c r="X4313" s="55" t="n">
        <f aca="false">IF(V4313,IF(01_因子設定!$B$13="最大化",Q4313,IF(01_因子設定!$B$13="最小化",-Q4313,-ABS(Q4313-01_因子設定!$B$16))),-1E+030)</f>
        <v>49.7894176136364</v>
      </c>
      <c r="Y4313" s="55" t="n">
        <f aca="false">W4313+ROW()*0.000000001</f>
        <v>0.192467940363857</v>
      </c>
      <c r="Z4313" s="55" t="n">
        <f aca="false">X4313+ROW()*0.000000001</f>
        <v>49.7894219266364</v>
      </c>
    </row>
    <row r="4314" customFormat="false" ht="15" hidden="false" customHeight="false" outlineLevel="0" collapsed="false">
      <c r="A4314" s="0" t="n">
        <v>14</v>
      </c>
      <c r="B4314" s="0" t="n">
        <v>15</v>
      </c>
      <c r="C4314" s="0" t="n">
        <v>8</v>
      </c>
      <c r="D4314" s="0" t="n">
        <f aca="false">-1+A4314*0.125</f>
        <v>0.75</v>
      </c>
      <c r="E4314" s="0" t="n">
        <f aca="false">-1+B4314*0.125</f>
        <v>0.875</v>
      </c>
      <c r="F4314" s="0" t="n">
        <f aca="false">-1+C4314*0.125</f>
        <v>0</v>
      </c>
      <c r="G4314" s="0" t="n">
        <f aca="false">1</f>
        <v>1</v>
      </c>
      <c r="H4314" s="0" t="n">
        <f aca="false">D4314</f>
        <v>0.75</v>
      </c>
      <c r="I4314" s="0" t="n">
        <f aca="false">E4314</f>
        <v>0.875</v>
      </c>
      <c r="J4314" s="0" t="n">
        <f aca="false">F4314</f>
        <v>0</v>
      </c>
      <c r="K4314" s="0" t="n">
        <f aca="false">D4314*E4314</f>
        <v>0.65625</v>
      </c>
      <c r="L4314" s="0" t="n">
        <f aca="false">D4314*F4314</f>
        <v>0</v>
      </c>
      <c r="M4314" s="0" t="n">
        <f aca="false">E4314*F4314</f>
        <v>0</v>
      </c>
      <c r="N4314" s="0" t="n">
        <f aca="false">D4314*D4314</f>
        <v>0.5625</v>
      </c>
      <c r="O4314" s="0" t="n">
        <f aca="false">E4314*E4314</f>
        <v>0.765625</v>
      </c>
      <c r="P4314" s="0" t="n">
        <f aca="false">F4314*F4314</f>
        <v>0</v>
      </c>
      <c r="Q4314" s="0" t="n">
        <f aca="false">SUMPRODUCT(G4314:P4314,_XtX!$B$71:$K$71)</f>
        <v>50.01546875</v>
      </c>
      <c r="R4314" s="0" t="n">
        <f aca="false">SUMPRODUCT(MMULT(G4314:P4314,_XtX!$B$58:$K$67),G4314:P4314)</f>
        <v>0.3948486328125</v>
      </c>
      <c r="S4314" s="0" t="n">
        <f aca="false">04_回帰ANOVA!$K$19*04_回帰ANOVA!$K$14*SQRT(1+R4314)</f>
        <v>1.09807037952996</v>
      </c>
      <c r="T4314" s="0" t="n">
        <f aca="false">Q4314-S4314</f>
        <v>48.91739837047</v>
      </c>
      <c r="U4314" s="0" t="n">
        <f aca="false">Q4314+S4314</f>
        <v>51.11353912953</v>
      </c>
      <c r="V4314" s="54" t="b">
        <f aca="false">AND(D4314&gt;=01_因子設定!$L$5-0.000000001,D4314&lt;=01_因子設定!$M$5+0.000000001,E4314&gt;=01_因子設定!$L$6-0.000000001,E4314&lt;=01_因子設定!$M$6+0.000000001,F4314&gt;=01_因子設定!$L$7-0.000000001,F4314&lt;=01_因子設定!$M$7+0.000000001,IF(01_因子設定!$B$20="Box-Behnken",D4314^2+E4314^2+F4314^2&lt;=2+0.000000001,TRUE()))</f>
        <v>1</v>
      </c>
      <c r="W4314" s="55" t="n">
        <f aca="false">IF(V4314,IF(01_因子設定!$B$13="最大化",T4314-01_因子設定!$B$14,IF(01_因子設定!$B$13="最小化",01_因子設定!$B$15-U4314,MIN(T4314-01_因子設定!$B$14,01_因子設定!$B$15-U4314))),-1E+030)</f>
        <v>0.417398370470039</v>
      </c>
      <c r="X4314" s="55" t="n">
        <f aca="false">IF(V4314,IF(01_因子設定!$B$13="最大化",Q4314,IF(01_因子設定!$B$13="最小化",-Q4314,-ABS(Q4314-01_因子設定!$B$16))),-1E+030)</f>
        <v>50.01546875</v>
      </c>
      <c r="Y4314" s="55" t="n">
        <f aca="false">W4314+ROW()*0.000000001</f>
        <v>0.417402684470039</v>
      </c>
      <c r="Z4314" s="55" t="n">
        <f aca="false">X4314+ROW()*0.000000001</f>
        <v>50.015473064</v>
      </c>
    </row>
    <row r="4315" customFormat="false" ht="15" hidden="false" customHeight="false" outlineLevel="0" collapsed="false">
      <c r="A4315" s="0" t="n">
        <v>14</v>
      </c>
      <c r="B4315" s="0" t="n">
        <v>15</v>
      </c>
      <c r="C4315" s="0" t="n">
        <v>9</v>
      </c>
      <c r="D4315" s="0" t="n">
        <f aca="false">-1+A4315*0.125</f>
        <v>0.75</v>
      </c>
      <c r="E4315" s="0" t="n">
        <f aca="false">-1+B4315*0.125</f>
        <v>0.875</v>
      </c>
      <c r="F4315" s="0" t="n">
        <f aca="false">-1+C4315*0.125</f>
        <v>0.125</v>
      </c>
      <c r="G4315" s="0" t="n">
        <f aca="false">1</f>
        <v>1</v>
      </c>
      <c r="H4315" s="0" t="n">
        <f aca="false">D4315</f>
        <v>0.75</v>
      </c>
      <c r="I4315" s="0" t="n">
        <f aca="false">E4315</f>
        <v>0.875</v>
      </c>
      <c r="J4315" s="0" t="n">
        <f aca="false">F4315</f>
        <v>0.125</v>
      </c>
      <c r="K4315" s="0" t="n">
        <f aca="false">D4315*E4315</f>
        <v>0.65625</v>
      </c>
      <c r="L4315" s="0" t="n">
        <f aca="false">D4315*F4315</f>
        <v>0.09375</v>
      </c>
      <c r="M4315" s="0" t="n">
        <f aca="false">E4315*F4315</f>
        <v>0.109375</v>
      </c>
      <c r="N4315" s="0" t="n">
        <f aca="false">D4315*D4315</f>
        <v>0.5625</v>
      </c>
      <c r="O4315" s="0" t="n">
        <f aca="false">E4315*E4315</f>
        <v>0.765625</v>
      </c>
      <c r="P4315" s="0" t="n">
        <f aca="false">F4315*F4315</f>
        <v>0.015625</v>
      </c>
      <c r="Q4315" s="0" t="n">
        <f aca="false">SUMPRODUCT(G4315:P4315,_XtX!$B$71:$K$71)</f>
        <v>50.2047301136364</v>
      </c>
      <c r="R4315" s="0" t="n">
        <f aca="false">SUMPRODUCT(MMULT(G4315:P4315,_XtX!$B$58:$K$67),G4315:P4315)</f>
        <v>0.392013827237216</v>
      </c>
      <c r="S4315" s="0" t="n">
        <f aca="false">04_回帰ANOVA!$K$19*04_回帰ANOVA!$K$14*SQRT(1+R4315)</f>
        <v>1.09695398627251</v>
      </c>
      <c r="T4315" s="0" t="n">
        <f aca="false">Q4315-S4315</f>
        <v>49.1077761273639</v>
      </c>
      <c r="U4315" s="0" t="n">
        <f aca="false">Q4315+S4315</f>
        <v>51.3016840999089</v>
      </c>
      <c r="V4315" s="54" t="b">
        <f aca="false">AND(D4315&gt;=01_因子設定!$L$5-0.000000001,D4315&lt;=01_因子設定!$M$5+0.000000001,E4315&gt;=01_因子設定!$L$6-0.000000001,E4315&lt;=01_因子設定!$M$6+0.000000001,F4315&gt;=01_因子設定!$L$7-0.000000001,F4315&lt;=01_因子設定!$M$7+0.000000001,IF(01_因子設定!$B$20="Box-Behnken",D4315^2+E4315^2+F4315^2&lt;=2+0.000000001,TRUE()))</f>
        <v>1</v>
      </c>
      <c r="W4315" s="55" t="n">
        <f aca="false">IF(V4315,IF(01_因子設定!$B$13="最大化",T4315-01_因子設定!$B$14,IF(01_因子設定!$B$13="最小化",01_因子設定!$B$15-U4315,MIN(T4315-01_因子設定!$B$14,01_因子設定!$B$15-U4315))),-1E+030)</f>
        <v>0.607776127363856</v>
      </c>
      <c r="X4315" s="55" t="n">
        <f aca="false">IF(V4315,IF(01_因子設定!$B$13="最大化",Q4315,IF(01_因子設定!$B$13="最小化",-Q4315,-ABS(Q4315-01_因子設定!$B$16))),-1E+030)</f>
        <v>50.2047301136364</v>
      </c>
      <c r="Y4315" s="55" t="n">
        <f aca="false">W4315+ROW()*0.000000001</f>
        <v>0.607780442363856</v>
      </c>
      <c r="Z4315" s="55" t="n">
        <f aca="false">X4315+ROW()*0.000000001</f>
        <v>50.2047344286364</v>
      </c>
    </row>
    <row r="4316" customFormat="false" ht="15" hidden="false" customHeight="false" outlineLevel="0" collapsed="false">
      <c r="A4316" s="0" t="n">
        <v>14</v>
      </c>
      <c r="B4316" s="0" t="n">
        <v>15</v>
      </c>
      <c r="C4316" s="0" t="n">
        <v>10</v>
      </c>
      <c r="D4316" s="0" t="n">
        <f aca="false">-1+A4316*0.125</f>
        <v>0.75</v>
      </c>
      <c r="E4316" s="0" t="n">
        <f aca="false">-1+B4316*0.125</f>
        <v>0.875</v>
      </c>
      <c r="F4316" s="0" t="n">
        <f aca="false">-1+C4316*0.125</f>
        <v>0.25</v>
      </c>
      <c r="G4316" s="0" t="n">
        <f aca="false">1</f>
        <v>1</v>
      </c>
      <c r="H4316" s="0" t="n">
        <f aca="false">D4316</f>
        <v>0.75</v>
      </c>
      <c r="I4316" s="0" t="n">
        <f aca="false">E4316</f>
        <v>0.875</v>
      </c>
      <c r="J4316" s="0" t="n">
        <f aca="false">F4316</f>
        <v>0.25</v>
      </c>
      <c r="K4316" s="0" t="n">
        <f aca="false">D4316*E4316</f>
        <v>0.65625</v>
      </c>
      <c r="L4316" s="0" t="n">
        <f aca="false">D4316*F4316</f>
        <v>0.1875</v>
      </c>
      <c r="M4316" s="0" t="n">
        <f aca="false">E4316*F4316</f>
        <v>0.21875</v>
      </c>
      <c r="N4316" s="0" t="n">
        <f aca="false">D4316*D4316</f>
        <v>0.5625</v>
      </c>
      <c r="O4316" s="0" t="n">
        <f aca="false">E4316*E4316</f>
        <v>0.765625</v>
      </c>
      <c r="P4316" s="0" t="n">
        <f aca="false">F4316*F4316</f>
        <v>0.0625</v>
      </c>
      <c r="Q4316" s="0" t="n">
        <f aca="false">SUMPRODUCT(G4316:P4316,_XtX!$B$71:$K$71)</f>
        <v>50.3572017045455</v>
      </c>
      <c r="R4316" s="0" t="n">
        <f aca="false">SUMPRODUCT(MMULT(G4316:P4316,_XtX!$B$58:$K$67),G4316:P4316)</f>
        <v>0.384574751420455</v>
      </c>
      <c r="S4316" s="0" t="n">
        <f aca="false">04_回帰ANOVA!$K$19*04_回帰ANOVA!$K$14*SQRT(1+R4316)</f>
        <v>1.0940189380139</v>
      </c>
      <c r="T4316" s="0" t="n">
        <f aca="false">Q4316-S4316</f>
        <v>49.2631827665316</v>
      </c>
      <c r="U4316" s="0" t="n">
        <f aca="false">Q4316+S4316</f>
        <v>51.4512206425594</v>
      </c>
      <c r="V4316" s="54" t="b">
        <f aca="false">AND(D4316&gt;=01_因子設定!$L$5-0.000000001,D4316&lt;=01_因子設定!$M$5+0.000000001,E4316&gt;=01_因子設定!$L$6-0.000000001,E4316&lt;=01_因子設定!$M$6+0.000000001,F4316&gt;=01_因子設定!$L$7-0.000000001,F4316&lt;=01_因子設定!$M$7+0.000000001,IF(01_因子設定!$B$20="Box-Behnken",D4316^2+E4316^2+F4316^2&lt;=2+0.000000001,TRUE()))</f>
        <v>1</v>
      </c>
      <c r="W4316" s="55" t="n">
        <f aca="false">IF(V4316,IF(01_因子設定!$B$13="最大化",T4316-01_因子設定!$B$14,IF(01_因子設定!$B$13="最小化",01_因子設定!$B$15-U4316,MIN(T4316-01_因子設定!$B$14,01_因子設定!$B$15-U4316))),-1E+030)</f>
        <v>0.76318276653155</v>
      </c>
      <c r="X4316" s="55" t="n">
        <f aca="false">IF(V4316,IF(01_因子設定!$B$13="最大化",Q4316,IF(01_因子設定!$B$13="最小化",-Q4316,-ABS(Q4316-01_因子設定!$B$16))),-1E+030)</f>
        <v>50.3572017045455</v>
      </c>
      <c r="Y4316" s="55" t="n">
        <f aca="false">W4316+ROW()*0.000000001</f>
        <v>0.76318708253155</v>
      </c>
      <c r="Z4316" s="55" t="n">
        <f aca="false">X4316+ROW()*0.000000001</f>
        <v>50.3572060205455</v>
      </c>
    </row>
    <row r="4317" customFormat="false" ht="15" hidden="false" customHeight="false" outlineLevel="0" collapsed="false">
      <c r="A4317" s="0" t="n">
        <v>14</v>
      </c>
      <c r="B4317" s="0" t="n">
        <v>15</v>
      </c>
      <c r="C4317" s="0" t="n">
        <v>11</v>
      </c>
      <c r="D4317" s="0" t="n">
        <f aca="false">-1+A4317*0.125</f>
        <v>0.75</v>
      </c>
      <c r="E4317" s="0" t="n">
        <f aca="false">-1+B4317*0.125</f>
        <v>0.875</v>
      </c>
      <c r="F4317" s="0" t="n">
        <f aca="false">-1+C4317*0.125</f>
        <v>0.375</v>
      </c>
      <c r="G4317" s="0" t="n">
        <f aca="false">1</f>
        <v>1</v>
      </c>
      <c r="H4317" s="0" t="n">
        <f aca="false">D4317</f>
        <v>0.75</v>
      </c>
      <c r="I4317" s="0" t="n">
        <f aca="false">E4317</f>
        <v>0.875</v>
      </c>
      <c r="J4317" s="0" t="n">
        <f aca="false">F4317</f>
        <v>0.375</v>
      </c>
      <c r="K4317" s="0" t="n">
        <f aca="false">D4317*E4317</f>
        <v>0.65625</v>
      </c>
      <c r="L4317" s="0" t="n">
        <f aca="false">D4317*F4317</f>
        <v>0.28125</v>
      </c>
      <c r="M4317" s="0" t="n">
        <f aca="false">E4317*F4317</f>
        <v>0.328125</v>
      </c>
      <c r="N4317" s="0" t="n">
        <f aca="false">D4317*D4317</f>
        <v>0.5625</v>
      </c>
      <c r="O4317" s="0" t="n">
        <f aca="false">E4317*E4317</f>
        <v>0.765625</v>
      </c>
      <c r="P4317" s="0" t="n">
        <f aca="false">F4317*F4317</f>
        <v>0.140625</v>
      </c>
      <c r="Q4317" s="0" t="n">
        <f aca="false">SUMPRODUCT(G4317:P4317,_XtX!$B$71:$K$71)</f>
        <v>50.4728835227273</v>
      </c>
      <c r="R4317" s="0" t="n">
        <f aca="false">SUMPRODUCT(MMULT(G4317:P4317,_XtX!$B$58:$K$67),G4317:P4317)</f>
        <v>0.375727428089489</v>
      </c>
      <c r="S4317" s="0" t="n">
        <f aca="false">04_回帰ANOVA!$K$19*04_回帰ANOVA!$K$14*SQRT(1+R4317)</f>
        <v>1.09051798904087</v>
      </c>
      <c r="T4317" s="0" t="n">
        <f aca="false">Q4317-S4317</f>
        <v>49.3823655336864</v>
      </c>
      <c r="U4317" s="0" t="n">
        <f aca="false">Q4317+S4317</f>
        <v>51.5634015117682</v>
      </c>
      <c r="V4317" s="54" t="b">
        <f aca="false">AND(D4317&gt;=01_因子設定!$L$5-0.000000001,D4317&lt;=01_因子設定!$M$5+0.000000001,E4317&gt;=01_因子設定!$L$6-0.000000001,E4317&lt;=01_因子設定!$M$6+0.000000001,F4317&gt;=01_因子設定!$L$7-0.000000001,F4317&lt;=01_因子設定!$M$7+0.000000001,IF(01_因子設定!$B$20="Box-Behnken",D4317^2+E4317^2+F4317^2&lt;=2+0.000000001,TRUE()))</f>
        <v>1</v>
      </c>
      <c r="W4317" s="55" t="n">
        <f aca="false">IF(V4317,IF(01_因子設定!$B$13="最大化",T4317-01_因子設定!$B$14,IF(01_因子設定!$B$13="最小化",01_因子設定!$B$15-U4317,MIN(T4317-01_因子設定!$B$14,01_因子設定!$B$15-U4317))),-1E+030)</f>
        <v>0.882365533686397</v>
      </c>
      <c r="X4317" s="55" t="n">
        <f aca="false">IF(V4317,IF(01_因子設定!$B$13="最大化",Q4317,IF(01_因子設定!$B$13="最小化",-Q4317,-ABS(Q4317-01_因子設定!$B$16))),-1E+030)</f>
        <v>50.4728835227273</v>
      </c>
      <c r="Y4317" s="55" t="n">
        <f aca="false">W4317+ROW()*0.000000001</f>
        <v>0.882369850686397</v>
      </c>
      <c r="Z4317" s="55" t="n">
        <f aca="false">X4317+ROW()*0.000000001</f>
        <v>50.4728878397273</v>
      </c>
    </row>
    <row r="4318" customFormat="false" ht="15" hidden="false" customHeight="false" outlineLevel="0" collapsed="false">
      <c r="A4318" s="0" t="n">
        <v>14</v>
      </c>
      <c r="B4318" s="0" t="n">
        <v>15</v>
      </c>
      <c r="C4318" s="0" t="n">
        <v>12</v>
      </c>
      <c r="D4318" s="0" t="n">
        <f aca="false">-1+A4318*0.125</f>
        <v>0.75</v>
      </c>
      <c r="E4318" s="0" t="n">
        <f aca="false">-1+B4318*0.125</f>
        <v>0.875</v>
      </c>
      <c r="F4318" s="0" t="n">
        <f aca="false">-1+C4318*0.125</f>
        <v>0.5</v>
      </c>
      <c r="G4318" s="0" t="n">
        <f aca="false">1</f>
        <v>1</v>
      </c>
      <c r="H4318" s="0" t="n">
        <f aca="false">D4318</f>
        <v>0.75</v>
      </c>
      <c r="I4318" s="0" t="n">
        <f aca="false">E4318</f>
        <v>0.875</v>
      </c>
      <c r="J4318" s="0" t="n">
        <f aca="false">F4318</f>
        <v>0.5</v>
      </c>
      <c r="K4318" s="0" t="n">
        <f aca="false">D4318*E4318</f>
        <v>0.65625</v>
      </c>
      <c r="L4318" s="0" t="n">
        <f aca="false">D4318*F4318</f>
        <v>0.375</v>
      </c>
      <c r="M4318" s="0" t="n">
        <f aca="false">E4318*F4318</f>
        <v>0.4375</v>
      </c>
      <c r="N4318" s="0" t="n">
        <f aca="false">D4318*D4318</f>
        <v>0.5625</v>
      </c>
      <c r="O4318" s="0" t="n">
        <f aca="false">E4318*E4318</f>
        <v>0.765625</v>
      </c>
      <c r="P4318" s="0" t="n">
        <f aca="false">F4318*F4318</f>
        <v>0.25</v>
      </c>
      <c r="Q4318" s="0" t="n">
        <f aca="false">SUMPRODUCT(G4318:P4318,_XtX!$B$71:$K$71)</f>
        <v>50.5517755681818</v>
      </c>
      <c r="R4318" s="0" t="n">
        <f aca="false">SUMPRODUCT(MMULT(G4318:P4318,_XtX!$B$58:$K$67),G4318:P4318)</f>
        <v>0.370798561789773</v>
      </c>
      <c r="S4318" s="0" t="n">
        <f aca="false">04_回帰ANOVA!$K$19*04_回帰ANOVA!$K$14*SQRT(1+R4318)</f>
        <v>1.08856271788237</v>
      </c>
      <c r="T4318" s="0" t="n">
        <f aca="false">Q4318-S4318</f>
        <v>49.4632128502995</v>
      </c>
      <c r="U4318" s="0" t="n">
        <f aca="false">Q4318+S4318</f>
        <v>51.6403382860642</v>
      </c>
      <c r="V4318" s="54" t="b">
        <f aca="false">AND(D4318&gt;=01_因子設定!$L$5-0.000000001,D4318&lt;=01_因子設定!$M$5+0.000000001,E4318&gt;=01_因子設定!$L$6-0.000000001,E4318&lt;=01_因子設定!$M$6+0.000000001,F4318&gt;=01_因子設定!$L$7-0.000000001,F4318&lt;=01_因子設定!$M$7+0.000000001,IF(01_因子設定!$B$20="Box-Behnken",D4318^2+E4318^2+F4318^2&lt;=2+0.000000001,TRUE()))</f>
        <v>1</v>
      </c>
      <c r="W4318" s="55" t="n">
        <f aca="false">IF(V4318,IF(01_因子設定!$B$13="最大化",T4318-01_因子設定!$B$14,IF(01_因子設定!$B$13="最小化",01_因子設定!$B$15-U4318,MIN(T4318-01_因子設定!$B$14,01_因子設定!$B$15-U4318))),-1E+030)</f>
        <v>0.963212850299449</v>
      </c>
      <c r="X4318" s="55" t="n">
        <f aca="false">IF(V4318,IF(01_因子設定!$B$13="最大化",Q4318,IF(01_因子設定!$B$13="最小化",-Q4318,-ABS(Q4318-01_因子設定!$B$16))),-1E+030)</f>
        <v>50.5517755681818</v>
      </c>
      <c r="Y4318" s="55" t="n">
        <f aca="false">W4318+ROW()*0.000000001</f>
        <v>0.963217168299449</v>
      </c>
      <c r="Z4318" s="55" t="n">
        <f aca="false">X4318+ROW()*0.000000001</f>
        <v>50.5517798861818</v>
      </c>
    </row>
    <row r="4319" customFormat="false" ht="15" hidden="false" customHeight="false" outlineLevel="0" collapsed="false">
      <c r="A4319" s="0" t="n">
        <v>14</v>
      </c>
      <c r="B4319" s="0" t="n">
        <v>15</v>
      </c>
      <c r="C4319" s="0" t="n">
        <v>13</v>
      </c>
      <c r="D4319" s="0" t="n">
        <f aca="false">-1+A4319*0.125</f>
        <v>0.75</v>
      </c>
      <c r="E4319" s="0" t="n">
        <f aca="false">-1+B4319*0.125</f>
        <v>0.875</v>
      </c>
      <c r="F4319" s="0" t="n">
        <f aca="false">-1+C4319*0.125</f>
        <v>0.625</v>
      </c>
      <c r="G4319" s="0" t="n">
        <f aca="false">1</f>
        <v>1</v>
      </c>
      <c r="H4319" s="0" t="n">
        <f aca="false">D4319</f>
        <v>0.75</v>
      </c>
      <c r="I4319" s="0" t="n">
        <f aca="false">E4319</f>
        <v>0.875</v>
      </c>
      <c r="J4319" s="0" t="n">
        <f aca="false">F4319</f>
        <v>0.625</v>
      </c>
      <c r="K4319" s="0" t="n">
        <f aca="false">D4319*E4319</f>
        <v>0.65625</v>
      </c>
      <c r="L4319" s="0" t="n">
        <f aca="false">D4319*F4319</f>
        <v>0.46875</v>
      </c>
      <c r="M4319" s="0" t="n">
        <f aca="false">E4319*F4319</f>
        <v>0.546875</v>
      </c>
      <c r="N4319" s="0" t="n">
        <f aca="false">D4319*D4319</f>
        <v>0.5625</v>
      </c>
      <c r="O4319" s="0" t="n">
        <f aca="false">E4319*E4319</f>
        <v>0.765625</v>
      </c>
      <c r="P4319" s="0" t="n">
        <f aca="false">F4319*F4319</f>
        <v>0.390625</v>
      </c>
      <c r="Q4319" s="0" t="n">
        <f aca="false">SUMPRODUCT(G4319:P4319,_XtX!$B$71:$K$71)</f>
        <v>50.5938778409091</v>
      </c>
      <c r="R4319" s="0" t="n">
        <f aca="false">SUMPRODUCT(MMULT(G4319:P4319,_XtX!$B$58:$K$67),G4319:P4319)</f>
        <v>0.377245538884943</v>
      </c>
      <c r="S4319" s="0" t="n">
        <f aca="false">04_回帰ANOVA!$K$19*04_回帰ANOVA!$K$14*SQRT(1+R4319)</f>
        <v>1.09111951468927</v>
      </c>
      <c r="T4319" s="0" t="n">
        <f aca="false">Q4319-S4319</f>
        <v>49.5027583262198</v>
      </c>
      <c r="U4319" s="0" t="n">
        <f aca="false">Q4319+S4319</f>
        <v>51.6849973555984</v>
      </c>
      <c r="V4319" s="54" t="b">
        <f aca="false">AND(D4319&gt;=01_因子設定!$L$5-0.000000001,D4319&lt;=01_因子設定!$M$5+0.000000001,E4319&gt;=01_因子設定!$L$6-0.000000001,E4319&lt;=01_因子設定!$M$6+0.000000001,F4319&gt;=01_因子設定!$L$7-0.000000001,F4319&lt;=01_因子設定!$M$7+0.000000001,IF(01_因子設定!$B$20="Box-Behnken",D4319^2+E4319^2+F4319^2&lt;=2+0.000000001,TRUE()))</f>
        <v>1</v>
      </c>
      <c r="W4319" s="55" t="n">
        <f aca="false">IF(V4319,IF(01_因子設定!$B$13="最大化",T4319-01_因子設定!$B$14,IF(01_因子設定!$B$13="最小化",01_因子設定!$B$15-U4319,MIN(T4319-01_因子設定!$B$14,01_因子設定!$B$15-U4319))),-1E+030)</f>
        <v>1.00275832621983</v>
      </c>
      <c r="X4319" s="55" t="n">
        <f aca="false">IF(V4319,IF(01_因子設定!$B$13="最大化",Q4319,IF(01_因子設定!$B$13="最小化",-Q4319,-ABS(Q4319-01_因子設定!$B$16))),-1E+030)</f>
        <v>50.5938778409091</v>
      </c>
      <c r="Y4319" s="55" t="n">
        <f aca="false">W4319+ROW()*0.000000001</f>
        <v>1.00276264521983</v>
      </c>
      <c r="Z4319" s="55" t="n">
        <f aca="false">X4319+ROW()*0.000000001</f>
        <v>50.5938821599091</v>
      </c>
    </row>
    <row r="4320" customFormat="false" ht="15" hidden="false" customHeight="false" outlineLevel="0" collapsed="false">
      <c r="A4320" s="0" t="n">
        <v>14</v>
      </c>
      <c r="B4320" s="0" t="n">
        <v>15</v>
      </c>
      <c r="C4320" s="0" t="n">
        <v>14</v>
      </c>
      <c r="D4320" s="0" t="n">
        <f aca="false">-1+A4320*0.125</f>
        <v>0.75</v>
      </c>
      <c r="E4320" s="0" t="n">
        <f aca="false">-1+B4320*0.125</f>
        <v>0.875</v>
      </c>
      <c r="F4320" s="0" t="n">
        <f aca="false">-1+C4320*0.125</f>
        <v>0.75</v>
      </c>
      <c r="G4320" s="0" t="n">
        <f aca="false">1</f>
        <v>1</v>
      </c>
      <c r="H4320" s="0" t="n">
        <f aca="false">D4320</f>
        <v>0.75</v>
      </c>
      <c r="I4320" s="0" t="n">
        <f aca="false">E4320</f>
        <v>0.875</v>
      </c>
      <c r="J4320" s="0" t="n">
        <f aca="false">F4320</f>
        <v>0.75</v>
      </c>
      <c r="K4320" s="0" t="n">
        <f aca="false">D4320*E4320</f>
        <v>0.65625</v>
      </c>
      <c r="L4320" s="0" t="n">
        <f aca="false">D4320*F4320</f>
        <v>0.5625</v>
      </c>
      <c r="M4320" s="0" t="n">
        <f aca="false">E4320*F4320</f>
        <v>0.65625</v>
      </c>
      <c r="N4320" s="0" t="n">
        <f aca="false">D4320*D4320</f>
        <v>0.5625</v>
      </c>
      <c r="O4320" s="0" t="n">
        <f aca="false">E4320*E4320</f>
        <v>0.765625</v>
      </c>
      <c r="P4320" s="0" t="n">
        <f aca="false">F4320*F4320</f>
        <v>0.5625</v>
      </c>
      <c r="Q4320" s="0" t="n">
        <f aca="false">SUMPRODUCT(G4320:P4320,_XtX!$B$71:$K$71)</f>
        <v>50.5991903409091</v>
      </c>
      <c r="R4320" s="0" t="n">
        <f aca="false">SUMPRODUCT(MMULT(G4320:P4320,_XtX!$B$58:$K$67),G4320:P4320)</f>
        <v>0.404656427556818</v>
      </c>
      <c r="S4320" s="0" t="n">
        <f aca="false">04_回帰ANOVA!$K$19*04_回帰ANOVA!$K$14*SQRT(1+R4320)</f>
        <v>1.10192412515358</v>
      </c>
      <c r="T4320" s="0" t="n">
        <f aca="false">Q4320-S4320</f>
        <v>49.4972662157555</v>
      </c>
      <c r="U4320" s="0" t="n">
        <f aca="false">Q4320+S4320</f>
        <v>51.7011144660627</v>
      </c>
      <c r="V4320" s="54" t="b">
        <f aca="false">AND(D4320&gt;=01_因子設定!$L$5-0.000000001,D4320&lt;=01_因子設定!$M$5+0.000000001,E4320&gt;=01_因子設定!$L$6-0.000000001,E4320&lt;=01_因子設定!$M$6+0.000000001,F4320&gt;=01_因子設定!$L$7-0.000000001,F4320&lt;=01_因子設定!$M$7+0.000000001,IF(01_因子設定!$B$20="Box-Behnken",D4320^2+E4320^2+F4320^2&lt;=2+0.000000001,TRUE()))</f>
        <v>1</v>
      </c>
      <c r="W4320" s="55" t="n">
        <f aca="false">IF(V4320,IF(01_因子設定!$B$13="最大化",T4320-01_因子設定!$B$14,IF(01_因子設定!$B$13="最小化",01_因子設定!$B$15-U4320,MIN(T4320-01_因子設定!$B$14,01_因子設定!$B$15-U4320))),-1E+030)</f>
        <v>0.997266215755523</v>
      </c>
      <c r="X4320" s="55" t="n">
        <f aca="false">IF(V4320,IF(01_因子設定!$B$13="最大化",Q4320,IF(01_因子設定!$B$13="最小化",-Q4320,-ABS(Q4320-01_因子設定!$B$16))),-1E+030)</f>
        <v>50.5991903409091</v>
      </c>
      <c r="Y4320" s="55" t="n">
        <f aca="false">W4320+ROW()*0.000000001</f>
        <v>0.997270535755523</v>
      </c>
      <c r="Z4320" s="55" t="n">
        <f aca="false">X4320+ROW()*0.000000001</f>
        <v>50.5991946609091</v>
      </c>
    </row>
    <row r="4321" customFormat="false" ht="15" hidden="false" customHeight="false" outlineLevel="0" collapsed="false">
      <c r="A4321" s="0" t="n">
        <v>14</v>
      </c>
      <c r="B4321" s="0" t="n">
        <v>15</v>
      </c>
      <c r="C4321" s="0" t="n">
        <v>15</v>
      </c>
      <c r="D4321" s="0" t="n">
        <f aca="false">-1+A4321*0.125</f>
        <v>0.75</v>
      </c>
      <c r="E4321" s="0" t="n">
        <f aca="false">-1+B4321*0.125</f>
        <v>0.875</v>
      </c>
      <c r="F4321" s="0" t="n">
        <f aca="false">-1+C4321*0.125</f>
        <v>0.875</v>
      </c>
      <c r="G4321" s="0" t="n">
        <f aca="false">1</f>
        <v>1</v>
      </c>
      <c r="H4321" s="0" t="n">
        <f aca="false">D4321</f>
        <v>0.75</v>
      </c>
      <c r="I4321" s="0" t="n">
        <f aca="false">E4321</f>
        <v>0.875</v>
      </c>
      <c r="J4321" s="0" t="n">
        <f aca="false">F4321</f>
        <v>0.875</v>
      </c>
      <c r="K4321" s="0" t="n">
        <f aca="false">D4321*E4321</f>
        <v>0.65625</v>
      </c>
      <c r="L4321" s="0" t="n">
        <f aca="false">D4321*F4321</f>
        <v>0.65625</v>
      </c>
      <c r="M4321" s="0" t="n">
        <f aca="false">E4321*F4321</f>
        <v>0.765625</v>
      </c>
      <c r="N4321" s="0" t="n">
        <f aca="false">D4321*D4321</f>
        <v>0.5625</v>
      </c>
      <c r="O4321" s="0" t="n">
        <f aca="false">E4321*E4321</f>
        <v>0.765625</v>
      </c>
      <c r="P4321" s="0" t="n">
        <f aca="false">F4321*F4321</f>
        <v>0.765625</v>
      </c>
      <c r="Q4321" s="0" t="n">
        <f aca="false">SUMPRODUCT(G4321:P4321,_XtX!$B$71:$K$71)</f>
        <v>50.5677130681818</v>
      </c>
      <c r="R4321" s="0" t="n">
        <f aca="false">SUMPRODUCT(MMULT(G4321:P4321,_XtX!$B$58:$K$67),G4321:P4321)</f>
        <v>0.464749977805398</v>
      </c>
      <c r="S4321" s="0" t="n">
        <f aca="false">04_回帰ANOVA!$K$19*04_回帰ANOVA!$K$14*SQRT(1+R4321)</f>
        <v>1.12524835342194</v>
      </c>
      <c r="T4321" s="0" t="n">
        <f aca="false">Q4321-S4321</f>
        <v>49.4424647147599</v>
      </c>
      <c r="U4321" s="0" t="n">
        <f aca="false">Q4321+S4321</f>
        <v>51.6929614216038</v>
      </c>
      <c r="V4321" s="54" t="b">
        <f aca="false">AND(D4321&gt;=01_因子設定!$L$5-0.000000001,D4321&lt;=01_因子設定!$M$5+0.000000001,E4321&gt;=01_因子設定!$L$6-0.000000001,E4321&lt;=01_因子設定!$M$6+0.000000001,F4321&gt;=01_因子設定!$L$7-0.000000001,F4321&lt;=01_因子設定!$M$7+0.000000001,IF(01_因子設定!$B$20="Box-Behnken",D4321^2+E4321^2+F4321^2&lt;=2+0.000000001,TRUE()))</f>
        <v>1</v>
      </c>
      <c r="W4321" s="55" t="n">
        <f aca="false">IF(V4321,IF(01_因子設定!$B$13="最大化",T4321-01_因子設定!$B$14,IF(01_因子設定!$B$13="最小化",01_因子設定!$B$15-U4321,MIN(T4321-01_因子設定!$B$14,01_因子設定!$B$15-U4321))),-1E+030)</f>
        <v>0.942464714759893</v>
      </c>
      <c r="X4321" s="55" t="n">
        <f aca="false">IF(V4321,IF(01_因子設定!$B$13="最大化",Q4321,IF(01_因子設定!$B$13="最小化",-Q4321,-ABS(Q4321-01_因子設定!$B$16))),-1E+030)</f>
        <v>50.5677130681818</v>
      </c>
      <c r="Y4321" s="55" t="n">
        <f aca="false">W4321+ROW()*0.000000001</f>
        <v>0.942469035759893</v>
      </c>
      <c r="Z4321" s="55" t="n">
        <f aca="false">X4321+ROW()*0.000000001</f>
        <v>50.5677173891818</v>
      </c>
    </row>
    <row r="4322" customFormat="false" ht="15" hidden="false" customHeight="false" outlineLevel="0" collapsed="false">
      <c r="A4322" s="0" t="n">
        <v>14</v>
      </c>
      <c r="B4322" s="0" t="n">
        <v>15</v>
      </c>
      <c r="C4322" s="0" t="n">
        <v>16</v>
      </c>
      <c r="D4322" s="0" t="n">
        <f aca="false">-1+A4322*0.125</f>
        <v>0.75</v>
      </c>
      <c r="E4322" s="0" t="n">
        <f aca="false">-1+B4322*0.125</f>
        <v>0.875</v>
      </c>
      <c r="F4322" s="0" t="n">
        <f aca="false">-1+C4322*0.125</f>
        <v>1</v>
      </c>
      <c r="G4322" s="0" t="n">
        <f aca="false">1</f>
        <v>1</v>
      </c>
      <c r="H4322" s="0" t="n">
        <f aca="false">D4322</f>
        <v>0.75</v>
      </c>
      <c r="I4322" s="0" t="n">
        <f aca="false">E4322</f>
        <v>0.875</v>
      </c>
      <c r="J4322" s="0" t="n">
        <f aca="false">F4322</f>
        <v>1</v>
      </c>
      <c r="K4322" s="0" t="n">
        <f aca="false">D4322*E4322</f>
        <v>0.65625</v>
      </c>
      <c r="L4322" s="0" t="n">
        <f aca="false">D4322*F4322</f>
        <v>0.75</v>
      </c>
      <c r="M4322" s="0" t="n">
        <f aca="false">E4322*F4322</f>
        <v>0.875</v>
      </c>
      <c r="N4322" s="0" t="n">
        <f aca="false">D4322*D4322</f>
        <v>0.5625</v>
      </c>
      <c r="O4322" s="0" t="n">
        <f aca="false">E4322*E4322</f>
        <v>0.765625</v>
      </c>
      <c r="P4322" s="0" t="n">
        <f aca="false">F4322*F4322</f>
        <v>1</v>
      </c>
      <c r="Q4322" s="0" t="n">
        <f aca="false">SUMPRODUCT(G4322:P4322,_XtX!$B$71:$K$71)</f>
        <v>50.4994460227273</v>
      </c>
      <c r="R4322" s="0" t="n">
        <f aca="false">SUMPRODUCT(MMULT(G4322:P4322,_XtX!$B$58:$K$67),G4322:P4322)</f>
        <v>0.571375621448864</v>
      </c>
      <c r="S4322" s="0" t="n">
        <f aca="false">04_回帰ANOVA!$K$19*04_回帰ANOVA!$K$14*SQRT(1+R4322)</f>
        <v>1.16548487437682</v>
      </c>
      <c r="T4322" s="0" t="n">
        <f aca="false">Q4322-S4322</f>
        <v>49.3339611483505</v>
      </c>
      <c r="U4322" s="0" t="n">
        <f aca="false">Q4322+S4322</f>
        <v>51.6649308971041</v>
      </c>
      <c r="V4322" s="54" t="b">
        <f aca="false">AND(D4322&gt;=01_因子設定!$L$5-0.000000001,D4322&lt;=01_因子設定!$M$5+0.000000001,E4322&gt;=01_因子設定!$L$6-0.000000001,E4322&lt;=01_因子設定!$M$6+0.000000001,F4322&gt;=01_因子設定!$L$7-0.000000001,F4322&lt;=01_因子設定!$M$7+0.000000001,IF(01_因子設定!$B$20="Box-Behnken",D4322^2+E4322^2+F4322^2&lt;=2+0.000000001,TRUE()))</f>
        <v>1</v>
      </c>
      <c r="W4322" s="55" t="n">
        <f aca="false">IF(V4322,IF(01_因子設定!$B$13="最大化",T4322-01_因子設定!$B$14,IF(01_因子設定!$B$13="最小化",01_因子設定!$B$15-U4322,MIN(T4322-01_因子設定!$B$14,01_因子設定!$B$15-U4322))),-1E+030)</f>
        <v>0.833961148350475</v>
      </c>
      <c r="X4322" s="55" t="n">
        <f aca="false">IF(V4322,IF(01_因子設定!$B$13="最大化",Q4322,IF(01_因子設定!$B$13="最小化",-Q4322,-ABS(Q4322-01_因子設定!$B$16))),-1E+030)</f>
        <v>50.4994460227273</v>
      </c>
      <c r="Y4322" s="55" t="n">
        <f aca="false">W4322+ROW()*0.000000001</f>
        <v>0.833965470350475</v>
      </c>
      <c r="Z4322" s="55" t="n">
        <f aca="false">X4322+ROW()*0.000000001</f>
        <v>50.4994503447273</v>
      </c>
    </row>
    <row r="4323" customFormat="false" ht="15" hidden="false" customHeight="false" outlineLevel="0" collapsed="false">
      <c r="A4323" s="0" t="n">
        <v>14</v>
      </c>
      <c r="B4323" s="0" t="n">
        <v>16</v>
      </c>
      <c r="C4323" s="0" t="n">
        <v>0</v>
      </c>
      <c r="D4323" s="0" t="n">
        <f aca="false">-1+A4323*0.125</f>
        <v>0.75</v>
      </c>
      <c r="E4323" s="0" t="n">
        <f aca="false">-1+B4323*0.125</f>
        <v>1</v>
      </c>
      <c r="F4323" s="0" t="n">
        <f aca="false">-1+C4323*0.125</f>
        <v>-1</v>
      </c>
      <c r="G4323" s="0" t="n">
        <f aca="false">1</f>
        <v>1</v>
      </c>
      <c r="H4323" s="0" t="n">
        <f aca="false">D4323</f>
        <v>0.75</v>
      </c>
      <c r="I4323" s="0" t="n">
        <f aca="false">E4323</f>
        <v>1</v>
      </c>
      <c r="J4323" s="0" t="n">
        <f aca="false">F4323</f>
        <v>-1</v>
      </c>
      <c r="K4323" s="0" t="n">
        <f aca="false">D4323*E4323</f>
        <v>0.75</v>
      </c>
      <c r="L4323" s="0" t="n">
        <f aca="false">D4323*F4323</f>
        <v>-0.75</v>
      </c>
      <c r="M4323" s="0" t="n">
        <f aca="false">E4323*F4323</f>
        <v>-1</v>
      </c>
      <c r="N4323" s="0" t="n">
        <f aca="false">D4323*D4323</f>
        <v>0.5625</v>
      </c>
      <c r="O4323" s="0" t="n">
        <f aca="false">E4323*E4323</f>
        <v>1</v>
      </c>
      <c r="P4323" s="0" t="n">
        <f aca="false">F4323*F4323</f>
        <v>1</v>
      </c>
      <c r="Q4323" s="0" t="n">
        <f aca="false">SUMPRODUCT(G4323:P4323,_XtX!$B$71:$K$71)</f>
        <v>47.0191477272727</v>
      </c>
      <c r="R4323" s="0" t="n">
        <f aca="false">SUMPRODUCT(MMULT(G4323:P4323,_XtX!$B$58:$K$67),G4323:P4323)</f>
        <v>0.669886363636364</v>
      </c>
      <c r="S4323" s="0" t="n">
        <f aca="false">04_回帰ANOVA!$K$19*04_回帰ANOVA!$K$14*SQRT(1+R4323)</f>
        <v>1.20146215423986</v>
      </c>
      <c r="T4323" s="0" t="n">
        <f aca="false">Q4323-S4323</f>
        <v>45.8176855730329</v>
      </c>
      <c r="U4323" s="0" t="n">
        <f aca="false">Q4323+S4323</f>
        <v>48.2206098815126</v>
      </c>
      <c r="V4323" s="54" t="b">
        <f aca="false">AND(D4323&gt;=01_因子設定!$L$5-0.000000001,D4323&lt;=01_因子設定!$M$5+0.000000001,E4323&gt;=01_因子設定!$L$6-0.000000001,E4323&lt;=01_因子設定!$M$6+0.000000001,F4323&gt;=01_因子設定!$L$7-0.000000001,F4323&lt;=01_因子設定!$M$7+0.000000001,IF(01_因子設定!$B$20="Box-Behnken",D4323^2+E4323^2+F4323^2&lt;=2+0.000000001,TRUE()))</f>
        <v>1</v>
      </c>
      <c r="W4323" s="55" t="n">
        <f aca="false">IF(V4323,IF(01_因子設定!$B$13="最大化",T4323-01_因子設定!$B$14,IF(01_因子設定!$B$13="最小化",01_因子設定!$B$15-U4323,MIN(T4323-01_因子設定!$B$14,01_因子設定!$B$15-U4323))),-1E+030)</f>
        <v>-2.68231442696712</v>
      </c>
      <c r="X4323" s="55" t="n">
        <f aca="false">IF(V4323,IF(01_因子設定!$B$13="最大化",Q4323,IF(01_因子設定!$B$13="最小化",-Q4323,-ABS(Q4323-01_因子設定!$B$16))),-1E+030)</f>
        <v>47.0191477272727</v>
      </c>
      <c r="Y4323" s="55" t="n">
        <f aca="false">W4323+ROW()*0.000000001</f>
        <v>-2.68231010396712</v>
      </c>
      <c r="Z4323" s="55" t="n">
        <f aca="false">X4323+ROW()*0.000000001</f>
        <v>47.0191520502727</v>
      </c>
    </row>
    <row r="4324" customFormat="false" ht="15" hidden="false" customHeight="false" outlineLevel="0" collapsed="false">
      <c r="A4324" s="0" t="n">
        <v>14</v>
      </c>
      <c r="B4324" s="0" t="n">
        <v>16</v>
      </c>
      <c r="C4324" s="0" t="n">
        <v>1</v>
      </c>
      <c r="D4324" s="0" t="n">
        <f aca="false">-1+A4324*0.125</f>
        <v>0.75</v>
      </c>
      <c r="E4324" s="0" t="n">
        <f aca="false">-1+B4324*0.125</f>
        <v>1</v>
      </c>
      <c r="F4324" s="0" t="n">
        <f aca="false">-1+C4324*0.125</f>
        <v>-0.875</v>
      </c>
      <c r="G4324" s="0" t="n">
        <f aca="false">1</f>
        <v>1</v>
      </c>
      <c r="H4324" s="0" t="n">
        <f aca="false">D4324</f>
        <v>0.75</v>
      </c>
      <c r="I4324" s="0" t="n">
        <f aca="false">E4324</f>
        <v>1</v>
      </c>
      <c r="J4324" s="0" t="n">
        <f aca="false">F4324</f>
        <v>-0.875</v>
      </c>
      <c r="K4324" s="0" t="n">
        <f aca="false">D4324*E4324</f>
        <v>0.75</v>
      </c>
      <c r="L4324" s="0" t="n">
        <f aca="false">D4324*F4324</f>
        <v>-0.65625</v>
      </c>
      <c r="M4324" s="0" t="n">
        <f aca="false">E4324*F4324</f>
        <v>-0.875</v>
      </c>
      <c r="N4324" s="0" t="n">
        <f aca="false">D4324*D4324</f>
        <v>0.5625</v>
      </c>
      <c r="O4324" s="0" t="n">
        <f aca="false">E4324*E4324</f>
        <v>1</v>
      </c>
      <c r="P4324" s="0" t="n">
        <f aca="false">F4324*F4324</f>
        <v>0.765625</v>
      </c>
      <c r="Q4324" s="0" t="n">
        <f aca="false">SUMPRODUCT(G4324:P4324,_XtX!$B$71:$K$71)</f>
        <v>47.5097585227273</v>
      </c>
      <c r="R4324" s="0" t="n">
        <f aca="false">SUMPRODUCT(MMULT(G4324:P4324,_XtX!$B$58:$K$67),G4324:P4324)</f>
        <v>0.571375621448864</v>
      </c>
      <c r="S4324" s="0" t="n">
        <f aca="false">04_回帰ANOVA!$K$19*04_回帰ANOVA!$K$14*SQRT(1+R4324)</f>
        <v>1.16548487437682</v>
      </c>
      <c r="T4324" s="0" t="n">
        <f aca="false">Q4324-S4324</f>
        <v>46.3442736483505</v>
      </c>
      <c r="U4324" s="0" t="n">
        <f aca="false">Q4324+S4324</f>
        <v>48.6752433971041</v>
      </c>
      <c r="V4324" s="54" t="b">
        <f aca="false">AND(D4324&gt;=01_因子設定!$L$5-0.000000001,D4324&lt;=01_因子設定!$M$5+0.000000001,E4324&gt;=01_因子設定!$L$6-0.000000001,E4324&lt;=01_因子設定!$M$6+0.000000001,F4324&gt;=01_因子設定!$L$7-0.000000001,F4324&lt;=01_因子設定!$M$7+0.000000001,IF(01_因子設定!$B$20="Box-Behnken",D4324^2+E4324^2+F4324^2&lt;=2+0.000000001,TRUE()))</f>
        <v>1</v>
      </c>
      <c r="W4324" s="55" t="n">
        <f aca="false">IF(V4324,IF(01_因子設定!$B$13="最大化",T4324-01_因子設定!$B$14,IF(01_因子設定!$B$13="最小化",01_因子設定!$B$15-U4324,MIN(T4324-01_因子設定!$B$14,01_因子設定!$B$15-U4324))),-1E+030)</f>
        <v>-2.15572635164953</v>
      </c>
      <c r="X4324" s="55" t="n">
        <f aca="false">IF(V4324,IF(01_因子設定!$B$13="最大化",Q4324,IF(01_因子設定!$B$13="最小化",-Q4324,-ABS(Q4324-01_因子設定!$B$16))),-1E+030)</f>
        <v>47.5097585227273</v>
      </c>
      <c r="Y4324" s="55" t="n">
        <f aca="false">W4324+ROW()*0.000000001</f>
        <v>-2.15572202764953</v>
      </c>
      <c r="Z4324" s="55" t="n">
        <f aca="false">X4324+ROW()*0.000000001</f>
        <v>47.5097628467273</v>
      </c>
    </row>
    <row r="4325" customFormat="false" ht="15" hidden="false" customHeight="false" outlineLevel="0" collapsed="false">
      <c r="A4325" s="0" t="n">
        <v>14</v>
      </c>
      <c r="B4325" s="0" t="n">
        <v>16</v>
      </c>
      <c r="C4325" s="0" t="n">
        <v>2</v>
      </c>
      <c r="D4325" s="0" t="n">
        <f aca="false">-1+A4325*0.125</f>
        <v>0.75</v>
      </c>
      <c r="E4325" s="0" t="n">
        <f aca="false">-1+B4325*0.125</f>
        <v>1</v>
      </c>
      <c r="F4325" s="0" t="n">
        <f aca="false">-1+C4325*0.125</f>
        <v>-0.75</v>
      </c>
      <c r="G4325" s="0" t="n">
        <f aca="false">1</f>
        <v>1</v>
      </c>
      <c r="H4325" s="0" t="n">
        <f aca="false">D4325</f>
        <v>0.75</v>
      </c>
      <c r="I4325" s="0" t="n">
        <f aca="false">E4325</f>
        <v>1</v>
      </c>
      <c r="J4325" s="0" t="n">
        <f aca="false">F4325</f>
        <v>-0.75</v>
      </c>
      <c r="K4325" s="0" t="n">
        <f aca="false">D4325*E4325</f>
        <v>0.75</v>
      </c>
      <c r="L4325" s="0" t="n">
        <f aca="false">D4325*F4325</f>
        <v>-0.5625</v>
      </c>
      <c r="M4325" s="0" t="n">
        <f aca="false">E4325*F4325</f>
        <v>-0.75</v>
      </c>
      <c r="N4325" s="0" t="n">
        <f aca="false">D4325*D4325</f>
        <v>0.5625</v>
      </c>
      <c r="O4325" s="0" t="n">
        <f aca="false">E4325*E4325</f>
        <v>1</v>
      </c>
      <c r="P4325" s="0" t="n">
        <f aca="false">F4325*F4325</f>
        <v>0.5625</v>
      </c>
      <c r="Q4325" s="0" t="n">
        <f aca="false">SUMPRODUCT(G4325:P4325,_XtX!$B$71:$K$71)</f>
        <v>47.9635795454546</v>
      </c>
      <c r="R4325" s="0" t="n">
        <f aca="false">SUMPRODUCT(MMULT(G4325:P4325,_XtX!$B$58:$K$67),G4325:P4325)</f>
        <v>0.518314985795455</v>
      </c>
      <c r="S4325" s="0" t="n">
        <f aca="false">04_回帰ANOVA!$K$19*04_回帰ANOVA!$K$14*SQRT(1+R4325)</f>
        <v>1.14563843495971</v>
      </c>
      <c r="T4325" s="0" t="n">
        <f aca="false">Q4325-S4325</f>
        <v>46.8179411104949</v>
      </c>
      <c r="U4325" s="0" t="n">
        <f aca="false">Q4325+S4325</f>
        <v>49.1092179804143</v>
      </c>
      <c r="V4325" s="54" t="b">
        <f aca="false">AND(D4325&gt;=01_因子設定!$L$5-0.000000001,D4325&lt;=01_因子設定!$M$5+0.000000001,E4325&gt;=01_因子設定!$L$6-0.000000001,E4325&lt;=01_因子設定!$M$6+0.000000001,F4325&gt;=01_因子設定!$L$7-0.000000001,F4325&lt;=01_因子設定!$M$7+0.000000001,IF(01_因子設定!$B$20="Box-Behnken",D4325^2+E4325^2+F4325^2&lt;=2+0.000000001,TRUE()))</f>
        <v>1</v>
      </c>
      <c r="W4325" s="55" t="n">
        <f aca="false">IF(V4325,IF(01_因子設定!$B$13="最大化",T4325-01_因子設定!$B$14,IF(01_因子設定!$B$13="最小化",01_因子設定!$B$15-U4325,MIN(T4325-01_因子設定!$B$14,01_因子設定!$B$15-U4325))),-1E+030)</f>
        <v>-1.68205888950515</v>
      </c>
      <c r="X4325" s="55" t="n">
        <f aca="false">IF(V4325,IF(01_因子設定!$B$13="最大化",Q4325,IF(01_因子設定!$B$13="最小化",-Q4325,-ABS(Q4325-01_因子設定!$B$16))),-1E+030)</f>
        <v>47.9635795454546</v>
      </c>
      <c r="Y4325" s="55" t="n">
        <f aca="false">W4325+ROW()*0.000000001</f>
        <v>-1.68205456450515</v>
      </c>
      <c r="Z4325" s="55" t="n">
        <f aca="false">X4325+ROW()*0.000000001</f>
        <v>47.9635838704546</v>
      </c>
    </row>
    <row r="4326" customFormat="false" ht="15" hidden="false" customHeight="false" outlineLevel="0" collapsed="false">
      <c r="A4326" s="0" t="n">
        <v>14</v>
      </c>
      <c r="B4326" s="0" t="n">
        <v>16</v>
      </c>
      <c r="C4326" s="0" t="n">
        <v>3</v>
      </c>
      <c r="D4326" s="0" t="n">
        <f aca="false">-1+A4326*0.125</f>
        <v>0.75</v>
      </c>
      <c r="E4326" s="0" t="n">
        <f aca="false">-1+B4326*0.125</f>
        <v>1</v>
      </c>
      <c r="F4326" s="0" t="n">
        <f aca="false">-1+C4326*0.125</f>
        <v>-0.625</v>
      </c>
      <c r="G4326" s="0" t="n">
        <f aca="false">1</f>
        <v>1</v>
      </c>
      <c r="H4326" s="0" t="n">
        <f aca="false">D4326</f>
        <v>0.75</v>
      </c>
      <c r="I4326" s="0" t="n">
        <f aca="false">E4326</f>
        <v>1</v>
      </c>
      <c r="J4326" s="0" t="n">
        <f aca="false">F4326</f>
        <v>-0.625</v>
      </c>
      <c r="K4326" s="0" t="n">
        <f aca="false">D4326*E4326</f>
        <v>0.75</v>
      </c>
      <c r="L4326" s="0" t="n">
        <f aca="false">D4326*F4326</f>
        <v>-0.46875</v>
      </c>
      <c r="M4326" s="0" t="n">
        <f aca="false">E4326*F4326</f>
        <v>-0.625</v>
      </c>
      <c r="N4326" s="0" t="n">
        <f aca="false">D4326*D4326</f>
        <v>0.5625</v>
      </c>
      <c r="O4326" s="0" t="n">
        <f aca="false">E4326*E4326</f>
        <v>1</v>
      </c>
      <c r="P4326" s="0" t="n">
        <f aca="false">F4326*F4326</f>
        <v>0.390625</v>
      </c>
      <c r="Q4326" s="0" t="n">
        <f aca="false">SUMPRODUCT(G4326:P4326,_XtX!$B$71:$K$71)</f>
        <v>48.3806107954546</v>
      </c>
      <c r="R4326" s="0" t="n">
        <f aca="false">SUMPRODUCT(MMULT(G4326:P4326,_XtX!$B$58:$K$67),G4326:P4326)</f>
        <v>0.496855024857955</v>
      </c>
      <c r="S4326" s="0" t="n">
        <f aca="false">04_回帰ANOVA!$K$19*04_回帰ANOVA!$K$14*SQRT(1+R4326)</f>
        <v>1.1375133593161</v>
      </c>
      <c r="T4326" s="0" t="n">
        <f aca="false">Q4326-S4326</f>
        <v>47.2430974361385</v>
      </c>
      <c r="U4326" s="0" t="n">
        <f aca="false">Q4326+S4326</f>
        <v>49.5181241547706</v>
      </c>
      <c r="V4326" s="54" t="b">
        <f aca="false">AND(D4326&gt;=01_因子設定!$L$5-0.000000001,D4326&lt;=01_因子設定!$M$5+0.000000001,E4326&gt;=01_因子設定!$L$6-0.000000001,E4326&lt;=01_因子設定!$M$6+0.000000001,F4326&gt;=01_因子設定!$L$7-0.000000001,F4326&lt;=01_因子設定!$M$7+0.000000001,IF(01_因子設定!$B$20="Box-Behnken",D4326^2+E4326^2+F4326^2&lt;=2+0.000000001,TRUE()))</f>
        <v>1</v>
      </c>
      <c r="W4326" s="55" t="n">
        <f aca="false">IF(V4326,IF(01_因子設定!$B$13="最大化",T4326-01_因子設定!$B$14,IF(01_因子設定!$B$13="最小化",01_因子設定!$B$15-U4326,MIN(T4326-01_因子設定!$B$14,01_因子設定!$B$15-U4326))),-1E+030)</f>
        <v>-1.25690256386154</v>
      </c>
      <c r="X4326" s="55" t="n">
        <f aca="false">IF(V4326,IF(01_因子設定!$B$13="最大化",Q4326,IF(01_因子設定!$B$13="最小化",-Q4326,-ABS(Q4326-01_因子設定!$B$16))),-1E+030)</f>
        <v>48.3806107954546</v>
      </c>
      <c r="Y4326" s="55" t="n">
        <f aca="false">W4326+ROW()*0.000000001</f>
        <v>-1.25689823786154</v>
      </c>
      <c r="Z4326" s="55" t="n">
        <f aca="false">X4326+ROW()*0.000000001</f>
        <v>48.3806151214546</v>
      </c>
    </row>
    <row r="4327" customFormat="false" ht="15" hidden="false" customHeight="false" outlineLevel="0" collapsed="false">
      <c r="A4327" s="0" t="n">
        <v>14</v>
      </c>
      <c r="B4327" s="0" t="n">
        <v>16</v>
      </c>
      <c r="C4327" s="0" t="n">
        <v>4</v>
      </c>
      <c r="D4327" s="0" t="n">
        <f aca="false">-1+A4327*0.125</f>
        <v>0.75</v>
      </c>
      <c r="E4327" s="0" t="n">
        <f aca="false">-1+B4327*0.125</f>
        <v>1</v>
      </c>
      <c r="F4327" s="0" t="n">
        <f aca="false">-1+C4327*0.125</f>
        <v>-0.5</v>
      </c>
      <c r="G4327" s="0" t="n">
        <f aca="false">1</f>
        <v>1</v>
      </c>
      <c r="H4327" s="0" t="n">
        <f aca="false">D4327</f>
        <v>0.75</v>
      </c>
      <c r="I4327" s="0" t="n">
        <f aca="false">E4327</f>
        <v>1</v>
      </c>
      <c r="J4327" s="0" t="n">
        <f aca="false">F4327</f>
        <v>-0.5</v>
      </c>
      <c r="K4327" s="0" t="n">
        <f aca="false">D4327*E4327</f>
        <v>0.75</v>
      </c>
      <c r="L4327" s="0" t="n">
        <f aca="false">D4327*F4327</f>
        <v>-0.375</v>
      </c>
      <c r="M4327" s="0" t="n">
        <f aca="false">E4327*F4327</f>
        <v>-0.5</v>
      </c>
      <c r="N4327" s="0" t="n">
        <f aca="false">D4327*D4327</f>
        <v>0.5625</v>
      </c>
      <c r="O4327" s="0" t="n">
        <f aca="false">E4327*E4327</f>
        <v>1</v>
      </c>
      <c r="P4327" s="0" t="n">
        <f aca="false">F4327*F4327</f>
        <v>0.25</v>
      </c>
      <c r="Q4327" s="0" t="n">
        <f aca="false">SUMPRODUCT(G4327:P4327,_XtX!$B$71:$K$71)</f>
        <v>48.7608522727273</v>
      </c>
      <c r="R4327" s="0" t="n">
        <f aca="false">SUMPRODUCT(MMULT(G4327:P4327,_XtX!$B$58:$K$67),G4327:P4327)</f>
        <v>0.495276988636364</v>
      </c>
      <c r="S4327" s="0" t="n">
        <f aca="false">04_回帰ANOVA!$K$19*04_回帰ANOVA!$K$14*SQRT(1+R4327)</f>
        <v>1.13691359828352</v>
      </c>
      <c r="T4327" s="0" t="n">
        <f aca="false">Q4327-S4327</f>
        <v>47.6239386744438</v>
      </c>
      <c r="U4327" s="0" t="n">
        <f aca="false">Q4327+S4327</f>
        <v>49.8977658710108</v>
      </c>
      <c r="V4327" s="54" t="b">
        <f aca="false">AND(D4327&gt;=01_因子設定!$L$5-0.000000001,D4327&lt;=01_因子設定!$M$5+0.000000001,E4327&gt;=01_因子設定!$L$6-0.000000001,E4327&lt;=01_因子設定!$M$6+0.000000001,F4327&gt;=01_因子設定!$L$7-0.000000001,F4327&lt;=01_因子設定!$M$7+0.000000001,IF(01_因子設定!$B$20="Box-Behnken",D4327^2+E4327^2+F4327^2&lt;=2+0.000000001,TRUE()))</f>
        <v>1</v>
      </c>
      <c r="W4327" s="55" t="n">
        <f aca="false">IF(V4327,IF(01_因子設定!$B$13="最大化",T4327-01_因子設定!$B$14,IF(01_因子設定!$B$13="最小化",01_因子設定!$B$15-U4327,MIN(T4327-01_因子設定!$B$14,01_因子設定!$B$15-U4327))),-1E+030)</f>
        <v>-0.876061325556243</v>
      </c>
      <c r="X4327" s="55" t="n">
        <f aca="false">IF(V4327,IF(01_因子設定!$B$13="最大化",Q4327,IF(01_因子設定!$B$13="最小化",-Q4327,-ABS(Q4327-01_因子設定!$B$16))),-1E+030)</f>
        <v>48.7608522727273</v>
      </c>
      <c r="Y4327" s="55" t="n">
        <f aca="false">W4327+ROW()*0.000000001</f>
        <v>-0.876056998556243</v>
      </c>
      <c r="Z4327" s="55" t="n">
        <f aca="false">X4327+ROW()*0.000000001</f>
        <v>48.7608565997273</v>
      </c>
    </row>
    <row r="4328" customFormat="false" ht="15" hidden="false" customHeight="false" outlineLevel="0" collapsed="false">
      <c r="A4328" s="0" t="n">
        <v>14</v>
      </c>
      <c r="B4328" s="0" t="n">
        <v>16</v>
      </c>
      <c r="C4328" s="0" t="n">
        <v>5</v>
      </c>
      <c r="D4328" s="0" t="n">
        <f aca="false">-1+A4328*0.125</f>
        <v>0.75</v>
      </c>
      <c r="E4328" s="0" t="n">
        <f aca="false">-1+B4328*0.125</f>
        <v>1</v>
      </c>
      <c r="F4328" s="0" t="n">
        <f aca="false">-1+C4328*0.125</f>
        <v>-0.375</v>
      </c>
      <c r="G4328" s="0" t="n">
        <f aca="false">1</f>
        <v>1</v>
      </c>
      <c r="H4328" s="0" t="n">
        <f aca="false">D4328</f>
        <v>0.75</v>
      </c>
      <c r="I4328" s="0" t="n">
        <f aca="false">E4328</f>
        <v>1</v>
      </c>
      <c r="J4328" s="0" t="n">
        <f aca="false">F4328</f>
        <v>-0.375</v>
      </c>
      <c r="K4328" s="0" t="n">
        <f aca="false">D4328*E4328</f>
        <v>0.75</v>
      </c>
      <c r="L4328" s="0" t="n">
        <f aca="false">D4328*F4328</f>
        <v>-0.28125</v>
      </c>
      <c r="M4328" s="0" t="n">
        <f aca="false">E4328*F4328</f>
        <v>-0.375</v>
      </c>
      <c r="N4328" s="0" t="n">
        <f aca="false">D4328*D4328</f>
        <v>0.5625</v>
      </c>
      <c r="O4328" s="0" t="n">
        <f aca="false">E4328*E4328</f>
        <v>1</v>
      </c>
      <c r="P4328" s="0" t="n">
        <f aca="false">F4328*F4328</f>
        <v>0.140625</v>
      </c>
      <c r="Q4328" s="0" t="n">
        <f aca="false">SUMPRODUCT(G4328:P4328,_XtX!$B$71:$K$71)</f>
        <v>49.1043039772727</v>
      </c>
      <c r="R4328" s="0" t="n">
        <f aca="false">SUMPRODUCT(MMULT(G4328:P4328,_XtX!$B$58:$K$67),G4328:P4328)</f>
        <v>0.503992808948864</v>
      </c>
      <c r="S4328" s="0" t="n">
        <f aca="false">04_回帰ANOVA!$K$19*04_回帰ANOVA!$K$14*SQRT(1+R4328)</f>
        <v>1.14022226176226</v>
      </c>
      <c r="T4328" s="0" t="n">
        <f aca="false">Q4328-S4328</f>
        <v>47.9640817155105</v>
      </c>
      <c r="U4328" s="0" t="n">
        <f aca="false">Q4328+S4328</f>
        <v>50.244526239035</v>
      </c>
      <c r="V4328" s="54" t="b">
        <f aca="false">AND(D4328&gt;=01_因子設定!$L$5-0.000000001,D4328&lt;=01_因子設定!$M$5+0.000000001,E4328&gt;=01_因子設定!$L$6-0.000000001,E4328&lt;=01_因子設定!$M$6+0.000000001,F4328&gt;=01_因子設定!$L$7-0.000000001,F4328&lt;=01_因子設定!$M$7+0.000000001,IF(01_因子設定!$B$20="Box-Behnken",D4328^2+E4328^2+F4328^2&lt;=2+0.000000001,TRUE()))</f>
        <v>1</v>
      </c>
      <c r="W4328" s="55" t="n">
        <f aca="false">IF(V4328,IF(01_因子設定!$B$13="最大化",T4328-01_因子設定!$B$14,IF(01_因子設定!$B$13="最小化",01_因子設定!$B$15-U4328,MIN(T4328-01_因子設定!$B$14,01_因子設定!$B$15-U4328))),-1E+030)</f>
        <v>-0.535918284489533</v>
      </c>
      <c r="X4328" s="55" t="n">
        <f aca="false">IF(V4328,IF(01_因子設定!$B$13="最大化",Q4328,IF(01_因子設定!$B$13="最小化",-Q4328,-ABS(Q4328-01_因子設定!$B$16))),-1E+030)</f>
        <v>49.1043039772727</v>
      </c>
      <c r="Y4328" s="55" t="n">
        <f aca="false">W4328+ROW()*0.000000001</f>
        <v>-0.535913956489533</v>
      </c>
      <c r="Z4328" s="55" t="n">
        <f aca="false">X4328+ROW()*0.000000001</f>
        <v>49.1043083052727</v>
      </c>
    </row>
    <row r="4329" customFormat="false" ht="15" hidden="false" customHeight="false" outlineLevel="0" collapsed="false">
      <c r="A4329" s="0" t="n">
        <v>14</v>
      </c>
      <c r="B4329" s="0" t="n">
        <v>16</v>
      </c>
      <c r="C4329" s="0" t="n">
        <v>6</v>
      </c>
      <c r="D4329" s="0" t="n">
        <f aca="false">-1+A4329*0.125</f>
        <v>0.75</v>
      </c>
      <c r="E4329" s="0" t="n">
        <f aca="false">-1+B4329*0.125</f>
        <v>1</v>
      </c>
      <c r="F4329" s="0" t="n">
        <f aca="false">-1+C4329*0.125</f>
        <v>-0.25</v>
      </c>
      <c r="G4329" s="0" t="n">
        <f aca="false">1</f>
        <v>1</v>
      </c>
      <c r="H4329" s="0" t="n">
        <f aca="false">D4329</f>
        <v>0.75</v>
      </c>
      <c r="I4329" s="0" t="n">
        <f aca="false">E4329</f>
        <v>1</v>
      </c>
      <c r="J4329" s="0" t="n">
        <f aca="false">F4329</f>
        <v>-0.25</v>
      </c>
      <c r="K4329" s="0" t="n">
        <f aca="false">D4329*E4329</f>
        <v>0.75</v>
      </c>
      <c r="L4329" s="0" t="n">
        <f aca="false">D4329*F4329</f>
        <v>-0.1875</v>
      </c>
      <c r="M4329" s="0" t="n">
        <f aca="false">E4329*F4329</f>
        <v>-0.25</v>
      </c>
      <c r="N4329" s="0" t="n">
        <f aca="false">D4329*D4329</f>
        <v>0.5625</v>
      </c>
      <c r="O4329" s="0" t="n">
        <f aca="false">E4329*E4329</f>
        <v>1</v>
      </c>
      <c r="P4329" s="0" t="n">
        <f aca="false">F4329*F4329</f>
        <v>0.0625</v>
      </c>
      <c r="Q4329" s="0" t="n">
        <f aca="false">SUMPRODUCT(G4329:P4329,_XtX!$B$71:$K$71)</f>
        <v>49.4109659090909</v>
      </c>
      <c r="R4329" s="0" t="n">
        <f aca="false">SUMPRODUCT(MMULT(G4329:P4329,_XtX!$B$58:$K$67),G4329:P4329)</f>
        <v>0.515545099431818</v>
      </c>
      <c r="S4329" s="0" t="n">
        <f aca="false">04_回帰ANOVA!$K$19*04_回帰ANOVA!$K$14*SQRT(1+R4329)</f>
        <v>1.14459295464101</v>
      </c>
      <c r="T4329" s="0" t="n">
        <f aca="false">Q4329-S4329</f>
        <v>48.2663729544499</v>
      </c>
      <c r="U4329" s="0" t="n">
        <f aca="false">Q4329+S4329</f>
        <v>50.5555588637319</v>
      </c>
      <c r="V4329" s="54" t="b">
        <f aca="false">AND(D4329&gt;=01_因子設定!$L$5-0.000000001,D4329&lt;=01_因子設定!$M$5+0.000000001,E4329&gt;=01_因子設定!$L$6-0.000000001,E4329&lt;=01_因子設定!$M$6+0.000000001,F4329&gt;=01_因子設定!$L$7-0.000000001,F4329&lt;=01_因子設定!$M$7+0.000000001,IF(01_因子設定!$B$20="Box-Behnken",D4329^2+E4329^2+F4329^2&lt;=2+0.000000001,TRUE()))</f>
        <v>1</v>
      </c>
      <c r="W4329" s="55" t="n">
        <f aca="false">IF(V4329,IF(01_因子設定!$B$13="最大化",T4329-01_因子設定!$B$14,IF(01_因子設定!$B$13="最小化",01_因子設定!$B$15-U4329,MIN(T4329-01_因子設定!$B$14,01_因子設定!$B$15-U4329))),-1E+030)</f>
        <v>-0.233627045550101</v>
      </c>
      <c r="X4329" s="55" t="n">
        <f aca="false">IF(V4329,IF(01_因子設定!$B$13="最大化",Q4329,IF(01_因子設定!$B$13="最小化",-Q4329,-ABS(Q4329-01_因子設定!$B$16))),-1E+030)</f>
        <v>49.4109659090909</v>
      </c>
      <c r="Y4329" s="55" t="n">
        <f aca="false">W4329+ROW()*0.000000001</f>
        <v>-0.233622716550101</v>
      </c>
      <c r="Z4329" s="55" t="n">
        <f aca="false">X4329+ROW()*0.000000001</f>
        <v>49.4109702380909</v>
      </c>
    </row>
    <row r="4330" customFormat="false" ht="15" hidden="false" customHeight="false" outlineLevel="0" collapsed="false">
      <c r="A4330" s="0" t="n">
        <v>14</v>
      </c>
      <c r="B4330" s="0" t="n">
        <v>16</v>
      </c>
      <c r="C4330" s="0" t="n">
        <v>7</v>
      </c>
      <c r="D4330" s="0" t="n">
        <f aca="false">-1+A4330*0.125</f>
        <v>0.75</v>
      </c>
      <c r="E4330" s="0" t="n">
        <f aca="false">-1+B4330*0.125</f>
        <v>1</v>
      </c>
      <c r="F4330" s="0" t="n">
        <f aca="false">-1+C4330*0.125</f>
        <v>-0.125</v>
      </c>
      <c r="G4330" s="0" t="n">
        <f aca="false">1</f>
        <v>1</v>
      </c>
      <c r="H4330" s="0" t="n">
        <f aca="false">D4330</f>
        <v>0.75</v>
      </c>
      <c r="I4330" s="0" t="n">
        <f aca="false">E4330</f>
        <v>1</v>
      </c>
      <c r="J4330" s="0" t="n">
        <f aca="false">F4330</f>
        <v>-0.125</v>
      </c>
      <c r="K4330" s="0" t="n">
        <f aca="false">D4330*E4330</f>
        <v>0.75</v>
      </c>
      <c r="L4330" s="0" t="n">
        <f aca="false">D4330*F4330</f>
        <v>-0.09375</v>
      </c>
      <c r="M4330" s="0" t="n">
        <f aca="false">E4330*F4330</f>
        <v>-0.125</v>
      </c>
      <c r="N4330" s="0" t="n">
        <f aca="false">D4330*D4330</f>
        <v>0.5625</v>
      </c>
      <c r="O4330" s="0" t="n">
        <f aca="false">E4330*E4330</f>
        <v>1</v>
      </c>
      <c r="P4330" s="0" t="n">
        <f aca="false">F4330*F4330</f>
        <v>0.015625</v>
      </c>
      <c r="Q4330" s="0" t="n">
        <f aca="false">SUMPRODUCT(G4330:P4330,_XtX!$B$71:$K$71)</f>
        <v>49.6808380681818</v>
      </c>
      <c r="R4330" s="0" t="n">
        <f aca="false">SUMPRODUCT(MMULT(G4330:P4330,_XtX!$B$58:$K$67),G4330:P4330)</f>
        <v>0.524607155539773</v>
      </c>
      <c r="S4330" s="0" t="n">
        <f aca="false">04_回帰ANOVA!$K$19*04_回帰ANOVA!$K$14*SQRT(1+R4330)</f>
        <v>1.14800984623412</v>
      </c>
      <c r="T4330" s="0" t="n">
        <f aca="false">Q4330-S4330</f>
        <v>48.5328282219477</v>
      </c>
      <c r="U4330" s="0" t="n">
        <f aca="false">Q4330+S4330</f>
        <v>50.8288479144159</v>
      </c>
      <c r="V4330" s="54" t="b">
        <f aca="false">AND(D4330&gt;=01_因子設定!$L$5-0.000000001,D4330&lt;=01_因子設定!$M$5+0.000000001,E4330&gt;=01_因子設定!$L$6-0.000000001,E4330&lt;=01_因子設定!$M$6+0.000000001,F4330&gt;=01_因子設定!$L$7-0.000000001,F4330&lt;=01_因子設定!$M$7+0.000000001,IF(01_因子設定!$B$20="Box-Behnken",D4330^2+E4330^2+F4330^2&lt;=2+0.000000001,TRUE()))</f>
        <v>1</v>
      </c>
      <c r="W4330" s="55" t="n">
        <f aca="false">IF(V4330,IF(01_因子設定!$B$13="最大化",T4330-01_因子設定!$B$14,IF(01_因子設定!$B$13="最小化",01_因子設定!$B$15-U4330,MIN(T4330-01_因子設定!$B$14,01_因子設定!$B$15-U4330))),-1E+030)</f>
        <v>0.0328282219477032</v>
      </c>
      <c r="X4330" s="55" t="n">
        <f aca="false">IF(V4330,IF(01_因子設定!$B$13="最大化",Q4330,IF(01_因子設定!$B$13="最小化",-Q4330,-ABS(Q4330-01_因子設定!$B$16))),-1E+030)</f>
        <v>49.6808380681818</v>
      </c>
      <c r="Y4330" s="55" t="n">
        <f aca="false">W4330+ROW()*0.000000001</f>
        <v>0.0328325519477032</v>
      </c>
      <c r="Z4330" s="55" t="n">
        <f aca="false">X4330+ROW()*0.000000001</f>
        <v>49.6808423981818</v>
      </c>
    </row>
    <row r="4331" customFormat="false" ht="15" hidden="false" customHeight="false" outlineLevel="0" collapsed="false">
      <c r="A4331" s="0" t="n">
        <v>14</v>
      </c>
      <c r="B4331" s="0" t="n">
        <v>16</v>
      </c>
      <c r="C4331" s="0" t="n">
        <v>8</v>
      </c>
      <c r="D4331" s="0" t="n">
        <f aca="false">-1+A4331*0.125</f>
        <v>0.75</v>
      </c>
      <c r="E4331" s="0" t="n">
        <f aca="false">-1+B4331*0.125</f>
        <v>1</v>
      </c>
      <c r="F4331" s="0" t="n">
        <f aca="false">-1+C4331*0.125</f>
        <v>0</v>
      </c>
      <c r="G4331" s="0" t="n">
        <f aca="false">1</f>
        <v>1</v>
      </c>
      <c r="H4331" s="0" t="n">
        <f aca="false">D4331</f>
        <v>0.75</v>
      </c>
      <c r="I4331" s="0" t="n">
        <f aca="false">E4331</f>
        <v>1</v>
      </c>
      <c r="J4331" s="0" t="n">
        <f aca="false">F4331</f>
        <v>0</v>
      </c>
      <c r="K4331" s="0" t="n">
        <f aca="false">D4331*E4331</f>
        <v>0.75</v>
      </c>
      <c r="L4331" s="0" t="n">
        <f aca="false">D4331*F4331</f>
        <v>0</v>
      </c>
      <c r="M4331" s="0" t="n">
        <f aca="false">E4331*F4331</f>
        <v>0</v>
      </c>
      <c r="N4331" s="0" t="n">
        <f aca="false">D4331*D4331</f>
        <v>0.5625</v>
      </c>
      <c r="O4331" s="0" t="n">
        <f aca="false">E4331*E4331</f>
        <v>1</v>
      </c>
      <c r="P4331" s="0" t="n">
        <f aca="false">F4331*F4331</f>
        <v>0</v>
      </c>
      <c r="Q4331" s="0" t="n">
        <f aca="false">SUMPRODUCT(G4331:P4331,_XtX!$B$71:$K$71)</f>
        <v>49.9139204545455</v>
      </c>
      <c r="R4331" s="0" t="n">
        <f aca="false">SUMPRODUCT(MMULT(G4331:P4331,_XtX!$B$58:$K$67),G4331:P4331)</f>
        <v>0.527982954545455</v>
      </c>
      <c r="S4331" s="0" t="n">
        <f aca="false">04_回帰ANOVA!$K$19*04_回帰ANOVA!$K$14*SQRT(1+R4331)</f>
        <v>1.14928011037747</v>
      </c>
      <c r="T4331" s="0" t="n">
        <f aca="false">Q4331-S4331</f>
        <v>48.764640344168</v>
      </c>
      <c r="U4331" s="0" t="n">
        <f aca="false">Q4331+S4331</f>
        <v>51.0632005649229</v>
      </c>
      <c r="V4331" s="54" t="b">
        <f aca="false">AND(D4331&gt;=01_因子設定!$L$5-0.000000001,D4331&lt;=01_因子設定!$M$5+0.000000001,E4331&gt;=01_因子設定!$L$6-0.000000001,E4331&lt;=01_因子設定!$M$6+0.000000001,F4331&gt;=01_因子設定!$L$7-0.000000001,F4331&lt;=01_因子設定!$M$7+0.000000001,IF(01_因子設定!$B$20="Box-Behnken",D4331^2+E4331^2+F4331^2&lt;=2+0.000000001,TRUE()))</f>
        <v>1</v>
      </c>
      <c r="W4331" s="55" t="n">
        <f aca="false">IF(V4331,IF(01_因子設定!$B$13="最大化",T4331-01_因子設定!$B$14,IF(01_因子設定!$B$13="最小化",01_因子設定!$B$15-U4331,MIN(T4331-01_因子設定!$B$14,01_因子設定!$B$15-U4331))),-1E+030)</f>
        <v>0.264640344167979</v>
      </c>
      <c r="X4331" s="55" t="n">
        <f aca="false">IF(V4331,IF(01_因子設定!$B$13="最大化",Q4331,IF(01_因子設定!$B$13="最小化",-Q4331,-ABS(Q4331-01_因子設定!$B$16))),-1E+030)</f>
        <v>49.9139204545455</v>
      </c>
      <c r="Y4331" s="55" t="n">
        <f aca="false">W4331+ROW()*0.000000001</f>
        <v>0.264644675167979</v>
      </c>
      <c r="Z4331" s="55" t="n">
        <f aca="false">X4331+ROW()*0.000000001</f>
        <v>49.9139247855455</v>
      </c>
    </row>
    <row r="4332" customFormat="false" ht="15" hidden="false" customHeight="false" outlineLevel="0" collapsed="false">
      <c r="A4332" s="0" t="n">
        <v>14</v>
      </c>
      <c r="B4332" s="0" t="n">
        <v>16</v>
      </c>
      <c r="C4332" s="0" t="n">
        <v>9</v>
      </c>
      <c r="D4332" s="0" t="n">
        <f aca="false">-1+A4332*0.125</f>
        <v>0.75</v>
      </c>
      <c r="E4332" s="0" t="n">
        <f aca="false">-1+B4332*0.125</f>
        <v>1</v>
      </c>
      <c r="F4332" s="0" t="n">
        <f aca="false">-1+C4332*0.125</f>
        <v>0.125</v>
      </c>
      <c r="G4332" s="0" t="n">
        <f aca="false">1</f>
        <v>1</v>
      </c>
      <c r="H4332" s="0" t="n">
        <f aca="false">D4332</f>
        <v>0.75</v>
      </c>
      <c r="I4332" s="0" t="n">
        <f aca="false">E4332</f>
        <v>1</v>
      </c>
      <c r="J4332" s="0" t="n">
        <f aca="false">F4332</f>
        <v>0.125</v>
      </c>
      <c r="K4332" s="0" t="n">
        <f aca="false">D4332*E4332</f>
        <v>0.75</v>
      </c>
      <c r="L4332" s="0" t="n">
        <f aca="false">D4332*F4332</f>
        <v>0.09375</v>
      </c>
      <c r="M4332" s="0" t="n">
        <f aca="false">E4332*F4332</f>
        <v>0.125</v>
      </c>
      <c r="N4332" s="0" t="n">
        <f aca="false">D4332*D4332</f>
        <v>0.5625</v>
      </c>
      <c r="O4332" s="0" t="n">
        <f aca="false">E4332*E4332</f>
        <v>1</v>
      </c>
      <c r="P4332" s="0" t="n">
        <f aca="false">F4332*F4332</f>
        <v>0.015625</v>
      </c>
      <c r="Q4332" s="0" t="n">
        <f aca="false">SUMPRODUCT(G4332:P4332,_XtX!$B$71:$K$71)</f>
        <v>50.1102130681818</v>
      </c>
      <c r="R4332" s="0" t="n">
        <f aca="false">SUMPRODUCT(MMULT(G4332:P4332,_XtX!$B$58:$K$67),G4332:P4332)</f>
        <v>0.524607155539773</v>
      </c>
      <c r="S4332" s="0" t="n">
        <f aca="false">04_回帰ANOVA!$K$19*04_回帰ANOVA!$K$14*SQRT(1+R4332)</f>
        <v>1.14800984623412</v>
      </c>
      <c r="T4332" s="0" t="n">
        <f aca="false">Q4332-S4332</f>
        <v>48.9622032219477</v>
      </c>
      <c r="U4332" s="0" t="n">
        <f aca="false">Q4332+S4332</f>
        <v>51.2582229144159</v>
      </c>
      <c r="V4332" s="54" t="b">
        <f aca="false">AND(D4332&gt;=01_因子設定!$L$5-0.000000001,D4332&lt;=01_因子設定!$M$5+0.000000001,E4332&gt;=01_因子設定!$L$6-0.000000001,E4332&lt;=01_因子設定!$M$6+0.000000001,F4332&gt;=01_因子設定!$L$7-0.000000001,F4332&lt;=01_因子設定!$M$7+0.000000001,IF(01_因子設定!$B$20="Box-Behnken",D4332^2+E4332^2+F4332^2&lt;=2+0.000000001,TRUE()))</f>
        <v>1</v>
      </c>
      <c r="W4332" s="55" t="n">
        <f aca="false">IF(V4332,IF(01_因子設定!$B$13="最大化",T4332-01_因子設定!$B$14,IF(01_因子設定!$B$13="最小化",01_因子設定!$B$15-U4332,MIN(T4332-01_因子設定!$B$14,01_因子設定!$B$15-U4332))),-1E+030)</f>
        <v>0.462203221947703</v>
      </c>
      <c r="X4332" s="55" t="n">
        <f aca="false">IF(V4332,IF(01_因子設定!$B$13="最大化",Q4332,IF(01_因子設定!$B$13="最小化",-Q4332,-ABS(Q4332-01_因子設定!$B$16))),-1E+030)</f>
        <v>50.1102130681818</v>
      </c>
      <c r="Y4332" s="55" t="n">
        <f aca="false">W4332+ROW()*0.000000001</f>
        <v>0.462207553947703</v>
      </c>
      <c r="Z4332" s="55" t="n">
        <f aca="false">X4332+ROW()*0.000000001</f>
        <v>50.1102174001818</v>
      </c>
    </row>
    <row r="4333" customFormat="false" ht="15" hidden="false" customHeight="false" outlineLevel="0" collapsed="false">
      <c r="A4333" s="0" t="n">
        <v>14</v>
      </c>
      <c r="B4333" s="0" t="n">
        <v>16</v>
      </c>
      <c r="C4333" s="0" t="n">
        <v>10</v>
      </c>
      <c r="D4333" s="0" t="n">
        <f aca="false">-1+A4333*0.125</f>
        <v>0.75</v>
      </c>
      <c r="E4333" s="0" t="n">
        <f aca="false">-1+B4333*0.125</f>
        <v>1</v>
      </c>
      <c r="F4333" s="0" t="n">
        <f aca="false">-1+C4333*0.125</f>
        <v>0.25</v>
      </c>
      <c r="G4333" s="0" t="n">
        <f aca="false">1</f>
        <v>1</v>
      </c>
      <c r="H4333" s="0" t="n">
        <f aca="false">D4333</f>
        <v>0.75</v>
      </c>
      <c r="I4333" s="0" t="n">
        <f aca="false">E4333</f>
        <v>1</v>
      </c>
      <c r="J4333" s="0" t="n">
        <f aca="false">F4333</f>
        <v>0.25</v>
      </c>
      <c r="K4333" s="0" t="n">
        <f aca="false">D4333*E4333</f>
        <v>0.75</v>
      </c>
      <c r="L4333" s="0" t="n">
        <f aca="false">D4333*F4333</f>
        <v>0.1875</v>
      </c>
      <c r="M4333" s="0" t="n">
        <f aca="false">E4333*F4333</f>
        <v>0.25</v>
      </c>
      <c r="N4333" s="0" t="n">
        <f aca="false">D4333*D4333</f>
        <v>0.5625</v>
      </c>
      <c r="O4333" s="0" t="n">
        <f aca="false">E4333*E4333</f>
        <v>1</v>
      </c>
      <c r="P4333" s="0" t="n">
        <f aca="false">F4333*F4333</f>
        <v>0.0625</v>
      </c>
      <c r="Q4333" s="0" t="n">
        <f aca="false">SUMPRODUCT(G4333:P4333,_XtX!$B$71:$K$71)</f>
        <v>50.2697159090909</v>
      </c>
      <c r="R4333" s="0" t="n">
        <f aca="false">SUMPRODUCT(MMULT(G4333:P4333,_XtX!$B$58:$K$67),G4333:P4333)</f>
        <v>0.515545099431818</v>
      </c>
      <c r="S4333" s="0" t="n">
        <f aca="false">04_回帰ANOVA!$K$19*04_回帰ANOVA!$K$14*SQRT(1+R4333)</f>
        <v>1.14459295464101</v>
      </c>
      <c r="T4333" s="0" t="n">
        <f aca="false">Q4333-S4333</f>
        <v>49.1251229544499</v>
      </c>
      <c r="U4333" s="0" t="n">
        <f aca="false">Q4333+S4333</f>
        <v>51.4143088637319</v>
      </c>
      <c r="V4333" s="54" t="b">
        <f aca="false">AND(D4333&gt;=01_因子設定!$L$5-0.000000001,D4333&lt;=01_因子設定!$M$5+0.000000001,E4333&gt;=01_因子設定!$L$6-0.000000001,E4333&lt;=01_因子設定!$M$6+0.000000001,F4333&gt;=01_因子設定!$L$7-0.000000001,F4333&lt;=01_因子設定!$M$7+0.000000001,IF(01_因子設定!$B$20="Box-Behnken",D4333^2+E4333^2+F4333^2&lt;=2+0.000000001,TRUE()))</f>
        <v>1</v>
      </c>
      <c r="W4333" s="55" t="n">
        <f aca="false">IF(V4333,IF(01_因子設定!$B$13="最大化",T4333-01_因子設定!$B$14,IF(01_因子設定!$B$13="最小化",01_因子設定!$B$15-U4333,MIN(T4333-01_因子設定!$B$14,01_因子設定!$B$15-U4333))),-1E+030)</f>
        <v>0.6251229544499</v>
      </c>
      <c r="X4333" s="55" t="n">
        <f aca="false">IF(V4333,IF(01_因子設定!$B$13="最大化",Q4333,IF(01_因子設定!$B$13="最小化",-Q4333,-ABS(Q4333-01_因子設定!$B$16))),-1E+030)</f>
        <v>50.2697159090909</v>
      </c>
      <c r="Y4333" s="55" t="n">
        <f aca="false">W4333+ROW()*0.000000001</f>
        <v>0.6251272874499</v>
      </c>
      <c r="Z4333" s="55" t="n">
        <f aca="false">X4333+ROW()*0.000000001</f>
        <v>50.2697202420909</v>
      </c>
    </row>
    <row r="4334" customFormat="false" ht="15" hidden="false" customHeight="false" outlineLevel="0" collapsed="false">
      <c r="A4334" s="0" t="n">
        <v>14</v>
      </c>
      <c r="B4334" s="0" t="n">
        <v>16</v>
      </c>
      <c r="C4334" s="0" t="n">
        <v>11</v>
      </c>
      <c r="D4334" s="0" t="n">
        <f aca="false">-1+A4334*0.125</f>
        <v>0.75</v>
      </c>
      <c r="E4334" s="0" t="n">
        <f aca="false">-1+B4334*0.125</f>
        <v>1</v>
      </c>
      <c r="F4334" s="0" t="n">
        <f aca="false">-1+C4334*0.125</f>
        <v>0.375</v>
      </c>
      <c r="G4334" s="0" t="n">
        <f aca="false">1</f>
        <v>1</v>
      </c>
      <c r="H4334" s="0" t="n">
        <f aca="false">D4334</f>
        <v>0.75</v>
      </c>
      <c r="I4334" s="0" t="n">
        <f aca="false">E4334</f>
        <v>1</v>
      </c>
      <c r="J4334" s="0" t="n">
        <f aca="false">F4334</f>
        <v>0.375</v>
      </c>
      <c r="K4334" s="0" t="n">
        <f aca="false">D4334*E4334</f>
        <v>0.75</v>
      </c>
      <c r="L4334" s="0" t="n">
        <f aca="false">D4334*F4334</f>
        <v>0.28125</v>
      </c>
      <c r="M4334" s="0" t="n">
        <f aca="false">E4334*F4334</f>
        <v>0.375</v>
      </c>
      <c r="N4334" s="0" t="n">
        <f aca="false">D4334*D4334</f>
        <v>0.5625</v>
      </c>
      <c r="O4334" s="0" t="n">
        <f aca="false">E4334*E4334</f>
        <v>1</v>
      </c>
      <c r="P4334" s="0" t="n">
        <f aca="false">F4334*F4334</f>
        <v>0.140625</v>
      </c>
      <c r="Q4334" s="0" t="n">
        <f aca="false">SUMPRODUCT(G4334:P4334,_XtX!$B$71:$K$71)</f>
        <v>50.3924289772727</v>
      </c>
      <c r="R4334" s="0" t="n">
        <f aca="false">SUMPRODUCT(MMULT(G4334:P4334,_XtX!$B$58:$K$67),G4334:P4334)</f>
        <v>0.503992808948864</v>
      </c>
      <c r="S4334" s="0" t="n">
        <f aca="false">04_回帰ANOVA!$K$19*04_回帰ANOVA!$K$14*SQRT(1+R4334)</f>
        <v>1.14022226176226</v>
      </c>
      <c r="T4334" s="0" t="n">
        <f aca="false">Q4334-S4334</f>
        <v>49.2522067155105</v>
      </c>
      <c r="U4334" s="0" t="n">
        <f aca="false">Q4334+S4334</f>
        <v>51.532651239035</v>
      </c>
      <c r="V4334" s="54" t="b">
        <f aca="false">AND(D4334&gt;=01_因子設定!$L$5-0.000000001,D4334&lt;=01_因子設定!$M$5+0.000000001,E4334&gt;=01_因子設定!$L$6-0.000000001,E4334&lt;=01_因子設定!$M$6+0.000000001,F4334&gt;=01_因子設定!$L$7-0.000000001,F4334&lt;=01_因子設定!$M$7+0.000000001,IF(01_因子設定!$B$20="Box-Behnken",D4334^2+E4334^2+F4334^2&lt;=2+0.000000001,TRUE()))</f>
        <v>1</v>
      </c>
      <c r="W4334" s="55" t="n">
        <f aca="false">IF(V4334,IF(01_因子設定!$B$13="最大化",T4334-01_因子設定!$B$14,IF(01_因子設定!$B$13="最小化",01_因子設定!$B$15-U4334,MIN(T4334-01_因子設定!$B$14,01_因子設定!$B$15-U4334))),-1E+030)</f>
        <v>0.752206715510468</v>
      </c>
      <c r="X4334" s="55" t="n">
        <f aca="false">IF(V4334,IF(01_因子設定!$B$13="最大化",Q4334,IF(01_因子設定!$B$13="最小化",-Q4334,-ABS(Q4334-01_因子設定!$B$16))),-1E+030)</f>
        <v>50.3924289772727</v>
      </c>
      <c r="Y4334" s="55" t="n">
        <f aca="false">W4334+ROW()*0.000000001</f>
        <v>0.752211049510468</v>
      </c>
      <c r="Z4334" s="55" t="n">
        <f aca="false">X4334+ROW()*0.000000001</f>
        <v>50.3924333112727</v>
      </c>
    </row>
    <row r="4335" customFormat="false" ht="15" hidden="false" customHeight="false" outlineLevel="0" collapsed="false">
      <c r="A4335" s="0" t="n">
        <v>14</v>
      </c>
      <c r="B4335" s="0" t="n">
        <v>16</v>
      </c>
      <c r="C4335" s="0" t="n">
        <v>12</v>
      </c>
      <c r="D4335" s="0" t="n">
        <f aca="false">-1+A4335*0.125</f>
        <v>0.75</v>
      </c>
      <c r="E4335" s="0" t="n">
        <f aca="false">-1+B4335*0.125</f>
        <v>1</v>
      </c>
      <c r="F4335" s="0" t="n">
        <f aca="false">-1+C4335*0.125</f>
        <v>0.5</v>
      </c>
      <c r="G4335" s="0" t="n">
        <f aca="false">1</f>
        <v>1</v>
      </c>
      <c r="H4335" s="0" t="n">
        <f aca="false">D4335</f>
        <v>0.75</v>
      </c>
      <c r="I4335" s="0" t="n">
        <f aca="false">E4335</f>
        <v>1</v>
      </c>
      <c r="J4335" s="0" t="n">
        <f aca="false">F4335</f>
        <v>0.5</v>
      </c>
      <c r="K4335" s="0" t="n">
        <f aca="false">D4335*E4335</f>
        <v>0.75</v>
      </c>
      <c r="L4335" s="0" t="n">
        <f aca="false">D4335*F4335</f>
        <v>0.375</v>
      </c>
      <c r="M4335" s="0" t="n">
        <f aca="false">E4335*F4335</f>
        <v>0.5</v>
      </c>
      <c r="N4335" s="0" t="n">
        <f aca="false">D4335*D4335</f>
        <v>0.5625</v>
      </c>
      <c r="O4335" s="0" t="n">
        <f aca="false">E4335*E4335</f>
        <v>1</v>
      </c>
      <c r="P4335" s="0" t="n">
        <f aca="false">F4335*F4335</f>
        <v>0.25</v>
      </c>
      <c r="Q4335" s="0" t="n">
        <f aca="false">SUMPRODUCT(G4335:P4335,_XtX!$B$71:$K$71)</f>
        <v>50.4783522727273</v>
      </c>
      <c r="R4335" s="0" t="n">
        <f aca="false">SUMPRODUCT(MMULT(G4335:P4335,_XtX!$B$58:$K$67),G4335:P4335)</f>
        <v>0.495276988636364</v>
      </c>
      <c r="S4335" s="0" t="n">
        <f aca="false">04_回帰ANOVA!$K$19*04_回帰ANOVA!$K$14*SQRT(1+R4335)</f>
        <v>1.13691359828352</v>
      </c>
      <c r="T4335" s="0" t="n">
        <f aca="false">Q4335-S4335</f>
        <v>49.3414386744438</v>
      </c>
      <c r="U4335" s="0" t="n">
        <f aca="false">Q4335+S4335</f>
        <v>51.6152658710108</v>
      </c>
      <c r="V4335" s="54" t="b">
        <f aca="false">AND(D4335&gt;=01_因子設定!$L$5-0.000000001,D4335&lt;=01_因子設定!$M$5+0.000000001,E4335&gt;=01_因子設定!$L$6-0.000000001,E4335&lt;=01_因子設定!$M$6+0.000000001,F4335&gt;=01_因子設定!$L$7-0.000000001,F4335&lt;=01_因子設定!$M$7+0.000000001,IF(01_因子設定!$B$20="Box-Behnken",D4335^2+E4335^2+F4335^2&lt;=2+0.000000001,TRUE()))</f>
        <v>1</v>
      </c>
      <c r="W4335" s="55" t="n">
        <f aca="false">IF(V4335,IF(01_因子設定!$B$13="最大化",T4335-01_因子設定!$B$14,IF(01_因子設定!$B$13="最小化",01_因子設定!$B$15-U4335,MIN(T4335-01_因子設定!$B$14,01_因子設定!$B$15-U4335))),-1E+030)</f>
        <v>0.841438674443758</v>
      </c>
      <c r="X4335" s="55" t="n">
        <f aca="false">IF(V4335,IF(01_因子設定!$B$13="最大化",Q4335,IF(01_因子設定!$B$13="最小化",-Q4335,-ABS(Q4335-01_因子設定!$B$16))),-1E+030)</f>
        <v>50.4783522727273</v>
      </c>
      <c r="Y4335" s="55" t="n">
        <f aca="false">W4335+ROW()*0.000000001</f>
        <v>0.841443009443758</v>
      </c>
      <c r="Z4335" s="55" t="n">
        <f aca="false">X4335+ROW()*0.000000001</f>
        <v>50.4783566077273</v>
      </c>
    </row>
    <row r="4336" customFormat="false" ht="15" hidden="false" customHeight="false" outlineLevel="0" collapsed="false">
      <c r="A4336" s="0" t="n">
        <v>14</v>
      </c>
      <c r="B4336" s="0" t="n">
        <v>16</v>
      </c>
      <c r="C4336" s="0" t="n">
        <v>13</v>
      </c>
      <c r="D4336" s="0" t="n">
        <f aca="false">-1+A4336*0.125</f>
        <v>0.75</v>
      </c>
      <c r="E4336" s="0" t="n">
        <f aca="false">-1+B4336*0.125</f>
        <v>1</v>
      </c>
      <c r="F4336" s="0" t="n">
        <f aca="false">-1+C4336*0.125</f>
        <v>0.625</v>
      </c>
      <c r="G4336" s="0" t="n">
        <f aca="false">1</f>
        <v>1</v>
      </c>
      <c r="H4336" s="0" t="n">
        <f aca="false">D4336</f>
        <v>0.75</v>
      </c>
      <c r="I4336" s="0" t="n">
        <f aca="false">E4336</f>
        <v>1</v>
      </c>
      <c r="J4336" s="0" t="n">
        <f aca="false">F4336</f>
        <v>0.625</v>
      </c>
      <c r="K4336" s="0" t="n">
        <f aca="false">D4336*E4336</f>
        <v>0.75</v>
      </c>
      <c r="L4336" s="0" t="n">
        <f aca="false">D4336*F4336</f>
        <v>0.46875</v>
      </c>
      <c r="M4336" s="0" t="n">
        <f aca="false">E4336*F4336</f>
        <v>0.625</v>
      </c>
      <c r="N4336" s="0" t="n">
        <f aca="false">D4336*D4336</f>
        <v>0.5625</v>
      </c>
      <c r="O4336" s="0" t="n">
        <f aca="false">E4336*E4336</f>
        <v>1</v>
      </c>
      <c r="P4336" s="0" t="n">
        <f aca="false">F4336*F4336</f>
        <v>0.390625</v>
      </c>
      <c r="Q4336" s="0" t="n">
        <f aca="false">SUMPRODUCT(G4336:P4336,_XtX!$B$71:$K$71)</f>
        <v>50.5274857954546</v>
      </c>
      <c r="R4336" s="0" t="n">
        <f aca="false">SUMPRODUCT(MMULT(G4336:P4336,_XtX!$B$58:$K$67),G4336:P4336)</f>
        <v>0.496855024857955</v>
      </c>
      <c r="S4336" s="0" t="n">
        <f aca="false">04_回帰ANOVA!$K$19*04_回帰ANOVA!$K$14*SQRT(1+R4336)</f>
        <v>1.1375133593161</v>
      </c>
      <c r="T4336" s="0" t="n">
        <f aca="false">Q4336-S4336</f>
        <v>49.3899724361385</v>
      </c>
      <c r="U4336" s="0" t="n">
        <f aca="false">Q4336+S4336</f>
        <v>51.6649991547707</v>
      </c>
      <c r="V4336" s="54" t="b">
        <f aca="false">AND(D4336&gt;=01_因子設定!$L$5-0.000000001,D4336&lt;=01_因子設定!$M$5+0.000000001,E4336&gt;=01_因子設定!$L$6-0.000000001,E4336&lt;=01_因子設定!$M$6+0.000000001,F4336&gt;=01_因子設定!$L$7-0.000000001,F4336&lt;=01_因子設定!$M$7+0.000000001,IF(01_因子設定!$B$20="Box-Behnken",D4336^2+E4336^2+F4336^2&lt;=2+0.000000001,TRUE()))</f>
        <v>1</v>
      </c>
      <c r="W4336" s="55" t="n">
        <f aca="false">IF(V4336,IF(01_因子設定!$B$13="最大化",T4336-01_因子設定!$B$14,IF(01_因子設定!$B$13="最小化",01_因子設定!$B$15-U4336,MIN(T4336-01_因子設定!$B$14,01_因子設定!$B$15-U4336))),-1E+030)</f>
        <v>0.88997243613845</v>
      </c>
      <c r="X4336" s="55" t="n">
        <f aca="false">IF(V4336,IF(01_因子設定!$B$13="最大化",Q4336,IF(01_因子設定!$B$13="最小化",-Q4336,-ABS(Q4336-01_因子設定!$B$16))),-1E+030)</f>
        <v>50.5274857954546</v>
      </c>
      <c r="Y4336" s="55" t="n">
        <f aca="false">W4336+ROW()*0.000000001</f>
        <v>0.88997677213845</v>
      </c>
      <c r="Z4336" s="55" t="n">
        <f aca="false">X4336+ROW()*0.000000001</f>
        <v>50.5274901314546</v>
      </c>
    </row>
    <row r="4337" customFormat="false" ht="15" hidden="false" customHeight="false" outlineLevel="0" collapsed="false">
      <c r="A4337" s="0" t="n">
        <v>14</v>
      </c>
      <c r="B4337" s="0" t="n">
        <v>16</v>
      </c>
      <c r="C4337" s="0" t="n">
        <v>14</v>
      </c>
      <c r="D4337" s="0" t="n">
        <f aca="false">-1+A4337*0.125</f>
        <v>0.75</v>
      </c>
      <c r="E4337" s="0" t="n">
        <f aca="false">-1+B4337*0.125</f>
        <v>1</v>
      </c>
      <c r="F4337" s="0" t="n">
        <f aca="false">-1+C4337*0.125</f>
        <v>0.75</v>
      </c>
      <c r="G4337" s="0" t="n">
        <f aca="false">1</f>
        <v>1</v>
      </c>
      <c r="H4337" s="0" t="n">
        <f aca="false">D4337</f>
        <v>0.75</v>
      </c>
      <c r="I4337" s="0" t="n">
        <f aca="false">E4337</f>
        <v>1</v>
      </c>
      <c r="J4337" s="0" t="n">
        <f aca="false">F4337</f>
        <v>0.75</v>
      </c>
      <c r="K4337" s="0" t="n">
        <f aca="false">D4337*E4337</f>
        <v>0.75</v>
      </c>
      <c r="L4337" s="0" t="n">
        <f aca="false">D4337*F4337</f>
        <v>0.5625</v>
      </c>
      <c r="M4337" s="0" t="n">
        <f aca="false">E4337*F4337</f>
        <v>0.75</v>
      </c>
      <c r="N4337" s="0" t="n">
        <f aca="false">D4337*D4337</f>
        <v>0.5625</v>
      </c>
      <c r="O4337" s="0" t="n">
        <f aca="false">E4337*E4337</f>
        <v>1</v>
      </c>
      <c r="P4337" s="0" t="n">
        <f aca="false">F4337*F4337</f>
        <v>0.5625</v>
      </c>
      <c r="Q4337" s="0" t="n">
        <f aca="false">SUMPRODUCT(G4337:P4337,_XtX!$B$71:$K$71)</f>
        <v>50.5398295454546</v>
      </c>
      <c r="R4337" s="0" t="n">
        <f aca="false">SUMPRODUCT(MMULT(G4337:P4337,_XtX!$B$58:$K$67),G4337:P4337)</f>
        <v>0.518314985795455</v>
      </c>
      <c r="S4337" s="0" t="n">
        <f aca="false">04_回帰ANOVA!$K$19*04_回帰ANOVA!$K$14*SQRT(1+R4337)</f>
        <v>1.14563843495971</v>
      </c>
      <c r="T4337" s="0" t="n">
        <f aca="false">Q4337-S4337</f>
        <v>49.3941911104949</v>
      </c>
      <c r="U4337" s="0" t="n">
        <f aca="false">Q4337+S4337</f>
        <v>51.6854679804143</v>
      </c>
      <c r="V4337" s="54" t="b">
        <f aca="false">AND(D4337&gt;=01_因子設定!$L$5-0.000000001,D4337&lt;=01_因子設定!$M$5+0.000000001,E4337&gt;=01_因子設定!$L$6-0.000000001,E4337&lt;=01_因子設定!$M$6+0.000000001,F4337&gt;=01_因子設定!$L$7-0.000000001,F4337&lt;=01_因子設定!$M$7+0.000000001,IF(01_因子設定!$B$20="Box-Behnken",D4337^2+E4337^2+F4337^2&lt;=2+0.000000001,TRUE()))</f>
        <v>1</v>
      </c>
      <c r="W4337" s="55" t="n">
        <f aca="false">IF(V4337,IF(01_因子設定!$B$13="最大化",T4337-01_因子設定!$B$14,IF(01_因子設定!$B$13="最小化",01_因子設定!$B$15-U4337,MIN(T4337-01_因子設定!$B$14,01_因子設定!$B$15-U4337))),-1E+030)</f>
        <v>0.894191110494852</v>
      </c>
      <c r="X4337" s="55" t="n">
        <f aca="false">IF(V4337,IF(01_因子設定!$B$13="最大化",Q4337,IF(01_因子設定!$B$13="最小化",-Q4337,-ABS(Q4337-01_因子設定!$B$16))),-1E+030)</f>
        <v>50.5398295454546</v>
      </c>
      <c r="Y4337" s="55" t="n">
        <f aca="false">W4337+ROW()*0.000000001</f>
        <v>0.894195447494852</v>
      </c>
      <c r="Z4337" s="55" t="n">
        <f aca="false">X4337+ROW()*0.000000001</f>
        <v>50.5398338824546</v>
      </c>
    </row>
    <row r="4338" customFormat="false" ht="15" hidden="false" customHeight="false" outlineLevel="0" collapsed="false">
      <c r="A4338" s="0" t="n">
        <v>14</v>
      </c>
      <c r="B4338" s="0" t="n">
        <v>16</v>
      </c>
      <c r="C4338" s="0" t="n">
        <v>15</v>
      </c>
      <c r="D4338" s="0" t="n">
        <f aca="false">-1+A4338*0.125</f>
        <v>0.75</v>
      </c>
      <c r="E4338" s="0" t="n">
        <f aca="false">-1+B4338*0.125</f>
        <v>1</v>
      </c>
      <c r="F4338" s="0" t="n">
        <f aca="false">-1+C4338*0.125</f>
        <v>0.875</v>
      </c>
      <c r="G4338" s="0" t="n">
        <f aca="false">1</f>
        <v>1</v>
      </c>
      <c r="H4338" s="0" t="n">
        <f aca="false">D4338</f>
        <v>0.75</v>
      </c>
      <c r="I4338" s="0" t="n">
        <f aca="false">E4338</f>
        <v>1</v>
      </c>
      <c r="J4338" s="0" t="n">
        <f aca="false">F4338</f>
        <v>0.875</v>
      </c>
      <c r="K4338" s="0" t="n">
        <f aca="false">D4338*E4338</f>
        <v>0.75</v>
      </c>
      <c r="L4338" s="0" t="n">
        <f aca="false">D4338*F4338</f>
        <v>0.65625</v>
      </c>
      <c r="M4338" s="0" t="n">
        <f aca="false">E4338*F4338</f>
        <v>0.875</v>
      </c>
      <c r="N4338" s="0" t="n">
        <f aca="false">D4338*D4338</f>
        <v>0.5625</v>
      </c>
      <c r="O4338" s="0" t="n">
        <f aca="false">E4338*E4338</f>
        <v>1</v>
      </c>
      <c r="P4338" s="0" t="n">
        <f aca="false">F4338*F4338</f>
        <v>0.765625</v>
      </c>
      <c r="Q4338" s="0" t="n">
        <f aca="false">SUMPRODUCT(G4338:P4338,_XtX!$B$71:$K$71)</f>
        <v>50.5153835227273</v>
      </c>
      <c r="R4338" s="0" t="n">
        <f aca="false">SUMPRODUCT(MMULT(G4338:P4338,_XtX!$B$58:$K$67),G4338:P4338)</f>
        <v>0.571375621448864</v>
      </c>
      <c r="S4338" s="0" t="n">
        <f aca="false">04_回帰ANOVA!$K$19*04_回帰ANOVA!$K$14*SQRT(1+R4338)</f>
        <v>1.16548487437682</v>
      </c>
      <c r="T4338" s="0" t="n">
        <f aca="false">Q4338-S4338</f>
        <v>49.3498986483505</v>
      </c>
      <c r="U4338" s="0" t="n">
        <f aca="false">Q4338+S4338</f>
        <v>51.6808683971041</v>
      </c>
      <c r="V4338" s="54" t="b">
        <f aca="false">AND(D4338&gt;=01_因子設定!$L$5-0.000000001,D4338&lt;=01_因子設定!$M$5+0.000000001,E4338&gt;=01_因子設定!$L$6-0.000000001,E4338&lt;=01_因子設定!$M$6+0.000000001,F4338&gt;=01_因子設定!$L$7-0.000000001,F4338&lt;=01_因子設定!$M$7+0.000000001,IF(01_因子設定!$B$20="Box-Behnken",D4338^2+E4338^2+F4338^2&lt;=2+0.000000001,TRUE()))</f>
        <v>1</v>
      </c>
      <c r="W4338" s="55" t="n">
        <f aca="false">IF(V4338,IF(01_因子設定!$B$13="最大化",T4338-01_因子設定!$B$14,IF(01_因子設定!$B$13="最小化",01_因子設定!$B$15-U4338,MIN(T4338-01_因子設定!$B$14,01_因子設定!$B$15-U4338))),-1E+030)</f>
        <v>0.849898648350475</v>
      </c>
      <c r="X4338" s="55" t="n">
        <f aca="false">IF(V4338,IF(01_因子設定!$B$13="最大化",Q4338,IF(01_因子設定!$B$13="最小化",-Q4338,-ABS(Q4338-01_因子設定!$B$16))),-1E+030)</f>
        <v>50.5153835227273</v>
      </c>
      <c r="Y4338" s="55" t="n">
        <f aca="false">W4338+ROW()*0.000000001</f>
        <v>0.849902986350475</v>
      </c>
      <c r="Z4338" s="55" t="n">
        <f aca="false">X4338+ROW()*0.000000001</f>
        <v>50.5153878607273</v>
      </c>
    </row>
    <row r="4339" customFormat="false" ht="15" hidden="false" customHeight="false" outlineLevel="0" collapsed="false">
      <c r="A4339" s="0" t="n">
        <v>14</v>
      </c>
      <c r="B4339" s="0" t="n">
        <v>16</v>
      </c>
      <c r="C4339" s="0" t="n">
        <v>16</v>
      </c>
      <c r="D4339" s="0" t="n">
        <f aca="false">-1+A4339*0.125</f>
        <v>0.75</v>
      </c>
      <c r="E4339" s="0" t="n">
        <f aca="false">-1+B4339*0.125</f>
        <v>1</v>
      </c>
      <c r="F4339" s="0" t="n">
        <f aca="false">-1+C4339*0.125</f>
        <v>1</v>
      </c>
      <c r="G4339" s="0" t="n">
        <f aca="false">1</f>
        <v>1</v>
      </c>
      <c r="H4339" s="0" t="n">
        <f aca="false">D4339</f>
        <v>0.75</v>
      </c>
      <c r="I4339" s="0" t="n">
        <f aca="false">E4339</f>
        <v>1</v>
      </c>
      <c r="J4339" s="0" t="n">
        <f aca="false">F4339</f>
        <v>1</v>
      </c>
      <c r="K4339" s="0" t="n">
        <f aca="false">D4339*E4339</f>
        <v>0.75</v>
      </c>
      <c r="L4339" s="0" t="n">
        <f aca="false">D4339*F4339</f>
        <v>0.75</v>
      </c>
      <c r="M4339" s="0" t="n">
        <f aca="false">E4339*F4339</f>
        <v>1</v>
      </c>
      <c r="N4339" s="0" t="n">
        <f aca="false">D4339*D4339</f>
        <v>0.5625</v>
      </c>
      <c r="O4339" s="0" t="n">
        <f aca="false">E4339*E4339</f>
        <v>1</v>
      </c>
      <c r="P4339" s="0" t="n">
        <f aca="false">F4339*F4339</f>
        <v>1</v>
      </c>
      <c r="Q4339" s="0" t="n">
        <f aca="false">SUMPRODUCT(G4339:P4339,_XtX!$B$71:$K$71)</f>
        <v>50.4541477272728</v>
      </c>
      <c r="R4339" s="0" t="n">
        <f aca="false">SUMPRODUCT(MMULT(G4339:P4339,_XtX!$B$58:$K$67),G4339:P4339)</f>
        <v>0.669886363636364</v>
      </c>
      <c r="S4339" s="0" t="n">
        <f aca="false">04_回帰ANOVA!$K$19*04_回帰ANOVA!$K$14*SQRT(1+R4339)</f>
        <v>1.20146215423986</v>
      </c>
      <c r="T4339" s="0" t="n">
        <f aca="false">Q4339-S4339</f>
        <v>49.2526855730329</v>
      </c>
      <c r="U4339" s="0" t="n">
        <f aca="false">Q4339+S4339</f>
        <v>51.6556098815126</v>
      </c>
      <c r="V4339" s="54" t="b">
        <f aca="false">AND(D4339&gt;=01_因子設定!$L$5-0.000000001,D4339&lt;=01_因子設定!$M$5+0.000000001,E4339&gt;=01_因子設定!$L$6-0.000000001,E4339&lt;=01_因子設定!$M$6+0.000000001,F4339&gt;=01_因子設定!$L$7-0.000000001,F4339&lt;=01_因子設定!$M$7+0.000000001,IF(01_因子設定!$B$20="Box-Behnken",D4339^2+E4339^2+F4339^2&lt;=2+0.000000001,TRUE()))</f>
        <v>1</v>
      </c>
      <c r="W4339" s="55" t="n">
        <f aca="false">IF(V4339,IF(01_因子設定!$B$13="最大化",T4339-01_因子設定!$B$14,IF(01_因子設定!$B$13="最小化",01_因子設定!$B$15-U4339,MIN(T4339-01_因子設定!$B$14,01_因子設定!$B$15-U4339))),-1E+030)</f>
        <v>0.752685573032885</v>
      </c>
      <c r="X4339" s="55" t="n">
        <f aca="false">IF(V4339,IF(01_因子設定!$B$13="最大化",Q4339,IF(01_因子設定!$B$13="最小化",-Q4339,-ABS(Q4339-01_因子設定!$B$16))),-1E+030)</f>
        <v>50.4541477272728</v>
      </c>
      <c r="Y4339" s="55" t="n">
        <f aca="false">W4339+ROW()*0.000000001</f>
        <v>0.752689912032885</v>
      </c>
      <c r="Z4339" s="55" t="n">
        <f aca="false">X4339+ROW()*0.000000001</f>
        <v>50.4541520662728</v>
      </c>
    </row>
    <row r="4340" customFormat="false" ht="15" hidden="false" customHeight="false" outlineLevel="0" collapsed="false">
      <c r="A4340" s="0" t="n">
        <v>15</v>
      </c>
      <c r="B4340" s="0" t="n">
        <v>0</v>
      </c>
      <c r="C4340" s="0" t="n">
        <v>0</v>
      </c>
      <c r="D4340" s="0" t="n">
        <f aca="false">-1+A4340*0.125</f>
        <v>0.875</v>
      </c>
      <c r="E4340" s="0" t="n">
        <f aca="false">-1+B4340*0.125</f>
        <v>-1</v>
      </c>
      <c r="F4340" s="0" t="n">
        <f aca="false">-1+C4340*0.125</f>
        <v>-1</v>
      </c>
      <c r="G4340" s="0" t="n">
        <f aca="false">1</f>
        <v>1</v>
      </c>
      <c r="H4340" s="0" t="n">
        <f aca="false">D4340</f>
        <v>0.875</v>
      </c>
      <c r="I4340" s="0" t="n">
        <f aca="false">E4340</f>
        <v>-1</v>
      </c>
      <c r="J4340" s="0" t="n">
        <f aca="false">F4340</f>
        <v>-1</v>
      </c>
      <c r="K4340" s="0" t="n">
        <f aca="false">D4340*E4340</f>
        <v>-0.875</v>
      </c>
      <c r="L4340" s="0" t="n">
        <f aca="false">D4340*F4340</f>
        <v>-0.875</v>
      </c>
      <c r="M4340" s="0" t="n">
        <f aca="false">E4340*F4340</f>
        <v>1</v>
      </c>
      <c r="N4340" s="0" t="n">
        <f aca="false">D4340*D4340</f>
        <v>0.765625</v>
      </c>
      <c r="O4340" s="0" t="n">
        <f aca="false">E4340*E4340</f>
        <v>1</v>
      </c>
      <c r="P4340" s="0" t="n">
        <f aca="false">F4340*F4340</f>
        <v>1</v>
      </c>
      <c r="Q4340" s="0" t="n">
        <f aca="false">SUMPRODUCT(G4340:P4340,_XtX!$B$71:$K$71)</f>
        <v>41.6315767045455</v>
      </c>
      <c r="R4340" s="0" t="n">
        <f aca="false">SUMPRODUCT(MMULT(G4340:P4340,_XtX!$B$58:$K$67),G4340:P4340)</f>
        <v>0.709818892045455</v>
      </c>
      <c r="S4340" s="0" t="n">
        <f aca="false">04_回帰ANOVA!$K$19*04_回帰ANOVA!$K$14*SQRT(1+R4340)</f>
        <v>1.21574275944458</v>
      </c>
      <c r="T4340" s="0" t="n">
        <f aca="false">Q4340-S4340</f>
        <v>40.4158339451009</v>
      </c>
      <c r="U4340" s="0" t="n">
        <f aca="false">Q4340+S4340</f>
        <v>42.8473194639901</v>
      </c>
      <c r="V4340" s="54" t="b">
        <f aca="false">AND(D4340&gt;=01_因子設定!$L$5-0.000000001,D4340&lt;=01_因子設定!$M$5+0.000000001,E4340&gt;=01_因子設定!$L$6-0.000000001,E4340&lt;=01_因子設定!$M$6+0.000000001,F4340&gt;=01_因子設定!$L$7-0.000000001,F4340&lt;=01_因子設定!$M$7+0.000000001,IF(01_因子設定!$B$20="Box-Behnken",D4340^2+E4340^2+F4340^2&lt;=2+0.000000001,TRUE()))</f>
        <v>1</v>
      </c>
      <c r="W4340" s="55" t="n">
        <f aca="false">IF(V4340,IF(01_因子設定!$B$13="最大化",T4340-01_因子設定!$B$14,IF(01_因子設定!$B$13="最小化",01_因子設定!$B$15-U4340,MIN(T4340-01_因子設定!$B$14,01_因子設定!$B$15-U4340))),-1E+030)</f>
        <v>-8.08416605489911</v>
      </c>
      <c r="X4340" s="55" t="n">
        <f aca="false">IF(V4340,IF(01_因子設定!$B$13="最大化",Q4340,IF(01_因子設定!$B$13="最小化",-Q4340,-ABS(Q4340-01_因子設定!$B$16))),-1E+030)</f>
        <v>41.6315767045455</v>
      </c>
      <c r="Y4340" s="55" t="n">
        <f aca="false">W4340+ROW()*0.000000001</f>
        <v>-8.08416171489911</v>
      </c>
      <c r="Z4340" s="55" t="n">
        <f aca="false">X4340+ROW()*0.000000001</f>
        <v>41.6315810445455</v>
      </c>
    </row>
    <row r="4341" customFormat="false" ht="15" hidden="false" customHeight="false" outlineLevel="0" collapsed="false">
      <c r="A4341" s="0" t="n">
        <v>15</v>
      </c>
      <c r="B4341" s="0" t="n">
        <v>0</v>
      </c>
      <c r="C4341" s="0" t="n">
        <v>1</v>
      </c>
      <c r="D4341" s="0" t="n">
        <f aca="false">-1+A4341*0.125</f>
        <v>0.875</v>
      </c>
      <c r="E4341" s="0" t="n">
        <f aca="false">-1+B4341*0.125</f>
        <v>-1</v>
      </c>
      <c r="F4341" s="0" t="n">
        <f aca="false">-1+C4341*0.125</f>
        <v>-0.875</v>
      </c>
      <c r="G4341" s="0" t="n">
        <f aca="false">1</f>
        <v>1</v>
      </c>
      <c r="H4341" s="0" t="n">
        <f aca="false">D4341</f>
        <v>0.875</v>
      </c>
      <c r="I4341" s="0" t="n">
        <f aca="false">E4341</f>
        <v>-1</v>
      </c>
      <c r="J4341" s="0" t="n">
        <f aca="false">F4341</f>
        <v>-0.875</v>
      </c>
      <c r="K4341" s="0" t="n">
        <f aca="false">D4341*E4341</f>
        <v>-0.875</v>
      </c>
      <c r="L4341" s="0" t="n">
        <f aca="false">D4341*F4341</f>
        <v>-0.765625</v>
      </c>
      <c r="M4341" s="0" t="n">
        <f aca="false">E4341*F4341</f>
        <v>0.875</v>
      </c>
      <c r="N4341" s="0" t="n">
        <f aca="false">D4341*D4341</f>
        <v>0.765625</v>
      </c>
      <c r="O4341" s="0" t="n">
        <f aca="false">E4341*E4341</f>
        <v>1</v>
      </c>
      <c r="P4341" s="0" t="n">
        <f aca="false">F4341*F4341</f>
        <v>0.765625</v>
      </c>
      <c r="Q4341" s="0" t="n">
        <f aca="false">SUMPRODUCT(G4341:P4341,_XtX!$B$71:$K$71)</f>
        <v>42.00734375</v>
      </c>
      <c r="R4341" s="0" t="n">
        <f aca="false">SUMPRODUCT(MMULT(G4341:P4341,_XtX!$B$58:$K$67),G4341:P4341)</f>
        <v>0.618341064453125</v>
      </c>
      <c r="S4341" s="0" t="n">
        <f aca="false">04_回帰ANOVA!$K$19*04_回帰ANOVA!$K$14*SQRT(1+R4341)</f>
        <v>1.18277371124466</v>
      </c>
      <c r="T4341" s="0" t="n">
        <f aca="false">Q4341-S4341</f>
        <v>40.8245700387554</v>
      </c>
      <c r="U4341" s="0" t="n">
        <f aca="false">Q4341+S4341</f>
        <v>43.1901174612447</v>
      </c>
      <c r="V4341" s="54" t="b">
        <f aca="false">AND(D4341&gt;=01_因子設定!$L$5-0.000000001,D4341&lt;=01_因子設定!$M$5+0.000000001,E4341&gt;=01_因子設定!$L$6-0.000000001,E4341&lt;=01_因子設定!$M$6+0.000000001,F4341&gt;=01_因子設定!$L$7-0.000000001,F4341&lt;=01_因子設定!$M$7+0.000000001,IF(01_因子設定!$B$20="Box-Behnken",D4341^2+E4341^2+F4341^2&lt;=2+0.000000001,TRUE()))</f>
        <v>1</v>
      </c>
      <c r="W4341" s="55" t="n">
        <f aca="false">IF(V4341,IF(01_因子設定!$B$13="最大化",T4341-01_因子設定!$B$14,IF(01_因子設定!$B$13="最小化",01_因子設定!$B$15-U4341,MIN(T4341-01_因子設定!$B$14,01_因子設定!$B$15-U4341))),-1E+030)</f>
        <v>-7.67542996124465</v>
      </c>
      <c r="X4341" s="55" t="n">
        <f aca="false">IF(V4341,IF(01_因子設定!$B$13="最大化",Q4341,IF(01_因子設定!$B$13="最小化",-Q4341,-ABS(Q4341-01_因子設定!$B$16))),-1E+030)</f>
        <v>42.00734375</v>
      </c>
      <c r="Y4341" s="55" t="n">
        <f aca="false">W4341+ROW()*0.000000001</f>
        <v>-7.67542562024465</v>
      </c>
      <c r="Z4341" s="55" t="n">
        <f aca="false">X4341+ROW()*0.000000001</f>
        <v>42.007348091</v>
      </c>
    </row>
    <row r="4342" customFormat="false" ht="15" hidden="false" customHeight="false" outlineLevel="0" collapsed="false">
      <c r="A4342" s="0" t="n">
        <v>15</v>
      </c>
      <c r="B4342" s="0" t="n">
        <v>0</v>
      </c>
      <c r="C4342" s="0" t="n">
        <v>2</v>
      </c>
      <c r="D4342" s="0" t="n">
        <f aca="false">-1+A4342*0.125</f>
        <v>0.875</v>
      </c>
      <c r="E4342" s="0" t="n">
        <f aca="false">-1+B4342*0.125</f>
        <v>-1</v>
      </c>
      <c r="F4342" s="0" t="n">
        <f aca="false">-1+C4342*0.125</f>
        <v>-0.75</v>
      </c>
      <c r="G4342" s="0" t="n">
        <f aca="false">1</f>
        <v>1</v>
      </c>
      <c r="H4342" s="0" t="n">
        <f aca="false">D4342</f>
        <v>0.875</v>
      </c>
      <c r="I4342" s="0" t="n">
        <f aca="false">E4342</f>
        <v>-1</v>
      </c>
      <c r="J4342" s="0" t="n">
        <f aca="false">F4342</f>
        <v>-0.75</v>
      </c>
      <c r="K4342" s="0" t="n">
        <f aca="false">D4342*E4342</f>
        <v>-0.875</v>
      </c>
      <c r="L4342" s="0" t="n">
        <f aca="false">D4342*F4342</f>
        <v>-0.65625</v>
      </c>
      <c r="M4342" s="0" t="n">
        <f aca="false">E4342*F4342</f>
        <v>0.75</v>
      </c>
      <c r="N4342" s="0" t="n">
        <f aca="false">D4342*D4342</f>
        <v>0.765625</v>
      </c>
      <c r="O4342" s="0" t="n">
        <f aca="false">E4342*E4342</f>
        <v>1</v>
      </c>
      <c r="P4342" s="0" t="n">
        <f aca="false">F4342*F4342</f>
        <v>0.5625</v>
      </c>
      <c r="Q4342" s="0" t="n">
        <f aca="false">SUMPRODUCT(G4342:P4342,_XtX!$B$71:$K$71)</f>
        <v>42.3463210227273</v>
      </c>
      <c r="R4342" s="0" t="n">
        <f aca="false">SUMPRODUCT(MMULT(G4342:P4342,_XtX!$B$58:$K$67),G4342:P4342)</f>
        <v>0.571375621448864</v>
      </c>
      <c r="S4342" s="0" t="n">
        <f aca="false">04_回帰ANOVA!$K$19*04_回帰ANOVA!$K$14*SQRT(1+R4342)</f>
        <v>1.16548487437682</v>
      </c>
      <c r="T4342" s="0" t="n">
        <f aca="false">Q4342-S4342</f>
        <v>41.1808361483505</v>
      </c>
      <c r="U4342" s="0" t="n">
        <f aca="false">Q4342+S4342</f>
        <v>43.5118058971041</v>
      </c>
      <c r="V4342" s="54" t="b">
        <f aca="false">AND(D4342&gt;=01_因子設定!$L$5-0.000000001,D4342&lt;=01_因子設定!$M$5+0.000000001,E4342&gt;=01_因子設定!$L$6-0.000000001,E4342&lt;=01_因子設定!$M$6+0.000000001,F4342&gt;=01_因子設定!$L$7-0.000000001,F4342&lt;=01_因子設定!$M$7+0.000000001,IF(01_因子設定!$B$20="Box-Behnken",D4342^2+E4342^2+F4342^2&lt;=2+0.000000001,TRUE()))</f>
        <v>1</v>
      </c>
      <c r="W4342" s="55" t="n">
        <f aca="false">IF(V4342,IF(01_因子設定!$B$13="最大化",T4342-01_因子設定!$B$14,IF(01_因子設定!$B$13="最小化",01_因子設定!$B$15-U4342,MIN(T4342-01_因子設定!$B$14,01_因子設定!$B$15-U4342))),-1E+030)</f>
        <v>-7.31916385164953</v>
      </c>
      <c r="X4342" s="55" t="n">
        <f aca="false">IF(V4342,IF(01_因子設定!$B$13="最大化",Q4342,IF(01_因子設定!$B$13="最小化",-Q4342,-ABS(Q4342-01_因子設定!$B$16))),-1E+030)</f>
        <v>42.3463210227273</v>
      </c>
      <c r="Y4342" s="55" t="n">
        <f aca="false">W4342+ROW()*0.000000001</f>
        <v>-7.31915950964953</v>
      </c>
      <c r="Z4342" s="55" t="n">
        <f aca="false">X4342+ROW()*0.000000001</f>
        <v>42.3463253647273</v>
      </c>
    </row>
    <row r="4343" customFormat="false" ht="15" hidden="false" customHeight="false" outlineLevel="0" collapsed="false">
      <c r="A4343" s="0" t="n">
        <v>15</v>
      </c>
      <c r="B4343" s="0" t="n">
        <v>0</v>
      </c>
      <c r="C4343" s="0" t="n">
        <v>3</v>
      </c>
      <c r="D4343" s="0" t="n">
        <f aca="false">-1+A4343*0.125</f>
        <v>0.875</v>
      </c>
      <c r="E4343" s="0" t="n">
        <f aca="false">-1+B4343*0.125</f>
        <v>-1</v>
      </c>
      <c r="F4343" s="0" t="n">
        <f aca="false">-1+C4343*0.125</f>
        <v>-0.625</v>
      </c>
      <c r="G4343" s="0" t="n">
        <f aca="false">1</f>
        <v>1</v>
      </c>
      <c r="H4343" s="0" t="n">
        <f aca="false">D4343</f>
        <v>0.875</v>
      </c>
      <c r="I4343" s="0" t="n">
        <f aca="false">E4343</f>
        <v>-1</v>
      </c>
      <c r="J4343" s="0" t="n">
        <f aca="false">F4343</f>
        <v>-0.625</v>
      </c>
      <c r="K4343" s="0" t="n">
        <f aca="false">D4343*E4343</f>
        <v>-0.875</v>
      </c>
      <c r="L4343" s="0" t="n">
        <f aca="false">D4343*F4343</f>
        <v>-0.546875</v>
      </c>
      <c r="M4343" s="0" t="n">
        <f aca="false">E4343*F4343</f>
        <v>0.625</v>
      </c>
      <c r="N4343" s="0" t="n">
        <f aca="false">D4343*D4343</f>
        <v>0.765625</v>
      </c>
      <c r="O4343" s="0" t="n">
        <f aca="false">E4343*E4343</f>
        <v>1</v>
      </c>
      <c r="P4343" s="0" t="n">
        <f aca="false">F4343*F4343</f>
        <v>0.390625</v>
      </c>
      <c r="Q4343" s="0" t="n">
        <f aca="false">SUMPRODUCT(G4343:P4343,_XtX!$B$71:$K$71)</f>
        <v>42.6485085227273</v>
      </c>
      <c r="R4343" s="0" t="n">
        <f aca="false">SUMPRODUCT(MMULT(G4343:P4343,_XtX!$B$58:$K$67),G4343:P4343)</f>
        <v>0.555073131214489</v>
      </c>
      <c r="S4343" s="0" t="n">
        <f aca="false">04_回帰ANOVA!$K$19*04_回帰ANOVA!$K$14*SQRT(1+R4343)</f>
        <v>1.15942335628341</v>
      </c>
      <c r="T4343" s="0" t="n">
        <f aca="false">Q4343-S4343</f>
        <v>41.4890851664439</v>
      </c>
      <c r="U4343" s="0" t="n">
        <f aca="false">Q4343+S4343</f>
        <v>43.8079318790107</v>
      </c>
      <c r="V4343" s="54" t="b">
        <f aca="false">AND(D4343&gt;=01_因子設定!$L$5-0.000000001,D4343&lt;=01_因子設定!$M$5+0.000000001,E4343&gt;=01_因子設定!$L$6-0.000000001,E4343&lt;=01_因子設定!$M$6+0.000000001,F4343&gt;=01_因子設定!$L$7-0.000000001,F4343&lt;=01_因子設定!$M$7+0.000000001,IF(01_因子設定!$B$20="Box-Behnken",D4343^2+E4343^2+F4343^2&lt;=2+0.000000001,TRUE()))</f>
        <v>1</v>
      </c>
      <c r="W4343" s="55" t="n">
        <f aca="false">IF(V4343,IF(01_因子設定!$B$13="最大化",T4343-01_因子設定!$B$14,IF(01_因子設定!$B$13="最小化",01_因子設定!$B$15-U4343,MIN(T4343-01_因子設定!$B$14,01_因子設定!$B$15-U4343))),-1E+030)</f>
        <v>-7.01091483355613</v>
      </c>
      <c r="X4343" s="55" t="n">
        <f aca="false">IF(V4343,IF(01_因子設定!$B$13="最大化",Q4343,IF(01_因子設定!$B$13="最小化",-Q4343,-ABS(Q4343-01_因子設定!$B$16))),-1E+030)</f>
        <v>42.6485085227273</v>
      </c>
      <c r="Y4343" s="55" t="n">
        <f aca="false">W4343+ROW()*0.000000001</f>
        <v>-7.01091049055613</v>
      </c>
      <c r="Z4343" s="55" t="n">
        <f aca="false">X4343+ROW()*0.000000001</f>
        <v>42.6485128657273</v>
      </c>
    </row>
    <row r="4344" customFormat="false" ht="15" hidden="false" customHeight="false" outlineLevel="0" collapsed="false">
      <c r="A4344" s="0" t="n">
        <v>15</v>
      </c>
      <c r="B4344" s="0" t="n">
        <v>0</v>
      </c>
      <c r="C4344" s="0" t="n">
        <v>4</v>
      </c>
      <c r="D4344" s="0" t="n">
        <f aca="false">-1+A4344*0.125</f>
        <v>0.875</v>
      </c>
      <c r="E4344" s="0" t="n">
        <f aca="false">-1+B4344*0.125</f>
        <v>-1</v>
      </c>
      <c r="F4344" s="0" t="n">
        <f aca="false">-1+C4344*0.125</f>
        <v>-0.5</v>
      </c>
      <c r="G4344" s="0" t="n">
        <f aca="false">1</f>
        <v>1</v>
      </c>
      <c r="H4344" s="0" t="n">
        <f aca="false">D4344</f>
        <v>0.875</v>
      </c>
      <c r="I4344" s="0" t="n">
        <f aca="false">E4344</f>
        <v>-1</v>
      </c>
      <c r="J4344" s="0" t="n">
        <f aca="false">F4344</f>
        <v>-0.5</v>
      </c>
      <c r="K4344" s="0" t="n">
        <f aca="false">D4344*E4344</f>
        <v>-0.875</v>
      </c>
      <c r="L4344" s="0" t="n">
        <f aca="false">D4344*F4344</f>
        <v>-0.4375</v>
      </c>
      <c r="M4344" s="0" t="n">
        <f aca="false">E4344*F4344</f>
        <v>0.5</v>
      </c>
      <c r="N4344" s="0" t="n">
        <f aca="false">D4344*D4344</f>
        <v>0.765625</v>
      </c>
      <c r="O4344" s="0" t="n">
        <f aca="false">E4344*E4344</f>
        <v>1</v>
      </c>
      <c r="P4344" s="0" t="n">
        <f aca="false">F4344*F4344</f>
        <v>0.25</v>
      </c>
      <c r="Q4344" s="0" t="n">
        <f aca="false">SUMPRODUCT(G4344:P4344,_XtX!$B$71:$K$71)</f>
        <v>42.91390625</v>
      </c>
      <c r="R4344" s="0" t="n">
        <f aca="false">SUMPRODUCT(MMULT(G4344:P4344,_XtX!$B$58:$K$67),G4344:P4344)</f>
        <v>0.55771484375</v>
      </c>
      <c r="S4344" s="0" t="n">
        <f aca="false">04_回帰ANOVA!$K$19*04_回帰ANOVA!$K$14*SQRT(1+R4344)</f>
        <v>1.16040773556467</v>
      </c>
      <c r="T4344" s="0" t="n">
        <f aca="false">Q4344-S4344</f>
        <v>41.7534985144353</v>
      </c>
      <c r="U4344" s="0" t="n">
        <f aca="false">Q4344+S4344</f>
        <v>44.0743139855647</v>
      </c>
      <c r="V4344" s="54" t="b">
        <f aca="false">AND(D4344&gt;=01_因子設定!$L$5-0.000000001,D4344&lt;=01_因子設定!$M$5+0.000000001,E4344&gt;=01_因子設定!$L$6-0.000000001,E4344&lt;=01_因子設定!$M$6+0.000000001,F4344&gt;=01_因子設定!$L$7-0.000000001,F4344&lt;=01_因子設定!$M$7+0.000000001,IF(01_因子設定!$B$20="Box-Behnken",D4344^2+E4344^2+F4344^2&lt;=2+0.000000001,TRUE()))</f>
        <v>1</v>
      </c>
      <c r="W4344" s="55" t="n">
        <f aca="false">IF(V4344,IF(01_因子設定!$B$13="最大化",T4344-01_因子設定!$B$14,IF(01_因子設定!$B$13="最小化",01_因子設定!$B$15-U4344,MIN(T4344-01_因子設定!$B$14,01_因子設定!$B$15-U4344))),-1E+030)</f>
        <v>-6.74650148556467</v>
      </c>
      <c r="X4344" s="55" t="n">
        <f aca="false">IF(V4344,IF(01_因子設定!$B$13="最大化",Q4344,IF(01_因子設定!$B$13="最小化",-Q4344,-ABS(Q4344-01_因子設定!$B$16))),-1E+030)</f>
        <v>42.91390625</v>
      </c>
      <c r="Y4344" s="55" t="n">
        <f aca="false">W4344+ROW()*0.000000001</f>
        <v>-6.74649714156467</v>
      </c>
      <c r="Z4344" s="55" t="n">
        <f aca="false">X4344+ROW()*0.000000001</f>
        <v>42.913910594</v>
      </c>
    </row>
    <row r="4345" customFormat="false" ht="15" hidden="false" customHeight="false" outlineLevel="0" collapsed="false">
      <c r="A4345" s="0" t="n">
        <v>15</v>
      </c>
      <c r="B4345" s="0" t="n">
        <v>0</v>
      </c>
      <c r="C4345" s="0" t="n">
        <v>5</v>
      </c>
      <c r="D4345" s="0" t="n">
        <f aca="false">-1+A4345*0.125</f>
        <v>0.875</v>
      </c>
      <c r="E4345" s="0" t="n">
        <f aca="false">-1+B4345*0.125</f>
        <v>-1</v>
      </c>
      <c r="F4345" s="0" t="n">
        <f aca="false">-1+C4345*0.125</f>
        <v>-0.375</v>
      </c>
      <c r="G4345" s="0" t="n">
        <f aca="false">1</f>
        <v>1</v>
      </c>
      <c r="H4345" s="0" t="n">
        <f aca="false">D4345</f>
        <v>0.875</v>
      </c>
      <c r="I4345" s="0" t="n">
        <f aca="false">E4345</f>
        <v>-1</v>
      </c>
      <c r="J4345" s="0" t="n">
        <f aca="false">F4345</f>
        <v>-0.375</v>
      </c>
      <c r="K4345" s="0" t="n">
        <f aca="false">D4345*E4345</f>
        <v>-0.875</v>
      </c>
      <c r="L4345" s="0" t="n">
        <f aca="false">D4345*F4345</f>
        <v>-0.328125</v>
      </c>
      <c r="M4345" s="0" t="n">
        <f aca="false">E4345*F4345</f>
        <v>0.375</v>
      </c>
      <c r="N4345" s="0" t="n">
        <f aca="false">D4345*D4345</f>
        <v>0.765625</v>
      </c>
      <c r="O4345" s="0" t="n">
        <f aca="false">E4345*E4345</f>
        <v>1</v>
      </c>
      <c r="P4345" s="0" t="n">
        <f aca="false">F4345*F4345</f>
        <v>0.140625</v>
      </c>
      <c r="Q4345" s="0" t="n">
        <f aca="false">SUMPRODUCT(G4345:P4345,_XtX!$B$71:$K$71)</f>
        <v>43.1425142045455</v>
      </c>
      <c r="R4345" s="0" t="n">
        <f aca="false">SUMPRODUCT(MMULT(G4345:P4345,_XtX!$B$58:$K$67),G4345:P4345)</f>
        <v>0.56971269087358</v>
      </c>
      <c r="S4345" s="0" t="n">
        <f aca="false">04_回帰ANOVA!$K$19*04_回帰ANOVA!$K$14*SQRT(1+R4345)</f>
        <v>1.16486801567081</v>
      </c>
      <c r="T4345" s="0" t="n">
        <f aca="false">Q4345-S4345</f>
        <v>41.9776461888747</v>
      </c>
      <c r="U4345" s="0" t="n">
        <f aca="false">Q4345+S4345</f>
        <v>44.3073822202163</v>
      </c>
      <c r="V4345" s="54" t="b">
        <f aca="false">AND(D4345&gt;=01_因子設定!$L$5-0.000000001,D4345&lt;=01_因子設定!$M$5+0.000000001,E4345&gt;=01_因子設定!$L$6-0.000000001,E4345&lt;=01_因子設定!$M$6+0.000000001,F4345&gt;=01_因子設定!$L$7-0.000000001,F4345&lt;=01_因子設定!$M$7+0.000000001,IF(01_因子設定!$B$20="Box-Behnken",D4345^2+E4345^2+F4345^2&lt;=2+0.000000001,TRUE()))</f>
        <v>1</v>
      </c>
      <c r="W4345" s="55" t="n">
        <f aca="false">IF(V4345,IF(01_因子設定!$B$13="最大化",T4345-01_因子設定!$B$14,IF(01_因子設定!$B$13="最小化",01_因子設定!$B$15-U4345,MIN(T4345-01_因子設定!$B$14,01_因子設定!$B$15-U4345))),-1E+030)</f>
        <v>-6.52235381112535</v>
      </c>
      <c r="X4345" s="55" t="n">
        <f aca="false">IF(V4345,IF(01_因子設定!$B$13="最大化",Q4345,IF(01_因子設定!$B$13="最小化",-Q4345,-ABS(Q4345-01_因子設定!$B$16))),-1E+030)</f>
        <v>43.1425142045455</v>
      </c>
      <c r="Y4345" s="55" t="n">
        <f aca="false">W4345+ROW()*0.000000001</f>
        <v>-6.52234946612535</v>
      </c>
      <c r="Z4345" s="55" t="n">
        <f aca="false">X4345+ROW()*0.000000001</f>
        <v>43.1425185495455</v>
      </c>
    </row>
    <row r="4346" customFormat="false" ht="15" hidden="false" customHeight="false" outlineLevel="0" collapsed="false">
      <c r="A4346" s="0" t="n">
        <v>15</v>
      </c>
      <c r="B4346" s="0" t="n">
        <v>0</v>
      </c>
      <c r="C4346" s="0" t="n">
        <v>6</v>
      </c>
      <c r="D4346" s="0" t="n">
        <f aca="false">-1+A4346*0.125</f>
        <v>0.875</v>
      </c>
      <c r="E4346" s="0" t="n">
        <f aca="false">-1+B4346*0.125</f>
        <v>-1</v>
      </c>
      <c r="F4346" s="0" t="n">
        <f aca="false">-1+C4346*0.125</f>
        <v>-0.25</v>
      </c>
      <c r="G4346" s="0" t="n">
        <f aca="false">1</f>
        <v>1</v>
      </c>
      <c r="H4346" s="0" t="n">
        <f aca="false">D4346</f>
        <v>0.875</v>
      </c>
      <c r="I4346" s="0" t="n">
        <f aca="false">E4346</f>
        <v>-1</v>
      </c>
      <c r="J4346" s="0" t="n">
        <f aca="false">F4346</f>
        <v>-0.25</v>
      </c>
      <c r="K4346" s="0" t="n">
        <f aca="false">D4346*E4346</f>
        <v>-0.875</v>
      </c>
      <c r="L4346" s="0" t="n">
        <f aca="false">D4346*F4346</f>
        <v>-0.21875</v>
      </c>
      <c r="M4346" s="0" t="n">
        <f aca="false">E4346*F4346</f>
        <v>0.25</v>
      </c>
      <c r="N4346" s="0" t="n">
        <f aca="false">D4346*D4346</f>
        <v>0.765625</v>
      </c>
      <c r="O4346" s="0" t="n">
        <f aca="false">E4346*E4346</f>
        <v>1</v>
      </c>
      <c r="P4346" s="0" t="n">
        <f aca="false">F4346*F4346</f>
        <v>0.0625</v>
      </c>
      <c r="Q4346" s="0" t="n">
        <f aca="false">SUMPRODUCT(G4346:P4346,_XtX!$B$71:$K$71)</f>
        <v>43.3343323863636</v>
      </c>
      <c r="R4346" s="0" t="n">
        <f aca="false">SUMPRODUCT(MMULT(G4346:P4346,_XtX!$B$58:$K$67),G4346:P4346)</f>
        <v>0.583609286221591</v>
      </c>
      <c r="S4346" s="0" t="n">
        <f aca="false">04_回帰ANOVA!$K$19*04_回帰ANOVA!$K$14*SQRT(1+R4346)</f>
        <v>1.1700129157584</v>
      </c>
      <c r="T4346" s="0" t="n">
        <f aca="false">Q4346-S4346</f>
        <v>42.1643194706052</v>
      </c>
      <c r="U4346" s="0" t="n">
        <f aca="false">Q4346+S4346</f>
        <v>44.504345302122</v>
      </c>
      <c r="V4346" s="54" t="b">
        <f aca="false">AND(D4346&gt;=01_因子設定!$L$5-0.000000001,D4346&lt;=01_因子設定!$M$5+0.000000001,E4346&gt;=01_因子設定!$L$6-0.000000001,E4346&lt;=01_因子設定!$M$6+0.000000001,F4346&gt;=01_因子設定!$L$7-0.000000001,F4346&lt;=01_因子設定!$M$7+0.000000001,IF(01_因子設定!$B$20="Box-Behnken",D4346^2+E4346^2+F4346^2&lt;=2+0.000000001,TRUE()))</f>
        <v>1</v>
      </c>
      <c r="W4346" s="55" t="n">
        <f aca="false">IF(V4346,IF(01_因子設定!$B$13="最大化",T4346-01_因子設定!$B$14,IF(01_因子設定!$B$13="最小化",01_因子設定!$B$15-U4346,MIN(T4346-01_因子設定!$B$14,01_因子設定!$B$15-U4346))),-1E+030)</f>
        <v>-6.33568052939476</v>
      </c>
      <c r="X4346" s="55" t="n">
        <f aca="false">IF(V4346,IF(01_因子設定!$B$13="最大化",Q4346,IF(01_因子設定!$B$13="最小化",-Q4346,-ABS(Q4346-01_因子設定!$B$16))),-1E+030)</f>
        <v>43.3343323863636</v>
      </c>
      <c r="Y4346" s="55" t="n">
        <f aca="false">W4346+ROW()*0.000000001</f>
        <v>-6.33567618339476</v>
      </c>
      <c r="Z4346" s="55" t="n">
        <f aca="false">X4346+ROW()*0.000000001</f>
        <v>43.3343367323636</v>
      </c>
    </row>
    <row r="4347" customFormat="false" ht="15" hidden="false" customHeight="false" outlineLevel="0" collapsed="false">
      <c r="A4347" s="0" t="n">
        <v>15</v>
      </c>
      <c r="B4347" s="0" t="n">
        <v>0</v>
      </c>
      <c r="C4347" s="0" t="n">
        <v>7</v>
      </c>
      <c r="D4347" s="0" t="n">
        <f aca="false">-1+A4347*0.125</f>
        <v>0.875</v>
      </c>
      <c r="E4347" s="0" t="n">
        <f aca="false">-1+B4347*0.125</f>
        <v>-1</v>
      </c>
      <c r="F4347" s="0" t="n">
        <f aca="false">-1+C4347*0.125</f>
        <v>-0.125</v>
      </c>
      <c r="G4347" s="0" t="n">
        <f aca="false">1</f>
        <v>1</v>
      </c>
      <c r="H4347" s="0" t="n">
        <f aca="false">D4347</f>
        <v>0.875</v>
      </c>
      <c r="I4347" s="0" t="n">
        <f aca="false">E4347</f>
        <v>-1</v>
      </c>
      <c r="J4347" s="0" t="n">
        <f aca="false">F4347</f>
        <v>-0.125</v>
      </c>
      <c r="K4347" s="0" t="n">
        <f aca="false">D4347*E4347</f>
        <v>-0.875</v>
      </c>
      <c r="L4347" s="0" t="n">
        <f aca="false">D4347*F4347</f>
        <v>-0.109375</v>
      </c>
      <c r="M4347" s="0" t="n">
        <f aca="false">E4347*F4347</f>
        <v>0.125</v>
      </c>
      <c r="N4347" s="0" t="n">
        <f aca="false">D4347*D4347</f>
        <v>0.765625</v>
      </c>
      <c r="O4347" s="0" t="n">
        <f aca="false">E4347*E4347</f>
        <v>1</v>
      </c>
      <c r="P4347" s="0" t="n">
        <f aca="false">F4347*F4347</f>
        <v>0.015625</v>
      </c>
      <c r="Q4347" s="0" t="n">
        <f aca="false">SUMPRODUCT(G4347:P4347,_XtX!$B$71:$K$71)</f>
        <v>43.4893607954545</v>
      </c>
      <c r="R4347" s="0" t="n">
        <f aca="false">SUMPRODUCT(MMULT(G4347:P4347,_XtX!$B$58:$K$67),G4347:P4347)</f>
        <v>0.59407792524858</v>
      </c>
      <c r="S4347" s="0" t="n">
        <f aca="false">04_回帰ANOVA!$K$19*04_回帰ANOVA!$K$14*SQRT(1+R4347)</f>
        <v>1.17387380087722</v>
      </c>
      <c r="T4347" s="0" t="n">
        <f aca="false">Q4347-S4347</f>
        <v>42.3154869945773</v>
      </c>
      <c r="U4347" s="0" t="n">
        <f aca="false">Q4347+S4347</f>
        <v>44.6632345963318</v>
      </c>
      <c r="V4347" s="54" t="b">
        <f aca="false">AND(D4347&gt;=01_因子設定!$L$5-0.000000001,D4347&lt;=01_因子設定!$M$5+0.000000001,E4347&gt;=01_因子設定!$L$6-0.000000001,E4347&lt;=01_因子設定!$M$6+0.000000001,F4347&gt;=01_因子設定!$L$7-0.000000001,F4347&lt;=01_因子設定!$M$7+0.000000001,IF(01_因子設定!$B$20="Box-Behnken",D4347^2+E4347^2+F4347^2&lt;=2+0.000000001,TRUE()))</f>
        <v>1</v>
      </c>
      <c r="W4347" s="55" t="n">
        <f aca="false">IF(V4347,IF(01_因子設定!$B$13="最大化",T4347-01_因子設定!$B$14,IF(01_因子設定!$B$13="最小化",01_因子設定!$B$15-U4347,MIN(T4347-01_因子設定!$B$14,01_因子設定!$B$15-U4347))),-1E+030)</f>
        <v>-6.18451300542267</v>
      </c>
      <c r="X4347" s="55" t="n">
        <f aca="false">IF(V4347,IF(01_因子設定!$B$13="最大化",Q4347,IF(01_因子設定!$B$13="最小化",-Q4347,-ABS(Q4347-01_因子設定!$B$16))),-1E+030)</f>
        <v>43.4893607954545</v>
      </c>
      <c r="Y4347" s="55" t="n">
        <f aca="false">W4347+ROW()*0.000000001</f>
        <v>-6.18450865842267</v>
      </c>
      <c r="Z4347" s="55" t="n">
        <f aca="false">X4347+ROW()*0.000000001</f>
        <v>43.4893651424545</v>
      </c>
    </row>
    <row r="4348" customFormat="false" ht="15" hidden="false" customHeight="false" outlineLevel="0" collapsed="false">
      <c r="A4348" s="0" t="n">
        <v>15</v>
      </c>
      <c r="B4348" s="0" t="n">
        <v>0</v>
      </c>
      <c r="C4348" s="0" t="n">
        <v>8</v>
      </c>
      <c r="D4348" s="0" t="n">
        <f aca="false">-1+A4348*0.125</f>
        <v>0.875</v>
      </c>
      <c r="E4348" s="0" t="n">
        <f aca="false">-1+B4348*0.125</f>
        <v>-1</v>
      </c>
      <c r="F4348" s="0" t="n">
        <f aca="false">-1+C4348*0.125</f>
        <v>0</v>
      </c>
      <c r="G4348" s="0" t="n">
        <f aca="false">1</f>
        <v>1</v>
      </c>
      <c r="H4348" s="0" t="n">
        <f aca="false">D4348</f>
        <v>0.875</v>
      </c>
      <c r="I4348" s="0" t="n">
        <f aca="false">E4348</f>
        <v>-1</v>
      </c>
      <c r="J4348" s="0" t="n">
        <f aca="false">F4348</f>
        <v>0</v>
      </c>
      <c r="K4348" s="0" t="n">
        <f aca="false">D4348*E4348</f>
        <v>-0.875</v>
      </c>
      <c r="L4348" s="0" t="n">
        <f aca="false">D4348*F4348</f>
        <v>0</v>
      </c>
      <c r="M4348" s="0" t="n">
        <f aca="false">E4348*F4348</f>
        <v>-0</v>
      </c>
      <c r="N4348" s="0" t="n">
        <f aca="false">D4348*D4348</f>
        <v>0.765625</v>
      </c>
      <c r="O4348" s="0" t="n">
        <f aca="false">E4348*E4348</f>
        <v>1</v>
      </c>
      <c r="P4348" s="0" t="n">
        <f aca="false">F4348*F4348</f>
        <v>0</v>
      </c>
      <c r="Q4348" s="0" t="n">
        <f aca="false">SUMPRODUCT(G4348:P4348,_XtX!$B$71:$K$71)</f>
        <v>43.6075994318182</v>
      </c>
      <c r="R4348" s="0" t="n">
        <f aca="false">SUMPRODUCT(MMULT(G4348:P4348,_XtX!$B$58:$K$67),G4348:P4348)</f>
        <v>0.597922585227273</v>
      </c>
      <c r="S4348" s="0" t="n">
        <f aca="false">04_回帰ANOVA!$K$19*04_回帰ANOVA!$K$14*SQRT(1+R4348)</f>
        <v>1.17528854591003</v>
      </c>
      <c r="T4348" s="0" t="n">
        <f aca="false">Q4348-S4348</f>
        <v>42.4323108859082</v>
      </c>
      <c r="U4348" s="0" t="n">
        <f aca="false">Q4348+S4348</f>
        <v>44.7828879777282</v>
      </c>
      <c r="V4348" s="54" t="b">
        <f aca="false">AND(D4348&gt;=01_因子設定!$L$5-0.000000001,D4348&lt;=01_因子設定!$M$5+0.000000001,E4348&gt;=01_因子設定!$L$6-0.000000001,E4348&lt;=01_因子設定!$M$6+0.000000001,F4348&gt;=01_因子設定!$L$7-0.000000001,F4348&lt;=01_因子設定!$M$7+0.000000001,IF(01_因子設定!$B$20="Box-Behnken",D4348^2+E4348^2+F4348^2&lt;=2+0.000000001,TRUE()))</f>
        <v>1</v>
      </c>
      <c r="W4348" s="55" t="n">
        <f aca="false">IF(V4348,IF(01_因子設定!$B$13="最大化",T4348-01_因子設定!$B$14,IF(01_因子設定!$B$13="最小化",01_因子設定!$B$15-U4348,MIN(T4348-01_因子設定!$B$14,01_因子設定!$B$15-U4348))),-1E+030)</f>
        <v>-6.06768911409185</v>
      </c>
      <c r="X4348" s="55" t="n">
        <f aca="false">IF(V4348,IF(01_因子設定!$B$13="最大化",Q4348,IF(01_因子設定!$B$13="最小化",-Q4348,-ABS(Q4348-01_因子設定!$B$16))),-1E+030)</f>
        <v>43.6075994318182</v>
      </c>
      <c r="Y4348" s="55" t="n">
        <f aca="false">W4348+ROW()*0.000000001</f>
        <v>-6.06768476609185</v>
      </c>
      <c r="Z4348" s="55" t="n">
        <f aca="false">X4348+ROW()*0.000000001</f>
        <v>43.6076037798182</v>
      </c>
    </row>
    <row r="4349" customFormat="false" ht="15" hidden="false" customHeight="false" outlineLevel="0" collapsed="false">
      <c r="A4349" s="0" t="n">
        <v>15</v>
      </c>
      <c r="B4349" s="0" t="n">
        <v>0</v>
      </c>
      <c r="C4349" s="0" t="n">
        <v>9</v>
      </c>
      <c r="D4349" s="0" t="n">
        <f aca="false">-1+A4349*0.125</f>
        <v>0.875</v>
      </c>
      <c r="E4349" s="0" t="n">
        <f aca="false">-1+B4349*0.125</f>
        <v>-1</v>
      </c>
      <c r="F4349" s="0" t="n">
        <f aca="false">-1+C4349*0.125</f>
        <v>0.125</v>
      </c>
      <c r="G4349" s="0" t="n">
        <f aca="false">1</f>
        <v>1</v>
      </c>
      <c r="H4349" s="0" t="n">
        <f aca="false">D4349</f>
        <v>0.875</v>
      </c>
      <c r="I4349" s="0" t="n">
        <f aca="false">E4349</f>
        <v>-1</v>
      </c>
      <c r="J4349" s="0" t="n">
        <f aca="false">F4349</f>
        <v>0.125</v>
      </c>
      <c r="K4349" s="0" t="n">
        <f aca="false">D4349*E4349</f>
        <v>-0.875</v>
      </c>
      <c r="L4349" s="0" t="n">
        <f aca="false">D4349*F4349</f>
        <v>0.109375</v>
      </c>
      <c r="M4349" s="0" t="n">
        <f aca="false">E4349*F4349</f>
        <v>-0.125</v>
      </c>
      <c r="N4349" s="0" t="n">
        <f aca="false">D4349*D4349</f>
        <v>0.765625</v>
      </c>
      <c r="O4349" s="0" t="n">
        <f aca="false">E4349*E4349</f>
        <v>1</v>
      </c>
      <c r="P4349" s="0" t="n">
        <f aca="false">F4349*F4349</f>
        <v>0.015625</v>
      </c>
      <c r="Q4349" s="0" t="n">
        <f aca="false">SUMPRODUCT(G4349:P4349,_XtX!$B$71:$K$71)</f>
        <v>43.6890482954546</v>
      </c>
      <c r="R4349" s="0" t="n">
        <f aca="false">SUMPRODUCT(MMULT(G4349:P4349,_XtX!$B$58:$K$67),G4349:P4349)</f>
        <v>0.59407792524858</v>
      </c>
      <c r="S4349" s="0" t="n">
        <f aca="false">04_回帰ANOVA!$K$19*04_回帰ANOVA!$K$14*SQRT(1+R4349)</f>
        <v>1.17387380087722</v>
      </c>
      <c r="T4349" s="0" t="n">
        <f aca="false">Q4349-S4349</f>
        <v>42.5151744945773</v>
      </c>
      <c r="U4349" s="0" t="n">
        <f aca="false">Q4349+S4349</f>
        <v>44.8629220963318</v>
      </c>
      <c r="V4349" s="54" t="b">
        <f aca="false">AND(D4349&gt;=01_因子設定!$L$5-0.000000001,D4349&lt;=01_因子設定!$M$5+0.000000001,E4349&gt;=01_因子設定!$L$6-0.000000001,E4349&lt;=01_因子設定!$M$6+0.000000001,F4349&gt;=01_因子設定!$L$7-0.000000001,F4349&lt;=01_因子設定!$M$7+0.000000001,IF(01_因子設定!$B$20="Box-Behnken",D4349^2+E4349^2+F4349^2&lt;=2+0.000000001,TRUE()))</f>
        <v>1</v>
      </c>
      <c r="W4349" s="55" t="n">
        <f aca="false">IF(V4349,IF(01_因子設定!$B$13="最大化",T4349-01_因子設定!$B$14,IF(01_因子設定!$B$13="最小化",01_因子設定!$B$15-U4349,MIN(T4349-01_因子設定!$B$14,01_因子設定!$B$15-U4349))),-1E+030)</f>
        <v>-5.98482550542267</v>
      </c>
      <c r="X4349" s="55" t="n">
        <f aca="false">IF(V4349,IF(01_因子設定!$B$13="最大化",Q4349,IF(01_因子設定!$B$13="最小化",-Q4349,-ABS(Q4349-01_因子設定!$B$16))),-1E+030)</f>
        <v>43.6890482954546</v>
      </c>
      <c r="Y4349" s="55" t="n">
        <f aca="false">W4349+ROW()*0.000000001</f>
        <v>-5.98482115642267</v>
      </c>
      <c r="Z4349" s="55" t="n">
        <f aca="false">X4349+ROW()*0.000000001</f>
        <v>43.6890526444546</v>
      </c>
    </row>
    <row r="4350" customFormat="false" ht="15" hidden="false" customHeight="false" outlineLevel="0" collapsed="false">
      <c r="A4350" s="0" t="n">
        <v>15</v>
      </c>
      <c r="B4350" s="0" t="n">
        <v>0</v>
      </c>
      <c r="C4350" s="0" t="n">
        <v>10</v>
      </c>
      <c r="D4350" s="0" t="n">
        <f aca="false">-1+A4350*0.125</f>
        <v>0.875</v>
      </c>
      <c r="E4350" s="0" t="n">
        <f aca="false">-1+B4350*0.125</f>
        <v>-1</v>
      </c>
      <c r="F4350" s="0" t="n">
        <f aca="false">-1+C4350*0.125</f>
        <v>0.25</v>
      </c>
      <c r="G4350" s="0" t="n">
        <f aca="false">1</f>
        <v>1</v>
      </c>
      <c r="H4350" s="0" t="n">
        <f aca="false">D4350</f>
        <v>0.875</v>
      </c>
      <c r="I4350" s="0" t="n">
        <f aca="false">E4350</f>
        <v>-1</v>
      </c>
      <c r="J4350" s="0" t="n">
        <f aca="false">F4350</f>
        <v>0.25</v>
      </c>
      <c r="K4350" s="0" t="n">
        <f aca="false">D4350*E4350</f>
        <v>-0.875</v>
      </c>
      <c r="L4350" s="0" t="n">
        <f aca="false">D4350*F4350</f>
        <v>0.21875</v>
      </c>
      <c r="M4350" s="0" t="n">
        <f aca="false">E4350*F4350</f>
        <v>-0.25</v>
      </c>
      <c r="N4350" s="0" t="n">
        <f aca="false">D4350*D4350</f>
        <v>0.765625</v>
      </c>
      <c r="O4350" s="0" t="n">
        <f aca="false">E4350*E4350</f>
        <v>1</v>
      </c>
      <c r="P4350" s="0" t="n">
        <f aca="false">F4350*F4350</f>
        <v>0.0625</v>
      </c>
      <c r="Q4350" s="0" t="n">
        <f aca="false">SUMPRODUCT(G4350:P4350,_XtX!$B$71:$K$71)</f>
        <v>43.7337073863636</v>
      </c>
      <c r="R4350" s="0" t="n">
        <f aca="false">SUMPRODUCT(MMULT(G4350:P4350,_XtX!$B$58:$K$67),G4350:P4350)</f>
        <v>0.583609286221591</v>
      </c>
      <c r="S4350" s="0" t="n">
        <f aca="false">04_回帰ANOVA!$K$19*04_回帰ANOVA!$K$14*SQRT(1+R4350)</f>
        <v>1.1700129157584</v>
      </c>
      <c r="T4350" s="0" t="n">
        <f aca="false">Q4350-S4350</f>
        <v>42.5636944706052</v>
      </c>
      <c r="U4350" s="0" t="n">
        <f aca="false">Q4350+S4350</f>
        <v>44.903720302122</v>
      </c>
      <c r="V4350" s="54" t="b">
        <f aca="false">AND(D4350&gt;=01_因子設定!$L$5-0.000000001,D4350&lt;=01_因子設定!$M$5+0.000000001,E4350&gt;=01_因子設定!$L$6-0.000000001,E4350&lt;=01_因子設定!$M$6+0.000000001,F4350&gt;=01_因子設定!$L$7-0.000000001,F4350&lt;=01_因子設定!$M$7+0.000000001,IF(01_因子設定!$B$20="Box-Behnken",D4350^2+E4350^2+F4350^2&lt;=2+0.000000001,TRUE()))</f>
        <v>1</v>
      </c>
      <c r="W4350" s="55" t="n">
        <f aca="false">IF(V4350,IF(01_因子設定!$B$13="最大化",T4350-01_因子設定!$B$14,IF(01_因子設定!$B$13="最小化",01_因子設定!$B$15-U4350,MIN(T4350-01_因子設定!$B$14,01_因子設定!$B$15-U4350))),-1E+030)</f>
        <v>-5.93630552939476</v>
      </c>
      <c r="X4350" s="55" t="n">
        <f aca="false">IF(V4350,IF(01_因子設定!$B$13="最大化",Q4350,IF(01_因子設定!$B$13="最小化",-Q4350,-ABS(Q4350-01_因子設定!$B$16))),-1E+030)</f>
        <v>43.7337073863636</v>
      </c>
      <c r="Y4350" s="55" t="n">
        <f aca="false">W4350+ROW()*0.000000001</f>
        <v>-5.93630117939476</v>
      </c>
      <c r="Z4350" s="55" t="n">
        <f aca="false">X4350+ROW()*0.000000001</f>
        <v>43.7337117363636</v>
      </c>
    </row>
    <row r="4351" customFormat="false" ht="15" hidden="false" customHeight="false" outlineLevel="0" collapsed="false">
      <c r="A4351" s="0" t="n">
        <v>15</v>
      </c>
      <c r="B4351" s="0" t="n">
        <v>0</v>
      </c>
      <c r="C4351" s="0" t="n">
        <v>11</v>
      </c>
      <c r="D4351" s="0" t="n">
        <f aca="false">-1+A4351*0.125</f>
        <v>0.875</v>
      </c>
      <c r="E4351" s="0" t="n">
        <f aca="false">-1+B4351*0.125</f>
        <v>-1</v>
      </c>
      <c r="F4351" s="0" t="n">
        <f aca="false">-1+C4351*0.125</f>
        <v>0.375</v>
      </c>
      <c r="G4351" s="0" t="n">
        <f aca="false">1</f>
        <v>1</v>
      </c>
      <c r="H4351" s="0" t="n">
        <f aca="false">D4351</f>
        <v>0.875</v>
      </c>
      <c r="I4351" s="0" t="n">
        <f aca="false">E4351</f>
        <v>-1</v>
      </c>
      <c r="J4351" s="0" t="n">
        <f aca="false">F4351</f>
        <v>0.375</v>
      </c>
      <c r="K4351" s="0" t="n">
        <f aca="false">D4351*E4351</f>
        <v>-0.875</v>
      </c>
      <c r="L4351" s="0" t="n">
        <f aca="false">D4351*F4351</f>
        <v>0.328125</v>
      </c>
      <c r="M4351" s="0" t="n">
        <f aca="false">E4351*F4351</f>
        <v>-0.375</v>
      </c>
      <c r="N4351" s="0" t="n">
        <f aca="false">D4351*D4351</f>
        <v>0.765625</v>
      </c>
      <c r="O4351" s="0" t="n">
        <f aca="false">E4351*E4351</f>
        <v>1</v>
      </c>
      <c r="P4351" s="0" t="n">
        <f aca="false">F4351*F4351</f>
        <v>0.140625</v>
      </c>
      <c r="Q4351" s="0" t="n">
        <f aca="false">SUMPRODUCT(G4351:P4351,_XtX!$B$71:$K$71)</f>
        <v>43.7415767045455</v>
      </c>
      <c r="R4351" s="0" t="n">
        <f aca="false">SUMPRODUCT(MMULT(G4351:P4351,_XtX!$B$58:$K$67),G4351:P4351)</f>
        <v>0.56971269087358</v>
      </c>
      <c r="S4351" s="0" t="n">
        <f aca="false">04_回帰ANOVA!$K$19*04_回帰ANOVA!$K$14*SQRT(1+R4351)</f>
        <v>1.16486801567081</v>
      </c>
      <c r="T4351" s="0" t="n">
        <f aca="false">Q4351-S4351</f>
        <v>42.5767086888747</v>
      </c>
      <c r="U4351" s="0" t="n">
        <f aca="false">Q4351+S4351</f>
        <v>44.9064447202163</v>
      </c>
      <c r="V4351" s="54" t="b">
        <f aca="false">AND(D4351&gt;=01_因子設定!$L$5-0.000000001,D4351&lt;=01_因子設定!$M$5+0.000000001,E4351&gt;=01_因子設定!$L$6-0.000000001,E4351&lt;=01_因子設定!$M$6+0.000000001,F4351&gt;=01_因子設定!$L$7-0.000000001,F4351&lt;=01_因子設定!$M$7+0.000000001,IF(01_因子設定!$B$20="Box-Behnken",D4351^2+E4351^2+F4351^2&lt;=2+0.000000001,TRUE()))</f>
        <v>1</v>
      </c>
      <c r="W4351" s="55" t="n">
        <f aca="false">IF(V4351,IF(01_因子設定!$B$13="最大化",T4351-01_因子設定!$B$14,IF(01_因子設定!$B$13="最小化",01_因子設定!$B$15-U4351,MIN(T4351-01_因子設定!$B$14,01_因子設定!$B$15-U4351))),-1E+030)</f>
        <v>-5.92329131112535</v>
      </c>
      <c r="X4351" s="55" t="n">
        <f aca="false">IF(V4351,IF(01_因子設定!$B$13="最大化",Q4351,IF(01_因子設定!$B$13="最小化",-Q4351,-ABS(Q4351-01_因子設定!$B$16))),-1E+030)</f>
        <v>43.7415767045455</v>
      </c>
      <c r="Y4351" s="55" t="n">
        <f aca="false">W4351+ROW()*0.000000001</f>
        <v>-5.92328696012535</v>
      </c>
      <c r="Z4351" s="55" t="n">
        <f aca="false">X4351+ROW()*0.000000001</f>
        <v>43.7415810555455</v>
      </c>
    </row>
    <row r="4352" customFormat="false" ht="15" hidden="false" customHeight="false" outlineLevel="0" collapsed="false">
      <c r="A4352" s="0" t="n">
        <v>15</v>
      </c>
      <c r="B4352" s="0" t="n">
        <v>0</v>
      </c>
      <c r="C4352" s="0" t="n">
        <v>12</v>
      </c>
      <c r="D4352" s="0" t="n">
        <f aca="false">-1+A4352*0.125</f>
        <v>0.875</v>
      </c>
      <c r="E4352" s="0" t="n">
        <f aca="false">-1+B4352*0.125</f>
        <v>-1</v>
      </c>
      <c r="F4352" s="0" t="n">
        <f aca="false">-1+C4352*0.125</f>
        <v>0.5</v>
      </c>
      <c r="G4352" s="0" t="n">
        <f aca="false">1</f>
        <v>1</v>
      </c>
      <c r="H4352" s="0" t="n">
        <f aca="false">D4352</f>
        <v>0.875</v>
      </c>
      <c r="I4352" s="0" t="n">
        <f aca="false">E4352</f>
        <v>-1</v>
      </c>
      <c r="J4352" s="0" t="n">
        <f aca="false">F4352</f>
        <v>0.5</v>
      </c>
      <c r="K4352" s="0" t="n">
        <f aca="false">D4352*E4352</f>
        <v>-0.875</v>
      </c>
      <c r="L4352" s="0" t="n">
        <f aca="false">D4352*F4352</f>
        <v>0.4375</v>
      </c>
      <c r="M4352" s="0" t="n">
        <f aca="false">E4352*F4352</f>
        <v>-0.5</v>
      </c>
      <c r="N4352" s="0" t="n">
        <f aca="false">D4352*D4352</f>
        <v>0.765625</v>
      </c>
      <c r="O4352" s="0" t="n">
        <f aca="false">E4352*E4352</f>
        <v>1</v>
      </c>
      <c r="P4352" s="0" t="n">
        <f aca="false">F4352*F4352</f>
        <v>0.25</v>
      </c>
      <c r="Q4352" s="0" t="n">
        <f aca="false">SUMPRODUCT(G4352:P4352,_XtX!$B$71:$K$71)</f>
        <v>43.71265625</v>
      </c>
      <c r="R4352" s="0" t="n">
        <f aca="false">SUMPRODUCT(MMULT(G4352:P4352,_XtX!$B$58:$K$67),G4352:P4352)</f>
        <v>0.55771484375</v>
      </c>
      <c r="S4352" s="0" t="n">
        <f aca="false">04_回帰ANOVA!$K$19*04_回帰ANOVA!$K$14*SQRT(1+R4352)</f>
        <v>1.16040773556467</v>
      </c>
      <c r="T4352" s="0" t="n">
        <f aca="false">Q4352-S4352</f>
        <v>42.5522485144353</v>
      </c>
      <c r="U4352" s="0" t="n">
        <f aca="false">Q4352+S4352</f>
        <v>44.8730639855647</v>
      </c>
      <c r="V4352" s="54" t="b">
        <f aca="false">AND(D4352&gt;=01_因子設定!$L$5-0.000000001,D4352&lt;=01_因子設定!$M$5+0.000000001,E4352&gt;=01_因子設定!$L$6-0.000000001,E4352&lt;=01_因子設定!$M$6+0.000000001,F4352&gt;=01_因子設定!$L$7-0.000000001,F4352&lt;=01_因子設定!$M$7+0.000000001,IF(01_因子設定!$B$20="Box-Behnken",D4352^2+E4352^2+F4352^2&lt;=2+0.000000001,TRUE()))</f>
        <v>1</v>
      </c>
      <c r="W4352" s="55" t="n">
        <f aca="false">IF(V4352,IF(01_因子設定!$B$13="最大化",T4352-01_因子設定!$B$14,IF(01_因子設定!$B$13="最小化",01_因子設定!$B$15-U4352,MIN(T4352-01_因子設定!$B$14,01_因子設定!$B$15-U4352))),-1E+030)</f>
        <v>-5.94775148556467</v>
      </c>
      <c r="X4352" s="55" t="n">
        <f aca="false">IF(V4352,IF(01_因子設定!$B$13="最大化",Q4352,IF(01_因子設定!$B$13="最小化",-Q4352,-ABS(Q4352-01_因子設定!$B$16))),-1E+030)</f>
        <v>43.71265625</v>
      </c>
      <c r="Y4352" s="55" t="n">
        <f aca="false">W4352+ROW()*0.000000001</f>
        <v>-5.94774713356467</v>
      </c>
      <c r="Z4352" s="55" t="n">
        <f aca="false">X4352+ROW()*0.000000001</f>
        <v>43.712660602</v>
      </c>
    </row>
    <row r="4353" customFormat="false" ht="15" hidden="false" customHeight="false" outlineLevel="0" collapsed="false">
      <c r="A4353" s="0" t="n">
        <v>15</v>
      </c>
      <c r="B4353" s="0" t="n">
        <v>0</v>
      </c>
      <c r="C4353" s="0" t="n">
        <v>13</v>
      </c>
      <c r="D4353" s="0" t="n">
        <f aca="false">-1+A4353*0.125</f>
        <v>0.875</v>
      </c>
      <c r="E4353" s="0" t="n">
        <f aca="false">-1+B4353*0.125</f>
        <v>-1</v>
      </c>
      <c r="F4353" s="0" t="n">
        <f aca="false">-1+C4353*0.125</f>
        <v>0.625</v>
      </c>
      <c r="G4353" s="0" t="n">
        <f aca="false">1</f>
        <v>1</v>
      </c>
      <c r="H4353" s="0" t="n">
        <f aca="false">D4353</f>
        <v>0.875</v>
      </c>
      <c r="I4353" s="0" t="n">
        <f aca="false">E4353</f>
        <v>-1</v>
      </c>
      <c r="J4353" s="0" t="n">
        <f aca="false">F4353</f>
        <v>0.625</v>
      </c>
      <c r="K4353" s="0" t="n">
        <f aca="false">D4353*E4353</f>
        <v>-0.875</v>
      </c>
      <c r="L4353" s="0" t="n">
        <f aca="false">D4353*F4353</f>
        <v>0.546875</v>
      </c>
      <c r="M4353" s="0" t="n">
        <f aca="false">E4353*F4353</f>
        <v>-0.625</v>
      </c>
      <c r="N4353" s="0" t="n">
        <f aca="false">D4353*D4353</f>
        <v>0.765625</v>
      </c>
      <c r="O4353" s="0" t="n">
        <f aca="false">E4353*E4353</f>
        <v>1</v>
      </c>
      <c r="P4353" s="0" t="n">
        <f aca="false">F4353*F4353</f>
        <v>0.390625</v>
      </c>
      <c r="Q4353" s="0" t="n">
        <f aca="false">SUMPRODUCT(G4353:P4353,_XtX!$B$71:$K$71)</f>
        <v>43.6469460227273</v>
      </c>
      <c r="R4353" s="0" t="n">
        <f aca="false">SUMPRODUCT(MMULT(G4353:P4353,_XtX!$B$58:$K$67),G4353:P4353)</f>
        <v>0.555073131214489</v>
      </c>
      <c r="S4353" s="0" t="n">
        <f aca="false">04_回帰ANOVA!$K$19*04_回帰ANOVA!$K$14*SQRT(1+R4353)</f>
        <v>1.15942335628341</v>
      </c>
      <c r="T4353" s="0" t="n">
        <f aca="false">Q4353-S4353</f>
        <v>42.4875226664439</v>
      </c>
      <c r="U4353" s="0" t="n">
        <f aca="false">Q4353+S4353</f>
        <v>44.8063693790107</v>
      </c>
      <c r="V4353" s="54" t="b">
        <f aca="false">AND(D4353&gt;=01_因子設定!$L$5-0.000000001,D4353&lt;=01_因子設定!$M$5+0.000000001,E4353&gt;=01_因子設定!$L$6-0.000000001,E4353&lt;=01_因子設定!$M$6+0.000000001,F4353&gt;=01_因子設定!$L$7-0.000000001,F4353&lt;=01_因子設定!$M$7+0.000000001,IF(01_因子設定!$B$20="Box-Behnken",D4353^2+E4353^2+F4353^2&lt;=2+0.000000001,TRUE()))</f>
        <v>1</v>
      </c>
      <c r="W4353" s="55" t="n">
        <f aca="false">IF(V4353,IF(01_因子設定!$B$13="最大化",T4353-01_因子設定!$B$14,IF(01_因子設定!$B$13="最小化",01_因子設定!$B$15-U4353,MIN(T4353-01_因子設定!$B$14,01_因子設定!$B$15-U4353))),-1E+030)</f>
        <v>-6.01247733355613</v>
      </c>
      <c r="X4353" s="55" t="n">
        <f aca="false">IF(V4353,IF(01_因子設定!$B$13="最大化",Q4353,IF(01_因子設定!$B$13="最小化",-Q4353,-ABS(Q4353-01_因子設定!$B$16))),-1E+030)</f>
        <v>43.6469460227273</v>
      </c>
      <c r="Y4353" s="55" t="n">
        <f aca="false">W4353+ROW()*0.000000001</f>
        <v>-6.01247298055613</v>
      </c>
      <c r="Z4353" s="55" t="n">
        <f aca="false">X4353+ROW()*0.000000001</f>
        <v>43.6469503757273</v>
      </c>
    </row>
    <row r="4354" customFormat="false" ht="15" hidden="false" customHeight="false" outlineLevel="0" collapsed="false">
      <c r="A4354" s="0" t="n">
        <v>15</v>
      </c>
      <c r="B4354" s="0" t="n">
        <v>0</v>
      </c>
      <c r="C4354" s="0" t="n">
        <v>14</v>
      </c>
      <c r="D4354" s="0" t="n">
        <f aca="false">-1+A4354*0.125</f>
        <v>0.875</v>
      </c>
      <c r="E4354" s="0" t="n">
        <f aca="false">-1+B4354*0.125</f>
        <v>-1</v>
      </c>
      <c r="F4354" s="0" t="n">
        <f aca="false">-1+C4354*0.125</f>
        <v>0.75</v>
      </c>
      <c r="G4354" s="0" t="n">
        <f aca="false">1</f>
        <v>1</v>
      </c>
      <c r="H4354" s="0" t="n">
        <f aca="false">D4354</f>
        <v>0.875</v>
      </c>
      <c r="I4354" s="0" t="n">
        <f aca="false">E4354</f>
        <v>-1</v>
      </c>
      <c r="J4354" s="0" t="n">
        <f aca="false">F4354</f>
        <v>0.75</v>
      </c>
      <c r="K4354" s="0" t="n">
        <f aca="false">D4354*E4354</f>
        <v>-0.875</v>
      </c>
      <c r="L4354" s="0" t="n">
        <f aca="false">D4354*F4354</f>
        <v>0.65625</v>
      </c>
      <c r="M4354" s="0" t="n">
        <f aca="false">E4354*F4354</f>
        <v>-0.75</v>
      </c>
      <c r="N4354" s="0" t="n">
        <f aca="false">D4354*D4354</f>
        <v>0.765625</v>
      </c>
      <c r="O4354" s="0" t="n">
        <f aca="false">E4354*E4354</f>
        <v>1</v>
      </c>
      <c r="P4354" s="0" t="n">
        <f aca="false">F4354*F4354</f>
        <v>0.5625</v>
      </c>
      <c r="Q4354" s="0" t="n">
        <f aca="false">SUMPRODUCT(G4354:P4354,_XtX!$B$71:$K$71)</f>
        <v>43.5444460227273</v>
      </c>
      <c r="R4354" s="0" t="n">
        <f aca="false">SUMPRODUCT(MMULT(G4354:P4354,_XtX!$B$58:$K$67),G4354:P4354)</f>
        <v>0.571375621448864</v>
      </c>
      <c r="S4354" s="0" t="n">
        <f aca="false">04_回帰ANOVA!$K$19*04_回帰ANOVA!$K$14*SQRT(1+R4354)</f>
        <v>1.16548487437682</v>
      </c>
      <c r="T4354" s="0" t="n">
        <f aca="false">Q4354-S4354</f>
        <v>42.3789611483505</v>
      </c>
      <c r="U4354" s="0" t="n">
        <f aca="false">Q4354+S4354</f>
        <v>44.7099308971041</v>
      </c>
      <c r="V4354" s="54" t="b">
        <f aca="false">AND(D4354&gt;=01_因子設定!$L$5-0.000000001,D4354&lt;=01_因子設定!$M$5+0.000000001,E4354&gt;=01_因子設定!$L$6-0.000000001,E4354&lt;=01_因子設定!$M$6+0.000000001,F4354&gt;=01_因子設定!$L$7-0.000000001,F4354&lt;=01_因子設定!$M$7+0.000000001,IF(01_因子設定!$B$20="Box-Behnken",D4354^2+E4354^2+F4354^2&lt;=2+0.000000001,TRUE()))</f>
        <v>1</v>
      </c>
      <c r="W4354" s="55" t="n">
        <f aca="false">IF(V4354,IF(01_因子設定!$B$13="最大化",T4354-01_因子設定!$B$14,IF(01_因子設定!$B$13="最小化",01_因子設定!$B$15-U4354,MIN(T4354-01_因子設定!$B$14,01_因子設定!$B$15-U4354))),-1E+030)</f>
        <v>-6.12103885164953</v>
      </c>
      <c r="X4354" s="55" t="n">
        <f aca="false">IF(V4354,IF(01_因子設定!$B$13="最大化",Q4354,IF(01_因子設定!$B$13="最小化",-Q4354,-ABS(Q4354-01_因子設定!$B$16))),-1E+030)</f>
        <v>43.5444460227273</v>
      </c>
      <c r="Y4354" s="55" t="n">
        <f aca="false">W4354+ROW()*0.000000001</f>
        <v>-6.12103449764953</v>
      </c>
      <c r="Z4354" s="55" t="n">
        <f aca="false">X4354+ROW()*0.000000001</f>
        <v>43.5444503767273</v>
      </c>
    </row>
    <row r="4355" customFormat="false" ht="15" hidden="false" customHeight="false" outlineLevel="0" collapsed="false">
      <c r="A4355" s="0" t="n">
        <v>15</v>
      </c>
      <c r="B4355" s="0" t="n">
        <v>0</v>
      </c>
      <c r="C4355" s="0" t="n">
        <v>15</v>
      </c>
      <c r="D4355" s="0" t="n">
        <f aca="false">-1+A4355*0.125</f>
        <v>0.875</v>
      </c>
      <c r="E4355" s="0" t="n">
        <f aca="false">-1+B4355*0.125</f>
        <v>-1</v>
      </c>
      <c r="F4355" s="0" t="n">
        <f aca="false">-1+C4355*0.125</f>
        <v>0.875</v>
      </c>
      <c r="G4355" s="0" t="n">
        <f aca="false">1</f>
        <v>1</v>
      </c>
      <c r="H4355" s="0" t="n">
        <f aca="false">D4355</f>
        <v>0.875</v>
      </c>
      <c r="I4355" s="0" t="n">
        <f aca="false">E4355</f>
        <v>-1</v>
      </c>
      <c r="J4355" s="0" t="n">
        <f aca="false">F4355</f>
        <v>0.875</v>
      </c>
      <c r="K4355" s="0" t="n">
        <f aca="false">D4355*E4355</f>
        <v>-0.875</v>
      </c>
      <c r="L4355" s="0" t="n">
        <f aca="false">D4355*F4355</f>
        <v>0.765625</v>
      </c>
      <c r="M4355" s="0" t="n">
        <f aca="false">E4355*F4355</f>
        <v>-0.875</v>
      </c>
      <c r="N4355" s="0" t="n">
        <f aca="false">D4355*D4355</f>
        <v>0.765625</v>
      </c>
      <c r="O4355" s="0" t="n">
        <f aca="false">E4355*E4355</f>
        <v>1</v>
      </c>
      <c r="P4355" s="0" t="n">
        <f aca="false">F4355*F4355</f>
        <v>0.765625</v>
      </c>
      <c r="Q4355" s="0" t="n">
        <f aca="false">SUMPRODUCT(G4355:P4355,_XtX!$B$71:$K$71)</f>
        <v>43.40515625</v>
      </c>
      <c r="R4355" s="0" t="n">
        <f aca="false">SUMPRODUCT(MMULT(G4355:P4355,_XtX!$B$58:$K$67),G4355:P4355)</f>
        <v>0.618341064453125</v>
      </c>
      <c r="S4355" s="0" t="n">
        <f aca="false">04_回帰ANOVA!$K$19*04_回帰ANOVA!$K$14*SQRT(1+R4355)</f>
        <v>1.18277371124466</v>
      </c>
      <c r="T4355" s="0" t="n">
        <f aca="false">Q4355-S4355</f>
        <v>42.2223825387554</v>
      </c>
      <c r="U4355" s="0" t="n">
        <f aca="false">Q4355+S4355</f>
        <v>44.5879299612447</v>
      </c>
      <c r="V4355" s="54" t="b">
        <f aca="false">AND(D4355&gt;=01_因子設定!$L$5-0.000000001,D4355&lt;=01_因子設定!$M$5+0.000000001,E4355&gt;=01_因子設定!$L$6-0.000000001,E4355&lt;=01_因子設定!$M$6+0.000000001,F4355&gt;=01_因子設定!$L$7-0.000000001,F4355&lt;=01_因子設定!$M$7+0.000000001,IF(01_因子設定!$B$20="Box-Behnken",D4355^2+E4355^2+F4355^2&lt;=2+0.000000001,TRUE()))</f>
        <v>1</v>
      </c>
      <c r="W4355" s="55" t="n">
        <f aca="false">IF(V4355,IF(01_因子設定!$B$13="最大化",T4355-01_因子設定!$B$14,IF(01_因子設定!$B$13="最小化",01_因子設定!$B$15-U4355,MIN(T4355-01_因子設定!$B$14,01_因子設定!$B$15-U4355))),-1E+030)</f>
        <v>-6.27761746124465</v>
      </c>
      <c r="X4355" s="55" t="n">
        <f aca="false">IF(V4355,IF(01_因子設定!$B$13="最大化",Q4355,IF(01_因子設定!$B$13="最小化",-Q4355,-ABS(Q4355-01_因子設定!$B$16))),-1E+030)</f>
        <v>43.40515625</v>
      </c>
      <c r="Y4355" s="55" t="n">
        <f aca="false">W4355+ROW()*0.000000001</f>
        <v>-6.27761310624465</v>
      </c>
      <c r="Z4355" s="55" t="n">
        <f aca="false">X4355+ROW()*0.000000001</f>
        <v>43.405160605</v>
      </c>
    </row>
    <row r="4356" customFormat="false" ht="15" hidden="false" customHeight="false" outlineLevel="0" collapsed="false">
      <c r="A4356" s="0" t="n">
        <v>15</v>
      </c>
      <c r="B4356" s="0" t="n">
        <v>0</v>
      </c>
      <c r="C4356" s="0" t="n">
        <v>16</v>
      </c>
      <c r="D4356" s="0" t="n">
        <f aca="false">-1+A4356*0.125</f>
        <v>0.875</v>
      </c>
      <c r="E4356" s="0" t="n">
        <f aca="false">-1+B4356*0.125</f>
        <v>-1</v>
      </c>
      <c r="F4356" s="0" t="n">
        <f aca="false">-1+C4356*0.125</f>
        <v>1</v>
      </c>
      <c r="G4356" s="0" t="n">
        <f aca="false">1</f>
        <v>1</v>
      </c>
      <c r="H4356" s="0" t="n">
        <f aca="false">D4356</f>
        <v>0.875</v>
      </c>
      <c r="I4356" s="0" t="n">
        <f aca="false">E4356</f>
        <v>-1</v>
      </c>
      <c r="J4356" s="0" t="n">
        <f aca="false">F4356</f>
        <v>1</v>
      </c>
      <c r="K4356" s="0" t="n">
        <f aca="false">D4356*E4356</f>
        <v>-0.875</v>
      </c>
      <c r="L4356" s="0" t="n">
        <f aca="false">D4356*F4356</f>
        <v>0.875</v>
      </c>
      <c r="M4356" s="0" t="n">
        <f aca="false">E4356*F4356</f>
        <v>-1</v>
      </c>
      <c r="N4356" s="0" t="n">
        <f aca="false">D4356*D4356</f>
        <v>0.765625</v>
      </c>
      <c r="O4356" s="0" t="n">
        <f aca="false">E4356*E4356</f>
        <v>1</v>
      </c>
      <c r="P4356" s="0" t="n">
        <f aca="false">F4356*F4356</f>
        <v>1</v>
      </c>
      <c r="Q4356" s="0" t="n">
        <f aca="false">SUMPRODUCT(G4356:P4356,_XtX!$B$71:$K$71)</f>
        <v>43.2290767045455</v>
      </c>
      <c r="R4356" s="0" t="n">
        <f aca="false">SUMPRODUCT(MMULT(G4356:P4356,_XtX!$B$58:$K$67),G4356:P4356)</f>
        <v>0.709818892045455</v>
      </c>
      <c r="S4356" s="0" t="n">
        <f aca="false">04_回帰ANOVA!$K$19*04_回帰ANOVA!$K$14*SQRT(1+R4356)</f>
        <v>1.21574275944458</v>
      </c>
      <c r="T4356" s="0" t="n">
        <f aca="false">Q4356-S4356</f>
        <v>42.0133339451009</v>
      </c>
      <c r="U4356" s="0" t="n">
        <f aca="false">Q4356+S4356</f>
        <v>44.4448194639901</v>
      </c>
      <c r="V4356" s="54" t="b">
        <f aca="false">AND(D4356&gt;=01_因子設定!$L$5-0.000000001,D4356&lt;=01_因子設定!$M$5+0.000000001,E4356&gt;=01_因子設定!$L$6-0.000000001,E4356&lt;=01_因子設定!$M$6+0.000000001,F4356&gt;=01_因子設定!$L$7-0.000000001,F4356&lt;=01_因子設定!$M$7+0.000000001,IF(01_因子設定!$B$20="Box-Behnken",D4356^2+E4356^2+F4356^2&lt;=2+0.000000001,TRUE()))</f>
        <v>1</v>
      </c>
      <c r="W4356" s="55" t="n">
        <f aca="false">IF(V4356,IF(01_因子設定!$B$13="最大化",T4356-01_因子設定!$B$14,IF(01_因子設定!$B$13="最小化",01_因子設定!$B$15-U4356,MIN(T4356-01_因子設定!$B$14,01_因子設定!$B$15-U4356))),-1E+030)</f>
        <v>-6.48666605489911</v>
      </c>
      <c r="X4356" s="55" t="n">
        <f aca="false">IF(V4356,IF(01_因子設定!$B$13="最大化",Q4356,IF(01_因子設定!$B$13="最小化",-Q4356,-ABS(Q4356-01_因子設定!$B$16))),-1E+030)</f>
        <v>43.2290767045455</v>
      </c>
      <c r="Y4356" s="55" t="n">
        <f aca="false">W4356+ROW()*0.000000001</f>
        <v>-6.48666169889911</v>
      </c>
      <c r="Z4356" s="55" t="n">
        <f aca="false">X4356+ROW()*0.000000001</f>
        <v>43.2290810605455</v>
      </c>
    </row>
    <row r="4357" customFormat="false" ht="15" hidden="false" customHeight="false" outlineLevel="0" collapsed="false">
      <c r="A4357" s="0" t="n">
        <v>15</v>
      </c>
      <c r="B4357" s="0" t="n">
        <v>1</v>
      </c>
      <c r="C4357" s="0" t="n">
        <v>0</v>
      </c>
      <c r="D4357" s="0" t="n">
        <f aca="false">-1+A4357*0.125</f>
        <v>0.875</v>
      </c>
      <c r="E4357" s="0" t="n">
        <f aca="false">-1+B4357*0.125</f>
        <v>-0.875</v>
      </c>
      <c r="F4357" s="0" t="n">
        <f aca="false">-1+C4357*0.125</f>
        <v>-1</v>
      </c>
      <c r="G4357" s="0" t="n">
        <f aca="false">1</f>
        <v>1</v>
      </c>
      <c r="H4357" s="0" t="n">
        <f aca="false">D4357</f>
        <v>0.875</v>
      </c>
      <c r="I4357" s="0" t="n">
        <f aca="false">E4357</f>
        <v>-0.875</v>
      </c>
      <c r="J4357" s="0" t="n">
        <f aca="false">F4357</f>
        <v>-1</v>
      </c>
      <c r="K4357" s="0" t="n">
        <f aca="false">D4357*E4357</f>
        <v>-0.765625</v>
      </c>
      <c r="L4357" s="0" t="n">
        <f aca="false">D4357*F4357</f>
        <v>-0.875</v>
      </c>
      <c r="M4357" s="0" t="n">
        <f aca="false">E4357*F4357</f>
        <v>0.875</v>
      </c>
      <c r="N4357" s="0" t="n">
        <f aca="false">D4357*D4357</f>
        <v>0.765625</v>
      </c>
      <c r="O4357" s="0" t="n">
        <f aca="false">E4357*E4357</f>
        <v>0.765625</v>
      </c>
      <c r="P4357" s="0" t="n">
        <f aca="false">F4357*F4357</f>
        <v>1</v>
      </c>
      <c r="Q4357" s="0" t="n">
        <f aca="false">SUMPRODUCT(G4357:P4357,_XtX!$B$71:$K$71)</f>
        <v>42.443203125</v>
      </c>
      <c r="R4357" s="0" t="n">
        <f aca="false">SUMPRODUCT(MMULT(G4357:P4357,_XtX!$B$58:$K$67),G4357:P4357)</f>
        <v>0.618341064453125</v>
      </c>
      <c r="S4357" s="0" t="n">
        <f aca="false">04_回帰ANOVA!$K$19*04_回帰ANOVA!$K$14*SQRT(1+R4357)</f>
        <v>1.18277371124466</v>
      </c>
      <c r="T4357" s="0" t="n">
        <f aca="false">Q4357-S4357</f>
        <v>41.2604294137554</v>
      </c>
      <c r="U4357" s="0" t="n">
        <f aca="false">Q4357+S4357</f>
        <v>43.6259768362447</v>
      </c>
      <c r="V4357" s="54" t="b">
        <f aca="false">AND(D4357&gt;=01_因子設定!$L$5-0.000000001,D4357&lt;=01_因子設定!$M$5+0.000000001,E4357&gt;=01_因子設定!$L$6-0.000000001,E4357&lt;=01_因子設定!$M$6+0.000000001,F4357&gt;=01_因子設定!$L$7-0.000000001,F4357&lt;=01_因子設定!$M$7+0.000000001,IF(01_因子設定!$B$20="Box-Behnken",D4357^2+E4357^2+F4357^2&lt;=2+0.000000001,TRUE()))</f>
        <v>1</v>
      </c>
      <c r="W4357" s="55" t="n">
        <f aca="false">IF(V4357,IF(01_因子設定!$B$13="最大化",T4357-01_因子設定!$B$14,IF(01_因子設定!$B$13="最小化",01_因子設定!$B$15-U4357,MIN(T4357-01_因子設定!$B$14,01_因子設定!$B$15-U4357))),-1E+030)</f>
        <v>-7.23957058624465</v>
      </c>
      <c r="X4357" s="55" t="n">
        <f aca="false">IF(V4357,IF(01_因子設定!$B$13="最大化",Q4357,IF(01_因子設定!$B$13="最小化",-Q4357,-ABS(Q4357-01_因子設定!$B$16))),-1E+030)</f>
        <v>42.443203125</v>
      </c>
      <c r="Y4357" s="55" t="n">
        <f aca="false">W4357+ROW()*0.000000001</f>
        <v>-7.23956622924465</v>
      </c>
      <c r="Z4357" s="55" t="n">
        <f aca="false">X4357+ROW()*0.000000001</f>
        <v>42.443207482</v>
      </c>
    </row>
    <row r="4358" customFormat="false" ht="15" hidden="false" customHeight="false" outlineLevel="0" collapsed="false">
      <c r="A4358" s="0" t="n">
        <v>15</v>
      </c>
      <c r="B4358" s="0" t="n">
        <v>1</v>
      </c>
      <c r="C4358" s="0" t="n">
        <v>1</v>
      </c>
      <c r="D4358" s="0" t="n">
        <f aca="false">-1+A4358*0.125</f>
        <v>0.875</v>
      </c>
      <c r="E4358" s="0" t="n">
        <f aca="false">-1+B4358*0.125</f>
        <v>-0.875</v>
      </c>
      <c r="F4358" s="0" t="n">
        <f aca="false">-1+C4358*0.125</f>
        <v>-0.875</v>
      </c>
      <c r="G4358" s="0" t="n">
        <f aca="false">1</f>
        <v>1</v>
      </c>
      <c r="H4358" s="0" t="n">
        <f aca="false">D4358</f>
        <v>0.875</v>
      </c>
      <c r="I4358" s="0" t="n">
        <f aca="false">E4358</f>
        <v>-0.875</v>
      </c>
      <c r="J4358" s="0" t="n">
        <f aca="false">F4358</f>
        <v>-0.875</v>
      </c>
      <c r="K4358" s="0" t="n">
        <f aca="false">D4358*E4358</f>
        <v>-0.765625</v>
      </c>
      <c r="L4358" s="0" t="n">
        <f aca="false">D4358*F4358</f>
        <v>-0.765625</v>
      </c>
      <c r="M4358" s="0" t="n">
        <f aca="false">E4358*F4358</f>
        <v>0.765625</v>
      </c>
      <c r="N4358" s="0" t="n">
        <f aca="false">D4358*D4358</f>
        <v>0.765625</v>
      </c>
      <c r="O4358" s="0" t="n">
        <f aca="false">E4358*E4358</f>
        <v>0.765625</v>
      </c>
      <c r="P4358" s="0" t="n">
        <f aca="false">F4358*F4358</f>
        <v>0.765625</v>
      </c>
      <c r="Q4358" s="0" t="n">
        <f aca="false">SUMPRODUCT(G4358:P4358,_XtX!$B$71:$K$71)</f>
        <v>42.8260014204546</v>
      </c>
      <c r="R4358" s="0" t="n">
        <f aca="false">SUMPRODUCT(MMULT(G4358:P4358,_XtX!$B$58:$K$67),G4358:P4358)</f>
        <v>0.51874833540483</v>
      </c>
      <c r="S4358" s="0" t="n">
        <f aca="false">04_回帰ANOVA!$K$19*04_回帰ANOVA!$K$14*SQRT(1+R4358)</f>
        <v>1.14580191439368</v>
      </c>
      <c r="T4358" s="0" t="n">
        <f aca="false">Q4358-S4358</f>
        <v>41.6801995060609</v>
      </c>
      <c r="U4358" s="0" t="n">
        <f aca="false">Q4358+S4358</f>
        <v>43.9718033348482</v>
      </c>
      <c r="V4358" s="54" t="b">
        <f aca="false">AND(D4358&gt;=01_因子設定!$L$5-0.000000001,D4358&lt;=01_因子設定!$M$5+0.000000001,E4358&gt;=01_因子設定!$L$6-0.000000001,E4358&lt;=01_因子設定!$M$6+0.000000001,F4358&gt;=01_因子設定!$L$7-0.000000001,F4358&lt;=01_因子設定!$M$7+0.000000001,IF(01_因子設定!$B$20="Box-Behnken",D4358^2+E4358^2+F4358^2&lt;=2+0.000000001,TRUE()))</f>
        <v>1</v>
      </c>
      <c r="W4358" s="55" t="n">
        <f aca="false">IF(V4358,IF(01_因子設定!$B$13="最大化",T4358-01_因子設定!$B$14,IF(01_因子設定!$B$13="最小化",01_因子設定!$B$15-U4358,MIN(T4358-01_因子設定!$B$14,01_因子設定!$B$15-U4358))),-1E+030)</f>
        <v>-6.81980049393912</v>
      </c>
      <c r="X4358" s="55" t="n">
        <f aca="false">IF(V4358,IF(01_因子設定!$B$13="最大化",Q4358,IF(01_因子設定!$B$13="最小化",-Q4358,-ABS(Q4358-01_因子設定!$B$16))),-1E+030)</f>
        <v>42.8260014204546</v>
      </c>
      <c r="Y4358" s="55" t="n">
        <f aca="false">W4358+ROW()*0.000000001</f>
        <v>-6.81979613593912</v>
      </c>
      <c r="Z4358" s="55" t="n">
        <f aca="false">X4358+ROW()*0.000000001</f>
        <v>42.8260057784546</v>
      </c>
    </row>
    <row r="4359" customFormat="false" ht="15" hidden="false" customHeight="false" outlineLevel="0" collapsed="false">
      <c r="A4359" s="0" t="n">
        <v>15</v>
      </c>
      <c r="B4359" s="0" t="n">
        <v>1</v>
      </c>
      <c r="C4359" s="0" t="n">
        <v>2</v>
      </c>
      <c r="D4359" s="0" t="n">
        <f aca="false">-1+A4359*0.125</f>
        <v>0.875</v>
      </c>
      <c r="E4359" s="0" t="n">
        <f aca="false">-1+B4359*0.125</f>
        <v>-0.875</v>
      </c>
      <c r="F4359" s="0" t="n">
        <f aca="false">-1+C4359*0.125</f>
        <v>-0.75</v>
      </c>
      <c r="G4359" s="0" t="n">
        <f aca="false">1</f>
        <v>1</v>
      </c>
      <c r="H4359" s="0" t="n">
        <f aca="false">D4359</f>
        <v>0.875</v>
      </c>
      <c r="I4359" s="0" t="n">
        <f aca="false">E4359</f>
        <v>-0.875</v>
      </c>
      <c r="J4359" s="0" t="n">
        <f aca="false">F4359</f>
        <v>-0.75</v>
      </c>
      <c r="K4359" s="0" t="n">
        <f aca="false">D4359*E4359</f>
        <v>-0.765625</v>
      </c>
      <c r="L4359" s="0" t="n">
        <f aca="false">D4359*F4359</f>
        <v>-0.65625</v>
      </c>
      <c r="M4359" s="0" t="n">
        <f aca="false">E4359*F4359</f>
        <v>0.65625</v>
      </c>
      <c r="N4359" s="0" t="n">
        <f aca="false">D4359*D4359</f>
        <v>0.765625</v>
      </c>
      <c r="O4359" s="0" t="n">
        <f aca="false">E4359*E4359</f>
        <v>0.765625</v>
      </c>
      <c r="P4359" s="0" t="n">
        <f aca="false">F4359*F4359</f>
        <v>0.5625</v>
      </c>
      <c r="Q4359" s="0" t="n">
        <f aca="false">SUMPRODUCT(G4359:P4359,_XtX!$B$71:$K$71)</f>
        <v>43.1720099431818</v>
      </c>
      <c r="R4359" s="0" t="n">
        <f aca="false">SUMPRODUCT(MMULT(G4359:P4359,_XtX!$B$58:$K$67),G4359:P4359)</f>
        <v>0.464749977805398</v>
      </c>
      <c r="S4359" s="0" t="n">
        <f aca="false">04_回帰ANOVA!$K$19*04_回帰ANOVA!$K$14*SQRT(1+R4359)</f>
        <v>1.12524835342194</v>
      </c>
      <c r="T4359" s="0" t="n">
        <f aca="false">Q4359-S4359</f>
        <v>42.0467615897599</v>
      </c>
      <c r="U4359" s="0" t="n">
        <f aca="false">Q4359+S4359</f>
        <v>44.2972582966038</v>
      </c>
      <c r="V4359" s="54" t="b">
        <f aca="false">AND(D4359&gt;=01_因子設定!$L$5-0.000000001,D4359&lt;=01_因子設定!$M$5+0.000000001,E4359&gt;=01_因子設定!$L$6-0.000000001,E4359&lt;=01_因子設定!$M$6+0.000000001,F4359&gt;=01_因子設定!$L$7-0.000000001,F4359&lt;=01_因子設定!$M$7+0.000000001,IF(01_因子設定!$B$20="Box-Behnken",D4359^2+E4359^2+F4359^2&lt;=2+0.000000001,TRUE()))</f>
        <v>1</v>
      </c>
      <c r="W4359" s="55" t="n">
        <f aca="false">IF(V4359,IF(01_因子設定!$B$13="最大化",T4359-01_因子設定!$B$14,IF(01_因子設定!$B$13="最小化",01_因子設定!$B$15-U4359,MIN(T4359-01_因子設定!$B$14,01_因子設定!$B$15-U4359))),-1E+030)</f>
        <v>-6.45323841024011</v>
      </c>
      <c r="X4359" s="55" t="n">
        <f aca="false">IF(V4359,IF(01_因子設定!$B$13="最大化",Q4359,IF(01_因子設定!$B$13="最小化",-Q4359,-ABS(Q4359-01_因子設定!$B$16))),-1E+030)</f>
        <v>43.1720099431818</v>
      </c>
      <c r="Y4359" s="55" t="n">
        <f aca="false">W4359+ROW()*0.000000001</f>
        <v>-6.45323405124011</v>
      </c>
      <c r="Z4359" s="55" t="n">
        <f aca="false">X4359+ROW()*0.000000001</f>
        <v>43.1720143021818</v>
      </c>
    </row>
    <row r="4360" customFormat="false" ht="15" hidden="false" customHeight="false" outlineLevel="0" collapsed="false">
      <c r="A4360" s="0" t="n">
        <v>15</v>
      </c>
      <c r="B4360" s="0" t="n">
        <v>1</v>
      </c>
      <c r="C4360" s="0" t="n">
        <v>3</v>
      </c>
      <c r="D4360" s="0" t="n">
        <f aca="false">-1+A4360*0.125</f>
        <v>0.875</v>
      </c>
      <c r="E4360" s="0" t="n">
        <f aca="false">-1+B4360*0.125</f>
        <v>-0.875</v>
      </c>
      <c r="F4360" s="0" t="n">
        <f aca="false">-1+C4360*0.125</f>
        <v>-0.625</v>
      </c>
      <c r="G4360" s="0" t="n">
        <f aca="false">1</f>
        <v>1</v>
      </c>
      <c r="H4360" s="0" t="n">
        <f aca="false">D4360</f>
        <v>0.875</v>
      </c>
      <c r="I4360" s="0" t="n">
        <f aca="false">E4360</f>
        <v>-0.875</v>
      </c>
      <c r="J4360" s="0" t="n">
        <f aca="false">F4360</f>
        <v>-0.625</v>
      </c>
      <c r="K4360" s="0" t="n">
        <f aca="false">D4360*E4360</f>
        <v>-0.765625</v>
      </c>
      <c r="L4360" s="0" t="n">
        <f aca="false">D4360*F4360</f>
        <v>-0.546875</v>
      </c>
      <c r="M4360" s="0" t="n">
        <f aca="false">E4360*F4360</f>
        <v>0.546875</v>
      </c>
      <c r="N4360" s="0" t="n">
        <f aca="false">D4360*D4360</f>
        <v>0.765625</v>
      </c>
      <c r="O4360" s="0" t="n">
        <f aca="false">E4360*E4360</f>
        <v>0.765625</v>
      </c>
      <c r="P4360" s="0" t="n">
        <f aca="false">F4360*F4360</f>
        <v>0.390625</v>
      </c>
      <c r="Q4360" s="0" t="n">
        <f aca="false">SUMPRODUCT(G4360:P4360,_XtX!$B$71:$K$71)</f>
        <v>43.4812286931818</v>
      </c>
      <c r="R4360" s="0" t="n">
        <f aca="false">SUMPRODUCT(MMULT(G4360:P4360,_XtX!$B$58:$K$67),G4360:P4360)</f>
        <v>0.442496559836648</v>
      </c>
      <c r="S4360" s="0" t="n">
        <f aca="false">04_回帰ANOVA!$K$19*04_回帰ANOVA!$K$14*SQRT(1+R4360)</f>
        <v>1.11666789259284</v>
      </c>
      <c r="T4360" s="0" t="n">
        <f aca="false">Q4360-S4360</f>
        <v>42.364560800589</v>
      </c>
      <c r="U4360" s="0" t="n">
        <f aca="false">Q4360+S4360</f>
        <v>44.5978965857747</v>
      </c>
      <c r="V4360" s="54" t="b">
        <f aca="false">AND(D4360&gt;=01_因子設定!$L$5-0.000000001,D4360&lt;=01_因子設定!$M$5+0.000000001,E4360&gt;=01_因子設定!$L$6-0.000000001,E4360&lt;=01_因子設定!$M$6+0.000000001,F4360&gt;=01_因子設定!$L$7-0.000000001,F4360&lt;=01_因子設定!$M$7+0.000000001,IF(01_因子設定!$B$20="Box-Behnken",D4360^2+E4360^2+F4360^2&lt;=2+0.000000001,TRUE()))</f>
        <v>1</v>
      </c>
      <c r="W4360" s="55" t="n">
        <f aca="false">IF(V4360,IF(01_因子設定!$B$13="最大化",T4360-01_因子設定!$B$14,IF(01_因子設定!$B$13="最小化",01_因子設定!$B$15-U4360,MIN(T4360-01_因子設定!$B$14,01_因子設定!$B$15-U4360))),-1E+030)</f>
        <v>-6.13543919941102</v>
      </c>
      <c r="X4360" s="55" t="n">
        <f aca="false">IF(V4360,IF(01_因子設定!$B$13="最大化",Q4360,IF(01_因子設定!$B$13="最小化",-Q4360,-ABS(Q4360-01_因子設定!$B$16))),-1E+030)</f>
        <v>43.4812286931818</v>
      </c>
      <c r="Y4360" s="55" t="n">
        <f aca="false">W4360+ROW()*0.000000001</f>
        <v>-6.13543483941102</v>
      </c>
      <c r="Z4360" s="55" t="n">
        <f aca="false">X4360+ROW()*0.000000001</f>
        <v>43.4812330531818</v>
      </c>
    </row>
    <row r="4361" customFormat="false" ht="15" hidden="false" customHeight="false" outlineLevel="0" collapsed="false">
      <c r="A4361" s="0" t="n">
        <v>15</v>
      </c>
      <c r="B4361" s="0" t="n">
        <v>1</v>
      </c>
      <c r="C4361" s="0" t="n">
        <v>4</v>
      </c>
      <c r="D4361" s="0" t="n">
        <f aca="false">-1+A4361*0.125</f>
        <v>0.875</v>
      </c>
      <c r="E4361" s="0" t="n">
        <f aca="false">-1+B4361*0.125</f>
        <v>-0.875</v>
      </c>
      <c r="F4361" s="0" t="n">
        <f aca="false">-1+C4361*0.125</f>
        <v>-0.5</v>
      </c>
      <c r="G4361" s="0" t="n">
        <f aca="false">1</f>
        <v>1</v>
      </c>
      <c r="H4361" s="0" t="n">
        <f aca="false">D4361</f>
        <v>0.875</v>
      </c>
      <c r="I4361" s="0" t="n">
        <f aca="false">E4361</f>
        <v>-0.875</v>
      </c>
      <c r="J4361" s="0" t="n">
        <f aca="false">F4361</f>
        <v>-0.5</v>
      </c>
      <c r="K4361" s="0" t="n">
        <f aca="false">D4361*E4361</f>
        <v>-0.765625</v>
      </c>
      <c r="L4361" s="0" t="n">
        <f aca="false">D4361*F4361</f>
        <v>-0.4375</v>
      </c>
      <c r="M4361" s="0" t="n">
        <f aca="false">E4361*F4361</f>
        <v>0.4375</v>
      </c>
      <c r="N4361" s="0" t="n">
        <f aca="false">D4361*D4361</f>
        <v>0.765625</v>
      </c>
      <c r="O4361" s="0" t="n">
        <f aca="false">E4361*E4361</f>
        <v>0.765625</v>
      </c>
      <c r="P4361" s="0" t="n">
        <f aca="false">F4361*F4361</f>
        <v>0.25</v>
      </c>
      <c r="Q4361" s="0" t="n">
        <f aca="false">SUMPRODUCT(G4361:P4361,_XtX!$B$71:$K$71)</f>
        <v>43.7536576704546</v>
      </c>
      <c r="R4361" s="0" t="n">
        <f aca="false">SUMPRODUCT(MMULT(G4361:P4361,_XtX!$B$58:$K$67),G4361:P4361)</f>
        <v>0.44026933149858</v>
      </c>
      <c r="S4361" s="0" t="n">
        <f aca="false">04_回帰ANOVA!$K$19*04_回帰ANOVA!$K$14*SQRT(1+R4361)</f>
        <v>1.11580548667718</v>
      </c>
      <c r="T4361" s="0" t="n">
        <f aca="false">Q4361-S4361</f>
        <v>42.6378521837774</v>
      </c>
      <c r="U4361" s="0" t="n">
        <f aca="false">Q4361+S4361</f>
        <v>44.8694631571317</v>
      </c>
      <c r="V4361" s="54" t="b">
        <f aca="false">AND(D4361&gt;=01_因子設定!$L$5-0.000000001,D4361&lt;=01_因子設定!$M$5+0.000000001,E4361&gt;=01_因子設定!$L$6-0.000000001,E4361&lt;=01_因子設定!$M$6+0.000000001,F4361&gt;=01_因子設定!$L$7-0.000000001,F4361&lt;=01_因子設定!$M$7+0.000000001,IF(01_因子設定!$B$20="Box-Behnken",D4361^2+E4361^2+F4361^2&lt;=2+0.000000001,TRUE()))</f>
        <v>1</v>
      </c>
      <c r="W4361" s="55" t="n">
        <f aca="false">IF(V4361,IF(01_因子設定!$B$13="最大化",T4361-01_因子設定!$B$14,IF(01_因子設定!$B$13="最小化",01_因子設定!$B$15-U4361,MIN(T4361-01_因子設定!$B$14,01_因子設定!$B$15-U4361))),-1E+030)</f>
        <v>-5.86214781622263</v>
      </c>
      <c r="X4361" s="55" t="n">
        <f aca="false">IF(V4361,IF(01_因子設定!$B$13="最大化",Q4361,IF(01_因子設定!$B$13="最小化",-Q4361,-ABS(Q4361-01_因子設定!$B$16))),-1E+030)</f>
        <v>43.7536576704546</v>
      </c>
      <c r="Y4361" s="55" t="n">
        <f aca="false">W4361+ROW()*0.000000001</f>
        <v>-5.86214345522263</v>
      </c>
      <c r="Z4361" s="55" t="n">
        <f aca="false">X4361+ROW()*0.000000001</f>
        <v>43.7536620314546</v>
      </c>
    </row>
    <row r="4362" customFormat="false" ht="15" hidden="false" customHeight="false" outlineLevel="0" collapsed="false">
      <c r="A4362" s="0" t="n">
        <v>15</v>
      </c>
      <c r="B4362" s="0" t="n">
        <v>1</v>
      </c>
      <c r="C4362" s="0" t="n">
        <v>5</v>
      </c>
      <c r="D4362" s="0" t="n">
        <f aca="false">-1+A4362*0.125</f>
        <v>0.875</v>
      </c>
      <c r="E4362" s="0" t="n">
        <f aca="false">-1+B4362*0.125</f>
        <v>-0.875</v>
      </c>
      <c r="F4362" s="0" t="n">
        <f aca="false">-1+C4362*0.125</f>
        <v>-0.375</v>
      </c>
      <c r="G4362" s="0" t="n">
        <f aca="false">1</f>
        <v>1</v>
      </c>
      <c r="H4362" s="0" t="n">
        <f aca="false">D4362</f>
        <v>0.875</v>
      </c>
      <c r="I4362" s="0" t="n">
        <f aca="false">E4362</f>
        <v>-0.875</v>
      </c>
      <c r="J4362" s="0" t="n">
        <f aca="false">F4362</f>
        <v>-0.375</v>
      </c>
      <c r="K4362" s="0" t="n">
        <f aca="false">D4362*E4362</f>
        <v>-0.765625</v>
      </c>
      <c r="L4362" s="0" t="n">
        <f aca="false">D4362*F4362</f>
        <v>-0.328125</v>
      </c>
      <c r="M4362" s="0" t="n">
        <f aca="false">E4362*F4362</f>
        <v>0.328125</v>
      </c>
      <c r="N4362" s="0" t="n">
        <f aca="false">D4362*D4362</f>
        <v>0.765625</v>
      </c>
      <c r="O4362" s="0" t="n">
        <f aca="false">E4362*E4362</f>
        <v>0.765625</v>
      </c>
      <c r="P4362" s="0" t="n">
        <f aca="false">F4362*F4362</f>
        <v>0.140625</v>
      </c>
      <c r="Q4362" s="0" t="n">
        <f aca="false">SUMPRODUCT(G4362:P4362,_XtX!$B$71:$K$71)</f>
        <v>43.989296875</v>
      </c>
      <c r="R4362" s="0" t="n">
        <f aca="false">SUMPRODUCT(MMULT(G4362:P4362,_XtX!$B$58:$K$67),G4362:P4362)</f>
        <v>0.448480224609375</v>
      </c>
      <c r="S4362" s="0" t="n">
        <f aca="false">04_回帰ANOVA!$K$19*04_回帰ANOVA!$K$14*SQRT(1+R4362)</f>
        <v>1.11898153812985</v>
      </c>
      <c r="T4362" s="0" t="n">
        <f aca="false">Q4362-S4362</f>
        <v>42.8703153368702</v>
      </c>
      <c r="U4362" s="0" t="n">
        <f aca="false">Q4362+S4362</f>
        <v>45.1082784131298</v>
      </c>
      <c r="V4362" s="54" t="b">
        <f aca="false">AND(D4362&gt;=01_因子設定!$L$5-0.000000001,D4362&lt;=01_因子設定!$M$5+0.000000001,E4362&gt;=01_因子設定!$L$6-0.000000001,E4362&lt;=01_因子設定!$M$6+0.000000001,F4362&gt;=01_因子設定!$L$7-0.000000001,F4362&lt;=01_因子設定!$M$7+0.000000001,IF(01_因子設定!$B$20="Box-Behnken",D4362^2+E4362^2+F4362^2&lt;=2+0.000000001,TRUE()))</f>
        <v>1</v>
      </c>
      <c r="W4362" s="55" t="n">
        <f aca="false">IF(V4362,IF(01_因子設定!$B$13="最大化",T4362-01_因子設定!$B$14,IF(01_因子設定!$B$13="最小化",01_因子設定!$B$15-U4362,MIN(T4362-01_因子設定!$B$14,01_因子設定!$B$15-U4362))),-1E+030)</f>
        <v>-5.62968466312984</v>
      </c>
      <c r="X4362" s="55" t="n">
        <f aca="false">IF(V4362,IF(01_因子設定!$B$13="最大化",Q4362,IF(01_因子設定!$B$13="最小化",-Q4362,-ABS(Q4362-01_因子設定!$B$16))),-1E+030)</f>
        <v>43.989296875</v>
      </c>
      <c r="Y4362" s="55" t="n">
        <f aca="false">W4362+ROW()*0.000000001</f>
        <v>-5.62968030112984</v>
      </c>
      <c r="Z4362" s="55" t="n">
        <f aca="false">X4362+ROW()*0.000000001</f>
        <v>43.989301237</v>
      </c>
    </row>
    <row r="4363" customFormat="false" ht="15" hidden="false" customHeight="false" outlineLevel="0" collapsed="false">
      <c r="A4363" s="0" t="n">
        <v>15</v>
      </c>
      <c r="B4363" s="0" t="n">
        <v>1</v>
      </c>
      <c r="C4363" s="0" t="n">
        <v>6</v>
      </c>
      <c r="D4363" s="0" t="n">
        <f aca="false">-1+A4363*0.125</f>
        <v>0.875</v>
      </c>
      <c r="E4363" s="0" t="n">
        <f aca="false">-1+B4363*0.125</f>
        <v>-0.875</v>
      </c>
      <c r="F4363" s="0" t="n">
        <f aca="false">-1+C4363*0.125</f>
        <v>-0.25</v>
      </c>
      <c r="G4363" s="0" t="n">
        <f aca="false">1</f>
        <v>1</v>
      </c>
      <c r="H4363" s="0" t="n">
        <f aca="false">D4363</f>
        <v>0.875</v>
      </c>
      <c r="I4363" s="0" t="n">
        <f aca="false">E4363</f>
        <v>-0.875</v>
      </c>
      <c r="J4363" s="0" t="n">
        <f aca="false">F4363</f>
        <v>-0.25</v>
      </c>
      <c r="K4363" s="0" t="n">
        <f aca="false">D4363*E4363</f>
        <v>-0.765625</v>
      </c>
      <c r="L4363" s="0" t="n">
        <f aca="false">D4363*F4363</f>
        <v>-0.21875</v>
      </c>
      <c r="M4363" s="0" t="n">
        <f aca="false">E4363*F4363</f>
        <v>0.21875</v>
      </c>
      <c r="N4363" s="0" t="n">
        <f aca="false">D4363*D4363</f>
        <v>0.765625</v>
      </c>
      <c r="O4363" s="0" t="n">
        <f aca="false">E4363*E4363</f>
        <v>0.765625</v>
      </c>
      <c r="P4363" s="0" t="n">
        <f aca="false">F4363*F4363</f>
        <v>0.0625</v>
      </c>
      <c r="Q4363" s="0" t="n">
        <f aca="false">SUMPRODUCT(G4363:P4363,_XtX!$B$71:$K$71)</f>
        <v>44.1881463068182</v>
      </c>
      <c r="R4363" s="0" t="n">
        <f aca="false">SUMPRODUCT(MMULT(G4363:P4363,_XtX!$B$58:$K$67),G4363:P4363)</f>
        <v>0.459671852805398</v>
      </c>
      <c r="S4363" s="0" t="n">
        <f aca="false">04_回帰ANOVA!$K$19*04_回帰ANOVA!$K$14*SQRT(1+R4363)</f>
        <v>1.12329610455115</v>
      </c>
      <c r="T4363" s="0" t="n">
        <f aca="false">Q4363-S4363</f>
        <v>43.064850202267</v>
      </c>
      <c r="U4363" s="0" t="n">
        <f aca="false">Q4363+S4363</f>
        <v>45.3114424113693</v>
      </c>
      <c r="V4363" s="54" t="b">
        <f aca="false">AND(D4363&gt;=01_因子設定!$L$5-0.000000001,D4363&lt;=01_因子設定!$M$5+0.000000001,E4363&gt;=01_因子設定!$L$6-0.000000001,E4363&lt;=01_因子設定!$M$6+0.000000001,F4363&gt;=01_因子設定!$L$7-0.000000001,F4363&lt;=01_因子設定!$M$7+0.000000001,IF(01_因子設定!$B$20="Box-Behnken",D4363^2+E4363^2+F4363^2&lt;=2+0.000000001,TRUE()))</f>
        <v>1</v>
      </c>
      <c r="W4363" s="55" t="n">
        <f aca="false">IF(V4363,IF(01_因子設定!$B$13="最大化",T4363-01_因子設定!$B$14,IF(01_因子設定!$B$13="最小化",01_因子設定!$B$15-U4363,MIN(T4363-01_因子設定!$B$14,01_因子設定!$B$15-U4363))),-1E+030)</f>
        <v>-5.43514979773297</v>
      </c>
      <c r="X4363" s="55" t="n">
        <f aca="false">IF(V4363,IF(01_因子設定!$B$13="最大化",Q4363,IF(01_因子設定!$B$13="最小化",-Q4363,-ABS(Q4363-01_因子設定!$B$16))),-1E+030)</f>
        <v>44.1881463068182</v>
      </c>
      <c r="Y4363" s="55" t="n">
        <f aca="false">W4363+ROW()*0.000000001</f>
        <v>-5.43514543473297</v>
      </c>
      <c r="Z4363" s="55" t="n">
        <f aca="false">X4363+ROW()*0.000000001</f>
        <v>44.1881506698182</v>
      </c>
    </row>
    <row r="4364" customFormat="false" ht="15" hidden="false" customHeight="false" outlineLevel="0" collapsed="false">
      <c r="A4364" s="0" t="n">
        <v>15</v>
      </c>
      <c r="B4364" s="0" t="n">
        <v>1</v>
      </c>
      <c r="C4364" s="0" t="n">
        <v>7</v>
      </c>
      <c r="D4364" s="0" t="n">
        <f aca="false">-1+A4364*0.125</f>
        <v>0.875</v>
      </c>
      <c r="E4364" s="0" t="n">
        <f aca="false">-1+B4364*0.125</f>
        <v>-0.875</v>
      </c>
      <c r="F4364" s="0" t="n">
        <f aca="false">-1+C4364*0.125</f>
        <v>-0.125</v>
      </c>
      <c r="G4364" s="0" t="n">
        <f aca="false">1</f>
        <v>1</v>
      </c>
      <c r="H4364" s="0" t="n">
        <f aca="false">D4364</f>
        <v>0.875</v>
      </c>
      <c r="I4364" s="0" t="n">
        <f aca="false">E4364</f>
        <v>-0.875</v>
      </c>
      <c r="J4364" s="0" t="n">
        <f aca="false">F4364</f>
        <v>-0.125</v>
      </c>
      <c r="K4364" s="0" t="n">
        <f aca="false">D4364*E4364</f>
        <v>-0.765625</v>
      </c>
      <c r="L4364" s="0" t="n">
        <f aca="false">D4364*F4364</f>
        <v>-0.109375</v>
      </c>
      <c r="M4364" s="0" t="n">
        <f aca="false">E4364*F4364</f>
        <v>0.109375</v>
      </c>
      <c r="N4364" s="0" t="n">
        <f aca="false">D4364*D4364</f>
        <v>0.765625</v>
      </c>
      <c r="O4364" s="0" t="n">
        <f aca="false">E4364*E4364</f>
        <v>0.765625</v>
      </c>
      <c r="P4364" s="0" t="n">
        <f aca="false">F4364*F4364</f>
        <v>0.015625</v>
      </c>
      <c r="Q4364" s="0" t="n">
        <f aca="false">SUMPRODUCT(G4364:P4364,_XtX!$B$71:$K$71)</f>
        <v>44.3502059659091</v>
      </c>
      <c r="R4364" s="0" t="n">
        <f aca="false">SUMPRODUCT(MMULT(G4364:P4364,_XtX!$B$58:$K$67),G4364:P4364)</f>
        <v>0.468517511541193</v>
      </c>
      <c r="S4364" s="0" t="n">
        <f aca="false">04_回帰ANOVA!$K$19*04_回帰ANOVA!$K$14*SQRT(1+R4364)</f>
        <v>1.12669456902645</v>
      </c>
      <c r="T4364" s="0" t="n">
        <f aca="false">Q4364-S4364</f>
        <v>43.2235113968826</v>
      </c>
      <c r="U4364" s="0" t="n">
        <f aca="false">Q4364+S4364</f>
        <v>45.4769005349355</v>
      </c>
      <c r="V4364" s="54" t="b">
        <f aca="false">AND(D4364&gt;=01_因子設定!$L$5-0.000000001,D4364&lt;=01_因子設定!$M$5+0.000000001,E4364&gt;=01_因子設定!$L$6-0.000000001,E4364&lt;=01_因子設定!$M$6+0.000000001,F4364&gt;=01_因子設定!$L$7-0.000000001,F4364&lt;=01_因子設定!$M$7+0.000000001,IF(01_因子設定!$B$20="Box-Behnken",D4364^2+E4364^2+F4364^2&lt;=2+0.000000001,TRUE()))</f>
        <v>1</v>
      </c>
      <c r="W4364" s="55" t="n">
        <f aca="false">IF(V4364,IF(01_因子設定!$B$13="最大化",T4364-01_因子設定!$B$14,IF(01_因子設定!$B$13="最小化",01_因子設定!$B$15-U4364,MIN(T4364-01_因子設定!$B$14,01_因子設定!$B$15-U4364))),-1E+030)</f>
        <v>-5.27648860311736</v>
      </c>
      <c r="X4364" s="55" t="n">
        <f aca="false">IF(V4364,IF(01_因子設定!$B$13="最大化",Q4364,IF(01_因子設定!$B$13="最小化",-Q4364,-ABS(Q4364-01_因子設定!$B$16))),-1E+030)</f>
        <v>44.3502059659091</v>
      </c>
      <c r="Y4364" s="55" t="n">
        <f aca="false">W4364+ROW()*0.000000001</f>
        <v>-5.27648423911736</v>
      </c>
      <c r="Z4364" s="55" t="n">
        <f aca="false">X4364+ROW()*0.000000001</f>
        <v>44.3502103299091</v>
      </c>
    </row>
    <row r="4365" customFormat="false" ht="15" hidden="false" customHeight="false" outlineLevel="0" collapsed="false">
      <c r="A4365" s="0" t="n">
        <v>15</v>
      </c>
      <c r="B4365" s="0" t="n">
        <v>1</v>
      </c>
      <c r="C4365" s="0" t="n">
        <v>8</v>
      </c>
      <c r="D4365" s="0" t="n">
        <f aca="false">-1+A4365*0.125</f>
        <v>0.875</v>
      </c>
      <c r="E4365" s="0" t="n">
        <f aca="false">-1+B4365*0.125</f>
        <v>-0.875</v>
      </c>
      <c r="F4365" s="0" t="n">
        <f aca="false">-1+C4365*0.125</f>
        <v>0</v>
      </c>
      <c r="G4365" s="0" t="n">
        <f aca="false">1</f>
        <v>1</v>
      </c>
      <c r="H4365" s="0" t="n">
        <f aca="false">D4365</f>
        <v>0.875</v>
      </c>
      <c r="I4365" s="0" t="n">
        <f aca="false">E4365</f>
        <v>-0.875</v>
      </c>
      <c r="J4365" s="0" t="n">
        <f aca="false">F4365</f>
        <v>0</v>
      </c>
      <c r="K4365" s="0" t="n">
        <f aca="false">D4365*E4365</f>
        <v>-0.765625</v>
      </c>
      <c r="L4365" s="0" t="n">
        <f aca="false">D4365*F4365</f>
        <v>0</v>
      </c>
      <c r="M4365" s="0" t="n">
        <f aca="false">E4365*F4365</f>
        <v>-0</v>
      </c>
      <c r="N4365" s="0" t="n">
        <f aca="false">D4365*D4365</f>
        <v>0.765625</v>
      </c>
      <c r="O4365" s="0" t="n">
        <f aca="false">E4365*E4365</f>
        <v>0.765625</v>
      </c>
      <c r="P4365" s="0" t="n">
        <f aca="false">F4365*F4365</f>
        <v>0</v>
      </c>
      <c r="Q4365" s="0" t="n">
        <f aca="false">SUMPRODUCT(G4365:P4365,_XtX!$B$71:$K$71)</f>
        <v>44.4754758522727</v>
      </c>
      <c r="R4365" s="0" t="n">
        <f aca="false">SUMPRODUCT(MMULT(G4365:P4365,_XtX!$B$58:$K$67),G4365:P4365)</f>
        <v>0.471821178089489</v>
      </c>
      <c r="S4365" s="0" t="n">
        <f aca="false">04_回帰ANOVA!$K$19*04_回帰ANOVA!$K$14*SQRT(1+R4365)</f>
        <v>1.12796119746125</v>
      </c>
      <c r="T4365" s="0" t="n">
        <f aca="false">Q4365-S4365</f>
        <v>43.3475146548115</v>
      </c>
      <c r="U4365" s="0" t="n">
        <f aca="false">Q4365+S4365</f>
        <v>45.603437049734</v>
      </c>
      <c r="V4365" s="54" t="b">
        <f aca="false">AND(D4365&gt;=01_因子設定!$L$5-0.000000001,D4365&lt;=01_因子設定!$M$5+0.000000001,E4365&gt;=01_因子設定!$L$6-0.000000001,E4365&lt;=01_因子設定!$M$6+0.000000001,F4365&gt;=01_因子設定!$L$7-0.000000001,F4365&lt;=01_因子設定!$M$7+0.000000001,IF(01_因子設定!$B$20="Box-Behnken",D4365^2+E4365^2+F4365^2&lt;=2+0.000000001,TRUE()))</f>
        <v>1</v>
      </c>
      <c r="W4365" s="55" t="n">
        <f aca="false">IF(V4365,IF(01_因子設定!$B$13="最大化",T4365-01_因子設定!$B$14,IF(01_因子設定!$B$13="最小化",01_因子設定!$B$15-U4365,MIN(T4365-01_因子設定!$B$14,01_因子設定!$B$15-U4365))),-1E+030)</f>
        <v>-5.15248534518853</v>
      </c>
      <c r="X4365" s="55" t="n">
        <f aca="false">IF(V4365,IF(01_因子設定!$B$13="最大化",Q4365,IF(01_因子設定!$B$13="最小化",-Q4365,-ABS(Q4365-01_因子設定!$B$16))),-1E+030)</f>
        <v>44.4754758522727</v>
      </c>
      <c r="Y4365" s="55" t="n">
        <f aca="false">W4365+ROW()*0.000000001</f>
        <v>-5.15248098018853</v>
      </c>
      <c r="Z4365" s="55" t="n">
        <f aca="false">X4365+ROW()*0.000000001</f>
        <v>44.4754802172727</v>
      </c>
    </row>
    <row r="4366" customFormat="false" ht="15" hidden="false" customHeight="false" outlineLevel="0" collapsed="false">
      <c r="A4366" s="0" t="n">
        <v>15</v>
      </c>
      <c r="B4366" s="0" t="n">
        <v>1</v>
      </c>
      <c r="C4366" s="0" t="n">
        <v>9</v>
      </c>
      <c r="D4366" s="0" t="n">
        <f aca="false">-1+A4366*0.125</f>
        <v>0.875</v>
      </c>
      <c r="E4366" s="0" t="n">
        <f aca="false">-1+B4366*0.125</f>
        <v>-0.875</v>
      </c>
      <c r="F4366" s="0" t="n">
        <f aca="false">-1+C4366*0.125</f>
        <v>0.125</v>
      </c>
      <c r="G4366" s="0" t="n">
        <f aca="false">1</f>
        <v>1</v>
      </c>
      <c r="H4366" s="0" t="n">
        <f aca="false">D4366</f>
        <v>0.875</v>
      </c>
      <c r="I4366" s="0" t="n">
        <f aca="false">E4366</f>
        <v>-0.875</v>
      </c>
      <c r="J4366" s="0" t="n">
        <f aca="false">F4366</f>
        <v>0.125</v>
      </c>
      <c r="K4366" s="0" t="n">
        <f aca="false">D4366*E4366</f>
        <v>-0.765625</v>
      </c>
      <c r="L4366" s="0" t="n">
        <f aca="false">D4366*F4366</f>
        <v>0.109375</v>
      </c>
      <c r="M4366" s="0" t="n">
        <f aca="false">E4366*F4366</f>
        <v>-0.109375</v>
      </c>
      <c r="N4366" s="0" t="n">
        <f aca="false">D4366*D4366</f>
        <v>0.765625</v>
      </c>
      <c r="O4366" s="0" t="n">
        <f aca="false">E4366*E4366</f>
        <v>0.765625</v>
      </c>
      <c r="P4366" s="0" t="n">
        <f aca="false">F4366*F4366</f>
        <v>0.015625</v>
      </c>
      <c r="Q4366" s="0" t="n">
        <f aca="false">SUMPRODUCT(G4366:P4366,_XtX!$B$71:$K$71)</f>
        <v>44.5639559659091</v>
      </c>
      <c r="R4366" s="0" t="n">
        <f aca="false">SUMPRODUCT(MMULT(G4366:P4366,_XtX!$B$58:$K$67),G4366:P4366)</f>
        <v>0.468517511541193</v>
      </c>
      <c r="S4366" s="0" t="n">
        <f aca="false">04_回帰ANOVA!$K$19*04_回帰ANOVA!$K$14*SQRT(1+R4366)</f>
        <v>1.12669456902645</v>
      </c>
      <c r="T4366" s="0" t="n">
        <f aca="false">Q4366-S4366</f>
        <v>43.4372613968826</v>
      </c>
      <c r="U4366" s="0" t="n">
        <f aca="false">Q4366+S4366</f>
        <v>45.6906505349355</v>
      </c>
      <c r="V4366" s="54" t="b">
        <f aca="false">AND(D4366&gt;=01_因子設定!$L$5-0.000000001,D4366&lt;=01_因子設定!$M$5+0.000000001,E4366&gt;=01_因子設定!$L$6-0.000000001,E4366&lt;=01_因子設定!$M$6+0.000000001,F4366&gt;=01_因子設定!$L$7-0.000000001,F4366&lt;=01_因子設定!$M$7+0.000000001,IF(01_因子設定!$B$20="Box-Behnken",D4366^2+E4366^2+F4366^2&lt;=2+0.000000001,TRUE()))</f>
        <v>1</v>
      </c>
      <c r="W4366" s="55" t="n">
        <f aca="false">IF(V4366,IF(01_因子設定!$B$13="最大化",T4366-01_因子設定!$B$14,IF(01_因子設定!$B$13="最小化",01_因子設定!$B$15-U4366,MIN(T4366-01_因子設定!$B$14,01_因子設定!$B$15-U4366))),-1E+030)</f>
        <v>-5.06273860311736</v>
      </c>
      <c r="X4366" s="55" t="n">
        <f aca="false">IF(V4366,IF(01_因子設定!$B$13="最大化",Q4366,IF(01_因子設定!$B$13="最小化",-Q4366,-ABS(Q4366-01_因子設定!$B$16))),-1E+030)</f>
        <v>44.5639559659091</v>
      </c>
      <c r="Y4366" s="55" t="n">
        <f aca="false">W4366+ROW()*0.000000001</f>
        <v>-5.06273423711736</v>
      </c>
      <c r="Z4366" s="55" t="n">
        <f aca="false">X4366+ROW()*0.000000001</f>
        <v>44.5639603319091</v>
      </c>
    </row>
    <row r="4367" customFormat="false" ht="15" hidden="false" customHeight="false" outlineLevel="0" collapsed="false">
      <c r="A4367" s="0" t="n">
        <v>15</v>
      </c>
      <c r="B4367" s="0" t="n">
        <v>1</v>
      </c>
      <c r="C4367" s="0" t="n">
        <v>10</v>
      </c>
      <c r="D4367" s="0" t="n">
        <f aca="false">-1+A4367*0.125</f>
        <v>0.875</v>
      </c>
      <c r="E4367" s="0" t="n">
        <f aca="false">-1+B4367*0.125</f>
        <v>-0.875</v>
      </c>
      <c r="F4367" s="0" t="n">
        <f aca="false">-1+C4367*0.125</f>
        <v>0.25</v>
      </c>
      <c r="G4367" s="0" t="n">
        <f aca="false">1</f>
        <v>1</v>
      </c>
      <c r="H4367" s="0" t="n">
        <f aca="false">D4367</f>
        <v>0.875</v>
      </c>
      <c r="I4367" s="0" t="n">
        <f aca="false">E4367</f>
        <v>-0.875</v>
      </c>
      <c r="J4367" s="0" t="n">
        <f aca="false">F4367</f>
        <v>0.25</v>
      </c>
      <c r="K4367" s="0" t="n">
        <f aca="false">D4367*E4367</f>
        <v>-0.765625</v>
      </c>
      <c r="L4367" s="0" t="n">
        <f aca="false">D4367*F4367</f>
        <v>0.21875</v>
      </c>
      <c r="M4367" s="0" t="n">
        <f aca="false">E4367*F4367</f>
        <v>-0.21875</v>
      </c>
      <c r="N4367" s="0" t="n">
        <f aca="false">D4367*D4367</f>
        <v>0.765625</v>
      </c>
      <c r="O4367" s="0" t="n">
        <f aca="false">E4367*E4367</f>
        <v>0.765625</v>
      </c>
      <c r="P4367" s="0" t="n">
        <f aca="false">F4367*F4367</f>
        <v>0.0625</v>
      </c>
      <c r="Q4367" s="0" t="n">
        <f aca="false">SUMPRODUCT(G4367:P4367,_XtX!$B$71:$K$71)</f>
        <v>44.6156463068182</v>
      </c>
      <c r="R4367" s="0" t="n">
        <f aca="false">SUMPRODUCT(MMULT(G4367:P4367,_XtX!$B$58:$K$67),G4367:P4367)</f>
        <v>0.459671852805398</v>
      </c>
      <c r="S4367" s="0" t="n">
        <f aca="false">04_回帰ANOVA!$K$19*04_回帰ANOVA!$K$14*SQRT(1+R4367)</f>
        <v>1.12329610455115</v>
      </c>
      <c r="T4367" s="0" t="n">
        <f aca="false">Q4367-S4367</f>
        <v>43.492350202267</v>
      </c>
      <c r="U4367" s="0" t="n">
        <f aca="false">Q4367+S4367</f>
        <v>45.7389424113693</v>
      </c>
      <c r="V4367" s="54" t="b">
        <f aca="false">AND(D4367&gt;=01_因子設定!$L$5-0.000000001,D4367&lt;=01_因子設定!$M$5+0.000000001,E4367&gt;=01_因子設定!$L$6-0.000000001,E4367&lt;=01_因子設定!$M$6+0.000000001,F4367&gt;=01_因子設定!$L$7-0.000000001,F4367&lt;=01_因子設定!$M$7+0.000000001,IF(01_因子設定!$B$20="Box-Behnken",D4367^2+E4367^2+F4367^2&lt;=2+0.000000001,TRUE()))</f>
        <v>1</v>
      </c>
      <c r="W4367" s="55" t="n">
        <f aca="false">IF(V4367,IF(01_因子設定!$B$13="最大化",T4367-01_因子設定!$B$14,IF(01_因子設定!$B$13="最小化",01_因子設定!$B$15-U4367,MIN(T4367-01_因子設定!$B$14,01_因子設定!$B$15-U4367))),-1E+030)</f>
        <v>-5.00764979773297</v>
      </c>
      <c r="X4367" s="55" t="n">
        <f aca="false">IF(V4367,IF(01_因子設定!$B$13="最大化",Q4367,IF(01_因子設定!$B$13="最小化",-Q4367,-ABS(Q4367-01_因子設定!$B$16))),-1E+030)</f>
        <v>44.6156463068182</v>
      </c>
      <c r="Y4367" s="55" t="n">
        <f aca="false">W4367+ROW()*0.000000001</f>
        <v>-5.00764543073297</v>
      </c>
      <c r="Z4367" s="55" t="n">
        <f aca="false">X4367+ROW()*0.000000001</f>
        <v>44.6156506738182</v>
      </c>
    </row>
    <row r="4368" customFormat="false" ht="15" hidden="false" customHeight="false" outlineLevel="0" collapsed="false">
      <c r="A4368" s="0" t="n">
        <v>15</v>
      </c>
      <c r="B4368" s="0" t="n">
        <v>1</v>
      </c>
      <c r="C4368" s="0" t="n">
        <v>11</v>
      </c>
      <c r="D4368" s="0" t="n">
        <f aca="false">-1+A4368*0.125</f>
        <v>0.875</v>
      </c>
      <c r="E4368" s="0" t="n">
        <f aca="false">-1+B4368*0.125</f>
        <v>-0.875</v>
      </c>
      <c r="F4368" s="0" t="n">
        <f aca="false">-1+C4368*0.125</f>
        <v>0.375</v>
      </c>
      <c r="G4368" s="0" t="n">
        <f aca="false">1</f>
        <v>1</v>
      </c>
      <c r="H4368" s="0" t="n">
        <f aca="false">D4368</f>
        <v>0.875</v>
      </c>
      <c r="I4368" s="0" t="n">
        <f aca="false">E4368</f>
        <v>-0.875</v>
      </c>
      <c r="J4368" s="0" t="n">
        <f aca="false">F4368</f>
        <v>0.375</v>
      </c>
      <c r="K4368" s="0" t="n">
        <f aca="false">D4368*E4368</f>
        <v>-0.765625</v>
      </c>
      <c r="L4368" s="0" t="n">
        <f aca="false">D4368*F4368</f>
        <v>0.328125</v>
      </c>
      <c r="M4368" s="0" t="n">
        <f aca="false">E4368*F4368</f>
        <v>-0.328125</v>
      </c>
      <c r="N4368" s="0" t="n">
        <f aca="false">D4368*D4368</f>
        <v>0.765625</v>
      </c>
      <c r="O4368" s="0" t="n">
        <f aca="false">E4368*E4368</f>
        <v>0.765625</v>
      </c>
      <c r="P4368" s="0" t="n">
        <f aca="false">F4368*F4368</f>
        <v>0.140625</v>
      </c>
      <c r="Q4368" s="0" t="n">
        <f aca="false">SUMPRODUCT(G4368:P4368,_XtX!$B$71:$K$71)</f>
        <v>44.630546875</v>
      </c>
      <c r="R4368" s="0" t="n">
        <f aca="false">SUMPRODUCT(MMULT(G4368:P4368,_XtX!$B$58:$K$67),G4368:P4368)</f>
        <v>0.448480224609375</v>
      </c>
      <c r="S4368" s="0" t="n">
        <f aca="false">04_回帰ANOVA!$K$19*04_回帰ANOVA!$K$14*SQRT(1+R4368)</f>
        <v>1.11898153812985</v>
      </c>
      <c r="T4368" s="0" t="n">
        <f aca="false">Q4368-S4368</f>
        <v>43.5115653368702</v>
      </c>
      <c r="U4368" s="0" t="n">
        <f aca="false">Q4368+S4368</f>
        <v>45.7495284131298</v>
      </c>
      <c r="V4368" s="54" t="b">
        <f aca="false">AND(D4368&gt;=01_因子設定!$L$5-0.000000001,D4368&lt;=01_因子設定!$M$5+0.000000001,E4368&gt;=01_因子設定!$L$6-0.000000001,E4368&lt;=01_因子設定!$M$6+0.000000001,F4368&gt;=01_因子設定!$L$7-0.000000001,F4368&lt;=01_因子設定!$M$7+0.000000001,IF(01_因子設定!$B$20="Box-Behnken",D4368^2+E4368^2+F4368^2&lt;=2+0.000000001,TRUE()))</f>
        <v>1</v>
      </c>
      <c r="W4368" s="55" t="n">
        <f aca="false">IF(V4368,IF(01_因子設定!$B$13="最大化",T4368-01_因子設定!$B$14,IF(01_因子設定!$B$13="最小化",01_因子設定!$B$15-U4368,MIN(T4368-01_因子設定!$B$14,01_因子設定!$B$15-U4368))),-1E+030)</f>
        <v>-4.98843466312984</v>
      </c>
      <c r="X4368" s="55" t="n">
        <f aca="false">IF(V4368,IF(01_因子設定!$B$13="最大化",Q4368,IF(01_因子設定!$B$13="最小化",-Q4368,-ABS(Q4368-01_因子設定!$B$16))),-1E+030)</f>
        <v>44.630546875</v>
      </c>
      <c r="Y4368" s="55" t="n">
        <f aca="false">W4368+ROW()*0.000000001</f>
        <v>-4.98843029512984</v>
      </c>
      <c r="Z4368" s="55" t="n">
        <f aca="false">X4368+ROW()*0.000000001</f>
        <v>44.630551243</v>
      </c>
    </row>
    <row r="4369" customFormat="false" ht="15" hidden="false" customHeight="false" outlineLevel="0" collapsed="false">
      <c r="A4369" s="0" t="n">
        <v>15</v>
      </c>
      <c r="B4369" s="0" t="n">
        <v>1</v>
      </c>
      <c r="C4369" s="0" t="n">
        <v>12</v>
      </c>
      <c r="D4369" s="0" t="n">
        <f aca="false">-1+A4369*0.125</f>
        <v>0.875</v>
      </c>
      <c r="E4369" s="0" t="n">
        <f aca="false">-1+B4369*0.125</f>
        <v>-0.875</v>
      </c>
      <c r="F4369" s="0" t="n">
        <f aca="false">-1+C4369*0.125</f>
        <v>0.5</v>
      </c>
      <c r="G4369" s="0" t="n">
        <f aca="false">1</f>
        <v>1</v>
      </c>
      <c r="H4369" s="0" t="n">
        <f aca="false">D4369</f>
        <v>0.875</v>
      </c>
      <c r="I4369" s="0" t="n">
        <f aca="false">E4369</f>
        <v>-0.875</v>
      </c>
      <c r="J4369" s="0" t="n">
        <f aca="false">F4369</f>
        <v>0.5</v>
      </c>
      <c r="K4369" s="0" t="n">
        <f aca="false">D4369*E4369</f>
        <v>-0.765625</v>
      </c>
      <c r="L4369" s="0" t="n">
        <f aca="false">D4369*F4369</f>
        <v>0.4375</v>
      </c>
      <c r="M4369" s="0" t="n">
        <f aca="false">E4369*F4369</f>
        <v>-0.4375</v>
      </c>
      <c r="N4369" s="0" t="n">
        <f aca="false">D4369*D4369</f>
        <v>0.765625</v>
      </c>
      <c r="O4369" s="0" t="n">
        <f aca="false">E4369*E4369</f>
        <v>0.765625</v>
      </c>
      <c r="P4369" s="0" t="n">
        <f aca="false">F4369*F4369</f>
        <v>0.25</v>
      </c>
      <c r="Q4369" s="0" t="n">
        <f aca="false">SUMPRODUCT(G4369:P4369,_XtX!$B$71:$K$71)</f>
        <v>44.6086576704546</v>
      </c>
      <c r="R4369" s="0" t="n">
        <f aca="false">SUMPRODUCT(MMULT(G4369:P4369,_XtX!$B$58:$K$67),G4369:P4369)</f>
        <v>0.44026933149858</v>
      </c>
      <c r="S4369" s="0" t="n">
        <f aca="false">04_回帰ANOVA!$K$19*04_回帰ANOVA!$K$14*SQRT(1+R4369)</f>
        <v>1.11580548667718</v>
      </c>
      <c r="T4369" s="0" t="n">
        <f aca="false">Q4369-S4369</f>
        <v>43.4928521837774</v>
      </c>
      <c r="U4369" s="0" t="n">
        <f aca="false">Q4369+S4369</f>
        <v>45.7244631571317</v>
      </c>
      <c r="V4369" s="54" t="b">
        <f aca="false">AND(D4369&gt;=01_因子設定!$L$5-0.000000001,D4369&lt;=01_因子設定!$M$5+0.000000001,E4369&gt;=01_因子設定!$L$6-0.000000001,E4369&lt;=01_因子設定!$M$6+0.000000001,F4369&gt;=01_因子設定!$L$7-0.000000001,F4369&lt;=01_因子設定!$M$7+0.000000001,IF(01_因子設定!$B$20="Box-Behnken",D4369^2+E4369^2+F4369^2&lt;=2+0.000000001,TRUE()))</f>
        <v>1</v>
      </c>
      <c r="W4369" s="55" t="n">
        <f aca="false">IF(V4369,IF(01_因子設定!$B$13="最大化",T4369-01_因子設定!$B$14,IF(01_因子設定!$B$13="最小化",01_因子設定!$B$15-U4369,MIN(T4369-01_因子設定!$B$14,01_因子設定!$B$15-U4369))),-1E+030)</f>
        <v>-5.00714781622263</v>
      </c>
      <c r="X4369" s="55" t="n">
        <f aca="false">IF(V4369,IF(01_因子設定!$B$13="最大化",Q4369,IF(01_因子設定!$B$13="最小化",-Q4369,-ABS(Q4369-01_因子設定!$B$16))),-1E+030)</f>
        <v>44.6086576704546</v>
      </c>
      <c r="Y4369" s="55" t="n">
        <f aca="false">W4369+ROW()*0.000000001</f>
        <v>-5.00714344722263</v>
      </c>
      <c r="Z4369" s="55" t="n">
        <f aca="false">X4369+ROW()*0.000000001</f>
        <v>44.6086620394546</v>
      </c>
    </row>
    <row r="4370" customFormat="false" ht="15" hidden="false" customHeight="false" outlineLevel="0" collapsed="false">
      <c r="A4370" s="0" t="n">
        <v>15</v>
      </c>
      <c r="B4370" s="0" t="n">
        <v>1</v>
      </c>
      <c r="C4370" s="0" t="n">
        <v>13</v>
      </c>
      <c r="D4370" s="0" t="n">
        <f aca="false">-1+A4370*0.125</f>
        <v>0.875</v>
      </c>
      <c r="E4370" s="0" t="n">
        <f aca="false">-1+B4370*0.125</f>
        <v>-0.875</v>
      </c>
      <c r="F4370" s="0" t="n">
        <f aca="false">-1+C4370*0.125</f>
        <v>0.625</v>
      </c>
      <c r="G4370" s="0" t="n">
        <f aca="false">1</f>
        <v>1</v>
      </c>
      <c r="H4370" s="0" t="n">
        <f aca="false">D4370</f>
        <v>0.875</v>
      </c>
      <c r="I4370" s="0" t="n">
        <f aca="false">E4370</f>
        <v>-0.875</v>
      </c>
      <c r="J4370" s="0" t="n">
        <f aca="false">F4370</f>
        <v>0.625</v>
      </c>
      <c r="K4370" s="0" t="n">
        <f aca="false">D4370*E4370</f>
        <v>-0.765625</v>
      </c>
      <c r="L4370" s="0" t="n">
        <f aca="false">D4370*F4370</f>
        <v>0.546875</v>
      </c>
      <c r="M4370" s="0" t="n">
        <f aca="false">E4370*F4370</f>
        <v>-0.546875</v>
      </c>
      <c r="N4370" s="0" t="n">
        <f aca="false">D4370*D4370</f>
        <v>0.765625</v>
      </c>
      <c r="O4370" s="0" t="n">
        <f aca="false">E4370*E4370</f>
        <v>0.765625</v>
      </c>
      <c r="P4370" s="0" t="n">
        <f aca="false">F4370*F4370</f>
        <v>0.390625</v>
      </c>
      <c r="Q4370" s="0" t="n">
        <f aca="false">SUMPRODUCT(G4370:P4370,_XtX!$B$71:$K$71)</f>
        <v>44.5499786931818</v>
      </c>
      <c r="R4370" s="0" t="n">
        <f aca="false">SUMPRODUCT(MMULT(G4370:P4370,_XtX!$B$58:$K$67),G4370:P4370)</f>
        <v>0.442496559836648</v>
      </c>
      <c r="S4370" s="0" t="n">
        <f aca="false">04_回帰ANOVA!$K$19*04_回帰ANOVA!$K$14*SQRT(1+R4370)</f>
        <v>1.11666789259284</v>
      </c>
      <c r="T4370" s="0" t="n">
        <f aca="false">Q4370-S4370</f>
        <v>43.433310800589</v>
      </c>
      <c r="U4370" s="0" t="n">
        <f aca="false">Q4370+S4370</f>
        <v>45.6666465857747</v>
      </c>
      <c r="V4370" s="54" t="b">
        <f aca="false">AND(D4370&gt;=01_因子設定!$L$5-0.000000001,D4370&lt;=01_因子設定!$M$5+0.000000001,E4370&gt;=01_因子設定!$L$6-0.000000001,E4370&lt;=01_因子設定!$M$6+0.000000001,F4370&gt;=01_因子設定!$L$7-0.000000001,F4370&lt;=01_因子設定!$M$7+0.000000001,IF(01_因子設定!$B$20="Box-Behnken",D4370^2+E4370^2+F4370^2&lt;=2+0.000000001,TRUE()))</f>
        <v>1</v>
      </c>
      <c r="W4370" s="55" t="n">
        <f aca="false">IF(V4370,IF(01_因子設定!$B$13="最大化",T4370-01_因子設定!$B$14,IF(01_因子設定!$B$13="最小化",01_因子設定!$B$15-U4370,MIN(T4370-01_因子設定!$B$14,01_因子設定!$B$15-U4370))),-1E+030)</f>
        <v>-5.06668919941102</v>
      </c>
      <c r="X4370" s="55" t="n">
        <f aca="false">IF(V4370,IF(01_因子設定!$B$13="最大化",Q4370,IF(01_因子設定!$B$13="最小化",-Q4370,-ABS(Q4370-01_因子設定!$B$16))),-1E+030)</f>
        <v>44.5499786931818</v>
      </c>
      <c r="Y4370" s="55" t="n">
        <f aca="false">W4370+ROW()*0.000000001</f>
        <v>-5.06668482941102</v>
      </c>
      <c r="Z4370" s="55" t="n">
        <f aca="false">X4370+ROW()*0.000000001</f>
        <v>44.5499830631818</v>
      </c>
    </row>
    <row r="4371" customFormat="false" ht="15" hidden="false" customHeight="false" outlineLevel="0" collapsed="false">
      <c r="A4371" s="0" t="n">
        <v>15</v>
      </c>
      <c r="B4371" s="0" t="n">
        <v>1</v>
      </c>
      <c r="C4371" s="0" t="n">
        <v>14</v>
      </c>
      <c r="D4371" s="0" t="n">
        <f aca="false">-1+A4371*0.125</f>
        <v>0.875</v>
      </c>
      <c r="E4371" s="0" t="n">
        <f aca="false">-1+B4371*0.125</f>
        <v>-0.875</v>
      </c>
      <c r="F4371" s="0" t="n">
        <f aca="false">-1+C4371*0.125</f>
        <v>0.75</v>
      </c>
      <c r="G4371" s="0" t="n">
        <f aca="false">1</f>
        <v>1</v>
      </c>
      <c r="H4371" s="0" t="n">
        <f aca="false">D4371</f>
        <v>0.875</v>
      </c>
      <c r="I4371" s="0" t="n">
        <f aca="false">E4371</f>
        <v>-0.875</v>
      </c>
      <c r="J4371" s="0" t="n">
        <f aca="false">F4371</f>
        <v>0.75</v>
      </c>
      <c r="K4371" s="0" t="n">
        <f aca="false">D4371*E4371</f>
        <v>-0.765625</v>
      </c>
      <c r="L4371" s="0" t="n">
        <f aca="false">D4371*F4371</f>
        <v>0.65625</v>
      </c>
      <c r="M4371" s="0" t="n">
        <f aca="false">E4371*F4371</f>
        <v>-0.65625</v>
      </c>
      <c r="N4371" s="0" t="n">
        <f aca="false">D4371*D4371</f>
        <v>0.765625</v>
      </c>
      <c r="O4371" s="0" t="n">
        <f aca="false">E4371*E4371</f>
        <v>0.765625</v>
      </c>
      <c r="P4371" s="0" t="n">
        <f aca="false">F4371*F4371</f>
        <v>0.5625</v>
      </c>
      <c r="Q4371" s="0" t="n">
        <f aca="false">SUMPRODUCT(G4371:P4371,_XtX!$B$71:$K$71)</f>
        <v>44.4545099431818</v>
      </c>
      <c r="R4371" s="0" t="n">
        <f aca="false">SUMPRODUCT(MMULT(G4371:P4371,_XtX!$B$58:$K$67),G4371:P4371)</f>
        <v>0.464749977805398</v>
      </c>
      <c r="S4371" s="0" t="n">
        <f aca="false">04_回帰ANOVA!$K$19*04_回帰ANOVA!$K$14*SQRT(1+R4371)</f>
        <v>1.12524835342194</v>
      </c>
      <c r="T4371" s="0" t="n">
        <f aca="false">Q4371-S4371</f>
        <v>43.3292615897599</v>
      </c>
      <c r="U4371" s="0" t="n">
        <f aca="false">Q4371+S4371</f>
        <v>45.5797582966038</v>
      </c>
      <c r="V4371" s="54" t="b">
        <f aca="false">AND(D4371&gt;=01_因子設定!$L$5-0.000000001,D4371&lt;=01_因子設定!$M$5+0.000000001,E4371&gt;=01_因子設定!$L$6-0.000000001,E4371&lt;=01_因子設定!$M$6+0.000000001,F4371&gt;=01_因子設定!$L$7-0.000000001,F4371&lt;=01_因子設定!$M$7+0.000000001,IF(01_因子設定!$B$20="Box-Behnken",D4371^2+E4371^2+F4371^2&lt;=2+0.000000001,TRUE()))</f>
        <v>1</v>
      </c>
      <c r="W4371" s="55" t="n">
        <f aca="false">IF(V4371,IF(01_因子設定!$B$13="最大化",T4371-01_因子設定!$B$14,IF(01_因子設定!$B$13="最小化",01_因子設定!$B$15-U4371,MIN(T4371-01_因子設定!$B$14,01_因子設定!$B$15-U4371))),-1E+030)</f>
        <v>-5.17073841024011</v>
      </c>
      <c r="X4371" s="55" t="n">
        <f aca="false">IF(V4371,IF(01_因子設定!$B$13="最大化",Q4371,IF(01_因子設定!$B$13="最小化",-Q4371,-ABS(Q4371-01_因子設定!$B$16))),-1E+030)</f>
        <v>44.4545099431818</v>
      </c>
      <c r="Y4371" s="55" t="n">
        <f aca="false">W4371+ROW()*0.000000001</f>
        <v>-5.17073403924011</v>
      </c>
      <c r="Z4371" s="55" t="n">
        <f aca="false">X4371+ROW()*0.000000001</f>
        <v>44.4545143141818</v>
      </c>
    </row>
    <row r="4372" customFormat="false" ht="15" hidden="false" customHeight="false" outlineLevel="0" collapsed="false">
      <c r="A4372" s="0" t="n">
        <v>15</v>
      </c>
      <c r="B4372" s="0" t="n">
        <v>1</v>
      </c>
      <c r="C4372" s="0" t="n">
        <v>15</v>
      </c>
      <c r="D4372" s="0" t="n">
        <f aca="false">-1+A4372*0.125</f>
        <v>0.875</v>
      </c>
      <c r="E4372" s="0" t="n">
        <f aca="false">-1+B4372*0.125</f>
        <v>-0.875</v>
      </c>
      <c r="F4372" s="0" t="n">
        <f aca="false">-1+C4372*0.125</f>
        <v>0.875</v>
      </c>
      <c r="G4372" s="0" t="n">
        <f aca="false">1</f>
        <v>1</v>
      </c>
      <c r="H4372" s="0" t="n">
        <f aca="false">D4372</f>
        <v>0.875</v>
      </c>
      <c r="I4372" s="0" t="n">
        <f aca="false">E4372</f>
        <v>-0.875</v>
      </c>
      <c r="J4372" s="0" t="n">
        <f aca="false">F4372</f>
        <v>0.875</v>
      </c>
      <c r="K4372" s="0" t="n">
        <f aca="false">D4372*E4372</f>
        <v>-0.765625</v>
      </c>
      <c r="L4372" s="0" t="n">
        <f aca="false">D4372*F4372</f>
        <v>0.765625</v>
      </c>
      <c r="M4372" s="0" t="n">
        <f aca="false">E4372*F4372</f>
        <v>-0.765625</v>
      </c>
      <c r="N4372" s="0" t="n">
        <f aca="false">D4372*D4372</f>
        <v>0.765625</v>
      </c>
      <c r="O4372" s="0" t="n">
        <f aca="false">E4372*E4372</f>
        <v>0.765625</v>
      </c>
      <c r="P4372" s="0" t="n">
        <f aca="false">F4372*F4372</f>
        <v>0.765625</v>
      </c>
      <c r="Q4372" s="0" t="n">
        <f aca="false">SUMPRODUCT(G4372:P4372,_XtX!$B$71:$K$71)</f>
        <v>44.3222514204546</v>
      </c>
      <c r="R4372" s="0" t="n">
        <f aca="false">SUMPRODUCT(MMULT(G4372:P4372,_XtX!$B$58:$K$67),G4372:P4372)</f>
        <v>0.51874833540483</v>
      </c>
      <c r="S4372" s="0" t="n">
        <f aca="false">04_回帰ANOVA!$K$19*04_回帰ANOVA!$K$14*SQRT(1+R4372)</f>
        <v>1.14580191439368</v>
      </c>
      <c r="T4372" s="0" t="n">
        <f aca="false">Q4372-S4372</f>
        <v>43.1764495060609</v>
      </c>
      <c r="U4372" s="0" t="n">
        <f aca="false">Q4372+S4372</f>
        <v>45.4680533348482</v>
      </c>
      <c r="V4372" s="54" t="b">
        <f aca="false">AND(D4372&gt;=01_因子設定!$L$5-0.000000001,D4372&lt;=01_因子設定!$M$5+0.000000001,E4372&gt;=01_因子設定!$L$6-0.000000001,E4372&lt;=01_因子設定!$M$6+0.000000001,F4372&gt;=01_因子設定!$L$7-0.000000001,F4372&lt;=01_因子設定!$M$7+0.000000001,IF(01_因子設定!$B$20="Box-Behnken",D4372^2+E4372^2+F4372^2&lt;=2+0.000000001,TRUE()))</f>
        <v>1</v>
      </c>
      <c r="W4372" s="55" t="n">
        <f aca="false">IF(V4372,IF(01_因子設定!$B$13="最大化",T4372-01_因子設定!$B$14,IF(01_因子設定!$B$13="最小化",01_因子設定!$B$15-U4372,MIN(T4372-01_因子設定!$B$14,01_因子設定!$B$15-U4372))),-1E+030)</f>
        <v>-5.32355049393912</v>
      </c>
      <c r="X4372" s="55" t="n">
        <f aca="false">IF(V4372,IF(01_因子設定!$B$13="最大化",Q4372,IF(01_因子設定!$B$13="最小化",-Q4372,-ABS(Q4372-01_因子設定!$B$16))),-1E+030)</f>
        <v>44.3222514204546</v>
      </c>
      <c r="Y4372" s="55" t="n">
        <f aca="false">W4372+ROW()*0.000000001</f>
        <v>-5.32354612193912</v>
      </c>
      <c r="Z4372" s="55" t="n">
        <f aca="false">X4372+ROW()*0.000000001</f>
        <v>44.3222557924546</v>
      </c>
    </row>
    <row r="4373" customFormat="false" ht="15" hidden="false" customHeight="false" outlineLevel="0" collapsed="false">
      <c r="A4373" s="0" t="n">
        <v>15</v>
      </c>
      <c r="B4373" s="0" t="n">
        <v>1</v>
      </c>
      <c r="C4373" s="0" t="n">
        <v>16</v>
      </c>
      <c r="D4373" s="0" t="n">
        <f aca="false">-1+A4373*0.125</f>
        <v>0.875</v>
      </c>
      <c r="E4373" s="0" t="n">
        <f aca="false">-1+B4373*0.125</f>
        <v>-0.875</v>
      </c>
      <c r="F4373" s="0" t="n">
        <f aca="false">-1+C4373*0.125</f>
        <v>1</v>
      </c>
      <c r="G4373" s="0" t="n">
        <f aca="false">1</f>
        <v>1</v>
      </c>
      <c r="H4373" s="0" t="n">
        <f aca="false">D4373</f>
        <v>0.875</v>
      </c>
      <c r="I4373" s="0" t="n">
        <f aca="false">E4373</f>
        <v>-0.875</v>
      </c>
      <c r="J4373" s="0" t="n">
        <f aca="false">F4373</f>
        <v>1</v>
      </c>
      <c r="K4373" s="0" t="n">
        <f aca="false">D4373*E4373</f>
        <v>-0.765625</v>
      </c>
      <c r="L4373" s="0" t="n">
        <f aca="false">D4373*F4373</f>
        <v>0.875</v>
      </c>
      <c r="M4373" s="0" t="n">
        <f aca="false">E4373*F4373</f>
        <v>-0.875</v>
      </c>
      <c r="N4373" s="0" t="n">
        <f aca="false">D4373*D4373</f>
        <v>0.765625</v>
      </c>
      <c r="O4373" s="0" t="n">
        <f aca="false">E4373*E4373</f>
        <v>0.765625</v>
      </c>
      <c r="P4373" s="0" t="n">
        <f aca="false">F4373*F4373</f>
        <v>1</v>
      </c>
      <c r="Q4373" s="0" t="n">
        <f aca="false">SUMPRODUCT(G4373:P4373,_XtX!$B$71:$K$71)</f>
        <v>44.153203125</v>
      </c>
      <c r="R4373" s="0" t="n">
        <f aca="false">SUMPRODUCT(MMULT(G4373:P4373,_XtX!$B$58:$K$67),G4373:P4373)</f>
        <v>0.618341064453125</v>
      </c>
      <c r="S4373" s="0" t="n">
        <f aca="false">04_回帰ANOVA!$K$19*04_回帰ANOVA!$K$14*SQRT(1+R4373)</f>
        <v>1.18277371124466</v>
      </c>
      <c r="T4373" s="0" t="n">
        <f aca="false">Q4373-S4373</f>
        <v>42.9704294137554</v>
      </c>
      <c r="U4373" s="0" t="n">
        <f aca="false">Q4373+S4373</f>
        <v>45.3359768362447</v>
      </c>
      <c r="V4373" s="54" t="b">
        <f aca="false">AND(D4373&gt;=01_因子設定!$L$5-0.000000001,D4373&lt;=01_因子設定!$M$5+0.000000001,E4373&gt;=01_因子設定!$L$6-0.000000001,E4373&lt;=01_因子設定!$M$6+0.000000001,F4373&gt;=01_因子設定!$L$7-0.000000001,F4373&lt;=01_因子設定!$M$7+0.000000001,IF(01_因子設定!$B$20="Box-Behnken",D4373^2+E4373^2+F4373^2&lt;=2+0.000000001,TRUE()))</f>
        <v>1</v>
      </c>
      <c r="W4373" s="55" t="n">
        <f aca="false">IF(V4373,IF(01_因子設定!$B$13="最大化",T4373-01_因子設定!$B$14,IF(01_因子設定!$B$13="最小化",01_因子設定!$B$15-U4373,MIN(T4373-01_因子設定!$B$14,01_因子設定!$B$15-U4373))),-1E+030)</f>
        <v>-5.52957058624465</v>
      </c>
      <c r="X4373" s="55" t="n">
        <f aca="false">IF(V4373,IF(01_因子設定!$B$13="最大化",Q4373,IF(01_因子設定!$B$13="最小化",-Q4373,-ABS(Q4373-01_因子設定!$B$16))),-1E+030)</f>
        <v>44.153203125</v>
      </c>
      <c r="Y4373" s="55" t="n">
        <f aca="false">W4373+ROW()*0.000000001</f>
        <v>-5.52956621324465</v>
      </c>
      <c r="Z4373" s="55" t="n">
        <f aca="false">X4373+ROW()*0.000000001</f>
        <v>44.153207498</v>
      </c>
    </row>
    <row r="4374" customFormat="false" ht="15" hidden="false" customHeight="false" outlineLevel="0" collapsed="false">
      <c r="A4374" s="0" t="n">
        <v>15</v>
      </c>
      <c r="B4374" s="0" t="n">
        <v>2</v>
      </c>
      <c r="C4374" s="0" t="n">
        <v>0</v>
      </c>
      <c r="D4374" s="0" t="n">
        <f aca="false">-1+A4374*0.125</f>
        <v>0.875</v>
      </c>
      <c r="E4374" s="0" t="n">
        <f aca="false">-1+B4374*0.125</f>
        <v>-0.75</v>
      </c>
      <c r="F4374" s="0" t="n">
        <f aca="false">-1+C4374*0.125</f>
        <v>-1</v>
      </c>
      <c r="G4374" s="0" t="n">
        <f aca="false">1</f>
        <v>1</v>
      </c>
      <c r="H4374" s="0" t="n">
        <f aca="false">D4374</f>
        <v>0.875</v>
      </c>
      <c r="I4374" s="0" t="n">
        <f aca="false">E4374</f>
        <v>-0.75</v>
      </c>
      <c r="J4374" s="0" t="n">
        <f aca="false">F4374</f>
        <v>-1</v>
      </c>
      <c r="K4374" s="0" t="n">
        <f aca="false">D4374*E4374</f>
        <v>-0.65625</v>
      </c>
      <c r="L4374" s="0" t="n">
        <f aca="false">D4374*F4374</f>
        <v>-0.875</v>
      </c>
      <c r="M4374" s="0" t="n">
        <f aca="false">E4374*F4374</f>
        <v>0.75</v>
      </c>
      <c r="N4374" s="0" t="n">
        <f aca="false">D4374*D4374</f>
        <v>0.765625</v>
      </c>
      <c r="O4374" s="0" t="n">
        <f aca="false">E4374*E4374</f>
        <v>0.5625</v>
      </c>
      <c r="P4374" s="0" t="n">
        <f aca="false">F4374*F4374</f>
        <v>1</v>
      </c>
      <c r="Q4374" s="0" t="n">
        <f aca="false">SUMPRODUCT(G4374:P4374,_XtX!$B$71:$K$71)</f>
        <v>43.1914772727273</v>
      </c>
      <c r="R4374" s="0" t="n">
        <f aca="false">SUMPRODUCT(MMULT(G4374:P4374,_XtX!$B$58:$K$67),G4374:P4374)</f>
        <v>0.571375621448864</v>
      </c>
      <c r="S4374" s="0" t="n">
        <f aca="false">04_回帰ANOVA!$K$19*04_回帰ANOVA!$K$14*SQRT(1+R4374)</f>
        <v>1.16548487437682</v>
      </c>
      <c r="T4374" s="0" t="n">
        <f aca="false">Q4374-S4374</f>
        <v>42.0259923983505</v>
      </c>
      <c r="U4374" s="0" t="n">
        <f aca="false">Q4374+S4374</f>
        <v>44.3569621471041</v>
      </c>
      <c r="V4374" s="54" t="b">
        <f aca="false">AND(D4374&gt;=01_因子設定!$L$5-0.000000001,D4374&lt;=01_因子設定!$M$5+0.000000001,E4374&gt;=01_因子設定!$L$6-0.000000001,E4374&lt;=01_因子設定!$M$6+0.000000001,F4374&gt;=01_因子設定!$L$7-0.000000001,F4374&lt;=01_因子設定!$M$7+0.000000001,IF(01_因子設定!$B$20="Box-Behnken",D4374^2+E4374^2+F4374^2&lt;=2+0.000000001,TRUE()))</f>
        <v>1</v>
      </c>
      <c r="W4374" s="55" t="n">
        <f aca="false">IF(V4374,IF(01_因子設定!$B$13="最大化",T4374-01_因子設定!$B$14,IF(01_因子設定!$B$13="最小化",01_因子設定!$B$15-U4374,MIN(T4374-01_因子設定!$B$14,01_因子設定!$B$15-U4374))),-1E+030)</f>
        <v>-6.47400760164953</v>
      </c>
      <c r="X4374" s="55" t="n">
        <f aca="false">IF(V4374,IF(01_因子設定!$B$13="最大化",Q4374,IF(01_因子設定!$B$13="最小化",-Q4374,-ABS(Q4374-01_因子設定!$B$16))),-1E+030)</f>
        <v>43.1914772727273</v>
      </c>
      <c r="Y4374" s="55" t="n">
        <f aca="false">W4374+ROW()*0.000000001</f>
        <v>-6.47400322764953</v>
      </c>
      <c r="Z4374" s="55" t="n">
        <f aca="false">X4374+ROW()*0.000000001</f>
        <v>43.1914816467273</v>
      </c>
    </row>
    <row r="4375" customFormat="false" ht="15" hidden="false" customHeight="false" outlineLevel="0" collapsed="false">
      <c r="A4375" s="0" t="n">
        <v>15</v>
      </c>
      <c r="B4375" s="0" t="n">
        <v>2</v>
      </c>
      <c r="C4375" s="0" t="n">
        <v>1</v>
      </c>
      <c r="D4375" s="0" t="n">
        <f aca="false">-1+A4375*0.125</f>
        <v>0.875</v>
      </c>
      <c r="E4375" s="0" t="n">
        <f aca="false">-1+B4375*0.125</f>
        <v>-0.75</v>
      </c>
      <c r="F4375" s="0" t="n">
        <f aca="false">-1+C4375*0.125</f>
        <v>-0.875</v>
      </c>
      <c r="G4375" s="0" t="n">
        <f aca="false">1</f>
        <v>1</v>
      </c>
      <c r="H4375" s="0" t="n">
        <f aca="false">D4375</f>
        <v>0.875</v>
      </c>
      <c r="I4375" s="0" t="n">
        <f aca="false">E4375</f>
        <v>-0.75</v>
      </c>
      <c r="J4375" s="0" t="n">
        <f aca="false">F4375</f>
        <v>-0.875</v>
      </c>
      <c r="K4375" s="0" t="n">
        <f aca="false">D4375*E4375</f>
        <v>-0.65625</v>
      </c>
      <c r="L4375" s="0" t="n">
        <f aca="false">D4375*F4375</f>
        <v>-0.765625</v>
      </c>
      <c r="M4375" s="0" t="n">
        <f aca="false">E4375*F4375</f>
        <v>0.65625</v>
      </c>
      <c r="N4375" s="0" t="n">
        <f aca="false">D4375*D4375</f>
        <v>0.765625</v>
      </c>
      <c r="O4375" s="0" t="n">
        <f aca="false">E4375*E4375</f>
        <v>0.5625</v>
      </c>
      <c r="P4375" s="0" t="n">
        <f aca="false">F4375*F4375</f>
        <v>0.765625</v>
      </c>
      <c r="Q4375" s="0" t="n">
        <f aca="false">SUMPRODUCT(G4375:P4375,_XtX!$B$71:$K$71)</f>
        <v>43.5813068181818</v>
      </c>
      <c r="R4375" s="0" t="n">
        <f aca="false">SUMPRODUCT(MMULT(G4375:P4375,_XtX!$B$58:$K$67),G4375:P4375)</f>
        <v>0.464749977805398</v>
      </c>
      <c r="S4375" s="0" t="n">
        <f aca="false">04_回帰ANOVA!$K$19*04_回帰ANOVA!$K$14*SQRT(1+R4375)</f>
        <v>1.12524835342194</v>
      </c>
      <c r="T4375" s="0" t="n">
        <f aca="false">Q4375-S4375</f>
        <v>42.4560584647599</v>
      </c>
      <c r="U4375" s="0" t="n">
        <f aca="false">Q4375+S4375</f>
        <v>44.7065551716038</v>
      </c>
      <c r="V4375" s="54" t="b">
        <f aca="false">AND(D4375&gt;=01_因子設定!$L$5-0.000000001,D4375&lt;=01_因子設定!$M$5+0.000000001,E4375&gt;=01_因子設定!$L$6-0.000000001,E4375&lt;=01_因子設定!$M$6+0.000000001,F4375&gt;=01_因子設定!$L$7-0.000000001,F4375&lt;=01_因子設定!$M$7+0.000000001,IF(01_因子設定!$B$20="Box-Behnken",D4375^2+E4375^2+F4375^2&lt;=2+0.000000001,TRUE()))</f>
        <v>1</v>
      </c>
      <c r="W4375" s="55" t="n">
        <f aca="false">IF(V4375,IF(01_因子設定!$B$13="最大化",T4375-01_因子設定!$B$14,IF(01_因子設定!$B$13="最小化",01_因子設定!$B$15-U4375,MIN(T4375-01_因子設定!$B$14,01_因子設定!$B$15-U4375))),-1E+030)</f>
        <v>-6.04394153524011</v>
      </c>
      <c r="X4375" s="55" t="n">
        <f aca="false">IF(V4375,IF(01_因子設定!$B$13="最大化",Q4375,IF(01_因子設定!$B$13="最小化",-Q4375,-ABS(Q4375-01_因子設定!$B$16))),-1E+030)</f>
        <v>43.5813068181818</v>
      </c>
      <c r="Y4375" s="55" t="n">
        <f aca="false">W4375+ROW()*0.000000001</f>
        <v>-6.04393716024011</v>
      </c>
      <c r="Z4375" s="55" t="n">
        <f aca="false">X4375+ROW()*0.000000001</f>
        <v>43.5813111931818</v>
      </c>
    </row>
    <row r="4376" customFormat="false" ht="15" hidden="false" customHeight="false" outlineLevel="0" collapsed="false">
      <c r="A4376" s="0" t="n">
        <v>15</v>
      </c>
      <c r="B4376" s="0" t="n">
        <v>2</v>
      </c>
      <c r="C4376" s="0" t="n">
        <v>2</v>
      </c>
      <c r="D4376" s="0" t="n">
        <f aca="false">-1+A4376*0.125</f>
        <v>0.875</v>
      </c>
      <c r="E4376" s="0" t="n">
        <f aca="false">-1+B4376*0.125</f>
        <v>-0.75</v>
      </c>
      <c r="F4376" s="0" t="n">
        <f aca="false">-1+C4376*0.125</f>
        <v>-0.75</v>
      </c>
      <c r="G4376" s="0" t="n">
        <f aca="false">1</f>
        <v>1</v>
      </c>
      <c r="H4376" s="0" t="n">
        <f aca="false">D4376</f>
        <v>0.875</v>
      </c>
      <c r="I4376" s="0" t="n">
        <f aca="false">E4376</f>
        <v>-0.75</v>
      </c>
      <c r="J4376" s="0" t="n">
        <f aca="false">F4376</f>
        <v>-0.75</v>
      </c>
      <c r="K4376" s="0" t="n">
        <f aca="false">D4376*E4376</f>
        <v>-0.65625</v>
      </c>
      <c r="L4376" s="0" t="n">
        <f aca="false">D4376*F4376</f>
        <v>-0.65625</v>
      </c>
      <c r="M4376" s="0" t="n">
        <f aca="false">E4376*F4376</f>
        <v>0.5625</v>
      </c>
      <c r="N4376" s="0" t="n">
        <f aca="false">D4376*D4376</f>
        <v>0.765625</v>
      </c>
      <c r="O4376" s="0" t="n">
        <f aca="false">E4376*E4376</f>
        <v>0.5625</v>
      </c>
      <c r="P4376" s="0" t="n">
        <f aca="false">F4376*F4376</f>
        <v>0.5625</v>
      </c>
      <c r="Q4376" s="0" t="n">
        <f aca="false">SUMPRODUCT(G4376:P4376,_XtX!$B$71:$K$71)</f>
        <v>43.9343465909091</v>
      </c>
      <c r="R4376" s="0" t="n">
        <f aca="false">SUMPRODUCT(MMULT(G4376:P4376,_XtX!$B$58:$K$67),G4376:P4376)</f>
        <v>0.404656427556818</v>
      </c>
      <c r="S4376" s="0" t="n">
        <f aca="false">04_回帰ANOVA!$K$19*04_回帰ANOVA!$K$14*SQRT(1+R4376)</f>
        <v>1.10192412515358</v>
      </c>
      <c r="T4376" s="0" t="n">
        <f aca="false">Q4376-S4376</f>
        <v>42.8324224657555</v>
      </c>
      <c r="U4376" s="0" t="n">
        <f aca="false">Q4376+S4376</f>
        <v>45.0362707160627</v>
      </c>
      <c r="V4376" s="54" t="b">
        <f aca="false">AND(D4376&gt;=01_因子設定!$L$5-0.000000001,D4376&lt;=01_因子設定!$M$5+0.000000001,E4376&gt;=01_因子設定!$L$6-0.000000001,E4376&lt;=01_因子設定!$M$6+0.000000001,F4376&gt;=01_因子設定!$L$7-0.000000001,F4376&lt;=01_因子設定!$M$7+0.000000001,IF(01_因子設定!$B$20="Box-Behnken",D4376^2+E4376^2+F4376^2&lt;=2+0.000000001,TRUE()))</f>
        <v>1</v>
      </c>
      <c r="W4376" s="55" t="n">
        <f aca="false">IF(V4376,IF(01_因子設定!$B$13="最大化",T4376-01_因子設定!$B$14,IF(01_因子設定!$B$13="最小化",01_因子設定!$B$15-U4376,MIN(T4376-01_因子設定!$B$14,01_因子設定!$B$15-U4376))),-1E+030)</f>
        <v>-5.66757753424448</v>
      </c>
      <c r="X4376" s="55" t="n">
        <f aca="false">IF(V4376,IF(01_因子設定!$B$13="最大化",Q4376,IF(01_因子設定!$B$13="最小化",-Q4376,-ABS(Q4376-01_因子設定!$B$16))),-1E+030)</f>
        <v>43.9343465909091</v>
      </c>
      <c r="Y4376" s="55" t="n">
        <f aca="false">W4376+ROW()*0.000000001</f>
        <v>-5.66757315824448</v>
      </c>
      <c r="Z4376" s="55" t="n">
        <f aca="false">X4376+ROW()*0.000000001</f>
        <v>43.9343509669091</v>
      </c>
    </row>
    <row r="4377" customFormat="false" ht="15" hidden="false" customHeight="false" outlineLevel="0" collapsed="false">
      <c r="A4377" s="0" t="n">
        <v>15</v>
      </c>
      <c r="B4377" s="0" t="n">
        <v>2</v>
      </c>
      <c r="C4377" s="0" t="n">
        <v>3</v>
      </c>
      <c r="D4377" s="0" t="n">
        <f aca="false">-1+A4377*0.125</f>
        <v>0.875</v>
      </c>
      <c r="E4377" s="0" t="n">
        <f aca="false">-1+B4377*0.125</f>
        <v>-0.75</v>
      </c>
      <c r="F4377" s="0" t="n">
        <f aca="false">-1+C4377*0.125</f>
        <v>-0.625</v>
      </c>
      <c r="G4377" s="0" t="n">
        <f aca="false">1</f>
        <v>1</v>
      </c>
      <c r="H4377" s="0" t="n">
        <f aca="false">D4377</f>
        <v>0.875</v>
      </c>
      <c r="I4377" s="0" t="n">
        <f aca="false">E4377</f>
        <v>-0.75</v>
      </c>
      <c r="J4377" s="0" t="n">
        <f aca="false">F4377</f>
        <v>-0.625</v>
      </c>
      <c r="K4377" s="0" t="n">
        <f aca="false">D4377*E4377</f>
        <v>-0.65625</v>
      </c>
      <c r="L4377" s="0" t="n">
        <f aca="false">D4377*F4377</f>
        <v>-0.546875</v>
      </c>
      <c r="M4377" s="0" t="n">
        <f aca="false">E4377*F4377</f>
        <v>0.46875</v>
      </c>
      <c r="N4377" s="0" t="n">
        <f aca="false">D4377*D4377</f>
        <v>0.765625</v>
      </c>
      <c r="O4377" s="0" t="n">
        <f aca="false">E4377*E4377</f>
        <v>0.5625</v>
      </c>
      <c r="P4377" s="0" t="n">
        <f aca="false">F4377*F4377</f>
        <v>0.390625</v>
      </c>
      <c r="Q4377" s="0" t="n">
        <f aca="false">SUMPRODUCT(G4377:P4377,_XtX!$B$71:$K$71)</f>
        <v>44.2505965909091</v>
      </c>
      <c r="R4377" s="0" t="n">
        <f aca="false">SUMPRODUCT(MMULT(G4377:P4377,_XtX!$B$58:$K$67),G4377:P4377)</f>
        <v>0.377245538884943</v>
      </c>
      <c r="S4377" s="0" t="n">
        <f aca="false">04_回帰ANOVA!$K$19*04_回帰ANOVA!$K$14*SQRT(1+R4377)</f>
        <v>1.09111951468927</v>
      </c>
      <c r="T4377" s="0" t="n">
        <f aca="false">Q4377-S4377</f>
        <v>43.1594770762198</v>
      </c>
      <c r="U4377" s="0" t="n">
        <f aca="false">Q4377+S4377</f>
        <v>45.3417161055984</v>
      </c>
      <c r="V4377" s="54" t="b">
        <f aca="false">AND(D4377&gt;=01_因子設定!$L$5-0.000000001,D4377&lt;=01_因子設定!$M$5+0.000000001,E4377&gt;=01_因子設定!$L$6-0.000000001,E4377&lt;=01_因子設定!$M$6+0.000000001,F4377&gt;=01_因子設定!$L$7-0.000000001,F4377&lt;=01_因子設定!$M$7+0.000000001,IF(01_因子設定!$B$20="Box-Behnken",D4377^2+E4377^2+F4377^2&lt;=2+0.000000001,TRUE()))</f>
        <v>1</v>
      </c>
      <c r="W4377" s="55" t="n">
        <f aca="false">IF(V4377,IF(01_因子設定!$B$13="最大化",T4377-01_因子設定!$B$14,IF(01_因子設定!$B$13="最小化",01_因子設定!$B$15-U4377,MIN(T4377-01_因子設定!$B$14,01_因子設定!$B$15-U4377))),-1E+030)</f>
        <v>-5.34052292378018</v>
      </c>
      <c r="X4377" s="55" t="n">
        <f aca="false">IF(V4377,IF(01_因子設定!$B$13="最大化",Q4377,IF(01_因子設定!$B$13="最小化",-Q4377,-ABS(Q4377-01_因子設定!$B$16))),-1E+030)</f>
        <v>44.2505965909091</v>
      </c>
      <c r="Y4377" s="55" t="n">
        <f aca="false">W4377+ROW()*0.000000001</f>
        <v>-5.34051854678018</v>
      </c>
      <c r="Z4377" s="55" t="n">
        <f aca="false">X4377+ROW()*0.000000001</f>
        <v>44.2506009679091</v>
      </c>
    </row>
    <row r="4378" customFormat="false" ht="15" hidden="false" customHeight="false" outlineLevel="0" collapsed="false">
      <c r="A4378" s="0" t="n">
        <v>15</v>
      </c>
      <c r="B4378" s="0" t="n">
        <v>2</v>
      </c>
      <c r="C4378" s="0" t="n">
        <v>4</v>
      </c>
      <c r="D4378" s="0" t="n">
        <f aca="false">-1+A4378*0.125</f>
        <v>0.875</v>
      </c>
      <c r="E4378" s="0" t="n">
        <f aca="false">-1+B4378*0.125</f>
        <v>-0.75</v>
      </c>
      <c r="F4378" s="0" t="n">
        <f aca="false">-1+C4378*0.125</f>
        <v>-0.5</v>
      </c>
      <c r="G4378" s="0" t="n">
        <f aca="false">1</f>
        <v>1</v>
      </c>
      <c r="H4378" s="0" t="n">
        <f aca="false">D4378</f>
        <v>0.875</v>
      </c>
      <c r="I4378" s="0" t="n">
        <f aca="false">E4378</f>
        <v>-0.75</v>
      </c>
      <c r="J4378" s="0" t="n">
        <f aca="false">F4378</f>
        <v>-0.5</v>
      </c>
      <c r="K4378" s="0" t="n">
        <f aca="false">D4378*E4378</f>
        <v>-0.65625</v>
      </c>
      <c r="L4378" s="0" t="n">
        <f aca="false">D4378*F4378</f>
        <v>-0.4375</v>
      </c>
      <c r="M4378" s="0" t="n">
        <f aca="false">E4378*F4378</f>
        <v>0.375</v>
      </c>
      <c r="N4378" s="0" t="n">
        <f aca="false">D4378*D4378</f>
        <v>0.765625</v>
      </c>
      <c r="O4378" s="0" t="n">
        <f aca="false">E4378*E4378</f>
        <v>0.5625</v>
      </c>
      <c r="P4378" s="0" t="n">
        <f aca="false">F4378*F4378</f>
        <v>0.25</v>
      </c>
      <c r="Q4378" s="0" t="n">
        <f aca="false">SUMPRODUCT(G4378:P4378,_XtX!$B$71:$K$71)</f>
        <v>44.5300568181818</v>
      </c>
      <c r="R4378" s="0" t="n">
        <f aca="false">SUMPRODUCT(MMULT(G4378:P4378,_XtX!$B$58:$K$67),G4378:P4378)</f>
        <v>0.370798561789773</v>
      </c>
      <c r="S4378" s="0" t="n">
        <f aca="false">04_回帰ANOVA!$K$19*04_回帰ANOVA!$K$14*SQRT(1+R4378)</f>
        <v>1.08856271788237</v>
      </c>
      <c r="T4378" s="0" t="n">
        <f aca="false">Q4378-S4378</f>
        <v>43.4414941002994</v>
      </c>
      <c r="U4378" s="0" t="n">
        <f aca="false">Q4378+S4378</f>
        <v>45.6186195360642</v>
      </c>
      <c r="V4378" s="54" t="b">
        <f aca="false">AND(D4378&gt;=01_因子設定!$L$5-0.000000001,D4378&lt;=01_因子設定!$M$5+0.000000001,E4378&gt;=01_因子設定!$L$6-0.000000001,E4378&lt;=01_因子設定!$M$6+0.000000001,F4378&gt;=01_因子設定!$L$7-0.000000001,F4378&lt;=01_因子設定!$M$7+0.000000001,IF(01_因子設定!$B$20="Box-Behnken",D4378^2+E4378^2+F4378^2&lt;=2+0.000000001,TRUE()))</f>
        <v>1</v>
      </c>
      <c r="W4378" s="55" t="n">
        <f aca="false">IF(V4378,IF(01_因子設定!$B$13="最大化",T4378-01_因子設定!$B$14,IF(01_因子設定!$B$13="最小化",01_因子設定!$B$15-U4378,MIN(T4378-01_因子設定!$B$14,01_因子設定!$B$15-U4378))),-1E+030)</f>
        <v>-5.05850589970056</v>
      </c>
      <c r="X4378" s="55" t="n">
        <f aca="false">IF(V4378,IF(01_因子設定!$B$13="最大化",Q4378,IF(01_因子設定!$B$13="最小化",-Q4378,-ABS(Q4378-01_因子設定!$B$16))),-1E+030)</f>
        <v>44.5300568181818</v>
      </c>
      <c r="Y4378" s="55" t="n">
        <f aca="false">W4378+ROW()*0.000000001</f>
        <v>-5.05850152170056</v>
      </c>
      <c r="Z4378" s="55" t="n">
        <f aca="false">X4378+ROW()*0.000000001</f>
        <v>44.5300611961818</v>
      </c>
    </row>
    <row r="4379" customFormat="false" ht="15" hidden="false" customHeight="false" outlineLevel="0" collapsed="false">
      <c r="A4379" s="0" t="n">
        <v>15</v>
      </c>
      <c r="B4379" s="0" t="n">
        <v>2</v>
      </c>
      <c r="C4379" s="0" t="n">
        <v>5</v>
      </c>
      <c r="D4379" s="0" t="n">
        <f aca="false">-1+A4379*0.125</f>
        <v>0.875</v>
      </c>
      <c r="E4379" s="0" t="n">
        <f aca="false">-1+B4379*0.125</f>
        <v>-0.75</v>
      </c>
      <c r="F4379" s="0" t="n">
        <f aca="false">-1+C4379*0.125</f>
        <v>-0.375</v>
      </c>
      <c r="G4379" s="0" t="n">
        <f aca="false">1</f>
        <v>1</v>
      </c>
      <c r="H4379" s="0" t="n">
        <f aca="false">D4379</f>
        <v>0.875</v>
      </c>
      <c r="I4379" s="0" t="n">
        <f aca="false">E4379</f>
        <v>-0.75</v>
      </c>
      <c r="J4379" s="0" t="n">
        <f aca="false">F4379</f>
        <v>-0.375</v>
      </c>
      <c r="K4379" s="0" t="n">
        <f aca="false">D4379*E4379</f>
        <v>-0.65625</v>
      </c>
      <c r="L4379" s="0" t="n">
        <f aca="false">D4379*F4379</f>
        <v>-0.328125</v>
      </c>
      <c r="M4379" s="0" t="n">
        <f aca="false">E4379*F4379</f>
        <v>0.28125</v>
      </c>
      <c r="N4379" s="0" t="n">
        <f aca="false">D4379*D4379</f>
        <v>0.765625</v>
      </c>
      <c r="O4379" s="0" t="n">
        <f aca="false">E4379*E4379</f>
        <v>0.5625</v>
      </c>
      <c r="P4379" s="0" t="n">
        <f aca="false">F4379*F4379</f>
        <v>0.140625</v>
      </c>
      <c r="Q4379" s="0" t="n">
        <f aca="false">SUMPRODUCT(G4379:P4379,_XtX!$B$71:$K$71)</f>
        <v>44.7727272727273</v>
      </c>
      <c r="R4379" s="0" t="n">
        <f aca="false">SUMPRODUCT(MMULT(G4379:P4379,_XtX!$B$58:$K$67),G4379:P4379)</f>
        <v>0.375727428089489</v>
      </c>
      <c r="S4379" s="0" t="n">
        <f aca="false">04_回帰ANOVA!$K$19*04_回帰ANOVA!$K$14*SQRT(1+R4379)</f>
        <v>1.09051798904087</v>
      </c>
      <c r="T4379" s="0" t="n">
        <f aca="false">Q4379-S4379</f>
        <v>43.6822092836864</v>
      </c>
      <c r="U4379" s="0" t="n">
        <f aca="false">Q4379+S4379</f>
        <v>45.8632452617682</v>
      </c>
      <c r="V4379" s="54" t="b">
        <f aca="false">AND(D4379&gt;=01_因子設定!$L$5-0.000000001,D4379&lt;=01_因子設定!$M$5+0.000000001,E4379&gt;=01_因子設定!$L$6-0.000000001,E4379&lt;=01_因子設定!$M$6+0.000000001,F4379&gt;=01_因子設定!$L$7-0.000000001,F4379&lt;=01_因子設定!$M$7+0.000000001,IF(01_因子設定!$B$20="Box-Behnken",D4379^2+E4379^2+F4379^2&lt;=2+0.000000001,TRUE()))</f>
        <v>1</v>
      </c>
      <c r="W4379" s="55" t="n">
        <f aca="false">IF(V4379,IF(01_因子設定!$B$13="最大化",T4379-01_因子設定!$B$14,IF(01_因子設定!$B$13="最小化",01_因子設定!$B$15-U4379,MIN(T4379-01_因子設定!$B$14,01_因子設定!$B$15-U4379))),-1E+030)</f>
        <v>-4.8177907163136</v>
      </c>
      <c r="X4379" s="55" t="n">
        <f aca="false">IF(V4379,IF(01_因子設定!$B$13="最大化",Q4379,IF(01_因子設定!$B$13="最小化",-Q4379,-ABS(Q4379-01_因子設定!$B$16))),-1E+030)</f>
        <v>44.7727272727273</v>
      </c>
      <c r="Y4379" s="55" t="n">
        <f aca="false">W4379+ROW()*0.000000001</f>
        <v>-4.8177863373136</v>
      </c>
      <c r="Z4379" s="55" t="n">
        <f aca="false">X4379+ROW()*0.000000001</f>
        <v>44.7727316517273</v>
      </c>
    </row>
    <row r="4380" customFormat="false" ht="15" hidden="false" customHeight="false" outlineLevel="0" collapsed="false">
      <c r="A4380" s="0" t="n">
        <v>15</v>
      </c>
      <c r="B4380" s="0" t="n">
        <v>2</v>
      </c>
      <c r="C4380" s="0" t="n">
        <v>6</v>
      </c>
      <c r="D4380" s="0" t="n">
        <f aca="false">-1+A4380*0.125</f>
        <v>0.875</v>
      </c>
      <c r="E4380" s="0" t="n">
        <f aca="false">-1+B4380*0.125</f>
        <v>-0.75</v>
      </c>
      <c r="F4380" s="0" t="n">
        <f aca="false">-1+C4380*0.125</f>
        <v>-0.25</v>
      </c>
      <c r="G4380" s="0" t="n">
        <f aca="false">1</f>
        <v>1</v>
      </c>
      <c r="H4380" s="0" t="n">
        <f aca="false">D4380</f>
        <v>0.875</v>
      </c>
      <c r="I4380" s="0" t="n">
        <f aca="false">E4380</f>
        <v>-0.75</v>
      </c>
      <c r="J4380" s="0" t="n">
        <f aca="false">F4380</f>
        <v>-0.25</v>
      </c>
      <c r="K4380" s="0" t="n">
        <f aca="false">D4380*E4380</f>
        <v>-0.65625</v>
      </c>
      <c r="L4380" s="0" t="n">
        <f aca="false">D4380*F4380</f>
        <v>-0.21875</v>
      </c>
      <c r="M4380" s="0" t="n">
        <f aca="false">E4380*F4380</f>
        <v>0.1875</v>
      </c>
      <c r="N4380" s="0" t="n">
        <f aca="false">D4380*D4380</f>
        <v>0.765625</v>
      </c>
      <c r="O4380" s="0" t="n">
        <f aca="false">E4380*E4380</f>
        <v>0.5625</v>
      </c>
      <c r="P4380" s="0" t="n">
        <f aca="false">F4380*F4380</f>
        <v>0.0625</v>
      </c>
      <c r="Q4380" s="0" t="n">
        <f aca="false">SUMPRODUCT(G4380:P4380,_XtX!$B$71:$K$71)</f>
        <v>44.9786079545455</v>
      </c>
      <c r="R4380" s="0" t="n">
        <f aca="false">SUMPRODUCT(MMULT(G4380:P4380,_XtX!$B$58:$K$67),G4380:P4380)</f>
        <v>0.384574751420455</v>
      </c>
      <c r="S4380" s="0" t="n">
        <f aca="false">04_回帰ANOVA!$K$19*04_回帰ANOVA!$K$14*SQRT(1+R4380)</f>
        <v>1.0940189380139</v>
      </c>
      <c r="T4380" s="0" t="n">
        <f aca="false">Q4380-S4380</f>
        <v>43.8845890165316</v>
      </c>
      <c r="U4380" s="0" t="n">
        <f aca="false">Q4380+S4380</f>
        <v>46.0726268925594</v>
      </c>
      <c r="V4380" s="54" t="b">
        <f aca="false">AND(D4380&gt;=01_因子設定!$L$5-0.000000001,D4380&lt;=01_因子設定!$M$5+0.000000001,E4380&gt;=01_因子設定!$L$6-0.000000001,E4380&lt;=01_因子設定!$M$6+0.000000001,F4380&gt;=01_因子設定!$L$7-0.000000001,F4380&lt;=01_因子設定!$M$7+0.000000001,IF(01_因子設定!$B$20="Box-Behnken",D4380^2+E4380^2+F4380^2&lt;=2+0.000000001,TRUE()))</f>
        <v>1</v>
      </c>
      <c r="W4380" s="55" t="n">
        <f aca="false">IF(V4380,IF(01_因子設定!$B$13="最大化",T4380-01_因子設定!$B$14,IF(01_因子設定!$B$13="最小化",01_因子設定!$B$15-U4380,MIN(T4380-01_因子設定!$B$14,01_因子設定!$B$15-U4380))),-1E+030)</f>
        <v>-4.61541098346845</v>
      </c>
      <c r="X4380" s="55" t="n">
        <f aca="false">IF(V4380,IF(01_因子設定!$B$13="最大化",Q4380,IF(01_因子設定!$B$13="最小化",-Q4380,-ABS(Q4380-01_因子設定!$B$16))),-1E+030)</f>
        <v>44.9786079545455</v>
      </c>
      <c r="Y4380" s="55" t="n">
        <f aca="false">W4380+ROW()*0.000000001</f>
        <v>-4.61540660346845</v>
      </c>
      <c r="Z4380" s="55" t="n">
        <f aca="false">X4380+ROW()*0.000000001</f>
        <v>44.9786123345455</v>
      </c>
    </row>
    <row r="4381" customFormat="false" ht="15" hidden="false" customHeight="false" outlineLevel="0" collapsed="false">
      <c r="A4381" s="0" t="n">
        <v>15</v>
      </c>
      <c r="B4381" s="0" t="n">
        <v>2</v>
      </c>
      <c r="C4381" s="0" t="n">
        <v>7</v>
      </c>
      <c r="D4381" s="0" t="n">
        <f aca="false">-1+A4381*0.125</f>
        <v>0.875</v>
      </c>
      <c r="E4381" s="0" t="n">
        <f aca="false">-1+B4381*0.125</f>
        <v>-0.75</v>
      </c>
      <c r="F4381" s="0" t="n">
        <f aca="false">-1+C4381*0.125</f>
        <v>-0.125</v>
      </c>
      <c r="G4381" s="0" t="n">
        <f aca="false">1</f>
        <v>1</v>
      </c>
      <c r="H4381" s="0" t="n">
        <f aca="false">D4381</f>
        <v>0.875</v>
      </c>
      <c r="I4381" s="0" t="n">
        <f aca="false">E4381</f>
        <v>-0.75</v>
      </c>
      <c r="J4381" s="0" t="n">
        <f aca="false">F4381</f>
        <v>-0.125</v>
      </c>
      <c r="K4381" s="0" t="n">
        <f aca="false">D4381*E4381</f>
        <v>-0.65625</v>
      </c>
      <c r="L4381" s="0" t="n">
        <f aca="false">D4381*F4381</f>
        <v>-0.109375</v>
      </c>
      <c r="M4381" s="0" t="n">
        <f aca="false">E4381*F4381</f>
        <v>0.09375</v>
      </c>
      <c r="N4381" s="0" t="n">
        <f aca="false">D4381*D4381</f>
        <v>0.765625</v>
      </c>
      <c r="O4381" s="0" t="n">
        <f aca="false">E4381*E4381</f>
        <v>0.5625</v>
      </c>
      <c r="P4381" s="0" t="n">
        <f aca="false">F4381*F4381</f>
        <v>0.015625</v>
      </c>
      <c r="Q4381" s="0" t="n">
        <f aca="false">SUMPRODUCT(G4381:P4381,_XtX!$B$71:$K$71)</f>
        <v>45.1476988636364</v>
      </c>
      <c r="R4381" s="0" t="n">
        <f aca="false">SUMPRODUCT(MMULT(G4381:P4381,_XtX!$B$58:$K$67),G4381:P4381)</f>
        <v>0.392013827237216</v>
      </c>
      <c r="S4381" s="0" t="n">
        <f aca="false">04_回帰ANOVA!$K$19*04_回帰ANOVA!$K$14*SQRT(1+R4381)</f>
        <v>1.09695398627251</v>
      </c>
      <c r="T4381" s="0" t="n">
        <f aca="false">Q4381-S4381</f>
        <v>44.0507448773639</v>
      </c>
      <c r="U4381" s="0" t="n">
        <f aca="false">Q4381+S4381</f>
        <v>46.2446528499089</v>
      </c>
      <c r="V4381" s="54" t="b">
        <f aca="false">AND(D4381&gt;=01_因子設定!$L$5-0.000000001,D4381&lt;=01_因子設定!$M$5+0.000000001,E4381&gt;=01_因子設定!$L$6-0.000000001,E4381&lt;=01_因子設定!$M$6+0.000000001,F4381&gt;=01_因子設定!$L$7-0.000000001,F4381&lt;=01_因子設定!$M$7+0.000000001,IF(01_因子設定!$B$20="Box-Behnken",D4381^2+E4381^2+F4381^2&lt;=2+0.000000001,TRUE()))</f>
        <v>1</v>
      </c>
      <c r="W4381" s="55" t="n">
        <f aca="false">IF(V4381,IF(01_因子設定!$B$13="最大化",T4381-01_因子設定!$B$14,IF(01_因子設定!$B$13="最小化",01_因子設定!$B$15-U4381,MIN(T4381-01_因子設定!$B$14,01_因子設定!$B$15-U4381))),-1E+030)</f>
        <v>-4.44925512263615</v>
      </c>
      <c r="X4381" s="55" t="n">
        <f aca="false">IF(V4381,IF(01_因子設定!$B$13="最大化",Q4381,IF(01_因子設定!$B$13="最小化",-Q4381,-ABS(Q4381-01_因子設定!$B$16))),-1E+030)</f>
        <v>45.1476988636364</v>
      </c>
      <c r="Y4381" s="55" t="n">
        <f aca="false">W4381+ROW()*0.000000001</f>
        <v>-4.44925074163615</v>
      </c>
      <c r="Z4381" s="55" t="n">
        <f aca="false">X4381+ROW()*0.000000001</f>
        <v>45.1477032446364</v>
      </c>
    </row>
    <row r="4382" customFormat="false" ht="15" hidden="false" customHeight="false" outlineLevel="0" collapsed="false">
      <c r="A4382" s="0" t="n">
        <v>15</v>
      </c>
      <c r="B4382" s="0" t="n">
        <v>2</v>
      </c>
      <c r="C4382" s="0" t="n">
        <v>8</v>
      </c>
      <c r="D4382" s="0" t="n">
        <f aca="false">-1+A4382*0.125</f>
        <v>0.875</v>
      </c>
      <c r="E4382" s="0" t="n">
        <f aca="false">-1+B4382*0.125</f>
        <v>-0.75</v>
      </c>
      <c r="F4382" s="0" t="n">
        <f aca="false">-1+C4382*0.125</f>
        <v>0</v>
      </c>
      <c r="G4382" s="0" t="n">
        <f aca="false">1</f>
        <v>1</v>
      </c>
      <c r="H4382" s="0" t="n">
        <f aca="false">D4382</f>
        <v>0.875</v>
      </c>
      <c r="I4382" s="0" t="n">
        <f aca="false">E4382</f>
        <v>-0.75</v>
      </c>
      <c r="J4382" s="0" t="n">
        <f aca="false">F4382</f>
        <v>0</v>
      </c>
      <c r="K4382" s="0" t="n">
        <f aca="false">D4382*E4382</f>
        <v>-0.65625</v>
      </c>
      <c r="L4382" s="0" t="n">
        <f aca="false">D4382*F4382</f>
        <v>0</v>
      </c>
      <c r="M4382" s="0" t="n">
        <f aca="false">E4382*F4382</f>
        <v>-0</v>
      </c>
      <c r="N4382" s="0" t="n">
        <f aca="false">D4382*D4382</f>
        <v>0.765625</v>
      </c>
      <c r="O4382" s="0" t="n">
        <f aca="false">E4382*E4382</f>
        <v>0.5625</v>
      </c>
      <c r="P4382" s="0" t="n">
        <f aca="false">F4382*F4382</f>
        <v>0</v>
      </c>
      <c r="Q4382" s="0" t="n">
        <f aca="false">SUMPRODUCT(G4382:P4382,_XtX!$B$71:$K$71)</f>
        <v>45.28</v>
      </c>
      <c r="R4382" s="0" t="n">
        <f aca="false">SUMPRODUCT(MMULT(G4382:P4382,_XtX!$B$58:$K$67),G4382:P4382)</f>
        <v>0.3948486328125</v>
      </c>
      <c r="S4382" s="0" t="n">
        <f aca="false">04_回帰ANOVA!$K$19*04_回帰ANOVA!$K$14*SQRT(1+R4382)</f>
        <v>1.09807037952996</v>
      </c>
      <c r="T4382" s="0" t="n">
        <f aca="false">Q4382-S4382</f>
        <v>44.18192962047</v>
      </c>
      <c r="U4382" s="0" t="n">
        <f aca="false">Q4382+S4382</f>
        <v>46.37807037953</v>
      </c>
      <c r="V4382" s="54" t="b">
        <f aca="false">AND(D4382&gt;=01_因子設定!$L$5-0.000000001,D4382&lt;=01_因子設定!$M$5+0.000000001,E4382&gt;=01_因子設定!$L$6-0.000000001,E4382&lt;=01_因子設定!$M$6+0.000000001,F4382&gt;=01_因子設定!$L$7-0.000000001,F4382&lt;=01_因子設定!$M$7+0.000000001,IF(01_因子設定!$B$20="Box-Behnken",D4382^2+E4382^2+F4382^2&lt;=2+0.000000001,TRUE()))</f>
        <v>1</v>
      </c>
      <c r="W4382" s="55" t="n">
        <f aca="false">IF(V4382,IF(01_因子設定!$B$13="最大化",T4382-01_因子設定!$B$14,IF(01_因子設定!$B$13="最小化",01_因子設定!$B$15-U4382,MIN(T4382-01_因子設定!$B$14,01_因子設定!$B$15-U4382))),-1E+030)</f>
        <v>-4.31807037952996</v>
      </c>
      <c r="X4382" s="55" t="n">
        <f aca="false">IF(V4382,IF(01_因子設定!$B$13="最大化",Q4382,IF(01_因子設定!$B$13="最小化",-Q4382,-ABS(Q4382-01_因子設定!$B$16))),-1E+030)</f>
        <v>45.28</v>
      </c>
      <c r="Y4382" s="55" t="n">
        <f aca="false">W4382+ROW()*0.000000001</f>
        <v>-4.31806599752996</v>
      </c>
      <c r="Z4382" s="55" t="n">
        <f aca="false">X4382+ROW()*0.000000001</f>
        <v>45.280004382</v>
      </c>
    </row>
    <row r="4383" customFormat="false" ht="15" hidden="false" customHeight="false" outlineLevel="0" collapsed="false">
      <c r="A4383" s="0" t="n">
        <v>15</v>
      </c>
      <c r="B4383" s="0" t="n">
        <v>2</v>
      </c>
      <c r="C4383" s="0" t="n">
        <v>9</v>
      </c>
      <c r="D4383" s="0" t="n">
        <f aca="false">-1+A4383*0.125</f>
        <v>0.875</v>
      </c>
      <c r="E4383" s="0" t="n">
        <f aca="false">-1+B4383*0.125</f>
        <v>-0.75</v>
      </c>
      <c r="F4383" s="0" t="n">
        <f aca="false">-1+C4383*0.125</f>
        <v>0.125</v>
      </c>
      <c r="G4383" s="0" t="n">
        <f aca="false">1</f>
        <v>1</v>
      </c>
      <c r="H4383" s="0" t="n">
        <f aca="false">D4383</f>
        <v>0.875</v>
      </c>
      <c r="I4383" s="0" t="n">
        <f aca="false">E4383</f>
        <v>-0.75</v>
      </c>
      <c r="J4383" s="0" t="n">
        <f aca="false">F4383</f>
        <v>0.125</v>
      </c>
      <c r="K4383" s="0" t="n">
        <f aca="false">D4383*E4383</f>
        <v>-0.65625</v>
      </c>
      <c r="L4383" s="0" t="n">
        <f aca="false">D4383*F4383</f>
        <v>0.109375</v>
      </c>
      <c r="M4383" s="0" t="n">
        <f aca="false">E4383*F4383</f>
        <v>-0.09375</v>
      </c>
      <c r="N4383" s="0" t="n">
        <f aca="false">D4383*D4383</f>
        <v>0.765625</v>
      </c>
      <c r="O4383" s="0" t="n">
        <f aca="false">E4383*E4383</f>
        <v>0.5625</v>
      </c>
      <c r="P4383" s="0" t="n">
        <f aca="false">F4383*F4383</f>
        <v>0.015625</v>
      </c>
      <c r="Q4383" s="0" t="n">
        <f aca="false">SUMPRODUCT(G4383:P4383,_XtX!$B$71:$K$71)</f>
        <v>45.3755113636364</v>
      </c>
      <c r="R4383" s="0" t="n">
        <f aca="false">SUMPRODUCT(MMULT(G4383:P4383,_XtX!$B$58:$K$67),G4383:P4383)</f>
        <v>0.392013827237216</v>
      </c>
      <c r="S4383" s="0" t="n">
        <f aca="false">04_回帰ANOVA!$K$19*04_回帰ANOVA!$K$14*SQRT(1+R4383)</f>
        <v>1.09695398627251</v>
      </c>
      <c r="T4383" s="0" t="n">
        <f aca="false">Q4383-S4383</f>
        <v>44.2785573773639</v>
      </c>
      <c r="U4383" s="0" t="n">
        <f aca="false">Q4383+S4383</f>
        <v>46.4724653499089</v>
      </c>
      <c r="V4383" s="54" t="b">
        <f aca="false">AND(D4383&gt;=01_因子設定!$L$5-0.000000001,D4383&lt;=01_因子設定!$M$5+0.000000001,E4383&gt;=01_因子設定!$L$6-0.000000001,E4383&lt;=01_因子設定!$M$6+0.000000001,F4383&gt;=01_因子設定!$L$7-0.000000001,F4383&lt;=01_因子設定!$M$7+0.000000001,IF(01_因子設定!$B$20="Box-Behnken",D4383^2+E4383^2+F4383^2&lt;=2+0.000000001,TRUE()))</f>
        <v>1</v>
      </c>
      <c r="W4383" s="55" t="n">
        <f aca="false">IF(V4383,IF(01_因子設定!$B$13="最大化",T4383-01_因子設定!$B$14,IF(01_因子設定!$B$13="最小化",01_因子設定!$B$15-U4383,MIN(T4383-01_因子設定!$B$14,01_因子設定!$B$15-U4383))),-1E+030)</f>
        <v>-4.22144262263615</v>
      </c>
      <c r="X4383" s="55" t="n">
        <f aca="false">IF(V4383,IF(01_因子設定!$B$13="最大化",Q4383,IF(01_因子設定!$B$13="最小化",-Q4383,-ABS(Q4383-01_因子設定!$B$16))),-1E+030)</f>
        <v>45.3755113636364</v>
      </c>
      <c r="Y4383" s="55" t="n">
        <f aca="false">W4383+ROW()*0.000000001</f>
        <v>-4.22143823963615</v>
      </c>
      <c r="Z4383" s="55" t="n">
        <f aca="false">X4383+ROW()*0.000000001</f>
        <v>45.3755157466364</v>
      </c>
    </row>
    <row r="4384" customFormat="false" ht="15" hidden="false" customHeight="false" outlineLevel="0" collapsed="false">
      <c r="A4384" s="0" t="n">
        <v>15</v>
      </c>
      <c r="B4384" s="0" t="n">
        <v>2</v>
      </c>
      <c r="C4384" s="0" t="n">
        <v>10</v>
      </c>
      <c r="D4384" s="0" t="n">
        <f aca="false">-1+A4384*0.125</f>
        <v>0.875</v>
      </c>
      <c r="E4384" s="0" t="n">
        <f aca="false">-1+B4384*0.125</f>
        <v>-0.75</v>
      </c>
      <c r="F4384" s="0" t="n">
        <f aca="false">-1+C4384*0.125</f>
        <v>0.25</v>
      </c>
      <c r="G4384" s="0" t="n">
        <f aca="false">1</f>
        <v>1</v>
      </c>
      <c r="H4384" s="0" t="n">
        <f aca="false">D4384</f>
        <v>0.875</v>
      </c>
      <c r="I4384" s="0" t="n">
        <f aca="false">E4384</f>
        <v>-0.75</v>
      </c>
      <c r="J4384" s="0" t="n">
        <f aca="false">F4384</f>
        <v>0.25</v>
      </c>
      <c r="K4384" s="0" t="n">
        <f aca="false">D4384*E4384</f>
        <v>-0.65625</v>
      </c>
      <c r="L4384" s="0" t="n">
        <f aca="false">D4384*F4384</f>
        <v>0.21875</v>
      </c>
      <c r="M4384" s="0" t="n">
        <f aca="false">E4384*F4384</f>
        <v>-0.1875</v>
      </c>
      <c r="N4384" s="0" t="n">
        <f aca="false">D4384*D4384</f>
        <v>0.765625</v>
      </c>
      <c r="O4384" s="0" t="n">
        <f aca="false">E4384*E4384</f>
        <v>0.5625</v>
      </c>
      <c r="P4384" s="0" t="n">
        <f aca="false">F4384*F4384</f>
        <v>0.0625</v>
      </c>
      <c r="Q4384" s="0" t="n">
        <f aca="false">SUMPRODUCT(G4384:P4384,_XtX!$B$71:$K$71)</f>
        <v>45.4342329545455</v>
      </c>
      <c r="R4384" s="0" t="n">
        <f aca="false">SUMPRODUCT(MMULT(G4384:P4384,_XtX!$B$58:$K$67),G4384:P4384)</f>
        <v>0.384574751420455</v>
      </c>
      <c r="S4384" s="0" t="n">
        <f aca="false">04_回帰ANOVA!$K$19*04_回帰ANOVA!$K$14*SQRT(1+R4384)</f>
        <v>1.0940189380139</v>
      </c>
      <c r="T4384" s="0" t="n">
        <f aca="false">Q4384-S4384</f>
        <v>44.3402140165316</v>
      </c>
      <c r="U4384" s="0" t="n">
        <f aca="false">Q4384+S4384</f>
        <v>46.5282518925594</v>
      </c>
      <c r="V4384" s="54" t="b">
        <f aca="false">AND(D4384&gt;=01_因子設定!$L$5-0.000000001,D4384&lt;=01_因子設定!$M$5+0.000000001,E4384&gt;=01_因子設定!$L$6-0.000000001,E4384&lt;=01_因子設定!$M$6+0.000000001,F4384&gt;=01_因子設定!$L$7-0.000000001,F4384&lt;=01_因子設定!$M$7+0.000000001,IF(01_因子設定!$B$20="Box-Behnken",D4384^2+E4384^2+F4384^2&lt;=2+0.000000001,TRUE()))</f>
        <v>1</v>
      </c>
      <c r="W4384" s="55" t="n">
        <f aca="false">IF(V4384,IF(01_因子設定!$B$13="最大化",T4384-01_因子設定!$B$14,IF(01_因子設定!$B$13="最小化",01_因子設定!$B$15-U4384,MIN(T4384-01_因子設定!$B$14,01_因子設定!$B$15-U4384))),-1E+030)</f>
        <v>-4.15978598346845</v>
      </c>
      <c r="X4384" s="55" t="n">
        <f aca="false">IF(V4384,IF(01_因子設定!$B$13="最大化",Q4384,IF(01_因子設定!$B$13="最小化",-Q4384,-ABS(Q4384-01_因子設定!$B$16))),-1E+030)</f>
        <v>45.4342329545455</v>
      </c>
      <c r="Y4384" s="55" t="n">
        <f aca="false">W4384+ROW()*0.000000001</f>
        <v>-4.15978159946845</v>
      </c>
      <c r="Z4384" s="55" t="n">
        <f aca="false">X4384+ROW()*0.000000001</f>
        <v>45.4342373385455</v>
      </c>
    </row>
    <row r="4385" customFormat="false" ht="15" hidden="false" customHeight="false" outlineLevel="0" collapsed="false">
      <c r="A4385" s="0" t="n">
        <v>15</v>
      </c>
      <c r="B4385" s="0" t="n">
        <v>2</v>
      </c>
      <c r="C4385" s="0" t="n">
        <v>11</v>
      </c>
      <c r="D4385" s="0" t="n">
        <f aca="false">-1+A4385*0.125</f>
        <v>0.875</v>
      </c>
      <c r="E4385" s="0" t="n">
        <f aca="false">-1+B4385*0.125</f>
        <v>-0.75</v>
      </c>
      <c r="F4385" s="0" t="n">
        <f aca="false">-1+C4385*0.125</f>
        <v>0.375</v>
      </c>
      <c r="G4385" s="0" t="n">
        <f aca="false">1</f>
        <v>1</v>
      </c>
      <c r="H4385" s="0" t="n">
        <f aca="false">D4385</f>
        <v>0.875</v>
      </c>
      <c r="I4385" s="0" t="n">
        <f aca="false">E4385</f>
        <v>-0.75</v>
      </c>
      <c r="J4385" s="0" t="n">
        <f aca="false">F4385</f>
        <v>0.375</v>
      </c>
      <c r="K4385" s="0" t="n">
        <f aca="false">D4385*E4385</f>
        <v>-0.65625</v>
      </c>
      <c r="L4385" s="0" t="n">
        <f aca="false">D4385*F4385</f>
        <v>0.328125</v>
      </c>
      <c r="M4385" s="0" t="n">
        <f aca="false">E4385*F4385</f>
        <v>-0.28125</v>
      </c>
      <c r="N4385" s="0" t="n">
        <f aca="false">D4385*D4385</f>
        <v>0.765625</v>
      </c>
      <c r="O4385" s="0" t="n">
        <f aca="false">E4385*E4385</f>
        <v>0.5625</v>
      </c>
      <c r="P4385" s="0" t="n">
        <f aca="false">F4385*F4385</f>
        <v>0.140625</v>
      </c>
      <c r="Q4385" s="0" t="n">
        <f aca="false">SUMPRODUCT(G4385:P4385,_XtX!$B$71:$K$71)</f>
        <v>45.4561647727273</v>
      </c>
      <c r="R4385" s="0" t="n">
        <f aca="false">SUMPRODUCT(MMULT(G4385:P4385,_XtX!$B$58:$K$67),G4385:P4385)</f>
        <v>0.375727428089489</v>
      </c>
      <c r="S4385" s="0" t="n">
        <f aca="false">04_回帰ANOVA!$K$19*04_回帰ANOVA!$K$14*SQRT(1+R4385)</f>
        <v>1.09051798904087</v>
      </c>
      <c r="T4385" s="0" t="n">
        <f aca="false">Q4385-S4385</f>
        <v>44.3656467836864</v>
      </c>
      <c r="U4385" s="0" t="n">
        <f aca="false">Q4385+S4385</f>
        <v>46.5466827617681</v>
      </c>
      <c r="V4385" s="54" t="b">
        <f aca="false">AND(D4385&gt;=01_因子設定!$L$5-0.000000001,D4385&lt;=01_因子設定!$M$5+0.000000001,E4385&gt;=01_因子設定!$L$6-0.000000001,E4385&lt;=01_因子設定!$M$6+0.000000001,F4385&gt;=01_因子設定!$L$7-0.000000001,F4385&lt;=01_因子設定!$M$7+0.000000001,IF(01_因子設定!$B$20="Box-Behnken",D4385^2+E4385^2+F4385^2&lt;=2+0.000000001,TRUE()))</f>
        <v>1</v>
      </c>
      <c r="W4385" s="55" t="n">
        <f aca="false">IF(V4385,IF(01_因子設定!$B$13="最大化",T4385-01_因子設定!$B$14,IF(01_因子設定!$B$13="最小化",01_因子設定!$B$15-U4385,MIN(T4385-01_因子設定!$B$14,01_因子設定!$B$15-U4385))),-1E+030)</f>
        <v>-4.13435321631361</v>
      </c>
      <c r="X4385" s="55" t="n">
        <f aca="false">IF(V4385,IF(01_因子設定!$B$13="最大化",Q4385,IF(01_因子設定!$B$13="最小化",-Q4385,-ABS(Q4385-01_因子設定!$B$16))),-1E+030)</f>
        <v>45.4561647727273</v>
      </c>
      <c r="Y4385" s="55" t="n">
        <f aca="false">W4385+ROW()*0.000000001</f>
        <v>-4.13434883131361</v>
      </c>
      <c r="Z4385" s="55" t="n">
        <f aca="false">X4385+ROW()*0.000000001</f>
        <v>45.4561691577273</v>
      </c>
    </row>
    <row r="4386" customFormat="false" ht="15" hidden="false" customHeight="false" outlineLevel="0" collapsed="false">
      <c r="A4386" s="0" t="n">
        <v>15</v>
      </c>
      <c r="B4386" s="0" t="n">
        <v>2</v>
      </c>
      <c r="C4386" s="0" t="n">
        <v>12</v>
      </c>
      <c r="D4386" s="0" t="n">
        <f aca="false">-1+A4386*0.125</f>
        <v>0.875</v>
      </c>
      <c r="E4386" s="0" t="n">
        <f aca="false">-1+B4386*0.125</f>
        <v>-0.75</v>
      </c>
      <c r="F4386" s="0" t="n">
        <f aca="false">-1+C4386*0.125</f>
        <v>0.5</v>
      </c>
      <c r="G4386" s="0" t="n">
        <f aca="false">1</f>
        <v>1</v>
      </c>
      <c r="H4386" s="0" t="n">
        <f aca="false">D4386</f>
        <v>0.875</v>
      </c>
      <c r="I4386" s="0" t="n">
        <f aca="false">E4386</f>
        <v>-0.75</v>
      </c>
      <c r="J4386" s="0" t="n">
        <f aca="false">F4386</f>
        <v>0.5</v>
      </c>
      <c r="K4386" s="0" t="n">
        <f aca="false">D4386*E4386</f>
        <v>-0.65625</v>
      </c>
      <c r="L4386" s="0" t="n">
        <f aca="false">D4386*F4386</f>
        <v>0.4375</v>
      </c>
      <c r="M4386" s="0" t="n">
        <f aca="false">E4386*F4386</f>
        <v>-0.375</v>
      </c>
      <c r="N4386" s="0" t="n">
        <f aca="false">D4386*D4386</f>
        <v>0.765625</v>
      </c>
      <c r="O4386" s="0" t="n">
        <f aca="false">E4386*E4386</f>
        <v>0.5625</v>
      </c>
      <c r="P4386" s="0" t="n">
        <f aca="false">F4386*F4386</f>
        <v>0.25</v>
      </c>
      <c r="Q4386" s="0" t="n">
        <f aca="false">SUMPRODUCT(G4386:P4386,_XtX!$B$71:$K$71)</f>
        <v>45.4413068181818</v>
      </c>
      <c r="R4386" s="0" t="n">
        <f aca="false">SUMPRODUCT(MMULT(G4386:P4386,_XtX!$B$58:$K$67),G4386:P4386)</f>
        <v>0.370798561789773</v>
      </c>
      <c r="S4386" s="0" t="n">
        <f aca="false">04_回帰ANOVA!$K$19*04_回帰ANOVA!$K$14*SQRT(1+R4386)</f>
        <v>1.08856271788237</v>
      </c>
      <c r="T4386" s="0" t="n">
        <f aca="false">Q4386-S4386</f>
        <v>44.3527441002995</v>
      </c>
      <c r="U4386" s="0" t="n">
        <f aca="false">Q4386+S4386</f>
        <v>46.5298695360642</v>
      </c>
      <c r="V4386" s="54" t="b">
        <f aca="false">AND(D4386&gt;=01_因子設定!$L$5-0.000000001,D4386&lt;=01_因子設定!$M$5+0.000000001,E4386&gt;=01_因子設定!$L$6-0.000000001,E4386&lt;=01_因子設定!$M$6+0.000000001,F4386&gt;=01_因子設定!$L$7-0.000000001,F4386&lt;=01_因子設定!$M$7+0.000000001,IF(01_因子設定!$B$20="Box-Behnken",D4386^2+E4386^2+F4386^2&lt;=2+0.000000001,TRUE()))</f>
        <v>1</v>
      </c>
      <c r="W4386" s="55" t="n">
        <f aca="false">IF(V4386,IF(01_因子設定!$B$13="最大化",T4386-01_因子設定!$B$14,IF(01_因子設定!$B$13="最小化",01_因子設定!$B$15-U4386,MIN(T4386-01_因子設定!$B$14,01_因子設定!$B$15-U4386))),-1E+030)</f>
        <v>-4.14725589970055</v>
      </c>
      <c r="X4386" s="55" t="n">
        <f aca="false">IF(V4386,IF(01_因子設定!$B$13="最大化",Q4386,IF(01_因子設定!$B$13="最小化",-Q4386,-ABS(Q4386-01_因子設定!$B$16))),-1E+030)</f>
        <v>45.4413068181818</v>
      </c>
      <c r="Y4386" s="55" t="n">
        <f aca="false">W4386+ROW()*0.000000001</f>
        <v>-4.14725151370055</v>
      </c>
      <c r="Z4386" s="55" t="n">
        <f aca="false">X4386+ROW()*0.000000001</f>
        <v>45.4413112041818</v>
      </c>
    </row>
    <row r="4387" customFormat="false" ht="15" hidden="false" customHeight="false" outlineLevel="0" collapsed="false">
      <c r="A4387" s="0" t="n">
        <v>15</v>
      </c>
      <c r="B4387" s="0" t="n">
        <v>2</v>
      </c>
      <c r="C4387" s="0" t="n">
        <v>13</v>
      </c>
      <c r="D4387" s="0" t="n">
        <f aca="false">-1+A4387*0.125</f>
        <v>0.875</v>
      </c>
      <c r="E4387" s="0" t="n">
        <f aca="false">-1+B4387*0.125</f>
        <v>-0.75</v>
      </c>
      <c r="F4387" s="0" t="n">
        <f aca="false">-1+C4387*0.125</f>
        <v>0.625</v>
      </c>
      <c r="G4387" s="0" t="n">
        <f aca="false">1</f>
        <v>1</v>
      </c>
      <c r="H4387" s="0" t="n">
        <f aca="false">D4387</f>
        <v>0.875</v>
      </c>
      <c r="I4387" s="0" t="n">
        <f aca="false">E4387</f>
        <v>-0.75</v>
      </c>
      <c r="J4387" s="0" t="n">
        <f aca="false">F4387</f>
        <v>0.625</v>
      </c>
      <c r="K4387" s="0" t="n">
        <f aca="false">D4387*E4387</f>
        <v>-0.65625</v>
      </c>
      <c r="L4387" s="0" t="n">
        <f aca="false">D4387*F4387</f>
        <v>0.546875</v>
      </c>
      <c r="M4387" s="0" t="n">
        <f aca="false">E4387*F4387</f>
        <v>-0.46875</v>
      </c>
      <c r="N4387" s="0" t="n">
        <f aca="false">D4387*D4387</f>
        <v>0.765625</v>
      </c>
      <c r="O4387" s="0" t="n">
        <f aca="false">E4387*E4387</f>
        <v>0.5625</v>
      </c>
      <c r="P4387" s="0" t="n">
        <f aca="false">F4387*F4387</f>
        <v>0.390625</v>
      </c>
      <c r="Q4387" s="0" t="n">
        <f aca="false">SUMPRODUCT(G4387:P4387,_XtX!$B$71:$K$71)</f>
        <v>45.3896590909091</v>
      </c>
      <c r="R4387" s="0" t="n">
        <f aca="false">SUMPRODUCT(MMULT(G4387:P4387,_XtX!$B$58:$K$67),G4387:P4387)</f>
        <v>0.377245538884943</v>
      </c>
      <c r="S4387" s="0" t="n">
        <f aca="false">04_回帰ANOVA!$K$19*04_回帰ANOVA!$K$14*SQRT(1+R4387)</f>
        <v>1.09111951468927</v>
      </c>
      <c r="T4387" s="0" t="n">
        <f aca="false">Q4387-S4387</f>
        <v>44.2985395762198</v>
      </c>
      <c r="U4387" s="0" t="n">
        <f aca="false">Q4387+S4387</f>
        <v>46.4807786055984</v>
      </c>
      <c r="V4387" s="54" t="b">
        <f aca="false">AND(D4387&gt;=01_因子設定!$L$5-0.000000001,D4387&lt;=01_因子設定!$M$5+0.000000001,E4387&gt;=01_因子設定!$L$6-0.000000001,E4387&lt;=01_因子設定!$M$6+0.000000001,F4387&gt;=01_因子設定!$L$7-0.000000001,F4387&lt;=01_因子設定!$M$7+0.000000001,IF(01_因子設定!$B$20="Box-Behnken",D4387^2+E4387^2+F4387^2&lt;=2+0.000000001,TRUE()))</f>
        <v>1</v>
      </c>
      <c r="W4387" s="55" t="n">
        <f aca="false">IF(V4387,IF(01_因子設定!$B$13="最大化",T4387-01_因子設定!$B$14,IF(01_因子設定!$B$13="最小化",01_因子設定!$B$15-U4387,MIN(T4387-01_因子設定!$B$14,01_因子設定!$B$15-U4387))),-1E+030)</f>
        <v>-4.20146042378018</v>
      </c>
      <c r="X4387" s="55" t="n">
        <f aca="false">IF(V4387,IF(01_因子設定!$B$13="最大化",Q4387,IF(01_因子設定!$B$13="最小化",-Q4387,-ABS(Q4387-01_因子設定!$B$16))),-1E+030)</f>
        <v>45.3896590909091</v>
      </c>
      <c r="Y4387" s="55" t="n">
        <f aca="false">W4387+ROW()*0.000000001</f>
        <v>-4.20145603678018</v>
      </c>
      <c r="Z4387" s="55" t="n">
        <f aca="false">X4387+ROW()*0.000000001</f>
        <v>45.3896634779091</v>
      </c>
    </row>
    <row r="4388" customFormat="false" ht="15" hidden="false" customHeight="false" outlineLevel="0" collapsed="false">
      <c r="A4388" s="0" t="n">
        <v>15</v>
      </c>
      <c r="B4388" s="0" t="n">
        <v>2</v>
      </c>
      <c r="C4388" s="0" t="n">
        <v>14</v>
      </c>
      <c r="D4388" s="0" t="n">
        <f aca="false">-1+A4388*0.125</f>
        <v>0.875</v>
      </c>
      <c r="E4388" s="0" t="n">
        <f aca="false">-1+B4388*0.125</f>
        <v>-0.75</v>
      </c>
      <c r="F4388" s="0" t="n">
        <f aca="false">-1+C4388*0.125</f>
        <v>0.75</v>
      </c>
      <c r="G4388" s="0" t="n">
        <f aca="false">1</f>
        <v>1</v>
      </c>
      <c r="H4388" s="0" t="n">
        <f aca="false">D4388</f>
        <v>0.875</v>
      </c>
      <c r="I4388" s="0" t="n">
        <f aca="false">E4388</f>
        <v>-0.75</v>
      </c>
      <c r="J4388" s="0" t="n">
        <f aca="false">F4388</f>
        <v>0.75</v>
      </c>
      <c r="K4388" s="0" t="n">
        <f aca="false">D4388*E4388</f>
        <v>-0.65625</v>
      </c>
      <c r="L4388" s="0" t="n">
        <f aca="false">D4388*F4388</f>
        <v>0.65625</v>
      </c>
      <c r="M4388" s="0" t="n">
        <f aca="false">E4388*F4388</f>
        <v>-0.5625</v>
      </c>
      <c r="N4388" s="0" t="n">
        <f aca="false">D4388*D4388</f>
        <v>0.765625</v>
      </c>
      <c r="O4388" s="0" t="n">
        <f aca="false">E4388*E4388</f>
        <v>0.5625</v>
      </c>
      <c r="P4388" s="0" t="n">
        <f aca="false">F4388*F4388</f>
        <v>0.5625</v>
      </c>
      <c r="Q4388" s="0" t="n">
        <f aca="false">SUMPRODUCT(G4388:P4388,_XtX!$B$71:$K$71)</f>
        <v>45.3012215909091</v>
      </c>
      <c r="R4388" s="0" t="n">
        <f aca="false">SUMPRODUCT(MMULT(G4388:P4388,_XtX!$B$58:$K$67),G4388:P4388)</f>
        <v>0.404656427556818</v>
      </c>
      <c r="S4388" s="0" t="n">
        <f aca="false">04_回帰ANOVA!$K$19*04_回帰ANOVA!$K$14*SQRT(1+R4388)</f>
        <v>1.10192412515358</v>
      </c>
      <c r="T4388" s="0" t="n">
        <f aca="false">Q4388-S4388</f>
        <v>44.1992974657555</v>
      </c>
      <c r="U4388" s="0" t="n">
        <f aca="false">Q4388+S4388</f>
        <v>46.4031457160627</v>
      </c>
      <c r="V4388" s="54" t="b">
        <f aca="false">AND(D4388&gt;=01_因子設定!$L$5-0.000000001,D4388&lt;=01_因子設定!$M$5+0.000000001,E4388&gt;=01_因子設定!$L$6-0.000000001,E4388&lt;=01_因子設定!$M$6+0.000000001,F4388&gt;=01_因子設定!$L$7-0.000000001,F4388&lt;=01_因子設定!$M$7+0.000000001,IF(01_因子設定!$B$20="Box-Behnken",D4388^2+E4388^2+F4388^2&lt;=2+0.000000001,TRUE()))</f>
        <v>1</v>
      </c>
      <c r="W4388" s="55" t="n">
        <f aca="false">IF(V4388,IF(01_因子設定!$B$13="最大化",T4388-01_因子設定!$B$14,IF(01_因子設定!$B$13="最小化",01_因子設定!$B$15-U4388,MIN(T4388-01_因子設定!$B$14,01_因子設定!$B$15-U4388))),-1E+030)</f>
        <v>-4.30070253424448</v>
      </c>
      <c r="X4388" s="55" t="n">
        <f aca="false">IF(V4388,IF(01_因子設定!$B$13="最大化",Q4388,IF(01_因子設定!$B$13="最小化",-Q4388,-ABS(Q4388-01_因子設定!$B$16))),-1E+030)</f>
        <v>45.3012215909091</v>
      </c>
      <c r="Y4388" s="55" t="n">
        <f aca="false">W4388+ROW()*0.000000001</f>
        <v>-4.30069814624448</v>
      </c>
      <c r="Z4388" s="55" t="n">
        <f aca="false">X4388+ROW()*0.000000001</f>
        <v>45.3012259789091</v>
      </c>
    </row>
    <row r="4389" customFormat="false" ht="15" hidden="false" customHeight="false" outlineLevel="0" collapsed="false">
      <c r="A4389" s="0" t="n">
        <v>15</v>
      </c>
      <c r="B4389" s="0" t="n">
        <v>2</v>
      </c>
      <c r="C4389" s="0" t="n">
        <v>15</v>
      </c>
      <c r="D4389" s="0" t="n">
        <f aca="false">-1+A4389*0.125</f>
        <v>0.875</v>
      </c>
      <c r="E4389" s="0" t="n">
        <f aca="false">-1+B4389*0.125</f>
        <v>-0.75</v>
      </c>
      <c r="F4389" s="0" t="n">
        <f aca="false">-1+C4389*0.125</f>
        <v>0.875</v>
      </c>
      <c r="G4389" s="0" t="n">
        <f aca="false">1</f>
        <v>1</v>
      </c>
      <c r="H4389" s="0" t="n">
        <f aca="false">D4389</f>
        <v>0.875</v>
      </c>
      <c r="I4389" s="0" t="n">
        <f aca="false">E4389</f>
        <v>-0.75</v>
      </c>
      <c r="J4389" s="0" t="n">
        <f aca="false">F4389</f>
        <v>0.875</v>
      </c>
      <c r="K4389" s="0" t="n">
        <f aca="false">D4389*E4389</f>
        <v>-0.65625</v>
      </c>
      <c r="L4389" s="0" t="n">
        <f aca="false">D4389*F4389</f>
        <v>0.765625</v>
      </c>
      <c r="M4389" s="0" t="n">
        <f aca="false">E4389*F4389</f>
        <v>-0.65625</v>
      </c>
      <c r="N4389" s="0" t="n">
        <f aca="false">D4389*D4389</f>
        <v>0.765625</v>
      </c>
      <c r="O4389" s="0" t="n">
        <f aca="false">E4389*E4389</f>
        <v>0.5625</v>
      </c>
      <c r="P4389" s="0" t="n">
        <f aca="false">F4389*F4389</f>
        <v>0.765625</v>
      </c>
      <c r="Q4389" s="0" t="n">
        <f aca="false">SUMPRODUCT(G4389:P4389,_XtX!$B$71:$K$71)</f>
        <v>45.1759943181818</v>
      </c>
      <c r="R4389" s="0" t="n">
        <f aca="false">SUMPRODUCT(MMULT(G4389:P4389,_XtX!$B$58:$K$67),G4389:P4389)</f>
        <v>0.464749977805398</v>
      </c>
      <c r="S4389" s="0" t="n">
        <f aca="false">04_回帰ANOVA!$K$19*04_回帰ANOVA!$K$14*SQRT(1+R4389)</f>
        <v>1.12524835342194</v>
      </c>
      <c r="T4389" s="0" t="n">
        <f aca="false">Q4389-S4389</f>
        <v>44.0507459647599</v>
      </c>
      <c r="U4389" s="0" t="n">
        <f aca="false">Q4389+S4389</f>
        <v>46.3012426716038</v>
      </c>
      <c r="V4389" s="54" t="b">
        <f aca="false">AND(D4389&gt;=01_因子設定!$L$5-0.000000001,D4389&lt;=01_因子設定!$M$5+0.000000001,E4389&gt;=01_因子設定!$L$6-0.000000001,E4389&lt;=01_因子設定!$M$6+0.000000001,F4389&gt;=01_因子設定!$L$7-0.000000001,F4389&lt;=01_因子設定!$M$7+0.000000001,IF(01_因子設定!$B$20="Box-Behnken",D4389^2+E4389^2+F4389^2&lt;=2+0.000000001,TRUE()))</f>
        <v>1</v>
      </c>
      <c r="W4389" s="55" t="n">
        <f aca="false">IF(V4389,IF(01_因子設定!$B$13="最大化",T4389-01_因子設定!$B$14,IF(01_因子設定!$B$13="最小化",01_因子設定!$B$15-U4389,MIN(T4389-01_因子設定!$B$14,01_因子設定!$B$15-U4389))),-1E+030)</f>
        <v>-4.44925403524011</v>
      </c>
      <c r="X4389" s="55" t="n">
        <f aca="false">IF(V4389,IF(01_因子設定!$B$13="最大化",Q4389,IF(01_因子設定!$B$13="最小化",-Q4389,-ABS(Q4389-01_因子設定!$B$16))),-1E+030)</f>
        <v>45.1759943181818</v>
      </c>
      <c r="Y4389" s="55" t="n">
        <f aca="false">W4389+ROW()*0.000000001</f>
        <v>-4.44924964624011</v>
      </c>
      <c r="Z4389" s="55" t="n">
        <f aca="false">X4389+ROW()*0.000000001</f>
        <v>45.1759987071818</v>
      </c>
    </row>
    <row r="4390" customFormat="false" ht="15" hidden="false" customHeight="false" outlineLevel="0" collapsed="false">
      <c r="A4390" s="0" t="n">
        <v>15</v>
      </c>
      <c r="B4390" s="0" t="n">
        <v>2</v>
      </c>
      <c r="C4390" s="0" t="n">
        <v>16</v>
      </c>
      <c r="D4390" s="0" t="n">
        <f aca="false">-1+A4390*0.125</f>
        <v>0.875</v>
      </c>
      <c r="E4390" s="0" t="n">
        <f aca="false">-1+B4390*0.125</f>
        <v>-0.75</v>
      </c>
      <c r="F4390" s="0" t="n">
        <f aca="false">-1+C4390*0.125</f>
        <v>1</v>
      </c>
      <c r="G4390" s="0" t="n">
        <f aca="false">1</f>
        <v>1</v>
      </c>
      <c r="H4390" s="0" t="n">
        <f aca="false">D4390</f>
        <v>0.875</v>
      </c>
      <c r="I4390" s="0" t="n">
        <f aca="false">E4390</f>
        <v>-0.75</v>
      </c>
      <c r="J4390" s="0" t="n">
        <f aca="false">F4390</f>
        <v>1</v>
      </c>
      <c r="K4390" s="0" t="n">
        <f aca="false">D4390*E4390</f>
        <v>-0.65625</v>
      </c>
      <c r="L4390" s="0" t="n">
        <f aca="false">D4390*F4390</f>
        <v>0.875</v>
      </c>
      <c r="M4390" s="0" t="n">
        <f aca="false">E4390*F4390</f>
        <v>-0.75</v>
      </c>
      <c r="N4390" s="0" t="n">
        <f aca="false">D4390*D4390</f>
        <v>0.765625</v>
      </c>
      <c r="O4390" s="0" t="n">
        <f aca="false">E4390*E4390</f>
        <v>0.5625</v>
      </c>
      <c r="P4390" s="0" t="n">
        <f aca="false">F4390*F4390</f>
        <v>1</v>
      </c>
      <c r="Q4390" s="0" t="n">
        <f aca="false">SUMPRODUCT(G4390:P4390,_XtX!$B$71:$K$71)</f>
        <v>45.0139772727273</v>
      </c>
      <c r="R4390" s="0" t="n">
        <f aca="false">SUMPRODUCT(MMULT(G4390:P4390,_XtX!$B$58:$K$67),G4390:P4390)</f>
        <v>0.571375621448864</v>
      </c>
      <c r="S4390" s="0" t="n">
        <f aca="false">04_回帰ANOVA!$K$19*04_回帰ANOVA!$K$14*SQRT(1+R4390)</f>
        <v>1.16548487437682</v>
      </c>
      <c r="T4390" s="0" t="n">
        <f aca="false">Q4390-S4390</f>
        <v>43.8484923983505</v>
      </c>
      <c r="U4390" s="0" t="n">
        <f aca="false">Q4390+S4390</f>
        <v>46.1794621471041</v>
      </c>
      <c r="V4390" s="54" t="b">
        <f aca="false">AND(D4390&gt;=01_因子設定!$L$5-0.000000001,D4390&lt;=01_因子設定!$M$5+0.000000001,E4390&gt;=01_因子設定!$L$6-0.000000001,E4390&lt;=01_因子設定!$M$6+0.000000001,F4390&gt;=01_因子設定!$L$7-0.000000001,F4390&lt;=01_因子設定!$M$7+0.000000001,IF(01_因子設定!$B$20="Box-Behnken",D4390^2+E4390^2+F4390^2&lt;=2+0.000000001,TRUE()))</f>
        <v>1</v>
      </c>
      <c r="W4390" s="55" t="n">
        <f aca="false">IF(V4390,IF(01_因子設定!$B$13="最大化",T4390-01_因子設定!$B$14,IF(01_因子設定!$B$13="最小化",01_因子設定!$B$15-U4390,MIN(T4390-01_因子設定!$B$14,01_因子設定!$B$15-U4390))),-1E+030)</f>
        <v>-4.65150760164953</v>
      </c>
      <c r="X4390" s="55" t="n">
        <f aca="false">IF(V4390,IF(01_因子設定!$B$13="最大化",Q4390,IF(01_因子設定!$B$13="最小化",-Q4390,-ABS(Q4390-01_因子設定!$B$16))),-1E+030)</f>
        <v>45.0139772727273</v>
      </c>
      <c r="Y4390" s="55" t="n">
        <f aca="false">W4390+ROW()*0.000000001</f>
        <v>-4.65150321164953</v>
      </c>
      <c r="Z4390" s="55" t="n">
        <f aca="false">X4390+ROW()*0.000000001</f>
        <v>45.0139816627273</v>
      </c>
    </row>
    <row r="4391" customFormat="false" ht="15" hidden="false" customHeight="false" outlineLevel="0" collapsed="false">
      <c r="A4391" s="0" t="n">
        <v>15</v>
      </c>
      <c r="B4391" s="0" t="n">
        <v>3</v>
      </c>
      <c r="C4391" s="0" t="n">
        <v>0</v>
      </c>
      <c r="D4391" s="0" t="n">
        <f aca="false">-1+A4391*0.125</f>
        <v>0.875</v>
      </c>
      <c r="E4391" s="0" t="n">
        <f aca="false">-1+B4391*0.125</f>
        <v>-0.625</v>
      </c>
      <c r="F4391" s="0" t="n">
        <f aca="false">-1+C4391*0.125</f>
        <v>-1</v>
      </c>
      <c r="G4391" s="0" t="n">
        <f aca="false">1</f>
        <v>1</v>
      </c>
      <c r="H4391" s="0" t="n">
        <f aca="false">D4391</f>
        <v>0.875</v>
      </c>
      <c r="I4391" s="0" t="n">
        <f aca="false">E4391</f>
        <v>-0.625</v>
      </c>
      <c r="J4391" s="0" t="n">
        <f aca="false">F4391</f>
        <v>-1</v>
      </c>
      <c r="K4391" s="0" t="n">
        <f aca="false">D4391*E4391</f>
        <v>-0.546875</v>
      </c>
      <c r="L4391" s="0" t="n">
        <f aca="false">D4391*F4391</f>
        <v>-0.875</v>
      </c>
      <c r="M4391" s="0" t="n">
        <f aca="false">E4391*F4391</f>
        <v>0.625</v>
      </c>
      <c r="N4391" s="0" t="n">
        <f aca="false">D4391*D4391</f>
        <v>0.765625</v>
      </c>
      <c r="O4391" s="0" t="n">
        <f aca="false">E4391*E4391</f>
        <v>0.390625</v>
      </c>
      <c r="P4391" s="0" t="n">
        <f aca="false">F4391*F4391</f>
        <v>1</v>
      </c>
      <c r="Q4391" s="0" t="n">
        <f aca="false">SUMPRODUCT(G4391:P4391,_XtX!$B$71:$K$71)</f>
        <v>43.8763991477273</v>
      </c>
      <c r="R4391" s="0" t="n">
        <f aca="false">SUMPRODUCT(MMULT(G4391:P4391,_XtX!$B$58:$K$67),G4391:P4391)</f>
        <v>0.555073131214489</v>
      </c>
      <c r="S4391" s="0" t="n">
        <f aca="false">04_回帰ANOVA!$K$19*04_回帰ANOVA!$K$14*SQRT(1+R4391)</f>
        <v>1.15942335628341</v>
      </c>
      <c r="T4391" s="0" t="n">
        <f aca="false">Q4391-S4391</f>
        <v>42.7169757914439</v>
      </c>
      <c r="U4391" s="0" t="n">
        <f aca="false">Q4391+S4391</f>
        <v>45.0358225040107</v>
      </c>
      <c r="V4391" s="54" t="b">
        <f aca="false">AND(D4391&gt;=01_因子設定!$L$5-0.000000001,D4391&lt;=01_因子設定!$M$5+0.000000001,E4391&gt;=01_因子設定!$L$6-0.000000001,E4391&lt;=01_因子設定!$M$6+0.000000001,F4391&gt;=01_因子設定!$L$7-0.000000001,F4391&lt;=01_因子設定!$M$7+0.000000001,IF(01_因子設定!$B$20="Box-Behnken",D4391^2+E4391^2+F4391^2&lt;=2+0.000000001,TRUE()))</f>
        <v>1</v>
      </c>
      <c r="W4391" s="55" t="n">
        <f aca="false">IF(V4391,IF(01_因子設定!$B$13="最大化",T4391-01_因子設定!$B$14,IF(01_因子設定!$B$13="最小化",01_因子設定!$B$15-U4391,MIN(T4391-01_因子設定!$B$14,01_因子設定!$B$15-U4391))),-1E+030)</f>
        <v>-5.78302420855611</v>
      </c>
      <c r="X4391" s="55" t="n">
        <f aca="false">IF(V4391,IF(01_因子設定!$B$13="最大化",Q4391,IF(01_因子設定!$B$13="最小化",-Q4391,-ABS(Q4391-01_因子設定!$B$16))),-1E+030)</f>
        <v>43.8763991477273</v>
      </c>
      <c r="Y4391" s="55" t="n">
        <f aca="false">W4391+ROW()*0.000000001</f>
        <v>-5.78301981755611</v>
      </c>
      <c r="Z4391" s="55" t="n">
        <f aca="false">X4391+ROW()*0.000000001</f>
        <v>43.8764035387273</v>
      </c>
    </row>
    <row r="4392" customFormat="false" ht="15" hidden="false" customHeight="false" outlineLevel="0" collapsed="false">
      <c r="A4392" s="0" t="n">
        <v>15</v>
      </c>
      <c r="B4392" s="0" t="n">
        <v>3</v>
      </c>
      <c r="C4392" s="0" t="n">
        <v>1</v>
      </c>
      <c r="D4392" s="0" t="n">
        <f aca="false">-1+A4392*0.125</f>
        <v>0.875</v>
      </c>
      <c r="E4392" s="0" t="n">
        <f aca="false">-1+B4392*0.125</f>
        <v>-0.625</v>
      </c>
      <c r="F4392" s="0" t="n">
        <f aca="false">-1+C4392*0.125</f>
        <v>-0.875</v>
      </c>
      <c r="G4392" s="0" t="n">
        <f aca="false">1</f>
        <v>1</v>
      </c>
      <c r="H4392" s="0" t="n">
        <f aca="false">D4392</f>
        <v>0.875</v>
      </c>
      <c r="I4392" s="0" t="n">
        <f aca="false">E4392</f>
        <v>-0.625</v>
      </c>
      <c r="J4392" s="0" t="n">
        <f aca="false">F4392</f>
        <v>-0.875</v>
      </c>
      <c r="K4392" s="0" t="n">
        <f aca="false">D4392*E4392</f>
        <v>-0.546875</v>
      </c>
      <c r="L4392" s="0" t="n">
        <f aca="false">D4392*F4392</f>
        <v>-0.765625</v>
      </c>
      <c r="M4392" s="0" t="n">
        <f aca="false">E4392*F4392</f>
        <v>0.546875</v>
      </c>
      <c r="N4392" s="0" t="n">
        <f aca="false">D4392*D4392</f>
        <v>0.765625</v>
      </c>
      <c r="O4392" s="0" t="n">
        <f aca="false">E4392*E4392</f>
        <v>0.390625</v>
      </c>
      <c r="P4392" s="0" t="n">
        <f aca="false">F4392*F4392</f>
        <v>0.765625</v>
      </c>
      <c r="Q4392" s="0" t="n">
        <f aca="false">SUMPRODUCT(G4392:P4392,_XtX!$B$71:$K$71)</f>
        <v>44.2732599431818</v>
      </c>
      <c r="R4392" s="0" t="n">
        <f aca="false">SUMPRODUCT(MMULT(G4392:P4392,_XtX!$B$58:$K$67),G4392:P4392)</f>
        <v>0.442496559836648</v>
      </c>
      <c r="S4392" s="0" t="n">
        <f aca="false">04_回帰ANOVA!$K$19*04_回帰ANOVA!$K$14*SQRT(1+R4392)</f>
        <v>1.11666789259284</v>
      </c>
      <c r="T4392" s="0" t="n">
        <f aca="false">Q4392-S4392</f>
        <v>43.156592050589</v>
      </c>
      <c r="U4392" s="0" t="n">
        <f aca="false">Q4392+S4392</f>
        <v>45.3899278357747</v>
      </c>
      <c r="V4392" s="54" t="b">
        <f aca="false">AND(D4392&gt;=01_因子設定!$L$5-0.000000001,D4392&lt;=01_因子設定!$M$5+0.000000001,E4392&gt;=01_因子設定!$L$6-0.000000001,E4392&lt;=01_因子設定!$M$6+0.000000001,F4392&gt;=01_因子設定!$L$7-0.000000001,F4392&lt;=01_因子設定!$M$7+0.000000001,IF(01_因子設定!$B$20="Box-Behnken",D4392^2+E4392^2+F4392^2&lt;=2+0.000000001,TRUE()))</f>
        <v>1</v>
      </c>
      <c r="W4392" s="55" t="n">
        <f aca="false">IF(V4392,IF(01_因子設定!$B$13="最大化",T4392-01_因子設定!$B$14,IF(01_因子設定!$B$13="最小化",01_因子設定!$B$15-U4392,MIN(T4392-01_因子設定!$B$14,01_因子設定!$B$15-U4392))),-1E+030)</f>
        <v>-5.34340794941102</v>
      </c>
      <c r="X4392" s="55" t="n">
        <f aca="false">IF(V4392,IF(01_因子設定!$B$13="最大化",Q4392,IF(01_因子設定!$B$13="最小化",-Q4392,-ABS(Q4392-01_因子設定!$B$16))),-1E+030)</f>
        <v>44.2732599431818</v>
      </c>
      <c r="Y4392" s="55" t="n">
        <f aca="false">W4392+ROW()*0.000000001</f>
        <v>-5.34340355741102</v>
      </c>
      <c r="Z4392" s="55" t="n">
        <f aca="false">X4392+ROW()*0.000000001</f>
        <v>44.2732643351818</v>
      </c>
    </row>
    <row r="4393" customFormat="false" ht="15" hidden="false" customHeight="false" outlineLevel="0" collapsed="false">
      <c r="A4393" s="0" t="n">
        <v>15</v>
      </c>
      <c r="B4393" s="0" t="n">
        <v>3</v>
      </c>
      <c r="C4393" s="0" t="n">
        <v>2</v>
      </c>
      <c r="D4393" s="0" t="n">
        <f aca="false">-1+A4393*0.125</f>
        <v>0.875</v>
      </c>
      <c r="E4393" s="0" t="n">
        <f aca="false">-1+B4393*0.125</f>
        <v>-0.625</v>
      </c>
      <c r="F4393" s="0" t="n">
        <f aca="false">-1+C4393*0.125</f>
        <v>-0.75</v>
      </c>
      <c r="G4393" s="0" t="n">
        <f aca="false">1</f>
        <v>1</v>
      </c>
      <c r="H4393" s="0" t="n">
        <f aca="false">D4393</f>
        <v>0.875</v>
      </c>
      <c r="I4393" s="0" t="n">
        <f aca="false">E4393</f>
        <v>-0.625</v>
      </c>
      <c r="J4393" s="0" t="n">
        <f aca="false">F4393</f>
        <v>-0.75</v>
      </c>
      <c r="K4393" s="0" t="n">
        <f aca="false">D4393*E4393</f>
        <v>-0.546875</v>
      </c>
      <c r="L4393" s="0" t="n">
        <f aca="false">D4393*F4393</f>
        <v>-0.65625</v>
      </c>
      <c r="M4393" s="0" t="n">
        <f aca="false">E4393*F4393</f>
        <v>0.46875</v>
      </c>
      <c r="N4393" s="0" t="n">
        <f aca="false">D4393*D4393</f>
        <v>0.765625</v>
      </c>
      <c r="O4393" s="0" t="n">
        <f aca="false">E4393*E4393</f>
        <v>0.390625</v>
      </c>
      <c r="P4393" s="0" t="n">
        <f aca="false">F4393*F4393</f>
        <v>0.5625</v>
      </c>
      <c r="Q4393" s="0" t="n">
        <f aca="false">SUMPRODUCT(G4393:P4393,_XtX!$B$71:$K$71)</f>
        <v>44.6333309659091</v>
      </c>
      <c r="R4393" s="0" t="n">
        <f aca="false">SUMPRODUCT(MMULT(G4393:P4393,_XtX!$B$58:$K$67),G4393:P4393)</f>
        <v>0.377245538884943</v>
      </c>
      <c r="S4393" s="0" t="n">
        <f aca="false">04_回帰ANOVA!$K$19*04_回帰ANOVA!$K$14*SQRT(1+R4393)</f>
        <v>1.09111951468927</v>
      </c>
      <c r="T4393" s="0" t="n">
        <f aca="false">Q4393-S4393</f>
        <v>43.5422114512198</v>
      </c>
      <c r="U4393" s="0" t="n">
        <f aca="false">Q4393+S4393</f>
        <v>45.7244504805984</v>
      </c>
      <c r="V4393" s="54" t="b">
        <f aca="false">AND(D4393&gt;=01_因子設定!$L$5-0.000000001,D4393&lt;=01_因子設定!$M$5+0.000000001,E4393&gt;=01_因子設定!$L$6-0.000000001,E4393&lt;=01_因子設定!$M$6+0.000000001,F4393&gt;=01_因子設定!$L$7-0.000000001,F4393&lt;=01_因子設定!$M$7+0.000000001,IF(01_因子設定!$B$20="Box-Behnken",D4393^2+E4393^2+F4393^2&lt;=2+0.000000001,TRUE()))</f>
        <v>1</v>
      </c>
      <c r="W4393" s="55" t="n">
        <f aca="false">IF(V4393,IF(01_因子設定!$B$13="最大化",T4393-01_因子設定!$B$14,IF(01_因子設定!$B$13="最小化",01_因子設定!$B$15-U4393,MIN(T4393-01_因子設定!$B$14,01_因子設定!$B$15-U4393))),-1E+030)</f>
        <v>-4.95778854878018</v>
      </c>
      <c r="X4393" s="55" t="n">
        <f aca="false">IF(V4393,IF(01_因子設定!$B$13="最大化",Q4393,IF(01_因子設定!$B$13="最小化",-Q4393,-ABS(Q4393-01_因子設定!$B$16))),-1E+030)</f>
        <v>44.6333309659091</v>
      </c>
      <c r="Y4393" s="55" t="n">
        <f aca="false">W4393+ROW()*0.000000001</f>
        <v>-4.95778415578018</v>
      </c>
      <c r="Z4393" s="55" t="n">
        <f aca="false">X4393+ROW()*0.000000001</f>
        <v>44.6333353589091</v>
      </c>
    </row>
    <row r="4394" customFormat="false" ht="15" hidden="false" customHeight="false" outlineLevel="0" collapsed="false">
      <c r="A4394" s="0" t="n">
        <v>15</v>
      </c>
      <c r="B4394" s="0" t="n">
        <v>3</v>
      </c>
      <c r="C4394" s="0" t="n">
        <v>3</v>
      </c>
      <c r="D4394" s="0" t="n">
        <f aca="false">-1+A4394*0.125</f>
        <v>0.875</v>
      </c>
      <c r="E4394" s="0" t="n">
        <f aca="false">-1+B4394*0.125</f>
        <v>-0.625</v>
      </c>
      <c r="F4394" s="0" t="n">
        <f aca="false">-1+C4394*0.125</f>
        <v>-0.625</v>
      </c>
      <c r="G4394" s="0" t="n">
        <f aca="false">1</f>
        <v>1</v>
      </c>
      <c r="H4394" s="0" t="n">
        <f aca="false">D4394</f>
        <v>0.875</v>
      </c>
      <c r="I4394" s="0" t="n">
        <f aca="false">E4394</f>
        <v>-0.625</v>
      </c>
      <c r="J4394" s="0" t="n">
        <f aca="false">F4394</f>
        <v>-0.625</v>
      </c>
      <c r="K4394" s="0" t="n">
        <f aca="false">D4394*E4394</f>
        <v>-0.546875</v>
      </c>
      <c r="L4394" s="0" t="n">
        <f aca="false">D4394*F4394</f>
        <v>-0.546875</v>
      </c>
      <c r="M4394" s="0" t="n">
        <f aca="false">E4394*F4394</f>
        <v>0.390625</v>
      </c>
      <c r="N4394" s="0" t="n">
        <f aca="false">D4394*D4394</f>
        <v>0.765625</v>
      </c>
      <c r="O4394" s="0" t="n">
        <f aca="false">E4394*E4394</f>
        <v>0.390625</v>
      </c>
      <c r="P4394" s="0" t="n">
        <f aca="false">F4394*F4394</f>
        <v>0.390625</v>
      </c>
      <c r="Q4394" s="0" t="n">
        <f aca="false">SUMPRODUCT(G4394:P4394,_XtX!$B$71:$K$71)</f>
        <v>44.9566122159091</v>
      </c>
      <c r="R4394" s="0" t="n">
        <f aca="false">SUMPRODUCT(MMULT(G4394:P4394,_XtX!$B$58:$K$67),G4394:P4394)</f>
        <v>0.345470636541193</v>
      </c>
      <c r="S4394" s="0" t="n">
        <f aca="false">04_回帰ANOVA!$K$19*04_回帰ANOVA!$K$14*SQRT(1+R4394)</f>
        <v>1.07845927083227</v>
      </c>
      <c r="T4394" s="0" t="n">
        <f aca="false">Q4394-S4394</f>
        <v>43.8781529450768</v>
      </c>
      <c r="U4394" s="0" t="n">
        <f aca="false">Q4394+S4394</f>
        <v>46.0350714867414</v>
      </c>
      <c r="V4394" s="54" t="b">
        <f aca="false">AND(D4394&gt;=01_因子設定!$L$5-0.000000001,D4394&lt;=01_因子設定!$M$5+0.000000001,E4394&gt;=01_因子設定!$L$6-0.000000001,E4394&lt;=01_因子設定!$M$6+0.000000001,F4394&gt;=01_因子設定!$L$7-0.000000001,F4394&lt;=01_因子設定!$M$7+0.000000001,IF(01_因子設定!$B$20="Box-Behnken",D4394^2+E4394^2+F4394^2&lt;=2+0.000000001,TRUE()))</f>
        <v>1</v>
      </c>
      <c r="W4394" s="55" t="n">
        <f aca="false">IF(V4394,IF(01_因子設定!$B$13="最大化",T4394-01_因子設定!$B$14,IF(01_因子設定!$B$13="最小化",01_因子設定!$B$15-U4394,MIN(T4394-01_因子設定!$B$14,01_因子設定!$B$15-U4394))),-1E+030)</f>
        <v>-4.62184705492317</v>
      </c>
      <c r="X4394" s="55" t="n">
        <f aca="false">IF(V4394,IF(01_因子設定!$B$13="最大化",Q4394,IF(01_因子設定!$B$13="最小化",-Q4394,-ABS(Q4394-01_因子設定!$B$16))),-1E+030)</f>
        <v>44.9566122159091</v>
      </c>
      <c r="Y4394" s="55" t="n">
        <f aca="false">W4394+ROW()*0.000000001</f>
        <v>-4.62184266092317</v>
      </c>
      <c r="Z4394" s="55" t="n">
        <f aca="false">X4394+ROW()*0.000000001</f>
        <v>44.9566166099091</v>
      </c>
    </row>
    <row r="4395" customFormat="false" ht="15" hidden="false" customHeight="false" outlineLevel="0" collapsed="false">
      <c r="A4395" s="0" t="n">
        <v>15</v>
      </c>
      <c r="B4395" s="0" t="n">
        <v>3</v>
      </c>
      <c r="C4395" s="0" t="n">
        <v>4</v>
      </c>
      <c r="D4395" s="0" t="n">
        <f aca="false">-1+A4395*0.125</f>
        <v>0.875</v>
      </c>
      <c r="E4395" s="0" t="n">
        <f aca="false">-1+B4395*0.125</f>
        <v>-0.625</v>
      </c>
      <c r="F4395" s="0" t="n">
        <f aca="false">-1+C4395*0.125</f>
        <v>-0.5</v>
      </c>
      <c r="G4395" s="0" t="n">
        <f aca="false">1</f>
        <v>1</v>
      </c>
      <c r="H4395" s="0" t="n">
        <f aca="false">D4395</f>
        <v>0.875</v>
      </c>
      <c r="I4395" s="0" t="n">
        <f aca="false">E4395</f>
        <v>-0.625</v>
      </c>
      <c r="J4395" s="0" t="n">
        <f aca="false">F4395</f>
        <v>-0.5</v>
      </c>
      <c r="K4395" s="0" t="n">
        <f aca="false">D4395*E4395</f>
        <v>-0.546875</v>
      </c>
      <c r="L4395" s="0" t="n">
        <f aca="false">D4395*F4395</f>
        <v>-0.4375</v>
      </c>
      <c r="M4395" s="0" t="n">
        <f aca="false">E4395*F4395</f>
        <v>0.3125</v>
      </c>
      <c r="N4395" s="0" t="n">
        <f aca="false">D4395*D4395</f>
        <v>0.765625</v>
      </c>
      <c r="O4395" s="0" t="n">
        <f aca="false">E4395*E4395</f>
        <v>0.390625</v>
      </c>
      <c r="P4395" s="0" t="n">
        <f aca="false">F4395*F4395</f>
        <v>0.25</v>
      </c>
      <c r="Q4395" s="0" t="n">
        <f aca="false">SUMPRODUCT(G4395:P4395,_XtX!$B$71:$K$71)</f>
        <v>45.2431036931818</v>
      </c>
      <c r="R4395" s="0" t="n">
        <f aca="false">SUMPRODUCT(MMULT(G4395:P4395,_XtX!$B$58:$K$67),G4395:P4395)</f>
        <v>0.335453102805398</v>
      </c>
      <c r="S4395" s="0" t="n">
        <f aca="false">04_回帰ANOVA!$K$19*04_回帰ANOVA!$K$14*SQRT(1+R4395)</f>
        <v>1.07443700305628</v>
      </c>
      <c r="T4395" s="0" t="n">
        <f aca="false">Q4395-S4395</f>
        <v>44.1686666901255</v>
      </c>
      <c r="U4395" s="0" t="n">
        <f aca="false">Q4395+S4395</f>
        <v>46.3175406962381</v>
      </c>
      <c r="V4395" s="54" t="b">
        <f aca="false">AND(D4395&gt;=01_因子設定!$L$5-0.000000001,D4395&lt;=01_因子設定!$M$5+0.000000001,E4395&gt;=01_因子設定!$L$6-0.000000001,E4395&lt;=01_因子設定!$M$6+0.000000001,F4395&gt;=01_因子設定!$L$7-0.000000001,F4395&lt;=01_因子設定!$M$7+0.000000001,IF(01_因子設定!$B$20="Box-Behnken",D4395^2+E4395^2+F4395^2&lt;=2+0.000000001,TRUE()))</f>
        <v>1</v>
      </c>
      <c r="W4395" s="55" t="n">
        <f aca="false">IF(V4395,IF(01_因子設定!$B$13="最大化",T4395-01_因子設定!$B$14,IF(01_因子設定!$B$13="最小化",01_因子設定!$B$15-U4395,MIN(T4395-01_因子設定!$B$14,01_因子設定!$B$15-U4395))),-1E+030)</f>
        <v>-4.33133330987446</v>
      </c>
      <c r="X4395" s="55" t="n">
        <f aca="false">IF(V4395,IF(01_因子設定!$B$13="最大化",Q4395,IF(01_因子設定!$B$13="最小化",-Q4395,-ABS(Q4395-01_因子設定!$B$16))),-1E+030)</f>
        <v>45.2431036931818</v>
      </c>
      <c r="Y4395" s="55" t="n">
        <f aca="false">W4395+ROW()*0.000000001</f>
        <v>-4.33132891487446</v>
      </c>
      <c r="Z4395" s="55" t="n">
        <f aca="false">X4395+ROW()*0.000000001</f>
        <v>45.2431080881818</v>
      </c>
    </row>
    <row r="4396" customFormat="false" ht="15" hidden="false" customHeight="false" outlineLevel="0" collapsed="false">
      <c r="A4396" s="0" t="n">
        <v>15</v>
      </c>
      <c r="B4396" s="0" t="n">
        <v>3</v>
      </c>
      <c r="C4396" s="0" t="n">
        <v>5</v>
      </c>
      <c r="D4396" s="0" t="n">
        <f aca="false">-1+A4396*0.125</f>
        <v>0.875</v>
      </c>
      <c r="E4396" s="0" t="n">
        <f aca="false">-1+B4396*0.125</f>
        <v>-0.625</v>
      </c>
      <c r="F4396" s="0" t="n">
        <f aca="false">-1+C4396*0.125</f>
        <v>-0.375</v>
      </c>
      <c r="G4396" s="0" t="n">
        <f aca="false">1</f>
        <v>1</v>
      </c>
      <c r="H4396" s="0" t="n">
        <f aca="false">D4396</f>
        <v>0.875</v>
      </c>
      <c r="I4396" s="0" t="n">
        <f aca="false">E4396</f>
        <v>-0.625</v>
      </c>
      <c r="J4396" s="0" t="n">
        <f aca="false">F4396</f>
        <v>-0.375</v>
      </c>
      <c r="K4396" s="0" t="n">
        <f aca="false">D4396*E4396</f>
        <v>-0.546875</v>
      </c>
      <c r="L4396" s="0" t="n">
        <f aca="false">D4396*F4396</f>
        <v>-0.328125</v>
      </c>
      <c r="M4396" s="0" t="n">
        <f aca="false">E4396*F4396</f>
        <v>0.234375</v>
      </c>
      <c r="N4396" s="0" t="n">
        <f aca="false">D4396*D4396</f>
        <v>0.765625</v>
      </c>
      <c r="O4396" s="0" t="n">
        <f aca="false">E4396*E4396</f>
        <v>0.390625</v>
      </c>
      <c r="P4396" s="0" t="n">
        <f aca="false">F4396*F4396</f>
        <v>0.140625</v>
      </c>
      <c r="Q4396" s="0" t="n">
        <f aca="false">SUMPRODUCT(G4396:P4396,_XtX!$B$71:$K$71)</f>
        <v>45.4928053977273</v>
      </c>
      <c r="R4396" s="0" t="n">
        <f aca="false">SUMPRODUCT(MMULT(G4396:P4396,_XtX!$B$58:$K$67),G4396:P4396)</f>
        <v>0.337604869495739</v>
      </c>
      <c r="S4396" s="0" t="n">
        <f aca="false">04_回帰ANOVA!$K$19*04_回帰ANOVA!$K$14*SQRT(1+R4396)</f>
        <v>1.07530225516193</v>
      </c>
      <c r="T4396" s="0" t="n">
        <f aca="false">Q4396-S4396</f>
        <v>44.4175031425654</v>
      </c>
      <c r="U4396" s="0" t="n">
        <f aca="false">Q4396+S4396</f>
        <v>46.5681076528892</v>
      </c>
      <c r="V4396" s="54" t="b">
        <f aca="false">AND(D4396&gt;=01_因子設定!$L$5-0.000000001,D4396&lt;=01_因子設定!$M$5+0.000000001,E4396&gt;=01_因子設定!$L$6-0.000000001,E4396&lt;=01_因子設定!$M$6+0.000000001,F4396&gt;=01_因子設定!$L$7-0.000000001,F4396&lt;=01_因子設定!$M$7+0.000000001,IF(01_因子設定!$B$20="Box-Behnken",D4396^2+E4396^2+F4396^2&lt;=2+0.000000001,TRUE()))</f>
        <v>1</v>
      </c>
      <c r="W4396" s="55" t="n">
        <f aca="false">IF(V4396,IF(01_因子設定!$B$13="最大化",T4396-01_因子設定!$B$14,IF(01_因子設定!$B$13="最小化",01_因子設定!$B$15-U4396,MIN(T4396-01_因子設定!$B$14,01_因子設定!$B$15-U4396))),-1E+030)</f>
        <v>-4.08249685743465</v>
      </c>
      <c r="X4396" s="55" t="n">
        <f aca="false">IF(V4396,IF(01_因子設定!$B$13="最大化",Q4396,IF(01_因子設定!$B$13="最小化",-Q4396,-ABS(Q4396-01_因子設定!$B$16))),-1E+030)</f>
        <v>45.4928053977273</v>
      </c>
      <c r="Y4396" s="55" t="n">
        <f aca="false">W4396+ROW()*0.000000001</f>
        <v>-4.08249246143465</v>
      </c>
      <c r="Z4396" s="55" t="n">
        <f aca="false">X4396+ROW()*0.000000001</f>
        <v>45.4928097937273</v>
      </c>
    </row>
    <row r="4397" customFormat="false" ht="15" hidden="false" customHeight="false" outlineLevel="0" collapsed="false">
      <c r="A4397" s="0" t="n">
        <v>15</v>
      </c>
      <c r="B4397" s="0" t="n">
        <v>3</v>
      </c>
      <c r="C4397" s="0" t="n">
        <v>6</v>
      </c>
      <c r="D4397" s="0" t="n">
        <f aca="false">-1+A4397*0.125</f>
        <v>0.875</v>
      </c>
      <c r="E4397" s="0" t="n">
        <f aca="false">-1+B4397*0.125</f>
        <v>-0.625</v>
      </c>
      <c r="F4397" s="0" t="n">
        <f aca="false">-1+C4397*0.125</f>
        <v>-0.25</v>
      </c>
      <c r="G4397" s="0" t="n">
        <f aca="false">1</f>
        <v>1</v>
      </c>
      <c r="H4397" s="0" t="n">
        <f aca="false">D4397</f>
        <v>0.875</v>
      </c>
      <c r="I4397" s="0" t="n">
        <f aca="false">E4397</f>
        <v>-0.625</v>
      </c>
      <c r="J4397" s="0" t="n">
        <f aca="false">F4397</f>
        <v>-0.25</v>
      </c>
      <c r="K4397" s="0" t="n">
        <f aca="false">D4397*E4397</f>
        <v>-0.546875</v>
      </c>
      <c r="L4397" s="0" t="n">
        <f aca="false">D4397*F4397</f>
        <v>-0.21875</v>
      </c>
      <c r="M4397" s="0" t="n">
        <f aca="false">E4397*F4397</f>
        <v>0.15625</v>
      </c>
      <c r="N4397" s="0" t="n">
        <f aca="false">D4397*D4397</f>
        <v>0.765625</v>
      </c>
      <c r="O4397" s="0" t="n">
        <f aca="false">E4397*E4397</f>
        <v>0.390625</v>
      </c>
      <c r="P4397" s="0" t="n">
        <f aca="false">F4397*F4397</f>
        <v>0.0625</v>
      </c>
      <c r="Q4397" s="0" t="n">
        <f aca="false">SUMPRODUCT(G4397:P4397,_XtX!$B$71:$K$71)</f>
        <v>45.7057173295455</v>
      </c>
      <c r="R4397" s="0" t="n">
        <f aca="false">SUMPRODUCT(MMULT(G4397:P4397,_XtX!$B$58:$K$67),G4397:P4397)</f>
        <v>0.34446855024858</v>
      </c>
      <c r="S4397" s="0" t="n">
        <f aca="false">04_回帰ANOVA!$K$19*04_回帰ANOVA!$K$14*SQRT(1+R4397)</f>
        <v>1.07805758590432</v>
      </c>
      <c r="T4397" s="0" t="n">
        <f aca="false">Q4397-S4397</f>
        <v>44.6276597436411</v>
      </c>
      <c r="U4397" s="0" t="n">
        <f aca="false">Q4397+S4397</f>
        <v>46.7837749154498</v>
      </c>
      <c r="V4397" s="54" t="b">
        <f aca="false">AND(D4397&gt;=01_因子設定!$L$5-0.000000001,D4397&lt;=01_因子設定!$M$5+0.000000001,E4397&gt;=01_因子設定!$L$6-0.000000001,E4397&lt;=01_因子設定!$M$6+0.000000001,F4397&gt;=01_因子設定!$L$7-0.000000001,F4397&lt;=01_因子設定!$M$7+0.000000001,IF(01_因子設定!$B$20="Box-Behnken",D4397^2+E4397^2+F4397^2&lt;=2+0.000000001,TRUE()))</f>
        <v>1</v>
      </c>
      <c r="W4397" s="55" t="n">
        <f aca="false">IF(V4397,IF(01_因子設定!$B$13="最大化",T4397-01_因子設定!$B$14,IF(01_因子設定!$B$13="最小化",01_因子設定!$B$15-U4397,MIN(T4397-01_因子設定!$B$14,01_因子設定!$B$15-U4397))),-1E+030)</f>
        <v>-3.87234025635887</v>
      </c>
      <c r="X4397" s="55" t="n">
        <f aca="false">IF(V4397,IF(01_因子設定!$B$13="最大化",Q4397,IF(01_因子設定!$B$13="最小化",-Q4397,-ABS(Q4397-01_因子設定!$B$16))),-1E+030)</f>
        <v>45.7057173295455</v>
      </c>
      <c r="Y4397" s="55" t="n">
        <f aca="false">W4397+ROW()*0.000000001</f>
        <v>-3.87233585935887</v>
      </c>
      <c r="Z4397" s="55" t="n">
        <f aca="false">X4397+ROW()*0.000000001</f>
        <v>45.7057217265455</v>
      </c>
    </row>
    <row r="4398" customFormat="false" ht="15" hidden="false" customHeight="false" outlineLevel="0" collapsed="false">
      <c r="A4398" s="0" t="n">
        <v>15</v>
      </c>
      <c r="B4398" s="0" t="n">
        <v>3</v>
      </c>
      <c r="C4398" s="0" t="n">
        <v>7</v>
      </c>
      <c r="D4398" s="0" t="n">
        <f aca="false">-1+A4398*0.125</f>
        <v>0.875</v>
      </c>
      <c r="E4398" s="0" t="n">
        <f aca="false">-1+B4398*0.125</f>
        <v>-0.625</v>
      </c>
      <c r="F4398" s="0" t="n">
        <f aca="false">-1+C4398*0.125</f>
        <v>-0.125</v>
      </c>
      <c r="G4398" s="0" t="n">
        <f aca="false">1</f>
        <v>1</v>
      </c>
      <c r="H4398" s="0" t="n">
        <f aca="false">D4398</f>
        <v>0.875</v>
      </c>
      <c r="I4398" s="0" t="n">
        <f aca="false">E4398</f>
        <v>-0.625</v>
      </c>
      <c r="J4398" s="0" t="n">
        <f aca="false">F4398</f>
        <v>-0.125</v>
      </c>
      <c r="K4398" s="0" t="n">
        <f aca="false">D4398*E4398</f>
        <v>-0.546875</v>
      </c>
      <c r="L4398" s="0" t="n">
        <f aca="false">D4398*F4398</f>
        <v>-0.109375</v>
      </c>
      <c r="M4398" s="0" t="n">
        <f aca="false">E4398*F4398</f>
        <v>0.078125</v>
      </c>
      <c r="N4398" s="0" t="n">
        <f aca="false">D4398*D4398</f>
        <v>0.765625</v>
      </c>
      <c r="O4398" s="0" t="n">
        <f aca="false">E4398*E4398</f>
        <v>0.390625</v>
      </c>
      <c r="P4398" s="0" t="n">
        <f aca="false">F4398*F4398</f>
        <v>0.015625</v>
      </c>
      <c r="Q4398" s="0" t="n">
        <f aca="false">SUMPRODUCT(G4398:P4398,_XtX!$B$71:$K$71)</f>
        <v>45.8818394886364</v>
      </c>
      <c r="R4398" s="0" t="n">
        <f aca="false">SUMPRODUCT(MMULT(G4398:P4398,_XtX!$B$58:$K$67),G4398:P4398)</f>
        <v>0.350717440518466</v>
      </c>
      <c r="S4398" s="0" t="n">
        <f aca="false">04_回帰ANOVA!$K$19*04_回帰ANOVA!$K$14*SQRT(1+R4398)</f>
        <v>1.08056000737898</v>
      </c>
      <c r="T4398" s="0" t="n">
        <f aca="false">Q4398-S4398</f>
        <v>44.8012794812574</v>
      </c>
      <c r="U4398" s="0" t="n">
        <f aca="false">Q4398+S4398</f>
        <v>46.9623994960153</v>
      </c>
      <c r="V4398" s="54" t="b">
        <f aca="false">AND(D4398&gt;=01_因子設定!$L$5-0.000000001,D4398&lt;=01_因子設定!$M$5+0.000000001,E4398&gt;=01_因子設定!$L$6-0.000000001,E4398&lt;=01_因子設定!$M$6+0.000000001,F4398&gt;=01_因子設定!$L$7-0.000000001,F4398&lt;=01_因子設定!$M$7+0.000000001,IF(01_因子設定!$B$20="Box-Behnken",D4398^2+E4398^2+F4398^2&lt;=2+0.000000001,TRUE()))</f>
        <v>1</v>
      </c>
      <c r="W4398" s="55" t="n">
        <f aca="false">IF(V4398,IF(01_因子設定!$B$13="最大化",T4398-01_因子設定!$B$14,IF(01_因子設定!$B$13="最小化",01_因子設定!$B$15-U4398,MIN(T4398-01_因子設定!$B$14,01_因子設定!$B$15-U4398))),-1E+030)</f>
        <v>-3.69872051874262</v>
      </c>
      <c r="X4398" s="55" t="n">
        <f aca="false">IF(V4398,IF(01_因子設定!$B$13="最大化",Q4398,IF(01_因子設定!$B$13="最小化",-Q4398,-ABS(Q4398-01_因子設定!$B$16))),-1E+030)</f>
        <v>45.8818394886364</v>
      </c>
      <c r="Y4398" s="55" t="n">
        <f aca="false">W4398+ROW()*0.000000001</f>
        <v>-3.69871612074262</v>
      </c>
      <c r="Z4398" s="55" t="n">
        <f aca="false">X4398+ROW()*0.000000001</f>
        <v>45.8818438866364</v>
      </c>
    </row>
    <row r="4399" customFormat="false" ht="15" hidden="false" customHeight="false" outlineLevel="0" collapsed="false">
      <c r="A4399" s="0" t="n">
        <v>15</v>
      </c>
      <c r="B4399" s="0" t="n">
        <v>3</v>
      </c>
      <c r="C4399" s="0" t="n">
        <v>8</v>
      </c>
      <c r="D4399" s="0" t="n">
        <f aca="false">-1+A4399*0.125</f>
        <v>0.875</v>
      </c>
      <c r="E4399" s="0" t="n">
        <f aca="false">-1+B4399*0.125</f>
        <v>-0.625</v>
      </c>
      <c r="F4399" s="0" t="n">
        <f aca="false">-1+C4399*0.125</f>
        <v>0</v>
      </c>
      <c r="G4399" s="0" t="n">
        <f aca="false">1</f>
        <v>1</v>
      </c>
      <c r="H4399" s="0" t="n">
        <f aca="false">D4399</f>
        <v>0.875</v>
      </c>
      <c r="I4399" s="0" t="n">
        <f aca="false">E4399</f>
        <v>-0.625</v>
      </c>
      <c r="J4399" s="0" t="n">
        <f aca="false">F4399</f>
        <v>0</v>
      </c>
      <c r="K4399" s="0" t="n">
        <f aca="false">D4399*E4399</f>
        <v>-0.546875</v>
      </c>
      <c r="L4399" s="0" t="n">
        <f aca="false">D4399*F4399</f>
        <v>0</v>
      </c>
      <c r="M4399" s="0" t="n">
        <f aca="false">E4399*F4399</f>
        <v>-0</v>
      </c>
      <c r="N4399" s="0" t="n">
        <f aca="false">D4399*D4399</f>
        <v>0.765625</v>
      </c>
      <c r="O4399" s="0" t="n">
        <f aca="false">E4399*E4399</f>
        <v>0.390625</v>
      </c>
      <c r="P4399" s="0" t="n">
        <f aca="false">F4399*F4399</f>
        <v>0</v>
      </c>
      <c r="Q4399" s="0" t="n">
        <f aca="false">SUMPRODUCT(G4399:P4399,_XtX!$B$71:$K$71)</f>
        <v>46.021171875</v>
      </c>
      <c r="R4399" s="0" t="n">
        <f aca="false">SUMPRODUCT(MMULT(G4399:P4399,_XtX!$B$58:$K$67),G4399:P4399)</f>
        <v>0.353155517578125</v>
      </c>
      <c r="S4399" s="0" t="n">
        <f aca="false">04_回帰ANOVA!$K$19*04_回帰ANOVA!$K$14*SQRT(1+R4399)</f>
        <v>1.08153478594098</v>
      </c>
      <c r="T4399" s="0" t="n">
        <f aca="false">Q4399-S4399</f>
        <v>44.939637089059</v>
      </c>
      <c r="U4399" s="0" t="n">
        <f aca="false">Q4399+S4399</f>
        <v>47.102706660941</v>
      </c>
      <c r="V4399" s="54" t="b">
        <f aca="false">AND(D4399&gt;=01_因子設定!$L$5-0.000000001,D4399&lt;=01_因子設定!$M$5+0.000000001,E4399&gt;=01_因子設定!$L$6-0.000000001,E4399&lt;=01_因子設定!$M$6+0.000000001,F4399&gt;=01_因子設定!$L$7-0.000000001,F4399&lt;=01_因子設定!$M$7+0.000000001,IF(01_因子設定!$B$20="Box-Behnken",D4399^2+E4399^2+F4399^2&lt;=2+0.000000001,TRUE()))</f>
        <v>1</v>
      </c>
      <c r="W4399" s="55" t="n">
        <f aca="false">IF(V4399,IF(01_因子設定!$B$13="最大化",T4399-01_因子設定!$B$14,IF(01_因子設定!$B$13="最小化",01_因子設定!$B$15-U4399,MIN(T4399-01_因子設定!$B$14,01_因子設定!$B$15-U4399))),-1E+030)</f>
        <v>-3.56036291094099</v>
      </c>
      <c r="X4399" s="55" t="n">
        <f aca="false">IF(V4399,IF(01_因子設定!$B$13="最大化",Q4399,IF(01_因子設定!$B$13="最小化",-Q4399,-ABS(Q4399-01_因子設定!$B$16))),-1E+030)</f>
        <v>46.021171875</v>
      </c>
      <c r="Y4399" s="55" t="n">
        <f aca="false">W4399+ROW()*0.000000001</f>
        <v>-3.56035851194099</v>
      </c>
      <c r="Z4399" s="55" t="n">
        <f aca="false">X4399+ROW()*0.000000001</f>
        <v>46.021176274</v>
      </c>
    </row>
    <row r="4400" customFormat="false" ht="15" hidden="false" customHeight="false" outlineLevel="0" collapsed="false">
      <c r="A4400" s="0" t="n">
        <v>15</v>
      </c>
      <c r="B4400" s="0" t="n">
        <v>3</v>
      </c>
      <c r="C4400" s="0" t="n">
        <v>9</v>
      </c>
      <c r="D4400" s="0" t="n">
        <f aca="false">-1+A4400*0.125</f>
        <v>0.875</v>
      </c>
      <c r="E4400" s="0" t="n">
        <f aca="false">-1+B4400*0.125</f>
        <v>-0.625</v>
      </c>
      <c r="F4400" s="0" t="n">
        <f aca="false">-1+C4400*0.125</f>
        <v>0.125</v>
      </c>
      <c r="G4400" s="0" t="n">
        <f aca="false">1</f>
        <v>1</v>
      </c>
      <c r="H4400" s="0" t="n">
        <f aca="false">D4400</f>
        <v>0.875</v>
      </c>
      <c r="I4400" s="0" t="n">
        <f aca="false">E4400</f>
        <v>-0.625</v>
      </c>
      <c r="J4400" s="0" t="n">
        <f aca="false">F4400</f>
        <v>0.125</v>
      </c>
      <c r="K4400" s="0" t="n">
        <f aca="false">D4400*E4400</f>
        <v>-0.546875</v>
      </c>
      <c r="L4400" s="0" t="n">
        <f aca="false">D4400*F4400</f>
        <v>0.109375</v>
      </c>
      <c r="M4400" s="0" t="n">
        <f aca="false">E4400*F4400</f>
        <v>-0.078125</v>
      </c>
      <c r="N4400" s="0" t="n">
        <f aca="false">D4400*D4400</f>
        <v>0.765625</v>
      </c>
      <c r="O4400" s="0" t="n">
        <f aca="false">E4400*E4400</f>
        <v>0.390625</v>
      </c>
      <c r="P4400" s="0" t="n">
        <f aca="false">F4400*F4400</f>
        <v>0.015625</v>
      </c>
      <c r="Q4400" s="0" t="n">
        <f aca="false">SUMPRODUCT(G4400:P4400,_XtX!$B$71:$K$71)</f>
        <v>46.1237144886364</v>
      </c>
      <c r="R4400" s="0" t="n">
        <f aca="false">SUMPRODUCT(MMULT(G4400:P4400,_XtX!$B$58:$K$67),G4400:P4400)</f>
        <v>0.350717440518466</v>
      </c>
      <c r="S4400" s="0" t="n">
        <f aca="false">04_回帰ANOVA!$K$19*04_回帰ANOVA!$K$14*SQRT(1+R4400)</f>
        <v>1.08056000737898</v>
      </c>
      <c r="T4400" s="0" t="n">
        <f aca="false">Q4400-S4400</f>
        <v>45.0431544812574</v>
      </c>
      <c r="U4400" s="0" t="n">
        <f aca="false">Q4400+S4400</f>
        <v>47.2042744960153</v>
      </c>
      <c r="V4400" s="54" t="b">
        <f aca="false">AND(D4400&gt;=01_因子設定!$L$5-0.000000001,D4400&lt;=01_因子設定!$M$5+0.000000001,E4400&gt;=01_因子設定!$L$6-0.000000001,E4400&lt;=01_因子設定!$M$6+0.000000001,F4400&gt;=01_因子設定!$L$7-0.000000001,F4400&lt;=01_因子設定!$M$7+0.000000001,IF(01_因子設定!$B$20="Box-Behnken",D4400^2+E4400^2+F4400^2&lt;=2+0.000000001,TRUE()))</f>
        <v>1</v>
      </c>
      <c r="W4400" s="55" t="n">
        <f aca="false">IF(V4400,IF(01_因子設定!$B$13="最大化",T4400-01_因子設定!$B$14,IF(01_因子設定!$B$13="最小化",01_因子設定!$B$15-U4400,MIN(T4400-01_因子設定!$B$14,01_因子設定!$B$15-U4400))),-1E+030)</f>
        <v>-3.45684551874262</v>
      </c>
      <c r="X4400" s="55" t="n">
        <f aca="false">IF(V4400,IF(01_因子設定!$B$13="最大化",Q4400,IF(01_因子設定!$B$13="最小化",-Q4400,-ABS(Q4400-01_因子設定!$B$16))),-1E+030)</f>
        <v>46.1237144886364</v>
      </c>
      <c r="Y4400" s="55" t="n">
        <f aca="false">W4400+ROW()*0.000000001</f>
        <v>-3.45684111874262</v>
      </c>
      <c r="Z4400" s="55" t="n">
        <f aca="false">X4400+ROW()*0.000000001</f>
        <v>46.1237188886364</v>
      </c>
    </row>
    <row r="4401" customFormat="false" ht="15" hidden="false" customHeight="false" outlineLevel="0" collapsed="false">
      <c r="A4401" s="0" t="n">
        <v>15</v>
      </c>
      <c r="B4401" s="0" t="n">
        <v>3</v>
      </c>
      <c r="C4401" s="0" t="n">
        <v>10</v>
      </c>
      <c r="D4401" s="0" t="n">
        <f aca="false">-1+A4401*0.125</f>
        <v>0.875</v>
      </c>
      <c r="E4401" s="0" t="n">
        <f aca="false">-1+B4401*0.125</f>
        <v>-0.625</v>
      </c>
      <c r="F4401" s="0" t="n">
        <f aca="false">-1+C4401*0.125</f>
        <v>0.25</v>
      </c>
      <c r="G4401" s="0" t="n">
        <f aca="false">1</f>
        <v>1</v>
      </c>
      <c r="H4401" s="0" t="n">
        <f aca="false">D4401</f>
        <v>0.875</v>
      </c>
      <c r="I4401" s="0" t="n">
        <f aca="false">E4401</f>
        <v>-0.625</v>
      </c>
      <c r="J4401" s="0" t="n">
        <f aca="false">F4401</f>
        <v>0.25</v>
      </c>
      <c r="K4401" s="0" t="n">
        <f aca="false">D4401*E4401</f>
        <v>-0.546875</v>
      </c>
      <c r="L4401" s="0" t="n">
        <f aca="false">D4401*F4401</f>
        <v>0.21875</v>
      </c>
      <c r="M4401" s="0" t="n">
        <f aca="false">E4401*F4401</f>
        <v>-0.15625</v>
      </c>
      <c r="N4401" s="0" t="n">
        <f aca="false">D4401*D4401</f>
        <v>0.765625</v>
      </c>
      <c r="O4401" s="0" t="n">
        <f aca="false">E4401*E4401</f>
        <v>0.390625</v>
      </c>
      <c r="P4401" s="0" t="n">
        <f aca="false">F4401*F4401</f>
        <v>0.0625</v>
      </c>
      <c r="Q4401" s="0" t="n">
        <f aca="false">SUMPRODUCT(G4401:P4401,_XtX!$B$71:$K$71)</f>
        <v>46.1894673295455</v>
      </c>
      <c r="R4401" s="0" t="n">
        <f aca="false">SUMPRODUCT(MMULT(G4401:P4401,_XtX!$B$58:$K$67),G4401:P4401)</f>
        <v>0.34446855024858</v>
      </c>
      <c r="S4401" s="0" t="n">
        <f aca="false">04_回帰ANOVA!$K$19*04_回帰ANOVA!$K$14*SQRT(1+R4401)</f>
        <v>1.07805758590432</v>
      </c>
      <c r="T4401" s="0" t="n">
        <f aca="false">Q4401-S4401</f>
        <v>45.1114097436411</v>
      </c>
      <c r="U4401" s="0" t="n">
        <f aca="false">Q4401+S4401</f>
        <v>47.2675249154498</v>
      </c>
      <c r="V4401" s="54" t="b">
        <f aca="false">AND(D4401&gt;=01_因子設定!$L$5-0.000000001,D4401&lt;=01_因子設定!$M$5+0.000000001,E4401&gt;=01_因子設定!$L$6-0.000000001,E4401&lt;=01_因子設定!$M$6+0.000000001,F4401&gt;=01_因子設定!$L$7-0.000000001,F4401&lt;=01_因子設定!$M$7+0.000000001,IF(01_因子設定!$B$20="Box-Behnken",D4401^2+E4401^2+F4401^2&lt;=2+0.000000001,TRUE()))</f>
        <v>1</v>
      </c>
      <c r="W4401" s="55" t="n">
        <f aca="false">IF(V4401,IF(01_因子設定!$B$13="最大化",T4401-01_因子設定!$B$14,IF(01_因子設定!$B$13="最小化",01_因子設定!$B$15-U4401,MIN(T4401-01_因子設定!$B$14,01_因子設定!$B$15-U4401))),-1E+030)</f>
        <v>-3.38859025635887</v>
      </c>
      <c r="X4401" s="55" t="n">
        <f aca="false">IF(V4401,IF(01_因子設定!$B$13="最大化",Q4401,IF(01_因子設定!$B$13="最小化",-Q4401,-ABS(Q4401-01_因子設定!$B$16))),-1E+030)</f>
        <v>46.1894673295455</v>
      </c>
      <c r="Y4401" s="55" t="n">
        <f aca="false">W4401+ROW()*0.000000001</f>
        <v>-3.38858585535887</v>
      </c>
      <c r="Z4401" s="55" t="n">
        <f aca="false">X4401+ROW()*0.000000001</f>
        <v>46.1894717305455</v>
      </c>
    </row>
    <row r="4402" customFormat="false" ht="15" hidden="false" customHeight="false" outlineLevel="0" collapsed="false">
      <c r="A4402" s="0" t="n">
        <v>15</v>
      </c>
      <c r="B4402" s="0" t="n">
        <v>3</v>
      </c>
      <c r="C4402" s="0" t="n">
        <v>11</v>
      </c>
      <c r="D4402" s="0" t="n">
        <f aca="false">-1+A4402*0.125</f>
        <v>0.875</v>
      </c>
      <c r="E4402" s="0" t="n">
        <f aca="false">-1+B4402*0.125</f>
        <v>-0.625</v>
      </c>
      <c r="F4402" s="0" t="n">
        <f aca="false">-1+C4402*0.125</f>
        <v>0.375</v>
      </c>
      <c r="G4402" s="0" t="n">
        <f aca="false">1</f>
        <v>1</v>
      </c>
      <c r="H4402" s="0" t="n">
        <f aca="false">D4402</f>
        <v>0.875</v>
      </c>
      <c r="I4402" s="0" t="n">
        <f aca="false">E4402</f>
        <v>-0.625</v>
      </c>
      <c r="J4402" s="0" t="n">
        <f aca="false">F4402</f>
        <v>0.375</v>
      </c>
      <c r="K4402" s="0" t="n">
        <f aca="false">D4402*E4402</f>
        <v>-0.546875</v>
      </c>
      <c r="L4402" s="0" t="n">
        <f aca="false">D4402*F4402</f>
        <v>0.328125</v>
      </c>
      <c r="M4402" s="0" t="n">
        <f aca="false">E4402*F4402</f>
        <v>-0.234375</v>
      </c>
      <c r="N4402" s="0" t="n">
        <f aca="false">D4402*D4402</f>
        <v>0.765625</v>
      </c>
      <c r="O4402" s="0" t="n">
        <f aca="false">E4402*E4402</f>
        <v>0.390625</v>
      </c>
      <c r="P4402" s="0" t="n">
        <f aca="false">F4402*F4402</f>
        <v>0.140625</v>
      </c>
      <c r="Q4402" s="0" t="n">
        <f aca="false">SUMPRODUCT(G4402:P4402,_XtX!$B$71:$K$71)</f>
        <v>46.2184303977273</v>
      </c>
      <c r="R4402" s="0" t="n">
        <f aca="false">SUMPRODUCT(MMULT(G4402:P4402,_XtX!$B$58:$K$67),G4402:P4402)</f>
        <v>0.337604869495739</v>
      </c>
      <c r="S4402" s="0" t="n">
        <f aca="false">04_回帰ANOVA!$K$19*04_回帰ANOVA!$K$14*SQRT(1+R4402)</f>
        <v>1.07530225516193</v>
      </c>
      <c r="T4402" s="0" t="n">
        <f aca="false">Q4402-S4402</f>
        <v>45.1431281425653</v>
      </c>
      <c r="U4402" s="0" t="n">
        <f aca="false">Q4402+S4402</f>
        <v>47.2937326528892</v>
      </c>
      <c r="V4402" s="54" t="b">
        <f aca="false">AND(D4402&gt;=01_因子設定!$L$5-0.000000001,D4402&lt;=01_因子設定!$M$5+0.000000001,E4402&gt;=01_因子設定!$L$6-0.000000001,E4402&lt;=01_因子設定!$M$6+0.000000001,F4402&gt;=01_因子設定!$L$7-0.000000001,F4402&lt;=01_因子設定!$M$7+0.000000001,IF(01_因子設定!$B$20="Box-Behnken",D4402^2+E4402^2+F4402^2&lt;=2+0.000000001,TRUE()))</f>
        <v>1</v>
      </c>
      <c r="W4402" s="55" t="n">
        <f aca="false">IF(V4402,IF(01_因子設定!$B$13="最大化",T4402-01_因子設定!$B$14,IF(01_因子設定!$B$13="最小化",01_因子設定!$B$15-U4402,MIN(T4402-01_因子設定!$B$14,01_因子設定!$B$15-U4402))),-1E+030)</f>
        <v>-3.35687185743465</v>
      </c>
      <c r="X4402" s="55" t="n">
        <f aca="false">IF(V4402,IF(01_因子設定!$B$13="最大化",Q4402,IF(01_因子設定!$B$13="最小化",-Q4402,-ABS(Q4402-01_因子設定!$B$16))),-1E+030)</f>
        <v>46.2184303977273</v>
      </c>
      <c r="Y4402" s="55" t="n">
        <f aca="false">W4402+ROW()*0.000000001</f>
        <v>-3.35686745543465</v>
      </c>
      <c r="Z4402" s="55" t="n">
        <f aca="false">X4402+ROW()*0.000000001</f>
        <v>46.2184347997273</v>
      </c>
    </row>
    <row r="4403" customFormat="false" ht="15" hidden="false" customHeight="false" outlineLevel="0" collapsed="false">
      <c r="A4403" s="0" t="n">
        <v>15</v>
      </c>
      <c r="B4403" s="0" t="n">
        <v>3</v>
      </c>
      <c r="C4403" s="0" t="n">
        <v>12</v>
      </c>
      <c r="D4403" s="0" t="n">
        <f aca="false">-1+A4403*0.125</f>
        <v>0.875</v>
      </c>
      <c r="E4403" s="0" t="n">
        <f aca="false">-1+B4403*0.125</f>
        <v>-0.625</v>
      </c>
      <c r="F4403" s="0" t="n">
        <f aca="false">-1+C4403*0.125</f>
        <v>0.5</v>
      </c>
      <c r="G4403" s="0" t="n">
        <f aca="false">1</f>
        <v>1</v>
      </c>
      <c r="H4403" s="0" t="n">
        <f aca="false">D4403</f>
        <v>0.875</v>
      </c>
      <c r="I4403" s="0" t="n">
        <f aca="false">E4403</f>
        <v>-0.625</v>
      </c>
      <c r="J4403" s="0" t="n">
        <f aca="false">F4403</f>
        <v>0.5</v>
      </c>
      <c r="K4403" s="0" t="n">
        <f aca="false">D4403*E4403</f>
        <v>-0.546875</v>
      </c>
      <c r="L4403" s="0" t="n">
        <f aca="false">D4403*F4403</f>
        <v>0.4375</v>
      </c>
      <c r="M4403" s="0" t="n">
        <f aca="false">E4403*F4403</f>
        <v>-0.3125</v>
      </c>
      <c r="N4403" s="0" t="n">
        <f aca="false">D4403*D4403</f>
        <v>0.765625</v>
      </c>
      <c r="O4403" s="0" t="n">
        <f aca="false">E4403*E4403</f>
        <v>0.390625</v>
      </c>
      <c r="P4403" s="0" t="n">
        <f aca="false">F4403*F4403</f>
        <v>0.25</v>
      </c>
      <c r="Q4403" s="0" t="n">
        <f aca="false">SUMPRODUCT(G4403:P4403,_XtX!$B$71:$K$71)</f>
        <v>46.2106036931818</v>
      </c>
      <c r="R4403" s="0" t="n">
        <f aca="false">SUMPRODUCT(MMULT(G4403:P4403,_XtX!$B$58:$K$67),G4403:P4403)</f>
        <v>0.335453102805398</v>
      </c>
      <c r="S4403" s="0" t="n">
        <f aca="false">04_回帰ANOVA!$K$19*04_回帰ANOVA!$K$14*SQRT(1+R4403)</f>
        <v>1.07443700305628</v>
      </c>
      <c r="T4403" s="0" t="n">
        <f aca="false">Q4403-S4403</f>
        <v>45.1361666901255</v>
      </c>
      <c r="U4403" s="0" t="n">
        <f aca="false">Q4403+S4403</f>
        <v>47.2850406962381</v>
      </c>
      <c r="V4403" s="54" t="b">
        <f aca="false">AND(D4403&gt;=01_因子設定!$L$5-0.000000001,D4403&lt;=01_因子設定!$M$5+0.000000001,E4403&gt;=01_因子設定!$L$6-0.000000001,E4403&lt;=01_因子設定!$M$6+0.000000001,F4403&gt;=01_因子設定!$L$7-0.000000001,F4403&lt;=01_因子設定!$M$7+0.000000001,IF(01_因子設定!$B$20="Box-Behnken",D4403^2+E4403^2+F4403^2&lt;=2+0.000000001,TRUE()))</f>
        <v>1</v>
      </c>
      <c r="W4403" s="55" t="n">
        <f aca="false">IF(V4403,IF(01_因子設定!$B$13="最大化",T4403-01_因子設定!$B$14,IF(01_因子設定!$B$13="最小化",01_因子設定!$B$15-U4403,MIN(T4403-01_因子設定!$B$14,01_因子設定!$B$15-U4403))),-1E+030)</f>
        <v>-3.36383330987446</v>
      </c>
      <c r="X4403" s="55" t="n">
        <f aca="false">IF(V4403,IF(01_因子設定!$B$13="最大化",Q4403,IF(01_因子設定!$B$13="最小化",-Q4403,-ABS(Q4403-01_因子設定!$B$16))),-1E+030)</f>
        <v>46.2106036931818</v>
      </c>
      <c r="Y4403" s="55" t="n">
        <f aca="false">W4403+ROW()*0.000000001</f>
        <v>-3.36382890687446</v>
      </c>
      <c r="Z4403" s="55" t="n">
        <f aca="false">X4403+ROW()*0.000000001</f>
        <v>46.2106080961818</v>
      </c>
    </row>
    <row r="4404" customFormat="false" ht="15" hidden="false" customHeight="false" outlineLevel="0" collapsed="false">
      <c r="A4404" s="0" t="n">
        <v>15</v>
      </c>
      <c r="B4404" s="0" t="n">
        <v>3</v>
      </c>
      <c r="C4404" s="0" t="n">
        <v>13</v>
      </c>
      <c r="D4404" s="0" t="n">
        <f aca="false">-1+A4404*0.125</f>
        <v>0.875</v>
      </c>
      <c r="E4404" s="0" t="n">
        <f aca="false">-1+B4404*0.125</f>
        <v>-0.625</v>
      </c>
      <c r="F4404" s="0" t="n">
        <f aca="false">-1+C4404*0.125</f>
        <v>0.625</v>
      </c>
      <c r="G4404" s="0" t="n">
        <f aca="false">1</f>
        <v>1</v>
      </c>
      <c r="H4404" s="0" t="n">
        <f aca="false">D4404</f>
        <v>0.875</v>
      </c>
      <c r="I4404" s="0" t="n">
        <f aca="false">E4404</f>
        <v>-0.625</v>
      </c>
      <c r="J4404" s="0" t="n">
        <f aca="false">F4404</f>
        <v>0.625</v>
      </c>
      <c r="K4404" s="0" t="n">
        <f aca="false">D4404*E4404</f>
        <v>-0.546875</v>
      </c>
      <c r="L4404" s="0" t="n">
        <f aca="false">D4404*F4404</f>
        <v>0.546875</v>
      </c>
      <c r="M4404" s="0" t="n">
        <f aca="false">E4404*F4404</f>
        <v>-0.390625</v>
      </c>
      <c r="N4404" s="0" t="n">
        <f aca="false">D4404*D4404</f>
        <v>0.765625</v>
      </c>
      <c r="O4404" s="0" t="n">
        <f aca="false">E4404*E4404</f>
        <v>0.390625</v>
      </c>
      <c r="P4404" s="0" t="n">
        <f aca="false">F4404*F4404</f>
        <v>0.390625</v>
      </c>
      <c r="Q4404" s="0" t="n">
        <f aca="false">SUMPRODUCT(G4404:P4404,_XtX!$B$71:$K$71)</f>
        <v>46.1659872159091</v>
      </c>
      <c r="R4404" s="0" t="n">
        <f aca="false">SUMPRODUCT(MMULT(G4404:P4404,_XtX!$B$58:$K$67),G4404:P4404)</f>
        <v>0.345470636541193</v>
      </c>
      <c r="S4404" s="0" t="n">
        <f aca="false">04_回帰ANOVA!$K$19*04_回帰ANOVA!$K$14*SQRT(1+R4404)</f>
        <v>1.07845927083227</v>
      </c>
      <c r="T4404" s="0" t="n">
        <f aca="false">Q4404-S4404</f>
        <v>45.0875279450768</v>
      </c>
      <c r="U4404" s="0" t="n">
        <f aca="false">Q4404+S4404</f>
        <v>47.2444464867414</v>
      </c>
      <c r="V4404" s="54" t="b">
        <f aca="false">AND(D4404&gt;=01_因子設定!$L$5-0.000000001,D4404&lt;=01_因子設定!$M$5+0.000000001,E4404&gt;=01_因子設定!$L$6-0.000000001,E4404&lt;=01_因子設定!$M$6+0.000000001,F4404&gt;=01_因子設定!$L$7-0.000000001,F4404&lt;=01_因子設定!$M$7+0.000000001,IF(01_因子設定!$B$20="Box-Behnken",D4404^2+E4404^2+F4404^2&lt;=2+0.000000001,TRUE()))</f>
        <v>1</v>
      </c>
      <c r="W4404" s="55" t="n">
        <f aca="false">IF(V4404,IF(01_因子設定!$B$13="最大化",T4404-01_因子設定!$B$14,IF(01_因子設定!$B$13="最小化",01_因子設定!$B$15-U4404,MIN(T4404-01_因子設定!$B$14,01_因子設定!$B$15-U4404))),-1E+030)</f>
        <v>-3.41247205492317</v>
      </c>
      <c r="X4404" s="55" t="n">
        <f aca="false">IF(V4404,IF(01_因子設定!$B$13="最大化",Q4404,IF(01_因子設定!$B$13="最小化",-Q4404,-ABS(Q4404-01_因子設定!$B$16))),-1E+030)</f>
        <v>46.1659872159091</v>
      </c>
      <c r="Y4404" s="55" t="n">
        <f aca="false">W4404+ROW()*0.000000001</f>
        <v>-3.41246765092317</v>
      </c>
      <c r="Z4404" s="55" t="n">
        <f aca="false">X4404+ROW()*0.000000001</f>
        <v>46.1659916199091</v>
      </c>
    </row>
    <row r="4405" customFormat="false" ht="15" hidden="false" customHeight="false" outlineLevel="0" collapsed="false">
      <c r="A4405" s="0" t="n">
        <v>15</v>
      </c>
      <c r="B4405" s="0" t="n">
        <v>3</v>
      </c>
      <c r="C4405" s="0" t="n">
        <v>14</v>
      </c>
      <c r="D4405" s="0" t="n">
        <f aca="false">-1+A4405*0.125</f>
        <v>0.875</v>
      </c>
      <c r="E4405" s="0" t="n">
        <f aca="false">-1+B4405*0.125</f>
        <v>-0.625</v>
      </c>
      <c r="F4405" s="0" t="n">
        <f aca="false">-1+C4405*0.125</f>
        <v>0.75</v>
      </c>
      <c r="G4405" s="0" t="n">
        <f aca="false">1</f>
        <v>1</v>
      </c>
      <c r="H4405" s="0" t="n">
        <f aca="false">D4405</f>
        <v>0.875</v>
      </c>
      <c r="I4405" s="0" t="n">
        <f aca="false">E4405</f>
        <v>-0.625</v>
      </c>
      <c r="J4405" s="0" t="n">
        <f aca="false">F4405</f>
        <v>0.75</v>
      </c>
      <c r="K4405" s="0" t="n">
        <f aca="false">D4405*E4405</f>
        <v>-0.546875</v>
      </c>
      <c r="L4405" s="0" t="n">
        <f aca="false">D4405*F4405</f>
        <v>0.65625</v>
      </c>
      <c r="M4405" s="0" t="n">
        <f aca="false">E4405*F4405</f>
        <v>-0.46875</v>
      </c>
      <c r="N4405" s="0" t="n">
        <f aca="false">D4405*D4405</f>
        <v>0.765625</v>
      </c>
      <c r="O4405" s="0" t="n">
        <f aca="false">E4405*E4405</f>
        <v>0.390625</v>
      </c>
      <c r="P4405" s="0" t="n">
        <f aca="false">F4405*F4405</f>
        <v>0.5625</v>
      </c>
      <c r="Q4405" s="0" t="n">
        <f aca="false">SUMPRODUCT(G4405:P4405,_XtX!$B$71:$K$71)</f>
        <v>46.0845809659091</v>
      </c>
      <c r="R4405" s="0" t="n">
        <f aca="false">SUMPRODUCT(MMULT(G4405:P4405,_XtX!$B$58:$K$67),G4405:P4405)</f>
        <v>0.377245538884943</v>
      </c>
      <c r="S4405" s="0" t="n">
        <f aca="false">04_回帰ANOVA!$K$19*04_回帰ANOVA!$K$14*SQRT(1+R4405)</f>
        <v>1.09111951468927</v>
      </c>
      <c r="T4405" s="0" t="n">
        <f aca="false">Q4405-S4405</f>
        <v>44.9934614512198</v>
      </c>
      <c r="U4405" s="0" t="n">
        <f aca="false">Q4405+S4405</f>
        <v>47.1757004805984</v>
      </c>
      <c r="V4405" s="54" t="b">
        <f aca="false">AND(D4405&gt;=01_因子設定!$L$5-0.000000001,D4405&lt;=01_因子設定!$M$5+0.000000001,E4405&gt;=01_因子設定!$L$6-0.000000001,E4405&lt;=01_因子設定!$M$6+0.000000001,F4405&gt;=01_因子設定!$L$7-0.000000001,F4405&lt;=01_因子設定!$M$7+0.000000001,IF(01_因子設定!$B$20="Box-Behnken",D4405^2+E4405^2+F4405^2&lt;=2+0.000000001,TRUE()))</f>
        <v>1</v>
      </c>
      <c r="W4405" s="55" t="n">
        <f aca="false">IF(V4405,IF(01_因子設定!$B$13="最大化",T4405-01_因子設定!$B$14,IF(01_因子設定!$B$13="最小化",01_因子設定!$B$15-U4405,MIN(T4405-01_因子設定!$B$14,01_因子設定!$B$15-U4405))),-1E+030)</f>
        <v>-3.50653854878018</v>
      </c>
      <c r="X4405" s="55" t="n">
        <f aca="false">IF(V4405,IF(01_因子設定!$B$13="最大化",Q4405,IF(01_因子設定!$B$13="最小化",-Q4405,-ABS(Q4405-01_因子設定!$B$16))),-1E+030)</f>
        <v>46.0845809659091</v>
      </c>
      <c r="Y4405" s="55" t="n">
        <f aca="false">W4405+ROW()*0.000000001</f>
        <v>-3.50653414378018</v>
      </c>
      <c r="Z4405" s="55" t="n">
        <f aca="false">X4405+ROW()*0.000000001</f>
        <v>46.0845853709091</v>
      </c>
    </row>
    <row r="4406" customFormat="false" ht="15" hidden="false" customHeight="false" outlineLevel="0" collapsed="false">
      <c r="A4406" s="0" t="n">
        <v>15</v>
      </c>
      <c r="B4406" s="0" t="n">
        <v>3</v>
      </c>
      <c r="C4406" s="0" t="n">
        <v>15</v>
      </c>
      <c r="D4406" s="0" t="n">
        <f aca="false">-1+A4406*0.125</f>
        <v>0.875</v>
      </c>
      <c r="E4406" s="0" t="n">
        <f aca="false">-1+B4406*0.125</f>
        <v>-0.625</v>
      </c>
      <c r="F4406" s="0" t="n">
        <f aca="false">-1+C4406*0.125</f>
        <v>0.875</v>
      </c>
      <c r="G4406" s="0" t="n">
        <f aca="false">1</f>
        <v>1</v>
      </c>
      <c r="H4406" s="0" t="n">
        <f aca="false">D4406</f>
        <v>0.875</v>
      </c>
      <c r="I4406" s="0" t="n">
        <f aca="false">E4406</f>
        <v>-0.625</v>
      </c>
      <c r="J4406" s="0" t="n">
        <f aca="false">F4406</f>
        <v>0.875</v>
      </c>
      <c r="K4406" s="0" t="n">
        <f aca="false">D4406*E4406</f>
        <v>-0.546875</v>
      </c>
      <c r="L4406" s="0" t="n">
        <f aca="false">D4406*F4406</f>
        <v>0.765625</v>
      </c>
      <c r="M4406" s="0" t="n">
        <f aca="false">E4406*F4406</f>
        <v>-0.546875</v>
      </c>
      <c r="N4406" s="0" t="n">
        <f aca="false">D4406*D4406</f>
        <v>0.765625</v>
      </c>
      <c r="O4406" s="0" t="n">
        <f aca="false">E4406*E4406</f>
        <v>0.390625</v>
      </c>
      <c r="P4406" s="0" t="n">
        <f aca="false">F4406*F4406</f>
        <v>0.765625</v>
      </c>
      <c r="Q4406" s="0" t="n">
        <f aca="false">SUMPRODUCT(G4406:P4406,_XtX!$B$71:$K$71)</f>
        <v>45.9663849431818</v>
      </c>
      <c r="R4406" s="0" t="n">
        <f aca="false">SUMPRODUCT(MMULT(G4406:P4406,_XtX!$B$58:$K$67),G4406:P4406)</f>
        <v>0.442496559836648</v>
      </c>
      <c r="S4406" s="0" t="n">
        <f aca="false">04_回帰ANOVA!$K$19*04_回帰ANOVA!$K$14*SQRT(1+R4406)</f>
        <v>1.11666789259284</v>
      </c>
      <c r="T4406" s="0" t="n">
        <f aca="false">Q4406-S4406</f>
        <v>44.849717050589</v>
      </c>
      <c r="U4406" s="0" t="n">
        <f aca="false">Q4406+S4406</f>
        <v>47.0830528357747</v>
      </c>
      <c r="V4406" s="54" t="b">
        <f aca="false">AND(D4406&gt;=01_因子設定!$L$5-0.000000001,D4406&lt;=01_因子設定!$M$5+0.000000001,E4406&gt;=01_因子設定!$L$6-0.000000001,E4406&lt;=01_因子設定!$M$6+0.000000001,F4406&gt;=01_因子設定!$L$7-0.000000001,F4406&lt;=01_因子設定!$M$7+0.000000001,IF(01_因子設定!$B$20="Box-Behnken",D4406^2+E4406^2+F4406^2&lt;=2+0.000000001,TRUE()))</f>
        <v>1</v>
      </c>
      <c r="W4406" s="55" t="n">
        <f aca="false">IF(V4406,IF(01_因子設定!$B$13="最大化",T4406-01_因子設定!$B$14,IF(01_因子設定!$B$13="最小化",01_因子設定!$B$15-U4406,MIN(T4406-01_因子設定!$B$14,01_因子設定!$B$15-U4406))),-1E+030)</f>
        <v>-3.65028294941101</v>
      </c>
      <c r="X4406" s="55" t="n">
        <f aca="false">IF(V4406,IF(01_因子設定!$B$13="最大化",Q4406,IF(01_因子設定!$B$13="最小化",-Q4406,-ABS(Q4406-01_因子設定!$B$16))),-1E+030)</f>
        <v>45.9663849431818</v>
      </c>
      <c r="Y4406" s="55" t="n">
        <f aca="false">W4406+ROW()*0.000000001</f>
        <v>-3.65027854341101</v>
      </c>
      <c r="Z4406" s="55" t="n">
        <f aca="false">X4406+ROW()*0.000000001</f>
        <v>45.9663893491818</v>
      </c>
    </row>
    <row r="4407" customFormat="false" ht="15" hidden="false" customHeight="false" outlineLevel="0" collapsed="false">
      <c r="A4407" s="0" t="n">
        <v>15</v>
      </c>
      <c r="B4407" s="0" t="n">
        <v>3</v>
      </c>
      <c r="C4407" s="0" t="n">
        <v>16</v>
      </c>
      <c r="D4407" s="0" t="n">
        <f aca="false">-1+A4407*0.125</f>
        <v>0.875</v>
      </c>
      <c r="E4407" s="0" t="n">
        <f aca="false">-1+B4407*0.125</f>
        <v>-0.625</v>
      </c>
      <c r="F4407" s="0" t="n">
        <f aca="false">-1+C4407*0.125</f>
        <v>1</v>
      </c>
      <c r="G4407" s="0" t="n">
        <f aca="false">1</f>
        <v>1</v>
      </c>
      <c r="H4407" s="0" t="n">
        <f aca="false">D4407</f>
        <v>0.875</v>
      </c>
      <c r="I4407" s="0" t="n">
        <f aca="false">E4407</f>
        <v>-0.625</v>
      </c>
      <c r="J4407" s="0" t="n">
        <f aca="false">F4407</f>
        <v>1</v>
      </c>
      <c r="K4407" s="0" t="n">
        <f aca="false">D4407*E4407</f>
        <v>-0.546875</v>
      </c>
      <c r="L4407" s="0" t="n">
        <f aca="false">D4407*F4407</f>
        <v>0.875</v>
      </c>
      <c r="M4407" s="0" t="n">
        <f aca="false">E4407*F4407</f>
        <v>-0.625</v>
      </c>
      <c r="N4407" s="0" t="n">
        <f aca="false">D4407*D4407</f>
        <v>0.765625</v>
      </c>
      <c r="O4407" s="0" t="n">
        <f aca="false">E4407*E4407</f>
        <v>0.390625</v>
      </c>
      <c r="P4407" s="0" t="n">
        <f aca="false">F4407*F4407</f>
        <v>1</v>
      </c>
      <c r="Q4407" s="0" t="n">
        <f aca="false">SUMPRODUCT(G4407:P4407,_XtX!$B$71:$K$71)</f>
        <v>45.8113991477273</v>
      </c>
      <c r="R4407" s="0" t="n">
        <f aca="false">SUMPRODUCT(MMULT(G4407:P4407,_XtX!$B$58:$K$67),G4407:P4407)</f>
        <v>0.555073131214489</v>
      </c>
      <c r="S4407" s="0" t="n">
        <f aca="false">04_回帰ANOVA!$K$19*04_回帰ANOVA!$K$14*SQRT(1+R4407)</f>
        <v>1.15942335628341</v>
      </c>
      <c r="T4407" s="0" t="n">
        <f aca="false">Q4407-S4407</f>
        <v>44.6519757914439</v>
      </c>
      <c r="U4407" s="0" t="n">
        <f aca="false">Q4407+S4407</f>
        <v>46.9708225040107</v>
      </c>
      <c r="V4407" s="54" t="b">
        <f aca="false">AND(D4407&gt;=01_因子設定!$L$5-0.000000001,D4407&lt;=01_因子設定!$M$5+0.000000001,E4407&gt;=01_因子設定!$L$6-0.000000001,E4407&lt;=01_因子設定!$M$6+0.000000001,F4407&gt;=01_因子設定!$L$7-0.000000001,F4407&lt;=01_因子設定!$M$7+0.000000001,IF(01_因子設定!$B$20="Box-Behnken",D4407^2+E4407^2+F4407^2&lt;=2+0.000000001,TRUE()))</f>
        <v>1</v>
      </c>
      <c r="W4407" s="55" t="n">
        <f aca="false">IF(V4407,IF(01_因子設定!$B$13="最大化",T4407-01_因子設定!$B$14,IF(01_因子設定!$B$13="最小化",01_因子設定!$B$15-U4407,MIN(T4407-01_因子設定!$B$14,01_因子設定!$B$15-U4407))),-1E+030)</f>
        <v>-3.84802420855612</v>
      </c>
      <c r="X4407" s="55" t="n">
        <f aca="false">IF(V4407,IF(01_因子設定!$B$13="最大化",Q4407,IF(01_因子設定!$B$13="最小化",-Q4407,-ABS(Q4407-01_因子設定!$B$16))),-1E+030)</f>
        <v>45.8113991477273</v>
      </c>
      <c r="Y4407" s="55" t="n">
        <f aca="false">W4407+ROW()*0.000000001</f>
        <v>-3.84801980155612</v>
      </c>
      <c r="Z4407" s="55" t="n">
        <f aca="false">X4407+ROW()*0.000000001</f>
        <v>45.8114035547273</v>
      </c>
    </row>
    <row r="4408" customFormat="false" ht="15" hidden="false" customHeight="false" outlineLevel="0" collapsed="false">
      <c r="A4408" s="0" t="n">
        <v>15</v>
      </c>
      <c r="B4408" s="0" t="n">
        <v>4</v>
      </c>
      <c r="C4408" s="0" t="n">
        <v>0</v>
      </c>
      <c r="D4408" s="0" t="n">
        <f aca="false">-1+A4408*0.125</f>
        <v>0.875</v>
      </c>
      <c r="E4408" s="0" t="n">
        <f aca="false">-1+B4408*0.125</f>
        <v>-0.5</v>
      </c>
      <c r="F4408" s="0" t="n">
        <f aca="false">-1+C4408*0.125</f>
        <v>-1</v>
      </c>
      <c r="G4408" s="0" t="n">
        <f aca="false">1</f>
        <v>1</v>
      </c>
      <c r="H4408" s="0" t="n">
        <f aca="false">D4408</f>
        <v>0.875</v>
      </c>
      <c r="I4408" s="0" t="n">
        <f aca="false">E4408</f>
        <v>-0.5</v>
      </c>
      <c r="J4408" s="0" t="n">
        <f aca="false">F4408</f>
        <v>-1</v>
      </c>
      <c r="K4408" s="0" t="n">
        <f aca="false">D4408*E4408</f>
        <v>-0.4375</v>
      </c>
      <c r="L4408" s="0" t="n">
        <f aca="false">D4408*F4408</f>
        <v>-0.875</v>
      </c>
      <c r="M4408" s="0" t="n">
        <f aca="false">E4408*F4408</f>
        <v>0.5</v>
      </c>
      <c r="N4408" s="0" t="n">
        <f aca="false">D4408*D4408</f>
        <v>0.765625</v>
      </c>
      <c r="O4408" s="0" t="n">
        <f aca="false">E4408*E4408</f>
        <v>0.25</v>
      </c>
      <c r="P4408" s="0" t="n">
        <f aca="false">F4408*F4408</f>
        <v>1</v>
      </c>
      <c r="Q4408" s="0" t="n">
        <f aca="false">SUMPRODUCT(G4408:P4408,_XtX!$B$71:$K$71)</f>
        <v>44.49796875</v>
      </c>
      <c r="R4408" s="0" t="n">
        <f aca="false">SUMPRODUCT(MMULT(G4408:P4408,_XtX!$B$58:$K$67),G4408:P4408)</f>
        <v>0.55771484375</v>
      </c>
      <c r="S4408" s="0" t="n">
        <f aca="false">04_回帰ANOVA!$K$19*04_回帰ANOVA!$K$14*SQRT(1+R4408)</f>
        <v>1.16040773556467</v>
      </c>
      <c r="T4408" s="0" t="n">
        <f aca="false">Q4408-S4408</f>
        <v>43.3375610144353</v>
      </c>
      <c r="U4408" s="0" t="n">
        <f aca="false">Q4408+S4408</f>
        <v>45.6583764855647</v>
      </c>
      <c r="V4408" s="54" t="b">
        <f aca="false">AND(D4408&gt;=01_因子設定!$L$5-0.000000001,D4408&lt;=01_因子設定!$M$5+0.000000001,E4408&gt;=01_因子設定!$L$6-0.000000001,E4408&lt;=01_因子設定!$M$6+0.000000001,F4408&gt;=01_因子設定!$L$7-0.000000001,F4408&lt;=01_因子設定!$M$7+0.000000001,IF(01_因子設定!$B$20="Box-Behnken",D4408^2+E4408^2+F4408^2&lt;=2+0.000000001,TRUE()))</f>
        <v>1</v>
      </c>
      <c r="W4408" s="55" t="n">
        <f aca="false">IF(V4408,IF(01_因子設定!$B$13="最大化",T4408-01_因子設定!$B$14,IF(01_因子設定!$B$13="最小化",01_因子設定!$B$15-U4408,MIN(T4408-01_因子設定!$B$14,01_因子設定!$B$15-U4408))),-1E+030)</f>
        <v>-5.16243898556466</v>
      </c>
      <c r="X4408" s="55" t="n">
        <f aca="false">IF(V4408,IF(01_因子設定!$B$13="最大化",Q4408,IF(01_因子設定!$B$13="最小化",-Q4408,-ABS(Q4408-01_因子設定!$B$16))),-1E+030)</f>
        <v>44.49796875</v>
      </c>
      <c r="Y4408" s="55" t="n">
        <f aca="false">W4408+ROW()*0.000000001</f>
        <v>-5.16243457756466</v>
      </c>
      <c r="Z4408" s="55" t="n">
        <f aca="false">X4408+ROW()*0.000000001</f>
        <v>44.497973158</v>
      </c>
    </row>
    <row r="4409" customFormat="false" ht="15" hidden="false" customHeight="false" outlineLevel="0" collapsed="false">
      <c r="A4409" s="0" t="n">
        <v>15</v>
      </c>
      <c r="B4409" s="0" t="n">
        <v>4</v>
      </c>
      <c r="C4409" s="0" t="n">
        <v>1</v>
      </c>
      <c r="D4409" s="0" t="n">
        <f aca="false">-1+A4409*0.125</f>
        <v>0.875</v>
      </c>
      <c r="E4409" s="0" t="n">
        <f aca="false">-1+B4409*0.125</f>
        <v>-0.5</v>
      </c>
      <c r="F4409" s="0" t="n">
        <f aca="false">-1+C4409*0.125</f>
        <v>-0.875</v>
      </c>
      <c r="G4409" s="0" t="n">
        <f aca="false">1</f>
        <v>1</v>
      </c>
      <c r="H4409" s="0" t="n">
        <f aca="false">D4409</f>
        <v>0.875</v>
      </c>
      <c r="I4409" s="0" t="n">
        <f aca="false">E4409</f>
        <v>-0.5</v>
      </c>
      <c r="J4409" s="0" t="n">
        <f aca="false">F4409</f>
        <v>-0.875</v>
      </c>
      <c r="K4409" s="0" t="n">
        <f aca="false">D4409*E4409</f>
        <v>-0.4375</v>
      </c>
      <c r="L4409" s="0" t="n">
        <f aca="false">D4409*F4409</f>
        <v>-0.765625</v>
      </c>
      <c r="M4409" s="0" t="n">
        <f aca="false">E4409*F4409</f>
        <v>0.4375</v>
      </c>
      <c r="N4409" s="0" t="n">
        <f aca="false">D4409*D4409</f>
        <v>0.765625</v>
      </c>
      <c r="O4409" s="0" t="n">
        <f aca="false">E4409*E4409</f>
        <v>0.25</v>
      </c>
      <c r="P4409" s="0" t="n">
        <f aca="false">F4409*F4409</f>
        <v>0.765625</v>
      </c>
      <c r="Q4409" s="0" t="n">
        <f aca="false">SUMPRODUCT(G4409:P4409,_XtX!$B$71:$K$71)</f>
        <v>44.9018607954546</v>
      </c>
      <c r="R4409" s="0" t="n">
        <f aca="false">SUMPRODUCT(MMULT(G4409:P4409,_XtX!$B$58:$K$67),G4409:P4409)</f>
        <v>0.44026933149858</v>
      </c>
      <c r="S4409" s="0" t="n">
        <f aca="false">04_回帰ANOVA!$K$19*04_回帰ANOVA!$K$14*SQRT(1+R4409)</f>
        <v>1.11580548667718</v>
      </c>
      <c r="T4409" s="0" t="n">
        <f aca="false">Q4409-S4409</f>
        <v>43.7860553087774</v>
      </c>
      <c r="U4409" s="0" t="n">
        <f aca="false">Q4409+S4409</f>
        <v>46.0176662821317</v>
      </c>
      <c r="V4409" s="54" t="b">
        <f aca="false">AND(D4409&gt;=01_因子設定!$L$5-0.000000001,D4409&lt;=01_因子設定!$M$5+0.000000001,E4409&gt;=01_因子設定!$L$6-0.000000001,E4409&lt;=01_因子設定!$M$6+0.000000001,F4409&gt;=01_因子設定!$L$7-0.000000001,F4409&lt;=01_因子設定!$M$7+0.000000001,IF(01_因子設定!$B$20="Box-Behnken",D4409^2+E4409^2+F4409^2&lt;=2+0.000000001,TRUE()))</f>
        <v>1</v>
      </c>
      <c r="W4409" s="55" t="n">
        <f aca="false">IF(V4409,IF(01_因子設定!$B$13="最大化",T4409-01_因子設定!$B$14,IF(01_因子設定!$B$13="最小化",01_因子設定!$B$15-U4409,MIN(T4409-01_因子設定!$B$14,01_因子設定!$B$15-U4409))),-1E+030)</f>
        <v>-4.71394469122263</v>
      </c>
      <c r="X4409" s="55" t="n">
        <f aca="false">IF(V4409,IF(01_因子設定!$B$13="最大化",Q4409,IF(01_因子設定!$B$13="最小化",-Q4409,-ABS(Q4409-01_因子設定!$B$16))),-1E+030)</f>
        <v>44.9018607954546</v>
      </c>
      <c r="Y4409" s="55" t="n">
        <f aca="false">W4409+ROW()*0.000000001</f>
        <v>-4.71394028222263</v>
      </c>
      <c r="Z4409" s="55" t="n">
        <f aca="false">X4409+ROW()*0.000000001</f>
        <v>44.9018652044546</v>
      </c>
    </row>
    <row r="4410" customFormat="false" ht="15" hidden="false" customHeight="false" outlineLevel="0" collapsed="false">
      <c r="A4410" s="0" t="n">
        <v>15</v>
      </c>
      <c r="B4410" s="0" t="n">
        <v>4</v>
      </c>
      <c r="C4410" s="0" t="n">
        <v>2</v>
      </c>
      <c r="D4410" s="0" t="n">
        <f aca="false">-1+A4410*0.125</f>
        <v>0.875</v>
      </c>
      <c r="E4410" s="0" t="n">
        <f aca="false">-1+B4410*0.125</f>
        <v>-0.5</v>
      </c>
      <c r="F4410" s="0" t="n">
        <f aca="false">-1+C4410*0.125</f>
        <v>-0.75</v>
      </c>
      <c r="G4410" s="0" t="n">
        <f aca="false">1</f>
        <v>1</v>
      </c>
      <c r="H4410" s="0" t="n">
        <f aca="false">D4410</f>
        <v>0.875</v>
      </c>
      <c r="I4410" s="0" t="n">
        <f aca="false">E4410</f>
        <v>-0.5</v>
      </c>
      <c r="J4410" s="0" t="n">
        <f aca="false">F4410</f>
        <v>-0.75</v>
      </c>
      <c r="K4410" s="0" t="n">
        <f aca="false">D4410*E4410</f>
        <v>-0.4375</v>
      </c>
      <c r="L4410" s="0" t="n">
        <f aca="false">D4410*F4410</f>
        <v>-0.65625</v>
      </c>
      <c r="M4410" s="0" t="n">
        <f aca="false">E4410*F4410</f>
        <v>0.375</v>
      </c>
      <c r="N4410" s="0" t="n">
        <f aca="false">D4410*D4410</f>
        <v>0.765625</v>
      </c>
      <c r="O4410" s="0" t="n">
        <f aca="false">E4410*E4410</f>
        <v>0.25</v>
      </c>
      <c r="P4410" s="0" t="n">
        <f aca="false">F4410*F4410</f>
        <v>0.5625</v>
      </c>
      <c r="Q4410" s="0" t="n">
        <f aca="false">SUMPRODUCT(G4410:P4410,_XtX!$B$71:$K$71)</f>
        <v>45.2689630681818</v>
      </c>
      <c r="R4410" s="0" t="n">
        <f aca="false">SUMPRODUCT(MMULT(G4410:P4410,_XtX!$B$58:$K$67),G4410:P4410)</f>
        <v>0.370798561789773</v>
      </c>
      <c r="S4410" s="0" t="n">
        <f aca="false">04_回帰ANOVA!$K$19*04_回帰ANOVA!$K$14*SQRT(1+R4410)</f>
        <v>1.08856271788237</v>
      </c>
      <c r="T4410" s="0" t="n">
        <f aca="false">Q4410-S4410</f>
        <v>44.1804003502995</v>
      </c>
      <c r="U4410" s="0" t="n">
        <f aca="false">Q4410+S4410</f>
        <v>46.3575257860642</v>
      </c>
      <c r="V4410" s="54" t="b">
        <f aca="false">AND(D4410&gt;=01_因子設定!$L$5-0.000000001,D4410&lt;=01_因子設定!$M$5+0.000000001,E4410&gt;=01_因子設定!$L$6-0.000000001,E4410&lt;=01_因子設定!$M$6+0.000000001,F4410&gt;=01_因子設定!$L$7-0.000000001,F4410&lt;=01_因子設定!$M$7+0.000000001,IF(01_因子設定!$B$20="Box-Behnken",D4410^2+E4410^2+F4410^2&lt;=2+0.000000001,TRUE()))</f>
        <v>1</v>
      </c>
      <c r="W4410" s="55" t="n">
        <f aca="false">IF(V4410,IF(01_因子設定!$B$13="最大化",T4410-01_因子設定!$B$14,IF(01_因子設定!$B$13="最小化",01_因子設定!$B$15-U4410,MIN(T4410-01_因子設定!$B$14,01_因子設定!$B$15-U4410))),-1E+030)</f>
        <v>-4.31959964970055</v>
      </c>
      <c r="X4410" s="55" t="n">
        <f aca="false">IF(V4410,IF(01_因子設定!$B$13="最大化",Q4410,IF(01_因子設定!$B$13="最小化",-Q4410,-ABS(Q4410-01_因子設定!$B$16))),-1E+030)</f>
        <v>45.2689630681818</v>
      </c>
      <c r="Y4410" s="55" t="n">
        <f aca="false">W4410+ROW()*0.000000001</f>
        <v>-4.31959523970055</v>
      </c>
      <c r="Z4410" s="55" t="n">
        <f aca="false">X4410+ROW()*0.000000001</f>
        <v>45.2689674781818</v>
      </c>
    </row>
    <row r="4411" customFormat="false" ht="15" hidden="false" customHeight="false" outlineLevel="0" collapsed="false">
      <c r="A4411" s="0" t="n">
        <v>15</v>
      </c>
      <c r="B4411" s="0" t="n">
        <v>4</v>
      </c>
      <c r="C4411" s="0" t="n">
        <v>3</v>
      </c>
      <c r="D4411" s="0" t="n">
        <f aca="false">-1+A4411*0.125</f>
        <v>0.875</v>
      </c>
      <c r="E4411" s="0" t="n">
        <f aca="false">-1+B4411*0.125</f>
        <v>-0.5</v>
      </c>
      <c r="F4411" s="0" t="n">
        <f aca="false">-1+C4411*0.125</f>
        <v>-0.625</v>
      </c>
      <c r="G4411" s="0" t="n">
        <f aca="false">1</f>
        <v>1</v>
      </c>
      <c r="H4411" s="0" t="n">
        <f aca="false">D4411</f>
        <v>0.875</v>
      </c>
      <c r="I4411" s="0" t="n">
        <f aca="false">E4411</f>
        <v>-0.5</v>
      </c>
      <c r="J4411" s="0" t="n">
        <f aca="false">F4411</f>
        <v>-0.625</v>
      </c>
      <c r="K4411" s="0" t="n">
        <f aca="false">D4411*E4411</f>
        <v>-0.4375</v>
      </c>
      <c r="L4411" s="0" t="n">
        <f aca="false">D4411*F4411</f>
        <v>-0.546875</v>
      </c>
      <c r="M4411" s="0" t="n">
        <f aca="false">E4411*F4411</f>
        <v>0.3125</v>
      </c>
      <c r="N4411" s="0" t="n">
        <f aca="false">D4411*D4411</f>
        <v>0.765625</v>
      </c>
      <c r="O4411" s="0" t="n">
        <f aca="false">E4411*E4411</f>
        <v>0.25</v>
      </c>
      <c r="P4411" s="0" t="n">
        <f aca="false">F4411*F4411</f>
        <v>0.390625</v>
      </c>
      <c r="Q4411" s="0" t="n">
        <f aca="false">SUMPRODUCT(G4411:P4411,_XtX!$B$71:$K$71)</f>
        <v>45.5992755681818</v>
      </c>
      <c r="R4411" s="0" t="n">
        <f aca="false">SUMPRODUCT(MMULT(G4411:P4411,_XtX!$B$58:$K$67),G4411:P4411)</f>
        <v>0.335453102805398</v>
      </c>
      <c r="S4411" s="0" t="n">
        <f aca="false">04_回帰ANOVA!$K$19*04_回帰ANOVA!$K$14*SQRT(1+R4411)</f>
        <v>1.07443700305628</v>
      </c>
      <c r="T4411" s="0" t="n">
        <f aca="false">Q4411-S4411</f>
        <v>44.5248385651256</v>
      </c>
      <c r="U4411" s="0" t="n">
        <f aca="false">Q4411+S4411</f>
        <v>46.6737125712381</v>
      </c>
      <c r="V4411" s="54" t="b">
        <f aca="false">AND(D4411&gt;=01_因子設定!$L$5-0.000000001,D4411&lt;=01_因子設定!$M$5+0.000000001,E4411&gt;=01_因子設定!$L$6-0.000000001,E4411&lt;=01_因子設定!$M$6+0.000000001,F4411&gt;=01_因子設定!$L$7-0.000000001,F4411&lt;=01_因子設定!$M$7+0.000000001,IF(01_因子設定!$B$20="Box-Behnken",D4411^2+E4411^2+F4411^2&lt;=2+0.000000001,TRUE()))</f>
        <v>1</v>
      </c>
      <c r="W4411" s="55" t="n">
        <f aca="false">IF(V4411,IF(01_因子設定!$B$13="最大化",T4411-01_因子設定!$B$14,IF(01_因子設定!$B$13="最小化",01_因子設定!$B$15-U4411,MIN(T4411-01_因子設定!$B$14,01_因子設定!$B$15-U4411))),-1E+030)</f>
        <v>-3.97516143487445</v>
      </c>
      <c r="X4411" s="55" t="n">
        <f aca="false">IF(V4411,IF(01_因子設定!$B$13="最大化",Q4411,IF(01_因子設定!$B$13="最小化",-Q4411,-ABS(Q4411-01_因子設定!$B$16))),-1E+030)</f>
        <v>45.5992755681818</v>
      </c>
      <c r="Y4411" s="55" t="n">
        <f aca="false">W4411+ROW()*0.000000001</f>
        <v>-3.97515702387445</v>
      </c>
      <c r="Z4411" s="55" t="n">
        <f aca="false">X4411+ROW()*0.000000001</f>
        <v>45.5992799791818</v>
      </c>
    </row>
    <row r="4412" customFormat="false" ht="15" hidden="false" customHeight="false" outlineLevel="0" collapsed="false">
      <c r="A4412" s="0" t="n">
        <v>15</v>
      </c>
      <c r="B4412" s="0" t="n">
        <v>4</v>
      </c>
      <c r="C4412" s="0" t="n">
        <v>4</v>
      </c>
      <c r="D4412" s="0" t="n">
        <f aca="false">-1+A4412*0.125</f>
        <v>0.875</v>
      </c>
      <c r="E4412" s="0" t="n">
        <f aca="false">-1+B4412*0.125</f>
        <v>-0.5</v>
      </c>
      <c r="F4412" s="0" t="n">
        <f aca="false">-1+C4412*0.125</f>
        <v>-0.5</v>
      </c>
      <c r="G4412" s="0" t="n">
        <f aca="false">1</f>
        <v>1</v>
      </c>
      <c r="H4412" s="0" t="n">
        <f aca="false">D4412</f>
        <v>0.875</v>
      </c>
      <c r="I4412" s="0" t="n">
        <f aca="false">E4412</f>
        <v>-0.5</v>
      </c>
      <c r="J4412" s="0" t="n">
        <f aca="false">F4412</f>
        <v>-0.5</v>
      </c>
      <c r="K4412" s="0" t="n">
        <f aca="false">D4412*E4412</f>
        <v>-0.4375</v>
      </c>
      <c r="L4412" s="0" t="n">
        <f aca="false">D4412*F4412</f>
        <v>-0.4375</v>
      </c>
      <c r="M4412" s="0" t="n">
        <f aca="false">E4412*F4412</f>
        <v>0.25</v>
      </c>
      <c r="N4412" s="0" t="n">
        <f aca="false">D4412*D4412</f>
        <v>0.765625</v>
      </c>
      <c r="O4412" s="0" t="n">
        <f aca="false">E4412*E4412</f>
        <v>0.25</v>
      </c>
      <c r="P4412" s="0" t="n">
        <f aca="false">F4412*F4412</f>
        <v>0.25</v>
      </c>
      <c r="Q4412" s="0" t="n">
        <f aca="false">SUMPRODUCT(G4412:P4412,_XtX!$B$71:$K$71)</f>
        <v>45.8927982954546</v>
      </c>
      <c r="R4412" s="0" t="n">
        <f aca="false">SUMPRODUCT(MMULT(G4412:P4412,_XtX!$B$58:$K$67),G4412:P4412)</f>
        <v>0.322514204545455</v>
      </c>
      <c r="S4412" s="0" t="n">
        <f aca="false">04_回帰ANOVA!$K$19*04_回帰ANOVA!$K$14*SQRT(1+R4412)</f>
        <v>1.0692193475064</v>
      </c>
      <c r="T4412" s="0" t="n">
        <f aca="false">Q4412-S4412</f>
        <v>44.8235789479481</v>
      </c>
      <c r="U4412" s="0" t="n">
        <f aca="false">Q4412+S4412</f>
        <v>46.962017642961</v>
      </c>
      <c r="V4412" s="54" t="b">
        <f aca="false">AND(D4412&gt;=01_因子設定!$L$5-0.000000001,D4412&lt;=01_因子設定!$M$5+0.000000001,E4412&gt;=01_因子設定!$L$6-0.000000001,E4412&lt;=01_因子設定!$M$6+0.000000001,F4412&gt;=01_因子設定!$L$7-0.000000001,F4412&lt;=01_因子設定!$M$7+0.000000001,IF(01_因子設定!$B$20="Box-Behnken",D4412^2+E4412^2+F4412^2&lt;=2+0.000000001,TRUE()))</f>
        <v>1</v>
      </c>
      <c r="W4412" s="55" t="n">
        <f aca="false">IF(V4412,IF(01_因子設定!$B$13="最大化",T4412-01_因子設定!$B$14,IF(01_因子設定!$B$13="最小化",01_因子設定!$B$15-U4412,MIN(T4412-01_因子設定!$B$14,01_因子設定!$B$15-U4412))),-1E+030)</f>
        <v>-3.67642105205186</v>
      </c>
      <c r="X4412" s="55" t="n">
        <f aca="false">IF(V4412,IF(01_因子設定!$B$13="最大化",Q4412,IF(01_因子設定!$B$13="最小化",-Q4412,-ABS(Q4412-01_因子設定!$B$16))),-1E+030)</f>
        <v>45.8927982954546</v>
      </c>
      <c r="Y4412" s="55" t="n">
        <f aca="false">W4412+ROW()*0.000000001</f>
        <v>-3.67641664005186</v>
      </c>
      <c r="Z4412" s="55" t="n">
        <f aca="false">X4412+ROW()*0.000000001</f>
        <v>45.8928027074546</v>
      </c>
    </row>
    <row r="4413" customFormat="false" ht="15" hidden="false" customHeight="false" outlineLevel="0" collapsed="false">
      <c r="A4413" s="0" t="n">
        <v>15</v>
      </c>
      <c r="B4413" s="0" t="n">
        <v>4</v>
      </c>
      <c r="C4413" s="0" t="n">
        <v>5</v>
      </c>
      <c r="D4413" s="0" t="n">
        <f aca="false">-1+A4413*0.125</f>
        <v>0.875</v>
      </c>
      <c r="E4413" s="0" t="n">
        <f aca="false">-1+B4413*0.125</f>
        <v>-0.5</v>
      </c>
      <c r="F4413" s="0" t="n">
        <f aca="false">-1+C4413*0.125</f>
        <v>-0.375</v>
      </c>
      <c r="G4413" s="0" t="n">
        <f aca="false">1</f>
        <v>1</v>
      </c>
      <c r="H4413" s="0" t="n">
        <f aca="false">D4413</f>
        <v>0.875</v>
      </c>
      <c r="I4413" s="0" t="n">
        <f aca="false">E4413</f>
        <v>-0.5</v>
      </c>
      <c r="J4413" s="0" t="n">
        <f aca="false">F4413</f>
        <v>-0.375</v>
      </c>
      <c r="K4413" s="0" t="n">
        <f aca="false">D4413*E4413</f>
        <v>-0.4375</v>
      </c>
      <c r="L4413" s="0" t="n">
        <f aca="false">D4413*F4413</f>
        <v>-0.328125</v>
      </c>
      <c r="M4413" s="0" t="n">
        <f aca="false">E4413*F4413</f>
        <v>0.1875</v>
      </c>
      <c r="N4413" s="0" t="n">
        <f aca="false">D4413*D4413</f>
        <v>0.765625</v>
      </c>
      <c r="O4413" s="0" t="n">
        <f aca="false">E4413*E4413</f>
        <v>0.25</v>
      </c>
      <c r="P4413" s="0" t="n">
        <f aca="false">F4413*F4413</f>
        <v>0.140625</v>
      </c>
      <c r="Q4413" s="0" t="n">
        <f aca="false">SUMPRODUCT(G4413:P4413,_XtX!$B$71:$K$71)</f>
        <v>46.14953125</v>
      </c>
      <c r="R4413" s="0" t="n">
        <f aca="false">SUMPRODUCT(MMULT(G4413:P4413,_XtX!$B$58:$K$67),G4413:P4413)</f>
        <v>0.322393798828125</v>
      </c>
      <c r="S4413" s="0" t="n">
        <f aca="false">04_回帰ANOVA!$K$19*04_回帰ANOVA!$K$14*SQRT(1+R4413)</f>
        <v>1.06917067390712</v>
      </c>
      <c r="T4413" s="0" t="n">
        <f aca="false">Q4413-S4413</f>
        <v>45.0803605760929</v>
      </c>
      <c r="U4413" s="0" t="n">
        <f aca="false">Q4413+S4413</f>
        <v>47.2187019239071</v>
      </c>
      <c r="V4413" s="54" t="b">
        <f aca="false">AND(D4413&gt;=01_因子設定!$L$5-0.000000001,D4413&lt;=01_因子設定!$M$5+0.000000001,E4413&gt;=01_因子設定!$L$6-0.000000001,E4413&lt;=01_因子設定!$M$6+0.000000001,F4413&gt;=01_因子設定!$L$7-0.000000001,F4413&lt;=01_因子設定!$M$7+0.000000001,IF(01_因子設定!$B$20="Box-Behnken",D4413^2+E4413^2+F4413^2&lt;=2+0.000000001,TRUE()))</f>
        <v>1</v>
      </c>
      <c r="W4413" s="55" t="n">
        <f aca="false">IF(V4413,IF(01_因子設定!$B$13="最大化",T4413-01_因子設定!$B$14,IF(01_因子設定!$B$13="最小化",01_因子設定!$B$15-U4413,MIN(T4413-01_因子設定!$B$14,01_因子設定!$B$15-U4413))),-1E+030)</f>
        <v>-3.41963942390712</v>
      </c>
      <c r="X4413" s="55" t="n">
        <f aca="false">IF(V4413,IF(01_因子設定!$B$13="最大化",Q4413,IF(01_因子設定!$B$13="最小化",-Q4413,-ABS(Q4413-01_因子設定!$B$16))),-1E+030)</f>
        <v>46.14953125</v>
      </c>
      <c r="Y4413" s="55" t="n">
        <f aca="false">W4413+ROW()*0.000000001</f>
        <v>-3.41963501090712</v>
      </c>
      <c r="Z4413" s="55" t="n">
        <f aca="false">X4413+ROW()*0.000000001</f>
        <v>46.149535663</v>
      </c>
    </row>
    <row r="4414" customFormat="false" ht="15" hidden="false" customHeight="false" outlineLevel="0" collapsed="false">
      <c r="A4414" s="0" t="n">
        <v>15</v>
      </c>
      <c r="B4414" s="0" t="n">
        <v>4</v>
      </c>
      <c r="C4414" s="0" t="n">
        <v>6</v>
      </c>
      <c r="D4414" s="0" t="n">
        <f aca="false">-1+A4414*0.125</f>
        <v>0.875</v>
      </c>
      <c r="E4414" s="0" t="n">
        <f aca="false">-1+B4414*0.125</f>
        <v>-0.5</v>
      </c>
      <c r="F4414" s="0" t="n">
        <f aca="false">-1+C4414*0.125</f>
        <v>-0.25</v>
      </c>
      <c r="G4414" s="0" t="n">
        <f aca="false">1</f>
        <v>1</v>
      </c>
      <c r="H4414" s="0" t="n">
        <f aca="false">D4414</f>
        <v>0.875</v>
      </c>
      <c r="I4414" s="0" t="n">
        <f aca="false">E4414</f>
        <v>-0.5</v>
      </c>
      <c r="J4414" s="0" t="n">
        <f aca="false">F4414</f>
        <v>-0.25</v>
      </c>
      <c r="K4414" s="0" t="n">
        <f aca="false">D4414*E4414</f>
        <v>-0.4375</v>
      </c>
      <c r="L4414" s="0" t="n">
        <f aca="false">D4414*F4414</f>
        <v>-0.21875</v>
      </c>
      <c r="M4414" s="0" t="n">
        <f aca="false">E4414*F4414</f>
        <v>0.125</v>
      </c>
      <c r="N4414" s="0" t="n">
        <f aca="false">D4414*D4414</f>
        <v>0.765625</v>
      </c>
      <c r="O4414" s="0" t="n">
        <f aca="false">E4414*E4414</f>
        <v>0.25</v>
      </c>
      <c r="P4414" s="0" t="n">
        <f aca="false">F4414*F4414</f>
        <v>0.0625</v>
      </c>
      <c r="Q4414" s="0" t="n">
        <f aca="false">SUMPRODUCT(G4414:P4414,_XtX!$B$71:$K$71)</f>
        <v>46.3694744318182</v>
      </c>
      <c r="R4414" s="0" t="n">
        <f aca="false">SUMPRODUCT(MMULT(G4414:P4414,_XtX!$B$58:$K$67),G4414:P4414)</f>
        <v>0.327634499289773</v>
      </c>
      <c r="S4414" s="0" t="n">
        <f aca="false">04_回帰ANOVA!$K$19*04_回帰ANOVA!$K$14*SQRT(1+R4414)</f>
        <v>1.07128716250217</v>
      </c>
      <c r="T4414" s="0" t="n">
        <f aca="false">Q4414-S4414</f>
        <v>45.298187269316</v>
      </c>
      <c r="U4414" s="0" t="n">
        <f aca="false">Q4414+S4414</f>
        <v>47.4407615943204</v>
      </c>
      <c r="V4414" s="54" t="b">
        <f aca="false">AND(D4414&gt;=01_因子設定!$L$5-0.000000001,D4414&lt;=01_因子設定!$M$5+0.000000001,E4414&gt;=01_因子設定!$L$6-0.000000001,E4414&lt;=01_因子設定!$M$6+0.000000001,F4414&gt;=01_因子設定!$L$7-0.000000001,F4414&lt;=01_因子設定!$M$7+0.000000001,IF(01_因子設定!$B$20="Box-Behnken",D4414^2+E4414^2+F4414^2&lt;=2+0.000000001,TRUE()))</f>
        <v>1</v>
      </c>
      <c r="W4414" s="55" t="n">
        <f aca="false">IF(V4414,IF(01_因子設定!$B$13="最大化",T4414-01_因子設定!$B$14,IF(01_因子設定!$B$13="最小化",01_因子設定!$B$15-U4414,MIN(T4414-01_因子設定!$B$14,01_因子設定!$B$15-U4414))),-1E+030)</f>
        <v>-3.201812730684</v>
      </c>
      <c r="X4414" s="55" t="n">
        <f aca="false">IF(V4414,IF(01_因子設定!$B$13="最大化",Q4414,IF(01_因子設定!$B$13="最小化",-Q4414,-ABS(Q4414-01_因子設定!$B$16))),-1E+030)</f>
        <v>46.3694744318182</v>
      </c>
      <c r="Y4414" s="55" t="n">
        <f aca="false">W4414+ROW()*0.000000001</f>
        <v>-3.201808316684</v>
      </c>
      <c r="Z4414" s="55" t="n">
        <f aca="false">X4414+ROW()*0.000000001</f>
        <v>46.3694788458182</v>
      </c>
    </row>
    <row r="4415" customFormat="false" ht="15" hidden="false" customHeight="false" outlineLevel="0" collapsed="false">
      <c r="A4415" s="0" t="n">
        <v>15</v>
      </c>
      <c r="B4415" s="0" t="n">
        <v>4</v>
      </c>
      <c r="C4415" s="0" t="n">
        <v>7</v>
      </c>
      <c r="D4415" s="0" t="n">
        <f aca="false">-1+A4415*0.125</f>
        <v>0.875</v>
      </c>
      <c r="E4415" s="0" t="n">
        <f aca="false">-1+B4415*0.125</f>
        <v>-0.5</v>
      </c>
      <c r="F4415" s="0" t="n">
        <f aca="false">-1+C4415*0.125</f>
        <v>-0.125</v>
      </c>
      <c r="G4415" s="0" t="n">
        <f aca="false">1</f>
        <v>1</v>
      </c>
      <c r="H4415" s="0" t="n">
        <f aca="false">D4415</f>
        <v>0.875</v>
      </c>
      <c r="I4415" s="0" t="n">
        <f aca="false">E4415</f>
        <v>-0.5</v>
      </c>
      <c r="J4415" s="0" t="n">
        <f aca="false">F4415</f>
        <v>-0.125</v>
      </c>
      <c r="K4415" s="0" t="n">
        <f aca="false">D4415*E4415</f>
        <v>-0.4375</v>
      </c>
      <c r="L4415" s="0" t="n">
        <f aca="false">D4415*F4415</f>
        <v>-0.109375</v>
      </c>
      <c r="M4415" s="0" t="n">
        <f aca="false">E4415*F4415</f>
        <v>0.0625</v>
      </c>
      <c r="N4415" s="0" t="n">
        <f aca="false">D4415*D4415</f>
        <v>0.765625</v>
      </c>
      <c r="O4415" s="0" t="n">
        <f aca="false">E4415*E4415</f>
        <v>0.25</v>
      </c>
      <c r="P4415" s="0" t="n">
        <f aca="false">F4415*F4415</f>
        <v>0.015625</v>
      </c>
      <c r="Q4415" s="0" t="n">
        <f aca="false">SUMPRODUCT(G4415:P4415,_XtX!$B$71:$K$71)</f>
        <v>46.5526278409091</v>
      </c>
      <c r="R4415" s="0" t="n">
        <f aca="false">SUMPRODUCT(MMULT(G4415:P4415,_XtX!$B$58:$K$67),G4415:P4415)</f>
        <v>0.332909601384943</v>
      </c>
      <c r="S4415" s="0" t="n">
        <f aca="false">04_回帰ANOVA!$K$19*04_回帰ANOVA!$K$14*SQRT(1+R4415)</f>
        <v>1.07341333007404</v>
      </c>
      <c r="T4415" s="0" t="n">
        <f aca="false">Q4415-S4415</f>
        <v>45.4792145108351</v>
      </c>
      <c r="U4415" s="0" t="n">
        <f aca="false">Q4415+S4415</f>
        <v>47.6260411709831</v>
      </c>
      <c r="V4415" s="54" t="b">
        <f aca="false">AND(D4415&gt;=01_因子設定!$L$5-0.000000001,D4415&lt;=01_因子設定!$M$5+0.000000001,E4415&gt;=01_因子設定!$L$6-0.000000001,E4415&lt;=01_因子設定!$M$6+0.000000001,F4415&gt;=01_因子設定!$L$7-0.000000001,F4415&lt;=01_因子設定!$M$7+0.000000001,IF(01_因子設定!$B$20="Box-Behnken",D4415^2+E4415^2+F4415^2&lt;=2+0.000000001,TRUE()))</f>
        <v>1</v>
      </c>
      <c r="W4415" s="55" t="n">
        <f aca="false">IF(V4415,IF(01_因子設定!$B$13="最大化",T4415-01_因子設定!$B$14,IF(01_因子設定!$B$13="最小化",01_因子設定!$B$15-U4415,MIN(T4415-01_因子設定!$B$14,01_因子設定!$B$15-U4415))),-1E+030)</f>
        <v>-3.02078548916495</v>
      </c>
      <c r="X4415" s="55" t="n">
        <f aca="false">IF(V4415,IF(01_因子設定!$B$13="最大化",Q4415,IF(01_因子設定!$B$13="最小化",-Q4415,-ABS(Q4415-01_因子設定!$B$16))),-1E+030)</f>
        <v>46.5526278409091</v>
      </c>
      <c r="Y4415" s="55" t="n">
        <f aca="false">W4415+ROW()*0.000000001</f>
        <v>-3.02078107416495</v>
      </c>
      <c r="Z4415" s="55" t="n">
        <f aca="false">X4415+ROW()*0.000000001</f>
        <v>46.5526322559091</v>
      </c>
    </row>
    <row r="4416" customFormat="false" ht="15" hidden="false" customHeight="false" outlineLevel="0" collapsed="false">
      <c r="A4416" s="0" t="n">
        <v>15</v>
      </c>
      <c r="B4416" s="0" t="n">
        <v>4</v>
      </c>
      <c r="C4416" s="0" t="n">
        <v>8</v>
      </c>
      <c r="D4416" s="0" t="n">
        <f aca="false">-1+A4416*0.125</f>
        <v>0.875</v>
      </c>
      <c r="E4416" s="0" t="n">
        <f aca="false">-1+B4416*0.125</f>
        <v>-0.5</v>
      </c>
      <c r="F4416" s="0" t="n">
        <f aca="false">-1+C4416*0.125</f>
        <v>0</v>
      </c>
      <c r="G4416" s="0" t="n">
        <f aca="false">1</f>
        <v>1</v>
      </c>
      <c r="H4416" s="0" t="n">
        <f aca="false">D4416</f>
        <v>0.875</v>
      </c>
      <c r="I4416" s="0" t="n">
        <f aca="false">E4416</f>
        <v>-0.5</v>
      </c>
      <c r="J4416" s="0" t="n">
        <f aca="false">F4416</f>
        <v>0</v>
      </c>
      <c r="K4416" s="0" t="n">
        <f aca="false">D4416*E4416</f>
        <v>-0.4375</v>
      </c>
      <c r="L4416" s="0" t="n">
        <f aca="false">D4416*F4416</f>
        <v>0</v>
      </c>
      <c r="M4416" s="0" t="n">
        <f aca="false">E4416*F4416</f>
        <v>-0</v>
      </c>
      <c r="N4416" s="0" t="n">
        <f aca="false">D4416*D4416</f>
        <v>0.765625</v>
      </c>
      <c r="O4416" s="0" t="n">
        <f aca="false">E4416*E4416</f>
        <v>0.25</v>
      </c>
      <c r="P4416" s="0" t="n">
        <f aca="false">F4416*F4416</f>
        <v>0</v>
      </c>
      <c r="Q4416" s="0" t="n">
        <f aca="false">SUMPRODUCT(G4416:P4416,_XtX!$B$71:$K$71)</f>
        <v>46.6989914772727</v>
      </c>
      <c r="R4416" s="0" t="n">
        <f aca="false">SUMPRODUCT(MMULT(G4416:P4416,_XtX!$B$58:$K$67),G4416:P4416)</f>
        <v>0.335023082386364</v>
      </c>
      <c r="S4416" s="0" t="n">
        <f aca="false">04_回帰ANOVA!$K$19*04_回帰ANOVA!$K$14*SQRT(1+R4416)</f>
        <v>1.07426400295275</v>
      </c>
      <c r="T4416" s="0" t="n">
        <f aca="false">Q4416-S4416</f>
        <v>45.62472747432</v>
      </c>
      <c r="U4416" s="0" t="n">
        <f aca="false">Q4416+S4416</f>
        <v>47.7732554802255</v>
      </c>
      <c r="V4416" s="54" t="b">
        <f aca="false">AND(D4416&gt;=01_因子設定!$L$5-0.000000001,D4416&lt;=01_因子設定!$M$5+0.000000001,E4416&gt;=01_因子設定!$L$6-0.000000001,E4416&lt;=01_因子設定!$M$6+0.000000001,F4416&gt;=01_因子設定!$L$7-0.000000001,F4416&lt;=01_因子設定!$M$7+0.000000001,IF(01_因子設定!$B$20="Box-Behnken",D4416^2+E4416^2+F4416^2&lt;=2+0.000000001,TRUE()))</f>
        <v>1</v>
      </c>
      <c r="W4416" s="55" t="n">
        <f aca="false">IF(V4416,IF(01_因子設定!$B$13="最大化",T4416-01_因子設定!$B$14,IF(01_因子設定!$B$13="最小化",01_因子設定!$B$15-U4416,MIN(T4416-01_因子設定!$B$14,01_因子設定!$B$15-U4416))),-1E+030)</f>
        <v>-2.87527252568003</v>
      </c>
      <c r="X4416" s="55" t="n">
        <f aca="false">IF(V4416,IF(01_因子設定!$B$13="最大化",Q4416,IF(01_因子設定!$B$13="最小化",-Q4416,-ABS(Q4416-01_因子設定!$B$16))),-1E+030)</f>
        <v>46.6989914772727</v>
      </c>
      <c r="Y4416" s="55" t="n">
        <f aca="false">W4416+ROW()*0.000000001</f>
        <v>-2.87526810968003</v>
      </c>
      <c r="Z4416" s="55" t="n">
        <f aca="false">X4416+ROW()*0.000000001</f>
        <v>46.6989958932727</v>
      </c>
    </row>
    <row r="4417" customFormat="false" ht="15" hidden="false" customHeight="false" outlineLevel="0" collapsed="false">
      <c r="A4417" s="0" t="n">
        <v>15</v>
      </c>
      <c r="B4417" s="0" t="n">
        <v>4</v>
      </c>
      <c r="C4417" s="0" t="n">
        <v>9</v>
      </c>
      <c r="D4417" s="0" t="n">
        <f aca="false">-1+A4417*0.125</f>
        <v>0.875</v>
      </c>
      <c r="E4417" s="0" t="n">
        <f aca="false">-1+B4417*0.125</f>
        <v>-0.5</v>
      </c>
      <c r="F4417" s="0" t="n">
        <f aca="false">-1+C4417*0.125</f>
        <v>0.125</v>
      </c>
      <c r="G4417" s="0" t="n">
        <f aca="false">1</f>
        <v>1</v>
      </c>
      <c r="H4417" s="0" t="n">
        <f aca="false">D4417</f>
        <v>0.875</v>
      </c>
      <c r="I4417" s="0" t="n">
        <f aca="false">E4417</f>
        <v>-0.5</v>
      </c>
      <c r="J4417" s="0" t="n">
        <f aca="false">F4417</f>
        <v>0.125</v>
      </c>
      <c r="K4417" s="0" t="n">
        <f aca="false">D4417*E4417</f>
        <v>-0.4375</v>
      </c>
      <c r="L4417" s="0" t="n">
        <f aca="false">D4417*F4417</f>
        <v>0.109375</v>
      </c>
      <c r="M4417" s="0" t="n">
        <f aca="false">E4417*F4417</f>
        <v>-0.0625</v>
      </c>
      <c r="N4417" s="0" t="n">
        <f aca="false">D4417*D4417</f>
        <v>0.765625</v>
      </c>
      <c r="O4417" s="0" t="n">
        <f aca="false">E4417*E4417</f>
        <v>0.25</v>
      </c>
      <c r="P4417" s="0" t="n">
        <f aca="false">F4417*F4417</f>
        <v>0.015625</v>
      </c>
      <c r="Q4417" s="0" t="n">
        <f aca="false">SUMPRODUCT(G4417:P4417,_XtX!$B$71:$K$71)</f>
        <v>46.8085653409091</v>
      </c>
      <c r="R4417" s="0" t="n">
        <f aca="false">SUMPRODUCT(MMULT(G4417:P4417,_XtX!$B$58:$K$67),G4417:P4417)</f>
        <v>0.332909601384943</v>
      </c>
      <c r="S4417" s="0" t="n">
        <f aca="false">04_回帰ANOVA!$K$19*04_回帰ANOVA!$K$14*SQRT(1+R4417)</f>
        <v>1.07341333007404</v>
      </c>
      <c r="T4417" s="0" t="n">
        <f aca="false">Q4417-S4417</f>
        <v>45.735152010835</v>
      </c>
      <c r="U4417" s="0" t="n">
        <f aca="false">Q4417+S4417</f>
        <v>47.8819786709831</v>
      </c>
      <c r="V4417" s="54" t="b">
        <f aca="false">AND(D4417&gt;=01_因子設定!$L$5-0.000000001,D4417&lt;=01_因子設定!$M$5+0.000000001,E4417&gt;=01_因子設定!$L$6-0.000000001,E4417&lt;=01_因子設定!$M$6+0.000000001,F4417&gt;=01_因子設定!$L$7-0.000000001,F4417&lt;=01_因子設定!$M$7+0.000000001,IF(01_因子設定!$B$20="Box-Behnken",D4417^2+E4417^2+F4417^2&lt;=2+0.000000001,TRUE()))</f>
        <v>1</v>
      </c>
      <c r="W4417" s="55" t="n">
        <f aca="false">IF(V4417,IF(01_因子設定!$B$13="最大化",T4417-01_因子設定!$B$14,IF(01_因子設定!$B$13="最小化",01_因子設定!$B$15-U4417,MIN(T4417-01_因子設定!$B$14,01_因子設定!$B$15-U4417))),-1E+030)</f>
        <v>-2.76484798916496</v>
      </c>
      <c r="X4417" s="55" t="n">
        <f aca="false">IF(V4417,IF(01_因子設定!$B$13="最大化",Q4417,IF(01_因子設定!$B$13="最小化",-Q4417,-ABS(Q4417-01_因子設定!$B$16))),-1E+030)</f>
        <v>46.8085653409091</v>
      </c>
      <c r="Y4417" s="55" t="n">
        <f aca="false">W4417+ROW()*0.000000001</f>
        <v>-2.76484357216496</v>
      </c>
      <c r="Z4417" s="55" t="n">
        <f aca="false">X4417+ROW()*0.000000001</f>
        <v>46.8085697579091</v>
      </c>
    </row>
    <row r="4418" customFormat="false" ht="15" hidden="false" customHeight="false" outlineLevel="0" collapsed="false">
      <c r="A4418" s="0" t="n">
        <v>15</v>
      </c>
      <c r="B4418" s="0" t="n">
        <v>4</v>
      </c>
      <c r="C4418" s="0" t="n">
        <v>10</v>
      </c>
      <c r="D4418" s="0" t="n">
        <f aca="false">-1+A4418*0.125</f>
        <v>0.875</v>
      </c>
      <c r="E4418" s="0" t="n">
        <f aca="false">-1+B4418*0.125</f>
        <v>-0.5</v>
      </c>
      <c r="F4418" s="0" t="n">
        <f aca="false">-1+C4418*0.125</f>
        <v>0.25</v>
      </c>
      <c r="G4418" s="0" t="n">
        <f aca="false">1</f>
        <v>1</v>
      </c>
      <c r="H4418" s="0" t="n">
        <f aca="false">D4418</f>
        <v>0.875</v>
      </c>
      <c r="I4418" s="0" t="n">
        <f aca="false">E4418</f>
        <v>-0.5</v>
      </c>
      <c r="J4418" s="0" t="n">
        <f aca="false">F4418</f>
        <v>0.25</v>
      </c>
      <c r="K4418" s="0" t="n">
        <f aca="false">D4418*E4418</f>
        <v>-0.4375</v>
      </c>
      <c r="L4418" s="0" t="n">
        <f aca="false">D4418*F4418</f>
        <v>0.21875</v>
      </c>
      <c r="M4418" s="0" t="n">
        <f aca="false">E4418*F4418</f>
        <v>-0.125</v>
      </c>
      <c r="N4418" s="0" t="n">
        <f aca="false">D4418*D4418</f>
        <v>0.765625</v>
      </c>
      <c r="O4418" s="0" t="n">
        <f aca="false">E4418*E4418</f>
        <v>0.25</v>
      </c>
      <c r="P4418" s="0" t="n">
        <f aca="false">F4418*F4418</f>
        <v>0.0625</v>
      </c>
      <c r="Q4418" s="0" t="n">
        <f aca="false">SUMPRODUCT(G4418:P4418,_XtX!$B$71:$K$71)</f>
        <v>46.8813494318182</v>
      </c>
      <c r="R4418" s="0" t="n">
        <f aca="false">SUMPRODUCT(MMULT(G4418:P4418,_XtX!$B$58:$K$67),G4418:P4418)</f>
        <v>0.327634499289773</v>
      </c>
      <c r="S4418" s="0" t="n">
        <f aca="false">04_回帰ANOVA!$K$19*04_回帰ANOVA!$K$14*SQRT(1+R4418)</f>
        <v>1.07128716250217</v>
      </c>
      <c r="T4418" s="0" t="n">
        <f aca="false">Q4418-S4418</f>
        <v>45.810062269316</v>
      </c>
      <c r="U4418" s="0" t="n">
        <f aca="false">Q4418+S4418</f>
        <v>47.9526365943204</v>
      </c>
      <c r="V4418" s="54" t="b">
        <f aca="false">AND(D4418&gt;=01_因子設定!$L$5-0.000000001,D4418&lt;=01_因子設定!$M$5+0.000000001,E4418&gt;=01_因子設定!$L$6-0.000000001,E4418&lt;=01_因子設定!$M$6+0.000000001,F4418&gt;=01_因子設定!$L$7-0.000000001,F4418&lt;=01_因子設定!$M$7+0.000000001,IF(01_因子設定!$B$20="Box-Behnken",D4418^2+E4418^2+F4418^2&lt;=2+0.000000001,TRUE()))</f>
        <v>1</v>
      </c>
      <c r="W4418" s="55" t="n">
        <f aca="false">IF(V4418,IF(01_因子設定!$B$13="最大化",T4418-01_因子設定!$B$14,IF(01_因子設定!$B$13="最小化",01_因子設定!$B$15-U4418,MIN(T4418-01_因子設定!$B$14,01_因子設定!$B$15-U4418))),-1E+030)</f>
        <v>-2.68993773068399</v>
      </c>
      <c r="X4418" s="55" t="n">
        <f aca="false">IF(V4418,IF(01_因子設定!$B$13="最大化",Q4418,IF(01_因子設定!$B$13="最小化",-Q4418,-ABS(Q4418-01_因子設定!$B$16))),-1E+030)</f>
        <v>46.8813494318182</v>
      </c>
      <c r="Y4418" s="55" t="n">
        <f aca="false">W4418+ROW()*0.000000001</f>
        <v>-2.68993331268399</v>
      </c>
      <c r="Z4418" s="55" t="n">
        <f aca="false">X4418+ROW()*0.000000001</f>
        <v>46.8813538498182</v>
      </c>
    </row>
    <row r="4419" customFormat="false" ht="15" hidden="false" customHeight="false" outlineLevel="0" collapsed="false">
      <c r="A4419" s="0" t="n">
        <v>15</v>
      </c>
      <c r="B4419" s="0" t="n">
        <v>4</v>
      </c>
      <c r="C4419" s="0" t="n">
        <v>11</v>
      </c>
      <c r="D4419" s="0" t="n">
        <f aca="false">-1+A4419*0.125</f>
        <v>0.875</v>
      </c>
      <c r="E4419" s="0" t="n">
        <f aca="false">-1+B4419*0.125</f>
        <v>-0.5</v>
      </c>
      <c r="F4419" s="0" t="n">
        <f aca="false">-1+C4419*0.125</f>
        <v>0.375</v>
      </c>
      <c r="G4419" s="0" t="n">
        <f aca="false">1</f>
        <v>1</v>
      </c>
      <c r="H4419" s="0" t="n">
        <f aca="false">D4419</f>
        <v>0.875</v>
      </c>
      <c r="I4419" s="0" t="n">
        <f aca="false">E4419</f>
        <v>-0.5</v>
      </c>
      <c r="J4419" s="0" t="n">
        <f aca="false">F4419</f>
        <v>0.375</v>
      </c>
      <c r="K4419" s="0" t="n">
        <f aca="false">D4419*E4419</f>
        <v>-0.4375</v>
      </c>
      <c r="L4419" s="0" t="n">
        <f aca="false">D4419*F4419</f>
        <v>0.328125</v>
      </c>
      <c r="M4419" s="0" t="n">
        <f aca="false">E4419*F4419</f>
        <v>-0.1875</v>
      </c>
      <c r="N4419" s="0" t="n">
        <f aca="false">D4419*D4419</f>
        <v>0.765625</v>
      </c>
      <c r="O4419" s="0" t="n">
        <f aca="false">E4419*E4419</f>
        <v>0.25</v>
      </c>
      <c r="P4419" s="0" t="n">
        <f aca="false">F4419*F4419</f>
        <v>0.140625</v>
      </c>
      <c r="Q4419" s="0" t="n">
        <f aca="false">SUMPRODUCT(G4419:P4419,_XtX!$B$71:$K$71)</f>
        <v>46.91734375</v>
      </c>
      <c r="R4419" s="0" t="n">
        <f aca="false">SUMPRODUCT(MMULT(G4419:P4419,_XtX!$B$58:$K$67),G4419:P4419)</f>
        <v>0.322393798828125</v>
      </c>
      <c r="S4419" s="0" t="n">
        <f aca="false">04_回帰ANOVA!$K$19*04_回帰ANOVA!$K$14*SQRT(1+R4419)</f>
        <v>1.06917067390712</v>
      </c>
      <c r="T4419" s="0" t="n">
        <f aca="false">Q4419-S4419</f>
        <v>45.8481730760929</v>
      </c>
      <c r="U4419" s="0" t="n">
        <f aca="false">Q4419+S4419</f>
        <v>47.9865144239071</v>
      </c>
      <c r="V4419" s="54" t="b">
        <f aca="false">AND(D4419&gt;=01_因子設定!$L$5-0.000000001,D4419&lt;=01_因子設定!$M$5+0.000000001,E4419&gt;=01_因子設定!$L$6-0.000000001,E4419&lt;=01_因子設定!$M$6+0.000000001,F4419&gt;=01_因子設定!$L$7-0.000000001,F4419&lt;=01_因子設定!$M$7+0.000000001,IF(01_因子設定!$B$20="Box-Behnken",D4419^2+E4419^2+F4419^2&lt;=2+0.000000001,TRUE()))</f>
        <v>1</v>
      </c>
      <c r="W4419" s="55" t="n">
        <f aca="false">IF(V4419,IF(01_因子設定!$B$13="最大化",T4419-01_因子設定!$B$14,IF(01_因子設定!$B$13="最小化",01_因子設定!$B$15-U4419,MIN(T4419-01_因子設定!$B$14,01_因子設定!$B$15-U4419))),-1E+030)</f>
        <v>-2.65182692390712</v>
      </c>
      <c r="X4419" s="55" t="n">
        <f aca="false">IF(V4419,IF(01_因子設定!$B$13="最大化",Q4419,IF(01_因子設定!$B$13="最小化",-Q4419,-ABS(Q4419-01_因子設定!$B$16))),-1E+030)</f>
        <v>46.91734375</v>
      </c>
      <c r="Y4419" s="55" t="n">
        <f aca="false">W4419+ROW()*0.000000001</f>
        <v>-2.65182250490712</v>
      </c>
      <c r="Z4419" s="55" t="n">
        <f aca="false">X4419+ROW()*0.000000001</f>
        <v>46.917348169</v>
      </c>
    </row>
    <row r="4420" customFormat="false" ht="15" hidden="false" customHeight="false" outlineLevel="0" collapsed="false">
      <c r="A4420" s="0" t="n">
        <v>15</v>
      </c>
      <c r="B4420" s="0" t="n">
        <v>4</v>
      </c>
      <c r="C4420" s="0" t="n">
        <v>12</v>
      </c>
      <c r="D4420" s="0" t="n">
        <f aca="false">-1+A4420*0.125</f>
        <v>0.875</v>
      </c>
      <c r="E4420" s="0" t="n">
        <f aca="false">-1+B4420*0.125</f>
        <v>-0.5</v>
      </c>
      <c r="F4420" s="0" t="n">
        <f aca="false">-1+C4420*0.125</f>
        <v>0.5</v>
      </c>
      <c r="G4420" s="0" t="n">
        <f aca="false">1</f>
        <v>1</v>
      </c>
      <c r="H4420" s="0" t="n">
        <f aca="false">D4420</f>
        <v>0.875</v>
      </c>
      <c r="I4420" s="0" t="n">
        <f aca="false">E4420</f>
        <v>-0.5</v>
      </c>
      <c r="J4420" s="0" t="n">
        <f aca="false">F4420</f>
        <v>0.5</v>
      </c>
      <c r="K4420" s="0" t="n">
        <f aca="false">D4420*E4420</f>
        <v>-0.4375</v>
      </c>
      <c r="L4420" s="0" t="n">
        <f aca="false">D4420*F4420</f>
        <v>0.4375</v>
      </c>
      <c r="M4420" s="0" t="n">
        <f aca="false">E4420*F4420</f>
        <v>-0.25</v>
      </c>
      <c r="N4420" s="0" t="n">
        <f aca="false">D4420*D4420</f>
        <v>0.765625</v>
      </c>
      <c r="O4420" s="0" t="n">
        <f aca="false">E4420*E4420</f>
        <v>0.25</v>
      </c>
      <c r="P4420" s="0" t="n">
        <f aca="false">F4420*F4420</f>
        <v>0.25</v>
      </c>
      <c r="Q4420" s="0" t="n">
        <f aca="false">SUMPRODUCT(G4420:P4420,_XtX!$B$71:$K$71)</f>
        <v>46.9165482954546</v>
      </c>
      <c r="R4420" s="0" t="n">
        <f aca="false">SUMPRODUCT(MMULT(G4420:P4420,_XtX!$B$58:$K$67),G4420:P4420)</f>
        <v>0.322514204545455</v>
      </c>
      <c r="S4420" s="0" t="n">
        <f aca="false">04_回帰ANOVA!$K$19*04_回帰ANOVA!$K$14*SQRT(1+R4420)</f>
        <v>1.0692193475064</v>
      </c>
      <c r="T4420" s="0" t="n">
        <f aca="false">Q4420-S4420</f>
        <v>45.8473289479481</v>
      </c>
      <c r="U4420" s="0" t="n">
        <f aca="false">Q4420+S4420</f>
        <v>47.985767642961</v>
      </c>
      <c r="V4420" s="54" t="b">
        <f aca="false">AND(D4420&gt;=01_因子設定!$L$5-0.000000001,D4420&lt;=01_因子設定!$M$5+0.000000001,E4420&gt;=01_因子設定!$L$6-0.000000001,E4420&lt;=01_因子設定!$M$6+0.000000001,F4420&gt;=01_因子設定!$L$7-0.000000001,F4420&lt;=01_因子設定!$M$7+0.000000001,IF(01_因子設定!$B$20="Box-Behnken",D4420^2+E4420^2+F4420^2&lt;=2+0.000000001,TRUE()))</f>
        <v>1</v>
      </c>
      <c r="W4420" s="55" t="n">
        <f aca="false">IF(V4420,IF(01_因子設定!$B$13="最大化",T4420-01_因子設定!$B$14,IF(01_因子設定!$B$13="最小化",01_因子設定!$B$15-U4420,MIN(T4420-01_因子設定!$B$14,01_因子設定!$B$15-U4420))),-1E+030)</f>
        <v>-2.65267105205186</v>
      </c>
      <c r="X4420" s="55" t="n">
        <f aca="false">IF(V4420,IF(01_因子設定!$B$13="最大化",Q4420,IF(01_因子設定!$B$13="最小化",-Q4420,-ABS(Q4420-01_因子設定!$B$16))),-1E+030)</f>
        <v>46.9165482954546</v>
      </c>
      <c r="Y4420" s="55" t="n">
        <f aca="false">W4420+ROW()*0.000000001</f>
        <v>-2.65266663205186</v>
      </c>
      <c r="Z4420" s="55" t="n">
        <f aca="false">X4420+ROW()*0.000000001</f>
        <v>46.9165527154546</v>
      </c>
    </row>
    <row r="4421" customFormat="false" ht="15" hidden="false" customHeight="false" outlineLevel="0" collapsed="false">
      <c r="A4421" s="0" t="n">
        <v>15</v>
      </c>
      <c r="B4421" s="0" t="n">
        <v>4</v>
      </c>
      <c r="C4421" s="0" t="n">
        <v>13</v>
      </c>
      <c r="D4421" s="0" t="n">
        <f aca="false">-1+A4421*0.125</f>
        <v>0.875</v>
      </c>
      <c r="E4421" s="0" t="n">
        <f aca="false">-1+B4421*0.125</f>
        <v>-0.5</v>
      </c>
      <c r="F4421" s="0" t="n">
        <f aca="false">-1+C4421*0.125</f>
        <v>0.625</v>
      </c>
      <c r="G4421" s="0" t="n">
        <f aca="false">1</f>
        <v>1</v>
      </c>
      <c r="H4421" s="0" t="n">
        <f aca="false">D4421</f>
        <v>0.875</v>
      </c>
      <c r="I4421" s="0" t="n">
        <f aca="false">E4421</f>
        <v>-0.5</v>
      </c>
      <c r="J4421" s="0" t="n">
        <f aca="false">F4421</f>
        <v>0.625</v>
      </c>
      <c r="K4421" s="0" t="n">
        <f aca="false">D4421*E4421</f>
        <v>-0.4375</v>
      </c>
      <c r="L4421" s="0" t="n">
        <f aca="false">D4421*F4421</f>
        <v>0.546875</v>
      </c>
      <c r="M4421" s="0" t="n">
        <f aca="false">E4421*F4421</f>
        <v>-0.3125</v>
      </c>
      <c r="N4421" s="0" t="n">
        <f aca="false">D4421*D4421</f>
        <v>0.765625</v>
      </c>
      <c r="O4421" s="0" t="n">
        <f aca="false">E4421*E4421</f>
        <v>0.25</v>
      </c>
      <c r="P4421" s="0" t="n">
        <f aca="false">F4421*F4421</f>
        <v>0.390625</v>
      </c>
      <c r="Q4421" s="0" t="n">
        <f aca="false">SUMPRODUCT(G4421:P4421,_XtX!$B$71:$K$71)</f>
        <v>46.8789630681818</v>
      </c>
      <c r="R4421" s="0" t="n">
        <f aca="false">SUMPRODUCT(MMULT(G4421:P4421,_XtX!$B$58:$K$67),G4421:P4421)</f>
        <v>0.335453102805398</v>
      </c>
      <c r="S4421" s="0" t="n">
        <f aca="false">04_回帰ANOVA!$K$19*04_回帰ANOVA!$K$14*SQRT(1+R4421)</f>
        <v>1.07443700305628</v>
      </c>
      <c r="T4421" s="0" t="n">
        <f aca="false">Q4421-S4421</f>
        <v>45.8045260651255</v>
      </c>
      <c r="U4421" s="0" t="n">
        <f aca="false">Q4421+S4421</f>
        <v>47.9534000712381</v>
      </c>
      <c r="V4421" s="54" t="b">
        <f aca="false">AND(D4421&gt;=01_因子設定!$L$5-0.000000001,D4421&lt;=01_因子設定!$M$5+0.000000001,E4421&gt;=01_因子設定!$L$6-0.000000001,E4421&lt;=01_因子設定!$M$6+0.000000001,F4421&gt;=01_因子設定!$L$7-0.000000001,F4421&lt;=01_因子設定!$M$7+0.000000001,IF(01_因子設定!$B$20="Box-Behnken",D4421^2+E4421^2+F4421^2&lt;=2+0.000000001,TRUE()))</f>
        <v>1</v>
      </c>
      <c r="W4421" s="55" t="n">
        <f aca="false">IF(V4421,IF(01_因子設定!$B$13="最大化",T4421-01_因子設定!$B$14,IF(01_因子設定!$B$13="最小化",01_因子設定!$B$15-U4421,MIN(T4421-01_因子設定!$B$14,01_因子設定!$B$15-U4421))),-1E+030)</f>
        <v>-2.69547393487446</v>
      </c>
      <c r="X4421" s="55" t="n">
        <f aca="false">IF(V4421,IF(01_因子設定!$B$13="最大化",Q4421,IF(01_因子設定!$B$13="最小化",-Q4421,-ABS(Q4421-01_因子設定!$B$16))),-1E+030)</f>
        <v>46.8789630681818</v>
      </c>
      <c r="Y4421" s="55" t="n">
        <f aca="false">W4421+ROW()*0.000000001</f>
        <v>-2.69546951387446</v>
      </c>
      <c r="Z4421" s="55" t="n">
        <f aca="false">X4421+ROW()*0.000000001</f>
        <v>46.8789674891818</v>
      </c>
    </row>
    <row r="4422" customFormat="false" ht="15" hidden="false" customHeight="false" outlineLevel="0" collapsed="false">
      <c r="A4422" s="0" t="n">
        <v>15</v>
      </c>
      <c r="B4422" s="0" t="n">
        <v>4</v>
      </c>
      <c r="C4422" s="0" t="n">
        <v>14</v>
      </c>
      <c r="D4422" s="0" t="n">
        <f aca="false">-1+A4422*0.125</f>
        <v>0.875</v>
      </c>
      <c r="E4422" s="0" t="n">
        <f aca="false">-1+B4422*0.125</f>
        <v>-0.5</v>
      </c>
      <c r="F4422" s="0" t="n">
        <f aca="false">-1+C4422*0.125</f>
        <v>0.75</v>
      </c>
      <c r="G4422" s="0" t="n">
        <f aca="false">1</f>
        <v>1</v>
      </c>
      <c r="H4422" s="0" t="n">
        <f aca="false">D4422</f>
        <v>0.875</v>
      </c>
      <c r="I4422" s="0" t="n">
        <f aca="false">E4422</f>
        <v>-0.5</v>
      </c>
      <c r="J4422" s="0" t="n">
        <f aca="false">F4422</f>
        <v>0.75</v>
      </c>
      <c r="K4422" s="0" t="n">
        <f aca="false">D4422*E4422</f>
        <v>-0.4375</v>
      </c>
      <c r="L4422" s="0" t="n">
        <f aca="false">D4422*F4422</f>
        <v>0.65625</v>
      </c>
      <c r="M4422" s="0" t="n">
        <f aca="false">E4422*F4422</f>
        <v>-0.375</v>
      </c>
      <c r="N4422" s="0" t="n">
        <f aca="false">D4422*D4422</f>
        <v>0.765625</v>
      </c>
      <c r="O4422" s="0" t="n">
        <f aca="false">E4422*E4422</f>
        <v>0.25</v>
      </c>
      <c r="P4422" s="0" t="n">
        <f aca="false">F4422*F4422</f>
        <v>0.5625</v>
      </c>
      <c r="Q4422" s="0" t="n">
        <f aca="false">SUMPRODUCT(G4422:P4422,_XtX!$B$71:$K$71)</f>
        <v>46.8045880681818</v>
      </c>
      <c r="R4422" s="0" t="n">
        <f aca="false">SUMPRODUCT(MMULT(G4422:P4422,_XtX!$B$58:$K$67),G4422:P4422)</f>
        <v>0.370798561789773</v>
      </c>
      <c r="S4422" s="0" t="n">
        <f aca="false">04_回帰ANOVA!$K$19*04_回帰ANOVA!$K$14*SQRT(1+R4422)</f>
        <v>1.08856271788237</v>
      </c>
      <c r="T4422" s="0" t="n">
        <f aca="false">Q4422-S4422</f>
        <v>45.7160253502995</v>
      </c>
      <c r="U4422" s="0" t="n">
        <f aca="false">Q4422+S4422</f>
        <v>47.8931507860642</v>
      </c>
      <c r="V4422" s="54" t="b">
        <f aca="false">AND(D4422&gt;=01_因子設定!$L$5-0.000000001,D4422&lt;=01_因子設定!$M$5+0.000000001,E4422&gt;=01_因子設定!$L$6-0.000000001,E4422&lt;=01_因子設定!$M$6+0.000000001,F4422&gt;=01_因子設定!$L$7-0.000000001,F4422&lt;=01_因子設定!$M$7+0.000000001,IF(01_因子設定!$B$20="Box-Behnken",D4422^2+E4422^2+F4422^2&lt;=2+0.000000001,TRUE()))</f>
        <v>1</v>
      </c>
      <c r="W4422" s="55" t="n">
        <f aca="false">IF(V4422,IF(01_因子設定!$B$13="最大化",T4422-01_因子設定!$B$14,IF(01_因子設定!$B$13="最小化",01_因子設定!$B$15-U4422,MIN(T4422-01_因子設定!$B$14,01_因子設定!$B$15-U4422))),-1E+030)</f>
        <v>-2.78397464970055</v>
      </c>
      <c r="X4422" s="55" t="n">
        <f aca="false">IF(V4422,IF(01_因子設定!$B$13="最大化",Q4422,IF(01_因子設定!$B$13="最小化",-Q4422,-ABS(Q4422-01_因子設定!$B$16))),-1E+030)</f>
        <v>46.8045880681818</v>
      </c>
      <c r="Y4422" s="55" t="n">
        <f aca="false">W4422+ROW()*0.000000001</f>
        <v>-2.78397022770055</v>
      </c>
      <c r="Z4422" s="55" t="n">
        <f aca="false">X4422+ROW()*0.000000001</f>
        <v>46.8045924901818</v>
      </c>
    </row>
    <row r="4423" customFormat="false" ht="15" hidden="false" customHeight="false" outlineLevel="0" collapsed="false">
      <c r="A4423" s="0" t="n">
        <v>15</v>
      </c>
      <c r="B4423" s="0" t="n">
        <v>4</v>
      </c>
      <c r="C4423" s="0" t="n">
        <v>15</v>
      </c>
      <c r="D4423" s="0" t="n">
        <f aca="false">-1+A4423*0.125</f>
        <v>0.875</v>
      </c>
      <c r="E4423" s="0" t="n">
        <f aca="false">-1+B4423*0.125</f>
        <v>-0.5</v>
      </c>
      <c r="F4423" s="0" t="n">
        <f aca="false">-1+C4423*0.125</f>
        <v>0.875</v>
      </c>
      <c r="G4423" s="0" t="n">
        <f aca="false">1</f>
        <v>1</v>
      </c>
      <c r="H4423" s="0" t="n">
        <f aca="false">D4423</f>
        <v>0.875</v>
      </c>
      <c r="I4423" s="0" t="n">
        <f aca="false">E4423</f>
        <v>-0.5</v>
      </c>
      <c r="J4423" s="0" t="n">
        <f aca="false">F4423</f>
        <v>0.875</v>
      </c>
      <c r="K4423" s="0" t="n">
        <f aca="false">D4423*E4423</f>
        <v>-0.4375</v>
      </c>
      <c r="L4423" s="0" t="n">
        <f aca="false">D4423*F4423</f>
        <v>0.765625</v>
      </c>
      <c r="M4423" s="0" t="n">
        <f aca="false">E4423*F4423</f>
        <v>-0.4375</v>
      </c>
      <c r="N4423" s="0" t="n">
        <f aca="false">D4423*D4423</f>
        <v>0.765625</v>
      </c>
      <c r="O4423" s="0" t="n">
        <f aca="false">E4423*E4423</f>
        <v>0.25</v>
      </c>
      <c r="P4423" s="0" t="n">
        <f aca="false">F4423*F4423</f>
        <v>0.765625</v>
      </c>
      <c r="Q4423" s="0" t="n">
        <f aca="false">SUMPRODUCT(G4423:P4423,_XtX!$B$71:$K$71)</f>
        <v>46.6934232954546</v>
      </c>
      <c r="R4423" s="0" t="n">
        <f aca="false">SUMPRODUCT(MMULT(G4423:P4423,_XtX!$B$58:$K$67),G4423:P4423)</f>
        <v>0.44026933149858</v>
      </c>
      <c r="S4423" s="0" t="n">
        <f aca="false">04_回帰ANOVA!$K$19*04_回帰ANOVA!$K$14*SQRT(1+R4423)</f>
        <v>1.11580548667718</v>
      </c>
      <c r="T4423" s="0" t="n">
        <f aca="false">Q4423-S4423</f>
        <v>45.5776178087774</v>
      </c>
      <c r="U4423" s="0" t="n">
        <f aca="false">Q4423+S4423</f>
        <v>47.8092287821317</v>
      </c>
      <c r="V4423" s="54" t="b">
        <f aca="false">AND(D4423&gt;=01_因子設定!$L$5-0.000000001,D4423&lt;=01_因子設定!$M$5+0.000000001,E4423&gt;=01_因子設定!$L$6-0.000000001,E4423&lt;=01_因子設定!$M$6+0.000000001,F4423&gt;=01_因子設定!$L$7-0.000000001,F4423&lt;=01_因子設定!$M$7+0.000000001,IF(01_因子設定!$B$20="Box-Behnken",D4423^2+E4423^2+F4423^2&lt;=2+0.000000001,TRUE()))</f>
        <v>1</v>
      </c>
      <c r="W4423" s="55" t="n">
        <f aca="false">IF(V4423,IF(01_因子設定!$B$13="最大化",T4423-01_因子設定!$B$14,IF(01_因子設定!$B$13="最小化",01_因子設定!$B$15-U4423,MIN(T4423-01_因子設定!$B$14,01_因子設定!$B$15-U4423))),-1E+030)</f>
        <v>-2.92238219122262</v>
      </c>
      <c r="X4423" s="55" t="n">
        <f aca="false">IF(V4423,IF(01_因子設定!$B$13="最大化",Q4423,IF(01_因子設定!$B$13="最小化",-Q4423,-ABS(Q4423-01_因子設定!$B$16))),-1E+030)</f>
        <v>46.6934232954546</v>
      </c>
      <c r="Y4423" s="55" t="n">
        <f aca="false">W4423+ROW()*0.000000001</f>
        <v>-2.92237776822262</v>
      </c>
      <c r="Z4423" s="55" t="n">
        <f aca="false">X4423+ROW()*0.000000001</f>
        <v>46.6934277184546</v>
      </c>
    </row>
    <row r="4424" customFormat="false" ht="15" hidden="false" customHeight="false" outlineLevel="0" collapsed="false">
      <c r="A4424" s="0" t="n">
        <v>15</v>
      </c>
      <c r="B4424" s="0" t="n">
        <v>4</v>
      </c>
      <c r="C4424" s="0" t="n">
        <v>16</v>
      </c>
      <c r="D4424" s="0" t="n">
        <f aca="false">-1+A4424*0.125</f>
        <v>0.875</v>
      </c>
      <c r="E4424" s="0" t="n">
        <f aca="false">-1+B4424*0.125</f>
        <v>-0.5</v>
      </c>
      <c r="F4424" s="0" t="n">
        <f aca="false">-1+C4424*0.125</f>
        <v>1</v>
      </c>
      <c r="G4424" s="0" t="n">
        <f aca="false">1</f>
        <v>1</v>
      </c>
      <c r="H4424" s="0" t="n">
        <f aca="false">D4424</f>
        <v>0.875</v>
      </c>
      <c r="I4424" s="0" t="n">
        <f aca="false">E4424</f>
        <v>-0.5</v>
      </c>
      <c r="J4424" s="0" t="n">
        <f aca="false">F4424</f>
        <v>1</v>
      </c>
      <c r="K4424" s="0" t="n">
        <f aca="false">D4424*E4424</f>
        <v>-0.4375</v>
      </c>
      <c r="L4424" s="0" t="n">
        <f aca="false">D4424*F4424</f>
        <v>0.875</v>
      </c>
      <c r="M4424" s="0" t="n">
        <f aca="false">E4424*F4424</f>
        <v>-0.5</v>
      </c>
      <c r="N4424" s="0" t="n">
        <f aca="false">D4424*D4424</f>
        <v>0.765625</v>
      </c>
      <c r="O4424" s="0" t="n">
        <f aca="false">E4424*E4424</f>
        <v>0.25</v>
      </c>
      <c r="P4424" s="0" t="n">
        <f aca="false">F4424*F4424</f>
        <v>1</v>
      </c>
      <c r="Q4424" s="0" t="n">
        <f aca="false">SUMPRODUCT(G4424:P4424,_XtX!$B$71:$K$71)</f>
        <v>46.54546875</v>
      </c>
      <c r="R4424" s="0" t="n">
        <f aca="false">SUMPRODUCT(MMULT(G4424:P4424,_XtX!$B$58:$K$67),G4424:P4424)</f>
        <v>0.55771484375</v>
      </c>
      <c r="S4424" s="0" t="n">
        <f aca="false">04_回帰ANOVA!$K$19*04_回帰ANOVA!$K$14*SQRT(1+R4424)</f>
        <v>1.16040773556467</v>
      </c>
      <c r="T4424" s="0" t="n">
        <f aca="false">Q4424-S4424</f>
        <v>45.3850610144353</v>
      </c>
      <c r="U4424" s="0" t="n">
        <f aca="false">Q4424+S4424</f>
        <v>47.7058764855647</v>
      </c>
      <c r="V4424" s="54" t="b">
        <f aca="false">AND(D4424&gt;=01_因子設定!$L$5-0.000000001,D4424&lt;=01_因子設定!$M$5+0.000000001,E4424&gt;=01_因子設定!$L$6-0.000000001,E4424&lt;=01_因子設定!$M$6+0.000000001,F4424&gt;=01_因子設定!$L$7-0.000000001,F4424&lt;=01_因子設定!$M$7+0.000000001,IF(01_因子設定!$B$20="Box-Behnken",D4424^2+E4424^2+F4424^2&lt;=2+0.000000001,TRUE()))</f>
        <v>1</v>
      </c>
      <c r="W4424" s="55" t="n">
        <f aca="false">IF(V4424,IF(01_因子設定!$B$13="最大化",T4424-01_因子設定!$B$14,IF(01_因子設定!$B$13="最小化",01_因子設定!$B$15-U4424,MIN(T4424-01_因子設定!$B$14,01_因子設定!$B$15-U4424))),-1E+030)</f>
        <v>-3.11493898556466</v>
      </c>
      <c r="X4424" s="55" t="n">
        <f aca="false">IF(V4424,IF(01_因子設定!$B$13="最大化",Q4424,IF(01_因子設定!$B$13="最小化",-Q4424,-ABS(Q4424-01_因子設定!$B$16))),-1E+030)</f>
        <v>46.54546875</v>
      </c>
      <c r="Y4424" s="55" t="n">
        <f aca="false">W4424+ROW()*0.000000001</f>
        <v>-3.11493456156466</v>
      </c>
      <c r="Z4424" s="55" t="n">
        <f aca="false">X4424+ROW()*0.000000001</f>
        <v>46.545473174</v>
      </c>
    </row>
    <row r="4425" customFormat="false" ht="15" hidden="false" customHeight="false" outlineLevel="0" collapsed="false">
      <c r="A4425" s="0" t="n">
        <v>15</v>
      </c>
      <c r="B4425" s="0" t="n">
        <v>5</v>
      </c>
      <c r="C4425" s="0" t="n">
        <v>0</v>
      </c>
      <c r="D4425" s="0" t="n">
        <f aca="false">-1+A4425*0.125</f>
        <v>0.875</v>
      </c>
      <c r="E4425" s="0" t="n">
        <f aca="false">-1+B4425*0.125</f>
        <v>-0.375</v>
      </c>
      <c r="F4425" s="0" t="n">
        <f aca="false">-1+C4425*0.125</f>
        <v>-1</v>
      </c>
      <c r="G4425" s="0" t="n">
        <f aca="false">1</f>
        <v>1</v>
      </c>
      <c r="H4425" s="0" t="n">
        <f aca="false">D4425</f>
        <v>0.875</v>
      </c>
      <c r="I4425" s="0" t="n">
        <f aca="false">E4425</f>
        <v>-0.375</v>
      </c>
      <c r="J4425" s="0" t="n">
        <f aca="false">F4425</f>
        <v>-1</v>
      </c>
      <c r="K4425" s="0" t="n">
        <f aca="false">D4425*E4425</f>
        <v>-0.328125</v>
      </c>
      <c r="L4425" s="0" t="n">
        <f aca="false">D4425*F4425</f>
        <v>-0.875</v>
      </c>
      <c r="M4425" s="0" t="n">
        <f aca="false">E4425*F4425</f>
        <v>0.375</v>
      </c>
      <c r="N4425" s="0" t="n">
        <f aca="false">D4425*D4425</f>
        <v>0.765625</v>
      </c>
      <c r="O4425" s="0" t="n">
        <f aca="false">E4425*E4425</f>
        <v>0.140625</v>
      </c>
      <c r="P4425" s="0" t="n">
        <f aca="false">F4425*F4425</f>
        <v>1</v>
      </c>
      <c r="Q4425" s="0" t="n">
        <f aca="false">SUMPRODUCT(G4425:P4425,_XtX!$B$71:$K$71)</f>
        <v>45.0561860795455</v>
      </c>
      <c r="R4425" s="0" t="n">
        <f aca="false">SUMPRODUCT(MMULT(G4425:P4425,_XtX!$B$58:$K$67),G4425:P4425)</f>
        <v>0.56971269087358</v>
      </c>
      <c r="S4425" s="0" t="n">
        <f aca="false">04_回帰ANOVA!$K$19*04_回帰ANOVA!$K$14*SQRT(1+R4425)</f>
        <v>1.16486801567081</v>
      </c>
      <c r="T4425" s="0" t="n">
        <f aca="false">Q4425-S4425</f>
        <v>43.8913180638747</v>
      </c>
      <c r="U4425" s="0" t="n">
        <f aca="false">Q4425+S4425</f>
        <v>46.2210540952163</v>
      </c>
      <c r="V4425" s="54" t="b">
        <f aca="false">AND(D4425&gt;=01_因子設定!$L$5-0.000000001,D4425&lt;=01_因子設定!$M$5+0.000000001,E4425&gt;=01_因子設定!$L$6-0.000000001,E4425&lt;=01_因子設定!$M$6+0.000000001,F4425&gt;=01_因子設定!$L$7-0.000000001,F4425&lt;=01_因子設定!$M$7+0.000000001,IF(01_因子設定!$B$20="Box-Behnken",D4425^2+E4425^2+F4425^2&lt;=2+0.000000001,TRUE()))</f>
        <v>1</v>
      </c>
      <c r="W4425" s="55" t="n">
        <f aca="false">IF(V4425,IF(01_因子設定!$B$13="最大化",T4425-01_因子設定!$B$14,IF(01_因子設定!$B$13="最小化",01_因子設定!$B$15-U4425,MIN(T4425-01_因子設定!$B$14,01_因子設定!$B$15-U4425))),-1E+030)</f>
        <v>-4.60868193612534</v>
      </c>
      <c r="X4425" s="55" t="n">
        <f aca="false">IF(V4425,IF(01_因子設定!$B$13="最大化",Q4425,IF(01_因子設定!$B$13="最小化",-Q4425,-ABS(Q4425-01_因子設定!$B$16))),-1E+030)</f>
        <v>45.0561860795455</v>
      </c>
      <c r="Y4425" s="55" t="n">
        <f aca="false">W4425+ROW()*0.000000001</f>
        <v>-4.60867751112534</v>
      </c>
      <c r="Z4425" s="55" t="n">
        <f aca="false">X4425+ROW()*0.000000001</f>
        <v>45.0561905045455</v>
      </c>
    </row>
    <row r="4426" customFormat="false" ht="15" hidden="false" customHeight="false" outlineLevel="0" collapsed="false">
      <c r="A4426" s="0" t="n">
        <v>15</v>
      </c>
      <c r="B4426" s="0" t="n">
        <v>5</v>
      </c>
      <c r="C4426" s="0" t="n">
        <v>1</v>
      </c>
      <c r="D4426" s="0" t="n">
        <f aca="false">-1+A4426*0.125</f>
        <v>0.875</v>
      </c>
      <c r="E4426" s="0" t="n">
        <f aca="false">-1+B4426*0.125</f>
        <v>-0.375</v>
      </c>
      <c r="F4426" s="0" t="n">
        <f aca="false">-1+C4426*0.125</f>
        <v>-0.875</v>
      </c>
      <c r="G4426" s="0" t="n">
        <f aca="false">1</f>
        <v>1</v>
      </c>
      <c r="H4426" s="0" t="n">
        <f aca="false">D4426</f>
        <v>0.875</v>
      </c>
      <c r="I4426" s="0" t="n">
        <f aca="false">E4426</f>
        <v>-0.375</v>
      </c>
      <c r="J4426" s="0" t="n">
        <f aca="false">F4426</f>
        <v>-0.875</v>
      </c>
      <c r="K4426" s="0" t="n">
        <f aca="false">D4426*E4426</f>
        <v>-0.328125</v>
      </c>
      <c r="L4426" s="0" t="n">
        <f aca="false">D4426*F4426</f>
        <v>-0.765625</v>
      </c>
      <c r="M4426" s="0" t="n">
        <f aca="false">E4426*F4426</f>
        <v>0.328125</v>
      </c>
      <c r="N4426" s="0" t="n">
        <f aca="false">D4426*D4426</f>
        <v>0.765625</v>
      </c>
      <c r="O4426" s="0" t="n">
        <f aca="false">E4426*E4426</f>
        <v>0.140625</v>
      </c>
      <c r="P4426" s="0" t="n">
        <f aca="false">F4426*F4426</f>
        <v>0.765625</v>
      </c>
      <c r="Q4426" s="0" t="n">
        <f aca="false">SUMPRODUCT(G4426:P4426,_XtX!$B$71:$K$71)</f>
        <v>45.467109375</v>
      </c>
      <c r="R4426" s="0" t="n">
        <f aca="false">SUMPRODUCT(MMULT(G4426:P4426,_XtX!$B$58:$K$67),G4426:P4426)</f>
        <v>0.448480224609375</v>
      </c>
      <c r="S4426" s="0" t="n">
        <f aca="false">04_回帰ANOVA!$K$19*04_回帰ANOVA!$K$14*SQRT(1+R4426)</f>
        <v>1.11898153812985</v>
      </c>
      <c r="T4426" s="0" t="n">
        <f aca="false">Q4426-S4426</f>
        <v>44.3481278368702</v>
      </c>
      <c r="U4426" s="0" t="n">
        <f aca="false">Q4426+S4426</f>
        <v>46.5860909131299</v>
      </c>
      <c r="V4426" s="54" t="b">
        <f aca="false">AND(D4426&gt;=01_因子設定!$L$5-0.000000001,D4426&lt;=01_因子設定!$M$5+0.000000001,E4426&gt;=01_因子設定!$L$6-0.000000001,E4426&lt;=01_因子設定!$M$6+0.000000001,F4426&gt;=01_因子設定!$L$7-0.000000001,F4426&lt;=01_因子設定!$M$7+0.000000001,IF(01_因子設定!$B$20="Box-Behnken",D4426^2+E4426^2+F4426^2&lt;=2+0.000000001,TRUE()))</f>
        <v>1</v>
      </c>
      <c r="W4426" s="55" t="n">
        <f aca="false">IF(V4426,IF(01_因子設定!$B$13="最大化",T4426-01_因子設定!$B$14,IF(01_因子設定!$B$13="最小化",01_因子設定!$B$15-U4426,MIN(T4426-01_因子設定!$B$14,01_因子設定!$B$15-U4426))),-1E+030)</f>
        <v>-4.15187216312984</v>
      </c>
      <c r="X4426" s="55" t="n">
        <f aca="false">IF(V4426,IF(01_因子設定!$B$13="最大化",Q4426,IF(01_因子設定!$B$13="最小化",-Q4426,-ABS(Q4426-01_因子設定!$B$16))),-1E+030)</f>
        <v>45.467109375</v>
      </c>
      <c r="Y4426" s="55" t="n">
        <f aca="false">W4426+ROW()*0.000000001</f>
        <v>-4.15186773712984</v>
      </c>
      <c r="Z4426" s="55" t="n">
        <f aca="false">X4426+ROW()*0.000000001</f>
        <v>45.467113801</v>
      </c>
    </row>
    <row r="4427" customFormat="false" ht="15" hidden="false" customHeight="false" outlineLevel="0" collapsed="false">
      <c r="A4427" s="0" t="n">
        <v>15</v>
      </c>
      <c r="B4427" s="0" t="n">
        <v>5</v>
      </c>
      <c r="C4427" s="0" t="n">
        <v>2</v>
      </c>
      <c r="D4427" s="0" t="n">
        <f aca="false">-1+A4427*0.125</f>
        <v>0.875</v>
      </c>
      <c r="E4427" s="0" t="n">
        <f aca="false">-1+B4427*0.125</f>
        <v>-0.375</v>
      </c>
      <c r="F4427" s="0" t="n">
        <f aca="false">-1+C4427*0.125</f>
        <v>-0.75</v>
      </c>
      <c r="G4427" s="0" t="n">
        <f aca="false">1</f>
        <v>1</v>
      </c>
      <c r="H4427" s="0" t="n">
        <f aca="false">D4427</f>
        <v>0.875</v>
      </c>
      <c r="I4427" s="0" t="n">
        <f aca="false">E4427</f>
        <v>-0.375</v>
      </c>
      <c r="J4427" s="0" t="n">
        <f aca="false">F4427</f>
        <v>-0.75</v>
      </c>
      <c r="K4427" s="0" t="n">
        <f aca="false">D4427*E4427</f>
        <v>-0.328125</v>
      </c>
      <c r="L4427" s="0" t="n">
        <f aca="false">D4427*F4427</f>
        <v>-0.65625</v>
      </c>
      <c r="M4427" s="0" t="n">
        <f aca="false">E4427*F4427</f>
        <v>0.28125</v>
      </c>
      <c r="N4427" s="0" t="n">
        <f aca="false">D4427*D4427</f>
        <v>0.765625</v>
      </c>
      <c r="O4427" s="0" t="n">
        <f aca="false">E4427*E4427</f>
        <v>0.140625</v>
      </c>
      <c r="P4427" s="0" t="n">
        <f aca="false">F4427*F4427</f>
        <v>0.5625</v>
      </c>
      <c r="Q4427" s="0" t="n">
        <f aca="false">SUMPRODUCT(G4427:P4427,_XtX!$B$71:$K$71)</f>
        <v>45.8412428977273</v>
      </c>
      <c r="R4427" s="0" t="n">
        <f aca="false">SUMPRODUCT(MMULT(G4427:P4427,_XtX!$B$58:$K$67),G4427:P4427)</f>
        <v>0.375727428089489</v>
      </c>
      <c r="S4427" s="0" t="n">
        <f aca="false">04_回帰ANOVA!$K$19*04_回帰ANOVA!$K$14*SQRT(1+R4427)</f>
        <v>1.09051798904087</v>
      </c>
      <c r="T4427" s="0" t="n">
        <f aca="false">Q4427-S4427</f>
        <v>44.7507249086864</v>
      </c>
      <c r="U4427" s="0" t="n">
        <f aca="false">Q4427+S4427</f>
        <v>46.9317608867682</v>
      </c>
      <c r="V4427" s="54" t="b">
        <f aca="false">AND(D4427&gt;=01_因子設定!$L$5-0.000000001,D4427&lt;=01_因子設定!$M$5+0.000000001,E4427&gt;=01_因子設定!$L$6-0.000000001,E4427&lt;=01_因子設定!$M$6+0.000000001,F4427&gt;=01_因子設定!$L$7-0.000000001,F4427&lt;=01_因子設定!$M$7+0.000000001,IF(01_因子設定!$B$20="Box-Behnken",D4427^2+E4427^2+F4427^2&lt;=2+0.000000001,TRUE()))</f>
        <v>1</v>
      </c>
      <c r="W4427" s="55" t="n">
        <f aca="false">IF(V4427,IF(01_因子設定!$B$13="最大化",T4427-01_因子設定!$B$14,IF(01_因子設定!$B$13="最小化",01_因子設定!$B$15-U4427,MIN(T4427-01_因子設定!$B$14,01_因子設定!$B$15-U4427))),-1E+030)</f>
        <v>-3.7492750913136</v>
      </c>
      <c r="X4427" s="55" t="n">
        <f aca="false">IF(V4427,IF(01_因子設定!$B$13="最大化",Q4427,IF(01_因子設定!$B$13="最小化",-Q4427,-ABS(Q4427-01_因子設定!$B$16))),-1E+030)</f>
        <v>45.8412428977273</v>
      </c>
      <c r="Y4427" s="55" t="n">
        <f aca="false">W4427+ROW()*0.000000001</f>
        <v>-3.7492706643136</v>
      </c>
      <c r="Z4427" s="55" t="n">
        <f aca="false">X4427+ROW()*0.000000001</f>
        <v>45.8412473247273</v>
      </c>
    </row>
    <row r="4428" customFormat="false" ht="15" hidden="false" customHeight="false" outlineLevel="0" collapsed="false">
      <c r="A4428" s="0" t="n">
        <v>15</v>
      </c>
      <c r="B4428" s="0" t="n">
        <v>5</v>
      </c>
      <c r="C4428" s="0" t="n">
        <v>3</v>
      </c>
      <c r="D4428" s="0" t="n">
        <f aca="false">-1+A4428*0.125</f>
        <v>0.875</v>
      </c>
      <c r="E4428" s="0" t="n">
        <f aca="false">-1+B4428*0.125</f>
        <v>-0.375</v>
      </c>
      <c r="F4428" s="0" t="n">
        <f aca="false">-1+C4428*0.125</f>
        <v>-0.625</v>
      </c>
      <c r="G4428" s="0" t="n">
        <f aca="false">1</f>
        <v>1</v>
      </c>
      <c r="H4428" s="0" t="n">
        <f aca="false">D4428</f>
        <v>0.875</v>
      </c>
      <c r="I4428" s="0" t="n">
        <f aca="false">E4428</f>
        <v>-0.375</v>
      </c>
      <c r="J4428" s="0" t="n">
        <f aca="false">F4428</f>
        <v>-0.625</v>
      </c>
      <c r="K4428" s="0" t="n">
        <f aca="false">D4428*E4428</f>
        <v>-0.328125</v>
      </c>
      <c r="L4428" s="0" t="n">
        <f aca="false">D4428*F4428</f>
        <v>-0.546875</v>
      </c>
      <c r="M4428" s="0" t="n">
        <f aca="false">E4428*F4428</f>
        <v>0.234375</v>
      </c>
      <c r="N4428" s="0" t="n">
        <f aca="false">D4428*D4428</f>
        <v>0.765625</v>
      </c>
      <c r="O4428" s="0" t="n">
        <f aca="false">E4428*E4428</f>
        <v>0.140625</v>
      </c>
      <c r="P4428" s="0" t="n">
        <f aca="false">F4428*F4428</f>
        <v>0.390625</v>
      </c>
      <c r="Q4428" s="0" t="n">
        <f aca="false">SUMPRODUCT(G4428:P4428,_XtX!$B$71:$K$71)</f>
        <v>46.1785866477273</v>
      </c>
      <c r="R4428" s="0" t="n">
        <f aca="false">SUMPRODUCT(MMULT(G4428:P4428,_XtX!$B$58:$K$67),G4428:P4428)</f>
        <v>0.337604869495739</v>
      </c>
      <c r="S4428" s="0" t="n">
        <f aca="false">04_回帰ANOVA!$K$19*04_回帰ANOVA!$K$14*SQRT(1+R4428)</f>
        <v>1.07530225516193</v>
      </c>
      <c r="T4428" s="0" t="n">
        <f aca="false">Q4428-S4428</f>
        <v>45.1032843925653</v>
      </c>
      <c r="U4428" s="0" t="n">
        <f aca="false">Q4428+S4428</f>
        <v>47.2538889028892</v>
      </c>
      <c r="V4428" s="54" t="b">
        <f aca="false">AND(D4428&gt;=01_因子設定!$L$5-0.000000001,D4428&lt;=01_因子設定!$M$5+0.000000001,E4428&gt;=01_因子設定!$L$6-0.000000001,E4428&lt;=01_因子設定!$M$6+0.000000001,F4428&gt;=01_因子設定!$L$7-0.000000001,F4428&lt;=01_因子設定!$M$7+0.000000001,IF(01_因子設定!$B$20="Box-Behnken",D4428^2+E4428^2+F4428^2&lt;=2+0.000000001,TRUE()))</f>
        <v>1</v>
      </c>
      <c r="W4428" s="55" t="n">
        <f aca="false">IF(V4428,IF(01_因子設定!$B$13="最大化",T4428-01_因子設定!$B$14,IF(01_因子設定!$B$13="最小化",01_因子設定!$B$15-U4428,MIN(T4428-01_因子設定!$B$14,01_因子設定!$B$15-U4428))),-1E+030)</f>
        <v>-3.39671560743466</v>
      </c>
      <c r="X4428" s="55" t="n">
        <f aca="false">IF(V4428,IF(01_因子設定!$B$13="最大化",Q4428,IF(01_因子設定!$B$13="最小化",-Q4428,-ABS(Q4428-01_因子設定!$B$16))),-1E+030)</f>
        <v>46.1785866477273</v>
      </c>
      <c r="Y4428" s="55" t="n">
        <f aca="false">W4428+ROW()*0.000000001</f>
        <v>-3.39671117943466</v>
      </c>
      <c r="Z4428" s="55" t="n">
        <f aca="false">X4428+ROW()*0.000000001</f>
        <v>46.1785910757273</v>
      </c>
    </row>
    <row r="4429" customFormat="false" ht="15" hidden="false" customHeight="false" outlineLevel="0" collapsed="false">
      <c r="A4429" s="0" t="n">
        <v>15</v>
      </c>
      <c r="B4429" s="0" t="n">
        <v>5</v>
      </c>
      <c r="C4429" s="0" t="n">
        <v>4</v>
      </c>
      <c r="D4429" s="0" t="n">
        <f aca="false">-1+A4429*0.125</f>
        <v>0.875</v>
      </c>
      <c r="E4429" s="0" t="n">
        <f aca="false">-1+B4429*0.125</f>
        <v>-0.375</v>
      </c>
      <c r="F4429" s="0" t="n">
        <f aca="false">-1+C4429*0.125</f>
        <v>-0.5</v>
      </c>
      <c r="G4429" s="0" t="n">
        <f aca="false">1</f>
        <v>1</v>
      </c>
      <c r="H4429" s="0" t="n">
        <f aca="false">D4429</f>
        <v>0.875</v>
      </c>
      <c r="I4429" s="0" t="n">
        <f aca="false">E4429</f>
        <v>-0.375</v>
      </c>
      <c r="J4429" s="0" t="n">
        <f aca="false">F4429</f>
        <v>-0.5</v>
      </c>
      <c r="K4429" s="0" t="n">
        <f aca="false">D4429*E4429</f>
        <v>-0.328125</v>
      </c>
      <c r="L4429" s="0" t="n">
        <f aca="false">D4429*F4429</f>
        <v>-0.4375</v>
      </c>
      <c r="M4429" s="0" t="n">
        <f aca="false">E4429*F4429</f>
        <v>0.1875</v>
      </c>
      <c r="N4429" s="0" t="n">
        <f aca="false">D4429*D4429</f>
        <v>0.765625</v>
      </c>
      <c r="O4429" s="0" t="n">
        <f aca="false">E4429*E4429</f>
        <v>0.140625</v>
      </c>
      <c r="P4429" s="0" t="n">
        <f aca="false">F4429*F4429</f>
        <v>0.25</v>
      </c>
      <c r="Q4429" s="0" t="n">
        <f aca="false">SUMPRODUCT(G4429:P4429,_XtX!$B$71:$K$71)</f>
        <v>46.479140625</v>
      </c>
      <c r="R4429" s="0" t="n">
        <f aca="false">SUMPRODUCT(MMULT(G4429:P4429,_XtX!$B$58:$K$67),G4429:P4429)</f>
        <v>0.322393798828125</v>
      </c>
      <c r="S4429" s="0" t="n">
        <f aca="false">04_回帰ANOVA!$K$19*04_回帰ANOVA!$K$14*SQRT(1+R4429)</f>
        <v>1.06917067390712</v>
      </c>
      <c r="T4429" s="0" t="n">
        <f aca="false">Q4429-S4429</f>
        <v>45.4099699510929</v>
      </c>
      <c r="U4429" s="0" t="n">
        <f aca="false">Q4429+S4429</f>
        <v>47.5483112989071</v>
      </c>
      <c r="V4429" s="54" t="b">
        <f aca="false">AND(D4429&gt;=01_因子設定!$L$5-0.000000001,D4429&lt;=01_因子設定!$M$5+0.000000001,E4429&gt;=01_因子設定!$L$6-0.000000001,E4429&lt;=01_因子設定!$M$6+0.000000001,F4429&gt;=01_因子設定!$L$7-0.000000001,F4429&lt;=01_因子設定!$M$7+0.000000001,IF(01_因子設定!$B$20="Box-Behnken",D4429^2+E4429^2+F4429^2&lt;=2+0.000000001,TRUE()))</f>
        <v>1</v>
      </c>
      <c r="W4429" s="55" t="n">
        <f aca="false">IF(V4429,IF(01_因子設定!$B$13="最大化",T4429-01_因子設定!$B$14,IF(01_因子設定!$B$13="最小化",01_因子設定!$B$15-U4429,MIN(T4429-01_因子設定!$B$14,01_因子設定!$B$15-U4429))),-1E+030)</f>
        <v>-3.09003004890712</v>
      </c>
      <c r="X4429" s="55" t="n">
        <f aca="false">IF(V4429,IF(01_因子設定!$B$13="最大化",Q4429,IF(01_因子設定!$B$13="最小化",-Q4429,-ABS(Q4429-01_因子設定!$B$16))),-1E+030)</f>
        <v>46.479140625</v>
      </c>
      <c r="Y4429" s="55" t="n">
        <f aca="false">W4429+ROW()*0.000000001</f>
        <v>-3.09002561990712</v>
      </c>
      <c r="Z4429" s="55" t="n">
        <f aca="false">X4429+ROW()*0.000000001</f>
        <v>46.479145054</v>
      </c>
    </row>
    <row r="4430" customFormat="false" ht="15" hidden="false" customHeight="false" outlineLevel="0" collapsed="false">
      <c r="A4430" s="0" t="n">
        <v>15</v>
      </c>
      <c r="B4430" s="0" t="n">
        <v>5</v>
      </c>
      <c r="C4430" s="0" t="n">
        <v>5</v>
      </c>
      <c r="D4430" s="0" t="n">
        <f aca="false">-1+A4430*0.125</f>
        <v>0.875</v>
      </c>
      <c r="E4430" s="0" t="n">
        <f aca="false">-1+B4430*0.125</f>
        <v>-0.375</v>
      </c>
      <c r="F4430" s="0" t="n">
        <f aca="false">-1+C4430*0.125</f>
        <v>-0.375</v>
      </c>
      <c r="G4430" s="0" t="n">
        <f aca="false">1</f>
        <v>1</v>
      </c>
      <c r="H4430" s="0" t="n">
        <f aca="false">D4430</f>
        <v>0.875</v>
      </c>
      <c r="I4430" s="0" t="n">
        <f aca="false">E4430</f>
        <v>-0.375</v>
      </c>
      <c r="J4430" s="0" t="n">
        <f aca="false">F4430</f>
        <v>-0.375</v>
      </c>
      <c r="K4430" s="0" t="n">
        <f aca="false">D4430*E4430</f>
        <v>-0.328125</v>
      </c>
      <c r="L4430" s="0" t="n">
        <f aca="false">D4430*F4430</f>
        <v>-0.328125</v>
      </c>
      <c r="M4430" s="0" t="n">
        <f aca="false">E4430*F4430</f>
        <v>0.140625</v>
      </c>
      <c r="N4430" s="0" t="n">
        <f aca="false">D4430*D4430</f>
        <v>0.765625</v>
      </c>
      <c r="O4430" s="0" t="n">
        <f aca="false">E4430*E4430</f>
        <v>0.140625</v>
      </c>
      <c r="P4430" s="0" t="n">
        <f aca="false">F4430*F4430</f>
        <v>0.140625</v>
      </c>
      <c r="Q4430" s="0" t="n">
        <f aca="false">SUMPRODUCT(G4430:P4430,_XtX!$B$71:$K$71)</f>
        <v>46.7429048295455</v>
      </c>
      <c r="R4430" s="0" t="n">
        <f aca="false">SUMPRODUCT(MMULT(G4430:P4430,_XtX!$B$58:$K$67),G4430:P4430)</f>
        <v>0.32050614790483</v>
      </c>
      <c r="S4430" s="0" t="n">
        <f aca="false">04_回帰ANOVA!$K$19*04_回帰ANOVA!$K$14*SQRT(1+R4430)</f>
        <v>1.06840730759619</v>
      </c>
      <c r="T4430" s="0" t="n">
        <f aca="false">Q4430-S4430</f>
        <v>45.6744975219493</v>
      </c>
      <c r="U4430" s="0" t="n">
        <f aca="false">Q4430+S4430</f>
        <v>47.8113121371416</v>
      </c>
      <c r="V4430" s="54" t="b">
        <f aca="false">AND(D4430&gt;=01_因子設定!$L$5-0.000000001,D4430&lt;=01_因子設定!$M$5+0.000000001,E4430&gt;=01_因子設定!$L$6-0.000000001,E4430&lt;=01_因子設定!$M$6+0.000000001,F4430&gt;=01_因子設定!$L$7-0.000000001,F4430&lt;=01_因子設定!$M$7+0.000000001,IF(01_因子設定!$B$20="Box-Behnken",D4430^2+E4430^2+F4430^2&lt;=2+0.000000001,TRUE()))</f>
        <v>1</v>
      </c>
      <c r="W4430" s="55" t="n">
        <f aca="false">IF(V4430,IF(01_因子設定!$B$13="最大化",T4430-01_因子設定!$B$14,IF(01_因子設定!$B$13="最小化",01_因子設定!$B$15-U4430,MIN(T4430-01_因子設定!$B$14,01_因子設定!$B$15-U4430))),-1E+030)</f>
        <v>-2.82550247805074</v>
      </c>
      <c r="X4430" s="55" t="n">
        <f aca="false">IF(V4430,IF(01_因子設定!$B$13="最大化",Q4430,IF(01_因子設定!$B$13="最小化",-Q4430,-ABS(Q4430-01_因子設定!$B$16))),-1E+030)</f>
        <v>46.7429048295455</v>
      </c>
      <c r="Y4430" s="55" t="n">
        <f aca="false">W4430+ROW()*0.000000001</f>
        <v>-2.82549804805074</v>
      </c>
      <c r="Z4430" s="55" t="n">
        <f aca="false">X4430+ROW()*0.000000001</f>
        <v>46.7429092595455</v>
      </c>
    </row>
    <row r="4431" customFormat="false" ht="15" hidden="false" customHeight="false" outlineLevel="0" collapsed="false">
      <c r="A4431" s="0" t="n">
        <v>15</v>
      </c>
      <c r="B4431" s="0" t="n">
        <v>5</v>
      </c>
      <c r="C4431" s="0" t="n">
        <v>6</v>
      </c>
      <c r="D4431" s="0" t="n">
        <f aca="false">-1+A4431*0.125</f>
        <v>0.875</v>
      </c>
      <c r="E4431" s="0" t="n">
        <f aca="false">-1+B4431*0.125</f>
        <v>-0.375</v>
      </c>
      <c r="F4431" s="0" t="n">
        <f aca="false">-1+C4431*0.125</f>
        <v>-0.25</v>
      </c>
      <c r="G4431" s="0" t="n">
        <f aca="false">1</f>
        <v>1</v>
      </c>
      <c r="H4431" s="0" t="n">
        <f aca="false">D4431</f>
        <v>0.875</v>
      </c>
      <c r="I4431" s="0" t="n">
        <f aca="false">E4431</f>
        <v>-0.375</v>
      </c>
      <c r="J4431" s="0" t="n">
        <f aca="false">F4431</f>
        <v>-0.25</v>
      </c>
      <c r="K4431" s="0" t="n">
        <f aca="false">D4431*E4431</f>
        <v>-0.328125</v>
      </c>
      <c r="L4431" s="0" t="n">
        <f aca="false">D4431*F4431</f>
        <v>-0.21875</v>
      </c>
      <c r="M4431" s="0" t="n">
        <f aca="false">E4431*F4431</f>
        <v>0.09375</v>
      </c>
      <c r="N4431" s="0" t="n">
        <f aca="false">D4431*D4431</f>
        <v>0.765625</v>
      </c>
      <c r="O4431" s="0" t="n">
        <f aca="false">E4431*E4431</f>
        <v>0.140625</v>
      </c>
      <c r="P4431" s="0" t="n">
        <f aca="false">F4431*F4431</f>
        <v>0.0625</v>
      </c>
      <c r="Q4431" s="0" t="n">
        <f aca="false">SUMPRODUCT(G4431:P4431,_XtX!$B$71:$K$71)</f>
        <v>46.9698792613636</v>
      </c>
      <c r="R4431" s="0" t="n">
        <f aca="false">SUMPRODUCT(MMULT(G4431:P4431,_XtX!$B$58:$K$67),G4431:P4431)</f>
        <v>0.324484530362216</v>
      </c>
      <c r="S4431" s="0" t="n">
        <f aca="false">04_回帰ANOVA!$K$19*04_回帰ANOVA!$K$14*SQRT(1+R4431)</f>
        <v>1.07001553041279</v>
      </c>
      <c r="T4431" s="0" t="n">
        <f aca="false">Q4431-S4431</f>
        <v>45.8998637309508</v>
      </c>
      <c r="U4431" s="0" t="n">
        <f aca="false">Q4431+S4431</f>
        <v>48.0398947917764</v>
      </c>
      <c r="V4431" s="54" t="b">
        <f aca="false">AND(D4431&gt;=01_因子設定!$L$5-0.000000001,D4431&lt;=01_因子設定!$M$5+0.000000001,E4431&gt;=01_因子設定!$L$6-0.000000001,E4431&lt;=01_因子設定!$M$6+0.000000001,F4431&gt;=01_因子設定!$L$7-0.000000001,F4431&lt;=01_因子設定!$M$7+0.000000001,IF(01_因子設定!$B$20="Box-Behnken",D4431^2+E4431^2+F4431^2&lt;=2+0.000000001,TRUE()))</f>
        <v>1</v>
      </c>
      <c r="W4431" s="55" t="n">
        <f aca="false">IF(V4431,IF(01_因子設定!$B$13="最大化",T4431-01_因子設定!$B$14,IF(01_因子設定!$B$13="最小化",01_因子設定!$B$15-U4431,MIN(T4431-01_因子設定!$B$14,01_因子設定!$B$15-U4431))),-1E+030)</f>
        <v>-2.60013626904916</v>
      </c>
      <c r="X4431" s="55" t="n">
        <f aca="false">IF(V4431,IF(01_因子設定!$B$13="最大化",Q4431,IF(01_因子設定!$B$13="最小化",-Q4431,-ABS(Q4431-01_因子設定!$B$16))),-1E+030)</f>
        <v>46.9698792613636</v>
      </c>
      <c r="Y4431" s="55" t="n">
        <f aca="false">W4431+ROW()*0.000000001</f>
        <v>-2.60013183804916</v>
      </c>
      <c r="Z4431" s="55" t="n">
        <f aca="false">X4431+ROW()*0.000000001</f>
        <v>46.9698836923636</v>
      </c>
    </row>
    <row r="4432" customFormat="false" ht="15" hidden="false" customHeight="false" outlineLevel="0" collapsed="false">
      <c r="A4432" s="0" t="n">
        <v>15</v>
      </c>
      <c r="B4432" s="0" t="n">
        <v>5</v>
      </c>
      <c r="C4432" s="0" t="n">
        <v>7</v>
      </c>
      <c r="D4432" s="0" t="n">
        <f aca="false">-1+A4432*0.125</f>
        <v>0.875</v>
      </c>
      <c r="E4432" s="0" t="n">
        <f aca="false">-1+B4432*0.125</f>
        <v>-0.375</v>
      </c>
      <c r="F4432" s="0" t="n">
        <f aca="false">-1+C4432*0.125</f>
        <v>-0.125</v>
      </c>
      <c r="G4432" s="0" t="n">
        <f aca="false">1</f>
        <v>1</v>
      </c>
      <c r="H4432" s="0" t="n">
        <f aca="false">D4432</f>
        <v>0.875</v>
      </c>
      <c r="I4432" s="0" t="n">
        <f aca="false">E4432</f>
        <v>-0.375</v>
      </c>
      <c r="J4432" s="0" t="n">
        <f aca="false">F4432</f>
        <v>-0.125</v>
      </c>
      <c r="K4432" s="0" t="n">
        <f aca="false">D4432*E4432</f>
        <v>-0.328125</v>
      </c>
      <c r="L4432" s="0" t="n">
        <f aca="false">D4432*F4432</f>
        <v>-0.109375</v>
      </c>
      <c r="M4432" s="0" t="n">
        <f aca="false">E4432*F4432</f>
        <v>0.046875</v>
      </c>
      <c r="N4432" s="0" t="n">
        <f aca="false">D4432*D4432</f>
        <v>0.765625</v>
      </c>
      <c r="O4432" s="0" t="n">
        <f aca="false">E4432*E4432</f>
        <v>0.140625</v>
      </c>
      <c r="P4432" s="0" t="n">
        <f aca="false">F4432*F4432</f>
        <v>0.015625</v>
      </c>
      <c r="Q4432" s="0" t="n">
        <f aca="false">SUMPRODUCT(G4432:P4432,_XtX!$B$71:$K$71)</f>
        <v>47.1600639204545</v>
      </c>
      <c r="R4432" s="0" t="n">
        <f aca="false">SUMPRODUCT(MMULT(G4432:P4432,_XtX!$B$58:$K$67),G4432:P4432)</f>
        <v>0.32900224165483</v>
      </c>
      <c r="S4432" s="0" t="n">
        <f aca="false">04_回帰ANOVA!$K$19*04_回帰ANOVA!$K$14*SQRT(1+R4432)</f>
        <v>1.07183884583628</v>
      </c>
      <c r="T4432" s="0" t="n">
        <f aca="false">Q4432-S4432</f>
        <v>46.0882250746183</v>
      </c>
      <c r="U4432" s="0" t="n">
        <f aca="false">Q4432+S4432</f>
        <v>48.2319027662908</v>
      </c>
      <c r="V4432" s="54" t="b">
        <f aca="false">AND(D4432&gt;=01_因子設定!$L$5-0.000000001,D4432&lt;=01_因子設定!$M$5+0.000000001,E4432&gt;=01_因子設定!$L$6-0.000000001,E4432&lt;=01_因子設定!$M$6+0.000000001,F4432&gt;=01_因子設定!$L$7-0.000000001,F4432&lt;=01_因子設定!$M$7+0.000000001,IF(01_因子設定!$B$20="Box-Behnken",D4432^2+E4432^2+F4432^2&lt;=2+0.000000001,TRUE()))</f>
        <v>1</v>
      </c>
      <c r="W4432" s="55" t="n">
        <f aca="false">IF(V4432,IF(01_因子設定!$B$13="最大化",T4432-01_因子設定!$B$14,IF(01_因子設定!$B$13="最小化",01_因子設定!$B$15-U4432,MIN(T4432-01_因子設定!$B$14,01_因子設定!$B$15-U4432))),-1E+030)</f>
        <v>-2.41177492538174</v>
      </c>
      <c r="X4432" s="55" t="n">
        <f aca="false">IF(V4432,IF(01_因子設定!$B$13="最大化",Q4432,IF(01_因子設定!$B$13="最小化",-Q4432,-ABS(Q4432-01_因子設定!$B$16))),-1E+030)</f>
        <v>47.1600639204545</v>
      </c>
      <c r="Y4432" s="55" t="n">
        <f aca="false">W4432+ROW()*0.000000001</f>
        <v>-2.41177049338174</v>
      </c>
      <c r="Z4432" s="55" t="n">
        <f aca="false">X4432+ROW()*0.000000001</f>
        <v>47.1600683524545</v>
      </c>
    </row>
    <row r="4433" customFormat="false" ht="15" hidden="false" customHeight="false" outlineLevel="0" collapsed="false">
      <c r="A4433" s="0" t="n">
        <v>15</v>
      </c>
      <c r="B4433" s="0" t="n">
        <v>5</v>
      </c>
      <c r="C4433" s="0" t="n">
        <v>8</v>
      </c>
      <c r="D4433" s="0" t="n">
        <f aca="false">-1+A4433*0.125</f>
        <v>0.875</v>
      </c>
      <c r="E4433" s="0" t="n">
        <f aca="false">-1+B4433*0.125</f>
        <v>-0.375</v>
      </c>
      <c r="F4433" s="0" t="n">
        <f aca="false">-1+C4433*0.125</f>
        <v>0</v>
      </c>
      <c r="G4433" s="0" t="n">
        <f aca="false">1</f>
        <v>1</v>
      </c>
      <c r="H4433" s="0" t="n">
        <f aca="false">D4433</f>
        <v>0.875</v>
      </c>
      <c r="I4433" s="0" t="n">
        <f aca="false">E4433</f>
        <v>-0.375</v>
      </c>
      <c r="J4433" s="0" t="n">
        <f aca="false">F4433</f>
        <v>0</v>
      </c>
      <c r="K4433" s="0" t="n">
        <f aca="false">D4433*E4433</f>
        <v>-0.328125</v>
      </c>
      <c r="L4433" s="0" t="n">
        <f aca="false">D4433*F4433</f>
        <v>0</v>
      </c>
      <c r="M4433" s="0" t="n">
        <f aca="false">E4433*F4433</f>
        <v>-0</v>
      </c>
      <c r="N4433" s="0" t="n">
        <f aca="false">D4433*D4433</f>
        <v>0.765625</v>
      </c>
      <c r="O4433" s="0" t="n">
        <f aca="false">E4433*E4433</f>
        <v>0.140625</v>
      </c>
      <c r="P4433" s="0" t="n">
        <f aca="false">F4433*F4433</f>
        <v>0</v>
      </c>
      <c r="Q4433" s="0" t="n">
        <f aca="false">SUMPRODUCT(G4433:P4433,_XtX!$B$71:$K$71)</f>
        <v>47.3134588068182</v>
      </c>
      <c r="R4433" s="0" t="n">
        <f aca="false">SUMPRODUCT(MMULT(G4433:P4433,_XtX!$B$58:$K$67),G4433:P4433)</f>
        <v>0.330863259055398</v>
      </c>
      <c r="S4433" s="0" t="n">
        <f aca="false">04_回帰ANOVA!$K$19*04_回帰ANOVA!$K$14*SQRT(1+R4433)</f>
        <v>1.07258903754571</v>
      </c>
      <c r="T4433" s="0" t="n">
        <f aca="false">Q4433-S4433</f>
        <v>46.2408697692725</v>
      </c>
      <c r="U4433" s="0" t="n">
        <f aca="false">Q4433+S4433</f>
        <v>48.3860478443639</v>
      </c>
      <c r="V4433" s="54" t="b">
        <f aca="false">AND(D4433&gt;=01_因子設定!$L$5-0.000000001,D4433&lt;=01_因子設定!$M$5+0.000000001,E4433&gt;=01_因子設定!$L$6-0.000000001,E4433&lt;=01_因子設定!$M$6+0.000000001,F4433&gt;=01_因子設定!$L$7-0.000000001,F4433&lt;=01_因子設定!$M$7+0.000000001,IF(01_因子設定!$B$20="Box-Behnken",D4433^2+E4433^2+F4433^2&lt;=2+0.000000001,TRUE()))</f>
        <v>1</v>
      </c>
      <c r="W4433" s="55" t="n">
        <f aca="false">IF(V4433,IF(01_因子設定!$B$13="最大化",T4433-01_因子設定!$B$14,IF(01_因子設定!$B$13="最小化",01_因子設定!$B$15-U4433,MIN(T4433-01_因子設定!$B$14,01_因子設定!$B$15-U4433))),-1E+030)</f>
        <v>-2.25913023072753</v>
      </c>
      <c r="X4433" s="55" t="n">
        <f aca="false">IF(V4433,IF(01_因子設定!$B$13="最大化",Q4433,IF(01_因子設定!$B$13="最小化",-Q4433,-ABS(Q4433-01_因子設定!$B$16))),-1E+030)</f>
        <v>47.3134588068182</v>
      </c>
      <c r="Y4433" s="55" t="n">
        <f aca="false">W4433+ROW()*0.000000001</f>
        <v>-2.25912579772753</v>
      </c>
      <c r="Z4433" s="55" t="n">
        <f aca="false">X4433+ROW()*0.000000001</f>
        <v>47.3134632398182</v>
      </c>
    </row>
    <row r="4434" customFormat="false" ht="15" hidden="false" customHeight="false" outlineLevel="0" collapsed="false">
      <c r="A4434" s="0" t="n">
        <v>15</v>
      </c>
      <c r="B4434" s="0" t="n">
        <v>5</v>
      </c>
      <c r="C4434" s="0" t="n">
        <v>9</v>
      </c>
      <c r="D4434" s="0" t="n">
        <f aca="false">-1+A4434*0.125</f>
        <v>0.875</v>
      </c>
      <c r="E4434" s="0" t="n">
        <f aca="false">-1+B4434*0.125</f>
        <v>-0.375</v>
      </c>
      <c r="F4434" s="0" t="n">
        <f aca="false">-1+C4434*0.125</f>
        <v>0.125</v>
      </c>
      <c r="G4434" s="0" t="n">
        <f aca="false">1</f>
        <v>1</v>
      </c>
      <c r="H4434" s="0" t="n">
        <f aca="false">D4434</f>
        <v>0.875</v>
      </c>
      <c r="I4434" s="0" t="n">
        <f aca="false">E4434</f>
        <v>-0.375</v>
      </c>
      <c r="J4434" s="0" t="n">
        <f aca="false">F4434</f>
        <v>0.125</v>
      </c>
      <c r="K4434" s="0" t="n">
        <f aca="false">D4434*E4434</f>
        <v>-0.328125</v>
      </c>
      <c r="L4434" s="0" t="n">
        <f aca="false">D4434*F4434</f>
        <v>0.109375</v>
      </c>
      <c r="M4434" s="0" t="n">
        <f aca="false">E4434*F4434</f>
        <v>-0.046875</v>
      </c>
      <c r="N4434" s="0" t="n">
        <f aca="false">D4434*D4434</f>
        <v>0.765625</v>
      </c>
      <c r="O4434" s="0" t="n">
        <f aca="false">E4434*E4434</f>
        <v>0.140625</v>
      </c>
      <c r="P4434" s="0" t="n">
        <f aca="false">F4434*F4434</f>
        <v>0.015625</v>
      </c>
      <c r="Q4434" s="0" t="n">
        <f aca="false">SUMPRODUCT(G4434:P4434,_XtX!$B$71:$K$71)</f>
        <v>47.4300639204545</v>
      </c>
      <c r="R4434" s="0" t="n">
        <f aca="false">SUMPRODUCT(MMULT(G4434:P4434,_XtX!$B$58:$K$67),G4434:P4434)</f>
        <v>0.32900224165483</v>
      </c>
      <c r="S4434" s="0" t="n">
        <f aca="false">04_回帰ANOVA!$K$19*04_回帰ANOVA!$K$14*SQRT(1+R4434)</f>
        <v>1.07183884583628</v>
      </c>
      <c r="T4434" s="0" t="n">
        <f aca="false">Q4434-S4434</f>
        <v>46.3582250746183</v>
      </c>
      <c r="U4434" s="0" t="n">
        <f aca="false">Q4434+S4434</f>
        <v>48.5019027662908</v>
      </c>
      <c r="V4434" s="54" t="b">
        <f aca="false">AND(D4434&gt;=01_因子設定!$L$5-0.000000001,D4434&lt;=01_因子設定!$M$5+0.000000001,E4434&gt;=01_因子設定!$L$6-0.000000001,E4434&lt;=01_因子設定!$M$6+0.000000001,F4434&gt;=01_因子設定!$L$7-0.000000001,F4434&lt;=01_因子設定!$M$7+0.000000001,IF(01_因子設定!$B$20="Box-Behnken",D4434^2+E4434^2+F4434^2&lt;=2+0.000000001,TRUE()))</f>
        <v>1</v>
      </c>
      <c r="W4434" s="55" t="n">
        <f aca="false">IF(V4434,IF(01_因子設定!$B$13="最大化",T4434-01_因子設定!$B$14,IF(01_因子設定!$B$13="最小化",01_因子設定!$B$15-U4434,MIN(T4434-01_因子設定!$B$14,01_因子設定!$B$15-U4434))),-1E+030)</f>
        <v>-2.14177492538174</v>
      </c>
      <c r="X4434" s="55" t="n">
        <f aca="false">IF(V4434,IF(01_因子設定!$B$13="最大化",Q4434,IF(01_因子設定!$B$13="最小化",-Q4434,-ABS(Q4434-01_因子設定!$B$16))),-1E+030)</f>
        <v>47.4300639204545</v>
      </c>
      <c r="Y4434" s="55" t="n">
        <f aca="false">W4434+ROW()*0.000000001</f>
        <v>-2.14177049138174</v>
      </c>
      <c r="Z4434" s="55" t="n">
        <f aca="false">X4434+ROW()*0.000000001</f>
        <v>47.4300683544545</v>
      </c>
    </row>
    <row r="4435" customFormat="false" ht="15" hidden="false" customHeight="false" outlineLevel="0" collapsed="false">
      <c r="A4435" s="0" t="n">
        <v>15</v>
      </c>
      <c r="B4435" s="0" t="n">
        <v>5</v>
      </c>
      <c r="C4435" s="0" t="n">
        <v>10</v>
      </c>
      <c r="D4435" s="0" t="n">
        <f aca="false">-1+A4435*0.125</f>
        <v>0.875</v>
      </c>
      <c r="E4435" s="0" t="n">
        <f aca="false">-1+B4435*0.125</f>
        <v>-0.375</v>
      </c>
      <c r="F4435" s="0" t="n">
        <f aca="false">-1+C4435*0.125</f>
        <v>0.25</v>
      </c>
      <c r="G4435" s="0" t="n">
        <f aca="false">1</f>
        <v>1</v>
      </c>
      <c r="H4435" s="0" t="n">
        <f aca="false">D4435</f>
        <v>0.875</v>
      </c>
      <c r="I4435" s="0" t="n">
        <f aca="false">E4435</f>
        <v>-0.375</v>
      </c>
      <c r="J4435" s="0" t="n">
        <f aca="false">F4435</f>
        <v>0.25</v>
      </c>
      <c r="K4435" s="0" t="n">
        <f aca="false">D4435*E4435</f>
        <v>-0.328125</v>
      </c>
      <c r="L4435" s="0" t="n">
        <f aca="false">D4435*F4435</f>
        <v>0.21875</v>
      </c>
      <c r="M4435" s="0" t="n">
        <f aca="false">E4435*F4435</f>
        <v>-0.09375</v>
      </c>
      <c r="N4435" s="0" t="n">
        <f aca="false">D4435*D4435</f>
        <v>0.765625</v>
      </c>
      <c r="O4435" s="0" t="n">
        <f aca="false">E4435*E4435</f>
        <v>0.140625</v>
      </c>
      <c r="P4435" s="0" t="n">
        <f aca="false">F4435*F4435</f>
        <v>0.0625</v>
      </c>
      <c r="Q4435" s="0" t="n">
        <f aca="false">SUMPRODUCT(G4435:P4435,_XtX!$B$71:$K$71)</f>
        <v>47.5098792613636</v>
      </c>
      <c r="R4435" s="0" t="n">
        <f aca="false">SUMPRODUCT(MMULT(G4435:P4435,_XtX!$B$58:$K$67),G4435:P4435)</f>
        <v>0.324484530362216</v>
      </c>
      <c r="S4435" s="0" t="n">
        <f aca="false">04_回帰ANOVA!$K$19*04_回帰ANOVA!$K$14*SQRT(1+R4435)</f>
        <v>1.07001553041279</v>
      </c>
      <c r="T4435" s="0" t="n">
        <f aca="false">Q4435-S4435</f>
        <v>46.4398637309508</v>
      </c>
      <c r="U4435" s="0" t="n">
        <f aca="false">Q4435+S4435</f>
        <v>48.5798947917764</v>
      </c>
      <c r="V4435" s="54" t="b">
        <f aca="false">AND(D4435&gt;=01_因子設定!$L$5-0.000000001,D4435&lt;=01_因子設定!$M$5+0.000000001,E4435&gt;=01_因子設定!$L$6-0.000000001,E4435&lt;=01_因子設定!$M$6+0.000000001,F4435&gt;=01_因子設定!$L$7-0.000000001,F4435&lt;=01_因子設定!$M$7+0.000000001,IF(01_因子設定!$B$20="Box-Behnken",D4435^2+E4435^2+F4435^2&lt;=2+0.000000001,TRUE()))</f>
        <v>1</v>
      </c>
      <c r="W4435" s="55" t="n">
        <f aca="false">IF(V4435,IF(01_因子設定!$B$13="最大化",T4435-01_因子設定!$B$14,IF(01_因子設定!$B$13="最小化",01_因子設定!$B$15-U4435,MIN(T4435-01_因子設定!$B$14,01_因子設定!$B$15-U4435))),-1E+030)</f>
        <v>-2.06013626904916</v>
      </c>
      <c r="X4435" s="55" t="n">
        <f aca="false">IF(V4435,IF(01_因子設定!$B$13="最大化",Q4435,IF(01_因子設定!$B$13="最小化",-Q4435,-ABS(Q4435-01_因子設定!$B$16))),-1E+030)</f>
        <v>47.5098792613636</v>
      </c>
      <c r="Y4435" s="55" t="n">
        <f aca="false">W4435+ROW()*0.000000001</f>
        <v>-2.06013183404916</v>
      </c>
      <c r="Z4435" s="55" t="n">
        <f aca="false">X4435+ROW()*0.000000001</f>
        <v>47.5098836963636</v>
      </c>
    </row>
    <row r="4436" customFormat="false" ht="15" hidden="false" customHeight="false" outlineLevel="0" collapsed="false">
      <c r="A4436" s="0" t="n">
        <v>15</v>
      </c>
      <c r="B4436" s="0" t="n">
        <v>5</v>
      </c>
      <c r="C4436" s="0" t="n">
        <v>11</v>
      </c>
      <c r="D4436" s="0" t="n">
        <f aca="false">-1+A4436*0.125</f>
        <v>0.875</v>
      </c>
      <c r="E4436" s="0" t="n">
        <f aca="false">-1+B4436*0.125</f>
        <v>-0.375</v>
      </c>
      <c r="F4436" s="0" t="n">
        <f aca="false">-1+C4436*0.125</f>
        <v>0.375</v>
      </c>
      <c r="G4436" s="0" t="n">
        <f aca="false">1</f>
        <v>1</v>
      </c>
      <c r="H4436" s="0" t="n">
        <f aca="false">D4436</f>
        <v>0.875</v>
      </c>
      <c r="I4436" s="0" t="n">
        <f aca="false">E4436</f>
        <v>-0.375</v>
      </c>
      <c r="J4436" s="0" t="n">
        <f aca="false">F4436</f>
        <v>0.375</v>
      </c>
      <c r="K4436" s="0" t="n">
        <f aca="false">D4436*E4436</f>
        <v>-0.328125</v>
      </c>
      <c r="L4436" s="0" t="n">
        <f aca="false">D4436*F4436</f>
        <v>0.328125</v>
      </c>
      <c r="M4436" s="0" t="n">
        <f aca="false">E4436*F4436</f>
        <v>-0.140625</v>
      </c>
      <c r="N4436" s="0" t="n">
        <f aca="false">D4436*D4436</f>
        <v>0.765625</v>
      </c>
      <c r="O4436" s="0" t="n">
        <f aca="false">E4436*E4436</f>
        <v>0.140625</v>
      </c>
      <c r="P4436" s="0" t="n">
        <f aca="false">F4436*F4436</f>
        <v>0.140625</v>
      </c>
      <c r="Q4436" s="0" t="n">
        <f aca="false">SUMPRODUCT(G4436:P4436,_XtX!$B$71:$K$71)</f>
        <v>47.5529048295455</v>
      </c>
      <c r="R4436" s="0" t="n">
        <f aca="false">SUMPRODUCT(MMULT(G4436:P4436,_XtX!$B$58:$K$67),G4436:P4436)</f>
        <v>0.32050614790483</v>
      </c>
      <c r="S4436" s="0" t="n">
        <f aca="false">04_回帰ANOVA!$K$19*04_回帰ANOVA!$K$14*SQRT(1+R4436)</f>
        <v>1.06840730759619</v>
      </c>
      <c r="T4436" s="0" t="n">
        <f aca="false">Q4436-S4436</f>
        <v>46.4844975219493</v>
      </c>
      <c r="U4436" s="0" t="n">
        <f aca="false">Q4436+S4436</f>
        <v>48.6213121371416</v>
      </c>
      <c r="V4436" s="54" t="b">
        <f aca="false">AND(D4436&gt;=01_因子設定!$L$5-0.000000001,D4436&lt;=01_因子設定!$M$5+0.000000001,E4436&gt;=01_因子設定!$L$6-0.000000001,E4436&lt;=01_因子設定!$M$6+0.000000001,F4436&gt;=01_因子設定!$L$7-0.000000001,F4436&lt;=01_因子設定!$M$7+0.000000001,IF(01_因子設定!$B$20="Box-Behnken",D4436^2+E4436^2+F4436^2&lt;=2+0.000000001,TRUE()))</f>
        <v>1</v>
      </c>
      <c r="W4436" s="55" t="n">
        <f aca="false">IF(V4436,IF(01_因子設定!$B$13="最大化",T4436-01_因子設定!$B$14,IF(01_因子設定!$B$13="最小化",01_因子設定!$B$15-U4436,MIN(T4436-01_因子設定!$B$14,01_因子設定!$B$15-U4436))),-1E+030)</f>
        <v>-2.01550247805073</v>
      </c>
      <c r="X4436" s="55" t="n">
        <f aca="false">IF(V4436,IF(01_因子設定!$B$13="最大化",Q4436,IF(01_因子設定!$B$13="最小化",-Q4436,-ABS(Q4436-01_因子設定!$B$16))),-1E+030)</f>
        <v>47.5529048295455</v>
      </c>
      <c r="Y4436" s="55" t="n">
        <f aca="false">W4436+ROW()*0.000000001</f>
        <v>-2.01549804205073</v>
      </c>
      <c r="Z4436" s="55" t="n">
        <f aca="false">X4436+ROW()*0.000000001</f>
        <v>47.5529092655455</v>
      </c>
    </row>
    <row r="4437" customFormat="false" ht="15" hidden="false" customHeight="false" outlineLevel="0" collapsed="false">
      <c r="A4437" s="0" t="n">
        <v>15</v>
      </c>
      <c r="B4437" s="0" t="n">
        <v>5</v>
      </c>
      <c r="C4437" s="0" t="n">
        <v>12</v>
      </c>
      <c r="D4437" s="0" t="n">
        <f aca="false">-1+A4437*0.125</f>
        <v>0.875</v>
      </c>
      <c r="E4437" s="0" t="n">
        <f aca="false">-1+B4437*0.125</f>
        <v>-0.375</v>
      </c>
      <c r="F4437" s="0" t="n">
        <f aca="false">-1+C4437*0.125</f>
        <v>0.5</v>
      </c>
      <c r="G4437" s="0" t="n">
        <f aca="false">1</f>
        <v>1</v>
      </c>
      <c r="H4437" s="0" t="n">
        <f aca="false">D4437</f>
        <v>0.875</v>
      </c>
      <c r="I4437" s="0" t="n">
        <f aca="false">E4437</f>
        <v>-0.375</v>
      </c>
      <c r="J4437" s="0" t="n">
        <f aca="false">F4437</f>
        <v>0.5</v>
      </c>
      <c r="K4437" s="0" t="n">
        <f aca="false">D4437*E4437</f>
        <v>-0.328125</v>
      </c>
      <c r="L4437" s="0" t="n">
        <f aca="false">D4437*F4437</f>
        <v>0.4375</v>
      </c>
      <c r="M4437" s="0" t="n">
        <f aca="false">E4437*F4437</f>
        <v>-0.1875</v>
      </c>
      <c r="N4437" s="0" t="n">
        <f aca="false">D4437*D4437</f>
        <v>0.765625</v>
      </c>
      <c r="O4437" s="0" t="n">
        <f aca="false">E4437*E4437</f>
        <v>0.140625</v>
      </c>
      <c r="P4437" s="0" t="n">
        <f aca="false">F4437*F4437</f>
        <v>0.25</v>
      </c>
      <c r="Q4437" s="0" t="n">
        <f aca="false">SUMPRODUCT(G4437:P4437,_XtX!$B$71:$K$71)</f>
        <v>47.559140625</v>
      </c>
      <c r="R4437" s="0" t="n">
        <f aca="false">SUMPRODUCT(MMULT(G4437:P4437,_XtX!$B$58:$K$67),G4437:P4437)</f>
        <v>0.322393798828125</v>
      </c>
      <c r="S4437" s="0" t="n">
        <f aca="false">04_回帰ANOVA!$K$19*04_回帰ANOVA!$K$14*SQRT(1+R4437)</f>
        <v>1.06917067390712</v>
      </c>
      <c r="T4437" s="0" t="n">
        <f aca="false">Q4437-S4437</f>
        <v>46.4899699510929</v>
      </c>
      <c r="U4437" s="0" t="n">
        <f aca="false">Q4437+S4437</f>
        <v>48.6283112989071</v>
      </c>
      <c r="V4437" s="54" t="b">
        <f aca="false">AND(D4437&gt;=01_因子設定!$L$5-0.000000001,D4437&lt;=01_因子設定!$M$5+0.000000001,E4437&gt;=01_因子設定!$L$6-0.000000001,E4437&lt;=01_因子設定!$M$6+0.000000001,F4437&gt;=01_因子設定!$L$7-0.000000001,F4437&lt;=01_因子設定!$M$7+0.000000001,IF(01_因子設定!$B$20="Box-Behnken",D4437^2+E4437^2+F4437^2&lt;=2+0.000000001,TRUE()))</f>
        <v>1</v>
      </c>
      <c r="W4437" s="55" t="n">
        <f aca="false">IF(V4437,IF(01_因子設定!$B$13="最大化",T4437-01_因子設定!$B$14,IF(01_因子設定!$B$13="最小化",01_因子設定!$B$15-U4437,MIN(T4437-01_因子設定!$B$14,01_因子設定!$B$15-U4437))),-1E+030)</f>
        <v>-2.01003004890712</v>
      </c>
      <c r="X4437" s="55" t="n">
        <f aca="false">IF(V4437,IF(01_因子設定!$B$13="最大化",Q4437,IF(01_因子設定!$B$13="最小化",-Q4437,-ABS(Q4437-01_因子設定!$B$16))),-1E+030)</f>
        <v>47.559140625</v>
      </c>
      <c r="Y4437" s="55" t="n">
        <f aca="false">W4437+ROW()*0.000000001</f>
        <v>-2.01002561190712</v>
      </c>
      <c r="Z4437" s="55" t="n">
        <f aca="false">X4437+ROW()*0.000000001</f>
        <v>47.559145062</v>
      </c>
    </row>
    <row r="4438" customFormat="false" ht="15" hidden="false" customHeight="false" outlineLevel="0" collapsed="false">
      <c r="A4438" s="0" t="n">
        <v>15</v>
      </c>
      <c r="B4438" s="0" t="n">
        <v>5</v>
      </c>
      <c r="C4438" s="0" t="n">
        <v>13</v>
      </c>
      <c r="D4438" s="0" t="n">
        <f aca="false">-1+A4438*0.125</f>
        <v>0.875</v>
      </c>
      <c r="E4438" s="0" t="n">
        <f aca="false">-1+B4438*0.125</f>
        <v>-0.375</v>
      </c>
      <c r="F4438" s="0" t="n">
        <f aca="false">-1+C4438*0.125</f>
        <v>0.625</v>
      </c>
      <c r="G4438" s="0" t="n">
        <f aca="false">1</f>
        <v>1</v>
      </c>
      <c r="H4438" s="0" t="n">
        <f aca="false">D4438</f>
        <v>0.875</v>
      </c>
      <c r="I4438" s="0" t="n">
        <f aca="false">E4438</f>
        <v>-0.375</v>
      </c>
      <c r="J4438" s="0" t="n">
        <f aca="false">F4438</f>
        <v>0.625</v>
      </c>
      <c r="K4438" s="0" t="n">
        <f aca="false">D4438*E4438</f>
        <v>-0.328125</v>
      </c>
      <c r="L4438" s="0" t="n">
        <f aca="false">D4438*F4438</f>
        <v>0.546875</v>
      </c>
      <c r="M4438" s="0" t="n">
        <f aca="false">E4438*F4438</f>
        <v>-0.234375</v>
      </c>
      <c r="N4438" s="0" t="n">
        <f aca="false">D4438*D4438</f>
        <v>0.765625</v>
      </c>
      <c r="O4438" s="0" t="n">
        <f aca="false">E4438*E4438</f>
        <v>0.140625</v>
      </c>
      <c r="P4438" s="0" t="n">
        <f aca="false">F4438*F4438</f>
        <v>0.390625</v>
      </c>
      <c r="Q4438" s="0" t="n">
        <f aca="false">SUMPRODUCT(G4438:P4438,_XtX!$B$71:$K$71)</f>
        <v>47.5285866477273</v>
      </c>
      <c r="R4438" s="0" t="n">
        <f aca="false">SUMPRODUCT(MMULT(G4438:P4438,_XtX!$B$58:$K$67),G4438:P4438)</f>
        <v>0.337604869495739</v>
      </c>
      <c r="S4438" s="0" t="n">
        <f aca="false">04_回帰ANOVA!$K$19*04_回帰ANOVA!$K$14*SQRT(1+R4438)</f>
        <v>1.07530225516193</v>
      </c>
      <c r="T4438" s="0" t="n">
        <f aca="false">Q4438-S4438</f>
        <v>46.4532843925654</v>
      </c>
      <c r="U4438" s="0" t="n">
        <f aca="false">Q4438+S4438</f>
        <v>48.6038889028892</v>
      </c>
      <c r="V4438" s="54" t="b">
        <f aca="false">AND(D4438&gt;=01_因子設定!$L$5-0.000000001,D4438&lt;=01_因子設定!$M$5+0.000000001,E4438&gt;=01_因子設定!$L$6-0.000000001,E4438&lt;=01_因子設定!$M$6+0.000000001,F4438&gt;=01_因子設定!$L$7-0.000000001,F4438&lt;=01_因子設定!$M$7+0.000000001,IF(01_因子設定!$B$20="Box-Behnken",D4438^2+E4438^2+F4438^2&lt;=2+0.000000001,TRUE()))</f>
        <v>1</v>
      </c>
      <c r="W4438" s="55" t="n">
        <f aca="false">IF(V4438,IF(01_因子設定!$B$13="最大化",T4438-01_因子設定!$B$14,IF(01_因子設定!$B$13="最小化",01_因子設定!$B$15-U4438,MIN(T4438-01_因子設定!$B$14,01_因子設定!$B$15-U4438))),-1E+030)</f>
        <v>-2.04671560743465</v>
      </c>
      <c r="X4438" s="55" t="n">
        <f aca="false">IF(V4438,IF(01_因子設定!$B$13="最大化",Q4438,IF(01_因子設定!$B$13="最小化",-Q4438,-ABS(Q4438-01_因子設定!$B$16))),-1E+030)</f>
        <v>47.5285866477273</v>
      </c>
      <c r="Y4438" s="55" t="n">
        <f aca="false">W4438+ROW()*0.000000001</f>
        <v>-2.04671116943465</v>
      </c>
      <c r="Z4438" s="55" t="n">
        <f aca="false">X4438+ROW()*0.000000001</f>
        <v>47.5285910857273</v>
      </c>
    </row>
    <row r="4439" customFormat="false" ht="15" hidden="false" customHeight="false" outlineLevel="0" collapsed="false">
      <c r="A4439" s="0" t="n">
        <v>15</v>
      </c>
      <c r="B4439" s="0" t="n">
        <v>5</v>
      </c>
      <c r="C4439" s="0" t="n">
        <v>14</v>
      </c>
      <c r="D4439" s="0" t="n">
        <f aca="false">-1+A4439*0.125</f>
        <v>0.875</v>
      </c>
      <c r="E4439" s="0" t="n">
        <f aca="false">-1+B4439*0.125</f>
        <v>-0.375</v>
      </c>
      <c r="F4439" s="0" t="n">
        <f aca="false">-1+C4439*0.125</f>
        <v>0.75</v>
      </c>
      <c r="G4439" s="0" t="n">
        <f aca="false">1</f>
        <v>1</v>
      </c>
      <c r="H4439" s="0" t="n">
        <f aca="false">D4439</f>
        <v>0.875</v>
      </c>
      <c r="I4439" s="0" t="n">
        <f aca="false">E4439</f>
        <v>-0.375</v>
      </c>
      <c r="J4439" s="0" t="n">
        <f aca="false">F4439</f>
        <v>0.75</v>
      </c>
      <c r="K4439" s="0" t="n">
        <f aca="false">D4439*E4439</f>
        <v>-0.328125</v>
      </c>
      <c r="L4439" s="0" t="n">
        <f aca="false">D4439*F4439</f>
        <v>0.65625</v>
      </c>
      <c r="M4439" s="0" t="n">
        <f aca="false">E4439*F4439</f>
        <v>-0.28125</v>
      </c>
      <c r="N4439" s="0" t="n">
        <f aca="false">D4439*D4439</f>
        <v>0.765625</v>
      </c>
      <c r="O4439" s="0" t="n">
        <f aca="false">E4439*E4439</f>
        <v>0.140625</v>
      </c>
      <c r="P4439" s="0" t="n">
        <f aca="false">F4439*F4439</f>
        <v>0.5625</v>
      </c>
      <c r="Q4439" s="0" t="n">
        <f aca="false">SUMPRODUCT(G4439:P4439,_XtX!$B$71:$K$71)</f>
        <v>47.4612428977273</v>
      </c>
      <c r="R4439" s="0" t="n">
        <f aca="false">SUMPRODUCT(MMULT(G4439:P4439,_XtX!$B$58:$K$67),G4439:P4439)</f>
        <v>0.375727428089489</v>
      </c>
      <c r="S4439" s="0" t="n">
        <f aca="false">04_回帰ANOVA!$K$19*04_回帰ANOVA!$K$14*SQRT(1+R4439)</f>
        <v>1.09051798904087</v>
      </c>
      <c r="T4439" s="0" t="n">
        <f aca="false">Q4439-S4439</f>
        <v>46.3707249086864</v>
      </c>
      <c r="U4439" s="0" t="n">
        <f aca="false">Q4439+S4439</f>
        <v>48.5517608867682</v>
      </c>
      <c r="V4439" s="54" t="b">
        <f aca="false">AND(D4439&gt;=01_因子設定!$L$5-0.000000001,D4439&lt;=01_因子設定!$M$5+0.000000001,E4439&gt;=01_因子設定!$L$6-0.000000001,E4439&lt;=01_因子設定!$M$6+0.000000001,F4439&gt;=01_因子設定!$L$7-0.000000001,F4439&lt;=01_因子設定!$M$7+0.000000001,IF(01_因子設定!$B$20="Box-Behnken",D4439^2+E4439^2+F4439^2&lt;=2+0.000000001,TRUE()))</f>
        <v>1</v>
      </c>
      <c r="W4439" s="55" t="n">
        <f aca="false">IF(V4439,IF(01_因子設定!$B$13="最大化",T4439-01_因子設定!$B$14,IF(01_因子設定!$B$13="最小化",01_因子設定!$B$15-U4439,MIN(T4439-01_因子設定!$B$14,01_因子設定!$B$15-U4439))),-1E+030)</f>
        <v>-2.12927509131359</v>
      </c>
      <c r="X4439" s="55" t="n">
        <f aca="false">IF(V4439,IF(01_因子設定!$B$13="最大化",Q4439,IF(01_因子設定!$B$13="最小化",-Q4439,-ABS(Q4439-01_因子設定!$B$16))),-1E+030)</f>
        <v>47.4612428977273</v>
      </c>
      <c r="Y4439" s="55" t="n">
        <f aca="false">W4439+ROW()*0.000000001</f>
        <v>-2.12927065231359</v>
      </c>
      <c r="Z4439" s="55" t="n">
        <f aca="false">X4439+ROW()*0.000000001</f>
        <v>47.4612473367273</v>
      </c>
    </row>
    <row r="4440" customFormat="false" ht="15" hidden="false" customHeight="false" outlineLevel="0" collapsed="false">
      <c r="A4440" s="0" t="n">
        <v>15</v>
      </c>
      <c r="B4440" s="0" t="n">
        <v>5</v>
      </c>
      <c r="C4440" s="0" t="n">
        <v>15</v>
      </c>
      <c r="D4440" s="0" t="n">
        <f aca="false">-1+A4440*0.125</f>
        <v>0.875</v>
      </c>
      <c r="E4440" s="0" t="n">
        <f aca="false">-1+B4440*0.125</f>
        <v>-0.375</v>
      </c>
      <c r="F4440" s="0" t="n">
        <f aca="false">-1+C4440*0.125</f>
        <v>0.875</v>
      </c>
      <c r="G4440" s="0" t="n">
        <f aca="false">1</f>
        <v>1</v>
      </c>
      <c r="H4440" s="0" t="n">
        <f aca="false">D4440</f>
        <v>0.875</v>
      </c>
      <c r="I4440" s="0" t="n">
        <f aca="false">E4440</f>
        <v>-0.375</v>
      </c>
      <c r="J4440" s="0" t="n">
        <f aca="false">F4440</f>
        <v>0.875</v>
      </c>
      <c r="K4440" s="0" t="n">
        <f aca="false">D4440*E4440</f>
        <v>-0.328125</v>
      </c>
      <c r="L4440" s="0" t="n">
        <f aca="false">D4440*F4440</f>
        <v>0.765625</v>
      </c>
      <c r="M4440" s="0" t="n">
        <f aca="false">E4440*F4440</f>
        <v>-0.328125</v>
      </c>
      <c r="N4440" s="0" t="n">
        <f aca="false">D4440*D4440</f>
        <v>0.765625</v>
      </c>
      <c r="O4440" s="0" t="n">
        <f aca="false">E4440*E4440</f>
        <v>0.140625</v>
      </c>
      <c r="P4440" s="0" t="n">
        <f aca="false">F4440*F4440</f>
        <v>0.765625</v>
      </c>
      <c r="Q4440" s="0" t="n">
        <f aca="false">SUMPRODUCT(G4440:P4440,_XtX!$B$71:$K$71)</f>
        <v>47.357109375</v>
      </c>
      <c r="R4440" s="0" t="n">
        <f aca="false">SUMPRODUCT(MMULT(G4440:P4440,_XtX!$B$58:$K$67),G4440:P4440)</f>
        <v>0.448480224609375</v>
      </c>
      <c r="S4440" s="0" t="n">
        <f aca="false">04_回帰ANOVA!$K$19*04_回帰ANOVA!$K$14*SQRT(1+R4440)</f>
        <v>1.11898153812985</v>
      </c>
      <c r="T4440" s="0" t="n">
        <f aca="false">Q4440-S4440</f>
        <v>46.2381278368702</v>
      </c>
      <c r="U4440" s="0" t="n">
        <f aca="false">Q4440+S4440</f>
        <v>48.4760909131299</v>
      </c>
      <c r="V4440" s="54" t="b">
        <f aca="false">AND(D4440&gt;=01_因子設定!$L$5-0.000000001,D4440&lt;=01_因子設定!$M$5+0.000000001,E4440&gt;=01_因子設定!$L$6-0.000000001,E4440&lt;=01_因子設定!$M$6+0.000000001,F4440&gt;=01_因子設定!$L$7-0.000000001,F4440&lt;=01_因子設定!$M$7+0.000000001,IF(01_因子設定!$B$20="Box-Behnken",D4440^2+E4440^2+F4440^2&lt;=2+0.000000001,TRUE()))</f>
        <v>1</v>
      </c>
      <c r="W4440" s="55" t="n">
        <f aca="false">IF(V4440,IF(01_因子設定!$B$13="最大化",T4440-01_因子設定!$B$14,IF(01_因子設定!$B$13="最小化",01_因子設定!$B$15-U4440,MIN(T4440-01_因子設定!$B$14,01_因子設定!$B$15-U4440))),-1E+030)</f>
        <v>-2.26187216312984</v>
      </c>
      <c r="X4440" s="55" t="n">
        <f aca="false">IF(V4440,IF(01_因子設定!$B$13="最大化",Q4440,IF(01_因子設定!$B$13="最小化",-Q4440,-ABS(Q4440-01_因子設定!$B$16))),-1E+030)</f>
        <v>47.357109375</v>
      </c>
      <c r="Y4440" s="55" t="n">
        <f aca="false">W4440+ROW()*0.000000001</f>
        <v>-2.26186772312984</v>
      </c>
      <c r="Z4440" s="55" t="n">
        <f aca="false">X4440+ROW()*0.000000001</f>
        <v>47.357113815</v>
      </c>
    </row>
    <row r="4441" customFormat="false" ht="15" hidden="false" customHeight="false" outlineLevel="0" collapsed="false">
      <c r="A4441" s="0" t="n">
        <v>15</v>
      </c>
      <c r="B4441" s="0" t="n">
        <v>5</v>
      </c>
      <c r="C4441" s="0" t="n">
        <v>16</v>
      </c>
      <c r="D4441" s="0" t="n">
        <f aca="false">-1+A4441*0.125</f>
        <v>0.875</v>
      </c>
      <c r="E4441" s="0" t="n">
        <f aca="false">-1+B4441*0.125</f>
        <v>-0.375</v>
      </c>
      <c r="F4441" s="0" t="n">
        <f aca="false">-1+C4441*0.125</f>
        <v>1</v>
      </c>
      <c r="G4441" s="0" t="n">
        <f aca="false">1</f>
        <v>1</v>
      </c>
      <c r="H4441" s="0" t="n">
        <f aca="false">D4441</f>
        <v>0.875</v>
      </c>
      <c r="I4441" s="0" t="n">
        <f aca="false">E4441</f>
        <v>-0.375</v>
      </c>
      <c r="J4441" s="0" t="n">
        <f aca="false">F4441</f>
        <v>1</v>
      </c>
      <c r="K4441" s="0" t="n">
        <f aca="false">D4441*E4441</f>
        <v>-0.328125</v>
      </c>
      <c r="L4441" s="0" t="n">
        <f aca="false">D4441*F4441</f>
        <v>0.875</v>
      </c>
      <c r="M4441" s="0" t="n">
        <f aca="false">E4441*F4441</f>
        <v>-0.375</v>
      </c>
      <c r="N4441" s="0" t="n">
        <f aca="false">D4441*D4441</f>
        <v>0.765625</v>
      </c>
      <c r="O4441" s="0" t="n">
        <f aca="false">E4441*E4441</f>
        <v>0.140625</v>
      </c>
      <c r="P4441" s="0" t="n">
        <f aca="false">F4441*F4441</f>
        <v>1</v>
      </c>
      <c r="Q4441" s="0" t="n">
        <f aca="false">SUMPRODUCT(G4441:P4441,_XtX!$B$71:$K$71)</f>
        <v>47.2161860795455</v>
      </c>
      <c r="R4441" s="0" t="n">
        <f aca="false">SUMPRODUCT(MMULT(G4441:P4441,_XtX!$B$58:$K$67),G4441:P4441)</f>
        <v>0.56971269087358</v>
      </c>
      <c r="S4441" s="0" t="n">
        <f aca="false">04_回帰ANOVA!$K$19*04_回帰ANOVA!$K$14*SQRT(1+R4441)</f>
        <v>1.16486801567081</v>
      </c>
      <c r="T4441" s="0" t="n">
        <f aca="false">Q4441-S4441</f>
        <v>46.0513180638747</v>
      </c>
      <c r="U4441" s="0" t="n">
        <f aca="false">Q4441+S4441</f>
        <v>48.3810540952163</v>
      </c>
      <c r="V4441" s="54" t="b">
        <f aca="false">AND(D4441&gt;=01_因子設定!$L$5-0.000000001,D4441&lt;=01_因子設定!$M$5+0.000000001,E4441&gt;=01_因子設定!$L$6-0.000000001,E4441&lt;=01_因子設定!$M$6+0.000000001,F4441&gt;=01_因子設定!$L$7-0.000000001,F4441&lt;=01_因子設定!$M$7+0.000000001,IF(01_因子設定!$B$20="Box-Behnken",D4441^2+E4441^2+F4441^2&lt;=2+0.000000001,TRUE()))</f>
        <v>1</v>
      </c>
      <c r="W4441" s="55" t="n">
        <f aca="false">IF(V4441,IF(01_因子設定!$B$13="最大化",T4441-01_因子設定!$B$14,IF(01_因子設定!$B$13="最小化",01_因子設定!$B$15-U4441,MIN(T4441-01_因子設定!$B$14,01_因子設定!$B$15-U4441))),-1E+030)</f>
        <v>-2.44868193612534</v>
      </c>
      <c r="X4441" s="55" t="n">
        <f aca="false">IF(V4441,IF(01_因子設定!$B$13="最大化",Q4441,IF(01_因子設定!$B$13="最小化",-Q4441,-ABS(Q4441-01_因子設定!$B$16))),-1E+030)</f>
        <v>47.2161860795455</v>
      </c>
      <c r="Y4441" s="55" t="n">
        <f aca="false">W4441+ROW()*0.000000001</f>
        <v>-2.44867749512534</v>
      </c>
      <c r="Z4441" s="55" t="n">
        <f aca="false">X4441+ROW()*0.000000001</f>
        <v>47.2161905205455</v>
      </c>
    </row>
    <row r="4442" customFormat="false" ht="15" hidden="false" customHeight="false" outlineLevel="0" collapsed="false">
      <c r="A4442" s="0" t="n">
        <v>15</v>
      </c>
      <c r="B4442" s="0" t="n">
        <v>6</v>
      </c>
      <c r="C4442" s="0" t="n">
        <v>0</v>
      </c>
      <c r="D4442" s="0" t="n">
        <f aca="false">-1+A4442*0.125</f>
        <v>0.875</v>
      </c>
      <c r="E4442" s="0" t="n">
        <f aca="false">-1+B4442*0.125</f>
        <v>-0.25</v>
      </c>
      <c r="F4442" s="0" t="n">
        <f aca="false">-1+C4442*0.125</f>
        <v>-1</v>
      </c>
      <c r="G4442" s="0" t="n">
        <f aca="false">1</f>
        <v>1</v>
      </c>
      <c r="H4442" s="0" t="n">
        <f aca="false">D4442</f>
        <v>0.875</v>
      </c>
      <c r="I4442" s="0" t="n">
        <f aca="false">E4442</f>
        <v>-0.25</v>
      </c>
      <c r="J4442" s="0" t="n">
        <f aca="false">F4442</f>
        <v>-1</v>
      </c>
      <c r="K4442" s="0" t="n">
        <f aca="false">D4442*E4442</f>
        <v>-0.21875</v>
      </c>
      <c r="L4442" s="0" t="n">
        <f aca="false">D4442*F4442</f>
        <v>-0.875</v>
      </c>
      <c r="M4442" s="0" t="n">
        <f aca="false">E4442*F4442</f>
        <v>0.25</v>
      </c>
      <c r="N4442" s="0" t="n">
        <f aca="false">D4442*D4442</f>
        <v>0.765625</v>
      </c>
      <c r="O4442" s="0" t="n">
        <f aca="false">E4442*E4442</f>
        <v>0.0625</v>
      </c>
      <c r="P4442" s="0" t="n">
        <f aca="false">F4442*F4442</f>
        <v>1</v>
      </c>
      <c r="Q4442" s="0" t="n">
        <f aca="false">SUMPRODUCT(G4442:P4442,_XtX!$B$71:$K$71)</f>
        <v>45.5510511363637</v>
      </c>
      <c r="R4442" s="0" t="n">
        <f aca="false">SUMPRODUCT(MMULT(G4442:P4442,_XtX!$B$58:$K$67),G4442:P4442)</f>
        <v>0.583609286221591</v>
      </c>
      <c r="S4442" s="0" t="n">
        <f aca="false">04_回帰ANOVA!$K$19*04_回帰ANOVA!$K$14*SQRT(1+R4442)</f>
        <v>1.1700129157584</v>
      </c>
      <c r="T4442" s="0" t="n">
        <f aca="false">Q4442-S4442</f>
        <v>44.3810382206053</v>
      </c>
      <c r="U4442" s="0" t="n">
        <f aca="false">Q4442+S4442</f>
        <v>46.721064052122</v>
      </c>
      <c r="V4442" s="54" t="b">
        <f aca="false">AND(D4442&gt;=01_因子設定!$L$5-0.000000001,D4442&lt;=01_因子設定!$M$5+0.000000001,E4442&gt;=01_因子設定!$L$6-0.000000001,E4442&lt;=01_因子設定!$M$6+0.000000001,F4442&gt;=01_因子設定!$L$7-0.000000001,F4442&lt;=01_因子設定!$M$7+0.000000001,IF(01_因子設定!$B$20="Box-Behnken",D4442^2+E4442^2+F4442^2&lt;=2+0.000000001,TRUE()))</f>
        <v>1</v>
      </c>
      <c r="W4442" s="55" t="n">
        <f aca="false">IF(V4442,IF(01_因子設定!$B$13="最大化",T4442-01_因子設定!$B$14,IF(01_因子設定!$B$13="最小化",01_因子設定!$B$15-U4442,MIN(T4442-01_因子設定!$B$14,01_因子設定!$B$15-U4442))),-1E+030)</f>
        <v>-4.11896177939475</v>
      </c>
      <c r="X4442" s="55" t="n">
        <f aca="false">IF(V4442,IF(01_因子設定!$B$13="最大化",Q4442,IF(01_因子設定!$B$13="最小化",-Q4442,-ABS(Q4442-01_因子設定!$B$16))),-1E+030)</f>
        <v>45.5510511363637</v>
      </c>
      <c r="Y4442" s="55" t="n">
        <f aca="false">W4442+ROW()*0.000000001</f>
        <v>-4.11895733739475</v>
      </c>
      <c r="Z4442" s="55" t="n">
        <f aca="false">X4442+ROW()*0.000000001</f>
        <v>45.5510555783636</v>
      </c>
    </row>
    <row r="4443" customFormat="false" ht="15" hidden="false" customHeight="false" outlineLevel="0" collapsed="false">
      <c r="A4443" s="0" t="n">
        <v>15</v>
      </c>
      <c r="B4443" s="0" t="n">
        <v>6</v>
      </c>
      <c r="C4443" s="0" t="n">
        <v>1</v>
      </c>
      <c r="D4443" s="0" t="n">
        <f aca="false">-1+A4443*0.125</f>
        <v>0.875</v>
      </c>
      <c r="E4443" s="0" t="n">
        <f aca="false">-1+B4443*0.125</f>
        <v>-0.25</v>
      </c>
      <c r="F4443" s="0" t="n">
        <f aca="false">-1+C4443*0.125</f>
        <v>-0.875</v>
      </c>
      <c r="G4443" s="0" t="n">
        <f aca="false">1</f>
        <v>1</v>
      </c>
      <c r="H4443" s="0" t="n">
        <f aca="false">D4443</f>
        <v>0.875</v>
      </c>
      <c r="I4443" s="0" t="n">
        <f aca="false">E4443</f>
        <v>-0.25</v>
      </c>
      <c r="J4443" s="0" t="n">
        <f aca="false">F4443</f>
        <v>-0.875</v>
      </c>
      <c r="K4443" s="0" t="n">
        <f aca="false">D4443*E4443</f>
        <v>-0.21875</v>
      </c>
      <c r="L4443" s="0" t="n">
        <f aca="false">D4443*F4443</f>
        <v>-0.765625</v>
      </c>
      <c r="M4443" s="0" t="n">
        <f aca="false">E4443*F4443</f>
        <v>0.21875</v>
      </c>
      <c r="N4443" s="0" t="n">
        <f aca="false">D4443*D4443</f>
        <v>0.765625</v>
      </c>
      <c r="O4443" s="0" t="n">
        <f aca="false">E4443*E4443</f>
        <v>0.0625</v>
      </c>
      <c r="P4443" s="0" t="n">
        <f aca="false">F4443*F4443</f>
        <v>0.765625</v>
      </c>
      <c r="Q4443" s="0" t="n">
        <f aca="false">SUMPRODUCT(G4443:P4443,_XtX!$B$71:$K$71)</f>
        <v>45.9690056818182</v>
      </c>
      <c r="R4443" s="0" t="n">
        <f aca="false">SUMPRODUCT(MMULT(G4443:P4443,_XtX!$B$58:$K$67),G4443:P4443)</f>
        <v>0.459671852805398</v>
      </c>
      <c r="S4443" s="0" t="n">
        <f aca="false">04_回帰ANOVA!$K$19*04_回帰ANOVA!$K$14*SQRT(1+R4443)</f>
        <v>1.12329610455115</v>
      </c>
      <c r="T4443" s="0" t="n">
        <f aca="false">Q4443-S4443</f>
        <v>44.845709577267</v>
      </c>
      <c r="U4443" s="0" t="n">
        <f aca="false">Q4443+S4443</f>
        <v>47.0923017863693</v>
      </c>
      <c r="V4443" s="54" t="b">
        <f aca="false">AND(D4443&gt;=01_因子設定!$L$5-0.000000001,D4443&lt;=01_因子設定!$M$5+0.000000001,E4443&gt;=01_因子設定!$L$6-0.000000001,E4443&lt;=01_因子設定!$M$6+0.000000001,F4443&gt;=01_因子設定!$L$7-0.000000001,F4443&lt;=01_因子設定!$M$7+0.000000001,IF(01_因子設定!$B$20="Box-Behnken",D4443^2+E4443^2+F4443^2&lt;=2+0.000000001,TRUE()))</f>
        <v>1</v>
      </c>
      <c r="W4443" s="55" t="n">
        <f aca="false">IF(V4443,IF(01_因子設定!$B$13="最大化",T4443-01_因子設定!$B$14,IF(01_因子設定!$B$13="最小化",01_因子設定!$B$15-U4443,MIN(T4443-01_因子設定!$B$14,01_因子設定!$B$15-U4443))),-1E+030)</f>
        <v>-3.65429042273296</v>
      </c>
      <c r="X4443" s="55" t="n">
        <f aca="false">IF(V4443,IF(01_因子設定!$B$13="最大化",Q4443,IF(01_因子設定!$B$13="最小化",-Q4443,-ABS(Q4443-01_因子設定!$B$16))),-1E+030)</f>
        <v>45.9690056818182</v>
      </c>
      <c r="Y4443" s="55" t="n">
        <f aca="false">W4443+ROW()*0.000000001</f>
        <v>-3.65428597973296</v>
      </c>
      <c r="Z4443" s="55" t="n">
        <f aca="false">X4443+ROW()*0.000000001</f>
        <v>45.9690101248182</v>
      </c>
    </row>
    <row r="4444" customFormat="false" ht="15" hidden="false" customHeight="false" outlineLevel="0" collapsed="false">
      <c r="A4444" s="0" t="n">
        <v>15</v>
      </c>
      <c r="B4444" s="0" t="n">
        <v>6</v>
      </c>
      <c r="C4444" s="0" t="n">
        <v>2</v>
      </c>
      <c r="D4444" s="0" t="n">
        <f aca="false">-1+A4444*0.125</f>
        <v>0.875</v>
      </c>
      <c r="E4444" s="0" t="n">
        <f aca="false">-1+B4444*0.125</f>
        <v>-0.25</v>
      </c>
      <c r="F4444" s="0" t="n">
        <f aca="false">-1+C4444*0.125</f>
        <v>-0.75</v>
      </c>
      <c r="G4444" s="0" t="n">
        <f aca="false">1</f>
        <v>1</v>
      </c>
      <c r="H4444" s="0" t="n">
        <f aca="false">D4444</f>
        <v>0.875</v>
      </c>
      <c r="I4444" s="0" t="n">
        <f aca="false">E4444</f>
        <v>-0.25</v>
      </c>
      <c r="J4444" s="0" t="n">
        <f aca="false">F4444</f>
        <v>-0.75</v>
      </c>
      <c r="K4444" s="0" t="n">
        <f aca="false">D4444*E4444</f>
        <v>-0.21875</v>
      </c>
      <c r="L4444" s="0" t="n">
        <f aca="false">D4444*F4444</f>
        <v>-0.65625</v>
      </c>
      <c r="M4444" s="0" t="n">
        <f aca="false">E4444*F4444</f>
        <v>0.1875</v>
      </c>
      <c r="N4444" s="0" t="n">
        <f aca="false">D4444*D4444</f>
        <v>0.765625</v>
      </c>
      <c r="O4444" s="0" t="n">
        <f aca="false">E4444*E4444</f>
        <v>0.0625</v>
      </c>
      <c r="P4444" s="0" t="n">
        <f aca="false">F4444*F4444</f>
        <v>0.5625</v>
      </c>
      <c r="Q4444" s="0" t="n">
        <f aca="false">SUMPRODUCT(G4444:P4444,_XtX!$B$71:$K$71)</f>
        <v>46.3501704545455</v>
      </c>
      <c r="R4444" s="0" t="n">
        <f aca="false">SUMPRODUCT(MMULT(G4444:P4444,_XtX!$B$58:$K$67),G4444:P4444)</f>
        <v>0.384574751420455</v>
      </c>
      <c r="S4444" s="0" t="n">
        <f aca="false">04_回帰ANOVA!$K$19*04_回帰ANOVA!$K$14*SQRT(1+R4444)</f>
        <v>1.0940189380139</v>
      </c>
      <c r="T4444" s="0" t="n">
        <f aca="false">Q4444-S4444</f>
        <v>45.2561515165316</v>
      </c>
      <c r="U4444" s="0" t="n">
        <f aca="false">Q4444+S4444</f>
        <v>47.4441893925594</v>
      </c>
      <c r="V4444" s="54" t="b">
        <f aca="false">AND(D4444&gt;=01_因子設定!$L$5-0.000000001,D4444&lt;=01_因子設定!$M$5+0.000000001,E4444&gt;=01_因子設定!$L$6-0.000000001,E4444&lt;=01_因子設定!$M$6+0.000000001,F4444&gt;=01_因子設定!$L$7-0.000000001,F4444&lt;=01_因子設定!$M$7+0.000000001,IF(01_因子設定!$B$20="Box-Behnken",D4444^2+E4444^2+F4444^2&lt;=2+0.000000001,TRUE()))</f>
        <v>1</v>
      </c>
      <c r="W4444" s="55" t="n">
        <f aca="false">IF(V4444,IF(01_因子設定!$B$13="最大化",T4444-01_因子設定!$B$14,IF(01_因子設定!$B$13="最小化",01_因子設定!$B$15-U4444,MIN(T4444-01_因子設定!$B$14,01_因子設定!$B$15-U4444))),-1E+030)</f>
        <v>-3.24384848346844</v>
      </c>
      <c r="X4444" s="55" t="n">
        <f aca="false">IF(V4444,IF(01_因子設定!$B$13="最大化",Q4444,IF(01_因子設定!$B$13="最小化",-Q4444,-ABS(Q4444-01_因子設定!$B$16))),-1E+030)</f>
        <v>46.3501704545455</v>
      </c>
      <c r="Y4444" s="55" t="n">
        <f aca="false">W4444+ROW()*0.000000001</f>
        <v>-3.24384403946844</v>
      </c>
      <c r="Z4444" s="55" t="n">
        <f aca="false">X4444+ROW()*0.000000001</f>
        <v>46.3501748985455</v>
      </c>
    </row>
    <row r="4445" customFormat="false" ht="15" hidden="false" customHeight="false" outlineLevel="0" collapsed="false">
      <c r="A4445" s="0" t="n">
        <v>15</v>
      </c>
      <c r="B4445" s="0" t="n">
        <v>6</v>
      </c>
      <c r="C4445" s="0" t="n">
        <v>3</v>
      </c>
      <c r="D4445" s="0" t="n">
        <f aca="false">-1+A4445*0.125</f>
        <v>0.875</v>
      </c>
      <c r="E4445" s="0" t="n">
        <f aca="false">-1+B4445*0.125</f>
        <v>-0.25</v>
      </c>
      <c r="F4445" s="0" t="n">
        <f aca="false">-1+C4445*0.125</f>
        <v>-0.625</v>
      </c>
      <c r="G4445" s="0" t="n">
        <f aca="false">1</f>
        <v>1</v>
      </c>
      <c r="H4445" s="0" t="n">
        <f aca="false">D4445</f>
        <v>0.875</v>
      </c>
      <c r="I4445" s="0" t="n">
        <f aca="false">E4445</f>
        <v>-0.25</v>
      </c>
      <c r="J4445" s="0" t="n">
        <f aca="false">F4445</f>
        <v>-0.625</v>
      </c>
      <c r="K4445" s="0" t="n">
        <f aca="false">D4445*E4445</f>
        <v>-0.21875</v>
      </c>
      <c r="L4445" s="0" t="n">
        <f aca="false">D4445*F4445</f>
        <v>-0.546875</v>
      </c>
      <c r="M4445" s="0" t="n">
        <f aca="false">E4445*F4445</f>
        <v>0.15625</v>
      </c>
      <c r="N4445" s="0" t="n">
        <f aca="false">D4445*D4445</f>
        <v>0.765625</v>
      </c>
      <c r="O4445" s="0" t="n">
        <f aca="false">E4445*E4445</f>
        <v>0.0625</v>
      </c>
      <c r="P4445" s="0" t="n">
        <f aca="false">F4445*F4445</f>
        <v>0.390625</v>
      </c>
      <c r="Q4445" s="0" t="n">
        <f aca="false">SUMPRODUCT(G4445:P4445,_XtX!$B$71:$K$71)</f>
        <v>46.6945454545455</v>
      </c>
      <c r="R4445" s="0" t="n">
        <f aca="false">SUMPRODUCT(MMULT(G4445:P4445,_XtX!$B$58:$K$67),G4445:P4445)</f>
        <v>0.34446855024858</v>
      </c>
      <c r="S4445" s="0" t="n">
        <f aca="false">04_回帰ANOVA!$K$19*04_回帰ANOVA!$K$14*SQRT(1+R4445)</f>
        <v>1.07805758590432</v>
      </c>
      <c r="T4445" s="0" t="n">
        <f aca="false">Q4445-S4445</f>
        <v>45.6164878686411</v>
      </c>
      <c r="U4445" s="0" t="n">
        <f aca="false">Q4445+S4445</f>
        <v>47.7726030404498</v>
      </c>
      <c r="V4445" s="54" t="b">
        <f aca="false">AND(D4445&gt;=01_因子設定!$L$5-0.000000001,D4445&lt;=01_因子設定!$M$5+0.000000001,E4445&gt;=01_因子設定!$L$6-0.000000001,E4445&lt;=01_因子設定!$M$6+0.000000001,F4445&gt;=01_因子設定!$L$7-0.000000001,F4445&lt;=01_因子設定!$M$7+0.000000001,IF(01_因子設定!$B$20="Box-Behnken",D4445^2+E4445^2+F4445^2&lt;=2+0.000000001,TRUE()))</f>
        <v>1</v>
      </c>
      <c r="W4445" s="55" t="n">
        <f aca="false">IF(V4445,IF(01_因子設定!$B$13="最大化",T4445-01_因子設定!$B$14,IF(01_因子設定!$B$13="最小化",01_因子設定!$B$15-U4445,MIN(T4445-01_因子設定!$B$14,01_因子設定!$B$15-U4445))),-1E+030)</f>
        <v>-2.88351213135886</v>
      </c>
      <c r="X4445" s="55" t="n">
        <f aca="false">IF(V4445,IF(01_因子設定!$B$13="最大化",Q4445,IF(01_因子設定!$B$13="最小化",-Q4445,-ABS(Q4445-01_因子設定!$B$16))),-1E+030)</f>
        <v>46.6945454545455</v>
      </c>
      <c r="Y4445" s="55" t="n">
        <f aca="false">W4445+ROW()*0.000000001</f>
        <v>-2.88350768635886</v>
      </c>
      <c r="Z4445" s="55" t="n">
        <f aca="false">X4445+ROW()*0.000000001</f>
        <v>46.6945498995455</v>
      </c>
    </row>
    <row r="4446" customFormat="false" ht="15" hidden="false" customHeight="false" outlineLevel="0" collapsed="false">
      <c r="A4446" s="0" t="n">
        <v>15</v>
      </c>
      <c r="B4446" s="0" t="n">
        <v>6</v>
      </c>
      <c r="C4446" s="0" t="n">
        <v>4</v>
      </c>
      <c r="D4446" s="0" t="n">
        <f aca="false">-1+A4446*0.125</f>
        <v>0.875</v>
      </c>
      <c r="E4446" s="0" t="n">
        <f aca="false">-1+B4446*0.125</f>
        <v>-0.25</v>
      </c>
      <c r="F4446" s="0" t="n">
        <f aca="false">-1+C4446*0.125</f>
        <v>-0.5</v>
      </c>
      <c r="G4446" s="0" t="n">
        <f aca="false">1</f>
        <v>1</v>
      </c>
      <c r="H4446" s="0" t="n">
        <f aca="false">D4446</f>
        <v>0.875</v>
      </c>
      <c r="I4446" s="0" t="n">
        <f aca="false">E4446</f>
        <v>-0.25</v>
      </c>
      <c r="J4446" s="0" t="n">
        <f aca="false">F4446</f>
        <v>-0.5</v>
      </c>
      <c r="K4446" s="0" t="n">
        <f aca="false">D4446*E4446</f>
        <v>-0.21875</v>
      </c>
      <c r="L4446" s="0" t="n">
        <f aca="false">D4446*F4446</f>
        <v>-0.4375</v>
      </c>
      <c r="M4446" s="0" t="n">
        <f aca="false">E4446*F4446</f>
        <v>0.125</v>
      </c>
      <c r="N4446" s="0" t="n">
        <f aca="false">D4446*D4446</f>
        <v>0.765625</v>
      </c>
      <c r="O4446" s="0" t="n">
        <f aca="false">E4446*E4446</f>
        <v>0.0625</v>
      </c>
      <c r="P4446" s="0" t="n">
        <f aca="false">F4446*F4446</f>
        <v>0.25</v>
      </c>
      <c r="Q4446" s="0" t="n">
        <f aca="false">SUMPRODUCT(G4446:P4446,_XtX!$B$71:$K$71)</f>
        <v>47.0021306818182</v>
      </c>
      <c r="R4446" s="0" t="n">
        <f aca="false">SUMPRODUCT(MMULT(G4446:P4446,_XtX!$B$58:$K$67),G4446:P4446)</f>
        <v>0.327634499289773</v>
      </c>
      <c r="S4446" s="0" t="n">
        <f aca="false">04_回帰ANOVA!$K$19*04_回帰ANOVA!$K$14*SQRT(1+R4446)</f>
        <v>1.07128716250217</v>
      </c>
      <c r="T4446" s="0" t="n">
        <f aca="false">Q4446-S4446</f>
        <v>45.930843519316</v>
      </c>
      <c r="U4446" s="0" t="n">
        <f aca="false">Q4446+S4446</f>
        <v>48.0734178443204</v>
      </c>
      <c r="V4446" s="54" t="b">
        <f aca="false">AND(D4446&gt;=01_因子設定!$L$5-0.000000001,D4446&lt;=01_因子設定!$M$5+0.000000001,E4446&gt;=01_因子設定!$L$6-0.000000001,E4446&lt;=01_因子設定!$M$6+0.000000001,F4446&gt;=01_因子設定!$L$7-0.000000001,F4446&lt;=01_因子設定!$M$7+0.000000001,IF(01_因子設定!$B$20="Box-Behnken",D4446^2+E4446^2+F4446^2&lt;=2+0.000000001,TRUE()))</f>
        <v>1</v>
      </c>
      <c r="W4446" s="55" t="n">
        <f aca="false">IF(V4446,IF(01_因子設定!$B$13="最大化",T4446-01_因子設定!$B$14,IF(01_因子設定!$B$13="最小化",01_因子設定!$B$15-U4446,MIN(T4446-01_因子設定!$B$14,01_因子設定!$B$15-U4446))),-1E+030)</f>
        <v>-2.56915648068399</v>
      </c>
      <c r="X4446" s="55" t="n">
        <f aca="false">IF(V4446,IF(01_因子設定!$B$13="最大化",Q4446,IF(01_因子設定!$B$13="最小化",-Q4446,-ABS(Q4446-01_因子設定!$B$16))),-1E+030)</f>
        <v>47.0021306818182</v>
      </c>
      <c r="Y4446" s="55" t="n">
        <f aca="false">W4446+ROW()*0.000000001</f>
        <v>-2.56915203468399</v>
      </c>
      <c r="Z4446" s="55" t="n">
        <f aca="false">X4446+ROW()*0.000000001</f>
        <v>47.0021351278182</v>
      </c>
    </row>
    <row r="4447" customFormat="false" ht="15" hidden="false" customHeight="false" outlineLevel="0" collapsed="false">
      <c r="A4447" s="0" t="n">
        <v>15</v>
      </c>
      <c r="B4447" s="0" t="n">
        <v>6</v>
      </c>
      <c r="C4447" s="0" t="n">
        <v>5</v>
      </c>
      <c r="D4447" s="0" t="n">
        <f aca="false">-1+A4447*0.125</f>
        <v>0.875</v>
      </c>
      <c r="E4447" s="0" t="n">
        <f aca="false">-1+B4447*0.125</f>
        <v>-0.25</v>
      </c>
      <c r="F4447" s="0" t="n">
        <f aca="false">-1+C4447*0.125</f>
        <v>-0.375</v>
      </c>
      <c r="G4447" s="0" t="n">
        <f aca="false">1</f>
        <v>1</v>
      </c>
      <c r="H4447" s="0" t="n">
        <f aca="false">D4447</f>
        <v>0.875</v>
      </c>
      <c r="I4447" s="0" t="n">
        <f aca="false">E4447</f>
        <v>-0.25</v>
      </c>
      <c r="J4447" s="0" t="n">
        <f aca="false">F4447</f>
        <v>-0.375</v>
      </c>
      <c r="K4447" s="0" t="n">
        <f aca="false">D4447*E4447</f>
        <v>-0.21875</v>
      </c>
      <c r="L4447" s="0" t="n">
        <f aca="false">D4447*F4447</f>
        <v>-0.328125</v>
      </c>
      <c r="M4447" s="0" t="n">
        <f aca="false">E4447*F4447</f>
        <v>0.09375</v>
      </c>
      <c r="N4447" s="0" t="n">
        <f aca="false">D4447*D4447</f>
        <v>0.765625</v>
      </c>
      <c r="O4447" s="0" t="n">
        <f aca="false">E4447*E4447</f>
        <v>0.0625</v>
      </c>
      <c r="P4447" s="0" t="n">
        <f aca="false">F4447*F4447</f>
        <v>0.140625</v>
      </c>
      <c r="Q4447" s="0" t="n">
        <f aca="false">SUMPRODUCT(G4447:P4447,_XtX!$B$71:$K$71)</f>
        <v>47.2729261363636</v>
      </c>
      <c r="R4447" s="0" t="n">
        <f aca="false">SUMPRODUCT(MMULT(G4447:P4447,_XtX!$B$58:$K$67),G4447:P4447)</f>
        <v>0.324484530362216</v>
      </c>
      <c r="S4447" s="0" t="n">
        <f aca="false">04_回帰ANOVA!$K$19*04_回帰ANOVA!$K$14*SQRT(1+R4447)</f>
        <v>1.07001553041279</v>
      </c>
      <c r="T4447" s="0" t="n">
        <f aca="false">Q4447-S4447</f>
        <v>46.2029106059509</v>
      </c>
      <c r="U4447" s="0" t="n">
        <f aca="false">Q4447+S4447</f>
        <v>48.3429416667764</v>
      </c>
      <c r="V4447" s="54" t="b">
        <f aca="false">AND(D4447&gt;=01_因子設定!$L$5-0.000000001,D4447&lt;=01_因子設定!$M$5+0.000000001,E4447&gt;=01_因子設定!$L$6-0.000000001,E4447&lt;=01_因子設定!$M$6+0.000000001,F4447&gt;=01_因子設定!$L$7-0.000000001,F4447&lt;=01_因子設定!$M$7+0.000000001,IF(01_因子設定!$B$20="Box-Behnken",D4447^2+E4447^2+F4447^2&lt;=2+0.000000001,TRUE()))</f>
        <v>1</v>
      </c>
      <c r="W4447" s="55" t="n">
        <f aca="false">IF(V4447,IF(01_因子設定!$B$13="最大化",T4447-01_因子設定!$B$14,IF(01_因子設定!$B$13="最小化",01_因子設定!$B$15-U4447,MIN(T4447-01_因子設定!$B$14,01_因子設定!$B$15-U4447))),-1E+030)</f>
        <v>-2.29708939404915</v>
      </c>
      <c r="X4447" s="55" t="n">
        <f aca="false">IF(V4447,IF(01_因子設定!$B$13="最大化",Q4447,IF(01_因子設定!$B$13="最小化",-Q4447,-ABS(Q4447-01_因子設定!$B$16))),-1E+030)</f>
        <v>47.2729261363636</v>
      </c>
      <c r="Y4447" s="55" t="n">
        <f aca="false">W4447+ROW()*0.000000001</f>
        <v>-2.29708494704915</v>
      </c>
      <c r="Z4447" s="55" t="n">
        <f aca="false">X4447+ROW()*0.000000001</f>
        <v>47.2729305833636</v>
      </c>
    </row>
    <row r="4448" customFormat="false" ht="15" hidden="false" customHeight="false" outlineLevel="0" collapsed="false">
      <c r="A4448" s="0" t="n">
        <v>15</v>
      </c>
      <c r="B4448" s="0" t="n">
        <v>6</v>
      </c>
      <c r="C4448" s="0" t="n">
        <v>6</v>
      </c>
      <c r="D4448" s="0" t="n">
        <f aca="false">-1+A4448*0.125</f>
        <v>0.875</v>
      </c>
      <c r="E4448" s="0" t="n">
        <f aca="false">-1+B4448*0.125</f>
        <v>-0.25</v>
      </c>
      <c r="F4448" s="0" t="n">
        <f aca="false">-1+C4448*0.125</f>
        <v>-0.25</v>
      </c>
      <c r="G4448" s="0" t="n">
        <f aca="false">1</f>
        <v>1</v>
      </c>
      <c r="H4448" s="0" t="n">
        <f aca="false">D4448</f>
        <v>0.875</v>
      </c>
      <c r="I4448" s="0" t="n">
        <f aca="false">E4448</f>
        <v>-0.25</v>
      </c>
      <c r="J4448" s="0" t="n">
        <f aca="false">F4448</f>
        <v>-0.25</v>
      </c>
      <c r="K4448" s="0" t="n">
        <f aca="false">D4448*E4448</f>
        <v>-0.21875</v>
      </c>
      <c r="L4448" s="0" t="n">
        <f aca="false">D4448*F4448</f>
        <v>-0.21875</v>
      </c>
      <c r="M4448" s="0" t="n">
        <f aca="false">E4448*F4448</f>
        <v>0.0625</v>
      </c>
      <c r="N4448" s="0" t="n">
        <f aca="false">D4448*D4448</f>
        <v>0.765625</v>
      </c>
      <c r="O4448" s="0" t="n">
        <f aca="false">E4448*E4448</f>
        <v>0.0625</v>
      </c>
      <c r="P4448" s="0" t="n">
        <f aca="false">F4448*F4448</f>
        <v>0.0625</v>
      </c>
      <c r="Q4448" s="0" t="n">
        <f aca="false">SUMPRODUCT(G4448:P4448,_XtX!$B$71:$K$71)</f>
        <v>47.5069318181818</v>
      </c>
      <c r="R4448" s="0" t="n">
        <f aca="false">SUMPRODUCT(MMULT(G4448:P4448,_XtX!$B$58:$K$67),G4448:P4448)</f>
        <v>0.327561257102273</v>
      </c>
      <c r="S4448" s="0" t="n">
        <f aca="false">04_回帰ANOVA!$K$19*04_回帰ANOVA!$K$14*SQRT(1+R4448)</f>
        <v>1.07125761201315</v>
      </c>
      <c r="T4448" s="0" t="n">
        <f aca="false">Q4448-S4448</f>
        <v>46.4356742061687</v>
      </c>
      <c r="U4448" s="0" t="n">
        <f aca="false">Q4448+S4448</f>
        <v>48.578189430195</v>
      </c>
      <c r="V4448" s="54" t="b">
        <f aca="false">AND(D4448&gt;=01_因子設定!$L$5-0.000000001,D4448&lt;=01_因子設定!$M$5+0.000000001,E4448&gt;=01_因子設定!$L$6-0.000000001,E4448&lt;=01_因子設定!$M$6+0.000000001,F4448&gt;=01_因子設定!$L$7-0.000000001,F4448&lt;=01_因子設定!$M$7+0.000000001,IF(01_因子設定!$B$20="Box-Behnken",D4448^2+E4448^2+F4448^2&lt;=2+0.000000001,TRUE()))</f>
        <v>1</v>
      </c>
      <c r="W4448" s="55" t="n">
        <f aca="false">IF(V4448,IF(01_因子設定!$B$13="最大化",T4448-01_因子設定!$B$14,IF(01_因子設定!$B$13="最小化",01_因子設定!$B$15-U4448,MIN(T4448-01_因子設定!$B$14,01_因子設定!$B$15-U4448))),-1E+030)</f>
        <v>-2.06432579383134</v>
      </c>
      <c r="X4448" s="55" t="n">
        <f aca="false">IF(V4448,IF(01_因子設定!$B$13="最大化",Q4448,IF(01_因子設定!$B$13="最小化",-Q4448,-ABS(Q4448-01_因子設定!$B$16))),-1E+030)</f>
        <v>47.5069318181818</v>
      </c>
      <c r="Y4448" s="55" t="n">
        <f aca="false">W4448+ROW()*0.000000001</f>
        <v>-2.06432134583134</v>
      </c>
      <c r="Z4448" s="55" t="n">
        <f aca="false">X4448+ROW()*0.000000001</f>
        <v>47.5069362661818</v>
      </c>
    </row>
    <row r="4449" customFormat="false" ht="15" hidden="false" customHeight="false" outlineLevel="0" collapsed="false">
      <c r="A4449" s="0" t="n">
        <v>15</v>
      </c>
      <c r="B4449" s="0" t="n">
        <v>6</v>
      </c>
      <c r="C4449" s="0" t="n">
        <v>7</v>
      </c>
      <c r="D4449" s="0" t="n">
        <f aca="false">-1+A4449*0.125</f>
        <v>0.875</v>
      </c>
      <c r="E4449" s="0" t="n">
        <f aca="false">-1+B4449*0.125</f>
        <v>-0.25</v>
      </c>
      <c r="F4449" s="0" t="n">
        <f aca="false">-1+C4449*0.125</f>
        <v>-0.125</v>
      </c>
      <c r="G4449" s="0" t="n">
        <f aca="false">1</f>
        <v>1</v>
      </c>
      <c r="H4449" s="0" t="n">
        <f aca="false">D4449</f>
        <v>0.875</v>
      </c>
      <c r="I4449" s="0" t="n">
        <f aca="false">E4449</f>
        <v>-0.25</v>
      </c>
      <c r="J4449" s="0" t="n">
        <f aca="false">F4449</f>
        <v>-0.125</v>
      </c>
      <c r="K4449" s="0" t="n">
        <f aca="false">D4449*E4449</f>
        <v>-0.21875</v>
      </c>
      <c r="L4449" s="0" t="n">
        <f aca="false">D4449*F4449</f>
        <v>-0.109375</v>
      </c>
      <c r="M4449" s="0" t="n">
        <f aca="false">E4449*F4449</f>
        <v>0.03125</v>
      </c>
      <c r="N4449" s="0" t="n">
        <f aca="false">D4449*D4449</f>
        <v>0.765625</v>
      </c>
      <c r="O4449" s="0" t="n">
        <f aca="false">E4449*E4449</f>
        <v>0.0625</v>
      </c>
      <c r="P4449" s="0" t="n">
        <f aca="false">F4449*F4449</f>
        <v>0.015625</v>
      </c>
      <c r="Q4449" s="0" t="n">
        <f aca="false">SUMPRODUCT(G4449:P4449,_XtX!$B$71:$K$71)</f>
        <v>47.7041477272727</v>
      </c>
      <c r="R4449" s="0" t="n">
        <f aca="false">SUMPRODUCT(MMULT(G4449:P4449,_XtX!$B$58:$K$67),G4449:P4449)</f>
        <v>0.331537974964489</v>
      </c>
      <c r="S4449" s="0" t="n">
        <f aca="false">04_回帰ANOVA!$K$19*04_回帰ANOVA!$K$14*SQRT(1+R4449)</f>
        <v>1.07286089161565</v>
      </c>
      <c r="T4449" s="0" t="n">
        <f aca="false">Q4449-S4449</f>
        <v>46.6312868356571</v>
      </c>
      <c r="U4449" s="0" t="n">
        <f aca="false">Q4449+S4449</f>
        <v>48.7770086188884</v>
      </c>
      <c r="V4449" s="54" t="b">
        <f aca="false">AND(D4449&gt;=01_因子設定!$L$5-0.000000001,D4449&lt;=01_因子設定!$M$5+0.000000001,E4449&gt;=01_因子設定!$L$6-0.000000001,E4449&lt;=01_因子設定!$M$6+0.000000001,F4449&gt;=01_因子設定!$L$7-0.000000001,F4449&lt;=01_因子設定!$M$7+0.000000001,IF(01_因子設定!$B$20="Box-Behnken",D4449^2+E4449^2+F4449^2&lt;=2+0.000000001,TRUE()))</f>
        <v>1</v>
      </c>
      <c r="W4449" s="55" t="n">
        <f aca="false">IF(V4449,IF(01_因子設定!$B$13="最大化",T4449-01_因子設定!$B$14,IF(01_因子設定!$B$13="最小化",01_因子設定!$B$15-U4449,MIN(T4449-01_因子設定!$B$14,01_因子設定!$B$15-U4449))),-1E+030)</f>
        <v>-1.86871316434294</v>
      </c>
      <c r="X4449" s="55" t="n">
        <f aca="false">IF(V4449,IF(01_因子設定!$B$13="最大化",Q4449,IF(01_因子設定!$B$13="最小化",-Q4449,-ABS(Q4449-01_因子設定!$B$16))),-1E+030)</f>
        <v>47.7041477272727</v>
      </c>
      <c r="Y4449" s="55" t="n">
        <f aca="false">W4449+ROW()*0.000000001</f>
        <v>-1.86870871534294</v>
      </c>
      <c r="Z4449" s="55" t="n">
        <f aca="false">X4449+ROW()*0.000000001</f>
        <v>47.7041521762727</v>
      </c>
    </row>
    <row r="4450" customFormat="false" ht="15" hidden="false" customHeight="false" outlineLevel="0" collapsed="false">
      <c r="A4450" s="0" t="n">
        <v>15</v>
      </c>
      <c r="B4450" s="0" t="n">
        <v>6</v>
      </c>
      <c r="C4450" s="0" t="n">
        <v>8</v>
      </c>
      <c r="D4450" s="0" t="n">
        <f aca="false">-1+A4450*0.125</f>
        <v>0.875</v>
      </c>
      <c r="E4450" s="0" t="n">
        <f aca="false">-1+B4450*0.125</f>
        <v>-0.25</v>
      </c>
      <c r="F4450" s="0" t="n">
        <f aca="false">-1+C4450*0.125</f>
        <v>0</v>
      </c>
      <c r="G4450" s="0" t="n">
        <f aca="false">1</f>
        <v>1</v>
      </c>
      <c r="H4450" s="0" t="n">
        <f aca="false">D4450</f>
        <v>0.875</v>
      </c>
      <c r="I4450" s="0" t="n">
        <f aca="false">E4450</f>
        <v>-0.25</v>
      </c>
      <c r="J4450" s="0" t="n">
        <f aca="false">F4450</f>
        <v>0</v>
      </c>
      <c r="K4450" s="0" t="n">
        <f aca="false">D4450*E4450</f>
        <v>-0.21875</v>
      </c>
      <c r="L4450" s="0" t="n">
        <f aca="false">D4450*F4450</f>
        <v>0</v>
      </c>
      <c r="M4450" s="0" t="n">
        <f aca="false">E4450*F4450</f>
        <v>-0</v>
      </c>
      <c r="N4450" s="0" t="n">
        <f aca="false">D4450*D4450</f>
        <v>0.765625</v>
      </c>
      <c r="O4450" s="0" t="n">
        <f aca="false">E4450*E4450</f>
        <v>0.0625</v>
      </c>
      <c r="P4450" s="0" t="n">
        <f aca="false">F4450*F4450</f>
        <v>0</v>
      </c>
      <c r="Q4450" s="0" t="n">
        <f aca="false">SUMPRODUCT(G4450:P4450,_XtX!$B$71:$K$71)</f>
        <v>47.8645738636364</v>
      </c>
      <c r="R4450" s="0" t="n">
        <f aca="false">SUMPRODUCT(MMULT(G4450:P4450,_XtX!$B$58:$K$67),G4450:P4450)</f>
        <v>0.333218661221591</v>
      </c>
      <c r="S4450" s="0" t="n">
        <f aca="false">04_回帰ANOVA!$K$19*04_回帰ANOVA!$K$14*SQRT(1+R4450)</f>
        <v>1.07353776826542</v>
      </c>
      <c r="T4450" s="0" t="n">
        <f aca="false">Q4450-S4450</f>
        <v>46.7910360953709</v>
      </c>
      <c r="U4450" s="0" t="n">
        <f aca="false">Q4450+S4450</f>
        <v>48.9381116319018</v>
      </c>
      <c r="V4450" s="54" t="b">
        <f aca="false">AND(D4450&gt;=01_因子設定!$L$5-0.000000001,D4450&lt;=01_因子設定!$M$5+0.000000001,E4450&gt;=01_因子設定!$L$6-0.000000001,E4450&lt;=01_因子設定!$M$6+0.000000001,F4450&gt;=01_因子設定!$L$7-0.000000001,F4450&lt;=01_因子設定!$M$7+0.000000001,IF(01_因子設定!$B$20="Box-Behnken",D4450^2+E4450^2+F4450^2&lt;=2+0.000000001,TRUE()))</f>
        <v>1</v>
      </c>
      <c r="W4450" s="55" t="n">
        <f aca="false">IF(V4450,IF(01_因子設定!$B$13="最大化",T4450-01_因子設定!$B$14,IF(01_因子設定!$B$13="最小化",01_因子設定!$B$15-U4450,MIN(T4450-01_因子設定!$B$14,01_因子設定!$B$15-U4450))),-1E+030)</f>
        <v>-1.70896390462906</v>
      </c>
      <c r="X4450" s="55" t="n">
        <f aca="false">IF(V4450,IF(01_因子設定!$B$13="最大化",Q4450,IF(01_因子設定!$B$13="最小化",-Q4450,-ABS(Q4450-01_因子設定!$B$16))),-1E+030)</f>
        <v>47.8645738636364</v>
      </c>
      <c r="Y4450" s="55" t="n">
        <f aca="false">W4450+ROW()*0.000000001</f>
        <v>-1.70895945462906</v>
      </c>
      <c r="Z4450" s="55" t="n">
        <f aca="false">X4450+ROW()*0.000000001</f>
        <v>47.8645783136364</v>
      </c>
    </row>
    <row r="4451" customFormat="false" ht="15" hidden="false" customHeight="false" outlineLevel="0" collapsed="false">
      <c r="A4451" s="0" t="n">
        <v>15</v>
      </c>
      <c r="B4451" s="0" t="n">
        <v>6</v>
      </c>
      <c r="C4451" s="0" t="n">
        <v>9</v>
      </c>
      <c r="D4451" s="0" t="n">
        <f aca="false">-1+A4451*0.125</f>
        <v>0.875</v>
      </c>
      <c r="E4451" s="0" t="n">
        <f aca="false">-1+B4451*0.125</f>
        <v>-0.25</v>
      </c>
      <c r="F4451" s="0" t="n">
        <f aca="false">-1+C4451*0.125</f>
        <v>0.125</v>
      </c>
      <c r="G4451" s="0" t="n">
        <f aca="false">1</f>
        <v>1</v>
      </c>
      <c r="H4451" s="0" t="n">
        <f aca="false">D4451</f>
        <v>0.875</v>
      </c>
      <c r="I4451" s="0" t="n">
        <f aca="false">E4451</f>
        <v>-0.25</v>
      </c>
      <c r="J4451" s="0" t="n">
        <f aca="false">F4451</f>
        <v>0.125</v>
      </c>
      <c r="K4451" s="0" t="n">
        <f aca="false">D4451*E4451</f>
        <v>-0.21875</v>
      </c>
      <c r="L4451" s="0" t="n">
        <f aca="false">D4451*F4451</f>
        <v>0.109375</v>
      </c>
      <c r="M4451" s="0" t="n">
        <f aca="false">E4451*F4451</f>
        <v>-0.03125</v>
      </c>
      <c r="N4451" s="0" t="n">
        <f aca="false">D4451*D4451</f>
        <v>0.765625</v>
      </c>
      <c r="O4451" s="0" t="n">
        <f aca="false">E4451*E4451</f>
        <v>0.0625</v>
      </c>
      <c r="P4451" s="0" t="n">
        <f aca="false">F4451*F4451</f>
        <v>0.015625</v>
      </c>
      <c r="Q4451" s="0" t="n">
        <f aca="false">SUMPRODUCT(G4451:P4451,_XtX!$B$71:$K$71)</f>
        <v>47.9882102272727</v>
      </c>
      <c r="R4451" s="0" t="n">
        <f aca="false">SUMPRODUCT(MMULT(G4451:P4451,_XtX!$B$58:$K$67),G4451:P4451)</f>
        <v>0.331537974964489</v>
      </c>
      <c r="S4451" s="0" t="n">
        <f aca="false">04_回帰ANOVA!$K$19*04_回帰ANOVA!$K$14*SQRT(1+R4451)</f>
        <v>1.07286089161565</v>
      </c>
      <c r="T4451" s="0" t="n">
        <f aca="false">Q4451-S4451</f>
        <v>46.9153493356571</v>
      </c>
      <c r="U4451" s="0" t="n">
        <f aca="false">Q4451+S4451</f>
        <v>49.0610711188884</v>
      </c>
      <c r="V4451" s="54" t="b">
        <f aca="false">AND(D4451&gt;=01_因子設定!$L$5-0.000000001,D4451&lt;=01_因子設定!$M$5+0.000000001,E4451&gt;=01_因子設定!$L$6-0.000000001,E4451&lt;=01_因子設定!$M$6+0.000000001,F4451&gt;=01_因子設定!$L$7-0.000000001,F4451&lt;=01_因子設定!$M$7+0.000000001,IF(01_因子設定!$B$20="Box-Behnken",D4451^2+E4451^2+F4451^2&lt;=2+0.000000001,TRUE()))</f>
        <v>1</v>
      </c>
      <c r="W4451" s="55" t="n">
        <f aca="false">IF(V4451,IF(01_因子設定!$B$13="最大化",T4451-01_因子設定!$B$14,IF(01_因子設定!$B$13="最小化",01_因子設定!$B$15-U4451,MIN(T4451-01_因子設定!$B$14,01_因子設定!$B$15-U4451))),-1E+030)</f>
        <v>-1.58465066434293</v>
      </c>
      <c r="X4451" s="55" t="n">
        <f aca="false">IF(V4451,IF(01_因子設定!$B$13="最大化",Q4451,IF(01_因子設定!$B$13="最小化",-Q4451,-ABS(Q4451-01_因子設定!$B$16))),-1E+030)</f>
        <v>47.9882102272727</v>
      </c>
      <c r="Y4451" s="55" t="n">
        <f aca="false">W4451+ROW()*0.000000001</f>
        <v>-1.58464621334293</v>
      </c>
      <c r="Z4451" s="55" t="n">
        <f aca="false">X4451+ROW()*0.000000001</f>
        <v>47.9882146782727</v>
      </c>
    </row>
    <row r="4452" customFormat="false" ht="15" hidden="false" customHeight="false" outlineLevel="0" collapsed="false">
      <c r="A4452" s="0" t="n">
        <v>15</v>
      </c>
      <c r="B4452" s="0" t="n">
        <v>6</v>
      </c>
      <c r="C4452" s="0" t="n">
        <v>10</v>
      </c>
      <c r="D4452" s="0" t="n">
        <f aca="false">-1+A4452*0.125</f>
        <v>0.875</v>
      </c>
      <c r="E4452" s="0" t="n">
        <f aca="false">-1+B4452*0.125</f>
        <v>-0.25</v>
      </c>
      <c r="F4452" s="0" t="n">
        <f aca="false">-1+C4452*0.125</f>
        <v>0.25</v>
      </c>
      <c r="G4452" s="0" t="n">
        <f aca="false">1</f>
        <v>1</v>
      </c>
      <c r="H4452" s="0" t="n">
        <f aca="false">D4452</f>
        <v>0.875</v>
      </c>
      <c r="I4452" s="0" t="n">
        <f aca="false">E4452</f>
        <v>-0.25</v>
      </c>
      <c r="J4452" s="0" t="n">
        <f aca="false">F4452</f>
        <v>0.25</v>
      </c>
      <c r="K4452" s="0" t="n">
        <f aca="false">D4452*E4452</f>
        <v>-0.21875</v>
      </c>
      <c r="L4452" s="0" t="n">
        <f aca="false">D4452*F4452</f>
        <v>0.21875</v>
      </c>
      <c r="M4452" s="0" t="n">
        <f aca="false">E4452*F4452</f>
        <v>-0.0625</v>
      </c>
      <c r="N4452" s="0" t="n">
        <f aca="false">D4452*D4452</f>
        <v>0.765625</v>
      </c>
      <c r="O4452" s="0" t="n">
        <f aca="false">E4452*E4452</f>
        <v>0.0625</v>
      </c>
      <c r="P4452" s="0" t="n">
        <f aca="false">F4452*F4452</f>
        <v>0.0625</v>
      </c>
      <c r="Q4452" s="0" t="n">
        <f aca="false">SUMPRODUCT(G4452:P4452,_XtX!$B$71:$K$71)</f>
        <v>48.0750568181818</v>
      </c>
      <c r="R4452" s="0" t="n">
        <f aca="false">SUMPRODUCT(MMULT(G4452:P4452,_XtX!$B$58:$K$67),G4452:P4452)</f>
        <v>0.327561257102273</v>
      </c>
      <c r="S4452" s="0" t="n">
        <f aca="false">04_回帰ANOVA!$K$19*04_回帰ANOVA!$K$14*SQRT(1+R4452)</f>
        <v>1.07125761201315</v>
      </c>
      <c r="T4452" s="0" t="n">
        <f aca="false">Q4452-S4452</f>
        <v>47.0037992061687</v>
      </c>
      <c r="U4452" s="0" t="n">
        <f aca="false">Q4452+S4452</f>
        <v>49.146314430195</v>
      </c>
      <c r="V4452" s="54" t="b">
        <f aca="false">AND(D4452&gt;=01_因子設定!$L$5-0.000000001,D4452&lt;=01_因子設定!$M$5+0.000000001,E4452&gt;=01_因子設定!$L$6-0.000000001,E4452&lt;=01_因子設定!$M$6+0.000000001,F4452&gt;=01_因子設定!$L$7-0.000000001,F4452&lt;=01_因子設定!$M$7+0.000000001,IF(01_因子設定!$B$20="Box-Behnken",D4452^2+E4452^2+F4452^2&lt;=2+0.000000001,TRUE()))</f>
        <v>1</v>
      </c>
      <c r="W4452" s="55" t="n">
        <f aca="false">IF(V4452,IF(01_因子設定!$B$13="最大化",T4452-01_因子設定!$B$14,IF(01_因子設定!$B$13="最小化",01_因子設定!$B$15-U4452,MIN(T4452-01_因子設定!$B$14,01_因子設定!$B$15-U4452))),-1E+030)</f>
        <v>-1.49620079383133</v>
      </c>
      <c r="X4452" s="55" t="n">
        <f aca="false">IF(V4452,IF(01_因子設定!$B$13="最大化",Q4452,IF(01_因子設定!$B$13="最小化",-Q4452,-ABS(Q4452-01_因子設定!$B$16))),-1E+030)</f>
        <v>48.0750568181818</v>
      </c>
      <c r="Y4452" s="55" t="n">
        <f aca="false">W4452+ROW()*0.000000001</f>
        <v>-1.49619634183133</v>
      </c>
      <c r="Z4452" s="55" t="n">
        <f aca="false">X4452+ROW()*0.000000001</f>
        <v>48.0750612701818</v>
      </c>
    </row>
    <row r="4453" customFormat="false" ht="15" hidden="false" customHeight="false" outlineLevel="0" collapsed="false">
      <c r="A4453" s="0" t="n">
        <v>15</v>
      </c>
      <c r="B4453" s="0" t="n">
        <v>6</v>
      </c>
      <c r="C4453" s="0" t="n">
        <v>11</v>
      </c>
      <c r="D4453" s="0" t="n">
        <f aca="false">-1+A4453*0.125</f>
        <v>0.875</v>
      </c>
      <c r="E4453" s="0" t="n">
        <f aca="false">-1+B4453*0.125</f>
        <v>-0.25</v>
      </c>
      <c r="F4453" s="0" t="n">
        <f aca="false">-1+C4453*0.125</f>
        <v>0.375</v>
      </c>
      <c r="G4453" s="0" t="n">
        <f aca="false">1</f>
        <v>1</v>
      </c>
      <c r="H4453" s="0" t="n">
        <f aca="false">D4453</f>
        <v>0.875</v>
      </c>
      <c r="I4453" s="0" t="n">
        <f aca="false">E4453</f>
        <v>-0.25</v>
      </c>
      <c r="J4453" s="0" t="n">
        <f aca="false">F4453</f>
        <v>0.375</v>
      </c>
      <c r="K4453" s="0" t="n">
        <f aca="false">D4453*E4453</f>
        <v>-0.21875</v>
      </c>
      <c r="L4453" s="0" t="n">
        <f aca="false">D4453*F4453</f>
        <v>0.328125</v>
      </c>
      <c r="M4453" s="0" t="n">
        <f aca="false">E4453*F4453</f>
        <v>-0.09375</v>
      </c>
      <c r="N4453" s="0" t="n">
        <f aca="false">D4453*D4453</f>
        <v>0.765625</v>
      </c>
      <c r="O4453" s="0" t="n">
        <f aca="false">E4453*E4453</f>
        <v>0.0625</v>
      </c>
      <c r="P4453" s="0" t="n">
        <f aca="false">F4453*F4453</f>
        <v>0.140625</v>
      </c>
      <c r="Q4453" s="0" t="n">
        <f aca="false">SUMPRODUCT(G4453:P4453,_XtX!$B$71:$K$71)</f>
        <v>48.1251136363636</v>
      </c>
      <c r="R4453" s="0" t="n">
        <f aca="false">SUMPRODUCT(MMULT(G4453:P4453,_XtX!$B$58:$K$67),G4453:P4453)</f>
        <v>0.324484530362216</v>
      </c>
      <c r="S4453" s="0" t="n">
        <f aca="false">04_回帰ANOVA!$K$19*04_回帰ANOVA!$K$14*SQRT(1+R4453)</f>
        <v>1.07001553041279</v>
      </c>
      <c r="T4453" s="0" t="n">
        <f aca="false">Q4453-S4453</f>
        <v>47.0550981059509</v>
      </c>
      <c r="U4453" s="0" t="n">
        <f aca="false">Q4453+S4453</f>
        <v>49.1951291667764</v>
      </c>
      <c r="V4453" s="54" t="b">
        <f aca="false">AND(D4453&gt;=01_因子設定!$L$5-0.000000001,D4453&lt;=01_因子設定!$M$5+0.000000001,E4453&gt;=01_因子設定!$L$6-0.000000001,E4453&lt;=01_因子設定!$M$6+0.000000001,F4453&gt;=01_因子設定!$L$7-0.000000001,F4453&lt;=01_因子設定!$M$7+0.000000001,IF(01_因子設定!$B$20="Box-Behnken",D4453^2+E4453^2+F4453^2&lt;=2+0.000000001,TRUE()))</f>
        <v>1</v>
      </c>
      <c r="W4453" s="55" t="n">
        <f aca="false">IF(V4453,IF(01_因子設定!$B$13="最大化",T4453-01_因子設定!$B$14,IF(01_因子設定!$B$13="最小化",01_因子設定!$B$15-U4453,MIN(T4453-01_因子設定!$B$14,01_因子設定!$B$15-U4453))),-1E+030)</f>
        <v>-1.44490189404915</v>
      </c>
      <c r="X4453" s="55" t="n">
        <f aca="false">IF(V4453,IF(01_因子設定!$B$13="最大化",Q4453,IF(01_因子設定!$B$13="最小化",-Q4453,-ABS(Q4453-01_因子設定!$B$16))),-1E+030)</f>
        <v>48.1251136363636</v>
      </c>
      <c r="Y4453" s="55" t="n">
        <f aca="false">W4453+ROW()*0.000000001</f>
        <v>-1.44489744104915</v>
      </c>
      <c r="Z4453" s="55" t="n">
        <f aca="false">X4453+ROW()*0.000000001</f>
        <v>48.1251180893636</v>
      </c>
    </row>
    <row r="4454" customFormat="false" ht="15" hidden="false" customHeight="false" outlineLevel="0" collapsed="false">
      <c r="A4454" s="0" t="n">
        <v>15</v>
      </c>
      <c r="B4454" s="0" t="n">
        <v>6</v>
      </c>
      <c r="C4454" s="0" t="n">
        <v>12</v>
      </c>
      <c r="D4454" s="0" t="n">
        <f aca="false">-1+A4454*0.125</f>
        <v>0.875</v>
      </c>
      <c r="E4454" s="0" t="n">
        <f aca="false">-1+B4454*0.125</f>
        <v>-0.25</v>
      </c>
      <c r="F4454" s="0" t="n">
        <f aca="false">-1+C4454*0.125</f>
        <v>0.5</v>
      </c>
      <c r="G4454" s="0" t="n">
        <f aca="false">1</f>
        <v>1</v>
      </c>
      <c r="H4454" s="0" t="n">
        <f aca="false">D4454</f>
        <v>0.875</v>
      </c>
      <c r="I4454" s="0" t="n">
        <f aca="false">E4454</f>
        <v>-0.25</v>
      </c>
      <c r="J4454" s="0" t="n">
        <f aca="false">F4454</f>
        <v>0.5</v>
      </c>
      <c r="K4454" s="0" t="n">
        <f aca="false">D4454*E4454</f>
        <v>-0.21875</v>
      </c>
      <c r="L4454" s="0" t="n">
        <f aca="false">D4454*F4454</f>
        <v>0.4375</v>
      </c>
      <c r="M4454" s="0" t="n">
        <f aca="false">E4454*F4454</f>
        <v>-0.125</v>
      </c>
      <c r="N4454" s="0" t="n">
        <f aca="false">D4454*D4454</f>
        <v>0.765625</v>
      </c>
      <c r="O4454" s="0" t="n">
        <f aca="false">E4454*E4454</f>
        <v>0.0625</v>
      </c>
      <c r="P4454" s="0" t="n">
        <f aca="false">F4454*F4454</f>
        <v>0.25</v>
      </c>
      <c r="Q4454" s="0" t="n">
        <f aca="false">SUMPRODUCT(G4454:P4454,_XtX!$B$71:$K$71)</f>
        <v>48.1383806818182</v>
      </c>
      <c r="R4454" s="0" t="n">
        <f aca="false">SUMPRODUCT(MMULT(G4454:P4454,_XtX!$B$58:$K$67),G4454:P4454)</f>
        <v>0.327634499289773</v>
      </c>
      <c r="S4454" s="0" t="n">
        <f aca="false">04_回帰ANOVA!$K$19*04_回帰ANOVA!$K$14*SQRT(1+R4454)</f>
        <v>1.07128716250217</v>
      </c>
      <c r="T4454" s="0" t="n">
        <f aca="false">Q4454-S4454</f>
        <v>47.067093519316</v>
      </c>
      <c r="U4454" s="0" t="n">
        <f aca="false">Q4454+S4454</f>
        <v>49.2096678443204</v>
      </c>
      <c r="V4454" s="54" t="b">
        <f aca="false">AND(D4454&gt;=01_因子設定!$L$5-0.000000001,D4454&lt;=01_因子設定!$M$5+0.000000001,E4454&gt;=01_因子設定!$L$6-0.000000001,E4454&lt;=01_因子設定!$M$6+0.000000001,F4454&gt;=01_因子設定!$L$7-0.000000001,F4454&lt;=01_因子設定!$M$7+0.000000001,IF(01_因子設定!$B$20="Box-Behnken",D4454^2+E4454^2+F4454^2&lt;=2+0.000000001,TRUE()))</f>
        <v>1</v>
      </c>
      <c r="W4454" s="55" t="n">
        <f aca="false">IF(V4454,IF(01_因子設定!$B$13="最大化",T4454-01_因子設定!$B$14,IF(01_因子設定!$B$13="最小化",01_因子設定!$B$15-U4454,MIN(T4454-01_因子設定!$B$14,01_因子設定!$B$15-U4454))),-1E+030)</f>
        <v>-1.43290648068399</v>
      </c>
      <c r="X4454" s="55" t="n">
        <f aca="false">IF(V4454,IF(01_因子設定!$B$13="最大化",Q4454,IF(01_因子設定!$B$13="最小化",-Q4454,-ABS(Q4454-01_因子設定!$B$16))),-1E+030)</f>
        <v>48.1383806818182</v>
      </c>
      <c r="Y4454" s="55" t="n">
        <f aca="false">W4454+ROW()*0.000000001</f>
        <v>-1.43290202668399</v>
      </c>
      <c r="Z4454" s="55" t="n">
        <f aca="false">X4454+ROW()*0.000000001</f>
        <v>48.1383851358182</v>
      </c>
    </row>
    <row r="4455" customFormat="false" ht="15" hidden="false" customHeight="false" outlineLevel="0" collapsed="false">
      <c r="A4455" s="0" t="n">
        <v>15</v>
      </c>
      <c r="B4455" s="0" t="n">
        <v>6</v>
      </c>
      <c r="C4455" s="0" t="n">
        <v>13</v>
      </c>
      <c r="D4455" s="0" t="n">
        <f aca="false">-1+A4455*0.125</f>
        <v>0.875</v>
      </c>
      <c r="E4455" s="0" t="n">
        <f aca="false">-1+B4455*0.125</f>
        <v>-0.25</v>
      </c>
      <c r="F4455" s="0" t="n">
        <f aca="false">-1+C4455*0.125</f>
        <v>0.625</v>
      </c>
      <c r="G4455" s="0" t="n">
        <f aca="false">1</f>
        <v>1</v>
      </c>
      <c r="H4455" s="0" t="n">
        <f aca="false">D4455</f>
        <v>0.875</v>
      </c>
      <c r="I4455" s="0" t="n">
        <f aca="false">E4455</f>
        <v>-0.25</v>
      </c>
      <c r="J4455" s="0" t="n">
        <f aca="false">F4455</f>
        <v>0.625</v>
      </c>
      <c r="K4455" s="0" t="n">
        <f aca="false">D4455*E4455</f>
        <v>-0.21875</v>
      </c>
      <c r="L4455" s="0" t="n">
        <f aca="false">D4455*F4455</f>
        <v>0.546875</v>
      </c>
      <c r="M4455" s="0" t="n">
        <f aca="false">E4455*F4455</f>
        <v>-0.15625</v>
      </c>
      <c r="N4455" s="0" t="n">
        <f aca="false">D4455*D4455</f>
        <v>0.765625</v>
      </c>
      <c r="O4455" s="0" t="n">
        <f aca="false">E4455*E4455</f>
        <v>0.0625</v>
      </c>
      <c r="P4455" s="0" t="n">
        <f aca="false">F4455*F4455</f>
        <v>0.390625</v>
      </c>
      <c r="Q4455" s="0" t="n">
        <f aca="false">SUMPRODUCT(G4455:P4455,_XtX!$B$71:$K$71)</f>
        <v>48.1148579545455</v>
      </c>
      <c r="R4455" s="0" t="n">
        <f aca="false">SUMPRODUCT(MMULT(G4455:P4455,_XtX!$B$58:$K$67),G4455:P4455)</f>
        <v>0.34446855024858</v>
      </c>
      <c r="S4455" s="0" t="n">
        <f aca="false">04_回帰ANOVA!$K$19*04_回帰ANOVA!$K$14*SQRT(1+R4455)</f>
        <v>1.07805758590432</v>
      </c>
      <c r="T4455" s="0" t="n">
        <f aca="false">Q4455-S4455</f>
        <v>47.0368003686411</v>
      </c>
      <c r="U4455" s="0" t="n">
        <f aca="false">Q4455+S4455</f>
        <v>49.1929155404498</v>
      </c>
      <c r="V4455" s="54" t="b">
        <f aca="false">AND(D4455&gt;=01_因子設定!$L$5-0.000000001,D4455&lt;=01_因子設定!$M$5+0.000000001,E4455&gt;=01_因子設定!$L$6-0.000000001,E4455&lt;=01_因子設定!$M$6+0.000000001,F4455&gt;=01_因子設定!$L$7-0.000000001,F4455&lt;=01_因子設定!$M$7+0.000000001,IF(01_因子設定!$B$20="Box-Behnken",D4455^2+E4455^2+F4455^2&lt;=2+0.000000001,TRUE()))</f>
        <v>1</v>
      </c>
      <c r="W4455" s="55" t="n">
        <f aca="false">IF(V4455,IF(01_因子設定!$B$13="最大化",T4455-01_因子設定!$B$14,IF(01_因子設定!$B$13="最小化",01_因子設定!$B$15-U4455,MIN(T4455-01_因子設定!$B$14,01_因子設定!$B$15-U4455))),-1E+030)</f>
        <v>-1.46319963135886</v>
      </c>
      <c r="X4455" s="55" t="n">
        <f aca="false">IF(V4455,IF(01_因子設定!$B$13="最大化",Q4455,IF(01_因子設定!$B$13="最小化",-Q4455,-ABS(Q4455-01_因子設定!$B$16))),-1E+030)</f>
        <v>48.1148579545455</v>
      </c>
      <c r="Y4455" s="55" t="n">
        <f aca="false">W4455+ROW()*0.000000001</f>
        <v>-1.46319517635886</v>
      </c>
      <c r="Z4455" s="55" t="n">
        <f aca="false">X4455+ROW()*0.000000001</f>
        <v>48.1148624095455</v>
      </c>
    </row>
    <row r="4456" customFormat="false" ht="15" hidden="false" customHeight="false" outlineLevel="0" collapsed="false">
      <c r="A4456" s="0" t="n">
        <v>15</v>
      </c>
      <c r="B4456" s="0" t="n">
        <v>6</v>
      </c>
      <c r="C4456" s="0" t="n">
        <v>14</v>
      </c>
      <c r="D4456" s="0" t="n">
        <f aca="false">-1+A4456*0.125</f>
        <v>0.875</v>
      </c>
      <c r="E4456" s="0" t="n">
        <f aca="false">-1+B4456*0.125</f>
        <v>-0.25</v>
      </c>
      <c r="F4456" s="0" t="n">
        <f aca="false">-1+C4456*0.125</f>
        <v>0.75</v>
      </c>
      <c r="G4456" s="0" t="n">
        <f aca="false">1</f>
        <v>1</v>
      </c>
      <c r="H4456" s="0" t="n">
        <f aca="false">D4456</f>
        <v>0.875</v>
      </c>
      <c r="I4456" s="0" t="n">
        <f aca="false">E4456</f>
        <v>-0.25</v>
      </c>
      <c r="J4456" s="0" t="n">
        <f aca="false">F4456</f>
        <v>0.75</v>
      </c>
      <c r="K4456" s="0" t="n">
        <f aca="false">D4456*E4456</f>
        <v>-0.21875</v>
      </c>
      <c r="L4456" s="0" t="n">
        <f aca="false">D4456*F4456</f>
        <v>0.65625</v>
      </c>
      <c r="M4456" s="0" t="n">
        <f aca="false">E4456*F4456</f>
        <v>-0.1875</v>
      </c>
      <c r="N4456" s="0" t="n">
        <f aca="false">D4456*D4456</f>
        <v>0.765625</v>
      </c>
      <c r="O4456" s="0" t="n">
        <f aca="false">E4456*E4456</f>
        <v>0.0625</v>
      </c>
      <c r="P4456" s="0" t="n">
        <f aca="false">F4456*F4456</f>
        <v>0.5625</v>
      </c>
      <c r="Q4456" s="0" t="n">
        <f aca="false">SUMPRODUCT(G4456:P4456,_XtX!$B$71:$K$71)</f>
        <v>48.0545454545455</v>
      </c>
      <c r="R4456" s="0" t="n">
        <f aca="false">SUMPRODUCT(MMULT(G4456:P4456,_XtX!$B$58:$K$67),G4456:P4456)</f>
        <v>0.384574751420455</v>
      </c>
      <c r="S4456" s="0" t="n">
        <f aca="false">04_回帰ANOVA!$K$19*04_回帰ANOVA!$K$14*SQRT(1+R4456)</f>
        <v>1.0940189380139</v>
      </c>
      <c r="T4456" s="0" t="n">
        <f aca="false">Q4456-S4456</f>
        <v>46.9605265165316</v>
      </c>
      <c r="U4456" s="0" t="n">
        <f aca="false">Q4456+S4456</f>
        <v>49.1485643925594</v>
      </c>
      <c r="V4456" s="54" t="b">
        <f aca="false">AND(D4456&gt;=01_因子設定!$L$5-0.000000001,D4456&lt;=01_因子設定!$M$5+0.000000001,E4456&gt;=01_因子設定!$L$6-0.000000001,E4456&lt;=01_因子設定!$M$6+0.000000001,F4456&gt;=01_因子設定!$L$7-0.000000001,F4456&lt;=01_因子設定!$M$7+0.000000001,IF(01_因子設定!$B$20="Box-Behnken",D4456^2+E4456^2+F4456^2&lt;=2+0.000000001,TRUE()))</f>
        <v>1</v>
      </c>
      <c r="W4456" s="55" t="n">
        <f aca="false">IF(V4456,IF(01_因子設定!$B$13="最大化",T4456-01_因子設定!$B$14,IF(01_因子設定!$B$13="最小化",01_因子設定!$B$15-U4456,MIN(T4456-01_因子設定!$B$14,01_因子設定!$B$15-U4456))),-1E+030)</f>
        <v>-1.53947348346844</v>
      </c>
      <c r="X4456" s="55" t="n">
        <f aca="false">IF(V4456,IF(01_因子設定!$B$13="最大化",Q4456,IF(01_因子設定!$B$13="最小化",-Q4456,-ABS(Q4456-01_因子設定!$B$16))),-1E+030)</f>
        <v>48.0545454545455</v>
      </c>
      <c r="Y4456" s="55" t="n">
        <f aca="false">W4456+ROW()*0.000000001</f>
        <v>-1.53946902746844</v>
      </c>
      <c r="Z4456" s="55" t="n">
        <f aca="false">X4456+ROW()*0.000000001</f>
        <v>48.0545499105455</v>
      </c>
    </row>
    <row r="4457" customFormat="false" ht="15" hidden="false" customHeight="false" outlineLevel="0" collapsed="false">
      <c r="A4457" s="0" t="n">
        <v>15</v>
      </c>
      <c r="B4457" s="0" t="n">
        <v>6</v>
      </c>
      <c r="C4457" s="0" t="n">
        <v>15</v>
      </c>
      <c r="D4457" s="0" t="n">
        <f aca="false">-1+A4457*0.125</f>
        <v>0.875</v>
      </c>
      <c r="E4457" s="0" t="n">
        <f aca="false">-1+B4457*0.125</f>
        <v>-0.25</v>
      </c>
      <c r="F4457" s="0" t="n">
        <f aca="false">-1+C4457*0.125</f>
        <v>0.875</v>
      </c>
      <c r="G4457" s="0" t="n">
        <f aca="false">1</f>
        <v>1</v>
      </c>
      <c r="H4457" s="0" t="n">
        <f aca="false">D4457</f>
        <v>0.875</v>
      </c>
      <c r="I4457" s="0" t="n">
        <f aca="false">E4457</f>
        <v>-0.25</v>
      </c>
      <c r="J4457" s="0" t="n">
        <f aca="false">F4457</f>
        <v>0.875</v>
      </c>
      <c r="K4457" s="0" t="n">
        <f aca="false">D4457*E4457</f>
        <v>-0.21875</v>
      </c>
      <c r="L4457" s="0" t="n">
        <f aca="false">D4457*F4457</f>
        <v>0.765625</v>
      </c>
      <c r="M4457" s="0" t="n">
        <f aca="false">E4457*F4457</f>
        <v>-0.21875</v>
      </c>
      <c r="N4457" s="0" t="n">
        <f aca="false">D4457*D4457</f>
        <v>0.765625</v>
      </c>
      <c r="O4457" s="0" t="n">
        <f aca="false">E4457*E4457</f>
        <v>0.0625</v>
      </c>
      <c r="P4457" s="0" t="n">
        <f aca="false">F4457*F4457</f>
        <v>0.765625</v>
      </c>
      <c r="Q4457" s="0" t="n">
        <f aca="false">SUMPRODUCT(G4457:P4457,_XtX!$B$71:$K$71)</f>
        <v>47.9574431818182</v>
      </c>
      <c r="R4457" s="0" t="n">
        <f aca="false">SUMPRODUCT(MMULT(G4457:P4457,_XtX!$B$58:$K$67),G4457:P4457)</f>
        <v>0.459671852805398</v>
      </c>
      <c r="S4457" s="0" t="n">
        <f aca="false">04_回帰ANOVA!$K$19*04_回帰ANOVA!$K$14*SQRT(1+R4457)</f>
        <v>1.12329610455115</v>
      </c>
      <c r="T4457" s="0" t="n">
        <f aca="false">Q4457-S4457</f>
        <v>46.834147077267</v>
      </c>
      <c r="U4457" s="0" t="n">
        <f aca="false">Q4457+S4457</f>
        <v>49.0807392863693</v>
      </c>
      <c r="V4457" s="54" t="b">
        <f aca="false">AND(D4457&gt;=01_因子設定!$L$5-0.000000001,D4457&lt;=01_因子設定!$M$5+0.000000001,E4457&gt;=01_因子設定!$L$6-0.000000001,E4457&lt;=01_因子設定!$M$6+0.000000001,F4457&gt;=01_因子設定!$L$7-0.000000001,F4457&lt;=01_因子設定!$M$7+0.000000001,IF(01_因子設定!$B$20="Box-Behnken",D4457^2+E4457^2+F4457^2&lt;=2+0.000000001,TRUE()))</f>
        <v>1</v>
      </c>
      <c r="W4457" s="55" t="n">
        <f aca="false">IF(V4457,IF(01_因子設定!$B$13="最大化",T4457-01_因子設定!$B$14,IF(01_因子設定!$B$13="最小化",01_因子設定!$B$15-U4457,MIN(T4457-01_因子設定!$B$14,01_因子設定!$B$15-U4457))),-1E+030)</f>
        <v>-1.66585292273296</v>
      </c>
      <c r="X4457" s="55" t="n">
        <f aca="false">IF(V4457,IF(01_因子設定!$B$13="最大化",Q4457,IF(01_因子設定!$B$13="最小化",-Q4457,-ABS(Q4457-01_因子設定!$B$16))),-1E+030)</f>
        <v>47.9574431818182</v>
      </c>
      <c r="Y4457" s="55" t="n">
        <f aca="false">W4457+ROW()*0.000000001</f>
        <v>-1.66584846573296</v>
      </c>
      <c r="Z4457" s="55" t="n">
        <f aca="false">X4457+ROW()*0.000000001</f>
        <v>47.9574476388182</v>
      </c>
    </row>
    <row r="4458" customFormat="false" ht="15" hidden="false" customHeight="false" outlineLevel="0" collapsed="false">
      <c r="A4458" s="0" t="n">
        <v>15</v>
      </c>
      <c r="B4458" s="0" t="n">
        <v>6</v>
      </c>
      <c r="C4458" s="0" t="n">
        <v>16</v>
      </c>
      <c r="D4458" s="0" t="n">
        <f aca="false">-1+A4458*0.125</f>
        <v>0.875</v>
      </c>
      <c r="E4458" s="0" t="n">
        <f aca="false">-1+B4458*0.125</f>
        <v>-0.25</v>
      </c>
      <c r="F4458" s="0" t="n">
        <f aca="false">-1+C4458*0.125</f>
        <v>1</v>
      </c>
      <c r="G4458" s="0" t="n">
        <f aca="false">1</f>
        <v>1</v>
      </c>
      <c r="H4458" s="0" t="n">
        <f aca="false">D4458</f>
        <v>0.875</v>
      </c>
      <c r="I4458" s="0" t="n">
        <f aca="false">E4458</f>
        <v>-0.25</v>
      </c>
      <c r="J4458" s="0" t="n">
        <f aca="false">F4458</f>
        <v>1</v>
      </c>
      <c r="K4458" s="0" t="n">
        <f aca="false">D4458*E4458</f>
        <v>-0.21875</v>
      </c>
      <c r="L4458" s="0" t="n">
        <f aca="false">D4458*F4458</f>
        <v>0.875</v>
      </c>
      <c r="M4458" s="0" t="n">
        <f aca="false">E4458*F4458</f>
        <v>-0.25</v>
      </c>
      <c r="N4458" s="0" t="n">
        <f aca="false">D4458*D4458</f>
        <v>0.765625</v>
      </c>
      <c r="O4458" s="0" t="n">
        <f aca="false">E4458*E4458</f>
        <v>0.0625</v>
      </c>
      <c r="P4458" s="0" t="n">
        <f aca="false">F4458*F4458</f>
        <v>1</v>
      </c>
      <c r="Q4458" s="0" t="n">
        <f aca="false">SUMPRODUCT(G4458:P4458,_XtX!$B$71:$K$71)</f>
        <v>47.8235511363637</v>
      </c>
      <c r="R4458" s="0" t="n">
        <f aca="false">SUMPRODUCT(MMULT(G4458:P4458,_XtX!$B$58:$K$67),G4458:P4458)</f>
        <v>0.583609286221591</v>
      </c>
      <c r="S4458" s="0" t="n">
        <f aca="false">04_回帰ANOVA!$K$19*04_回帰ANOVA!$K$14*SQRT(1+R4458)</f>
        <v>1.1700129157584</v>
      </c>
      <c r="T4458" s="0" t="n">
        <f aca="false">Q4458-S4458</f>
        <v>46.6535382206053</v>
      </c>
      <c r="U4458" s="0" t="n">
        <f aca="false">Q4458+S4458</f>
        <v>48.993564052122</v>
      </c>
      <c r="V4458" s="54" t="b">
        <f aca="false">AND(D4458&gt;=01_因子設定!$L$5-0.000000001,D4458&lt;=01_因子設定!$M$5+0.000000001,E4458&gt;=01_因子設定!$L$6-0.000000001,E4458&lt;=01_因子設定!$M$6+0.000000001,F4458&gt;=01_因子設定!$L$7-0.000000001,F4458&lt;=01_因子設定!$M$7+0.000000001,IF(01_因子設定!$B$20="Box-Behnken",D4458^2+E4458^2+F4458^2&lt;=2+0.000000001,TRUE()))</f>
        <v>1</v>
      </c>
      <c r="W4458" s="55" t="n">
        <f aca="false">IF(V4458,IF(01_因子設定!$B$13="最大化",T4458-01_因子設定!$B$14,IF(01_因子設定!$B$13="最小化",01_因子設定!$B$15-U4458,MIN(T4458-01_因子設定!$B$14,01_因子設定!$B$15-U4458))),-1E+030)</f>
        <v>-1.84646177939474</v>
      </c>
      <c r="X4458" s="55" t="n">
        <f aca="false">IF(V4458,IF(01_因子設定!$B$13="最大化",Q4458,IF(01_因子設定!$B$13="最小化",-Q4458,-ABS(Q4458-01_因子設定!$B$16))),-1E+030)</f>
        <v>47.8235511363637</v>
      </c>
      <c r="Y4458" s="55" t="n">
        <f aca="false">W4458+ROW()*0.000000001</f>
        <v>-1.84645732139474</v>
      </c>
      <c r="Z4458" s="55" t="n">
        <f aca="false">X4458+ROW()*0.000000001</f>
        <v>47.8235555943637</v>
      </c>
    </row>
    <row r="4459" customFormat="false" ht="15" hidden="false" customHeight="false" outlineLevel="0" collapsed="false">
      <c r="A4459" s="0" t="n">
        <v>15</v>
      </c>
      <c r="B4459" s="0" t="n">
        <v>7</v>
      </c>
      <c r="C4459" s="0" t="n">
        <v>0</v>
      </c>
      <c r="D4459" s="0" t="n">
        <f aca="false">-1+A4459*0.125</f>
        <v>0.875</v>
      </c>
      <c r="E4459" s="0" t="n">
        <f aca="false">-1+B4459*0.125</f>
        <v>-0.125</v>
      </c>
      <c r="F4459" s="0" t="n">
        <f aca="false">-1+C4459*0.125</f>
        <v>-1</v>
      </c>
      <c r="G4459" s="0" t="n">
        <f aca="false">1</f>
        <v>1</v>
      </c>
      <c r="H4459" s="0" t="n">
        <f aca="false">D4459</f>
        <v>0.875</v>
      </c>
      <c r="I4459" s="0" t="n">
        <f aca="false">E4459</f>
        <v>-0.125</v>
      </c>
      <c r="J4459" s="0" t="n">
        <f aca="false">F4459</f>
        <v>-1</v>
      </c>
      <c r="K4459" s="0" t="n">
        <f aca="false">D4459*E4459</f>
        <v>-0.109375</v>
      </c>
      <c r="L4459" s="0" t="n">
        <f aca="false">D4459*F4459</f>
        <v>-0.875</v>
      </c>
      <c r="M4459" s="0" t="n">
        <f aca="false">E4459*F4459</f>
        <v>0.125</v>
      </c>
      <c r="N4459" s="0" t="n">
        <f aca="false">D4459*D4459</f>
        <v>0.765625</v>
      </c>
      <c r="O4459" s="0" t="n">
        <f aca="false">E4459*E4459</f>
        <v>0.015625</v>
      </c>
      <c r="P4459" s="0" t="n">
        <f aca="false">F4459*F4459</f>
        <v>1</v>
      </c>
      <c r="Q4459" s="0" t="n">
        <f aca="false">SUMPRODUCT(G4459:P4459,_XtX!$B$71:$K$71)</f>
        <v>45.9825639204546</v>
      </c>
      <c r="R4459" s="0" t="n">
        <f aca="false">SUMPRODUCT(MMULT(G4459:P4459,_XtX!$B$58:$K$67),G4459:P4459)</f>
        <v>0.59407792524858</v>
      </c>
      <c r="S4459" s="0" t="n">
        <f aca="false">04_回帰ANOVA!$K$19*04_回帰ANOVA!$K$14*SQRT(1+R4459)</f>
        <v>1.17387380087722</v>
      </c>
      <c r="T4459" s="0" t="n">
        <f aca="false">Q4459-S4459</f>
        <v>44.8086901195773</v>
      </c>
      <c r="U4459" s="0" t="n">
        <f aca="false">Q4459+S4459</f>
        <v>47.1564377213318</v>
      </c>
      <c r="V4459" s="54" t="b">
        <f aca="false">AND(D4459&gt;=01_因子設定!$L$5-0.000000001,D4459&lt;=01_因子設定!$M$5+0.000000001,E4459&gt;=01_因子設定!$L$6-0.000000001,E4459&lt;=01_因子設定!$M$6+0.000000001,F4459&gt;=01_因子設定!$L$7-0.000000001,F4459&lt;=01_因子設定!$M$7+0.000000001,IF(01_因子設定!$B$20="Box-Behnken",D4459^2+E4459^2+F4459^2&lt;=2+0.000000001,TRUE()))</f>
        <v>1</v>
      </c>
      <c r="W4459" s="55" t="n">
        <f aca="false">IF(V4459,IF(01_因子設定!$B$13="最大化",T4459-01_因子設定!$B$14,IF(01_因子設定!$B$13="最小化",01_因子設定!$B$15-U4459,MIN(T4459-01_因子設定!$B$14,01_因子設定!$B$15-U4459))),-1E+030)</f>
        <v>-3.69130988042266</v>
      </c>
      <c r="X4459" s="55" t="n">
        <f aca="false">IF(V4459,IF(01_因子設定!$B$13="最大化",Q4459,IF(01_因子設定!$B$13="最小化",-Q4459,-ABS(Q4459-01_因子設定!$B$16))),-1E+030)</f>
        <v>45.9825639204546</v>
      </c>
      <c r="Y4459" s="55" t="n">
        <f aca="false">W4459+ROW()*0.000000001</f>
        <v>-3.69130542142266</v>
      </c>
      <c r="Z4459" s="55" t="n">
        <f aca="false">X4459+ROW()*0.000000001</f>
        <v>45.9825683794546</v>
      </c>
    </row>
    <row r="4460" customFormat="false" ht="15" hidden="false" customHeight="false" outlineLevel="0" collapsed="false">
      <c r="A4460" s="0" t="n">
        <v>15</v>
      </c>
      <c r="B4460" s="0" t="n">
        <v>7</v>
      </c>
      <c r="C4460" s="0" t="n">
        <v>1</v>
      </c>
      <c r="D4460" s="0" t="n">
        <f aca="false">-1+A4460*0.125</f>
        <v>0.875</v>
      </c>
      <c r="E4460" s="0" t="n">
        <f aca="false">-1+B4460*0.125</f>
        <v>-0.125</v>
      </c>
      <c r="F4460" s="0" t="n">
        <f aca="false">-1+C4460*0.125</f>
        <v>-0.875</v>
      </c>
      <c r="G4460" s="0" t="n">
        <f aca="false">1</f>
        <v>1</v>
      </c>
      <c r="H4460" s="0" t="n">
        <f aca="false">D4460</f>
        <v>0.875</v>
      </c>
      <c r="I4460" s="0" t="n">
        <f aca="false">E4460</f>
        <v>-0.125</v>
      </c>
      <c r="J4460" s="0" t="n">
        <f aca="false">F4460</f>
        <v>-0.875</v>
      </c>
      <c r="K4460" s="0" t="n">
        <f aca="false">D4460*E4460</f>
        <v>-0.109375</v>
      </c>
      <c r="L4460" s="0" t="n">
        <f aca="false">D4460*F4460</f>
        <v>-0.765625</v>
      </c>
      <c r="M4460" s="0" t="n">
        <f aca="false">E4460*F4460</f>
        <v>0.109375</v>
      </c>
      <c r="N4460" s="0" t="n">
        <f aca="false">D4460*D4460</f>
        <v>0.765625</v>
      </c>
      <c r="O4460" s="0" t="n">
        <f aca="false">E4460*E4460</f>
        <v>0.015625</v>
      </c>
      <c r="P4460" s="0" t="n">
        <f aca="false">F4460*F4460</f>
        <v>0.765625</v>
      </c>
      <c r="Q4460" s="0" t="n">
        <f aca="false">SUMPRODUCT(G4460:P4460,_XtX!$B$71:$K$71)</f>
        <v>46.4075497159091</v>
      </c>
      <c r="R4460" s="0" t="n">
        <f aca="false">SUMPRODUCT(MMULT(G4460:P4460,_XtX!$B$58:$K$67),G4460:P4460)</f>
        <v>0.468517511541193</v>
      </c>
      <c r="S4460" s="0" t="n">
        <f aca="false">04_回帰ANOVA!$K$19*04_回帰ANOVA!$K$14*SQRT(1+R4460)</f>
        <v>1.12669456902645</v>
      </c>
      <c r="T4460" s="0" t="n">
        <f aca="false">Q4460-S4460</f>
        <v>45.2808551468827</v>
      </c>
      <c r="U4460" s="0" t="n">
        <f aca="false">Q4460+S4460</f>
        <v>47.5342442849355</v>
      </c>
      <c r="V4460" s="54" t="b">
        <f aca="false">AND(D4460&gt;=01_因子設定!$L$5-0.000000001,D4460&lt;=01_因子設定!$M$5+0.000000001,E4460&gt;=01_因子設定!$L$6-0.000000001,E4460&lt;=01_因子設定!$M$6+0.000000001,F4460&gt;=01_因子設定!$L$7-0.000000001,F4460&lt;=01_因子設定!$M$7+0.000000001,IF(01_因子設定!$B$20="Box-Behnken",D4460^2+E4460^2+F4460^2&lt;=2+0.000000001,TRUE()))</f>
        <v>1</v>
      </c>
      <c r="W4460" s="55" t="n">
        <f aca="false">IF(V4460,IF(01_因子設定!$B$13="最大化",T4460-01_因子設定!$B$14,IF(01_因子設定!$B$13="最小化",01_因子設定!$B$15-U4460,MIN(T4460-01_因子設定!$B$14,01_因子設定!$B$15-U4460))),-1E+030)</f>
        <v>-3.21914485311735</v>
      </c>
      <c r="X4460" s="55" t="n">
        <f aca="false">IF(V4460,IF(01_因子設定!$B$13="最大化",Q4460,IF(01_因子設定!$B$13="最小化",-Q4460,-ABS(Q4460-01_因子設定!$B$16))),-1E+030)</f>
        <v>46.4075497159091</v>
      </c>
      <c r="Y4460" s="55" t="n">
        <f aca="false">W4460+ROW()*0.000000001</f>
        <v>-3.21914039311735</v>
      </c>
      <c r="Z4460" s="55" t="n">
        <f aca="false">X4460+ROW()*0.000000001</f>
        <v>46.4075541759091</v>
      </c>
    </row>
    <row r="4461" customFormat="false" ht="15" hidden="false" customHeight="false" outlineLevel="0" collapsed="false">
      <c r="A4461" s="0" t="n">
        <v>15</v>
      </c>
      <c r="B4461" s="0" t="n">
        <v>7</v>
      </c>
      <c r="C4461" s="0" t="n">
        <v>2</v>
      </c>
      <c r="D4461" s="0" t="n">
        <f aca="false">-1+A4461*0.125</f>
        <v>0.875</v>
      </c>
      <c r="E4461" s="0" t="n">
        <f aca="false">-1+B4461*0.125</f>
        <v>-0.125</v>
      </c>
      <c r="F4461" s="0" t="n">
        <f aca="false">-1+C4461*0.125</f>
        <v>-0.75</v>
      </c>
      <c r="G4461" s="0" t="n">
        <f aca="false">1</f>
        <v>1</v>
      </c>
      <c r="H4461" s="0" t="n">
        <f aca="false">D4461</f>
        <v>0.875</v>
      </c>
      <c r="I4461" s="0" t="n">
        <f aca="false">E4461</f>
        <v>-0.125</v>
      </c>
      <c r="J4461" s="0" t="n">
        <f aca="false">F4461</f>
        <v>-0.75</v>
      </c>
      <c r="K4461" s="0" t="n">
        <f aca="false">D4461*E4461</f>
        <v>-0.109375</v>
      </c>
      <c r="L4461" s="0" t="n">
        <f aca="false">D4461*F4461</f>
        <v>-0.65625</v>
      </c>
      <c r="M4461" s="0" t="n">
        <f aca="false">E4461*F4461</f>
        <v>0.09375</v>
      </c>
      <c r="N4461" s="0" t="n">
        <f aca="false">D4461*D4461</f>
        <v>0.765625</v>
      </c>
      <c r="O4461" s="0" t="n">
        <f aca="false">E4461*E4461</f>
        <v>0.015625</v>
      </c>
      <c r="P4461" s="0" t="n">
        <f aca="false">F4461*F4461</f>
        <v>0.5625</v>
      </c>
      <c r="Q4461" s="0" t="n">
        <f aca="false">SUMPRODUCT(G4461:P4461,_XtX!$B$71:$K$71)</f>
        <v>46.7957457386364</v>
      </c>
      <c r="R4461" s="0" t="n">
        <f aca="false">SUMPRODUCT(MMULT(G4461:P4461,_XtX!$B$58:$K$67),G4461:P4461)</f>
        <v>0.392013827237216</v>
      </c>
      <c r="S4461" s="0" t="n">
        <f aca="false">04_回帰ANOVA!$K$19*04_回帰ANOVA!$K$14*SQRT(1+R4461)</f>
        <v>1.09695398627251</v>
      </c>
      <c r="T4461" s="0" t="n">
        <f aca="false">Q4461-S4461</f>
        <v>45.6987917523639</v>
      </c>
      <c r="U4461" s="0" t="n">
        <f aca="false">Q4461+S4461</f>
        <v>47.8926997249089</v>
      </c>
      <c r="V4461" s="54" t="b">
        <f aca="false">AND(D4461&gt;=01_因子設定!$L$5-0.000000001,D4461&lt;=01_因子設定!$M$5+0.000000001,E4461&gt;=01_因子設定!$L$6-0.000000001,E4461&lt;=01_因子設定!$M$6+0.000000001,F4461&gt;=01_因子設定!$L$7-0.000000001,F4461&lt;=01_因子設定!$M$7+0.000000001,IF(01_因子設定!$B$20="Box-Behnken",D4461^2+E4461^2+F4461^2&lt;=2+0.000000001,TRUE()))</f>
        <v>1</v>
      </c>
      <c r="W4461" s="55" t="n">
        <f aca="false">IF(V4461,IF(01_因子設定!$B$13="最大化",T4461-01_因子設定!$B$14,IF(01_因子設定!$B$13="最小化",01_因子設定!$B$15-U4461,MIN(T4461-01_因子設定!$B$14,01_因子設定!$B$15-U4461))),-1E+030)</f>
        <v>-2.80120824763614</v>
      </c>
      <c r="X4461" s="55" t="n">
        <f aca="false">IF(V4461,IF(01_因子設定!$B$13="最大化",Q4461,IF(01_因子設定!$B$13="最小化",-Q4461,-ABS(Q4461-01_因子設定!$B$16))),-1E+030)</f>
        <v>46.7957457386364</v>
      </c>
      <c r="Y4461" s="55" t="n">
        <f aca="false">W4461+ROW()*0.000000001</f>
        <v>-2.80120378663614</v>
      </c>
      <c r="Z4461" s="55" t="n">
        <f aca="false">X4461+ROW()*0.000000001</f>
        <v>46.7957501996364</v>
      </c>
    </row>
    <row r="4462" customFormat="false" ht="15" hidden="false" customHeight="false" outlineLevel="0" collapsed="false">
      <c r="A4462" s="0" t="n">
        <v>15</v>
      </c>
      <c r="B4462" s="0" t="n">
        <v>7</v>
      </c>
      <c r="C4462" s="0" t="n">
        <v>3</v>
      </c>
      <c r="D4462" s="0" t="n">
        <f aca="false">-1+A4462*0.125</f>
        <v>0.875</v>
      </c>
      <c r="E4462" s="0" t="n">
        <f aca="false">-1+B4462*0.125</f>
        <v>-0.125</v>
      </c>
      <c r="F4462" s="0" t="n">
        <f aca="false">-1+C4462*0.125</f>
        <v>-0.625</v>
      </c>
      <c r="G4462" s="0" t="n">
        <f aca="false">1</f>
        <v>1</v>
      </c>
      <c r="H4462" s="0" t="n">
        <f aca="false">D4462</f>
        <v>0.875</v>
      </c>
      <c r="I4462" s="0" t="n">
        <f aca="false">E4462</f>
        <v>-0.125</v>
      </c>
      <c r="J4462" s="0" t="n">
        <f aca="false">F4462</f>
        <v>-0.625</v>
      </c>
      <c r="K4462" s="0" t="n">
        <f aca="false">D4462*E4462</f>
        <v>-0.109375</v>
      </c>
      <c r="L4462" s="0" t="n">
        <f aca="false">D4462*F4462</f>
        <v>-0.546875</v>
      </c>
      <c r="M4462" s="0" t="n">
        <f aca="false">E4462*F4462</f>
        <v>0.078125</v>
      </c>
      <c r="N4462" s="0" t="n">
        <f aca="false">D4462*D4462</f>
        <v>0.765625</v>
      </c>
      <c r="O4462" s="0" t="n">
        <f aca="false">E4462*E4462</f>
        <v>0.015625</v>
      </c>
      <c r="P4462" s="0" t="n">
        <f aca="false">F4462*F4462</f>
        <v>0.390625</v>
      </c>
      <c r="Q4462" s="0" t="n">
        <f aca="false">SUMPRODUCT(G4462:P4462,_XtX!$B$71:$K$71)</f>
        <v>47.1471519886364</v>
      </c>
      <c r="R4462" s="0" t="n">
        <f aca="false">SUMPRODUCT(MMULT(G4462:P4462,_XtX!$B$58:$K$67),G4462:P4462)</f>
        <v>0.350717440518466</v>
      </c>
      <c r="S4462" s="0" t="n">
        <f aca="false">04_回帰ANOVA!$K$19*04_回帰ANOVA!$K$14*SQRT(1+R4462)</f>
        <v>1.08056000737898</v>
      </c>
      <c r="T4462" s="0" t="n">
        <f aca="false">Q4462-S4462</f>
        <v>46.0665919812574</v>
      </c>
      <c r="U4462" s="0" t="n">
        <f aca="false">Q4462+S4462</f>
        <v>48.2277119960153</v>
      </c>
      <c r="V4462" s="54" t="b">
        <f aca="false">AND(D4462&gt;=01_因子設定!$L$5-0.000000001,D4462&lt;=01_因子設定!$M$5+0.000000001,E4462&gt;=01_因子設定!$L$6-0.000000001,E4462&lt;=01_因子設定!$M$6+0.000000001,F4462&gt;=01_因子設定!$L$7-0.000000001,F4462&lt;=01_因子設定!$M$7+0.000000001,IF(01_因子設定!$B$20="Box-Behnken",D4462^2+E4462^2+F4462^2&lt;=2+0.000000001,TRUE()))</f>
        <v>1</v>
      </c>
      <c r="W4462" s="55" t="n">
        <f aca="false">IF(V4462,IF(01_因子設定!$B$13="最大化",T4462-01_因子設定!$B$14,IF(01_因子設定!$B$13="最小化",01_因子設定!$B$15-U4462,MIN(T4462-01_因子設定!$B$14,01_因子設定!$B$15-U4462))),-1E+030)</f>
        <v>-2.43340801874261</v>
      </c>
      <c r="X4462" s="55" t="n">
        <f aca="false">IF(V4462,IF(01_因子設定!$B$13="最大化",Q4462,IF(01_因子設定!$B$13="最小化",-Q4462,-ABS(Q4462-01_因子設定!$B$16))),-1E+030)</f>
        <v>47.1471519886364</v>
      </c>
      <c r="Y4462" s="55" t="n">
        <f aca="false">W4462+ROW()*0.000000001</f>
        <v>-2.43340355674261</v>
      </c>
      <c r="Z4462" s="55" t="n">
        <f aca="false">X4462+ROW()*0.000000001</f>
        <v>47.1471564506364</v>
      </c>
    </row>
    <row r="4463" customFormat="false" ht="15" hidden="false" customHeight="false" outlineLevel="0" collapsed="false">
      <c r="A4463" s="0" t="n">
        <v>15</v>
      </c>
      <c r="B4463" s="0" t="n">
        <v>7</v>
      </c>
      <c r="C4463" s="0" t="n">
        <v>4</v>
      </c>
      <c r="D4463" s="0" t="n">
        <f aca="false">-1+A4463*0.125</f>
        <v>0.875</v>
      </c>
      <c r="E4463" s="0" t="n">
        <f aca="false">-1+B4463*0.125</f>
        <v>-0.125</v>
      </c>
      <c r="F4463" s="0" t="n">
        <f aca="false">-1+C4463*0.125</f>
        <v>-0.5</v>
      </c>
      <c r="G4463" s="0" t="n">
        <f aca="false">1</f>
        <v>1</v>
      </c>
      <c r="H4463" s="0" t="n">
        <f aca="false">D4463</f>
        <v>0.875</v>
      </c>
      <c r="I4463" s="0" t="n">
        <f aca="false">E4463</f>
        <v>-0.125</v>
      </c>
      <c r="J4463" s="0" t="n">
        <f aca="false">F4463</f>
        <v>-0.5</v>
      </c>
      <c r="K4463" s="0" t="n">
        <f aca="false">D4463*E4463</f>
        <v>-0.109375</v>
      </c>
      <c r="L4463" s="0" t="n">
        <f aca="false">D4463*F4463</f>
        <v>-0.4375</v>
      </c>
      <c r="M4463" s="0" t="n">
        <f aca="false">E4463*F4463</f>
        <v>0.0625</v>
      </c>
      <c r="N4463" s="0" t="n">
        <f aca="false">D4463*D4463</f>
        <v>0.765625</v>
      </c>
      <c r="O4463" s="0" t="n">
        <f aca="false">E4463*E4463</f>
        <v>0.015625</v>
      </c>
      <c r="P4463" s="0" t="n">
        <f aca="false">F4463*F4463</f>
        <v>0.25</v>
      </c>
      <c r="Q4463" s="0" t="n">
        <f aca="false">SUMPRODUCT(G4463:P4463,_XtX!$B$71:$K$71)</f>
        <v>47.4617684659091</v>
      </c>
      <c r="R4463" s="0" t="n">
        <f aca="false">SUMPRODUCT(MMULT(G4463:P4463,_XtX!$B$58:$K$67),G4463:P4463)</f>
        <v>0.332909601384943</v>
      </c>
      <c r="S4463" s="0" t="n">
        <f aca="false">04_回帰ANOVA!$K$19*04_回帰ANOVA!$K$14*SQRT(1+R4463)</f>
        <v>1.07341333007404</v>
      </c>
      <c r="T4463" s="0" t="n">
        <f aca="false">Q4463-S4463</f>
        <v>46.3883551358351</v>
      </c>
      <c r="U4463" s="0" t="n">
        <f aca="false">Q4463+S4463</f>
        <v>48.5351817959831</v>
      </c>
      <c r="V4463" s="54" t="b">
        <f aca="false">AND(D4463&gt;=01_因子設定!$L$5-0.000000001,D4463&lt;=01_因子設定!$M$5+0.000000001,E4463&gt;=01_因子設定!$L$6-0.000000001,E4463&lt;=01_因子設定!$M$6+0.000000001,F4463&gt;=01_因子設定!$L$7-0.000000001,F4463&lt;=01_因子設定!$M$7+0.000000001,IF(01_因子設定!$B$20="Box-Behnken",D4463^2+E4463^2+F4463^2&lt;=2+0.000000001,TRUE()))</f>
        <v>1</v>
      </c>
      <c r="W4463" s="55" t="n">
        <f aca="false">IF(V4463,IF(01_因子設定!$B$13="最大化",T4463-01_因子設定!$B$14,IF(01_因子設定!$B$13="最小化",01_因子設定!$B$15-U4463,MIN(T4463-01_因子設定!$B$14,01_因子設定!$B$15-U4463))),-1E+030)</f>
        <v>-2.11164486416495</v>
      </c>
      <c r="X4463" s="55" t="n">
        <f aca="false">IF(V4463,IF(01_因子設定!$B$13="最大化",Q4463,IF(01_因子設定!$B$13="最小化",-Q4463,-ABS(Q4463-01_因子設定!$B$16))),-1E+030)</f>
        <v>47.4617684659091</v>
      </c>
      <c r="Y4463" s="55" t="n">
        <f aca="false">W4463+ROW()*0.000000001</f>
        <v>-2.11164040116495</v>
      </c>
      <c r="Z4463" s="55" t="n">
        <f aca="false">X4463+ROW()*0.000000001</f>
        <v>47.4617729289091</v>
      </c>
    </row>
    <row r="4464" customFormat="false" ht="15" hidden="false" customHeight="false" outlineLevel="0" collapsed="false">
      <c r="A4464" s="0" t="n">
        <v>15</v>
      </c>
      <c r="B4464" s="0" t="n">
        <v>7</v>
      </c>
      <c r="C4464" s="0" t="n">
        <v>5</v>
      </c>
      <c r="D4464" s="0" t="n">
        <f aca="false">-1+A4464*0.125</f>
        <v>0.875</v>
      </c>
      <c r="E4464" s="0" t="n">
        <f aca="false">-1+B4464*0.125</f>
        <v>-0.125</v>
      </c>
      <c r="F4464" s="0" t="n">
        <f aca="false">-1+C4464*0.125</f>
        <v>-0.375</v>
      </c>
      <c r="G4464" s="0" t="n">
        <f aca="false">1</f>
        <v>1</v>
      </c>
      <c r="H4464" s="0" t="n">
        <f aca="false">D4464</f>
        <v>0.875</v>
      </c>
      <c r="I4464" s="0" t="n">
        <f aca="false">E4464</f>
        <v>-0.125</v>
      </c>
      <c r="J4464" s="0" t="n">
        <f aca="false">F4464</f>
        <v>-0.375</v>
      </c>
      <c r="K4464" s="0" t="n">
        <f aca="false">D4464*E4464</f>
        <v>-0.109375</v>
      </c>
      <c r="L4464" s="0" t="n">
        <f aca="false">D4464*F4464</f>
        <v>-0.328125</v>
      </c>
      <c r="M4464" s="0" t="n">
        <f aca="false">E4464*F4464</f>
        <v>0.046875</v>
      </c>
      <c r="N4464" s="0" t="n">
        <f aca="false">D4464*D4464</f>
        <v>0.765625</v>
      </c>
      <c r="O4464" s="0" t="n">
        <f aca="false">E4464*E4464</f>
        <v>0.015625</v>
      </c>
      <c r="P4464" s="0" t="n">
        <f aca="false">F4464*F4464</f>
        <v>0.140625</v>
      </c>
      <c r="Q4464" s="0" t="n">
        <f aca="false">SUMPRODUCT(G4464:P4464,_XtX!$B$71:$K$71)</f>
        <v>47.7395951704545</v>
      </c>
      <c r="R4464" s="0" t="n">
        <f aca="false">SUMPRODUCT(MMULT(G4464:P4464,_XtX!$B$58:$K$67),G4464:P4464)</f>
        <v>0.32900224165483</v>
      </c>
      <c r="S4464" s="0" t="n">
        <f aca="false">04_回帰ANOVA!$K$19*04_回帰ANOVA!$K$14*SQRT(1+R4464)</f>
        <v>1.07183884583628</v>
      </c>
      <c r="T4464" s="0" t="n">
        <f aca="false">Q4464-S4464</f>
        <v>46.6677563246183</v>
      </c>
      <c r="U4464" s="0" t="n">
        <f aca="false">Q4464+S4464</f>
        <v>48.8114340162908</v>
      </c>
      <c r="V4464" s="54" t="b">
        <f aca="false">AND(D4464&gt;=01_因子設定!$L$5-0.000000001,D4464&lt;=01_因子設定!$M$5+0.000000001,E4464&gt;=01_因子設定!$L$6-0.000000001,E4464&lt;=01_因子設定!$M$6+0.000000001,F4464&gt;=01_因子設定!$L$7-0.000000001,F4464&lt;=01_因子設定!$M$7+0.000000001,IF(01_因子設定!$B$20="Box-Behnken",D4464^2+E4464^2+F4464^2&lt;=2+0.000000001,TRUE()))</f>
        <v>1</v>
      </c>
      <c r="W4464" s="55" t="n">
        <f aca="false">IF(V4464,IF(01_因子設定!$B$13="最大化",T4464-01_因子設定!$B$14,IF(01_因子設定!$B$13="最小化",01_因子設定!$B$15-U4464,MIN(T4464-01_因子設定!$B$14,01_因子設定!$B$15-U4464))),-1E+030)</f>
        <v>-1.83224367538173</v>
      </c>
      <c r="X4464" s="55" t="n">
        <f aca="false">IF(V4464,IF(01_因子設定!$B$13="最大化",Q4464,IF(01_因子設定!$B$13="最小化",-Q4464,-ABS(Q4464-01_因子設定!$B$16))),-1E+030)</f>
        <v>47.7395951704545</v>
      </c>
      <c r="Y4464" s="55" t="n">
        <f aca="false">W4464+ROW()*0.000000001</f>
        <v>-1.83223921138173</v>
      </c>
      <c r="Z4464" s="55" t="n">
        <f aca="false">X4464+ROW()*0.000000001</f>
        <v>47.7395996344545</v>
      </c>
    </row>
    <row r="4465" customFormat="false" ht="15" hidden="false" customHeight="false" outlineLevel="0" collapsed="false">
      <c r="A4465" s="0" t="n">
        <v>15</v>
      </c>
      <c r="B4465" s="0" t="n">
        <v>7</v>
      </c>
      <c r="C4465" s="0" t="n">
        <v>6</v>
      </c>
      <c r="D4465" s="0" t="n">
        <f aca="false">-1+A4465*0.125</f>
        <v>0.875</v>
      </c>
      <c r="E4465" s="0" t="n">
        <f aca="false">-1+B4465*0.125</f>
        <v>-0.125</v>
      </c>
      <c r="F4465" s="0" t="n">
        <f aca="false">-1+C4465*0.125</f>
        <v>-0.25</v>
      </c>
      <c r="G4465" s="0" t="n">
        <f aca="false">1</f>
        <v>1</v>
      </c>
      <c r="H4465" s="0" t="n">
        <f aca="false">D4465</f>
        <v>0.875</v>
      </c>
      <c r="I4465" s="0" t="n">
        <f aca="false">E4465</f>
        <v>-0.125</v>
      </c>
      <c r="J4465" s="0" t="n">
        <f aca="false">F4465</f>
        <v>-0.25</v>
      </c>
      <c r="K4465" s="0" t="n">
        <f aca="false">D4465*E4465</f>
        <v>-0.109375</v>
      </c>
      <c r="L4465" s="0" t="n">
        <f aca="false">D4465*F4465</f>
        <v>-0.21875</v>
      </c>
      <c r="M4465" s="0" t="n">
        <f aca="false">E4465*F4465</f>
        <v>0.03125</v>
      </c>
      <c r="N4465" s="0" t="n">
        <f aca="false">D4465*D4465</f>
        <v>0.765625</v>
      </c>
      <c r="O4465" s="0" t="n">
        <f aca="false">E4465*E4465</f>
        <v>0.015625</v>
      </c>
      <c r="P4465" s="0" t="n">
        <f aca="false">F4465*F4465</f>
        <v>0.0625</v>
      </c>
      <c r="Q4465" s="0" t="n">
        <f aca="false">SUMPRODUCT(G4465:P4465,_XtX!$B$71:$K$71)</f>
        <v>47.9806321022727</v>
      </c>
      <c r="R4465" s="0" t="n">
        <f aca="false">SUMPRODUCT(MMULT(G4465:P4465,_XtX!$B$58:$K$67),G4465:P4465)</f>
        <v>0.331537974964489</v>
      </c>
      <c r="S4465" s="0" t="n">
        <f aca="false">04_回帰ANOVA!$K$19*04_回帰ANOVA!$K$14*SQRT(1+R4465)</f>
        <v>1.07286089161565</v>
      </c>
      <c r="T4465" s="0" t="n">
        <f aca="false">Q4465-S4465</f>
        <v>46.9077712106571</v>
      </c>
      <c r="U4465" s="0" t="n">
        <f aca="false">Q4465+S4465</f>
        <v>49.0534929938884</v>
      </c>
      <c r="V4465" s="54" t="b">
        <f aca="false">AND(D4465&gt;=01_因子設定!$L$5-0.000000001,D4465&lt;=01_因子設定!$M$5+0.000000001,E4465&gt;=01_因子設定!$L$6-0.000000001,E4465&lt;=01_因子設定!$M$6+0.000000001,F4465&gt;=01_因子設定!$L$7-0.000000001,F4465&lt;=01_因子設定!$M$7+0.000000001,IF(01_因子設定!$B$20="Box-Behnken",D4465^2+E4465^2+F4465^2&lt;=2+0.000000001,TRUE()))</f>
        <v>1</v>
      </c>
      <c r="W4465" s="55" t="n">
        <f aca="false">IF(V4465,IF(01_因子設定!$B$13="最大化",T4465-01_因子設定!$B$14,IF(01_因子設定!$B$13="最小化",01_因子設定!$B$15-U4465,MIN(T4465-01_因子設定!$B$14,01_因子設定!$B$15-U4465))),-1E+030)</f>
        <v>-1.59222878934293</v>
      </c>
      <c r="X4465" s="55" t="n">
        <f aca="false">IF(V4465,IF(01_因子設定!$B$13="最大化",Q4465,IF(01_因子設定!$B$13="最小化",-Q4465,-ABS(Q4465-01_因子設定!$B$16))),-1E+030)</f>
        <v>47.9806321022727</v>
      </c>
      <c r="Y4465" s="55" t="n">
        <f aca="false">W4465+ROW()*0.000000001</f>
        <v>-1.59222432434293</v>
      </c>
      <c r="Z4465" s="55" t="n">
        <f aca="false">X4465+ROW()*0.000000001</f>
        <v>47.9806365672727</v>
      </c>
    </row>
    <row r="4466" customFormat="false" ht="15" hidden="false" customHeight="false" outlineLevel="0" collapsed="false">
      <c r="A4466" s="0" t="n">
        <v>15</v>
      </c>
      <c r="B4466" s="0" t="n">
        <v>7</v>
      </c>
      <c r="C4466" s="0" t="n">
        <v>7</v>
      </c>
      <c r="D4466" s="0" t="n">
        <f aca="false">-1+A4466*0.125</f>
        <v>0.875</v>
      </c>
      <c r="E4466" s="0" t="n">
        <f aca="false">-1+B4466*0.125</f>
        <v>-0.125</v>
      </c>
      <c r="F4466" s="0" t="n">
        <f aca="false">-1+C4466*0.125</f>
        <v>-0.125</v>
      </c>
      <c r="G4466" s="0" t="n">
        <f aca="false">1</f>
        <v>1</v>
      </c>
      <c r="H4466" s="0" t="n">
        <f aca="false">D4466</f>
        <v>0.875</v>
      </c>
      <c r="I4466" s="0" t="n">
        <f aca="false">E4466</f>
        <v>-0.125</v>
      </c>
      <c r="J4466" s="0" t="n">
        <f aca="false">F4466</f>
        <v>-0.125</v>
      </c>
      <c r="K4466" s="0" t="n">
        <f aca="false">D4466*E4466</f>
        <v>-0.109375</v>
      </c>
      <c r="L4466" s="0" t="n">
        <f aca="false">D4466*F4466</f>
        <v>-0.109375</v>
      </c>
      <c r="M4466" s="0" t="n">
        <f aca="false">E4466*F4466</f>
        <v>0.015625</v>
      </c>
      <c r="N4466" s="0" t="n">
        <f aca="false">D4466*D4466</f>
        <v>0.765625</v>
      </c>
      <c r="O4466" s="0" t="n">
        <f aca="false">E4466*E4466</f>
        <v>0.015625</v>
      </c>
      <c r="P4466" s="0" t="n">
        <f aca="false">F4466*F4466</f>
        <v>0.015625</v>
      </c>
      <c r="Q4466" s="0" t="n">
        <f aca="false">SUMPRODUCT(G4466:P4466,_XtX!$B$71:$K$71)</f>
        <v>48.1848792613636</v>
      </c>
      <c r="R4466" s="0" t="n">
        <f aca="false">SUMPRODUCT(MMULT(G4466:P4466,_XtX!$B$58:$K$67),G4466:P4466)</f>
        <v>0.335190096768466</v>
      </c>
      <c r="S4466" s="0" t="n">
        <f aca="false">04_回帰ANOVA!$K$19*04_回帰ANOVA!$K$14*SQRT(1+R4466)</f>
        <v>1.07433119726947</v>
      </c>
      <c r="T4466" s="0" t="n">
        <f aca="false">Q4466-S4466</f>
        <v>47.1105480640942</v>
      </c>
      <c r="U4466" s="0" t="n">
        <f aca="false">Q4466+S4466</f>
        <v>49.2592104586331</v>
      </c>
      <c r="V4466" s="54" t="b">
        <f aca="false">AND(D4466&gt;=01_因子設定!$L$5-0.000000001,D4466&lt;=01_因子設定!$M$5+0.000000001,E4466&gt;=01_因子設定!$L$6-0.000000001,E4466&lt;=01_因子設定!$M$6+0.000000001,F4466&gt;=01_因子設定!$L$7-0.000000001,F4466&lt;=01_因子設定!$M$7+0.000000001,IF(01_因子設定!$B$20="Box-Behnken",D4466^2+E4466^2+F4466^2&lt;=2+0.000000001,TRUE()))</f>
        <v>1</v>
      </c>
      <c r="W4466" s="55" t="n">
        <f aca="false">IF(V4466,IF(01_因子設定!$B$13="最大化",T4466-01_因子設定!$B$14,IF(01_因子設定!$B$13="最小化",01_因子設定!$B$15-U4466,MIN(T4466-01_因子設定!$B$14,01_因子設定!$B$15-U4466))),-1E+030)</f>
        <v>-1.38945193590583</v>
      </c>
      <c r="X4466" s="55" t="n">
        <f aca="false">IF(V4466,IF(01_因子設定!$B$13="最大化",Q4466,IF(01_因子設定!$B$13="最小化",-Q4466,-ABS(Q4466-01_因子設定!$B$16))),-1E+030)</f>
        <v>48.1848792613636</v>
      </c>
      <c r="Y4466" s="55" t="n">
        <f aca="false">W4466+ROW()*0.000000001</f>
        <v>-1.38944746990583</v>
      </c>
      <c r="Z4466" s="55" t="n">
        <f aca="false">X4466+ROW()*0.000000001</f>
        <v>48.1848837273636</v>
      </c>
    </row>
    <row r="4467" customFormat="false" ht="15" hidden="false" customHeight="false" outlineLevel="0" collapsed="false">
      <c r="A4467" s="0" t="n">
        <v>15</v>
      </c>
      <c r="B4467" s="0" t="n">
        <v>7</v>
      </c>
      <c r="C4467" s="0" t="n">
        <v>8</v>
      </c>
      <c r="D4467" s="0" t="n">
        <f aca="false">-1+A4467*0.125</f>
        <v>0.875</v>
      </c>
      <c r="E4467" s="0" t="n">
        <f aca="false">-1+B4467*0.125</f>
        <v>-0.125</v>
      </c>
      <c r="F4467" s="0" t="n">
        <f aca="false">-1+C4467*0.125</f>
        <v>0</v>
      </c>
      <c r="G4467" s="0" t="n">
        <f aca="false">1</f>
        <v>1</v>
      </c>
      <c r="H4467" s="0" t="n">
        <f aca="false">D4467</f>
        <v>0.875</v>
      </c>
      <c r="I4467" s="0" t="n">
        <f aca="false">E4467</f>
        <v>-0.125</v>
      </c>
      <c r="J4467" s="0" t="n">
        <f aca="false">F4467</f>
        <v>0</v>
      </c>
      <c r="K4467" s="0" t="n">
        <f aca="false">D4467*E4467</f>
        <v>-0.109375</v>
      </c>
      <c r="L4467" s="0" t="n">
        <f aca="false">D4467*F4467</f>
        <v>0</v>
      </c>
      <c r="M4467" s="0" t="n">
        <f aca="false">E4467*F4467</f>
        <v>-0</v>
      </c>
      <c r="N4467" s="0" t="n">
        <f aca="false">D4467*D4467</f>
        <v>0.765625</v>
      </c>
      <c r="O4467" s="0" t="n">
        <f aca="false">E4467*E4467</f>
        <v>0.015625</v>
      </c>
      <c r="P4467" s="0" t="n">
        <f aca="false">F4467*F4467</f>
        <v>0</v>
      </c>
      <c r="Q4467" s="0" t="n">
        <f aca="false">SUMPRODUCT(G4467:P4467,_XtX!$B$71:$K$71)</f>
        <v>48.3523366477273</v>
      </c>
      <c r="R4467" s="0" t="n">
        <f aca="false">SUMPRODUCT(MMULT(G4467:P4467,_XtX!$B$58:$K$67),G4467:P4467)</f>
        <v>0.336762584339489</v>
      </c>
      <c r="S4467" s="0" t="n">
        <f aca="false">04_回帰ANOVA!$K$19*04_回帰ANOVA!$K$14*SQRT(1+R4467)</f>
        <v>1.07496364479411</v>
      </c>
      <c r="T4467" s="0" t="n">
        <f aca="false">Q4467-S4467</f>
        <v>47.2773730029332</v>
      </c>
      <c r="U4467" s="0" t="n">
        <f aca="false">Q4467+S4467</f>
        <v>49.4273002925214</v>
      </c>
      <c r="V4467" s="54" t="b">
        <f aca="false">AND(D4467&gt;=01_因子設定!$L$5-0.000000001,D4467&lt;=01_因子設定!$M$5+0.000000001,E4467&gt;=01_因子設定!$L$6-0.000000001,E4467&lt;=01_因子設定!$M$6+0.000000001,F4467&gt;=01_因子設定!$L$7-0.000000001,F4467&lt;=01_因子設定!$M$7+0.000000001,IF(01_因子設定!$B$20="Box-Behnken",D4467^2+E4467^2+F4467^2&lt;=2+0.000000001,TRUE()))</f>
        <v>1</v>
      </c>
      <c r="W4467" s="55" t="n">
        <f aca="false">IF(V4467,IF(01_因子設定!$B$13="最大化",T4467-01_因子設定!$B$14,IF(01_因子設定!$B$13="最小化",01_因子設定!$B$15-U4467,MIN(T4467-01_因子設定!$B$14,01_因子設定!$B$15-U4467))),-1E+030)</f>
        <v>-1.22262699706684</v>
      </c>
      <c r="X4467" s="55" t="n">
        <f aca="false">IF(V4467,IF(01_因子設定!$B$13="最大化",Q4467,IF(01_因子設定!$B$13="最小化",-Q4467,-ABS(Q4467-01_因子設定!$B$16))),-1E+030)</f>
        <v>48.3523366477273</v>
      </c>
      <c r="Y4467" s="55" t="n">
        <f aca="false">W4467+ROW()*0.000000001</f>
        <v>-1.22262253006684</v>
      </c>
      <c r="Z4467" s="55" t="n">
        <f aca="false">X4467+ROW()*0.000000001</f>
        <v>48.3523411147273</v>
      </c>
    </row>
    <row r="4468" customFormat="false" ht="15" hidden="false" customHeight="false" outlineLevel="0" collapsed="false">
      <c r="A4468" s="0" t="n">
        <v>15</v>
      </c>
      <c r="B4468" s="0" t="n">
        <v>7</v>
      </c>
      <c r="C4468" s="0" t="n">
        <v>9</v>
      </c>
      <c r="D4468" s="0" t="n">
        <f aca="false">-1+A4468*0.125</f>
        <v>0.875</v>
      </c>
      <c r="E4468" s="0" t="n">
        <f aca="false">-1+B4468*0.125</f>
        <v>-0.125</v>
      </c>
      <c r="F4468" s="0" t="n">
        <f aca="false">-1+C4468*0.125</f>
        <v>0.125</v>
      </c>
      <c r="G4468" s="0" t="n">
        <f aca="false">1</f>
        <v>1</v>
      </c>
      <c r="H4468" s="0" t="n">
        <f aca="false">D4468</f>
        <v>0.875</v>
      </c>
      <c r="I4468" s="0" t="n">
        <f aca="false">E4468</f>
        <v>-0.125</v>
      </c>
      <c r="J4468" s="0" t="n">
        <f aca="false">F4468</f>
        <v>0.125</v>
      </c>
      <c r="K4468" s="0" t="n">
        <f aca="false">D4468*E4468</f>
        <v>-0.109375</v>
      </c>
      <c r="L4468" s="0" t="n">
        <f aca="false">D4468*F4468</f>
        <v>0.109375</v>
      </c>
      <c r="M4468" s="0" t="n">
        <f aca="false">E4468*F4468</f>
        <v>-0.015625</v>
      </c>
      <c r="N4468" s="0" t="n">
        <f aca="false">D4468*D4468</f>
        <v>0.765625</v>
      </c>
      <c r="O4468" s="0" t="n">
        <f aca="false">E4468*E4468</f>
        <v>0.015625</v>
      </c>
      <c r="P4468" s="0" t="n">
        <f aca="false">F4468*F4468</f>
        <v>0.015625</v>
      </c>
      <c r="Q4468" s="0" t="n">
        <f aca="false">SUMPRODUCT(G4468:P4468,_XtX!$B$71:$K$71)</f>
        <v>48.4830042613636</v>
      </c>
      <c r="R4468" s="0" t="n">
        <f aca="false">SUMPRODUCT(MMULT(G4468:P4468,_XtX!$B$58:$K$67),G4468:P4468)</f>
        <v>0.335190096768466</v>
      </c>
      <c r="S4468" s="0" t="n">
        <f aca="false">04_回帰ANOVA!$K$19*04_回帰ANOVA!$K$14*SQRT(1+R4468)</f>
        <v>1.07433119726947</v>
      </c>
      <c r="T4468" s="0" t="n">
        <f aca="false">Q4468-S4468</f>
        <v>47.4086730640942</v>
      </c>
      <c r="U4468" s="0" t="n">
        <f aca="false">Q4468+S4468</f>
        <v>49.5573354586331</v>
      </c>
      <c r="V4468" s="54" t="b">
        <f aca="false">AND(D4468&gt;=01_因子設定!$L$5-0.000000001,D4468&lt;=01_因子設定!$M$5+0.000000001,E4468&gt;=01_因子設定!$L$6-0.000000001,E4468&lt;=01_因子設定!$M$6+0.000000001,F4468&gt;=01_因子設定!$L$7-0.000000001,F4468&lt;=01_因子設定!$M$7+0.000000001,IF(01_因子設定!$B$20="Box-Behnken",D4468^2+E4468^2+F4468^2&lt;=2+0.000000001,TRUE()))</f>
        <v>1</v>
      </c>
      <c r="W4468" s="55" t="n">
        <f aca="false">IF(V4468,IF(01_因子設定!$B$13="最大化",T4468-01_因子設定!$B$14,IF(01_因子設定!$B$13="最小化",01_因子設定!$B$15-U4468,MIN(T4468-01_因子設定!$B$14,01_因子設定!$B$15-U4468))),-1E+030)</f>
        <v>-1.09132693590583</v>
      </c>
      <c r="X4468" s="55" t="n">
        <f aca="false">IF(V4468,IF(01_因子設定!$B$13="最大化",Q4468,IF(01_因子設定!$B$13="最小化",-Q4468,-ABS(Q4468-01_因子設定!$B$16))),-1E+030)</f>
        <v>48.4830042613636</v>
      </c>
      <c r="Y4468" s="55" t="n">
        <f aca="false">W4468+ROW()*0.000000001</f>
        <v>-1.09132246790583</v>
      </c>
      <c r="Z4468" s="55" t="n">
        <f aca="false">X4468+ROW()*0.000000001</f>
        <v>48.4830087293636</v>
      </c>
    </row>
    <row r="4469" customFormat="false" ht="15" hidden="false" customHeight="false" outlineLevel="0" collapsed="false">
      <c r="A4469" s="0" t="n">
        <v>15</v>
      </c>
      <c r="B4469" s="0" t="n">
        <v>7</v>
      </c>
      <c r="C4469" s="0" t="n">
        <v>10</v>
      </c>
      <c r="D4469" s="0" t="n">
        <f aca="false">-1+A4469*0.125</f>
        <v>0.875</v>
      </c>
      <c r="E4469" s="0" t="n">
        <f aca="false">-1+B4469*0.125</f>
        <v>-0.125</v>
      </c>
      <c r="F4469" s="0" t="n">
        <f aca="false">-1+C4469*0.125</f>
        <v>0.25</v>
      </c>
      <c r="G4469" s="0" t="n">
        <f aca="false">1</f>
        <v>1</v>
      </c>
      <c r="H4469" s="0" t="n">
        <f aca="false">D4469</f>
        <v>0.875</v>
      </c>
      <c r="I4469" s="0" t="n">
        <f aca="false">E4469</f>
        <v>-0.125</v>
      </c>
      <c r="J4469" s="0" t="n">
        <f aca="false">F4469</f>
        <v>0.25</v>
      </c>
      <c r="K4469" s="0" t="n">
        <f aca="false">D4469*E4469</f>
        <v>-0.109375</v>
      </c>
      <c r="L4469" s="0" t="n">
        <f aca="false">D4469*F4469</f>
        <v>0.21875</v>
      </c>
      <c r="M4469" s="0" t="n">
        <f aca="false">E4469*F4469</f>
        <v>-0.03125</v>
      </c>
      <c r="N4469" s="0" t="n">
        <f aca="false">D4469*D4469</f>
        <v>0.765625</v>
      </c>
      <c r="O4469" s="0" t="n">
        <f aca="false">E4469*E4469</f>
        <v>0.015625</v>
      </c>
      <c r="P4469" s="0" t="n">
        <f aca="false">F4469*F4469</f>
        <v>0.0625</v>
      </c>
      <c r="Q4469" s="0" t="n">
        <f aca="false">SUMPRODUCT(G4469:P4469,_XtX!$B$71:$K$71)</f>
        <v>48.5768821022727</v>
      </c>
      <c r="R4469" s="0" t="n">
        <f aca="false">SUMPRODUCT(MMULT(G4469:P4469,_XtX!$B$58:$K$67),G4469:P4469)</f>
        <v>0.331537974964489</v>
      </c>
      <c r="S4469" s="0" t="n">
        <f aca="false">04_回帰ANOVA!$K$19*04_回帰ANOVA!$K$14*SQRT(1+R4469)</f>
        <v>1.07286089161565</v>
      </c>
      <c r="T4469" s="0" t="n">
        <f aca="false">Q4469-S4469</f>
        <v>47.5040212106571</v>
      </c>
      <c r="U4469" s="0" t="n">
        <f aca="false">Q4469+S4469</f>
        <v>49.6497429938884</v>
      </c>
      <c r="V4469" s="54" t="b">
        <f aca="false">AND(D4469&gt;=01_因子設定!$L$5-0.000000001,D4469&lt;=01_因子設定!$M$5+0.000000001,E4469&gt;=01_因子設定!$L$6-0.000000001,E4469&lt;=01_因子設定!$M$6+0.000000001,F4469&gt;=01_因子設定!$L$7-0.000000001,F4469&lt;=01_因子設定!$M$7+0.000000001,IF(01_因子設定!$B$20="Box-Behnken",D4469^2+E4469^2+F4469^2&lt;=2+0.000000001,TRUE()))</f>
        <v>1</v>
      </c>
      <c r="W4469" s="55" t="n">
        <f aca="false">IF(V4469,IF(01_因子設定!$B$13="最大化",T4469-01_因子設定!$B$14,IF(01_因子設定!$B$13="最小化",01_因子設定!$B$15-U4469,MIN(T4469-01_因子設定!$B$14,01_因子設定!$B$15-U4469))),-1E+030)</f>
        <v>-0.995978789342935</v>
      </c>
      <c r="X4469" s="55" t="n">
        <f aca="false">IF(V4469,IF(01_因子設定!$B$13="最大化",Q4469,IF(01_因子設定!$B$13="最小化",-Q4469,-ABS(Q4469-01_因子設定!$B$16))),-1E+030)</f>
        <v>48.5768821022727</v>
      </c>
      <c r="Y4469" s="55" t="n">
        <f aca="false">W4469+ROW()*0.000000001</f>
        <v>-0.995974320342935</v>
      </c>
      <c r="Z4469" s="55" t="n">
        <f aca="false">X4469+ROW()*0.000000001</f>
        <v>48.5768865712727</v>
      </c>
    </row>
    <row r="4470" customFormat="false" ht="15" hidden="false" customHeight="false" outlineLevel="0" collapsed="false">
      <c r="A4470" s="0" t="n">
        <v>15</v>
      </c>
      <c r="B4470" s="0" t="n">
        <v>7</v>
      </c>
      <c r="C4470" s="0" t="n">
        <v>11</v>
      </c>
      <c r="D4470" s="0" t="n">
        <f aca="false">-1+A4470*0.125</f>
        <v>0.875</v>
      </c>
      <c r="E4470" s="0" t="n">
        <f aca="false">-1+B4470*0.125</f>
        <v>-0.125</v>
      </c>
      <c r="F4470" s="0" t="n">
        <f aca="false">-1+C4470*0.125</f>
        <v>0.375</v>
      </c>
      <c r="G4470" s="0" t="n">
        <f aca="false">1</f>
        <v>1</v>
      </c>
      <c r="H4470" s="0" t="n">
        <f aca="false">D4470</f>
        <v>0.875</v>
      </c>
      <c r="I4470" s="0" t="n">
        <f aca="false">E4470</f>
        <v>-0.125</v>
      </c>
      <c r="J4470" s="0" t="n">
        <f aca="false">F4470</f>
        <v>0.375</v>
      </c>
      <c r="K4470" s="0" t="n">
        <f aca="false">D4470*E4470</f>
        <v>-0.109375</v>
      </c>
      <c r="L4470" s="0" t="n">
        <f aca="false">D4470*F4470</f>
        <v>0.328125</v>
      </c>
      <c r="M4470" s="0" t="n">
        <f aca="false">E4470*F4470</f>
        <v>-0.046875</v>
      </c>
      <c r="N4470" s="0" t="n">
        <f aca="false">D4470*D4470</f>
        <v>0.765625</v>
      </c>
      <c r="O4470" s="0" t="n">
        <f aca="false">E4470*E4470</f>
        <v>0.015625</v>
      </c>
      <c r="P4470" s="0" t="n">
        <f aca="false">F4470*F4470</f>
        <v>0.140625</v>
      </c>
      <c r="Q4470" s="0" t="n">
        <f aca="false">SUMPRODUCT(G4470:P4470,_XtX!$B$71:$K$71)</f>
        <v>48.6339701704545</v>
      </c>
      <c r="R4470" s="0" t="n">
        <f aca="false">SUMPRODUCT(MMULT(G4470:P4470,_XtX!$B$58:$K$67),G4470:P4470)</f>
        <v>0.32900224165483</v>
      </c>
      <c r="S4470" s="0" t="n">
        <f aca="false">04_回帰ANOVA!$K$19*04_回帰ANOVA!$K$14*SQRT(1+R4470)</f>
        <v>1.07183884583628</v>
      </c>
      <c r="T4470" s="0" t="n">
        <f aca="false">Q4470-S4470</f>
        <v>47.5621313246183</v>
      </c>
      <c r="U4470" s="0" t="n">
        <f aca="false">Q4470+S4470</f>
        <v>49.7058090162908</v>
      </c>
      <c r="V4470" s="54" t="b">
        <f aca="false">AND(D4470&gt;=01_因子設定!$L$5-0.000000001,D4470&lt;=01_因子設定!$M$5+0.000000001,E4470&gt;=01_因子設定!$L$6-0.000000001,E4470&lt;=01_因子設定!$M$6+0.000000001,F4470&gt;=01_因子設定!$L$7-0.000000001,F4470&lt;=01_因子設定!$M$7+0.000000001,IF(01_因子設定!$B$20="Box-Behnken",D4470^2+E4470^2+F4470^2&lt;=2+0.000000001,TRUE()))</f>
        <v>1</v>
      </c>
      <c r="W4470" s="55" t="n">
        <f aca="false">IF(V4470,IF(01_因子設定!$B$13="最大化",T4470-01_因子設定!$B$14,IF(01_因子設定!$B$13="最小化",01_因子設定!$B$15-U4470,MIN(T4470-01_因子設定!$B$14,01_因子設定!$B$15-U4470))),-1E+030)</f>
        <v>-0.937868675381736</v>
      </c>
      <c r="X4470" s="55" t="n">
        <f aca="false">IF(V4470,IF(01_因子設定!$B$13="最大化",Q4470,IF(01_因子設定!$B$13="最小化",-Q4470,-ABS(Q4470-01_因子設定!$B$16))),-1E+030)</f>
        <v>48.6339701704545</v>
      </c>
      <c r="Y4470" s="55" t="n">
        <f aca="false">W4470+ROW()*0.000000001</f>
        <v>-0.937864205381736</v>
      </c>
      <c r="Z4470" s="55" t="n">
        <f aca="false">X4470+ROW()*0.000000001</f>
        <v>48.6339746404545</v>
      </c>
    </row>
    <row r="4471" customFormat="false" ht="15" hidden="false" customHeight="false" outlineLevel="0" collapsed="false">
      <c r="A4471" s="0" t="n">
        <v>15</v>
      </c>
      <c r="B4471" s="0" t="n">
        <v>7</v>
      </c>
      <c r="C4471" s="0" t="n">
        <v>12</v>
      </c>
      <c r="D4471" s="0" t="n">
        <f aca="false">-1+A4471*0.125</f>
        <v>0.875</v>
      </c>
      <c r="E4471" s="0" t="n">
        <f aca="false">-1+B4471*0.125</f>
        <v>-0.125</v>
      </c>
      <c r="F4471" s="0" t="n">
        <f aca="false">-1+C4471*0.125</f>
        <v>0.5</v>
      </c>
      <c r="G4471" s="0" t="n">
        <f aca="false">1</f>
        <v>1</v>
      </c>
      <c r="H4471" s="0" t="n">
        <f aca="false">D4471</f>
        <v>0.875</v>
      </c>
      <c r="I4471" s="0" t="n">
        <f aca="false">E4471</f>
        <v>-0.125</v>
      </c>
      <c r="J4471" s="0" t="n">
        <f aca="false">F4471</f>
        <v>0.5</v>
      </c>
      <c r="K4471" s="0" t="n">
        <f aca="false">D4471*E4471</f>
        <v>-0.109375</v>
      </c>
      <c r="L4471" s="0" t="n">
        <f aca="false">D4471*F4471</f>
        <v>0.4375</v>
      </c>
      <c r="M4471" s="0" t="n">
        <f aca="false">E4471*F4471</f>
        <v>-0.0625</v>
      </c>
      <c r="N4471" s="0" t="n">
        <f aca="false">D4471*D4471</f>
        <v>0.765625</v>
      </c>
      <c r="O4471" s="0" t="n">
        <f aca="false">E4471*E4471</f>
        <v>0.015625</v>
      </c>
      <c r="P4471" s="0" t="n">
        <f aca="false">F4471*F4471</f>
        <v>0.25</v>
      </c>
      <c r="Q4471" s="0" t="n">
        <f aca="false">SUMPRODUCT(G4471:P4471,_XtX!$B$71:$K$71)</f>
        <v>48.6542684659091</v>
      </c>
      <c r="R4471" s="0" t="n">
        <f aca="false">SUMPRODUCT(MMULT(G4471:P4471,_XtX!$B$58:$K$67),G4471:P4471)</f>
        <v>0.332909601384943</v>
      </c>
      <c r="S4471" s="0" t="n">
        <f aca="false">04_回帰ANOVA!$K$19*04_回帰ANOVA!$K$14*SQRT(1+R4471)</f>
        <v>1.07341333007404</v>
      </c>
      <c r="T4471" s="0" t="n">
        <f aca="false">Q4471-S4471</f>
        <v>47.5808551358351</v>
      </c>
      <c r="U4471" s="0" t="n">
        <f aca="false">Q4471+S4471</f>
        <v>49.7276817959831</v>
      </c>
      <c r="V4471" s="54" t="b">
        <f aca="false">AND(D4471&gt;=01_因子設定!$L$5-0.000000001,D4471&lt;=01_因子設定!$M$5+0.000000001,E4471&gt;=01_因子設定!$L$6-0.000000001,E4471&lt;=01_因子設定!$M$6+0.000000001,F4471&gt;=01_因子設定!$L$7-0.000000001,F4471&lt;=01_因子設定!$M$7+0.000000001,IF(01_因子設定!$B$20="Box-Behnken",D4471^2+E4471^2+F4471^2&lt;=2+0.000000001,TRUE()))</f>
        <v>1</v>
      </c>
      <c r="W4471" s="55" t="n">
        <f aca="false">IF(V4471,IF(01_因子設定!$B$13="最大化",T4471-01_因子設定!$B$14,IF(01_因子設定!$B$13="最小化",01_因子設定!$B$15-U4471,MIN(T4471-01_因子設定!$B$14,01_因子設定!$B$15-U4471))),-1E+030)</f>
        <v>-0.919144864164949</v>
      </c>
      <c r="X4471" s="55" t="n">
        <f aca="false">IF(V4471,IF(01_因子設定!$B$13="最大化",Q4471,IF(01_因子設定!$B$13="最小化",-Q4471,-ABS(Q4471-01_因子設定!$B$16))),-1E+030)</f>
        <v>48.6542684659091</v>
      </c>
      <c r="Y4471" s="55" t="n">
        <f aca="false">W4471+ROW()*0.000000001</f>
        <v>-0.919140393164949</v>
      </c>
      <c r="Z4471" s="55" t="n">
        <f aca="false">X4471+ROW()*0.000000001</f>
        <v>48.6542729369091</v>
      </c>
    </row>
    <row r="4472" customFormat="false" ht="15" hidden="false" customHeight="false" outlineLevel="0" collapsed="false">
      <c r="A4472" s="0" t="n">
        <v>15</v>
      </c>
      <c r="B4472" s="0" t="n">
        <v>7</v>
      </c>
      <c r="C4472" s="0" t="n">
        <v>13</v>
      </c>
      <c r="D4472" s="0" t="n">
        <f aca="false">-1+A4472*0.125</f>
        <v>0.875</v>
      </c>
      <c r="E4472" s="0" t="n">
        <f aca="false">-1+B4472*0.125</f>
        <v>-0.125</v>
      </c>
      <c r="F4472" s="0" t="n">
        <f aca="false">-1+C4472*0.125</f>
        <v>0.625</v>
      </c>
      <c r="G4472" s="0" t="n">
        <f aca="false">1</f>
        <v>1</v>
      </c>
      <c r="H4472" s="0" t="n">
        <f aca="false">D4472</f>
        <v>0.875</v>
      </c>
      <c r="I4472" s="0" t="n">
        <f aca="false">E4472</f>
        <v>-0.125</v>
      </c>
      <c r="J4472" s="0" t="n">
        <f aca="false">F4472</f>
        <v>0.625</v>
      </c>
      <c r="K4472" s="0" t="n">
        <f aca="false">D4472*E4472</f>
        <v>-0.109375</v>
      </c>
      <c r="L4472" s="0" t="n">
        <f aca="false">D4472*F4472</f>
        <v>0.546875</v>
      </c>
      <c r="M4472" s="0" t="n">
        <f aca="false">E4472*F4472</f>
        <v>-0.078125</v>
      </c>
      <c r="N4472" s="0" t="n">
        <f aca="false">D4472*D4472</f>
        <v>0.765625</v>
      </c>
      <c r="O4472" s="0" t="n">
        <f aca="false">E4472*E4472</f>
        <v>0.015625</v>
      </c>
      <c r="P4472" s="0" t="n">
        <f aca="false">F4472*F4472</f>
        <v>0.390625</v>
      </c>
      <c r="Q4472" s="0" t="n">
        <f aca="false">SUMPRODUCT(G4472:P4472,_XtX!$B$71:$K$71)</f>
        <v>48.6377769886364</v>
      </c>
      <c r="R4472" s="0" t="n">
        <f aca="false">SUMPRODUCT(MMULT(G4472:P4472,_XtX!$B$58:$K$67),G4472:P4472)</f>
        <v>0.350717440518466</v>
      </c>
      <c r="S4472" s="0" t="n">
        <f aca="false">04_回帰ANOVA!$K$19*04_回帰ANOVA!$K$14*SQRT(1+R4472)</f>
        <v>1.08056000737898</v>
      </c>
      <c r="T4472" s="0" t="n">
        <f aca="false">Q4472-S4472</f>
        <v>47.5572169812574</v>
      </c>
      <c r="U4472" s="0" t="n">
        <f aca="false">Q4472+S4472</f>
        <v>49.7183369960153</v>
      </c>
      <c r="V4472" s="54" t="b">
        <f aca="false">AND(D4472&gt;=01_因子設定!$L$5-0.000000001,D4472&lt;=01_因子設定!$M$5+0.000000001,E4472&gt;=01_因子設定!$L$6-0.000000001,E4472&lt;=01_因子設定!$M$6+0.000000001,F4472&gt;=01_因子設定!$L$7-0.000000001,F4472&lt;=01_因子設定!$M$7+0.000000001,IF(01_因子設定!$B$20="Box-Behnken",D4472^2+E4472^2+F4472^2&lt;=2+0.000000001,TRUE()))</f>
        <v>1</v>
      </c>
      <c r="W4472" s="55" t="n">
        <f aca="false">IF(V4472,IF(01_因子設定!$B$13="最大化",T4472-01_因子設定!$B$14,IF(01_因子設定!$B$13="最小化",01_因子設定!$B$15-U4472,MIN(T4472-01_因子設定!$B$14,01_因子設定!$B$15-U4472))),-1E+030)</f>
        <v>-0.94278301874261</v>
      </c>
      <c r="X4472" s="55" t="n">
        <f aca="false">IF(V4472,IF(01_因子設定!$B$13="最大化",Q4472,IF(01_因子設定!$B$13="最小化",-Q4472,-ABS(Q4472-01_因子設定!$B$16))),-1E+030)</f>
        <v>48.6377769886364</v>
      </c>
      <c r="Y4472" s="55" t="n">
        <f aca="false">W4472+ROW()*0.000000001</f>
        <v>-0.94277854674261</v>
      </c>
      <c r="Z4472" s="55" t="n">
        <f aca="false">X4472+ROW()*0.000000001</f>
        <v>48.6377814606364</v>
      </c>
    </row>
    <row r="4473" customFormat="false" ht="15" hidden="false" customHeight="false" outlineLevel="0" collapsed="false">
      <c r="A4473" s="0" t="n">
        <v>15</v>
      </c>
      <c r="B4473" s="0" t="n">
        <v>7</v>
      </c>
      <c r="C4473" s="0" t="n">
        <v>14</v>
      </c>
      <c r="D4473" s="0" t="n">
        <f aca="false">-1+A4473*0.125</f>
        <v>0.875</v>
      </c>
      <c r="E4473" s="0" t="n">
        <f aca="false">-1+B4473*0.125</f>
        <v>-0.125</v>
      </c>
      <c r="F4473" s="0" t="n">
        <f aca="false">-1+C4473*0.125</f>
        <v>0.75</v>
      </c>
      <c r="G4473" s="0" t="n">
        <f aca="false">1</f>
        <v>1</v>
      </c>
      <c r="H4473" s="0" t="n">
        <f aca="false">D4473</f>
        <v>0.875</v>
      </c>
      <c r="I4473" s="0" t="n">
        <f aca="false">E4473</f>
        <v>-0.125</v>
      </c>
      <c r="J4473" s="0" t="n">
        <f aca="false">F4473</f>
        <v>0.75</v>
      </c>
      <c r="K4473" s="0" t="n">
        <f aca="false">D4473*E4473</f>
        <v>-0.109375</v>
      </c>
      <c r="L4473" s="0" t="n">
        <f aca="false">D4473*F4473</f>
        <v>0.65625</v>
      </c>
      <c r="M4473" s="0" t="n">
        <f aca="false">E4473*F4473</f>
        <v>-0.09375</v>
      </c>
      <c r="N4473" s="0" t="n">
        <f aca="false">D4473*D4473</f>
        <v>0.765625</v>
      </c>
      <c r="O4473" s="0" t="n">
        <f aca="false">E4473*E4473</f>
        <v>0.015625</v>
      </c>
      <c r="P4473" s="0" t="n">
        <f aca="false">F4473*F4473</f>
        <v>0.5625</v>
      </c>
      <c r="Q4473" s="0" t="n">
        <f aca="false">SUMPRODUCT(G4473:P4473,_XtX!$B$71:$K$71)</f>
        <v>48.5844957386364</v>
      </c>
      <c r="R4473" s="0" t="n">
        <f aca="false">SUMPRODUCT(MMULT(G4473:P4473,_XtX!$B$58:$K$67),G4473:P4473)</f>
        <v>0.392013827237216</v>
      </c>
      <c r="S4473" s="0" t="n">
        <f aca="false">04_回帰ANOVA!$K$19*04_回帰ANOVA!$K$14*SQRT(1+R4473)</f>
        <v>1.09695398627251</v>
      </c>
      <c r="T4473" s="0" t="n">
        <f aca="false">Q4473-S4473</f>
        <v>47.4875417523639</v>
      </c>
      <c r="U4473" s="0" t="n">
        <f aca="false">Q4473+S4473</f>
        <v>49.6814497249089</v>
      </c>
      <c r="V4473" s="54" t="b">
        <f aca="false">AND(D4473&gt;=01_因子設定!$L$5-0.000000001,D4473&lt;=01_因子設定!$M$5+0.000000001,E4473&gt;=01_因子設定!$L$6-0.000000001,E4473&lt;=01_因子設定!$M$6+0.000000001,F4473&gt;=01_因子設定!$L$7-0.000000001,F4473&lt;=01_因子設定!$M$7+0.000000001,IF(01_因子設定!$B$20="Box-Behnken",D4473^2+E4473^2+F4473^2&lt;=2+0.000000001,TRUE()))</f>
        <v>1</v>
      </c>
      <c r="W4473" s="55" t="n">
        <f aca="false">IF(V4473,IF(01_因子設定!$B$13="最大化",T4473-01_因子設定!$B$14,IF(01_因子設定!$B$13="最小化",01_因子設定!$B$15-U4473,MIN(T4473-01_因子設定!$B$14,01_因子設定!$B$15-U4473))),-1E+030)</f>
        <v>-1.01245824763614</v>
      </c>
      <c r="X4473" s="55" t="n">
        <f aca="false">IF(V4473,IF(01_因子設定!$B$13="最大化",Q4473,IF(01_因子設定!$B$13="最小化",-Q4473,-ABS(Q4473-01_因子設定!$B$16))),-1E+030)</f>
        <v>48.5844957386364</v>
      </c>
      <c r="Y4473" s="55" t="n">
        <f aca="false">W4473+ROW()*0.000000001</f>
        <v>-1.01245377463614</v>
      </c>
      <c r="Z4473" s="55" t="n">
        <f aca="false">X4473+ROW()*0.000000001</f>
        <v>48.5845002116364</v>
      </c>
    </row>
    <row r="4474" customFormat="false" ht="15" hidden="false" customHeight="false" outlineLevel="0" collapsed="false">
      <c r="A4474" s="0" t="n">
        <v>15</v>
      </c>
      <c r="B4474" s="0" t="n">
        <v>7</v>
      </c>
      <c r="C4474" s="0" t="n">
        <v>15</v>
      </c>
      <c r="D4474" s="0" t="n">
        <f aca="false">-1+A4474*0.125</f>
        <v>0.875</v>
      </c>
      <c r="E4474" s="0" t="n">
        <f aca="false">-1+B4474*0.125</f>
        <v>-0.125</v>
      </c>
      <c r="F4474" s="0" t="n">
        <f aca="false">-1+C4474*0.125</f>
        <v>0.875</v>
      </c>
      <c r="G4474" s="0" t="n">
        <f aca="false">1</f>
        <v>1</v>
      </c>
      <c r="H4474" s="0" t="n">
        <f aca="false">D4474</f>
        <v>0.875</v>
      </c>
      <c r="I4474" s="0" t="n">
        <f aca="false">E4474</f>
        <v>-0.125</v>
      </c>
      <c r="J4474" s="0" t="n">
        <f aca="false">F4474</f>
        <v>0.875</v>
      </c>
      <c r="K4474" s="0" t="n">
        <f aca="false">D4474*E4474</f>
        <v>-0.109375</v>
      </c>
      <c r="L4474" s="0" t="n">
        <f aca="false">D4474*F4474</f>
        <v>0.765625</v>
      </c>
      <c r="M4474" s="0" t="n">
        <f aca="false">E4474*F4474</f>
        <v>-0.109375</v>
      </c>
      <c r="N4474" s="0" t="n">
        <f aca="false">D4474*D4474</f>
        <v>0.765625</v>
      </c>
      <c r="O4474" s="0" t="n">
        <f aca="false">E4474*E4474</f>
        <v>0.015625</v>
      </c>
      <c r="P4474" s="0" t="n">
        <f aca="false">F4474*F4474</f>
        <v>0.765625</v>
      </c>
      <c r="Q4474" s="0" t="n">
        <f aca="false">SUMPRODUCT(G4474:P4474,_XtX!$B$71:$K$71)</f>
        <v>48.4944247159091</v>
      </c>
      <c r="R4474" s="0" t="n">
        <f aca="false">SUMPRODUCT(MMULT(G4474:P4474,_XtX!$B$58:$K$67),G4474:P4474)</f>
        <v>0.468517511541193</v>
      </c>
      <c r="S4474" s="0" t="n">
        <f aca="false">04_回帰ANOVA!$K$19*04_回帰ANOVA!$K$14*SQRT(1+R4474)</f>
        <v>1.12669456902645</v>
      </c>
      <c r="T4474" s="0" t="n">
        <f aca="false">Q4474-S4474</f>
        <v>47.3677301468827</v>
      </c>
      <c r="U4474" s="0" t="n">
        <f aca="false">Q4474+S4474</f>
        <v>49.6211192849355</v>
      </c>
      <c r="V4474" s="54" t="b">
        <f aca="false">AND(D4474&gt;=01_因子設定!$L$5-0.000000001,D4474&lt;=01_因子設定!$M$5+0.000000001,E4474&gt;=01_因子設定!$L$6-0.000000001,E4474&lt;=01_因子設定!$M$6+0.000000001,F4474&gt;=01_因子設定!$L$7-0.000000001,F4474&lt;=01_因子設定!$M$7+0.000000001,IF(01_因子設定!$B$20="Box-Behnken",D4474^2+E4474^2+F4474^2&lt;=2+0.000000001,TRUE()))</f>
        <v>1</v>
      </c>
      <c r="W4474" s="55" t="n">
        <f aca="false">IF(V4474,IF(01_因子設定!$B$13="最大化",T4474-01_因子設定!$B$14,IF(01_因子設定!$B$13="最小化",01_因子設定!$B$15-U4474,MIN(T4474-01_因子設定!$B$14,01_因子設定!$B$15-U4474))),-1E+030)</f>
        <v>-1.13226985311735</v>
      </c>
      <c r="X4474" s="55" t="n">
        <f aca="false">IF(V4474,IF(01_因子設定!$B$13="最大化",Q4474,IF(01_因子設定!$B$13="最小化",-Q4474,-ABS(Q4474-01_因子設定!$B$16))),-1E+030)</f>
        <v>48.4944247159091</v>
      </c>
      <c r="Y4474" s="55" t="n">
        <f aca="false">W4474+ROW()*0.000000001</f>
        <v>-1.13226537911735</v>
      </c>
      <c r="Z4474" s="55" t="n">
        <f aca="false">X4474+ROW()*0.000000001</f>
        <v>48.4944291899091</v>
      </c>
    </row>
    <row r="4475" customFormat="false" ht="15" hidden="false" customHeight="false" outlineLevel="0" collapsed="false">
      <c r="A4475" s="0" t="n">
        <v>15</v>
      </c>
      <c r="B4475" s="0" t="n">
        <v>7</v>
      </c>
      <c r="C4475" s="0" t="n">
        <v>16</v>
      </c>
      <c r="D4475" s="0" t="n">
        <f aca="false">-1+A4475*0.125</f>
        <v>0.875</v>
      </c>
      <c r="E4475" s="0" t="n">
        <f aca="false">-1+B4475*0.125</f>
        <v>-0.125</v>
      </c>
      <c r="F4475" s="0" t="n">
        <f aca="false">-1+C4475*0.125</f>
        <v>1</v>
      </c>
      <c r="G4475" s="0" t="n">
        <f aca="false">1</f>
        <v>1</v>
      </c>
      <c r="H4475" s="0" t="n">
        <f aca="false">D4475</f>
        <v>0.875</v>
      </c>
      <c r="I4475" s="0" t="n">
        <f aca="false">E4475</f>
        <v>-0.125</v>
      </c>
      <c r="J4475" s="0" t="n">
        <f aca="false">F4475</f>
        <v>1</v>
      </c>
      <c r="K4475" s="0" t="n">
        <f aca="false">D4475*E4475</f>
        <v>-0.109375</v>
      </c>
      <c r="L4475" s="0" t="n">
        <f aca="false">D4475*F4475</f>
        <v>0.875</v>
      </c>
      <c r="M4475" s="0" t="n">
        <f aca="false">E4475*F4475</f>
        <v>-0.125</v>
      </c>
      <c r="N4475" s="0" t="n">
        <f aca="false">D4475*D4475</f>
        <v>0.765625</v>
      </c>
      <c r="O4475" s="0" t="n">
        <f aca="false">E4475*E4475</f>
        <v>0.015625</v>
      </c>
      <c r="P4475" s="0" t="n">
        <f aca="false">F4475*F4475</f>
        <v>1</v>
      </c>
      <c r="Q4475" s="0" t="n">
        <f aca="false">SUMPRODUCT(G4475:P4475,_XtX!$B$71:$K$71)</f>
        <v>48.3675639204546</v>
      </c>
      <c r="R4475" s="0" t="n">
        <f aca="false">SUMPRODUCT(MMULT(G4475:P4475,_XtX!$B$58:$K$67),G4475:P4475)</f>
        <v>0.59407792524858</v>
      </c>
      <c r="S4475" s="0" t="n">
        <f aca="false">04_回帰ANOVA!$K$19*04_回帰ANOVA!$K$14*SQRT(1+R4475)</f>
        <v>1.17387380087722</v>
      </c>
      <c r="T4475" s="0" t="n">
        <f aca="false">Q4475-S4475</f>
        <v>47.1936901195773</v>
      </c>
      <c r="U4475" s="0" t="n">
        <f aca="false">Q4475+S4475</f>
        <v>49.5414377213318</v>
      </c>
      <c r="V4475" s="54" t="b">
        <f aca="false">AND(D4475&gt;=01_因子設定!$L$5-0.000000001,D4475&lt;=01_因子設定!$M$5+0.000000001,E4475&gt;=01_因子設定!$L$6-0.000000001,E4475&lt;=01_因子設定!$M$6+0.000000001,F4475&gt;=01_因子設定!$L$7-0.000000001,F4475&lt;=01_因子設定!$M$7+0.000000001,IF(01_因子設定!$B$20="Box-Behnken",D4475^2+E4475^2+F4475^2&lt;=2+0.000000001,TRUE()))</f>
        <v>1</v>
      </c>
      <c r="W4475" s="55" t="n">
        <f aca="false">IF(V4475,IF(01_因子設定!$B$13="最大化",T4475-01_因子設定!$B$14,IF(01_因子設定!$B$13="最小化",01_因子設定!$B$15-U4475,MIN(T4475-01_因子設定!$B$14,01_因子設定!$B$15-U4475))),-1E+030)</f>
        <v>-1.30630988042266</v>
      </c>
      <c r="X4475" s="55" t="n">
        <f aca="false">IF(V4475,IF(01_因子設定!$B$13="最大化",Q4475,IF(01_因子設定!$B$13="最小化",-Q4475,-ABS(Q4475-01_因子設定!$B$16))),-1E+030)</f>
        <v>48.3675639204546</v>
      </c>
      <c r="Y4475" s="55" t="n">
        <f aca="false">W4475+ROW()*0.000000001</f>
        <v>-1.30630540542266</v>
      </c>
      <c r="Z4475" s="55" t="n">
        <f aca="false">X4475+ROW()*0.000000001</f>
        <v>48.3675683954546</v>
      </c>
    </row>
    <row r="4476" customFormat="false" ht="15" hidden="false" customHeight="false" outlineLevel="0" collapsed="false">
      <c r="A4476" s="0" t="n">
        <v>15</v>
      </c>
      <c r="B4476" s="0" t="n">
        <v>8</v>
      </c>
      <c r="C4476" s="0" t="n">
        <v>0</v>
      </c>
      <c r="D4476" s="0" t="n">
        <f aca="false">-1+A4476*0.125</f>
        <v>0.875</v>
      </c>
      <c r="E4476" s="0" t="n">
        <f aca="false">-1+B4476*0.125</f>
        <v>0</v>
      </c>
      <c r="F4476" s="0" t="n">
        <f aca="false">-1+C4476*0.125</f>
        <v>-1</v>
      </c>
      <c r="G4476" s="0" t="n">
        <f aca="false">1</f>
        <v>1</v>
      </c>
      <c r="H4476" s="0" t="n">
        <f aca="false">D4476</f>
        <v>0.875</v>
      </c>
      <c r="I4476" s="0" t="n">
        <f aca="false">E4476</f>
        <v>0</v>
      </c>
      <c r="J4476" s="0" t="n">
        <f aca="false">F4476</f>
        <v>-1</v>
      </c>
      <c r="K4476" s="0" t="n">
        <f aca="false">D4476*E4476</f>
        <v>0</v>
      </c>
      <c r="L4476" s="0" t="n">
        <f aca="false">D4476*F4476</f>
        <v>-0.875</v>
      </c>
      <c r="M4476" s="0" t="n">
        <f aca="false">E4476*F4476</f>
        <v>-0</v>
      </c>
      <c r="N4476" s="0" t="n">
        <f aca="false">D4476*D4476</f>
        <v>0.765625</v>
      </c>
      <c r="O4476" s="0" t="n">
        <f aca="false">E4476*E4476</f>
        <v>0</v>
      </c>
      <c r="P4476" s="0" t="n">
        <f aca="false">F4476*F4476</f>
        <v>1</v>
      </c>
      <c r="Q4476" s="0" t="n">
        <f aca="false">SUMPRODUCT(G4476:P4476,_XtX!$B$71:$K$71)</f>
        <v>46.3507244318182</v>
      </c>
      <c r="R4476" s="0" t="n">
        <f aca="false">SUMPRODUCT(MMULT(G4476:P4476,_XtX!$B$58:$K$67),G4476:P4476)</f>
        <v>0.597922585227273</v>
      </c>
      <c r="S4476" s="0" t="n">
        <f aca="false">04_回帰ANOVA!$K$19*04_回帰ANOVA!$K$14*SQRT(1+R4476)</f>
        <v>1.17528854591003</v>
      </c>
      <c r="T4476" s="0" t="n">
        <f aca="false">Q4476-S4476</f>
        <v>45.1754358859082</v>
      </c>
      <c r="U4476" s="0" t="n">
        <f aca="false">Q4476+S4476</f>
        <v>47.5260129777282</v>
      </c>
      <c r="V4476" s="54" t="b">
        <f aca="false">AND(D4476&gt;=01_因子設定!$L$5-0.000000001,D4476&lt;=01_因子設定!$M$5+0.000000001,E4476&gt;=01_因子設定!$L$6-0.000000001,E4476&lt;=01_因子設定!$M$6+0.000000001,F4476&gt;=01_因子設定!$L$7-0.000000001,F4476&lt;=01_因子設定!$M$7+0.000000001,IF(01_因子設定!$B$20="Box-Behnken",D4476^2+E4476^2+F4476^2&lt;=2+0.000000001,TRUE()))</f>
        <v>1</v>
      </c>
      <c r="W4476" s="55" t="n">
        <f aca="false">IF(V4476,IF(01_因子設定!$B$13="最大化",T4476-01_因子設定!$B$14,IF(01_因子設定!$B$13="最小化",01_因子設定!$B$15-U4476,MIN(T4476-01_因子設定!$B$14,01_因子設定!$B$15-U4476))),-1E+030)</f>
        <v>-3.32456411409184</v>
      </c>
      <c r="X4476" s="55" t="n">
        <f aca="false">IF(V4476,IF(01_因子設定!$B$13="最大化",Q4476,IF(01_因子設定!$B$13="最小化",-Q4476,-ABS(Q4476-01_因子設定!$B$16))),-1E+030)</f>
        <v>46.3507244318182</v>
      </c>
      <c r="Y4476" s="55" t="n">
        <f aca="false">W4476+ROW()*0.000000001</f>
        <v>-3.32455963809184</v>
      </c>
      <c r="Z4476" s="55" t="n">
        <f aca="false">X4476+ROW()*0.000000001</f>
        <v>46.3507289078182</v>
      </c>
    </row>
    <row r="4477" customFormat="false" ht="15" hidden="false" customHeight="false" outlineLevel="0" collapsed="false">
      <c r="A4477" s="0" t="n">
        <v>15</v>
      </c>
      <c r="B4477" s="0" t="n">
        <v>8</v>
      </c>
      <c r="C4477" s="0" t="n">
        <v>1</v>
      </c>
      <c r="D4477" s="0" t="n">
        <f aca="false">-1+A4477*0.125</f>
        <v>0.875</v>
      </c>
      <c r="E4477" s="0" t="n">
        <f aca="false">-1+B4477*0.125</f>
        <v>0</v>
      </c>
      <c r="F4477" s="0" t="n">
        <f aca="false">-1+C4477*0.125</f>
        <v>-0.875</v>
      </c>
      <c r="G4477" s="0" t="n">
        <f aca="false">1</f>
        <v>1</v>
      </c>
      <c r="H4477" s="0" t="n">
        <f aca="false">D4477</f>
        <v>0.875</v>
      </c>
      <c r="I4477" s="0" t="n">
        <f aca="false">E4477</f>
        <v>0</v>
      </c>
      <c r="J4477" s="0" t="n">
        <f aca="false">F4477</f>
        <v>-0.875</v>
      </c>
      <c r="K4477" s="0" t="n">
        <f aca="false">D4477*E4477</f>
        <v>0</v>
      </c>
      <c r="L4477" s="0" t="n">
        <f aca="false">D4477*F4477</f>
        <v>-0.765625</v>
      </c>
      <c r="M4477" s="0" t="n">
        <f aca="false">E4477*F4477</f>
        <v>-0</v>
      </c>
      <c r="N4477" s="0" t="n">
        <f aca="false">D4477*D4477</f>
        <v>0.765625</v>
      </c>
      <c r="O4477" s="0" t="n">
        <f aca="false">E4477*E4477</f>
        <v>0</v>
      </c>
      <c r="P4477" s="0" t="n">
        <f aca="false">F4477*F4477</f>
        <v>0.765625</v>
      </c>
      <c r="Q4477" s="0" t="n">
        <f aca="false">SUMPRODUCT(G4477:P4477,_XtX!$B$71:$K$71)</f>
        <v>46.7827414772727</v>
      </c>
      <c r="R4477" s="0" t="n">
        <f aca="false">SUMPRODUCT(MMULT(G4477:P4477,_XtX!$B$58:$K$67),G4477:P4477)</f>
        <v>0.471821178089489</v>
      </c>
      <c r="S4477" s="0" t="n">
        <f aca="false">04_回帰ANOVA!$K$19*04_回帰ANOVA!$K$14*SQRT(1+R4477)</f>
        <v>1.12796119746125</v>
      </c>
      <c r="T4477" s="0" t="n">
        <f aca="false">Q4477-S4477</f>
        <v>45.6547802798115</v>
      </c>
      <c r="U4477" s="0" t="n">
        <f aca="false">Q4477+S4477</f>
        <v>47.910702674734</v>
      </c>
      <c r="V4477" s="54" t="b">
        <f aca="false">AND(D4477&gt;=01_因子設定!$L$5-0.000000001,D4477&lt;=01_因子設定!$M$5+0.000000001,E4477&gt;=01_因子設定!$L$6-0.000000001,E4477&lt;=01_因子設定!$M$6+0.000000001,F4477&gt;=01_因子設定!$L$7-0.000000001,F4477&lt;=01_因子設定!$M$7+0.000000001,IF(01_因子設定!$B$20="Box-Behnken",D4477^2+E4477^2+F4477^2&lt;=2+0.000000001,TRUE()))</f>
        <v>1</v>
      </c>
      <c r="W4477" s="55" t="n">
        <f aca="false">IF(V4477,IF(01_因子設定!$B$13="最大化",T4477-01_因子設定!$B$14,IF(01_因子設定!$B$13="最小化",01_因子設定!$B$15-U4477,MIN(T4477-01_因子設定!$B$14,01_因子設定!$B$15-U4477))),-1E+030)</f>
        <v>-2.84521972018852</v>
      </c>
      <c r="X4477" s="55" t="n">
        <f aca="false">IF(V4477,IF(01_因子設定!$B$13="最大化",Q4477,IF(01_因子設定!$B$13="最小化",-Q4477,-ABS(Q4477-01_因子設定!$B$16))),-1E+030)</f>
        <v>46.7827414772727</v>
      </c>
      <c r="Y4477" s="55" t="n">
        <f aca="false">W4477+ROW()*0.000000001</f>
        <v>-2.84521524318852</v>
      </c>
      <c r="Z4477" s="55" t="n">
        <f aca="false">X4477+ROW()*0.000000001</f>
        <v>46.7827459542727</v>
      </c>
    </row>
    <row r="4478" customFormat="false" ht="15" hidden="false" customHeight="false" outlineLevel="0" collapsed="false">
      <c r="A4478" s="0" t="n">
        <v>15</v>
      </c>
      <c r="B4478" s="0" t="n">
        <v>8</v>
      </c>
      <c r="C4478" s="0" t="n">
        <v>2</v>
      </c>
      <c r="D4478" s="0" t="n">
        <f aca="false">-1+A4478*0.125</f>
        <v>0.875</v>
      </c>
      <c r="E4478" s="0" t="n">
        <f aca="false">-1+B4478*0.125</f>
        <v>0</v>
      </c>
      <c r="F4478" s="0" t="n">
        <f aca="false">-1+C4478*0.125</f>
        <v>-0.75</v>
      </c>
      <c r="G4478" s="0" t="n">
        <f aca="false">1</f>
        <v>1</v>
      </c>
      <c r="H4478" s="0" t="n">
        <f aca="false">D4478</f>
        <v>0.875</v>
      </c>
      <c r="I4478" s="0" t="n">
        <f aca="false">E4478</f>
        <v>0</v>
      </c>
      <c r="J4478" s="0" t="n">
        <f aca="false">F4478</f>
        <v>-0.75</v>
      </c>
      <c r="K4478" s="0" t="n">
        <f aca="false">D4478*E4478</f>
        <v>0</v>
      </c>
      <c r="L4478" s="0" t="n">
        <f aca="false">D4478*F4478</f>
        <v>-0.65625</v>
      </c>
      <c r="M4478" s="0" t="n">
        <f aca="false">E4478*F4478</f>
        <v>-0</v>
      </c>
      <c r="N4478" s="0" t="n">
        <f aca="false">D4478*D4478</f>
        <v>0.765625</v>
      </c>
      <c r="O4478" s="0" t="n">
        <f aca="false">E4478*E4478</f>
        <v>0</v>
      </c>
      <c r="P4478" s="0" t="n">
        <f aca="false">F4478*F4478</f>
        <v>0.5625</v>
      </c>
      <c r="Q4478" s="0" t="n">
        <f aca="false">SUMPRODUCT(G4478:P4478,_XtX!$B$71:$K$71)</f>
        <v>47.17796875</v>
      </c>
      <c r="R4478" s="0" t="n">
        <f aca="false">SUMPRODUCT(MMULT(G4478:P4478,_XtX!$B$58:$K$67),G4478:P4478)</f>
        <v>0.3948486328125</v>
      </c>
      <c r="S4478" s="0" t="n">
        <f aca="false">04_回帰ANOVA!$K$19*04_回帰ANOVA!$K$14*SQRT(1+R4478)</f>
        <v>1.09807037952996</v>
      </c>
      <c r="T4478" s="0" t="n">
        <f aca="false">Q4478-S4478</f>
        <v>46.0798983704701</v>
      </c>
      <c r="U4478" s="0" t="n">
        <f aca="false">Q4478+S4478</f>
        <v>48.27603912953</v>
      </c>
      <c r="V4478" s="54" t="b">
        <f aca="false">AND(D4478&gt;=01_因子設定!$L$5-0.000000001,D4478&lt;=01_因子設定!$M$5+0.000000001,E4478&gt;=01_因子設定!$L$6-0.000000001,E4478&lt;=01_因子設定!$M$6+0.000000001,F4478&gt;=01_因子設定!$L$7-0.000000001,F4478&lt;=01_因子設定!$M$7+0.000000001,IF(01_因子設定!$B$20="Box-Behnken",D4478^2+E4478^2+F4478^2&lt;=2+0.000000001,TRUE()))</f>
        <v>1</v>
      </c>
      <c r="W4478" s="55" t="n">
        <f aca="false">IF(V4478,IF(01_因子設定!$B$13="最大化",T4478-01_因子設定!$B$14,IF(01_因子設定!$B$13="最小化",01_因子設定!$B$15-U4478,MIN(T4478-01_因子設定!$B$14,01_因子設定!$B$15-U4478))),-1E+030)</f>
        <v>-2.42010162952995</v>
      </c>
      <c r="X4478" s="55" t="n">
        <f aca="false">IF(V4478,IF(01_因子設定!$B$13="最大化",Q4478,IF(01_因子設定!$B$13="最小化",-Q4478,-ABS(Q4478-01_因子設定!$B$16))),-1E+030)</f>
        <v>47.17796875</v>
      </c>
      <c r="Y4478" s="55" t="n">
        <f aca="false">W4478+ROW()*0.000000001</f>
        <v>-2.42009715152995</v>
      </c>
      <c r="Z4478" s="55" t="n">
        <f aca="false">X4478+ROW()*0.000000001</f>
        <v>47.177973228</v>
      </c>
    </row>
    <row r="4479" customFormat="false" ht="15" hidden="false" customHeight="false" outlineLevel="0" collapsed="false">
      <c r="A4479" s="0" t="n">
        <v>15</v>
      </c>
      <c r="B4479" s="0" t="n">
        <v>8</v>
      </c>
      <c r="C4479" s="0" t="n">
        <v>3</v>
      </c>
      <c r="D4479" s="0" t="n">
        <f aca="false">-1+A4479*0.125</f>
        <v>0.875</v>
      </c>
      <c r="E4479" s="0" t="n">
        <f aca="false">-1+B4479*0.125</f>
        <v>0</v>
      </c>
      <c r="F4479" s="0" t="n">
        <f aca="false">-1+C4479*0.125</f>
        <v>-0.625</v>
      </c>
      <c r="G4479" s="0" t="n">
        <f aca="false">1</f>
        <v>1</v>
      </c>
      <c r="H4479" s="0" t="n">
        <f aca="false">D4479</f>
        <v>0.875</v>
      </c>
      <c r="I4479" s="0" t="n">
        <f aca="false">E4479</f>
        <v>0</v>
      </c>
      <c r="J4479" s="0" t="n">
        <f aca="false">F4479</f>
        <v>-0.625</v>
      </c>
      <c r="K4479" s="0" t="n">
        <f aca="false">D4479*E4479</f>
        <v>0</v>
      </c>
      <c r="L4479" s="0" t="n">
        <f aca="false">D4479*F4479</f>
        <v>-0.546875</v>
      </c>
      <c r="M4479" s="0" t="n">
        <f aca="false">E4479*F4479</f>
        <v>-0</v>
      </c>
      <c r="N4479" s="0" t="n">
        <f aca="false">D4479*D4479</f>
        <v>0.765625</v>
      </c>
      <c r="O4479" s="0" t="n">
        <f aca="false">E4479*E4479</f>
        <v>0</v>
      </c>
      <c r="P4479" s="0" t="n">
        <f aca="false">F4479*F4479</f>
        <v>0.390625</v>
      </c>
      <c r="Q4479" s="0" t="n">
        <f aca="false">SUMPRODUCT(G4479:P4479,_XtX!$B$71:$K$71)</f>
        <v>47.53640625</v>
      </c>
      <c r="R4479" s="0" t="n">
        <f aca="false">SUMPRODUCT(MMULT(G4479:P4479,_XtX!$B$58:$K$67),G4479:P4479)</f>
        <v>0.353155517578125</v>
      </c>
      <c r="S4479" s="0" t="n">
        <f aca="false">04_回帰ANOVA!$K$19*04_回帰ANOVA!$K$14*SQRT(1+R4479)</f>
        <v>1.08153478594098</v>
      </c>
      <c r="T4479" s="0" t="n">
        <f aca="false">Q4479-S4479</f>
        <v>46.454871464059</v>
      </c>
      <c r="U4479" s="0" t="n">
        <f aca="false">Q4479+S4479</f>
        <v>48.617941035941</v>
      </c>
      <c r="V4479" s="54" t="b">
        <f aca="false">AND(D4479&gt;=01_因子設定!$L$5-0.000000001,D4479&lt;=01_因子設定!$M$5+0.000000001,E4479&gt;=01_因子設定!$L$6-0.000000001,E4479&lt;=01_因子設定!$M$6+0.000000001,F4479&gt;=01_因子設定!$L$7-0.000000001,F4479&lt;=01_因子設定!$M$7+0.000000001,IF(01_因子設定!$B$20="Box-Behnken",D4479^2+E4479^2+F4479^2&lt;=2+0.000000001,TRUE()))</f>
        <v>1</v>
      </c>
      <c r="W4479" s="55" t="n">
        <f aca="false">IF(V4479,IF(01_因子設定!$B$13="最大化",T4479-01_因子設定!$B$14,IF(01_因子設定!$B$13="最小化",01_因子設定!$B$15-U4479,MIN(T4479-01_因子設定!$B$14,01_因子設定!$B$15-U4479))),-1E+030)</f>
        <v>-2.04512853594098</v>
      </c>
      <c r="X4479" s="55" t="n">
        <f aca="false">IF(V4479,IF(01_因子設定!$B$13="最大化",Q4479,IF(01_因子設定!$B$13="最小化",-Q4479,-ABS(Q4479-01_因子設定!$B$16))),-1E+030)</f>
        <v>47.53640625</v>
      </c>
      <c r="Y4479" s="55" t="n">
        <f aca="false">W4479+ROW()*0.000000001</f>
        <v>-2.04512405694098</v>
      </c>
      <c r="Z4479" s="55" t="n">
        <f aca="false">X4479+ROW()*0.000000001</f>
        <v>47.536410729</v>
      </c>
    </row>
    <row r="4480" customFormat="false" ht="15" hidden="false" customHeight="false" outlineLevel="0" collapsed="false">
      <c r="A4480" s="0" t="n">
        <v>15</v>
      </c>
      <c r="B4480" s="0" t="n">
        <v>8</v>
      </c>
      <c r="C4480" s="0" t="n">
        <v>4</v>
      </c>
      <c r="D4480" s="0" t="n">
        <f aca="false">-1+A4480*0.125</f>
        <v>0.875</v>
      </c>
      <c r="E4480" s="0" t="n">
        <f aca="false">-1+B4480*0.125</f>
        <v>0</v>
      </c>
      <c r="F4480" s="0" t="n">
        <f aca="false">-1+C4480*0.125</f>
        <v>-0.5</v>
      </c>
      <c r="G4480" s="0" t="n">
        <f aca="false">1</f>
        <v>1</v>
      </c>
      <c r="H4480" s="0" t="n">
        <f aca="false">D4480</f>
        <v>0.875</v>
      </c>
      <c r="I4480" s="0" t="n">
        <f aca="false">E4480</f>
        <v>0</v>
      </c>
      <c r="J4480" s="0" t="n">
        <f aca="false">F4480</f>
        <v>-0.5</v>
      </c>
      <c r="K4480" s="0" t="n">
        <f aca="false">D4480*E4480</f>
        <v>0</v>
      </c>
      <c r="L4480" s="0" t="n">
        <f aca="false">D4480*F4480</f>
        <v>-0.4375</v>
      </c>
      <c r="M4480" s="0" t="n">
        <f aca="false">E4480*F4480</f>
        <v>-0</v>
      </c>
      <c r="N4480" s="0" t="n">
        <f aca="false">D4480*D4480</f>
        <v>0.765625</v>
      </c>
      <c r="O4480" s="0" t="n">
        <f aca="false">E4480*E4480</f>
        <v>0</v>
      </c>
      <c r="P4480" s="0" t="n">
        <f aca="false">F4480*F4480</f>
        <v>0.25</v>
      </c>
      <c r="Q4480" s="0" t="n">
        <f aca="false">SUMPRODUCT(G4480:P4480,_XtX!$B$71:$K$71)</f>
        <v>47.8580539772727</v>
      </c>
      <c r="R4480" s="0" t="n">
        <f aca="false">SUMPRODUCT(MMULT(G4480:P4480,_XtX!$B$58:$K$67),G4480:P4480)</f>
        <v>0.335023082386364</v>
      </c>
      <c r="S4480" s="0" t="n">
        <f aca="false">04_回帰ANOVA!$K$19*04_回帰ANOVA!$K$14*SQRT(1+R4480)</f>
        <v>1.07426400295275</v>
      </c>
      <c r="T4480" s="0" t="n">
        <f aca="false">Q4480-S4480</f>
        <v>46.78378997432</v>
      </c>
      <c r="U4480" s="0" t="n">
        <f aca="false">Q4480+S4480</f>
        <v>48.9323179802255</v>
      </c>
      <c r="V4480" s="54" t="b">
        <f aca="false">AND(D4480&gt;=01_因子設定!$L$5-0.000000001,D4480&lt;=01_因子設定!$M$5+0.000000001,E4480&gt;=01_因子設定!$L$6-0.000000001,E4480&lt;=01_因子設定!$M$6+0.000000001,F4480&gt;=01_因子設定!$L$7-0.000000001,F4480&lt;=01_因子設定!$M$7+0.000000001,IF(01_因子設定!$B$20="Box-Behnken",D4480^2+E4480^2+F4480^2&lt;=2+0.000000001,TRUE()))</f>
        <v>1</v>
      </c>
      <c r="W4480" s="55" t="n">
        <f aca="false">IF(V4480,IF(01_因子設定!$B$13="最大化",T4480-01_因子設定!$B$14,IF(01_因子設定!$B$13="最小化",01_因子設定!$B$15-U4480,MIN(T4480-01_因子設定!$B$14,01_因子設定!$B$15-U4480))),-1E+030)</f>
        <v>-1.71621002568003</v>
      </c>
      <c r="X4480" s="55" t="n">
        <f aca="false">IF(V4480,IF(01_因子設定!$B$13="最大化",Q4480,IF(01_因子設定!$B$13="最小化",-Q4480,-ABS(Q4480-01_因子設定!$B$16))),-1E+030)</f>
        <v>47.8580539772727</v>
      </c>
      <c r="Y4480" s="55" t="n">
        <f aca="false">W4480+ROW()*0.000000001</f>
        <v>-1.71620554568003</v>
      </c>
      <c r="Z4480" s="55" t="n">
        <f aca="false">X4480+ROW()*0.000000001</f>
        <v>47.8580584572727</v>
      </c>
    </row>
    <row r="4481" customFormat="false" ht="15" hidden="false" customHeight="false" outlineLevel="0" collapsed="false">
      <c r="A4481" s="0" t="n">
        <v>15</v>
      </c>
      <c r="B4481" s="0" t="n">
        <v>8</v>
      </c>
      <c r="C4481" s="0" t="n">
        <v>5</v>
      </c>
      <c r="D4481" s="0" t="n">
        <f aca="false">-1+A4481*0.125</f>
        <v>0.875</v>
      </c>
      <c r="E4481" s="0" t="n">
        <f aca="false">-1+B4481*0.125</f>
        <v>0</v>
      </c>
      <c r="F4481" s="0" t="n">
        <f aca="false">-1+C4481*0.125</f>
        <v>-0.375</v>
      </c>
      <c r="G4481" s="0" t="n">
        <f aca="false">1</f>
        <v>1</v>
      </c>
      <c r="H4481" s="0" t="n">
        <f aca="false">D4481</f>
        <v>0.875</v>
      </c>
      <c r="I4481" s="0" t="n">
        <f aca="false">E4481</f>
        <v>0</v>
      </c>
      <c r="J4481" s="0" t="n">
        <f aca="false">F4481</f>
        <v>-0.375</v>
      </c>
      <c r="K4481" s="0" t="n">
        <f aca="false">D4481*E4481</f>
        <v>0</v>
      </c>
      <c r="L4481" s="0" t="n">
        <f aca="false">D4481*F4481</f>
        <v>-0.328125</v>
      </c>
      <c r="M4481" s="0" t="n">
        <f aca="false">E4481*F4481</f>
        <v>-0</v>
      </c>
      <c r="N4481" s="0" t="n">
        <f aca="false">D4481*D4481</f>
        <v>0.765625</v>
      </c>
      <c r="O4481" s="0" t="n">
        <f aca="false">E4481*E4481</f>
        <v>0</v>
      </c>
      <c r="P4481" s="0" t="n">
        <f aca="false">F4481*F4481</f>
        <v>0.140625</v>
      </c>
      <c r="Q4481" s="0" t="n">
        <f aca="false">SUMPRODUCT(G4481:P4481,_XtX!$B$71:$K$71)</f>
        <v>48.1429119318182</v>
      </c>
      <c r="R4481" s="0" t="n">
        <f aca="false">SUMPRODUCT(MMULT(G4481:P4481,_XtX!$B$58:$K$67),G4481:P4481)</f>
        <v>0.330863259055398</v>
      </c>
      <c r="S4481" s="0" t="n">
        <f aca="false">04_回帰ANOVA!$K$19*04_回帰ANOVA!$K$14*SQRT(1+R4481)</f>
        <v>1.07258903754571</v>
      </c>
      <c r="T4481" s="0" t="n">
        <f aca="false">Q4481-S4481</f>
        <v>47.0703228942725</v>
      </c>
      <c r="U4481" s="0" t="n">
        <f aca="false">Q4481+S4481</f>
        <v>49.2155009693639</v>
      </c>
      <c r="V4481" s="54" t="b">
        <f aca="false">AND(D4481&gt;=01_因子設定!$L$5-0.000000001,D4481&lt;=01_因子設定!$M$5+0.000000001,E4481&gt;=01_因子設定!$L$6-0.000000001,E4481&lt;=01_因子設定!$M$6+0.000000001,F4481&gt;=01_因子設定!$L$7-0.000000001,F4481&lt;=01_因子設定!$M$7+0.000000001,IF(01_因子設定!$B$20="Box-Behnken",D4481^2+E4481^2+F4481^2&lt;=2+0.000000001,TRUE()))</f>
        <v>1</v>
      </c>
      <c r="W4481" s="55" t="n">
        <f aca="false">IF(V4481,IF(01_因子設定!$B$13="最大化",T4481-01_因子設定!$B$14,IF(01_因子設定!$B$13="最小化",01_因子設定!$B$15-U4481,MIN(T4481-01_因子設定!$B$14,01_因子設定!$B$15-U4481))),-1E+030)</f>
        <v>-1.42967710572753</v>
      </c>
      <c r="X4481" s="55" t="n">
        <f aca="false">IF(V4481,IF(01_因子設定!$B$13="最大化",Q4481,IF(01_因子設定!$B$13="最小化",-Q4481,-ABS(Q4481-01_因子設定!$B$16))),-1E+030)</f>
        <v>48.1429119318182</v>
      </c>
      <c r="Y4481" s="55" t="n">
        <f aca="false">W4481+ROW()*0.000000001</f>
        <v>-1.42967262472753</v>
      </c>
      <c r="Z4481" s="55" t="n">
        <f aca="false">X4481+ROW()*0.000000001</f>
        <v>48.1429164128182</v>
      </c>
    </row>
    <row r="4482" customFormat="false" ht="15" hidden="false" customHeight="false" outlineLevel="0" collapsed="false">
      <c r="A4482" s="0" t="n">
        <v>15</v>
      </c>
      <c r="B4482" s="0" t="n">
        <v>8</v>
      </c>
      <c r="C4482" s="0" t="n">
        <v>6</v>
      </c>
      <c r="D4482" s="0" t="n">
        <f aca="false">-1+A4482*0.125</f>
        <v>0.875</v>
      </c>
      <c r="E4482" s="0" t="n">
        <f aca="false">-1+B4482*0.125</f>
        <v>0</v>
      </c>
      <c r="F4482" s="0" t="n">
        <f aca="false">-1+C4482*0.125</f>
        <v>-0.25</v>
      </c>
      <c r="G4482" s="0" t="n">
        <f aca="false">1</f>
        <v>1</v>
      </c>
      <c r="H4482" s="0" t="n">
        <f aca="false">D4482</f>
        <v>0.875</v>
      </c>
      <c r="I4482" s="0" t="n">
        <f aca="false">E4482</f>
        <v>0</v>
      </c>
      <c r="J4482" s="0" t="n">
        <f aca="false">F4482</f>
        <v>-0.25</v>
      </c>
      <c r="K4482" s="0" t="n">
        <f aca="false">D4482*E4482</f>
        <v>0</v>
      </c>
      <c r="L4482" s="0" t="n">
        <f aca="false">D4482*F4482</f>
        <v>-0.21875</v>
      </c>
      <c r="M4482" s="0" t="n">
        <f aca="false">E4482*F4482</f>
        <v>-0</v>
      </c>
      <c r="N4482" s="0" t="n">
        <f aca="false">D4482*D4482</f>
        <v>0.765625</v>
      </c>
      <c r="O4482" s="0" t="n">
        <f aca="false">E4482*E4482</f>
        <v>0</v>
      </c>
      <c r="P4482" s="0" t="n">
        <f aca="false">F4482*F4482</f>
        <v>0.0625</v>
      </c>
      <c r="Q4482" s="0" t="n">
        <f aca="false">SUMPRODUCT(G4482:P4482,_XtX!$B$71:$K$71)</f>
        <v>48.3909801136364</v>
      </c>
      <c r="R4482" s="0" t="n">
        <f aca="false">SUMPRODUCT(MMULT(G4482:P4482,_XtX!$B$58:$K$67),G4482:P4482)</f>
        <v>0.333218661221591</v>
      </c>
      <c r="S4482" s="0" t="n">
        <f aca="false">04_回帰ANOVA!$K$19*04_回帰ANOVA!$K$14*SQRT(1+R4482)</f>
        <v>1.07353776826542</v>
      </c>
      <c r="T4482" s="0" t="n">
        <f aca="false">Q4482-S4482</f>
        <v>47.3174423453709</v>
      </c>
      <c r="U4482" s="0" t="n">
        <f aca="false">Q4482+S4482</f>
        <v>49.4645178819018</v>
      </c>
      <c r="V4482" s="54" t="b">
        <f aca="false">AND(D4482&gt;=01_因子設定!$L$5-0.000000001,D4482&lt;=01_因子設定!$M$5+0.000000001,E4482&gt;=01_因子設定!$L$6-0.000000001,E4482&lt;=01_因子設定!$M$6+0.000000001,F4482&gt;=01_因子設定!$L$7-0.000000001,F4482&lt;=01_因子設定!$M$7+0.000000001,IF(01_因子設定!$B$20="Box-Behnken",D4482^2+E4482^2+F4482^2&lt;=2+0.000000001,TRUE()))</f>
        <v>1</v>
      </c>
      <c r="W4482" s="55" t="n">
        <f aca="false">IF(V4482,IF(01_因子設定!$B$13="最大化",T4482-01_因子設定!$B$14,IF(01_因子設定!$B$13="最小化",01_因子設定!$B$15-U4482,MIN(T4482-01_因子設定!$B$14,01_因子設定!$B$15-U4482))),-1E+030)</f>
        <v>-1.18255765462906</v>
      </c>
      <c r="X4482" s="55" t="n">
        <f aca="false">IF(V4482,IF(01_因子設定!$B$13="最大化",Q4482,IF(01_因子設定!$B$13="最小化",-Q4482,-ABS(Q4482-01_因子設定!$B$16))),-1E+030)</f>
        <v>48.3909801136364</v>
      </c>
      <c r="Y4482" s="55" t="n">
        <f aca="false">W4482+ROW()*0.000000001</f>
        <v>-1.18255317262906</v>
      </c>
      <c r="Z4482" s="55" t="n">
        <f aca="false">X4482+ROW()*0.000000001</f>
        <v>48.3909845956364</v>
      </c>
    </row>
    <row r="4483" customFormat="false" ht="15" hidden="false" customHeight="false" outlineLevel="0" collapsed="false">
      <c r="A4483" s="0" t="n">
        <v>15</v>
      </c>
      <c r="B4483" s="0" t="n">
        <v>8</v>
      </c>
      <c r="C4483" s="0" t="n">
        <v>7</v>
      </c>
      <c r="D4483" s="0" t="n">
        <f aca="false">-1+A4483*0.125</f>
        <v>0.875</v>
      </c>
      <c r="E4483" s="0" t="n">
        <f aca="false">-1+B4483*0.125</f>
        <v>0</v>
      </c>
      <c r="F4483" s="0" t="n">
        <f aca="false">-1+C4483*0.125</f>
        <v>-0.125</v>
      </c>
      <c r="G4483" s="0" t="n">
        <f aca="false">1</f>
        <v>1</v>
      </c>
      <c r="H4483" s="0" t="n">
        <f aca="false">D4483</f>
        <v>0.875</v>
      </c>
      <c r="I4483" s="0" t="n">
        <f aca="false">E4483</f>
        <v>0</v>
      </c>
      <c r="J4483" s="0" t="n">
        <f aca="false">F4483</f>
        <v>-0.125</v>
      </c>
      <c r="K4483" s="0" t="n">
        <f aca="false">D4483*E4483</f>
        <v>0</v>
      </c>
      <c r="L4483" s="0" t="n">
        <f aca="false">D4483*F4483</f>
        <v>-0.109375</v>
      </c>
      <c r="M4483" s="0" t="n">
        <f aca="false">E4483*F4483</f>
        <v>-0</v>
      </c>
      <c r="N4483" s="0" t="n">
        <f aca="false">D4483*D4483</f>
        <v>0.765625</v>
      </c>
      <c r="O4483" s="0" t="n">
        <f aca="false">E4483*E4483</f>
        <v>0</v>
      </c>
      <c r="P4483" s="0" t="n">
        <f aca="false">F4483*F4483</f>
        <v>0.015625</v>
      </c>
      <c r="Q4483" s="0" t="n">
        <f aca="false">SUMPRODUCT(G4483:P4483,_XtX!$B$71:$K$71)</f>
        <v>48.6022585227273</v>
      </c>
      <c r="R4483" s="0" t="n">
        <f aca="false">SUMPRODUCT(MMULT(G4483:P4483,_XtX!$B$58:$K$67),G4483:P4483)</f>
        <v>0.336762584339489</v>
      </c>
      <c r="S4483" s="0" t="n">
        <f aca="false">04_回帰ANOVA!$K$19*04_回帰ANOVA!$K$14*SQRT(1+R4483)</f>
        <v>1.07496364479411</v>
      </c>
      <c r="T4483" s="0" t="n">
        <f aca="false">Q4483-S4483</f>
        <v>47.5272948779332</v>
      </c>
      <c r="U4483" s="0" t="n">
        <f aca="false">Q4483+S4483</f>
        <v>49.6772221675214</v>
      </c>
      <c r="V4483" s="54" t="b">
        <f aca="false">AND(D4483&gt;=01_因子設定!$L$5-0.000000001,D4483&lt;=01_因子設定!$M$5+0.000000001,E4483&gt;=01_因子設定!$L$6-0.000000001,E4483&lt;=01_因子設定!$M$6+0.000000001,F4483&gt;=01_因子設定!$L$7-0.000000001,F4483&lt;=01_因子設定!$M$7+0.000000001,IF(01_因子設定!$B$20="Box-Behnken",D4483^2+E4483^2+F4483^2&lt;=2+0.000000001,TRUE()))</f>
        <v>1</v>
      </c>
      <c r="W4483" s="55" t="n">
        <f aca="false">IF(V4483,IF(01_因子設定!$B$13="最大化",T4483-01_因子設定!$B$14,IF(01_因子設定!$B$13="最小化",01_因子設定!$B$15-U4483,MIN(T4483-01_因子設定!$B$14,01_因子設定!$B$15-U4483))),-1E+030)</f>
        <v>-0.972705122066842</v>
      </c>
      <c r="X4483" s="55" t="n">
        <f aca="false">IF(V4483,IF(01_因子設定!$B$13="最大化",Q4483,IF(01_因子設定!$B$13="最小化",-Q4483,-ABS(Q4483-01_因子設定!$B$16))),-1E+030)</f>
        <v>48.6022585227273</v>
      </c>
      <c r="Y4483" s="55" t="n">
        <f aca="false">W4483+ROW()*0.000000001</f>
        <v>-0.972700639066842</v>
      </c>
      <c r="Z4483" s="55" t="n">
        <f aca="false">X4483+ROW()*0.000000001</f>
        <v>48.6022630057273</v>
      </c>
    </row>
    <row r="4484" customFormat="false" ht="15" hidden="false" customHeight="false" outlineLevel="0" collapsed="false">
      <c r="A4484" s="0" t="n">
        <v>15</v>
      </c>
      <c r="B4484" s="0" t="n">
        <v>8</v>
      </c>
      <c r="C4484" s="0" t="n">
        <v>8</v>
      </c>
      <c r="D4484" s="0" t="n">
        <f aca="false">-1+A4484*0.125</f>
        <v>0.875</v>
      </c>
      <c r="E4484" s="0" t="n">
        <f aca="false">-1+B4484*0.125</f>
        <v>0</v>
      </c>
      <c r="F4484" s="0" t="n">
        <f aca="false">-1+C4484*0.125</f>
        <v>0</v>
      </c>
      <c r="G4484" s="0" t="n">
        <f aca="false">1</f>
        <v>1</v>
      </c>
      <c r="H4484" s="0" t="n">
        <f aca="false">D4484</f>
        <v>0.875</v>
      </c>
      <c r="I4484" s="0" t="n">
        <f aca="false">E4484</f>
        <v>0</v>
      </c>
      <c r="J4484" s="0" t="n">
        <f aca="false">F4484</f>
        <v>0</v>
      </c>
      <c r="K4484" s="0" t="n">
        <f aca="false">D4484*E4484</f>
        <v>0</v>
      </c>
      <c r="L4484" s="0" t="n">
        <f aca="false">D4484*F4484</f>
        <v>0</v>
      </c>
      <c r="M4484" s="0" t="n">
        <f aca="false">E4484*F4484</f>
        <v>0</v>
      </c>
      <c r="N4484" s="0" t="n">
        <f aca="false">D4484*D4484</f>
        <v>0.765625</v>
      </c>
      <c r="O4484" s="0" t="n">
        <f aca="false">E4484*E4484</f>
        <v>0</v>
      </c>
      <c r="P4484" s="0" t="n">
        <f aca="false">F4484*F4484</f>
        <v>0</v>
      </c>
      <c r="Q4484" s="0" t="n">
        <f aca="false">SUMPRODUCT(G4484:P4484,_XtX!$B$71:$K$71)</f>
        <v>48.7767471590909</v>
      </c>
      <c r="R4484" s="0" t="n">
        <f aca="false">SUMPRODUCT(MMULT(G4484:P4484,_XtX!$B$58:$K$67),G4484:P4484)</f>
        <v>0.338299005681818</v>
      </c>
      <c r="S4484" s="0" t="n">
        <f aca="false">04_回帰ANOVA!$K$19*04_回帰ANOVA!$K$14*SQRT(1+R4484)</f>
        <v>1.07558122745542</v>
      </c>
      <c r="T4484" s="0" t="n">
        <f aca="false">Q4484-S4484</f>
        <v>47.7011659316355</v>
      </c>
      <c r="U4484" s="0" t="n">
        <f aca="false">Q4484+S4484</f>
        <v>49.8523283865463</v>
      </c>
      <c r="V4484" s="54" t="b">
        <f aca="false">AND(D4484&gt;=01_因子設定!$L$5-0.000000001,D4484&lt;=01_因子設定!$M$5+0.000000001,E4484&gt;=01_因子設定!$L$6-0.000000001,E4484&lt;=01_因子設定!$M$6+0.000000001,F4484&gt;=01_因子設定!$L$7-0.000000001,F4484&lt;=01_因子設定!$M$7+0.000000001,IF(01_因子設定!$B$20="Box-Behnken",D4484^2+E4484^2+F4484^2&lt;=2+0.000000001,TRUE()))</f>
        <v>1</v>
      </c>
      <c r="W4484" s="55" t="n">
        <f aca="false">IF(V4484,IF(01_因子設定!$B$13="最大化",T4484-01_因子設定!$B$14,IF(01_因子設定!$B$13="最小化",01_因子設定!$B$15-U4484,MIN(T4484-01_因子設定!$B$14,01_因子設定!$B$15-U4484))),-1E+030)</f>
        <v>-0.798834068364513</v>
      </c>
      <c r="X4484" s="55" t="n">
        <f aca="false">IF(V4484,IF(01_因子設定!$B$13="最大化",Q4484,IF(01_因子設定!$B$13="最小化",-Q4484,-ABS(Q4484-01_因子設定!$B$16))),-1E+030)</f>
        <v>48.7767471590909</v>
      </c>
      <c r="Y4484" s="55" t="n">
        <f aca="false">W4484+ROW()*0.000000001</f>
        <v>-0.798829584364514</v>
      </c>
      <c r="Z4484" s="55" t="n">
        <f aca="false">X4484+ROW()*0.000000001</f>
        <v>48.7767516430909</v>
      </c>
    </row>
    <row r="4485" customFormat="false" ht="15" hidden="false" customHeight="false" outlineLevel="0" collapsed="false">
      <c r="A4485" s="0" t="n">
        <v>15</v>
      </c>
      <c r="B4485" s="0" t="n">
        <v>8</v>
      </c>
      <c r="C4485" s="0" t="n">
        <v>9</v>
      </c>
      <c r="D4485" s="0" t="n">
        <f aca="false">-1+A4485*0.125</f>
        <v>0.875</v>
      </c>
      <c r="E4485" s="0" t="n">
        <f aca="false">-1+B4485*0.125</f>
        <v>0</v>
      </c>
      <c r="F4485" s="0" t="n">
        <f aca="false">-1+C4485*0.125</f>
        <v>0.125</v>
      </c>
      <c r="G4485" s="0" t="n">
        <f aca="false">1</f>
        <v>1</v>
      </c>
      <c r="H4485" s="0" t="n">
        <f aca="false">D4485</f>
        <v>0.875</v>
      </c>
      <c r="I4485" s="0" t="n">
        <f aca="false">E4485</f>
        <v>0</v>
      </c>
      <c r="J4485" s="0" t="n">
        <f aca="false">F4485</f>
        <v>0.125</v>
      </c>
      <c r="K4485" s="0" t="n">
        <f aca="false">D4485*E4485</f>
        <v>0</v>
      </c>
      <c r="L4485" s="0" t="n">
        <f aca="false">D4485*F4485</f>
        <v>0.109375</v>
      </c>
      <c r="M4485" s="0" t="n">
        <f aca="false">E4485*F4485</f>
        <v>0</v>
      </c>
      <c r="N4485" s="0" t="n">
        <f aca="false">D4485*D4485</f>
        <v>0.765625</v>
      </c>
      <c r="O4485" s="0" t="n">
        <f aca="false">E4485*E4485</f>
        <v>0</v>
      </c>
      <c r="P4485" s="0" t="n">
        <f aca="false">F4485*F4485</f>
        <v>0.015625</v>
      </c>
      <c r="Q4485" s="0" t="n">
        <f aca="false">SUMPRODUCT(G4485:P4485,_XtX!$B$71:$K$71)</f>
        <v>48.9144460227273</v>
      </c>
      <c r="R4485" s="0" t="n">
        <f aca="false">SUMPRODUCT(MMULT(G4485:P4485,_XtX!$B$58:$K$67),G4485:P4485)</f>
        <v>0.336762584339489</v>
      </c>
      <c r="S4485" s="0" t="n">
        <f aca="false">04_回帰ANOVA!$K$19*04_回帰ANOVA!$K$14*SQRT(1+R4485)</f>
        <v>1.07496364479411</v>
      </c>
      <c r="T4485" s="0" t="n">
        <f aca="false">Q4485-S4485</f>
        <v>47.8394823779332</v>
      </c>
      <c r="U4485" s="0" t="n">
        <f aca="false">Q4485+S4485</f>
        <v>49.9894096675214</v>
      </c>
      <c r="V4485" s="54" t="b">
        <f aca="false">AND(D4485&gt;=01_因子設定!$L$5-0.000000001,D4485&lt;=01_因子設定!$M$5+0.000000001,E4485&gt;=01_因子設定!$L$6-0.000000001,E4485&lt;=01_因子設定!$M$6+0.000000001,F4485&gt;=01_因子設定!$L$7-0.000000001,F4485&lt;=01_因子設定!$M$7+0.000000001,IF(01_因子設定!$B$20="Box-Behnken",D4485^2+E4485^2+F4485^2&lt;=2+0.000000001,TRUE()))</f>
        <v>1</v>
      </c>
      <c r="W4485" s="55" t="n">
        <f aca="false">IF(V4485,IF(01_因子設定!$B$13="最大化",T4485-01_因子設定!$B$14,IF(01_因子設定!$B$13="最小化",01_因子設定!$B$15-U4485,MIN(T4485-01_因子設定!$B$14,01_因子設定!$B$15-U4485))),-1E+030)</f>
        <v>-0.660517622066841</v>
      </c>
      <c r="X4485" s="55" t="n">
        <f aca="false">IF(V4485,IF(01_因子設定!$B$13="最大化",Q4485,IF(01_因子設定!$B$13="最小化",-Q4485,-ABS(Q4485-01_因子設定!$B$16))),-1E+030)</f>
        <v>48.9144460227273</v>
      </c>
      <c r="Y4485" s="55" t="n">
        <f aca="false">W4485+ROW()*0.000000001</f>
        <v>-0.660513137066841</v>
      </c>
      <c r="Z4485" s="55" t="n">
        <f aca="false">X4485+ROW()*0.000000001</f>
        <v>48.9144505077273</v>
      </c>
    </row>
    <row r="4486" customFormat="false" ht="15" hidden="false" customHeight="false" outlineLevel="0" collapsed="false">
      <c r="A4486" s="0" t="n">
        <v>15</v>
      </c>
      <c r="B4486" s="0" t="n">
        <v>8</v>
      </c>
      <c r="C4486" s="0" t="n">
        <v>10</v>
      </c>
      <c r="D4486" s="0" t="n">
        <f aca="false">-1+A4486*0.125</f>
        <v>0.875</v>
      </c>
      <c r="E4486" s="0" t="n">
        <f aca="false">-1+B4486*0.125</f>
        <v>0</v>
      </c>
      <c r="F4486" s="0" t="n">
        <f aca="false">-1+C4486*0.125</f>
        <v>0.25</v>
      </c>
      <c r="G4486" s="0" t="n">
        <f aca="false">1</f>
        <v>1</v>
      </c>
      <c r="H4486" s="0" t="n">
        <f aca="false">D4486</f>
        <v>0.875</v>
      </c>
      <c r="I4486" s="0" t="n">
        <f aca="false">E4486</f>
        <v>0</v>
      </c>
      <c r="J4486" s="0" t="n">
        <f aca="false">F4486</f>
        <v>0.25</v>
      </c>
      <c r="K4486" s="0" t="n">
        <f aca="false">D4486*E4486</f>
        <v>0</v>
      </c>
      <c r="L4486" s="0" t="n">
        <f aca="false">D4486*F4486</f>
        <v>0.21875</v>
      </c>
      <c r="M4486" s="0" t="n">
        <f aca="false">E4486*F4486</f>
        <v>0</v>
      </c>
      <c r="N4486" s="0" t="n">
        <f aca="false">D4486*D4486</f>
        <v>0.765625</v>
      </c>
      <c r="O4486" s="0" t="n">
        <f aca="false">E4486*E4486</f>
        <v>0</v>
      </c>
      <c r="P4486" s="0" t="n">
        <f aca="false">F4486*F4486</f>
        <v>0.0625</v>
      </c>
      <c r="Q4486" s="0" t="n">
        <f aca="false">SUMPRODUCT(G4486:P4486,_XtX!$B$71:$K$71)</f>
        <v>49.0153551136364</v>
      </c>
      <c r="R4486" s="0" t="n">
        <f aca="false">SUMPRODUCT(MMULT(G4486:P4486,_XtX!$B$58:$K$67),G4486:P4486)</f>
        <v>0.333218661221591</v>
      </c>
      <c r="S4486" s="0" t="n">
        <f aca="false">04_回帰ANOVA!$K$19*04_回帰ANOVA!$K$14*SQRT(1+R4486)</f>
        <v>1.07353776826542</v>
      </c>
      <c r="T4486" s="0" t="n">
        <f aca="false">Q4486-S4486</f>
        <v>47.9418173453709</v>
      </c>
      <c r="U4486" s="0" t="n">
        <f aca="false">Q4486+S4486</f>
        <v>50.0888928819018</v>
      </c>
      <c r="V4486" s="54" t="b">
        <f aca="false">AND(D4486&gt;=01_因子設定!$L$5-0.000000001,D4486&lt;=01_因子設定!$M$5+0.000000001,E4486&gt;=01_因子設定!$L$6-0.000000001,E4486&lt;=01_因子設定!$M$6+0.000000001,F4486&gt;=01_因子設定!$L$7-0.000000001,F4486&lt;=01_因子設定!$M$7+0.000000001,IF(01_因子設定!$B$20="Box-Behnken",D4486^2+E4486^2+F4486^2&lt;=2+0.000000001,TRUE()))</f>
        <v>1</v>
      </c>
      <c r="W4486" s="55" t="n">
        <f aca="false">IF(V4486,IF(01_因子設定!$B$13="最大化",T4486-01_因子設定!$B$14,IF(01_因子設定!$B$13="最小化",01_因子設定!$B$15-U4486,MIN(T4486-01_因子設定!$B$14,01_因子設定!$B$15-U4486))),-1E+030)</f>
        <v>-0.558182654629057</v>
      </c>
      <c r="X4486" s="55" t="n">
        <f aca="false">IF(V4486,IF(01_因子設定!$B$13="最大化",Q4486,IF(01_因子設定!$B$13="最小化",-Q4486,-ABS(Q4486-01_因子設定!$B$16))),-1E+030)</f>
        <v>49.0153551136364</v>
      </c>
      <c r="Y4486" s="55" t="n">
        <f aca="false">W4486+ROW()*0.000000001</f>
        <v>-0.558178168629057</v>
      </c>
      <c r="Z4486" s="55" t="n">
        <f aca="false">X4486+ROW()*0.000000001</f>
        <v>49.0153595996364</v>
      </c>
    </row>
    <row r="4487" customFormat="false" ht="15" hidden="false" customHeight="false" outlineLevel="0" collapsed="false">
      <c r="A4487" s="0" t="n">
        <v>15</v>
      </c>
      <c r="B4487" s="0" t="n">
        <v>8</v>
      </c>
      <c r="C4487" s="0" t="n">
        <v>11</v>
      </c>
      <c r="D4487" s="0" t="n">
        <f aca="false">-1+A4487*0.125</f>
        <v>0.875</v>
      </c>
      <c r="E4487" s="0" t="n">
        <f aca="false">-1+B4487*0.125</f>
        <v>0</v>
      </c>
      <c r="F4487" s="0" t="n">
        <f aca="false">-1+C4487*0.125</f>
        <v>0.375</v>
      </c>
      <c r="G4487" s="0" t="n">
        <f aca="false">1</f>
        <v>1</v>
      </c>
      <c r="H4487" s="0" t="n">
        <f aca="false">D4487</f>
        <v>0.875</v>
      </c>
      <c r="I4487" s="0" t="n">
        <f aca="false">E4487</f>
        <v>0</v>
      </c>
      <c r="J4487" s="0" t="n">
        <f aca="false">F4487</f>
        <v>0.375</v>
      </c>
      <c r="K4487" s="0" t="n">
        <f aca="false">D4487*E4487</f>
        <v>0</v>
      </c>
      <c r="L4487" s="0" t="n">
        <f aca="false">D4487*F4487</f>
        <v>0.328125</v>
      </c>
      <c r="M4487" s="0" t="n">
        <f aca="false">E4487*F4487</f>
        <v>0</v>
      </c>
      <c r="N4487" s="0" t="n">
        <f aca="false">D4487*D4487</f>
        <v>0.765625</v>
      </c>
      <c r="O4487" s="0" t="n">
        <f aca="false">E4487*E4487</f>
        <v>0</v>
      </c>
      <c r="P4487" s="0" t="n">
        <f aca="false">F4487*F4487</f>
        <v>0.140625</v>
      </c>
      <c r="Q4487" s="0" t="n">
        <f aca="false">SUMPRODUCT(G4487:P4487,_XtX!$B$71:$K$71)</f>
        <v>49.0794744318182</v>
      </c>
      <c r="R4487" s="0" t="n">
        <f aca="false">SUMPRODUCT(MMULT(G4487:P4487,_XtX!$B$58:$K$67),G4487:P4487)</f>
        <v>0.330863259055398</v>
      </c>
      <c r="S4487" s="0" t="n">
        <f aca="false">04_回帰ANOVA!$K$19*04_回帰ANOVA!$K$14*SQRT(1+R4487)</f>
        <v>1.07258903754571</v>
      </c>
      <c r="T4487" s="0" t="n">
        <f aca="false">Q4487-S4487</f>
        <v>48.0068853942725</v>
      </c>
      <c r="U4487" s="0" t="n">
        <f aca="false">Q4487+S4487</f>
        <v>50.1520634693639</v>
      </c>
      <c r="V4487" s="54" t="b">
        <f aca="false">AND(D4487&gt;=01_因子設定!$L$5-0.000000001,D4487&lt;=01_因子設定!$M$5+0.000000001,E4487&gt;=01_因子設定!$L$6-0.000000001,E4487&lt;=01_因子設定!$M$6+0.000000001,F4487&gt;=01_因子設定!$L$7-0.000000001,F4487&lt;=01_因子設定!$M$7+0.000000001,IF(01_因子設定!$B$20="Box-Behnken",D4487^2+E4487^2+F4487^2&lt;=2+0.000000001,TRUE()))</f>
        <v>1</v>
      </c>
      <c r="W4487" s="55" t="n">
        <f aca="false">IF(V4487,IF(01_因子設定!$B$13="最大化",T4487-01_因子設定!$B$14,IF(01_因子設定!$B$13="最小化",01_因子設定!$B$15-U4487,MIN(T4487-01_因子設定!$B$14,01_因子設定!$B$15-U4487))),-1E+030)</f>
        <v>-0.493114605727527</v>
      </c>
      <c r="X4487" s="55" t="n">
        <f aca="false">IF(V4487,IF(01_因子設定!$B$13="最大化",Q4487,IF(01_因子設定!$B$13="最小化",-Q4487,-ABS(Q4487-01_因子設定!$B$16))),-1E+030)</f>
        <v>49.0794744318182</v>
      </c>
      <c r="Y4487" s="55" t="n">
        <f aca="false">W4487+ROW()*0.000000001</f>
        <v>-0.493110118727527</v>
      </c>
      <c r="Z4487" s="55" t="n">
        <f aca="false">X4487+ROW()*0.000000001</f>
        <v>49.0794789188182</v>
      </c>
    </row>
    <row r="4488" customFormat="false" ht="15" hidden="false" customHeight="false" outlineLevel="0" collapsed="false">
      <c r="A4488" s="0" t="n">
        <v>15</v>
      </c>
      <c r="B4488" s="0" t="n">
        <v>8</v>
      </c>
      <c r="C4488" s="0" t="n">
        <v>12</v>
      </c>
      <c r="D4488" s="0" t="n">
        <f aca="false">-1+A4488*0.125</f>
        <v>0.875</v>
      </c>
      <c r="E4488" s="0" t="n">
        <f aca="false">-1+B4488*0.125</f>
        <v>0</v>
      </c>
      <c r="F4488" s="0" t="n">
        <f aca="false">-1+C4488*0.125</f>
        <v>0.5</v>
      </c>
      <c r="G4488" s="0" t="n">
        <f aca="false">1</f>
        <v>1</v>
      </c>
      <c r="H4488" s="0" t="n">
        <f aca="false">D4488</f>
        <v>0.875</v>
      </c>
      <c r="I4488" s="0" t="n">
        <f aca="false">E4488</f>
        <v>0</v>
      </c>
      <c r="J4488" s="0" t="n">
        <f aca="false">F4488</f>
        <v>0.5</v>
      </c>
      <c r="K4488" s="0" t="n">
        <f aca="false">D4488*E4488</f>
        <v>0</v>
      </c>
      <c r="L4488" s="0" t="n">
        <f aca="false">D4488*F4488</f>
        <v>0.4375</v>
      </c>
      <c r="M4488" s="0" t="n">
        <f aca="false">E4488*F4488</f>
        <v>0</v>
      </c>
      <c r="N4488" s="0" t="n">
        <f aca="false">D4488*D4488</f>
        <v>0.765625</v>
      </c>
      <c r="O4488" s="0" t="n">
        <f aca="false">E4488*E4488</f>
        <v>0</v>
      </c>
      <c r="P4488" s="0" t="n">
        <f aca="false">F4488*F4488</f>
        <v>0.25</v>
      </c>
      <c r="Q4488" s="0" t="n">
        <f aca="false">SUMPRODUCT(G4488:P4488,_XtX!$B$71:$K$71)</f>
        <v>49.1068039772727</v>
      </c>
      <c r="R4488" s="0" t="n">
        <f aca="false">SUMPRODUCT(MMULT(G4488:P4488,_XtX!$B$58:$K$67),G4488:P4488)</f>
        <v>0.335023082386364</v>
      </c>
      <c r="S4488" s="0" t="n">
        <f aca="false">04_回帰ANOVA!$K$19*04_回帰ANOVA!$K$14*SQRT(1+R4488)</f>
        <v>1.07426400295275</v>
      </c>
      <c r="T4488" s="0" t="n">
        <f aca="false">Q4488-S4488</f>
        <v>48.03253997432</v>
      </c>
      <c r="U4488" s="0" t="n">
        <f aca="false">Q4488+S4488</f>
        <v>50.1810679802255</v>
      </c>
      <c r="V4488" s="54" t="b">
        <f aca="false">AND(D4488&gt;=01_因子設定!$L$5-0.000000001,D4488&lt;=01_因子設定!$M$5+0.000000001,E4488&gt;=01_因子設定!$L$6-0.000000001,E4488&lt;=01_因子設定!$M$6+0.000000001,F4488&gt;=01_因子設定!$L$7-0.000000001,F4488&lt;=01_因子設定!$M$7+0.000000001,IF(01_因子設定!$B$20="Box-Behnken",D4488^2+E4488^2+F4488^2&lt;=2+0.000000001,TRUE()))</f>
        <v>1</v>
      </c>
      <c r="W4488" s="55" t="n">
        <f aca="false">IF(V4488,IF(01_因子設定!$B$13="最大化",T4488-01_因子設定!$B$14,IF(01_因子設定!$B$13="最小化",01_因子設定!$B$15-U4488,MIN(T4488-01_因子設定!$B$14,01_因子設定!$B$15-U4488))),-1E+030)</f>
        <v>-0.467460025680026</v>
      </c>
      <c r="X4488" s="55" t="n">
        <f aca="false">IF(V4488,IF(01_因子設定!$B$13="最大化",Q4488,IF(01_因子設定!$B$13="最小化",-Q4488,-ABS(Q4488-01_因子設定!$B$16))),-1E+030)</f>
        <v>49.1068039772727</v>
      </c>
      <c r="Y4488" s="55" t="n">
        <f aca="false">W4488+ROW()*0.000000001</f>
        <v>-0.467455537680026</v>
      </c>
      <c r="Z4488" s="55" t="n">
        <f aca="false">X4488+ROW()*0.000000001</f>
        <v>49.1068084652727</v>
      </c>
    </row>
    <row r="4489" customFormat="false" ht="15" hidden="false" customHeight="false" outlineLevel="0" collapsed="false">
      <c r="A4489" s="0" t="n">
        <v>15</v>
      </c>
      <c r="B4489" s="0" t="n">
        <v>8</v>
      </c>
      <c r="C4489" s="0" t="n">
        <v>13</v>
      </c>
      <c r="D4489" s="0" t="n">
        <f aca="false">-1+A4489*0.125</f>
        <v>0.875</v>
      </c>
      <c r="E4489" s="0" t="n">
        <f aca="false">-1+B4489*0.125</f>
        <v>0</v>
      </c>
      <c r="F4489" s="0" t="n">
        <f aca="false">-1+C4489*0.125</f>
        <v>0.625</v>
      </c>
      <c r="G4489" s="0" t="n">
        <f aca="false">1</f>
        <v>1</v>
      </c>
      <c r="H4489" s="0" t="n">
        <f aca="false">D4489</f>
        <v>0.875</v>
      </c>
      <c r="I4489" s="0" t="n">
        <f aca="false">E4489</f>
        <v>0</v>
      </c>
      <c r="J4489" s="0" t="n">
        <f aca="false">F4489</f>
        <v>0.625</v>
      </c>
      <c r="K4489" s="0" t="n">
        <f aca="false">D4489*E4489</f>
        <v>0</v>
      </c>
      <c r="L4489" s="0" t="n">
        <f aca="false">D4489*F4489</f>
        <v>0.546875</v>
      </c>
      <c r="M4489" s="0" t="n">
        <f aca="false">E4489*F4489</f>
        <v>0</v>
      </c>
      <c r="N4489" s="0" t="n">
        <f aca="false">D4489*D4489</f>
        <v>0.765625</v>
      </c>
      <c r="O4489" s="0" t="n">
        <f aca="false">E4489*E4489</f>
        <v>0</v>
      </c>
      <c r="P4489" s="0" t="n">
        <f aca="false">F4489*F4489</f>
        <v>0.390625</v>
      </c>
      <c r="Q4489" s="0" t="n">
        <f aca="false">SUMPRODUCT(G4489:P4489,_XtX!$B$71:$K$71)</f>
        <v>49.09734375</v>
      </c>
      <c r="R4489" s="0" t="n">
        <f aca="false">SUMPRODUCT(MMULT(G4489:P4489,_XtX!$B$58:$K$67),G4489:P4489)</f>
        <v>0.353155517578125</v>
      </c>
      <c r="S4489" s="0" t="n">
        <f aca="false">04_回帰ANOVA!$K$19*04_回帰ANOVA!$K$14*SQRT(1+R4489)</f>
        <v>1.08153478594098</v>
      </c>
      <c r="T4489" s="0" t="n">
        <f aca="false">Q4489-S4489</f>
        <v>48.015808964059</v>
      </c>
      <c r="U4489" s="0" t="n">
        <f aca="false">Q4489+S4489</f>
        <v>50.178878535941</v>
      </c>
      <c r="V4489" s="54" t="b">
        <f aca="false">AND(D4489&gt;=01_因子設定!$L$5-0.000000001,D4489&lt;=01_因子設定!$M$5+0.000000001,E4489&gt;=01_因子設定!$L$6-0.000000001,E4489&lt;=01_因子設定!$M$6+0.000000001,F4489&gt;=01_因子設定!$L$7-0.000000001,F4489&lt;=01_因子設定!$M$7+0.000000001,IF(01_因子設定!$B$20="Box-Behnken",D4489^2+E4489^2+F4489^2&lt;=2+0.000000001,TRUE()))</f>
        <v>1</v>
      </c>
      <c r="W4489" s="55" t="n">
        <f aca="false">IF(V4489,IF(01_因子設定!$B$13="最大化",T4489-01_因子設定!$B$14,IF(01_因子設定!$B$13="最小化",01_因子設定!$B$15-U4489,MIN(T4489-01_因子設定!$B$14,01_因子設定!$B$15-U4489))),-1E+030)</f>
        <v>-0.484191035940981</v>
      </c>
      <c r="X4489" s="55" t="n">
        <f aca="false">IF(V4489,IF(01_因子設定!$B$13="最大化",Q4489,IF(01_因子設定!$B$13="最小化",-Q4489,-ABS(Q4489-01_因子設定!$B$16))),-1E+030)</f>
        <v>49.09734375</v>
      </c>
      <c r="Y4489" s="55" t="n">
        <f aca="false">W4489+ROW()*0.000000001</f>
        <v>-0.484186546940981</v>
      </c>
      <c r="Z4489" s="55" t="n">
        <f aca="false">X4489+ROW()*0.000000001</f>
        <v>49.097348239</v>
      </c>
    </row>
    <row r="4490" customFormat="false" ht="15" hidden="false" customHeight="false" outlineLevel="0" collapsed="false">
      <c r="A4490" s="0" t="n">
        <v>15</v>
      </c>
      <c r="B4490" s="0" t="n">
        <v>8</v>
      </c>
      <c r="C4490" s="0" t="n">
        <v>14</v>
      </c>
      <c r="D4490" s="0" t="n">
        <f aca="false">-1+A4490*0.125</f>
        <v>0.875</v>
      </c>
      <c r="E4490" s="0" t="n">
        <f aca="false">-1+B4490*0.125</f>
        <v>0</v>
      </c>
      <c r="F4490" s="0" t="n">
        <f aca="false">-1+C4490*0.125</f>
        <v>0.75</v>
      </c>
      <c r="G4490" s="0" t="n">
        <f aca="false">1</f>
        <v>1</v>
      </c>
      <c r="H4490" s="0" t="n">
        <f aca="false">D4490</f>
        <v>0.875</v>
      </c>
      <c r="I4490" s="0" t="n">
        <f aca="false">E4490</f>
        <v>0</v>
      </c>
      <c r="J4490" s="0" t="n">
        <f aca="false">F4490</f>
        <v>0.75</v>
      </c>
      <c r="K4490" s="0" t="n">
        <f aca="false">D4490*E4490</f>
        <v>0</v>
      </c>
      <c r="L4490" s="0" t="n">
        <f aca="false">D4490*F4490</f>
        <v>0.65625</v>
      </c>
      <c r="M4490" s="0" t="n">
        <f aca="false">E4490*F4490</f>
        <v>0</v>
      </c>
      <c r="N4490" s="0" t="n">
        <f aca="false">D4490*D4490</f>
        <v>0.765625</v>
      </c>
      <c r="O4490" s="0" t="n">
        <f aca="false">E4490*E4490</f>
        <v>0</v>
      </c>
      <c r="P4490" s="0" t="n">
        <f aca="false">F4490*F4490</f>
        <v>0.5625</v>
      </c>
      <c r="Q4490" s="0" t="n">
        <f aca="false">SUMPRODUCT(G4490:P4490,_XtX!$B$71:$K$71)</f>
        <v>49.05109375</v>
      </c>
      <c r="R4490" s="0" t="n">
        <f aca="false">SUMPRODUCT(MMULT(G4490:P4490,_XtX!$B$58:$K$67),G4490:P4490)</f>
        <v>0.3948486328125</v>
      </c>
      <c r="S4490" s="0" t="n">
        <f aca="false">04_回帰ANOVA!$K$19*04_回帰ANOVA!$K$14*SQRT(1+R4490)</f>
        <v>1.09807037952996</v>
      </c>
      <c r="T4490" s="0" t="n">
        <f aca="false">Q4490-S4490</f>
        <v>47.9530233704701</v>
      </c>
      <c r="U4490" s="0" t="n">
        <f aca="false">Q4490+S4490</f>
        <v>50.14916412953</v>
      </c>
      <c r="V4490" s="54" t="b">
        <f aca="false">AND(D4490&gt;=01_因子設定!$L$5-0.000000001,D4490&lt;=01_因子設定!$M$5+0.000000001,E4490&gt;=01_因子設定!$L$6-0.000000001,E4490&lt;=01_因子設定!$M$6+0.000000001,F4490&gt;=01_因子設定!$L$7-0.000000001,F4490&lt;=01_因子設定!$M$7+0.000000001,IF(01_因子設定!$B$20="Box-Behnken",D4490^2+E4490^2+F4490^2&lt;=2+0.000000001,TRUE()))</f>
        <v>1</v>
      </c>
      <c r="W4490" s="55" t="n">
        <f aca="false">IF(V4490,IF(01_因子設定!$B$13="最大化",T4490-01_因子設定!$B$14,IF(01_因子設定!$B$13="最小化",01_因子設定!$B$15-U4490,MIN(T4490-01_因子設定!$B$14,01_因子設定!$B$15-U4490))),-1E+030)</f>
        <v>-0.546976629529951</v>
      </c>
      <c r="X4490" s="55" t="n">
        <f aca="false">IF(V4490,IF(01_因子設定!$B$13="最大化",Q4490,IF(01_因子設定!$B$13="最小化",-Q4490,-ABS(Q4490-01_因子設定!$B$16))),-1E+030)</f>
        <v>49.05109375</v>
      </c>
      <c r="Y4490" s="55" t="n">
        <f aca="false">W4490+ROW()*0.000000001</f>
        <v>-0.546972139529951</v>
      </c>
      <c r="Z4490" s="55" t="n">
        <f aca="false">X4490+ROW()*0.000000001</f>
        <v>49.05109824</v>
      </c>
    </row>
    <row r="4491" customFormat="false" ht="15" hidden="false" customHeight="false" outlineLevel="0" collapsed="false">
      <c r="A4491" s="0" t="n">
        <v>15</v>
      </c>
      <c r="B4491" s="0" t="n">
        <v>8</v>
      </c>
      <c r="C4491" s="0" t="n">
        <v>15</v>
      </c>
      <c r="D4491" s="0" t="n">
        <f aca="false">-1+A4491*0.125</f>
        <v>0.875</v>
      </c>
      <c r="E4491" s="0" t="n">
        <f aca="false">-1+B4491*0.125</f>
        <v>0</v>
      </c>
      <c r="F4491" s="0" t="n">
        <f aca="false">-1+C4491*0.125</f>
        <v>0.875</v>
      </c>
      <c r="G4491" s="0" t="n">
        <f aca="false">1</f>
        <v>1</v>
      </c>
      <c r="H4491" s="0" t="n">
        <f aca="false">D4491</f>
        <v>0.875</v>
      </c>
      <c r="I4491" s="0" t="n">
        <f aca="false">E4491</f>
        <v>0</v>
      </c>
      <c r="J4491" s="0" t="n">
        <f aca="false">F4491</f>
        <v>0.875</v>
      </c>
      <c r="K4491" s="0" t="n">
        <f aca="false">D4491*E4491</f>
        <v>0</v>
      </c>
      <c r="L4491" s="0" t="n">
        <f aca="false">D4491*F4491</f>
        <v>0.765625</v>
      </c>
      <c r="M4491" s="0" t="n">
        <f aca="false">E4491*F4491</f>
        <v>0</v>
      </c>
      <c r="N4491" s="0" t="n">
        <f aca="false">D4491*D4491</f>
        <v>0.765625</v>
      </c>
      <c r="O4491" s="0" t="n">
        <f aca="false">E4491*E4491</f>
        <v>0</v>
      </c>
      <c r="P4491" s="0" t="n">
        <f aca="false">F4491*F4491</f>
        <v>0.765625</v>
      </c>
      <c r="Q4491" s="0" t="n">
        <f aca="false">SUMPRODUCT(G4491:P4491,_XtX!$B$71:$K$71)</f>
        <v>48.9680539772727</v>
      </c>
      <c r="R4491" s="0" t="n">
        <f aca="false">SUMPRODUCT(MMULT(G4491:P4491,_XtX!$B$58:$K$67),G4491:P4491)</f>
        <v>0.471821178089489</v>
      </c>
      <c r="S4491" s="0" t="n">
        <f aca="false">04_回帰ANOVA!$K$19*04_回帰ANOVA!$K$14*SQRT(1+R4491)</f>
        <v>1.12796119746125</v>
      </c>
      <c r="T4491" s="0" t="n">
        <f aca="false">Q4491-S4491</f>
        <v>47.8400927798115</v>
      </c>
      <c r="U4491" s="0" t="n">
        <f aca="false">Q4491+S4491</f>
        <v>50.096015174734</v>
      </c>
      <c r="V4491" s="54" t="b">
        <f aca="false">AND(D4491&gt;=01_因子設定!$L$5-0.000000001,D4491&lt;=01_因子設定!$M$5+0.000000001,E4491&gt;=01_因子設定!$L$6-0.000000001,E4491&lt;=01_因子設定!$M$6+0.000000001,F4491&gt;=01_因子設定!$L$7-0.000000001,F4491&lt;=01_因子設定!$M$7+0.000000001,IF(01_因子設定!$B$20="Box-Behnken",D4491^2+E4491^2+F4491^2&lt;=2+0.000000001,TRUE()))</f>
        <v>1</v>
      </c>
      <c r="W4491" s="55" t="n">
        <f aca="false">IF(V4491,IF(01_因子設定!$B$13="最大化",T4491-01_因子設定!$B$14,IF(01_因子設定!$B$13="最小化",01_因子設定!$B$15-U4491,MIN(T4491-01_因子設定!$B$14,01_因子設定!$B$15-U4491))),-1E+030)</f>
        <v>-0.659907220188515</v>
      </c>
      <c r="X4491" s="55" t="n">
        <f aca="false">IF(V4491,IF(01_因子設定!$B$13="最大化",Q4491,IF(01_因子設定!$B$13="最小化",-Q4491,-ABS(Q4491-01_因子設定!$B$16))),-1E+030)</f>
        <v>48.9680539772727</v>
      </c>
      <c r="Y4491" s="55" t="n">
        <f aca="false">W4491+ROW()*0.000000001</f>
        <v>-0.659902729188515</v>
      </c>
      <c r="Z4491" s="55" t="n">
        <f aca="false">X4491+ROW()*0.000000001</f>
        <v>48.9680584682727</v>
      </c>
    </row>
    <row r="4492" customFormat="false" ht="15" hidden="false" customHeight="false" outlineLevel="0" collapsed="false">
      <c r="A4492" s="0" t="n">
        <v>15</v>
      </c>
      <c r="B4492" s="0" t="n">
        <v>8</v>
      </c>
      <c r="C4492" s="0" t="n">
        <v>16</v>
      </c>
      <c r="D4492" s="0" t="n">
        <f aca="false">-1+A4492*0.125</f>
        <v>0.875</v>
      </c>
      <c r="E4492" s="0" t="n">
        <f aca="false">-1+B4492*0.125</f>
        <v>0</v>
      </c>
      <c r="F4492" s="0" t="n">
        <f aca="false">-1+C4492*0.125</f>
        <v>1</v>
      </c>
      <c r="G4492" s="0" t="n">
        <f aca="false">1</f>
        <v>1</v>
      </c>
      <c r="H4492" s="0" t="n">
        <f aca="false">D4492</f>
        <v>0.875</v>
      </c>
      <c r="I4492" s="0" t="n">
        <f aca="false">E4492</f>
        <v>0</v>
      </c>
      <c r="J4492" s="0" t="n">
        <f aca="false">F4492</f>
        <v>1</v>
      </c>
      <c r="K4492" s="0" t="n">
        <f aca="false">D4492*E4492</f>
        <v>0</v>
      </c>
      <c r="L4492" s="0" t="n">
        <f aca="false">D4492*F4492</f>
        <v>0.875</v>
      </c>
      <c r="M4492" s="0" t="n">
        <f aca="false">E4492*F4492</f>
        <v>0</v>
      </c>
      <c r="N4492" s="0" t="n">
        <f aca="false">D4492*D4492</f>
        <v>0.765625</v>
      </c>
      <c r="O4492" s="0" t="n">
        <f aca="false">E4492*E4492</f>
        <v>0</v>
      </c>
      <c r="P4492" s="0" t="n">
        <f aca="false">F4492*F4492</f>
        <v>1</v>
      </c>
      <c r="Q4492" s="0" t="n">
        <f aca="false">SUMPRODUCT(G4492:P4492,_XtX!$B$71:$K$71)</f>
        <v>48.8482244318182</v>
      </c>
      <c r="R4492" s="0" t="n">
        <f aca="false">SUMPRODUCT(MMULT(G4492:P4492,_XtX!$B$58:$K$67),G4492:P4492)</f>
        <v>0.597922585227273</v>
      </c>
      <c r="S4492" s="0" t="n">
        <f aca="false">04_回帰ANOVA!$K$19*04_回帰ANOVA!$K$14*SQRT(1+R4492)</f>
        <v>1.17528854591003</v>
      </c>
      <c r="T4492" s="0" t="n">
        <f aca="false">Q4492-S4492</f>
        <v>47.6729358859082</v>
      </c>
      <c r="U4492" s="0" t="n">
        <f aca="false">Q4492+S4492</f>
        <v>50.0235129777282</v>
      </c>
      <c r="V4492" s="54" t="b">
        <f aca="false">AND(D4492&gt;=01_因子設定!$L$5-0.000000001,D4492&lt;=01_因子設定!$M$5+0.000000001,E4492&gt;=01_因子設定!$L$6-0.000000001,E4492&lt;=01_因子設定!$M$6+0.000000001,F4492&gt;=01_因子設定!$L$7-0.000000001,F4492&lt;=01_因子設定!$M$7+0.000000001,IF(01_因子設定!$B$20="Box-Behnken",D4492^2+E4492^2+F4492^2&lt;=2+0.000000001,TRUE()))</f>
        <v>1</v>
      </c>
      <c r="W4492" s="55" t="n">
        <f aca="false">IF(V4492,IF(01_因子設定!$B$13="最大化",T4492-01_因子設定!$B$14,IF(01_因子設定!$B$13="最小化",01_因子設定!$B$15-U4492,MIN(T4492-01_因子設定!$B$14,01_因子設定!$B$15-U4492))),-1E+030)</f>
        <v>-0.827064114091833</v>
      </c>
      <c r="X4492" s="55" t="n">
        <f aca="false">IF(V4492,IF(01_因子設定!$B$13="最大化",Q4492,IF(01_因子設定!$B$13="最小化",-Q4492,-ABS(Q4492-01_因子設定!$B$16))),-1E+030)</f>
        <v>48.8482244318182</v>
      </c>
      <c r="Y4492" s="55" t="n">
        <f aca="false">W4492+ROW()*0.000000001</f>
        <v>-0.827059622091833</v>
      </c>
      <c r="Z4492" s="55" t="n">
        <f aca="false">X4492+ROW()*0.000000001</f>
        <v>48.8482289238182</v>
      </c>
    </row>
    <row r="4493" customFormat="false" ht="15" hidden="false" customHeight="false" outlineLevel="0" collapsed="false">
      <c r="A4493" s="0" t="n">
        <v>15</v>
      </c>
      <c r="B4493" s="0" t="n">
        <v>9</v>
      </c>
      <c r="C4493" s="0" t="n">
        <v>0</v>
      </c>
      <c r="D4493" s="0" t="n">
        <f aca="false">-1+A4493*0.125</f>
        <v>0.875</v>
      </c>
      <c r="E4493" s="0" t="n">
        <f aca="false">-1+B4493*0.125</f>
        <v>0.125</v>
      </c>
      <c r="F4493" s="0" t="n">
        <f aca="false">-1+C4493*0.125</f>
        <v>-1</v>
      </c>
      <c r="G4493" s="0" t="n">
        <f aca="false">1</f>
        <v>1</v>
      </c>
      <c r="H4493" s="0" t="n">
        <f aca="false">D4493</f>
        <v>0.875</v>
      </c>
      <c r="I4493" s="0" t="n">
        <f aca="false">E4493</f>
        <v>0.125</v>
      </c>
      <c r="J4493" s="0" t="n">
        <f aca="false">F4493</f>
        <v>-1</v>
      </c>
      <c r="K4493" s="0" t="n">
        <f aca="false">D4493*E4493</f>
        <v>0.109375</v>
      </c>
      <c r="L4493" s="0" t="n">
        <f aca="false">D4493*F4493</f>
        <v>-0.875</v>
      </c>
      <c r="M4493" s="0" t="n">
        <f aca="false">E4493*F4493</f>
        <v>-0.125</v>
      </c>
      <c r="N4493" s="0" t="n">
        <f aca="false">D4493*D4493</f>
        <v>0.765625</v>
      </c>
      <c r="O4493" s="0" t="n">
        <f aca="false">E4493*E4493</f>
        <v>0.015625</v>
      </c>
      <c r="P4493" s="0" t="n">
        <f aca="false">F4493*F4493</f>
        <v>1</v>
      </c>
      <c r="Q4493" s="0" t="n">
        <f aca="false">SUMPRODUCT(G4493:P4493,_XtX!$B$71:$K$71)</f>
        <v>46.6555326704546</v>
      </c>
      <c r="R4493" s="0" t="n">
        <f aca="false">SUMPRODUCT(MMULT(G4493:P4493,_XtX!$B$58:$K$67),G4493:P4493)</f>
        <v>0.59407792524858</v>
      </c>
      <c r="S4493" s="0" t="n">
        <f aca="false">04_回帰ANOVA!$K$19*04_回帰ANOVA!$K$14*SQRT(1+R4493)</f>
        <v>1.17387380087722</v>
      </c>
      <c r="T4493" s="0" t="n">
        <f aca="false">Q4493-S4493</f>
        <v>45.4816588695773</v>
      </c>
      <c r="U4493" s="0" t="n">
        <f aca="false">Q4493+S4493</f>
        <v>47.8294064713318</v>
      </c>
      <c r="V4493" s="54" t="b">
        <f aca="false">AND(D4493&gt;=01_因子設定!$L$5-0.000000001,D4493&lt;=01_因子設定!$M$5+0.000000001,E4493&gt;=01_因子設定!$L$6-0.000000001,E4493&lt;=01_因子設定!$M$6+0.000000001,F4493&gt;=01_因子設定!$L$7-0.000000001,F4493&lt;=01_因子設定!$M$7+0.000000001,IF(01_因子設定!$B$20="Box-Behnken",D4493^2+E4493^2+F4493^2&lt;=2+0.000000001,TRUE()))</f>
        <v>1</v>
      </c>
      <c r="W4493" s="55" t="n">
        <f aca="false">IF(V4493,IF(01_因子設定!$B$13="最大化",T4493-01_因子設定!$B$14,IF(01_因子設定!$B$13="最小化",01_因子設定!$B$15-U4493,MIN(T4493-01_因子設定!$B$14,01_因子設定!$B$15-U4493))),-1E+030)</f>
        <v>-3.01834113042266</v>
      </c>
      <c r="X4493" s="55" t="n">
        <f aca="false">IF(V4493,IF(01_因子設定!$B$13="最大化",Q4493,IF(01_因子設定!$B$13="最小化",-Q4493,-ABS(Q4493-01_因子設定!$B$16))),-1E+030)</f>
        <v>46.6555326704546</v>
      </c>
      <c r="Y4493" s="55" t="n">
        <f aca="false">W4493+ROW()*0.000000001</f>
        <v>-3.01833663742266</v>
      </c>
      <c r="Z4493" s="55" t="n">
        <f aca="false">X4493+ROW()*0.000000001</f>
        <v>46.6555371634546</v>
      </c>
    </row>
    <row r="4494" customFormat="false" ht="15" hidden="false" customHeight="false" outlineLevel="0" collapsed="false">
      <c r="A4494" s="0" t="n">
        <v>15</v>
      </c>
      <c r="B4494" s="0" t="n">
        <v>9</v>
      </c>
      <c r="C4494" s="0" t="n">
        <v>1</v>
      </c>
      <c r="D4494" s="0" t="n">
        <f aca="false">-1+A4494*0.125</f>
        <v>0.875</v>
      </c>
      <c r="E4494" s="0" t="n">
        <f aca="false">-1+B4494*0.125</f>
        <v>0.125</v>
      </c>
      <c r="F4494" s="0" t="n">
        <f aca="false">-1+C4494*0.125</f>
        <v>-0.875</v>
      </c>
      <c r="G4494" s="0" t="n">
        <f aca="false">1</f>
        <v>1</v>
      </c>
      <c r="H4494" s="0" t="n">
        <f aca="false">D4494</f>
        <v>0.875</v>
      </c>
      <c r="I4494" s="0" t="n">
        <f aca="false">E4494</f>
        <v>0.125</v>
      </c>
      <c r="J4494" s="0" t="n">
        <f aca="false">F4494</f>
        <v>-0.875</v>
      </c>
      <c r="K4494" s="0" t="n">
        <f aca="false">D4494*E4494</f>
        <v>0.109375</v>
      </c>
      <c r="L4494" s="0" t="n">
        <f aca="false">D4494*F4494</f>
        <v>-0.765625</v>
      </c>
      <c r="M4494" s="0" t="n">
        <f aca="false">E4494*F4494</f>
        <v>-0.109375</v>
      </c>
      <c r="N4494" s="0" t="n">
        <f aca="false">D4494*D4494</f>
        <v>0.765625</v>
      </c>
      <c r="O4494" s="0" t="n">
        <f aca="false">E4494*E4494</f>
        <v>0.015625</v>
      </c>
      <c r="P4494" s="0" t="n">
        <f aca="false">F4494*F4494</f>
        <v>0.765625</v>
      </c>
      <c r="Q4494" s="0" t="n">
        <f aca="false">SUMPRODUCT(G4494:P4494,_XtX!$B$71:$K$71)</f>
        <v>47.0945809659091</v>
      </c>
      <c r="R4494" s="0" t="n">
        <f aca="false">SUMPRODUCT(MMULT(G4494:P4494,_XtX!$B$58:$K$67),G4494:P4494)</f>
        <v>0.468517511541193</v>
      </c>
      <c r="S4494" s="0" t="n">
        <f aca="false">04_回帰ANOVA!$K$19*04_回帰ANOVA!$K$14*SQRT(1+R4494)</f>
        <v>1.12669456902645</v>
      </c>
      <c r="T4494" s="0" t="n">
        <f aca="false">Q4494-S4494</f>
        <v>45.9678863968827</v>
      </c>
      <c r="U4494" s="0" t="n">
        <f aca="false">Q4494+S4494</f>
        <v>48.2212755349355</v>
      </c>
      <c r="V4494" s="54" t="b">
        <f aca="false">AND(D4494&gt;=01_因子設定!$L$5-0.000000001,D4494&lt;=01_因子設定!$M$5+0.000000001,E4494&gt;=01_因子設定!$L$6-0.000000001,E4494&lt;=01_因子設定!$M$6+0.000000001,F4494&gt;=01_因子設定!$L$7-0.000000001,F4494&lt;=01_因子設定!$M$7+0.000000001,IF(01_因子設定!$B$20="Box-Behnken",D4494^2+E4494^2+F4494^2&lt;=2+0.000000001,TRUE()))</f>
        <v>1</v>
      </c>
      <c r="W4494" s="55" t="n">
        <f aca="false">IF(V4494,IF(01_因子設定!$B$13="最大化",T4494-01_因子設定!$B$14,IF(01_因子設定!$B$13="最小化",01_因子設定!$B$15-U4494,MIN(T4494-01_因子設定!$B$14,01_因子設定!$B$15-U4494))),-1E+030)</f>
        <v>-2.53211360311735</v>
      </c>
      <c r="X4494" s="55" t="n">
        <f aca="false">IF(V4494,IF(01_因子設定!$B$13="最大化",Q4494,IF(01_因子設定!$B$13="最小化",-Q4494,-ABS(Q4494-01_因子設定!$B$16))),-1E+030)</f>
        <v>47.0945809659091</v>
      </c>
      <c r="Y4494" s="55" t="n">
        <f aca="false">W4494+ROW()*0.000000001</f>
        <v>-2.53210910911735</v>
      </c>
      <c r="Z4494" s="55" t="n">
        <f aca="false">X4494+ROW()*0.000000001</f>
        <v>47.0945854599091</v>
      </c>
    </row>
    <row r="4495" customFormat="false" ht="15" hidden="false" customHeight="false" outlineLevel="0" collapsed="false">
      <c r="A4495" s="0" t="n">
        <v>15</v>
      </c>
      <c r="B4495" s="0" t="n">
        <v>9</v>
      </c>
      <c r="C4495" s="0" t="n">
        <v>2</v>
      </c>
      <c r="D4495" s="0" t="n">
        <f aca="false">-1+A4495*0.125</f>
        <v>0.875</v>
      </c>
      <c r="E4495" s="0" t="n">
        <f aca="false">-1+B4495*0.125</f>
        <v>0.125</v>
      </c>
      <c r="F4495" s="0" t="n">
        <f aca="false">-1+C4495*0.125</f>
        <v>-0.75</v>
      </c>
      <c r="G4495" s="0" t="n">
        <f aca="false">1</f>
        <v>1</v>
      </c>
      <c r="H4495" s="0" t="n">
        <f aca="false">D4495</f>
        <v>0.875</v>
      </c>
      <c r="I4495" s="0" t="n">
        <f aca="false">E4495</f>
        <v>0.125</v>
      </c>
      <c r="J4495" s="0" t="n">
        <f aca="false">F4495</f>
        <v>-0.75</v>
      </c>
      <c r="K4495" s="0" t="n">
        <f aca="false">D4495*E4495</f>
        <v>0.109375</v>
      </c>
      <c r="L4495" s="0" t="n">
        <f aca="false">D4495*F4495</f>
        <v>-0.65625</v>
      </c>
      <c r="M4495" s="0" t="n">
        <f aca="false">E4495*F4495</f>
        <v>-0.09375</v>
      </c>
      <c r="N4495" s="0" t="n">
        <f aca="false">D4495*D4495</f>
        <v>0.765625</v>
      </c>
      <c r="O4495" s="0" t="n">
        <f aca="false">E4495*E4495</f>
        <v>0.015625</v>
      </c>
      <c r="P4495" s="0" t="n">
        <f aca="false">F4495*F4495</f>
        <v>0.5625</v>
      </c>
      <c r="Q4495" s="0" t="n">
        <f aca="false">SUMPRODUCT(G4495:P4495,_XtX!$B$71:$K$71)</f>
        <v>47.4968394886364</v>
      </c>
      <c r="R4495" s="0" t="n">
        <f aca="false">SUMPRODUCT(MMULT(G4495:P4495,_XtX!$B$58:$K$67),G4495:P4495)</f>
        <v>0.392013827237216</v>
      </c>
      <c r="S4495" s="0" t="n">
        <f aca="false">04_回帰ANOVA!$K$19*04_回帰ANOVA!$K$14*SQRT(1+R4495)</f>
        <v>1.09695398627251</v>
      </c>
      <c r="T4495" s="0" t="n">
        <f aca="false">Q4495-S4495</f>
        <v>46.3998855023639</v>
      </c>
      <c r="U4495" s="0" t="n">
        <f aca="false">Q4495+S4495</f>
        <v>48.5937934749089</v>
      </c>
      <c r="V4495" s="54" t="b">
        <f aca="false">AND(D4495&gt;=01_因子設定!$L$5-0.000000001,D4495&lt;=01_因子設定!$M$5+0.000000001,E4495&gt;=01_因子設定!$L$6-0.000000001,E4495&lt;=01_因子設定!$M$6+0.000000001,F4495&gt;=01_因子設定!$L$7-0.000000001,F4495&lt;=01_因子設定!$M$7+0.000000001,IF(01_因子設定!$B$20="Box-Behnken",D4495^2+E4495^2+F4495^2&lt;=2+0.000000001,TRUE()))</f>
        <v>1</v>
      </c>
      <c r="W4495" s="55" t="n">
        <f aca="false">IF(V4495,IF(01_因子設定!$B$13="最大化",T4495-01_因子設定!$B$14,IF(01_因子設定!$B$13="最小化",01_因子設定!$B$15-U4495,MIN(T4495-01_因子設定!$B$14,01_因子設定!$B$15-U4495))),-1E+030)</f>
        <v>-2.10011449763614</v>
      </c>
      <c r="X4495" s="55" t="n">
        <f aca="false">IF(V4495,IF(01_因子設定!$B$13="最大化",Q4495,IF(01_因子設定!$B$13="最小化",-Q4495,-ABS(Q4495-01_因子設定!$B$16))),-1E+030)</f>
        <v>47.4968394886364</v>
      </c>
      <c r="Y4495" s="55" t="n">
        <f aca="false">W4495+ROW()*0.000000001</f>
        <v>-2.10011000263614</v>
      </c>
      <c r="Z4495" s="55" t="n">
        <f aca="false">X4495+ROW()*0.000000001</f>
        <v>47.4968439836364</v>
      </c>
    </row>
    <row r="4496" customFormat="false" ht="15" hidden="false" customHeight="false" outlineLevel="0" collapsed="false">
      <c r="A4496" s="0" t="n">
        <v>15</v>
      </c>
      <c r="B4496" s="0" t="n">
        <v>9</v>
      </c>
      <c r="C4496" s="0" t="n">
        <v>3</v>
      </c>
      <c r="D4496" s="0" t="n">
        <f aca="false">-1+A4496*0.125</f>
        <v>0.875</v>
      </c>
      <c r="E4496" s="0" t="n">
        <f aca="false">-1+B4496*0.125</f>
        <v>0.125</v>
      </c>
      <c r="F4496" s="0" t="n">
        <f aca="false">-1+C4496*0.125</f>
        <v>-0.625</v>
      </c>
      <c r="G4496" s="0" t="n">
        <f aca="false">1</f>
        <v>1</v>
      </c>
      <c r="H4496" s="0" t="n">
        <f aca="false">D4496</f>
        <v>0.875</v>
      </c>
      <c r="I4496" s="0" t="n">
        <f aca="false">E4496</f>
        <v>0.125</v>
      </c>
      <c r="J4496" s="0" t="n">
        <f aca="false">F4496</f>
        <v>-0.625</v>
      </c>
      <c r="K4496" s="0" t="n">
        <f aca="false">D4496*E4496</f>
        <v>0.109375</v>
      </c>
      <c r="L4496" s="0" t="n">
        <f aca="false">D4496*F4496</f>
        <v>-0.546875</v>
      </c>
      <c r="M4496" s="0" t="n">
        <f aca="false">E4496*F4496</f>
        <v>-0.078125</v>
      </c>
      <c r="N4496" s="0" t="n">
        <f aca="false">D4496*D4496</f>
        <v>0.765625</v>
      </c>
      <c r="O4496" s="0" t="n">
        <f aca="false">E4496*E4496</f>
        <v>0.015625</v>
      </c>
      <c r="P4496" s="0" t="n">
        <f aca="false">F4496*F4496</f>
        <v>0.390625</v>
      </c>
      <c r="Q4496" s="0" t="n">
        <f aca="false">SUMPRODUCT(G4496:P4496,_XtX!$B$71:$K$71)</f>
        <v>47.8623082386364</v>
      </c>
      <c r="R4496" s="0" t="n">
        <f aca="false">SUMPRODUCT(MMULT(G4496:P4496,_XtX!$B$58:$K$67),G4496:P4496)</f>
        <v>0.350717440518466</v>
      </c>
      <c r="S4496" s="0" t="n">
        <f aca="false">04_回帰ANOVA!$K$19*04_回帰ANOVA!$K$14*SQRT(1+R4496)</f>
        <v>1.08056000737898</v>
      </c>
      <c r="T4496" s="0" t="n">
        <f aca="false">Q4496-S4496</f>
        <v>46.7817482312574</v>
      </c>
      <c r="U4496" s="0" t="n">
        <f aca="false">Q4496+S4496</f>
        <v>48.9428682460153</v>
      </c>
      <c r="V4496" s="54" t="b">
        <f aca="false">AND(D4496&gt;=01_因子設定!$L$5-0.000000001,D4496&lt;=01_因子設定!$M$5+0.000000001,E4496&gt;=01_因子設定!$L$6-0.000000001,E4496&lt;=01_因子設定!$M$6+0.000000001,F4496&gt;=01_因子設定!$L$7-0.000000001,F4496&lt;=01_因子設定!$M$7+0.000000001,IF(01_因子設定!$B$20="Box-Behnken",D4496^2+E4496^2+F4496^2&lt;=2+0.000000001,TRUE()))</f>
        <v>1</v>
      </c>
      <c r="W4496" s="55" t="n">
        <f aca="false">IF(V4496,IF(01_因子設定!$B$13="最大化",T4496-01_因子設定!$B$14,IF(01_因子設定!$B$13="最小化",01_因子設定!$B$15-U4496,MIN(T4496-01_因子設定!$B$14,01_因子設定!$B$15-U4496))),-1E+030)</f>
        <v>-1.71825176874261</v>
      </c>
      <c r="X4496" s="55" t="n">
        <f aca="false">IF(V4496,IF(01_因子設定!$B$13="最大化",Q4496,IF(01_因子設定!$B$13="最小化",-Q4496,-ABS(Q4496-01_因子設定!$B$16))),-1E+030)</f>
        <v>47.8623082386364</v>
      </c>
      <c r="Y4496" s="55" t="n">
        <f aca="false">W4496+ROW()*0.000000001</f>
        <v>-1.71824727274261</v>
      </c>
      <c r="Z4496" s="55" t="n">
        <f aca="false">X4496+ROW()*0.000000001</f>
        <v>47.8623127346364</v>
      </c>
    </row>
    <row r="4497" customFormat="false" ht="15" hidden="false" customHeight="false" outlineLevel="0" collapsed="false">
      <c r="A4497" s="0" t="n">
        <v>15</v>
      </c>
      <c r="B4497" s="0" t="n">
        <v>9</v>
      </c>
      <c r="C4497" s="0" t="n">
        <v>4</v>
      </c>
      <c r="D4497" s="0" t="n">
        <f aca="false">-1+A4497*0.125</f>
        <v>0.875</v>
      </c>
      <c r="E4497" s="0" t="n">
        <f aca="false">-1+B4497*0.125</f>
        <v>0.125</v>
      </c>
      <c r="F4497" s="0" t="n">
        <f aca="false">-1+C4497*0.125</f>
        <v>-0.5</v>
      </c>
      <c r="G4497" s="0" t="n">
        <f aca="false">1</f>
        <v>1</v>
      </c>
      <c r="H4497" s="0" t="n">
        <f aca="false">D4497</f>
        <v>0.875</v>
      </c>
      <c r="I4497" s="0" t="n">
        <f aca="false">E4497</f>
        <v>0.125</v>
      </c>
      <c r="J4497" s="0" t="n">
        <f aca="false">F4497</f>
        <v>-0.5</v>
      </c>
      <c r="K4497" s="0" t="n">
        <f aca="false">D4497*E4497</f>
        <v>0.109375</v>
      </c>
      <c r="L4497" s="0" t="n">
        <f aca="false">D4497*F4497</f>
        <v>-0.4375</v>
      </c>
      <c r="M4497" s="0" t="n">
        <f aca="false">E4497*F4497</f>
        <v>-0.0625</v>
      </c>
      <c r="N4497" s="0" t="n">
        <f aca="false">D4497*D4497</f>
        <v>0.765625</v>
      </c>
      <c r="O4497" s="0" t="n">
        <f aca="false">E4497*E4497</f>
        <v>0.015625</v>
      </c>
      <c r="P4497" s="0" t="n">
        <f aca="false">F4497*F4497</f>
        <v>0.25</v>
      </c>
      <c r="Q4497" s="0" t="n">
        <f aca="false">SUMPRODUCT(G4497:P4497,_XtX!$B$71:$K$71)</f>
        <v>48.1909872159091</v>
      </c>
      <c r="R4497" s="0" t="n">
        <f aca="false">SUMPRODUCT(MMULT(G4497:P4497,_XtX!$B$58:$K$67),G4497:P4497)</f>
        <v>0.332909601384943</v>
      </c>
      <c r="S4497" s="0" t="n">
        <f aca="false">04_回帰ANOVA!$K$19*04_回帰ANOVA!$K$14*SQRT(1+R4497)</f>
        <v>1.07341333007404</v>
      </c>
      <c r="T4497" s="0" t="n">
        <f aca="false">Q4497-S4497</f>
        <v>47.1175738858351</v>
      </c>
      <c r="U4497" s="0" t="n">
        <f aca="false">Q4497+S4497</f>
        <v>49.2644005459831</v>
      </c>
      <c r="V4497" s="54" t="b">
        <f aca="false">AND(D4497&gt;=01_因子設定!$L$5-0.000000001,D4497&lt;=01_因子設定!$M$5+0.000000001,E4497&gt;=01_因子設定!$L$6-0.000000001,E4497&lt;=01_因子設定!$M$6+0.000000001,F4497&gt;=01_因子設定!$L$7-0.000000001,F4497&lt;=01_因子設定!$M$7+0.000000001,IF(01_因子設定!$B$20="Box-Behnken",D4497^2+E4497^2+F4497^2&lt;=2+0.000000001,TRUE()))</f>
        <v>1</v>
      </c>
      <c r="W4497" s="55" t="n">
        <f aca="false">IF(V4497,IF(01_因子設定!$B$13="最大化",T4497-01_因子設定!$B$14,IF(01_因子設定!$B$13="最小化",01_因子設定!$B$15-U4497,MIN(T4497-01_因子設定!$B$14,01_因子設定!$B$15-U4497))),-1E+030)</f>
        <v>-1.38242611416495</v>
      </c>
      <c r="X4497" s="55" t="n">
        <f aca="false">IF(V4497,IF(01_因子設定!$B$13="最大化",Q4497,IF(01_因子設定!$B$13="最小化",-Q4497,-ABS(Q4497-01_因子設定!$B$16))),-1E+030)</f>
        <v>48.1909872159091</v>
      </c>
      <c r="Y4497" s="55" t="n">
        <f aca="false">W4497+ROW()*0.000000001</f>
        <v>-1.38242161716495</v>
      </c>
      <c r="Z4497" s="55" t="n">
        <f aca="false">X4497+ROW()*0.000000001</f>
        <v>48.1909917129091</v>
      </c>
    </row>
    <row r="4498" customFormat="false" ht="15" hidden="false" customHeight="false" outlineLevel="0" collapsed="false">
      <c r="A4498" s="0" t="n">
        <v>15</v>
      </c>
      <c r="B4498" s="0" t="n">
        <v>9</v>
      </c>
      <c r="C4498" s="0" t="n">
        <v>5</v>
      </c>
      <c r="D4498" s="0" t="n">
        <f aca="false">-1+A4498*0.125</f>
        <v>0.875</v>
      </c>
      <c r="E4498" s="0" t="n">
        <f aca="false">-1+B4498*0.125</f>
        <v>0.125</v>
      </c>
      <c r="F4498" s="0" t="n">
        <f aca="false">-1+C4498*0.125</f>
        <v>-0.375</v>
      </c>
      <c r="G4498" s="0" t="n">
        <f aca="false">1</f>
        <v>1</v>
      </c>
      <c r="H4498" s="0" t="n">
        <f aca="false">D4498</f>
        <v>0.875</v>
      </c>
      <c r="I4498" s="0" t="n">
        <f aca="false">E4498</f>
        <v>0.125</v>
      </c>
      <c r="J4498" s="0" t="n">
        <f aca="false">F4498</f>
        <v>-0.375</v>
      </c>
      <c r="K4498" s="0" t="n">
        <f aca="false">D4498*E4498</f>
        <v>0.109375</v>
      </c>
      <c r="L4498" s="0" t="n">
        <f aca="false">D4498*F4498</f>
        <v>-0.328125</v>
      </c>
      <c r="M4498" s="0" t="n">
        <f aca="false">E4498*F4498</f>
        <v>-0.046875</v>
      </c>
      <c r="N4498" s="0" t="n">
        <f aca="false">D4498*D4498</f>
        <v>0.765625</v>
      </c>
      <c r="O4498" s="0" t="n">
        <f aca="false">E4498*E4498</f>
        <v>0.015625</v>
      </c>
      <c r="P4498" s="0" t="n">
        <f aca="false">F4498*F4498</f>
        <v>0.140625</v>
      </c>
      <c r="Q4498" s="0" t="n">
        <f aca="false">SUMPRODUCT(G4498:P4498,_XtX!$B$71:$K$71)</f>
        <v>48.4828764204545</v>
      </c>
      <c r="R4498" s="0" t="n">
        <f aca="false">SUMPRODUCT(MMULT(G4498:P4498,_XtX!$B$58:$K$67),G4498:P4498)</f>
        <v>0.32900224165483</v>
      </c>
      <c r="S4498" s="0" t="n">
        <f aca="false">04_回帰ANOVA!$K$19*04_回帰ANOVA!$K$14*SQRT(1+R4498)</f>
        <v>1.07183884583628</v>
      </c>
      <c r="T4498" s="0" t="n">
        <f aca="false">Q4498-S4498</f>
        <v>47.4110375746183</v>
      </c>
      <c r="U4498" s="0" t="n">
        <f aca="false">Q4498+S4498</f>
        <v>49.5547152662908</v>
      </c>
      <c r="V4498" s="54" t="b">
        <f aca="false">AND(D4498&gt;=01_因子設定!$L$5-0.000000001,D4498&lt;=01_因子設定!$M$5+0.000000001,E4498&gt;=01_因子設定!$L$6-0.000000001,E4498&lt;=01_因子設定!$M$6+0.000000001,F4498&gt;=01_因子設定!$L$7-0.000000001,F4498&lt;=01_因子設定!$M$7+0.000000001,IF(01_因子設定!$B$20="Box-Behnken",D4498^2+E4498^2+F4498^2&lt;=2+0.000000001,TRUE()))</f>
        <v>1</v>
      </c>
      <c r="W4498" s="55" t="n">
        <f aca="false">IF(V4498,IF(01_因子設定!$B$13="最大化",T4498-01_因子設定!$B$14,IF(01_因子設定!$B$13="最小化",01_因子設定!$B$15-U4498,MIN(T4498-01_因子設定!$B$14,01_因子設定!$B$15-U4498))),-1E+030)</f>
        <v>-1.08896242538174</v>
      </c>
      <c r="X4498" s="55" t="n">
        <f aca="false">IF(V4498,IF(01_因子設定!$B$13="最大化",Q4498,IF(01_因子設定!$B$13="最小化",-Q4498,-ABS(Q4498-01_因子設定!$B$16))),-1E+030)</f>
        <v>48.4828764204545</v>
      </c>
      <c r="Y4498" s="55" t="n">
        <f aca="false">W4498+ROW()*0.000000001</f>
        <v>-1.08895792738174</v>
      </c>
      <c r="Z4498" s="55" t="n">
        <f aca="false">X4498+ROW()*0.000000001</f>
        <v>48.4828809184546</v>
      </c>
    </row>
    <row r="4499" customFormat="false" ht="15" hidden="false" customHeight="false" outlineLevel="0" collapsed="false">
      <c r="A4499" s="0" t="n">
        <v>15</v>
      </c>
      <c r="B4499" s="0" t="n">
        <v>9</v>
      </c>
      <c r="C4499" s="0" t="n">
        <v>6</v>
      </c>
      <c r="D4499" s="0" t="n">
        <f aca="false">-1+A4499*0.125</f>
        <v>0.875</v>
      </c>
      <c r="E4499" s="0" t="n">
        <f aca="false">-1+B4499*0.125</f>
        <v>0.125</v>
      </c>
      <c r="F4499" s="0" t="n">
        <f aca="false">-1+C4499*0.125</f>
        <v>-0.25</v>
      </c>
      <c r="G4499" s="0" t="n">
        <f aca="false">1</f>
        <v>1</v>
      </c>
      <c r="H4499" s="0" t="n">
        <f aca="false">D4499</f>
        <v>0.875</v>
      </c>
      <c r="I4499" s="0" t="n">
        <f aca="false">E4499</f>
        <v>0.125</v>
      </c>
      <c r="J4499" s="0" t="n">
        <f aca="false">F4499</f>
        <v>-0.25</v>
      </c>
      <c r="K4499" s="0" t="n">
        <f aca="false">D4499*E4499</f>
        <v>0.109375</v>
      </c>
      <c r="L4499" s="0" t="n">
        <f aca="false">D4499*F4499</f>
        <v>-0.21875</v>
      </c>
      <c r="M4499" s="0" t="n">
        <f aca="false">E4499*F4499</f>
        <v>-0.03125</v>
      </c>
      <c r="N4499" s="0" t="n">
        <f aca="false">D4499*D4499</f>
        <v>0.765625</v>
      </c>
      <c r="O4499" s="0" t="n">
        <f aca="false">E4499*E4499</f>
        <v>0.015625</v>
      </c>
      <c r="P4499" s="0" t="n">
        <f aca="false">F4499*F4499</f>
        <v>0.0625</v>
      </c>
      <c r="Q4499" s="0" t="n">
        <f aca="false">SUMPRODUCT(G4499:P4499,_XtX!$B$71:$K$71)</f>
        <v>48.7379758522727</v>
      </c>
      <c r="R4499" s="0" t="n">
        <f aca="false">SUMPRODUCT(MMULT(G4499:P4499,_XtX!$B$58:$K$67),G4499:P4499)</f>
        <v>0.331537974964489</v>
      </c>
      <c r="S4499" s="0" t="n">
        <f aca="false">04_回帰ANOVA!$K$19*04_回帰ANOVA!$K$14*SQRT(1+R4499)</f>
        <v>1.07286089161565</v>
      </c>
      <c r="T4499" s="0" t="n">
        <f aca="false">Q4499-S4499</f>
        <v>47.6651149606571</v>
      </c>
      <c r="U4499" s="0" t="n">
        <f aca="false">Q4499+S4499</f>
        <v>49.8108367438884</v>
      </c>
      <c r="V4499" s="54" t="b">
        <f aca="false">AND(D4499&gt;=01_因子設定!$L$5-0.000000001,D4499&lt;=01_因子設定!$M$5+0.000000001,E4499&gt;=01_因子設定!$L$6-0.000000001,E4499&lt;=01_因子設定!$M$6+0.000000001,F4499&gt;=01_因子設定!$L$7-0.000000001,F4499&lt;=01_因子設定!$M$7+0.000000001,IF(01_因子設定!$B$20="Box-Behnken",D4499^2+E4499^2+F4499^2&lt;=2+0.000000001,TRUE()))</f>
        <v>1</v>
      </c>
      <c r="W4499" s="55" t="n">
        <f aca="false">IF(V4499,IF(01_因子設定!$B$13="最大化",T4499-01_因子設定!$B$14,IF(01_因子設定!$B$13="最小化",01_因子設定!$B$15-U4499,MIN(T4499-01_因子設定!$B$14,01_因子設定!$B$15-U4499))),-1E+030)</f>
        <v>-0.834885039342936</v>
      </c>
      <c r="X4499" s="55" t="n">
        <f aca="false">IF(V4499,IF(01_因子設定!$B$13="最大化",Q4499,IF(01_因子設定!$B$13="最小化",-Q4499,-ABS(Q4499-01_因子設定!$B$16))),-1E+030)</f>
        <v>48.7379758522727</v>
      </c>
      <c r="Y4499" s="55" t="n">
        <f aca="false">W4499+ROW()*0.000000001</f>
        <v>-0.834880540342936</v>
      </c>
      <c r="Z4499" s="55" t="n">
        <f aca="false">X4499+ROW()*0.000000001</f>
        <v>48.7379803512727</v>
      </c>
    </row>
    <row r="4500" customFormat="false" ht="15" hidden="false" customHeight="false" outlineLevel="0" collapsed="false">
      <c r="A4500" s="0" t="n">
        <v>15</v>
      </c>
      <c r="B4500" s="0" t="n">
        <v>9</v>
      </c>
      <c r="C4500" s="0" t="n">
        <v>7</v>
      </c>
      <c r="D4500" s="0" t="n">
        <f aca="false">-1+A4500*0.125</f>
        <v>0.875</v>
      </c>
      <c r="E4500" s="0" t="n">
        <f aca="false">-1+B4500*0.125</f>
        <v>0.125</v>
      </c>
      <c r="F4500" s="0" t="n">
        <f aca="false">-1+C4500*0.125</f>
        <v>-0.125</v>
      </c>
      <c r="G4500" s="0" t="n">
        <f aca="false">1</f>
        <v>1</v>
      </c>
      <c r="H4500" s="0" t="n">
        <f aca="false">D4500</f>
        <v>0.875</v>
      </c>
      <c r="I4500" s="0" t="n">
        <f aca="false">E4500</f>
        <v>0.125</v>
      </c>
      <c r="J4500" s="0" t="n">
        <f aca="false">F4500</f>
        <v>-0.125</v>
      </c>
      <c r="K4500" s="0" t="n">
        <f aca="false">D4500*E4500</f>
        <v>0.109375</v>
      </c>
      <c r="L4500" s="0" t="n">
        <f aca="false">D4500*F4500</f>
        <v>-0.109375</v>
      </c>
      <c r="M4500" s="0" t="n">
        <f aca="false">E4500*F4500</f>
        <v>-0.015625</v>
      </c>
      <c r="N4500" s="0" t="n">
        <f aca="false">D4500*D4500</f>
        <v>0.765625</v>
      </c>
      <c r="O4500" s="0" t="n">
        <f aca="false">E4500*E4500</f>
        <v>0.015625</v>
      </c>
      <c r="P4500" s="0" t="n">
        <f aca="false">F4500*F4500</f>
        <v>0.015625</v>
      </c>
      <c r="Q4500" s="0" t="n">
        <f aca="false">SUMPRODUCT(G4500:P4500,_XtX!$B$71:$K$71)</f>
        <v>48.9562855113636</v>
      </c>
      <c r="R4500" s="0" t="n">
        <f aca="false">SUMPRODUCT(MMULT(G4500:P4500,_XtX!$B$58:$K$67),G4500:P4500)</f>
        <v>0.335190096768466</v>
      </c>
      <c r="S4500" s="0" t="n">
        <f aca="false">04_回帰ANOVA!$K$19*04_回帰ANOVA!$K$14*SQRT(1+R4500)</f>
        <v>1.07433119726947</v>
      </c>
      <c r="T4500" s="0" t="n">
        <f aca="false">Q4500-S4500</f>
        <v>47.8819543140942</v>
      </c>
      <c r="U4500" s="0" t="n">
        <f aca="false">Q4500+S4500</f>
        <v>50.0306167086331</v>
      </c>
      <c r="V4500" s="54" t="b">
        <f aca="false">AND(D4500&gt;=01_因子設定!$L$5-0.000000001,D4500&lt;=01_因子設定!$M$5+0.000000001,E4500&gt;=01_因子設定!$L$6-0.000000001,E4500&lt;=01_因子設定!$M$6+0.000000001,F4500&gt;=01_因子設定!$L$7-0.000000001,F4500&lt;=01_因子設定!$M$7+0.000000001,IF(01_因子設定!$B$20="Box-Behnken",D4500^2+E4500^2+F4500^2&lt;=2+0.000000001,TRUE()))</f>
        <v>1</v>
      </c>
      <c r="W4500" s="55" t="n">
        <f aca="false">IF(V4500,IF(01_因子設定!$B$13="最大化",T4500-01_因子設定!$B$14,IF(01_因子設定!$B$13="最小化",01_因子設定!$B$15-U4500,MIN(T4500-01_因子設定!$B$14,01_因子設定!$B$15-U4500))),-1E+030)</f>
        <v>-0.618045685905834</v>
      </c>
      <c r="X4500" s="55" t="n">
        <f aca="false">IF(V4500,IF(01_因子設定!$B$13="最大化",Q4500,IF(01_因子設定!$B$13="最小化",-Q4500,-ABS(Q4500-01_因子設定!$B$16))),-1E+030)</f>
        <v>48.9562855113636</v>
      </c>
      <c r="Y4500" s="55" t="n">
        <f aca="false">W4500+ROW()*0.000000001</f>
        <v>-0.618041185905834</v>
      </c>
      <c r="Z4500" s="55" t="n">
        <f aca="false">X4500+ROW()*0.000000001</f>
        <v>48.9562900113636</v>
      </c>
    </row>
    <row r="4501" customFormat="false" ht="15" hidden="false" customHeight="false" outlineLevel="0" collapsed="false">
      <c r="A4501" s="0" t="n">
        <v>15</v>
      </c>
      <c r="B4501" s="0" t="n">
        <v>9</v>
      </c>
      <c r="C4501" s="0" t="n">
        <v>8</v>
      </c>
      <c r="D4501" s="0" t="n">
        <f aca="false">-1+A4501*0.125</f>
        <v>0.875</v>
      </c>
      <c r="E4501" s="0" t="n">
        <f aca="false">-1+B4501*0.125</f>
        <v>0.125</v>
      </c>
      <c r="F4501" s="0" t="n">
        <f aca="false">-1+C4501*0.125</f>
        <v>0</v>
      </c>
      <c r="G4501" s="0" t="n">
        <f aca="false">1</f>
        <v>1</v>
      </c>
      <c r="H4501" s="0" t="n">
        <f aca="false">D4501</f>
        <v>0.875</v>
      </c>
      <c r="I4501" s="0" t="n">
        <f aca="false">E4501</f>
        <v>0.125</v>
      </c>
      <c r="J4501" s="0" t="n">
        <f aca="false">F4501</f>
        <v>0</v>
      </c>
      <c r="K4501" s="0" t="n">
        <f aca="false">D4501*E4501</f>
        <v>0.109375</v>
      </c>
      <c r="L4501" s="0" t="n">
        <f aca="false">D4501*F4501</f>
        <v>0</v>
      </c>
      <c r="M4501" s="0" t="n">
        <f aca="false">E4501*F4501</f>
        <v>0</v>
      </c>
      <c r="N4501" s="0" t="n">
        <f aca="false">D4501*D4501</f>
        <v>0.765625</v>
      </c>
      <c r="O4501" s="0" t="n">
        <f aca="false">E4501*E4501</f>
        <v>0.015625</v>
      </c>
      <c r="P4501" s="0" t="n">
        <f aca="false">F4501*F4501</f>
        <v>0</v>
      </c>
      <c r="Q4501" s="0" t="n">
        <f aca="false">SUMPRODUCT(G4501:P4501,_XtX!$B$71:$K$71)</f>
        <v>49.1378053977273</v>
      </c>
      <c r="R4501" s="0" t="n">
        <f aca="false">SUMPRODUCT(MMULT(G4501:P4501,_XtX!$B$58:$K$67),G4501:P4501)</f>
        <v>0.336762584339489</v>
      </c>
      <c r="S4501" s="0" t="n">
        <f aca="false">04_回帰ANOVA!$K$19*04_回帰ANOVA!$K$14*SQRT(1+R4501)</f>
        <v>1.07496364479411</v>
      </c>
      <c r="T4501" s="0" t="n">
        <f aca="false">Q4501-S4501</f>
        <v>48.0628417529332</v>
      </c>
      <c r="U4501" s="0" t="n">
        <f aca="false">Q4501+S4501</f>
        <v>50.2127690425214</v>
      </c>
      <c r="V4501" s="54" t="b">
        <f aca="false">AND(D4501&gt;=01_因子設定!$L$5-0.000000001,D4501&lt;=01_因子設定!$M$5+0.000000001,E4501&gt;=01_因子設定!$L$6-0.000000001,E4501&lt;=01_因子設定!$M$6+0.000000001,F4501&gt;=01_因子設定!$L$7-0.000000001,F4501&lt;=01_因子設定!$M$7+0.000000001,IF(01_因子設定!$B$20="Box-Behnken",D4501^2+E4501^2+F4501^2&lt;=2+0.000000001,TRUE()))</f>
        <v>1</v>
      </c>
      <c r="W4501" s="55" t="n">
        <f aca="false">IF(V4501,IF(01_因子設定!$B$13="最大化",T4501-01_因子設定!$B$14,IF(01_因子設定!$B$13="最小化",01_因子設定!$B$15-U4501,MIN(T4501-01_因子設定!$B$14,01_因子設定!$B$15-U4501))),-1E+030)</f>
        <v>-0.43715824706684</v>
      </c>
      <c r="X4501" s="55" t="n">
        <f aca="false">IF(V4501,IF(01_因子設定!$B$13="最大化",Q4501,IF(01_因子設定!$B$13="最小化",-Q4501,-ABS(Q4501-01_因子設定!$B$16))),-1E+030)</f>
        <v>49.1378053977273</v>
      </c>
      <c r="Y4501" s="55" t="n">
        <f aca="false">W4501+ROW()*0.000000001</f>
        <v>-0.43715374606684</v>
      </c>
      <c r="Z4501" s="55" t="n">
        <f aca="false">X4501+ROW()*0.000000001</f>
        <v>49.1378098987273</v>
      </c>
    </row>
    <row r="4502" customFormat="false" ht="15" hidden="false" customHeight="false" outlineLevel="0" collapsed="false">
      <c r="A4502" s="0" t="n">
        <v>15</v>
      </c>
      <c r="B4502" s="0" t="n">
        <v>9</v>
      </c>
      <c r="C4502" s="0" t="n">
        <v>9</v>
      </c>
      <c r="D4502" s="0" t="n">
        <f aca="false">-1+A4502*0.125</f>
        <v>0.875</v>
      </c>
      <c r="E4502" s="0" t="n">
        <f aca="false">-1+B4502*0.125</f>
        <v>0.125</v>
      </c>
      <c r="F4502" s="0" t="n">
        <f aca="false">-1+C4502*0.125</f>
        <v>0.125</v>
      </c>
      <c r="G4502" s="0" t="n">
        <f aca="false">1</f>
        <v>1</v>
      </c>
      <c r="H4502" s="0" t="n">
        <f aca="false">D4502</f>
        <v>0.875</v>
      </c>
      <c r="I4502" s="0" t="n">
        <f aca="false">E4502</f>
        <v>0.125</v>
      </c>
      <c r="J4502" s="0" t="n">
        <f aca="false">F4502</f>
        <v>0.125</v>
      </c>
      <c r="K4502" s="0" t="n">
        <f aca="false">D4502*E4502</f>
        <v>0.109375</v>
      </c>
      <c r="L4502" s="0" t="n">
        <f aca="false">D4502*F4502</f>
        <v>0.109375</v>
      </c>
      <c r="M4502" s="0" t="n">
        <f aca="false">E4502*F4502</f>
        <v>0.015625</v>
      </c>
      <c r="N4502" s="0" t="n">
        <f aca="false">D4502*D4502</f>
        <v>0.765625</v>
      </c>
      <c r="O4502" s="0" t="n">
        <f aca="false">E4502*E4502</f>
        <v>0.015625</v>
      </c>
      <c r="P4502" s="0" t="n">
        <f aca="false">F4502*F4502</f>
        <v>0.015625</v>
      </c>
      <c r="Q4502" s="0" t="n">
        <f aca="false">SUMPRODUCT(G4502:P4502,_XtX!$B$71:$K$71)</f>
        <v>49.2825355113636</v>
      </c>
      <c r="R4502" s="0" t="n">
        <f aca="false">SUMPRODUCT(MMULT(G4502:P4502,_XtX!$B$58:$K$67),G4502:P4502)</f>
        <v>0.335190096768466</v>
      </c>
      <c r="S4502" s="0" t="n">
        <f aca="false">04_回帰ANOVA!$K$19*04_回帰ANOVA!$K$14*SQRT(1+R4502)</f>
        <v>1.07433119726947</v>
      </c>
      <c r="T4502" s="0" t="n">
        <f aca="false">Q4502-S4502</f>
        <v>48.2082043140942</v>
      </c>
      <c r="U4502" s="0" t="n">
        <f aca="false">Q4502+S4502</f>
        <v>50.3568667086331</v>
      </c>
      <c r="V4502" s="54" t="b">
        <f aca="false">AND(D4502&gt;=01_因子設定!$L$5-0.000000001,D4502&lt;=01_因子設定!$M$5+0.000000001,E4502&gt;=01_因子設定!$L$6-0.000000001,E4502&lt;=01_因子設定!$M$6+0.000000001,F4502&gt;=01_因子設定!$L$7-0.000000001,F4502&lt;=01_因子設定!$M$7+0.000000001,IF(01_因子設定!$B$20="Box-Behnken",D4502^2+E4502^2+F4502^2&lt;=2+0.000000001,TRUE()))</f>
        <v>1</v>
      </c>
      <c r="W4502" s="55" t="n">
        <f aca="false">IF(V4502,IF(01_因子設定!$B$13="最大化",T4502-01_因子設定!$B$14,IF(01_因子設定!$B$13="最小化",01_因子設定!$B$15-U4502,MIN(T4502-01_因子設定!$B$14,01_因子設定!$B$15-U4502))),-1E+030)</f>
        <v>-0.291795685905832</v>
      </c>
      <c r="X4502" s="55" t="n">
        <f aca="false">IF(V4502,IF(01_因子設定!$B$13="最大化",Q4502,IF(01_因子設定!$B$13="最小化",-Q4502,-ABS(Q4502-01_因子設定!$B$16))),-1E+030)</f>
        <v>49.2825355113636</v>
      </c>
      <c r="Y4502" s="55" t="n">
        <f aca="false">W4502+ROW()*0.000000001</f>
        <v>-0.291791183905832</v>
      </c>
      <c r="Z4502" s="55" t="n">
        <f aca="false">X4502+ROW()*0.000000001</f>
        <v>49.2825400133636</v>
      </c>
    </row>
    <row r="4503" customFormat="false" ht="15" hidden="false" customHeight="false" outlineLevel="0" collapsed="false">
      <c r="A4503" s="0" t="n">
        <v>15</v>
      </c>
      <c r="B4503" s="0" t="n">
        <v>9</v>
      </c>
      <c r="C4503" s="0" t="n">
        <v>10</v>
      </c>
      <c r="D4503" s="0" t="n">
        <f aca="false">-1+A4503*0.125</f>
        <v>0.875</v>
      </c>
      <c r="E4503" s="0" t="n">
        <f aca="false">-1+B4503*0.125</f>
        <v>0.125</v>
      </c>
      <c r="F4503" s="0" t="n">
        <f aca="false">-1+C4503*0.125</f>
        <v>0.25</v>
      </c>
      <c r="G4503" s="0" t="n">
        <f aca="false">1</f>
        <v>1</v>
      </c>
      <c r="H4503" s="0" t="n">
        <f aca="false">D4503</f>
        <v>0.875</v>
      </c>
      <c r="I4503" s="0" t="n">
        <f aca="false">E4503</f>
        <v>0.125</v>
      </c>
      <c r="J4503" s="0" t="n">
        <f aca="false">F4503</f>
        <v>0.25</v>
      </c>
      <c r="K4503" s="0" t="n">
        <f aca="false">D4503*E4503</f>
        <v>0.109375</v>
      </c>
      <c r="L4503" s="0" t="n">
        <f aca="false">D4503*F4503</f>
        <v>0.21875</v>
      </c>
      <c r="M4503" s="0" t="n">
        <f aca="false">E4503*F4503</f>
        <v>0.03125</v>
      </c>
      <c r="N4503" s="0" t="n">
        <f aca="false">D4503*D4503</f>
        <v>0.765625</v>
      </c>
      <c r="O4503" s="0" t="n">
        <f aca="false">E4503*E4503</f>
        <v>0.015625</v>
      </c>
      <c r="P4503" s="0" t="n">
        <f aca="false">F4503*F4503</f>
        <v>0.0625</v>
      </c>
      <c r="Q4503" s="0" t="n">
        <f aca="false">SUMPRODUCT(G4503:P4503,_XtX!$B$71:$K$71)</f>
        <v>49.3904758522727</v>
      </c>
      <c r="R4503" s="0" t="n">
        <f aca="false">SUMPRODUCT(MMULT(G4503:P4503,_XtX!$B$58:$K$67),G4503:P4503)</f>
        <v>0.331537974964489</v>
      </c>
      <c r="S4503" s="0" t="n">
        <f aca="false">04_回帰ANOVA!$K$19*04_回帰ANOVA!$K$14*SQRT(1+R4503)</f>
        <v>1.07286089161565</v>
      </c>
      <c r="T4503" s="0" t="n">
        <f aca="false">Q4503-S4503</f>
        <v>48.3176149606571</v>
      </c>
      <c r="U4503" s="0" t="n">
        <f aca="false">Q4503+S4503</f>
        <v>50.4633367438884</v>
      </c>
      <c r="V4503" s="54" t="b">
        <f aca="false">AND(D4503&gt;=01_因子設定!$L$5-0.000000001,D4503&lt;=01_因子設定!$M$5+0.000000001,E4503&gt;=01_因子設定!$L$6-0.000000001,E4503&lt;=01_因子設定!$M$6+0.000000001,F4503&gt;=01_因子設定!$L$7-0.000000001,F4503&lt;=01_因子設定!$M$7+0.000000001,IF(01_因子設定!$B$20="Box-Behnken",D4503^2+E4503^2+F4503^2&lt;=2+0.000000001,TRUE()))</f>
        <v>1</v>
      </c>
      <c r="W4503" s="55" t="n">
        <f aca="false">IF(V4503,IF(01_因子設定!$B$13="最大化",T4503-01_因子設定!$B$14,IF(01_因子設定!$B$13="最小化",01_因子設定!$B$15-U4503,MIN(T4503-01_因子設定!$B$14,01_因子設定!$B$15-U4503))),-1E+030)</f>
        <v>-0.182385039342933</v>
      </c>
      <c r="X4503" s="55" t="n">
        <f aca="false">IF(V4503,IF(01_因子設定!$B$13="最大化",Q4503,IF(01_因子設定!$B$13="最小化",-Q4503,-ABS(Q4503-01_因子設定!$B$16))),-1E+030)</f>
        <v>49.3904758522727</v>
      </c>
      <c r="Y4503" s="55" t="n">
        <f aca="false">W4503+ROW()*0.000000001</f>
        <v>-0.182380536342933</v>
      </c>
      <c r="Z4503" s="55" t="n">
        <f aca="false">X4503+ROW()*0.000000001</f>
        <v>49.3904803552727</v>
      </c>
    </row>
    <row r="4504" customFormat="false" ht="15" hidden="false" customHeight="false" outlineLevel="0" collapsed="false">
      <c r="A4504" s="0" t="n">
        <v>15</v>
      </c>
      <c r="B4504" s="0" t="n">
        <v>9</v>
      </c>
      <c r="C4504" s="0" t="n">
        <v>11</v>
      </c>
      <c r="D4504" s="0" t="n">
        <f aca="false">-1+A4504*0.125</f>
        <v>0.875</v>
      </c>
      <c r="E4504" s="0" t="n">
        <f aca="false">-1+B4504*0.125</f>
        <v>0.125</v>
      </c>
      <c r="F4504" s="0" t="n">
        <f aca="false">-1+C4504*0.125</f>
        <v>0.375</v>
      </c>
      <c r="G4504" s="0" t="n">
        <f aca="false">1</f>
        <v>1</v>
      </c>
      <c r="H4504" s="0" t="n">
        <f aca="false">D4504</f>
        <v>0.875</v>
      </c>
      <c r="I4504" s="0" t="n">
        <f aca="false">E4504</f>
        <v>0.125</v>
      </c>
      <c r="J4504" s="0" t="n">
        <f aca="false">F4504</f>
        <v>0.375</v>
      </c>
      <c r="K4504" s="0" t="n">
        <f aca="false">D4504*E4504</f>
        <v>0.109375</v>
      </c>
      <c r="L4504" s="0" t="n">
        <f aca="false">D4504*F4504</f>
        <v>0.328125</v>
      </c>
      <c r="M4504" s="0" t="n">
        <f aca="false">E4504*F4504</f>
        <v>0.046875</v>
      </c>
      <c r="N4504" s="0" t="n">
        <f aca="false">D4504*D4504</f>
        <v>0.765625</v>
      </c>
      <c r="O4504" s="0" t="n">
        <f aca="false">E4504*E4504</f>
        <v>0.015625</v>
      </c>
      <c r="P4504" s="0" t="n">
        <f aca="false">F4504*F4504</f>
        <v>0.140625</v>
      </c>
      <c r="Q4504" s="0" t="n">
        <f aca="false">SUMPRODUCT(G4504:P4504,_XtX!$B$71:$K$71)</f>
        <v>49.4616264204545</v>
      </c>
      <c r="R4504" s="0" t="n">
        <f aca="false">SUMPRODUCT(MMULT(G4504:P4504,_XtX!$B$58:$K$67),G4504:P4504)</f>
        <v>0.32900224165483</v>
      </c>
      <c r="S4504" s="0" t="n">
        <f aca="false">04_回帰ANOVA!$K$19*04_回帰ANOVA!$K$14*SQRT(1+R4504)</f>
        <v>1.07183884583628</v>
      </c>
      <c r="T4504" s="0" t="n">
        <f aca="false">Q4504-S4504</f>
        <v>48.3897875746183</v>
      </c>
      <c r="U4504" s="0" t="n">
        <f aca="false">Q4504+S4504</f>
        <v>50.5334652662908</v>
      </c>
      <c r="V4504" s="54" t="b">
        <f aca="false">AND(D4504&gt;=01_因子設定!$L$5-0.000000001,D4504&lt;=01_因子設定!$M$5+0.000000001,E4504&gt;=01_因子設定!$L$6-0.000000001,E4504&lt;=01_因子設定!$M$6+0.000000001,F4504&gt;=01_因子設定!$L$7-0.000000001,F4504&lt;=01_因子設定!$M$7+0.000000001,IF(01_因子設定!$B$20="Box-Behnken",D4504^2+E4504^2+F4504^2&lt;=2+0.000000001,TRUE()))</f>
        <v>1</v>
      </c>
      <c r="W4504" s="55" t="n">
        <f aca="false">IF(V4504,IF(01_因子設定!$B$13="最大化",T4504-01_因子設定!$B$14,IF(01_因子設定!$B$13="最小化",01_因子設定!$B$15-U4504,MIN(T4504-01_因子設定!$B$14,01_因子設定!$B$15-U4504))),-1E+030)</f>
        <v>-0.110212425381732</v>
      </c>
      <c r="X4504" s="55" t="n">
        <f aca="false">IF(V4504,IF(01_因子設定!$B$13="最大化",Q4504,IF(01_因子設定!$B$13="最小化",-Q4504,-ABS(Q4504-01_因子設定!$B$16))),-1E+030)</f>
        <v>49.4616264204545</v>
      </c>
      <c r="Y4504" s="55" t="n">
        <f aca="false">W4504+ROW()*0.000000001</f>
        <v>-0.110207921381732</v>
      </c>
      <c r="Z4504" s="55" t="n">
        <f aca="false">X4504+ROW()*0.000000001</f>
        <v>49.4616309244545</v>
      </c>
    </row>
    <row r="4505" customFormat="false" ht="15" hidden="false" customHeight="false" outlineLevel="0" collapsed="false">
      <c r="A4505" s="0" t="n">
        <v>15</v>
      </c>
      <c r="B4505" s="0" t="n">
        <v>9</v>
      </c>
      <c r="C4505" s="0" t="n">
        <v>12</v>
      </c>
      <c r="D4505" s="0" t="n">
        <f aca="false">-1+A4505*0.125</f>
        <v>0.875</v>
      </c>
      <c r="E4505" s="0" t="n">
        <f aca="false">-1+B4505*0.125</f>
        <v>0.125</v>
      </c>
      <c r="F4505" s="0" t="n">
        <f aca="false">-1+C4505*0.125</f>
        <v>0.5</v>
      </c>
      <c r="G4505" s="0" t="n">
        <f aca="false">1</f>
        <v>1</v>
      </c>
      <c r="H4505" s="0" t="n">
        <f aca="false">D4505</f>
        <v>0.875</v>
      </c>
      <c r="I4505" s="0" t="n">
        <f aca="false">E4505</f>
        <v>0.125</v>
      </c>
      <c r="J4505" s="0" t="n">
        <f aca="false">F4505</f>
        <v>0.5</v>
      </c>
      <c r="K4505" s="0" t="n">
        <f aca="false">D4505*E4505</f>
        <v>0.109375</v>
      </c>
      <c r="L4505" s="0" t="n">
        <f aca="false">D4505*F4505</f>
        <v>0.4375</v>
      </c>
      <c r="M4505" s="0" t="n">
        <f aca="false">E4505*F4505</f>
        <v>0.0625</v>
      </c>
      <c r="N4505" s="0" t="n">
        <f aca="false">D4505*D4505</f>
        <v>0.765625</v>
      </c>
      <c r="O4505" s="0" t="n">
        <f aca="false">E4505*E4505</f>
        <v>0.015625</v>
      </c>
      <c r="P4505" s="0" t="n">
        <f aca="false">F4505*F4505</f>
        <v>0.25</v>
      </c>
      <c r="Q4505" s="0" t="n">
        <f aca="false">SUMPRODUCT(G4505:P4505,_XtX!$B$71:$K$71)</f>
        <v>49.4959872159091</v>
      </c>
      <c r="R4505" s="0" t="n">
        <f aca="false">SUMPRODUCT(MMULT(G4505:P4505,_XtX!$B$58:$K$67),G4505:P4505)</f>
        <v>0.332909601384943</v>
      </c>
      <c r="S4505" s="0" t="n">
        <f aca="false">04_回帰ANOVA!$K$19*04_回帰ANOVA!$K$14*SQRT(1+R4505)</f>
        <v>1.07341333007404</v>
      </c>
      <c r="T4505" s="0" t="n">
        <f aca="false">Q4505-S4505</f>
        <v>48.4225738858351</v>
      </c>
      <c r="U4505" s="0" t="n">
        <f aca="false">Q4505+S4505</f>
        <v>50.5694005459831</v>
      </c>
      <c r="V4505" s="54" t="b">
        <f aca="false">AND(D4505&gt;=01_因子設定!$L$5-0.000000001,D4505&lt;=01_因子設定!$M$5+0.000000001,E4505&gt;=01_因子設定!$L$6-0.000000001,E4505&lt;=01_因子設定!$M$6+0.000000001,F4505&gt;=01_因子設定!$L$7-0.000000001,F4505&lt;=01_因子設定!$M$7+0.000000001,IF(01_因子設定!$B$20="Box-Behnken",D4505^2+E4505^2+F4505^2&lt;=2+0.000000001,TRUE()))</f>
        <v>1</v>
      </c>
      <c r="W4505" s="55" t="n">
        <f aca="false">IF(V4505,IF(01_因子設定!$B$13="最大化",T4505-01_因子設定!$B$14,IF(01_因子設定!$B$13="最小化",01_因子設定!$B$15-U4505,MIN(T4505-01_因子設定!$B$14,01_因子設定!$B$15-U4505))),-1E+030)</f>
        <v>-0.0774261141649504</v>
      </c>
      <c r="X4505" s="55" t="n">
        <f aca="false">IF(V4505,IF(01_因子設定!$B$13="最大化",Q4505,IF(01_因子設定!$B$13="最小化",-Q4505,-ABS(Q4505-01_因子設定!$B$16))),-1E+030)</f>
        <v>49.4959872159091</v>
      </c>
      <c r="Y4505" s="55" t="n">
        <f aca="false">W4505+ROW()*0.000000001</f>
        <v>-0.0774216091649504</v>
      </c>
      <c r="Z4505" s="55" t="n">
        <f aca="false">X4505+ROW()*0.000000001</f>
        <v>49.4959917209091</v>
      </c>
    </row>
    <row r="4506" customFormat="false" ht="15" hidden="false" customHeight="false" outlineLevel="0" collapsed="false">
      <c r="A4506" s="0" t="n">
        <v>15</v>
      </c>
      <c r="B4506" s="0" t="n">
        <v>9</v>
      </c>
      <c r="C4506" s="0" t="n">
        <v>13</v>
      </c>
      <c r="D4506" s="0" t="n">
        <f aca="false">-1+A4506*0.125</f>
        <v>0.875</v>
      </c>
      <c r="E4506" s="0" t="n">
        <f aca="false">-1+B4506*0.125</f>
        <v>0.125</v>
      </c>
      <c r="F4506" s="0" t="n">
        <f aca="false">-1+C4506*0.125</f>
        <v>0.625</v>
      </c>
      <c r="G4506" s="0" t="n">
        <f aca="false">1</f>
        <v>1</v>
      </c>
      <c r="H4506" s="0" t="n">
        <f aca="false">D4506</f>
        <v>0.875</v>
      </c>
      <c r="I4506" s="0" t="n">
        <f aca="false">E4506</f>
        <v>0.125</v>
      </c>
      <c r="J4506" s="0" t="n">
        <f aca="false">F4506</f>
        <v>0.625</v>
      </c>
      <c r="K4506" s="0" t="n">
        <f aca="false">D4506*E4506</f>
        <v>0.109375</v>
      </c>
      <c r="L4506" s="0" t="n">
        <f aca="false">D4506*F4506</f>
        <v>0.546875</v>
      </c>
      <c r="M4506" s="0" t="n">
        <f aca="false">E4506*F4506</f>
        <v>0.078125</v>
      </c>
      <c r="N4506" s="0" t="n">
        <f aca="false">D4506*D4506</f>
        <v>0.765625</v>
      </c>
      <c r="O4506" s="0" t="n">
        <f aca="false">E4506*E4506</f>
        <v>0.015625</v>
      </c>
      <c r="P4506" s="0" t="n">
        <f aca="false">F4506*F4506</f>
        <v>0.390625</v>
      </c>
      <c r="Q4506" s="0" t="n">
        <f aca="false">SUMPRODUCT(G4506:P4506,_XtX!$B$71:$K$71)</f>
        <v>49.4935582386364</v>
      </c>
      <c r="R4506" s="0" t="n">
        <f aca="false">SUMPRODUCT(MMULT(G4506:P4506,_XtX!$B$58:$K$67),G4506:P4506)</f>
        <v>0.350717440518466</v>
      </c>
      <c r="S4506" s="0" t="n">
        <f aca="false">04_回帰ANOVA!$K$19*04_回帰ANOVA!$K$14*SQRT(1+R4506)</f>
        <v>1.08056000737898</v>
      </c>
      <c r="T4506" s="0" t="n">
        <f aca="false">Q4506-S4506</f>
        <v>48.4129982312574</v>
      </c>
      <c r="U4506" s="0" t="n">
        <f aca="false">Q4506+S4506</f>
        <v>50.5741182460153</v>
      </c>
      <c r="V4506" s="54" t="b">
        <f aca="false">AND(D4506&gt;=01_因子設定!$L$5-0.000000001,D4506&lt;=01_因子設定!$M$5+0.000000001,E4506&gt;=01_因子設定!$L$6-0.000000001,E4506&lt;=01_因子設定!$M$6+0.000000001,F4506&gt;=01_因子設定!$L$7-0.000000001,F4506&lt;=01_因子設定!$M$7+0.000000001,IF(01_因子設定!$B$20="Box-Behnken",D4506^2+E4506^2+F4506^2&lt;=2+0.000000001,TRUE()))</f>
        <v>1</v>
      </c>
      <c r="W4506" s="55" t="n">
        <f aca="false">IF(V4506,IF(01_因子設定!$B$13="最大化",T4506-01_因子設定!$B$14,IF(01_因子設定!$B$13="最小化",01_因子設定!$B$15-U4506,MIN(T4506-01_因子設定!$B$14,01_因子設定!$B$15-U4506))),-1E+030)</f>
        <v>-0.0870017687426099</v>
      </c>
      <c r="X4506" s="55" t="n">
        <f aca="false">IF(V4506,IF(01_因子設定!$B$13="最大化",Q4506,IF(01_因子設定!$B$13="最小化",-Q4506,-ABS(Q4506-01_因子設定!$B$16))),-1E+030)</f>
        <v>49.4935582386364</v>
      </c>
      <c r="Y4506" s="55" t="n">
        <f aca="false">W4506+ROW()*0.000000001</f>
        <v>-0.0869972627426099</v>
      </c>
      <c r="Z4506" s="55" t="n">
        <f aca="false">X4506+ROW()*0.000000001</f>
        <v>49.4935627446364</v>
      </c>
    </row>
    <row r="4507" customFormat="false" ht="15" hidden="false" customHeight="false" outlineLevel="0" collapsed="false">
      <c r="A4507" s="0" t="n">
        <v>15</v>
      </c>
      <c r="B4507" s="0" t="n">
        <v>9</v>
      </c>
      <c r="C4507" s="0" t="n">
        <v>14</v>
      </c>
      <c r="D4507" s="0" t="n">
        <f aca="false">-1+A4507*0.125</f>
        <v>0.875</v>
      </c>
      <c r="E4507" s="0" t="n">
        <f aca="false">-1+B4507*0.125</f>
        <v>0.125</v>
      </c>
      <c r="F4507" s="0" t="n">
        <f aca="false">-1+C4507*0.125</f>
        <v>0.75</v>
      </c>
      <c r="G4507" s="0" t="n">
        <f aca="false">1</f>
        <v>1</v>
      </c>
      <c r="H4507" s="0" t="n">
        <f aca="false">D4507</f>
        <v>0.875</v>
      </c>
      <c r="I4507" s="0" t="n">
        <f aca="false">E4507</f>
        <v>0.125</v>
      </c>
      <c r="J4507" s="0" t="n">
        <f aca="false">F4507</f>
        <v>0.75</v>
      </c>
      <c r="K4507" s="0" t="n">
        <f aca="false">D4507*E4507</f>
        <v>0.109375</v>
      </c>
      <c r="L4507" s="0" t="n">
        <f aca="false">D4507*F4507</f>
        <v>0.65625</v>
      </c>
      <c r="M4507" s="0" t="n">
        <f aca="false">E4507*F4507</f>
        <v>0.09375</v>
      </c>
      <c r="N4507" s="0" t="n">
        <f aca="false">D4507*D4507</f>
        <v>0.765625</v>
      </c>
      <c r="O4507" s="0" t="n">
        <f aca="false">E4507*E4507</f>
        <v>0.015625</v>
      </c>
      <c r="P4507" s="0" t="n">
        <f aca="false">F4507*F4507</f>
        <v>0.5625</v>
      </c>
      <c r="Q4507" s="0" t="n">
        <f aca="false">SUMPRODUCT(G4507:P4507,_XtX!$B$71:$K$71)</f>
        <v>49.4543394886364</v>
      </c>
      <c r="R4507" s="0" t="n">
        <f aca="false">SUMPRODUCT(MMULT(G4507:P4507,_XtX!$B$58:$K$67),G4507:P4507)</f>
        <v>0.392013827237216</v>
      </c>
      <c r="S4507" s="0" t="n">
        <f aca="false">04_回帰ANOVA!$K$19*04_回帰ANOVA!$K$14*SQRT(1+R4507)</f>
        <v>1.09695398627251</v>
      </c>
      <c r="T4507" s="0" t="n">
        <f aca="false">Q4507-S4507</f>
        <v>48.3573855023639</v>
      </c>
      <c r="U4507" s="0" t="n">
        <f aca="false">Q4507+S4507</f>
        <v>50.5512934749089</v>
      </c>
      <c r="V4507" s="54" t="b">
        <f aca="false">AND(D4507&gt;=01_因子設定!$L$5-0.000000001,D4507&lt;=01_因子設定!$M$5+0.000000001,E4507&gt;=01_因子設定!$L$6-0.000000001,E4507&lt;=01_因子設定!$M$6+0.000000001,F4507&gt;=01_因子設定!$L$7-0.000000001,F4507&lt;=01_因子設定!$M$7+0.000000001,IF(01_因子設定!$B$20="Box-Behnken",D4507^2+E4507^2+F4507^2&lt;=2+0.000000001,TRUE()))</f>
        <v>1</v>
      </c>
      <c r="W4507" s="55" t="n">
        <f aca="false">IF(V4507,IF(01_因子設定!$B$13="最大化",T4507-01_因子設定!$B$14,IF(01_因子設定!$B$13="最小化",01_因子設定!$B$15-U4507,MIN(T4507-01_因子設定!$B$14,01_因子設定!$B$15-U4507))),-1E+030)</f>
        <v>-0.142614497636139</v>
      </c>
      <c r="X4507" s="55" t="n">
        <f aca="false">IF(V4507,IF(01_因子設定!$B$13="最大化",Q4507,IF(01_因子設定!$B$13="最小化",-Q4507,-ABS(Q4507-01_因子設定!$B$16))),-1E+030)</f>
        <v>49.4543394886364</v>
      </c>
      <c r="Y4507" s="55" t="n">
        <f aca="false">W4507+ROW()*0.000000001</f>
        <v>-0.142609990636139</v>
      </c>
      <c r="Z4507" s="55" t="n">
        <f aca="false">X4507+ROW()*0.000000001</f>
        <v>49.4543439956364</v>
      </c>
    </row>
    <row r="4508" customFormat="false" ht="15" hidden="false" customHeight="false" outlineLevel="0" collapsed="false">
      <c r="A4508" s="0" t="n">
        <v>15</v>
      </c>
      <c r="B4508" s="0" t="n">
        <v>9</v>
      </c>
      <c r="C4508" s="0" t="n">
        <v>15</v>
      </c>
      <c r="D4508" s="0" t="n">
        <f aca="false">-1+A4508*0.125</f>
        <v>0.875</v>
      </c>
      <c r="E4508" s="0" t="n">
        <f aca="false">-1+B4508*0.125</f>
        <v>0.125</v>
      </c>
      <c r="F4508" s="0" t="n">
        <f aca="false">-1+C4508*0.125</f>
        <v>0.875</v>
      </c>
      <c r="G4508" s="0" t="n">
        <f aca="false">1</f>
        <v>1</v>
      </c>
      <c r="H4508" s="0" t="n">
        <f aca="false">D4508</f>
        <v>0.875</v>
      </c>
      <c r="I4508" s="0" t="n">
        <f aca="false">E4508</f>
        <v>0.125</v>
      </c>
      <c r="J4508" s="0" t="n">
        <f aca="false">F4508</f>
        <v>0.875</v>
      </c>
      <c r="K4508" s="0" t="n">
        <f aca="false">D4508*E4508</f>
        <v>0.109375</v>
      </c>
      <c r="L4508" s="0" t="n">
        <f aca="false">D4508*F4508</f>
        <v>0.765625</v>
      </c>
      <c r="M4508" s="0" t="n">
        <f aca="false">E4508*F4508</f>
        <v>0.109375</v>
      </c>
      <c r="N4508" s="0" t="n">
        <f aca="false">D4508*D4508</f>
        <v>0.765625</v>
      </c>
      <c r="O4508" s="0" t="n">
        <f aca="false">E4508*E4508</f>
        <v>0.015625</v>
      </c>
      <c r="P4508" s="0" t="n">
        <f aca="false">F4508*F4508</f>
        <v>0.765625</v>
      </c>
      <c r="Q4508" s="0" t="n">
        <f aca="false">SUMPRODUCT(G4508:P4508,_XtX!$B$71:$K$71)</f>
        <v>49.3783309659091</v>
      </c>
      <c r="R4508" s="0" t="n">
        <f aca="false">SUMPRODUCT(MMULT(G4508:P4508,_XtX!$B$58:$K$67),G4508:P4508)</f>
        <v>0.468517511541193</v>
      </c>
      <c r="S4508" s="0" t="n">
        <f aca="false">04_回帰ANOVA!$K$19*04_回帰ANOVA!$K$14*SQRT(1+R4508)</f>
        <v>1.12669456902645</v>
      </c>
      <c r="T4508" s="0" t="n">
        <f aca="false">Q4508-S4508</f>
        <v>48.2516363968827</v>
      </c>
      <c r="U4508" s="0" t="n">
        <f aca="false">Q4508+S4508</f>
        <v>50.5050255349356</v>
      </c>
      <c r="V4508" s="54" t="b">
        <f aca="false">AND(D4508&gt;=01_因子設定!$L$5-0.000000001,D4508&lt;=01_因子設定!$M$5+0.000000001,E4508&gt;=01_因子設定!$L$6-0.000000001,E4508&lt;=01_因子設定!$M$6+0.000000001,F4508&gt;=01_因子設定!$L$7-0.000000001,F4508&lt;=01_因子設定!$M$7+0.000000001,IF(01_因子設定!$B$20="Box-Behnken",D4508^2+E4508^2+F4508^2&lt;=2+0.000000001,TRUE()))</f>
        <v>1</v>
      </c>
      <c r="W4508" s="55" t="n">
        <f aca="false">IF(V4508,IF(01_因子設定!$B$13="最大化",T4508-01_因子設定!$B$14,IF(01_因子設定!$B$13="最小化",01_因子設定!$B$15-U4508,MIN(T4508-01_因子設定!$B$14,01_因子設定!$B$15-U4508))),-1E+030)</f>
        <v>-0.248363603117348</v>
      </c>
      <c r="X4508" s="55" t="n">
        <f aca="false">IF(V4508,IF(01_因子設定!$B$13="最大化",Q4508,IF(01_因子設定!$B$13="最小化",-Q4508,-ABS(Q4508-01_因子設定!$B$16))),-1E+030)</f>
        <v>49.3783309659091</v>
      </c>
      <c r="Y4508" s="55" t="n">
        <f aca="false">W4508+ROW()*0.000000001</f>
        <v>-0.248359095117348</v>
      </c>
      <c r="Z4508" s="55" t="n">
        <f aca="false">X4508+ROW()*0.000000001</f>
        <v>49.3783354739091</v>
      </c>
    </row>
    <row r="4509" customFormat="false" ht="15" hidden="false" customHeight="false" outlineLevel="0" collapsed="false">
      <c r="A4509" s="0" t="n">
        <v>15</v>
      </c>
      <c r="B4509" s="0" t="n">
        <v>9</v>
      </c>
      <c r="C4509" s="0" t="n">
        <v>16</v>
      </c>
      <c r="D4509" s="0" t="n">
        <f aca="false">-1+A4509*0.125</f>
        <v>0.875</v>
      </c>
      <c r="E4509" s="0" t="n">
        <f aca="false">-1+B4509*0.125</f>
        <v>0.125</v>
      </c>
      <c r="F4509" s="0" t="n">
        <f aca="false">-1+C4509*0.125</f>
        <v>1</v>
      </c>
      <c r="G4509" s="0" t="n">
        <f aca="false">1</f>
        <v>1</v>
      </c>
      <c r="H4509" s="0" t="n">
        <f aca="false">D4509</f>
        <v>0.875</v>
      </c>
      <c r="I4509" s="0" t="n">
        <f aca="false">E4509</f>
        <v>0.125</v>
      </c>
      <c r="J4509" s="0" t="n">
        <f aca="false">F4509</f>
        <v>1</v>
      </c>
      <c r="K4509" s="0" t="n">
        <f aca="false">D4509*E4509</f>
        <v>0.109375</v>
      </c>
      <c r="L4509" s="0" t="n">
        <f aca="false">D4509*F4509</f>
        <v>0.875</v>
      </c>
      <c r="M4509" s="0" t="n">
        <f aca="false">E4509*F4509</f>
        <v>0.125</v>
      </c>
      <c r="N4509" s="0" t="n">
        <f aca="false">D4509*D4509</f>
        <v>0.765625</v>
      </c>
      <c r="O4509" s="0" t="n">
        <f aca="false">E4509*E4509</f>
        <v>0.015625</v>
      </c>
      <c r="P4509" s="0" t="n">
        <f aca="false">F4509*F4509</f>
        <v>1</v>
      </c>
      <c r="Q4509" s="0" t="n">
        <f aca="false">SUMPRODUCT(G4509:P4509,_XtX!$B$71:$K$71)</f>
        <v>49.2655326704546</v>
      </c>
      <c r="R4509" s="0" t="n">
        <f aca="false">SUMPRODUCT(MMULT(G4509:P4509,_XtX!$B$58:$K$67),G4509:P4509)</f>
        <v>0.59407792524858</v>
      </c>
      <c r="S4509" s="0" t="n">
        <f aca="false">04_回帰ANOVA!$K$19*04_回帰ANOVA!$K$14*SQRT(1+R4509)</f>
        <v>1.17387380087722</v>
      </c>
      <c r="T4509" s="0" t="n">
        <f aca="false">Q4509-S4509</f>
        <v>48.0916588695773</v>
      </c>
      <c r="U4509" s="0" t="n">
        <f aca="false">Q4509+S4509</f>
        <v>50.4394064713318</v>
      </c>
      <c r="V4509" s="54" t="b">
        <f aca="false">AND(D4509&gt;=01_因子設定!$L$5-0.000000001,D4509&lt;=01_因子設定!$M$5+0.000000001,E4509&gt;=01_因子設定!$L$6-0.000000001,E4509&lt;=01_因子設定!$M$6+0.000000001,F4509&gt;=01_因子設定!$L$7-0.000000001,F4509&lt;=01_因子設定!$M$7+0.000000001,IF(01_因子設定!$B$20="Box-Behnken",D4509^2+E4509^2+F4509^2&lt;=2+0.000000001,TRUE()))</f>
        <v>1</v>
      </c>
      <c r="W4509" s="55" t="n">
        <f aca="false">IF(V4509,IF(01_因子設定!$B$13="最大化",T4509-01_因子設定!$B$14,IF(01_因子設定!$B$13="最小化",01_因子設定!$B$15-U4509,MIN(T4509-01_因子設定!$B$14,01_因子設定!$B$15-U4509))),-1E+030)</f>
        <v>-0.408341130422656</v>
      </c>
      <c r="X4509" s="55" t="n">
        <f aca="false">IF(V4509,IF(01_因子設定!$B$13="最大化",Q4509,IF(01_因子設定!$B$13="最小化",-Q4509,-ABS(Q4509-01_因子設定!$B$16))),-1E+030)</f>
        <v>49.2655326704546</v>
      </c>
      <c r="Y4509" s="55" t="n">
        <f aca="false">W4509+ROW()*0.000000001</f>
        <v>-0.408336621422656</v>
      </c>
      <c r="Z4509" s="55" t="n">
        <f aca="false">X4509+ROW()*0.000000001</f>
        <v>49.2655371794546</v>
      </c>
    </row>
    <row r="4510" customFormat="false" ht="15" hidden="false" customHeight="false" outlineLevel="0" collapsed="false">
      <c r="A4510" s="0" t="n">
        <v>15</v>
      </c>
      <c r="B4510" s="0" t="n">
        <v>10</v>
      </c>
      <c r="C4510" s="0" t="n">
        <v>0</v>
      </c>
      <c r="D4510" s="0" t="n">
        <f aca="false">-1+A4510*0.125</f>
        <v>0.875</v>
      </c>
      <c r="E4510" s="0" t="n">
        <f aca="false">-1+B4510*0.125</f>
        <v>0.25</v>
      </c>
      <c r="F4510" s="0" t="n">
        <f aca="false">-1+C4510*0.125</f>
        <v>-1</v>
      </c>
      <c r="G4510" s="0" t="n">
        <f aca="false">1</f>
        <v>1</v>
      </c>
      <c r="H4510" s="0" t="n">
        <f aca="false">D4510</f>
        <v>0.875</v>
      </c>
      <c r="I4510" s="0" t="n">
        <f aca="false">E4510</f>
        <v>0.25</v>
      </c>
      <c r="J4510" s="0" t="n">
        <f aca="false">F4510</f>
        <v>-1</v>
      </c>
      <c r="K4510" s="0" t="n">
        <f aca="false">D4510*E4510</f>
        <v>0.21875</v>
      </c>
      <c r="L4510" s="0" t="n">
        <f aca="false">D4510*F4510</f>
        <v>-0.875</v>
      </c>
      <c r="M4510" s="0" t="n">
        <f aca="false">E4510*F4510</f>
        <v>-0.25</v>
      </c>
      <c r="N4510" s="0" t="n">
        <f aca="false">D4510*D4510</f>
        <v>0.765625</v>
      </c>
      <c r="O4510" s="0" t="n">
        <f aca="false">E4510*E4510</f>
        <v>0.0625</v>
      </c>
      <c r="P4510" s="0" t="n">
        <f aca="false">F4510*F4510</f>
        <v>1</v>
      </c>
      <c r="Q4510" s="0" t="n">
        <f aca="false">SUMPRODUCT(G4510:P4510,_XtX!$B$71:$K$71)</f>
        <v>46.8969886363637</v>
      </c>
      <c r="R4510" s="0" t="n">
        <f aca="false">SUMPRODUCT(MMULT(G4510:P4510,_XtX!$B$58:$K$67),G4510:P4510)</f>
        <v>0.583609286221591</v>
      </c>
      <c r="S4510" s="0" t="n">
        <f aca="false">04_回帰ANOVA!$K$19*04_回帰ANOVA!$K$14*SQRT(1+R4510)</f>
        <v>1.1700129157584</v>
      </c>
      <c r="T4510" s="0" t="n">
        <f aca="false">Q4510-S4510</f>
        <v>45.7269757206053</v>
      </c>
      <c r="U4510" s="0" t="n">
        <f aca="false">Q4510+S4510</f>
        <v>48.067001552122</v>
      </c>
      <c r="V4510" s="54" t="b">
        <f aca="false">AND(D4510&gt;=01_因子設定!$L$5-0.000000001,D4510&lt;=01_因子設定!$M$5+0.000000001,E4510&gt;=01_因子設定!$L$6-0.000000001,E4510&lt;=01_因子設定!$M$6+0.000000001,F4510&gt;=01_因子設定!$L$7-0.000000001,F4510&lt;=01_因子設定!$M$7+0.000000001,IF(01_因子設定!$B$20="Box-Behnken",D4510^2+E4510^2+F4510^2&lt;=2+0.000000001,TRUE()))</f>
        <v>1</v>
      </c>
      <c r="W4510" s="55" t="n">
        <f aca="false">IF(V4510,IF(01_因子設定!$B$13="最大化",T4510-01_因子設定!$B$14,IF(01_因子設定!$B$13="最小化",01_因子設定!$B$15-U4510,MIN(T4510-01_因子設定!$B$14,01_因子設定!$B$15-U4510))),-1E+030)</f>
        <v>-2.77302427939474</v>
      </c>
      <c r="X4510" s="55" t="n">
        <f aca="false">IF(V4510,IF(01_因子設定!$B$13="最大化",Q4510,IF(01_因子設定!$B$13="最小化",-Q4510,-ABS(Q4510-01_因子設定!$B$16))),-1E+030)</f>
        <v>46.8969886363637</v>
      </c>
      <c r="Y4510" s="55" t="n">
        <f aca="false">W4510+ROW()*0.000000001</f>
        <v>-2.77301976939474</v>
      </c>
      <c r="Z4510" s="55" t="n">
        <f aca="false">X4510+ROW()*0.000000001</f>
        <v>46.8969931463637</v>
      </c>
    </row>
    <row r="4511" customFormat="false" ht="15" hidden="false" customHeight="false" outlineLevel="0" collapsed="false">
      <c r="A4511" s="0" t="n">
        <v>15</v>
      </c>
      <c r="B4511" s="0" t="n">
        <v>10</v>
      </c>
      <c r="C4511" s="0" t="n">
        <v>1</v>
      </c>
      <c r="D4511" s="0" t="n">
        <f aca="false">-1+A4511*0.125</f>
        <v>0.875</v>
      </c>
      <c r="E4511" s="0" t="n">
        <f aca="false">-1+B4511*0.125</f>
        <v>0.25</v>
      </c>
      <c r="F4511" s="0" t="n">
        <f aca="false">-1+C4511*0.125</f>
        <v>-0.875</v>
      </c>
      <c r="G4511" s="0" t="n">
        <f aca="false">1</f>
        <v>1</v>
      </c>
      <c r="H4511" s="0" t="n">
        <f aca="false">D4511</f>
        <v>0.875</v>
      </c>
      <c r="I4511" s="0" t="n">
        <f aca="false">E4511</f>
        <v>0.25</v>
      </c>
      <c r="J4511" s="0" t="n">
        <f aca="false">F4511</f>
        <v>-0.875</v>
      </c>
      <c r="K4511" s="0" t="n">
        <f aca="false">D4511*E4511</f>
        <v>0.21875</v>
      </c>
      <c r="L4511" s="0" t="n">
        <f aca="false">D4511*F4511</f>
        <v>-0.765625</v>
      </c>
      <c r="M4511" s="0" t="n">
        <f aca="false">E4511*F4511</f>
        <v>-0.21875</v>
      </c>
      <c r="N4511" s="0" t="n">
        <f aca="false">D4511*D4511</f>
        <v>0.765625</v>
      </c>
      <c r="O4511" s="0" t="n">
        <f aca="false">E4511*E4511</f>
        <v>0.0625</v>
      </c>
      <c r="P4511" s="0" t="n">
        <f aca="false">F4511*F4511</f>
        <v>0.765625</v>
      </c>
      <c r="Q4511" s="0" t="n">
        <f aca="false">SUMPRODUCT(G4511:P4511,_XtX!$B$71:$K$71)</f>
        <v>47.3430681818182</v>
      </c>
      <c r="R4511" s="0" t="n">
        <f aca="false">SUMPRODUCT(MMULT(G4511:P4511,_XtX!$B$58:$K$67),G4511:P4511)</f>
        <v>0.459671852805398</v>
      </c>
      <c r="S4511" s="0" t="n">
        <f aca="false">04_回帰ANOVA!$K$19*04_回帰ANOVA!$K$14*SQRT(1+R4511)</f>
        <v>1.12329610455115</v>
      </c>
      <c r="T4511" s="0" t="n">
        <f aca="false">Q4511-S4511</f>
        <v>46.219772077267</v>
      </c>
      <c r="U4511" s="0" t="n">
        <f aca="false">Q4511+S4511</f>
        <v>48.4663642863693</v>
      </c>
      <c r="V4511" s="54" t="b">
        <f aca="false">AND(D4511&gt;=01_因子設定!$L$5-0.000000001,D4511&lt;=01_因子設定!$M$5+0.000000001,E4511&gt;=01_因子設定!$L$6-0.000000001,E4511&lt;=01_因子設定!$M$6+0.000000001,F4511&gt;=01_因子設定!$L$7-0.000000001,F4511&lt;=01_因子設定!$M$7+0.000000001,IF(01_因子設定!$B$20="Box-Behnken",D4511^2+E4511^2+F4511^2&lt;=2+0.000000001,TRUE()))</f>
        <v>1</v>
      </c>
      <c r="W4511" s="55" t="n">
        <f aca="false">IF(V4511,IF(01_因子設定!$B$13="最大化",T4511-01_因子設定!$B$14,IF(01_因子設定!$B$13="最小化",01_因子設定!$B$15-U4511,MIN(T4511-01_因子設定!$B$14,01_因子設定!$B$15-U4511))),-1E+030)</f>
        <v>-2.28022792273296</v>
      </c>
      <c r="X4511" s="55" t="n">
        <f aca="false">IF(V4511,IF(01_因子設定!$B$13="最大化",Q4511,IF(01_因子設定!$B$13="最小化",-Q4511,-ABS(Q4511-01_因子設定!$B$16))),-1E+030)</f>
        <v>47.3430681818182</v>
      </c>
      <c r="Y4511" s="55" t="n">
        <f aca="false">W4511+ROW()*0.000000001</f>
        <v>-2.28022341173296</v>
      </c>
      <c r="Z4511" s="55" t="n">
        <f aca="false">X4511+ROW()*0.000000001</f>
        <v>47.3430726928182</v>
      </c>
    </row>
    <row r="4512" customFormat="false" ht="15" hidden="false" customHeight="false" outlineLevel="0" collapsed="false">
      <c r="A4512" s="0" t="n">
        <v>15</v>
      </c>
      <c r="B4512" s="0" t="n">
        <v>10</v>
      </c>
      <c r="C4512" s="0" t="n">
        <v>2</v>
      </c>
      <c r="D4512" s="0" t="n">
        <f aca="false">-1+A4512*0.125</f>
        <v>0.875</v>
      </c>
      <c r="E4512" s="0" t="n">
        <f aca="false">-1+B4512*0.125</f>
        <v>0.25</v>
      </c>
      <c r="F4512" s="0" t="n">
        <f aca="false">-1+C4512*0.125</f>
        <v>-0.75</v>
      </c>
      <c r="G4512" s="0" t="n">
        <f aca="false">1</f>
        <v>1</v>
      </c>
      <c r="H4512" s="0" t="n">
        <f aca="false">D4512</f>
        <v>0.875</v>
      </c>
      <c r="I4512" s="0" t="n">
        <f aca="false">E4512</f>
        <v>0.25</v>
      </c>
      <c r="J4512" s="0" t="n">
        <f aca="false">F4512</f>
        <v>-0.75</v>
      </c>
      <c r="K4512" s="0" t="n">
        <f aca="false">D4512*E4512</f>
        <v>0.21875</v>
      </c>
      <c r="L4512" s="0" t="n">
        <f aca="false">D4512*F4512</f>
        <v>-0.65625</v>
      </c>
      <c r="M4512" s="0" t="n">
        <f aca="false">E4512*F4512</f>
        <v>-0.1875</v>
      </c>
      <c r="N4512" s="0" t="n">
        <f aca="false">D4512*D4512</f>
        <v>0.765625</v>
      </c>
      <c r="O4512" s="0" t="n">
        <f aca="false">E4512*E4512</f>
        <v>0.0625</v>
      </c>
      <c r="P4512" s="0" t="n">
        <f aca="false">F4512*F4512</f>
        <v>0.5625</v>
      </c>
      <c r="Q4512" s="0" t="n">
        <f aca="false">SUMPRODUCT(G4512:P4512,_XtX!$B$71:$K$71)</f>
        <v>47.7523579545455</v>
      </c>
      <c r="R4512" s="0" t="n">
        <f aca="false">SUMPRODUCT(MMULT(G4512:P4512,_XtX!$B$58:$K$67),G4512:P4512)</f>
        <v>0.384574751420455</v>
      </c>
      <c r="S4512" s="0" t="n">
        <f aca="false">04_回帰ANOVA!$K$19*04_回帰ANOVA!$K$14*SQRT(1+R4512)</f>
        <v>1.0940189380139</v>
      </c>
      <c r="T4512" s="0" t="n">
        <f aca="false">Q4512-S4512</f>
        <v>46.6583390165316</v>
      </c>
      <c r="U4512" s="0" t="n">
        <f aca="false">Q4512+S4512</f>
        <v>48.8463768925594</v>
      </c>
      <c r="V4512" s="54" t="b">
        <f aca="false">AND(D4512&gt;=01_因子設定!$L$5-0.000000001,D4512&lt;=01_因子設定!$M$5+0.000000001,E4512&gt;=01_因子設定!$L$6-0.000000001,E4512&lt;=01_因子設定!$M$6+0.000000001,F4512&gt;=01_因子設定!$L$7-0.000000001,F4512&lt;=01_因子設定!$M$7+0.000000001,IF(01_因子設定!$B$20="Box-Behnken",D4512^2+E4512^2+F4512^2&lt;=2+0.000000001,TRUE()))</f>
        <v>1</v>
      </c>
      <c r="W4512" s="55" t="n">
        <f aca="false">IF(V4512,IF(01_因子設定!$B$13="最大化",T4512-01_因子設定!$B$14,IF(01_因子設定!$B$13="最小化",01_因子設定!$B$15-U4512,MIN(T4512-01_因子設定!$B$14,01_因子設定!$B$15-U4512))),-1E+030)</f>
        <v>-1.84166098346844</v>
      </c>
      <c r="X4512" s="55" t="n">
        <f aca="false">IF(V4512,IF(01_因子設定!$B$13="最大化",Q4512,IF(01_因子設定!$B$13="最小化",-Q4512,-ABS(Q4512-01_因子設定!$B$16))),-1E+030)</f>
        <v>47.7523579545455</v>
      </c>
      <c r="Y4512" s="55" t="n">
        <f aca="false">W4512+ROW()*0.000000001</f>
        <v>-1.84165647146844</v>
      </c>
      <c r="Z4512" s="55" t="n">
        <f aca="false">X4512+ROW()*0.000000001</f>
        <v>47.7523624665455</v>
      </c>
    </row>
    <row r="4513" customFormat="false" ht="15" hidden="false" customHeight="false" outlineLevel="0" collapsed="false">
      <c r="A4513" s="0" t="n">
        <v>15</v>
      </c>
      <c r="B4513" s="0" t="n">
        <v>10</v>
      </c>
      <c r="C4513" s="0" t="n">
        <v>3</v>
      </c>
      <c r="D4513" s="0" t="n">
        <f aca="false">-1+A4513*0.125</f>
        <v>0.875</v>
      </c>
      <c r="E4513" s="0" t="n">
        <f aca="false">-1+B4513*0.125</f>
        <v>0.25</v>
      </c>
      <c r="F4513" s="0" t="n">
        <f aca="false">-1+C4513*0.125</f>
        <v>-0.625</v>
      </c>
      <c r="G4513" s="0" t="n">
        <f aca="false">1</f>
        <v>1</v>
      </c>
      <c r="H4513" s="0" t="n">
        <f aca="false">D4513</f>
        <v>0.875</v>
      </c>
      <c r="I4513" s="0" t="n">
        <f aca="false">E4513</f>
        <v>0.25</v>
      </c>
      <c r="J4513" s="0" t="n">
        <f aca="false">F4513</f>
        <v>-0.625</v>
      </c>
      <c r="K4513" s="0" t="n">
        <f aca="false">D4513*E4513</f>
        <v>0.21875</v>
      </c>
      <c r="L4513" s="0" t="n">
        <f aca="false">D4513*F4513</f>
        <v>-0.546875</v>
      </c>
      <c r="M4513" s="0" t="n">
        <f aca="false">E4513*F4513</f>
        <v>-0.15625</v>
      </c>
      <c r="N4513" s="0" t="n">
        <f aca="false">D4513*D4513</f>
        <v>0.765625</v>
      </c>
      <c r="O4513" s="0" t="n">
        <f aca="false">E4513*E4513</f>
        <v>0.0625</v>
      </c>
      <c r="P4513" s="0" t="n">
        <f aca="false">F4513*F4513</f>
        <v>0.390625</v>
      </c>
      <c r="Q4513" s="0" t="n">
        <f aca="false">SUMPRODUCT(G4513:P4513,_XtX!$B$71:$K$71)</f>
        <v>48.1248579545455</v>
      </c>
      <c r="R4513" s="0" t="n">
        <f aca="false">SUMPRODUCT(MMULT(G4513:P4513,_XtX!$B$58:$K$67),G4513:P4513)</f>
        <v>0.34446855024858</v>
      </c>
      <c r="S4513" s="0" t="n">
        <f aca="false">04_回帰ANOVA!$K$19*04_回帰ANOVA!$K$14*SQRT(1+R4513)</f>
        <v>1.07805758590432</v>
      </c>
      <c r="T4513" s="0" t="n">
        <f aca="false">Q4513-S4513</f>
        <v>47.0468003686411</v>
      </c>
      <c r="U4513" s="0" t="n">
        <f aca="false">Q4513+S4513</f>
        <v>49.2029155404498</v>
      </c>
      <c r="V4513" s="54" t="b">
        <f aca="false">AND(D4513&gt;=01_因子設定!$L$5-0.000000001,D4513&lt;=01_因子設定!$M$5+0.000000001,E4513&gt;=01_因子設定!$L$6-0.000000001,E4513&lt;=01_因子設定!$M$6+0.000000001,F4513&gt;=01_因子設定!$L$7-0.000000001,F4513&lt;=01_因子設定!$M$7+0.000000001,IF(01_因子設定!$B$20="Box-Behnken",D4513^2+E4513^2+F4513^2&lt;=2+0.000000001,TRUE()))</f>
        <v>1</v>
      </c>
      <c r="W4513" s="55" t="n">
        <f aca="false">IF(V4513,IF(01_因子設定!$B$13="最大化",T4513-01_因子設定!$B$14,IF(01_因子設定!$B$13="最小化",01_因子設定!$B$15-U4513,MIN(T4513-01_因子設定!$B$14,01_因子設定!$B$15-U4513))),-1E+030)</f>
        <v>-1.45319963135886</v>
      </c>
      <c r="X4513" s="55" t="n">
        <f aca="false">IF(V4513,IF(01_因子設定!$B$13="最大化",Q4513,IF(01_因子設定!$B$13="最小化",-Q4513,-ABS(Q4513-01_因子設定!$B$16))),-1E+030)</f>
        <v>48.1248579545455</v>
      </c>
      <c r="Y4513" s="55" t="n">
        <f aca="false">W4513+ROW()*0.000000001</f>
        <v>-1.45319511835886</v>
      </c>
      <c r="Z4513" s="55" t="n">
        <f aca="false">X4513+ROW()*0.000000001</f>
        <v>48.1248624675455</v>
      </c>
    </row>
    <row r="4514" customFormat="false" ht="15" hidden="false" customHeight="false" outlineLevel="0" collapsed="false">
      <c r="A4514" s="0" t="n">
        <v>15</v>
      </c>
      <c r="B4514" s="0" t="n">
        <v>10</v>
      </c>
      <c r="C4514" s="0" t="n">
        <v>4</v>
      </c>
      <c r="D4514" s="0" t="n">
        <f aca="false">-1+A4514*0.125</f>
        <v>0.875</v>
      </c>
      <c r="E4514" s="0" t="n">
        <f aca="false">-1+B4514*0.125</f>
        <v>0.25</v>
      </c>
      <c r="F4514" s="0" t="n">
        <f aca="false">-1+C4514*0.125</f>
        <v>-0.5</v>
      </c>
      <c r="G4514" s="0" t="n">
        <f aca="false">1</f>
        <v>1</v>
      </c>
      <c r="H4514" s="0" t="n">
        <f aca="false">D4514</f>
        <v>0.875</v>
      </c>
      <c r="I4514" s="0" t="n">
        <f aca="false">E4514</f>
        <v>0.25</v>
      </c>
      <c r="J4514" s="0" t="n">
        <f aca="false">F4514</f>
        <v>-0.5</v>
      </c>
      <c r="K4514" s="0" t="n">
        <f aca="false">D4514*E4514</f>
        <v>0.21875</v>
      </c>
      <c r="L4514" s="0" t="n">
        <f aca="false">D4514*F4514</f>
        <v>-0.4375</v>
      </c>
      <c r="M4514" s="0" t="n">
        <f aca="false">E4514*F4514</f>
        <v>-0.125</v>
      </c>
      <c r="N4514" s="0" t="n">
        <f aca="false">D4514*D4514</f>
        <v>0.765625</v>
      </c>
      <c r="O4514" s="0" t="n">
        <f aca="false">E4514*E4514</f>
        <v>0.0625</v>
      </c>
      <c r="P4514" s="0" t="n">
        <f aca="false">F4514*F4514</f>
        <v>0.25</v>
      </c>
      <c r="Q4514" s="0" t="n">
        <f aca="false">SUMPRODUCT(G4514:P4514,_XtX!$B$71:$K$71)</f>
        <v>48.4605681818182</v>
      </c>
      <c r="R4514" s="0" t="n">
        <f aca="false">SUMPRODUCT(MMULT(G4514:P4514,_XtX!$B$58:$K$67),G4514:P4514)</f>
        <v>0.327634499289773</v>
      </c>
      <c r="S4514" s="0" t="n">
        <f aca="false">04_回帰ANOVA!$K$19*04_回帰ANOVA!$K$14*SQRT(1+R4514)</f>
        <v>1.07128716250217</v>
      </c>
      <c r="T4514" s="0" t="n">
        <f aca="false">Q4514-S4514</f>
        <v>47.389281019316</v>
      </c>
      <c r="U4514" s="0" t="n">
        <f aca="false">Q4514+S4514</f>
        <v>49.5318553443204</v>
      </c>
      <c r="V4514" s="54" t="b">
        <f aca="false">AND(D4514&gt;=01_因子設定!$L$5-0.000000001,D4514&lt;=01_因子設定!$M$5+0.000000001,E4514&gt;=01_因子設定!$L$6-0.000000001,E4514&lt;=01_因子設定!$M$6+0.000000001,F4514&gt;=01_因子設定!$L$7-0.000000001,F4514&lt;=01_因子設定!$M$7+0.000000001,IF(01_因子設定!$B$20="Box-Behnken",D4514^2+E4514^2+F4514^2&lt;=2+0.000000001,TRUE()))</f>
        <v>1</v>
      </c>
      <c r="W4514" s="55" t="n">
        <f aca="false">IF(V4514,IF(01_因子設定!$B$13="最大化",T4514-01_因子設定!$B$14,IF(01_因子設定!$B$13="最小化",01_因子設定!$B$15-U4514,MIN(T4514-01_因子設定!$B$14,01_因子設定!$B$15-U4514))),-1E+030)</f>
        <v>-1.11071898068399</v>
      </c>
      <c r="X4514" s="55" t="n">
        <f aca="false">IF(V4514,IF(01_因子設定!$B$13="最大化",Q4514,IF(01_因子設定!$B$13="最小化",-Q4514,-ABS(Q4514-01_因子設定!$B$16))),-1E+030)</f>
        <v>48.4605681818182</v>
      </c>
      <c r="Y4514" s="55" t="n">
        <f aca="false">W4514+ROW()*0.000000001</f>
        <v>-1.11071446668399</v>
      </c>
      <c r="Z4514" s="55" t="n">
        <f aca="false">X4514+ROW()*0.000000001</f>
        <v>48.4605726958182</v>
      </c>
    </row>
    <row r="4515" customFormat="false" ht="15" hidden="false" customHeight="false" outlineLevel="0" collapsed="false">
      <c r="A4515" s="0" t="n">
        <v>15</v>
      </c>
      <c r="B4515" s="0" t="n">
        <v>10</v>
      </c>
      <c r="C4515" s="0" t="n">
        <v>5</v>
      </c>
      <c r="D4515" s="0" t="n">
        <f aca="false">-1+A4515*0.125</f>
        <v>0.875</v>
      </c>
      <c r="E4515" s="0" t="n">
        <f aca="false">-1+B4515*0.125</f>
        <v>0.25</v>
      </c>
      <c r="F4515" s="0" t="n">
        <f aca="false">-1+C4515*0.125</f>
        <v>-0.375</v>
      </c>
      <c r="G4515" s="0" t="n">
        <f aca="false">1</f>
        <v>1</v>
      </c>
      <c r="H4515" s="0" t="n">
        <f aca="false">D4515</f>
        <v>0.875</v>
      </c>
      <c r="I4515" s="0" t="n">
        <f aca="false">E4515</f>
        <v>0.25</v>
      </c>
      <c r="J4515" s="0" t="n">
        <f aca="false">F4515</f>
        <v>-0.375</v>
      </c>
      <c r="K4515" s="0" t="n">
        <f aca="false">D4515*E4515</f>
        <v>0.21875</v>
      </c>
      <c r="L4515" s="0" t="n">
        <f aca="false">D4515*F4515</f>
        <v>-0.328125</v>
      </c>
      <c r="M4515" s="0" t="n">
        <f aca="false">E4515*F4515</f>
        <v>-0.09375</v>
      </c>
      <c r="N4515" s="0" t="n">
        <f aca="false">D4515*D4515</f>
        <v>0.765625</v>
      </c>
      <c r="O4515" s="0" t="n">
        <f aca="false">E4515*E4515</f>
        <v>0.0625</v>
      </c>
      <c r="P4515" s="0" t="n">
        <f aca="false">F4515*F4515</f>
        <v>0.140625</v>
      </c>
      <c r="Q4515" s="0" t="n">
        <f aca="false">SUMPRODUCT(G4515:P4515,_XtX!$B$71:$K$71)</f>
        <v>48.7594886363636</v>
      </c>
      <c r="R4515" s="0" t="n">
        <f aca="false">SUMPRODUCT(MMULT(G4515:P4515,_XtX!$B$58:$K$67),G4515:P4515)</f>
        <v>0.324484530362216</v>
      </c>
      <c r="S4515" s="0" t="n">
        <f aca="false">04_回帰ANOVA!$K$19*04_回帰ANOVA!$K$14*SQRT(1+R4515)</f>
        <v>1.07001553041279</v>
      </c>
      <c r="T4515" s="0" t="n">
        <f aca="false">Q4515-S4515</f>
        <v>47.6894731059508</v>
      </c>
      <c r="U4515" s="0" t="n">
        <f aca="false">Q4515+S4515</f>
        <v>49.8295041667764</v>
      </c>
      <c r="V4515" s="54" t="b">
        <f aca="false">AND(D4515&gt;=01_因子設定!$L$5-0.000000001,D4515&lt;=01_因子設定!$M$5+0.000000001,E4515&gt;=01_因子設定!$L$6-0.000000001,E4515&lt;=01_因子設定!$M$6+0.000000001,F4515&gt;=01_因子設定!$L$7-0.000000001,F4515&lt;=01_因子設定!$M$7+0.000000001,IF(01_因子設定!$B$20="Box-Behnken",D4515^2+E4515^2+F4515^2&lt;=2+0.000000001,TRUE()))</f>
        <v>1</v>
      </c>
      <c r="W4515" s="55" t="n">
        <f aca="false">IF(V4515,IF(01_因子設定!$B$13="最大化",T4515-01_因子設定!$B$14,IF(01_因子設定!$B$13="最小化",01_因子設定!$B$15-U4515,MIN(T4515-01_因子設定!$B$14,01_因子設定!$B$15-U4515))),-1E+030)</f>
        <v>-0.810526894049154</v>
      </c>
      <c r="X4515" s="55" t="n">
        <f aca="false">IF(V4515,IF(01_因子設定!$B$13="最大化",Q4515,IF(01_因子設定!$B$13="最小化",-Q4515,-ABS(Q4515-01_因子設定!$B$16))),-1E+030)</f>
        <v>48.7594886363636</v>
      </c>
      <c r="Y4515" s="55" t="n">
        <f aca="false">W4515+ROW()*0.000000001</f>
        <v>-0.810522379049154</v>
      </c>
      <c r="Z4515" s="55" t="n">
        <f aca="false">X4515+ROW()*0.000000001</f>
        <v>48.7594931513636</v>
      </c>
    </row>
    <row r="4516" customFormat="false" ht="15" hidden="false" customHeight="false" outlineLevel="0" collapsed="false">
      <c r="A4516" s="0" t="n">
        <v>15</v>
      </c>
      <c r="B4516" s="0" t="n">
        <v>10</v>
      </c>
      <c r="C4516" s="0" t="n">
        <v>6</v>
      </c>
      <c r="D4516" s="0" t="n">
        <f aca="false">-1+A4516*0.125</f>
        <v>0.875</v>
      </c>
      <c r="E4516" s="0" t="n">
        <f aca="false">-1+B4516*0.125</f>
        <v>0.25</v>
      </c>
      <c r="F4516" s="0" t="n">
        <f aca="false">-1+C4516*0.125</f>
        <v>-0.25</v>
      </c>
      <c r="G4516" s="0" t="n">
        <f aca="false">1</f>
        <v>1</v>
      </c>
      <c r="H4516" s="0" t="n">
        <f aca="false">D4516</f>
        <v>0.875</v>
      </c>
      <c r="I4516" s="0" t="n">
        <f aca="false">E4516</f>
        <v>0.25</v>
      </c>
      <c r="J4516" s="0" t="n">
        <f aca="false">F4516</f>
        <v>-0.25</v>
      </c>
      <c r="K4516" s="0" t="n">
        <f aca="false">D4516*E4516</f>
        <v>0.21875</v>
      </c>
      <c r="L4516" s="0" t="n">
        <f aca="false">D4516*F4516</f>
        <v>-0.21875</v>
      </c>
      <c r="M4516" s="0" t="n">
        <f aca="false">E4516*F4516</f>
        <v>-0.0625</v>
      </c>
      <c r="N4516" s="0" t="n">
        <f aca="false">D4516*D4516</f>
        <v>0.765625</v>
      </c>
      <c r="O4516" s="0" t="n">
        <f aca="false">E4516*E4516</f>
        <v>0.0625</v>
      </c>
      <c r="P4516" s="0" t="n">
        <f aca="false">F4516*F4516</f>
        <v>0.0625</v>
      </c>
      <c r="Q4516" s="0" t="n">
        <f aca="false">SUMPRODUCT(G4516:P4516,_XtX!$B$71:$K$71)</f>
        <v>49.0216193181818</v>
      </c>
      <c r="R4516" s="0" t="n">
        <f aca="false">SUMPRODUCT(MMULT(G4516:P4516,_XtX!$B$58:$K$67),G4516:P4516)</f>
        <v>0.327561257102273</v>
      </c>
      <c r="S4516" s="0" t="n">
        <f aca="false">04_回帰ANOVA!$K$19*04_回帰ANOVA!$K$14*SQRT(1+R4516)</f>
        <v>1.07125761201315</v>
      </c>
      <c r="T4516" s="0" t="n">
        <f aca="false">Q4516-S4516</f>
        <v>47.9503617061687</v>
      </c>
      <c r="U4516" s="0" t="n">
        <f aca="false">Q4516+S4516</f>
        <v>50.092876930195</v>
      </c>
      <c r="V4516" s="54" t="b">
        <f aca="false">AND(D4516&gt;=01_因子設定!$L$5-0.000000001,D4516&lt;=01_因子設定!$M$5+0.000000001,E4516&gt;=01_因子設定!$L$6-0.000000001,E4516&lt;=01_因子設定!$M$6+0.000000001,F4516&gt;=01_因子設定!$L$7-0.000000001,F4516&lt;=01_因子設定!$M$7+0.000000001,IF(01_因子設定!$B$20="Box-Behnken",D4516^2+E4516^2+F4516^2&lt;=2+0.000000001,TRUE()))</f>
        <v>1</v>
      </c>
      <c r="W4516" s="55" t="n">
        <f aca="false">IF(V4516,IF(01_因子設定!$B$13="最大化",T4516-01_因子設定!$B$14,IF(01_因子設定!$B$13="最小化",01_因子設定!$B$15-U4516,MIN(T4516-01_因子設定!$B$14,01_因子設定!$B$15-U4516))),-1E+030)</f>
        <v>-0.549638293831336</v>
      </c>
      <c r="X4516" s="55" t="n">
        <f aca="false">IF(V4516,IF(01_因子設定!$B$13="最大化",Q4516,IF(01_因子設定!$B$13="最小化",-Q4516,-ABS(Q4516-01_因子設定!$B$16))),-1E+030)</f>
        <v>49.0216193181818</v>
      </c>
      <c r="Y4516" s="55" t="n">
        <f aca="false">W4516+ROW()*0.000000001</f>
        <v>-0.549633777831336</v>
      </c>
      <c r="Z4516" s="55" t="n">
        <f aca="false">X4516+ROW()*0.000000001</f>
        <v>49.0216238341818</v>
      </c>
    </row>
    <row r="4517" customFormat="false" ht="15" hidden="false" customHeight="false" outlineLevel="0" collapsed="false">
      <c r="A4517" s="0" t="n">
        <v>15</v>
      </c>
      <c r="B4517" s="0" t="n">
        <v>10</v>
      </c>
      <c r="C4517" s="0" t="n">
        <v>7</v>
      </c>
      <c r="D4517" s="0" t="n">
        <f aca="false">-1+A4517*0.125</f>
        <v>0.875</v>
      </c>
      <c r="E4517" s="0" t="n">
        <f aca="false">-1+B4517*0.125</f>
        <v>0.25</v>
      </c>
      <c r="F4517" s="0" t="n">
        <f aca="false">-1+C4517*0.125</f>
        <v>-0.125</v>
      </c>
      <c r="G4517" s="0" t="n">
        <f aca="false">1</f>
        <v>1</v>
      </c>
      <c r="H4517" s="0" t="n">
        <f aca="false">D4517</f>
        <v>0.875</v>
      </c>
      <c r="I4517" s="0" t="n">
        <f aca="false">E4517</f>
        <v>0.25</v>
      </c>
      <c r="J4517" s="0" t="n">
        <f aca="false">F4517</f>
        <v>-0.125</v>
      </c>
      <c r="K4517" s="0" t="n">
        <f aca="false">D4517*E4517</f>
        <v>0.21875</v>
      </c>
      <c r="L4517" s="0" t="n">
        <f aca="false">D4517*F4517</f>
        <v>-0.109375</v>
      </c>
      <c r="M4517" s="0" t="n">
        <f aca="false">E4517*F4517</f>
        <v>-0.03125</v>
      </c>
      <c r="N4517" s="0" t="n">
        <f aca="false">D4517*D4517</f>
        <v>0.765625</v>
      </c>
      <c r="O4517" s="0" t="n">
        <f aca="false">E4517*E4517</f>
        <v>0.0625</v>
      </c>
      <c r="P4517" s="0" t="n">
        <f aca="false">F4517*F4517</f>
        <v>0.015625</v>
      </c>
      <c r="Q4517" s="0" t="n">
        <f aca="false">SUMPRODUCT(G4517:P4517,_XtX!$B$71:$K$71)</f>
        <v>49.2469602272727</v>
      </c>
      <c r="R4517" s="0" t="n">
        <f aca="false">SUMPRODUCT(MMULT(G4517:P4517,_XtX!$B$58:$K$67),G4517:P4517)</f>
        <v>0.331537974964489</v>
      </c>
      <c r="S4517" s="0" t="n">
        <f aca="false">04_回帰ANOVA!$K$19*04_回帰ANOVA!$K$14*SQRT(1+R4517)</f>
        <v>1.07286089161565</v>
      </c>
      <c r="T4517" s="0" t="n">
        <f aca="false">Q4517-S4517</f>
        <v>48.1740993356571</v>
      </c>
      <c r="U4517" s="0" t="n">
        <f aca="false">Q4517+S4517</f>
        <v>50.3198211188884</v>
      </c>
      <c r="V4517" s="54" t="b">
        <f aca="false">AND(D4517&gt;=01_因子設定!$L$5-0.000000001,D4517&lt;=01_因子設定!$M$5+0.000000001,E4517&gt;=01_因子設定!$L$6-0.000000001,E4517&lt;=01_因子設定!$M$6+0.000000001,F4517&gt;=01_因子設定!$L$7-0.000000001,F4517&lt;=01_因子設定!$M$7+0.000000001,IF(01_因子設定!$B$20="Box-Behnken",D4517^2+E4517^2+F4517^2&lt;=2+0.000000001,TRUE()))</f>
        <v>1</v>
      </c>
      <c r="W4517" s="55" t="n">
        <f aca="false">IF(V4517,IF(01_因子設定!$B$13="最大化",T4517-01_因子設定!$B$14,IF(01_因子設定!$B$13="最小化",01_因子設定!$B$15-U4517,MIN(T4517-01_因子設定!$B$14,01_因子設定!$B$15-U4517))),-1E+030)</f>
        <v>-0.325900664342932</v>
      </c>
      <c r="X4517" s="55" t="n">
        <f aca="false">IF(V4517,IF(01_因子設定!$B$13="最大化",Q4517,IF(01_因子設定!$B$13="最小化",-Q4517,-ABS(Q4517-01_因子設定!$B$16))),-1E+030)</f>
        <v>49.2469602272727</v>
      </c>
      <c r="Y4517" s="55" t="n">
        <f aca="false">W4517+ROW()*0.000000001</f>
        <v>-0.325896147342932</v>
      </c>
      <c r="Z4517" s="55" t="n">
        <f aca="false">X4517+ROW()*0.000000001</f>
        <v>49.2469647442727</v>
      </c>
    </row>
    <row r="4518" customFormat="false" ht="15" hidden="false" customHeight="false" outlineLevel="0" collapsed="false">
      <c r="A4518" s="0" t="n">
        <v>15</v>
      </c>
      <c r="B4518" s="0" t="n">
        <v>10</v>
      </c>
      <c r="C4518" s="0" t="n">
        <v>8</v>
      </c>
      <c r="D4518" s="0" t="n">
        <f aca="false">-1+A4518*0.125</f>
        <v>0.875</v>
      </c>
      <c r="E4518" s="0" t="n">
        <f aca="false">-1+B4518*0.125</f>
        <v>0.25</v>
      </c>
      <c r="F4518" s="0" t="n">
        <f aca="false">-1+C4518*0.125</f>
        <v>0</v>
      </c>
      <c r="G4518" s="0" t="n">
        <f aca="false">1</f>
        <v>1</v>
      </c>
      <c r="H4518" s="0" t="n">
        <f aca="false">D4518</f>
        <v>0.875</v>
      </c>
      <c r="I4518" s="0" t="n">
        <f aca="false">E4518</f>
        <v>0.25</v>
      </c>
      <c r="J4518" s="0" t="n">
        <f aca="false">F4518</f>
        <v>0</v>
      </c>
      <c r="K4518" s="0" t="n">
        <f aca="false">D4518*E4518</f>
        <v>0.21875</v>
      </c>
      <c r="L4518" s="0" t="n">
        <f aca="false">D4518*F4518</f>
        <v>0</v>
      </c>
      <c r="M4518" s="0" t="n">
        <f aca="false">E4518*F4518</f>
        <v>0</v>
      </c>
      <c r="N4518" s="0" t="n">
        <f aca="false">D4518*D4518</f>
        <v>0.765625</v>
      </c>
      <c r="O4518" s="0" t="n">
        <f aca="false">E4518*E4518</f>
        <v>0.0625</v>
      </c>
      <c r="P4518" s="0" t="n">
        <f aca="false">F4518*F4518</f>
        <v>0</v>
      </c>
      <c r="Q4518" s="0" t="n">
        <f aca="false">SUMPRODUCT(G4518:P4518,_XtX!$B$71:$K$71)</f>
        <v>49.4355113636364</v>
      </c>
      <c r="R4518" s="0" t="n">
        <f aca="false">SUMPRODUCT(MMULT(G4518:P4518,_XtX!$B$58:$K$67),G4518:P4518)</f>
        <v>0.333218661221591</v>
      </c>
      <c r="S4518" s="0" t="n">
        <f aca="false">04_回帰ANOVA!$K$19*04_回帰ANOVA!$K$14*SQRT(1+R4518)</f>
        <v>1.07353776826542</v>
      </c>
      <c r="T4518" s="0" t="n">
        <f aca="false">Q4518-S4518</f>
        <v>48.3619735953709</v>
      </c>
      <c r="U4518" s="0" t="n">
        <f aca="false">Q4518+S4518</f>
        <v>50.5090491319018</v>
      </c>
      <c r="V4518" s="54" t="b">
        <f aca="false">AND(D4518&gt;=01_因子設定!$L$5-0.000000001,D4518&lt;=01_因子設定!$M$5+0.000000001,E4518&gt;=01_因子設定!$L$6-0.000000001,E4518&lt;=01_因子設定!$M$6+0.000000001,F4518&gt;=01_因子設定!$L$7-0.000000001,F4518&lt;=01_因子設定!$M$7+0.000000001,IF(01_因子設定!$B$20="Box-Behnken",D4518^2+E4518^2+F4518^2&lt;=2+0.000000001,TRUE()))</f>
        <v>1</v>
      </c>
      <c r="W4518" s="55" t="n">
        <f aca="false">IF(V4518,IF(01_因子設定!$B$13="最大化",T4518-01_因子設定!$B$14,IF(01_因子設定!$B$13="最小化",01_因子設定!$B$15-U4518,MIN(T4518-01_因子設定!$B$14,01_因子設定!$B$15-U4518))),-1E+030)</f>
        <v>-0.138026404629059</v>
      </c>
      <c r="X4518" s="55" t="n">
        <f aca="false">IF(V4518,IF(01_因子設定!$B$13="最大化",Q4518,IF(01_因子設定!$B$13="最小化",-Q4518,-ABS(Q4518-01_因子設定!$B$16))),-1E+030)</f>
        <v>49.4355113636364</v>
      </c>
      <c r="Y4518" s="55" t="n">
        <f aca="false">W4518+ROW()*0.000000001</f>
        <v>-0.138021886629059</v>
      </c>
      <c r="Z4518" s="55" t="n">
        <f aca="false">X4518+ROW()*0.000000001</f>
        <v>49.4355158816364</v>
      </c>
    </row>
    <row r="4519" customFormat="false" ht="15" hidden="false" customHeight="false" outlineLevel="0" collapsed="false">
      <c r="A4519" s="0" t="n">
        <v>15</v>
      </c>
      <c r="B4519" s="0" t="n">
        <v>10</v>
      </c>
      <c r="C4519" s="0" t="n">
        <v>9</v>
      </c>
      <c r="D4519" s="0" t="n">
        <f aca="false">-1+A4519*0.125</f>
        <v>0.875</v>
      </c>
      <c r="E4519" s="0" t="n">
        <f aca="false">-1+B4519*0.125</f>
        <v>0.25</v>
      </c>
      <c r="F4519" s="0" t="n">
        <f aca="false">-1+C4519*0.125</f>
        <v>0.125</v>
      </c>
      <c r="G4519" s="0" t="n">
        <f aca="false">1</f>
        <v>1</v>
      </c>
      <c r="H4519" s="0" t="n">
        <f aca="false">D4519</f>
        <v>0.875</v>
      </c>
      <c r="I4519" s="0" t="n">
        <f aca="false">E4519</f>
        <v>0.25</v>
      </c>
      <c r="J4519" s="0" t="n">
        <f aca="false">F4519</f>
        <v>0.125</v>
      </c>
      <c r="K4519" s="0" t="n">
        <f aca="false">D4519*E4519</f>
        <v>0.21875</v>
      </c>
      <c r="L4519" s="0" t="n">
        <f aca="false">D4519*F4519</f>
        <v>0.109375</v>
      </c>
      <c r="M4519" s="0" t="n">
        <f aca="false">E4519*F4519</f>
        <v>0.03125</v>
      </c>
      <c r="N4519" s="0" t="n">
        <f aca="false">D4519*D4519</f>
        <v>0.765625</v>
      </c>
      <c r="O4519" s="0" t="n">
        <f aca="false">E4519*E4519</f>
        <v>0.0625</v>
      </c>
      <c r="P4519" s="0" t="n">
        <f aca="false">F4519*F4519</f>
        <v>0.015625</v>
      </c>
      <c r="Q4519" s="0" t="n">
        <f aca="false">SUMPRODUCT(G4519:P4519,_XtX!$B$71:$K$71)</f>
        <v>49.5872727272727</v>
      </c>
      <c r="R4519" s="0" t="n">
        <f aca="false">SUMPRODUCT(MMULT(G4519:P4519,_XtX!$B$58:$K$67),G4519:P4519)</f>
        <v>0.331537974964489</v>
      </c>
      <c r="S4519" s="0" t="n">
        <f aca="false">04_回帰ANOVA!$K$19*04_回帰ANOVA!$K$14*SQRT(1+R4519)</f>
        <v>1.07286089161565</v>
      </c>
      <c r="T4519" s="0" t="n">
        <f aca="false">Q4519-S4519</f>
        <v>48.5144118356571</v>
      </c>
      <c r="U4519" s="0" t="n">
        <f aca="false">Q4519+S4519</f>
        <v>50.6601336188884</v>
      </c>
      <c r="V4519" s="54" t="b">
        <f aca="false">AND(D4519&gt;=01_因子設定!$L$5-0.000000001,D4519&lt;=01_因子設定!$M$5+0.000000001,E4519&gt;=01_因子設定!$L$6-0.000000001,E4519&lt;=01_因子設定!$M$6+0.000000001,F4519&gt;=01_因子設定!$L$7-0.000000001,F4519&lt;=01_因子設定!$M$7+0.000000001,IF(01_因子設定!$B$20="Box-Behnken",D4519^2+E4519^2+F4519^2&lt;=2+0.000000001,TRUE()))</f>
        <v>1</v>
      </c>
      <c r="W4519" s="55" t="n">
        <f aca="false">IF(V4519,IF(01_因子設定!$B$13="最大化",T4519-01_因子設定!$B$14,IF(01_因子設定!$B$13="最小化",01_因子設定!$B$15-U4519,MIN(T4519-01_因子設定!$B$14,01_因子設定!$B$15-U4519))),-1E+030)</f>
        <v>0.0144118356570644</v>
      </c>
      <c r="X4519" s="55" t="n">
        <f aca="false">IF(V4519,IF(01_因子設定!$B$13="最大化",Q4519,IF(01_因子設定!$B$13="最小化",-Q4519,-ABS(Q4519-01_因子設定!$B$16))),-1E+030)</f>
        <v>49.5872727272727</v>
      </c>
      <c r="Y4519" s="55" t="n">
        <f aca="false">W4519+ROW()*0.000000001</f>
        <v>0.0144163546570644</v>
      </c>
      <c r="Z4519" s="55" t="n">
        <f aca="false">X4519+ROW()*0.000000001</f>
        <v>49.5872772462727</v>
      </c>
    </row>
    <row r="4520" customFormat="false" ht="15" hidden="false" customHeight="false" outlineLevel="0" collapsed="false">
      <c r="A4520" s="0" t="n">
        <v>15</v>
      </c>
      <c r="B4520" s="0" t="n">
        <v>10</v>
      </c>
      <c r="C4520" s="0" t="n">
        <v>10</v>
      </c>
      <c r="D4520" s="0" t="n">
        <f aca="false">-1+A4520*0.125</f>
        <v>0.875</v>
      </c>
      <c r="E4520" s="0" t="n">
        <f aca="false">-1+B4520*0.125</f>
        <v>0.25</v>
      </c>
      <c r="F4520" s="0" t="n">
        <f aca="false">-1+C4520*0.125</f>
        <v>0.25</v>
      </c>
      <c r="G4520" s="0" t="n">
        <f aca="false">1</f>
        <v>1</v>
      </c>
      <c r="H4520" s="0" t="n">
        <f aca="false">D4520</f>
        <v>0.875</v>
      </c>
      <c r="I4520" s="0" t="n">
        <f aca="false">E4520</f>
        <v>0.25</v>
      </c>
      <c r="J4520" s="0" t="n">
        <f aca="false">F4520</f>
        <v>0.25</v>
      </c>
      <c r="K4520" s="0" t="n">
        <f aca="false">D4520*E4520</f>
        <v>0.21875</v>
      </c>
      <c r="L4520" s="0" t="n">
        <f aca="false">D4520*F4520</f>
        <v>0.21875</v>
      </c>
      <c r="M4520" s="0" t="n">
        <f aca="false">E4520*F4520</f>
        <v>0.0625</v>
      </c>
      <c r="N4520" s="0" t="n">
        <f aca="false">D4520*D4520</f>
        <v>0.765625</v>
      </c>
      <c r="O4520" s="0" t="n">
        <f aca="false">E4520*E4520</f>
        <v>0.0625</v>
      </c>
      <c r="P4520" s="0" t="n">
        <f aca="false">F4520*F4520</f>
        <v>0.0625</v>
      </c>
      <c r="Q4520" s="0" t="n">
        <f aca="false">SUMPRODUCT(G4520:P4520,_XtX!$B$71:$K$71)</f>
        <v>49.7022443181818</v>
      </c>
      <c r="R4520" s="0" t="n">
        <f aca="false">SUMPRODUCT(MMULT(G4520:P4520,_XtX!$B$58:$K$67),G4520:P4520)</f>
        <v>0.327561257102273</v>
      </c>
      <c r="S4520" s="0" t="n">
        <f aca="false">04_回帰ANOVA!$K$19*04_回帰ANOVA!$K$14*SQRT(1+R4520)</f>
        <v>1.07125761201315</v>
      </c>
      <c r="T4520" s="0" t="n">
        <f aca="false">Q4520-S4520</f>
        <v>48.6309867061687</v>
      </c>
      <c r="U4520" s="0" t="n">
        <f aca="false">Q4520+S4520</f>
        <v>50.773501930195</v>
      </c>
      <c r="V4520" s="54" t="b">
        <f aca="false">AND(D4520&gt;=01_因子設定!$L$5-0.000000001,D4520&lt;=01_因子設定!$M$5+0.000000001,E4520&gt;=01_因子設定!$L$6-0.000000001,E4520&lt;=01_因子設定!$M$6+0.000000001,F4520&gt;=01_因子設定!$L$7-0.000000001,F4520&lt;=01_因子設定!$M$7+0.000000001,IF(01_因子設定!$B$20="Box-Behnken",D4520^2+E4520^2+F4520^2&lt;=2+0.000000001,TRUE()))</f>
        <v>1</v>
      </c>
      <c r="W4520" s="55" t="n">
        <f aca="false">IF(V4520,IF(01_因子設定!$B$13="最大化",T4520-01_因子設定!$B$14,IF(01_因子設定!$B$13="最小化",01_因子設定!$B$15-U4520,MIN(T4520-01_因子設定!$B$14,01_因子設定!$B$15-U4520))),-1E+030)</f>
        <v>0.130986706168663</v>
      </c>
      <c r="X4520" s="55" t="n">
        <f aca="false">IF(V4520,IF(01_因子設定!$B$13="最大化",Q4520,IF(01_因子設定!$B$13="最小化",-Q4520,-ABS(Q4520-01_因子設定!$B$16))),-1E+030)</f>
        <v>49.7022443181818</v>
      </c>
      <c r="Y4520" s="55" t="n">
        <f aca="false">W4520+ROW()*0.000000001</f>
        <v>0.130991226168663</v>
      </c>
      <c r="Z4520" s="55" t="n">
        <f aca="false">X4520+ROW()*0.000000001</f>
        <v>49.7022488381818</v>
      </c>
    </row>
    <row r="4521" customFormat="false" ht="15" hidden="false" customHeight="false" outlineLevel="0" collapsed="false">
      <c r="A4521" s="0" t="n">
        <v>15</v>
      </c>
      <c r="B4521" s="0" t="n">
        <v>10</v>
      </c>
      <c r="C4521" s="0" t="n">
        <v>11</v>
      </c>
      <c r="D4521" s="0" t="n">
        <f aca="false">-1+A4521*0.125</f>
        <v>0.875</v>
      </c>
      <c r="E4521" s="0" t="n">
        <f aca="false">-1+B4521*0.125</f>
        <v>0.25</v>
      </c>
      <c r="F4521" s="0" t="n">
        <f aca="false">-1+C4521*0.125</f>
        <v>0.375</v>
      </c>
      <c r="G4521" s="0" t="n">
        <f aca="false">1</f>
        <v>1</v>
      </c>
      <c r="H4521" s="0" t="n">
        <f aca="false">D4521</f>
        <v>0.875</v>
      </c>
      <c r="I4521" s="0" t="n">
        <f aca="false">E4521</f>
        <v>0.25</v>
      </c>
      <c r="J4521" s="0" t="n">
        <f aca="false">F4521</f>
        <v>0.375</v>
      </c>
      <c r="K4521" s="0" t="n">
        <f aca="false">D4521*E4521</f>
        <v>0.21875</v>
      </c>
      <c r="L4521" s="0" t="n">
        <f aca="false">D4521*F4521</f>
        <v>0.328125</v>
      </c>
      <c r="M4521" s="0" t="n">
        <f aca="false">E4521*F4521</f>
        <v>0.09375</v>
      </c>
      <c r="N4521" s="0" t="n">
        <f aca="false">D4521*D4521</f>
        <v>0.765625</v>
      </c>
      <c r="O4521" s="0" t="n">
        <f aca="false">E4521*E4521</f>
        <v>0.0625</v>
      </c>
      <c r="P4521" s="0" t="n">
        <f aca="false">F4521*F4521</f>
        <v>0.140625</v>
      </c>
      <c r="Q4521" s="0" t="n">
        <f aca="false">SUMPRODUCT(G4521:P4521,_XtX!$B$71:$K$71)</f>
        <v>49.7804261363636</v>
      </c>
      <c r="R4521" s="0" t="n">
        <f aca="false">SUMPRODUCT(MMULT(G4521:P4521,_XtX!$B$58:$K$67),G4521:P4521)</f>
        <v>0.324484530362216</v>
      </c>
      <c r="S4521" s="0" t="n">
        <f aca="false">04_回帰ANOVA!$K$19*04_回帰ANOVA!$K$14*SQRT(1+R4521)</f>
        <v>1.07001553041279</v>
      </c>
      <c r="T4521" s="0" t="n">
        <f aca="false">Q4521-S4521</f>
        <v>48.7104106059508</v>
      </c>
      <c r="U4521" s="0" t="n">
        <f aca="false">Q4521+S4521</f>
        <v>50.8504416667764</v>
      </c>
      <c r="V4521" s="54" t="b">
        <f aca="false">AND(D4521&gt;=01_因子設定!$L$5-0.000000001,D4521&lt;=01_因子設定!$M$5+0.000000001,E4521&gt;=01_因子設定!$L$6-0.000000001,E4521&lt;=01_因子設定!$M$6+0.000000001,F4521&gt;=01_因子設定!$L$7-0.000000001,F4521&lt;=01_因子設定!$M$7+0.000000001,IF(01_因子設定!$B$20="Box-Behnken",D4521^2+E4521^2+F4521^2&lt;=2+0.000000001,TRUE()))</f>
        <v>1</v>
      </c>
      <c r="W4521" s="55" t="n">
        <f aca="false">IF(V4521,IF(01_因子設定!$B$13="最大化",T4521-01_因子設定!$B$14,IF(01_因子設定!$B$13="最小化",01_因子設定!$B$15-U4521,MIN(T4521-01_因子設定!$B$14,01_因子設定!$B$15-U4521))),-1E+030)</f>
        <v>0.210410605950841</v>
      </c>
      <c r="X4521" s="55" t="n">
        <f aca="false">IF(V4521,IF(01_因子設定!$B$13="最大化",Q4521,IF(01_因子設定!$B$13="最小化",-Q4521,-ABS(Q4521-01_因子設定!$B$16))),-1E+030)</f>
        <v>49.7804261363636</v>
      </c>
      <c r="Y4521" s="55" t="n">
        <f aca="false">W4521+ROW()*0.000000001</f>
        <v>0.210415126950841</v>
      </c>
      <c r="Z4521" s="55" t="n">
        <f aca="false">X4521+ROW()*0.000000001</f>
        <v>49.7804306573636</v>
      </c>
    </row>
    <row r="4522" customFormat="false" ht="15" hidden="false" customHeight="false" outlineLevel="0" collapsed="false">
      <c r="A4522" s="0" t="n">
        <v>15</v>
      </c>
      <c r="B4522" s="0" t="n">
        <v>10</v>
      </c>
      <c r="C4522" s="0" t="n">
        <v>12</v>
      </c>
      <c r="D4522" s="0" t="n">
        <f aca="false">-1+A4522*0.125</f>
        <v>0.875</v>
      </c>
      <c r="E4522" s="0" t="n">
        <f aca="false">-1+B4522*0.125</f>
        <v>0.25</v>
      </c>
      <c r="F4522" s="0" t="n">
        <f aca="false">-1+C4522*0.125</f>
        <v>0.5</v>
      </c>
      <c r="G4522" s="0" t="n">
        <f aca="false">1</f>
        <v>1</v>
      </c>
      <c r="H4522" s="0" t="n">
        <f aca="false">D4522</f>
        <v>0.875</v>
      </c>
      <c r="I4522" s="0" t="n">
        <f aca="false">E4522</f>
        <v>0.25</v>
      </c>
      <c r="J4522" s="0" t="n">
        <f aca="false">F4522</f>
        <v>0.5</v>
      </c>
      <c r="K4522" s="0" t="n">
        <f aca="false">D4522*E4522</f>
        <v>0.21875</v>
      </c>
      <c r="L4522" s="0" t="n">
        <f aca="false">D4522*F4522</f>
        <v>0.4375</v>
      </c>
      <c r="M4522" s="0" t="n">
        <f aca="false">E4522*F4522</f>
        <v>0.125</v>
      </c>
      <c r="N4522" s="0" t="n">
        <f aca="false">D4522*D4522</f>
        <v>0.765625</v>
      </c>
      <c r="O4522" s="0" t="n">
        <f aca="false">E4522*E4522</f>
        <v>0.0625</v>
      </c>
      <c r="P4522" s="0" t="n">
        <f aca="false">F4522*F4522</f>
        <v>0.25</v>
      </c>
      <c r="Q4522" s="0" t="n">
        <f aca="false">SUMPRODUCT(G4522:P4522,_XtX!$B$71:$K$71)</f>
        <v>49.8218181818182</v>
      </c>
      <c r="R4522" s="0" t="n">
        <f aca="false">SUMPRODUCT(MMULT(G4522:P4522,_XtX!$B$58:$K$67),G4522:P4522)</f>
        <v>0.327634499289773</v>
      </c>
      <c r="S4522" s="0" t="n">
        <f aca="false">04_回帰ANOVA!$K$19*04_回帰ANOVA!$K$14*SQRT(1+R4522)</f>
        <v>1.07128716250217</v>
      </c>
      <c r="T4522" s="0" t="n">
        <f aca="false">Q4522-S4522</f>
        <v>48.750531019316</v>
      </c>
      <c r="U4522" s="0" t="n">
        <f aca="false">Q4522+S4522</f>
        <v>50.8931053443204</v>
      </c>
      <c r="V4522" s="54" t="b">
        <f aca="false">AND(D4522&gt;=01_因子設定!$L$5-0.000000001,D4522&lt;=01_因子設定!$M$5+0.000000001,E4522&gt;=01_因子設定!$L$6-0.000000001,E4522&lt;=01_因子設定!$M$6+0.000000001,F4522&gt;=01_因子設定!$L$7-0.000000001,F4522&lt;=01_因子設定!$M$7+0.000000001,IF(01_因子設定!$B$20="Box-Behnken",D4522^2+E4522^2+F4522^2&lt;=2+0.000000001,TRUE()))</f>
        <v>1</v>
      </c>
      <c r="W4522" s="55" t="n">
        <f aca="false">IF(V4522,IF(01_因子設定!$B$13="最大化",T4522-01_因子設定!$B$14,IF(01_因子設定!$B$13="最小化",01_因子設定!$B$15-U4522,MIN(T4522-01_因子設定!$B$14,01_因子設定!$B$15-U4522))),-1E+030)</f>
        <v>0.250531019316007</v>
      </c>
      <c r="X4522" s="55" t="n">
        <f aca="false">IF(V4522,IF(01_因子設定!$B$13="最大化",Q4522,IF(01_因子設定!$B$13="最小化",-Q4522,-ABS(Q4522-01_因子設定!$B$16))),-1E+030)</f>
        <v>49.8218181818182</v>
      </c>
      <c r="Y4522" s="55" t="n">
        <f aca="false">W4522+ROW()*0.000000001</f>
        <v>0.250535541316007</v>
      </c>
      <c r="Z4522" s="55" t="n">
        <f aca="false">X4522+ROW()*0.000000001</f>
        <v>49.8218227038182</v>
      </c>
    </row>
    <row r="4523" customFormat="false" ht="15" hidden="false" customHeight="false" outlineLevel="0" collapsed="false">
      <c r="A4523" s="0" t="n">
        <v>15</v>
      </c>
      <c r="B4523" s="0" t="n">
        <v>10</v>
      </c>
      <c r="C4523" s="0" t="n">
        <v>13</v>
      </c>
      <c r="D4523" s="0" t="n">
        <f aca="false">-1+A4523*0.125</f>
        <v>0.875</v>
      </c>
      <c r="E4523" s="0" t="n">
        <f aca="false">-1+B4523*0.125</f>
        <v>0.25</v>
      </c>
      <c r="F4523" s="0" t="n">
        <f aca="false">-1+C4523*0.125</f>
        <v>0.625</v>
      </c>
      <c r="G4523" s="0" t="n">
        <f aca="false">1</f>
        <v>1</v>
      </c>
      <c r="H4523" s="0" t="n">
        <f aca="false">D4523</f>
        <v>0.875</v>
      </c>
      <c r="I4523" s="0" t="n">
        <f aca="false">E4523</f>
        <v>0.25</v>
      </c>
      <c r="J4523" s="0" t="n">
        <f aca="false">F4523</f>
        <v>0.625</v>
      </c>
      <c r="K4523" s="0" t="n">
        <f aca="false">D4523*E4523</f>
        <v>0.21875</v>
      </c>
      <c r="L4523" s="0" t="n">
        <f aca="false">D4523*F4523</f>
        <v>0.546875</v>
      </c>
      <c r="M4523" s="0" t="n">
        <f aca="false">E4523*F4523</f>
        <v>0.15625</v>
      </c>
      <c r="N4523" s="0" t="n">
        <f aca="false">D4523*D4523</f>
        <v>0.765625</v>
      </c>
      <c r="O4523" s="0" t="n">
        <f aca="false">E4523*E4523</f>
        <v>0.0625</v>
      </c>
      <c r="P4523" s="0" t="n">
        <f aca="false">F4523*F4523</f>
        <v>0.390625</v>
      </c>
      <c r="Q4523" s="0" t="n">
        <f aca="false">SUMPRODUCT(G4523:P4523,_XtX!$B$71:$K$71)</f>
        <v>49.8264204545455</v>
      </c>
      <c r="R4523" s="0" t="n">
        <f aca="false">SUMPRODUCT(MMULT(G4523:P4523,_XtX!$B$58:$K$67),G4523:P4523)</f>
        <v>0.34446855024858</v>
      </c>
      <c r="S4523" s="0" t="n">
        <f aca="false">04_回帰ANOVA!$K$19*04_回帰ANOVA!$K$14*SQRT(1+R4523)</f>
        <v>1.07805758590432</v>
      </c>
      <c r="T4523" s="0" t="n">
        <f aca="false">Q4523-S4523</f>
        <v>48.7483628686411</v>
      </c>
      <c r="U4523" s="0" t="n">
        <f aca="false">Q4523+S4523</f>
        <v>50.9044780404498</v>
      </c>
      <c r="V4523" s="54" t="b">
        <f aca="false">AND(D4523&gt;=01_因子設定!$L$5-0.000000001,D4523&lt;=01_因子設定!$M$5+0.000000001,E4523&gt;=01_因子設定!$L$6-0.000000001,E4523&lt;=01_因子設定!$M$6+0.000000001,F4523&gt;=01_因子設定!$L$7-0.000000001,F4523&lt;=01_因子設定!$M$7+0.000000001,IF(01_因子設定!$B$20="Box-Behnken",D4523^2+E4523^2+F4523^2&lt;=2+0.000000001,TRUE()))</f>
        <v>1</v>
      </c>
      <c r="W4523" s="55" t="n">
        <f aca="false">IF(V4523,IF(01_因子設定!$B$13="最大化",T4523-01_因子設定!$B$14,IF(01_因子設定!$B$13="最小化",01_因子設定!$B$15-U4523,MIN(T4523-01_因子設定!$B$14,01_因子設定!$B$15-U4523))),-1E+030)</f>
        <v>0.248362868641138</v>
      </c>
      <c r="X4523" s="55" t="n">
        <f aca="false">IF(V4523,IF(01_因子設定!$B$13="最大化",Q4523,IF(01_因子設定!$B$13="最小化",-Q4523,-ABS(Q4523-01_因子設定!$B$16))),-1E+030)</f>
        <v>49.8264204545455</v>
      </c>
      <c r="Y4523" s="55" t="n">
        <f aca="false">W4523+ROW()*0.000000001</f>
        <v>0.248367391641138</v>
      </c>
      <c r="Z4523" s="55" t="n">
        <f aca="false">X4523+ROW()*0.000000001</f>
        <v>49.8264249775455</v>
      </c>
    </row>
    <row r="4524" customFormat="false" ht="15" hidden="false" customHeight="false" outlineLevel="0" collapsed="false">
      <c r="A4524" s="0" t="n">
        <v>15</v>
      </c>
      <c r="B4524" s="0" t="n">
        <v>10</v>
      </c>
      <c r="C4524" s="0" t="n">
        <v>14</v>
      </c>
      <c r="D4524" s="0" t="n">
        <f aca="false">-1+A4524*0.125</f>
        <v>0.875</v>
      </c>
      <c r="E4524" s="0" t="n">
        <f aca="false">-1+B4524*0.125</f>
        <v>0.25</v>
      </c>
      <c r="F4524" s="0" t="n">
        <f aca="false">-1+C4524*0.125</f>
        <v>0.75</v>
      </c>
      <c r="G4524" s="0" t="n">
        <f aca="false">1</f>
        <v>1</v>
      </c>
      <c r="H4524" s="0" t="n">
        <f aca="false">D4524</f>
        <v>0.875</v>
      </c>
      <c r="I4524" s="0" t="n">
        <f aca="false">E4524</f>
        <v>0.25</v>
      </c>
      <c r="J4524" s="0" t="n">
        <f aca="false">F4524</f>
        <v>0.75</v>
      </c>
      <c r="K4524" s="0" t="n">
        <f aca="false">D4524*E4524</f>
        <v>0.21875</v>
      </c>
      <c r="L4524" s="0" t="n">
        <f aca="false">D4524*F4524</f>
        <v>0.65625</v>
      </c>
      <c r="M4524" s="0" t="n">
        <f aca="false">E4524*F4524</f>
        <v>0.1875</v>
      </c>
      <c r="N4524" s="0" t="n">
        <f aca="false">D4524*D4524</f>
        <v>0.765625</v>
      </c>
      <c r="O4524" s="0" t="n">
        <f aca="false">E4524*E4524</f>
        <v>0.0625</v>
      </c>
      <c r="P4524" s="0" t="n">
        <f aca="false">F4524*F4524</f>
        <v>0.5625</v>
      </c>
      <c r="Q4524" s="0" t="n">
        <f aca="false">SUMPRODUCT(G4524:P4524,_XtX!$B$71:$K$71)</f>
        <v>49.7942329545455</v>
      </c>
      <c r="R4524" s="0" t="n">
        <f aca="false">SUMPRODUCT(MMULT(G4524:P4524,_XtX!$B$58:$K$67),G4524:P4524)</f>
        <v>0.384574751420455</v>
      </c>
      <c r="S4524" s="0" t="n">
        <f aca="false">04_回帰ANOVA!$K$19*04_回帰ANOVA!$K$14*SQRT(1+R4524)</f>
        <v>1.0940189380139</v>
      </c>
      <c r="T4524" s="0" t="n">
        <f aca="false">Q4524-S4524</f>
        <v>48.7002140165316</v>
      </c>
      <c r="U4524" s="0" t="n">
        <f aca="false">Q4524+S4524</f>
        <v>50.8882518925594</v>
      </c>
      <c r="V4524" s="54" t="b">
        <f aca="false">AND(D4524&gt;=01_因子設定!$L$5-0.000000001,D4524&lt;=01_因子設定!$M$5+0.000000001,E4524&gt;=01_因子設定!$L$6-0.000000001,E4524&lt;=01_因子設定!$M$6+0.000000001,F4524&gt;=01_因子設定!$L$7-0.000000001,F4524&lt;=01_因子設定!$M$7+0.000000001,IF(01_因子設定!$B$20="Box-Behnken",D4524^2+E4524^2+F4524^2&lt;=2+0.000000001,TRUE()))</f>
        <v>1</v>
      </c>
      <c r="W4524" s="55" t="n">
        <f aca="false">IF(V4524,IF(01_因子設定!$B$13="最大化",T4524-01_因子設定!$B$14,IF(01_因子設定!$B$13="最小化",01_因子設定!$B$15-U4524,MIN(T4524-01_因子設定!$B$14,01_因子設定!$B$15-U4524))),-1E+030)</f>
        <v>0.200214016531554</v>
      </c>
      <c r="X4524" s="55" t="n">
        <f aca="false">IF(V4524,IF(01_因子設定!$B$13="最大化",Q4524,IF(01_因子設定!$B$13="最小化",-Q4524,-ABS(Q4524-01_因子設定!$B$16))),-1E+030)</f>
        <v>49.7942329545455</v>
      </c>
      <c r="Y4524" s="55" t="n">
        <f aca="false">W4524+ROW()*0.000000001</f>
        <v>0.200218540531554</v>
      </c>
      <c r="Z4524" s="55" t="n">
        <f aca="false">X4524+ROW()*0.000000001</f>
        <v>49.7942374785455</v>
      </c>
    </row>
    <row r="4525" customFormat="false" ht="15" hidden="false" customHeight="false" outlineLevel="0" collapsed="false">
      <c r="A4525" s="0" t="n">
        <v>15</v>
      </c>
      <c r="B4525" s="0" t="n">
        <v>10</v>
      </c>
      <c r="C4525" s="0" t="n">
        <v>15</v>
      </c>
      <c r="D4525" s="0" t="n">
        <f aca="false">-1+A4525*0.125</f>
        <v>0.875</v>
      </c>
      <c r="E4525" s="0" t="n">
        <f aca="false">-1+B4525*0.125</f>
        <v>0.25</v>
      </c>
      <c r="F4525" s="0" t="n">
        <f aca="false">-1+C4525*0.125</f>
        <v>0.875</v>
      </c>
      <c r="G4525" s="0" t="n">
        <f aca="false">1</f>
        <v>1</v>
      </c>
      <c r="H4525" s="0" t="n">
        <f aca="false">D4525</f>
        <v>0.875</v>
      </c>
      <c r="I4525" s="0" t="n">
        <f aca="false">E4525</f>
        <v>0.25</v>
      </c>
      <c r="J4525" s="0" t="n">
        <f aca="false">F4525</f>
        <v>0.875</v>
      </c>
      <c r="K4525" s="0" t="n">
        <f aca="false">D4525*E4525</f>
        <v>0.21875</v>
      </c>
      <c r="L4525" s="0" t="n">
        <f aca="false">D4525*F4525</f>
        <v>0.765625</v>
      </c>
      <c r="M4525" s="0" t="n">
        <f aca="false">E4525*F4525</f>
        <v>0.21875</v>
      </c>
      <c r="N4525" s="0" t="n">
        <f aca="false">D4525*D4525</f>
        <v>0.765625</v>
      </c>
      <c r="O4525" s="0" t="n">
        <f aca="false">E4525*E4525</f>
        <v>0.0625</v>
      </c>
      <c r="P4525" s="0" t="n">
        <f aca="false">F4525*F4525</f>
        <v>0.765625</v>
      </c>
      <c r="Q4525" s="0" t="n">
        <f aca="false">SUMPRODUCT(G4525:P4525,_XtX!$B$71:$K$71)</f>
        <v>49.7252556818182</v>
      </c>
      <c r="R4525" s="0" t="n">
        <f aca="false">SUMPRODUCT(MMULT(G4525:P4525,_XtX!$B$58:$K$67),G4525:P4525)</f>
        <v>0.459671852805398</v>
      </c>
      <c r="S4525" s="0" t="n">
        <f aca="false">04_回帰ANOVA!$K$19*04_回帰ANOVA!$K$14*SQRT(1+R4525)</f>
        <v>1.12329610455115</v>
      </c>
      <c r="T4525" s="0" t="n">
        <f aca="false">Q4525-S4525</f>
        <v>48.601959577267</v>
      </c>
      <c r="U4525" s="0" t="n">
        <f aca="false">Q4525+S4525</f>
        <v>50.8485517863693</v>
      </c>
      <c r="V4525" s="54" t="b">
        <f aca="false">AND(D4525&gt;=01_因子設定!$L$5-0.000000001,D4525&lt;=01_因子設定!$M$5+0.000000001,E4525&gt;=01_因子設定!$L$6-0.000000001,E4525&lt;=01_因子設定!$M$6+0.000000001,F4525&gt;=01_因子設定!$L$7-0.000000001,F4525&lt;=01_因子設定!$M$7+0.000000001,IF(01_因子設定!$B$20="Box-Behnken",D4525^2+E4525^2+F4525^2&lt;=2+0.000000001,TRUE()))</f>
        <v>1</v>
      </c>
      <c r="W4525" s="55" t="n">
        <f aca="false">IF(V4525,IF(01_因子設定!$B$13="最大化",T4525-01_因子設定!$B$14,IF(01_因子設定!$B$13="最小化",01_因子設定!$B$15-U4525,MIN(T4525-01_因子設定!$B$14,01_因子設定!$B$15-U4525))),-1E+030)</f>
        <v>0.101959577267039</v>
      </c>
      <c r="X4525" s="55" t="n">
        <f aca="false">IF(V4525,IF(01_因子設定!$B$13="最大化",Q4525,IF(01_因子設定!$B$13="最小化",-Q4525,-ABS(Q4525-01_因子設定!$B$16))),-1E+030)</f>
        <v>49.7252556818182</v>
      </c>
      <c r="Y4525" s="55" t="n">
        <f aca="false">W4525+ROW()*0.000000001</f>
        <v>0.101964102267039</v>
      </c>
      <c r="Z4525" s="55" t="n">
        <f aca="false">X4525+ROW()*0.000000001</f>
        <v>49.7252602068182</v>
      </c>
    </row>
    <row r="4526" customFormat="false" ht="15" hidden="false" customHeight="false" outlineLevel="0" collapsed="false">
      <c r="A4526" s="0" t="n">
        <v>15</v>
      </c>
      <c r="B4526" s="0" t="n">
        <v>10</v>
      </c>
      <c r="C4526" s="0" t="n">
        <v>16</v>
      </c>
      <c r="D4526" s="0" t="n">
        <f aca="false">-1+A4526*0.125</f>
        <v>0.875</v>
      </c>
      <c r="E4526" s="0" t="n">
        <f aca="false">-1+B4526*0.125</f>
        <v>0.25</v>
      </c>
      <c r="F4526" s="0" t="n">
        <f aca="false">-1+C4526*0.125</f>
        <v>1</v>
      </c>
      <c r="G4526" s="0" t="n">
        <f aca="false">1</f>
        <v>1</v>
      </c>
      <c r="H4526" s="0" t="n">
        <f aca="false">D4526</f>
        <v>0.875</v>
      </c>
      <c r="I4526" s="0" t="n">
        <f aca="false">E4526</f>
        <v>0.25</v>
      </c>
      <c r="J4526" s="0" t="n">
        <f aca="false">F4526</f>
        <v>1</v>
      </c>
      <c r="K4526" s="0" t="n">
        <f aca="false">D4526*E4526</f>
        <v>0.21875</v>
      </c>
      <c r="L4526" s="0" t="n">
        <f aca="false">D4526*F4526</f>
        <v>0.875</v>
      </c>
      <c r="M4526" s="0" t="n">
        <f aca="false">E4526*F4526</f>
        <v>0.25</v>
      </c>
      <c r="N4526" s="0" t="n">
        <f aca="false">D4526*D4526</f>
        <v>0.765625</v>
      </c>
      <c r="O4526" s="0" t="n">
        <f aca="false">E4526*E4526</f>
        <v>0.0625</v>
      </c>
      <c r="P4526" s="0" t="n">
        <f aca="false">F4526*F4526</f>
        <v>1</v>
      </c>
      <c r="Q4526" s="0" t="n">
        <f aca="false">SUMPRODUCT(G4526:P4526,_XtX!$B$71:$K$71)</f>
        <v>49.6194886363637</v>
      </c>
      <c r="R4526" s="0" t="n">
        <f aca="false">SUMPRODUCT(MMULT(G4526:P4526,_XtX!$B$58:$K$67),G4526:P4526)</f>
        <v>0.583609286221591</v>
      </c>
      <c r="S4526" s="0" t="n">
        <f aca="false">04_回帰ANOVA!$K$19*04_回帰ANOVA!$K$14*SQRT(1+R4526)</f>
        <v>1.1700129157584</v>
      </c>
      <c r="T4526" s="0" t="n">
        <f aca="false">Q4526-S4526</f>
        <v>48.4494757206053</v>
      </c>
      <c r="U4526" s="0" t="n">
        <f aca="false">Q4526+S4526</f>
        <v>50.789501552122</v>
      </c>
      <c r="V4526" s="54" t="b">
        <f aca="false">AND(D4526&gt;=01_因子設定!$L$5-0.000000001,D4526&lt;=01_因子設定!$M$5+0.000000001,E4526&gt;=01_因子設定!$L$6-0.000000001,E4526&lt;=01_因子設定!$M$6+0.000000001,F4526&gt;=01_因子設定!$L$7-0.000000001,F4526&lt;=01_因子設定!$M$7+0.000000001,IF(01_因子設定!$B$20="Box-Behnken",D4526^2+E4526^2+F4526^2&lt;=2+0.000000001,TRUE()))</f>
        <v>1</v>
      </c>
      <c r="W4526" s="55" t="n">
        <f aca="false">IF(V4526,IF(01_因子設定!$B$13="最大化",T4526-01_因子設定!$B$14,IF(01_因子設定!$B$13="最小化",01_因子設定!$B$15-U4526,MIN(T4526-01_因子設定!$B$14,01_因子設定!$B$15-U4526))),-1E+030)</f>
        <v>-0.0505242793947431</v>
      </c>
      <c r="X4526" s="55" t="n">
        <f aca="false">IF(V4526,IF(01_因子設定!$B$13="最大化",Q4526,IF(01_因子設定!$B$13="最小化",-Q4526,-ABS(Q4526-01_因子設定!$B$16))),-1E+030)</f>
        <v>49.6194886363637</v>
      </c>
      <c r="Y4526" s="55" t="n">
        <f aca="false">W4526+ROW()*0.000000001</f>
        <v>-0.0505197533947431</v>
      </c>
      <c r="Z4526" s="55" t="n">
        <f aca="false">X4526+ROW()*0.000000001</f>
        <v>49.6194931623636</v>
      </c>
    </row>
    <row r="4527" customFormat="false" ht="15" hidden="false" customHeight="false" outlineLevel="0" collapsed="false">
      <c r="A4527" s="0" t="n">
        <v>15</v>
      </c>
      <c r="B4527" s="0" t="n">
        <v>11</v>
      </c>
      <c r="C4527" s="0" t="n">
        <v>0</v>
      </c>
      <c r="D4527" s="0" t="n">
        <f aca="false">-1+A4527*0.125</f>
        <v>0.875</v>
      </c>
      <c r="E4527" s="0" t="n">
        <f aca="false">-1+B4527*0.125</f>
        <v>0.375</v>
      </c>
      <c r="F4527" s="0" t="n">
        <f aca="false">-1+C4527*0.125</f>
        <v>-1</v>
      </c>
      <c r="G4527" s="0" t="n">
        <f aca="false">1</f>
        <v>1</v>
      </c>
      <c r="H4527" s="0" t="n">
        <f aca="false">D4527</f>
        <v>0.875</v>
      </c>
      <c r="I4527" s="0" t="n">
        <f aca="false">E4527</f>
        <v>0.375</v>
      </c>
      <c r="J4527" s="0" t="n">
        <f aca="false">F4527</f>
        <v>-1</v>
      </c>
      <c r="K4527" s="0" t="n">
        <f aca="false">D4527*E4527</f>
        <v>0.328125</v>
      </c>
      <c r="L4527" s="0" t="n">
        <f aca="false">D4527*F4527</f>
        <v>-0.875</v>
      </c>
      <c r="M4527" s="0" t="n">
        <f aca="false">E4527*F4527</f>
        <v>-0.375</v>
      </c>
      <c r="N4527" s="0" t="n">
        <f aca="false">D4527*D4527</f>
        <v>0.765625</v>
      </c>
      <c r="O4527" s="0" t="n">
        <f aca="false">E4527*E4527</f>
        <v>0.140625</v>
      </c>
      <c r="P4527" s="0" t="n">
        <f aca="false">F4527*F4527</f>
        <v>1</v>
      </c>
      <c r="Q4527" s="0" t="n">
        <f aca="false">SUMPRODUCT(G4527:P4527,_XtX!$B$71:$K$71)</f>
        <v>47.0750923295455</v>
      </c>
      <c r="R4527" s="0" t="n">
        <f aca="false">SUMPRODUCT(MMULT(G4527:P4527,_XtX!$B$58:$K$67),G4527:P4527)</f>
        <v>0.56971269087358</v>
      </c>
      <c r="S4527" s="0" t="n">
        <f aca="false">04_回帰ANOVA!$K$19*04_回帰ANOVA!$K$14*SQRT(1+R4527)</f>
        <v>1.16486801567081</v>
      </c>
      <c r="T4527" s="0" t="n">
        <f aca="false">Q4527-S4527</f>
        <v>45.9102243138747</v>
      </c>
      <c r="U4527" s="0" t="n">
        <f aca="false">Q4527+S4527</f>
        <v>48.2399603452163</v>
      </c>
      <c r="V4527" s="54" t="b">
        <f aca="false">AND(D4527&gt;=01_因子設定!$L$5-0.000000001,D4527&lt;=01_因子設定!$M$5+0.000000001,E4527&gt;=01_因子設定!$L$6-0.000000001,E4527&lt;=01_因子設定!$M$6+0.000000001,F4527&gt;=01_因子設定!$L$7-0.000000001,F4527&lt;=01_因子設定!$M$7+0.000000001,IF(01_因子設定!$B$20="Box-Behnken",D4527^2+E4527^2+F4527^2&lt;=2+0.000000001,TRUE()))</f>
        <v>1</v>
      </c>
      <c r="W4527" s="55" t="n">
        <f aca="false">IF(V4527,IF(01_因子設定!$B$13="最大化",T4527-01_因子設定!$B$14,IF(01_因子設定!$B$13="最小化",01_因子設定!$B$15-U4527,MIN(T4527-01_因子設定!$B$14,01_因子設定!$B$15-U4527))),-1E+030)</f>
        <v>-2.58977568612534</v>
      </c>
      <c r="X4527" s="55" t="n">
        <f aca="false">IF(V4527,IF(01_因子設定!$B$13="最大化",Q4527,IF(01_因子設定!$B$13="最小化",-Q4527,-ABS(Q4527-01_因子設定!$B$16))),-1E+030)</f>
        <v>47.0750923295455</v>
      </c>
      <c r="Y4527" s="55" t="n">
        <f aca="false">W4527+ROW()*0.000000001</f>
        <v>-2.58977115912534</v>
      </c>
      <c r="Z4527" s="55" t="n">
        <f aca="false">X4527+ROW()*0.000000001</f>
        <v>47.0750968565455</v>
      </c>
    </row>
    <row r="4528" customFormat="false" ht="15" hidden="false" customHeight="false" outlineLevel="0" collapsed="false">
      <c r="A4528" s="0" t="n">
        <v>15</v>
      </c>
      <c r="B4528" s="0" t="n">
        <v>11</v>
      </c>
      <c r="C4528" s="0" t="n">
        <v>1</v>
      </c>
      <c r="D4528" s="0" t="n">
        <f aca="false">-1+A4528*0.125</f>
        <v>0.875</v>
      </c>
      <c r="E4528" s="0" t="n">
        <f aca="false">-1+B4528*0.125</f>
        <v>0.375</v>
      </c>
      <c r="F4528" s="0" t="n">
        <f aca="false">-1+C4528*0.125</f>
        <v>-0.875</v>
      </c>
      <c r="G4528" s="0" t="n">
        <f aca="false">1</f>
        <v>1</v>
      </c>
      <c r="H4528" s="0" t="n">
        <f aca="false">D4528</f>
        <v>0.875</v>
      </c>
      <c r="I4528" s="0" t="n">
        <f aca="false">E4528</f>
        <v>0.375</v>
      </c>
      <c r="J4528" s="0" t="n">
        <f aca="false">F4528</f>
        <v>-0.875</v>
      </c>
      <c r="K4528" s="0" t="n">
        <f aca="false">D4528*E4528</f>
        <v>0.328125</v>
      </c>
      <c r="L4528" s="0" t="n">
        <f aca="false">D4528*F4528</f>
        <v>-0.765625</v>
      </c>
      <c r="M4528" s="0" t="n">
        <f aca="false">E4528*F4528</f>
        <v>-0.328125</v>
      </c>
      <c r="N4528" s="0" t="n">
        <f aca="false">D4528*D4528</f>
        <v>0.765625</v>
      </c>
      <c r="O4528" s="0" t="n">
        <f aca="false">E4528*E4528</f>
        <v>0.140625</v>
      </c>
      <c r="P4528" s="0" t="n">
        <f aca="false">F4528*F4528</f>
        <v>0.765625</v>
      </c>
      <c r="Q4528" s="0" t="n">
        <f aca="false">SUMPRODUCT(G4528:P4528,_XtX!$B$71:$K$71)</f>
        <v>47.528203125</v>
      </c>
      <c r="R4528" s="0" t="n">
        <f aca="false">SUMPRODUCT(MMULT(G4528:P4528,_XtX!$B$58:$K$67),G4528:P4528)</f>
        <v>0.448480224609375</v>
      </c>
      <c r="S4528" s="0" t="n">
        <f aca="false">04_回帰ANOVA!$K$19*04_回帰ANOVA!$K$14*SQRT(1+R4528)</f>
        <v>1.11898153812985</v>
      </c>
      <c r="T4528" s="0" t="n">
        <f aca="false">Q4528-S4528</f>
        <v>46.4092215868702</v>
      </c>
      <c r="U4528" s="0" t="n">
        <f aca="false">Q4528+S4528</f>
        <v>48.6471846631299</v>
      </c>
      <c r="V4528" s="54" t="b">
        <f aca="false">AND(D4528&gt;=01_因子設定!$L$5-0.000000001,D4528&lt;=01_因子設定!$M$5+0.000000001,E4528&gt;=01_因子設定!$L$6-0.000000001,E4528&lt;=01_因子設定!$M$6+0.000000001,F4528&gt;=01_因子設定!$L$7-0.000000001,F4528&lt;=01_因子設定!$M$7+0.000000001,IF(01_因子設定!$B$20="Box-Behnken",D4528^2+E4528^2+F4528^2&lt;=2+0.000000001,TRUE()))</f>
        <v>1</v>
      </c>
      <c r="W4528" s="55" t="n">
        <f aca="false">IF(V4528,IF(01_因子設定!$B$13="最大化",T4528-01_因子設定!$B$14,IF(01_因子設定!$B$13="最小化",01_因子設定!$B$15-U4528,MIN(T4528-01_因子設定!$B$14,01_因子設定!$B$15-U4528))),-1E+030)</f>
        <v>-2.09077841312984</v>
      </c>
      <c r="X4528" s="55" t="n">
        <f aca="false">IF(V4528,IF(01_因子設定!$B$13="最大化",Q4528,IF(01_因子設定!$B$13="最小化",-Q4528,-ABS(Q4528-01_因子設定!$B$16))),-1E+030)</f>
        <v>47.528203125</v>
      </c>
      <c r="Y4528" s="55" t="n">
        <f aca="false">W4528+ROW()*0.000000001</f>
        <v>-2.09077388512984</v>
      </c>
      <c r="Z4528" s="55" t="n">
        <f aca="false">X4528+ROW()*0.000000001</f>
        <v>47.528207653</v>
      </c>
    </row>
    <row r="4529" customFormat="false" ht="15" hidden="false" customHeight="false" outlineLevel="0" collapsed="false">
      <c r="A4529" s="0" t="n">
        <v>15</v>
      </c>
      <c r="B4529" s="0" t="n">
        <v>11</v>
      </c>
      <c r="C4529" s="0" t="n">
        <v>2</v>
      </c>
      <c r="D4529" s="0" t="n">
        <f aca="false">-1+A4529*0.125</f>
        <v>0.875</v>
      </c>
      <c r="E4529" s="0" t="n">
        <f aca="false">-1+B4529*0.125</f>
        <v>0.375</v>
      </c>
      <c r="F4529" s="0" t="n">
        <f aca="false">-1+C4529*0.125</f>
        <v>-0.75</v>
      </c>
      <c r="G4529" s="0" t="n">
        <f aca="false">1</f>
        <v>1</v>
      </c>
      <c r="H4529" s="0" t="n">
        <f aca="false">D4529</f>
        <v>0.875</v>
      </c>
      <c r="I4529" s="0" t="n">
        <f aca="false">E4529</f>
        <v>0.375</v>
      </c>
      <c r="J4529" s="0" t="n">
        <f aca="false">F4529</f>
        <v>-0.75</v>
      </c>
      <c r="K4529" s="0" t="n">
        <f aca="false">D4529*E4529</f>
        <v>0.328125</v>
      </c>
      <c r="L4529" s="0" t="n">
        <f aca="false">D4529*F4529</f>
        <v>-0.65625</v>
      </c>
      <c r="M4529" s="0" t="n">
        <f aca="false">E4529*F4529</f>
        <v>-0.28125</v>
      </c>
      <c r="N4529" s="0" t="n">
        <f aca="false">D4529*D4529</f>
        <v>0.765625</v>
      </c>
      <c r="O4529" s="0" t="n">
        <f aca="false">E4529*E4529</f>
        <v>0.140625</v>
      </c>
      <c r="P4529" s="0" t="n">
        <f aca="false">F4529*F4529</f>
        <v>0.5625</v>
      </c>
      <c r="Q4529" s="0" t="n">
        <f aca="false">SUMPRODUCT(G4529:P4529,_XtX!$B$71:$K$71)</f>
        <v>47.9445241477273</v>
      </c>
      <c r="R4529" s="0" t="n">
        <f aca="false">SUMPRODUCT(MMULT(G4529:P4529,_XtX!$B$58:$K$67),G4529:P4529)</f>
        <v>0.375727428089489</v>
      </c>
      <c r="S4529" s="0" t="n">
        <f aca="false">04_回帰ANOVA!$K$19*04_回帰ANOVA!$K$14*SQRT(1+R4529)</f>
        <v>1.09051798904087</v>
      </c>
      <c r="T4529" s="0" t="n">
        <f aca="false">Q4529-S4529</f>
        <v>46.8540061586864</v>
      </c>
      <c r="U4529" s="0" t="n">
        <f aca="false">Q4529+S4529</f>
        <v>49.0350421367682</v>
      </c>
      <c r="V4529" s="54" t="b">
        <f aca="false">AND(D4529&gt;=01_因子設定!$L$5-0.000000001,D4529&lt;=01_因子設定!$M$5+0.000000001,E4529&gt;=01_因子設定!$L$6-0.000000001,E4529&lt;=01_因子設定!$M$6+0.000000001,F4529&gt;=01_因子設定!$L$7-0.000000001,F4529&lt;=01_因子設定!$M$7+0.000000001,IF(01_因子設定!$B$20="Box-Behnken",D4529^2+E4529^2+F4529^2&lt;=2+0.000000001,TRUE()))</f>
        <v>1</v>
      </c>
      <c r="W4529" s="55" t="n">
        <f aca="false">IF(V4529,IF(01_因子設定!$B$13="最大化",T4529-01_因子設定!$B$14,IF(01_因子設定!$B$13="最小化",01_因子設定!$B$15-U4529,MIN(T4529-01_因子設定!$B$14,01_因子設定!$B$15-U4529))),-1E+030)</f>
        <v>-1.6459938413136</v>
      </c>
      <c r="X4529" s="55" t="n">
        <f aca="false">IF(V4529,IF(01_因子設定!$B$13="最大化",Q4529,IF(01_因子設定!$B$13="最小化",-Q4529,-ABS(Q4529-01_因子設定!$B$16))),-1E+030)</f>
        <v>47.9445241477273</v>
      </c>
      <c r="Y4529" s="55" t="n">
        <f aca="false">W4529+ROW()*0.000000001</f>
        <v>-1.6459893123136</v>
      </c>
      <c r="Z4529" s="55" t="n">
        <f aca="false">X4529+ROW()*0.000000001</f>
        <v>47.9445286767273</v>
      </c>
    </row>
    <row r="4530" customFormat="false" ht="15" hidden="false" customHeight="false" outlineLevel="0" collapsed="false">
      <c r="A4530" s="0" t="n">
        <v>15</v>
      </c>
      <c r="B4530" s="0" t="n">
        <v>11</v>
      </c>
      <c r="C4530" s="0" t="n">
        <v>3</v>
      </c>
      <c r="D4530" s="0" t="n">
        <f aca="false">-1+A4530*0.125</f>
        <v>0.875</v>
      </c>
      <c r="E4530" s="0" t="n">
        <f aca="false">-1+B4530*0.125</f>
        <v>0.375</v>
      </c>
      <c r="F4530" s="0" t="n">
        <f aca="false">-1+C4530*0.125</f>
        <v>-0.625</v>
      </c>
      <c r="G4530" s="0" t="n">
        <f aca="false">1</f>
        <v>1</v>
      </c>
      <c r="H4530" s="0" t="n">
        <f aca="false">D4530</f>
        <v>0.875</v>
      </c>
      <c r="I4530" s="0" t="n">
        <f aca="false">E4530</f>
        <v>0.375</v>
      </c>
      <c r="J4530" s="0" t="n">
        <f aca="false">F4530</f>
        <v>-0.625</v>
      </c>
      <c r="K4530" s="0" t="n">
        <f aca="false">D4530*E4530</f>
        <v>0.328125</v>
      </c>
      <c r="L4530" s="0" t="n">
        <f aca="false">D4530*F4530</f>
        <v>-0.546875</v>
      </c>
      <c r="M4530" s="0" t="n">
        <f aca="false">E4530*F4530</f>
        <v>-0.234375</v>
      </c>
      <c r="N4530" s="0" t="n">
        <f aca="false">D4530*D4530</f>
        <v>0.765625</v>
      </c>
      <c r="O4530" s="0" t="n">
        <f aca="false">E4530*E4530</f>
        <v>0.140625</v>
      </c>
      <c r="P4530" s="0" t="n">
        <f aca="false">F4530*F4530</f>
        <v>0.390625</v>
      </c>
      <c r="Q4530" s="0" t="n">
        <f aca="false">SUMPRODUCT(G4530:P4530,_XtX!$B$71:$K$71)</f>
        <v>48.3240553977273</v>
      </c>
      <c r="R4530" s="0" t="n">
        <f aca="false">SUMPRODUCT(MMULT(G4530:P4530,_XtX!$B$58:$K$67),G4530:P4530)</f>
        <v>0.337604869495739</v>
      </c>
      <c r="S4530" s="0" t="n">
        <f aca="false">04_回帰ANOVA!$K$19*04_回帰ANOVA!$K$14*SQRT(1+R4530)</f>
        <v>1.07530225516193</v>
      </c>
      <c r="T4530" s="0" t="n">
        <f aca="false">Q4530-S4530</f>
        <v>47.2487531425654</v>
      </c>
      <c r="U4530" s="0" t="n">
        <f aca="false">Q4530+S4530</f>
        <v>49.3993576528892</v>
      </c>
      <c r="V4530" s="54" t="b">
        <f aca="false">AND(D4530&gt;=01_因子設定!$L$5-0.000000001,D4530&lt;=01_因子設定!$M$5+0.000000001,E4530&gt;=01_因子設定!$L$6-0.000000001,E4530&lt;=01_因子設定!$M$6+0.000000001,F4530&gt;=01_因子設定!$L$7-0.000000001,F4530&lt;=01_因子設定!$M$7+0.000000001,IF(01_因子設定!$B$20="Box-Behnken",D4530^2+E4530^2+F4530^2&lt;=2+0.000000001,TRUE()))</f>
        <v>1</v>
      </c>
      <c r="W4530" s="55" t="n">
        <f aca="false">IF(V4530,IF(01_因子設定!$B$13="最大化",T4530-01_因子設定!$B$14,IF(01_因子設定!$B$13="最小化",01_因子設定!$B$15-U4530,MIN(T4530-01_因子設定!$B$14,01_因子設定!$B$15-U4530))),-1E+030)</f>
        <v>-1.25124685743465</v>
      </c>
      <c r="X4530" s="55" t="n">
        <f aca="false">IF(V4530,IF(01_因子設定!$B$13="最大化",Q4530,IF(01_因子設定!$B$13="最小化",-Q4530,-ABS(Q4530-01_因子設定!$B$16))),-1E+030)</f>
        <v>48.3240553977273</v>
      </c>
      <c r="Y4530" s="55" t="n">
        <f aca="false">W4530+ROW()*0.000000001</f>
        <v>-1.25124232743465</v>
      </c>
      <c r="Z4530" s="55" t="n">
        <f aca="false">X4530+ROW()*0.000000001</f>
        <v>48.3240599277273</v>
      </c>
    </row>
    <row r="4531" customFormat="false" ht="15" hidden="false" customHeight="false" outlineLevel="0" collapsed="false">
      <c r="A4531" s="0" t="n">
        <v>15</v>
      </c>
      <c r="B4531" s="0" t="n">
        <v>11</v>
      </c>
      <c r="C4531" s="0" t="n">
        <v>4</v>
      </c>
      <c r="D4531" s="0" t="n">
        <f aca="false">-1+A4531*0.125</f>
        <v>0.875</v>
      </c>
      <c r="E4531" s="0" t="n">
        <f aca="false">-1+B4531*0.125</f>
        <v>0.375</v>
      </c>
      <c r="F4531" s="0" t="n">
        <f aca="false">-1+C4531*0.125</f>
        <v>-0.5</v>
      </c>
      <c r="G4531" s="0" t="n">
        <f aca="false">1</f>
        <v>1</v>
      </c>
      <c r="H4531" s="0" t="n">
        <f aca="false">D4531</f>
        <v>0.875</v>
      </c>
      <c r="I4531" s="0" t="n">
        <f aca="false">E4531</f>
        <v>0.375</v>
      </c>
      <c r="J4531" s="0" t="n">
        <f aca="false">F4531</f>
        <v>-0.5</v>
      </c>
      <c r="K4531" s="0" t="n">
        <f aca="false">D4531*E4531</f>
        <v>0.328125</v>
      </c>
      <c r="L4531" s="0" t="n">
        <f aca="false">D4531*F4531</f>
        <v>-0.4375</v>
      </c>
      <c r="M4531" s="0" t="n">
        <f aca="false">E4531*F4531</f>
        <v>-0.1875</v>
      </c>
      <c r="N4531" s="0" t="n">
        <f aca="false">D4531*D4531</f>
        <v>0.765625</v>
      </c>
      <c r="O4531" s="0" t="n">
        <f aca="false">E4531*E4531</f>
        <v>0.140625</v>
      </c>
      <c r="P4531" s="0" t="n">
        <f aca="false">F4531*F4531</f>
        <v>0.25</v>
      </c>
      <c r="Q4531" s="0" t="n">
        <f aca="false">SUMPRODUCT(G4531:P4531,_XtX!$B$71:$K$71)</f>
        <v>48.666796875</v>
      </c>
      <c r="R4531" s="0" t="n">
        <f aca="false">SUMPRODUCT(MMULT(G4531:P4531,_XtX!$B$58:$K$67),G4531:P4531)</f>
        <v>0.322393798828125</v>
      </c>
      <c r="S4531" s="0" t="n">
        <f aca="false">04_回帰ANOVA!$K$19*04_回帰ANOVA!$K$14*SQRT(1+R4531)</f>
        <v>1.06917067390712</v>
      </c>
      <c r="T4531" s="0" t="n">
        <f aca="false">Q4531-S4531</f>
        <v>47.5976262010929</v>
      </c>
      <c r="U4531" s="0" t="n">
        <f aca="false">Q4531+S4531</f>
        <v>49.7359675489071</v>
      </c>
      <c r="V4531" s="54" t="b">
        <f aca="false">AND(D4531&gt;=01_因子設定!$L$5-0.000000001,D4531&lt;=01_因子設定!$M$5+0.000000001,E4531&gt;=01_因子設定!$L$6-0.000000001,E4531&lt;=01_因子設定!$M$6+0.000000001,F4531&gt;=01_因子設定!$L$7-0.000000001,F4531&lt;=01_因子設定!$M$7+0.000000001,IF(01_因子設定!$B$20="Box-Behnken",D4531^2+E4531^2+F4531^2&lt;=2+0.000000001,TRUE()))</f>
        <v>1</v>
      </c>
      <c r="W4531" s="55" t="n">
        <f aca="false">IF(V4531,IF(01_因子設定!$B$13="最大化",T4531-01_因子設定!$B$14,IF(01_因子設定!$B$13="最小化",01_因子設定!$B$15-U4531,MIN(T4531-01_因子設定!$B$14,01_因子設定!$B$15-U4531))),-1E+030)</f>
        <v>-0.902373798907121</v>
      </c>
      <c r="X4531" s="55" t="n">
        <f aca="false">IF(V4531,IF(01_因子設定!$B$13="最大化",Q4531,IF(01_因子設定!$B$13="最小化",-Q4531,-ABS(Q4531-01_因子設定!$B$16))),-1E+030)</f>
        <v>48.666796875</v>
      </c>
      <c r="Y4531" s="55" t="n">
        <f aca="false">W4531+ROW()*0.000000001</f>
        <v>-0.902369267907121</v>
      </c>
      <c r="Z4531" s="55" t="n">
        <f aca="false">X4531+ROW()*0.000000001</f>
        <v>48.666801406</v>
      </c>
    </row>
    <row r="4532" customFormat="false" ht="15" hidden="false" customHeight="false" outlineLevel="0" collapsed="false">
      <c r="A4532" s="0" t="n">
        <v>15</v>
      </c>
      <c r="B4532" s="0" t="n">
        <v>11</v>
      </c>
      <c r="C4532" s="0" t="n">
        <v>5</v>
      </c>
      <c r="D4532" s="0" t="n">
        <f aca="false">-1+A4532*0.125</f>
        <v>0.875</v>
      </c>
      <c r="E4532" s="0" t="n">
        <f aca="false">-1+B4532*0.125</f>
        <v>0.375</v>
      </c>
      <c r="F4532" s="0" t="n">
        <f aca="false">-1+C4532*0.125</f>
        <v>-0.375</v>
      </c>
      <c r="G4532" s="0" t="n">
        <f aca="false">1</f>
        <v>1</v>
      </c>
      <c r="H4532" s="0" t="n">
        <f aca="false">D4532</f>
        <v>0.875</v>
      </c>
      <c r="I4532" s="0" t="n">
        <f aca="false">E4532</f>
        <v>0.375</v>
      </c>
      <c r="J4532" s="0" t="n">
        <f aca="false">F4532</f>
        <v>-0.375</v>
      </c>
      <c r="K4532" s="0" t="n">
        <f aca="false">D4532*E4532</f>
        <v>0.328125</v>
      </c>
      <c r="L4532" s="0" t="n">
        <f aca="false">D4532*F4532</f>
        <v>-0.328125</v>
      </c>
      <c r="M4532" s="0" t="n">
        <f aca="false">E4532*F4532</f>
        <v>-0.140625</v>
      </c>
      <c r="N4532" s="0" t="n">
        <f aca="false">D4532*D4532</f>
        <v>0.765625</v>
      </c>
      <c r="O4532" s="0" t="n">
        <f aca="false">E4532*E4532</f>
        <v>0.140625</v>
      </c>
      <c r="P4532" s="0" t="n">
        <f aca="false">F4532*F4532</f>
        <v>0.140625</v>
      </c>
      <c r="Q4532" s="0" t="n">
        <f aca="false">SUMPRODUCT(G4532:P4532,_XtX!$B$71:$K$71)</f>
        <v>48.9727485795455</v>
      </c>
      <c r="R4532" s="0" t="n">
        <f aca="false">SUMPRODUCT(MMULT(G4532:P4532,_XtX!$B$58:$K$67),G4532:P4532)</f>
        <v>0.32050614790483</v>
      </c>
      <c r="S4532" s="0" t="n">
        <f aca="false">04_回帰ANOVA!$K$19*04_回帰ANOVA!$K$14*SQRT(1+R4532)</f>
        <v>1.06840730759619</v>
      </c>
      <c r="T4532" s="0" t="n">
        <f aca="false">Q4532-S4532</f>
        <v>47.9043412719493</v>
      </c>
      <c r="U4532" s="0" t="n">
        <f aca="false">Q4532+S4532</f>
        <v>50.0411558871416</v>
      </c>
      <c r="V4532" s="54" t="b">
        <f aca="false">AND(D4532&gt;=01_因子設定!$L$5-0.000000001,D4532&lt;=01_因子設定!$M$5+0.000000001,E4532&gt;=01_因子設定!$L$6-0.000000001,E4532&lt;=01_因子設定!$M$6+0.000000001,F4532&gt;=01_因子設定!$L$7-0.000000001,F4532&lt;=01_因子設定!$M$7+0.000000001,IF(01_因子設定!$B$20="Box-Behnken",D4532^2+E4532^2+F4532^2&lt;=2+0.000000001,TRUE()))</f>
        <v>1</v>
      </c>
      <c r="W4532" s="55" t="n">
        <f aca="false">IF(V4532,IF(01_因子設定!$B$13="最大化",T4532-01_因子設定!$B$14,IF(01_因子設定!$B$13="最小化",01_因子設定!$B$15-U4532,MIN(T4532-01_因子設定!$B$14,01_因子設定!$B$15-U4532))),-1E+030)</f>
        <v>-0.595658728050736</v>
      </c>
      <c r="X4532" s="55" t="n">
        <f aca="false">IF(V4532,IF(01_因子設定!$B$13="最大化",Q4532,IF(01_因子設定!$B$13="最小化",-Q4532,-ABS(Q4532-01_因子設定!$B$16))),-1E+030)</f>
        <v>48.9727485795455</v>
      </c>
      <c r="Y4532" s="55" t="n">
        <f aca="false">W4532+ROW()*0.000000001</f>
        <v>-0.595654196050736</v>
      </c>
      <c r="Z4532" s="55" t="n">
        <f aca="false">X4532+ROW()*0.000000001</f>
        <v>48.9727531115455</v>
      </c>
    </row>
    <row r="4533" customFormat="false" ht="15" hidden="false" customHeight="false" outlineLevel="0" collapsed="false">
      <c r="A4533" s="0" t="n">
        <v>15</v>
      </c>
      <c r="B4533" s="0" t="n">
        <v>11</v>
      </c>
      <c r="C4533" s="0" t="n">
        <v>6</v>
      </c>
      <c r="D4533" s="0" t="n">
        <f aca="false">-1+A4533*0.125</f>
        <v>0.875</v>
      </c>
      <c r="E4533" s="0" t="n">
        <f aca="false">-1+B4533*0.125</f>
        <v>0.375</v>
      </c>
      <c r="F4533" s="0" t="n">
        <f aca="false">-1+C4533*0.125</f>
        <v>-0.25</v>
      </c>
      <c r="G4533" s="0" t="n">
        <f aca="false">1</f>
        <v>1</v>
      </c>
      <c r="H4533" s="0" t="n">
        <f aca="false">D4533</f>
        <v>0.875</v>
      </c>
      <c r="I4533" s="0" t="n">
        <f aca="false">E4533</f>
        <v>0.375</v>
      </c>
      <c r="J4533" s="0" t="n">
        <f aca="false">F4533</f>
        <v>-0.25</v>
      </c>
      <c r="K4533" s="0" t="n">
        <f aca="false">D4533*E4533</f>
        <v>0.328125</v>
      </c>
      <c r="L4533" s="0" t="n">
        <f aca="false">D4533*F4533</f>
        <v>-0.21875</v>
      </c>
      <c r="M4533" s="0" t="n">
        <f aca="false">E4533*F4533</f>
        <v>-0.09375</v>
      </c>
      <c r="N4533" s="0" t="n">
        <f aca="false">D4533*D4533</f>
        <v>0.765625</v>
      </c>
      <c r="O4533" s="0" t="n">
        <f aca="false">E4533*E4533</f>
        <v>0.140625</v>
      </c>
      <c r="P4533" s="0" t="n">
        <f aca="false">F4533*F4533</f>
        <v>0.0625</v>
      </c>
      <c r="Q4533" s="0" t="n">
        <f aca="false">SUMPRODUCT(G4533:P4533,_XtX!$B$71:$K$71)</f>
        <v>49.2419105113636</v>
      </c>
      <c r="R4533" s="0" t="n">
        <f aca="false">SUMPRODUCT(MMULT(G4533:P4533,_XtX!$B$58:$K$67),G4533:P4533)</f>
        <v>0.324484530362216</v>
      </c>
      <c r="S4533" s="0" t="n">
        <f aca="false">04_回帰ANOVA!$K$19*04_回帰ANOVA!$K$14*SQRT(1+R4533)</f>
        <v>1.07001553041279</v>
      </c>
      <c r="T4533" s="0" t="n">
        <f aca="false">Q4533-S4533</f>
        <v>48.1718949809508</v>
      </c>
      <c r="U4533" s="0" t="n">
        <f aca="false">Q4533+S4533</f>
        <v>50.3119260417764</v>
      </c>
      <c r="V4533" s="54" t="b">
        <f aca="false">AND(D4533&gt;=01_因子設定!$L$5-0.000000001,D4533&lt;=01_因子設定!$M$5+0.000000001,E4533&gt;=01_因子設定!$L$6-0.000000001,E4533&lt;=01_因子設定!$M$6+0.000000001,F4533&gt;=01_因子設定!$L$7-0.000000001,F4533&lt;=01_因子設定!$M$7+0.000000001,IF(01_因子設定!$B$20="Box-Behnken",D4533^2+E4533^2+F4533^2&lt;=2+0.000000001,TRUE()))</f>
        <v>1</v>
      </c>
      <c r="W4533" s="55" t="n">
        <f aca="false">IF(V4533,IF(01_因子設定!$B$13="最大化",T4533-01_因子設定!$B$14,IF(01_因子設定!$B$13="最小化",01_因子設定!$B$15-U4533,MIN(T4533-01_因子設定!$B$14,01_因子設定!$B$15-U4533))),-1E+030)</f>
        <v>-0.328105019049161</v>
      </c>
      <c r="X4533" s="55" t="n">
        <f aca="false">IF(V4533,IF(01_因子設定!$B$13="最大化",Q4533,IF(01_因子設定!$B$13="最小化",-Q4533,-ABS(Q4533-01_因子設定!$B$16))),-1E+030)</f>
        <v>49.2419105113636</v>
      </c>
      <c r="Y4533" s="55" t="n">
        <f aca="false">W4533+ROW()*0.000000001</f>
        <v>-0.328100486049161</v>
      </c>
      <c r="Z4533" s="55" t="n">
        <f aca="false">X4533+ROW()*0.000000001</f>
        <v>49.2419150443636</v>
      </c>
    </row>
    <row r="4534" customFormat="false" ht="15" hidden="false" customHeight="false" outlineLevel="0" collapsed="false">
      <c r="A4534" s="0" t="n">
        <v>15</v>
      </c>
      <c r="B4534" s="0" t="n">
        <v>11</v>
      </c>
      <c r="C4534" s="0" t="n">
        <v>7</v>
      </c>
      <c r="D4534" s="0" t="n">
        <f aca="false">-1+A4534*0.125</f>
        <v>0.875</v>
      </c>
      <c r="E4534" s="0" t="n">
        <f aca="false">-1+B4534*0.125</f>
        <v>0.375</v>
      </c>
      <c r="F4534" s="0" t="n">
        <f aca="false">-1+C4534*0.125</f>
        <v>-0.125</v>
      </c>
      <c r="G4534" s="0" t="n">
        <f aca="false">1</f>
        <v>1</v>
      </c>
      <c r="H4534" s="0" t="n">
        <f aca="false">D4534</f>
        <v>0.875</v>
      </c>
      <c r="I4534" s="0" t="n">
        <f aca="false">E4534</f>
        <v>0.375</v>
      </c>
      <c r="J4534" s="0" t="n">
        <f aca="false">F4534</f>
        <v>-0.125</v>
      </c>
      <c r="K4534" s="0" t="n">
        <f aca="false">D4534*E4534</f>
        <v>0.328125</v>
      </c>
      <c r="L4534" s="0" t="n">
        <f aca="false">D4534*F4534</f>
        <v>-0.109375</v>
      </c>
      <c r="M4534" s="0" t="n">
        <f aca="false">E4534*F4534</f>
        <v>-0.046875</v>
      </c>
      <c r="N4534" s="0" t="n">
        <f aca="false">D4534*D4534</f>
        <v>0.765625</v>
      </c>
      <c r="O4534" s="0" t="n">
        <f aca="false">E4534*E4534</f>
        <v>0.140625</v>
      </c>
      <c r="P4534" s="0" t="n">
        <f aca="false">F4534*F4534</f>
        <v>0.015625</v>
      </c>
      <c r="Q4534" s="0" t="n">
        <f aca="false">SUMPRODUCT(G4534:P4534,_XtX!$B$71:$K$71)</f>
        <v>49.4742826704545</v>
      </c>
      <c r="R4534" s="0" t="n">
        <f aca="false">SUMPRODUCT(MMULT(G4534:P4534,_XtX!$B$58:$K$67),G4534:P4534)</f>
        <v>0.32900224165483</v>
      </c>
      <c r="S4534" s="0" t="n">
        <f aca="false">04_回帰ANOVA!$K$19*04_回帰ANOVA!$K$14*SQRT(1+R4534)</f>
        <v>1.07183884583628</v>
      </c>
      <c r="T4534" s="0" t="n">
        <f aca="false">Q4534-S4534</f>
        <v>48.4024438246183</v>
      </c>
      <c r="U4534" s="0" t="n">
        <f aca="false">Q4534+S4534</f>
        <v>50.5461215162908</v>
      </c>
      <c r="V4534" s="54" t="b">
        <f aca="false">AND(D4534&gt;=01_因子設定!$L$5-0.000000001,D4534&lt;=01_因子設定!$M$5+0.000000001,E4534&gt;=01_因子設定!$L$6-0.000000001,E4534&lt;=01_因子設定!$M$6+0.000000001,F4534&gt;=01_因子設定!$L$7-0.000000001,F4534&lt;=01_因子設定!$M$7+0.000000001,IF(01_因子設定!$B$20="Box-Behnken",D4534^2+E4534^2+F4534^2&lt;=2+0.000000001,TRUE()))</f>
        <v>1</v>
      </c>
      <c r="W4534" s="55" t="n">
        <f aca="false">IF(V4534,IF(01_因子設定!$B$13="最大化",T4534-01_因子設定!$B$14,IF(01_因子設定!$B$13="最小化",01_因子設定!$B$15-U4534,MIN(T4534-01_因子設定!$B$14,01_因子設定!$B$15-U4534))),-1E+030)</f>
        <v>-0.0975561753817402</v>
      </c>
      <c r="X4534" s="55" t="n">
        <f aca="false">IF(V4534,IF(01_因子設定!$B$13="最大化",Q4534,IF(01_因子設定!$B$13="最小化",-Q4534,-ABS(Q4534-01_因子設定!$B$16))),-1E+030)</f>
        <v>49.4742826704545</v>
      </c>
      <c r="Y4534" s="55" t="n">
        <f aca="false">W4534+ROW()*0.000000001</f>
        <v>-0.0975516413817402</v>
      </c>
      <c r="Z4534" s="55" t="n">
        <f aca="false">X4534+ROW()*0.000000001</f>
        <v>49.4742872044545</v>
      </c>
    </row>
    <row r="4535" customFormat="false" ht="15" hidden="false" customHeight="false" outlineLevel="0" collapsed="false">
      <c r="A4535" s="0" t="n">
        <v>15</v>
      </c>
      <c r="B4535" s="0" t="n">
        <v>11</v>
      </c>
      <c r="C4535" s="0" t="n">
        <v>8</v>
      </c>
      <c r="D4535" s="0" t="n">
        <f aca="false">-1+A4535*0.125</f>
        <v>0.875</v>
      </c>
      <c r="E4535" s="0" t="n">
        <f aca="false">-1+B4535*0.125</f>
        <v>0.375</v>
      </c>
      <c r="F4535" s="0" t="n">
        <f aca="false">-1+C4535*0.125</f>
        <v>0</v>
      </c>
      <c r="G4535" s="0" t="n">
        <f aca="false">1</f>
        <v>1</v>
      </c>
      <c r="H4535" s="0" t="n">
        <f aca="false">D4535</f>
        <v>0.875</v>
      </c>
      <c r="I4535" s="0" t="n">
        <f aca="false">E4535</f>
        <v>0.375</v>
      </c>
      <c r="J4535" s="0" t="n">
        <f aca="false">F4535</f>
        <v>0</v>
      </c>
      <c r="K4535" s="0" t="n">
        <f aca="false">D4535*E4535</f>
        <v>0.328125</v>
      </c>
      <c r="L4535" s="0" t="n">
        <f aca="false">D4535*F4535</f>
        <v>0</v>
      </c>
      <c r="M4535" s="0" t="n">
        <f aca="false">E4535*F4535</f>
        <v>0</v>
      </c>
      <c r="N4535" s="0" t="n">
        <f aca="false">D4535*D4535</f>
        <v>0.765625</v>
      </c>
      <c r="O4535" s="0" t="n">
        <f aca="false">E4535*E4535</f>
        <v>0.140625</v>
      </c>
      <c r="P4535" s="0" t="n">
        <f aca="false">F4535*F4535</f>
        <v>0</v>
      </c>
      <c r="Q4535" s="0" t="n">
        <f aca="false">SUMPRODUCT(G4535:P4535,_XtX!$B$71:$K$71)</f>
        <v>49.6698650568182</v>
      </c>
      <c r="R4535" s="0" t="n">
        <f aca="false">SUMPRODUCT(MMULT(G4535:P4535,_XtX!$B$58:$K$67),G4535:P4535)</f>
        <v>0.330863259055398</v>
      </c>
      <c r="S4535" s="0" t="n">
        <f aca="false">04_回帰ANOVA!$K$19*04_回帰ANOVA!$K$14*SQRT(1+R4535)</f>
        <v>1.07258903754571</v>
      </c>
      <c r="T4535" s="0" t="n">
        <f aca="false">Q4535-S4535</f>
        <v>48.5972760192725</v>
      </c>
      <c r="U4535" s="0" t="n">
        <f aca="false">Q4535+S4535</f>
        <v>50.7424540943639</v>
      </c>
      <c r="V4535" s="54" t="b">
        <f aca="false">AND(D4535&gt;=01_因子設定!$L$5-0.000000001,D4535&lt;=01_因子設定!$M$5+0.000000001,E4535&gt;=01_因子設定!$L$6-0.000000001,E4535&lt;=01_因子設定!$M$6+0.000000001,F4535&gt;=01_因子設定!$L$7-0.000000001,F4535&lt;=01_因子設定!$M$7+0.000000001,IF(01_因子設定!$B$20="Box-Behnken",D4535^2+E4535^2+F4535^2&lt;=2+0.000000001,TRUE()))</f>
        <v>1</v>
      </c>
      <c r="W4535" s="55" t="n">
        <f aca="false">IF(V4535,IF(01_因子設定!$B$13="最大化",T4535-01_因子設定!$B$14,IF(01_因子設定!$B$13="最小化",01_因子設定!$B$15-U4535,MIN(T4535-01_因子設定!$B$14,01_因子設定!$B$15-U4535))),-1E+030)</f>
        <v>0.0972760192724707</v>
      </c>
      <c r="X4535" s="55" t="n">
        <f aca="false">IF(V4535,IF(01_因子設定!$B$13="最大化",Q4535,IF(01_因子設定!$B$13="最小化",-Q4535,-ABS(Q4535-01_因子設定!$B$16))),-1E+030)</f>
        <v>49.6698650568182</v>
      </c>
      <c r="Y4535" s="55" t="n">
        <f aca="false">W4535+ROW()*0.000000001</f>
        <v>0.0972805542724707</v>
      </c>
      <c r="Z4535" s="55" t="n">
        <f aca="false">X4535+ROW()*0.000000001</f>
        <v>49.6698695918182</v>
      </c>
    </row>
    <row r="4536" customFormat="false" ht="15" hidden="false" customHeight="false" outlineLevel="0" collapsed="false">
      <c r="A4536" s="0" t="n">
        <v>15</v>
      </c>
      <c r="B4536" s="0" t="n">
        <v>11</v>
      </c>
      <c r="C4536" s="0" t="n">
        <v>9</v>
      </c>
      <c r="D4536" s="0" t="n">
        <f aca="false">-1+A4536*0.125</f>
        <v>0.875</v>
      </c>
      <c r="E4536" s="0" t="n">
        <f aca="false">-1+B4536*0.125</f>
        <v>0.375</v>
      </c>
      <c r="F4536" s="0" t="n">
        <f aca="false">-1+C4536*0.125</f>
        <v>0.125</v>
      </c>
      <c r="G4536" s="0" t="n">
        <f aca="false">1</f>
        <v>1</v>
      </c>
      <c r="H4536" s="0" t="n">
        <f aca="false">D4536</f>
        <v>0.875</v>
      </c>
      <c r="I4536" s="0" t="n">
        <f aca="false">E4536</f>
        <v>0.375</v>
      </c>
      <c r="J4536" s="0" t="n">
        <f aca="false">F4536</f>
        <v>0.125</v>
      </c>
      <c r="K4536" s="0" t="n">
        <f aca="false">D4536*E4536</f>
        <v>0.328125</v>
      </c>
      <c r="L4536" s="0" t="n">
        <f aca="false">D4536*F4536</f>
        <v>0.109375</v>
      </c>
      <c r="M4536" s="0" t="n">
        <f aca="false">E4536*F4536</f>
        <v>0.046875</v>
      </c>
      <c r="N4536" s="0" t="n">
        <f aca="false">D4536*D4536</f>
        <v>0.765625</v>
      </c>
      <c r="O4536" s="0" t="n">
        <f aca="false">E4536*E4536</f>
        <v>0.140625</v>
      </c>
      <c r="P4536" s="0" t="n">
        <f aca="false">F4536*F4536</f>
        <v>0.015625</v>
      </c>
      <c r="Q4536" s="0" t="n">
        <f aca="false">SUMPRODUCT(G4536:P4536,_XtX!$B$71:$K$71)</f>
        <v>49.8286576704545</v>
      </c>
      <c r="R4536" s="0" t="n">
        <f aca="false">SUMPRODUCT(MMULT(G4536:P4536,_XtX!$B$58:$K$67),G4536:P4536)</f>
        <v>0.32900224165483</v>
      </c>
      <c r="S4536" s="0" t="n">
        <f aca="false">04_回帰ANOVA!$K$19*04_回帰ANOVA!$K$14*SQRT(1+R4536)</f>
        <v>1.07183884583628</v>
      </c>
      <c r="T4536" s="0" t="n">
        <f aca="false">Q4536-S4536</f>
        <v>48.7568188246183</v>
      </c>
      <c r="U4536" s="0" t="n">
        <f aca="false">Q4536+S4536</f>
        <v>50.9004965162908</v>
      </c>
      <c r="V4536" s="54" t="b">
        <f aca="false">AND(D4536&gt;=01_因子設定!$L$5-0.000000001,D4536&lt;=01_因子設定!$M$5+0.000000001,E4536&gt;=01_因子設定!$L$6-0.000000001,E4536&lt;=01_因子設定!$M$6+0.000000001,F4536&gt;=01_因子設定!$L$7-0.000000001,F4536&lt;=01_因子設定!$M$7+0.000000001,IF(01_因子設定!$B$20="Box-Behnken",D4536^2+E4536^2+F4536^2&lt;=2+0.000000001,TRUE()))</f>
        <v>1</v>
      </c>
      <c r="W4536" s="55" t="n">
        <f aca="false">IF(V4536,IF(01_因子設定!$B$13="最大化",T4536-01_因子設定!$B$14,IF(01_因子設定!$B$13="最小化",01_因子設定!$B$15-U4536,MIN(T4536-01_因子設定!$B$14,01_因子設定!$B$15-U4536))),-1E+030)</f>
        <v>0.256818824618264</v>
      </c>
      <c r="X4536" s="55" t="n">
        <f aca="false">IF(V4536,IF(01_因子設定!$B$13="最大化",Q4536,IF(01_因子設定!$B$13="最小化",-Q4536,-ABS(Q4536-01_因子設定!$B$16))),-1E+030)</f>
        <v>49.8286576704545</v>
      </c>
      <c r="Y4536" s="55" t="n">
        <f aca="false">W4536+ROW()*0.000000001</f>
        <v>0.256823360618264</v>
      </c>
      <c r="Z4536" s="55" t="n">
        <f aca="false">X4536+ROW()*0.000000001</f>
        <v>49.8286622064545</v>
      </c>
    </row>
    <row r="4537" customFormat="false" ht="15" hidden="false" customHeight="false" outlineLevel="0" collapsed="false">
      <c r="A4537" s="0" t="n">
        <v>15</v>
      </c>
      <c r="B4537" s="0" t="n">
        <v>11</v>
      </c>
      <c r="C4537" s="0" t="n">
        <v>10</v>
      </c>
      <c r="D4537" s="0" t="n">
        <f aca="false">-1+A4537*0.125</f>
        <v>0.875</v>
      </c>
      <c r="E4537" s="0" t="n">
        <f aca="false">-1+B4537*0.125</f>
        <v>0.375</v>
      </c>
      <c r="F4537" s="0" t="n">
        <f aca="false">-1+C4537*0.125</f>
        <v>0.25</v>
      </c>
      <c r="G4537" s="0" t="n">
        <f aca="false">1</f>
        <v>1</v>
      </c>
      <c r="H4537" s="0" t="n">
        <f aca="false">D4537</f>
        <v>0.875</v>
      </c>
      <c r="I4537" s="0" t="n">
        <f aca="false">E4537</f>
        <v>0.375</v>
      </c>
      <c r="J4537" s="0" t="n">
        <f aca="false">F4537</f>
        <v>0.25</v>
      </c>
      <c r="K4537" s="0" t="n">
        <f aca="false">D4537*E4537</f>
        <v>0.328125</v>
      </c>
      <c r="L4537" s="0" t="n">
        <f aca="false">D4537*F4537</f>
        <v>0.21875</v>
      </c>
      <c r="M4537" s="0" t="n">
        <f aca="false">E4537*F4537</f>
        <v>0.09375</v>
      </c>
      <c r="N4537" s="0" t="n">
        <f aca="false">D4537*D4537</f>
        <v>0.765625</v>
      </c>
      <c r="O4537" s="0" t="n">
        <f aca="false">E4537*E4537</f>
        <v>0.140625</v>
      </c>
      <c r="P4537" s="0" t="n">
        <f aca="false">F4537*F4537</f>
        <v>0.0625</v>
      </c>
      <c r="Q4537" s="0" t="n">
        <f aca="false">SUMPRODUCT(G4537:P4537,_XtX!$B$71:$K$71)</f>
        <v>49.9506605113636</v>
      </c>
      <c r="R4537" s="0" t="n">
        <f aca="false">SUMPRODUCT(MMULT(G4537:P4537,_XtX!$B$58:$K$67),G4537:P4537)</f>
        <v>0.324484530362216</v>
      </c>
      <c r="S4537" s="0" t="n">
        <f aca="false">04_回帰ANOVA!$K$19*04_回帰ANOVA!$K$14*SQRT(1+R4537)</f>
        <v>1.07001553041279</v>
      </c>
      <c r="T4537" s="0" t="n">
        <f aca="false">Q4537-S4537</f>
        <v>48.8806449809508</v>
      </c>
      <c r="U4537" s="0" t="n">
        <f aca="false">Q4537+S4537</f>
        <v>51.0206760417764</v>
      </c>
      <c r="V4537" s="54" t="b">
        <f aca="false">AND(D4537&gt;=01_因子設定!$L$5-0.000000001,D4537&lt;=01_因子設定!$M$5+0.000000001,E4537&gt;=01_因子設定!$L$6-0.000000001,E4537&lt;=01_因子設定!$M$6+0.000000001,F4537&gt;=01_因子設定!$L$7-0.000000001,F4537&lt;=01_因子設定!$M$7+0.000000001,IF(01_因子設定!$B$20="Box-Behnken",D4537^2+E4537^2+F4537^2&lt;=2+0.000000001,TRUE()))</f>
        <v>1</v>
      </c>
      <c r="W4537" s="55" t="n">
        <f aca="false">IF(V4537,IF(01_因子設定!$B$13="最大化",T4537-01_因子設定!$B$14,IF(01_因子設定!$B$13="最小化",01_因子設定!$B$15-U4537,MIN(T4537-01_因子設定!$B$14,01_因子設定!$B$15-U4537))),-1E+030)</f>
        <v>0.380644980950841</v>
      </c>
      <c r="X4537" s="55" t="n">
        <f aca="false">IF(V4537,IF(01_因子設定!$B$13="最大化",Q4537,IF(01_因子設定!$B$13="最小化",-Q4537,-ABS(Q4537-01_因子設定!$B$16))),-1E+030)</f>
        <v>49.9506605113636</v>
      </c>
      <c r="Y4537" s="55" t="n">
        <f aca="false">W4537+ROW()*0.000000001</f>
        <v>0.380649517950841</v>
      </c>
      <c r="Z4537" s="55" t="n">
        <f aca="false">X4537+ROW()*0.000000001</f>
        <v>49.9506650483636</v>
      </c>
    </row>
    <row r="4538" customFormat="false" ht="15" hidden="false" customHeight="false" outlineLevel="0" collapsed="false">
      <c r="A4538" s="0" t="n">
        <v>15</v>
      </c>
      <c r="B4538" s="0" t="n">
        <v>11</v>
      </c>
      <c r="C4538" s="0" t="n">
        <v>11</v>
      </c>
      <c r="D4538" s="0" t="n">
        <f aca="false">-1+A4538*0.125</f>
        <v>0.875</v>
      </c>
      <c r="E4538" s="0" t="n">
        <f aca="false">-1+B4538*0.125</f>
        <v>0.375</v>
      </c>
      <c r="F4538" s="0" t="n">
        <f aca="false">-1+C4538*0.125</f>
        <v>0.375</v>
      </c>
      <c r="G4538" s="0" t="n">
        <f aca="false">1</f>
        <v>1</v>
      </c>
      <c r="H4538" s="0" t="n">
        <f aca="false">D4538</f>
        <v>0.875</v>
      </c>
      <c r="I4538" s="0" t="n">
        <f aca="false">E4538</f>
        <v>0.375</v>
      </c>
      <c r="J4538" s="0" t="n">
        <f aca="false">F4538</f>
        <v>0.375</v>
      </c>
      <c r="K4538" s="0" t="n">
        <f aca="false">D4538*E4538</f>
        <v>0.328125</v>
      </c>
      <c r="L4538" s="0" t="n">
        <f aca="false">D4538*F4538</f>
        <v>0.328125</v>
      </c>
      <c r="M4538" s="0" t="n">
        <f aca="false">E4538*F4538</f>
        <v>0.140625</v>
      </c>
      <c r="N4538" s="0" t="n">
        <f aca="false">D4538*D4538</f>
        <v>0.765625</v>
      </c>
      <c r="O4538" s="0" t="n">
        <f aca="false">E4538*E4538</f>
        <v>0.140625</v>
      </c>
      <c r="P4538" s="0" t="n">
        <f aca="false">F4538*F4538</f>
        <v>0.140625</v>
      </c>
      <c r="Q4538" s="0" t="n">
        <f aca="false">SUMPRODUCT(G4538:P4538,_XtX!$B$71:$K$71)</f>
        <v>50.0358735795455</v>
      </c>
      <c r="R4538" s="0" t="n">
        <f aca="false">SUMPRODUCT(MMULT(G4538:P4538,_XtX!$B$58:$K$67),G4538:P4538)</f>
        <v>0.32050614790483</v>
      </c>
      <c r="S4538" s="0" t="n">
        <f aca="false">04_回帰ANOVA!$K$19*04_回帰ANOVA!$K$14*SQRT(1+R4538)</f>
        <v>1.06840730759619</v>
      </c>
      <c r="T4538" s="0" t="n">
        <f aca="false">Q4538-S4538</f>
        <v>48.9674662719493</v>
      </c>
      <c r="U4538" s="0" t="n">
        <f aca="false">Q4538+S4538</f>
        <v>51.1042808871416</v>
      </c>
      <c r="V4538" s="54" t="b">
        <f aca="false">AND(D4538&gt;=01_因子設定!$L$5-0.000000001,D4538&lt;=01_因子設定!$M$5+0.000000001,E4538&gt;=01_因子設定!$L$6-0.000000001,E4538&lt;=01_因子設定!$M$6+0.000000001,F4538&gt;=01_因子設定!$L$7-0.000000001,F4538&lt;=01_因子設定!$M$7+0.000000001,IF(01_因子設定!$B$20="Box-Behnken",D4538^2+E4538^2+F4538^2&lt;=2+0.000000001,TRUE()))</f>
        <v>1</v>
      </c>
      <c r="W4538" s="55" t="n">
        <f aca="false">IF(V4538,IF(01_因子設定!$B$13="最大化",T4538-01_因子設定!$B$14,IF(01_因子設定!$B$13="最小化",01_因子設定!$B$15-U4538,MIN(T4538-01_因子設定!$B$14,01_因子設定!$B$15-U4538))),-1E+030)</f>
        <v>0.467466271949263</v>
      </c>
      <c r="X4538" s="55" t="n">
        <f aca="false">IF(V4538,IF(01_因子設定!$B$13="最大化",Q4538,IF(01_因子設定!$B$13="最小化",-Q4538,-ABS(Q4538-01_因子設定!$B$16))),-1E+030)</f>
        <v>50.0358735795455</v>
      </c>
      <c r="Y4538" s="55" t="n">
        <f aca="false">W4538+ROW()*0.000000001</f>
        <v>0.467470809949263</v>
      </c>
      <c r="Z4538" s="55" t="n">
        <f aca="false">X4538+ROW()*0.000000001</f>
        <v>50.0358781175455</v>
      </c>
    </row>
    <row r="4539" customFormat="false" ht="15" hidden="false" customHeight="false" outlineLevel="0" collapsed="false">
      <c r="A4539" s="0" t="n">
        <v>15</v>
      </c>
      <c r="B4539" s="0" t="n">
        <v>11</v>
      </c>
      <c r="C4539" s="0" t="n">
        <v>12</v>
      </c>
      <c r="D4539" s="0" t="n">
        <f aca="false">-1+A4539*0.125</f>
        <v>0.875</v>
      </c>
      <c r="E4539" s="0" t="n">
        <f aca="false">-1+B4539*0.125</f>
        <v>0.375</v>
      </c>
      <c r="F4539" s="0" t="n">
        <f aca="false">-1+C4539*0.125</f>
        <v>0.5</v>
      </c>
      <c r="G4539" s="0" t="n">
        <f aca="false">1</f>
        <v>1</v>
      </c>
      <c r="H4539" s="0" t="n">
        <f aca="false">D4539</f>
        <v>0.875</v>
      </c>
      <c r="I4539" s="0" t="n">
        <f aca="false">E4539</f>
        <v>0.375</v>
      </c>
      <c r="J4539" s="0" t="n">
        <f aca="false">F4539</f>
        <v>0.5</v>
      </c>
      <c r="K4539" s="0" t="n">
        <f aca="false">D4539*E4539</f>
        <v>0.328125</v>
      </c>
      <c r="L4539" s="0" t="n">
        <f aca="false">D4539*F4539</f>
        <v>0.4375</v>
      </c>
      <c r="M4539" s="0" t="n">
        <f aca="false">E4539*F4539</f>
        <v>0.1875</v>
      </c>
      <c r="N4539" s="0" t="n">
        <f aca="false">D4539*D4539</f>
        <v>0.765625</v>
      </c>
      <c r="O4539" s="0" t="n">
        <f aca="false">E4539*E4539</f>
        <v>0.140625</v>
      </c>
      <c r="P4539" s="0" t="n">
        <f aca="false">F4539*F4539</f>
        <v>0.25</v>
      </c>
      <c r="Q4539" s="0" t="n">
        <f aca="false">SUMPRODUCT(G4539:P4539,_XtX!$B$71:$K$71)</f>
        <v>50.084296875</v>
      </c>
      <c r="R4539" s="0" t="n">
        <f aca="false">SUMPRODUCT(MMULT(G4539:P4539,_XtX!$B$58:$K$67),G4539:P4539)</f>
        <v>0.322393798828125</v>
      </c>
      <c r="S4539" s="0" t="n">
        <f aca="false">04_回帰ANOVA!$K$19*04_回帰ANOVA!$K$14*SQRT(1+R4539)</f>
        <v>1.06917067390712</v>
      </c>
      <c r="T4539" s="0" t="n">
        <f aca="false">Q4539-S4539</f>
        <v>49.0151262010929</v>
      </c>
      <c r="U4539" s="0" t="n">
        <f aca="false">Q4539+S4539</f>
        <v>51.1534675489071</v>
      </c>
      <c r="V4539" s="54" t="b">
        <f aca="false">AND(D4539&gt;=01_因子設定!$L$5-0.000000001,D4539&lt;=01_因子設定!$M$5+0.000000001,E4539&gt;=01_因子設定!$L$6-0.000000001,E4539&lt;=01_因子設定!$M$6+0.000000001,F4539&gt;=01_因子設定!$L$7-0.000000001,F4539&lt;=01_因子設定!$M$7+0.000000001,IF(01_因子設定!$B$20="Box-Behnken",D4539^2+E4539^2+F4539^2&lt;=2+0.000000001,TRUE()))</f>
        <v>1</v>
      </c>
      <c r="W4539" s="55" t="n">
        <f aca="false">IF(V4539,IF(01_因子設定!$B$13="最大化",T4539-01_因子設定!$B$14,IF(01_因子設定!$B$13="最小化",01_因子設定!$B$15-U4539,MIN(T4539-01_因子設定!$B$14,01_因子設定!$B$15-U4539))),-1E+030)</f>
        <v>0.515126201092883</v>
      </c>
      <c r="X4539" s="55" t="n">
        <f aca="false">IF(V4539,IF(01_因子設定!$B$13="最大化",Q4539,IF(01_因子設定!$B$13="最小化",-Q4539,-ABS(Q4539-01_因子設定!$B$16))),-1E+030)</f>
        <v>50.084296875</v>
      </c>
      <c r="Y4539" s="55" t="n">
        <f aca="false">W4539+ROW()*0.000000001</f>
        <v>0.515130740092883</v>
      </c>
      <c r="Z4539" s="55" t="n">
        <f aca="false">X4539+ROW()*0.000000001</f>
        <v>50.084301414</v>
      </c>
    </row>
    <row r="4540" customFormat="false" ht="15" hidden="false" customHeight="false" outlineLevel="0" collapsed="false">
      <c r="A4540" s="0" t="n">
        <v>15</v>
      </c>
      <c r="B4540" s="0" t="n">
        <v>11</v>
      </c>
      <c r="C4540" s="0" t="n">
        <v>13</v>
      </c>
      <c r="D4540" s="0" t="n">
        <f aca="false">-1+A4540*0.125</f>
        <v>0.875</v>
      </c>
      <c r="E4540" s="0" t="n">
        <f aca="false">-1+B4540*0.125</f>
        <v>0.375</v>
      </c>
      <c r="F4540" s="0" t="n">
        <f aca="false">-1+C4540*0.125</f>
        <v>0.625</v>
      </c>
      <c r="G4540" s="0" t="n">
        <f aca="false">1</f>
        <v>1</v>
      </c>
      <c r="H4540" s="0" t="n">
        <f aca="false">D4540</f>
        <v>0.875</v>
      </c>
      <c r="I4540" s="0" t="n">
        <f aca="false">E4540</f>
        <v>0.375</v>
      </c>
      <c r="J4540" s="0" t="n">
        <f aca="false">F4540</f>
        <v>0.625</v>
      </c>
      <c r="K4540" s="0" t="n">
        <f aca="false">D4540*E4540</f>
        <v>0.328125</v>
      </c>
      <c r="L4540" s="0" t="n">
        <f aca="false">D4540*F4540</f>
        <v>0.546875</v>
      </c>
      <c r="M4540" s="0" t="n">
        <f aca="false">E4540*F4540</f>
        <v>0.234375</v>
      </c>
      <c r="N4540" s="0" t="n">
        <f aca="false">D4540*D4540</f>
        <v>0.765625</v>
      </c>
      <c r="O4540" s="0" t="n">
        <f aca="false">E4540*E4540</f>
        <v>0.140625</v>
      </c>
      <c r="P4540" s="0" t="n">
        <f aca="false">F4540*F4540</f>
        <v>0.390625</v>
      </c>
      <c r="Q4540" s="0" t="n">
        <f aca="false">SUMPRODUCT(G4540:P4540,_XtX!$B$71:$K$71)</f>
        <v>50.0959303977273</v>
      </c>
      <c r="R4540" s="0" t="n">
        <f aca="false">SUMPRODUCT(MMULT(G4540:P4540,_XtX!$B$58:$K$67),G4540:P4540)</f>
        <v>0.337604869495739</v>
      </c>
      <c r="S4540" s="0" t="n">
        <f aca="false">04_回帰ANOVA!$K$19*04_回帰ANOVA!$K$14*SQRT(1+R4540)</f>
        <v>1.07530225516193</v>
      </c>
      <c r="T4540" s="0" t="n">
        <f aca="false">Q4540-S4540</f>
        <v>49.0206281425653</v>
      </c>
      <c r="U4540" s="0" t="n">
        <f aca="false">Q4540+S4540</f>
        <v>51.1712326528892</v>
      </c>
      <c r="V4540" s="54" t="b">
        <f aca="false">AND(D4540&gt;=01_因子設定!$L$5-0.000000001,D4540&lt;=01_因子設定!$M$5+0.000000001,E4540&gt;=01_因子設定!$L$6-0.000000001,E4540&lt;=01_因子設定!$M$6+0.000000001,F4540&gt;=01_因子設定!$L$7-0.000000001,F4540&lt;=01_因子設定!$M$7+0.000000001,IF(01_因子設定!$B$20="Box-Behnken",D4540^2+E4540^2+F4540^2&lt;=2+0.000000001,TRUE()))</f>
        <v>1</v>
      </c>
      <c r="W4540" s="55" t="n">
        <f aca="false">IF(V4540,IF(01_因子設定!$B$13="最大化",T4540-01_因子設定!$B$14,IF(01_因子設定!$B$13="最小化",01_因子設定!$B$15-U4540,MIN(T4540-01_因子設定!$B$14,01_因子設定!$B$15-U4540))),-1E+030)</f>
        <v>0.520628142565343</v>
      </c>
      <c r="X4540" s="55" t="n">
        <f aca="false">IF(V4540,IF(01_因子設定!$B$13="最大化",Q4540,IF(01_因子設定!$B$13="最小化",-Q4540,-ABS(Q4540-01_因子設定!$B$16))),-1E+030)</f>
        <v>50.0959303977273</v>
      </c>
      <c r="Y4540" s="55" t="n">
        <f aca="false">W4540+ROW()*0.000000001</f>
        <v>0.520632682565343</v>
      </c>
      <c r="Z4540" s="55" t="n">
        <f aca="false">X4540+ROW()*0.000000001</f>
        <v>50.0959349377273</v>
      </c>
    </row>
    <row r="4541" customFormat="false" ht="15" hidden="false" customHeight="false" outlineLevel="0" collapsed="false">
      <c r="A4541" s="0" t="n">
        <v>15</v>
      </c>
      <c r="B4541" s="0" t="n">
        <v>11</v>
      </c>
      <c r="C4541" s="0" t="n">
        <v>14</v>
      </c>
      <c r="D4541" s="0" t="n">
        <f aca="false">-1+A4541*0.125</f>
        <v>0.875</v>
      </c>
      <c r="E4541" s="0" t="n">
        <f aca="false">-1+B4541*0.125</f>
        <v>0.375</v>
      </c>
      <c r="F4541" s="0" t="n">
        <f aca="false">-1+C4541*0.125</f>
        <v>0.75</v>
      </c>
      <c r="G4541" s="0" t="n">
        <f aca="false">1</f>
        <v>1</v>
      </c>
      <c r="H4541" s="0" t="n">
        <f aca="false">D4541</f>
        <v>0.875</v>
      </c>
      <c r="I4541" s="0" t="n">
        <f aca="false">E4541</f>
        <v>0.375</v>
      </c>
      <c r="J4541" s="0" t="n">
        <f aca="false">F4541</f>
        <v>0.75</v>
      </c>
      <c r="K4541" s="0" t="n">
        <f aca="false">D4541*E4541</f>
        <v>0.328125</v>
      </c>
      <c r="L4541" s="0" t="n">
        <f aca="false">D4541*F4541</f>
        <v>0.65625</v>
      </c>
      <c r="M4541" s="0" t="n">
        <f aca="false">E4541*F4541</f>
        <v>0.28125</v>
      </c>
      <c r="N4541" s="0" t="n">
        <f aca="false">D4541*D4541</f>
        <v>0.765625</v>
      </c>
      <c r="O4541" s="0" t="n">
        <f aca="false">E4541*E4541</f>
        <v>0.140625</v>
      </c>
      <c r="P4541" s="0" t="n">
        <f aca="false">F4541*F4541</f>
        <v>0.5625</v>
      </c>
      <c r="Q4541" s="0" t="n">
        <f aca="false">SUMPRODUCT(G4541:P4541,_XtX!$B$71:$K$71)</f>
        <v>50.0707741477273</v>
      </c>
      <c r="R4541" s="0" t="n">
        <f aca="false">SUMPRODUCT(MMULT(G4541:P4541,_XtX!$B$58:$K$67),G4541:P4541)</f>
        <v>0.375727428089489</v>
      </c>
      <c r="S4541" s="0" t="n">
        <f aca="false">04_回帰ANOVA!$K$19*04_回帰ANOVA!$K$14*SQRT(1+R4541)</f>
        <v>1.09051798904087</v>
      </c>
      <c r="T4541" s="0" t="n">
        <f aca="false">Q4541-S4541</f>
        <v>48.9802561586864</v>
      </c>
      <c r="U4541" s="0" t="n">
        <f aca="false">Q4541+S4541</f>
        <v>51.1612921367682</v>
      </c>
      <c r="V4541" s="54" t="b">
        <f aca="false">AND(D4541&gt;=01_因子設定!$L$5-0.000000001,D4541&lt;=01_因子設定!$M$5+0.000000001,E4541&gt;=01_因子設定!$L$6-0.000000001,E4541&lt;=01_因子設定!$M$6+0.000000001,F4541&gt;=01_因子設定!$L$7-0.000000001,F4541&lt;=01_因子設定!$M$7+0.000000001,IF(01_因子設定!$B$20="Box-Behnken",D4541^2+E4541^2+F4541^2&lt;=2+0.000000001,TRUE()))</f>
        <v>1</v>
      </c>
      <c r="W4541" s="55" t="n">
        <f aca="false">IF(V4541,IF(01_因子設定!$B$13="最大化",T4541-01_因子設定!$B$14,IF(01_因子設定!$B$13="最小化",01_因子設定!$B$15-U4541,MIN(T4541-01_因子設定!$B$14,01_因子設定!$B$15-U4541))),-1E+030)</f>
        <v>0.480256158686402</v>
      </c>
      <c r="X4541" s="55" t="n">
        <f aca="false">IF(V4541,IF(01_因子設定!$B$13="最大化",Q4541,IF(01_因子設定!$B$13="最小化",-Q4541,-ABS(Q4541-01_因子設定!$B$16))),-1E+030)</f>
        <v>50.0707741477273</v>
      </c>
      <c r="Y4541" s="55" t="n">
        <f aca="false">W4541+ROW()*0.000000001</f>
        <v>0.480260699686402</v>
      </c>
      <c r="Z4541" s="55" t="n">
        <f aca="false">X4541+ROW()*0.000000001</f>
        <v>50.0707786887273</v>
      </c>
    </row>
    <row r="4542" customFormat="false" ht="15" hidden="false" customHeight="false" outlineLevel="0" collapsed="false">
      <c r="A4542" s="0" t="n">
        <v>15</v>
      </c>
      <c r="B4542" s="0" t="n">
        <v>11</v>
      </c>
      <c r="C4542" s="0" t="n">
        <v>15</v>
      </c>
      <c r="D4542" s="0" t="n">
        <f aca="false">-1+A4542*0.125</f>
        <v>0.875</v>
      </c>
      <c r="E4542" s="0" t="n">
        <f aca="false">-1+B4542*0.125</f>
        <v>0.375</v>
      </c>
      <c r="F4542" s="0" t="n">
        <f aca="false">-1+C4542*0.125</f>
        <v>0.875</v>
      </c>
      <c r="G4542" s="0" t="n">
        <f aca="false">1</f>
        <v>1</v>
      </c>
      <c r="H4542" s="0" t="n">
        <f aca="false">D4542</f>
        <v>0.875</v>
      </c>
      <c r="I4542" s="0" t="n">
        <f aca="false">E4542</f>
        <v>0.375</v>
      </c>
      <c r="J4542" s="0" t="n">
        <f aca="false">F4542</f>
        <v>0.875</v>
      </c>
      <c r="K4542" s="0" t="n">
        <f aca="false">D4542*E4542</f>
        <v>0.328125</v>
      </c>
      <c r="L4542" s="0" t="n">
        <f aca="false">D4542*F4542</f>
        <v>0.765625</v>
      </c>
      <c r="M4542" s="0" t="n">
        <f aca="false">E4542*F4542</f>
        <v>0.328125</v>
      </c>
      <c r="N4542" s="0" t="n">
        <f aca="false">D4542*D4542</f>
        <v>0.765625</v>
      </c>
      <c r="O4542" s="0" t="n">
        <f aca="false">E4542*E4542</f>
        <v>0.140625</v>
      </c>
      <c r="P4542" s="0" t="n">
        <f aca="false">F4542*F4542</f>
        <v>0.765625</v>
      </c>
      <c r="Q4542" s="0" t="n">
        <f aca="false">SUMPRODUCT(G4542:P4542,_XtX!$B$71:$K$71)</f>
        <v>50.008828125</v>
      </c>
      <c r="R4542" s="0" t="n">
        <f aca="false">SUMPRODUCT(MMULT(G4542:P4542,_XtX!$B$58:$K$67),G4542:P4542)</f>
        <v>0.448480224609375</v>
      </c>
      <c r="S4542" s="0" t="n">
        <f aca="false">04_回帰ANOVA!$K$19*04_回帰ANOVA!$K$14*SQRT(1+R4542)</f>
        <v>1.11898153812985</v>
      </c>
      <c r="T4542" s="0" t="n">
        <f aca="false">Q4542-S4542</f>
        <v>48.8898465868702</v>
      </c>
      <c r="U4542" s="0" t="n">
        <f aca="false">Q4542+S4542</f>
        <v>51.1278096631299</v>
      </c>
      <c r="V4542" s="54" t="b">
        <f aca="false">AND(D4542&gt;=01_因子設定!$L$5-0.000000001,D4542&lt;=01_因子設定!$M$5+0.000000001,E4542&gt;=01_因子設定!$L$6-0.000000001,E4542&lt;=01_因子設定!$M$6+0.000000001,F4542&gt;=01_因子設定!$L$7-0.000000001,F4542&lt;=01_因子設定!$M$7+0.000000001,IF(01_因子設定!$B$20="Box-Behnken",D4542^2+E4542^2+F4542^2&lt;=2+0.000000001,TRUE()))</f>
        <v>1</v>
      </c>
      <c r="W4542" s="55" t="n">
        <f aca="false">IF(V4542,IF(01_因子設定!$B$13="最大化",T4542-01_因子設定!$B$14,IF(01_因子設定!$B$13="最小化",01_因子設定!$B$15-U4542,MIN(T4542-01_因子設定!$B$14,01_因子設定!$B$15-U4542))),-1E+030)</f>
        <v>0.389846586870164</v>
      </c>
      <c r="X4542" s="55" t="n">
        <f aca="false">IF(V4542,IF(01_因子設定!$B$13="最大化",Q4542,IF(01_因子設定!$B$13="最小化",-Q4542,-ABS(Q4542-01_因子設定!$B$16))),-1E+030)</f>
        <v>50.008828125</v>
      </c>
      <c r="Y4542" s="55" t="n">
        <f aca="false">W4542+ROW()*0.000000001</f>
        <v>0.389851128870164</v>
      </c>
      <c r="Z4542" s="55" t="n">
        <f aca="false">X4542+ROW()*0.000000001</f>
        <v>50.008832667</v>
      </c>
    </row>
    <row r="4543" customFormat="false" ht="15" hidden="false" customHeight="false" outlineLevel="0" collapsed="false">
      <c r="A4543" s="0" t="n">
        <v>15</v>
      </c>
      <c r="B4543" s="0" t="n">
        <v>11</v>
      </c>
      <c r="C4543" s="0" t="n">
        <v>16</v>
      </c>
      <c r="D4543" s="0" t="n">
        <f aca="false">-1+A4543*0.125</f>
        <v>0.875</v>
      </c>
      <c r="E4543" s="0" t="n">
        <f aca="false">-1+B4543*0.125</f>
        <v>0.375</v>
      </c>
      <c r="F4543" s="0" t="n">
        <f aca="false">-1+C4543*0.125</f>
        <v>1</v>
      </c>
      <c r="G4543" s="0" t="n">
        <f aca="false">1</f>
        <v>1</v>
      </c>
      <c r="H4543" s="0" t="n">
        <f aca="false">D4543</f>
        <v>0.875</v>
      </c>
      <c r="I4543" s="0" t="n">
        <f aca="false">E4543</f>
        <v>0.375</v>
      </c>
      <c r="J4543" s="0" t="n">
        <f aca="false">F4543</f>
        <v>1</v>
      </c>
      <c r="K4543" s="0" t="n">
        <f aca="false">D4543*E4543</f>
        <v>0.328125</v>
      </c>
      <c r="L4543" s="0" t="n">
        <f aca="false">D4543*F4543</f>
        <v>0.875</v>
      </c>
      <c r="M4543" s="0" t="n">
        <f aca="false">E4543*F4543</f>
        <v>0.375</v>
      </c>
      <c r="N4543" s="0" t="n">
        <f aca="false">D4543*D4543</f>
        <v>0.765625</v>
      </c>
      <c r="O4543" s="0" t="n">
        <f aca="false">E4543*E4543</f>
        <v>0.140625</v>
      </c>
      <c r="P4543" s="0" t="n">
        <f aca="false">F4543*F4543</f>
        <v>1</v>
      </c>
      <c r="Q4543" s="0" t="n">
        <f aca="false">SUMPRODUCT(G4543:P4543,_XtX!$B$71:$K$71)</f>
        <v>49.9100923295455</v>
      </c>
      <c r="R4543" s="0" t="n">
        <f aca="false">SUMPRODUCT(MMULT(G4543:P4543,_XtX!$B$58:$K$67),G4543:P4543)</f>
        <v>0.56971269087358</v>
      </c>
      <c r="S4543" s="0" t="n">
        <f aca="false">04_回帰ANOVA!$K$19*04_回帰ANOVA!$K$14*SQRT(1+R4543)</f>
        <v>1.16486801567081</v>
      </c>
      <c r="T4543" s="0" t="n">
        <f aca="false">Q4543-S4543</f>
        <v>48.7452243138747</v>
      </c>
      <c r="U4543" s="0" t="n">
        <f aca="false">Q4543+S4543</f>
        <v>51.0749603452163</v>
      </c>
      <c r="V4543" s="54" t="b">
        <f aca="false">AND(D4543&gt;=01_因子設定!$L$5-0.000000001,D4543&lt;=01_因子設定!$M$5+0.000000001,E4543&gt;=01_因子設定!$L$6-0.000000001,E4543&lt;=01_因子設定!$M$6+0.000000001,F4543&gt;=01_因子設定!$L$7-0.000000001,F4543&lt;=01_因子設定!$M$7+0.000000001,IF(01_因子設定!$B$20="Box-Behnken",D4543^2+E4543^2+F4543^2&lt;=2+0.000000001,TRUE()))</f>
        <v>1</v>
      </c>
      <c r="W4543" s="55" t="n">
        <f aca="false">IF(V4543,IF(01_因子設定!$B$13="最大化",T4543-01_因子設定!$B$14,IF(01_因子設定!$B$13="最小化",01_因子設定!$B$15-U4543,MIN(T4543-01_因子設定!$B$14,01_因子設定!$B$15-U4543))),-1E+030)</f>
        <v>0.245224313874665</v>
      </c>
      <c r="X4543" s="55" t="n">
        <f aca="false">IF(V4543,IF(01_因子設定!$B$13="最大化",Q4543,IF(01_因子設定!$B$13="最小化",-Q4543,-ABS(Q4543-01_因子設定!$B$16))),-1E+030)</f>
        <v>49.9100923295455</v>
      </c>
      <c r="Y4543" s="55" t="n">
        <f aca="false">W4543+ROW()*0.000000001</f>
        <v>0.245228856874665</v>
      </c>
      <c r="Z4543" s="55" t="n">
        <f aca="false">X4543+ROW()*0.000000001</f>
        <v>49.9100968725455</v>
      </c>
    </row>
    <row r="4544" customFormat="false" ht="15" hidden="false" customHeight="false" outlineLevel="0" collapsed="false">
      <c r="A4544" s="0" t="n">
        <v>15</v>
      </c>
      <c r="B4544" s="0" t="n">
        <v>12</v>
      </c>
      <c r="C4544" s="0" t="n">
        <v>0</v>
      </c>
      <c r="D4544" s="0" t="n">
        <f aca="false">-1+A4544*0.125</f>
        <v>0.875</v>
      </c>
      <c r="E4544" s="0" t="n">
        <f aca="false">-1+B4544*0.125</f>
        <v>0.5</v>
      </c>
      <c r="F4544" s="0" t="n">
        <f aca="false">-1+C4544*0.125</f>
        <v>-1</v>
      </c>
      <c r="G4544" s="0" t="n">
        <f aca="false">1</f>
        <v>1</v>
      </c>
      <c r="H4544" s="0" t="n">
        <f aca="false">D4544</f>
        <v>0.875</v>
      </c>
      <c r="I4544" s="0" t="n">
        <f aca="false">E4544</f>
        <v>0.5</v>
      </c>
      <c r="J4544" s="0" t="n">
        <f aca="false">F4544</f>
        <v>-1</v>
      </c>
      <c r="K4544" s="0" t="n">
        <f aca="false">D4544*E4544</f>
        <v>0.4375</v>
      </c>
      <c r="L4544" s="0" t="n">
        <f aca="false">D4544*F4544</f>
        <v>-0.875</v>
      </c>
      <c r="M4544" s="0" t="n">
        <f aca="false">E4544*F4544</f>
        <v>-0.5</v>
      </c>
      <c r="N4544" s="0" t="n">
        <f aca="false">D4544*D4544</f>
        <v>0.765625</v>
      </c>
      <c r="O4544" s="0" t="n">
        <f aca="false">E4544*E4544</f>
        <v>0.25</v>
      </c>
      <c r="P4544" s="0" t="n">
        <f aca="false">F4544*F4544</f>
        <v>1</v>
      </c>
      <c r="Q4544" s="0" t="n">
        <f aca="false">SUMPRODUCT(G4544:P4544,_XtX!$B$71:$K$71)</f>
        <v>47.18984375</v>
      </c>
      <c r="R4544" s="0" t="n">
        <f aca="false">SUMPRODUCT(MMULT(G4544:P4544,_XtX!$B$58:$K$67),G4544:P4544)</f>
        <v>0.55771484375</v>
      </c>
      <c r="S4544" s="0" t="n">
        <f aca="false">04_回帰ANOVA!$K$19*04_回帰ANOVA!$K$14*SQRT(1+R4544)</f>
        <v>1.16040773556467</v>
      </c>
      <c r="T4544" s="0" t="n">
        <f aca="false">Q4544-S4544</f>
        <v>46.0294360144353</v>
      </c>
      <c r="U4544" s="0" t="n">
        <f aca="false">Q4544+S4544</f>
        <v>48.3502514855647</v>
      </c>
      <c r="V4544" s="54" t="b">
        <f aca="false">AND(D4544&gt;=01_因子設定!$L$5-0.000000001,D4544&lt;=01_因子設定!$M$5+0.000000001,E4544&gt;=01_因子設定!$L$6-0.000000001,E4544&lt;=01_因子設定!$M$6+0.000000001,F4544&gt;=01_因子設定!$L$7-0.000000001,F4544&lt;=01_因子設定!$M$7+0.000000001,IF(01_因子設定!$B$20="Box-Behnken",D4544^2+E4544^2+F4544^2&lt;=2+0.000000001,TRUE()))</f>
        <v>1</v>
      </c>
      <c r="W4544" s="55" t="n">
        <f aca="false">IF(V4544,IF(01_因子設定!$B$13="最大化",T4544-01_因子設定!$B$14,IF(01_因子設定!$B$13="最小化",01_因子設定!$B$15-U4544,MIN(T4544-01_因子設定!$B$14,01_因子設定!$B$15-U4544))),-1E+030)</f>
        <v>-2.47056398556466</v>
      </c>
      <c r="X4544" s="55" t="n">
        <f aca="false">IF(V4544,IF(01_因子設定!$B$13="最大化",Q4544,IF(01_因子設定!$B$13="最小化",-Q4544,-ABS(Q4544-01_因子設定!$B$16))),-1E+030)</f>
        <v>47.18984375</v>
      </c>
      <c r="Y4544" s="55" t="n">
        <f aca="false">W4544+ROW()*0.000000001</f>
        <v>-2.47055944156466</v>
      </c>
      <c r="Z4544" s="55" t="n">
        <f aca="false">X4544+ROW()*0.000000001</f>
        <v>47.189848294</v>
      </c>
    </row>
    <row r="4545" customFormat="false" ht="15" hidden="false" customHeight="false" outlineLevel="0" collapsed="false">
      <c r="A4545" s="0" t="n">
        <v>15</v>
      </c>
      <c r="B4545" s="0" t="n">
        <v>12</v>
      </c>
      <c r="C4545" s="0" t="n">
        <v>1</v>
      </c>
      <c r="D4545" s="0" t="n">
        <f aca="false">-1+A4545*0.125</f>
        <v>0.875</v>
      </c>
      <c r="E4545" s="0" t="n">
        <f aca="false">-1+B4545*0.125</f>
        <v>0.5</v>
      </c>
      <c r="F4545" s="0" t="n">
        <f aca="false">-1+C4545*0.125</f>
        <v>-0.875</v>
      </c>
      <c r="G4545" s="0" t="n">
        <f aca="false">1</f>
        <v>1</v>
      </c>
      <c r="H4545" s="0" t="n">
        <f aca="false">D4545</f>
        <v>0.875</v>
      </c>
      <c r="I4545" s="0" t="n">
        <f aca="false">E4545</f>
        <v>0.5</v>
      </c>
      <c r="J4545" s="0" t="n">
        <f aca="false">F4545</f>
        <v>-0.875</v>
      </c>
      <c r="K4545" s="0" t="n">
        <f aca="false">D4545*E4545</f>
        <v>0.4375</v>
      </c>
      <c r="L4545" s="0" t="n">
        <f aca="false">D4545*F4545</f>
        <v>-0.765625</v>
      </c>
      <c r="M4545" s="0" t="n">
        <f aca="false">E4545*F4545</f>
        <v>-0.4375</v>
      </c>
      <c r="N4545" s="0" t="n">
        <f aca="false">D4545*D4545</f>
        <v>0.765625</v>
      </c>
      <c r="O4545" s="0" t="n">
        <f aca="false">E4545*E4545</f>
        <v>0.25</v>
      </c>
      <c r="P4545" s="0" t="n">
        <f aca="false">F4545*F4545</f>
        <v>0.765625</v>
      </c>
      <c r="Q4545" s="0" t="n">
        <f aca="false">SUMPRODUCT(G4545:P4545,_XtX!$B$71:$K$71)</f>
        <v>47.6499857954546</v>
      </c>
      <c r="R4545" s="0" t="n">
        <f aca="false">SUMPRODUCT(MMULT(G4545:P4545,_XtX!$B$58:$K$67),G4545:P4545)</f>
        <v>0.44026933149858</v>
      </c>
      <c r="S4545" s="0" t="n">
        <f aca="false">04_回帰ANOVA!$K$19*04_回帰ANOVA!$K$14*SQRT(1+R4545)</f>
        <v>1.11580548667718</v>
      </c>
      <c r="T4545" s="0" t="n">
        <f aca="false">Q4545-S4545</f>
        <v>46.5341803087774</v>
      </c>
      <c r="U4545" s="0" t="n">
        <f aca="false">Q4545+S4545</f>
        <v>48.7657912821317</v>
      </c>
      <c r="V4545" s="54" t="b">
        <f aca="false">AND(D4545&gt;=01_因子設定!$L$5-0.000000001,D4545&lt;=01_因子設定!$M$5+0.000000001,E4545&gt;=01_因子設定!$L$6-0.000000001,E4545&lt;=01_因子設定!$M$6+0.000000001,F4545&gt;=01_因子設定!$L$7-0.000000001,F4545&lt;=01_因子設定!$M$7+0.000000001,IF(01_因子設定!$B$20="Box-Behnken",D4545^2+E4545^2+F4545^2&lt;=2+0.000000001,TRUE()))</f>
        <v>1</v>
      </c>
      <c r="W4545" s="55" t="n">
        <f aca="false">IF(V4545,IF(01_因子設定!$B$13="最大化",T4545-01_因子設定!$B$14,IF(01_因子設定!$B$13="最小化",01_因子設定!$B$15-U4545,MIN(T4545-01_因子設定!$B$14,01_因子設定!$B$15-U4545))),-1E+030)</f>
        <v>-1.96581969122263</v>
      </c>
      <c r="X4545" s="55" t="n">
        <f aca="false">IF(V4545,IF(01_因子設定!$B$13="最大化",Q4545,IF(01_因子設定!$B$13="最小化",-Q4545,-ABS(Q4545-01_因子設定!$B$16))),-1E+030)</f>
        <v>47.6499857954546</v>
      </c>
      <c r="Y4545" s="55" t="n">
        <f aca="false">W4545+ROW()*0.000000001</f>
        <v>-1.96581514622263</v>
      </c>
      <c r="Z4545" s="55" t="n">
        <f aca="false">X4545+ROW()*0.000000001</f>
        <v>47.6499903404546</v>
      </c>
    </row>
    <row r="4546" customFormat="false" ht="15" hidden="false" customHeight="false" outlineLevel="0" collapsed="false">
      <c r="A4546" s="0" t="n">
        <v>15</v>
      </c>
      <c r="B4546" s="0" t="n">
        <v>12</v>
      </c>
      <c r="C4546" s="0" t="n">
        <v>2</v>
      </c>
      <c r="D4546" s="0" t="n">
        <f aca="false">-1+A4546*0.125</f>
        <v>0.875</v>
      </c>
      <c r="E4546" s="0" t="n">
        <f aca="false">-1+B4546*0.125</f>
        <v>0.5</v>
      </c>
      <c r="F4546" s="0" t="n">
        <f aca="false">-1+C4546*0.125</f>
        <v>-0.75</v>
      </c>
      <c r="G4546" s="0" t="n">
        <f aca="false">1</f>
        <v>1</v>
      </c>
      <c r="H4546" s="0" t="n">
        <f aca="false">D4546</f>
        <v>0.875</v>
      </c>
      <c r="I4546" s="0" t="n">
        <f aca="false">E4546</f>
        <v>0.5</v>
      </c>
      <c r="J4546" s="0" t="n">
        <f aca="false">F4546</f>
        <v>-0.75</v>
      </c>
      <c r="K4546" s="0" t="n">
        <f aca="false">D4546*E4546</f>
        <v>0.4375</v>
      </c>
      <c r="L4546" s="0" t="n">
        <f aca="false">D4546*F4546</f>
        <v>-0.65625</v>
      </c>
      <c r="M4546" s="0" t="n">
        <f aca="false">E4546*F4546</f>
        <v>-0.375</v>
      </c>
      <c r="N4546" s="0" t="n">
        <f aca="false">D4546*D4546</f>
        <v>0.765625</v>
      </c>
      <c r="O4546" s="0" t="n">
        <f aca="false">E4546*E4546</f>
        <v>0.25</v>
      </c>
      <c r="P4546" s="0" t="n">
        <f aca="false">F4546*F4546</f>
        <v>0.5625</v>
      </c>
      <c r="Q4546" s="0" t="n">
        <f aca="false">SUMPRODUCT(G4546:P4546,_XtX!$B$71:$K$71)</f>
        <v>48.0733380681818</v>
      </c>
      <c r="R4546" s="0" t="n">
        <f aca="false">SUMPRODUCT(MMULT(G4546:P4546,_XtX!$B$58:$K$67),G4546:P4546)</f>
        <v>0.370798561789773</v>
      </c>
      <c r="S4546" s="0" t="n">
        <f aca="false">04_回帰ANOVA!$K$19*04_回帰ANOVA!$K$14*SQRT(1+R4546)</f>
        <v>1.08856271788237</v>
      </c>
      <c r="T4546" s="0" t="n">
        <f aca="false">Q4546-S4546</f>
        <v>46.9847753502995</v>
      </c>
      <c r="U4546" s="0" t="n">
        <f aca="false">Q4546+S4546</f>
        <v>49.1619007860642</v>
      </c>
      <c r="V4546" s="54" t="b">
        <f aca="false">AND(D4546&gt;=01_因子設定!$L$5-0.000000001,D4546&lt;=01_因子設定!$M$5+0.000000001,E4546&gt;=01_因子設定!$L$6-0.000000001,E4546&lt;=01_因子設定!$M$6+0.000000001,F4546&gt;=01_因子設定!$L$7-0.000000001,F4546&lt;=01_因子設定!$M$7+0.000000001,IF(01_因子設定!$B$20="Box-Behnken",D4546^2+E4546^2+F4546^2&lt;=2+0.000000001,TRUE()))</f>
        <v>1</v>
      </c>
      <c r="W4546" s="55" t="n">
        <f aca="false">IF(V4546,IF(01_因子設定!$B$13="最大化",T4546-01_因子設定!$B$14,IF(01_因子設定!$B$13="最小化",01_因子設定!$B$15-U4546,MIN(T4546-01_因子設定!$B$14,01_因子設定!$B$15-U4546))),-1E+030)</f>
        <v>-1.51522464970055</v>
      </c>
      <c r="X4546" s="55" t="n">
        <f aca="false">IF(V4546,IF(01_因子設定!$B$13="最大化",Q4546,IF(01_因子設定!$B$13="最小化",-Q4546,-ABS(Q4546-01_因子設定!$B$16))),-1E+030)</f>
        <v>48.0733380681818</v>
      </c>
      <c r="Y4546" s="55" t="n">
        <f aca="false">W4546+ROW()*0.000000001</f>
        <v>-1.51522010370055</v>
      </c>
      <c r="Z4546" s="55" t="n">
        <f aca="false">X4546+ROW()*0.000000001</f>
        <v>48.0733426141818</v>
      </c>
    </row>
    <row r="4547" customFormat="false" ht="15" hidden="false" customHeight="false" outlineLevel="0" collapsed="false">
      <c r="A4547" s="0" t="n">
        <v>15</v>
      </c>
      <c r="B4547" s="0" t="n">
        <v>12</v>
      </c>
      <c r="C4547" s="0" t="n">
        <v>3</v>
      </c>
      <c r="D4547" s="0" t="n">
        <f aca="false">-1+A4547*0.125</f>
        <v>0.875</v>
      </c>
      <c r="E4547" s="0" t="n">
        <f aca="false">-1+B4547*0.125</f>
        <v>0.5</v>
      </c>
      <c r="F4547" s="0" t="n">
        <f aca="false">-1+C4547*0.125</f>
        <v>-0.625</v>
      </c>
      <c r="G4547" s="0" t="n">
        <f aca="false">1</f>
        <v>1</v>
      </c>
      <c r="H4547" s="0" t="n">
        <f aca="false">D4547</f>
        <v>0.875</v>
      </c>
      <c r="I4547" s="0" t="n">
        <f aca="false">E4547</f>
        <v>0.5</v>
      </c>
      <c r="J4547" s="0" t="n">
        <f aca="false">F4547</f>
        <v>-0.625</v>
      </c>
      <c r="K4547" s="0" t="n">
        <f aca="false">D4547*E4547</f>
        <v>0.4375</v>
      </c>
      <c r="L4547" s="0" t="n">
        <f aca="false">D4547*F4547</f>
        <v>-0.546875</v>
      </c>
      <c r="M4547" s="0" t="n">
        <f aca="false">E4547*F4547</f>
        <v>-0.3125</v>
      </c>
      <c r="N4547" s="0" t="n">
        <f aca="false">D4547*D4547</f>
        <v>0.765625</v>
      </c>
      <c r="O4547" s="0" t="n">
        <f aca="false">E4547*E4547</f>
        <v>0.25</v>
      </c>
      <c r="P4547" s="0" t="n">
        <f aca="false">F4547*F4547</f>
        <v>0.390625</v>
      </c>
      <c r="Q4547" s="0" t="n">
        <f aca="false">SUMPRODUCT(G4547:P4547,_XtX!$B$71:$K$71)</f>
        <v>48.4599005681818</v>
      </c>
      <c r="R4547" s="0" t="n">
        <f aca="false">SUMPRODUCT(MMULT(G4547:P4547,_XtX!$B$58:$K$67),G4547:P4547)</f>
        <v>0.335453102805398</v>
      </c>
      <c r="S4547" s="0" t="n">
        <f aca="false">04_回帰ANOVA!$K$19*04_回帰ANOVA!$K$14*SQRT(1+R4547)</f>
        <v>1.07443700305628</v>
      </c>
      <c r="T4547" s="0" t="n">
        <f aca="false">Q4547-S4547</f>
        <v>47.3854635651256</v>
      </c>
      <c r="U4547" s="0" t="n">
        <f aca="false">Q4547+S4547</f>
        <v>49.5343375712381</v>
      </c>
      <c r="V4547" s="54" t="b">
        <f aca="false">AND(D4547&gt;=01_因子設定!$L$5-0.000000001,D4547&lt;=01_因子設定!$M$5+0.000000001,E4547&gt;=01_因子設定!$L$6-0.000000001,E4547&lt;=01_因子設定!$M$6+0.000000001,F4547&gt;=01_因子設定!$L$7-0.000000001,F4547&lt;=01_因子設定!$M$7+0.000000001,IF(01_因子設定!$B$20="Box-Behnken",D4547^2+E4547^2+F4547^2&lt;=2+0.000000001,TRUE()))</f>
        <v>1</v>
      </c>
      <c r="W4547" s="55" t="n">
        <f aca="false">IF(V4547,IF(01_因子設定!$B$13="最大化",T4547-01_因子設定!$B$14,IF(01_因子設定!$B$13="最小化",01_因子設定!$B$15-U4547,MIN(T4547-01_因子設定!$B$14,01_因子設定!$B$15-U4547))),-1E+030)</f>
        <v>-1.11453643487445</v>
      </c>
      <c r="X4547" s="55" t="n">
        <f aca="false">IF(V4547,IF(01_因子設定!$B$13="最大化",Q4547,IF(01_因子設定!$B$13="最小化",-Q4547,-ABS(Q4547-01_因子設定!$B$16))),-1E+030)</f>
        <v>48.4599005681818</v>
      </c>
      <c r="Y4547" s="55" t="n">
        <f aca="false">W4547+ROW()*0.000000001</f>
        <v>-1.11453188787445</v>
      </c>
      <c r="Z4547" s="55" t="n">
        <f aca="false">X4547+ROW()*0.000000001</f>
        <v>48.4599051151818</v>
      </c>
    </row>
    <row r="4548" customFormat="false" ht="15" hidden="false" customHeight="false" outlineLevel="0" collapsed="false">
      <c r="A4548" s="0" t="n">
        <v>15</v>
      </c>
      <c r="B4548" s="0" t="n">
        <v>12</v>
      </c>
      <c r="C4548" s="0" t="n">
        <v>4</v>
      </c>
      <c r="D4548" s="0" t="n">
        <f aca="false">-1+A4548*0.125</f>
        <v>0.875</v>
      </c>
      <c r="E4548" s="0" t="n">
        <f aca="false">-1+B4548*0.125</f>
        <v>0.5</v>
      </c>
      <c r="F4548" s="0" t="n">
        <f aca="false">-1+C4548*0.125</f>
        <v>-0.5</v>
      </c>
      <c r="G4548" s="0" t="n">
        <f aca="false">1</f>
        <v>1</v>
      </c>
      <c r="H4548" s="0" t="n">
        <f aca="false">D4548</f>
        <v>0.875</v>
      </c>
      <c r="I4548" s="0" t="n">
        <f aca="false">E4548</f>
        <v>0.5</v>
      </c>
      <c r="J4548" s="0" t="n">
        <f aca="false">F4548</f>
        <v>-0.5</v>
      </c>
      <c r="K4548" s="0" t="n">
        <f aca="false">D4548*E4548</f>
        <v>0.4375</v>
      </c>
      <c r="L4548" s="0" t="n">
        <f aca="false">D4548*F4548</f>
        <v>-0.4375</v>
      </c>
      <c r="M4548" s="0" t="n">
        <f aca="false">E4548*F4548</f>
        <v>-0.25</v>
      </c>
      <c r="N4548" s="0" t="n">
        <f aca="false">D4548*D4548</f>
        <v>0.765625</v>
      </c>
      <c r="O4548" s="0" t="n">
        <f aca="false">E4548*E4548</f>
        <v>0.25</v>
      </c>
      <c r="P4548" s="0" t="n">
        <f aca="false">F4548*F4548</f>
        <v>0.25</v>
      </c>
      <c r="Q4548" s="0" t="n">
        <f aca="false">SUMPRODUCT(G4548:P4548,_XtX!$B$71:$K$71)</f>
        <v>48.8096732954545</v>
      </c>
      <c r="R4548" s="0" t="n">
        <f aca="false">SUMPRODUCT(MMULT(G4548:P4548,_XtX!$B$58:$K$67),G4548:P4548)</f>
        <v>0.322514204545455</v>
      </c>
      <c r="S4548" s="0" t="n">
        <f aca="false">04_回帰ANOVA!$K$19*04_回帰ANOVA!$K$14*SQRT(1+R4548)</f>
        <v>1.0692193475064</v>
      </c>
      <c r="T4548" s="0" t="n">
        <f aca="false">Q4548-S4548</f>
        <v>47.7404539479481</v>
      </c>
      <c r="U4548" s="0" t="n">
        <f aca="false">Q4548+S4548</f>
        <v>49.878892642961</v>
      </c>
      <c r="V4548" s="54" t="b">
        <f aca="false">AND(D4548&gt;=01_因子設定!$L$5-0.000000001,D4548&lt;=01_因子設定!$M$5+0.000000001,E4548&gt;=01_因子設定!$L$6-0.000000001,E4548&lt;=01_因子設定!$M$6+0.000000001,F4548&gt;=01_因子設定!$L$7-0.000000001,F4548&lt;=01_因子設定!$M$7+0.000000001,IF(01_因子設定!$B$20="Box-Behnken",D4548^2+E4548^2+F4548^2&lt;=2+0.000000001,TRUE()))</f>
        <v>1</v>
      </c>
      <c r="W4548" s="55" t="n">
        <f aca="false">IF(V4548,IF(01_因子設定!$B$13="最大化",T4548-01_因子設定!$B$14,IF(01_因子設定!$B$13="最小化",01_因子設定!$B$15-U4548,MIN(T4548-01_因子設定!$B$14,01_因子設定!$B$15-U4548))),-1E+030)</f>
        <v>-0.75954605205186</v>
      </c>
      <c r="X4548" s="55" t="n">
        <f aca="false">IF(V4548,IF(01_因子設定!$B$13="最大化",Q4548,IF(01_因子設定!$B$13="最小化",-Q4548,-ABS(Q4548-01_因子設定!$B$16))),-1E+030)</f>
        <v>48.8096732954545</v>
      </c>
      <c r="Y4548" s="55" t="n">
        <f aca="false">W4548+ROW()*0.000000001</f>
        <v>-0.75954150405186</v>
      </c>
      <c r="Z4548" s="55" t="n">
        <f aca="false">X4548+ROW()*0.000000001</f>
        <v>48.8096778434545</v>
      </c>
    </row>
    <row r="4549" customFormat="false" ht="15" hidden="false" customHeight="false" outlineLevel="0" collapsed="false">
      <c r="A4549" s="0" t="n">
        <v>15</v>
      </c>
      <c r="B4549" s="0" t="n">
        <v>12</v>
      </c>
      <c r="C4549" s="0" t="n">
        <v>5</v>
      </c>
      <c r="D4549" s="0" t="n">
        <f aca="false">-1+A4549*0.125</f>
        <v>0.875</v>
      </c>
      <c r="E4549" s="0" t="n">
        <f aca="false">-1+B4549*0.125</f>
        <v>0.5</v>
      </c>
      <c r="F4549" s="0" t="n">
        <f aca="false">-1+C4549*0.125</f>
        <v>-0.375</v>
      </c>
      <c r="G4549" s="0" t="n">
        <f aca="false">1</f>
        <v>1</v>
      </c>
      <c r="H4549" s="0" t="n">
        <f aca="false">D4549</f>
        <v>0.875</v>
      </c>
      <c r="I4549" s="0" t="n">
        <f aca="false">E4549</f>
        <v>0.5</v>
      </c>
      <c r="J4549" s="0" t="n">
        <f aca="false">F4549</f>
        <v>-0.375</v>
      </c>
      <c r="K4549" s="0" t="n">
        <f aca="false">D4549*E4549</f>
        <v>0.4375</v>
      </c>
      <c r="L4549" s="0" t="n">
        <f aca="false">D4549*F4549</f>
        <v>-0.328125</v>
      </c>
      <c r="M4549" s="0" t="n">
        <f aca="false">E4549*F4549</f>
        <v>-0.1875</v>
      </c>
      <c r="N4549" s="0" t="n">
        <f aca="false">D4549*D4549</f>
        <v>0.765625</v>
      </c>
      <c r="O4549" s="0" t="n">
        <f aca="false">E4549*E4549</f>
        <v>0.25</v>
      </c>
      <c r="P4549" s="0" t="n">
        <f aca="false">F4549*F4549</f>
        <v>0.140625</v>
      </c>
      <c r="Q4549" s="0" t="n">
        <f aca="false">SUMPRODUCT(G4549:P4549,_XtX!$B$71:$K$71)</f>
        <v>49.12265625</v>
      </c>
      <c r="R4549" s="0" t="n">
        <f aca="false">SUMPRODUCT(MMULT(G4549:P4549,_XtX!$B$58:$K$67),G4549:P4549)</f>
        <v>0.322393798828125</v>
      </c>
      <c r="S4549" s="0" t="n">
        <f aca="false">04_回帰ANOVA!$K$19*04_回帰ANOVA!$K$14*SQRT(1+R4549)</f>
        <v>1.06917067390712</v>
      </c>
      <c r="T4549" s="0" t="n">
        <f aca="false">Q4549-S4549</f>
        <v>48.0534855760929</v>
      </c>
      <c r="U4549" s="0" t="n">
        <f aca="false">Q4549+S4549</f>
        <v>50.1918269239071</v>
      </c>
      <c r="V4549" s="54" t="b">
        <f aca="false">AND(D4549&gt;=01_因子設定!$L$5-0.000000001,D4549&lt;=01_因子設定!$M$5+0.000000001,E4549&gt;=01_因子設定!$L$6-0.000000001,E4549&lt;=01_因子設定!$M$6+0.000000001,F4549&gt;=01_因子設定!$L$7-0.000000001,F4549&lt;=01_因子設定!$M$7+0.000000001,IF(01_因子設定!$B$20="Box-Behnken",D4549^2+E4549^2+F4549^2&lt;=2+0.000000001,TRUE()))</f>
        <v>1</v>
      </c>
      <c r="W4549" s="55" t="n">
        <f aca="false">IF(V4549,IF(01_因子設定!$B$13="最大化",T4549-01_因子設定!$B$14,IF(01_因子設定!$B$13="最小化",01_因子設定!$B$15-U4549,MIN(T4549-01_因子設定!$B$14,01_因子設定!$B$15-U4549))),-1E+030)</f>
        <v>-0.446514423907118</v>
      </c>
      <c r="X4549" s="55" t="n">
        <f aca="false">IF(V4549,IF(01_因子設定!$B$13="最大化",Q4549,IF(01_因子設定!$B$13="最小化",-Q4549,-ABS(Q4549-01_因子設定!$B$16))),-1E+030)</f>
        <v>49.12265625</v>
      </c>
      <c r="Y4549" s="55" t="n">
        <f aca="false">W4549+ROW()*0.000000001</f>
        <v>-0.446509874907118</v>
      </c>
      <c r="Z4549" s="55" t="n">
        <f aca="false">X4549+ROW()*0.000000001</f>
        <v>49.122660799</v>
      </c>
    </row>
    <row r="4550" customFormat="false" ht="15" hidden="false" customHeight="false" outlineLevel="0" collapsed="false">
      <c r="A4550" s="0" t="n">
        <v>15</v>
      </c>
      <c r="B4550" s="0" t="n">
        <v>12</v>
      </c>
      <c r="C4550" s="0" t="n">
        <v>6</v>
      </c>
      <c r="D4550" s="0" t="n">
        <f aca="false">-1+A4550*0.125</f>
        <v>0.875</v>
      </c>
      <c r="E4550" s="0" t="n">
        <f aca="false">-1+B4550*0.125</f>
        <v>0.5</v>
      </c>
      <c r="F4550" s="0" t="n">
        <f aca="false">-1+C4550*0.125</f>
        <v>-0.25</v>
      </c>
      <c r="G4550" s="0" t="n">
        <f aca="false">1</f>
        <v>1</v>
      </c>
      <c r="H4550" s="0" t="n">
        <f aca="false">D4550</f>
        <v>0.875</v>
      </c>
      <c r="I4550" s="0" t="n">
        <f aca="false">E4550</f>
        <v>0.5</v>
      </c>
      <c r="J4550" s="0" t="n">
        <f aca="false">F4550</f>
        <v>-0.25</v>
      </c>
      <c r="K4550" s="0" t="n">
        <f aca="false">D4550*E4550</f>
        <v>0.4375</v>
      </c>
      <c r="L4550" s="0" t="n">
        <f aca="false">D4550*F4550</f>
        <v>-0.21875</v>
      </c>
      <c r="M4550" s="0" t="n">
        <f aca="false">E4550*F4550</f>
        <v>-0.125</v>
      </c>
      <c r="N4550" s="0" t="n">
        <f aca="false">D4550*D4550</f>
        <v>0.765625</v>
      </c>
      <c r="O4550" s="0" t="n">
        <f aca="false">E4550*E4550</f>
        <v>0.25</v>
      </c>
      <c r="P4550" s="0" t="n">
        <f aca="false">F4550*F4550</f>
        <v>0.0625</v>
      </c>
      <c r="Q4550" s="0" t="n">
        <f aca="false">SUMPRODUCT(G4550:P4550,_XtX!$B$71:$K$71)</f>
        <v>49.3988494318182</v>
      </c>
      <c r="R4550" s="0" t="n">
        <f aca="false">SUMPRODUCT(MMULT(G4550:P4550,_XtX!$B$58:$K$67),G4550:P4550)</f>
        <v>0.327634499289773</v>
      </c>
      <c r="S4550" s="0" t="n">
        <f aca="false">04_回帰ANOVA!$K$19*04_回帰ANOVA!$K$14*SQRT(1+R4550)</f>
        <v>1.07128716250217</v>
      </c>
      <c r="T4550" s="0" t="n">
        <f aca="false">Q4550-S4550</f>
        <v>48.327562269316</v>
      </c>
      <c r="U4550" s="0" t="n">
        <f aca="false">Q4550+S4550</f>
        <v>50.4701365943204</v>
      </c>
      <c r="V4550" s="54" t="b">
        <f aca="false">AND(D4550&gt;=01_因子設定!$L$5-0.000000001,D4550&lt;=01_因子設定!$M$5+0.000000001,E4550&gt;=01_因子設定!$L$6-0.000000001,E4550&lt;=01_因子設定!$M$6+0.000000001,F4550&gt;=01_因子設定!$L$7-0.000000001,F4550&lt;=01_因子設定!$M$7+0.000000001,IF(01_因子設定!$B$20="Box-Behnken",D4550^2+E4550^2+F4550^2&lt;=2+0.000000001,TRUE()))</f>
        <v>1</v>
      </c>
      <c r="W4550" s="55" t="n">
        <f aca="false">IF(V4550,IF(01_因子設定!$B$13="最大化",T4550-01_因子設定!$B$14,IF(01_因子設定!$B$13="最小化",01_因子設定!$B$15-U4550,MIN(T4550-01_因子設定!$B$14,01_因子設定!$B$15-U4550))),-1E+030)</f>
        <v>-0.172437730683995</v>
      </c>
      <c r="X4550" s="55" t="n">
        <f aca="false">IF(V4550,IF(01_因子設定!$B$13="最大化",Q4550,IF(01_因子設定!$B$13="最小化",-Q4550,-ABS(Q4550-01_因子設定!$B$16))),-1E+030)</f>
        <v>49.3988494318182</v>
      </c>
      <c r="Y4550" s="55" t="n">
        <f aca="false">W4550+ROW()*0.000000001</f>
        <v>-0.172433180683996</v>
      </c>
      <c r="Z4550" s="55" t="n">
        <f aca="false">X4550+ROW()*0.000000001</f>
        <v>49.3988539818182</v>
      </c>
    </row>
    <row r="4551" customFormat="false" ht="15" hidden="false" customHeight="false" outlineLevel="0" collapsed="false">
      <c r="A4551" s="0" t="n">
        <v>15</v>
      </c>
      <c r="B4551" s="0" t="n">
        <v>12</v>
      </c>
      <c r="C4551" s="0" t="n">
        <v>7</v>
      </c>
      <c r="D4551" s="0" t="n">
        <f aca="false">-1+A4551*0.125</f>
        <v>0.875</v>
      </c>
      <c r="E4551" s="0" t="n">
        <f aca="false">-1+B4551*0.125</f>
        <v>0.5</v>
      </c>
      <c r="F4551" s="0" t="n">
        <f aca="false">-1+C4551*0.125</f>
        <v>-0.125</v>
      </c>
      <c r="G4551" s="0" t="n">
        <f aca="false">1</f>
        <v>1</v>
      </c>
      <c r="H4551" s="0" t="n">
        <f aca="false">D4551</f>
        <v>0.875</v>
      </c>
      <c r="I4551" s="0" t="n">
        <f aca="false">E4551</f>
        <v>0.5</v>
      </c>
      <c r="J4551" s="0" t="n">
        <f aca="false">F4551</f>
        <v>-0.125</v>
      </c>
      <c r="K4551" s="0" t="n">
        <f aca="false">D4551*E4551</f>
        <v>0.4375</v>
      </c>
      <c r="L4551" s="0" t="n">
        <f aca="false">D4551*F4551</f>
        <v>-0.109375</v>
      </c>
      <c r="M4551" s="0" t="n">
        <f aca="false">E4551*F4551</f>
        <v>-0.0625</v>
      </c>
      <c r="N4551" s="0" t="n">
        <f aca="false">D4551*D4551</f>
        <v>0.765625</v>
      </c>
      <c r="O4551" s="0" t="n">
        <f aca="false">E4551*E4551</f>
        <v>0.25</v>
      </c>
      <c r="P4551" s="0" t="n">
        <f aca="false">F4551*F4551</f>
        <v>0.015625</v>
      </c>
      <c r="Q4551" s="0" t="n">
        <f aca="false">SUMPRODUCT(G4551:P4551,_XtX!$B$71:$K$71)</f>
        <v>49.6382528409091</v>
      </c>
      <c r="R4551" s="0" t="n">
        <f aca="false">SUMPRODUCT(MMULT(G4551:P4551,_XtX!$B$58:$K$67),G4551:P4551)</f>
        <v>0.332909601384943</v>
      </c>
      <c r="S4551" s="0" t="n">
        <f aca="false">04_回帰ANOVA!$K$19*04_回帰ANOVA!$K$14*SQRT(1+R4551)</f>
        <v>1.07341333007404</v>
      </c>
      <c r="T4551" s="0" t="n">
        <f aca="false">Q4551-S4551</f>
        <v>48.564839510835</v>
      </c>
      <c r="U4551" s="0" t="n">
        <f aca="false">Q4551+S4551</f>
        <v>50.7116661709831</v>
      </c>
      <c r="V4551" s="54" t="b">
        <f aca="false">AND(D4551&gt;=01_因子設定!$L$5-0.000000001,D4551&lt;=01_因子設定!$M$5+0.000000001,E4551&gt;=01_因子設定!$L$6-0.000000001,E4551&lt;=01_因子設定!$M$6+0.000000001,F4551&gt;=01_因子設定!$L$7-0.000000001,F4551&lt;=01_因子設定!$M$7+0.000000001,IF(01_因子設定!$B$20="Box-Behnken",D4551^2+E4551^2+F4551^2&lt;=2+0.000000001,TRUE()))</f>
        <v>1</v>
      </c>
      <c r="W4551" s="55" t="n">
        <f aca="false">IF(V4551,IF(01_因子設定!$B$13="最大化",T4551-01_因子設定!$B$14,IF(01_因子設定!$B$13="最小化",01_因子設定!$B$15-U4551,MIN(T4551-01_因子設定!$B$14,01_因子設定!$B$15-U4551))),-1E+030)</f>
        <v>0.0648395108350428</v>
      </c>
      <c r="X4551" s="55" t="n">
        <f aca="false">IF(V4551,IF(01_因子設定!$B$13="最大化",Q4551,IF(01_因子設定!$B$13="最小化",-Q4551,-ABS(Q4551-01_因子設定!$B$16))),-1E+030)</f>
        <v>49.6382528409091</v>
      </c>
      <c r="Y4551" s="55" t="n">
        <f aca="false">W4551+ROW()*0.000000001</f>
        <v>0.0648440618350428</v>
      </c>
      <c r="Z4551" s="55" t="n">
        <f aca="false">X4551+ROW()*0.000000001</f>
        <v>49.6382573919091</v>
      </c>
    </row>
    <row r="4552" customFormat="false" ht="15" hidden="false" customHeight="false" outlineLevel="0" collapsed="false">
      <c r="A4552" s="0" t="n">
        <v>15</v>
      </c>
      <c r="B4552" s="0" t="n">
        <v>12</v>
      </c>
      <c r="C4552" s="0" t="n">
        <v>8</v>
      </c>
      <c r="D4552" s="0" t="n">
        <f aca="false">-1+A4552*0.125</f>
        <v>0.875</v>
      </c>
      <c r="E4552" s="0" t="n">
        <f aca="false">-1+B4552*0.125</f>
        <v>0.5</v>
      </c>
      <c r="F4552" s="0" t="n">
        <f aca="false">-1+C4552*0.125</f>
        <v>0</v>
      </c>
      <c r="G4552" s="0" t="n">
        <f aca="false">1</f>
        <v>1</v>
      </c>
      <c r="H4552" s="0" t="n">
        <f aca="false">D4552</f>
        <v>0.875</v>
      </c>
      <c r="I4552" s="0" t="n">
        <f aca="false">E4552</f>
        <v>0.5</v>
      </c>
      <c r="J4552" s="0" t="n">
        <f aca="false">F4552</f>
        <v>0</v>
      </c>
      <c r="K4552" s="0" t="n">
        <f aca="false">D4552*E4552</f>
        <v>0.4375</v>
      </c>
      <c r="L4552" s="0" t="n">
        <f aca="false">D4552*F4552</f>
        <v>0</v>
      </c>
      <c r="M4552" s="0" t="n">
        <f aca="false">E4552*F4552</f>
        <v>0</v>
      </c>
      <c r="N4552" s="0" t="n">
        <f aca="false">D4552*D4552</f>
        <v>0.765625</v>
      </c>
      <c r="O4552" s="0" t="n">
        <f aca="false">E4552*E4552</f>
        <v>0.25</v>
      </c>
      <c r="P4552" s="0" t="n">
        <f aca="false">F4552*F4552</f>
        <v>0</v>
      </c>
      <c r="Q4552" s="0" t="n">
        <f aca="false">SUMPRODUCT(G4552:P4552,_XtX!$B$71:$K$71)</f>
        <v>49.8408664772727</v>
      </c>
      <c r="R4552" s="0" t="n">
        <f aca="false">SUMPRODUCT(MMULT(G4552:P4552,_XtX!$B$58:$K$67),G4552:P4552)</f>
        <v>0.335023082386364</v>
      </c>
      <c r="S4552" s="0" t="n">
        <f aca="false">04_回帰ANOVA!$K$19*04_回帰ANOVA!$K$14*SQRT(1+R4552)</f>
        <v>1.07426400295275</v>
      </c>
      <c r="T4552" s="0" t="n">
        <f aca="false">Q4552-S4552</f>
        <v>48.76660247432</v>
      </c>
      <c r="U4552" s="0" t="n">
        <f aca="false">Q4552+S4552</f>
        <v>50.9151304802255</v>
      </c>
      <c r="V4552" s="54" t="b">
        <f aca="false">AND(D4552&gt;=01_因子設定!$L$5-0.000000001,D4552&lt;=01_因子設定!$M$5+0.000000001,E4552&gt;=01_因子設定!$L$6-0.000000001,E4552&lt;=01_因子設定!$M$6+0.000000001,F4552&gt;=01_因子設定!$L$7-0.000000001,F4552&lt;=01_因子設定!$M$7+0.000000001,IF(01_因子設定!$B$20="Box-Behnken",D4552^2+E4552^2+F4552^2&lt;=2+0.000000001,TRUE()))</f>
        <v>1</v>
      </c>
      <c r="W4552" s="55" t="n">
        <f aca="false">IF(V4552,IF(01_因子設定!$B$13="最大化",T4552-01_因子設定!$B$14,IF(01_因子設定!$B$13="最小化",01_因子設定!$B$15-U4552,MIN(T4552-01_因子設定!$B$14,01_因子設定!$B$15-U4552))),-1E+030)</f>
        <v>0.266602474319967</v>
      </c>
      <c r="X4552" s="55" t="n">
        <f aca="false">IF(V4552,IF(01_因子設定!$B$13="最大化",Q4552,IF(01_因子設定!$B$13="最小化",-Q4552,-ABS(Q4552-01_因子設定!$B$16))),-1E+030)</f>
        <v>49.8408664772727</v>
      </c>
      <c r="Y4552" s="55" t="n">
        <f aca="false">W4552+ROW()*0.000000001</f>
        <v>0.266607026319967</v>
      </c>
      <c r="Z4552" s="55" t="n">
        <f aca="false">X4552+ROW()*0.000000001</f>
        <v>49.8408710292727</v>
      </c>
    </row>
    <row r="4553" customFormat="false" ht="15" hidden="false" customHeight="false" outlineLevel="0" collapsed="false">
      <c r="A4553" s="0" t="n">
        <v>15</v>
      </c>
      <c r="B4553" s="0" t="n">
        <v>12</v>
      </c>
      <c r="C4553" s="0" t="n">
        <v>9</v>
      </c>
      <c r="D4553" s="0" t="n">
        <f aca="false">-1+A4553*0.125</f>
        <v>0.875</v>
      </c>
      <c r="E4553" s="0" t="n">
        <f aca="false">-1+B4553*0.125</f>
        <v>0.5</v>
      </c>
      <c r="F4553" s="0" t="n">
        <f aca="false">-1+C4553*0.125</f>
        <v>0.125</v>
      </c>
      <c r="G4553" s="0" t="n">
        <f aca="false">1</f>
        <v>1</v>
      </c>
      <c r="H4553" s="0" t="n">
        <f aca="false">D4553</f>
        <v>0.875</v>
      </c>
      <c r="I4553" s="0" t="n">
        <f aca="false">E4553</f>
        <v>0.5</v>
      </c>
      <c r="J4553" s="0" t="n">
        <f aca="false">F4553</f>
        <v>0.125</v>
      </c>
      <c r="K4553" s="0" t="n">
        <f aca="false">D4553*E4553</f>
        <v>0.4375</v>
      </c>
      <c r="L4553" s="0" t="n">
        <f aca="false">D4553*F4553</f>
        <v>0.109375</v>
      </c>
      <c r="M4553" s="0" t="n">
        <f aca="false">E4553*F4553</f>
        <v>0.0625</v>
      </c>
      <c r="N4553" s="0" t="n">
        <f aca="false">D4553*D4553</f>
        <v>0.765625</v>
      </c>
      <c r="O4553" s="0" t="n">
        <f aca="false">E4553*E4553</f>
        <v>0.25</v>
      </c>
      <c r="P4553" s="0" t="n">
        <f aca="false">F4553*F4553</f>
        <v>0.015625</v>
      </c>
      <c r="Q4553" s="0" t="n">
        <f aca="false">SUMPRODUCT(G4553:P4553,_XtX!$B$71:$K$71)</f>
        <v>50.0066903409091</v>
      </c>
      <c r="R4553" s="0" t="n">
        <f aca="false">SUMPRODUCT(MMULT(G4553:P4553,_XtX!$B$58:$K$67),G4553:P4553)</f>
        <v>0.332909601384943</v>
      </c>
      <c r="S4553" s="0" t="n">
        <f aca="false">04_回帰ANOVA!$K$19*04_回帰ANOVA!$K$14*SQRT(1+R4553)</f>
        <v>1.07341333007404</v>
      </c>
      <c r="T4553" s="0" t="n">
        <f aca="false">Q4553-S4553</f>
        <v>48.9332770108351</v>
      </c>
      <c r="U4553" s="0" t="n">
        <f aca="false">Q4553+S4553</f>
        <v>51.0801036709831</v>
      </c>
      <c r="V4553" s="54" t="b">
        <f aca="false">AND(D4553&gt;=01_因子設定!$L$5-0.000000001,D4553&lt;=01_因子設定!$M$5+0.000000001,E4553&gt;=01_因子設定!$L$6-0.000000001,E4553&lt;=01_因子設定!$M$6+0.000000001,F4553&gt;=01_因子設定!$L$7-0.000000001,F4553&lt;=01_因子設定!$M$7+0.000000001,IF(01_因子設定!$B$20="Box-Behnken",D4553^2+E4553^2+F4553^2&lt;=2+0.000000001,TRUE()))</f>
        <v>1</v>
      </c>
      <c r="W4553" s="55" t="n">
        <f aca="false">IF(V4553,IF(01_因子設定!$B$13="最大化",T4553-01_因子設定!$B$14,IF(01_因子設定!$B$13="最小化",01_因子設定!$B$15-U4553,MIN(T4553-01_因子設定!$B$14,01_因子設定!$B$15-U4553))),-1E+030)</f>
        <v>0.433277010835049</v>
      </c>
      <c r="X4553" s="55" t="n">
        <f aca="false">IF(V4553,IF(01_因子設定!$B$13="最大化",Q4553,IF(01_因子設定!$B$13="最小化",-Q4553,-ABS(Q4553-01_因子設定!$B$16))),-1E+030)</f>
        <v>50.0066903409091</v>
      </c>
      <c r="Y4553" s="55" t="n">
        <f aca="false">W4553+ROW()*0.000000001</f>
        <v>0.433281563835049</v>
      </c>
      <c r="Z4553" s="55" t="n">
        <f aca="false">X4553+ROW()*0.000000001</f>
        <v>50.0066948939091</v>
      </c>
    </row>
    <row r="4554" customFormat="false" ht="15" hidden="false" customHeight="false" outlineLevel="0" collapsed="false">
      <c r="A4554" s="0" t="n">
        <v>15</v>
      </c>
      <c r="B4554" s="0" t="n">
        <v>12</v>
      </c>
      <c r="C4554" s="0" t="n">
        <v>10</v>
      </c>
      <c r="D4554" s="0" t="n">
        <f aca="false">-1+A4554*0.125</f>
        <v>0.875</v>
      </c>
      <c r="E4554" s="0" t="n">
        <f aca="false">-1+B4554*0.125</f>
        <v>0.5</v>
      </c>
      <c r="F4554" s="0" t="n">
        <f aca="false">-1+C4554*0.125</f>
        <v>0.25</v>
      </c>
      <c r="G4554" s="0" t="n">
        <f aca="false">1</f>
        <v>1</v>
      </c>
      <c r="H4554" s="0" t="n">
        <f aca="false">D4554</f>
        <v>0.875</v>
      </c>
      <c r="I4554" s="0" t="n">
        <f aca="false">E4554</f>
        <v>0.5</v>
      </c>
      <c r="J4554" s="0" t="n">
        <f aca="false">F4554</f>
        <v>0.25</v>
      </c>
      <c r="K4554" s="0" t="n">
        <f aca="false">D4554*E4554</f>
        <v>0.4375</v>
      </c>
      <c r="L4554" s="0" t="n">
        <f aca="false">D4554*F4554</f>
        <v>0.21875</v>
      </c>
      <c r="M4554" s="0" t="n">
        <f aca="false">E4554*F4554</f>
        <v>0.125</v>
      </c>
      <c r="N4554" s="0" t="n">
        <f aca="false">D4554*D4554</f>
        <v>0.765625</v>
      </c>
      <c r="O4554" s="0" t="n">
        <f aca="false">E4554*E4554</f>
        <v>0.25</v>
      </c>
      <c r="P4554" s="0" t="n">
        <f aca="false">F4554*F4554</f>
        <v>0.0625</v>
      </c>
      <c r="Q4554" s="0" t="n">
        <f aca="false">SUMPRODUCT(G4554:P4554,_XtX!$B$71:$K$71)</f>
        <v>50.1357244318182</v>
      </c>
      <c r="R4554" s="0" t="n">
        <f aca="false">SUMPRODUCT(MMULT(G4554:P4554,_XtX!$B$58:$K$67),G4554:P4554)</f>
        <v>0.327634499289773</v>
      </c>
      <c r="S4554" s="0" t="n">
        <f aca="false">04_回帰ANOVA!$K$19*04_回帰ANOVA!$K$14*SQRT(1+R4554)</f>
        <v>1.07128716250217</v>
      </c>
      <c r="T4554" s="0" t="n">
        <f aca="false">Q4554-S4554</f>
        <v>49.064437269316</v>
      </c>
      <c r="U4554" s="0" t="n">
        <f aca="false">Q4554+S4554</f>
        <v>51.2070115943204</v>
      </c>
      <c r="V4554" s="54" t="b">
        <f aca="false">AND(D4554&gt;=01_因子設定!$L$5-0.000000001,D4554&lt;=01_因子設定!$M$5+0.000000001,E4554&gt;=01_因子設定!$L$6-0.000000001,E4554&lt;=01_因子設定!$M$6+0.000000001,F4554&gt;=01_因子設定!$L$7-0.000000001,F4554&lt;=01_因子設定!$M$7+0.000000001,IF(01_因子設定!$B$20="Box-Behnken",D4554^2+E4554^2+F4554^2&lt;=2+0.000000001,TRUE()))</f>
        <v>1</v>
      </c>
      <c r="W4554" s="55" t="n">
        <f aca="false">IF(V4554,IF(01_因子設定!$B$13="最大化",T4554-01_因子設定!$B$14,IF(01_因子設定!$B$13="最小化",01_因子設定!$B$15-U4554,MIN(T4554-01_因子設定!$B$14,01_因子設定!$B$15-U4554))),-1E+030)</f>
        <v>0.564437269316002</v>
      </c>
      <c r="X4554" s="55" t="n">
        <f aca="false">IF(V4554,IF(01_因子設定!$B$13="最大化",Q4554,IF(01_因子設定!$B$13="最小化",-Q4554,-ABS(Q4554-01_因子設定!$B$16))),-1E+030)</f>
        <v>50.1357244318182</v>
      </c>
      <c r="Y4554" s="55" t="n">
        <f aca="false">W4554+ROW()*0.000000001</f>
        <v>0.564441823316002</v>
      </c>
      <c r="Z4554" s="55" t="n">
        <f aca="false">X4554+ROW()*0.000000001</f>
        <v>50.1357289858182</v>
      </c>
    </row>
    <row r="4555" customFormat="false" ht="15" hidden="false" customHeight="false" outlineLevel="0" collapsed="false">
      <c r="A4555" s="0" t="n">
        <v>15</v>
      </c>
      <c r="B4555" s="0" t="n">
        <v>12</v>
      </c>
      <c r="C4555" s="0" t="n">
        <v>11</v>
      </c>
      <c r="D4555" s="0" t="n">
        <f aca="false">-1+A4555*0.125</f>
        <v>0.875</v>
      </c>
      <c r="E4555" s="0" t="n">
        <f aca="false">-1+B4555*0.125</f>
        <v>0.5</v>
      </c>
      <c r="F4555" s="0" t="n">
        <f aca="false">-1+C4555*0.125</f>
        <v>0.375</v>
      </c>
      <c r="G4555" s="0" t="n">
        <f aca="false">1</f>
        <v>1</v>
      </c>
      <c r="H4555" s="0" t="n">
        <f aca="false">D4555</f>
        <v>0.875</v>
      </c>
      <c r="I4555" s="0" t="n">
        <f aca="false">E4555</f>
        <v>0.5</v>
      </c>
      <c r="J4555" s="0" t="n">
        <f aca="false">F4555</f>
        <v>0.375</v>
      </c>
      <c r="K4555" s="0" t="n">
        <f aca="false">D4555*E4555</f>
        <v>0.4375</v>
      </c>
      <c r="L4555" s="0" t="n">
        <f aca="false">D4555*F4555</f>
        <v>0.328125</v>
      </c>
      <c r="M4555" s="0" t="n">
        <f aca="false">E4555*F4555</f>
        <v>0.1875</v>
      </c>
      <c r="N4555" s="0" t="n">
        <f aca="false">D4555*D4555</f>
        <v>0.765625</v>
      </c>
      <c r="O4555" s="0" t="n">
        <f aca="false">E4555*E4555</f>
        <v>0.25</v>
      </c>
      <c r="P4555" s="0" t="n">
        <f aca="false">F4555*F4555</f>
        <v>0.140625</v>
      </c>
      <c r="Q4555" s="0" t="n">
        <f aca="false">SUMPRODUCT(G4555:P4555,_XtX!$B$71:$K$71)</f>
        <v>50.22796875</v>
      </c>
      <c r="R4555" s="0" t="n">
        <f aca="false">SUMPRODUCT(MMULT(G4555:P4555,_XtX!$B$58:$K$67),G4555:P4555)</f>
        <v>0.322393798828125</v>
      </c>
      <c r="S4555" s="0" t="n">
        <f aca="false">04_回帰ANOVA!$K$19*04_回帰ANOVA!$K$14*SQRT(1+R4555)</f>
        <v>1.06917067390712</v>
      </c>
      <c r="T4555" s="0" t="n">
        <f aca="false">Q4555-S4555</f>
        <v>49.1587980760929</v>
      </c>
      <c r="U4555" s="0" t="n">
        <f aca="false">Q4555+S4555</f>
        <v>51.2971394239071</v>
      </c>
      <c r="V4555" s="54" t="b">
        <f aca="false">AND(D4555&gt;=01_因子設定!$L$5-0.000000001,D4555&lt;=01_因子設定!$M$5+0.000000001,E4555&gt;=01_因子設定!$L$6-0.000000001,E4555&lt;=01_因子設定!$M$6+0.000000001,F4555&gt;=01_因子設定!$L$7-0.000000001,F4555&lt;=01_因子設定!$M$7+0.000000001,IF(01_因子設定!$B$20="Box-Behnken",D4555^2+E4555^2+F4555^2&lt;=2+0.000000001,TRUE()))</f>
        <v>1</v>
      </c>
      <c r="W4555" s="55" t="n">
        <f aca="false">IF(V4555,IF(01_因子設定!$B$13="最大化",T4555-01_因子設定!$B$14,IF(01_因子設定!$B$13="最小化",01_因子設定!$B$15-U4555,MIN(T4555-01_因子設定!$B$14,01_因子設定!$B$15-U4555))),-1E+030)</f>
        <v>0.658798076092879</v>
      </c>
      <c r="X4555" s="55" t="n">
        <f aca="false">IF(V4555,IF(01_因子設定!$B$13="最大化",Q4555,IF(01_因子設定!$B$13="最小化",-Q4555,-ABS(Q4555-01_因子設定!$B$16))),-1E+030)</f>
        <v>50.22796875</v>
      </c>
      <c r="Y4555" s="55" t="n">
        <f aca="false">W4555+ROW()*0.000000001</f>
        <v>0.658802631092879</v>
      </c>
      <c r="Z4555" s="55" t="n">
        <f aca="false">X4555+ROW()*0.000000001</f>
        <v>50.227973305</v>
      </c>
    </row>
    <row r="4556" customFormat="false" ht="15" hidden="false" customHeight="false" outlineLevel="0" collapsed="false">
      <c r="A4556" s="0" t="n">
        <v>15</v>
      </c>
      <c r="B4556" s="0" t="n">
        <v>12</v>
      </c>
      <c r="C4556" s="0" t="n">
        <v>12</v>
      </c>
      <c r="D4556" s="0" t="n">
        <f aca="false">-1+A4556*0.125</f>
        <v>0.875</v>
      </c>
      <c r="E4556" s="0" t="n">
        <f aca="false">-1+B4556*0.125</f>
        <v>0.5</v>
      </c>
      <c r="F4556" s="0" t="n">
        <f aca="false">-1+C4556*0.125</f>
        <v>0.5</v>
      </c>
      <c r="G4556" s="0" t="n">
        <f aca="false">1</f>
        <v>1</v>
      </c>
      <c r="H4556" s="0" t="n">
        <f aca="false">D4556</f>
        <v>0.875</v>
      </c>
      <c r="I4556" s="0" t="n">
        <f aca="false">E4556</f>
        <v>0.5</v>
      </c>
      <c r="J4556" s="0" t="n">
        <f aca="false">F4556</f>
        <v>0.5</v>
      </c>
      <c r="K4556" s="0" t="n">
        <f aca="false">D4556*E4556</f>
        <v>0.4375</v>
      </c>
      <c r="L4556" s="0" t="n">
        <f aca="false">D4556*F4556</f>
        <v>0.4375</v>
      </c>
      <c r="M4556" s="0" t="n">
        <f aca="false">E4556*F4556</f>
        <v>0.25</v>
      </c>
      <c r="N4556" s="0" t="n">
        <f aca="false">D4556*D4556</f>
        <v>0.765625</v>
      </c>
      <c r="O4556" s="0" t="n">
        <f aca="false">E4556*E4556</f>
        <v>0.25</v>
      </c>
      <c r="P4556" s="0" t="n">
        <f aca="false">F4556*F4556</f>
        <v>0.25</v>
      </c>
      <c r="Q4556" s="0" t="n">
        <f aca="false">SUMPRODUCT(G4556:P4556,_XtX!$B$71:$K$71)</f>
        <v>50.2834232954546</v>
      </c>
      <c r="R4556" s="0" t="n">
        <f aca="false">SUMPRODUCT(MMULT(G4556:P4556,_XtX!$B$58:$K$67),G4556:P4556)</f>
        <v>0.322514204545455</v>
      </c>
      <c r="S4556" s="0" t="n">
        <f aca="false">04_回帰ANOVA!$K$19*04_回帰ANOVA!$K$14*SQRT(1+R4556)</f>
        <v>1.0692193475064</v>
      </c>
      <c r="T4556" s="0" t="n">
        <f aca="false">Q4556-S4556</f>
        <v>49.2142039479481</v>
      </c>
      <c r="U4556" s="0" t="n">
        <f aca="false">Q4556+S4556</f>
        <v>51.352642642961</v>
      </c>
      <c r="V4556" s="54" t="b">
        <f aca="false">AND(D4556&gt;=01_因子設定!$L$5-0.000000001,D4556&lt;=01_因子設定!$M$5+0.000000001,E4556&gt;=01_因子設定!$L$6-0.000000001,E4556&lt;=01_因子設定!$M$6+0.000000001,F4556&gt;=01_因子設定!$L$7-0.000000001,F4556&lt;=01_因子設定!$M$7+0.000000001,IF(01_因子設定!$B$20="Box-Behnken",D4556^2+E4556^2+F4556^2&lt;=2+0.000000001,TRUE()))</f>
        <v>1</v>
      </c>
      <c r="W4556" s="55" t="n">
        <f aca="false">IF(V4556,IF(01_因子設定!$B$13="最大化",T4556-01_因子設定!$B$14,IF(01_因子設定!$B$13="最小化",01_因子設定!$B$15-U4556,MIN(T4556-01_因子設定!$B$14,01_因子設定!$B$15-U4556))),-1E+030)</f>
        <v>0.714203947948143</v>
      </c>
      <c r="X4556" s="55" t="n">
        <f aca="false">IF(V4556,IF(01_因子設定!$B$13="最大化",Q4556,IF(01_因子設定!$B$13="最小化",-Q4556,-ABS(Q4556-01_因子設定!$B$16))),-1E+030)</f>
        <v>50.2834232954546</v>
      </c>
      <c r="Y4556" s="55" t="n">
        <f aca="false">W4556+ROW()*0.000000001</f>
        <v>0.714208503948143</v>
      </c>
      <c r="Z4556" s="55" t="n">
        <f aca="false">X4556+ROW()*0.000000001</f>
        <v>50.2834278514546</v>
      </c>
    </row>
    <row r="4557" customFormat="false" ht="15" hidden="false" customHeight="false" outlineLevel="0" collapsed="false">
      <c r="A4557" s="0" t="n">
        <v>15</v>
      </c>
      <c r="B4557" s="0" t="n">
        <v>12</v>
      </c>
      <c r="C4557" s="0" t="n">
        <v>13</v>
      </c>
      <c r="D4557" s="0" t="n">
        <f aca="false">-1+A4557*0.125</f>
        <v>0.875</v>
      </c>
      <c r="E4557" s="0" t="n">
        <f aca="false">-1+B4557*0.125</f>
        <v>0.5</v>
      </c>
      <c r="F4557" s="0" t="n">
        <f aca="false">-1+C4557*0.125</f>
        <v>0.625</v>
      </c>
      <c r="G4557" s="0" t="n">
        <f aca="false">1</f>
        <v>1</v>
      </c>
      <c r="H4557" s="0" t="n">
        <f aca="false">D4557</f>
        <v>0.875</v>
      </c>
      <c r="I4557" s="0" t="n">
        <f aca="false">E4557</f>
        <v>0.5</v>
      </c>
      <c r="J4557" s="0" t="n">
        <f aca="false">F4557</f>
        <v>0.625</v>
      </c>
      <c r="K4557" s="0" t="n">
        <f aca="false">D4557*E4557</f>
        <v>0.4375</v>
      </c>
      <c r="L4557" s="0" t="n">
        <f aca="false">D4557*F4557</f>
        <v>0.546875</v>
      </c>
      <c r="M4557" s="0" t="n">
        <f aca="false">E4557*F4557</f>
        <v>0.3125</v>
      </c>
      <c r="N4557" s="0" t="n">
        <f aca="false">D4557*D4557</f>
        <v>0.765625</v>
      </c>
      <c r="O4557" s="0" t="n">
        <f aca="false">E4557*E4557</f>
        <v>0.25</v>
      </c>
      <c r="P4557" s="0" t="n">
        <f aca="false">F4557*F4557</f>
        <v>0.390625</v>
      </c>
      <c r="Q4557" s="0" t="n">
        <f aca="false">SUMPRODUCT(G4557:P4557,_XtX!$B$71:$K$71)</f>
        <v>50.3020880681818</v>
      </c>
      <c r="R4557" s="0" t="n">
        <f aca="false">SUMPRODUCT(MMULT(G4557:P4557,_XtX!$B$58:$K$67),G4557:P4557)</f>
        <v>0.335453102805398</v>
      </c>
      <c r="S4557" s="0" t="n">
        <f aca="false">04_回帰ANOVA!$K$19*04_回帰ANOVA!$K$14*SQRT(1+R4557)</f>
        <v>1.07443700305628</v>
      </c>
      <c r="T4557" s="0" t="n">
        <f aca="false">Q4557-S4557</f>
        <v>49.2276510651255</v>
      </c>
      <c r="U4557" s="0" t="n">
        <f aca="false">Q4557+S4557</f>
        <v>51.3765250712381</v>
      </c>
      <c r="V4557" s="54" t="b">
        <f aca="false">AND(D4557&gt;=01_因子設定!$L$5-0.000000001,D4557&lt;=01_因子設定!$M$5+0.000000001,E4557&gt;=01_因子設定!$L$6-0.000000001,E4557&lt;=01_因子設定!$M$6+0.000000001,F4557&gt;=01_因子設定!$L$7-0.000000001,F4557&lt;=01_因子設定!$M$7+0.000000001,IF(01_因子設定!$B$20="Box-Behnken",D4557^2+E4557^2+F4557^2&lt;=2+0.000000001,TRUE()))</f>
        <v>1</v>
      </c>
      <c r="W4557" s="55" t="n">
        <f aca="false">IF(V4557,IF(01_因子設定!$B$13="最大化",T4557-01_因子設定!$B$14,IF(01_因子設定!$B$13="最小化",01_因子設定!$B$15-U4557,MIN(T4557-01_因子設定!$B$14,01_因子設定!$B$15-U4557))),-1E+030)</f>
        <v>0.727651065125542</v>
      </c>
      <c r="X4557" s="55" t="n">
        <f aca="false">IF(V4557,IF(01_因子設定!$B$13="最大化",Q4557,IF(01_因子設定!$B$13="最小化",-Q4557,-ABS(Q4557-01_因子設定!$B$16))),-1E+030)</f>
        <v>50.3020880681818</v>
      </c>
      <c r="Y4557" s="55" t="n">
        <f aca="false">W4557+ROW()*0.000000001</f>
        <v>0.727655622125542</v>
      </c>
      <c r="Z4557" s="55" t="n">
        <f aca="false">X4557+ROW()*0.000000001</f>
        <v>50.3020926251818</v>
      </c>
    </row>
    <row r="4558" customFormat="false" ht="15" hidden="false" customHeight="false" outlineLevel="0" collapsed="false">
      <c r="A4558" s="0" t="n">
        <v>15</v>
      </c>
      <c r="B4558" s="0" t="n">
        <v>12</v>
      </c>
      <c r="C4558" s="0" t="n">
        <v>14</v>
      </c>
      <c r="D4558" s="0" t="n">
        <f aca="false">-1+A4558*0.125</f>
        <v>0.875</v>
      </c>
      <c r="E4558" s="0" t="n">
        <f aca="false">-1+B4558*0.125</f>
        <v>0.5</v>
      </c>
      <c r="F4558" s="0" t="n">
        <f aca="false">-1+C4558*0.125</f>
        <v>0.75</v>
      </c>
      <c r="G4558" s="0" t="n">
        <f aca="false">1</f>
        <v>1</v>
      </c>
      <c r="H4558" s="0" t="n">
        <f aca="false">D4558</f>
        <v>0.875</v>
      </c>
      <c r="I4558" s="0" t="n">
        <f aca="false">E4558</f>
        <v>0.5</v>
      </c>
      <c r="J4558" s="0" t="n">
        <f aca="false">F4558</f>
        <v>0.75</v>
      </c>
      <c r="K4558" s="0" t="n">
        <f aca="false">D4558*E4558</f>
        <v>0.4375</v>
      </c>
      <c r="L4558" s="0" t="n">
        <f aca="false">D4558*F4558</f>
        <v>0.65625</v>
      </c>
      <c r="M4558" s="0" t="n">
        <f aca="false">E4558*F4558</f>
        <v>0.375</v>
      </c>
      <c r="N4558" s="0" t="n">
        <f aca="false">D4558*D4558</f>
        <v>0.765625</v>
      </c>
      <c r="O4558" s="0" t="n">
        <f aca="false">E4558*E4558</f>
        <v>0.25</v>
      </c>
      <c r="P4558" s="0" t="n">
        <f aca="false">F4558*F4558</f>
        <v>0.5625</v>
      </c>
      <c r="Q4558" s="0" t="n">
        <f aca="false">SUMPRODUCT(G4558:P4558,_XtX!$B$71:$K$71)</f>
        <v>50.2839630681818</v>
      </c>
      <c r="R4558" s="0" t="n">
        <f aca="false">SUMPRODUCT(MMULT(G4558:P4558,_XtX!$B$58:$K$67),G4558:P4558)</f>
        <v>0.370798561789773</v>
      </c>
      <c r="S4558" s="0" t="n">
        <f aca="false">04_回帰ANOVA!$K$19*04_回帰ANOVA!$K$14*SQRT(1+R4558)</f>
        <v>1.08856271788237</v>
      </c>
      <c r="T4558" s="0" t="n">
        <f aca="false">Q4558-S4558</f>
        <v>49.1954003502995</v>
      </c>
      <c r="U4558" s="0" t="n">
        <f aca="false">Q4558+S4558</f>
        <v>51.3725257860642</v>
      </c>
      <c r="V4558" s="54" t="b">
        <f aca="false">AND(D4558&gt;=01_因子設定!$L$5-0.000000001,D4558&lt;=01_因子設定!$M$5+0.000000001,E4558&gt;=01_因子設定!$L$6-0.000000001,E4558&lt;=01_因子設定!$M$6+0.000000001,F4558&gt;=01_因子設定!$L$7-0.000000001,F4558&lt;=01_因子設定!$M$7+0.000000001,IF(01_因子設定!$B$20="Box-Behnken",D4558^2+E4558^2+F4558^2&lt;=2+0.000000001,TRUE()))</f>
        <v>1</v>
      </c>
      <c r="W4558" s="55" t="n">
        <f aca="false">IF(V4558,IF(01_因子設定!$B$13="最大化",T4558-01_因子設定!$B$14,IF(01_因子設定!$B$13="最小化",01_因子設定!$B$15-U4558,MIN(T4558-01_因子設定!$B$14,01_因子設定!$B$15-U4558))),-1E+030)</f>
        <v>0.695400350299451</v>
      </c>
      <c r="X4558" s="55" t="n">
        <f aca="false">IF(V4558,IF(01_因子設定!$B$13="最大化",Q4558,IF(01_因子設定!$B$13="最小化",-Q4558,-ABS(Q4558-01_因子設定!$B$16))),-1E+030)</f>
        <v>50.2839630681818</v>
      </c>
      <c r="Y4558" s="55" t="n">
        <f aca="false">W4558+ROW()*0.000000001</f>
        <v>0.695404908299451</v>
      </c>
      <c r="Z4558" s="55" t="n">
        <f aca="false">X4558+ROW()*0.000000001</f>
        <v>50.2839676261818</v>
      </c>
    </row>
    <row r="4559" customFormat="false" ht="15" hidden="false" customHeight="false" outlineLevel="0" collapsed="false">
      <c r="A4559" s="0" t="n">
        <v>15</v>
      </c>
      <c r="B4559" s="0" t="n">
        <v>12</v>
      </c>
      <c r="C4559" s="0" t="n">
        <v>15</v>
      </c>
      <c r="D4559" s="0" t="n">
        <f aca="false">-1+A4559*0.125</f>
        <v>0.875</v>
      </c>
      <c r="E4559" s="0" t="n">
        <f aca="false">-1+B4559*0.125</f>
        <v>0.5</v>
      </c>
      <c r="F4559" s="0" t="n">
        <f aca="false">-1+C4559*0.125</f>
        <v>0.875</v>
      </c>
      <c r="G4559" s="0" t="n">
        <f aca="false">1</f>
        <v>1</v>
      </c>
      <c r="H4559" s="0" t="n">
        <f aca="false">D4559</f>
        <v>0.875</v>
      </c>
      <c r="I4559" s="0" t="n">
        <f aca="false">E4559</f>
        <v>0.5</v>
      </c>
      <c r="J4559" s="0" t="n">
        <f aca="false">F4559</f>
        <v>0.875</v>
      </c>
      <c r="K4559" s="0" t="n">
        <f aca="false">D4559*E4559</f>
        <v>0.4375</v>
      </c>
      <c r="L4559" s="0" t="n">
        <f aca="false">D4559*F4559</f>
        <v>0.765625</v>
      </c>
      <c r="M4559" s="0" t="n">
        <f aca="false">E4559*F4559</f>
        <v>0.4375</v>
      </c>
      <c r="N4559" s="0" t="n">
        <f aca="false">D4559*D4559</f>
        <v>0.765625</v>
      </c>
      <c r="O4559" s="0" t="n">
        <f aca="false">E4559*E4559</f>
        <v>0.25</v>
      </c>
      <c r="P4559" s="0" t="n">
        <f aca="false">F4559*F4559</f>
        <v>0.765625</v>
      </c>
      <c r="Q4559" s="0" t="n">
        <f aca="false">SUMPRODUCT(G4559:P4559,_XtX!$B$71:$K$71)</f>
        <v>50.2290482954546</v>
      </c>
      <c r="R4559" s="0" t="n">
        <f aca="false">SUMPRODUCT(MMULT(G4559:P4559,_XtX!$B$58:$K$67),G4559:P4559)</f>
        <v>0.44026933149858</v>
      </c>
      <c r="S4559" s="0" t="n">
        <f aca="false">04_回帰ANOVA!$K$19*04_回帰ANOVA!$K$14*SQRT(1+R4559)</f>
        <v>1.11580548667718</v>
      </c>
      <c r="T4559" s="0" t="n">
        <f aca="false">Q4559-S4559</f>
        <v>49.1132428087774</v>
      </c>
      <c r="U4559" s="0" t="n">
        <f aca="false">Q4559+S4559</f>
        <v>51.3448537821317</v>
      </c>
      <c r="V4559" s="54" t="b">
        <f aca="false">AND(D4559&gt;=01_因子設定!$L$5-0.000000001,D4559&lt;=01_因子設定!$M$5+0.000000001,E4559&gt;=01_因子設定!$L$6-0.000000001,E4559&lt;=01_因子設定!$M$6+0.000000001,F4559&gt;=01_因子設定!$L$7-0.000000001,F4559&lt;=01_因子設定!$M$7+0.000000001,IF(01_因子設定!$B$20="Box-Behnken",D4559^2+E4559^2+F4559^2&lt;=2+0.000000001,TRUE()))</f>
        <v>1</v>
      </c>
      <c r="W4559" s="55" t="n">
        <f aca="false">IF(V4559,IF(01_因子設定!$B$13="最大化",T4559-01_因子設定!$B$14,IF(01_因子設定!$B$13="最小化",01_因子設定!$B$15-U4559,MIN(T4559-01_因子設定!$B$14,01_因子設定!$B$15-U4559))),-1E+030)</f>
        <v>0.613242808777372</v>
      </c>
      <c r="X4559" s="55" t="n">
        <f aca="false">IF(V4559,IF(01_因子設定!$B$13="最大化",Q4559,IF(01_因子設定!$B$13="最小化",-Q4559,-ABS(Q4559-01_因子設定!$B$16))),-1E+030)</f>
        <v>50.2290482954546</v>
      </c>
      <c r="Y4559" s="55" t="n">
        <f aca="false">W4559+ROW()*0.000000001</f>
        <v>0.613247367777372</v>
      </c>
      <c r="Z4559" s="55" t="n">
        <f aca="false">X4559+ROW()*0.000000001</f>
        <v>50.2290528544546</v>
      </c>
    </row>
    <row r="4560" customFormat="false" ht="15" hidden="false" customHeight="false" outlineLevel="0" collapsed="false">
      <c r="A4560" s="0" t="n">
        <v>15</v>
      </c>
      <c r="B4560" s="0" t="n">
        <v>12</v>
      </c>
      <c r="C4560" s="0" t="n">
        <v>16</v>
      </c>
      <c r="D4560" s="0" t="n">
        <f aca="false">-1+A4560*0.125</f>
        <v>0.875</v>
      </c>
      <c r="E4560" s="0" t="n">
        <f aca="false">-1+B4560*0.125</f>
        <v>0.5</v>
      </c>
      <c r="F4560" s="0" t="n">
        <f aca="false">-1+C4560*0.125</f>
        <v>1</v>
      </c>
      <c r="G4560" s="0" t="n">
        <f aca="false">1</f>
        <v>1</v>
      </c>
      <c r="H4560" s="0" t="n">
        <f aca="false">D4560</f>
        <v>0.875</v>
      </c>
      <c r="I4560" s="0" t="n">
        <f aca="false">E4560</f>
        <v>0.5</v>
      </c>
      <c r="J4560" s="0" t="n">
        <f aca="false">F4560</f>
        <v>1</v>
      </c>
      <c r="K4560" s="0" t="n">
        <f aca="false">D4560*E4560</f>
        <v>0.4375</v>
      </c>
      <c r="L4560" s="0" t="n">
        <f aca="false">D4560*F4560</f>
        <v>0.875</v>
      </c>
      <c r="M4560" s="0" t="n">
        <f aca="false">E4560*F4560</f>
        <v>0.5</v>
      </c>
      <c r="N4560" s="0" t="n">
        <f aca="false">D4560*D4560</f>
        <v>0.765625</v>
      </c>
      <c r="O4560" s="0" t="n">
        <f aca="false">E4560*E4560</f>
        <v>0.25</v>
      </c>
      <c r="P4560" s="0" t="n">
        <f aca="false">F4560*F4560</f>
        <v>1</v>
      </c>
      <c r="Q4560" s="0" t="n">
        <f aca="false">SUMPRODUCT(G4560:P4560,_XtX!$B$71:$K$71)</f>
        <v>50.13734375</v>
      </c>
      <c r="R4560" s="0" t="n">
        <f aca="false">SUMPRODUCT(MMULT(G4560:P4560,_XtX!$B$58:$K$67),G4560:P4560)</f>
        <v>0.55771484375</v>
      </c>
      <c r="S4560" s="0" t="n">
        <f aca="false">04_回帰ANOVA!$K$19*04_回帰ANOVA!$K$14*SQRT(1+R4560)</f>
        <v>1.16040773556467</v>
      </c>
      <c r="T4560" s="0" t="n">
        <f aca="false">Q4560-S4560</f>
        <v>48.9769360144353</v>
      </c>
      <c r="U4560" s="0" t="n">
        <f aca="false">Q4560+S4560</f>
        <v>51.2977514855647</v>
      </c>
      <c r="V4560" s="54" t="b">
        <f aca="false">AND(D4560&gt;=01_因子設定!$L$5-0.000000001,D4560&lt;=01_因子設定!$M$5+0.000000001,E4560&gt;=01_因子設定!$L$6-0.000000001,E4560&lt;=01_因子設定!$M$6+0.000000001,F4560&gt;=01_因子設定!$L$7-0.000000001,F4560&lt;=01_因子設定!$M$7+0.000000001,IF(01_因子設定!$B$20="Box-Behnken",D4560^2+E4560^2+F4560^2&lt;=2+0.000000001,TRUE()))</f>
        <v>1</v>
      </c>
      <c r="W4560" s="55" t="n">
        <f aca="false">IF(V4560,IF(01_因子設定!$B$13="最大化",T4560-01_因子設定!$B$14,IF(01_因子設定!$B$13="最小化",01_因子設定!$B$15-U4560,MIN(T4560-01_因子設定!$B$14,01_因子設定!$B$15-U4560))),-1E+030)</f>
        <v>0.476936014435339</v>
      </c>
      <c r="X4560" s="55" t="n">
        <f aca="false">IF(V4560,IF(01_因子設定!$B$13="最大化",Q4560,IF(01_因子設定!$B$13="最小化",-Q4560,-ABS(Q4560-01_因子設定!$B$16))),-1E+030)</f>
        <v>50.13734375</v>
      </c>
      <c r="Y4560" s="55" t="n">
        <f aca="false">W4560+ROW()*0.000000001</f>
        <v>0.476940574435339</v>
      </c>
      <c r="Z4560" s="55" t="n">
        <f aca="false">X4560+ROW()*0.000000001</f>
        <v>50.13734831</v>
      </c>
    </row>
    <row r="4561" customFormat="false" ht="15" hidden="false" customHeight="false" outlineLevel="0" collapsed="false">
      <c r="A4561" s="0" t="n">
        <v>15</v>
      </c>
      <c r="B4561" s="0" t="n">
        <v>13</v>
      </c>
      <c r="C4561" s="0" t="n">
        <v>0</v>
      </c>
      <c r="D4561" s="0" t="n">
        <f aca="false">-1+A4561*0.125</f>
        <v>0.875</v>
      </c>
      <c r="E4561" s="0" t="n">
        <f aca="false">-1+B4561*0.125</f>
        <v>0.625</v>
      </c>
      <c r="F4561" s="0" t="n">
        <f aca="false">-1+C4561*0.125</f>
        <v>-1</v>
      </c>
      <c r="G4561" s="0" t="n">
        <f aca="false">1</f>
        <v>1</v>
      </c>
      <c r="H4561" s="0" t="n">
        <f aca="false">D4561</f>
        <v>0.875</v>
      </c>
      <c r="I4561" s="0" t="n">
        <f aca="false">E4561</f>
        <v>0.625</v>
      </c>
      <c r="J4561" s="0" t="n">
        <f aca="false">F4561</f>
        <v>-1</v>
      </c>
      <c r="K4561" s="0" t="n">
        <f aca="false">D4561*E4561</f>
        <v>0.546875</v>
      </c>
      <c r="L4561" s="0" t="n">
        <f aca="false">D4561*F4561</f>
        <v>-0.875</v>
      </c>
      <c r="M4561" s="0" t="n">
        <f aca="false">E4561*F4561</f>
        <v>-0.625</v>
      </c>
      <c r="N4561" s="0" t="n">
        <f aca="false">D4561*D4561</f>
        <v>0.765625</v>
      </c>
      <c r="O4561" s="0" t="n">
        <f aca="false">E4561*E4561</f>
        <v>0.390625</v>
      </c>
      <c r="P4561" s="0" t="n">
        <f aca="false">F4561*F4561</f>
        <v>1</v>
      </c>
      <c r="Q4561" s="0" t="n">
        <f aca="false">SUMPRODUCT(G4561:P4561,_XtX!$B$71:$K$71)</f>
        <v>47.2412428977273</v>
      </c>
      <c r="R4561" s="0" t="n">
        <f aca="false">SUMPRODUCT(MMULT(G4561:P4561,_XtX!$B$58:$K$67),G4561:P4561)</f>
        <v>0.555073131214489</v>
      </c>
      <c r="S4561" s="0" t="n">
        <f aca="false">04_回帰ANOVA!$K$19*04_回帰ANOVA!$K$14*SQRT(1+R4561)</f>
        <v>1.15942335628341</v>
      </c>
      <c r="T4561" s="0" t="n">
        <f aca="false">Q4561-S4561</f>
        <v>46.0818195414439</v>
      </c>
      <c r="U4561" s="0" t="n">
        <f aca="false">Q4561+S4561</f>
        <v>48.4006662540107</v>
      </c>
      <c r="V4561" s="54" t="b">
        <f aca="false">AND(D4561&gt;=01_因子設定!$L$5-0.000000001,D4561&lt;=01_因子設定!$M$5+0.000000001,E4561&gt;=01_因子設定!$L$6-0.000000001,E4561&lt;=01_因子設定!$M$6+0.000000001,F4561&gt;=01_因子設定!$L$7-0.000000001,F4561&lt;=01_因子設定!$M$7+0.000000001,IF(01_因子設定!$B$20="Box-Behnken",D4561^2+E4561^2+F4561^2&lt;=2+0.000000001,TRUE()))</f>
        <v>1</v>
      </c>
      <c r="W4561" s="55" t="n">
        <f aca="false">IF(V4561,IF(01_因子設定!$B$13="最大化",T4561-01_因子設定!$B$14,IF(01_因子設定!$B$13="最小化",01_因子設定!$B$15-U4561,MIN(T4561-01_因子設定!$B$14,01_因子設定!$B$15-U4561))),-1E+030)</f>
        <v>-2.41818045855612</v>
      </c>
      <c r="X4561" s="55" t="n">
        <f aca="false">IF(V4561,IF(01_因子設定!$B$13="最大化",Q4561,IF(01_因子設定!$B$13="最小化",-Q4561,-ABS(Q4561-01_因子設定!$B$16))),-1E+030)</f>
        <v>47.2412428977273</v>
      </c>
      <c r="Y4561" s="55" t="n">
        <f aca="false">W4561+ROW()*0.000000001</f>
        <v>-2.41817589755612</v>
      </c>
      <c r="Z4561" s="55" t="n">
        <f aca="false">X4561+ROW()*0.000000001</f>
        <v>47.2412474587273</v>
      </c>
    </row>
    <row r="4562" customFormat="false" ht="15" hidden="false" customHeight="false" outlineLevel="0" collapsed="false">
      <c r="A4562" s="0" t="n">
        <v>15</v>
      </c>
      <c r="B4562" s="0" t="n">
        <v>13</v>
      </c>
      <c r="C4562" s="0" t="n">
        <v>1</v>
      </c>
      <c r="D4562" s="0" t="n">
        <f aca="false">-1+A4562*0.125</f>
        <v>0.875</v>
      </c>
      <c r="E4562" s="0" t="n">
        <f aca="false">-1+B4562*0.125</f>
        <v>0.625</v>
      </c>
      <c r="F4562" s="0" t="n">
        <f aca="false">-1+C4562*0.125</f>
        <v>-0.875</v>
      </c>
      <c r="G4562" s="0" t="n">
        <f aca="false">1</f>
        <v>1</v>
      </c>
      <c r="H4562" s="0" t="n">
        <f aca="false">D4562</f>
        <v>0.875</v>
      </c>
      <c r="I4562" s="0" t="n">
        <f aca="false">E4562</f>
        <v>0.625</v>
      </c>
      <c r="J4562" s="0" t="n">
        <f aca="false">F4562</f>
        <v>-0.875</v>
      </c>
      <c r="K4562" s="0" t="n">
        <f aca="false">D4562*E4562</f>
        <v>0.546875</v>
      </c>
      <c r="L4562" s="0" t="n">
        <f aca="false">D4562*F4562</f>
        <v>-0.765625</v>
      </c>
      <c r="M4562" s="0" t="n">
        <f aca="false">E4562*F4562</f>
        <v>-0.546875</v>
      </c>
      <c r="N4562" s="0" t="n">
        <f aca="false">D4562*D4562</f>
        <v>0.765625</v>
      </c>
      <c r="O4562" s="0" t="n">
        <f aca="false">E4562*E4562</f>
        <v>0.390625</v>
      </c>
      <c r="P4562" s="0" t="n">
        <f aca="false">F4562*F4562</f>
        <v>0.765625</v>
      </c>
      <c r="Q4562" s="0" t="n">
        <f aca="false">SUMPRODUCT(G4562:P4562,_XtX!$B$71:$K$71)</f>
        <v>47.7084161931818</v>
      </c>
      <c r="R4562" s="0" t="n">
        <f aca="false">SUMPRODUCT(MMULT(G4562:P4562,_XtX!$B$58:$K$67),G4562:P4562)</f>
        <v>0.442496559836648</v>
      </c>
      <c r="S4562" s="0" t="n">
        <f aca="false">04_回帰ANOVA!$K$19*04_回帰ANOVA!$K$14*SQRT(1+R4562)</f>
        <v>1.11666789259284</v>
      </c>
      <c r="T4562" s="0" t="n">
        <f aca="false">Q4562-S4562</f>
        <v>46.591748300589</v>
      </c>
      <c r="U4562" s="0" t="n">
        <f aca="false">Q4562+S4562</f>
        <v>48.8250840857747</v>
      </c>
      <c r="V4562" s="54" t="b">
        <f aca="false">AND(D4562&gt;=01_因子設定!$L$5-0.000000001,D4562&lt;=01_因子設定!$M$5+0.000000001,E4562&gt;=01_因子設定!$L$6-0.000000001,E4562&lt;=01_因子設定!$M$6+0.000000001,F4562&gt;=01_因子設定!$L$7-0.000000001,F4562&lt;=01_因子設定!$M$7+0.000000001,IF(01_因子設定!$B$20="Box-Behnken",D4562^2+E4562^2+F4562^2&lt;=2+0.000000001,TRUE()))</f>
        <v>1</v>
      </c>
      <c r="W4562" s="55" t="n">
        <f aca="false">IF(V4562,IF(01_因子設定!$B$13="最大化",T4562-01_因子設定!$B$14,IF(01_因子設定!$B$13="最小化",01_因子設定!$B$15-U4562,MIN(T4562-01_因子設定!$B$14,01_因子設定!$B$15-U4562))),-1E+030)</f>
        <v>-1.90825169941102</v>
      </c>
      <c r="X4562" s="55" t="n">
        <f aca="false">IF(V4562,IF(01_因子設定!$B$13="最大化",Q4562,IF(01_因子設定!$B$13="最小化",-Q4562,-ABS(Q4562-01_因子設定!$B$16))),-1E+030)</f>
        <v>47.7084161931818</v>
      </c>
      <c r="Y4562" s="55" t="n">
        <f aca="false">W4562+ROW()*0.000000001</f>
        <v>-1.90824713741102</v>
      </c>
      <c r="Z4562" s="55" t="n">
        <f aca="false">X4562+ROW()*0.000000001</f>
        <v>47.7084207551818</v>
      </c>
    </row>
    <row r="4563" customFormat="false" ht="15" hidden="false" customHeight="false" outlineLevel="0" collapsed="false">
      <c r="A4563" s="0" t="n">
        <v>15</v>
      </c>
      <c r="B4563" s="0" t="n">
        <v>13</v>
      </c>
      <c r="C4563" s="0" t="n">
        <v>2</v>
      </c>
      <c r="D4563" s="0" t="n">
        <f aca="false">-1+A4563*0.125</f>
        <v>0.875</v>
      </c>
      <c r="E4563" s="0" t="n">
        <f aca="false">-1+B4563*0.125</f>
        <v>0.625</v>
      </c>
      <c r="F4563" s="0" t="n">
        <f aca="false">-1+C4563*0.125</f>
        <v>-0.75</v>
      </c>
      <c r="G4563" s="0" t="n">
        <f aca="false">1</f>
        <v>1</v>
      </c>
      <c r="H4563" s="0" t="n">
        <f aca="false">D4563</f>
        <v>0.875</v>
      </c>
      <c r="I4563" s="0" t="n">
        <f aca="false">E4563</f>
        <v>0.625</v>
      </c>
      <c r="J4563" s="0" t="n">
        <f aca="false">F4563</f>
        <v>-0.75</v>
      </c>
      <c r="K4563" s="0" t="n">
        <f aca="false">D4563*E4563</f>
        <v>0.546875</v>
      </c>
      <c r="L4563" s="0" t="n">
        <f aca="false">D4563*F4563</f>
        <v>-0.65625</v>
      </c>
      <c r="M4563" s="0" t="n">
        <f aca="false">E4563*F4563</f>
        <v>-0.46875</v>
      </c>
      <c r="N4563" s="0" t="n">
        <f aca="false">D4563*D4563</f>
        <v>0.765625</v>
      </c>
      <c r="O4563" s="0" t="n">
        <f aca="false">E4563*E4563</f>
        <v>0.390625</v>
      </c>
      <c r="P4563" s="0" t="n">
        <f aca="false">F4563*F4563</f>
        <v>0.5625</v>
      </c>
      <c r="Q4563" s="0" t="n">
        <f aca="false">SUMPRODUCT(G4563:P4563,_XtX!$B$71:$K$71)</f>
        <v>48.1387997159091</v>
      </c>
      <c r="R4563" s="0" t="n">
        <f aca="false">SUMPRODUCT(MMULT(G4563:P4563,_XtX!$B$58:$K$67),G4563:P4563)</f>
        <v>0.377245538884943</v>
      </c>
      <c r="S4563" s="0" t="n">
        <f aca="false">04_回帰ANOVA!$K$19*04_回帰ANOVA!$K$14*SQRT(1+R4563)</f>
        <v>1.09111951468927</v>
      </c>
      <c r="T4563" s="0" t="n">
        <f aca="false">Q4563-S4563</f>
        <v>47.0476802012198</v>
      </c>
      <c r="U4563" s="0" t="n">
        <f aca="false">Q4563+S4563</f>
        <v>49.2299192305984</v>
      </c>
      <c r="V4563" s="54" t="b">
        <f aca="false">AND(D4563&gt;=01_因子設定!$L$5-0.000000001,D4563&lt;=01_因子設定!$M$5+0.000000001,E4563&gt;=01_因子設定!$L$6-0.000000001,E4563&lt;=01_因子設定!$M$6+0.000000001,F4563&gt;=01_因子設定!$L$7-0.000000001,F4563&lt;=01_因子設定!$M$7+0.000000001,IF(01_因子設定!$B$20="Box-Behnken",D4563^2+E4563^2+F4563^2&lt;=2+0.000000001,TRUE()))</f>
        <v>1</v>
      </c>
      <c r="W4563" s="55" t="n">
        <f aca="false">IF(V4563,IF(01_因子設定!$B$13="最大化",T4563-01_因子設定!$B$14,IF(01_因子設定!$B$13="最小化",01_因子設定!$B$15-U4563,MIN(T4563-01_因子設定!$B$14,01_因子設定!$B$15-U4563))),-1E+030)</f>
        <v>-1.45231979878018</v>
      </c>
      <c r="X4563" s="55" t="n">
        <f aca="false">IF(V4563,IF(01_因子設定!$B$13="最大化",Q4563,IF(01_因子設定!$B$13="最小化",-Q4563,-ABS(Q4563-01_因子設定!$B$16))),-1E+030)</f>
        <v>48.1387997159091</v>
      </c>
      <c r="Y4563" s="55" t="n">
        <f aca="false">W4563+ROW()*0.000000001</f>
        <v>-1.45231523578018</v>
      </c>
      <c r="Z4563" s="55" t="n">
        <f aca="false">X4563+ROW()*0.000000001</f>
        <v>48.1388042789091</v>
      </c>
    </row>
    <row r="4564" customFormat="false" ht="15" hidden="false" customHeight="false" outlineLevel="0" collapsed="false">
      <c r="A4564" s="0" t="n">
        <v>15</v>
      </c>
      <c r="B4564" s="0" t="n">
        <v>13</v>
      </c>
      <c r="C4564" s="0" t="n">
        <v>3</v>
      </c>
      <c r="D4564" s="0" t="n">
        <f aca="false">-1+A4564*0.125</f>
        <v>0.875</v>
      </c>
      <c r="E4564" s="0" t="n">
        <f aca="false">-1+B4564*0.125</f>
        <v>0.625</v>
      </c>
      <c r="F4564" s="0" t="n">
        <f aca="false">-1+C4564*0.125</f>
        <v>-0.625</v>
      </c>
      <c r="G4564" s="0" t="n">
        <f aca="false">1</f>
        <v>1</v>
      </c>
      <c r="H4564" s="0" t="n">
        <f aca="false">D4564</f>
        <v>0.875</v>
      </c>
      <c r="I4564" s="0" t="n">
        <f aca="false">E4564</f>
        <v>0.625</v>
      </c>
      <c r="J4564" s="0" t="n">
        <f aca="false">F4564</f>
        <v>-0.625</v>
      </c>
      <c r="K4564" s="0" t="n">
        <f aca="false">D4564*E4564</f>
        <v>0.546875</v>
      </c>
      <c r="L4564" s="0" t="n">
        <f aca="false">D4564*F4564</f>
        <v>-0.546875</v>
      </c>
      <c r="M4564" s="0" t="n">
        <f aca="false">E4564*F4564</f>
        <v>-0.390625</v>
      </c>
      <c r="N4564" s="0" t="n">
        <f aca="false">D4564*D4564</f>
        <v>0.765625</v>
      </c>
      <c r="O4564" s="0" t="n">
        <f aca="false">E4564*E4564</f>
        <v>0.390625</v>
      </c>
      <c r="P4564" s="0" t="n">
        <f aca="false">F4564*F4564</f>
        <v>0.390625</v>
      </c>
      <c r="Q4564" s="0" t="n">
        <f aca="false">SUMPRODUCT(G4564:P4564,_XtX!$B$71:$K$71)</f>
        <v>48.5323934659091</v>
      </c>
      <c r="R4564" s="0" t="n">
        <f aca="false">SUMPRODUCT(MMULT(G4564:P4564,_XtX!$B$58:$K$67),G4564:P4564)</f>
        <v>0.345470636541193</v>
      </c>
      <c r="S4564" s="0" t="n">
        <f aca="false">04_回帰ANOVA!$K$19*04_回帰ANOVA!$K$14*SQRT(1+R4564)</f>
        <v>1.07845927083227</v>
      </c>
      <c r="T4564" s="0" t="n">
        <f aca="false">Q4564-S4564</f>
        <v>47.4539341950768</v>
      </c>
      <c r="U4564" s="0" t="n">
        <f aca="false">Q4564+S4564</f>
        <v>49.6108527367414</v>
      </c>
      <c r="V4564" s="54" t="b">
        <f aca="false">AND(D4564&gt;=01_因子設定!$L$5-0.000000001,D4564&lt;=01_因子設定!$M$5+0.000000001,E4564&gt;=01_因子設定!$L$6-0.000000001,E4564&lt;=01_因子設定!$M$6+0.000000001,F4564&gt;=01_因子設定!$L$7-0.000000001,F4564&lt;=01_因子設定!$M$7+0.000000001,IF(01_因子設定!$B$20="Box-Behnken",D4564^2+E4564^2+F4564^2&lt;=2+0.000000001,TRUE()))</f>
        <v>1</v>
      </c>
      <c r="W4564" s="55" t="n">
        <f aca="false">IF(V4564,IF(01_因子設定!$B$13="最大化",T4564-01_因子設定!$B$14,IF(01_因子設定!$B$13="最小化",01_因子設定!$B$15-U4564,MIN(T4564-01_因子設定!$B$14,01_因子設定!$B$15-U4564))),-1E+030)</f>
        <v>-1.04606580492317</v>
      </c>
      <c r="X4564" s="55" t="n">
        <f aca="false">IF(V4564,IF(01_因子設定!$B$13="最大化",Q4564,IF(01_因子設定!$B$13="最小化",-Q4564,-ABS(Q4564-01_因子設定!$B$16))),-1E+030)</f>
        <v>48.5323934659091</v>
      </c>
      <c r="Y4564" s="55" t="n">
        <f aca="false">W4564+ROW()*0.000000001</f>
        <v>-1.04606124092317</v>
      </c>
      <c r="Z4564" s="55" t="n">
        <f aca="false">X4564+ROW()*0.000000001</f>
        <v>48.5323980299091</v>
      </c>
    </row>
    <row r="4565" customFormat="false" ht="15" hidden="false" customHeight="false" outlineLevel="0" collapsed="false">
      <c r="A4565" s="0" t="n">
        <v>15</v>
      </c>
      <c r="B4565" s="0" t="n">
        <v>13</v>
      </c>
      <c r="C4565" s="0" t="n">
        <v>4</v>
      </c>
      <c r="D4565" s="0" t="n">
        <f aca="false">-1+A4565*0.125</f>
        <v>0.875</v>
      </c>
      <c r="E4565" s="0" t="n">
        <f aca="false">-1+B4565*0.125</f>
        <v>0.625</v>
      </c>
      <c r="F4565" s="0" t="n">
        <f aca="false">-1+C4565*0.125</f>
        <v>-0.5</v>
      </c>
      <c r="G4565" s="0" t="n">
        <f aca="false">1</f>
        <v>1</v>
      </c>
      <c r="H4565" s="0" t="n">
        <f aca="false">D4565</f>
        <v>0.875</v>
      </c>
      <c r="I4565" s="0" t="n">
        <f aca="false">E4565</f>
        <v>0.625</v>
      </c>
      <c r="J4565" s="0" t="n">
        <f aca="false">F4565</f>
        <v>-0.5</v>
      </c>
      <c r="K4565" s="0" t="n">
        <f aca="false">D4565*E4565</f>
        <v>0.546875</v>
      </c>
      <c r="L4565" s="0" t="n">
        <f aca="false">D4565*F4565</f>
        <v>-0.4375</v>
      </c>
      <c r="M4565" s="0" t="n">
        <f aca="false">E4565*F4565</f>
        <v>-0.3125</v>
      </c>
      <c r="N4565" s="0" t="n">
        <f aca="false">D4565*D4565</f>
        <v>0.765625</v>
      </c>
      <c r="O4565" s="0" t="n">
        <f aca="false">E4565*E4565</f>
        <v>0.390625</v>
      </c>
      <c r="P4565" s="0" t="n">
        <f aca="false">F4565*F4565</f>
        <v>0.25</v>
      </c>
      <c r="Q4565" s="0" t="n">
        <f aca="false">SUMPRODUCT(G4565:P4565,_XtX!$B$71:$K$71)</f>
        <v>48.8891974431818</v>
      </c>
      <c r="R4565" s="0" t="n">
        <f aca="false">SUMPRODUCT(MMULT(G4565:P4565,_XtX!$B$58:$K$67),G4565:P4565)</f>
        <v>0.335453102805398</v>
      </c>
      <c r="S4565" s="0" t="n">
        <f aca="false">04_回帰ANOVA!$K$19*04_回帰ANOVA!$K$14*SQRT(1+R4565)</f>
        <v>1.07443700305628</v>
      </c>
      <c r="T4565" s="0" t="n">
        <f aca="false">Q4565-S4565</f>
        <v>47.8147604401255</v>
      </c>
      <c r="U4565" s="0" t="n">
        <f aca="false">Q4565+S4565</f>
        <v>49.9636344462381</v>
      </c>
      <c r="V4565" s="54" t="b">
        <f aca="false">AND(D4565&gt;=01_因子設定!$L$5-0.000000001,D4565&lt;=01_因子設定!$M$5+0.000000001,E4565&gt;=01_因子設定!$L$6-0.000000001,E4565&lt;=01_因子設定!$M$6+0.000000001,F4565&gt;=01_因子設定!$L$7-0.000000001,F4565&lt;=01_因子設定!$M$7+0.000000001,IF(01_因子設定!$B$20="Box-Behnken",D4565^2+E4565^2+F4565^2&lt;=2+0.000000001,TRUE()))</f>
        <v>1</v>
      </c>
      <c r="W4565" s="55" t="n">
        <f aca="false">IF(V4565,IF(01_因子設定!$B$13="最大化",T4565-01_因子設定!$B$14,IF(01_因子設定!$B$13="最小化",01_因子設定!$B$15-U4565,MIN(T4565-01_因子設定!$B$14,01_因子設定!$B$15-U4565))),-1E+030)</f>
        <v>-0.685239559874461</v>
      </c>
      <c r="X4565" s="55" t="n">
        <f aca="false">IF(V4565,IF(01_因子設定!$B$13="最大化",Q4565,IF(01_因子設定!$B$13="最小化",-Q4565,-ABS(Q4565-01_因子設定!$B$16))),-1E+030)</f>
        <v>48.8891974431818</v>
      </c>
      <c r="Y4565" s="55" t="n">
        <f aca="false">W4565+ROW()*0.000000001</f>
        <v>-0.685234994874461</v>
      </c>
      <c r="Z4565" s="55" t="n">
        <f aca="false">X4565+ROW()*0.000000001</f>
        <v>48.8892020081818</v>
      </c>
    </row>
    <row r="4566" customFormat="false" ht="15" hidden="false" customHeight="false" outlineLevel="0" collapsed="false">
      <c r="A4566" s="0" t="n">
        <v>15</v>
      </c>
      <c r="B4566" s="0" t="n">
        <v>13</v>
      </c>
      <c r="C4566" s="0" t="n">
        <v>5</v>
      </c>
      <c r="D4566" s="0" t="n">
        <f aca="false">-1+A4566*0.125</f>
        <v>0.875</v>
      </c>
      <c r="E4566" s="0" t="n">
        <f aca="false">-1+B4566*0.125</f>
        <v>0.625</v>
      </c>
      <c r="F4566" s="0" t="n">
        <f aca="false">-1+C4566*0.125</f>
        <v>-0.375</v>
      </c>
      <c r="G4566" s="0" t="n">
        <f aca="false">1</f>
        <v>1</v>
      </c>
      <c r="H4566" s="0" t="n">
        <f aca="false">D4566</f>
        <v>0.875</v>
      </c>
      <c r="I4566" s="0" t="n">
        <f aca="false">E4566</f>
        <v>0.625</v>
      </c>
      <c r="J4566" s="0" t="n">
        <f aca="false">F4566</f>
        <v>-0.375</v>
      </c>
      <c r="K4566" s="0" t="n">
        <f aca="false">D4566*E4566</f>
        <v>0.546875</v>
      </c>
      <c r="L4566" s="0" t="n">
        <f aca="false">D4566*F4566</f>
        <v>-0.328125</v>
      </c>
      <c r="M4566" s="0" t="n">
        <f aca="false">E4566*F4566</f>
        <v>-0.234375</v>
      </c>
      <c r="N4566" s="0" t="n">
        <f aca="false">D4566*D4566</f>
        <v>0.765625</v>
      </c>
      <c r="O4566" s="0" t="n">
        <f aca="false">E4566*E4566</f>
        <v>0.390625</v>
      </c>
      <c r="P4566" s="0" t="n">
        <f aca="false">F4566*F4566</f>
        <v>0.140625</v>
      </c>
      <c r="Q4566" s="0" t="n">
        <f aca="false">SUMPRODUCT(G4566:P4566,_XtX!$B$71:$K$71)</f>
        <v>49.2092116477273</v>
      </c>
      <c r="R4566" s="0" t="n">
        <f aca="false">SUMPRODUCT(MMULT(G4566:P4566,_XtX!$B$58:$K$67),G4566:P4566)</f>
        <v>0.337604869495739</v>
      </c>
      <c r="S4566" s="0" t="n">
        <f aca="false">04_回帰ANOVA!$K$19*04_回帰ANOVA!$K$14*SQRT(1+R4566)</f>
        <v>1.07530225516193</v>
      </c>
      <c r="T4566" s="0" t="n">
        <f aca="false">Q4566-S4566</f>
        <v>48.1339093925653</v>
      </c>
      <c r="U4566" s="0" t="n">
        <f aca="false">Q4566+S4566</f>
        <v>50.2845139028892</v>
      </c>
      <c r="V4566" s="54" t="b">
        <f aca="false">AND(D4566&gt;=01_因子設定!$L$5-0.000000001,D4566&lt;=01_因子設定!$M$5+0.000000001,E4566&gt;=01_因子設定!$L$6-0.000000001,E4566&lt;=01_因子設定!$M$6+0.000000001,F4566&gt;=01_因子設定!$L$7-0.000000001,F4566&lt;=01_因子設定!$M$7+0.000000001,IF(01_因子設定!$B$20="Box-Behnken",D4566^2+E4566^2+F4566^2&lt;=2+0.000000001,TRUE()))</f>
        <v>1</v>
      </c>
      <c r="W4566" s="55" t="n">
        <f aca="false">IF(V4566,IF(01_因子設定!$B$13="最大化",T4566-01_因子設定!$B$14,IF(01_因子設定!$B$13="最小化",01_因子設定!$B$15-U4566,MIN(T4566-01_因子設定!$B$14,01_因子設定!$B$15-U4566))),-1E+030)</f>
        <v>-0.366090607434657</v>
      </c>
      <c r="X4566" s="55" t="n">
        <f aca="false">IF(V4566,IF(01_因子設定!$B$13="最大化",Q4566,IF(01_因子設定!$B$13="最小化",-Q4566,-ABS(Q4566-01_因子設定!$B$16))),-1E+030)</f>
        <v>49.2092116477273</v>
      </c>
      <c r="Y4566" s="55" t="n">
        <f aca="false">W4566+ROW()*0.000000001</f>
        <v>-0.366086041434657</v>
      </c>
      <c r="Z4566" s="55" t="n">
        <f aca="false">X4566+ROW()*0.000000001</f>
        <v>49.2092162137273</v>
      </c>
    </row>
    <row r="4567" customFormat="false" ht="15" hidden="false" customHeight="false" outlineLevel="0" collapsed="false">
      <c r="A4567" s="0" t="n">
        <v>15</v>
      </c>
      <c r="B4567" s="0" t="n">
        <v>13</v>
      </c>
      <c r="C4567" s="0" t="n">
        <v>6</v>
      </c>
      <c r="D4567" s="0" t="n">
        <f aca="false">-1+A4567*0.125</f>
        <v>0.875</v>
      </c>
      <c r="E4567" s="0" t="n">
        <f aca="false">-1+B4567*0.125</f>
        <v>0.625</v>
      </c>
      <c r="F4567" s="0" t="n">
        <f aca="false">-1+C4567*0.125</f>
        <v>-0.25</v>
      </c>
      <c r="G4567" s="0" t="n">
        <f aca="false">1</f>
        <v>1</v>
      </c>
      <c r="H4567" s="0" t="n">
        <f aca="false">D4567</f>
        <v>0.875</v>
      </c>
      <c r="I4567" s="0" t="n">
        <f aca="false">E4567</f>
        <v>0.625</v>
      </c>
      <c r="J4567" s="0" t="n">
        <f aca="false">F4567</f>
        <v>-0.25</v>
      </c>
      <c r="K4567" s="0" t="n">
        <f aca="false">D4567*E4567</f>
        <v>0.546875</v>
      </c>
      <c r="L4567" s="0" t="n">
        <f aca="false">D4567*F4567</f>
        <v>-0.21875</v>
      </c>
      <c r="M4567" s="0" t="n">
        <f aca="false">E4567*F4567</f>
        <v>-0.15625</v>
      </c>
      <c r="N4567" s="0" t="n">
        <f aca="false">D4567*D4567</f>
        <v>0.765625</v>
      </c>
      <c r="O4567" s="0" t="n">
        <f aca="false">E4567*E4567</f>
        <v>0.390625</v>
      </c>
      <c r="P4567" s="0" t="n">
        <f aca="false">F4567*F4567</f>
        <v>0.0625</v>
      </c>
      <c r="Q4567" s="0" t="n">
        <f aca="false">SUMPRODUCT(G4567:P4567,_XtX!$B$71:$K$71)</f>
        <v>49.4924360795455</v>
      </c>
      <c r="R4567" s="0" t="n">
        <f aca="false">SUMPRODUCT(MMULT(G4567:P4567,_XtX!$B$58:$K$67),G4567:P4567)</f>
        <v>0.34446855024858</v>
      </c>
      <c r="S4567" s="0" t="n">
        <f aca="false">04_回帰ANOVA!$K$19*04_回帰ANOVA!$K$14*SQRT(1+R4567)</f>
        <v>1.07805758590432</v>
      </c>
      <c r="T4567" s="0" t="n">
        <f aca="false">Q4567-S4567</f>
        <v>48.4143784936411</v>
      </c>
      <c r="U4567" s="0" t="n">
        <f aca="false">Q4567+S4567</f>
        <v>50.5704936654498</v>
      </c>
      <c r="V4567" s="54" t="b">
        <f aca="false">AND(D4567&gt;=01_因子設定!$L$5-0.000000001,D4567&lt;=01_因子設定!$M$5+0.000000001,E4567&gt;=01_因子設定!$L$6-0.000000001,E4567&lt;=01_因子設定!$M$6+0.000000001,F4567&gt;=01_因子設定!$L$7-0.000000001,F4567&lt;=01_因子設定!$M$7+0.000000001,IF(01_因子設定!$B$20="Box-Behnken",D4567^2+E4567^2+F4567^2&lt;=2+0.000000001,TRUE()))</f>
        <v>1</v>
      </c>
      <c r="W4567" s="55" t="n">
        <f aca="false">IF(V4567,IF(01_因子設定!$B$13="最大化",T4567-01_因子設定!$B$14,IF(01_因子設定!$B$13="最小化",01_因子設定!$B$15-U4567,MIN(T4567-01_因子設定!$B$14,01_因子設定!$B$15-U4567))),-1E+030)</f>
        <v>-0.0856215063588692</v>
      </c>
      <c r="X4567" s="55" t="n">
        <f aca="false">IF(V4567,IF(01_因子設定!$B$13="最大化",Q4567,IF(01_因子設定!$B$13="最小化",-Q4567,-ABS(Q4567-01_因子設定!$B$16))),-1E+030)</f>
        <v>49.4924360795455</v>
      </c>
      <c r="Y4567" s="55" t="n">
        <f aca="false">W4567+ROW()*0.000000001</f>
        <v>-0.0856169393588692</v>
      </c>
      <c r="Z4567" s="55" t="n">
        <f aca="false">X4567+ROW()*0.000000001</f>
        <v>49.4924406465455</v>
      </c>
    </row>
    <row r="4568" customFormat="false" ht="15" hidden="false" customHeight="false" outlineLevel="0" collapsed="false">
      <c r="A4568" s="0" t="n">
        <v>15</v>
      </c>
      <c r="B4568" s="0" t="n">
        <v>13</v>
      </c>
      <c r="C4568" s="0" t="n">
        <v>7</v>
      </c>
      <c r="D4568" s="0" t="n">
        <f aca="false">-1+A4568*0.125</f>
        <v>0.875</v>
      </c>
      <c r="E4568" s="0" t="n">
        <f aca="false">-1+B4568*0.125</f>
        <v>0.625</v>
      </c>
      <c r="F4568" s="0" t="n">
        <f aca="false">-1+C4568*0.125</f>
        <v>-0.125</v>
      </c>
      <c r="G4568" s="0" t="n">
        <f aca="false">1</f>
        <v>1</v>
      </c>
      <c r="H4568" s="0" t="n">
        <f aca="false">D4568</f>
        <v>0.875</v>
      </c>
      <c r="I4568" s="0" t="n">
        <f aca="false">E4568</f>
        <v>0.625</v>
      </c>
      <c r="J4568" s="0" t="n">
        <f aca="false">F4568</f>
        <v>-0.125</v>
      </c>
      <c r="K4568" s="0" t="n">
        <f aca="false">D4568*E4568</f>
        <v>0.546875</v>
      </c>
      <c r="L4568" s="0" t="n">
        <f aca="false">D4568*F4568</f>
        <v>-0.109375</v>
      </c>
      <c r="M4568" s="0" t="n">
        <f aca="false">E4568*F4568</f>
        <v>-0.078125</v>
      </c>
      <c r="N4568" s="0" t="n">
        <f aca="false">D4568*D4568</f>
        <v>0.765625</v>
      </c>
      <c r="O4568" s="0" t="n">
        <f aca="false">E4568*E4568</f>
        <v>0.390625</v>
      </c>
      <c r="P4568" s="0" t="n">
        <f aca="false">F4568*F4568</f>
        <v>0.015625</v>
      </c>
      <c r="Q4568" s="0" t="n">
        <f aca="false">SUMPRODUCT(G4568:P4568,_XtX!$B$71:$K$71)</f>
        <v>49.7388707386364</v>
      </c>
      <c r="R4568" s="0" t="n">
        <f aca="false">SUMPRODUCT(MMULT(G4568:P4568,_XtX!$B$58:$K$67),G4568:P4568)</f>
        <v>0.350717440518466</v>
      </c>
      <c r="S4568" s="0" t="n">
        <f aca="false">04_回帰ANOVA!$K$19*04_回帰ANOVA!$K$14*SQRT(1+R4568)</f>
        <v>1.08056000737898</v>
      </c>
      <c r="T4568" s="0" t="n">
        <f aca="false">Q4568-S4568</f>
        <v>48.6583107312574</v>
      </c>
      <c r="U4568" s="0" t="n">
        <f aca="false">Q4568+S4568</f>
        <v>50.8194307460153</v>
      </c>
      <c r="V4568" s="54" t="b">
        <f aca="false">AND(D4568&gt;=01_因子設定!$L$5-0.000000001,D4568&lt;=01_因子設定!$M$5+0.000000001,E4568&gt;=01_因子設定!$L$6-0.000000001,E4568&lt;=01_因子設定!$M$6+0.000000001,F4568&gt;=01_因子設定!$L$7-0.000000001,F4568&lt;=01_因子設定!$M$7+0.000000001,IF(01_因子設定!$B$20="Box-Behnken",D4568^2+E4568^2+F4568^2&lt;=2+0.000000001,TRUE()))</f>
        <v>1</v>
      </c>
      <c r="W4568" s="55" t="n">
        <f aca="false">IF(V4568,IF(01_因子設定!$B$13="最大化",T4568-01_因子設定!$B$14,IF(01_因子設定!$B$13="最小化",01_因子設定!$B$15-U4568,MIN(T4568-01_因子設定!$B$14,01_因子設定!$B$15-U4568))),-1E+030)</f>
        <v>0.15831073125738</v>
      </c>
      <c r="X4568" s="55" t="n">
        <f aca="false">IF(V4568,IF(01_因子設定!$B$13="最大化",Q4568,IF(01_因子設定!$B$13="最小化",-Q4568,-ABS(Q4568-01_因子設定!$B$16))),-1E+030)</f>
        <v>49.7388707386364</v>
      </c>
      <c r="Y4568" s="55" t="n">
        <f aca="false">W4568+ROW()*0.000000001</f>
        <v>0.15831529925738</v>
      </c>
      <c r="Z4568" s="55" t="n">
        <f aca="false">X4568+ROW()*0.000000001</f>
        <v>49.7388753066364</v>
      </c>
    </row>
    <row r="4569" customFormat="false" ht="15" hidden="false" customHeight="false" outlineLevel="0" collapsed="false">
      <c r="A4569" s="0" t="n">
        <v>15</v>
      </c>
      <c r="B4569" s="0" t="n">
        <v>13</v>
      </c>
      <c r="C4569" s="0" t="n">
        <v>8</v>
      </c>
      <c r="D4569" s="0" t="n">
        <f aca="false">-1+A4569*0.125</f>
        <v>0.875</v>
      </c>
      <c r="E4569" s="0" t="n">
        <f aca="false">-1+B4569*0.125</f>
        <v>0.625</v>
      </c>
      <c r="F4569" s="0" t="n">
        <f aca="false">-1+C4569*0.125</f>
        <v>0</v>
      </c>
      <c r="G4569" s="0" t="n">
        <f aca="false">1</f>
        <v>1</v>
      </c>
      <c r="H4569" s="0" t="n">
        <f aca="false">D4569</f>
        <v>0.875</v>
      </c>
      <c r="I4569" s="0" t="n">
        <f aca="false">E4569</f>
        <v>0.625</v>
      </c>
      <c r="J4569" s="0" t="n">
        <f aca="false">F4569</f>
        <v>0</v>
      </c>
      <c r="K4569" s="0" t="n">
        <f aca="false">D4569*E4569</f>
        <v>0.546875</v>
      </c>
      <c r="L4569" s="0" t="n">
        <f aca="false">D4569*F4569</f>
        <v>0</v>
      </c>
      <c r="M4569" s="0" t="n">
        <f aca="false">E4569*F4569</f>
        <v>0</v>
      </c>
      <c r="N4569" s="0" t="n">
        <f aca="false">D4569*D4569</f>
        <v>0.765625</v>
      </c>
      <c r="O4569" s="0" t="n">
        <f aca="false">E4569*E4569</f>
        <v>0.390625</v>
      </c>
      <c r="P4569" s="0" t="n">
        <f aca="false">F4569*F4569</f>
        <v>0</v>
      </c>
      <c r="Q4569" s="0" t="n">
        <f aca="false">SUMPRODUCT(G4569:P4569,_XtX!$B$71:$K$71)</f>
        <v>49.948515625</v>
      </c>
      <c r="R4569" s="0" t="n">
        <f aca="false">SUMPRODUCT(MMULT(G4569:P4569,_XtX!$B$58:$K$67),G4569:P4569)</f>
        <v>0.353155517578125</v>
      </c>
      <c r="S4569" s="0" t="n">
        <f aca="false">04_回帰ANOVA!$K$19*04_回帰ANOVA!$K$14*SQRT(1+R4569)</f>
        <v>1.08153478594098</v>
      </c>
      <c r="T4569" s="0" t="n">
        <f aca="false">Q4569-S4569</f>
        <v>48.866980839059</v>
      </c>
      <c r="U4569" s="0" t="n">
        <f aca="false">Q4569+S4569</f>
        <v>51.030050410941</v>
      </c>
      <c r="V4569" s="54" t="b">
        <f aca="false">AND(D4569&gt;=01_因子設定!$L$5-0.000000001,D4569&lt;=01_因子設定!$M$5+0.000000001,E4569&gt;=01_因子設定!$L$6-0.000000001,E4569&lt;=01_因子設定!$M$6+0.000000001,F4569&gt;=01_因子設定!$L$7-0.000000001,F4569&lt;=01_因子設定!$M$7+0.000000001,IF(01_因子設定!$B$20="Box-Behnken",D4569^2+E4569^2+F4569^2&lt;=2+0.000000001,TRUE()))</f>
        <v>1</v>
      </c>
      <c r="W4569" s="55" t="n">
        <f aca="false">IF(V4569,IF(01_因子設定!$B$13="最大化",T4569-01_因子設定!$B$14,IF(01_因子設定!$B$13="最小化",01_因子設定!$B$15-U4569,MIN(T4569-01_因子設定!$B$14,01_因子設定!$B$15-U4569))),-1E+030)</f>
        <v>0.366980839059011</v>
      </c>
      <c r="X4569" s="55" t="n">
        <f aca="false">IF(V4569,IF(01_因子設定!$B$13="最大化",Q4569,IF(01_因子設定!$B$13="最小化",-Q4569,-ABS(Q4569-01_因子設定!$B$16))),-1E+030)</f>
        <v>49.948515625</v>
      </c>
      <c r="Y4569" s="55" t="n">
        <f aca="false">W4569+ROW()*0.000000001</f>
        <v>0.366985408059011</v>
      </c>
      <c r="Z4569" s="55" t="n">
        <f aca="false">X4569+ROW()*0.000000001</f>
        <v>49.948520194</v>
      </c>
    </row>
    <row r="4570" customFormat="false" ht="15" hidden="false" customHeight="false" outlineLevel="0" collapsed="false">
      <c r="A4570" s="0" t="n">
        <v>15</v>
      </c>
      <c r="B4570" s="0" t="n">
        <v>13</v>
      </c>
      <c r="C4570" s="0" t="n">
        <v>9</v>
      </c>
      <c r="D4570" s="0" t="n">
        <f aca="false">-1+A4570*0.125</f>
        <v>0.875</v>
      </c>
      <c r="E4570" s="0" t="n">
        <f aca="false">-1+B4570*0.125</f>
        <v>0.625</v>
      </c>
      <c r="F4570" s="0" t="n">
        <f aca="false">-1+C4570*0.125</f>
        <v>0.125</v>
      </c>
      <c r="G4570" s="0" t="n">
        <f aca="false">1</f>
        <v>1</v>
      </c>
      <c r="H4570" s="0" t="n">
        <f aca="false">D4570</f>
        <v>0.875</v>
      </c>
      <c r="I4570" s="0" t="n">
        <f aca="false">E4570</f>
        <v>0.625</v>
      </c>
      <c r="J4570" s="0" t="n">
        <f aca="false">F4570</f>
        <v>0.125</v>
      </c>
      <c r="K4570" s="0" t="n">
        <f aca="false">D4570*E4570</f>
        <v>0.546875</v>
      </c>
      <c r="L4570" s="0" t="n">
        <f aca="false">D4570*F4570</f>
        <v>0.109375</v>
      </c>
      <c r="M4570" s="0" t="n">
        <f aca="false">E4570*F4570</f>
        <v>0.078125</v>
      </c>
      <c r="N4570" s="0" t="n">
        <f aca="false">D4570*D4570</f>
        <v>0.765625</v>
      </c>
      <c r="O4570" s="0" t="n">
        <f aca="false">E4570*E4570</f>
        <v>0.390625</v>
      </c>
      <c r="P4570" s="0" t="n">
        <f aca="false">F4570*F4570</f>
        <v>0.015625</v>
      </c>
      <c r="Q4570" s="0" t="n">
        <f aca="false">SUMPRODUCT(G4570:P4570,_XtX!$B$71:$K$71)</f>
        <v>50.1213707386364</v>
      </c>
      <c r="R4570" s="0" t="n">
        <f aca="false">SUMPRODUCT(MMULT(G4570:P4570,_XtX!$B$58:$K$67),G4570:P4570)</f>
        <v>0.350717440518466</v>
      </c>
      <c r="S4570" s="0" t="n">
        <f aca="false">04_回帰ANOVA!$K$19*04_回帰ANOVA!$K$14*SQRT(1+R4570)</f>
        <v>1.08056000737898</v>
      </c>
      <c r="T4570" s="0" t="n">
        <f aca="false">Q4570-S4570</f>
        <v>49.0408107312574</v>
      </c>
      <c r="U4570" s="0" t="n">
        <f aca="false">Q4570+S4570</f>
        <v>51.2019307460153</v>
      </c>
      <c r="V4570" s="54" t="b">
        <f aca="false">AND(D4570&gt;=01_因子設定!$L$5-0.000000001,D4570&lt;=01_因子設定!$M$5+0.000000001,E4570&gt;=01_因子設定!$L$6-0.000000001,E4570&lt;=01_因子設定!$M$6+0.000000001,F4570&gt;=01_因子設定!$L$7-0.000000001,F4570&lt;=01_因子設定!$M$7+0.000000001,IF(01_因子設定!$B$20="Box-Behnken",D4570^2+E4570^2+F4570^2&lt;=2+0.000000001,TRUE()))</f>
        <v>1</v>
      </c>
      <c r="W4570" s="55" t="n">
        <f aca="false">IF(V4570,IF(01_因子設定!$B$13="最大化",T4570-01_因子設定!$B$14,IF(01_因子設定!$B$13="最小化",01_因子設定!$B$15-U4570,MIN(T4570-01_因子設定!$B$14,01_因子設定!$B$15-U4570))),-1E+030)</f>
        <v>0.54081073125738</v>
      </c>
      <c r="X4570" s="55" t="n">
        <f aca="false">IF(V4570,IF(01_因子設定!$B$13="最大化",Q4570,IF(01_因子設定!$B$13="最小化",-Q4570,-ABS(Q4570-01_因子設定!$B$16))),-1E+030)</f>
        <v>50.1213707386364</v>
      </c>
      <c r="Y4570" s="55" t="n">
        <f aca="false">W4570+ROW()*0.000000001</f>
        <v>0.54081530125738</v>
      </c>
      <c r="Z4570" s="55" t="n">
        <f aca="false">X4570+ROW()*0.000000001</f>
        <v>50.1213753086364</v>
      </c>
    </row>
    <row r="4571" customFormat="false" ht="15" hidden="false" customHeight="false" outlineLevel="0" collapsed="false">
      <c r="A4571" s="0" t="n">
        <v>15</v>
      </c>
      <c r="B4571" s="0" t="n">
        <v>13</v>
      </c>
      <c r="C4571" s="0" t="n">
        <v>10</v>
      </c>
      <c r="D4571" s="0" t="n">
        <f aca="false">-1+A4571*0.125</f>
        <v>0.875</v>
      </c>
      <c r="E4571" s="0" t="n">
        <f aca="false">-1+B4571*0.125</f>
        <v>0.625</v>
      </c>
      <c r="F4571" s="0" t="n">
        <f aca="false">-1+C4571*0.125</f>
        <v>0.25</v>
      </c>
      <c r="G4571" s="0" t="n">
        <f aca="false">1</f>
        <v>1</v>
      </c>
      <c r="H4571" s="0" t="n">
        <f aca="false">D4571</f>
        <v>0.875</v>
      </c>
      <c r="I4571" s="0" t="n">
        <f aca="false">E4571</f>
        <v>0.625</v>
      </c>
      <c r="J4571" s="0" t="n">
        <f aca="false">F4571</f>
        <v>0.25</v>
      </c>
      <c r="K4571" s="0" t="n">
        <f aca="false">D4571*E4571</f>
        <v>0.546875</v>
      </c>
      <c r="L4571" s="0" t="n">
        <f aca="false">D4571*F4571</f>
        <v>0.21875</v>
      </c>
      <c r="M4571" s="0" t="n">
        <f aca="false">E4571*F4571</f>
        <v>0.15625</v>
      </c>
      <c r="N4571" s="0" t="n">
        <f aca="false">D4571*D4571</f>
        <v>0.765625</v>
      </c>
      <c r="O4571" s="0" t="n">
        <f aca="false">E4571*E4571</f>
        <v>0.390625</v>
      </c>
      <c r="P4571" s="0" t="n">
        <f aca="false">F4571*F4571</f>
        <v>0.0625</v>
      </c>
      <c r="Q4571" s="0" t="n">
        <f aca="false">SUMPRODUCT(G4571:P4571,_XtX!$B$71:$K$71)</f>
        <v>50.2574360795455</v>
      </c>
      <c r="R4571" s="0" t="n">
        <f aca="false">SUMPRODUCT(MMULT(G4571:P4571,_XtX!$B$58:$K$67),G4571:P4571)</f>
        <v>0.34446855024858</v>
      </c>
      <c r="S4571" s="0" t="n">
        <f aca="false">04_回帰ANOVA!$K$19*04_回帰ANOVA!$K$14*SQRT(1+R4571)</f>
        <v>1.07805758590432</v>
      </c>
      <c r="T4571" s="0" t="n">
        <f aca="false">Q4571-S4571</f>
        <v>49.1793784936411</v>
      </c>
      <c r="U4571" s="0" t="n">
        <f aca="false">Q4571+S4571</f>
        <v>51.3354936654498</v>
      </c>
      <c r="V4571" s="54" t="b">
        <f aca="false">AND(D4571&gt;=01_因子設定!$L$5-0.000000001,D4571&lt;=01_因子設定!$M$5+0.000000001,E4571&gt;=01_因子設定!$L$6-0.000000001,E4571&lt;=01_因子設定!$M$6+0.000000001,F4571&gt;=01_因子設定!$L$7-0.000000001,F4571&lt;=01_因子設定!$M$7+0.000000001,IF(01_因子設定!$B$20="Box-Behnken",D4571^2+E4571^2+F4571^2&lt;=2+0.000000001,TRUE()))</f>
        <v>1</v>
      </c>
      <c r="W4571" s="55" t="n">
        <f aca="false">IF(V4571,IF(01_因子設定!$B$13="最大化",T4571-01_因子設定!$B$14,IF(01_因子設定!$B$13="最小化",01_因子設定!$B$15-U4571,MIN(T4571-01_因子設定!$B$14,01_因子設定!$B$15-U4571))),-1E+030)</f>
        <v>0.679378493641131</v>
      </c>
      <c r="X4571" s="55" t="n">
        <f aca="false">IF(V4571,IF(01_因子設定!$B$13="最大化",Q4571,IF(01_因子設定!$B$13="最小化",-Q4571,-ABS(Q4571-01_因子設定!$B$16))),-1E+030)</f>
        <v>50.2574360795455</v>
      </c>
      <c r="Y4571" s="55" t="n">
        <f aca="false">W4571+ROW()*0.000000001</f>
        <v>0.679383064641131</v>
      </c>
      <c r="Z4571" s="55" t="n">
        <f aca="false">X4571+ROW()*0.000000001</f>
        <v>50.2574406505455</v>
      </c>
    </row>
    <row r="4572" customFormat="false" ht="15" hidden="false" customHeight="false" outlineLevel="0" collapsed="false">
      <c r="A4572" s="0" t="n">
        <v>15</v>
      </c>
      <c r="B4572" s="0" t="n">
        <v>13</v>
      </c>
      <c r="C4572" s="0" t="n">
        <v>11</v>
      </c>
      <c r="D4572" s="0" t="n">
        <f aca="false">-1+A4572*0.125</f>
        <v>0.875</v>
      </c>
      <c r="E4572" s="0" t="n">
        <f aca="false">-1+B4572*0.125</f>
        <v>0.625</v>
      </c>
      <c r="F4572" s="0" t="n">
        <f aca="false">-1+C4572*0.125</f>
        <v>0.375</v>
      </c>
      <c r="G4572" s="0" t="n">
        <f aca="false">1</f>
        <v>1</v>
      </c>
      <c r="H4572" s="0" t="n">
        <f aca="false">D4572</f>
        <v>0.875</v>
      </c>
      <c r="I4572" s="0" t="n">
        <f aca="false">E4572</f>
        <v>0.625</v>
      </c>
      <c r="J4572" s="0" t="n">
        <f aca="false">F4572</f>
        <v>0.375</v>
      </c>
      <c r="K4572" s="0" t="n">
        <f aca="false">D4572*E4572</f>
        <v>0.546875</v>
      </c>
      <c r="L4572" s="0" t="n">
        <f aca="false">D4572*F4572</f>
        <v>0.328125</v>
      </c>
      <c r="M4572" s="0" t="n">
        <f aca="false">E4572*F4572</f>
        <v>0.234375</v>
      </c>
      <c r="N4572" s="0" t="n">
        <f aca="false">D4572*D4572</f>
        <v>0.765625</v>
      </c>
      <c r="O4572" s="0" t="n">
        <f aca="false">E4572*E4572</f>
        <v>0.390625</v>
      </c>
      <c r="P4572" s="0" t="n">
        <f aca="false">F4572*F4572</f>
        <v>0.140625</v>
      </c>
      <c r="Q4572" s="0" t="n">
        <f aca="false">SUMPRODUCT(G4572:P4572,_XtX!$B$71:$K$71)</f>
        <v>50.3567116477273</v>
      </c>
      <c r="R4572" s="0" t="n">
        <f aca="false">SUMPRODUCT(MMULT(G4572:P4572,_XtX!$B$58:$K$67),G4572:P4572)</f>
        <v>0.337604869495739</v>
      </c>
      <c r="S4572" s="0" t="n">
        <f aca="false">04_回帰ANOVA!$K$19*04_回帰ANOVA!$K$14*SQRT(1+R4572)</f>
        <v>1.07530225516193</v>
      </c>
      <c r="T4572" s="0" t="n">
        <f aca="false">Q4572-S4572</f>
        <v>49.2814093925654</v>
      </c>
      <c r="U4572" s="0" t="n">
        <f aca="false">Q4572+S4572</f>
        <v>51.4320139028892</v>
      </c>
      <c r="V4572" s="54" t="b">
        <f aca="false">AND(D4572&gt;=01_因子設定!$L$5-0.000000001,D4572&lt;=01_因子設定!$M$5+0.000000001,E4572&gt;=01_因子設定!$L$6-0.000000001,E4572&lt;=01_因子設定!$M$6+0.000000001,F4572&gt;=01_因子設定!$L$7-0.000000001,F4572&lt;=01_因子設定!$M$7+0.000000001,IF(01_因子設定!$B$20="Box-Behnken",D4572^2+E4572^2+F4572^2&lt;=2+0.000000001,TRUE()))</f>
        <v>1</v>
      </c>
      <c r="W4572" s="55" t="n">
        <f aca="false">IF(V4572,IF(01_因子設定!$B$13="最大化",T4572-01_因子設定!$B$14,IF(01_因子設定!$B$13="最小化",01_因子設定!$B$15-U4572,MIN(T4572-01_因子設定!$B$14,01_因子設定!$B$15-U4572))),-1E+030)</f>
        <v>0.781409392565351</v>
      </c>
      <c r="X4572" s="55" t="n">
        <f aca="false">IF(V4572,IF(01_因子設定!$B$13="最大化",Q4572,IF(01_因子設定!$B$13="最小化",-Q4572,-ABS(Q4572-01_因子設定!$B$16))),-1E+030)</f>
        <v>50.3567116477273</v>
      </c>
      <c r="Y4572" s="55" t="n">
        <f aca="false">W4572+ROW()*0.000000001</f>
        <v>0.781413964565351</v>
      </c>
      <c r="Z4572" s="55" t="n">
        <f aca="false">X4572+ROW()*0.000000001</f>
        <v>50.3567162197273</v>
      </c>
    </row>
    <row r="4573" customFormat="false" ht="15" hidden="false" customHeight="false" outlineLevel="0" collapsed="false">
      <c r="A4573" s="0" t="n">
        <v>15</v>
      </c>
      <c r="B4573" s="0" t="n">
        <v>13</v>
      </c>
      <c r="C4573" s="0" t="n">
        <v>12</v>
      </c>
      <c r="D4573" s="0" t="n">
        <f aca="false">-1+A4573*0.125</f>
        <v>0.875</v>
      </c>
      <c r="E4573" s="0" t="n">
        <f aca="false">-1+B4573*0.125</f>
        <v>0.625</v>
      </c>
      <c r="F4573" s="0" t="n">
        <f aca="false">-1+C4573*0.125</f>
        <v>0.5</v>
      </c>
      <c r="G4573" s="0" t="n">
        <f aca="false">1</f>
        <v>1</v>
      </c>
      <c r="H4573" s="0" t="n">
        <f aca="false">D4573</f>
        <v>0.875</v>
      </c>
      <c r="I4573" s="0" t="n">
        <f aca="false">E4573</f>
        <v>0.625</v>
      </c>
      <c r="J4573" s="0" t="n">
        <f aca="false">F4573</f>
        <v>0.5</v>
      </c>
      <c r="K4573" s="0" t="n">
        <f aca="false">D4573*E4573</f>
        <v>0.546875</v>
      </c>
      <c r="L4573" s="0" t="n">
        <f aca="false">D4573*F4573</f>
        <v>0.4375</v>
      </c>
      <c r="M4573" s="0" t="n">
        <f aca="false">E4573*F4573</f>
        <v>0.3125</v>
      </c>
      <c r="N4573" s="0" t="n">
        <f aca="false">D4573*D4573</f>
        <v>0.765625</v>
      </c>
      <c r="O4573" s="0" t="n">
        <f aca="false">E4573*E4573</f>
        <v>0.390625</v>
      </c>
      <c r="P4573" s="0" t="n">
        <f aca="false">F4573*F4573</f>
        <v>0.25</v>
      </c>
      <c r="Q4573" s="0" t="n">
        <f aca="false">SUMPRODUCT(G4573:P4573,_XtX!$B$71:$K$71)</f>
        <v>50.4191974431818</v>
      </c>
      <c r="R4573" s="0" t="n">
        <f aca="false">SUMPRODUCT(MMULT(G4573:P4573,_XtX!$B$58:$K$67),G4573:P4573)</f>
        <v>0.335453102805398</v>
      </c>
      <c r="S4573" s="0" t="n">
        <f aca="false">04_回帰ANOVA!$K$19*04_回帰ANOVA!$K$14*SQRT(1+R4573)</f>
        <v>1.07443700305628</v>
      </c>
      <c r="T4573" s="0" t="n">
        <f aca="false">Q4573-S4573</f>
        <v>49.3447604401255</v>
      </c>
      <c r="U4573" s="0" t="n">
        <f aca="false">Q4573+S4573</f>
        <v>51.4936344462381</v>
      </c>
      <c r="V4573" s="54" t="b">
        <f aca="false">AND(D4573&gt;=01_因子設定!$L$5-0.000000001,D4573&lt;=01_因子設定!$M$5+0.000000001,E4573&gt;=01_因子設定!$L$6-0.000000001,E4573&lt;=01_因子設定!$M$6+0.000000001,F4573&gt;=01_因子設定!$L$7-0.000000001,F4573&lt;=01_因子設定!$M$7+0.000000001,IF(01_因子設定!$B$20="Box-Behnken",D4573^2+E4573^2+F4573^2&lt;=2+0.000000001,TRUE()))</f>
        <v>1</v>
      </c>
      <c r="W4573" s="55" t="n">
        <f aca="false">IF(V4573,IF(01_因子設定!$B$13="最大化",T4573-01_因子設定!$B$14,IF(01_因子設定!$B$13="最小化",01_因子設定!$B$15-U4573,MIN(T4573-01_因子設定!$B$14,01_因子設定!$B$15-U4573))),-1E+030)</f>
        <v>0.84476044012554</v>
      </c>
      <c r="X4573" s="55" t="n">
        <f aca="false">IF(V4573,IF(01_因子設定!$B$13="最大化",Q4573,IF(01_因子設定!$B$13="最小化",-Q4573,-ABS(Q4573-01_因子設定!$B$16))),-1E+030)</f>
        <v>50.4191974431818</v>
      </c>
      <c r="Y4573" s="55" t="n">
        <f aca="false">W4573+ROW()*0.000000001</f>
        <v>0.84476501312554</v>
      </c>
      <c r="Z4573" s="55" t="n">
        <f aca="false">X4573+ROW()*0.000000001</f>
        <v>50.4192020161818</v>
      </c>
    </row>
    <row r="4574" customFormat="false" ht="15" hidden="false" customHeight="false" outlineLevel="0" collapsed="false">
      <c r="A4574" s="0" t="n">
        <v>15</v>
      </c>
      <c r="B4574" s="0" t="n">
        <v>13</v>
      </c>
      <c r="C4574" s="0" t="n">
        <v>13</v>
      </c>
      <c r="D4574" s="0" t="n">
        <f aca="false">-1+A4574*0.125</f>
        <v>0.875</v>
      </c>
      <c r="E4574" s="0" t="n">
        <f aca="false">-1+B4574*0.125</f>
        <v>0.625</v>
      </c>
      <c r="F4574" s="0" t="n">
        <f aca="false">-1+C4574*0.125</f>
        <v>0.625</v>
      </c>
      <c r="G4574" s="0" t="n">
        <f aca="false">1</f>
        <v>1</v>
      </c>
      <c r="H4574" s="0" t="n">
        <f aca="false">D4574</f>
        <v>0.875</v>
      </c>
      <c r="I4574" s="0" t="n">
        <f aca="false">E4574</f>
        <v>0.625</v>
      </c>
      <c r="J4574" s="0" t="n">
        <f aca="false">F4574</f>
        <v>0.625</v>
      </c>
      <c r="K4574" s="0" t="n">
        <f aca="false">D4574*E4574</f>
        <v>0.546875</v>
      </c>
      <c r="L4574" s="0" t="n">
        <f aca="false">D4574*F4574</f>
        <v>0.546875</v>
      </c>
      <c r="M4574" s="0" t="n">
        <f aca="false">E4574*F4574</f>
        <v>0.390625</v>
      </c>
      <c r="N4574" s="0" t="n">
        <f aca="false">D4574*D4574</f>
        <v>0.765625</v>
      </c>
      <c r="O4574" s="0" t="n">
        <f aca="false">E4574*E4574</f>
        <v>0.390625</v>
      </c>
      <c r="P4574" s="0" t="n">
        <f aca="false">F4574*F4574</f>
        <v>0.390625</v>
      </c>
      <c r="Q4574" s="0" t="n">
        <f aca="false">SUMPRODUCT(G4574:P4574,_XtX!$B$71:$K$71)</f>
        <v>50.4448934659091</v>
      </c>
      <c r="R4574" s="0" t="n">
        <f aca="false">SUMPRODUCT(MMULT(G4574:P4574,_XtX!$B$58:$K$67),G4574:P4574)</f>
        <v>0.345470636541193</v>
      </c>
      <c r="S4574" s="0" t="n">
        <f aca="false">04_回帰ANOVA!$K$19*04_回帰ANOVA!$K$14*SQRT(1+R4574)</f>
        <v>1.07845927083227</v>
      </c>
      <c r="T4574" s="0" t="n">
        <f aca="false">Q4574-S4574</f>
        <v>49.3664341950768</v>
      </c>
      <c r="U4574" s="0" t="n">
        <f aca="false">Q4574+S4574</f>
        <v>51.5233527367414</v>
      </c>
      <c r="V4574" s="54" t="b">
        <f aca="false">AND(D4574&gt;=01_因子設定!$L$5-0.000000001,D4574&lt;=01_因子設定!$M$5+0.000000001,E4574&gt;=01_因子設定!$L$6-0.000000001,E4574&lt;=01_因子設定!$M$6+0.000000001,F4574&gt;=01_因子設定!$L$7-0.000000001,F4574&lt;=01_因子設定!$M$7+0.000000001,IF(01_因子設定!$B$20="Box-Behnken",D4574^2+E4574^2+F4574^2&lt;=2+0.000000001,TRUE()))</f>
        <v>1</v>
      </c>
      <c r="W4574" s="55" t="n">
        <f aca="false">IF(V4574,IF(01_因子設定!$B$13="最大化",T4574-01_因子設定!$B$14,IF(01_因子設定!$B$13="最小化",01_因子設定!$B$15-U4574,MIN(T4574-01_因子設定!$B$14,01_因子設定!$B$15-U4574))),-1E+030)</f>
        <v>0.866434195076828</v>
      </c>
      <c r="X4574" s="55" t="n">
        <f aca="false">IF(V4574,IF(01_因子設定!$B$13="最大化",Q4574,IF(01_因子設定!$B$13="最小化",-Q4574,-ABS(Q4574-01_因子設定!$B$16))),-1E+030)</f>
        <v>50.4448934659091</v>
      </c>
      <c r="Y4574" s="55" t="n">
        <f aca="false">W4574+ROW()*0.000000001</f>
        <v>0.866438769076828</v>
      </c>
      <c r="Z4574" s="55" t="n">
        <f aca="false">X4574+ROW()*0.000000001</f>
        <v>50.4448980399091</v>
      </c>
    </row>
    <row r="4575" customFormat="false" ht="15" hidden="false" customHeight="false" outlineLevel="0" collapsed="false">
      <c r="A4575" s="0" t="n">
        <v>15</v>
      </c>
      <c r="B4575" s="0" t="n">
        <v>13</v>
      </c>
      <c r="C4575" s="0" t="n">
        <v>14</v>
      </c>
      <c r="D4575" s="0" t="n">
        <f aca="false">-1+A4575*0.125</f>
        <v>0.875</v>
      </c>
      <c r="E4575" s="0" t="n">
        <f aca="false">-1+B4575*0.125</f>
        <v>0.625</v>
      </c>
      <c r="F4575" s="0" t="n">
        <f aca="false">-1+C4575*0.125</f>
        <v>0.75</v>
      </c>
      <c r="G4575" s="0" t="n">
        <f aca="false">1</f>
        <v>1</v>
      </c>
      <c r="H4575" s="0" t="n">
        <f aca="false">D4575</f>
        <v>0.875</v>
      </c>
      <c r="I4575" s="0" t="n">
        <f aca="false">E4575</f>
        <v>0.625</v>
      </c>
      <c r="J4575" s="0" t="n">
        <f aca="false">F4575</f>
        <v>0.75</v>
      </c>
      <c r="K4575" s="0" t="n">
        <f aca="false">D4575*E4575</f>
        <v>0.546875</v>
      </c>
      <c r="L4575" s="0" t="n">
        <f aca="false">D4575*F4575</f>
        <v>0.65625</v>
      </c>
      <c r="M4575" s="0" t="n">
        <f aca="false">E4575*F4575</f>
        <v>0.46875</v>
      </c>
      <c r="N4575" s="0" t="n">
        <f aca="false">D4575*D4575</f>
        <v>0.765625</v>
      </c>
      <c r="O4575" s="0" t="n">
        <f aca="false">E4575*E4575</f>
        <v>0.390625</v>
      </c>
      <c r="P4575" s="0" t="n">
        <f aca="false">F4575*F4575</f>
        <v>0.5625</v>
      </c>
      <c r="Q4575" s="0" t="n">
        <f aca="false">SUMPRODUCT(G4575:P4575,_XtX!$B$71:$K$71)</f>
        <v>50.4337997159091</v>
      </c>
      <c r="R4575" s="0" t="n">
        <f aca="false">SUMPRODUCT(MMULT(G4575:P4575,_XtX!$B$58:$K$67),G4575:P4575)</f>
        <v>0.377245538884943</v>
      </c>
      <c r="S4575" s="0" t="n">
        <f aca="false">04_回帰ANOVA!$K$19*04_回帰ANOVA!$K$14*SQRT(1+R4575)</f>
        <v>1.09111951468927</v>
      </c>
      <c r="T4575" s="0" t="n">
        <f aca="false">Q4575-S4575</f>
        <v>49.3426802012198</v>
      </c>
      <c r="U4575" s="0" t="n">
        <f aca="false">Q4575+S4575</f>
        <v>51.5249192305984</v>
      </c>
      <c r="V4575" s="54" t="b">
        <f aca="false">AND(D4575&gt;=01_因子設定!$L$5-0.000000001,D4575&lt;=01_因子設定!$M$5+0.000000001,E4575&gt;=01_因子設定!$L$6-0.000000001,E4575&lt;=01_因子設定!$M$6+0.000000001,F4575&gt;=01_因子設定!$L$7-0.000000001,F4575&lt;=01_因子設定!$M$7+0.000000001,IF(01_因子設定!$B$20="Box-Behnken",D4575^2+E4575^2+F4575^2&lt;=2+0.000000001,TRUE()))</f>
        <v>1</v>
      </c>
      <c r="W4575" s="55" t="n">
        <f aca="false">IF(V4575,IF(01_因子設定!$B$13="最大化",T4575-01_因子設定!$B$14,IF(01_因子設定!$B$13="最小化",01_因子設定!$B$15-U4575,MIN(T4575-01_因子設定!$B$14,01_因子設定!$B$15-U4575))),-1E+030)</f>
        <v>0.842680201219821</v>
      </c>
      <c r="X4575" s="55" t="n">
        <f aca="false">IF(V4575,IF(01_因子設定!$B$13="最大化",Q4575,IF(01_因子設定!$B$13="最小化",-Q4575,-ABS(Q4575-01_因子設定!$B$16))),-1E+030)</f>
        <v>50.4337997159091</v>
      </c>
      <c r="Y4575" s="55" t="n">
        <f aca="false">W4575+ROW()*0.000000001</f>
        <v>0.842684776219821</v>
      </c>
      <c r="Z4575" s="55" t="n">
        <f aca="false">X4575+ROW()*0.000000001</f>
        <v>50.4338042909091</v>
      </c>
    </row>
    <row r="4576" customFormat="false" ht="15" hidden="false" customHeight="false" outlineLevel="0" collapsed="false">
      <c r="A4576" s="0" t="n">
        <v>15</v>
      </c>
      <c r="B4576" s="0" t="n">
        <v>13</v>
      </c>
      <c r="C4576" s="0" t="n">
        <v>15</v>
      </c>
      <c r="D4576" s="0" t="n">
        <f aca="false">-1+A4576*0.125</f>
        <v>0.875</v>
      </c>
      <c r="E4576" s="0" t="n">
        <f aca="false">-1+B4576*0.125</f>
        <v>0.625</v>
      </c>
      <c r="F4576" s="0" t="n">
        <f aca="false">-1+C4576*0.125</f>
        <v>0.875</v>
      </c>
      <c r="G4576" s="0" t="n">
        <f aca="false">1</f>
        <v>1</v>
      </c>
      <c r="H4576" s="0" t="n">
        <f aca="false">D4576</f>
        <v>0.875</v>
      </c>
      <c r="I4576" s="0" t="n">
        <f aca="false">E4576</f>
        <v>0.625</v>
      </c>
      <c r="J4576" s="0" t="n">
        <f aca="false">F4576</f>
        <v>0.875</v>
      </c>
      <c r="K4576" s="0" t="n">
        <f aca="false">D4576*E4576</f>
        <v>0.546875</v>
      </c>
      <c r="L4576" s="0" t="n">
        <f aca="false">D4576*F4576</f>
        <v>0.765625</v>
      </c>
      <c r="M4576" s="0" t="n">
        <f aca="false">E4576*F4576</f>
        <v>0.546875</v>
      </c>
      <c r="N4576" s="0" t="n">
        <f aca="false">D4576*D4576</f>
        <v>0.765625</v>
      </c>
      <c r="O4576" s="0" t="n">
        <f aca="false">E4576*E4576</f>
        <v>0.390625</v>
      </c>
      <c r="P4576" s="0" t="n">
        <f aca="false">F4576*F4576</f>
        <v>0.765625</v>
      </c>
      <c r="Q4576" s="0" t="n">
        <f aca="false">SUMPRODUCT(G4576:P4576,_XtX!$B$71:$K$71)</f>
        <v>50.3859161931818</v>
      </c>
      <c r="R4576" s="0" t="n">
        <f aca="false">SUMPRODUCT(MMULT(G4576:P4576,_XtX!$B$58:$K$67),G4576:P4576)</f>
        <v>0.442496559836648</v>
      </c>
      <c r="S4576" s="0" t="n">
        <f aca="false">04_回帰ANOVA!$K$19*04_回帰ANOVA!$K$14*SQRT(1+R4576)</f>
        <v>1.11666789259284</v>
      </c>
      <c r="T4576" s="0" t="n">
        <f aca="false">Q4576-S4576</f>
        <v>49.269248300589</v>
      </c>
      <c r="U4576" s="0" t="n">
        <f aca="false">Q4576+S4576</f>
        <v>51.5025840857747</v>
      </c>
      <c r="V4576" s="54" t="b">
        <f aca="false">AND(D4576&gt;=01_因子設定!$L$5-0.000000001,D4576&lt;=01_因子設定!$M$5+0.000000001,E4576&gt;=01_因子設定!$L$6-0.000000001,E4576&lt;=01_因子設定!$M$6+0.000000001,F4576&gt;=01_因子設定!$L$7-0.000000001,F4576&lt;=01_因子設定!$M$7+0.000000001,IF(01_因子設定!$B$20="Box-Behnken",D4576^2+E4576^2+F4576^2&lt;=2+0.000000001,TRUE()))</f>
        <v>1</v>
      </c>
      <c r="W4576" s="55" t="n">
        <f aca="false">IF(V4576,IF(01_因子設定!$B$13="最大化",T4576-01_因子設定!$B$14,IF(01_因子設定!$B$13="最小化",01_因子設定!$B$15-U4576,MIN(T4576-01_因子設定!$B$14,01_因子設定!$B$15-U4576))),-1E+030)</f>
        <v>0.769248300588984</v>
      </c>
      <c r="X4576" s="55" t="n">
        <f aca="false">IF(V4576,IF(01_因子設定!$B$13="最大化",Q4576,IF(01_因子設定!$B$13="最小化",-Q4576,-ABS(Q4576-01_因子設定!$B$16))),-1E+030)</f>
        <v>50.3859161931818</v>
      </c>
      <c r="Y4576" s="55" t="n">
        <f aca="false">W4576+ROW()*0.000000001</f>
        <v>0.769252876588984</v>
      </c>
      <c r="Z4576" s="55" t="n">
        <f aca="false">X4576+ROW()*0.000000001</f>
        <v>50.3859207691818</v>
      </c>
    </row>
    <row r="4577" customFormat="false" ht="15" hidden="false" customHeight="false" outlineLevel="0" collapsed="false">
      <c r="A4577" s="0" t="n">
        <v>15</v>
      </c>
      <c r="B4577" s="0" t="n">
        <v>13</v>
      </c>
      <c r="C4577" s="0" t="n">
        <v>16</v>
      </c>
      <c r="D4577" s="0" t="n">
        <f aca="false">-1+A4577*0.125</f>
        <v>0.875</v>
      </c>
      <c r="E4577" s="0" t="n">
        <f aca="false">-1+B4577*0.125</f>
        <v>0.625</v>
      </c>
      <c r="F4577" s="0" t="n">
        <f aca="false">-1+C4577*0.125</f>
        <v>1</v>
      </c>
      <c r="G4577" s="0" t="n">
        <f aca="false">1</f>
        <v>1</v>
      </c>
      <c r="H4577" s="0" t="n">
        <f aca="false">D4577</f>
        <v>0.875</v>
      </c>
      <c r="I4577" s="0" t="n">
        <f aca="false">E4577</f>
        <v>0.625</v>
      </c>
      <c r="J4577" s="0" t="n">
        <f aca="false">F4577</f>
        <v>1</v>
      </c>
      <c r="K4577" s="0" t="n">
        <f aca="false">D4577*E4577</f>
        <v>0.546875</v>
      </c>
      <c r="L4577" s="0" t="n">
        <f aca="false">D4577*F4577</f>
        <v>0.875</v>
      </c>
      <c r="M4577" s="0" t="n">
        <f aca="false">E4577*F4577</f>
        <v>0.625</v>
      </c>
      <c r="N4577" s="0" t="n">
        <f aca="false">D4577*D4577</f>
        <v>0.765625</v>
      </c>
      <c r="O4577" s="0" t="n">
        <f aca="false">E4577*E4577</f>
        <v>0.390625</v>
      </c>
      <c r="P4577" s="0" t="n">
        <f aca="false">F4577*F4577</f>
        <v>1</v>
      </c>
      <c r="Q4577" s="0" t="n">
        <f aca="false">SUMPRODUCT(G4577:P4577,_XtX!$B$71:$K$71)</f>
        <v>50.3012428977273</v>
      </c>
      <c r="R4577" s="0" t="n">
        <f aca="false">SUMPRODUCT(MMULT(G4577:P4577,_XtX!$B$58:$K$67),G4577:P4577)</f>
        <v>0.555073131214489</v>
      </c>
      <c r="S4577" s="0" t="n">
        <f aca="false">04_回帰ANOVA!$K$19*04_回帰ANOVA!$K$14*SQRT(1+R4577)</f>
        <v>1.15942335628341</v>
      </c>
      <c r="T4577" s="0" t="n">
        <f aca="false">Q4577-S4577</f>
        <v>49.1418195414439</v>
      </c>
      <c r="U4577" s="0" t="n">
        <f aca="false">Q4577+S4577</f>
        <v>51.4606662540107</v>
      </c>
      <c r="V4577" s="54" t="b">
        <f aca="false">AND(D4577&gt;=01_因子設定!$L$5-0.000000001,D4577&lt;=01_因子設定!$M$5+0.000000001,E4577&gt;=01_因子設定!$L$6-0.000000001,E4577&lt;=01_因子設定!$M$6+0.000000001,F4577&gt;=01_因子設定!$L$7-0.000000001,F4577&lt;=01_因子設定!$M$7+0.000000001,IF(01_因子設定!$B$20="Box-Behnken",D4577^2+E4577^2+F4577^2&lt;=2+0.000000001,TRUE()))</f>
        <v>1</v>
      </c>
      <c r="W4577" s="55" t="n">
        <f aca="false">IF(V4577,IF(01_因子設定!$B$13="最大化",T4577-01_因子設定!$B$14,IF(01_因子設定!$B$13="最小化",01_因子設定!$B$15-U4577,MIN(T4577-01_因子設定!$B$14,01_因子設定!$B$15-U4577))),-1E+030)</f>
        <v>0.64181954144388</v>
      </c>
      <c r="X4577" s="55" t="n">
        <f aca="false">IF(V4577,IF(01_因子設定!$B$13="最大化",Q4577,IF(01_因子設定!$B$13="最小化",-Q4577,-ABS(Q4577-01_因子設定!$B$16))),-1E+030)</f>
        <v>50.3012428977273</v>
      </c>
      <c r="Y4577" s="55" t="n">
        <f aca="false">W4577+ROW()*0.000000001</f>
        <v>0.64182411844388</v>
      </c>
      <c r="Z4577" s="55" t="n">
        <f aca="false">X4577+ROW()*0.000000001</f>
        <v>50.3012474747273</v>
      </c>
    </row>
    <row r="4578" customFormat="false" ht="15" hidden="false" customHeight="false" outlineLevel="0" collapsed="false">
      <c r="A4578" s="0" t="n">
        <v>15</v>
      </c>
      <c r="B4578" s="0" t="n">
        <v>14</v>
      </c>
      <c r="C4578" s="0" t="n">
        <v>0</v>
      </c>
      <c r="D4578" s="0" t="n">
        <f aca="false">-1+A4578*0.125</f>
        <v>0.875</v>
      </c>
      <c r="E4578" s="0" t="n">
        <f aca="false">-1+B4578*0.125</f>
        <v>0.75</v>
      </c>
      <c r="F4578" s="0" t="n">
        <f aca="false">-1+C4578*0.125</f>
        <v>-1</v>
      </c>
      <c r="G4578" s="0" t="n">
        <f aca="false">1</f>
        <v>1</v>
      </c>
      <c r="H4578" s="0" t="n">
        <f aca="false">D4578</f>
        <v>0.875</v>
      </c>
      <c r="I4578" s="0" t="n">
        <f aca="false">E4578</f>
        <v>0.75</v>
      </c>
      <c r="J4578" s="0" t="n">
        <f aca="false">F4578</f>
        <v>-1</v>
      </c>
      <c r="K4578" s="0" t="n">
        <f aca="false">D4578*E4578</f>
        <v>0.65625</v>
      </c>
      <c r="L4578" s="0" t="n">
        <f aca="false">D4578*F4578</f>
        <v>-0.875</v>
      </c>
      <c r="M4578" s="0" t="n">
        <f aca="false">E4578*F4578</f>
        <v>-0.75</v>
      </c>
      <c r="N4578" s="0" t="n">
        <f aca="false">D4578*D4578</f>
        <v>0.765625</v>
      </c>
      <c r="O4578" s="0" t="n">
        <f aca="false">E4578*E4578</f>
        <v>0.5625</v>
      </c>
      <c r="P4578" s="0" t="n">
        <f aca="false">F4578*F4578</f>
        <v>1</v>
      </c>
      <c r="Q4578" s="0" t="n">
        <f aca="false">SUMPRODUCT(G4578:P4578,_XtX!$B$71:$K$71)</f>
        <v>47.2292897727273</v>
      </c>
      <c r="R4578" s="0" t="n">
        <f aca="false">SUMPRODUCT(MMULT(G4578:P4578,_XtX!$B$58:$K$67),G4578:P4578)</f>
        <v>0.571375621448864</v>
      </c>
      <c r="S4578" s="0" t="n">
        <f aca="false">04_回帰ANOVA!$K$19*04_回帰ANOVA!$K$14*SQRT(1+R4578)</f>
        <v>1.16548487437682</v>
      </c>
      <c r="T4578" s="0" t="n">
        <f aca="false">Q4578-S4578</f>
        <v>46.0638048983505</v>
      </c>
      <c r="U4578" s="0" t="n">
        <f aca="false">Q4578+S4578</f>
        <v>48.3947746471041</v>
      </c>
      <c r="V4578" s="54" t="b">
        <f aca="false">AND(D4578&gt;=01_因子設定!$L$5-0.000000001,D4578&lt;=01_因子設定!$M$5+0.000000001,E4578&gt;=01_因子設定!$L$6-0.000000001,E4578&lt;=01_因子設定!$M$6+0.000000001,F4578&gt;=01_因子設定!$L$7-0.000000001,F4578&lt;=01_因子設定!$M$7+0.000000001,IF(01_因子設定!$B$20="Box-Behnken",D4578^2+E4578^2+F4578^2&lt;=2+0.000000001,TRUE()))</f>
        <v>1</v>
      </c>
      <c r="W4578" s="55" t="n">
        <f aca="false">IF(V4578,IF(01_因子設定!$B$13="最大化",T4578-01_因子設定!$B$14,IF(01_因子設定!$B$13="最小化",01_因子設定!$B$15-U4578,MIN(T4578-01_因子設定!$B$14,01_因子設定!$B$15-U4578))),-1E+030)</f>
        <v>-2.43619510164953</v>
      </c>
      <c r="X4578" s="55" t="n">
        <f aca="false">IF(V4578,IF(01_因子設定!$B$13="最大化",Q4578,IF(01_因子設定!$B$13="最小化",-Q4578,-ABS(Q4578-01_因子設定!$B$16))),-1E+030)</f>
        <v>47.2292897727273</v>
      </c>
      <c r="Y4578" s="55" t="n">
        <f aca="false">W4578+ROW()*0.000000001</f>
        <v>-2.43619052364953</v>
      </c>
      <c r="Z4578" s="55" t="n">
        <f aca="false">X4578+ROW()*0.000000001</f>
        <v>47.2292943507273</v>
      </c>
    </row>
    <row r="4579" customFormat="false" ht="15" hidden="false" customHeight="false" outlineLevel="0" collapsed="false">
      <c r="A4579" s="0" t="n">
        <v>15</v>
      </c>
      <c r="B4579" s="0" t="n">
        <v>14</v>
      </c>
      <c r="C4579" s="0" t="n">
        <v>1</v>
      </c>
      <c r="D4579" s="0" t="n">
        <f aca="false">-1+A4579*0.125</f>
        <v>0.875</v>
      </c>
      <c r="E4579" s="0" t="n">
        <f aca="false">-1+B4579*0.125</f>
        <v>0.75</v>
      </c>
      <c r="F4579" s="0" t="n">
        <f aca="false">-1+C4579*0.125</f>
        <v>-0.875</v>
      </c>
      <c r="G4579" s="0" t="n">
        <f aca="false">1</f>
        <v>1</v>
      </c>
      <c r="H4579" s="0" t="n">
        <f aca="false">D4579</f>
        <v>0.875</v>
      </c>
      <c r="I4579" s="0" t="n">
        <f aca="false">E4579</f>
        <v>0.75</v>
      </c>
      <c r="J4579" s="0" t="n">
        <f aca="false">F4579</f>
        <v>-0.875</v>
      </c>
      <c r="K4579" s="0" t="n">
        <f aca="false">D4579*E4579</f>
        <v>0.65625</v>
      </c>
      <c r="L4579" s="0" t="n">
        <f aca="false">D4579*F4579</f>
        <v>-0.765625</v>
      </c>
      <c r="M4579" s="0" t="n">
        <f aca="false">E4579*F4579</f>
        <v>-0.65625</v>
      </c>
      <c r="N4579" s="0" t="n">
        <f aca="false">D4579*D4579</f>
        <v>0.765625</v>
      </c>
      <c r="O4579" s="0" t="n">
        <f aca="false">E4579*E4579</f>
        <v>0.5625</v>
      </c>
      <c r="P4579" s="0" t="n">
        <f aca="false">F4579*F4579</f>
        <v>0.765625</v>
      </c>
      <c r="Q4579" s="0" t="n">
        <f aca="false">SUMPRODUCT(G4579:P4579,_XtX!$B$71:$K$71)</f>
        <v>47.7034943181818</v>
      </c>
      <c r="R4579" s="0" t="n">
        <f aca="false">SUMPRODUCT(MMULT(G4579:P4579,_XtX!$B$58:$K$67),G4579:P4579)</f>
        <v>0.464749977805398</v>
      </c>
      <c r="S4579" s="0" t="n">
        <f aca="false">04_回帰ANOVA!$K$19*04_回帰ANOVA!$K$14*SQRT(1+R4579)</f>
        <v>1.12524835342194</v>
      </c>
      <c r="T4579" s="0" t="n">
        <f aca="false">Q4579-S4579</f>
        <v>46.5782459647599</v>
      </c>
      <c r="U4579" s="0" t="n">
        <f aca="false">Q4579+S4579</f>
        <v>48.8287426716038</v>
      </c>
      <c r="V4579" s="54" t="b">
        <f aca="false">AND(D4579&gt;=01_因子設定!$L$5-0.000000001,D4579&lt;=01_因子設定!$M$5+0.000000001,E4579&gt;=01_因子設定!$L$6-0.000000001,E4579&lt;=01_因子設定!$M$6+0.000000001,F4579&gt;=01_因子設定!$L$7-0.000000001,F4579&lt;=01_因子設定!$M$7+0.000000001,IF(01_因子設定!$B$20="Box-Behnken",D4579^2+E4579^2+F4579^2&lt;=2+0.000000001,TRUE()))</f>
        <v>1</v>
      </c>
      <c r="W4579" s="55" t="n">
        <f aca="false">IF(V4579,IF(01_因子設定!$B$13="最大化",T4579-01_因子設定!$B$14,IF(01_因子設定!$B$13="最小化",01_因子設定!$B$15-U4579,MIN(T4579-01_因子設定!$B$14,01_因子設定!$B$15-U4579))),-1E+030)</f>
        <v>-1.92175403524011</v>
      </c>
      <c r="X4579" s="55" t="n">
        <f aca="false">IF(V4579,IF(01_因子設定!$B$13="最大化",Q4579,IF(01_因子設定!$B$13="最小化",-Q4579,-ABS(Q4579-01_因子設定!$B$16))),-1E+030)</f>
        <v>47.7034943181818</v>
      </c>
      <c r="Y4579" s="55" t="n">
        <f aca="false">W4579+ROW()*0.000000001</f>
        <v>-1.92174945624011</v>
      </c>
      <c r="Z4579" s="55" t="n">
        <f aca="false">X4579+ROW()*0.000000001</f>
        <v>47.7034988971818</v>
      </c>
    </row>
    <row r="4580" customFormat="false" ht="15" hidden="false" customHeight="false" outlineLevel="0" collapsed="false">
      <c r="A4580" s="0" t="n">
        <v>15</v>
      </c>
      <c r="B4580" s="0" t="n">
        <v>14</v>
      </c>
      <c r="C4580" s="0" t="n">
        <v>2</v>
      </c>
      <c r="D4580" s="0" t="n">
        <f aca="false">-1+A4580*0.125</f>
        <v>0.875</v>
      </c>
      <c r="E4580" s="0" t="n">
        <f aca="false">-1+B4580*0.125</f>
        <v>0.75</v>
      </c>
      <c r="F4580" s="0" t="n">
        <f aca="false">-1+C4580*0.125</f>
        <v>-0.75</v>
      </c>
      <c r="G4580" s="0" t="n">
        <f aca="false">1</f>
        <v>1</v>
      </c>
      <c r="H4580" s="0" t="n">
        <f aca="false">D4580</f>
        <v>0.875</v>
      </c>
      <c r="I4580" s="0" t="n">
        <f aca="false">E4580</f>
        <v>0.75</v>
      </c>
      <c r="J4580" s="0" t="n">
        <f aca="false">F4580</f>
        <v>-0.75</v>
      </c>
      <c r="K4580" s="0" t="n">
        <f aca="false">D4580*E4580</f>
        <v>0.65625</v>
      </c>
      <c r="L4580" s="0" t="n">
        <f aca="false">D4580*F4580</f>
        <v>-0.65625</v>
      </c>
      <c r="M4580" s="0" t="n">
        <f aca="false">E4580*F4580</f>
        <v>-0.5625</v>
      </c>
      <c r="N4580" s="0" t="n">
        <f aca="false">D4580*D4580</f>
        <v>0.765625</v>
      </c>
      <c r="O4580" s="0" t="n">
        <f aca="false">E4580*E4580</f>
        <v>0.5625</v>
      </c>
      <c r="P4580" s="0" t="n">
        <f aca="false">F4580*F4580</f>
        <v>0.5625</v>
      </c>
      <c r="Q4580" s="0" t="n">
        <f aca="false">SUMPRODUCT(G4580:P4580,_XtX!$B$71:$K$71)</f>
        <v>48.1409090909091</v>
      </c>
      <c r="R4580" s="0" t="n">
        <f aca="false">SUMPRODUCT(MMULT(G4580:P4580,_XtX!$B$58:$K$67),G4580:P4580)</f>
        <v>0.404656427556818</v>
      </c>
      <c r="S4580" s="0" t="n">
        <f aca="false">04_回帰ANOVA!$K$19*04_回帰ANOVA!$K$14*SQRT(1+R4580)</f>
        <v>1.10192412515358</v>
      </c>
      <c r="T4580" s="0" t="n">
        <f aca="false">Q4580-S4580</f>
        <v>47.0389849657555</v>
      </c>
      <c r="U4580" s="0" t="n">
        <f aca="false">Q4580+S4580</f>
        <v>49.2428332160627</v>
      </c>
      <c r="V4580" s="54" t="b">
        <f aca="false">AND(D4580&gt;=01_因子設定!$L$5-0.000000001,D4580&lt;=01_因子設定!$M$5+0.000000001,E4580&gt;=01_因子設定!$L$6-0.000000001,E4580&lt;=01_因子設定!$M$6+0.000000001,F4580&gt;=01_因子設定!$L$7-0.000000001,F4580&lt;=01_因子設定!$M$7+0.000000001,IF(01_因子設定!$B$20="Box-Behnken",D4580^2+E4580^2+F4580^2&lt;=2+0.000000001,TRUE()))</f>
        <v>1</v>
      </c>
      <c r="W4580" s="55" t="n">
        <f aca="false">IF(V4580,IF(01_因子設定!$B$13="最大化",T4580-01_因子設定!$B$14,IF(01_因子設定!$B$13="最小化",01_因子設定!$B$15-U4580,MIN(T4580-01_因子設定!$B$14,01_因子設定!$B$15-U4580))),-1E+030)</f>
        <v>-1.46101503424448</v>
      </c>
      <c r="X4580" s="55" t="n">
        <f aca="false">IF(V4580,IF(01_因子設定!$B$13="最大化",Q4580,IF(01_因子設定!$B$13="最小化",-Q4580,-ABS(Q4580-01_因子設定!$B$16))),-1E+030)</f>
        <v>48.1409090909091</v>
      </c>
      <c r="Y4580" s="55" t="n">
        <f aca="false">W4580+ROW()*0.000000001</f>
        <v>-1.46101045424448</v>
      </c>
      <c r="Z4580" s="55" t="n">
        <f aca="false">X4580+ROW()*0.000000001</f>
        <v>48.1409136709091</v>
      </c>
    </row>
    <row r="4581" customFormat="false" ht="15" hidden="false" customHeight="false" outlineLevel="0" collapsed="false">
      <c r="A4581" s="0" t="n">
        <v>15</v>
      </c>
      <c r="B4581" s="0" t="n">
        <v>14</v>
      </c>
      <c r="C4581" s="0" t="n">
        <v>3</v>
      </c>
      <c r="D4581" s="0" t="n">
        <f aca="false">-1+A4581*0.125</f>
        <v>0.875</v>
      </c>
      <c r="E4581" s="0" t="n">
        <f aca="false">-1+B4581*0.125</f>
        <v>0.75</v>
      </c>
      <c r="F4581" s="0" t="n">
        <f aca="false">-1+C4581*0.125</f>
        <v>-0.625</v>
      </c>
      <c r="G4581" s="0" t="n">
        <f aca="false">1</f>
        <v>1</v>
      </c>
      <c r="H4581" s="0" t="n">
        <f aca="false">D4581</f>
        <v>0.875</v>
      </c>
      <c r="I4581" s="0" t="n">
        <f aca="false">E4581</f>
        <v>0.75</v>
      </c>
      <c r="J4581" s="0" t="n">
        <f aca="false">F4581</f>
        <v>-0.625</v>
      </c>
      <c r="K4581" s="0" t="n">
        <f aca="false">D4581*E4581</f>
        <v>0.65625</v>
      </c>
      <c r="L4581" s="0" t="n">
        <f aca="false">D4581*F4581</f>
        <v>-0.546875</v>
      </c>
      <c r="M4581" s="0" t="n">
        <f aca="false">E4581*F4581</f>
        <v>-0.46875</v>
      </c>
      <c r="N4581" s="0" t="n">
        <f aca="false">D4581*D4581</f>
        <v>0.765625</v>
      </c>
      <c r="O4581" s="0" t="n">
        <f aca="false">E4581*E4581</f>
        <v>0.5625</v>
      </c>
      <c r="P4581" s="0" t="n">
        <f aca="false">F4581*F4581</f>
        <v>0.390625</v>
      </c>
      <c r="Q4581" s="0" t="n">
        <f aca="false">SUMPRODUCT(G4581:P4581,_XtX!$B$71:$K$71)</f>
        <v>48.5415340909091</v>
      </c>
      <c r="R4581" s="0" t="n">
        <f aca="false">SUMPRODUCT(MMULT(G4581:P4581,_XtX!$B$58:$K$67),G4581:P4581)</f>
        <v>0.377245538884943</v>
      </c>
      <c r="S4581" s="0" t="n">
        <f aca="false">04_回帰ANOVA!$K$19*04_回帰ANOVA!$K$14*SQRT(1+R4581)</f>
        <v>1.09111951468927</v>
      </c>
      <c r="T4581" s="0" t="n">
        <f aca="false">Q4581-S4581</f>
        <v>47.4504145762198</v>
      </c>
      <c r="U4581" s="0" t="n">
        <f aca="false">Q4581+S4581</f>
        <v>49.6326536055984</v>
      </c>
      <c r="V4581" s="54" t="b">
        <f aca="false">AND(D4581&gt;=01_因子設定!$L$5-0.000000001,D4581&lt;=01_因子設定!$M$5+0.000000001,E4581&gt;=01_因子設定!$L$6-0.000000001,E4581&lt;=01_因子設定!$M$6+0.000000001,F4581&gt;=01_因子設定!$L$7-0.000000001,F4581&lt;=01_因子設定!$M$7+0.000000001,IF(01_因子設定!$B$20="Box-Behnken",D4581^2+E4581^2+F4581^2&lt;=2+0.000000001,TRUE()))</f>
        <v>1</v>
      </c>
      <c r="W4581" s="55" t="n">
        <f aca="false">IF(V4581,IF(01_因子設定!$B$13="最大化",T4581-01_因子設定!$B$14,IF(01_因子設定!$B$13="最小化",01_因子設定!$B$15-U4581,MIN(T4581-01_因子設定!$B$14,01_因子設定!$B$15-U4581))),-1E+030)</f>
        <v>-1.04958542378018</v>
      </c>
      <c r="X4581" s="55" t="n">
        <f aca="false">IF(V4581,IF(01_因子設定!$B$13="最大化",Q4581,IF(01_因子設定!$B$13="最小化",-Q4581,-ABS(Q4581-01_因子設定!$B$16))),-1E+030)</f>
        <v>48.5415340909091</v>
      </c>
      <c r="Y4581" s="55" t="n">
        <f aca="false">W4581+ROW()*0.000000001</f>
        <v>-1.04958084278018</v>
      </c>
      <c r="Z4581" s="55" t="n">
        <f aca="false">X4581+ROW()*0.000000001</f>
        <v>48.5415386719091</v>
      </c>
    </row>
    <row r="4582" customFormat="false" ht="15" hidden="false" customHeight="false" outlineLevel="0" collapsed="false">
      <c r="A4582" s="0" t="n">
        <v>15</v>
      </c>
      <c r="B4582" s="0" t="n">
        <v>14</v>
      </c>
      <c r="C4582" s="0" t="n">
        <v>4</v>
      </c>
      <c r="D4582" s="0" t="n">
        <f aca="false">-1+A4582*0.125</f>
        <v>0.875</v>
      </c>
      <c r="E4582" s="0" t="n">
        <f aca="false">-1+B4582*0.125</f>
        <v>0.75</v>
      </c>
      <c r="F4582" s="0" t="n">
        <f aca="false">-1+C4582*0.125</f>
        <v>-0.5</v>
      </c>
      <c r="G4582" s="0" t="n">
        <f aca="false">1</f>
        <v>1</v>
      </c>
      <c r="H4582" s="0" t="n">
        <f aca="false">D4582</f>
        <v>0.875</v>
      </c>
      <c r="I4582" s="0" t="n">
        <f aca="false">E4582</f>
        <v>0.75</v>
      </c>
      <c r="J4582" s="0" t="n">
        <f aca="false">F4582</f>
        <v>-0.5</v>
      </c>
      <c r="K4582" s="0" t="n">
        <f aca="false">D4582*E4582</f>
        <v>0.65625</v>
      </c>
      <c r="L4582" s="0" t="n">
        <f aca="false">D4582*F4582</f>
        <v>-0.4375</v>
      </c>
      <c r="M4582" s="0" t="n">
        <f aca="false">E4582*F4582</f>
        <v>-0.375</v>
      </c>
      <c r="N4582" s="0" t="n">
        <f aca="false">D4582*D4582</f>
        <v>0.765625</v>
      </c>
      <c r="O4582" s="0" t="n">
        <f aca="false">E4582*E4582</f>
        <v>0.5625</v>
      </c>
      <c r="P4582" s="0" t="n">
        <f aca="false">F4582*F4582</f>
        <v>0.25</v>
      </c>
      <c r="Q4582" s="0" t="n">
        <f aca="false">SUMPRODUCT(G4582:P4582,_XtX!$B$71:$K$71)</f>
        <v>48.9053693181818</v>
      </c>
      <c r="R4582" s="0" t="n">
        <f aca="false">SUMPRODUCT(MMULT(G4582:P4582,_XtX!$B$58:$K$67),G4582:P4582)</f>
        <v>0.370798561789773</v>
      </c>
      <c r="S4582" s="0" t="n">
        <f aca="false">04_回帰ANOVA!$K$19*04_回帰ANOVA!$K$14*SQRT(1+R4582)</f>
        <v>1.08856271788237</v>
      </c>
      <c r="T4582" s="0" t="n">
        <f aca="false">Q4582-S4582</f>
        <v>47.8168066002994</v>
      </c>
      <c r="U4582" s="0" t="n">
        <f aca="false">Q4582+S4582</f>
        <v>49.9939320360642</v>
      </c>
      <c r="V4582" s="54" t="b">
        <f aca="false">AND(D4582&gt;=01_因子設定!$L$5-0.000000001,D4582&lt;=01_因子設定!$M$5+0.000000001,E4582&gt;=01_因子設定!$L$6-0.000000001,E4582&lt;=01_因子設定!$M$6+0.000000001,F4582&gt;=01_因子設定!$L$7-0.000000001,F4582&lt;=01_因子設定!$M$7+0.000000001,IF(01_因子設定!$B$20="Box-Behnken",D4582^2+E4582^2+F4582^2&lt;=2+0.000000001,TRUE()))</f>
        <v>1</v>
      </c>
      <c r="W4582" s="55" t="n">
        <f aca="false">IF(V4582,IF(01_因子設定!$B$13="最大化",T4582-01_因子設定!$B$14,IF(01_因子設定!$B$13="最小化",01_因子設定!$B$15-U4582,MIN(T4582-01_因子設定!$B$14,01_因子設定!$B$15-U4582))),-1E+030)</f>
        <v>-0.683193399700556</v>
      </c>
      <c r="X4582" s="55" t="n">
        <f aca="false">IF(V4582,IF(01_因子設定!$B$13="最大化",Q4582,IF(01_因子設定!$B$13="最小化",-Q4582,-ABS(Q4582-01_因子設定!$B$16))),-1E+030)</f>
        <v>48.9053693181818</v>
      </c>
      <c r="Y4582" s="55" t="n">
        <f aca="false">W4582+ROW()*0.000000001</f>
        <v>-0.683188817700556</v>
      </c>
      <c r="Z4582" s="55" t="n">
        <f aca="false">X4582+ROW()*0.000000001</f>
        <v>48.9053739001818</v>
      </c>
    </row>
    <row r="4583" customFormat="false" ht="15" hidden="false" customHeight="false" outlineLevel="0" collapsed="false">
      <c r="A4583" s="0" t="n">
        <v>15</v>
      </c>
      <c r="B4583" s="0" t="n">
        <v>14</v>
      </c>
      <c r="C4583" s="0" t="n">
        <v>5</v>
      </c>
      <c r="D4583" s="0" t="n">
        <f aca="false">-1+A4583*0.125</f>
        <v>0.875</v>
      </c>
      <c r="E4583" s="0" t="n">
        <f aca="false">-1+B4583*0.125</f>
        <v>0.75</v>
      </c>
      <c r="F4583" s="0" t="n">
        <f aca="false">-1+C4583*0.125</f>
        <v>-0.375</v>
      </c>
      <c r="G4583" s="0" t="n">
        <f aca="false">1</f>
        <v>1</v>
      </c>
      <c r="H4583" s="0" t="n">
        <f aca="false">D4583</f>
        <v>0.875</v>
      </c>
      <c r="I4583" s="0" t="n">
        <f aca="false">E4583</f>
        <v>0.75</v>
      </c>
      <c r="J4583" s="0" t="n">
        <f aca="false">F4583</f>
        <v>-0.375</v>
      </c>
      <c r="K4583" s="0" t="n">
        <f aca="false">D4583*E4583</f>
        <v>0.65625</v>
      </c>
      <c r="L4583" s="0" t="n">
        <f aca="false">D4583*F4583</f>
        <v>-0.328125</v>
      </c>
      <c r="M4583" s="0" t="n">
        <f aca="false">E4583*F4583</f>
        <v>-0.28125</v>
      </c>
      <c r="N4583" s="0" t="n">
        <f aca="false">D4583*D4583</f>
        <v>0.765625</v>
      </c>
      <c r="O4583" s="0" t="n">
        <f aca="false">E4583*E4583</f>
        <v>0.5625</v>
      </c>
      <c r="P4583" s="0" t="n">
        <f aca="false">F4583*F4583</f>
        <v>0.140625</v>
      </c>
      <c r="Q4583" s="0" t="n">
        <f aca="false">SUMPRODUCT(G4583:P4583,_XtX!$B$71:$K$71)</f>
        <v>49.2324147727273</v>
      </c>
      <c r="R4583" s="0" t="n">
        <f aca="false">SUMPRODUCT(MMULT(G4583:P4583,_XtX!$B$58:$K$67),G4583:P4583)</f>
        <v>0.375727428089489</v>
      </c>
      <c r="S4583" s="0" t="n">
        <f aca="false">04_回帰ANOVA!$K$19*04_回帰ANOVA!$K$14*SQRT(1+R4583)</f>
        <v>1.09051798904087</v>
      </c>
      <c r="T4583" s="0" t="n">
        <f aca="false">Q4583-S4583</f>
        <v>48.1418967836864</v>
      </c>
      <c r="U4583" s="0" t="n">
        <f aca="false">Q4583+S4583</f>
        <v>50.3229327617681</v>
      </c>
      <c r="V4583" s="54" t="b">
        <f aca="false">AND(D4583&gt;=01_因子設定!$L$5-0.000000001,D4583&lt;=01_因子設定!$M$5+0.000000001,E4583&gt;=01_因子設定!$L$6-0.000000001,E4583&lt;=01_因子設定!$M$6+0.000000001,F4583&gt;=01_因子設定!$L$7-0.000000001,F4583&lt;=01_因子設定!$M$7+0.000000001,IF(01_因子設定!$B$20="Box-Behnken",D4583^2+E4583^2+F4583^2&lt;=2+0.000000001,TRUE()))</f>
        <v>1</v>
      </c>
      <c r="W4583" s="55" t="n">
        <f aca="false">IF(V4583,IF(01_因子設定!$B$13="最大化",T4583-01_因子設定!$B$14,IF(01_因子設定!$B$13="最小化",01_因子設定!$B$15-U4583,MIN(T4583-01_因子設定!$B$14,01_因子設定!$B$15-U4583))),-1E+030)</f>
        <v>-0.358103216313609</v>
      </c>
      <c r="X4583" s="55" t="n">
        <f aca="false">IF(V4583,IF(01_因子設定!$B$13="最大化",Q4583,IF(01_因子設定!$B$13="最小化",-Q4583,-ABS(Q4583-01_因子設定!$B$16))),-1E+030)</f>
        <v>49.2324147727273</v>
      </c>
      <c r="Y4583" s="55" t="n">
        <f aca="false">W4583+ROW()*0.000000001</f>
        <v>-0.358098633313609</v>
      </c>
      <c r="Z4583" s="55" t="n">
        <f aca="false">X4583+ROW()*0.000000001</f>
        <v>49.2324193557273</v>
      </c>
    </row>
    <row r="4584" customFormat="false" ht="15" hidden="false" customHeight="false" outlineLevel="0" collapsed="false">
      <c r="A4584" s="0" t="n">
        <v>15</v>
      </c>
      <c r="B4584" s="0" t="n">
        <v>14</v>
      </c>
      <c r="C4584" s="0" t="n">
        <v>6</v>
      </c>
      <c r="D4584" s="0" t="n">
        <f aca="false">-1+A4584*0.125</f>
        <v>0.875</v>
      </c>
      <c r="E4584" s="0" t="n">
        <f aca="false">-1+B4584*0.125</f>
        <v>0.75</v>
      </c>
      <c r="F4584" s="0" t="n">
        <f aca="false">-1+C4584*0.125</f>
        <v>-0.25</v>
      </c>
      <c r="G4584" s="0" t="n">
        <f aca="false">1</f>
        <v>1</v>
      </c>
      <c r="H4584" s="0" t="n">
        <f aca="false">D4584</f>
        <v>0.875</v>
      </c>
      <c r="I4584" s="0" t="n">
        <f aca="false">E4584</f>
        <v>0.75</v>
      </c>
      <c r="J4584" s="0" t="n">
        <f aca="false">F4584</f>
        <v>-0.25</v>
      </c>
      <c r="K4584" s="0" t="n">
        <f aca="false">D4584*E4584</f>
        <v>0.65625</v>
      </c>
      <c r="L4584" s="0" t="n">
        <f aca="false">D4584*F4584</f>
        <v>-0.21875</v>
      </c>
      <c r="M4584" s="0" t="n">
        <f aca="false">E4584*F4584</f>
        <v>-0.1875</v>
      </c>
      <c r="N4584" s="0" t="n">
        <f aca="false">D4584*D4584</f>
        <v>0.765625</v>
      </c>
      <c r="O4584" s="0" t="n">
        <f aca="false">E4584*E4584</f>
        <v>0.5625</v>
      </c>
      <c r="P4584" s="0" t="n">
        <f aca="false">F4584*F4584</f>
        <v>0.0625</v>
      </c>
      <c r="Q4584" s="0" t="n">
        <f aca="false">SUMPRODUCT(G4584:P4584,_XtX!$B$71:$K$71)</f>
        <v>49.5226704545455</v>
      </c>
      <c r="R4584" s="0" t="n">
        <f aca="false">SUMPRODUCT(MMULT(G4584:P4584,_XtX!$B$58:$K$67),G4584:P4584)</f>
        <v>0.384574751420455</v>
      </c>
      <c r="S4584" s="0" t="n">
        <f aca="false">04_回帰ANOVA!$K$19*04_回帰ANOVA!$K$14*SQRT(1+R4584)</f>
        <v>1.0940189380139</v>
      </c>
      <c r="T4584" s="0" t="n">
        <f aca="false">Q4584-S4584</f>
        <v>48.4286515165315</v>
      </c>
      <c r="U4584" s="0" t="n">
        <f aca="false">Q4584+S4584</f>
        <v>50.6166893925594</v>
      </c>
      <c r="V4584" s="54" t="b">
        <f aca="false">AND(D4584&gt;=01_因子設定!$L$5-0.000000001,D4584&lt;=01_因子設定!$M$5+0.000000001,E4584&gt;=01_因子設定!$L$6-0.000000001,E4584&lt;=01_因子設定!$M$6+0.000000001,F4584&gt;=01_因子設定!$L$7-0.000000001,F4584&lt;=01_因子設定!$M$7+0.000000001,IF(01_因子設定!$B$20="Box-Behnken",D4584^2+E4584^2+F4584^2&lt;=2+0.000000001,TRUE()))</f>
        <v>1</v>
      </c>
      <c r="W4584" s="55" t="n">
        <f aca="false">IF(V4584,IF(01_因子設定!$B$13="最大化",T4584-01_因子設定!$B$14,IF(01_因子設定!$B$13="最小化",01_因子設定!$B$15-U4584,MIN(T4584-01_因子設定!$B$14,01_因子設定!$B$15-U4584))),-1E+030)</f>
        <v>-0.071348483468455</v>
      </c>
      <c r="X4584" s="55" t="n">
        <f aca="false">IF(V4584,IF(01_因子設定!$B$13="最大化",Q4584,IF(01_因子設定!$B$13="最小化",-Q4584,-ABS(Q4584-01_因子設定!$B$16))),-1E+030)</f>
        <v>49.5226704545455</v>
      </c>
      <c r="Y4584" s="55" t="n">
        <f aca="false">W4584+ROW()*0.000000001</f>
        <v>-0.071343899468455</v>
      </c>
      <c r="Z4584" s="55" t="n">
        <f aca="false">X4584+ROW()*0.000000001</f>
        <v>49.5226750385455</v>
      </c>
    </row>
    <row r="4585" customFormat="false" ht="15" hidden="false" customHeight="false" outlineLevel="0" collapsed="false">
      <c r="A4585" s="0" t="n">
        <v>15</v>
      </c>
      <c r="B4585" s="0" t="n">
        <v>14</v>
      </c>
      <c r="C4585" s="0" t="n">
        <v>7</v>
      </c>
      <c r="D4585" s="0" t="n">
        <f aca="false">-1+A4585*0.125</f>
        <v>0.875</v>
      </c>
      <c r="E4585" s="0" t="n">
        <f aca="false">-1+B4585*0.125</f>
        <v>0.75</v>
      </c>
      <c r="F4585" s="0" t="n">
        <f aca="false">-1+C4585*0.125</f>
        <v>-0.125</v>
      </c>
      <c r="G4585" s="0" t="n">
        <f aca="false">1</f>
        <v>1</v>
      </c>
      <c r="H4585" s="0" t="n">
        <f aca="false">D4585</f>
        <v>0.875</v>
      </c>
      <c r="I4585" s="0" t="n">
        <f aca="false">E4585</f>
        <v>0.75</v>
      </c>
      <c r="J4585" s="0" t="n">
        <f aca="false">F4585</f>
        <v>-0.125</v>
      </c>
      <c r="K4585" s="0" t="n">
        <f aca="false">D4585*E4585</f>
        <v>0.65625</v>
      </c>
      <c r="L4585" s="0" t="n">
        <f aca="false">D4585*F4585</f>
        <v>-0.109375</v>
      </c>
      <c r="M4585" s="0" t="n">
        <f aca="false">E4585*F4585</f>
        <v>-0.09375</v>
      </c>
      <c r="N4585" s="0" t="n">
        <f aca="false">D4585*D4585</f>
        <v>0.765625</v>
      </c>
      <c r="O4585" s="0" t="n">
        <f aca="false">E4585*E4585</f>
        <v>0.5625</v>
      </c>
      <c r="P4585" s="0" t="n">
        <f aca="false">F4585*F4585</f>
        <v>0.015625</v>
      </c>
      <c r="Q4585" s="0" t="n">
        <f aca="false">SUMPRODUCT(G4585:P4585,_XtX!$B$71:$K$71)</f>
        <v>49.7761363636364</v>
      </c>
      <c r="R4585" s="0" t="n">
        <f aca="false">SUMPRODUCT(MMULT(G4585:P4585,_XtX!$B$58:$K$67),G4585:P4585)</f>
        <v>0.392013827237216</v>
      </c>
      <c r="S4585" s="0" t="n">
        <f aca="false">04_回帰ANOVA!$K$19*04_回帰ANOVA!$K$14*SQRT(1+R4585)</f>
        <v>1.09695398627251</v>
      </c>
      <c r="T4585" s="0" t="n">
        <f aca="false">Q4585-S4585</f>
        <v>48.6791823773639</v>
      </c>
      <c r="U4585" s="0" t="n">
        <f aca="false">Q4585+S4585</f>
        <v>50.8730903499089</v>
      </c>
      <c r="V4585" s="54" t="b">
        <f aca="false">AND(D4585&gt;=01_因子設定!$L$5-0.000000001,D4585&lt;=01_因子設定!$M$5+0.000000001,E4585&gt;=01_因子設定!$L$6-0.000000001,E4585&lt;=01_因子設定!$M$6+0.000000001,F4585&gt;=01_因子設定!$L$7-0.000000001,F4585&lt;=01_因子設定!$M$7+0.000000001,IF(01_因子設定!$B$20="Box-Behnken",D4585^2+E4585^2+F4585^2&lt;=2+0.000000001,TRUE()))</f>
        <v>1</v>
      </c>
      <c r="W4585" s="55" t="n">
        <f aca="false">IF(V4585,IF(01_因子設定!$B$13="最大化",T4585-01_因子設定!$B$14,IF(01_因子設定!$B$13="最小化",01_因子設定!$B$15-U4585,MIN(T4585-01_因子設定!$B$14,01_因子設定!$B$15-U4585))),-1E+030)</f>
        <v>0.179182377363851</v>
      </c>
      <c r="X4585" s="55" t="n">
        <f aca="false">IF(V4585,IF(01_因子設定!$B$13="最大化",Q4585,IF(01_因子設定!$B$13="最小化",-Q4585,-ABS(Q4585-01_因子設定!$B$16))),-1E+030)</f>
        <v>49.7761363636364</v>
      </c>
      <c r="Y4585" s="55" t="n">
        <f aca="false">W4585+ROW()*0.000000001</f>
        <v>0.179186962363851</v>
      </c>
      <c r="Z4585" s="55" t="n">
        <f aca="false">X4585+ROW()*0.000000001</f>
        <v>49.7761409486364</v>
      </c>
    </row>
    <row r="4586" customFormat="false" ht="15" hidden="false" customHeight="false" outlineLevel="0" collapsed="false">
      <c r="A4586" s="0" t="n">
        <v>15</v>
      </c>
      <c r="B4586" s="0" t="n">
        <v>14</v>
      </c>
      <c r="C4586" s="0" t="n">
        <v>8</v>
      </c>
      <c r="D4586" s="0" t="n">
        <f aca="false">-1+A4586*0.125</f>
        <v>0.875</v>
      </c>
      <c r="E4586" s="0" t="n">
        <f aca="false">-1+B4586*0.125</f>
        <v>0.75</v>
      </c>
      <c r="F4586" s="0" t="n">
        <f aca="false">-1+C4586*0.125</f>
        <v>0</v>
      </c>
      <c r="G4586" s="0" t="n">
        <f aca="false">1</f>
        <v>1</v>
      </c>
      <c r="H4586" s="0" t="n">
        <f aca="false">D4586</f>
        <v>0.875</v>
      </c>
      <c r="I4586" s="0" t="n">
        <f aca="false">E4586</f>
        <v>0.75</v>
      </c>
      <c r="J4586" s="0" t="n">
        <f aca="false">F4586</f>
        <v>0</v>
      </c>
      <c r="K4586" s="0" t="n">
        <f aca="false">D4586*E4586</f>
        <v>0.65625</v>
      </c>
      <c r="L4586" s="0" t="n">
        <f aca="false">D4586*F4586</f>
        <v>0</v>
      </c>
      <c r="M4586" s="0" t="n">
        <f aca="false">E4586*F4586</f>
        <v>0</v>
      </c>
      <c r="N4586" s="0" t="n">
        <f aca="false">D4586*D4586</f>
        <v>0.765625</v>
      </c>
      <c r="O4586" s="0" t="n">
        <f aca="false">E4586*E4586</f>
        <v>0.5625</v>
      </c>
      <c r="P4586" s="0" t="n">
        <f aca="false">F4586*F4586</f>
        <v>0</v>
      </c>
      <c r="Q4586" s="0" t="n">
        <f aca="false">SUMPRODUCT(G4586:P4586,_XtX!$B$71:$K$71)</f>
        <v>49.9928125</v>
      </c>
      <c r="R4586" s="0" t="n">
        <f aca="false">SUMPRODUCT(MMULT(G4586:P4586,_XtX!$B$58:$K$67),G4586:P4586)</f>
        <v>0.3948486328125</v>
      </c>
      <c r="S4586" s="0" t="n">
        <f aca="false">04_回帰ANOVA!$K$19*04_回帰ANOVA!$K$14*SQRT(1+R4586)</f>
        <v>1.09807037952996</v>
      </c>
      <c r="T4586" s="0" t="n">
        <f aca="false">Q4586-S4586</f>
        <v>48.89474212047</v>
      </c>
      <c r="U4586" s="0" t="n">
        <f aca="false">Q4586+S4586</f>
        <v>51.09088287953</v>
      </c>
      <c r="V4586" s="54" t="b">
        <f aca="false">AND(D4586&gt;=01_因子設定!$L$5-0.000000001,D4586&lt;=01_因子設定!$M$5+0.000000001,E4586&gt;=01_因子設定!$L$6-0.000000001,E4586&lt;=01_因子設定!$M$6+0.000000001,F4586&gt;=01_因子設定!$L$7-0.000000001,F4586&lt;=01_因子設定!$M$7+0.000000001,IF(01_因子設定!$B$20="Box-Behnken",D4586^2+E4586^2+F4586^2&lt;=2+0.000000001,TRUE()))</f>
        <v>1</v>
      </c>
      <c r="W4586" s="55" t="n">
        <f aca="false">IF(V4586,IF(01_因子設定!$B$13="最大化",T4586-01_因子設定!$B$14,IF(01_因子設定!$B$13="最小化",01_因子設定!$B$15-U4586,MIN(T4586-01_因子設定!$B$14,01_因子設定!$B$15-U4586))),-1E+030)</f>
        <v>0.394742120470035</v>
      </c>
      <c r="X4586" s="55" t="n">
        <f aca="false">IF(V4586,IF(01_因子設定!$B$13="最大化",Q4586,IF(01_因子設定!$B$13="最小化",-Q4586,-ABS(Q4586-01_因子設定!$B$16))),-1E+030)</f>
        <v>49.9928125</v>
      </c>
      <c r="Y4586" s="55" t="n">
        <f aca="false">W4586+ROW()*0.000000001</f>
        <v>0.394746706470035</v>
      </c>
      <c r="Z4586" s="55" t="n">
        <f aca="false">X4586+ROW()*0.000000001</f>
        <v>49.992817086</v>
      </c>
    </row>
    <row r="4587" customFormat="false" ht="15" hidden="false" customHeight="false" outlineLevel="0" collapsed="false">
      <c r="A4587" s="0" t="n">
        <v>15</v>
      </c>
      <c r="B4587" s="0" t="n">
        <v>14</v>
      </c>
      <c r="C4587" s="0" t="n">
        <v>9</v>
      </c>
      <c r="D4587" s="0" t="n">
        <f aca="false">-1+A4587*0.125</f>
        <v>0.875</v>
      </c>
      <c r="E4587" s="0" t="n">
        <f aca="false">-1+B4587*0.125</f>
        <v>0.75</v>
      </c>
      <c r="F4587" s="0" t="n">
        <f aca="false">-1+C4587*0.125</f>
        <v>0.125</v>
      </c>
      <c r="G4587" s="0" t="n">
        <f aca="false">1</f>
        <v>1</v>
      </c>
      <c r="H4587" s="0" t="n">
        <f aca="false">D4587</f>
        <v>0.875</v>
      </c>
      <c r="I4587" s="0" t="n">
        <f aca="false">E4587</f>
        <v>0.75</v>
      </c>
      <c r="J4587" s="0" t="n">
        <f aca="false">F4587</f>
        <v>0.125</v>
      </c>
      <c r="K4587" s="0" t="n">
        <f aca="false">D4587*E4587</f>
        <v>0.65625</v>
      </c>
      <c r="L4587" s="0" t="n">
        <f aca="false">D4587*F4587</f>
        <v>0.109375</v>
      </c>
      <c r="M4587" s="0" t="n">
        <f aca="false">E4587*F4587</f>
        <v>0.09375</v>
      </c>
      <c r="N4587" s="0" t="n">
        <f aca="false">D4587*D4587</f>
        <v>0.765625</v>
      </c>
      <c r="O4587" s="0" t="n">
        <f aca="false">E4587*E4587</f>
        <v>0.5625</v>
      </c>
      <c r="P4587" s="0" t="n">
        <f aca="false">F4587*F4587</f>
        <v>0.015625</v>
      </c>
      <c r="Q4587" s="0" t="n">
        <f aca="false">SUMPRODUCT(G4587:P4587,_XtX!$B$71:$K$71)</f>
        <v>50.1726988636364</v>
      </c>
      <c r="R4587" s="0" t="n">
        <f aca="false">SUMPRODUCT(MMULT(G4587:P4587,_XtX!$B$58:$K$67),G4587:P4587)</f>
        <v>0.392013827237216</v>
      </c>
      <c r="S4587" s="0" t="n">
        <f aca="false">04_回帰ANOVA!$K$19*04_回帰ANOVA!$K$14*SQRT(1+R4587)</f>
        <v>1.09695398627251</v>
      </c>
      <c r="T4587" s="0" t="n">
        <f aca="false">Q4587-S4587</f>
        <v>49.0757448773638</v>
      </c>
      <c r="U4587" s="0" t="n">
        <f aca="false">Q4587+S4587</f>
        <v>51.2696528499089</v>
      </c>
      <c r="V4587" s="54" t="b">
        <f aca="false">AND(D4587&gt;=01_因子設定!$L$5-0.000000001,D4587&lt;=01_因子設定!$M$5+0.000000001,E4587&gt;=01_因子設定!$L$6-0.000000001,E4587&lt;=01_因子設定!$M$6+0.000000001,F4587&gt;=01_因子設定!$L$7-0.000000001,F4587&lt;=01_因子設定!$M$7+0.000000001,IF(01_因子設定!$B$20="Box-Behnken",D4587^2+E4587^2+F4587^2&lt;=2+0.000000001,TRUE()))</f>
        <v>1</v>
      </c>
      <c r="W4587" s="55" t="n">
        <f aca="false">IF(V4587,IF(01_因子設定!$B$13="最大化",T4587-01_因子設定!$B$14,IF(01_因子設定!$B$13="最小化",01_因子設定!$B$15-U4587,MIN(T4587-01_因子設定!$B$14,01_因子設定!$B$15-U4587))),-1E+030)</f>
        <v>0.575744877363846</v>
      </c>
      <c r="X4587" s="55" t="n">
        <f aca="false">IF(V4587,IF(01_因子設定!$B$13="最大化",Q4587,IF(01_因子設定!$B$13="最小化",-Q4587,-ABS(Q4587-01_因子設定!$B$16))),-1E+030)</f>
        <v>50.1726988636364</v>
      </c>
      <c r="Y4587" s="55" t="n">
        <f aca="false">W4587+ROW()*0.000000001</f>
        <v>0.575749464363846</v>
      </c>
      <c r="Z4587" s="55" t="n">
        <f aca="false">X4587+ROW()*0.000000001</f>
        <v>50.1727034506364</v>
      </c>
    </row>
    <row r="4588" customFormat="false" ht="15" hidden="false" customHeight="false" outlineLevel="0" collapsed="false">
      <c r="A4588" s="0" t="n">
        <v>15</v>
      </c>
      <c r="B4588" s="0" t="n">
        <v>14</v>
      </c>
      <c r="C4588" s="0" t="n">
        <v>10</v>
      </c>
      <c r="D4588" s="0" t="n">
        <f aca="false">-1+A4588*0.125</f>
        <v>0.875</v>
      </c>
      <c r="E4588" s="0" t="n">
        <f aca="false">-1+B4588*0.125</f>
        <v>0.75</v>
      </c>
      <c r="F4588" s="0" t="n">
        <f aca="false">-1+C4588*0.125</f>
        <v>0.25</v>
      </c>
      <c r="G4588" s="0" t="n">
        <f aca="false">1</f>
        <v>1</v>
      </c>
      <c r="H4588" s="0" t="n">
        <f aca="false">D4588</f>
        <v>0.875</v>
      </c>
      <c r="I4588" s="0" t="n">
        <f aca="false">E4588</f>
        <v>0.75</v>
      </c>
      <c r="J4588" s="0" t="n">
        <f aca="false">F4588</f>
        <v>0.25</v>
      </c>
      <c r="K4588" s="0" t="n">
        <f aca="false">D4588*E4588</f>
        <v>0.65625</v>
      </c>
      <c r="L4588" s="0" t="n">
        <f aca="false">D4588*F4588</f>
        <v>0.21875</v>
      </c>
      <c r="M4588" s="0" t="n">
        <f aca="false">E4588*F4588</f>
        <v>0.1875</v>
      </c>
      <c r="N4588" s="0" t="n">
        <f aca="false">D4588*D4588</f>
        <v>0.765625</v>
      </c>
      <c r="O4588" s="0" t="n">
        <f aca="false">E4588*E4588</f>
        <v>0.5625</v>
      </c>
      <c r="P4588" s="0" t="n">
        <f aca="false">F4588*F4588</f>
        <v>0.0625</v>
      </c>
      <c r="Q4588" s="0" t="n">
        <f aca="false">SUMPRODUCT(G4588:P4588,_XtX!$B$71:$K$71)</f>
        <v>50.3157954545455</v>
      </c>
      <c r="R4588" s="0" t="n">
        <f aca="false">SUMPRODUCT(MMULT(G4588:P4588,_XtX!$B$58:$K$67),G4588:P4588)</f>
        <v>0.384574751420455</v>
      </c>
      <c r="S4588" s="0" t="n">
        <f aca="false">04_回帰ANOVA!$K$19*04_回帰ANOVA!$K$14*SQRT(1+R4588)</f>
        <v>1.0940189380139</v>
      </c>
      <c r="T4588" s="0" t="n">
        <f aca="false">Q4588-S4588</f>
        <v>49.2217765165316</v>
      </c>
      <c r="U4588" s="0" t="n">
        <f aca="false">Q4588+S4588</f>
        <v>51.4098143925594</v>
      </c>
      <c r="V4588" s="54" t="b">
        <f aca="false">AND(D4588&gt;=01_因子設定!$L$5-0.000000001,D4588&lt;=01_因子設定!$M$5+0.000000001,E4588&gt;=01_因子設定!$L$6-0.000000001,E4588&lt;=01_因子設定!$M$6+0.000000001,F4588&gt;=01_因子設定!$L$7-0.000000001,F4588&lt;=01_因子設定!$M$7+0.000000001,IF(01_因子設定!$B$20="Box-Behnken",D4588^2+E4588^2+F4588^2&lt;=2+0.000000001,TRUE()))</f>
        <v>1</v>
      </c>
      <c r="W4588" s="55" t="n">
        <f aca="false">IF(V4588,IF(01_因子設定!$B$13="最大化",T4588-01_因子設定!$B$14,IF(01_因子設定!$B$13="最小化",01_因子設定!$B$15-U4588,MIN(T4588-01_因子設定!$B$14,01_因子設定!$B$15-U4588))),-1E+030)</f>
        <v>0.721776516531548</v>
      </c>
      <c r="X4588" s="55" t="n">
        <f aca="false">IF(V4588,IF(01_因子設定!$B$13="最大化",Q4588,IF(01_因子設定!$B$13="最小化",-Q4588,-ABS(Q4588-01_因子設定!$B$16))),-1E+030)</f>
        <v>50.3157954545455</v>
      </c>
      <c r="Y4588" s="55" t="n">
        <f aca="false">W4588+ROW()*0.000000001</f>
        <v>0.721781104531548</v>
      </c>
      <c r="Z4588" s="55" t="n">
        <f aca="false">X4588+ROW()*0.000000001</f>
        <v>50.3158000425455</v>
      </c>
    </row>
    <row r="4589" customFormat="false" ht="15" hidden="false" customHeight="false" outlineLevel="0" collapsed="false">
      <c r="A4589" s="0" t="n">
        <v>15</v>
      </c>
      <c r="B4589" s="0" t="n">
        <v>14</v>
      </c>
      <c r="C4589" s="0" t="n">
        <v>11</v>
      </c>
      <c r="D4589" s="0" t="n">
        <f aca="false">-1+A4589*0.125</f>
        <v>0.875</v>
      </c>
      <c r="E4589" s="0" t="n">
        <f aca="false">-1+B4589*0.125</f>
        <v>0.75</v>
      </c>
      <c r="F4589" s="0" t="n">
        <f aca="false">-1+C4589*0.125</f>
        <v>0.375</v>
      </c>
      <c r="G4589" s="0" t="n">
        <f aca="false">1</f>
        <v>1</v>
      </c>
      <c r="H4589" s="0" t="n">
        <f aca="false">D4589</f>
        <v>0.875</v>
      </c>
      <c r="I4589" s="0" t="n">
        <f aca="false">E4589</f>
        <v>0.75</v>
      </c>
      <c r="J4589" s="0" t="n">
        <f aca="false">F4589</f>
        <v>0.375</v>
      </c>
      <c r="K4589" s="0" t="n">
        <f aca="false">D4589*E4589</f>
        <v>0.65625</v>
      </c>
      <c r="L4589" s="0" t="n">
        <f aca="false">D4589*F4589</f>
        <v>0.328125</v>
      </c>
      <c r="M4589" s="0" t="n">
        <f aca="false">E4589*F4589</f>
        <v>0.28125</v>
      </c>
      <c r="N4589" s="0" t="n">
        <f aca="false">D4589*D4589</f>
        <v>0.765625</v>
      </c>
      <c r="O4589" s="0" t="n">
        <f aca="false">E4589*E4589</f>
        <v>0.5625</v>
      </c>
      <c r="P4589" s="0" t="n">
        <f aca="false">F4589*F4589</f>
        <v>0.140625</v>
      </c>
      <c r="Q4589" s="0" t="n">
        <f aca="false">SUMPRODUCT(G4589:P4589,_XtX!$B$71:$K$71)</f>
        <v>50.4221022727273</v>
      </c>
      <c r="R4589" s="0" t="n">
        <f aca="false">SUMPRODUCT(MMULT(G4589:P4589,_XtX!$B$58:$K$67),G4589:P4589)</f>
        <v>0.375727428089489</v>
      </c>
      <c r="S4589" s="0" t="n">
        <f aca="false">04_回帰ANOVA!$K$19*04_回帰ANOVA!$K$14*SQRT(1+R4589)</f>
        <v>1.09051798904087</v>
      </c>
      <c r="T4589" s="0" t="n">
        <f aca="false">Q4589-S4589</f>
        <v>49.3315842836864</v>
      </c>
      <c r="U4589" s="0" t="n">
        <f aca="false">Q4589+S4589</f>
        <v>51.5126202617682</v>
      </c>
      <c r="V4589" s="54" t="b">
        <f aca="false">AND(D4589&gt;=01_因子設定!$L$5-0.000000001,D4589&lt;=01_因子設定!$M$5+0.000000001,E4589&gt;=01_因子設定!$L$6-0.000000001,E4589&lt;=01_因子設定!$M$6+0.000000001,F4589&gt;=01_因子設定!$L$7-0.000000001,F4589&lt;=01_因子設定!$M$7+0.000000001,IF(01_因子設定!$B$20="Box-Behnken",D4589^2+E4589^2+F4589^2&lt;=2+0.000000001,TRUE()))</f>
        <v>1</v>
      </c>
      <c r="W4589" s="55" t="n">
        <f aca="false">IF(V4589,IF(01_因子設定!$B$13="最大化",T4589-01_因子設定!$B$14,IF(01_因子設定!$B$13="最小化",01_因子設定!$B$15-U4589,MIN(T4589-01_因子設定!$B$14,01_因子設定!$B$15-U4589))),-1E+030)</f>
        <v>0.831584283686397</v>
      </c>
      <c r="X4589" s="55" t="n">
        <f aca="false">IF(V4589,IF(01_因子設定!$B$13="最大化",Q4589,IF(01_因子設定!$B$13="最小化",-Q4589,-ABS(Q4589-01_因子設定!$B$16))),-1E+030)</f>
        <v>50.4221022727273</v>
      </c>
      <c r="Y4589" s="55" t="n">
        <f aca="false">W4589+ROW()*0.000000001</f>
        <v>0.831588872686397</v>
      </c>
      <c r="Z4589" s="55" t="n">
        <f aca="false">X4589+ROW()*0.000000001</f>
        <v>50.4221068617273</v>
      </c>
    </row>
    <row r="4590" customFormat="false" ht="15" hidden="false" customHeight="false" outlineLevel="0" collapsed="false">
      <c r="A4590" s="0" t="n">
        <v>15</v>
      </c>
      <c r="B4590" s="0" t="n">
        <v>14</v>
      </c>
      <c r="C4590" s="0" t="n">
        <v>12</v>
      </c>
      <c r="D4590" s="0" t="n">
        <f aca="false">-1+A4590*0.125</f>
        <v>0.875</v>
      </c>
      <c r="E4590" s="0" t="n">
        <f aca="false">-1+B4590*0.125</f>
        <v>0.75</v>
      </c>
      <c r="F4590" s="0" t="n">
        <f aca="false">-1+C4590*0.125</f>
        <v>0.5</v>
      </c>
      <c r="G4590" s="0" t="n">
        <f aca="false">1</f>
        <v>1</v>
      </c>
      <c r="H4590" s="0" t="n">
        <f aca="false">D4590</f>
        <v>0.875</v>
      </c>
      <c r="I4590" s="0" t="n">
        <f aca="false">E4590</f>
        <v>0.75</v>
      </c>
      <c r="J4590" s="0" t="n">
        <f aca="false">F4590</f>
        <v>0.5</v>
      </c>
      <c r="K4590" s="0" t="n">
        <f aca="false">D4590*E4590</f>
        <v>0.65625</v>
      </c>
      <c r="L4590" s="0" t="n">
        <f aca="false">D4590*F4590</f>
        <v>0.4375</v>
      </c>
      <c r="M4590" s="0" t="n">
        <f aca="false">E4590*F4590</f>
        <v>0.375</v>
      </c>
      <c r="N4590" s="0" t="n">
        <f aca="false">D4590*D4590</f>
        <v>0.765625</v>
      </c>
      <c r="O4590" s="0" t="n">
        <f aca="false">E4590*E4590</f>
        <v>0.5625</v>
      </c>
      <c r="P4590" s="0" t="n">
        <f aca="false">F4590*F4590</f>
        <v>0.25</v>
      </c>
      <c r="Q4590" s="0" t="n">
        <f aca="false">SUMPRODUCT(G4590:P4590,_XtX!$B$71:$K$71)</f>
        <v>50.4916193181818</v>
      </c>
      <c r="R4590" s="0" t="n">
        <f aca="false">SUMPRODUCT(MMULT(G4590:P4590,_XtX!$B$58:$K$67),G4590:P4590)</f>
        <v>0.370798561789773</v>
      </c>
      <c r="S4590" s="0" t="n">
        <f aca="false">04_回帰ANOVA!$K$19*04_回帰ANOVA!$K$14*SQRT(1+R4590)</f>
        <v>1.08856271788237</v>
      </c>
      <c r="T4590" s="0" t="n">
        <f aca="false">Q4590-S4590</f>
        <v>49.4030566002994</v>
      </c>
      <c r="U4590" s="0" t="n">
        <f aca="false">Q4590+S4590</f>
        <v>51.5801820360642</v>
      </c>
      <c r="V4590" s="54" t="b">
        <f aca="false">AND(D4590&gt;=01_因子設定!$L$5-0.000000001,D4590&lt;=01_因子設定!$M$5+0.000000001,E4590&gt;=01_因子設定!$L$6-0.000000001,E4590&lt;=01_因子設定!$M$6+0.000000001,F4590&gt;=01_因子設定!$L$7-0.000000001,F4590&lt;=01_因子設定!$M$7+0.000000001,IF(01_因子設定!$B$20="Box-Behnken",D4590^2+E4590^2+F4590^2&lt;=2+0.000000001,TRUE()))</f>
        <v>1</v>
      </c>
      <c r="W4590" s="55" t="n">
        <f aca="false">IF(V4590,IF(01_因子設定!$B$13="最大化",T4590-01_因子設定!$B$14,IF(01_因子設定!$B$13="最小化",01_因子設定!$B$15-U4590,MIN(T4590-01_因子設定!$B$14,01_因子設定!$B$15-U4590))),-1E+030)</f>
        <v>0.903056600299443</v>
      </c>
      <c r="X4590" s="55" t="n">
        <f aca="false">IF(V4590,IF(01_因子設定!$B$13="最大化",Q4590,IF(01_因子設定!$B$13="最小化",-Q4590,-ABS(Q4590-01_因子設定!$B$16))),-1E+030)</f>
        <v>50.4916193181818</v>
      </c>
      <c r="Y4590" s="55" t="n">
        <f aca="false">W4590+ROW()*0.000000001</f>
        <v>0.903061190299443</v>
      </c>
      <c r="Z4590" s="55" t="n">
        <f aca="false">X4590+ROW()*0.000000001</f>
        <v>50.4916239081818</v>
      </c>
    </row>
    <row r="4591" customFormat="false" ht="15" hidden="false" customHeight="false" outlineLevel="0" collapsed="false">
      <c r="A4591" s="0" t="n">
        <v>15</v>
      </c>
      <c r="B4591" s="0" t="n">
        <v>14</v>
      </c>
      <c r="C4591" s="0" t="n">
        <v>13</v>
      </c>
      <c r="D4591" s="0" t="n">
        <f aca="false">-1+A4591*0.125</f>
        <v>0.875</v>
      </c>
      <c r="E4591" s="0" t="n">
        <f aca="false">-1+B4591*0.125</f>
        <v>0.75</v>
      </c>
      <c r="F4591" s="0" t="n">
        <f aca="false">-1+C4591*0.125</f>
        <v>0.625</v>
      </c>
      <c r="G4591" s="0" t="n">
        <f aca="false">1</f>
        <v>1</v>
      </c>
      <c r="H4591" s="0" t="n">
        <f aca="false">D4591</f>
        <v>0.875</v>
      </c>
      <c r="I4591" s="0" t="n">
        <f aca="false">E4591</f>
        <v>0.75</v>
      </c>
      <c r="J4591" s="0" t="n">
        <f aca="false">F4591</f>
        <v>0.625</v>
      </c>
      <c r="K4591" s="0" t="n">
        <f aca="false">D4591*E4591</f>
        <v>0.65625</v>
      </c>
      <c r="L4591" s="0" t="n">
        <f aca="false">D4591*F4591</f>
        <v>0.546875</v>
      </c>
      <c r="M4591" s="0" t="n">
        <f aca="false">E4591*F4591</f>
        <v>0.46875</v>
      </c>
      <c r="N4591" s="0" t="n">
        <f aca="false">D4591*D4591</f>
        <v>0.765625</v>
      </c>
      <c r="O4591" s="0" t="n">
        <f aca="false">E4591*E4591</f>
        <v>0.5625</v>
      </c>
      <c r="P4591" s="0" t="n">
        <f aca="false">F4591*F4591</f>
        <v>0.390625</v>
      </c>
      <c r="Q4591" s="0" t="n">
        <f aca="false">SUMPRODUCT(G4591:P4591,_XtX!$B$71:$K$71)</f>
        <v>50.5243465909091</v>
      </c>
      <c r="R4591" s="0" t="n">
        <f aca="false">SUMPRODUCT(MMULT(G4591:P4591,_XtX!$B$58:$K$67),G4591:P4591)</f>
        <v>0.377245538884943</v>
      </c>
      <c r="S4591" s="0" t="n">
        <f aca="false">04_回帰ANOVA!$K$19*04_回帰ANOVA!$K$14*SQRT(1+R4591)</f>
        <v>1.09111951468927</v>
      </c>
      <c r="T4591" s="0" t="n">
        <f aca="false">Q4591-S4591</f>
        <v>49.4332270762198</v>
      </c>
      <c r="U4591" s="0" t="n">
        <f aca="false">Q4591+S4591</f>
        <v>51.6154661055984</v>
      </c>
      <c r="V4591" s="54" t="b">
        <f aca="false">AND(D4591&gt;=01_因子設定!$L$5-0.000000001,D4591&lt;=01_因子設定!$M$5+0.000000001,E4591&gt;=01_因子設定!$L$6-0.000000001,E4591&lt;=01_因子設定!$M$6+0.000000001,F4591&gt;=01_因子設定!$L$7-0.000000001,F4591&lt;=01_因子設定!$M$7+0.000000001,IF(01_因子設定!$B$20="Box-Behnken",D4591^2+E4591^2+F4591^2&lt;=2+0.000000001,TRUE()))</f>
        <v>1</v>
      </c>
      <c r="W4591" s="55" t="n">
        <f aca="false">IF(V4591,IF(01_因子設定!$B$13="最大化",T4591-01_因子設定!$B$14,IF(01_因子設定!$B$13="最小化",01_因子設定!$B$15-U4591,MIN(T4591-01_因子設定!$B$14,01_因子設定!$B$15-U4591))),-1E+030)</f>
        <v>0.933227076219815</v>
      </c>
      <c r="X4591" s="55" t="n">
        <f aca="false">IF(V4591,IF(01_因子設定!$B$13="最大化",Q4591,IF(01_因子設定!$B$13="最小化",-Q4591,-ABS(Q4591-01_因子設定!$B$16))),-1E+030)</f>
        <v>50.5243465909091</v>
      </c>
      <c r="Y4591" s="55" t="n">
        <f aca="false">W4591+ROW()*0.000000001</f>
        <v>0.933231667219815</v>
      </c>
      <c r="Z4591" s="55" t="n">
        <f aca="false">X4591+ROW()*0.000000001</f>
        <v>50.5243511819091</v>
      </c>
    </row>
    <row r="4592" customFormat="false" ht="15" hidden="false" customHeight="false" outlineLevel="0" collapsed="false">
      <c r="A4592" s="0" t="n">
        <v>15</v>
      </c>
      <c r="B4592" s="0" t="n">
        <v>14</v>
      </c>
      <c r="C4592" s="0" t="n">
        <v>14</v>
      </c>
      <c r="D4592" s="0" t="n">
        <f aca="false">-1+A4592*0.125</f>
        <v>0.875</v>
      </c>
      <c r="E4592" s="0" t="n">
        <f aca="false">-1+B4592*0.125</f>
        <v>0.75</v>
      </c>
      <c r="F4592" s="0" t="n">
        <f aca="false">-1+C4592*0.125</f>
        <v>0.75</v>
      </c>
      <c r="G4592" s="0" t="n">
        <f aca="false">1</f>
        <v>1</v>
      </c>
      <c r="H4592" s="0" t="n">
        <f aca="false">D4592</f>
        <v>0.875</v>
      </c>
      <c r="I4592" s="0" t="n">
        <f aca="false">E4592</f>
        <v>0.75</v>
      </c>
      <c r="J4592" s="0" t="n">
        <f aca="false">F4592</f>
        <v>0.75</v>
      </c>
      <c r="K4592" s="0" t="n">
        <f aca="false">D4592*E4592</f>
        <v>0.65625</v>
      </c>
      <c r="L4592" s="0" t="n">
        <f aca="false">D4592*F4592</f>
        <v>0.65625</v>
      </c>
      <c r="M4592" s="0" t="n">
        <f aca="false">E4592*F4592</f>
        <v>0.5625</v>
      </c>
      <c r="N4592" s="0" t="n">
        <f aca="false">D4592*D4592</f>
        <v>0.765625</v>
      </c>
      <c r="O4592" s="0" t="n">
        <f aca="false">E4592*E4592</f>
        <v>0.5625</v>
      </c>
      <c r="P4592" s="0" t="n">
        <f aca="false">F4592*F4592</f>
        <v>0.5625</v>
      </c>
      <c r="Q4592" s="0" t="n">
        <f aca="false">SUMPRODUCT(G4592:P4592,_XtX!$B$71:$K$71)</f>
        <v>50.5202840909091</v>
      </c>
      <c r="R4592" s="0" t="n">
        <f aca="false">SUMPRODUCT(MMULT(G4592:P4592,_XtX!$B$58:$K$67),G4592:P4592)</f>
        <v>0.404656427556818</v>
      </c>
      <c r="S4592" s="0" t="n">
        <f aca="false">04_回帰ANOVA!$K$19*04_回帰ANOVA!$K$14*SQRT(1+R4592)</f>
        <v>1.10192412515358</v>
      </c>
      <c r="T4592" s="0" t="n">
        <f aca="false">Q4592-S4592</f>
        <v>49.4183599657555</v>
      </c>
      <c r="U4592" s="0" t="n">
        <f aca="false">Q4592+S4592</f>
        <v>51.6222082160627</v>
      </c>
      <c r="V4592" s="54" t="b">
        <f aca="false">AND(D4592&gt;=01_因子設定!$L$5-0.000000001,D4592&lt;=01_因子設定!$M$5+0.000000001,E4592&gt;=01_因子設定!$L$6-0.000000001,E4592&lt;=01_因子設定!$M$6+0.000000001,F4592&gt;=01_因子設定!$L$7-0.000000001,F4592&lt;=01_因子設定!$M$7+0.000000001,IF(01_因子設定!$B$20="Box-Behnken",D4592^2+E4592^2+F4592^2&lt;=2+0.000000001,TRUE()))</f>
        <v>1</v>
      </c>
      <c r="W4592" s="55" t="n">
        <f aca="false">IF(V4592,IF(01_因子設定!$B$13="最大化",T4592-01_因子設定!$B$14,IF(01_因子設定!$B$13="最小化",01_因子設定!$B$15-U4592,MIN(T4592-01_因子設定!$B$14,01_因子設定!$B$15-U4592))),-1E+030)</f>
        <v>0.918359965755514</v>
      </c>
      <c r="X4592" s="55" t="n">
        <f aca="false">IF(V4592,IF(01_因子設定!$B$13="最大化",Q4592,IF(01_因子設定!$B$13="最小化",-Q4592,-ABS(Q4592-01_因子設定!$B$16))),-1E+030)</f>
        <v>50.5202840909091</v>
      </c>
      <c r="Y4592" s="55" t="n">
        <f aca="false">W4592+ROW()*0.000000001</f>
        <v>0.918364557755514</v>
      </c>
      <c r="Z4592" s="55" t="n">
        <f aca="false">X4592+ROW()*0.000000001</f>
        <v>50.5202886829091</v>
      </c>
    </row>
    <row r="4593" customFormat="false" ht="15" hidden="false" customHeight="false" outlineLevel="0" collapsed="false">
      <c r="A4593" s="0" t="n">
        <v>15</v>
      </c>
      <c r="B4593" s="0" t="n">
        <v>14</v>
      </c>
      <c r="C4593" s="0" t="n">
        <v>15</v>
      </c>
      <c r="D4593" s="0" t="n">
        <f aca="false">-1+A4593*0.125</f>
        <v>0.875</v>
      </c>
      <c r="E4593" s="0" t="n">
        <f aca="false">-1+B4593*0.125</f>
        <v>0.75</v>
      </c>
      <c r="F4593" s="0" t="n">
        <f aca="false">-1+C4593*0.125</f>
        <v>0.875</v>
      </c>
      <c r="G4593" s="0" t="n">
        <f aca="false">1</f>
        <v>1</v>
      </c>
      <c r="H4593" s="0" t="n">
        <f aca="false">D4593</f>
        <v>0.875</v>
      </c>
      <c r="I4593" s="0" t="n">
        <f aca="false">E4593</f>
        <v>0.75</v>
      </c>
      <c r="J4593" s="0" t="n">
        <f aca="false">F4593</f>
        <v>0.875</v>
      </c>
      <c r="K4593" s="0" t="n">
        <f aca="false">D4593*E4593</f>
        <v>0.65625</v>
      </c>
      <c r="L4593" s="0" t="n">
        <f aca="false">D4593*F4593</f>
        <v>0.765625</v>
      </c>
      <c r="M4593" s="0" t="n">
        <f aca="false">E4593*F4593</f>
        <v>0.65625</v>
      </c>
      <c r="N4593" s="0" t="n">
        <f aca="false">D4593*D4593</f>
        <v>0.765625</v>
      </c>
      <c r="O4593" s="0" t="n">
        <f aca="false">E4593*E4593</f>
        <v>0.5625</v>
      </c>
      <c r="P4593" s="0" t="n">
        <f aca="false">F4593*F4593</f>
        <v>0.765625</v>
      </c>
      <c r="Q4593" s="0" t="n">
        <f aca="false">SUMPRODUCT(G4593:P4593,_XtX!$B$71:$K$71)</f>
        <v>50.4794318181818</v>
      </c>
      <c r="R4593" s="0" t="n">
        <f aca="false">SUMPRODUCT(MMULT(G4593:P4593,_XtX!$B$58:$K$67),G4593:P4593)</f>
        <v>0.464749977805398</v>
      </c>
      <c r="S4593" s="0" t="n">
        <f aca="false">04_回帰ANOVA!$K$19*04_回帰ANOVA!$K$14*SQRT(1+R4593)</f>
        <v>1.12524835342194</v>
      </c>
      <c r="T4593" s="0" t="n">
        <f aca="false">Q4593-S4593</f>
        <v>49.3541834647599</v>
      </c>
      <c r="U4593" s="0" t="n">
        <f aca="false">Q4593+S4593</f>
        <v>51.6046801716038</v>
      </c>
      <c r="V4593" s="54" t="b">
        <f aca="false">AND(D4593&gt;=01_因子設定!$L$5-0.000000001,D4593&lt;=01_因子設定!$M$5+0.000000001,E4593&gt;=01_因子設定!$L$6-0.000000001,E4593&lt;=01_因子設定!$M$6+0.000000001,F4593&gt;=01_因子設定!$L$7-0.000000001,F4593&lt;=01_因子設定!$M$7+0.000000001,IF(01_因子設定!$B$20="Box-Behnken",D4593^2+E4593^2+F4593^2&lt;=2+0.000000001,TRUE()))</f>
        <v>1</v>
      </c>
      <c r="W4593" s="55" t="n">
        <f aca="false">IF(V4593,IF(01_因子設定!$B$13="最大化",T4593-01_因子設定!$B$14,IF(01_因子設定!$B$13="最小化",01_因子設定!$B$15-U4593,MIN(T4593-01_因子設定!$B$14,01_因子設定!$B$15-U4593))),-1E+030)</f>
        <v>0.854183464759892</v>
      </c>
      <c r="X4593" s="55" t="n">
        <f aca="false">IF(V4593,IF(01_因子設定!$B$13="最大化",Q4593,IF(01_因子設定!$B$13="最小化",-Q4593,-ABS(Q4593-01_因子設定!$B$16))),-1E+030)</f>
        <v>50.4794318181818</v>
      </c>
      <c r="Y4593" s="55" t="n">
        <f aca="false">W4593+ROW()*0.000000001</f>
        <v>0.854188057759892</v>
      </c>
      <c r="Z4593" s="55" t="n">
        <f aca="false">X4593+ROW()*0.000000001</f>
        <v>50.4794364111818</v>
      </c>
    </row>
    <row r="4594" customFormat="false" ht="15" hidden="false" customHeight="false" outlineLevel="0" collapsed="false">
      <c r="A4594" s="0" t="n">
        <v>15</v>
      </c>
      <c r="B4594" s="0" t="n">
        <v>14</v>
      </c>
      <c r="C4594" s="0" t="n">
        <v>16</v>
      </c>
      <c r="D4594" s="0" t="n">
        <f aca="false">-1+A4594*0.125</f>
        <v>0.875</v>
      </c>
      <c r="E4594" s="0" t="n">
        <f aca="false">-1+B4594*0.125</f>
        <v>0.75</v>
      </c>
      <c r="F4594" s="0" t="n">
        <f aca="false">-1+C4594*0.125</f>
        <v>1</v>
      </c>
      <c r="G4594" s="0" t="n">
        <f aca="false">1</f>
        <v>1</v>
      </c>
      <c r="H4594" s="0" t="n">
        <f aca="false">D4594</f>
        <v>0.875</v>
      </c>
      <c r="I4594" s="0" t="n">
        <f aca="false">E4594</f>
        <v>0.75</v>
      </c>
      <c r="J4594" s="0" t="n">
        <f aca="false">F4594</f>
        <v>1</v>
      </c>
      <c r="K4594" s="0" t="n">
        <f aca="false">D4594*E4594</f>
        <v>0.65625</v>
      </c>
      <c r="L4594" s="0" t="n">
        <f aca="false">D4594*F4594</f>
        <v>0.875</v>
      </c>
      <c r="M4594" s="0" t="n">
        <f aca="false">E4594*F4594</f>
        <v>0.75</v>
      </c>
      <c r="N4594" s="0" t="n">
        <f aca="false">D4594*D4594</f>
        <v>0.765625</v>
      </c>
      <c r="O4594" s="0" t="n">
        <f aca="false">E4594*E4594</f>
        <v>0.5625</v>
      </c>
      <c r="P4594" s="0" t="n">
        <f aca="false">F4594*F4594</f>
        <v>1</v>
      </c>
      <c r="Q4594" s="0" t="n">
        <f aca="false">SUMPRODUCT(G4594:P4594,_XtX!$B$71:$K$71)</f>
        <v>50.4017897727273</v>
      </c>
      <c r="R4594" s="0" t="n">
        <f aca="false">SUMPRODUCT(MMULT(G4594:P4594,_XtX!$B$58:$K$67),G4594:P4594)</f>
        <v>0.571375621448864</v>
      </c>
      <c r="S4594" s="0" t="n">
        <f aca="false">04_回帰ANOVA!$K$19*04_回帰ANOVA!$K$14*SQRT(1+R4594)</f>
        <v>1.16548487437682</v>
      </c>
      <c r="T4594" s="0" t="n">
        <f aca="false">Q4594-S4594</f>
        <v>49.2363048983505</v>
      </c>
      <c r="U4594" s="0" t="n">
        <f aca="false">Q4594+S4594</f>
        <v>51.5672746471041</v>
      </c>
      <c r="V4594" s="54" t="b">
        <f aca="false">AND(D4594&gt;=01_因子設定!$L$5-0.000000001,D4594&lt;=01_因子設定!$M$5+0.000000001,E4594&gt;=01_因子設定!$L$6-0.000000001,E4594&lt;=01_因子設定!$M$6+0.000000001,F4594&gt;=01_因子設定!$L$7-0.000000001,F4594&lt;=01_因子設定!$M$7+0.000000001,IF(01_因子設定!$B$20="Box-Behnken",D4594^2+E4594^2+F4594^2&lt;=2+0.000000001,TRUE()))</f>
        <v>1</v>
      </c>
      <c r="W4594" s="55" t="n">
        <f aca="false">IF(V4594,IF(01_因子設定!$B$13="最大化",T4594-01_因子設定!$B$14,IF(01_因子設定!$B$13="最小化",01_因子設定!$B$15-U4594,MIN(T4594-01_因子設定!$B$14,01_因子設定!$B$15-U4594))),-1E+030)</f>
        <v>0.736304898350468</v>
      </c>
      <c r="X4594" s="55" t="n">
        <f aca="false">IF(V4594,IF(01_因子設定!$B$13="最大化",Q4594,IF(01_因子設定!$B$13="最小化",-Q4594,-ABS(Q4594-01_因子設定!$B$16))),-1E+030)</f>
        <v>50.4017897727273</v>
      </c>
      <c r="Y4594" s="55" t="n">
        <f aca="false">W4594+ROW()*0.000000001</f>
        <v>0.736309492350468</v>
      </c>
      <c r="Z4594" s="55" t="n">
        <f aca="false">X4594+ROW()*0.000000001</f>
        <v>50.4017943667273</v>
      </c>
    </row>
    <row r="4595" customFormat="false" ht="15" hidden="false" customHeight="false" outlineLevel="0" collapsed="false">
      <c r="A4595" s="0" t="n">
        <v>15</v>
      </c>
      <c r="B4595" s="0" t="n">
        <v>15</v>
      </c>
      <c r="C4595" s="0" t="n">
        <v>0</v>
      </c>
      <c r="D4595" s="0" t="n">
        <f aca="false">-1+A4595*0.125</f>
        <v>0.875</v>
      </c>
      <c r="E4595" s="0" t="n">
        <f aca="false">-1+B4595*0.125</f>
        <v>0.875</v>
      </c>
      <c r="F4595" s="0" t="n">
        <f aca="false">-1+C4595*0.125</f>
        <v>-1</v>
      </c>
      <c r="G4595" s="0" t="n">
        <f aca="false">1</f>
        <v>1</v>
      </c>
      <c r="H4595" s="0" t="n">
        <f aca="false">D4595</f>
        <v>0.875</v>
      </c>
      <c r="I4595" s="0" t="n">
        <f aca="false">E4595</f>
        <v>0.875</v>
      </c>
      <c r="J4595" s="0" t="n">
        <f aca="false">F4595</f>
        <v>-1</v>
      </c>
      <c r="K4595" s="0" t="n">
        <f aca="false">D4595*E4595</f>
        <v>0.765625</v>
      </c>
      <c r="L4595" s="0" t="n">
        <f aca="false">D4595*F4595</f>
        <v>-0.875</v>
      </c>
      <c r="M4595" s="0" t="n">
        <f aca="false">E4595*F4595</f>
        <v>-0.875</v>
      </c>
      <c r="N4595" s="0" t="n">
        <f aca="false">D4595*D4595</f>
        <v>0.765625</v>
      </c>
      <c r="O4595" s="0" t="n">
        <f aca="false">E4595*E4595</f>
        <v>0.765625</v>
      </c>
      <c r="P4595" s="0" t="n">
        <f aca="false">F4595*F4595</f>
        <v>1</v>
      </c>
      <c r="Q4595" s="0" t="n">
        <f aca="false">SUMPRODUCT(G4595:P4595,_XtX!$B$71:$K$71)</f>
        <v>47.153984375</v>
      </c>
      <c r="R4595" s="0" t="n">
        <f aca="false">SUMPRODUCT(MMULT(G4595:P4595,_XtX!$B$58:$K$67),G4595:P4595)</f>
        <v>0.618341064453125</v>
      </c>
      <c r="S4595" s="0" t="n">
        <f aca="false">04_回帰ANOVA!$K$19*04_回帰ANOVA!$K$14*SQRT(1+R4595)</f>
        <v>1.18277371124466</v>
      </c>
      <c r="T4595" s="0" t="n">
        <f aca="false">Q4595-S4595</f>
        <v>45.9712106637554</v>
      </c>
      <c r="U4595" s="0" t="n">
        <f aca="false">Q4595+S4595</f>
        <v>48.3367580862447</v>
      </c>
      <c r="V4595" s="54" t="b">
        <f aca="false">AND(D4595&gt;=01_因子設定!$L$5-0.000000001,D4595&lt;=01_因子設定!$M$5+0.000000001,E4595&gt;=01_因子設定!$L$6-0.000000001,E4595&lt;=01_因子設定!$M$6+0.000000001,F4595&gt;=01_因子設定!$L$7-0.000000001,F4595&lt;=01_因子設定!$M$7+0.000000001,IF(01_因子設定!$B$20="Box-Behnken",D4595^2+E4595^2+F4595^2&lt;=2+0.000000001,TRUE()))</f>
        <v>1</v>
      </c>
      <c r="W4595" s="55" t="n">
        <f aca="false">IF(V4595,IF(01_因子設定!$B$13="最大化",T4595-01_因子設定!$B$14,IF(01_因子設定!$B$13="最小化",01_因子設定!$B$15-U4595,MIN(T4595-01_因子設定!$B$14,01_因子設定!$B$15-U4595))),-1E+030)</f>
        <v>-2.52878933624465</v>
      </c>
      <c r="X4595" s="55" t="n">
        <f aca="false">IF(V4595,IF(01_因子設定!$B$13="最大化",Q4595,IF(01_因子設定!$B$13="最小化",-Q4595,-ABS(Q4595-01_因子設定!$B$16))),-1E+030)</f>
        <v>47.153984375</v>
      </c>
      <c r="Y4595" s="55" t="n">
        <f aca="false">W4595+ROW()*0.000000001</f>
        <v>-2.52878474124465</v>
      </c>
      <c r="Z4595" s="55" t="n">
        <f aca="false">X4595+ROW()*0.000000001</f>
        <v>47.15398897</v>
      </c>
    </row>
    <row r="4596" customFormat="false" ht="15" hidden="false" customHeight="false" outlineLevel="0" collapsed="false">
      <c r="A4596" s="0" t="n">
        <v>15</v>
      </c>
      <c r="B4596" s="0" t="n">
        <v>15</v>
      </c>
      <c r="C4596" s="0" t="n">
        <v>1</v>
      </c>
      <c r="D4596" s="0" t="n">
        <f aca="false">-1+A4596*0.125</f>
        <v>0.875</v>
      </c>
      <c r="E4596" s="0" t="n">
        <f aca="false">-1+B4596*0.125</f>
        <v>0.875</v>
      </c>
      <c r="F4596" s="0" t="n">
        <f aca="false">-1+C4596*0.125</f>
        <v>-0.875</v>
      </c>
      <c r="G4596" s="0" t="n">
        <f aca="false">1</f>
        <v>1</v>
      </c>
      <c r="H4596" s="0" t="n">
        <f aca="false">D4596</f>
        <v>0.875</v>
      </c>
      <c r="I4596" s="0" t="n">
        <f aca="false">E4596</f>
        <v>0.875</v>
      </c>
      <c r="J4596" s="0" t="n">
        <f aca="false">F4596</f>
        <v>-0.875</v>
      </c>
      <c r="K4596" s="0" t="n">
        <f aca="false">D4596*E4596</f>
        <v>0.765625</v>
      </c>
      <c r="L4596" s="0" t="n">
        <f aca="false">D4596*F4596</f>
        <v>-0.765625</v>
      </c>
      <c r="M4596" s="0" t="n">
        <f aca="false">E4596*F4596</f>
        <v>-0.765625</v>
      </c>
      <c r="N4596" s="0" t="n">
        <f aca="false">D4596*D4596</f>
        <v>0.765625</v>
      </c>
      <c r="O4596" s="0" t="n">
        <f aca="false">E4596*E4596</f>
        <v>0.765625</v>
      </c>
      <c r="P4596" s="0" t="n">
        <f aca="false">F4596*F4596</f>
        <v>0.765625</v>
      </c>
      <c r="Q4596" s="0" t="n">
        <f aca="false">SUMPRODUCT(G4596:P4596,_XtX!$B$71:$K$71)</f>
        <v>47.6352201704546</v>
      </c>
      <c r="R4596" s="0" t="n">
        <f aca="false">SUMPRODUCT(MMULT(G4596:P4596,_XtX!$B$58:$K$67),G4596:P4596)</f>
        <v>0.51874833540483</v>
      </c>
      <c r="S4596" s="0" t="n">
        <f aca="false">04_回帰ANOVA!$K$19*04_回帰ANOVA!$K$14*SQRT(1+R4596)</f>
        <v>1.14580191439368</v>
      </c>
      <c r="T4596" s="0" t="n">
        <f aca="false">Q4596-S4596</f>
        <v>46.4894182560609</v>
      </c>
      <c r="U4596" s="0" t="n">
        <f aca="false">Q4596+S4596</f>
        <v>48.7810220848482</v>
      </c>
      <c r="V4596" s="54" t="b">
        <f aca="false">AND(D4596&gt;=01_因子設定!$L$5-0.000000001,D4596&lt;=01_因子設定!$M$5+0.000000001,E4596&gt;=01_因子設定!$L$6-0.000000001,E4596&lt;=01_因子設定!$M$6+0.000000001,F4596&gt;=01_因子設定!$L$7-0.000000001,F4596&lt;=01_因子設定!$M$7+0.000000001,IF(01_因子設定!$B$20="Box-Behnken",D4596^2+E4596^2+F4596^2&lt;=2+0.000000001,TRUE()))</f>
        <v>1</v>
      </c>
      <c r="W4596" s="55" t="n">
        <f aca="false">IF(V4596,IF(01_因子設定!$B$13="最大化",T4596-01_因子設定!$B$14,IF(01_因子設定!$B$13="最小化",01_因子設定!$B$15-U4596,MIN(T4596-01_因子設定!$B$14,01_因子設定!$B$15-U4596))),-1E+030)</f>
        <v>-2.01058174393913</v>
      </c>
      <c r="X4596" s="55" t="n">
        <f aca="false">IF(V4596,IF(01_因子設定!$B$13="最大化",Q4596,IF(01_因子設定!$B$13="最小化",-Q4596,-ABS(Q4596-01_因子設定!$B$16))),-1E+030)</f>
        <v>47.6352201704546</v>
      </c>
      <c r="Y4596" s="55" t="n">
        <f aca="false">W4596+ROW()*0.000000001</f>
        <v>-2.01057714793913</v>
      </c>
      <c r="Z4596" s="55" t="n">
        <f aca="false">X4596+ROW()*0.000000001</f>
        <v>47.6352247664546</v>
      </c>
    </row>
    <row r="4597" customFormat="false" ht="15" hidden="false" customHeight="false" outlineLevel="0" collapsed="false">
      <c r="A4597" s="0" t="n">
        <v>15</v>
      </c>
      <c r="B4597" s="0" t="n">
        <v>15</v>
      </c>
      <c r="C4597" s="0" t="n">
        <v>2</v>
      </c>
      <c r="D4597" s="0" t="n">
        <f aca="false">-1+A4597*0.125</f>
        <v>0.875</v>
      </c>
      <c r="E4597" s="0" t="n">
        <f aca="false">-1+B4597*0.125</f>
        <v>0.875</v>
      </c>
      <c r="F4597" s="0" t="n">
        <f aca="false">-1+C4597*0.125</f>
        <v>-0.75</v>
      </c>
      <c r="G4597" s="0" t="n">
        <f aca="false">1</f>
        <v>1</v>
      </c>
      <c r="H4597" s="0" t="n">
        <f aca="false">D4597</f>
        <v>0.875</v>
      </c>
      <c r="I4597" s="0" t="n">
        <f aca="false">E4597</f>
        <v>0.875</v>
      </c>
      <c r="J4597" s="0" t="n">
        <f aca="false">F4597</f>
        <v>-0.75</v>
      </c>
      <c r="K4597" s="0" t="n">
        <f aca="false">D4597*E4597</f>
        <v>0.765625</v>
      </c>
      <c r="L4597" s="0" t="n">
        <f aca="false">D4597*F4597</f>
        <v>-0.65625</v>
      </c>
      <c r="M4597" s="0" t="n">
        <f aca="false">E4597*F4597</f>
        <v>-0.65625</v>
      </c>
      <c r="N4597" s="0" t="n">
        <f aca="false">D4597*D4597</f>
        <v>0.765625</v>
      </c>
      <c r="O4597" s="0" t="n">
        <f aca="false">E4597*E4597</f>
        <v>0.765625</v>
      </c>
      <c r="P4597" s="0" t="n">
        <f aca="false">F4597*F4597</f>
        <v>0.5625</v>
      </c>
      <c r="Q4597" s="0" t="n">
        <f aca="false">SUMPRODUCT(G4597:P4597,_XtX!$B$71:$K$71)</f>
        <v>48.0796661931818</v>
      </c>
      <c r="R4597" s="0" t="n">
        <f aca="false">SUMPRODUCT(MMULT(G4597:P4597,_XtX!$B$58:$K$67),G4597:P4597)</f>
        <v>0.464749977805398</v>
      </c>
      <c r="S4597" s="0" t="n">
        <f aca="false">04_回帰ANOVA!$K$19*04_回帰ANOVA!$K$14*SQRT(1+R4597)</f>
        <v>1.12524835342194</v>
      </c>
      <c r="T4597" s="0" t="n">
        <f aca="false">Q4597-S4597</f>
        <v>46.9544178397599</v>
      </c>
      <c r="U4597" s="0" t="n">
        <f aca="false">Q4597+S4597</f>
        <v>49.2049145466038</v>
      </c>
      <c r="V4597" s="54" t="b">
        <f aca="false">AND(D4597&gt;=01_因子設定!$L$5-0.000000001,D4597&lt;=01_因子設定!$M$5+0.000000001,E4597&gt;=01_因子設定!$L$6-0.000000001,E4597&lt;=01_因子設定!$M$6+0.000000001,F4597&gt;=01_因子設定!$L$7-0.000000001,F4597&lt;=01_因子設定!$M$7+0.000000001,IF(01_因子設定!$B$20="Box-Behnken",D4597^2+E4597^2+F4597^2&lt;=2+0.000000001,TRUE()))</f>
        <v>1</v>
      </c>
      <c r="W4597" s="55" t="n">
        <f aca="false">IF(V4597,IF(01_因子設定!$B$13="最大化",T4597-01_因子設定!$B$14,IF(01_因子設定!$B$13="最小化",01_因子設定!$B$15-U4597,MIN(T4597-01_因子設定!$B$14,01_因子設定!$B$15-U4597))),-1E+030)</f>
        <v>-1.54558216024012</v>
      </c>
      <c r="X4597" s="55" t="n">
        <f aca="false">IF(V4597,IF(01_因子設定!$B$13="最大化",Q4597,IF(01_因子設定!$B$13="最小化",-Q4597,-ABS(Q4597-01_因子設定!$B$16))),-1E+030)</f>
        <v>48.0796661931818</v>
      </c>
      <c r="Y4597" s="55" t="n">
        <f aca="false">W4597+ROW()*0.000000001</f>
        <v>-1.54557756324012</v>
      </c>
      <c r="Z4597" s="55" t="n">
        <f aca="false">X4597+ROW()*0.000000001</f>
        <v>48.0796707901818</v>
      </c>
    </row>
    <row r="4598" customFormat="false" ht="15" hidden="false" customHeight="false" outlineLevel="0" collapsed="false">
      <c r="A4598" s="0" t="n">
        <v>15</v>
      </c>
      <c r="B4598" s="0" t="n">
        <v>15</v>
      </c>
      <c r="C4598" s="0" t="n">
        <v>3</v>
      </c>
      <c r="D4598" s="0" t="n">
        <f aca="false">-1+A4598*0.125</f>
        <v>0.875</v>
      </c>
      <c r="E4598" s="0" t="n">
        <f aca="false">-1+B4598*0.125</f>
        <v>0.875</v>
      </c>
      <c r="F4598" s="0" t="n">
        <f aca="false">-1+C4598*0.125</f>
        <v>-0.625</v>
      </c>
      <c r="G4598" s="0" t="n">
        <f aca="false">1</f>
        <v>1</v>
      </c>
      <c r="H4598" s="0" t="n">
        <f aca="false">D4598</f>
        <v>0.875</v>
      </c>
      <c r="I4598" s="0" t="n">
        <f aca="false">E4598</f>
        <v>0.875</v>
      </c>
      <c r="J4598" s="0" t="n">
        <f aca="false">F4598</f>
        <v>-0.625</v>
      </c>
      <c r="K4598" s="0" t="n">
        <f aca="false">D4598*E4598</f>
        <v>0.765625</v>
      </c>
      <c r="L4598" s="0" t="n">
        <f aca="false">D4598*F4598</f>
        <v>-0.546875</v>
      </c>
      <c r="M4598" s="0" t="n">
        <f aca="false">E4598*F4598</f>
        <v>-0.546875</v>
      </c>
      <c r="N4598" s="0" t="n">
        <f aca="false">D4598*D4598</f>
        <v>0.765625</v>
      </c>
      <c r="O4598" s="0" t="n">
        <f aca="false">E4598*E4598</f>
        <v>0.765625</v>
      </c>
      <c r="P4598" s="0" t="n">
        <f aca="false">F4598*F4598</f>
        <v>0.390625</v>
      </c>
      <c r="Q4598" s="0" t="n">
        <f aca="false">SUMPRODUCT(G4598:P4598,_XtX!$B$71:$K$71)</f>
        <v>48.4873224431818</v>
      </c>
      <c r="R4598" s="0" t="n">
        <f aca="false">SUMPRODUCT(MMULT(G4598:P4598,_XtX!$B$58:$K$67),G4598:P4598)</f>
        <v>0.442496559836648</v>
      </c>
      <c r="S4598" s="0" t="n">
        <f aca="false">04_回帰ANOVA!$K$19*04_回帰ANOVA!$K$14*SQRT(1+R4598)</f>
        <v>1.11666789259284</v>
      </c>
      <c r="T4598" s="0" t="n">
        <f aca="false">Q4598-S4598</f>
        <v>47.370654550589</v>
      </c>
      <c r="U4598" s="0" t="n">
        <f aca="false">Q4598+S4598</f>
        <v>49.6039903357747</v>
      </c>
      <c r="V4598" s="54" t="b">
        <f aca="false">AND(D4598&gt;=01_因子設定!$L$5-0.000000001,D4598&lt;=01_因子設定!$M$5+0.000000001,E4598&gt;=01_因子設定!$L$6-0.000000001,E4598&lt;=01_因子設定!$M$6+0.000000001,F4598&gt;=01_因子設定!$L$7-0.000000001,F4598&lt;=01_因子設定!$M$7+0.000000001,IF(01_因子設定!$B$20="Box-Behnken",D4598^2+E4598^2+F4598^2&lt;=2+0.000000001,TRUE()))</f>
        <v>1</v>
      </c>
      <c r="W4598" s="55" t="n">
        <f aca="false">IF(V4598,IF(01_因子設定!$B$13="最大化",T4598-01_因子設定!$B$14,IF(01_因子設定!$B$13="最小化",01_因子設定!$B$15-U4598,MIN(T4598-01_因子設定!$B$14,01_因子設定!$B$15-U4598))),-1E+030)</f>
        <v>-1.12934544941103</v>
      </c>
      <c r="X4598" s="55" t="n">
        <f aca="false">IF(V4598,IF(01_因子設定!$B$13="最大化",Q4598,IF(01_因子設定!$B$13="最小化",-Q4598,-ABS(Q4598-01_因子設定!$B$16))),-1E+030)</f>
        <v>48.4873224431818</v>
      </c>
      <c r="Y4598" s="55" t="n">
        <f aca="false">W4598+ROW()*0.000000001</f>
        <v>-1.12934085141103</v>
      </c>
      <c r="Z4598" s="55" t="n">
        <f aca="false">X4598+ROW()*0.000000001</f>
        <v>48.4873270411818</v>
      </c>
    </row>
    <row r="4599" customFormat="false" ht="15" hidden="false" customHeight="false" outlineLevel="0" collapsed="false">
      <c r="A4599" s="0" t="n">
        <v>15</v>
      </c>
      <c r="B4599" s="0" t="n">
        <v>15</v>
      </c>
      <c r="C4599" s="0" t="n">
        <v>4</v>
      </c>
      <c r="D4599" s="0" t="n">
        <f aca="false">-1+A4599*0.125</f>
        <v>0.875</v>
      </c>
      <c r="E4599" s="0" t="n">
        <f aca="false">-1+B4599*0.125</f>
        <v>0.875</v>
      </c>
      <c r="F4599" s="0" t="n">
        <f aca="false">-1+C4599*0.125</f>
        <v>-0.5</v>
      </c>
      <c r="G4599" s="0" t="n">
        <f aca="false">1</f>
        <v>1</v>
      </c>
      <c r="H4599" s="0" t="n">
        <f aca="false">D4599</f>
        <v>0.875</v>
      </c>
      <c r="I4599" s="0" t="n">
        <f aca="false">E4599</f>
        <v>0.875</v>
      </c>
      <c r="J4599" s="0" t="n">
        <f aca="false">F4599</f>
        <v>-0.5</v>
      </c>
      <c r="K4599" s="0" t="n">
        <f aca="false">D4599*E4599</f>
        <v>0.765625</v>
      </c>
      <c r="L4599" s="0" t="n">
        <f aca="false">D4599*F4599</f>
        <v>-0.4375</v>
      </c>
      <c r="M4599" s="0" t="n">
        <f aca="false">E4599*F4599</f>
        <v>-0.4375</v>
      </c>
      <c r="N4599" s="0" t="n">
        <f aca="false">D4599*D4599</f>
        <v>0.765625</v>
      </c>
      <c r="O4599" s="0" t="n">
        <f aca="false">E4599*E4599</f>
        <v>0.765625</v>
      </c>
      <c r="P4599" s="0" t="n">
        <f aca="false">F4599*F4599</f>
        <v>0.25</v>
      </c>
      <c r="Q4599" s="0" t="n">
        <f aca="false">SUMPRODUCT(G4599:P4599,_XtX!$B$71:$K$71)</f>
        <v>48.8581889204545</v>
      </c>
      <c r="R4599" s="0" t="n">
        <f aca="false">SUMPRODUCT(MMULT(G4599:P4599,_XtX!$B$58:$K$67),G4599:P4599)</f>
        <v>0.44026933149858</v>
      </c>
      <c r="S4599" s="0" t="n">
        <f aca="false">04_回帰ANOVA!$K$19*04_回帰ANOVA!$K$14*SQRT(1+R4599)</f>
        <v>1.11580548667718</v>
      </c>
      <c r="T4599" s="0" t="n">
        <f aca="false">Q4599-S4599</f>
        <v>47.7423834337774</v>
      </c>
      <c r="U4599" s="0" t="n">
        <f aca="false">Q4599+S4599</f>
        <v>49.9739944071317</v>
      </c>
      <c r="V4599" s="54" t="b">
        <f aca="false">AND(D4599&gt;=01_因子設定!$L$5-0.000000001,D4599&lt;=01_因子設定!$M$5+0.000000001,E4599&gt;=01_因子設定!$L$6-0.000000001,E4599&lt;=01_因子設定!$M$6+0.000000001,F4599&gt;=01_因子設定!$L$7-0.000000001,F4599&lt;=01_因子設定!$M$7+0.000000001,IF(01_因子設定!$B$20="Box-Behnken",D4599^2+E4599^2+F4599^2&lt;=2+0.000000001,TRUE()))</f>
        <v>1</v>
      </c>
      <c r="W4599" s="55" t="n">
        <f aca="false">IF(V4599,IF(01_因子設定!$B$13="最大化",T4599-01_因子設定!$B$14,IF(01_因子設定!$B$13="最小化",01_因子設定!$B$15-U4599,MIN(T4599-01_因子設定!$B$14,01_因子設定!$B$15-U4599))),-1E+030)</f>
        <v>-0.757616566222637</v>
      </c>
      <c r="X4599" s="55" t="n">
        <f aca="false">IF(V4599,IF(01_因子設定!$B$13="最大化",Q4599,IF(01_因子設定!$B$13="最小化",-Q4599,-ABS(Q4599-01_因子設定!$B$16))),-1E+030)</f>
        <v>48.8581889204545</v>
      </c>
      <c r="Y4599" s="55" t="n">
        <f aca="false">W4599+ROW()*0.000000001</f>
        <v>-0.757611967222637</v>
      </c>
      <c r="Z4599" s="55" t="n">
        <f aca="false">X4599+ROW()*0.000000001</f>
        <v>48.8581935194545</v>
      </c>
    </row>
    <row r="4600" customFormat="false" ht="15" hidden="false" customHeight="false" outlineLevel="0" collapsed="false">
      <c r="A4600" s="0" t="n">
        <v>15</v>
      </c>
      <c r="B4600" s="0" t="n">
        <v>15</v>
      </c>
      <c r="C4600" s="0" t="n">
        <v>5</v>
      </c>
      <c r="D4600" s="0" t="n">
        <f aca="false">-1+A4600*0.125</f>
        <v>0.875</v>
      </c>
      <c r="E4600" s="0" t="n">
        <f aca="false">-1+B4600*0.125</f>
        <v>0.875</v>
      </c>
      <c r="F4600" s="0" t="n">
        <f aca="false">-1+C4600*0.125</f>
        <v>-0.375</v>
      </c>
      <c r="G4600" s="0" t="n">
        <f aca="false">1</f>
        <v>1</v>
      </c>
      <c r="H4600" s="0" t="n">
        <f aca="false">D4600</f>
        <v>0.875</v>
      </c>
      <c r="I4600" s="0" t="n">
        <f aca="false">E4600</f>
        <v>0.875</v>
      </c>
      <c r="J4600" s="0" t="n">
        <f aca="false">F4600</f>
        <v>-0.375</v>
      </c>
      <c r="K4600" s="0" t="n">
        <f aca="false">D4600*E4600</f>
        <v>0.765625</v>
      </c>
      <c r="L4600" s="0" t="n">
        <f aca="false">D4600*F4600</f>
        <v>-0.328125</v>
      </c>
      <c r="M4600" s="0" t="n">
        <f aca="false">E4600*F4600</f>
        <v>-0.328125</v>
      </c>
      <c r="N4600" s="0" t="n">
        <f aca="false">D4600*D4600</f>
        <v>0.765625</v>
      </c>
      <c r="O4600" s="0" t="n">
        <f aca="false">E4600*E4600</f>
        <v>0.765625</v>
      </c>
      <c r="P4600" s="0" t="n">
        <f aca="false">F4600*F4600</f>
        <v>0.140625</v>
      </c>
      <c r="Q4600" s="0" t="n">
        <f aca="false">SUMPRODUCT(G4600:P4600,_XtX!$B$71:$K$71)</f>
        <v>49.192265625</v>
      </c>
      <c r="R4600" s="0" t="n">
        <f aca="false">SUMPRODUCT(MMULT(G4600:P4600,_XtX!$B$58:$K$67),G4600:P4600)</f>
        <v>0.448480224609375</v>
      </c>
      <c r="S4600" s="0" t="n">
        <f aca="false">04_回帰ANOVA!$K$19*04_回帰ANOVA!$K$14*SQRT(1+R4600)</f>
        <v>1.11898153812985</v>
      </c>
      <c r="T4600" s="0" t="n">
        <f aca="false">Q4600-S4600</f>
        <v>48.0732840868702</v>
      </c>
      <c r="U4600" s="0" t="n">
        <f aca="false">Q4600+S4600</f>
        <v>50.3112471631298</v>
      </c>
      <c r="V4600" s="54" t="b">
        <f aca="false">AND(D4600&gt;=01_因子設定!$L$5-0.000000001,D4600&lt;=01_因子設定!$M$5+0.000000001,E4600&gt;=01_因子設定!$L$6-0.000000001,E4600&lt;=01_因子設定!$M$6+0.000000001,F4600&gt;=01_因子設定!$L$7-0.000000001,F4600&lt;=01_因子設定!$M$7+0.000000001,IF(01_因子設定!$B$20="Box-Behnken",D4600^2+E4600^2+F4600^2&lt;=2+0.000000001,TRUE()))</f>
        <v>1</v>
      </c>
      <c r="W4600" s="55" t="n">
        <f aca="false">IF(V4600,IF(01_因子設定!$B$13="最大化",T4600-01_因子設定!$B$14,IF(01_因子設定!$B$13="最小化",01_因子設定!$B$15-U4600,MIN(T4600-01_因子設定!$B$14,01_因子設定!$B$15-U4600))),-1E+030)</f>
        <v>-0.426715913129847</v>
      </c>
      <c r="X4600" s="55" t="n">
        <f aca="false">IF(V4600,IF(01_因子設定!$B$13="最大化",Q4600,IF(01_因子設定!$B$13="最小化",-Q4600,-ABS(Q4600-01_因子設定!$B$16))),-1E+030)</f>
        <v>49.192265625</v>
      </c>
      <c r="Y4600" s="55" t="n">
        <f aca="false">W4600+ROW()*0.000000001</f>
        <v>-0.426711313129847</v>
      </c>
      <c r="Z4600" s="55" t="n">
        <f aca="false">X4600+ROW()*0.000000001</f>
        <v>49.192270225</v>
      </c>
    </row>
    <row r="4601" customFormat="false" ht="15" hidden="false" customHeight="false" outlineLevel="0" collapsed="false">
      <c r="A4601" s="0" t="n">
        <v>15</v>
      </c>
      <c r="B4601" s="0" t="n">
        <v>15</v>
      </c>
      <c r="C4601" s="0" t="n">
        <v>6</v>
      </c>
      <c r="D4601" s="0" t="n">
        <f aca="false">-1+A4601*0.125</f>
        <v>0.875</v>
      </c>
      <c r="E4601" s="0" t="n">
        <f aca="false">-1+B4601*0.125</f>
        <v>0.875</v>
      </c>
      <c r="F4601" s="0" t="n">
        <f aca="false">-1+C4601*0.125</f>
        <v>-0.25</v>
      </c>
      <c r="G4601" s="0" t="n">
        <f aca="false">1</f>
        <v>1</v>
      </c>
      <c r="H4601" s="0" t="n">
        <f aca="false">D4601</f>
        <v>0.875</v>
      </c>
      <c r="I4601" s="0" t="n">
        <f aca="false">E4601</f>
        <v>0.875</v>
      </c>
      <c r="J4601" s="0" t="n">
        <f aca="false">F4601</f>
        <v>-0.25</v>
      </c>
      <c r="K4601" s="0" t="n">
        <f aca="false">D4601*E4601</f>
        <v>0.765625</v>
      </c>
      <c r="L4601" s="0" t="n">
        <f aca="false">D4601*F4601</f>
        <v>-0.21875</v>
      </c>
      <c r="M4601" s="0" t="n">
        <f aca="false">E4601*F4601</f>
        <v>-0.21875</v>
      </c>
      <c r="N4601" s="0" t="n">
        <f aca="false">D4601*D4601</f>
        <v>0.765625</v>
      </c>
      <c r="O4601" s="0" t="n">
        <f aca="false">E4601*E4601</f>
        <v>0.765625</v>
      </c>
      <c r="P4601" s="0" t="n">
        <f aca="false">F4601*F4601</f>
        <v>0.0625</v>
      </c>
      <c r="Q4601" s="0" t="n">
        <f aca="false">SUMPRODUCT(G4601:P4601,_XtX!$B$71:$K$71)</f>
        <v>49.4895525568182</v>
      </c>
      <c r="R4601" s="0" t="n">
        <f aca="false">SUMPRODUCT(MMULT(G4601:P4601,_XtX!$B$58:$K$67),G4601:P4601)</f>
        <v>0.459671852805398</v>
      </c>
      <c r="S4601" s="0" t="n">
        <f aca="false">04_回帰ANOVA!$K$19*04_回帰ANOVA!$K$14*SQRT(1+R4601)</f>
        <v>1.12329610455115</v>
      </c>
      <c r="T4601" s="0" t="n">
        <f aca="false">Q4601-S4601</f>
        <v>48.366256452267</v>
      </c>
      <c r="U4601" s="0" t="n">
        <f aca="false">Q4601+S4601</f>
        <v>50.6128486613693</v>
      </c>
      <c r="V4601" s="54" t="b">
        <f aca="false">AND(D4601&gt;=01_因子設定!$L$5-0.000000001,D4601&lt;=01_因子設定!$M$5+0.000000001,E4601&gt;=01_因子設定!$L$6-0.000000001,E4601&lt;=01_因子設定!$M$6+0.000000001,F4601&gt;=01_因子設定!$L$7-0.000000001,F4601&lt;=01_因子設定!$M$7+0.000000001,IF(01_因子設定!$B$20="Box-Behnken",D4601^2+E4601^2+F4601^2&lt;=2+0.000000001,TRUE()))</f>
        <v>1</v>
      </c>
      <c r="W4601" s="55" t="n">
        <f aca="false">IF(V4601,IF(01_因子設定!$B$13="最大化",T4601-01_因子設定!$B$14,IF(01_因子設定!$B$13="最小化",01_因子設定!$B$15-U4601,MIN(T4601-01_因子設定!$B$14,01_因子設定!$B$15-U4601))),-1E+030)</f>
        <v>-0.133743547732976</v>
      </c>
      <c r="X4601" s="55" t="n">
        <f aca="false">IF(V4601,IF(01_因子設定!$B$13="最大化",Q4601,IF(01_因子設定!$B$13="最小化",-Q4601,-ABS(Q4601-01_因子設定!$B$16))),-1E+030)</f>
        <v>49.4895525568182</v>
      </c>
      <c r="Y4601" s="55" t="n">
        <f aca="false">W4601+ROW()*0.000000001</f>
        <v>-0.133738946732976</v>
      </c>
      <c r="Z4601" s="55" t="n">
        <f aca="false">X4601+ROW()*0.000000001</f>
        <v>49.4895571578182</v>
      </c>
    </row>
    <row r="4602" customFormat="false" ht="15" hidden="false" customHeight="false" outlineLevel="0" collapsed="false">
      <c r="A4602" s="0" t="n">
        <v>15</v>
      </c>
      <c r="B4602" s="0" t="n">
        <v>15</v>
      </c>
      <c r="C4602" s="0" t="n">
        <v>7</v>
      </c>
      <c r="D4602" s="0" t="n">
        <f aca="false">-1+A4602*0.125</f>
        <v>0.875</v>
      </c>
      <c r="E4602" s="0" t="n">
        <f aca="false">-1+B4602*0.125</f>
        <v>0.875</v>
      </c>
      <c r="F4602" s="0" t="n">
        <f aca="false">-1+C4602*0.125</f>
        <v>-0.125</v>
      </c>
      <c r="G4602" s="0" t="n">
        <f aca="false">1</f>
        <v>1</v>
      </c>
      <c r="H4602" s="0" t="n">
        <f aca="false">D4602</f>
        <v>0.875</v>
      </c>
      <c r="I4602" s="0" t="n">
        <f aca="false">E4602</f>
        <v>0.875</v>
      </c>
      <c r="J4602" s="0" t="n">
        <f aca="false">F4602</f>
        <v>-0.125</v>
      </c>
      <c r="K4602" s="0" t="n">
        <f aca="false">D4602*E4602</f>
        <v>0.765625</v>
      </c>
      <c r="L4602" s="0" t="n">
        <f aca="false">D4602*F4602</f>
        <v>-0.109375</v>
      </c>
      <c r="M4602" s="0" t="n">
        <f aca="false">E4602*F4602</f>
        <v>-0.109375</v>
      </c>
      <c r="N4602" s="0" t="n">
        <f aca="false">D4602*D4602</f>
        <v>0.765625</v>
      </c>
      <c r="O4602" s="0" t="n">
        <f aca="false">E4602*E4602</f>
        <v>0.765625</v>
      </c>
      <c r="P4602" s="0" t="n">
        <f aca="false">F4602*F4602</f>
        <v>0.015625</v>
      </c>
      <c r="Q4602" s="0" t="n">
        <f aca="false">SUMPRODUCT(G4602:P4602,_XtX!$B$71:$K$71)</f>
        <v>49.7500497159091</v>
      </c>
      <c r="R4602" s="0" t="n">
        <f aca="false">SUMPRODUCT(MMULT(G4602:P4602,_XtX!$B$58:$K$67),G4602:P4602)</f>
        <v>0.468517511541193</v>
      </c>
      <c r="S4602" s="0" t="n">
        <f aca="false">04_回帰ANOVA!$K$19*04_回帰ANOVA!$K$14*SQRT(1+R4602)</f>
        <v>1.12669456902645</v>
      </c>
      <c r="T4602" s="0" t="n">
        <f aca="false">Q4602-S4602</f>
        <v>48.6233551468826</v>
      </c>
      <c r="U4602" s="0" t="n">
        <f aca="false">Q4602+S4602</f>
        <v>50.8767442849355</v>
      </c>
      <c r="V4602" s="54" t="b">
        <f aca="false">AND(D4602&gt;=01_因子設定!$L$5-0.000000001,D4602&lt;=01_因子設定!$M$5+0.000000001,E4602&gt;=01_因子設定!$L$6-0.000000001,E4602&lt;=01_因子設定!$M$6+0.000000001,F4602&gt;=01_因子設定!$L$7-0.000000001,F4602&lt;=01_因子設定!$M$7+0.000000001,IF(01_因子設定!$B$20="Box-Behnken",D4602^2+E4602^2+F4602^2&lt;=2+0.000000001,TRUE()))</f>
        <v>1</v>
      </c>
      <c r="W4602" s="55" t="n">
        <f aca="false">IF(V4602,IF(01_因子設定!$B$13="最大化",T4602-01_因子設定!$B$14,IF(01_因子設定!$B$13="最小化",01_因子設定!$B$15-U4602,MIN(T4602-01_因子設定!$B$14,01_因子設定!$B$15-U4602))),-1E+030)</f>
        <v>0.123355146882638</v>
      </c>
      <c r="X4602" s="55" t="n">
        <f aca="false">IF(V4602,IF(01_因子設定!$B$13="最大化",Q4602,IF(01_因子設定!$B$13="最小化",-Q4602,-ABS(Q4602-01_因子設定!$B$16))),-1E+030)</f>
        <v>49.7500497159091</v>
      </c>
      <c r="Y4602" s="55" t="n">
        <f aca="false">W4602+ROW()*0.000000001</f>
        <v>0.123359748882638</v>
      </c>
      <c r="Z4602" s="55" t="n">
        <f aca="false">X4602+ROW()*0.000000001</f>
        <v>49.7500543179091</v>
      </c>
    </row>
    <row r="4603" customFormat="false" ht="15" hidden="false" customHeight="false" outlineLevel="0" collapsed="false">
      <c r="A4603" s="0" t="n">
        <v>15</v>
      </c>
      <c r="B4603" s="0" t="n">
        <v>15</v>
      </c>
      <c r="C4603" s="0" t="n">
        <v>8</v>
      </c>
      <c r="D4603" s="0" t="n">
        <f aca="false">-1+A4603*0.125</f>
        <v>0.875</v>
      </c>
      <c r="E4603" s="0" t="n">
        <f aca="false">-1+B4603*0.125</f>
        <v>0.875</v>
      </c>
      <c r="F4603" s="0" t="n">
        <f aca="false">-1+C4603*0.125</f>
        <v>0</v>
      </c>
      <c r="G4603" s="0" t="n">
        <f aca="false">1</f>
        <v>1</v>
      </c>
      <c r="H4603" s="0" t="n">
        <f aca="false">D4603</f>
        <v>0.875</v>
      </c>
      <c r="I4603" s="0" t="n">
        <f aca="false">E4603</f>
        <v>0.875</v>
      </c>
      <c r="J4603" s="0" t="n">
        <f aca="false">F4603</f>
        <v>0</v>
      </c>
      <c r="K4603" s="0" t="n">
        <f aca="false">D4603*E4603</f>
        <v>0.765625</v>
      </c>
      <c r="L4603" s="0" t="n">
        <f aca="false">D4603*F4603</f>
        <v>0</v>
      </c>
      <c r="M4603" s="0" t="n">
        <f aca="false">E4603*F4603</f>
        <v>0</v>
      </c>
      <c r="N4603" s="0" t="n">
        <f aca="false">D4603*D4603</f>
        <v>0.765625</v>
      </c>
      <c r="O4603" s="0" t="n">
        <f aca="false">E4603*E4603</f>
        <v>0.765625</v>
      </c>
      <c r="P4603" s="0" t="n">
        <f aca="false">F4603*F4603</f>
        <v>0</v>
      </c>
      <c r="Q4603" s="0" t="n">
        <f aca="false">SUMPRODUCT(G4603:P4603,_XtX!$B$71:$K$71)</f>
        <v>49.9737571022727</v>
      </c>
      <c r="R4603" s="0" t="n">
        <f aca="false">SUMPRODUCT(MMULT(G4603:P4603,_XtX!$B$58:$K$67),G4603:P4603)</f>
        <v>0.471821178089489</v>
      </c>
      <c r="S4603" s="0" t="n">
        <f aca="false">04_回帰ANOVA!$K$19*04_回帰ANOVA!$K$14*SQRT(1+R4603)</f>
        <v>1.12796119746125</v>
      </c>
      <c r="T4603" s="0" t="n">
        <f aca="false">Q4603-S4603</f>
        <v>48.8457959048115</v>
      </c>
      <c r="U4603" s="0" t="n">
        <f aca="false">Q4603+S4603</f>
        <v>51.101718299734</v>
      </c>
      <c r="V4603" s="54" t="b">
        <f aca="false">AND(D4603&gt;=01_因子設定!$L$5-0.000000001,D4603&lt;=01_因子設定!$M$5+0.000000001,E4603&gt;=01_因子設定!$L$6-0.000000001,E4603&lt;=01_因子設定!$M$6+0.000000001,F4603&gt;=01_因子設定!$L$7-0.000000001,F4603&lt;=01_因子設定!$M$7+0.000000001,IF(01_因子設定!$B$20="Box-Behnken",D4603^2+E4603^2+F4603^2&lt;=2+0.000000001,TRUE()))</f>
        <v>1</v>
      </c>
      <c r="W4603" s="55" t="n">
        <f aca="false">IF(V4603,IF(01_因子設定!$B$13="最大化",T4603-01_因子設定!$B$14,IF(01_因子設定!$B$13="最小化",01_因子設定!$B$15-U4603,MIN(T4603-01_因子設定!$B$14,01_因子設定!$B$15-U4603))),-1E+030)</f>
        <v>0.345795904811467</v>
      </c>
      <c r="X4603" s="55" t="n">
        <f aca="false">IF(V4603,IF(01_因子設定!$B$13="最大化",Q4603,IF(01_因子設定!$B$13="最小化",-Q4603,-ABS(Q4603-01_因子設定!$B$16))),-1E+030)</f>
        <v>49.9737571022727</v>
      </c>
      <c r="Y4603" s="55" t="n">
        <f aca="false">W4603+ROW()*0.000000001</f>
        <v>0.345800507811467</v>
      </c>
      <c r="Z4603" s="55" t="n">
        <f aca="false">X4603+ROW()*0.000000001</f>
        <v>49.9737617052727</v>
      </c>
    </row>
    <row r="4604" customFormat="false" ht="15" hidden="false" customHeight="false" outlineLevel="0" collapsed="false">
      <c r="A4604" s="0" t="n">
        <v>15</v>
      </c>
      <c r="B4604" s="0" t="n">
        <v>15</v>
      </c>
      <c r="C4604" s="0" t="n">
        <v>9</v>
      </c>
      <c r="D4604" s="0" t="n">
        <f aca="false">-1+A4604*0.125</f>
        <v>0.875</v>
      </c>
      <c r="E4604" s="0" t="n">
        <f aca="false">-1+B4604*0.125</f>
        <v>0.875</v>
      </c>
      <c r="F4604" s="0" t="n">
        <f aca="false">-1+C4604*0.125</f>
        <v>0.125</v>
      </c>
      <c r="G4604" s="0" t="n">
        <f aca="false">1</f>
        <v>1</v>
      </c>
      <c r="H4604" s="0" t="n">
        <f aca="false">D4604</f>
        <v>0.875</v>
      </c>
      <c r="I4604" s="0" t="n">
        <f aca="false">E4604</f>
        <v>0.875</v>
      </c>
      <c r="J4604" s="0" t="n">
        <f aca="false">F4604</f>
        <v>0.125</v>
      </c>
      <c r="K4604" s="0" t="n">
        <f aca="false">D4604*E4604</f>
        <v>0.765625</v>
      </c>
      <c r="L4604" s="0" t="n">
        <f aca="false">D4604*F4604</f>
        <v>0.109375</v>
      </c>
      <c r="M4604" s="0" t="n">
        <f aca="false">E4604*F4604</f>
        <v>0.109375</v>
      </c>
      <c r="N4604" s="0" t="n">
        <f aca="false">D4604*D4604</f>
        <v>0.765625</v>
      </c>
      <c r="O4604" s="0" t="n">
        <f aca="false">E4604*E4604</f>
        <v>0.765625</v>
      </c>
      <c r="P4604" s="0" t="n">
        <f aca="false">F4604*F4604</f>
        <v>0.015625</v>
      </c>
      <c r="Q4604" s="0" t="n">
        <f aca="false">SUMPRODUCT(G4604:P4604,_XtX!$B$71:$K$71)</f>
        <v>50.1606747159091</v>
      </c>
      <c r="R4604" s="0" t="n">
        <f aca="false">SUMPRODUCT(MMULT(G4604:P4604,_XtX!$B$58:$K$67),G4604:P4604)</f>
        <v>0.468517511541193</v>
      </c>
      <c r="S4604" s="0" t="n">
        <f aca="false">04_回帰ANOVA!$K$19*04_回帰ANOVA!$K$14*SQRT(1+R4604)</f>
        <v>1.12669456902645</v>
      </c>
      <c r="T4604" s="0" t="n">
        <f aca="false">Q4604-S4604</f>
        <v>49.0339801468826</v>
      </c>
      <c r="U4604" s="0" t="n">
        <f aca="false">Q4604+S4604</f>
        <v>51.2873692849355</v>
      </c>
      <c r="V4604" s="54" t="b">
        <f aca="false">AND(D4604&gt;=01_因子設定!$L$5-0.000000001,D4604&lt;=01_因子設定!$M$5+0.000000001,E4604&gt;=01_因子設定!$L$6-0.000000001,E4604&lt;=01_因子設定!$M$6+0.000000001,F4604&gt;=01_因子設定!$L$7-0.000000001,F4604&lt;=01_因子設定!$M$7+0.000000001,IF(01_因子設定!$B$20="Box-Behnken",D4604^2+E4604^2+F4604^2&lt;=2+0.000000001,TRUE()))</f>
        <v>1</v>
      </c>
      <c r="W4604" s="55" t="n">
        <f aca="false">IF(V4604,IF(01_因子設定!$B$13="最大化",T4604-01_因子設定!$B$14,IF(01_因子設定!$B$13="最小化",01_因子設定!$B$15-U4604,MIN(T4604-01_因子設定!$B$14,01_因子設定!$B$15-U4604))),-1E+030)</f>
        <v>0.533980146882641</v>
      </c>
      <c r="X4604" s="55" t="n">
        <f aca="false">IF(V4604,IF(01_因子設定!$B$13="最大化",Q4604,IF(01_因子設定!$B$13="最小化",-Q4604,-ABS(Q4604-01_因子設定!$B$16))),-1E+030)</f>
        <v>50.1606747159091</v>
      </c>
      <c r="Y4604" s="55" t="n">
        <f aca="false">W4604+ROW()*0.000000001</f>
        <v>0.533984750882641</v>
      </c>
      <c r="Z4604" s="55" t="n">
        <f aca="false">X4604+ROW()*0.000000001</f>
        <v>50.1606793199091</v>
      </c>
    </row>
    <row r="4605" customFormat="false" ht="15" hidden="false" customHeight="false" outlineLevel="0" collapsed="false">
      <c r="A4605" s="0" t="n">
        <v>15</v>
      </c>
      <c r="B4605" s="0" t="n">
        <v>15</v>
      </c>
      <c r="C4605" s="0" t="n">
        <v>10</v>
      </c>
      <c r="D4605" s="0" t="n">
        <f aca="false">-1+A4605*0.125</f>
        <v>0.875</v>
      </c>
      <c r="E4605" s="0" t="n">
        <f aca="false">-1+B4605*0.125</f>
        <v>0.875</v>
      </c>
      <c r="F4605" s="0" t="n">
        <f aca="false">-1+C4605*0.125</f>
        <v>0.25</v>
      </c>
      <c r="G4605" s="0" t="n">
        <f aca="false">1</f>
        <v>1</v>
      </c>
      <c r="H4605" s="0" t="n">
        <f aca="false">D4605</f>
        <v>0.875</v>
      </c>
      <c r="I4605" s="0" t="n">
        <f aca="false">E4605</f>
        <v>0.875</v>
      </c>
      <c r="J4605" s="0" t="n">
        <f aca="false">F4605</f>
        <v>0.25</v>
      </c>
      <c r="K4605" s="0" t="n">
        <f aca="false">D4605*E4605</f>
        <v>0.765625</v>
      </c>
      <c r="L4605" s="0" t="n">
        <f aca="false">D4605*F4605</f>
        <v>0.21875</v>
      </c>
      <c r="M4605" s="0" t="n">
        <f aca="false">E4605*F4605</f>
        <v>0.21875</v>
      </c>
      <c r="N4605" s="0" t="n">
        <f aca="false">D4605*D4605</f>
        <v>0.765625</v>
      </c>
      <c r="O4605" s="0" t="n">
        <f aca="false">E4605*E4605</f>
        <v>0.765625</v>
      </c>
      <c r="P4605" s="0" t="n">
        <f aca="false">F4605*F4605</f>
        <v>0.0625</v>
      </c>
      <c r="Q4605" s="0" t="n">
        <f aca="false">SUMPRODUCT(G4605:P4605,_XtX!$B$71:$K$71)</f>
        <v>50.3108025568182</v>
      </c>
      <c r="R4605" s="0" t="n">
        <f aca="false">SUMPRODUCT(MMULT(G4605:P4605,_XtX!$B$58:$K$67),G4605:P4605)</f>
        <v>0.459671852805398</v>
      </c>
      <c r="S4605" s="0" t="n">
        <f aca="false">04_回帰ANOVA!$K$19*04_回帰ANOVA!$K$14*SQRT(1+R4605)</f>
        <v>1.12329610455115</v>
      </c>
      <c r="T4605" s="0" t="n">
        <f aca="false">Q4605-S4605</f>
        <v>49.187506452267</v>
      </c>
      <c r="U4605" s="0" t="n">
        <f aca="false">Q4605+S4605</f>
        <v>51.4340986613693</v>
      </c>
      <c r="V4605" s="54" t="b">
        <f aca="false">AND(D4605&gt;=01_因子設定!$L$5-0.000000001,D4605&lt;=01_因子設定!$M$5+0.000000001,E4605&gt;=01_因子設定!$L$6-0.000000001,E4605&lt;=01_因子設定!$M$6+0.000000001,F4605&gt;=01_因子設定!$L$7-0.000000001,F4605&lt;=01_因子設定!$M$7+0.000000001,IF(01_因子設定!$B$20="Box-Behnken",D4605^2+E4605^2+F4605^2&lt;=2+0.000000001,TRUE()))</f>
        <v>1</v>
      </c>
      <c r="W4605" s="55" t="n">
        <f aca="false">IF(V4605,IF(01_因子設定!$B$13="最大化",T4605-01_因子設定!$B$14,IF(01_因子設定!$B$13="最小化",01_因子設定!$B$15-U4605,MIN(T4605-01_因子設定!$B$14,01_因子設定!$B$15-U4605))),-1E+030)</f>
        <v>0.68750645226703</v>
      </c>
      <c r="X4605" s="55" t="n">
        <f aca="false">IF(V4605,IF(01_因子設定!$B$13="最大化",Q4605,IF(01_因子設定!$B$13="最小化",-Q4605,-ABS(Q4605-01_因子設定!$B$16))),-1E+030)</f>
        <v>50.3108025568182</v>
      </c>
      <c r="Y4605" s="55" t="n">
        <f aca="false">W4605+ROW()*0.000000001</f>
        <v>0.68751105726703</v>
      </c>
      <c r="Z4605" s="55" t="n">
        <f aca="false">X4605+ROW()*0.000000001</f>
        <v>50.3108071618182</v>
      </c>
    </row>
    <row r="4606" customFormat="false" ht="15" hidden="false" customHeight="false" outlineLevel="0" collapsed="false">
      <c r="A4606" s="0" t="n">
        <v>15</v>
      </c>
      <c r="B4606" s="0" t="n">
        <v>15</v>
      </c>
      <c r="C4606" s="0" t="n">
        <v>11</v>
      </c>
      <c r="D4606" s="0" t="n">
        <f aca="false">-1+A4606*0.125</f>
        <v>0.875</v>
      </c>
      <c r="E4606" s="0" t="n">
        <f aca="false">-1+B4606*0.125</f>
        <v>0.875</v>
      </c>
      <c r="F4606" s="0" t="n">
        <f aca="false">-1+C4606*0.125</f>
        <v>0.375</v>
      </c>
      <c r="G4606" s="0" t="n">
        <f aca="false">1</f>
        <v>1</v>
      </c>
      <c r="H4606" s="0" t="n">
        <f aca="false">D4606</f>
        <v>0.875</v>
      </c>
      <c r="I4606" s="0" t="n">
        <f aca="false">E4606</f>
        <v>0.875</v>
      </c>
      <c r="J4606" s="0" t="n">
        <f aca="false">F4606</f>
        <v>0.375</v>
      </c>
      <c r="K4606" s="0" t="n">
        <f aca="false">D4606*E4606</f>
        <v>0.765625</v>
      </c>
      <c r="L4606" s="0" t="n">
        <f aca="false">D4606*F4606</f>
        <v>0.328125</v>
      </c>
      <c r="M4606" s="0" t="n">
        <f aca="false">E4606*F4606</f>
        <v>0.328125</v>
      </c>
      <c r="N4606" s="0" t="n">
        <f aca="false">D4606*D4606</f>
        <v>0.765625</v>
      </c>
      <c r="O4606" s="0" t="n">
        <f aca="false">E4606*E4606</f>
        <v>0.765625</v>
      </c>
      <c r="P4606" s="0" t="n">
        <f aca="false">F4606*F4606</f>
        <v>0.140625</v>
      </c>
      <c r="Q4606" s="0" t="n">
        <f aca="false">SUMPRODUCT(G4606:P4606,_XtX!$B$71:$K$71)</f>
        <v>50.424140625</v>
      </c>
      <c r="R4606" s="0" t="n">
        <f aca="false">SUMPRODUCT(MMULT(G4606:P4606,_XtX!$B$58:$K$67),G4606:P4606)</f>
        <v>0.448480224609375</v>
      </c>
      <c r="S4606" s="0" t="n">
        <f aca="false">04_回帰ANOVA!$K$19*04_回帰ANOVA!$K$14*SQRT(1+R4606)</f>
        <v>1.11898153812985</v>
      </c>
      <c r="T4606" s="0" t="n">
        <f aca="false">Q4606-S4606</f>
        <v>49.3051590868702</v>
      </c>
      <c r="U4606" s="0" t="n">
        <f aca="false">Q4606+S4606</f>
        <v>51.5431221631298</v>
      </c>
      <c r="V4606" s="54" t="b">
        <f aca="false">AND(D4606&gt;=01_因子設定!$L$5-0.000000001,D4606&lt;=01_因子設定!$M$5+0.000000001,E4606&gt;=01_因子設定!$L$6-0.000000001,E4606&lt;=01_因子設定!$M$6+0.000000001,F4606&gt;=01_因子設定!$L$7-0.000000001,F4606&lt;=01_因子設定!$M$7+0.000000001,IF(01_因子設定!$B$20="Box-Behnken",D4606^2+E4606^2+F4606^2&lt;=2+0.000000001,TRUE()))</f>
        <v>1</v>
      </c>
      <c r="W4606" s="55" t="n">
        <f aca="false">IF(V4606,IF(01_因子設定!$B$13="最大化",T4606-01_因子設定!$B$14,IF(01_因子設定!$B$13="最小化",01_因子設定!$B$15-U4606,MIN(T4606-01_因子設定!$B$14,01_因子設定!$B$15-U4606))),-1E+030)</f>
        <v>0.805159086870155</v>
      </c>
      <c r="X4606" s="55" t="n">
        <f aca="false">IF(V4606,IF(01_因子設定!$B$13="最大化",Q4606,IF(01_因子設定!$B$13="最小化",-Q4606,-ABS(Q4606-01_因子設定!$B$16))),-1E+030)</f>
        <v>50.424140625</v>
      </c>
      <c r="Y4606" s="55" t="n">
        <f aca="false">W4606+ROW()*0.000000001</f>
        <v>0.805163692870155</v>
      </c>
      <c r="Z4606" s="55" t="n">
        <f aca="false">X4606+ROW()*0.000000001</f>
        <v>50.424145231</v>
      </c>
    </row>
    <row r="4607" customFormat="false" ht="15" hidden="false" customHeight="false" outlineLevel="0" collapsed="false">
      <c r="A4607" s="0" t="n">
        <v>15</v>
      </c>
      <c r="B4607" s="0" t="n">
        <v>15</v>
      </c>
      <c r="C4607" s="0" t="n">
        <v>12</v>
      </c>
      <c r="D4607" s="0" t="n">
        <f aca="false">-1+A4607*0.125</f>
        <v>0.875</v>
      </c>
      <c r="E4607" s="0" t="n">
        <f aca="false">-1+B4607*0.125</f>
        <v>0.875</v>
      </c>
      <c r="F4607" s="0" t="n">
        <f aca="false">-1+C4607*0.125</f>
        <v>0.5</v>
      </c>
      <c r="G4607" s="0" t="n">
        <f aca="false">1</f>
        <v>1</v>
      </c>
      <c r="H4607" s="0" t="n">
        <f aca="false">D4607</f>
        <v>0.875</v>
      </c>
      <c r="I4607" s="0" t="n">
        <f aca="false">E4607</f>
        <v>0.875</v>
      </c>
      <c r="J4607" s="0" t="n">
        <f aca="false">F4607</f>
        <v>0.5</v>
      </c>
      <c r="K4607" s="0" t="n">
        <f aca="false">D4607*E4607</f>
        <v>0.765625</v>
      </c>
      <c r="L4607" s="0" t="n">
        <f aca="false">D4607*F4607</f>
        <v>0.4375</v>
      </c>
      <c r="M4607" s="0" t="n">
        <f aca="false">E4607*F4607</f>
        <v>0.4375</v>
      </c>
      <c r="N4607" s="0" t="n">
        <f aca="false">D4607*D4607</f>
        <v>0.765625</v>
      </c>
      <c r="O4607" s="0" t="n">
        <f aca="false">E4607*E4607</f>
        <v>0.765625</v>
      </c>
      <c r="P4607" s="0" t="n">
        <f aca="false">F4607*F4607</f>
        <v>0.25</v>
      </c>
      <c r="Q4607" s="0" t="n">
        <f aca="false">SUMPRODUCT(G4607:P4607,_XtX!$B$71:$K$71)</f>
        <v>50.5006889204545</v>
      </c>
      <c r="R4607" s="0" t="n">
        <f aca="false">SUMPRODUCT(MMULT(G4607:P4607,_XtX!$B$58:$K$67),G4607:P4607)</f>
        <v>0.44026933149858</v>
      </c>
      <c r="S4607" s="0" t="n">
        <f aca="false">04_回帰ANOVA!$K$19*04_回帰ANOVA!$K$14*SQRT(1+R4607)</f>
        <v>1.11580548667718</v>
      </c>
      <c r="T4607" s="0" t="n">
        <f aca="false">Q4607-S4607</f>
        <v>49.3848834337774</v>
      </c>
      <c r="U4607" s="0" t="n">
        <f aca="false">Q4607+S4607</f>
        <v>51.6164944071317</v>
      </c>
      <c r="V4607" s="54" t="b">
        <f aca="false">AND(D4607&gt;=01_因子設定!$L$5-0.000000001,D4607&lt;=01_因子設定!$M$5+0.000000001,E4607&gt;=01_因子設定!$L$6-0.000000001,E4607&lt;=01_因子設定!$M$6+0.000000001,F4607&gt;=01_因子設定!$L$7-0.000000001,F4607&lt;=01_因子設定!$M$7+0.000000001,IF(01_因子設定!$B$20="Box-Behnken",D4607^2+E4607^2+F4607^2&lt;=2+0.000000001,TRUE()))</f>
        <v>1</v>
      </c>
      <c r="W4607" s="55" t="n">
        <f aca="false">IF(V4607,IF(01_因子設定!$B$13="最大化",T4607-01_因子設定!$B$14,IF(01_因子設定!$B$13="最小化",01_因子設定!$B$15-U4607,MIN(T4607-01_因子設定!$B$14,01_因子設定!$B$15-U4607))),-1E+030)</f>
        <v>0.884883433777361</v>
      </c>
      <c r="X4607" s="55" t="n">
        <f aca="false">IF(V4607,IF(01_因子設定!$B$13="最大化",Q4607,IF(01_因子設定!$B$13="最小化",-Q4607,-ABS(Q4607-01_因子設定!$B$16))),-1E+030)</f>
        <v>50.5006889204545</v>
      </c>
      <c r="Y4607" s="55" t="n">
        <f aca="false">W4607+ROW()*0.000000001</f>
        <v>0.884888040777361</v>
      </c>
      <c r="Z4607" s="55" t="n">
        <f aca="false">X4607+ROW()*0.000000001</f>
        <v>50.5006935274545</v>
      </c>
    </row>
    <row r="4608" customFormat="false" ht="15" hidden="false" customHeight="false" outlineLevel="0" collapsed="false">
      <c r="A4608" s="0" t="n">
        <v>15</v>
      </c>
      <c r="B4608" s="0" t="n">
        <v>15</v>
      </c>
      <c r="C4608" s="0" t="n">
        <v>13</v>
      </c>
      <c r="D4608" s="0" t="n">
        <f aca="false">-1+A4608*0.125</f>
        <v>0.875</v>
      </c>
      <c r="E4608" s="0" t="n">
        <f aca="false">-1+B4608*0.125</f>
        <v>0.875</v>
      </c>
      <c r="F4608" s="0" t="n">
        <f aca="false">-1+C4608*0.125</f>
        <v>0.625</v>
      </c>
      <c r="G4608" s="0" t="n">
        <f aca="false">1</f>
        <v>1</v>
      </c>
      <c r="H4608" s="0" t="n">
        <f aca="false">D4608</f>
        <v>0.875</v>
      </c>
      <c r="I4608" s="0" t="n">
        <f aca="false">E4608</f>
        <v>0.875</v>
      </c>
      <c r="J4608" s="0" t="n">
        <f aca="false">F4608</f>
        <v>0.625</v>
      </c>
      <c r="K4608" s="0" t="n">
        <f aca="false">D4608*E4608</f>
        <v>0.765625</v>
      </c>
      <c r="L4608" s="0" t="n">
        <f aca="false">D4608*F4608</f>
        <v>0.546875</v>
      </c>
      <c r="M4608" s="0" t="n">
        <f aca="false">E4608*F4608</f>
        <v>0.546875</v>
      </c>
      <c r="N4608" s="0" t="n">
        <f aca="false">D4608*D4608</f>
        <v>0.765625</v>
      </c>
      <c r="O4608" s="0" t="n">
        <f aca="false">E4608*E4608</f>
        <v>0.765625</v>
      </c>
      <c r="P4608" s="0" t="n">
        <f aca="false">F4608*F4608</f>
        <v>0.390625</v>
      </c>
      <c r="Q4608" s="0" t="n">
        <f aca="false">SUMPRODUCT(G4608:P4608,_XtX!$B$71:$K$71)</f>
        <v>50.5404474431818</v>
      </c>
      <c r="R4608" s="0" t="n">
        <f aca="false">SUMPRODUCT(MMULT(G4608:P4608,_XtX!$B$58:$K$67),G4608:P4608)</f>
        <v>0.442496559836648</v>
      </c>
      <c r="S4608" s="0" t="n">
        <f aca="false">04_回帰ANOVA!$K$19*04_回帰ANOVA!$K$14*SQRT(1+R4608)</f>
        <v>1.11666789259284</v>
      </c>
      <c r="T4608" s="0" t="n">
        <f aca="false">Q4608-S4608</f>
        <v>49.423779550589</v>
      </c>
      <c r="U4608" s="0" t="n">
        <f aca="false">Q4608+S4608</f>
        <v>51.6571153357747</v>
      </c>
      <c r="V4608" s="54" t="b">
        <f aca="false">AND(D4608&gt;=01_因子設定!$L$5-0.000000001,D4608&lt;=01_因子設定!$M$5+0.000000001,E4608&gt;=01_因子設定!$L$6-0.000000001,E4608&lt;=01_因子設定!$M$6+0.000000001,F4608&gt;=01_因子設定!$L$7-0.000000001,F4608&lt;=01_因子設定!$M$7+0.000000001,IF(01_因子設定!$B$20="Box-Behnken",D4608^2+E4608^2+F4608^2&lt;=2+0.000000001,TRUE()))</f>
        <v>1</v>
      </c>
      <c r="W4608" s="55" t="n">
        <f aca="false">IF(V4608,IF(01_因子設定!$B$13="最大化",T4608-01_因子設定!$B$14,IF(01_因子設定!$B$13="最小化",01_因子設定!$B$15-U4608,MIN(T4608-01_因子設定!$B$14,01_因子設定!$B$15-U4608))),-1E+030)</f>
        <v>0.923779550588975</v>
      </c>
      <c r="X4608" s="55" t="n">
        <f aca="false">IF(V4608,IF(01_因子設定!$B$13="最大化",Q4608,IF(01_因子設定!$B$13="最小化",-Q4608,-ABS(Q4608-01_因子設定!$B$16))),-1E+030)</f>
        <v>50.5404474431818</v>
      </c>
      <c r="Y4608" s="55" t="n">
        <f aca="false">W4608+ROW()*0.000000001</f>
        <v>0.923784158588975</v>
      </c>
      <c r="Z4608" s="55" t="n">
        <f aca="false">X4608+ROW()*0.000000001</f>
        <v>50.5404520511818</v>
      </c>
    </row>
    <row r="4609" customFormat="false" ht="15" hidden="false" customHeight="false" outlineLevel="0" collapsed="false">
      <c r="A4609" s="0" t="n">
        <v>15</v>
      </c>
      <c r="B4609" s="0" t="n">
        <v>15</v>
      </c>
      <c r="C4609" s="0" t="n">
        <v>14</v>
      </c>
      <c r="D4609" s="0" t="n">
        <f aca="false">-1+A4609*0.125</f>
        <v>0.875</v>
      </c>
      <c r="E4609" s="0" t="n">
        <f aca="false">-1+B4609*0.125</f>
        <v>0.875</v>
      </c>
      <c r="F4609" s="0" t="n">
        <f aca="false">-1+C4609*0.125</f>
        <v>0.75</v>
      </c>
      <c r="G4609" s="0" t="n">
        <f aca="false">1</f>
        <v>1</v>
      </c>
      <c r="H4609" s="0" t="n">
        <f aca="false">D4609</f>
        <v>0.875</v>
      </c>
      <c r="I4609" s="0" t="n">
        <f aca="false">E4609</f>
        <v>0.875</v>
      </c>
      <c r="J4609" s="0" t="n">
        <f aca="false">F4609</f>
        <v>0.75</v>
      </c>
      <c r="K4609" s="0" t="n">
        <f aca="false">D4609*E4609</f>
        <v>0.765625</v>
      </c>
      <c r="L4609" s="0" t="n">
        <f aca="false">D4609*F4609</f>
        <v>0.65625</v>
      </c>
      <c r="M4609" s="0" t="n">
        <f aca="false">E4609*F4609</f>
        <v>0.65625</v>
      </c>
      <c r="N4609" s="0" t="n">
        <f aca="false">D4609*D4609</f>
        <v>0.765625</v>
      </c>
      <c r="O4609" s="0" t="n">
        <f aca="false">E4609*E4609</f>
        <v>0.765625</v>
      </c>
      <c r="P4609" s="0" t="n">
        <f aca="false">F4609*F4609</f>
        <v>0.5625</v>
      </c>
      <c r="Q4609" s="0" t="n">
        <f aca="false">SUMPRODUCT(G4609:P4609,_XtX!$B$71:$K$71)</f>
        <v>50.5434161931818</v>
      </c>
      <c r="R4609" s="0" t="n">
        <f aca="false">SUMPRODUCT(MMULT(G4609:P4609,_XtX!$B$58:$K$67),G4609:P4609)</f>
        <v>0.464749977805398</v>
      </c>
      <c r="S4609" s="0" t="n">
        <f aca="false">04_回帰ANOVA!$K$19*04_回帰ANOVA!$K$14*SQRT(1+R4609)</f>
        <v>1.12524835342194</v>
      </c>
      <c r="T4609" s="0" t="n">
        <f aca="false">Q4609-S4609</f>
        <v>49.4181678397599</v>
      </c>
      <c r="U4609" s="0" t="n">
        <f aca="false">Q4609+S4609</f>
        <v>51.6686645466038</v>
      </c>
      <c r="V4609" s="54" t="b">
        <f aca="false">AND(D4609&gt;=01_因子設定!$L$5-0.000000001,D4609&lt;=01_因子設定!$M$5+0.000000001,E4609&gt;=01_因子設定!$L$6-0.000000001,E4609&lt;=01_因子設定!$M$6+0.000000001,F4609&gt;=01_因子設定!$L$7-0.000000001,F4609&lt;=01_因子設定!$M$7+0.000000001,IF(01_因子設定!$B$20="Box-Behnken",D4609^2+E4609^2+F4609^2&lt;=2+0.000000001,TRUE()))</f>
        <v>1</v>
      </c>
      <c r="W4609" s="55" t="n">
        <f aca="false">IF(V4609,IF(01_因子設定!$B$13="最大化",T4609-01_因子設定!$B$14,IF(01_因子設定!$B$13="最小化",01_因子設定!$B$15-U4609,MIN(T4609-01_因子設定!$B$14,01_因子設定!$B$15-U4609))),-1E+030)</f>
        <v>0.918167839759889</v>
      </c>
      <c r="X4609" s="55" t="n">
        <f aca="false">IF(V4609,IF(01_因子設定!$B$13="最大化",Q4609,IF(01_因子設定!$B$13="最小化",-Q4609,-ABS(Q4609-01_因子設定!$B$16))),-1E+030)</f>
        <v>50.5434161931818</v>
      </c>
      <c r="Y4609" s="55" t="n">
        <f aca="false">W4609+ROW()*0.000000001</f>
        <v>0.918172448759889</v>
      </c>
      <c r="Z4609" s="55" t="n">
        <f aca="false">X4609+ROW()*0.000000001</f>
        <v>50.5434208021818</v>
      </c>
    </row>
    <row r="4610" customFormat="false" ht="15" hidden="false" customHeight="false" outlineLevel="0" collapsed="false">
      <c r="A4610" s="0" t="n">
        <v>15</v>
      </c>
      <c r="B4610" s="0" t="n">
        <v>15</v>
      </c>
      <c r="C4610" s="0" t="n">
        <v>15</v>
      </c>
      <c r="D4610" s="0" t="n">
        <f aca="false">-1+A4610*0.125</f>
        <v>0.875</v>
      </c>
      <c r="E4610" s="0" t="n">
        <f aca="false">-1+B4610*0.125</f>
        <v>0.875</v>
      </c>
      <c r="F4610" s="0" t="n">
        <f aca="false">-1+C4610*0.125</f>
        <v>0.875</v>
      </c>
      <c r="G4610" s="0" t="n">
        <f aca="false">1</f>
        <v>1</v>
      </c>
      <c r="H4610" s="0" t="n">
        <f aca="false">D4610</f>
        <v>0.875</v>
      </c>
      <c r="I4610" s="0" t="n">
        <f aca="false">E4610</f>
        <v>0.875</v>
      </c>
      <c r="J4610" s="0" t="n">
        <f aca="false">F4610</f>
        <v>0.875</v>
      </c>
      <c r="K4610" s="0" t="n">
        <f aca="false">D4610*E4610</f>
        <v>0.765625</v>
      </c>
      <c r="L4610" s="0" t="n">
        <f aca="false">D4610*F4610</f>
        <v>0.765625</v>
      </c>
      <c r="M4610" s="0" t="n">
        <f aca="false">E4610*F4610</f>
        <v>0.765625</v>
      </c>
      <c r="N4610" s="0" t="n">
        <f aca="false">D4610*D4610</f>
        <v>0.765625</v>
      </c>
      <c r="O4610" s="0" t="n">
        <f aca="false">E4610*E4610</f>
        <v>0.765625</v>
      </c>
      <c r="P4610" s="0" t="n">
        <f aca="false">F4610*F4610</f>
        <v>0.765625</v>
      </c>
      <c r="Q4610" s="0" t="n">
        <f aca="false">SUMPRODUCT(G4610:P4610,_XtX!$B$71:$K$71)</f>
        <v>50.5095951704546</v>
      </c>
      <c r="R4610" s="0" t="n">
        <f aca="false">SUMPRODUCT(MMULT(G4610:P4610,_XtX!$B$58:$K$67),G4610:P4610)</f>
        <v>0.51874833540483</v>
      </c>
      <c r="S4610" s="0" t="n">
        <f aca="false">04_回帰ANOVA!$K$19*04_回帰ANOVA!$K$14*SQRT(1+R4610)</f>
        <v>1.14580191439368</v>
      </c>
      <c r="T4610" s="0" t="n">
        <f aca="false">Q4610-S4610</f>
        <v>49.3637932560609</v>
      </c>
      <c r="U4610" s="0" t="n">
        <f aca="false">Q4610+S4610</f>
        <v>51.6553970848482</v>
      </c>
      <c r="V4610" s="54" t="b">
        <f aca="false">AND(D4610&gt;=01_因子設定!$L$5-0.000000001,D4610&lt;=01_因子設定!$M$5+0.000000001,E4610&gt;=01_因子設定!$L$6-0.000000001,E4610&lt;=01_因子設定!$M$6+0.000000001,F4610&gt;=01_因子設定!$L$7-0.000000001,F4610&lt;=01_因子設定!$M$7+0.000000001,IF(01_因子設定!$B$20="Box-Behnken",D4610^2+E4610^2+F4610^2&lt;=2+0.000000001,TRUE()))</f>
        <v>1</v>
      </c>
      <c r="W4610" s="55" t="n">
        <f aca="false">IF(V4610,IF(01_因子設定!$B$13="最大化",T4610-01_因子設定!$B$14,IF(01_因子設定!$B$13="最小化",01_因子設定!$B$15-U4610,MIN(T4610-01_因子設定!$B$14,01_因子設定!$B$15-U4610))),-1E+030)</f>
        <v>0.863793256060873</v>
      </c>
      <c r="X4610" s="55" t="n">
        <f aca="false">IF(V4610,IF(01_因子設定!$B$13="最大化",Q4610,IF(01_因子設定!$B$13="最小化",-Q4610,-ABS(Q4610-01_因子設定!$B$16))),-1E+030)</f>
        <v>50.5095951704546</v>
      </c>
      <c r="Y4610" s="55" t="n">
        <f aca="false">W4610+ROW()*0.000000001</f>
        <v>0.863797866060873</v>
      </c>
      <c r="Z4610" s="55" t="n">
        <f aca="false">X4610+ROW()*0.000000001</f>
        <v>50.5095997804546</v>
      </c>
    </row>
    <row r="4611" customFormat="false" ht="15" hidden="false" customHeight="false" outlineLevel="0" collapsed="false">
      <c r="A4611" s="0" t="n">
        <v>15</v>
      </c>
      <c r="B4611" s="0" t="n">
        <v>15</v>
      </c>
      <c r="C4611" s="0" t="n">
        <v>16</v>
      </c>
      <c r="D4611" s="0" t="n">
        <f aca="false">-1+A4611*0.125</f>
        <v>0.875</v>
      </c>
      <c r="E4611" s="0" t="n">
        <f aca="false">-1+B4611*0.125</f>
        <v>0.875</v>
      </c>
      <c r="F4611" s="0" t="n">
        <f aca="false">-1+C4611*0.125</f>
        <v>1</v>
      </c>
      <c r="G4611" s="0" t="n">
        <f aca="false">1</f>
        <v>1</v>
      </c>
      <c r="H4611" s="0" t="n">
        <f aca="false">D4611</f>
        <v>0.875</v>
      </c>
      <c r="I4611" s="0" t="n">
        <f aca="false">E4611</f>
        <v>0.875</v>
      </c>
      <c r="J4611" s="0" t="n">
        <f aca="false">F4611</f>
        <v>1</v>
      </c>
      <c r="K4611" s="0" t="n">
        <f aca="false">D4611*E4611</f>
        <v>0.765625</v>
      </c>
      <c r="L4611" s="0" t="n">
        <f aca="false">D4611*F4611</f>
        <v>0.875</v>
      </c>
      <c r="M4611" s="0" t="n">
        <f aca="false">E4611*F4611</f>
        <v>0.875</v>
      </c>
      <c r="N4611" s="0" t="n">
        <f aca="false">D4611*D4611</f>
        <v>0.765625</v>
      </c>
      <c r="O4611" s="0" t="n">
        <f aca="false">E4611*E4611</f>
        <v>0.765625</v>
      </c>
      <c r="P4611" s="0" t="n">
        <f aca="false">F4611*F4611</f>
        <v>1</v>
      </c>
      <c r="Q4611" s="0" t="n">
        <f aca="false">SUMPRODUCT(G4611:P4611,_XtX!$B$71:$K$71)</f>
        <v>50.438984375</v>
      </c>
      <c r="R4611" s="0" t="n">
        <f aca="false">SUMPRODUCT(MMULT(G4611:P4611,_XtX!$B$58:$K$67),G4611:P4611)</f>
        <v>0.618341064453125</v>
      </c>
      <c r="S4611" s="0" t="n">
        <f aca="false">04_回帰ANOVA!$K$19*04_回帰ANOVA!$K$14*SQRT(1+R4611)</f>
        <v>1.18277371124466</v>
      </c>
      <c r="T4611" s="0" t="n">
        <f aca="false">Q4611-S4611</f>
        <v>49.2562106637554</v>
      </c>
      <c r="U4611" s="0" t="n">
        <f aca="false">Q4611+S4611</f>
        <v>51.6217580862447</v>
      </c>
      <c r="V4611" s="54" t="b">
        <f aca="false">AND(D4611&gt;=01_因子設定!$L$5-0.000000001,D4611&lt;=01_因子設定!$M$5+0.000000001,E4611&gt;=01_因子設定!$L$6-0.000000001,E4611&lt;=01_因子設定!$M$6+0.000000001,F4611&gt;=01_因子設定!$L$7-0.000000001,F4611&lt;=01_因子設定!$M$7+0.000000001,IF(01_因子設定!$B$20="Box-Behnken",D4611^2+E4611^2+F4611^2&lt;=2+0.000000001,TRUE()))</f>
        <v>1</v>
      </c>
      <c r="W4611" s="55" t="n">
        <f aca="false">IF(V4611,IF(01_因子設定!$B$13="最大化",T4611-01_因子設定!$B$14,IF(01_因子設定!$B$13="最小化",01_因子設定!$B$15-U4611,MIN(T4611-01_因子設定!$B$14,01_因子設定!$B$15-U4611))),-1E+030)</f>
        <v>0.756210663755354</v>
      </c>
      <c r="X4611" s="55" t="n">
        <f aca="false">IF(V4611,IF(01_因子設定!$B$13="最大化",Q4611,IF(01_因子設定!$B$13="最小化",-Q4611,-ABS(Q4611-01_因子設定!$B$16))),-1E+030)</f>
        <v>50.438984375</v>
      </c>
      <c r="Y4611" s="55" t="n">
        <f aca="false">W4611+ROW()*0.000000001</f>
        <v>0.756215274755354</v>
      </c>
      <c r="Z4611" s="55" t="n">
        <f aca="false">X4611+ROW()*0.000000001</f>
        <v>50.438988986</v>
      </c>
    </row>
    <row r="4612" customFormat="false" ht="15" hidden="false" customHeight="false" outlineLevel="0" collapsed="false">
      <c r="A4612" s="0" t="n">
        <v>15</v>
      </c>
      <c r="B4612" s="0" t="n">
        <v>16</v>
      </c>
      <c r="C4612" s="0" t="n">
        <v>0</v>
      </c>
      <c r="D4612" s="0" t="n">
        <f aca="false">-1+A4612*0.125</f>
        <v>0.875</v>
      </c>
      <c r="E4612" s="0" t="n">
        <f aca="false">-1+B4612*0.125</f>
        <v>1</v>
      </c>
      <c r="F4612" s="0" t="n">
        <f aca="false">-1+C4612*0.125</f>
        <v>-1</v>
      </c>
      <c r="G4612" s="0" t="n">
        <f aca="false">1</f>
        <v>1</v>
      </c>
      <c r="H4612" s="0" t="n">
        <f aca="false">D4612</f>
        <v>0.875</v>
      </c>
      <c r="I4612" s="0" t="n">
        <f aca="false">E4612</f>
        <v>1</v>
      </c>
      <c r="J4612" s="0" t="n">
        <f aca="false">F4612</f>
        <v>-1</v>
      </c>
      <c r="K4612" s="0" t="n">
        <f aca="false">D4612*E4612</f>
        <v>0.875</v>
      </c>
      <c r="L4612" s="0" t="n">
        <f aca="false">D4612*F4612</f>
        <v>-0.875</v>
      </c>
      <c r="M4612" s="0" t="n">
        <f aca="false">E4612*F4612</f>
        <v>-1</v>
      </c>
      <c r="N4612" s="0" t="n">
        <f aca="false">D4612*D4612</f>
        <v>0.765625</v>
      </c>
      <c r="O4612" s="0" t="n">
        <f aca="false">E4612*E4612</f>
        <v>1</v>
      </c>
      <c r="P4612" s="0" t="n">
        <f aca="false">F4612*F4612</f>
        <v>1</v>
      </c>
      <c r="Q4612" s="0" t="n">
        <f aca="false">SUMPRODUCT(G4612:P4612,_XtX!$B$71:$K$71)</f>
        <v>47.0153267045455</v>
      </c>
      <c r="R4612" s="0" t="n">
        <f aca="false">SUMPRODUCT(MMULT(G4612:P4612,_XtX!$B$58:$K$67),G4612:P4612)</f>
        <v>0.709818892045455</v>
      </c>
      <c r="S4612" s="0" t="n">
        <f aca="false">04_回帰ANOVA!$K$19*04_回帰ANOVA!$K$14*SQRT(1+R4612)</f>
        <v>1.21574275944458</v>
      </c>
      <c r="T4612" s="0" t="n">
        <f aca="false">Q4612-S4612</f>
        <v>45.7995839451009</v>
      </c>
      <c r="U4612" s="0" t="n">
        <f aca="false">Q4612+S4612</f>
        <v>48.2310694639901</v>
      </c>
      <c r="V4612" s="54" t="b">
        <f aca="false">AND(D4612&gt;=01_因子設定!$L$5-0.000000001,D4612&lt;=01_因子設定!$M$5+0.000000001,E4612&gt;=01_因子設定!$L$6-0.000000001,E4612&lt;=01_因子設定!$M$6+0.000000001,F4612&gt;=01_因子設定!$L$7-0.000000001,F4612&lt;=01_因子設定!$M$7+0.000000001,IF(01_因子設定!$B$20="Box-Behnken",D4612^2+E4612^2+F4612^2&lt;=2+0.000000001,TRUE()))</f>
        <v>1</v>
      </c>
      <c r="W4612" s="55" t="n">
        <f aca="false">IF(V4612,IF(01_因子設定!$B$13="最大化",T4612-01_因子設定!$B$14,IF(01_因子設定!$B$13="最小化",01_因子設定!$B$15-U4612,MIN(T4612-01_因子設定!$B$14,01_因子設定!$B$15-U4612))),-1E+030)</f>
        <v>-2.70041605489911</v>
      </c>
      <c r="X4612" s="55" t="n">
        <f aca="false">IF(V4612,IF(01_因子設定!$B$13="最大化",Q4612,IF(01_因子設定!$B$13="最小化",-Q4612,-ABS(Q4612-01_因子設定!$B$16))),-1E+030)</f>
        <v>47.0153267045455</v>
      </c>
      <c r="Y4612" s="55" t="n">
        <f aca="false">W4612+ROW()*0.000000001</f>
        <v>-2.70041144289911</v>
      </c>
      <c r="Z4612" s="55" t="n">
        <f aca="false">X4612+ROW()*0.000000001</f>
        <v>47.0153313165455</v>
      </c>
    </row>
    <row r="4613" customFormat="false" ht="15" hidden="false" customHeight="false" outlineLevel="0" collapsed="false">
      <c r="A4613" s="0" t="n">
        <v>15</v>
      </c>
      <c r="B4613" s="0" t="n">
        <v>16</v>
      </c>
      <c r="C4613" s="0" t="n">
        <v>1</v>
      </c>
      <c r="D4613" s="0" t="n">
        <f aca="false">-1+A4613*0.125</f>
        <v>0.875</v>
      </c>
      <c r="E4613" s="0" t="n">
        <f aca="false">-1+B4613*0.125</f>
        <v>1</v>
      </c>
      <c r="F4613" s="0" t="n">
        <f aca="false">-1+C4613*0.125</f>
        <v>-0.875</v>
      </c>
      <c r="G4613" s="0" t="n">
        <f aca="false">1</f>
        <v>1</v>
      </c>
      <c r="H4613" s="0" t="n">
        <f aca="false">D4613</f>
        <v>0.875</v>
      </c>
      <c r="I4613" s="0" t="n">
        <f aca="false">E4613</f>
        <v>1</v>
      </c>
      <c r="J4613" s="0" t="n">
        <f aca="false">F4613</f>
        <v>-0.875</v>
      </c>
      <c r="K4613" s="0" t="n">
        <f aca="false">D4613*E4613</f>
        <v>0.875</v>
      </c>
      <c r="L4613" s="0" t="n">
        <f aca="false">D4613*F4613</f>
        <v>-0.765625</v>
      </c>
      <c r="M4613" s="0" t="n">
        <f aca="false">E4613*F4613</f>
        <v>-0.875</v>
      </c>
      <c r="N4613" s="0" t="n">
        <f aca="false">D4613*D4613</f>
        <v>0.765625</v>
      </c>
      <c r="O4613" s="0" t="n">
        <f aca="false">E4613*E4613</f>
        <v>1</v>
      </c>
      <c r="P4613" s="0" t="n">
        <f aca="false">F4613*F4613</f>
        <v>0.765625</v>
      </c>
      <c r="Q4613" s="0" t="n">
        <f aca="false">SUMPRODUCT(G4613:P4613,_XtX!$B$71:$K$71)</f>
        <v>47.50359375</v>
      </c>
      <c r="R4613" s="0" t="n">
        <f aca="false">SUMPRODUCT(MMULT(G4613:P4613,_XtX!$B$58:$K$67),G4613:P4613)</f>
        <v>0.618341064453125</v>
      </c>
      <c r="S4613" s="0" t="n">
        <f aca="false">04_回帰ANOVA!$K$19*04_回帰ANOVA!$K$14*SQRT(1+R4613)</f>
        <v>1.18277371124466</v>
      </c>
      <c r="T4613" s="0" t="n">
        <f aca="false">Q4613-S4613</f>
        <v>46.3208200387553</v>
      </c>
      <c r="U4613" s="0" t="n">
        <f aca="false">Q4613+S4613</f>
        <v>48.6863674612447</v>
      </c>
      <c r="V4613" s="54" t="b">
        <f aca="false">AND(D4613&gt;=01_因子設定!$L$5-0.000000001,D4613&lt;=01_因子設定!$M$5+0.000000001,E4613&gt;=01_因子設定!$L$6-0.000000001,E4613&lt;=01_因子設定!$M$6+0.000000001,F4613&gt;=01_因子設定!$L$7-0.000000001,F4613&lt;=01_因子設定!$M$7+0.000000001,IF(01_因子設定!$B$20="Box-Behnken",D4613^2+E4613^2+F4613^2&lt;=2+0.000000001,TRUE()))</f>
        <v>1</v>
      </c>
      <c r="W4613" s="55" t="n">
        <f aca="false">IF(V4613,IF(01_因子設定!$B$13="最大化",T4613-01_因子設定!$B$14,IF(01_因子設定!$B$13="最小化",01_因子設定!$B$15-U4613,MIN(T4613-01_因子設定!$B$14,01_因子設定!$B$15-U4613))),-1E+030)</f>
        <v>-2.17917996124466</v>
      </c>
      <c r="X4613" s="55" t="n">
        <f aca="false">IF(V4613,IF(01_因子設定!$B$13="最大化",Q4613,IF(01_因子設定!$B$13="最小化",-Q4613,-ABS(Q4613-01_因子設定!$B$16))),-1E+030)</f>
        <v>47.50359375</v>
      </c>
      <c r="Y4613" s="55" t="n">
        <f aca="false">W4613+ROW()*0.000000001</f>
        <v>-2.17917534824466</v>
      </c>
      <c r="Z4613" s="55" t="n">
        <f aca="false">X4613+ROW()*0.000000001</f>
        <v>47.503598363</v>
      </c>
    </row>
    <row r="4614" customFormat="false" ht="15" hidden="false" customHeight="false" outlineLevel="0" collapsed="false">
      <c r="A4614" s="0" t="n">
        <v>15</v>
      </c>
      <c r="B4614" s="0" t="n">
        <v>16</v>
      </c>
      <c r="C4614" s="0" t="n">
        <v>2</v>
      </c>
      <c r="D4614" s="0" t="n">
        <f aca="false">-1+A4614*0.125</f>
        <v>0.875</v>
      </c>
      <c r="E4614" s="0" t="n">
        <f aca="false">-1+B4614*0.125</f>
        <v>1</v>
      </c>
      <c r="F4614" s="0" t="n">
        <f aca="false">-1+C4614*0.125</f>
        <v>-0.75</v>
      </c>
      <c r="G4614" s="0" t="n">
        <f aca="false">1</f>
        <v>1</v>
      </c>
      <c r="H4614" s="0" t="n">
        <f aca="false">D4614</f>
        <v>0.875</v>
      </c>
      <c r="I4614" s="0" t="n">
        <f aca="false">E4614</f>
        <v>1</v>
      </c>
      <c r="J4614" s="0" t="n">
        <f aca="false">F4614</f>
        <v>-0.75</v>
      </c>
      <c r="K4614" s="0" t="n">
        <f aca="false">D4614*E4614</f>
        <v>0.875</v>
      </c>
      <c r="L4614" s="0" t="n">
        <f aca="false">D4614*F4614</f>
        <v>-0.65625</v>
      </c>
      <c r="M4614" s="0" t="n">
        <f aca="false">E4614*F4614</f>
        <v>-0.75</v>
      </c>
      <c r="N4614" s="0" t="n">
        <f aca="false">D4614*D4614</f>
        <v>0.765625</v>
      </c>
      <c r="O4614" s="0" t="n">
        <f aca="false">E4614*E4614</f>
        <v>1</v>
      </c>
      <c r="P4614" s="0" t="n">
        <f aca="false">F4614*F4614</f>
        <v>0.5625</v>
      </c>
      <c r="Q4614" s="0" t="n">
        <f aca="false">SUMPRODUCT(G4614:P4614,_XtX!$B$71:$K$71)</f>
        <v>47.9550710227273</v>
      </c>
      <c r="R4614" s="0" t="n">
        <f aca="false">SUMPRODUCT(MMULT(G4614:P4614,_XtX!$B$58:$K$67),G4614:P4614)</f>
        <v>0.571375621448864</v>
      </c>
      <c r="S4614" s="0" t="n">
        <f aca="false">04_回帰ANOVA!$K$19*04_回帰ANOVA!$K$14*SQRT(1+R4614)</f>
        <v>1.16548487437682</v>
      </c>
      <c r="T4614" s="0" t="n">
        <f aca="false">Q4614-S4614</f>
        <v>46.7895861483505</v>
      </c>
      <c r="U4614" s="0" t="n">
        <f aca="false">Q4614+S4614</f>
        <v>49.1205558971041</v>
      </c>
      <c r="V4614" s="54" t="b">
        <f aca="false">AND(D4614&gt;=01_因子設定!$L$5-0.000000001,D4614&lt;=01_因子設定!$M$5+0.000000001,E4614&gt;=01_因子設定!$L$6-0.000000001,E4614&lt;=01_因子設定!$M$6+0.000000001,F4614&gt;=01_因子設定!$L$7-0.000000001,F4614&lt;=01_因子設定!$M$7+0.000000001,IF(01_因子設定!$B$20="Box-Behnken",D4614^2+E4614^2+F4614^2&lt;=2+0.000000001,TRUE()))</f>
        <v>1</v>
      </c>
      <c r="W4614" s="55" t="n">
        <f aca="false">IF(V4614,IF(01_因子設定!$B$13="最大化",T4614-01_因子設定!$B$14,IF(01_因子設定!$B$13="最小化",01_因子設定!$B$15-U4614,MIN(T4614-01_因子設定!$B$14,01_因子設定!$B$15-U4614))),-1E+030)</f>
        <v>-1.71041385164953</v>
      </c>
      <c r="X4614" s="55" t="n">
        <f aca="false">IF(V4614,IF(01_因子設定!$B$13="最大化",Q4614,IF(01_因子設定!$B$13="最小化",-Q4614,-ABS(Q4614-01_因子設定!$B$16))),-1E+030)</f>
        <v>47.9550710227273</v>
      </c>
      <c r="Y4614" s="55" t="n">
        <f aca="false">W4614+ROW()*0.000000001</f>
        <v>-1.71040923764953</v>
      </c>
      <c r="Z4614" s="55" t="n">
        <f aca="false">X4614+ROW()*0.000000001</f>
        <v>47.9550756367273</v>
      </c>
    </row>
    <row r="4615" customFormat="false" ht="15" hidden="false" customHeight="false" outlineLevel="0" collapsed="false">
      <c r="A4615" s="0" t="n">
        <v>15</v>
      </c>
      <c r="B4615" s="0" t="n">
        <v>16</v>
      </c>
      <c r="C4615" s="0" t="n">
        <v>3</v>
      </c>
      <c r="D4615" s="0" t="n">
        <f aca="false">-1+A4615*0.125</f>
        <v>0.875</v>
      </c>
      <c r="E4615" s="0" t="n">
        <f aca="false">-1+B4615*0.125</f>
        <v>1</v>
      </c>
      <c r="F4615" s="0" t="n">
        <f aca="false">-1+C4615*0.125</f>
        <v>-0.625</v>
      </c>
      <c r="G4615" s="0" t="n">
        <f aca="false">1</f>
        <v>1</v>
      </c>
      <c r="H4615" s="0" t="n">
        <f aca="false">D4615</f>
        <v>0.875</v>
      </c>
      <c r="I4615" s="0" t="n">
        <f aca="false">E4615</f>
        <v>1</v>
      </c>
      <c r="J4615" s="0" t="n">
        <f aca="false">F4615</f>
        <v>-0.625</v>
      </c>
      <c r="K4615" s="0" t="n">
        <f aca="false">D4615*E4615</f>
        <v>0.875</v>
      </c>
      <c r="L4615" s="0" t="n">
        <f aca="false">D4615*F4615</f>
        <v>-0.546875</v>
      </c>
      <c r="M4615" s="0" t="n">
        <f aca="false">E4615*F4615</f>
        <v>-0.625</v>
      </c>
      <c r="N4615" s="0" t="n">
        <f aca="false">D4615*D4615</f>
        <v>0.765625</v>
      </c>
      <c r="O4615" s="0" t="n">
        <f aca="false">E4615*E4615</f>
        <v>1</v>
      </c>
      <c r="P4615" s="0" t="n">
        <f aca="false">F4615*F4615</f>
        <v>0.390625</v>
      </c>
      <c r="Q4615" s="0" t="n">
        <f aca="false">SUMPRODUCT(G4615:P4615,_XtX!$B$71:$K$71)</f>
        <v>48.3697585227273</v>
      </c>
      <c r="R4615" s="0" t="n">
        <f aca="false">SUMPRODUCT(MMULT(G4615:P4615,_XtX!$B$58:$K$67),G4615:P4615)</f>
        <v>0.555073131214489</v>
      </c>
      <c r="S4615" s="0" t="n">
        <f aca="false">04_回帰ANOVA!$K$19*04_回帰ANOVA!$K$14*SQRT(1+R4615)</f>
        <v>1.15942335628341</v>
      </c>
      <c r="T4615" s="0" t="n">
        <f aca="false">Q4615-S4615</f>
        <v>47.2103351664439</v>
      </c>
      <c r="U4615" s="0" t="n">
        <f aca="false">Q4615+S4615</f>
        <v>49.5291818790107</v>
      </c>
      <c r="V4615" s="54" t="b">
        <f aca="false">AND(D4615&gt;=01_因子設定!$L$5-0.000000001,D4615&lt;=01_因子設定!$M$5+0.000000001,E4615&gt;=01_因子設定!$L$6-0.000000001,E4615&lt;=01_因子設定!$M$6+0.000000001,F4615&gt;=01_因子設定!$L$7-0.000000001,F4615&lt;=01_因子設定!$M$7+0.000000001,IF(01_因子設定!$B$20="Box-Behnken",D4615^2+E4615^2+F4615^2&lt;=2+0.000000001,TRUE()))</f>
        <v>1</v>
      </c>
      <c r="W4615" s="55" t="n">
        <f aca="false">IF(V4615,IF(01_因子設定!$B$13="最大化",T4615-01_因子設定!$B$14,IF(01_因子設定!$B$13="最小化",01_因子設定!$B$15-U4615,MIN(T4615-01_因子設定!$B$14,01_因子設定!$B$15-U4615))),-1E+030)</f>
        <v>-1.28966483355613</v>
      </c>
      <c r="X4615" s="55" t="n">
        <f aca="false">IF(V4615,IF(01_因子設定!$B$13="最大化",Q4615,IF(01_因子設定!$B$13="最小化",-Q4615,-ABS(Q4615-01_因子設定!$B$16))),-1E+030)</f>
        <v>48.3697585227273</v>
      </c>
      <c r="Y4615" s="55" t="n">
        <f aca="false">W4615+ROW()*0.000000001</f>
        <v>-1.28966021855613</v>
      </c>
      <c r="Z4615" s="55" t="n">
        <f aca="false">X4615+ROW()*0.000000001</f>
        <v>48.3697631377273</v>
      </c>
    </row>
    <row r="4616" customFormat="false" ht="15" hidden="false" customHeight="false" outlineLevel="0" collapsed="false">
      <c r="A4616" s="0" t="n">
        <v>15</v>
      </c>
      <c r="B4616" s="0" t="n">
        <v>16</v>
      </c>
      <c r="C4616" s="0" t="n">
        <v>4</v>
      </c>
      <c r="D4616" s="0" t="n">
        <f aca="false">-1+A4616*0.125</f>
        <v>0.875</v>
      </c>
      <c r="E4616" s="0" t="n">
        <f aca="false">-1+B4616*0.125</f>
        <v>1</v>
      </c>
      <c r="F4616" s="0" t="n">
        <f aca="false">-1+C4616*0.125</f>
        <v>-0.5</v>
      </c>
      <c r="G4616" s="0" t="n">
        <f aca="false">1</f>
        <v>1</v>
      </c>
      <c r="H4616" s="0" t="n">
        <f aca="false">D4616</f>
        <v>0.875</v>
      </c>
      <c r="I4616" s="0" t="n">
        <f aca="false">E4616</f>
        <v>1</v>
      </c>
      <c r="J4616" s="0" t="n">
        <f aca="false">F4616</f>
        <v>-0.5</v>
      </c>
      <c r="K4616" s="0" t="n">
        <f aca="false">D4616*E4616</f>
        <v>0.875</v>
      </c>
      <c r="L4616" s="0" t="n">
        <f aca="false">D4616*F4616</f>
        <v>-0.4375</v>
      </c>
      <c r="M4616" s="0" t="n">
        <f aca="false">E4616*F4616</f>
        <v>-0.5</v>
      </c>
      <c r="N4616" s="0" t="n">
        <f aca="false">D4616*D4616</f>
        <v>0.765625</v>
      </c>
      <c r="O4616" s="0" t="n">
        <f aca="false">E4616*E4616</f>
        <v>1</v>
      </c>
      <c r="P4616" s="0" t="n">
        <f aca="false">F4616*F4616</f>
        <v>0.25</v>
      </c>
      <c r="Q4616" s="0" t="n">
        <f aca="false">SUMPRODUCT(G4616:P4616,_XtX!$B$71:$K$71)</f>
        <v>48.74765625</v>
      </c>
      <c r="R4616" s="0" t="n">
        <f aca="false">SUMPRODUCT(MMULT(G4616:P4616,_XtX!$B$58:$K$67),G4616:P4616)</f>
        <v>0.55771484375</v>
      </c>
      <c r="S4616" s="0" t="n">
        <f aca="false">04_回帰ANOVA!$K$19*04_回帰ANOVA!$K$14*SQRT(1+R4616)</f>
        <v>1.16040773556467</v>
      </c>
      <c r="T4616" s="0" t="n">
        <f aca="false">Q4616-S4616</f>
        <v>47.5872485144353</v>
      </c>
      <c r="U4616" s="0" t="n">
        <f aca="false">Q4616+S4616</f>
        <v>49.9080639855647</v>
      </c>
      <c r="V4616" s="54" t="b">
        <f aca="false">AND(D4616&gt;=01_因子設定!$L$5-0.000000001,D4616&lt;=01_因子設定!$M$5+0.000000001,E4616&gt;=01_因子設定!$L$6-0.000000001,E4616&lt;=01_因子設定!$M$6+0.000000001,F4616&gt;=01_因子設定!$L$7-0.000000001,F4616&lt;=01_因子設定!$M$7+0.000000001,IF(01_因子設定!$B$20="Box-Behnken",D4616^2+E4616^2+F4616^2&lt;=2+0.000000001,TRUE()))</f>
        <v>1</v>
      </c>
      <c r="W4616" s="55" t="n">
        <f aca="false">IF(V4616,IF(01_因子設定!$B$13="最大化",T4616-01_因子設定!$B$14,IF(01_因子設定!$B$13="最小化",01_因子設定!$B$15-U4616,MIN(T4616-01_因子設定!$B$14,01_因子設定!$B$15-U4616))),-1E+030)</f>
        <v>-0.912751485564677</v>
      </c>
      <c r="X4616" s="55" t="n">
        <f aca="false">IF(V4616,IF(01_因子設定!$B$13="最大化",Q4616,IF(01_因子設定!$B$13="最小化",-Q4616,-ABS(Q4616-01_因子設定!$B$16))),-1E+030)</f>
        <v>48.74765625</v>
      </c>
      <c r="Y4616" s="55" t="n">
        <f aca="false">W4616+ROW()*0.000000001</f>
        <v>-0.912746869564677</v>
      </c>
      <c r="Z4616" s="55" t="n">
        <f aca="false">X4616+ROW()*0.000000001</f>
        <v>48.747660866</v>
      </c>
    </row>
    <row r="4617" customFormat="false" ht="15" hidden="false" customHeight="false" outlineLevel="0" collapsed="false">
      <c r="A4617" s="0" t="n">
        <v>15</v>
      </c>
      <c r="B4617" s="0" t="n">
        <v>16</v>
      </c>
      <c r="C4617" s="0" t="n">
        <v>5</v>
      </c>
      <c r="D4617" s="0" t="n">
        <f aca="false">-1+A4617*0.125</f>
        <v>0.875</v>
      </c>
      <c r="E4617" s="0" t="n">
        <f aca="false">-1+B4617*0.125</f>
        <v>1</v>
      </c>
      <c r="F4617" s="0" t="n">
        <f aca="false">-1+C4617*0.125</f>
        <v>-0.375</v>
      </c>
      <c r="G4617" s="0" t="n">
        <f aca="false">1</f>
        <v>1</v>
      </c>
      <c r="H4617" s="0" t="n">
        <f aca="false">D4617</f>
        <v>0.875</v>
      </c>
      <c r="I4617" s="0" t="n">
        <f aca="false">E4617</f>
        <v>1</v>
      </c>
      <c r="J4617" s="0" t="n">
        <f aca="false">F4617</f>
        <v>-0.375</v>
      </c>
      <c r="K4617" s="0" t="n">
        <f aca="false">D4617*E4617</f>
        <v>0.875</v>
      </c>
      <c r="L4617" s="0" t="n">
        <f aca="false">D4617*F4617</f>
        <v>-0.328125</v>
      </c>
      <c r="M4617" s="0" t="n">
        <f aca="false">E4617*F4617</f>
        <v>-0.375</v>
      </c>
      <c r="N4617" s="0" t="n">
        <f aca="false">D4617*D4617</f>
        <v>0.765625</v>
      </c>
      <c r="O4617" s="0" t="n">
        <f aca="false">E4617*E4617</f>
        <v>1</v>
      </c>
      <c r="P4617" s="0" t="n">
        <f aca="false">F4617*F4617</f>
        <v>0.140625</v>
      </c>
      <c r="Q4617" s="0" t="n">
        <f aca="false">SUMPRODUCT(G4617:P4617,_XtX!$B$71:$K$71)</f>
        <v>49.0887642045455</v>
      </c>
      <c r="R4617" s="0" t="n">
        <f aca="false">SUMPRODUCT(MMULT(G4617:P4617,_XtX!$B$58:$K$67),G4617:P4617)</f>
        <v>0.56971269087358</v>
      </c>
      <c r="S4617" s="0" t="n">
        <f aca="false">04_回帰ANOVA!$K$19*04_回帰ANOVA!$K$14*SQRT(1+R4617)</f>
        <v>1.16486801567081</v>
      </c>
      <c r="T4617" s="0" t="n">
        <f aca="false">Q4617-S4617</f>
        <v>47.9238961888747</v>
      </c>
      <c r="U4617" s="0" t="n">
        <f aca="false">Q4617+S4617</f>
        <v>50.2536322202163</v>
      </c>
      <c r="V4617" s="54" t="b">
        <f aca="false">AND(D4617&gt;=01_因子設定!$L$5-0.000000001,D4617&lt;=01_因子設定!$M$5+0.000000001,E4617&gt;=01_因子設定!$L$6-0.000000001,E4617&lt;=01_因子設定!$M$6+0.000000001,F4617&gt;=01_因子設定!$L$7-0.000000001,F4617&lt;=01_因子設定!$M$7+0.000000001,IF(01_因子設定!$B$20="Box-Behnken",D4617^2+E4617^2+F4617^2&lt;=2+0.000000001,TRUE()))</f>
        <v>1</v>
      </c>
      <c r="W4617" s="55" t="n">
        <f aca="false">IF(V4617,IF(01_因子設定!$B$13="最大化",T4617-01_因子設定!$B$14,IF(01_因子設定!$B$13="最小化",01_因子設定!$B$15-U4617,MIN(T4617-01_因子設定!$B$14,01_因子設定!$B$15-U4617))),-1E+030)</f>
        <v>-0.57610381112535</v>
      </c>
      <c r="X4617" s="55" t="n">
        <f aca="false">IF(V4617,IF(01_因子設定!$B$13="最大化",Q4617,IF(01_因子設定!$B$13="最小化",-Q4617,-ABS(Q4617-01_因子設定!$B$16))),-1E+030)</f>
        <v>49.0887642045455</v>
      </c>
      <c r="Y4617" s="55" t="n">
        <f aca="false">W4617+ROW()*0.000000001</f>
        <v>-0.57609919412535</v>
      </c>
      <c r="Z4617" s="55" t="n">
        <f aca="false">X4617+ROW()*0.000000001</f>
        <v>49.0887688215455</v>
      </c>
    </row>
    <row r="4618" customFormat="false" ht="15" hidden="false" customHeight="false" outlineLevel="0" collapsed="false">
      <c r="A4618" s="0" t="n">
        <v>15</v>
      </c>
      <c r="B4618" s="0" t="n">
        <v>16</v>
      </c>
      <c r="C4618" s="0" t="n">
        <v>6</v>
      </c>
      <c r="D4618" s="0" t="n">
        <f aca="false">-1+A4618*0.125</f>
        <v>0.875</v>
      </c>
      <c r="E4618" s="0" t="n">
        <f aca="false">-1+B4618*0.125</f>
        <v>1</v>
      </c>
      <c r="F4618" s="0" t="n">
        <f aca="false">-1+C4618*0.125</f>
        <v>-0.25</v>
      </c>
      <c r="G4618" s="0" t="n">
        <f aca="false">1</f>
        <v>1</v>
      </c>
      <c r="H4618" s="0" t="n">
        <f aca="false">D4618</f>
        <v>0.875</v>
      </c>
      <c r="I4618" s="0" t="n">
        <f aca="false">E4618</f>
        <v>1</v>
      </c>
      <c r="J4618" s="0" t="n">
        <f aca="false">F4618</f>
        <v>-0.25</v>
      </c>
      <c r="K4618" s="0" t="n">
        <f aca="false">D4618*E4618</f>
        <v>0.875</v>
      </c>
      <c r="L4618" s="0" t="n">
        <f aca="false">D4618*F4618</f>
        <v>-0.21875</v>
      </c>
      <c r="M4618" s="0" t="n">
        <f aca="false">E4618*F4618</f>
        <v>-0.25</v>
      </c>
      <c r="N4618" s="0" t="n">
        <f aca="false">D4618*D4618</f>
        <v>0.765625</v>
      </c>
      <c r="O4618" s="0" t="n">
        <f aca="false">E4618*E4618</f>
        <v>1</v>
      </c>
      <c r="P4618" s="0" t="n">
        <f aca="false">F4618*F4618</f>
        <v>0.0625</v>
      </c>
      <c r="Q4618" s="0" t="n">
        <f aca="false">SUMPRODUCT(G4618:P4618,_XtX!$B$71:$K$71)</f>
        <v>49.3930823863636</v>
      </c>
      <c r="R4618" s="0" t="n">
        <f aca="false">SUMPRODUCT(MMULT(G4618:P4618,_XtX!$B$58:$K$67),G4618:P4618)</f>
        <v>0.583609286221591</v>
      </c>
      <c r="S4618" s="0" t="n">
        <f aca="false">04_回帰ANOVA!$K$19*04_回帰ANOVA!$K$14*SQRT(1+R4618)</f>
        <v>1.1700129157584</v>
      </c>
      <c r="T4618" s="0" t="n">
        <f aca="false">Q4618-S4618</f>
        <v>48.2230694706052</v>
      </c>
      <c r="U4618" s="0" t="n">
        <f aca="false">Q4618+S4618</f>
        <v>50.563095302122</v>
      </c>
      <c r="V4618" s="54" t="b">
        <f aca="false">AND(D4618&gt;=01_因子設定!$L$5-0.000000001,D4618&lt;=01_因子設定!$M$5+0.000000001,E4618&gt;=01_因子設定!$L$6-0.000000001,E4618&lt;=01_因子設定!$M$6+0.000000001,F4618&gt;=01_因子設定!$L$7-0.000000001,F4618&lt;=01_因子設定!$M$7+0.000000001,IF(01_因子設定!$B$20="Box-Behnken",D4618^2+E4618^2+F4618^2&lt;=2+0.000000001,TRUE()))</f>
        <v>1</v>
      </c>
      <c r="W4618" s="55" t="n">
        <f aca="false">IF(V4618,IF(01_因子設定!$B$13="最大化",T4618-01_因子設定!$B$14,IF(01_因子設定!$B$13="最小化",01_因子設定!$B$15-U4618,MIN(T4618-01_因子設定!$B$14,01_因子設定!$B$15-U4618))),-1E+030)</f>
        <v>-0.276930529394761</v>
      </c>
      <c r="X4618" s="55" t="n">
        <f aca="false">IF(V4618,IF(01_因子設定!$B$13="最大化",Q4618,IF(01_因子設定!$B$13="最小化",-Q4618,-ABS(Q4618-01_因子設定!$B$16))),-1E+030)</f>
        <v>49.3930823863636</v>
      </c>
      <c r="Y4618" s="55" t="n">
        <f aca="false">W4618+ROW()*0.000000001</f>
        <v>-0.276925911394761</v>
      </c>
      <c r="Z4618" s="55" t="n">
        <f aca="false">X4618+ROW()*0.000000001</f>
        <v>49.3930870043636</v>
      </c>
    </row>
    <row r="4619" customFormat="false" ht="15" hidden="false" customHeight="false" outlineLevel="0" collapsed="false">
      <c r="A4619" s="0" t="n">
        <v>15</v>
      </c>
      <c r="B4619" s="0" t="n">
        <v>16</v>
      </c>
      <c r="C4619" s="0" t="n">
        <v>7</v>
      </c>
      <c r="D4619" s="0" t="n">
        <f aca="false">-1+A4619*0.125</f>
        <v>0.875</v>
      </c>
      <c r="E4619" s="0" t="n">
        <f aca="false">-1+B4619*0.125</f>
        <v>1</v>
      </c>
      <c r="F4619" s="0" t="n">
        <f aca="false">-1+C4619*0.125</f>
        <v>-0.125</v>
      </c>
      <c r="G4619" s="0" t="n">
        <f aca="false">1</f>
        <v>1</v>
      </c>
      <c r="H4619" s="0" t="n">
        <f aca="false">D4619</f>
        <v>0.875</v>
      </c>
      <c r="I4619" s="0" t="n">
        <f aca="false">E4619</f>
        <v>1</v>
      </c>
      <c r="J4619" s="0" t="n">
        <f aca="false">F4619</f>
        <v>-0.125</v>
      </c>
      <c r="K4619" s="0" t="n">
        <f aca="false">D4619*E4619</f>
        <v>0.875</v>
      </c>
      <c r="L4619" s="0" t="n">
        <f aca="false">D4619*F4619</f>
        <v>-0.109375</v>
      </c>
      <c r="M4619" s="0" t="n">
        <f aca="false">E4619*F4619</f>
        <v>-0.125</v>
      </c>
      <c r="N4619" s="0" t="n">
        <f aca="false">D4619*D4619</f>
        <v>0.765625</v>
      </c>
      <c r="O4619" s="0" t="n">
        <f aca="false">E4619*E4619</f>
        <v>1</v>
      </c>
      <c r="P4619" s="0" t="n">
        <f aca="false">F4619*F4619</f>
        <v>0.015625</v>
      </c>
      <c r="Q4619" s="0" t="n">
        <f aca="false">SUMPRODUCT(G4619:P4619,_XtX!$B$71:$K$71)</f>
        <v>49.6606107954545</v>
      </c>
      <c r="R4619" s="0" t="n">
        <f aca="false">SUMPRODUCT(MMULT(G4619:P4619,_XtX!$B$58:$K$67),G4619:P4619)</f>
        <v>0.59407792524858</v>
      </c>
      <c r="S4619" s="0" t="n">
        <f aca="false">04_回帰ANOVA!$K$19*04_回帰ANOVA!$K$14*SQRT(1+R4619)</f>
        <v>1.17387380087722</v>
      </c>
      <c r="T4619" s="0" t="n">
        <f aca="false">Q4619-S4619</f>
        <v>48.4867369945773</v>
      </c>
      <c r="U4619" s="0" t="n">
        <f aca="false">Q4619+S4619</f>
        <v>50.8344845963318</v>
      </c>
      <c r="V4619" s="54" t="b">
        <f aca="false">AND(D4619&gt;=01_因子設定!$L$5-0.000000001,D4619&lt;=01_因子設定!$M$5+0.000000001,E4619&gt;=01_因子設定!$L$6-0.000000001,E4619&lt;=01_因子設定!$M$6+0.000000001,F4619&gt;=01_因子設定!$L$7-0.000000001,F4619&lt;=01_因子設定!$M$7+0.000000001,IF(01_因子設定!$B$20="Box-Behnken",D4619^2+E4619^2+F4619^2&lt;=2+0.000000001,TRUE()))</f>
        <v>1</v>
      </c>
      <c r="W4619" s="55" t="n">
        <f aca="false">IF(V4619,IF(01_因子設定!$B$13="最大化",T4619-01_因子設定!$B$14,IF(01_因子設定!$B$13="最小化",01_因子設定!$B$15-U4619,MIN(T4619-01_因子設定!$B$14,01_因子設定!$B$15-U4619))),-1E+030)</f>
        <v>-0.0132630054226723</v>
      </c>
      <c r="X4619" s="55" t="n">
        <f aca="false">IF(V4619,IF(01_因子設定!$B$13="最大化",Q4619,IF(01_因子設定!$B$13="最小化",-Q4619,-ABS(Q4619-01_因子設定!$B$16))),-1E+030)</f>
        <v>49.6606107954545</v>
      </c>
      <c r="Y4619" s="55" t="n">
        <f aca="false">W4619+ROW()*0.000000001</f>
        <v>-0.0132583864226723</v>
      </c>
      <c r="Z4619" s="55" t="n">
        <f aca="false">X4619+ROW()*0.000000001</f>
        <v>49.6606154144546</v>
      </c>
    </row>
    <row r="4620" customFormat="false" ht="15" hidden="false" customHeight="false" outlineLevel="0" collapsed="false">
      <c r="A4620" s="0" t="n">
        <v>15</v>
      </c>
      <c r="B4620" s="0" t="n">
        <v>16</v>
      </c>
      <c r="C4620" s="0" t="n">
        <v>8</v>
      </c>
      <c r="D4620" s="0" t="n">
        <f aca="false">-1+A4620*0.125</f>
        <v>0.875</v>
      </c>
      <c r="E4620" s="0" t="n">
        <f aca="false">-1+B4620*0.125</f>
        <v>1</v>
      </c>
      <c r="F4620" s="0" t="n">
        <f aca="false">-1+C4620*0.125</f>
        <v>0</v>
      </c>
      <c r="G4620" s="0" t="n">
        <f aca="false">1</f>
        <v>1</v>
      </c>
      <c r="H4620" s="0" t="n">
        <f aca="false">D4620</f>
        <v>0.875</v>
      </c>
      <c r="I4620" s="0" t="n">
        <f aca="false">E4620</f>
        <v>1</v>
      </c>
      <c r="J4620" s="0" t="n">
        <f aca="false">F4620</f>
        <v>0</v>
      </c>
      <c r="K4620" s="0" t="n">
        <f aca="false">D4620*E4620</f>
        <v>0.875</v>
      </c>
      <c r="L4620" s="0" t="n">
        <f aca="false">D4620*F4620</f>
        <v>0</v>
      </c>
      <c r="M4620" s="0" t="n">
        <f aca="false">E4620*F4620</f>
        <v>0</v>
      </c>
      <c r="N4620" s="0" t="n">
        <f aca="false">D4620*D4620</f>
        <v>0.765625</v>
      </c>
      <c r="O4620" s="0" t="n">
        <f aca="false">E4620*E4620</f>
        <v>1</v>
      </c>
      <c r="P4620" s="0" t="n">
        <f aca="false">F4620*F4620</f>
        <v>0</v>
      </c>
      <c r="Q4620" s="0" t="n">
        <f aca="false">SUMPRODUCT(G4620:P4620,_XtX!$B$71:$K$71)</f>
        <v>49.8913494318182</v>
      </c>
      <c r="R4620" s="0" t="n">
        <f aca="false">SUMPRODUCT(MMULT(G4620:P4620,_XtX!$B$58:$K$67),G4620:P4620)</f>
        <v>0.597922585227273</v>
      </c>
      <c r="S4620" s="0" t="n">
        <f aca="false">04_回帰ANOVA!$K$19*04_回帰ANOVA!$K$14*SQRT(1+R4620)</f>
        <v>1.17528854591003</v>
      </c>
      <c r="T4620" s="0" t="n">
        <f aca="false">Q4620-S4620</f>
        <v>48.7160608859082</v>
      </c>
      <c r="U4620" s="0" t="n">
        <f aca="false">Q4620+S4620</f>
        <v>51.0666379777282</v>
      </c>
      <c r="V4620" s="54" t="b">
        <f aca="false">AND(D4620&gt;=01_因子設定!$L$5-0.000000001,D4620&lt;=01_因子設定!$M$5+0.000000001,E4620&gt;=01_因子設定!$L$6-0.000000001,E4620&lt;=01_因子設定!$M$6+0.000000001,F4620&gt;=01_因子設定!$L$7-0.000000001,F4620&lt;=01_因子設定!$M$7+0.000000001,IF(01_因子設定!$B$20="Box-Behnken",D4620^2+E4620^2+F4620^2&lt;=2+0.000000001,TRUE()))</f>
        <v>1</v>
      </c>
      <c r="W4620" s="55" t="n">
        <f aca="false">IF(V4620,IF(01_因子設定!$B$13="最大化",T4620-01_因子設定!$B$14,IF(01_因子設定!$B$13="最小化",01_因子設定!$B$15-U4620,MIN(T4620-01_因子設定!$B$14,01_因子設定!$B$15-U4620))),-1E+030)</f>
        <v>0.216060885908149</v>
      </c>
      <c r="X4620" s="55" t="n">
        <f aca="false">IF(V4620,IF(01_因子設定!$B$13="最大化",Q4620,IF(01_因子設定!$B$13="最小化",-Q4620,-ABS(Q4620-01_因子設定!$B$16))),-1E+030)</f>
        <v>49.8913494318182</v>
      </c>
      <c r="Y4620" s="55" t="n">
        <f aca="false">W4620+ROW()*0.000000001</f>
        <v>0.216065505908149</v>
      </c>
      <c r="Z4620" s="55" t="n">
        <f aca="false">X4620+ROW()*0.000000001</f>
        <v>49.8913540518182</v>
      </c>
    </row>
    <row r="4621" customFormat="false" ht="15" hidden="false" customHeight="false" outlineLevel="0" collapsed="false">
      <c r="A4621" s="0" t="n">
        <v>15</v>
      </c>
      <c r="B4621" s="0" t="n">
        <v>16</v>
      </c>
      <c r="C4621" s="0" t="n">
        <v>9</v>
      </c>
      <c r="D4621" s="0" t="n">
        <f aca="false">-1+A4621*0.125</f>
        <v>0.875</v>
      </c>
      <c r="E4621" s="0" t="n">
        <f aca="false">-1+B4621*0.125</f>
        <v>1</v>
      </c>
      <c r="F4621" s="0" t="n">
        <f aca="false">-1+C4621*0.125</f>
        <v>0.125</v>
      </c>
      <c r="G4621" s="0" t="n">
        <f aca="false">1</f>
        <v>1</v>
      </c>
      <c r="H4621" s="0" t="n">
        <f aca="false">D4621</f>
        <v>0.875</v>
      </c>
      <c r="I4621" s="0" t="n">
        <f aca="false">E4621</f>
        <v>1</v>
      </c>
      <c r="J4621" s="0" t="n">
        <f aca="false">F4621</f>
        <v>0.125</v>
      </c>
      <c r="K4621" s="0" t="n">
        <f aca="false">D4621*E4621</f>
        <v>0.875</v>
      </c>
      <c r="L4621" s="0" t="n">
        <f aca="false">D4621*F4621</f>
        <v>0.109375</v>
      </c>
      <c r="M4621" s="0" t="n">
        <f aca="false">E4621*F4621</f>
        <v>0.125</v>
      </c>
      <c r="N4621" s="0" t="n">
        <f aca="false">D4621*D4621</f>
        <v>0.765625</v>
      </c>
      <c r="O4621" s="0" t="n">
        <f aca="false">E4621*E4621</f>
        <v>1</v>
      </c>
      <c r="P4621" s="0" t="n">
        <f aca="false">F4621*F4621</f>
        <v>0.015625</v>
      </c>
      <c r="Q4621" s="0" t="n">
        <f aca="false">SUMPRODUCT(G4621:P4621,_XtX!$B$71:$K$71)</f>
        <v>50.0852982954545</v>
      </c>
      <c r="R4621" s="0" t="n">
        <f aca="false">SUMPRODUCT(MMULT(G4621:P4621,_XtX!$B$58:$K$67),G4621:P4621)</f>
        <v>0.59407792524858</v>
      </c>
      <c r="S4621" s="0" t="n">
        <f aca="false">04_回帰ANOVA!$K$19*04_回帰ANOVA!$K$14*SQRT(1+R4621)</f>
        <v>1.17387380087722</v>
      </c>
      <c r="T4621" s="0" t="n">
        <f aca="false">Q4621-S4621</f>
        <v>48.9114244945773</v>
      </c>
      <c r="U4621" s="0" t="n">
        <f aca="false">Q4621+S4621</f>
        <v>51.2591720963318</v>
      </c>
      <c r="V4621" s="54" t="b">
        <f aca="false">AND(D4621&gt;=01_因子設定!$L$5-0.000000001,D4621&lt;=01_因子設定!$M$5+0.000000001,E4621&gt;=01_因子設定!$L$6-0.000000001,E4621&lt;=01_因子設定!$M$6+0.000000001,F4621&gt;=01_因子設定!$L$7-0.000000001,F4621&lt;=01_因子設定!$M$7+0.000000001,IF(01_因子設定!$B$20="Box-Behnken",D4621^2+E4621^2+F4621^2&lt;=2+0.000000001,TRUE()))</f>
        <v>1</v>
      </c>
      <c r="W4621" s="55" t="n">
        <f aca="false">IF(V4621,IF(01_因子設定!$B$13="最大化",T4621-01_因子設定!$B$14,IF(01_因子設定!$B$13="最小化",01_因子設定!$B$15-U4621,MIN(T4621-01_因子設定!$B$14,01_因子設定!$B$15-U4621))),-1E+030)</f>
        <v>0.411424494577325</v>
      </c>
      <c r="X4621" s="55" t="n">
        <f aca="false">IF(V4621,IF(01_因子設定!$B$13="最大化",Q4621,IF(01_因子設定!$B$13="最小化",-Q4621,-ABS(Q4621-01_因子設定!$B$16))),-1E+030)</f>
        <v>50.0852982954545</v>
      </c>
      <c r="Y4621" s="55" t="n">
        <f aca="false">W4621+ROW()*0.000000001</f>
        <v>0.411429115577325</v>
      </c>
      <c r="Z4621" s="55" t="n">
        <f aca="false">X4621+ROW()*0.000000001</f>
        <v>50.0853029164545</v>
      </c>
    </row>
    <row r="4622" customFormat="false" ht="15" hidden="false" customHeight="false" outlineLevel="0" collapsed="false">
      <c r="A4622" s="0" t="n">
        <v>15</v>
      </c>
      <c r="B4622" s="0" t="n">
        <v>16</v>
      </c>
      <c r="C4622" s="0" t="n">
        <v>10</v>
      </c>
      <c r="D4622" s="0" t="n">
        <f aca="false">-1+A4622*0.125</f>
        <v>0.875</v>
      </c>
      <c r="E4622" s="0" t="n">
        <f aca="false">-1+B4622*0.125</f>
        <v>1</v>
      </c>
      <c r="F4622" s="0" t="n">
        <f aca="false">-1+C4622*0.125</f>
        <v>0.25</v>
      </c>
      <c r="G4622" s="0" t="n">
        <f aca="false">1</f>
        <v>1</v>
      </c>
      <c r="H4622" s="0" t="n">
        <f aca="false">D4622</f>
        <v>0.875</v>
      </c>
      <c r="I4622" s="0" t="n">
        <f aca="false">E4622</f>
        <v>1</v>
      </c>
      <c r="J4622" s="0" t="n">
        <f aca="false">F4622</f>
        <v>0.25</v>
      </c>
      <c r="K4622" s="0" t="n">
        <f aca="false">D4622*E4622</f>
        <v>0.875</v>
      </c>
      <c r="L4622" s="0" t="n">
        <f aca="false">D4622*F4622</f>
        <v>0.21875</v>
      </c>
      <c r="M4622" s="0" t="n">
        <f aca="false">E4622*F4622</f>
        <v>0.25</v>
      </c>
      <c r="N4622" s="0" t="n">
        <f aca="false">D4622*D4622</f>
        <v>0.765625</v>
      </c>
      <c r="O4622" s="0" t="n">
        <f aca="false">E4622*E4622</f>
        <v>1</v>
      </c>
      <c r="P4622" s="0" t="n">
        <f aca="false">F4622*F4622</f>
        <v>0.0625</v>
      </c>
      <c r="Q4622" s="0" t="n">
        <f aca="false">SUMPRODUCT(G4622:P4622,_XtX!$B$71:$K$71)</f>
        <v>50.2424573863636</v>
      </c>
      <c r="R4622" s="0" t="n">
        <f aca="false">SUMPRODUCT(MMULT(G4622:P4622,_XtX!$B$58:$K$67),G4622:P4622)</f>
        <v>0.583609286221591</v>
      </c>
      <c r="S4622" s="0" t="n">
        <f aca="false">04_回帰ANOVA!$K$19*04_回帰ANOVA!$K$14*SQRT(1+R4622)</f>
        <v>1.1700129157584</v>
      </c>
      <c r="T4622" s="0" t="n">
        <f aca="false">Q4622-S4622</f>
        <v>49.0724444706052</v>
      </c>
      <c r="U4622" s="0" t="n">
        <f aca="false">Q4622+S4622</f>
        <v>51.412470302122</v>
      </c>
      <c r="V4622" s="54" t="b">
        <f aca="false">AND(D4622&gt;=01_因子設定!$L$5-0.000000001,D4622&lt;=01_因子設定!$M$5+0.000000001,E4622&gt;=01_因子設定!$L$6-0.000000001,E4622&lt;=01_因子設定!$M$6+0.000000001,F4622&gt;=01_因子設定!$L$7-0.000000001,F4622&lt;=01_因子設定!$M$7+0.000000001,IF(01_因子設定!$B$20="Box-Behnken",D4622^2+E4622^2+F4622^2&lt;=2+0.000000001,TRUE()))</f>
        <v>1</v>
      </c>
      <c r="W4622" s="55" t="n">
        <f aca="false">IF(V4622,IF(01_因子設定!$B$13="最大化",T4622-01_因子設定!$B$14,IF(01_因子設定!$B$13="最小化",01_因子設定!$B$15-U4622,MIN(T4622-01_因子設定!$B$14,01_因子設定!$B$15-U4622))),-1E+030)</f>
        <v>0.572444470605241</v>
      </c>
      <c r="X4622" s="55" t="n">
        <f aca="false">IF(V4622,IF(01_因子設定!$B$13="最大化",Q4622,IF(01_因子設定!$B$13="最小化",-Q4622,-ABS(Q4622-01_因子設定!$B$16))),-1E+030)</f>
        <v>50.2424573863636</v>
      </c>
      <c r="Y4622" s="55" t="n">
        <f aca="false">W4622+ROW()*0.000000001</f>
        <v>0.572449092605241</v>
      </c>
      <c r="Z4622" s="55" t="n">
        <f aca="false">X4622+ROW()*0.000000001</f>
        <v>50.2424620083636</v>
      </c>
    </row>
    <row r="4623" customFormat="false" ht="15" hidden="false" customHeight="false" outlineLevel="0" collapsed="false">
      <c r="A4623" s="0" t="n">
        <v>15</v>
      </c>
      <c r="B4623" s="0" t="n">
        <v>16</v>
      </c>
      <c r="C4623" s="0" t="n">
        <v>11</v>
      </c>
      <c r="D4623" s="0" t="n">
        <f aca="false">-1+A4623*0.125</f>
        <v>0.875</v>
      </c>
      <c r="E4623" s="0" t="n">
        <f aca="false">-1+B4623*0.125</f>
        <v>1</v>
      </c>
      <c r="F4623" s="0" t="n">
        <f aca="false">-1+C4623*0.125</f>
        <v>0.375</v>
      </c>
      <c r="G4623" s="0" t="n">
        <f aca="false">1</f>
        <v>1</v>
      </c>
      <c r="H4623" s="0" t="n">
        <f aca="false">D4623</f>
        <v>0.875</v>
      </c>
      <c r="I4623" s="0" t="n">
        <f aca="false">E4623</f>
        <v>1</v>
      </c>
      <c r="J4623" s="0" t="n">
        <f aca="false">F4623</f>
        <v>0.375</v>
      </c>
      <c r="K4623" s="0" t="n">
        <f aca="false">D4623*E4623</f>
        <v>0.875</v>
      </c>
      <c r="L4623" s="0" t="n">
        <f aca="false">D4623*F4623</f>
        <v>0.328125</v>
      </c>
      <c r="M4623" s="0" t="n">
        <f aca="false">E4623*F4623</f>
        <v>0.375</v>
      </c>
      <c r="N4623" s="0" t="n">
        <f aca="false">D4623*D4623</f>
        <v>0.765625</v>
      </c>
      <c r="O4623" s="0" t="n">
        <f aca="false">E4623*E4623</f>
        <v>1</v>
      </c>
      <c r="P4623" s="0" t="n">
        <f aca="false">F4623*F4623</f>
        <v>0.140625</v>
      </c>
      <c r="Q4623" s="0" t="n">
        <f aca="false">SUMPRODUCT(G4623:P4623,_XtX!$B$71:$K$71)</f>
        <v>50.3628267045455</v>
      </c>
      <c r="R4623" s="0" t="n">
        <f aca="false">SUMPRODUCT(MMULT(G4623:P4623,_XtX!$B$58:$K$67),G4623:P4623)</f>
        <v>0.56971269087358</v>
      </c>
      <c r="S4623" s="0" t="n">
        <f aca="false">04_回帰ANOVA!$K$19*04_回帰ANOVA!$K$14*SQRT(1+R4623)</f>
        <v>1.16486801567081</v>
      </c>
      <c r="T4623" s="0" t="n">
        <f aca="false">Q4623-S4623</f>
        <v>49.1979586888747</v>
      </c>
      <c r="U4623" s="0" t="n">
        <f aca="false">Q4623+S4623</f>
        <v>51.5276947202163</v>
      </c>
      <c r="V4623" s="54" t="b">
        <f aca="false">AND(D4623&gt;=01_因子設定!$L$5-0.000000001,D4623&lt;=01_因子設定!$M$5+0.000000001,E4623&gt;=01_因子設定!$L$6-0.000000001,E4623&lt;=01_因子設定!$M$6+0.000000001,F4623&gt;=01_因子設定!$L$7-0.000000001,F4623&lt;=01_因子設定!$M$7+0.000000001,IF(01_因子設定!$B$20="Box-Behnken",D4623^2+E4623^2+F4623^2&lt;=2+0.000000001,TRUE()))</f>
        <v>1</v>
      </c>
      <c r="W4623" s="55" t="n">
        <f aca="false">IF(V4623,IF(01_因子設定!$B$13="最大化",T4623-01_因子設定!$B$14,IF(01_因子設定!$B$13="最小化",01_因子設定!$B$15-U4623,MIN(T4623-01_因子設定!$B$14,01_因子設定!$B$15-U4623))),-1E+030)</f>
        <v>0.69795868887465</v>
      </c>
      <c r="X4623" s="55" t="n">
        <f aca="false">IF(V4623,IF(01_因子設定!$B$13="最大化",Q4623,IF(01_因子設定!$B$13="最小化",-Q4623,-ABS(Q4623-01_因子設定!$B$16))),-1E+030)</f>
        <v>50.3628267045455</v>
      </c>
      <c r="Y4623" s="55" t="n">
        <f aca="false">W4623+ROW()*0.000000001</f>
        <v>0.69796331187465</v>
      </c>
      <c r="Z4623" s="55" t="n">
        <f aca="false">X4623+ROW()*0.000000001</f>
        <v>50.3628313275455</v>
      </c>
    </row>
    <row r="4624" customFormat="false" ht="15" hidden="false" customHeight="false" outlineLevel="0" collapsed="false">
      <c r="A4624" s="0" t="n">
        <v>15</v>
      </c>
      <c r="B4624" s="0" t="n">
        <v>16</v>
      </c>
      <c r="C4624" s="0" t="n">
        <v>12</v>
      </c>
      <c r="D4624" s="0" t="n">
        <f aca="false">-1+A4624*0.125</f>
        <v>0.875</v>
      </c>
      <c r="E4624" s="0" t="n">
        <f aca="false">-1+B4624*0.125</f>
        <v>1</v>
      </c>
      <c r="F4624" s="0" t="n">
        <f aca="false">-1+C4624*0.125</f>
        <v>0.5</v>
      </c>
      <c r="G4624" s="0" t="n">
        <f aca="false">1</f>
        <v>1</v>
      </c>
      <c r="H4624" s="0" t="n">
        <f aca="false">D4624</f>
        <v>0.875</v>
      </c>
      <c r="I4624" s="0" t="n">
        <f aca="false">E4624</f>
        <v>1</v>
      </c>
      <c r="J4624" s="0" t="n">
        <f aca="false">F4624</f>
        <v>0.5</v>
      </c>
      <c r="K4624" s="0" t="n">
        <f aca="false">D4624*E4624</f>
        <v>0.875</v>
      </c>
      <c r="L4624" s="0" t="n">
        <f aca="false">D4624*F4624</f>
        <v>0.4375</v>
      </c>
      <c r="M4624" s="0" t="n">
        <f aca="false">E4624*F4624</f>
        <v>0.5</v>
      </c>
      <c r="N4624" s="0" t="n">
        <f aca="false">D4624*D4624</f>
        <v>0.765625</v>
      </c>
      <c r="O4624" s="0" t="n">
        <f aca="false">E4624*E4624</f>
        <v>1</v>
      </c>
      <c r="P4624" s="0" t="n">
        <f aca="false">F4624*F4624</f>
        <v>0.25</v>
      </c>
      <c r="Q4624" s="0" t="n">
        <f aca="false">SUMPRODUCT(G4624:P4624,_XtX!$B$71:$K$71)</f>
        <v>50.44640625</v>
      </c>
      <c r="R4624" s="0" t="n">
        <f aca="false">SUMPRODUCT(MMULT(G4624:P4624,_XtX!$B$58:$K$67),G4624:P4624)</f>
        <v>0.55771484375</v>
      </c>
      <c r="S4624" s="0" t="n">
        <f aca="false">04_回帰ANOVA!$K$19*04_回帰ANOVA!$K$14*SQRT(1+R4624)</f>
        <v>1.16040773556467</v>
      </c>
      <c r="T4624" s="0" t="n">
        <f aca="false">Q4624-S4624</f>
        <v>49.2859985144353</v>
      </c>
      <c r="U4624" s="0" t="n">
        <f aca="false">Q4624+S4624</f>
        <v>51.6068139855647</v>
      </c>
      <c r="V4624" s="54" t="b">
        <f aca="false">AND(D4624&gt;=01_因子設定!$L$5-0.000000001,D4624&lt;=01_因子設定!$M$5+0.000000001,E4624&gt;=01_因子設定!$L$6-0.000000001,E4624&lt;=01_因子設定!$M$6+0.000000001,F4624&gt;=01_因子設定!$L$7-0.000000001,F4624&lt;=01_因子設定!$M$7+0.000000001,IF(01_因子設定!$B$20="Box-Behnken",D4624^2+E4624^2+F4624^2&lt;=2+0.000000001,TRUE()))</f>
        <v>1</v>
      </c>
      <c r="W4624" s="55" t="n">
        <f aca="false">IF(V4624,IF(01_因子設定!$B$13="最大化",T4624-01_因子設定!$B$14,IF(01_因子設定!$B$13="最小化",01_因子設定!$B$15-U4624,MIN(T4624-01_因子設定!$B$14,01_因子設定!$B$15-U4624))),-1E+030)</f>
        <v>0.785998514435327</v>
      </c>
      <c r="X4624" s="55" t="n">
        <f aca="false">IF(V4624,IF(01_因子設定!$B$13="最大化",Q4624,IF(01_因子設定!$B$13="最小化",-Q4624,-ABS(Q4624-01_因子設定!$B$16))),-1E+030)</f>
        <v>50.44640625</v>
      </c>
      <c r="Y4624" s="55" t="n">
        <f aca="false">W4624+ROW()*0.000000001</f>
        <v>0.786003138435327</v>
      </c>
      <c r="Z4624" s="55" t="n">
        <f aca="false">X4624+ROW()*0.000000001</f>
        <v>50.446410874</v>
      </c>
    </row>
    <row r="4625" customFormat="false" ht="15" hidden="false" customHeight="false" outlineLevel="0" collapsed="false">
      <c r="A4625" s="0" t="n">
        <v>15</v>
      </c>
      <c r="B4625" s="0" t="n">
        <v>16</v>
      </c>
      <c r="C4625" s="0" t="n">
        <v>13</v>
      </c>
      <c r="D4625" s="0" t="n">
        <f aca="false">-1+A4625*0.125</f>
        <v>0.875</v>
      </c>
      <c r="E4625" s="0" t="n">
        <f aca="false">-1+B4625*0.125</f>
        <v>1</v>
      </c>
      <c r="F4625" s="0" t="n">
        <f aca="false">-1+C4625*0.125</f>
        <v>0.625</v>
      </c>
      <c r="G4625" s="0" t="n">
        <f aca="false">1</f>
        <v>1</v>
      </c>
      <c r="H4625" s="0" t="n">
        <f aca="false">D4625</f>
        <v>0.875</v>
      </c>
      <c r="I4625" s="0" t="n">
        <f aca="false">E4625</f>
        <v>1</v>
      </c>
      <c r="J4625" s="0" t="n">
        <f aca="false">F4625</f>
        <v>0.625</v>
      </c>
      <c r="K4625" s="0" t="n">
        <f aca="false">D4625*E4625</f>
        <v>0.875</v>
      </c>
      <c r="L4625" s="0" t="n">
        <f aca="false">D4625*F4625</f>
        <v>0.546875</v>
      </c>
      <c r="M4625" s="0" t="n">
        <f aca="false">E4625*F4625</f>
        <v>0.625</v>
      </c>
      <c r="N4625" s="0" t="n">
        <f aca="false">D4625*D4625</f>
        <v>0.765625</v>
      </c>
      <c r="O4625" s="0" t="n">
        <f aca="false">E4625*E4625</f>
        <v>1</v>
      </c>
      <c r="P4625" s="0" t="n">
        <f aca="false">F4625*F4625</f>
        <v>0.390625</v>
      </c>
      <c r="Q4625" s="0" t="n">
        <f aca="false">SUMPRODUCT(G4625:P4625,_XtX!$B$71:$K$71)</f>
        <v>50.4931960227273</v>
      </c>
      <c r="R4625" s="0" t="n">
        <f aca="false">SUMPRODUCT(MMULT(G4625:P4625,_XtX!$B$58:$K$67),G4625:P4625)</f>
        <v>0.555073131214489</v>
      </c>
      <c r="S4625" s="0" t="n">
        <f aca="false">04_回帰ANOVA!$K$19*04_回帰ANOVA!$K$14*SQRT(1+R4625)</f>
        <v>1.15942335628341</v>
      </c>
      <c r="T4625" s="0" t="n">
        <f aca="false">Q4625-S4625</f>
        <v>49.3337726664439</v>
      </c>
      <c r="U4625" s="0" t="n">
        <f aca="false">Q4625+S4625</f>
        <v>51.6526193790107</v>
      </c>
      <c r="V4625" s="54" t="b">
        <f aca="false">AND(D4625&gt;=01_因子設定!$L$5-0.000000001,D4625&lt;=01_因子設定!$M$5+0.000000001,E4625&gt;=01_因子設定!$L$6-0.000000001,E4625&lt;=01_因子設定!$M$6+0.000000001,F4625&gt;=01_因子設定!$L$7-0.000000001,F4625&lt;=01_因子設定!$M$7+0.000000001,IF(01_因子設定!$B$20="Box-Behnken",D4625^2+E4625^2+F4625^2&lt;=2+0.000000001,TRUE()))</f>
        <v>1</v>
      </c>
      <c r="W4625" s="55" t="n">
        <f aca="false">IF(V4625,IF(01_因子設定!$B$13="最大化",T4625-01_因子設定!$B$14,IF(01_因子設定!$B$13="最小化",01_因子設定!$B$15-U4625,MIN(T4625-01_因子設定!$B$14,01_因子設定!$B$15-U4625))),-1E+030)</f>
        <v>0.833772666443871</v>
      </c>
      <c r="X4625" s="55" t="n">
        <f aca="false">IF(V4625,IF(01_因子設定!$B$13="最大化",Q4625,IF(01_因子設定!$B$13="最小化",-Q4625,-ABS(Q4625-01_因子設定!$B$16))),-1E+030)</f>
        <v>50.4931960227273</v>
      </c>
      <c r="Y4625" s="55" t="n">
        <f aca="false">W4625+ROW()*0.000000001</f>
        <v>0.833777291443871</v>
      </c>
      <c r="Z4625" s="55" t="n">
        <f aca="false">X4625+ROW()*0.000000001</f>
        <v>50.4932006477273</v>
      </c>
    </row>
    <row r="4626" customFormat="false" ht="15" hidden="false" customHeight="false" outlineLevel="0" collapsed="false">
      <c r="A4626" s="0" t="n">
        <v>15</v>
      </c>
      <c r="B4626" s="0" t="n">
        <v>16</v>
      </c>
      <c r="C4626" s="0" t="n">
        <v>14</v>
      </c>
      <c r="D4626" s="0" t="n">
        <f aca="false">-1+A4626*0.125</f>
        <v>0.875</v>
      </c>
      <c r="E4626" s="0" t="n">
        <f aca="false">-1+B4626*0.125</f>
        <v>1</v>
      </c>
      <c r="F4626" s="0" t="n">
        <f aca="false">-1+C4626*0.125</f>
        <v>0.75</v>
      </c>
      <c r="G4626" s="0" t="n">
        <f aca="false">1</f>
        <v>1</v>
      </c>
      <c r="H4626" s="0" t="n">
        <f aca="false">D4626</f>
        <v>0.875</v>
      </c>
      <c r="I4626" s="0" t="n">
        <f aca="false">E4626</f>
        <v>1</v>
      </c>
      <c r="J4626" s="0" t="n">
        <f aca="false">F4626</f>
        <v>0.75</v>
      </c>
      <c r="K4626" s="0" t="n">
        <f aca="false">D4626*E4626</f>
        <v>0.875</v>
      </c>
      <c r="L4626" s="0" t="n">
        <f aca="false">D4626*F4626</f>
        <v>0.65625</v>
      </c>
      <c r="M4626" s="0" t="n">
        <f aca="false">E4626*F4626</f>
        <v>0.75</v>
      </c>
      <c r="N4626" s="0" t="n">
        <f aca="false">D4626*D4626</f>
        <v>0.765625</v>
      </c>
      <c r="O4626" s="0" t="n">
        <f aca="false">E4626*E4626</f>
        <v>1</v>
      </c>
      <c r="P4626" s="0" t="n">
        <f aca="false">F4626*F4626</f>
        <v>0.5625</v>
      </c>
      <c r="Q4626" s="0" t="n">
        <f aca="false">SUMPRODUCT(G4626:P4626,_XtX!$B$71:$K$71)</f>
        <v>50.5031960227273</v>
      </c>
      <c r="R4626" s="0" t="n">
        <f aca="false">SUMPRODUCT(MMULT(G4626:P4626,_XtX!$B$58:$K$67),G4626:P4626)</f>
        <v>0.571375621448864</v>
      </c>
      <c r="S4626" s="0" t="n">
        <f aca="false">04_回帰ANOVA!$K$19*04_回帰ANOVA!$K$14*SQRT(1+R4626)</f>
        <v>1.16548487437682</v>
      </c>
      <c r="T4626" s="0" t="n">
        <f aca="false">Q4626-S4626</f>
        <v>49.3377111483505</v>
      </c>
      <c r="U4626" s="0" t="n">
        <f aca="false">Q4626+S4626</f>
        <v>51.6686808971041</v>
      </c>
      <c r="V4626" s="54" t="b">
        <f aca="false">AND(D4626&gt;=01_因子設定!$L$5-0.000000001,D4626&lt;=01_因子設定!$M$5+0.000000001,E4626&gt;=01_因子設定!$L$6-0.000000001,E4626&lt;=01_因子設定!$M$6+0.000000001,F4626&gt;=01_因子設定!$L$7-0.000000001,F4626&lt;=01_因子設定!$M$7+0.000000001,IF(01_因子設定!$B$20="Box-Behnken",D4626^2+E4626^2+F4626^2&lt;=2+0.000000001,TRUE()))</f>
        <v>1</v>
      </c>
      <c r="W4626" s="55" t="n">
        <f aca="false">IF(V4626,IF(01_因子設定!$B$13="最大化",T4626-01_因子設定!$B$14,IF(01_因子設定!$B$13="最小化",01_因子設定!$B$15-U4626,MIN(T4626-01_因子設定!$B$14,01_因子設定!$B$15-U4626))),-1E+030)</f>
        <v>0.837711148350465</v>
      </c>
      <c r="X4626" s="55" t="n">
        <f aca="false">IF(V4626,IF(01_因子設定!$B$13="最大化",Q4626,IF(01_因子設定!$B$13="最小化",-Q4626,-ABS(Q4626-01_因子設定!$B$16))),-1E+030)</f>
        <v>50.5031960227273</v>
      </c>
      <c r="Y4626" s="55" t="n">
        <f aca="false">W4626+ROW()*0.000000001</f>
        <v>0.837715774350465</v>
      </c>
      <c r="Z4626" s="55" t="n">
        <f aca="false">X4626+ROW()*0.000000001</f>
        <v>50.5032006487273</v>
      </c>
    </row>
    <row r="4627" customFormat="false" ht="15" hidden="false" customHeight="false" outlineLevel="0" collapsed="false">
      <c r="A4627" s="0" t="n">
        <v>15</v>
      </c>
      <c r="B4627" s="0" t="n">
        <v>16</v>
      </c>
      <c r="C4627" s="0" t="n">
        <v>15</v>
      </c>
      <c r="D4627" s="0" t="n">
        <f aca="false">-1+A4627*0.125</f>
        <v>0.875</v>
      </c>
      <c r="E4627" s="0" t="n">
        <f aca="false">-1+B4627*0.125</f>
        <v>1</v>
      </c>
      <c r="F4627" s="0" t="n">
        <f aca="false">-1+C4627*0.125</f>
        <v>0.875</v>
      </c>
      <c r="G4627" s="0" t="n">
        <f aca="false">1</f>
        <v>1</v>
      </c>
      <c r="H4627" s="0" t="n">
        <f aca="false">D4627</f>
        <v>0.875</v>
      </c>
      <c r="I4627" s="0" t="n">
        <f aca="false">E4627</f>
        <v>1</v>
      </c>
      <c r="J4627" s="0" t="n">
        <f aca="false">F4627</f>
        <v>0.875</v>
      </c>
      <c r="K4627" s="0" t="n">
        <f aca="false">D4627*E4627</f>
        <v>0.875</v>
      </c>
      <c r="L4627" s="0" t="n">
        <f aca="false">D4627*F4627</f>
        <v>0.765625</v>
      </c>
      <c r="M4627" s="0" t="n">
        <f aca="false">E4627*F4627</f>
        <v>0.875</v>
      </c>
      <c r="N4627" s="0" t="n">
        <f aca="false">D4627*D4627</f>
        <v>0.765625</v>
      </c>
      <c r="O4627" s="0" t="n">
        <f aca="false">E4627*E4627</f>
        <v>1</v>
      </c>
      <c r="P4627" s="0" t="n">
        <f aca="false">F4627*F4627</f>
        <v>0.765625</v>
      </c>
      <c r="Q4627" s="0" t="n">
        <f aca="false">SUMPRODUCT(G4627:P4627,_XtX!$B$71:$K$71)</f>
        <v>50.47640625</v>
      </c>
      <c r="R4627" s="0" t="n">
        <f aca="false">SUMPRODUCT(MMULT(G4627:P4627,_XtX!$B$58:$K$67),G4627:P4627)</f>
        <v>0.618341064453125</v>
      </c>
      <c r="S4627" s="0" t="n">
        <f aca="false">04_回帰ANOVA!$K$19*04_回帰ANOVA!$K$14*SQRT(1+R4627)</f>
        <v>1.18277371124466</v>
      </c>
      <c r="T4627" s="0" t="n">
        <f aca="false">Q4627-S4627</f>
        <v>49.2936325387554</v>
      </c>
      <c r="U4627" s="0" t="n">
        <f aca="false">Q4627+S4627</f>
        <v>51.6591799612447</v>
      </c>
      <c r="V4627" s="54" t="b">
        <f aca="false">AND(D4627&gt;=01_因子設定!$L$5-0.000000001,D4627&lt;=01_因子設定!$M$5+0.000000001,E4627&gt;=01_因子設定!$L$6-0.000000001,E4627&lt;=01_因子設定!$M$6+0.000000001,F4627&gt;=01_因子設定!$L$7-0.000000001,F4627&lt;=01_因子設定!$M$7+0.000000001,IF(01_因子設定!$B$20="Box-Behnken",D4627^2+E4627^2+F4627^2&lt;=2+0.000000001,TRUE()))</f>
        <v>1</v>
      </c>
      <c r="W4627" s="55" t="n">
        <f aca="false">IF(V4627,IF(01_因子設定!$B$13="最大化",T4627-01_因子設定!$B$14,IF(01_因子設定!$B$13="最小化",01_因子設定!$B$15-U4627,MIN(T4627-01_因子設定!$B$14,01_因子設定!$B$15-U4627))),-1E+030)</f>
        <v>0.793632538755347</v>
      </c>
      <c r="X4627" s="55" t="n">
        <f aca="false">IF(V4627,IF(01_因子設定!$B$13="最大化",Q4627,IF(01_因子設定!$B$13="最小化",-Q4627,-ABS(Q4627-01_因子設定!$B$16))),-1E+030)</f>
        <v>50.47640625</v>
      </c>
      <c r="Y4627" s="55" t="n">
        <f aca="false">W4627+ROW()*0.000000001</f>
        <v>0.793637165755347</v>
      </c>
      <c r="Z4627" s="55" t="n">
        <f aca="false">X4627+ROW()*0.000000001</f>
        <v>50.476410877</v>
      </c>
    </row>
    <row r="4628" customFormat="false" ht="15" hidden="false" customHeight="false" outlineLevel="0" collapsed="false">
      <c r="A4628" s="0" t="n">
        <v>15</v>
      </c>
      <c r="B4628" s="0" t="n">
        <v>16</v>
      </c>
      <c r="C4628" s="0" t="n">
        <v>16</v>
      </c>
      <c r="D4628" s="0" t="n">
        <f aca="false">-1+A4628*0.125</f>
        <v>0.875</v>
      </c>
      <c r="E4628" s="0" t="n">
        <f aca="false">-1+B4628*0.125</f>
        <v>1</v>
      </c>
      <c r="F4628" s="0" t="n">
        <f aca="false">-1+C4628*0.125</f>
        <v>1</v>
      </c>
      <c r="G4628" s="0" t="n">
        <f aca="false">1</f>
        <v>1</v>
      </c>
      <c r="H4628" s="0" t="n">
        <f aca="false">D4628</f>
        <v>0.875</v>
      </c>
      <c r="I4628" s="0" t="n">
        <f aca="false">E4628</f>
        <v>1</v>
      </c>
      <c r="J4628" s="0" t="n">
        <f aca="false">F4628</f>
        <v>1</v>
      </c>
      <c r="K4628" s="0" t="n">
        <f aca="false">D4628*E4628</f>
        <v>0.875</v>
      </c>
      <c r="L4628" s="0" t="n">
        <f aca="false">D4628*F4628</f>
        <v>0.875</v>
      </c>
      <c r="M4628" s="0" t="n">
        <f aca="false">E4628*F4628</f>
        <v>1</v>
      </c>
      <c r="N4628" s="0" t="n">
        <f aca="false">D4628*D4628</f>
        <v>0.765625</v>
      </c>
      <c r="O4628" s="0" t="n">
        <f aca="false">E4628*E4628</f>
        <v>1</v>
      </c>
      <c r="P4628" s="0" t="n">
        <f aca="false">F4628*F4628</f>
        <v>1</v>
      </c>
      <c r="Q4628" s="0" t="n">
        <f aca="false">SUMPRODUCT(G4628:P4628,_XtX!$B$71:$K$71)</f>
        <v>50.4128267045455</v>
      </c>
      <c r="R4628" s="0" t="n">
        <f aca="false">SUMPRODUCT(MMULT(G4628:P4628,_XtX!$B$58:$K$67),G4628:P4628)</f>
        <v>0.709818892045455</v>
      </c>
      <c r="S4628" s="0" t="n">
        <f aca="false">04_回帰ANOVA!$K$19*04_回帰ANOVA!$K$14*SQRT(1+R4628)</f>
        <v>1.21574275944458</v>
      </c>
      <c r="T4628" s="0" t="n">
        <f aca="false">Q4628-S4628</f>
        <v>49.1970839451009</v>
      </c>
      <c r="U4628" s="0" t="n">
        <f aca="false">Q4628+S4628</f>
        <v>51.6285694639901</v>
      </c>
      <c r="V4628" s="54" t="b">
        <f aca="false">AND(D4628&gt;=01_因子設定!$L$5-0.000000001,D4628&lt;=01_因子設定!$M$5+0.000000001,E4628&gt;=01_因子設定!$L$6-0.000000001,E4628&lt;=01_因子設定!$M$6+0.000000001,F4628&gt;=01_因子設定!$L$7-0.000000001,F4628&lt;=01_因子設定!$M$7+0.000000001,IF(01_因子設定!$B$20="Box-Behnken",D4628^2+E4628^2+F4628^2&lt;=2+0.000000001,TRUE()))</f>
        <v>1</v>
      </c>
      <c r="W4628" s="55" t="n">
        <f aca="false">IF(V4628,IF(01_因子設定!$B$13="最大化",T4628-01_因子設定!$B$14,IF(01_因子設定!$B$13="最小化",01_因子設定!$B$15-U4628,MIN(T4628-01_因子設定!$B$14,01_因子設定!$B$15-U4628))),-1E+030)</f>
        <v>0.697083945100893</v>
      </c>
      <c r="X4628" s="55" t="n">
        <f aca="false">IF(V4628,IF(01_因子設定!$B$13="最大化",Q4628,IF(01_因子設定!$B$13="最小化",-Q4628,-ABS(Q4628-01_因子設定!$B$16))),-1E+030)</f>
        <v>50.4128267045455</v>
      </c>
      <c r="Y4628" s="55" t="n">
        <f aca="false">W4628+ROW()*0.000000001</f>
        <v>0.697088573100893</v>
      </c>
      <c r="Z4628" s="55" t="n">
        <f aca="false">X4628+ROW()*0.000000001</f>
        <v>50.4128313325455</v>
      </c>
    </row>
    <row r="4629" customFormat="false" ht="15" hidden="false" customHeight="false" outlineLevel="0" collapsed="false">
      <c r="A4629" s="0" t="n">
        <v>16</v>
      </c>
      <c r="B4629" s="0" t="n">
        <v>0</v>
      </c>
      <c r="C4629" s="0" t="n">
        <v>0</v>
      </c>
      <c r="D4629" s="0" t="n">
        <f aca="false">-1+A4629*0.125</f>
        <v>1</v>
      </c>
      <c r="E4629" s="0" t="n">
        <f aca="false">-1+B4629*0.125</f>
        <v>-1</v>
      </c>
      <c r="F4629" s="0" t="n">
        <f aca="false">-1+C4629*0.125</f>
        <v>-1</v>
      </c>
      <c r="G4629" s="0" t="n">
        <f aca="false">1</f>
        <v>1</v>
      </c>
      <c r="H4629" s="0" t="n">
        <f aca="false">D4629</f>
        <v>1</v>
      </c>
      <c r="I4629" s="0" t="n">
        <f aca="false">E4629</f>
        <v>-1</v>
      </c>
      <c r="J4629" s="0" t="n">
        <f aca="false">F4629</f>
        <v>-1</v>
      </c>
      <c r="K4629" s="0" t="n">
        <f aca="false">D4629*E4629</f>
        <v>-1</v>
      </c>
      <c r="L4629" s="0" t="n">
        <f aca="false">D4629*F4629</f>
        <v>-1</v>
      </c>
      <c r="M4629" s="0" t="n">
        <f aca="false">E4629*F4629</f>
        <v>1</v>
      </c>
      <c r="N4629" s="0" t="n">
        <f aca="false">D4629*D4629</f>
        <v>1</v>
      </c>
      <c r="O4629" s="0" t="n">
        <f aca="false">E4629*E4629</f>
        <v>1</v>
      </c>
      <c r="P4629" s="0" t="n">
        <f aca="false">F4629*F4629</f>
        <v>1</v>
      </c>
      <c r="Q4629" s="0" t="n">
        <f aca="false">SUMPRODUCT(G4629:P4629,_XtX!$B$71:$K$71)</f>
        <v>41.2440909090909</v>
      </c>
      <c r="R4629" s="0" t="n">
        <f aca="false">SUMPRODUCT(MMULT(G4629:P4629,_XtX!$B$58:$K$67),G4629:P4629)</f>
        <v>0.793181818181818</v>
      </c>
      <c r="S4629" s="0" t="n">
        <f aca="false">04_回帰ANOVA!$K$19*04_回帰ANOVA!$K$14*SQRT(1+R4629)</f>
        <v>1.24502708501444</v>
      </c>
      <c r="T4629" s="0" t="n">
        <f aca="false">Q4629-S4629</f>
        <v>39.9990638240765</v>
      </c>
      <c r="U4629" s="0" t="n">
        <f aca="false">Q4629+S4629</f>
        <v>42.4891179941054</v>
      </c>
      <c r="V4629" s="54" t="b">
        <f aca="false">AND(D4629&gt;=01_因子設定!$L$5-0.000000001,D4629&lt;=01_因子設定!$M$5+0.000000001,E4629&gt;=01_因子設定!$L$6-0.000000001,E4629&lt;=01_因子設定!$M$6+0.000000001,F4629&gt;=01_因子設定!$L$7-0.000000001,F4629&lt;=01_因子設定!$M$7+0.000000001,IF(01_因子設定!$B$20="Box-Behnken",D4629^2+E4629^2+F4629^2&lt;=2+0.000000001,TRUE()))</f>
        <v>1</v>
      </c>
      <c r="W4629" s="55" t="n">
        <f aca="false">IF(V4629,IF(01_因子設定!$B$13="最大化",T4629-01_因子設定!$B$14,IF(01_因子設定!$B$13="最小化",01_因子設定!$B$15-U4629,MIN(T4629-01_因子設定!$B$14,01_因子設定!$B$15-U4629))),-1E+030)</f>
        <v>-8.50093617592352</v>
      </c>
      <c r="X4629" s="55" t="n">
        <f aca="false">IF(V4629,IF(01_因子設定!$B$13="最大化",Q4629,IF(01_因子設定!$B$13="最小化",-Q4629,-ABS(Q4629-01_因子設定!$B$16))),-1E+030)</f>
        <v>41.2440909090909</v>
      </c>
      <c r="Y4629" s="55" t="n">
        <f aca="false">W4629+ROW()*0.000000001</f>
        <v>-8.50093154692352</v>
      </c>
      <c r="Z4629" s="55" t="n">
        <f aca="false">X4629+ROW()*0.000000001</f>
        <v>41.2440955380909</v>
      </c>
    </row>
    <row r="4630" customFormat="false" ht="15" hidden="false" customHeight="false" outlineLevel="0" collapsed="false">
      <c r="A4630" s="0" t="n">
        <v>16</v>
      </c>
      <c r="B4630" s="0" t="n">
        <v>0</v>
      </c>
      <c r="C4630" s="0" t="n">
        <v>1</v>
      </c>
      <c r="D4630" s="0" t="n">
        <f aca="false">-1+A4630*0.125</f>
        <v>1</v>
      </c>
      <c r="E4630" s="0" t="n">
        <f aca="false">-1+B4630*0.125</f>
        <v>-1</v>
      </c>
      <c r="F4630" s="0" t="n">
        <f aca="false">-1+C4630*0.125</f>
        <v>-0.875</v>
      </c>
      <c r="G4630" s="0" t="n">
        <f aca="false">1</f>
        <v>1</v>
      </c>
      <c r="H4630" s="0" t="n">
        <f aca="false">D4630</f>
        <v>1</v>
      </c>
      <c r="I4630" s="0" t="n">
        <f aca="false">E4630</f>
        <v>-1</v>
      </c>
      <c r="J4630" s="0" t="n">
        <f aca="false">F4630</f>
        <v>-0.875</v>
      </c>
      <c r="K4630" s="0" t="n">
        <f aca="false">D4630*E4630</f>
        <v>-1</v>
      </c>
      <c r="L4630" s="0" t="n">
        <f aca="false">D4630*F4630</f>
        <v>-0.875</v>
      </c>
      <c r="M4630" s="0" t="n">
        <f aca="false">E4630*F4630</f>
        <v>0.875</v>
      </c>
      <c r="N4630" s="0" t="n">
        <f aca="false">D4630*D4630</f>
        <v>1</v>
      </c>
      <c r="O4630" s="0" t="n">
        <f aca="false">E4630*E4630</f>
        <v>1</v>
      </c>
      <c r="P4630" s="0" t="n">
        <f aca="false">F4630*F4630</f>
        <v>0.765625</v>
      </c>
      <c r="Q4630" s="0" t="n">
        <f aca="false">SUMPRODUCT(G4630:P4630,_XtX!$B$71:$K$71)</f>
        <v>41.6175142045455</v>
      </c>
      <c r="R4630" s="0" t="n">
        <f aca="false">SUMPRODUCT(MMULT(G4630:P4630,_XtX!$B$58:$K$67),G4630:P4630)</f>
        <v>0.709818892045455</v>
      </c>
      <c r="S4630" s="0" t="n">
        <f aca="false">04_回帰ANOVA!$K$19*04_回帰ANOVA!$K$14*SQRT(1+R4630)</f>
        <v>1.21574275944458</v>
      </c>
      <c r="T4630" s="0" t="n">
        <f aca="false">Q4630-S4630</f>
        <v>40.4017714451009</v>
      </c>
      <c r="U4630" s="0" t="n">
        <f aca="false">Q4630+S4630</f>
        <v>42.83325696399</v>
      </c>
      <c r="V4630" s="54" t="b">
        <f aca="false">AND(D4630&gt;=01_因子設定!$L$5-0.000000001,D4630&lt;=01_因子設定!$M$5+0.000000001,E4630&gt;=01_因子設定!$L$6-0.000000001,E4630&lt;=01_因子設定!$M$6+0.000000001,F4630&gt;=01_因子設定!$L$7-0.000000001,F4630&lt;=01_因子設定!$M$7+0.000000001,IF(01_因子設定!$B$20="Box-Behnken",D4630^2+E4630^2+F4630^2&lt;=2+0.000000001,TRUE()))</f>
        <v>1</v>
      </c>
      <c r="W4630" s="55" t="n">
        <f aca="false">IF(V4630,IF(01_因子設定!$B$13="最大化",T4630-01_因子設定!$B$14,IF(01_因子設定!$B$13="最小化",01_因子設定!$B$15-U4630,MIN(T4630-01_因子設定!$B$14,01_因子設定!$B$15-U4630))),-1E+030)</f>
        <v>-8.09822855489912</v>
      </c>
      <c r="X4630" s="55" t="n">
        <f aca="false">IF(V4630,IF(01_因子設定!$B$13="最大化",Q4630,IF(01_因子設定!$B$13="最小化",-Q4630,-ABS(Q4630-01_因子設定!$B$16))),-1E+030)</f>
        <v>41.6175142045455</v>
      </c>
      <c r="Y4630" s="55" t="n">
        <f aca="false">W4630+ROW()*0.000000001</f>
        <v>-8.09822392489912</v>
      </c>
      <c r="Z4630" s="55" t="n">
        <f aca="false">X4630+ROW()*0.000000001</f>
        <v>41.6175188345455</v>
      </c>
    </row>
    <row r="4631" customFormat="false" ht="15" hidden="false" customHeight="false" outlineLevel="0" collapsed="false">
      <c r="A4631" s="0" t="n">
        <v>16</v>
      </c>
      <c r="B4631" s="0" t="n">
        <v>0</v>
      </c>
      <c r="C4631" s="0" t="n">
        <v>2</v>
      </c>
      <c r="D4631" s="0" t="n">
        <f aca="false">-1+A4631*0.125</f>
        <v>1</v>
      </c>
      <c r="E4631" s="0" t="n">
        <f aca="false">-1+B4631*0.125</f>
        <v>-1</v>
      </c>
      <c r="F4631" s="0" t="n">
        <f aca="false">-1+C4631*0.125</f>
        <v>-0.75</v>
      </c>
      <c r="G4631" s="0" t="n">
        <f aca="false">1</f>
        <v>1</v>
      </c>
      <c r="H4631" s="0" t="n">
        <f aca="false">D4631</f>
        <v>1</v>
      </c>
      <c r="I4631" s="0" t="n">
        <f aca="false">E4631</f>
        <v>-1</v>
      </c>
      <c r="J4631" s="0" t="n">
        <f aca="false">F4631</f>
        <v>-0.75</v>
      </c>
      <c r="K4631" s="0" t="n">
        <f aca="false">D4631*E4631</f>
        <v>-1</v>
      </c>
      <c r="L4631" s="0" t="n">
        <f aca="false">D4631*F4631</f>
        <v>-0.75</v>
      </c>
      <c r="M4631" s="0" t="n">
        <f aca="false">E4631*F4631</f>
        <v>0.75</v>
      </c>
      <c r="N4631" s="0" t="n">
        <f aca="false">D4631*D4631</f>
        <v>1</v>
      </c>
      <c r="O4631" s="0" t="n">
        <f aca="false">E4631*E4631</f>
        <v>1</v>
      </c>
      <c r="P4631" s="0" t="n">
        <f aca="false">F4631*F4631</f>
        <v>0.5625</v>
      </c>
      <c r="Q4631" s="0" t="n">
        <f aca="false">SUMPRODUCT(G4631:P4631,_XtX!$B$71:$K$71)</f>
        <v>41.9541477272727</v>
      </c>
      <c r="R4631" s="0" t="n">
        <f aca="false">SUMPRODUCT(MMULT(G4631:P4631,_XtX!$B$58:$K$67),G4631:P4631)</f>
        <v>0.669886363636364</v>
      </c>
      <c r="S4631" s="0" t="n">
        <f aca="false">04_回帰ANOVA!$K$19*04_回帰ANOVA!$K$14*SQRT(1+R4631)</f>
        <v>1.20146215423986</v>
      </c>
      <c r="T4631" s="0" t="n">
        <f aca="false">Q4631-S4631</f>
        <v>40.7526855730329</v>
      </c>
      <c r="U4631" s="0" t="n">
        <f aca="false">Q4631+S4631</f>
        <v>43.1556098815126</v>
      </c>
      <c r="V4631" s="54" t="b">
        <f aca="false">AND(D4631&gt;=01_因子設定!$L$5-0.000000001,D4631&lt;=01_因子設定!$M$5+0.000000001,E4631&gt;=01_因子設定!$L$6-0.000000001,E4631&lt;=01_因子設定!$M$6+0.000000001,F4631&gt;=01_因子設定!$L$7-0.000000001,F4631&lt;=01_因子設定!$M$7+0.000000001,IF(01_因子設定!$B$20="Box-Behnken",D4631^2+E4631^2+F4631^2&lt;=2+0.000000001,TRUE()))</f>
        <v>1</v>
      </c>
      <c r="W4631" s="55" t="n">
        <f aca="false">IF(V4631,IF(01_因子設定!$B$13="最大化",T4631-01_因子設定!$B$14,IF(01_因子設定!$B$13="最小化",01_因子設定!$B$15-U4631,MIN(T4631-01_因子設定!$B$14,01_因子設定!$B$15-U4631))),-1E+030)</f>
        <v>-7.74731442696713</v>
      </c>
      <c r="X4631" s="55" t="n">
        <f aca="false">IF(V4631,IF(01_因子設定!$B$13="最大化",Q4631,IF(01_因子設定!$B$13="最小化",-Q4631,-ABS(Q4631-01_因子設定!$B$16))),-1E+030)</f>
        <v>41.9541477272727</v>
      </c>
      <c r="Y4631" s="55" t="n">
        <f aca="false">W4631+ROW()*0.000000001</f>
        <v>-7.74730979596713</v>
      </c>
      <c r="Z4631" s="55" t="n">
        <f aca="false">X4631+ROW()*0.000000001</f>
        <v>41.9541523582727</v>
      </c>
    </row>
    <row r="4632" customFormat="false" ht="15" hidden="false" customHeight="false" outlineLevel="0" collapsed="false">
      <c r="A4632" s="0" t="n">
        <v>16</v>
      </c>
      <c r="B4632" s="0" t="n">
        <v>0</v>
      </c>
      <c r="C4632" s="0" t="n">
        <v>3</v>
      </c>
      <c r="D4632" s="0" t="n">
        <f aca="false">-1+A4632*0.125</f>
        <v>1</v>
      </c>
      <c r="E4632" s="0" t="n">
        <f aca="false">-1+B4632*0.125</f>
        <v>-1</v>
      </c>
      <c r="F4632" s="0" t="n">
        <f aca="false">-1+C4632*0.125</f>
        <v>-0.625</v>
      </c>
      <c r="G4632" s="0" t="n">
        <f aca="false">1</f>
        <v>1</v>
      </c>
      <c r="H4632" s="0" t="n">
        <f aca="false">D4632</f>
        <v>1</v>
      </c>
      <c r="I4632" s="0" t="n">
        <f aca="false">E4632</f>
        <v>-1</v>
      </c>
      <c r="J4632" s="0" t="n">
        <f aca="false">F4632</f>
        <v>-0.625</v>
      </c>
      <c r="K4632" s="0" t="n">
        <f aca="false">D4632*E4632</f>
        <v>-1</v>
      </c>
      <c r="L4632" s="0" t="n">
        <f aca="false">D4632*F4632</f>
        <v>-0.625</v>
      </c>
      <c r="M4632" s="0" t="n">
        <f aca="false">E4632*F4632</f>
        <v>0.625</v>
      </c>
      <c r="N4632" s="0" t="n">
        <f aca="false">D4632*D4632</f>
        <v>1</v>
      </c>
      <c r="O4632" s="0" t="n">
        <f aca="false">E4632*E4632</f>
        <v>1</v>
      </c>
      <c r="P4632" s="0" t="n">
        <f aca="false">F4632*F4632</f>
        <v>0.390625</v>
      </c>
      <c r="Q4632" s="0" t="n">
        <f aca="false">SUMPRODUCT(G4632:P4632,_XtX!$B$71:$K$71)</f>
        <v>42.2539914772727</v>
      </c>
      <c r="R4632" s="0" t="n">
        <f aca="false">SUMPRODUCT(MMULT(G4632:P4632,_XtX!$B$58:$K$67),G4632:P4632)</f>
        <v>0.659534801136364</v>
      </c>
      <c r="S4632" s="0" t="n">
        <f aca="false">04_回帰ANOVA!$K$19*04_回帰ANOVA!$K$14*SQRT(1+R4632)</f>
        <v>1.19773245593097</v>
      </c>
      <c r="T4632" s="0" t="n">
        <f aca="false">Q4632-S4632</f>
        <v>41.0562590213418</v>
      </c>
      <c r="U4632" s="0" t="n">
        <f aca="false">Q4632+S4632</f>
        <v>43.4517239332037</v>
      </c>
      <c r="V4632" s="54" t="b">
        <f aca="false">AND(D4632&gt;=01_因子設定!$L$5-0.000000001,D4632&lt;=01_因子設定!$M$5+0.000000001,E4632&gt;=01_因子設定!$L$6-0.000000001,E4632&lt;=01_因子設定!$M$6+0.000000001,F4632&gt;=01_因子設定!$L$7-0.000000001,F4632&lt;=01_因子設定!$M$7+0.000000001,IF(01_因子設定!$B$20="Box-Behnken",D4632^2+E4632^2+F4632^2&lt;=2+0.000000001,TRUE()))</f>
        <v>1</v>
      </c>
      <c r="W4632" s="55" t="n">
        <f aca="false">IF(V4632,IF(01_因子設定!$B$13="最大化",T4632-01_因子設定!$B$14,IF(01_因子設定!$B$13="最小化",01_因子設定!$B$15-U4632,MIN(T4632-01_因子設定!$B$14,01_因子設定!$B$15-U4632))),-1E+030)</f>
        <v>-7.44374097865824</v>
      </c>
      <c r="X4632" s="55" t="n">
        <f aca="false">IF(V4632,IF(01_因子設定!$B$13="最大化",Q4632,IF(01_因子設定!$B$13="最小化",-Q4632,-ABS(Q4632-01_因子設定!$B$16))),-1E+030)</f>
        <v>42.2539914772727</v>
      </c>
      <c r="Y4632" s="55" t="n">
        <f aca="false">W4632+ROW()*0.000000001</f>
        <v>-7.44373634665824</v>
      </c>
      <c r="Z4632" s="55" t="n">
        <f aca="false">X4632+ROW()*0.000000001</f>
        <v>42.2539961092727</v>
      </c>
    </row>
    <row r="4633" customFormat="false" ht="15" hidden="false" customHeight="false" outlineLevel="0" collapsed="false">
      <c r="A4633" s="0" t="n">
        <v>16</v>
      </c>
      <c r="B4633" s="0" t="n">
        <v>0</v>
      </c>
      <c r="C4633" s="0" t="n">
        <v>4</v>
      </c>
      <c r="D4633" s="0" t="n">
        <f aca="false">-1+A4633*0.125</f>
        <v>1</v>
      </c>
      <c r="E4633" s="0" t="n">
        <f aca="false">-1+B4633*0.125</f>
        <v>-1</v>
      </c>
      <c r="F4633" s="0" t="n">
        <f aca="false">-1+C4633*0.125</f>
        <v>-0.5</v>
      </c>
      <c r="G4633" s="0" t="n">
        <f aca="false">1</f>
        <v>1</v>
      </c>
      <c r="H4633" s="0" t="n">
        <f aca="false">D4633</f>
        <v>1</v>
      </c>
      <c r="I4633" s="0" t="n">
        <f aca="false">E4633</f>
        <v>-1</v>
      </c>
      <c r="J4633" s="0" t="n">
        <f aca="false">F4633</f>
        <v>-0.5</v>
      </c>
      <c r="K4633" s="0" t="n">
        <f aca="false">D4633*E4633</f>
        <v>-1</v>
      </c>
      <c r="L4633" s="0" t="n">
        <f aca="false">D4633*F4633</f>
        <v>-0.5</v>
      </c>
      <c r="M4633" s="0" t="n">
        <f aca="false">E4633*F4633</f>
        <v>0.5</v>
      </c>
      <c r="N4633" s="0" t="n">
        <f aca="false">D4633*D4633</f>
        <v>1</v>
      </c>
      <c r="O4633" s="0" t="n">
        <f aca="false">E4633*E4633</f>
        <v>1</v>
      </c>
      <c r="P4633" s="0" t="n">
        <f aca="false">F4633*F4633</f>
        <v>0.25</v>
      </c>
      <c r="Q4633" s="0" t="n">
        <f aca="false">SUMPRODUCT(G4633:P4633,_XtX!$B$71:$K$71)</f>
        <v>42.5170454545455</v>
      </c>
      <c r="R4633" s="0" t="n">
        <f aca="false">SUMPRODUCT(MMULT(G4633:P4633,_XtX!$B$58:$K$67),G4633:P4633)</f>
        <v>0.667045454545455</v>
      </c>
      <c r="S4633" s="0" t="n">
        <f aca="false">04_回帰ANOVA!$K$19*04_回帰ANOVA!$K$14*SQRT(1+R4633)</f>
        <v>1.200439720088</v>
      </c>
      <c r="T4633" s="0" t="n">
        <f aca="false">Q4633-S4633</f>
        <v>41.3166057344575</v>
      </c>
      <c r="U4633" s="0" t="n">
        <f aca="false">Q4633+S4633</f>
        <v>43.7174851746335</v>
      </c>
      <c r="V4633" s="54" t="b">
        <f aca="false">AND(D4633&gt;=01_因子設定!$L$5-0.000000001,D4633&lt;=01_因子設定!$M$5+0.000000001,E4633&gt;=01_因子設定!$L$6-0.000000001,E4633&lt;=01_因子設定!$M$6+0.000000001,F4633&gt;=01_因子設定!$L$7-0.000000001,F4633&lt;=01_因子設定!$M$7+0.000000001,IF(01_因子設定!$B$20="Box-Behnken",D4633^2+E4633^2+F4633^2&lt;=2+0.000000001,TRUE()))</f>
        <v>1</v>
      </c>
      <c r="W4633" s="55" t="n">
        <f aca="false">IF(V4633,IF(01_因子設定!$B$13="最大化",T4633-01_因子設定!$B$14,IF(01_因子設定!$B$13="最小化",01_因子設定!$B$15-U4633,MIN(T4633-01_因子設定!$B$14,01_因子設定!$B$15-U4633))),-1E+030)</f>
        <v>-7.18339426554255</v>
      </c>
      <c r="X4633" s="55" t="n">
        <f aca="false">IF(V4633,IF(01_因子設定!$B$13="最大化",Q4633,IF(01_因子設定!$B$13="最小化",-Q4633,-ABS(Q4633-01_因子設定!$B$16))),-1E+030)</f>
        <v>42.5170454545455</v>
      </c>
      <c r="Y4633" s="55" t="n">
        <f aca="false">W4633+ROW()*0.000000001</f>
        <v>-7.18338963254255</v>
      </c>
      <c r="Z4633" s="55" t="n">
        <f aca="false">X4633+ROW()*0.000000001</f>
        <v>42.5170500875455</v>
      </c>
    </row>
    <row r="4634" customFormat="false" ht="15" hidden="false" customHeight="false" outlineLevel="0" collapsed="false">
      <c r="A4634" s="0" t="n">
        <v>16</v>
      </c>
      <c r="B4634" s="0" t="n">
        <v>0</v>
      </c>
      <c r="C4634" s="0" t="n">
        <v>5</v>
      </c>
      <c r="D4634" s="0" t="n">
        <f aca="false">-1+A4634*0.125</f>
        <v>1</v>
      </c>
      <c r="E4634" s="0" t="n">
        <f aca="false">-1+B4634*0.125</f>
        <v>-1</v>
      </c>
      <c r="F4634" s="0" t="n">
        <f aca="false">-1+C4634*0.125</f>
        <v>-0.375</v>
      </c>
      <c r="G4634" s="0" t="n">
        <f aca="false">1</f>
        <v>1</v>
      </c>
      <c r="H4634" s="0" t="n">
        <f aca="false">D4634</f>
        <v>1</v>
      </c>
      <c r="I4634" s="0" t="n">
        <f aca="false">E4634</f>
        <v>-1</v>
      </c>
      <c r="J4634" s="0" t="n">
        <f aca="false">F4634</f>
        <v>-0.375</v>
      </c>
      <c r="K4634" s="0" t="n">
        <f aca="false">D4634*E4634</f>
        <v>-1</v>
      </c>
      <c r="L4634" s="0" t="n">
        <f aca="false">D4634*F4634</f>
        <v>-0.375</v>
      </c>
      <c r="M4634" s="0" t="n">
        <f aca="false">E4634*F4634</f>
        <v>0.375</v>
      </c>
      <c r="N4634" s="0" t="n">
        <f aca="false">D4634*D4634</f>
        <v>1</v>
      </c>
      <c r="O4634" s="0" t="n">
        <f aca="false">E4634*E4634</f>
        <v>1</v>
      </c>
      <c r="P4634" s="0" t="n">
        <f aca="false">F4634*F4634</f>
        <v>0.140625</v>
      </c>
      <c r="Q4634" s="0" t="n">
        <f aca="false">SUMPRODUCT(G4634:P4634,_XtX!$B$71:$K$71)</f>
        <v>42.7433096590909</v>
      </c>
      <c r="R4634" s="0" t="n">
        <f aca="false">SUMPRODUCT(MMULT(G4634:P4634,_XtX!$B$58:$K$67),G4634:P4634)</f>
        <v>0.682830255681818</v>
      </c>
      <c r="S4634" s="0" t="n">
        <f aca="false">04_回帰ANOVA!$K$19*04_回帰ANOVA!$K$14*SQRT(1+R4634)</f>
        <v>1.20610964896955</v>
      </c>
      <c r="T4634" s="0" t="n">
        <f aca="false">Q4634-S4634</f>
        <v>41.5372000101214</v>
      </c>
      <c r="U4634" s="0" t="n">
        <f aca="false">Q4634+S4634</f>
        <v>43.9494193080605</v>
      </c>
      <c r="V4634" s="54" t="b">
        <f aca="false">AND(D4634&gt;=01_因子設定!$L$5-0.000000001,D4634&lt;=01_因子設定!$M$5+0.000000001,E4634&gt;=01_因子設定!$L$6-0.000000001,E4634&lt;=01_因子設定!$M$6+0.000000001,F4634&gt;=01_因子設定!$L$7-0.000000001,F4634&lt;=01_因子設定!$M$7+0.000000001,IF(01_因子設定!$B$20="Box-Behnken",D4634^2+E4634^2+F4634^2&lt;=2+0.000000001,TRUE()))</f>
        <v>1</v>
      </c>
      <c r="W4634" s="55" t="n">
        <f aca="false">IF(V4634,IF(01_因子設定!$B$13="最大化",T4634-01_因子設定!$B$14,IF(01_因子設定!$B$13="最小化",01_因子設定!$B$15-U4634,MIN(T4634-01_因子設定!$B$14,01_因子設定!$B$15-U4634))),-1E+030)</f>
        <v>-6.96279998987864</v>
      </c>
      <c r="X4634" s="55" t="n">
        <f aca="false">IF(V4634,IF(01_因子設定!$B$13="最大化",Q4634,IF(01_因子設定!$B$13="最小化",-Q4634,-ABS(Q4634-01_因子設定!$B$16))),-1E+030)</f>
        <v>42.7433096590909</v>
      </c>
      <c r="Y4634" s="55" t="n">
        <f aca="false">W4634+ROW()*0.000000001</f>
        <v>-6.96279535587864</v>
      </c>
      <c r="Z4634" s="55" t="n">
        <f aca="false">X4634+ROW()*0.000000001</f>
        <v>42.7433142930909</v>
      </c>
    </row>
    <row r="4635" customFormat="false" ht="15" hidden="false" customHeight="false" outlineLevel="0" collapsed="false">
      <c r="A4635" s="0" t="n">
        <v>16</v>
      </c>
      <c r="B4635" s="0" t="n">
        <v>0</v>
      </c>
      <c r="C4635" s="0" t="n">
        <v>6</v>
      </c>
      <c r="D4635" s="0" t="n">
        <f aca="false">-1+A4635*0.125</f>
        <v>1</v>
      </c>
      <c r="E4635" s="0" t="n">
        <f aca="false">-1+B4635*0.125</f>
        <v>-1</v>
      </c>
      <c r="F4635" s="0" t="n">
        <f aca="false">-1+C4635*0.125</f>
        <v>-0.25</v>
      </c>
      <c r="G4635" s="0" t="n">
        <f aca="false">1</f>
        <v>1</v>
      </c>
      <c r="H4635" s="0" t="n">
        <f aca="false">D4635</f>
        <v>1</v>
      </c>
      <c r="I4635" s="0" t="n">
        <f aca="false">E4635</f>
        <v>-1</v>
      </c>
      <c r="J4635" s="0" t="n">
        <f aca="false">F4635</f>
        <v>-0.25</v>
      </c>
      <c r="K4635" s="0" t="n">
        <f aca="false">D4635*E4635</f>
        <v>-1</v>
      </c>
      <c r="L4635" s="0" t="n">
        <f aca="false">D4635*F4635</f>
        <v>-0.25</v>
      </c>
      <c r="M4635" s="0" t="n">
        <f aca="false">E4635*F4635</f>
        <v>0.25</v>
      </c>
      <c r="N4635" s="0" t="n">
        <f aca="false">D4635*D4635</f>
        <v>1</v>
      </c>
      <c r="O4635" s="0" t="n">
        <f aca="false">E4635*E4635</f>
        <v>1</v>
      </c>
      <c r="P4635" s="0" t="n">
        <f aca="false">F4635*F4635</f>
        <v>0.0625</v>
      </c>
      <c r="Q4635" s="0" t="n">
        <f aca="false">SUMPRODUCT(G4635:P4635,_XtX!$B$71:$K$71)</f>
        <v>42.9327840909091</v>
      </c>
      <c r="R4635" s="0" t="n">
        <f aca="false">SUMPRODUCT(MMULT(G4635:P4635,_XtX!$B$58:$K$67),G4635:P4635)</f>
        <v>0.699431818181818</v>
      </c>
      <c r="S4635" s="0" t="n">
        <f aca="false">04_回帰ANOVA!$K$19*04_回帰ANOVA!$K$14*SQRT(1+R4635)</f>
        <v>1.21204434231192</v>
      </c>
      <c r="T4635" s="0" t="n">
        <f aca="false">Q4635-S4635</f>
        <v>41.7207397485972</v>
      </c>
      <c r="U4635" s="0" t="n">
        <f aca="false">Q4635+S4635</f>
        <v>44.144828433221</v>
      </c>
      <c r="V4635" s="54" t="b">
        <f aca="false">AND(D4635&gt;=01_因子設定!$L$5-0.000000001,D4635&lt;=01_因子設定!$M$5+0.000000001,E4635&gt;=01_因子設定!$L$6-0.000000001,E4635&lt;=01_因子設定!$M$6+0.000000001,F4635&gt;=01_因子設定!$L$7-0.000000001,F4635&lt;=01_因子設定!$M$7+0.000000001,IF(01_因子設定!$B$20="Box-Behnken",D4635^2+E4635^2+F4635^2&lt;=2+0.000000001,TRUE()))</f>
        <v>1</v>
      </c>
      <c r="W4635" s="55" t="n">
        <f aca="false">IF(V4635,IF(01_因子設定!$B$13="最大化",T4635-01_因子設定!$B$14,IF(01_因子設定!$B$13="最小化",01_因子設定!$B$15-U4635,MIN(T4635-01_因子設定!$B$14,01_因子設定!$B$15-U4635))),-1E+030)</f>
        <v>-6.77926025140283</v>
      </c>
      <c r="X4635" s="55" t="n">
        <f aca="false">IF(V4635,IF(01_因子設定!$B$13="最大化",Q4635,IF(01_因子設定!$B$13="最小化",-Q4635,-ABS(Q4635-01_因子設定!$B$16))),-1E+030)</f>
        <v>42.9327840909091</v>
      </c>
      <c r="Y4635" s="55" t="n">
        <f aca="false">W4635+ROW()*0.000000001</f>
        <v>-6.77925561640283</v>
      </c>
      <c r="Z4635" s="55" t="n">
        <f aca="false">X4635+ROW()*0.000000001</f>
        <v>42.9327887259091</v>
      </c>
    </row>
    <row r="4636" customFormat="false" ht="15" hidden="false" customHeight="false" outlineLevel="0" collapsed="false">
      <c r="A4636" s="0" t="n">
        <v>16</v>
      </c>
      <c r="B4636" s="0" t="n">
        <v>0</v>
      </c>
      <c r="C4636" s="0" t="n">
        <v>7</v>
      </c>
      <c r="D4636" s="0" t="n">
        <f aca="false">-1+A4636*0.125</f>
        <v>1</v>
      </c>
      <c r="E4636" s="0" t="n">
        <f aca="false">-1+B4636*0.125</f>
        <v>-1</v>
      </c>
      <c r="F4636" s="0" t="n">
        <f aca="false">-1+C4636*0.125</f>
        <v>-0.125</v>
      </c>
      <c r="G4636" s="0" t="n">
        <f aca="false">1</f>
        <v>1</v>
      </c>
      <c r="H4636" s="0" t="n">
        <f aca="false">D4636</f>
        <v>1</v>
      </c>
      <c r="I4636" s="0" t="n">
        <f aca="false">E4636</f>
        <v>-1</v>
      </c>
      <c r="J4636" s="0" t="n">
        <f aca="false">F4636</f>
        <v>-0.125</v>
      </c>
      <c r="K4636" s="0" t="n">
        <f aca="false">D4636*E4636</f>
        <v>-1</v>
      </c>
      <c r="L4636" s="0" t="n">
        <f aca="false">D4636*F4636</f>
        <v>-0.125</v>
      </c>
      <c r="M4636" s="0" t="n">
        <f aca="false">E4636*F4636</f>
        <v>0.125</v>
      </c>
      <c r="N4636" s="0" t="n">
        <f aca="false">D4636*D4636</f>
        <v>1</v>
      </c>
      <c r="O4636" s="0" t="n">
        <f aca="false">E4636*E4636</f>
        <v>1</v>
      </c>
      <c r="P4636" s="0" t="n">
        <f aca="false">F4636*F4636</f>
        <v>0.015625</v>
      </c>
      <c r="Q4636" s="0" t="n">
        <f aca="false">SUMPRODUCT(G4636:P4636,_XtX!$B$71:$K$71)</f>
        <v>43.08546875</v>
      </c>
      <c r="R4636" s="0" t="n">
        <f aca="false">SUMPRODUCT(MMULT(G4636:P4636,_XtX!$B$58:$K$67),G4636:P4636)</f>
        <v>0.7115234375</v>
      </c>
      <c r="S4636" s="0" t="n">
        <f aca="false">04_回帰ANOVA!$K$19*04_回帰ANOVA!$K$14*SQRT(1+R4636)</f>
        <v>1.21634860506574</v>
      </c>
      <c r="T4636" s="0" t="n">
        <f aca="false">Q4636-S4636</f>
        <v>41.8691201449343</v>
      </c>
      <c r="U4636" s="0" t="n">
        <f aca="false">Q4636+S4636</f>
        <v>44.3018173550657</v>
      </c>
      <c r="V4636" s="54" t="b">
        <f aca="false">AND(D4636&gt;=01_因子設定!$L$5-0.000000001,D4636&lt;=01_因子設定!$M$5+0.000000001,E4636&gt;=01_因子設定!$L$6-0.000000001,E4636&lt;=01_因子設定!$M$6+0.000000001,F4636&gt;=01_因子設定!$L$7-0.000000001,F4636&lt;=01_因子設定!$M$7+0.000000001,IF(01_因子設定!$B$20="Box-Behnken",D4636^2+E4636^2+F4636^2&lt;=2+0.000000001,TRUE()))</f>
        <v>1</v>
      </c>
      <c r="W4636" s="55" t="n">
        <f aca="false">IF(V4636,IF(01_因子設定!$B$13="最大化",T4636-01_因子設定!$B$14,IF(01_因子設定!$B$13="最小化",01_因子設定!$B$15-U4636,MIN(T4636-01_因子設定!$B$14,01_因子設定!$B$15-U4636))),-1E+030)</f>
        <v>-6.63087985506574</v>
      </c>
      <c r="X4636" s="55" t="n">
        <f aca="false">IF(V4636,IF(01_因子設定!$B$13="最大化",Q4636,IF(01_因子設定!$B$13="最小化",-Q4636,-ABS(Q4636-01_因子設定!$B$16))),-1E+030)</f>
        <v>43.08546875</v>
      </c>
      <c r="Y4636" s="55" t="n">
        <f aca="false">W4636+ROW()*0.000000001</f>
        <v>-6.63087521906574</v>
      </c>
      <c r="Z4636" s="55" t="n">
        <f aca="false">X4636+ROW()*0.000000001</f>
        <v>43.085473386</v>
      </c>
    </row>
    <row r="4637" customFormat="false" ht="15" hidden="false" customHeight="false" outlineLevel="0" collapsed="false">
      <c r="A4637" s="0" t="n">
        <v>16</v>
      </c>
      <c r="B4637" s="0" t="n">
        <v>0</v>
      </c>
      <c r="C4637" s="0" t="n">
        <v>8</v>
      </c>
      <c r="D4637" s="0" t="n">
        <f aca="false">-1+A4637*0.125</f>
        <v>1</v>
      </c>
      <c r="E4637" s="0" t="n">
        <f aca="false">-1+B4637*0.125</f>
        <v>-1</v>
      </c>
      <c r="F4637" s="0" t="n">
        <f aca="false">-1+C4637*0.125</f>
        <v>0</v>
      </c>
      <c r="G4637" s="0" t="n">
        <f aca="false">1</f>
        <v>1</v>
      </c>
      <c r="H4637" s="0" t="n">
        <f aca="false">D4637</f>
        <v>1</v>
      </c>
      <c r="I4637" s="0" t="n">
        <f aca="false">E4637</f>
        <v>-1</v>
      </c>
      <c r="J4637" s="0" t="n">
        <f aca="false">F4637</f>
        <v>0</v>
      </c>
      <c r="K4637" s="0" t="n">
        <f aca="false">D4637*E4637</f>
        <v>-1</v>
      </c>
      <c r="L4637" s="0" t="n">
        <f aca="false">D4637*F4637</f>
        <v>0</v>
      </c>
      <c r="M4637" s="0" t="n">
        <f aca="false">E4637*F4637</f>
        <v>-0</v>
      </c>
      <c r="N4637" s="0" t="n">
        <f aca="false">D4637*D4637</f>
        <v>1</v>
      </c>
      <c r="O4637" s="0" t="n">
        <f aca="false">E4637*E4637</f>
        <v>1</v>
      </c>
      <c r="P4637" s="0" t="n">
        <f aca="false">F4637*F4637</f>
        <v>0</v>
      </c>
      <c r="Q4637" s="0" t="n">
        <f aca="false">SUMPRODUCT(G4637:P4637,_XtX!$B$71:$K$71)</f>
        <v>43.2013636363636</v>
      </c>
      <c r="R4637" s="0" t="n">
        <f aca="false">SUMPRODUCT(MMULT(G4637:P4637,_XtX!$B$58:$K$67),G4637:P4637)</f>
        <v>0.715909090909091</v>
      </c>
      <c r="S4637" s="0" t="n">
        <f aca="false">04_回帰ANOVA!$K$19*04_回帰ANOVA!$K$14*SQRT(1+R4637)</f>
        <v>1.21790601011063</v>
      </c>
      <c r="T4637" s="0" t="n">
        <f aca="false">Q4637-S4637</f>
        <v>41.983457626253</v>
      </c>
      <c r="U4637" s="0" t="n">
        <f aca="false">Q4637+S4637</f>
        <v>44.4192696464743</v>
      </c>
      <c r="V4637" s="54" t="b">
        <f aca="false">AND(D4637&gt;=01_因子設定!$L$5-0.000000001,D4637&lt;=01_因子設定!$M$5+0.000000001,E4637&gt;=01_因子設定!$L$6-0.000000001,E4637&lt;=01_因子設定!$M$6+0.000000001,F4637&gt;=01_因子設定!$L$7-0.000000001,F4637&lt;=01_因子設定!$M$7+0.000000001,IF(01_因子設定!$B$20="Box-Behnken",D4637^2+E4637^2+F4637^2&lt;=2+0.000000001,TRUE()))</f>
        <v>1</v>
      </c>
      <c r="W4637" s="55" t="n">
        <f aca="false">IF(V4637,IF(01_因子設定!$B$13="最大化",T4637-01_因子設定!$B$14,IF(01_因子設定!$B$13="最小化",01_因子設定!$B$15-U4637,MIN(T4637-01_因子設定!$B$14,01_因子設定!$B$15-U4637))),-1E+030)</f>
        <v>-6.51654237374699</v>
      </c>
      <c r="X4637" s="55" t="n">
        <f aca="false">IF(V4637,IF(01_因子設定!$B$13="最大化",Q4637,IF(01_因子設定!$B$13="最小化",-Q4637,-ABS(Q4637-01_因子設定!$B$16))),-1E+030)</f>
        <v>43.2013636363636</v>
      </c>
      <c r="Y4637" s="55" t="n">
        <f aca="false">W4637+ROW()*0.000000001</f>
        <v>-6.51653773674699</v>
      </c>
      <c r="Z4637" s="55" t="n">
        <f aca="false">X4637+ROW()*0.000000001</f>
        <v>43.2013682733636</v>
      </c>
    </row>
    <row r="4638" customFormat="false" ht="15" hidden="false" customHeight="false" outlineLevel="0" collapsed="false">
      <c r="A4638" s="0" t="n">
        <v>16</v>
      </c>
      <c r="B4638" s="0" t="n">
        <v>0</v>
      </c>
      <c r="C4638" s="0" t="n">
        <v>9</v>
      </c>
      <c r="D4638" s="0" t="n">
        <f aca="false">-1+A4638*0.125</f>
        <v>1</v>
      </c>
      <c r="E4638" s="0" t="n">
        <f aca="false">-1+B4638*0.125</f>
        <v>-1</v>
      </c>
      <c r="F4638" s="0" t="n">
        <f aca="false">-1+C4638*0.125</f>
        <v>0.125</v>
      </c>
      <c r="G4638" s="0" t="n">
        <f aca="false">1</f>
        <v>1</v>
      </c>
      <c r="H4638" s="0" t="n">
        <f aca="false">D4638</f>
        <v>1</v>
      </c>
      <c r="I4638" s="0" t="n">
        <f aca="false">E4638</f>
        <v>-1</v>
      </c>
      <c r="J4638" s="0" t="n">
        <f aca="false">F4638</f>
        <v>0.125</v>
      </c>
      <c r="K4638" s="0" t="n">
        <f aca="false">D4638*E4638</f>
        <v>-1</v>
      </c>
      <c r="L4638" s="0" t="n">
        <f aca="false">D4638*F4638</f>
        <v>0.125</v>
      </c>
      <c r="M4638" s="0" t="n">
        <f aca="false">E4638*F4638</f>
        <v>-0.125</v>
      </c>
      <c r="N4638" s="0" t="n">
        <f aca="false">D4638*D4638</f>
        <v>1</v>
      </c>
      <c r="O4638" s="0" t="n">
        <f aca="false">E4638*E4638</f>
        <v>1</v>
      </c>
      <c r="P4638" s="0" t="n">
        <f aca="false">F4638*F4638</f>
        <v>0.015625</v>
      </c>
      <c r="Q4638" s="0" t="n">
        <f aca="false">SUMPRODUCT(G4638:P4638,_XtX!$B$71:$K$71)</f>
        <v>43.28046875</v>
      </c>
      <c r="R4638" s="0" t="n">
        <f aca="false">SUMPRODUCT(MMULT(G4638:P4638,_XtX!$B$58:$K$67),G4638:P4638)</f>
        <v>0.7115234375</v>
      </c>
      <c r="S4638" s="0" t="n">
        <f aca="false">04_回帰ANOVA!$K$19*04_回帰ANOVA!$K$14*SQRT(1+R4638)</f>
        <v>1.21634860506574</v>
      </c>
      <c r="T4638" s="0" t="n">
        <f aca="false">Q4638-S4638</f>
        <v>42.0641201449343</v>
      </c>
      <c r="U4638" s="0" t="n">
        <f aca="false">Q4638+S4638</f>
        <v>44.4968173550657</v>
      </c>
      <c r="V4638" s="54" t="b">
        <f aca="false">AND(D4638&gt;=01_因子設定!$L$5-0.000000001,D4638&lt;=01_因子設定!$M$5+0.000000001,E4638&gt;=01_因子設定!$L$6-0.000000001,E4638&lt;=01_因子設定!$M$6+0.000000001,F4638&gt;=01_因子設定!$L$7-0.000000001,F4638&lt;=01_因子設定!$M$7+0.000000001,IF(01_因子設定!$B$20="Box-Behnken",D4638^2+E4638^2+F4638^2&lt;=2+0.000000001,TRUE()))</f>
        <v>1</v>
      </c>
      <c r="W4638" s="55" t="n">
        <f aca="false">IF(V4638,IF(01_因子設定!$B$13="最大化",T4638-01_因子設定!$B$14,IF(01_因子設定!$B$13="最小化",01_因子設定!$B$15-U4638,MIN(T4638-01_因子設定!$B$14,01_因子設定!$B$15-U4638))),-1E+030)</f>
        <v>-6.43587985506574</v>
      </c>
      <c r="X4638" s="55" t="n">
        <f aca="false">IF(V4638,IF(01_因子設定!$B$13="最大化",Q4638,IF(01_因子設定!$B$13="最小化",-Q4638,-ABS(Q4638-01_因子設定!$B$16))),-1E+030)</f>
        <v>43.28046875</v>
      </c>
      <c r="Y4638" s="55" t="n">
        <f aca="false">W4638+ROW()*0.000000001</f>
        <v>-6.43587521706574</v>
      </c>
      <c r="Z4638" s="55" t="n">
        <f aca="false">X4638+ROW()*0.000000001</f>
        <v>43.280473388</v>
      </c>
    </row>
    <row r="4639" customFormat="false" ht="15" hidden="false" customHeight="false" outlineLevel="0" collapsed="false">
      <c r="A4639" s="0" t="n">
        <v>16</v>
      </c>
      <c r="B4639" s="0" t="n">
        <v>0</v>
      </c>
      <c r="C4639" s="0" t="n">
        <v>10</v>
      </c>
      <c r="D4639" s="0" t="n">
        <f aca="false">-1+A4639*0.125</f>
        <v>1</v>
      </c>
      <c r="E4639" s="0" t="n">
        <f aca="false">-1+B4639*0.125</f>
        <v>-1</v>
      </c>
      <c r="F4639" s="0" t="n">
        <f aca="false">-1+C4639*0.125</f>
        <v>0.25</v>
      </c>
      <c r="G4639" s="0" t="n">
        <f aca="false">1</f>
        <v>1</v>
      </c>
      <c r="H4639" s="0" t="n">
        <f aca="false">D4639</f>
        <v>1</v>
      </c>
      <c r="I4639" s="0" t="n">
        <f aca="false">E4639</f>
        <v>-1</v>
      </c>
      <c r="J4639" s="0" t="n">
        <f aca="false">F4639</f>
        <v>0.25</v>
      </c>
      <c r="K4639" s="0" t="n">
        <f aca="false">D4639*E4639</f>
        <v>-1</v>
      </c>
      <c r="L4639" s="0" t="n">
        <f aca="false">D4639*F4639</f>
        <v>0.25</v>
      </c>
      <c r="M4639" s="0" t="n">
        <f aca="false">E4639*F4639</f>
        <v>-0.25</v>
      </c>
      <c r="N4639" s="0" t="n">
        <f aca="false">D4639*D4639</f>
        <v>1</v>
      </c>
      <c r="O4639" s="0" t="n">
        <f aca="false">E4639*E4639</f>
        <v>1</v>
      </c>
      <c r="P4639" s="0" t="n">
        <f aca="false">F4639*F4639</f>
        <v>0.0625</v>
      </c>
      <c r="Q4639" s="0" t="n">
        <f aca="false">SUMPRODUCT(G4639:P4639,_XtX!$B$71:$K$71)</f>
        <v>43.3227840909091</v>
      </c>
      <c r="R4639" s="0" t="n">
        <f aca="false">SUMPRODUCT(MMULT(G4639:P4639,_XtX!$B$58:$K$67),G4639:P4639)</f>
        <v>0.699431818181818</v>
      </c>
      <c r="S4639" s="0" t="n">
        <f aca="false">04_回帰ANOVA!$K$19*04_回帰ANOVA!$K$14*SQRT(1+R4639)</f>
        <v>1.21204434231192</v>
      </c>
      <c r="T4639" s="0" t="n">
        <f aca="false">Q4639-S4639</f>
        <v>42.1107397485972</v>
      </c>
      <c r="U4639" s="0" t="n">
        <f aca="false">Q4639+S4639</f>
        <v>44.534828433221</v>
      </c>
      <c r="V4639" s="54" t="b">
        <f aca="false">AND(D4639&gt;=01_因子設定!$L$5-0.000000001,D4639&lt;=01_因子設定!$M$5+0.000000001,E4639&gt;=01_因子設定!$L$6-0.000000001,E4639&lt;=01_因子設定!$M$6+0.000000001,F4639&gt;=01_因子設定!$L$7-0.000000001,F4639&lt;=01_因子設定!$M$7+0.000000001,IF(01_因子設定!$B$20="Box-Behnken",D4639^2+E4639^2+F4639^2&lt;=2+0.000000001,TRUE()))</f>
        <v>1</v>
      </c>
      <c r="W4639" s="55" t="n">
        <f aca="false">IF(V4639,IF(01_因子設定!$B$13="最大化",T4639-01_因子設定!$B$14,IF(01_因子設定!$B$13="最小化",01_因子設定!$B$15-U4639,MIN(T4639-01_因子設定!$B$14,01_因子設定!$B$15-U4639))),-1E+030)</f>
        <v>-6.38926025140283</v>
      </c>
      <c r="X4639" s="55" t="n">
        <f aca="false">IF(V4639,IF(01_因子設定!$B$13="最大化",Q4639,IF(01_因子設定!$B$13="最小化",-Q4639,-ABS(Q4639-01_因子設定!$B$16))),-1E+030)</f>
        <v>43.3227840909091</v>
      </c>
      <c r="Y4639" s="55" t="n">
        <f aca="false">W4639+ROW()*0.000000001</f>
        <v>-6.38925561240283</v>
      </c>
      <c r="Z4639" s="55" t="n">
        <f aca="false">X4639+ROW()*0.000000001</f>
        <v>43.3227887299091</v>
      </c>
    </row>
    <row r="4640" customFormat="false" ht="15" hidden="false" customHeight="false" outlineLevel="0" collapsed="false">
      <c r="A4640" s="0" t="n">
        <v>16</v>
      </c>
      <c r="B4640" s="0" t="n">
        <v>0</v>
      </c>
      <c r="C4640" s="0" t="n">
        <v>11</v>
      </c>
      <c r="D4640" s="0" t="n">
        <f aca="false">-1+A4640*0.125</f>
        <v>1</v>
      </c>
      <c r="E4640" s="0" t="n">
        <f aca="false">-1+B4640*0.125</f>
        <v>-1</v>
      </c>
      <c r="F4640" s="0" t="n">
        <f aca="false">-1+C4640*0.125</f>
        <v>0.375</v>
      </c>
      <c r="G4640" s="0" t="n">
        <f aca="false">1</f>
        <v>1</v>
      </c>
      <c r="H4640" s="0" t="n">
        <f aca="false">D4640</f>
        <v>1</v>
      </c>
      <c r="I4640" s="0" t="n">
        <f aca="false">E4640</f>
        <v>-1</v>
      </c>
      <c r="J4640" s="0" t="n">
        <f aca="false">F4640</f>
        <v>0.375</v>
      </c>
      <c r="K4640" s="0" t="n">
        <f aca="false">D4640*E4640</f>
        <v>-1</v>
      </c>
      <c r="L4640" s="0" t="n">
        <f aca="false">D4640*F4640</f>
        <v>0.375</v>
      </c>
      <c r="M4640" s="0" t="n">
        <f aca="false">E4640*F4640</f>
        <v>-0.375</v>
      </c>
      <c r="N4640" s="0" t="n">
        <f aca="false">D4640*D4640</f>
        <v>1</v>
      </c>
      <c r="O4640" s="0" t="n">
        <f aca="false">E4640*E4640</f>
        <v>1</v>
      </c>
      <c r="P4640" s="0" t="n">
        <f aca="false">F4640*F4640</f>
        <v>0.140625</v>
      </c>
      <c r="Q4640" s="0" t="n">
        <f aca="false">SUMPRODUCT(G4640:P4640,_XtX!$B$71:$K$71)</f>
        <v>43.3283096590909</v>
      </c>
      <c r="R4640" s="0" t="n">
        <f aca="false">SUMPRODUCT(MMULT(G4640:P4640,_XtX!$B$58:$K$67),G4640:P4640)</f>
        <v>0.682830255681818</v>
      </c>
      <c r="S4640" s="0" t="n">
        <f aca="false">04_回帰ANOVA!$K$19*04_回帰ANOVA!$K$14*SQRT(1+R4640)</f>
        <v>1.20610964896955</v>
      </c>
      <c r="T4640" s="0" t="n">
        <f aca="false">Q4640-S4640</f>
        <v>42.1222000101214</v>
      </c>
      <c r="U4640" s="0" t="n">
        <f aca="false">Q4640+S4640</f>
        <v>44.5344193080605</v>
      </c>
      <c r="V4640" s="54" t="b">
        <f aca="false">AND(D4640&gt;=01_因子設定!$L$5-0.000000001,D4640&lt;=01_因子設定!$M$5+0.000000001,E4640&gt;=01_因子設定!$L$6-0.000000001,E4640&lt;=01_因子設定!$M$6+0.000000001,F4640&gt;=01_因子設定!$L$7-0.000000001,F4640&lt;=01_因子設定!$M$7+0.000000001,IF(01_因子設定!$B$20="Box-Behnken",D4640^2+E4640^2+F4640^2&lt;=2+0.000000001,TRUE()))</f>
        <v>1</v>
      </c>
      <c r="W4640" s="55" t="n">
        <f aca="false">IF(V4640,IF(01_因子設定!$B$13="最大化",T4640-01_因子設定!$B$14,IF(01_因子設定!$B$13="最小化",01_因子設定!$B$15-U4640,MIN(T4640-01_因子設定!$B$14,01_因子設定!$B$15-U4640))),-1E+030)</f>
        <v>-6.37779998987864</v>
      </c>
      <c r="X4640" s="55" t="n">
        <f aca="false">IF(V4640,IF(01_因子設定!$B$13="最大化",Q4640,IF(01_因子設定!$B$13="最小化",-Q4640,-ABS(Q4640-01_因子設定!$B$16))),-1E+030)</f>
        <v>43.3283096590909</v>
      </c>
      <c r="Y4640" s="55" t="n">
        <f aca="false">W4640+ROW()*0.000000001</f>
        <v>-6.37779534987864</v>
      </c>
      <c r="Z4640" s="55" t="n">
        <f aca="false">X4640+ROW()*0.000000001</f>
        <v>43.3283142990909</v>
      </c>
    </row>
    <row r="4641" customFormat="false" ht="15" hidden="false" customHeight="false" outlineLevel="0" collapsed="false">
      <c r="A4641" s="0" t="n">
        <v>16</v>
      </c>
      <c r="B4641" s="0" t="n">
        <v>0</v>
      </c>
      <c r="C4641" s="0" t="n">
        <v>12</v>
      </c>
      <c r="D4641" s="0" t="n">
        <f aca="false">-1+A4641*0.125</f>
        <v>1</v>
      </c>
      <c r="E4641" s="0" t="n">
        <f aca="false">-1+B4641*0.125</f>
        <v>-1</v>
      </c>
      <c r="F4641" s="0" t="n">
        <f aca="false">-1+C4641*0.125</f>
        <v>0.5</v>
      </c>
      <c r="G4641" s="0" t="n">
        <f aca="false">1</f>
        <v>1</v>
      </c>
      <c r="H4641" s="0" t="n">
        <f aca="false">D4641</f>
        <v>1</v>
      </c>
      <c r="I4641" s="0" t="n">
        <f aca="false">E4641</f>
        <v>-1</v>
      </c>
      <c r="J4641" s="0" t="n">
        <f aca="false">F4641</f>
        <v>0.5</v>
      </c>
      <c r="K4641" s="0" t="n">
        <f aca="false">D4641*E4641</f>
        <v>-1</v>
      </c>
      <c r="L4641" s="0" t="n">
        <f aca="false">D4641*F4641</f>
        <v>0.5</v>
      </c>
      <c r="M4641" s="0" t="n">
        <f aca="false">E4641*F4641</f>
        <v>-0.5</v>
      </c>
      <c r="N4641" s="0" t="n">
        <f aca="false">D4641*D4641</f>
        <v>1</v>
      </c>
      <c r="O4641" s="0" t="n">
        <f aca="false">E4641*E4641</f>
        <v>1</v>
      </c>
      <c r="P4641" s="0" t="n">
        <f aca="false">F4641*F4641</f>
        <v>0.25</v>
      </c>
      <c r="Q4641" s="0" t="n">
        <f aca="false">SUMPRODUCT(G4641:P4641,_XtX!$B$71:$K$71)</f>
        <v>43.2970454545455</v>
      </c>
      <c r="R4641" s="0" t="n">
        <f aca="false">SUMPRODUCT(MMULT(G4641:P4641,_XtX!$B$58:$K$67),G4641:P4641)</f>
        <v>0.667045454545455</v>
      </c>
      <c r="S4641" s="0" t="n">
        <f aca="false">04_回帰ANOVA!$K$19*04_回帰ANOVA!$K$14*SQRT(1+R4641)</f>
        <v>1.200439720088</v>
      </c>
      <c r="T4641" s="0" t="n">
        <f aca="false">Q4641-S4641</f>
        <v>42.0966057344575</v>
      </c>
      <c r="U4641" s="0" t="n">
        <f aca="false">Q4641+S4641</f>
        <v>44.4974851746335</v>
      </c>
      <c r="V4641" s="54" t="b">
        <f aca="false">AND(D4641&gt;=01_因子設定!$L$5-0.000000001,D4641&lt;=01_因子設定!$M$5+0.000000001,E4641&gt;=01_因子設定!$L$6-0.000000001,E4641&lt;=01_因子設定!$M$6+0.000000001,F4641&gt;=01_因子設定!$L$7-0.000000001,F4641&lt;=01_因子設定!$M$7+0.000000001,IF(01_因子設定!$B$20="Box-Behnken",D4641^2+E4641^2+F4641^2&lt;=2+0.000000001,TRUE()))</f>
        <v>1</v>
      </c>
      <c r="W4641" s="55" t="n">
        <f aca="false">IF(V4641,IF(01_因子設定!$B$13="最大化",T4641-01_因子設定!$B$14,IF(01_因子設定!$B$13="最小化",01_因子設定!$B$15-U4641,MIN(T4641-01_因子設定!$B$14,01_因子設定!$B$15-U4641))),-1E+030)</f>
        <v>-6.40339426554255</v>
      </c>
      <c r="X4641" s="55" t="n">
        <f aca="false">IF(V4641,IF(01_因子設定!$B$13="最大化",Q4641,IF(01_因子設定!$B$13="最小化",-Q4641,-ABS(Q4641-01_因子設定!$B$16))),-1E+030)</f>
        <v>43.2970454545455</v>
      </c>
      <c r="Y4641" s="55" t="n">
        <f aca="false">W4641+ROW()*0.000000001</f>
        <v>-6.40338962454255</v>
      </c>
      <c r="Z4641" s="55" t="n">
        <f aca="false">X4641+ROW()*0.000000001</f>
        <v>43.2970500955455</v>
      </c>
    </row>
    <row r="4642" customFormat="false" ht="15" hidden="false" customHeight="false" outlineLevel="0" collapsed="false">
      <c r="A4642" s="0" t="n">
        <v>16</v>
      </c>
      <c r="B4642" s="0" t="n">
        <v>0</v>
      </c>
      <c r="C4642" s="0" t="n">
        <v>13</v>
      </c>
      <c r="D4642" s="0" t="n">
        <f aca="false">-1+A4642*0.125</f>
        <v>1</v>
      </c>
      <c r="E4642" s="0" t="n">
        <f aca="false">-1+B4642*0.125</f>
        <v>-1</v>
      </c>
      <c r="F4642" s="0" t="n">
        <f aca="false">-1+C4642*0.125</f>
        <v>0.625</v>
      </c>
      <c r="G4642" s="0" t="n">
        <f aca="false">1</f>
        <v>1</v>
      </c>
      <c r="H4642" s="0" t="n">
        <f aca="false">D4642</f>
        <v>1</v>
      </c>
      <c r="I4642" s="0" t="n">
        <f aca="false">E4642</f>
        <v>-1</v>
      </c>
      <c r="J4642" s="0" t="n">
        <f aca="false">F4642</f>
        <v>0.625</v>
      </c>
      <c r="K4642" s="0" t="n">
        <f aca="false">D4642*E4642</f>
        <v>-1</v>
      </c>
      <c r="L4642" s="0" t="n">
        <f aca="false">D4642*F4642</f>
        <v>0.625</v>
      </c>
      <c r="M4642" s="0" t="n">
        <f aca="false">E4642*F4642</f>
        <v>-0.625</v>
      </c>
      <c r="N4642" s="0" t="n">
        <f aca="false">D4642*D4642</f>
        <v>1</v>
      </c>
      <c r="O4642" s="0" t="n">
        <f aca="false">E4642*E4642</f>
        <v>1</v>
      </c>
      <c r="P4642" s="0" t="n">
        <f aca="false">F4642*F4642</f>
        <v>0.390625</v>
      </c>
      <c r="Q4642" s="0" t="n">
        <f aca="false">SUMPRODUCT(G4642:P4642,_XtX!$B$71:$K$71)</f>
        <v>43.2289914772727</v>
      </c>
      <c r="R4642" s="0" t="n">
        <f aca="false">SUMPRODUCT(MMULT(G4642:P4642,_XtX!$B$58:$K$67),G4642:P4642)</f>
        <v>0.659534801136364</v>
      </c>
      <c r="S4642" s="0" t="n">
        <f aca="false">04_回帰ANOVA!$K$19*04_回帰ANOVA!$K$14*SQRT(1+R4642)</f>
        <v>1.19773245593097</v>
      </c>
      <c r="T4642" s="0" t="n">
        <f aca="false">Q4642-S4642</f>
        <v>42.0312590213418</v>
      </c>
      <c r="U4642" s="0" t="n">
        <f aca="false">Q4642+S4642</f>
        <v>44.4267239332037</v>
      </c>
      <c r="V4642" s="54" t="b">
        <f aca="false">AND(D4642&gt;=01_因子設定!$L$5-0.000000001,D4642&lt;=01_因子設定!$M$5+0.000000001,E4642&gt;=01_因子設定!$L$6-0.000000001,E4642&lt;=01_因子設定!$M$6+0.000000001,F4642&gt;=01_因子設定!$L$7-0.000000001,F4642&lt;=01_因子設定!$M$7+0.000000001,IF(01_因子設定!$B$20="Box-Behnken",D4642^2+E4642^2+F4642^2&lt;=2+0.000000001,TRUE()))</f>
        <v>1</v>
      </c>
      <c r="W4642" s="55" t="n">
        <f aca="false">IF(V4642,IF(01_因子設定!$B$13="最大化",T4642-01_因子設定!$B$14,IF(01_因子設定!$B$13="最小化",01_因子設定!$B$15-U4642,MIN(T4642-01_因子設定!$B$14,01_因子設定!$B$15-U4642))),-1E+030)</f>
        <v>-6.46874097865824</v>
      </c>
      <c r="X4642" s="55" t="n">
        <f aca="false">IF(V4642,IF(01_因子設定!$B$13="最大化",Q4642,IF(01_因子設定!$B$13="最小化",-Q4642,-ABS(Q4642-01_因子設定!$B$16))),-1E+030)</f>
        <v>43.2289914772727</v>
      </c>
      <c r="Y4642" s="55" t="n">
        <f aca="false">W4642+ROW()*0.000000001</f>
        <v>-6.46873633665824</v>
      </c>
      <c r="Z4642" s="55" t="n">
        <f aca="false">X4642+ROW()*0.000000001</f>
        <v>43.2289961192727</v>
      </c>
    </row>
    <row r="4643" customFormat="false" ht="15" hidden="false" customHeight="false" outlineLevel="0" collapsed="false">
      <c r="A4643" s="0" t="n">
        <v>16</v>
      </c>
      <c r="B4643" s="0" t="n">
        <v>0</v>
      </c>
      <c r="C4643" s="0" t="n">
        <v>14</v>
      </c>
      <c r="D4643" s="0" t="n">
        <f aca="false">-1+A4643*0.125</f>
        <v>1</v>
      </c>
      <c r="E4643" s="0" t="n">
        <f aca="false">-1+B4643*0.125</f>
        <v>-1</v>
      </c>
      <c r="F4643" s="0" t="n">
        <f aca="false">-1+C4643*0.125</f>
        <v>0.75</v>
      </c>
      <c r="G4643" s="0" t="n">
        <f aca="false">1</f>
        <v>1</v>
      </c>
      <c r="H4643" s="0" t="n">
        <f aca="false">D4643</f>
        <v>1</v>
      </c>
      <c r="I4643" s="0" t="n">
        <f aca="false">E4643</f>
        <v>-1</v>
      </c>
      <c r="J4643" s="0" t="n">
        <f aca="false">F4643</f>
        <v>0.75</v>
      </c>
      <c r="K4643" s="0" t="n">
        <f aca="false">D4643*E4643</f>
        <v>-1</v>
      </c>
      <c r="L4643" s="0" t="n">
        <f aca="false">D4643*F4643</f>
        <v>0.75</v>
      </c>
      <c r="M4643" s="0" t="n">
        <f aca="false">E4643*F4643</f>
        <v>-0.75</v>
      </c>
      <c r="N4643" s="0" t="n">
        <f aca="false">D4643*D4643</f>
        <v>1</v>
      </c>
      <c r="O4643" s="0" t="n">
        <f aca="false">E4643*E4643</f>
        <v>1</v>
      </c>
      <c r="P4643" s="0" t="n">
        <f aca="false">F4643*F4643</f>
        <v>0.5625</v>
      </c>
      <c r="Q4643" s="0" t="n">
        <f aca="false">SUMPRODUCT(G4643:P4643,_XtX!$B$71:$K$71)</f>
        <v>43.1241477272727</v>
      </c>
      <c r="R4643" s="0" t="n">
        <f aca="false">SUMPRODUCT(MMULT(G4643:P4643,_XtX!$B$58:$K$67),G4643:P4643)</f>
        <v>0.669886363636364</v>
      </c>
      <c r="S4643" s="0" t="n">
        <f aca="false">04_回帰ANOVA!$K$19*04_回帰ANOVA!$K$14*SQRT(1+R4643)</f>
        <v>1.20146215423986</v>
      </c>
      <c r="T4643" s="0" t="n">
        <f aca="false">Q4643-S4643</f>
        <v>41.9226855730329</v>
      </c>
      <c r="U4643" s="0" t="n">
        <f aca="false">Q4643+S4643</f>
        <v>44.3256098815126</v>
      </c>
      <c r="V4643" s="54" t="b">
        <f aca="false">AND(D4643&gt;=01_因子設定!$L$5-0.000000001,D4643&lt;=01_因子設定!$M$5+0.000000001,E4643&gt;=01_因子設定!$L$6-0.000000001,E4643&lt;=01_因子設定!$M$6+0.000000001,F4643&gt;=01_因子設定!$L$7-0.000000001,F4643&lt;=01_因子設定!$M$7+0.000000001,IF(01_因子設定!$B$20="Box-Behnken",D4643^2+E4643^2+F4643^2&lt;=2+0.000000001,TRUE()))</f>
        <v>1</v>
      </c>
      <c r="W4643" s="55" t="n">
        <f aca="false">IF(V4643,IF(01_因子設定!$B$13="最大化",T4643-01_因子設定!$B$14,IF(01_因子設定!$B$13="最小化",01_因子設定!$B$15-U4643,MIN(T4643-01_因子設定!$B$14,01_因子設定!$B$15-U4643))),-1E+030)</f>
        <v>-6.57731442696713</v>
      </c>
      <c r="X4643" s="55" t="n">
        <f aca="false">IF(V4643,IF(01_因子設定!$B$13="最大化",Q4643,IF(01_因子設定!$B$13="最小化",-Q4643,-ABS(Q4643-01_因子設定!$B$16))),-1E+030)</f>
        <v>43.1241477272727</v>
      </c>
      <c r="Y4643" s="55" t="n">
        <f aca="false">W4643+ROW()*0.000000001</f>
        <v>-6.57730978396713</v>
      </c>
      <c r="Z4643" s="55" t="n">
        <f aca="false">X4643+ROW()*0.000000001</f>
        <v>43.1241523702727</v>
      </c>
    </row>
    <row r="4644" customFormat="false" ht="15" hidden="false" customHeight="false" outlineLevel="0" collapsed="false">
      <c r="A4644" s="0" t="n">
        <v>16</v>
      </c>
      <c r="B4644" s="0" t="n">
        <v>0</v>
      </c>
      <c r="C4644" s="0" t="n">
        <v>15</v>
      </c>
      <c r="D4644" s="0" t="n">
        <f aca="false">-1+A4644*0.125</f>
        <v>1</v>
      </c>
      <c r="E4644" s="0" t="n">
        <f aca="false">-1+B4644*0.125</f>
        <v>-1</v>
      </c>
      <c r="F4644" s="0" t="n">
        <f aca="false">-1+C4644*0.125</f>
        <v>0.875</v>
      </c>
      <c r="G4644" s="0" t="n">
        <f aca="false">1</f>
        <v>1</v>
      </c>
      <c r="H4644" s="0" t="n">
        <f aca="false">D4644</f>
        <v>1</v>
      </c>
      <c r="I4644" s="0" t="n">
        <f aca="false">E4644</f>
        <v>-1</v>
      </c>
      <c r="J4644" s="0" t="n">
        <f aca="false">F4644</f>
        <v>0.875</v>
      </c>
      <c r="K4644" s="0" t="n">
        <f aca="false">D4644*E4644</f>
        <v>-1</v>
      </c>
      <c r="L4644" s="0" t="n">
        <f aca="false">D4644*F4644</f>
        <v>0.875</v>
      </c>
      <c r="M4644" s="0" t="n">
        <f aca="false">E4644*F4644</f>
        <v>-0.875</v>
      </c>
      <c r="N4644" s="0" t="n">
        <f aca="false">D4644*D4644</f>
        <v>1</v>
      </c>
      <c r="O4644" s="0" t="n">
        <f aca="false">E4644*E4644</f>
        <v>1</v>
      </c>
      <c r="P4644" s="0" t="n">
        <f aca="false">F4644*F4644</f>
        <v>0.765625</v>
      </c>
      <c r="Q4644" s="0" t="n">
        <f aca="false">SUMPRODUCT(G4644:P4644,_XtX!$B$71:$K$71)</f>
        <v>42.9825142045455</v>
      </c>
      <c r="R4644" s="0" t="n">
        <f aca="false">SUMPRODUCT(MMULT(G4644:P4644,_XtX!$B$58:$K$67),G4644:P4644)</f>
        <v>0.709818892045455</v>
      </c>
      <c r="S4644" s="0" t="n">
        <f aca="false">04_回帰ANOVA!$K$19*04_回帰ANOVA!$K$14*SQRT(1+R4644)</f>
        <v>1.21574275944458</v>
      </c>
      <c r="T4644" s="0" t="n">
        <f aca="false">Q4644-S4644</f>
        <v>41.7667714451009</v>
      </c>
      <c r="U4644" s="0" t="n">
        <f aca="false">Q4644+S4644</f>
        <v>44.1982569639901</v>
      </c>
      <c r="V4644" s="54" t="b">
        <f aca="false">AND(D4644&gt;=01_因子設定!$L$5-0.000000001,D4644&lt;=01_因子設定!$M$5+0.000000001,E4644&gt;=01_因子設定!$L$6-0.000000001,E4644&lt;=01_因子設定!$M$6+0.000000001,F4644&gt;=01_因子設定!$L$7-0.000000001,F4644&lt;=01_因子設定!$M$7+0.000000001,IF(01_因子設定!$B$20="Box-Behnken",D4644^2+E4644^2+F4644^2&lt;=2+0.000000001,TRUE()))</f>
        <v>1</v>
      </c>
      <c r="W4644" s="55" t="n">
        <f aca="false">IF(V4644,IF(01_因子設定!$B$13="最大化",T4644-01_因子設定!$B$14,IF(01_因子設定!$B$13="最小化",01_因子設定!$B$15-U4644,MIN(T4644-01_因子設定!$B$14,01_因子設定!$B$15-U4644))),-1E+030)</f>
        <v>-6.73322855489911</v>
      </c>
      <c r="X4644" s="55" t="n">
        <f aca="false">IF(V4644,IF(01_因子設定!$B$13="最大化",Q4644,IF(01_因子設定!$B$13="最小化",-Q4644,-ABS(Q4644-01_因子設定!$B$16))),-1E+030)</f>
        <v>42.9825142045455</v>
      </c>
      <c r="Y4644" s="55" t="n">
        <f aca="false">W4644+ROW()*0.000000001</f>
        <v>-6.73322391089911</v>
      </c>
      <c r="Z4644" s="55" t="n">
        <f aca="false">X4644+ROW()*0.000000001</f>
        <v>42.9825188485455</v>
      </c>
    </row>
    <row r="4645" customFormat="false" ht="15" hidden="false" customHeight="false" outlineLevel="0" collapsed="false">
      <c r="A4645" s="0" t="n">
        <v>16</v>
      </c>
      <c r="B4645" s="0" t="n">
        <v>0</v>
      </c>
      <c r="C4645" s="0" t="n">
        <v>16</v>
      </c>
      <c r="D4645" s="0" t="n">
        <f aca="false">-1+A4645*0.125</f>
        <v>1</v>
      </c>
      <c r="E4645" s="0" t="n">
        <f aca="false">-1+B4645*0.125</f>
        <v>-1</v>
      </c>
      <c r="F4645" s="0" t="n">
        <f aca="false">-1+C4645*0.125</f>
        <v>1</v>
      </c>
      <c r="G4645" s="0" t="n">
        <f aca="false">1</f>
        <v>1</v>
      </c>
      <c r="H4645" s="0" t="n">
        <f aca="false">D4645</f>
        <v>1</v>
      </c>
      <c r="I4645" s="0" t="n">
        <f aca="false">E4645</f>
        <v>-1</v>
      </c>
      <c r="J4645" s="0" t="n">
        <f aca="false">F4645</f>
        <v>1</v>
      </c>
      <c r="K4645" s="0" t="n">
        <f aca="false">D4645*E4645</f>
        <v>-1</v>
      </c>
      <c r="L4645" s="0" t="n">
        <f aca="false">D4645*F4645</f>
        <v>1</v>
      </c>
      <c r="M4645" s="0" t="n">
        <f aca="false">E4645*F4645</f>
        <v>-1</v>
      </c>
      <c r="N4645" s="0" t="n">
        <f aca="false">D4645*D4645</f>
        <v>1</v>
      </c>
      <c r="O4645" s="0" t="n">
        <f aca="false">E4645*E4645</f>
        <v>1</v>
      </c>
      <c r="P4645" s="0" t="n">
        <f aca="false">F4645*F4645</f>
        <v>1</v>
      </c>
      <c r="Q4645" s="0" t="n">
        <f aca="false">SUMPRODUCT(G4645:P4645,_XtX!$B$71:$K$71)</f>
        <v>42.8040909090909</v>
      </c>
      <c r="R4645" s="0" t="n">
        <f aca="false">SUMPRODUCT(MMULT(G4645:P4645,_XtX!$B$58:$K$67),G4645:P4645)</f>
        <v>0.793181818181818</v>
      </c>
      <c r="S4645" s="0" t="n">
        <f aca="false">04_回帰ANOVA!$K$19*04_回帰ANOVA!$K$14*SQRT(1+R4645)</f>
        <v>1.24502708501444</v>
      </c>
      <c r="T4645" s="0" t="n">
        <f aca="false">Q4645-S4645</f>
        <v>41.5590638240765</v>
      </c>
      <c r="U4645" s="0" t="n">
        <f aca="false">Q4645+S4645</f>
        <v>44.0491179941054</v>
      </c>
      <c r="V4645" s="54" t="b">
        <f aca="false">AND(D4645&gt;=01_因子設定!$L$5-0.000000001,D4645&lt;=01_因子設定!$M$5+0.000000001,E4645&gt;=01_因子設定!$L$6-0.000000001,E4645&lt;=01_因子設定!$M$6+0.000000001,F4645&gt;=01_因子設定!$L$7-0.000000001,F4645&lt;=01_因子設定!$M$7+0.000000001,IF(01_因子設定!$B$20="Box-Behnken",D4645^2+E4645^2+F4645^2&lt;=2+0.000000001,TRUE()))</f>
        <v>1</v>
      </c>
      <c r="W4645" s="55" t="n">
        <f aca="false">IF(V4645,IF(01_因子設定!$B$13="最大化",T4645-01_因子設定!$B$14,IF(01_因子設定!$B$13="最小化",01_因子設定!$B$15-U4645,MIN(T4645-01_因子設定!$B$14,01_因子設定!$B$15-U4645))),-1E+030)</f>
        <v>-6.94093617592352</v>
      </c>
      <c r="X4645" s="55" t="n">
        <f aca="false">IF(V4645,IF(01_因子設定!$B$13="最大化",Q4645,IF(01_因子設定!$B$13="最小化",-Q4645,-ABS(Q4645-01_因子設定!$B$16))),-1E+030)</f>
        <v>42.8040909090909</v>
      </c>
      <c r="Y4645" s="55" t="n">
        <f aca="false">W4645+ROW()*0.000000001</f>
        <v>-6.94093153092352</v>
      </c>
      <c r="Z4645" s="55" t="n">
        <f aca="false">X4645+ROW()*0.000000001</f>
        <v>42.8040955540909</v>
      </c>
    </row>
    <row r="4646" customFormat="false" ht="15" hidden="false" customHeight="false" outlineLevel="0" collapsed="false">
      <c r="A4646" s="0" t="n">
        <v>16</v>
      </c>
      <c r="B4646" s="0" t="n">
        <v>1</v>
      </c>
      <c r="C4646" s="0" t="n">
        <v>0</v>
      </c>
      <c r="D4646" s="0" t="n">
        <f aca="false">-1+A4646*0.125</f>
        <v>1</v>
      </c>
      <c r="E4646" s="0" t="n">
        <f aca="false">-1+B4646*0.125</f>
        <v>-0.875</v>
      </c>
      <c r="F4646" s="0" t="n">
        <f aca="false">-1+C4646*0.125</f>
        <v>-1</v>
      </c>
      <c r="G4646" s="0" t="n">
        <f aca="false">1</f>
        <v>1</v>
      </c>
      <c r="H4646" s="0" t="n">
        <f aca="false">D4646</f>
        <v>1</v>
      </c>
      <c r="I4646" s="0" t="n">
        <f aca="false">E4646</f>
        <v>-0.875</v>
      </c>
      <c r="J4646" s="0" t="n">
        <f aca="false">F4646</f>
        <v>-1</v>
      </c>
      <c r="K4646" s="0" t="n">
        <f aca="false">D4646*E4646</f>
        <v>-0.875</v>
      </c>
      <c r="L4646" s="0" t="n">
        <f aca="false">D4646*F4646</f>
        <v>-1</v>
      </c>
      <c r="M4646" s="0" t="n">
        <f aca="false">E4646*F4646</f>
        <v>0.875</v>
      </c>
      <c r="N4646" s="0" t="n">
        <f aca="false">D4646*D4646</f>
        <v>1</v>
      </c>
      <c r="O4646" s="0" t="n">
        <f aca="false">E4646*E4646</f>
        <v>0.765625</v>
      </c>
      <c r="P4646" s="0" t="n">
        <f aca="false">F4646*F4646</f>
        <v>1</v>
      </c>
      <c r="Q4646" s="0" t="n">
        <f aca="false">SUMPRODUCT(G4646:P4646,_XtX!$B$71:$K$71)</f>
        <v>42.0748579545455</v>
      </c>
      <c r="R4646" s="0" t="n">
        <f aca="false">SUMPRODUCT(MMULT(G4646:P4646,_XtX!$B$58:$K$67),G4646:P4646)</f>
        <v>0.709818892045455</v>
      </c>
      <c r="S4646" s="0" t="n">
        <f aca="false">04_回帰ANOVA!$K$19*04_回帰ANOVA!$K$14*SQRT(1+R4646)</f>
        <v>1.21574275944458</v>
      </c>
      <c r="T4646" s="0" t="n">
        <f aca="false">Q4646-S4646</f>
        <v>40.8591151951009</v>
      </c>
      <c r="U4646" s="0" t="n">
        <f aca="false">Q4646+S4646</f>
        <v>43.29060071399</v>
      </c>
      <c r="V4646" s="54" t="b">
        <f aca="false">AND(D4646&gt;=01_因子設定!$L$5-0.000000001,D4646&lt;=01_因子設定!$M$5+0.000000001,E4646&gt;=01_因子設定!$L$6-0.000000001,E4646&lt;=01_因子設定!$M$6+0.000000001,F4646&gt;=01_因子設定!$L$7-0.000000001,F4646&lt;=01_因子設定!$M$7+0.000000001,IF(01_因子設定!$B$20="Box-Behnken",D4646^2+E4646^2+F4646^2&lt;=2+0.000000001,TRUE()))</f>
        <v>1</v>
      </c>
      <c r="W4646" s="55" t="n">
        <f aca="false">IF(V4646,IF(01_因子設定!$B$13="最大化",T4646-01_因子設定!$B$14,IF(01_因子設定!$B$13="最小化",01_因子設定!$B$15-U4646,MIN(T4646-01_因子設定!$B$14,01_因子設定!$B$15-U4646))),-1E+030)</f>
        <v>-7.64088480489912</v>
      </c>
      <c r="X4646" s="55" t="n">
        <f aca="false">IF(V4646,IF(01_因子設定!$B$13="最大化",Q4646,IF(01_因子設定!$B$13="最小化",-Q4646,-ABS(Q4646-01_因子設定!$B$16))),-1E+030)</f>
        <v>42.0748579545455</v>
      </c>
      <c r="Y4646" s="55" t="n">
        <f aca="false">W4646+ROW()*0.000000001</f>
        <v>-7.64088015889912</v>
      </c>
      <c r="Z4646" s="55" t="n">
        <f aca="false">X4646+ROW()*0.000000001</f>
        <v>42.0748626005455</v>
      </c>
    </row>
    <row r="4647" customFormat="false" ht="15" hidden="false" customHeight="false" outlineLevel="0" collapsed="false">
      <c r="A4647" s="0" t="n">
        <v>16</v>
      </c>
      <c r="B4647" s="0" t="n">
        <v>1</v>
      </c>
      <c r="C4647" s="0" t="n">
        <v>1</v>
      </c>
      <c r="D4647" s="0" t="n">
        <f aca="false">-1+A4647*0.125</f>
        <v>1</v>
      </c>
      <c r="E4647" s="0" t="n">
        <f aca="false">-1+B4647*0.125</f>
        <v>-0.875</v>
      </c>
      <c r="F4647" s="0" t="n">
        <f aca="false">-1+C4647*0.125</f>
        <v>-0.875</v>
      </c>
      <c r="G4647" s="0" t="n">
        <f aca="false">1</f>
        <v>1</v>
      </c>
      <c r="H4647" s="0" t="n">
        <f aca="false">D4647</f>
        <v>1</v>
      </c>
      <c r="I4647" s="0" t="n">
        <f aca="false">E4647</f>
        <v>-0.875</v>
      </c>
      <c r="J4647" s="0" t="n">
        <f aca="false">F4647</f>
        <v>-0.875</v>
      </c>
      <c r="K4647" s="0" t="n">
        <f aca="false">D4647*E4647</f>
        <v>-0.875</v>
      </c>
      <c r="L4647" s="0" t="n">
        <f aca="false">D4647*F4647</f>
        <v>-0.875</v>
      </c>
      <c r="M4647" s="0" t="n">
        <f aca="false">E4647*F4647</f>
        <v>0.765625</v>
      </c>
      <c r="N4647" s="0" t="n">
        <f aca="false">D4647*D4647</f>
        <v>1</v>
      </c>
      <c r="O4647" s="0" t="n">
        <f aca="false">E4647*E4647</f>
        <v>0.765625</v>
      </c>
      <c r="P4647" s="0" t="n">
        <f aca="false">F4647*F4647</f>
        <v>0.765625</v>
      </c>
      <c r="Q4647" s="0" t="n">
        <f aca="false">SUMPRODUCT(G4647:P4647,_XtX!$B$71:$K$71)</f>
        <v>42.4553125</v>
      </c>
      <c r="R4647" s="0" t="n">
        <f aca="false">SUMPRODUCT(MMULT(G4647:P4647,_XtX!$B$58:$K$67),G4647:P4647)</f>
        <v>0.618341064453125</v>
      </c>
      <c r="S4647" s="0" t="n">
        <f aca="false">04_回帰ANOVA!$K$19*04_回帰ANOVA!$K$14*SQRT(1+R4647)</f>
        <v>1.18277371124466</v>
      </c>
      <c r="T4647" s="0" t="n">
        <f aca="false">Q4647-S4647</f>
        <v>41.2725387887553</v>
      </c>
      <c r="U4647" s="0" t="n">
        <f aca="false">Q4647+S4647</f>
        <v>43.6380862112447</v>
      </c>
      <c r="V4647" s="54" t="b">
        <f aca="false">AND(D4647&gt;=01_因子設定!$L$5-0.000000001,D4647&lt;=01_因子設定!$M$5+0.000000001,E4647&gt;=01_因子設定!$L$6-0.000000001,E4647&lt;=01_因子設定!$M$6+0.000000001,F4647&gt;=01_因子設定!$L$7-0.000000001,F4647&lt;=01_因子設定!$M$7+0.000000001,IF(01_因子設定!$B$20="Box-Behnken",D4647^2+E4647^2+F4647^2&lt;=2+0.000000001,TRUE()))</f>
        <v>1</v>
      </c>
      <c r="W4647" s="55" t="n">
        <f aca="false">IF(V4647,IF(01_因子設定!$B$13="最大化",T4647-01_因子設定!$B$14,IF(01_因子設定!$B$13="最小化",01_因子設定!$B$15-U4647,MIN(T4647-01_因子設定!$B$14,01_因子設定!$B$15-U4647))),-1E+030)</f>
        <v>-7.22746121124466</v>
      </c>
      <c r="X4647" s="55" t="n">
        <f aca="false">IF(V4647,IF(01_因子設定!$B$13="最大化",Q4647,IF(01_因子設定!$B$13="最小化",-Q4647,-ABS(Q4647-01_因子設定!$B$16))),-1E+030)</f>
        <v>42.4553125</v>
      </c>
      <c r="Y4647" s="55" t="n">
        <f aca="false">W4647+ROW()*0.000000001</f>
        <v>-7.22745656424466</v>
      </c>
      <c r="Z4647" s="55" t="n">
        <f aca="false">X4647+ROW()*0.000000001</f>
        <v>42.455317147</v>
      </c>
    </row>
    <row r="4648" customFormat="false" ht="15" hidden="false" customHeight="false" outlineLevel="0" collapsed="false">
      <c r="A4648" s="0" t="n">
        <v>16</v>
      </c>
      <c r="B4648" s="0" t="n">
        <v>1</v>
      </c>
      <c r="C4648" s="0" t="n">
        <v>2</v>
      </c>
      <c r="D4648" s="0" t="n">
        <f aca="false">-1+A4648*0.125</f>
        <v>1</v>
      </c>
      <c r="E4648" s="0" t="n">
        <f aca="false">-1+B4648*0.125</f>
        <v>-0.875</v>
      </c>
      <c r="F4648" s="0" t="n">
        <f aca="false">-1+C4648*0.125</f>
        <v>-0.75</v>
      </c>
      <c r="G4648" s="0" t="n">
        <f aca="false">1</f>
        <v>1</v>
      </c>
      <c r="H4648" s="0" t="n">
        <f aca="false">D4648</f>
        <v>1</v>
      </c>
      <c r="I4648" s="0" t="n">
        <f aca="false">E4648</f>
        <v>-0.875</v>
      </c>
      <c r="J4648" s="0" t="n">
        <f aca="false">F4648</f>
        <v>-0.75</v>
      </c>
      <c r="K4648" s="0" t="n">
        <f aca="false">D4648*E4648</f>
        <v>-0.875</v>
      </c>
      <c r="L4648" s="0" t="n">
        <f aca="false">D4648*F4648</f>
        <v>-0.75</v>
      </c>
      <c r="M4648" s="0" t="n">
        <f aca="false">E4648*F4648</f>
        <v>0.65625</v>
      </c>
      <c r="N4648" s="0" t="n">
        <f aca="false">D4648*D4648</f>
        <v>1</v>
      </c>
      <c r="O4648" s="0" t="n">
        <f aca="false">E4648*E4648</f>
        <v>0.765625</v>
      </c>
      <c r="P4648" s="0" t="n">
        <f aca="false">F4648*F4648</f>
        <v>0.5625</v>
      </c>
      <c r="Q4648" s="0" t="n">
        <f aca="false">SUMPRODUCT(G4648:P4648,_XtX!$B$71:$K$71)</f>
        <v>42.7989772727273</v>
      </c>
      <c r="R4648" s="0" t="n">
        <f aca="false">SUMPRODUCT(MMULT(G4648:P4648,_XtX!$B$58:$K$67),G4648:P4648)</f>
        <v>0.571375621448864</v>
      </c>
      <c r="S4648" s="0" t="n">
        <f aca="false">04_回帰ANOVA!$K$19*04_回帰ANOVA!$K$14*SQRT(1+R4648)</f>
        <v>1.16548487437682</v>
      </c>
      <c r="T4648" s="0" t="n">
        <f aca="false">Q4648-S4648</f>
        <v>41.6334923983505</v>
      </c>
      <c r="U4648" s="0" t="n">
        <f aca="false">Q4648+S4648</f>
        <v>43.9644621471041</v>
      </c>
      <c r="V4648" s="54" t="b">
        <f aca="false">AND(D4648&gt;=01_因子設定!$L$5-0.000000001,D4648&lt;=01_因子設定!$M$5+0.000000001,E4648&gt;=01_因子設定!$L$6-0.000000001,E4648&lt;=01_因子設定!$M$6+0.000000001,F4648&gt;=01_因子設定!$L$7-0.000000001,F4648&lt;=01_因子設定!$M$7+0.000000001,IF(01_因子設定!$B$20="Box-Behnken",D4648^2+E4648^2+F4648^2&lt;=2+0.000000001,TRUE()))</f>
        <v>1</v>
      </c>
      <c r="W4648" s="55" t="n">
        <f aca="false">IF(V4648,IF(01_因子設定!$B$13="最大化",T4648-01_因子設定!$B$14,IF(01_因子設定!$B$13="最小化",01_因子設定!$B$15-U4648,MIN(T4648-01_因子設定!$B$14,01_因子設定!$B$15-U4648))),-1E+030)</f>
        <v>-6.86650760164954</v>
      </c>
      <c r="X4648" s="55" t="n">
        <f aca="false">IF(V4648,IF(01_因子設定!$B$13="最大化",Q4648,IF(01_因子設定!$B$13="最小化",-Q4648,-ABS(Q4648-01_因子設定!$B$16))),-1E+030)</f>
        <v>42.7989772727273</v>
      </c>
      <c r="Y4648" s="55" t="n">
        <f aca="false">W4648+ROW()*0.000000001</f>
        <v>-6.86650295364954</v>
      </c>
      <c r="Z4648" s="55" t="n">
        <f aca="false">X4648+ROW()*0.000000001</f>
        <v>42.7989819207273</v>
      </c>
    </row>
    <row r="4649" customFormat="false" ht="15" hidden="false" customHeight="false" outlineLevel="0" collapsed="false">
      <c r="A4649" s="0" t="n">
        <v>16</v>
      </c>
      <c r="B4649" s="0" t="n">
        <v>1</v>
      </c>
      <c r="C4649" s="0" t="n">
        <v>3</v>
      </c>
      <c r="D4649" s="0" t="n">
        <f aca="false">-1+A4649*0.125</f>
        <v>1</v>
      </c>
      <c r="E4649" s="0" t="n">
        <f aca="false">-1+B4649*0.125</f>
        <v>-0.875</v>
      </c>
      <c r="F4649" s="0" t="n">
        <f aca="false">-1+C4649*0.125</f>
        <v>-0.625</v>
      </c>
      <c r="G4649" s="0" t="n">
        <f aca="false">1</f>
        <v>1</v>
      </c>
      <c r="H4649" s="0" t="n">
        <f aca="false">D4649</f>
        <v>1</v>
      </c>
      <c r="I4649" s="0" t="n">
        <f aca="false">E4649</f>
        <v>-0.875</v>
      </c>
      <c r="J4649" s="0" t="n">
        <f aca="false">F4649</f>
        <v>-0.625</v>
      </c>
      <c r="K4649" s="0" t="n">
        <f aca="false">D4649*E4649</f>
        <v>-0.875</v>
      </c>
      <c r="L4649" s="0" t="n">
        <f aca="false">D4649*F4649</f>
        <v>-0.625</v>
      </c>
      <c r="M4649" s="0" t="n">
        <f aca="false">E4649*F4649</f>
        <v>0.546875</v>
      </c>
      <c r="N4649" s="0" t="n">
        <f aca="false">D4649*D4649</f>
        <v>1</v>
      </c>
      <c r="O4649" s="0" t="n">
        <f aca="false">E4649*E4649</f>
        <v>0.765625</v>
      </c>
      <c r="P4649" s="0" t="n">
        <f aca="false">F4649*F4649</f>
        <v>0.390625</v>
      </c>
      <c r="Q4649" s="0" t="n">
        <f aca="false">SUMPRODUCT(G4649:P4649,_XtX!$B$71:$K$71)</f>
        <v>43.1058522727273</v>
      </c>
      <c r="R4649" s="0" t="n">
        <f aca="false">SUMPRODUCT(MMULT(G4649:P4649,_XtX!$B$58:$K$67),G4649:P4649)</f>
        <v>0.555073131214489</v>
      </c>
      <c r="S4649" s="0" t="n">
        <f aca="false">04_回帰ANOVA!$K$19*04_回帰ANOVA!$K$14*SQRT(1+R4649)</f>
        <v>1.15942335628341</v>
      </c>
      <c r="T4649" s="0" t="n">
        <f aca="false">Q4649-S4649</f>
        <v>41.9464289164439</v>
      </c>
      <c r="U4649" s="0" t="n">
        <f aca="false">Q4649+S4649</f>
        <v>44.2652756290107</v>
      </c>
      <c r="V4649" s="54" t="b">
        <f aca="false">AND(D4649&gt;=01_因子設定!$L$5-0.000000001,D4649&lt;=01_因子設定!$M$5+0.000000001,E4649&gt;=01_因子設定!$L$6-0.000000001,E4649&lt;=01_因子設定!$M$6+0.000000001,F4649&gt;=01_因子設定!$L$7-0.000000001,F4649&lt;=01_因子設定!$M$7+0.000000001,IF(01_因子設定!$B$20="Box-Behnken",D4649^2+E4649^2+F4649^2&lt;=2+0.000000001,TRUE()))</f>
        <v>1</v>
      </c>
      <c r="W4649" s="55" t="n">
        <f aca="false">IF(V4649,IF(01_因子設定!$B$13="最大化",T4649-01_因子設定!$B$14,IF(01_因子設定!$B$13="最小化",01_因子設定!$B$15-U4649,MIN(T4649-01_因子設定!$B$14,01_因子設定!$B$15-U4649))),-1E+030)</f>
        <v>-6.55357108355613</v>
      </c>
      <c r="X4649" s="55" t="n">
        <f aca="false">IF(V4649,IF(01_因子設定!$B$13="最大化",Q4649,IF(01_因子設定!$B$13="最小化",-Q4649,-ABS(Q4649-01_因子設定!$B$16))),-1E+030)</f>
        <v>43.1058522727273</v>
      </c>
      <c r="Y4649" s="55" t="n">
        <f aca="false">W4649+ROW()*0.000000001</f>
        <v>-6.55356643455613</v>
      </c>
      <c r="Z4649" s="55" t="n">
        <f aca="false">X4649+ROW()*0.000000001</f>
        <v>43.1058569217273</v>
      </c>
    </row>
    <row r="4650" customFormat="false" ht="15" hidden="false" customHeight="false" outlineLevel="0" collapsed="false">
      <c r="A4650" s="0" t="n">
        <v>16</v>
      </c>
      <c r="B4650" s="0" t="n">
        <v>1</v>
      </c>
      <c r="C4650" s="0" t="n">
        <v>4</v>
      </c>
      <c r="D4650" s="0" t="n">
        <f aca="false">-1+A4650*0.125</f>
        <v>1</v>
      </c>
      <c r="E4650" s="0" t="n">
        <f aca="false">-1+B4650*0.125</f>
        <v>-0.875</v>
      </c>
      <c r="F4650" s="0" t="n">
        <f aca="false">-1+C4650*0.125</f>
        <v>-0.5</v>
      </c>
      <c r="G4650" s="0" t="n">
        <f aca="false">1</f>
        <v>1</v>
      </c>
      <c r="H4650" s="0" t="n">
        <f aca="false">D4650</f>
        <v>1</v>
      </c>
      <c r="I4650" s="0" t="n">
        <f aca="false">E4650</f>
        <v>-0.875</v>
      </c>
      <c r="J4650" s="0" t="n">
        <f aca="false">F4650</f>
        <v>-0.5</v>
      </c>
      <c r="K4650" s="0" t="n">
        <f aca="false">D4650*E4650</f>
        <v>-0.875</v>
      </c>
      <c r="L4650" s="0" t="n">
        <f aca="false">D4650*F4650</f>
        <v>-0.5</v>
      </c>
      <c r="M4650" s="0" t="n">
        <f aca="false">E4650*F4650</f>
        <v>0.4375</v>
      </c>
      <c r="N4650" s="0" t="n">
        <f aca="false">D4650*D4650</f>
        <v>1</v>
      </c>
      <c r="O4650" s="0" t="n">
        <f aca="false">E4650*E4650</f>
        <v>0.765625</v>
      </c>
      <c r="P4650" s="0" t="n">
        <f aca="false">F4650*F4650</f>
        <v>0.25</v>
      </c>
      <c r="Q4650" s="0" t="n">
        <f aca="false">SUMPRODUCT(G4650:P4650,_XtX!$B$71:$K$71)</f>
        <v>43.3759375</v>
      </c>
      <c r="R4650" s="0" t="n">
        <f aca="false">SUMPRODUCT(MMULT(G4650:P4650,_XtX!$B$58:$K$67),G4650:P4650)</f>
        <v>0.55771484375</v>
      </c>
      <c r="S4650" s="0" t="n">
        <f aca="false">04_回帰ANOVA!$K$19*04_回帰ANOVA!$K$14*SQRT(1+R4650)</f>
        <v>1.16040773556467</v>
      </c>
      <c r="T4650" s="0" t="n">
        <f aca="false">Q4650-S4650</f>
        <v>42.2155297644353</v>
      </c>
      <c r="U4650" s="0" t="n">
        <f aca="false">Q4650+S4650</f>
        <v>44.5363452355647</v>
      </c>
      <c r="V4650" s="54" t="b">
        <f aca="false">AND(D4650&gt;=01_因子設定!$L$5-0.000000001,D4650&lt;=01_因子設定!$M$5+0.000000001,E4650&gt;=01_因子設定!$L$6-0.000000001,E4650&lt;=01_因子設定!$M$6+0.000000001,F4650&gt;=01_因子設定!$L$7-0.000000001,F4650&lt;=01_因子設定!$M$7+0.000000001,IF(01_因子設定!$B$20="Box-Behnken",D4650^2+E4650^2+F4650^2&lt;=2+0.000000001,TRUE()))</f>
        <v>1</v>
      </c>
      <c r="W4650" s="55" t="n">
        <f aca="false">IF(V4650,IF(01_因子設定!$B$13="最大化",T4650-01_因子設定!$B$14,IF(01_因子設定!$B$13="最小化",01_因子設定!$B$15-U4650,MIN(T4650-01_因子設定!$B$14,01_因子設定!$B$15-U4650))),-1E+030)</f>
        <v>-6.28447023556468</v>
      </c>
      <c r="X4650" s="55" t="n">
        <f aca="false">IF(V4650,IF(01_因子設定!$B$13="最大化",Q4650,IF(01_因子設定!$B$13="最小化",-Q4650,-ABS(Q4650-01_因子設定!$B$16))),-1E+030)</f>
        <v>43.3759375</v>
      </c>
      <c r="Y4650" s="55" t="n">
        <f aca="false">W4650+ROW()*0.000000001</f>
        <v>-6.28446558556468</v>
      </c>
      <c r="Z4650" s="55" t="n">
        <f aca="false">X4650+ROW()*0.000000001</f>
        <v>43.37594215</v>
      </c>
    </row>
    <row r="4651" customFormat="false" ht="15" hidden="false" customHeight="false" outlineLevel="0" collapsed="false">
      <c r="A4651" s="0" t="n">
        <v>16</v>
      </c>
      <c r="B4651" s="0" t="n">
        <v>1</v>
      </c>
      <c r="C4651" s="0" t="n">
        <v>5</v>
      </c>
      <c r="D4651" s="0" t="n">
        <f aca="false">-1+A4651*0.125</f>
        <v>1</v>
      </c>
      <c r="E4651" s="0" t="n">
        <f aca="false">-1+B4651*0.125</f>
        <v>-0.875</v>
      </c>
      <c r="F4651" s="0" t="n">
        <f aca="false">-1+C4651*0.125</f>
        <v>-0.375</v>
      </c>
      <c r="G4651" s="0" t="n">
        <f aca="false">1</f>
        <v>1</v>
      </c>
      <c r="H4651" s="0" t="n">
        <f aca="false">D4651</f>
        <v>1</v>
      </c>
      <c r="I4651" s="0" t="n">
        <f aca="false">E4651</f>
        <v>-0.875</v>
      </c>
      <c r="J4651" s="0" t="n">
        <f aca="false">F4651</f>
        <v>-0.375</v>
      </c>
      <c r="K4651" s="0" t="n">
        <f aca="false">D4651*E4651</f>
        <v>-0.875</v>
      </c>
      <c r="L4651" s="0" t="n">
        <f aca="false">D4651*F4651</f>
        <v>-0.375</v>
      </c>
      <c r="M4651" s="0" t="n">
        <f aca="false">E4651*F4651</f>
        <v>0.328125</v>
      </c>
      <c r="N4651" s="0" t="n">
        <f aca="false">D4651*D4651</f>
        <v>1</v>
      </c>
      <c r="O4651" s="0" t="n">
        <f aca="false">E4651*E4651</f>
        <v>0.765625</v>
      </c>
      <c r="P4651" s="0" t="n">
        <f aca="false">F4651*F4651</f>
        <v>0.140625</v>
      </c>
      <c r="Q4651" s="0" t="n">
        <f aca="false">SUMPRODUCT(G4651:P4651,_XtX!$B$71:$K$71)</f>
        <v>43.6092329545455</v>
      </c>
      <c r="R4651" s="0" t="n">
        <f aca="false">SUMPRODUCT(MMULT(G4651:P4651,_XtX!$B$58:$K$67),G4651:P4651)</f>
        <v>0.56971269087358</v>
      </c>
      <c r="S4651" s="0" t="n">
        <f aca="false">04_回帰ANOVA!$K$19*04_回帰ANOVA!$K$14*SQRT(1+R4651)</f>
        <v>1.16486801567081</v>
      </c>
      <c r="T4651" s="0" t="n">
        <f aca="false">Q4651-S4651</f>
        <v>42.4443649388746</v>
      </c>
      <c r="U4651" s="0" t="n">
        <f aca="false">Q4651+S4651</f>
        <v>44.7741009702163</v>
      </c>
      <c r="V4651" s="54" t="b">
        <f aca="false">AND(D4651&gt;=01_因子設定!$L$5-0.000000001,D4651&lt;=01_因子設定!$M$5+0.000000001,E4651&gt;=01_因子設定!$L$6-0.000000001,E4651&lt;=01_因子設定!$M$6+0.000000001,F4651&gt;=01_因子設定!$L$7-0.000000001,F4651&lt;=01_因子設定!$M$7+0.000000001,IF(01_因子設定!$B$20="Box-Behnken",D4651^2+E4651^2+F4651^2&lt;=2+0.000000001,TRUE()))</f>
        <v>1</v>
      </c>
      <c r="W4651" s="55" t="n">
        <f aca="false">IF(V4651,IF(01_因子設定!$B$13="最大化",T4651-01_因子設定!$B$14,IF(01_因子設定!$B$13="最小化",01_因子設定!$B$15-U4651,MIN(T4651-01_因子設定!$B$14,01_因子設定!$B$15-U4651))),-1E+030)</f>
        <v>-6.05563506112536</v>
      </c>
      <c r="X4651" s="55" t="n">
        <f aca="false">IF(V4651,IF(01_因子設定!$B$13="最大化",Q4651,IF(01_因子設定!$B$13="最小化",-Q4651,-ABS(Q4651-01_因子設定!$B$16))),-1E+030)</f>
        <v>43.6092329545455</v>
      </c>
      <c r="Y4651" s="55" t="n">
        <f aca="false">W4651+ROW()*0.000000001</f>
        <v>-6.05563041012536</v>
      </c>
      <c r="Z4651" s="55" t="n">
        <f aca="false">X4651+ROW()*0.000000001</f>
        <v>43.6092376055454</v>
      </c>
    </row>
    <row r="4652" customFormat="false" ht="15" hidden="false" customHeight="false" outlineLevel="0" collapsed="false">
      <c r="A4652" s="0" t="n">
        <v>16</v>
      </c>
      <c r="B4652" s="0" t="n">
        <v>1</v>
      </c>
      <c r="C4652" s="0" t="n">
        <v>6</v>
      </c>
      <c r="D4652" s="0" t="n">
        <f aca="false">-1+A4652*0.125</f>
        <v>1</v>
      </c>
      <c r="E4652" s="0" t="n">
        <f aca="false">-1+B4652*0.125</f>
        <v>-0.875</v>
      </c>
      <c r="F4652" s="0" t="n">
        <f aca="false">-1+C4652*0.125</f>
        <v>-0.25</v>
      </c>
      <c r="G4652" s="0" t="n">
        <f aca="false">1</f>
        <v>1</v>
      </c>
      <c r="H4652" s="0" t="n">
        <f aca="false">D4652</f>
        <v>1</v>
      </c>
      <c r="I4652" s="0" t="n">
        <f aca="false">E4652</f>
        <v>-0.875</v>
      </c>
      <c r="J4652" s="0" t="n">
        <f aca="false">F4652</f>
        <v>-0.25</v>
      </c>
      <c r="K4652" s="0" t="n">
        <f aca="false">D4652*E4652</f>
        <v>-0.875</v>
      </c>
      <c r="L4652" s="0" t="n">
        <f aca="false">D4652*F4652</f>
        <v>-0.25</v>
      </c>
      <c r="M4652" s="0" t="n">
        <f aca="false">E4652*F4652</f>
        <v>0.21875</v>
      </c>
      <c r="N4652" s="0" t="n">
        <f aca="false">D4652*D4652</f>
        <v>1</v>
      </c>
      <c r="O4652" s="0" t="n">
        <f aca="false">E4652*E4652</f>
        <v>0.765625</v>
      </c>
      <c r="P4652" s="0" t="n">
        <f aca="false">F4652*F4652</f>
        <v>0.0625</v>
      </c>
      <c r="Q4652" s="0" t="n">
        <f aca="false">SUMPRODUCT(G4652:P4652,_XtX!$B$71:$K$71)</f>
        <v>43.8057386363636</v>
      </c>
      <c r="R4652" s="0" t="n">
        <f aca="false">SUMPRODUCT(MMULT(G4652:P4652,_XtX!$B$58:$K$67),G4652:P4652)</f>
        <v>0.583609286221591</v>
      </c>
      <c r="S4652" s="0" t="n">
        <f aca="false">04_回帰ANOVA!$K$19*04_回帰ANOVA!$K$14*SQRT(1+R4652)</f>
        <v>1.1700129157584</v>
      </c>
      <c r="T4652" s="0" t="n">
        <f aca="false">Q4652-S4652</f>
        <v>42.6357257206052</v>
      </c>
      <c r="U4652" s="0" t="n">
        <f aca="false">Q4652+S4652</f>
        <v>44.975751552122</v>
      </c>
      <c r="V4652" s="54" t="b">
        <f aca="false">AND(D4652&gt;=01_因子設定!$L$5-0.000000001,D4652&lt;=01_因子設定!$M$5+0.000000001,E4652&gt;=01_因子設定!$L$6-0.000000001,E4652&lt;=01_因子設定!$M$6+0.000000001,F4652&gt;=01_因子設定!$L$7-0.000000001,F4652&lt;=01_因子設定!$M$7+0.000000001,IF(01_因子設定!$B$20="Box-Behnken",D4652^2+E4652^2+F4652^2&lt;=2+0.000000001,TRUE()))</f>
        <v>1</v>
      </c>
      <c r="W4652" s="55" t="n">
        <f aca="false">IF(V4652,IF(01_因子設定!$B$13="最大化",T4652-01_因子設定!$B$14,IF(01_因子設定!$B$13="最小化",01_因子設定!$B$15-U4652,MIN(T4652-01_因子設定!$B$14,01_因子設定!$B$15-U4652))),-1E+030)</f>
        <v>-5.86427427939476</v>
      </c>
      <c r="X4652" s="55" t="n">
        <f aca="false">IF(V4652,IF(01_因子設定!$B$13="最大化",Q4652,IF(01_因子設定!$B$13="最小化",-Q4652,-ABS(Q4652-01_因子設定!$B$16))),-1E+030)</f>
        <v>43.8057386363636</v>
      </c>
      <c r="Y4652" s="55" t="n">
        <f aca="false">W4652+ROW()*0.000000001</f>
        <v>-5.86426962739476</v>
      </c>
      <c r="Z4652" s="55" t="n">
        <f aca="false">X4652+ROW()*0.000000001</f>
        <v>43.8057432883636</v>
      </c>
    </row>
    <row r="4653" customFormat="false" ht="15" hidden="false" customHeight="false" outlineLevel="0" collapsed="false">
      <c r="A4653" s="0" t="n">
        <v>16</v>
      </c>
      <c r="B4653" s="0" t="n">
        <v>1</v>
      </c>
      <c r="C4653" s="0" t="n">
        <v>7</v>
      </c>
      <c r="D4653" s="0" t="n">
        <f aca="false">-1+A4653*0.125</f>
        <v>1</v>
      </c>
      <c r="E4653" s="0" t="n">
        <f aca="false">-1+B4653*0.125</f>
        <v>-0.875</v>
      </c>
      <c r="F4653" s="0" t="n">
        <f aca="false">-1+C4653*0.125</f>
        <v>-0.125</v>
      </c>
      <c r="G4653" s="0" t="n">
        <f aca="false">1</f>
        <v>1</v>
      </c>
      <c r="H4653" s="0" t="n">
        <f aca="false">D4653</f>
        <v>1</v>
      </c>
      <c r="I4653" s="0" t="n">
        <f aca="false">E4653</f>
        <v>-0.875</v>
      </c>
      <c r="J4653" s="0" t="n">
        <f aca="false">F4653</f>
        <v>-0.125</v>
      </c>
      <c r="K4653" s="0" t="n">
        <f aca="false">D4653*E4653</f>
        <v>-0.875</v>
      </c>
      <c r="L4653" s="0" t="n">
        <f aca="false">D4653*F4653</f>
        <v>-0.125</v>
      </c>
      <c r="M4653" s="0" t="n">
        <f aca="false">E4653*F4653</f>
        <v>0.109375</v>
      </c>
      <c r="N4653" s="0" t="n">
        <f aca="false">D4653*D4653</f>
        <v>1</v>
      </c>
      <c r="O4653" s="0" t="n">
        <f aca="false">E4653*E4653</f>
        <v>0.765625</v>
      </c>
      <c r="P4653" s="0" t="n">
        <f aca="false">F4653*F4653</f>
        <v>0.015625</v>
      </c>
      <c r="Q4653" s="0" t="n">
        <f aca="false">SUMPRODUCT(G4653:P4653,_XtX!$B$71:$K$71)</f>
        <v>43.9654545454545</v>
      </c>
      <c r="R4653" s="0" t="n">
        <f aca="false">SUMPRODUCT(MMULT(G4653:P4653,_XtX!$B$58:$K$67),G4653:P4653)</f>
        <v>0.59407792524858</v>
      </c>
      <c r="S4653" s="0" t="n">
        <f aca="false">04_回帰ANOVA!$K$19*04_回帰ANOVA!$K$14*SQRT(1+R4653)</f>
        <v>1.17387380087722</v>
      </c>
      <c r="T4653" s="0" t="n">
        <f aca="false">Q4653-S4653</f>
        <v>42.7915807445773</v>
      </c>
      <c r="U4653" s="0" t="n">
        <f aca="false">Q4653+S4653</f>
        <v>45.1393283463318</v>
      </c>
      <c r="V4653" s="54" t="b">
        <f aca="false">AND(D4653&gt;=01_因子設定!$L$5-0.000000001,D4653&lt;=01_因子設定!$M$5+0.000000001,E4653&gt;=01_因子設定!$L$6-0.000000001,E4653&lt;=01_因子設定!$M$6+0.000000001,F4653&gt;=01_因子設定!$L$7-0.000000001,F4653&lt;=01_因子設定!$M$7+0.000000001,IF(01_因子設定!$B$20="Box-Behnken",D4653^2+E4653^2+F4653^2&lt;=2+0.000000001,TRUE()))</f>
        <v>1</v>
      </c>
      <c r="W4653" s="55" t="n">
        <f aca="false">IF(V4653,IF(01_因子設定!$B$13="最大化",T4653-01_因子設定!$B$14,IF(01_因子設定!$B$13="最小化",01_因子設定!$B$15-U4653,MIN(T4653-01_因子設定!$B$14,01_因子設定!$B$15-U4653))),-1E+030)</f>
        <v>-5.70841925542268</v>
      </c>
      <c r="X4653" s="55" t="n">
        <f aca="false">IF(V4653,IF(01_因子設定!$B$13="最大化",Q4653,IF(01_因子設定!$B$13="最小化",-Q4653,-ABS(Q4653-01_因子設定!$B$16))),-1E+030)</f>
        <v>43.9654545454545</v>
      </c>
      <c r="Y4653" s="55" t="n">
        <f aca="false">W4653+ROW()*0.000000001</f>
        <v>-5.70841460242268</v>
      </c>
      <c r="Z4653" s="55" t="n">
        <f aca="false">X4653+ROW()*0.000000001</f>
        <v>43.9654591984545</v>
      </c>
    </row>
    <row r="4654" customFormat="false" ht="15" hidden="false" customHeight="false" outlineLevel="0" collapsed="false">
      <c r="A4654" s="0" t="n">
        <v>16</v>
      </c>
      <c r="B4654" s="0" t="n">
        <v>1</v>
      </c>
      <c r="C4654" s="0" t="n">
        <v>8</v>
      </c>
      <c r="D4654" s="0" t="n">
        <f aca="false">-1+A4654*0.125</f>
        <v>1</v>
      </c>
      <c r="E4654" s="0" t="n">
        <f aca="false">-1+B4654*0.125</f>
        <v>-0.875</v>
      </c>
      <c r="F4654" s="0" t="n">
        <f aca="false">-1+C4654*0.125</f>
        <v>0</v>
      </c>
      <c r="G4654" s="0" t="n">
        <f aca="false">1</f>
        <v>1</v>
      </c>
      <c r="H4654" s="0" t="n">
        <f aca="false">D4654</f>
        <v>1</v>
      </c>
      <c r="I4654" s="0" t="n">
        <f aca="false">E4654</f>
        <v>-0.875</v>
      </c>
      <c r="J4654" s="0" t="n">
        <f aca="false">F4654</f>
        <v>0</v>
      </c>
      <c r="K4654" s="0" t="n">
        <f aca="false">D4654*E4654</f>
        <v>-0.875</v>
      </c>
      <c r="L4654" s="0" t="n">
        <f aca="false">D4654*F4654</f>
        <v>0</v>
      </c>
      <c r="M4654" s="0" t="n">
        <f aca="false">E4654*F4654</f>
        <v>-0</v>
      </c>
      <c r="N4654" s="0" t="n">
        <f aca="false">D4654*D4654</f>
        <v>1</v>
      </c>
      <c r="O4654" s="0" t="n">
        <f aca="false">E4654*E4654</f>
        <v>0.765625</v>
      </c>
      <c r="P4654" s="0" t="n">
        <f aca="false">F4654*F4654</f>
        <v>0</v>
      </c>
      <c r="Q4654" s="0" t="n">
        <f aca="false">SUMPRODUCT(G4654:P4654,_XtX!$B$71:$K$71)</f>
        <v>44.0883806818182</v>
      </c>
      <c r="R4654" s="0" t="n">
        <f aca="false">SUMPRODUCT(MMULT(G4654:P4654,_XtX!$B$58:$K$67),G4654:P4654)</f>
        <v>0.597922585227273</v>
      </c>
      <c r="S4654" s="0" t="n">
        <f aca="false">04_回帰ANOVA!$K$19*04_回帰ANOVA!$K$14*SQRT(1+R4654)</f>
        <v>1.17528854591003</v>
      </c>
      <c r="T4654" s="0" t="n">
        <f aca="false">Q4654-S4654</f>
        <v>42.9130921359081</v>
      </c>
      <c r="U4654" s="0" t="n">
        <f aca="false">Q4654+S4654</f>
        <v>45.2636692277282</v>
      </c>
      <c r="V4654" s="54" t="b">
        <f aca="false">AND(D4654&gt;=01_因子設定!$L$5-0.000000001,D4654&lt;=01_因子設定!$M$5+0.000000001,E4654&gt;=01_因子設定!$L$6-0.000000001,E4654&lt;=01_因子設定!$M$6+0.000000001,F4654&gt;=01_因子設定!$L$7-0.000000001,F4654&lt;=01_因子設定!$M$7+0.000000001,IF(01_因子設定!$B$20="Box-Behnken",D4654^2+E4654^2+F4654^2&lt;=2+0.000000001,TRUE()))</f>
        <v>1</v>
      </c>
      <c r="W4654" s="55" t="n">
        <f aca="false">IF(V4654,IF(01_因子設定!$B$13="最大化",T4654-01_因子設定!$B$14,IF(01_因子設定!$B$13="最小化",01_因子設定!$B$15-U4654,MIN(T4654-01_因子設定!$B$14,01_因子設定!$B$15-U4654))),-1E+030)</f>
        <v>-5.58690786409186</v>
      </c>
      <c r="X4654" s="55" t="n">
        <f aca="false">IF(V4654,IF(01_因子設定!$B$13="最大化",Q4654,IF(01_因子設定!$B$13="最小化",-Q4654,-ABS(Q4654-01_因子設定!$B$16))),-1E+030)</f>
        <v>44.0883806818182</v>
      </c>
      <c r="Y4654" s="55" t="n">
        <f aca="false">W4654+ROW()*0.000000001</f>
        <v>-5.58690321009186</v>
      </c>
      <c r="Z4654" s="55" t="n">
        <f aca="false">X4654+ROW()*0.000000001</f>
        <v>44.0883853358182</v>
      </c>
    </row>
    <row r="4655" customFormat="false" ht="15" hidden="false" customHeight="false" outlineLevel="0" collapsed="false">
      <c r="A4655" s="0" t="n">
        <v>16</v>
      </c>
      <c r="B4655" s="0" t="n">
        <v>1</v>
      </c>
      <c r="C4655" s="0" t="n">
        <v>9</v>
      </c>
      <c r="D4655" s="0" t="n">
        <f aca="false">-1+A4655*0.125</f>
        <v>1</v>
      </c>
      <c r="E4655" s="0" t="n">
        <f aca="false">-1+B4655*0.125</f>
        <v>-0.875</v>
      </c>
      <c r="F4655" s="0" t="n">
        <f aca="false">-1+C4655*0.125</f>
        <v>0.125</v>
      </c>
      <c r="G4655" s="0" t="n">
        <f aca="false">1</f>
        <v>1</v>
      </c>
      <c r="H4655" s="0" t="n">
        <f aca="false">D4655</f>
        <v>1</v>
      </c>
      <c r="I4655" s="0" t="n">
        <f aca="false">E4655</f>
        <v>-0.875</v>
      </c>
      <c r="J4655" s="0" t="n">
        <f aca="false">F4655</f>
        <v>0.125</v>
      </c>
      <c r="K4655" s="0" t="n">
        <f aca="false">D4655*E4655</f>
        <v>-0.875</v>
      </c>
      <c r="L4655" s="0" t="n">
        <f aca="false">D4655*F4655</f>
        <v>0.125</v>
      </c>
      <c r="M4655" s="0" t="n">
        <f aca="false">E4655*F4655</f>
        <v>-0.109375</v>
      </c>
      <c r="N4655" s="0" t="n">
        <f aca="false">D4655*D4655</f>
        <v>1</v>
      </c>
      <c r="O4655" s="0" t="n">
        <f aca="false">E4655*E4655</f>
        <v>0.765625</v>
      </c>
      <c r="P4655" s="0" t="n">
        <f aca="false">F4655*F4655</f>
        <v>0.015625</v>
      </c>
      <c r="Q4655" s="0" t="n">
        <f aca="false">SUMPRODUCT(G4655:P4655,_XtX!$B$71:$K$71)</f>
        <v>44.1745170454545</v>
      </c>
      <c r="R4655" s="0" t="n">
        <f aca="false">SUMPRODUCT(MMULT(G4655:P4655,_XtX!$B$58:$K$67),G4655:P4655)</f>
        <v>0.59407792524858</v>
      </c>
      <c r="S4655" s="0" t="n">
        <f aca="false">04_回帰ANOVA!$K$19*04_回帰ANOVA!$K$14*SQRT(1+R4655)</f>
        <v>1.17387380087722</v>
      </c>
      <c r="T4655" s="0" t="n">
        <f aca="false">Q4655-S4655</f>
        <v>43.0006432445773</v>
      </c>
      <c r="U4655" s="0" t="n">
        <f aca="false">Q4655+S4655</f>
        <v>45.3483908463318</v>
      </c>
      <c r="V4655" s="54" t="b">
        <f aca="false">AND(D4655&gt;=01_因子設定!$L$5-0.000000001,D4655&lt;=01_因子設定!$M$5+0.000000001,E4655&gt;=01_因子設定!$L$6-0.000000001,E4655&lt;=01_因子設定!$M$6+0.000000001,F4655&gt;=01_因子設定!$L$7-0.000000001,F4655&lt;=01_因子設定!$M$7+0.000000001,IF(01_因子設定!$B$20="Box-Behnken",D4655^2+E4655^2+F4655^2&lt;=2+0.000000001,TRUE()))</f>
        <v>1</v>
      </c>
      <c r="W4655" s="55" t="n">
        <f aca="false">IF(V4655,IF(01_因子設定!$B$13="最大化",T4655-01_因子設定!$B$14,IF(01_因子設定!$B$13="最小化",01_因子設定!$B$15-U4655,MIN(T4655-01_因子設定!$B$14,01_因子設定!$B$15-U4655))),-1E+030)</f>
        <v>-5.49935675542268</v>
      </c>
      <c r="X4655" s="55" t="n">
        <f aca="false">IF(V4655,IF(01_因子設定!$B$13="最大化",Q4655,IF(01_因子設定!$B$13="最小化",-Q4655,-ABS(Q4655-01_因子設定!$B$16))),-1E+030)</f>
        <v>44.1745170454545</v>
      </c>
      <c r="Y4655" s="55" t="n">
        <f aca="false">W4655+ROW()*0.000000001</f>
        <v>-5.49935210042268</v>
      </c>
      <c r="Z4655" s="55" t="n">
        <f aca="false">X4655+ROW()*0.000000001</f>
        <v>44.1745217004545</v>
      </c>
    </row>
    <row r="4656" customFormat="false" ht="15" hidden="false" customHeight="false" outlineLevel="0" collapsed="false">
      <c r="A4656" s="0" t="n">
        <v>16</v>
      </c>
      <c r="B4656" s="0" t="n">
        <v>1</v>
      </c>
      <c r="C4656" s="0" t="n">
        <v>10</v>
      </c>
      <c r="D4656" s="0" t="n">
        <f aca="false">-1+A4656*0.125</f>
        <v>1</v>
      </c>
      <c r="E4656" s="0" t="n">
        <f aca="false">-1+B4656*0.125</f>
        <v>-0.875</v>
      </c>
      <c r="F4656" s="0" t="n">
        <f aca="false">-1+C4656*0.125</f>
        <v>0.25</v>
      </c>
      <c r="G4656" s="0" t="n">
        <f aca="false">1</f>
        <v>1</v>
      </c>
      <c r="H4656" s="0" t="n">
        <f aca="false">D4656</f>
        <v>1</v>
      </c>
      <c r="I4656" s="0" t="n">
        <f aca="false">E4656</f>
        <v>-0.875</v>
      </c>
      <c r="J4656" s="0" t="n">
        <f aca="false">F4656</f>
        <v>0.25</v>
      </c>
      <c r="K4656" s="0" t="n">
        <f aca="false">D4656*E4656</f>
        <v>-0.875</v>
      </c>
      <c r="L4656" s="0" t="n">
        <f aca="false">D4656*F4656</f>
        <v>0.25</v>
      </c>
      <c r="M4656" s="0" t="n">
        <f aca="false">E4656*F4656</f>
        <v>-0.21875</v>
      </c>
      <c r="N4656" s="0" t="n">
        <f aca="false">D4656*D4656</f>
        <v>1</v>
      </c>
      <c r="O4656" s="0" t="n">
        <f aca="false">E4656*E4656</f>
        <v>0.765625</v>
      </c>
      <c r="P4656" s="0" t="n">
        <f aca="false">F4656*F4656</f>
        <v>0.0625</v>
      </c>
      <c r="Q4656" s="0" t="n">
        <f aca="false">SUMPRODUCT(G4656:P4656,_XtX!$B$71:$K$71)</f>
        <v>44.2238636363636</v>
      </c>
      <c r="R4656" s="0" t="n">
        <f aca="false">SUMPRODUCT(MMULT(G4656:P4656,_XtX!$B$58:$K$67),G4656:P4656)</f>
        <v>0.583609286221591</v>
      </c>
      <c r="S4656" s="0" t="n">
        <f aca="false">04_回帰ANOVA!$K$19*04_回帰ANOVA!$K$14*SQRT(1+R4656)</f>
        <v>1.1700129157584</v>
      </c>
      <c r="T4656" s="0" t="n">
        <f aca="false">Q4656-S4656</f>
        <v>43.0538507206052</v>
      </c>
      <c r="U4656" s="0" t="n">
        <f aca="false">Q4656+S4656</f>
        <v>45.393876552122</v>
      </c>
      <c r="V4656" s="54" t="b">
        <f aca="false">AND(D4656&gt;=01_因子設定!$L$5-0.000000001,D4656&lt;=01_因子設定!$M$5+0.000000001,E4656&gt;=01_因子設定!$L$6-0.000000001,E4656&lt;=01_因子設定!$M$6+0.000000001,F4656&gt;=01_因子設定!$L$7-0.000000001,F4656&lt;=01_因子設定!$M$7+0.000000001,IF(01_因子設定!$B$20="Box-Behnken",D4656^2+E4656^2+F4656^2&lt;=2+0.000000001,TRUE()))</f>
        <v>1</v>
      </c>
      <c r="W4656" s="55" t="n">
        <f aca="false">IF(V4656,IF(01_因子設定!$B$13="最大化",T4656-01_因子設定!$B$14,IF(01_因子設定!$B$13="最小化",01_因子設定!$B$15-U4656,MIN(T4656-01_因子設定!$B$14,01_因子設定!$B$15-U4656))),-1E+030)</f>
        <v>-5.44614927939476</v>
      </c>
      <c r="X4656" s="55" t="n">
        <f aca="false">IF(V4656,IF(01_因子設定!$B$13="最大化",Q4656,IF(01_因子設定!$B$13="最小化",-Q4656,-ABS(Q4656-01_因子設定!$B$16))),-1E+030)</f>
        <v>44.2238636363636</v>
      </c>
      <c r="Y4656" s="55" t="n">
        <f aca="false">W4656+ROW()*0.000000001</f>
        <v>-5.44614462339476</v>
      </c>
      <c r="Z4656" s="55" t="n">
        <f aca="false">X4656+ROW()*0.000000001</f>
        <v>44.2238682923636</v>
      </c>
    </row>
    <row r="4657" customFormat="false" ht="15" hidden="false" customHeight="false" outlineLevel="0" collapsed="false">
      <c r="A4657" s="0" t="n">
        <v>16</v>
      </c>
      <c r="B4657" s="0" t="n">
        <v>1</v>
      </c>
      <c r="C4657" s="0" t="n">
        <v>11</v>
      </c>
      <c r="D4657" s="0" t="n">
        <f aca="false">-1+A4657*0.125</f>
        <v>1</v>
      </c>
      <c r="E4657" s="0" t="n">
        <f aca="false">-1+B4657*0.125</f>
        <v>-0.875</v>
      </c>
      <c r="F4657" s="0" t="n">
        <f aca="false">-1+C4657*0.125</f>
        <v>0.375</v>
      </c>
      <c r="G4657" s="0" t="n">
        <f aca="false">1</f>
        <v>1</v>
      </c>
      <c r="H4657" s="0" t="n">
        <f aca="false">D4657</f>
        <v>1</v>
      </c>
      <c r="I4657" s="0" t="n">
        <f aca="false">E4657</f>
        <v>-0.875</v>
      </c>
      <c r="J4657" s="0" t="n">
        <f aca="false">F4657</f>
        <v>0.375</v>
      </c>
      <c r="K4657" s="0" t="n">
        <f aca="false">D4657*E4657</f>
        <v>-0.875</v>
      </c>
      <c r="L4657" s="0" t="n">
        <f aca="false">D4657*F4657</f>
        <v>0.375</v>
      </c>
      <c r="M4657" s="0" t="n">
        <f aca="false">E4657*F4657</f>
        <v>-0.328125</v>
      </c>
      <c r="N4657" s="0" t="n">
        <f aca="false">D4657*D4657</f>
        <v>1</v>
      </c>
      <c r="O4657" s="0" t="n">
        <f aca="false">E4657*E4657</f>
        <v>0.765625</v>
      </c>
      <c r="P4657" s="0" t="n">
        <f aca="false">F4657*F4657</f>
        <v>0.140625</v>
      </c>
      <c r="Q4657" s="0" t="n">
        <f aca="false">SUMPRODUCT(G4657:P4657,_XtX!$B$71:$K$71)</f>
        <v>44.2364204545455</v>
      </c>
      <c r="R4657" s="0" t="n">
        <f aca="false">SUMPRODUCT(MMULT(G4657:P4657,_XtX!$B$58:$K$67),G4657:P4657)</f>
        <v>0.56971269087358</v>
      </c>
      <c r="S4657" s="0" t="n">
        <f aca="false">04_回帰ANOVA!$K$19*04_回帰ANOVA!$K$14*SQRT(1+R4657)</f>
        <v>1.16486801567081</v>
      </c>
      <c r="T4657" s="0" t="n">
        <f aca="false">Q4657-S4657</f>
        <v>43.0715524388747</v>
      </c>
      <c r="U4657" s="0" t="n">
        <f aca="false">Q4657+S4657</f>
        <v>45.4012884702163</v>
      </c>
      <c r="V4657" s="54" t="b">
        <f aca="false">AND(D4657&gt;=01_因子設定!$L$5-0.000000001,D4657&lt;=01_因子設定!$M$5+0.000000001,E4657&gt;=01_因子設定!$L$6-0.000000001,E4657&lt;=01_因子設定!$M$6+0.000000001,F4657&gt;=01_因子設定!$L$7-0.000000001,F4657&lt;=01_因子設定!$M$7+0.000000001,IF(01_因子設定!$B$20="Box-Behnken",D4657^2+E4657^2+F4657^2&lt;=2+0.000000001,TRUE()))</f>
        <v>1</v>
      </c>
      <c r="W4657" s="55" t="n">
        <f aca="false">IF(V4657,IF(01_因子設定!$B$13="最大化",T4657-01_因子設定!$B$14,IF(01_因子設定!$B$13="最小化",01_因子設定!$B$15-U4657,MIN(T4657-01_因子設定!$B$14,01_因子設定!$B$15-U4657))),-1E+030)</f>
        <v>-5.42844756112535</v>
      </c>
      <c r="X4657" s="55" t="n">
        <f aca="false">IF(V4657,IF(01_因子設定!$B$13="最大化",Q4657,IF(01_因子設定!$B$13="最小化",-Q4657,-ABS(Q4657-01_因子設定!$B$16))),-1E+030)</f>
        <v>44.2364204545455</v>
      </c>
      <c r="Y4657" s="55" t="n">
        <f aca="false">W4657+ROW()*0.000000001</f>
        <v>-5.42844290412535</v>
      </c>
      <c r="Z4657" s="55" t="n">
        <f aca="false">X4657+ROW()*0.000000001</f>
        <v>44.2364251115455</v>
      </c>
    </row>
    <row r="4658" customFormat="false" ht="15" hidden="false" customHeight="false" outlineLevel="0" collapsed="false">
      <c r="A4658" s="0" t="n">
        <v>16</v>
      </c>
      <c r="B4658" s="0" t="n">
        <v>1</v>
      </c>
      <c r="C4658" s="0" t="n">
        <v>12</v>
      </c>
      <c r="D4658" s="0" t="n">
        <f aca="false">-1+A4658*0.125</f>
        <v>1</v>
      </c>
      <c r="E4658" s="0" t="n">
        <f aca="false">-1+B4658*0.125</f>
        <v>-0.875</v>
      </c>
      <c r="F4658" s="0" t="n">
        <f aca="false">-1+C4658*0.125</f>
        <v>0.5</v>
      </c>
      <c r="G4658" s="0" t="n">
        <f aca="false">1</f>
        <v>1</v>
      </c>
      <c r="H4658" s="0" t="n">
        <f aca="false">D4658</f>
        <v>1</v>
      </c>
      <c r="I4658" s="0" t="n">
        <f aca="false">E4658</f>
        <v>-0.875</v>
      </c>
      <c r="J4658" s="0" t="n">
        <f aca="false">F4658</f>
        <v>0.5</v>
      </c>
      <c r="K4658" s="0" t="n">
        <f aca="false">D4658*E4658</f>
        <v>-0.875</v>
      </c>
      <c r="L4658" s="0" t="n">
        <f aca="false">D4658*F4658</f>
        <v>0.5</v>
      </c>
      <c r="M4658" s="0" t="n">
        <f aca="false">E4658*F4658</f>
        <v>-0.4375</v>
      </c>
      <c r="N4658" s="0" t="n">
        <f aca="false">D4658*D4658</f>
        <v>1</v>
      </c>
      <c r="O4658" s="0" t="n">
        <f aca="false">E4658*E4658</f>
        <v>0.765625</v>
      </c>
      <c r="P4658" s="0" t="n">
        <f aca="false">F4658*F4658</f>
        <v>0.25</v>
      </c>
      <c r="Q4658" s="0" t="n">
        <f aca="false">SUMPRODUCT(G4658:P4658,_XtX!$B$71:$K$71)</f>
        <v>44.2121875</v>
      </c>
      <c r="R4658" s="0" t="n">
        <f aca="false">SUMPRODUCT(MMULT(G4658:P4658,_XtX!$B$58:$K$67),G4658:P4658)</f>
        <v>0.55771484375</v>
      </c>
      <c r="S4658" s="0" t="n">
        <f aca="false">04_回帰ANOVA!$K$19*04_回帰ANOVA!$K$14*SQRT(1+R4658)</f>
        <v>1.16040773556467</v>
      </c>
      <c r="T4658" s="0" t="n">
        <f aca="false">Q4658-S4658</f>
        <v>43.0517797644353</v>
      </c>
      <c r="U4658" s="0" t="n">
        <f aca="false">Q4658+S4658</f>
        <v>45.3725952355647</v>
      </c>
      <c r="V4658" s="54" t="b">
        <f aca="false">AND(D4658&gt;=01_因子設定!$L$5-0.000000001,D4658&lt;=01_因子設定!$M$5+0.000000001,E4658&gt;=01_因子設定!$L$6-0.000000001,E4658&lt;=01_因子設定!$M$6+0.000000001,F4658&gt;=01_因子設定!$L$7-0.000000001,F4658&lt;=01_因子設定!$M$7+0.000000001,IF(01_因子設定!$B$20="Box-Behnken",D4658^2+E4658^2+F4658^2&lt;=2+0.000000001,TRUE()))</f>
        <v>1</v>
      </c>
      <c r="W4658" s="55" t="n">
        <f aca="false">IF(V4658,IF(01_因子設定!$B$13="最大化",T4658-01_因子設定!$B$14,IF(01_因子設定!$B$13="最小化",01_因子設定!$B$15-U4658,MIN(T4658-01_因子設定!$B$14,01_因子設定!$B$15-U4658))),-1E+030)</f>
        <v>-5.44822023556468</v>
      </c>
      <c r="X4658" s="55" t="n">
        <f aca="false">IF(V4658,IF(01_因子設定!$B$13="最大化",Q4658,IF(01_因子設定!$B$13="最小化",-Q4658,-ABS(Q4658-01_因子設定!$B$16))),-1E+030)</f>
        <v>44.2121875</v>
      </c>
      <c r="Y4658" s="55" t="n">
        <f aca="false">W4658+ROW()*0.000000001</f>
        <v>-5.44821557756468</v>
      </c>
      <c r="Z4658" s="55" t="n">
        <f aca="false">X4658+ROW()*0.000000001</f>
        <v>44.212192158</v>
      </c>
    </row>
    <row r="4659" customFormat="false" ht="15" hidden="false" customHeight="false" outlineLevel="0" collapsed="false">
      <c r="A4659" s="0" t="n">
        <v>16</v>
      </c>
      <c r="B4659" s="0" t="n">
        <v>1</v>
      </c>
      <c r="C4659" s="0" t="n">
        <v>13</v>
      </c>
      <c r="D4659" s="0" t="n">
        <f aca="false">-1+A4659*0.125</f>
        <v>1</v>
      </c>
      <c r="E4659" s="0" t="n">
        <f aca="false">-1+B4659*0.125</f>
        <v>-0.875</v>
      </c>
      <c r="F4659" s="0" t="n">
        <f aca="false">-1+C4659*0.125</f>
        <v>0.625</v>
      </c>
      <c r="G4659" s="0" t="n">
        <f aca="false">1</f>
        <v>1</v>
      </c>
      <c r="H4659" s="0" t="n">
        <f aca="false">D4659</f>
        <v>1</v>
      </c>
      <c r="I4659" s="0" t="n">
        <f aca="false">E4659</f>
        <v>-0.875</v>
      </c>
      <c r="J4659" s="0" t="n">
        <f aca="false">F4659</f>
        <v>0.625</v>
      </c>
      <c r="K4659" s="0" t="n">
        <f aca="false">D4659*E4659</f>
        <v>-0.875</v>
      </c>
      <c r="L4659" s="0" t="n">
        <f aca="false">D4659*F4659</f>
        <v>0.625</v>
      </c>
      <c r="M4659" s="0" t="n">
        <f aca="false">E4659*F4659</f>
        <v>-0.546875</v>
      </c>
      <c r="N4659" s="0" t="n">
        <f aca="false">D4659*D4659</f>
        <v>1</v>
      </c>
      <c r="O4659" s="0" t="n">
        <f aca="false">E4659*E4659</f>
        <v>0.765625</v>
      </c>
      <c r="P4659" s="0" t="n">
        <f aca="false">F4659*F4659</f>
        <v>0.390625</v>
      </c>
      <c r="Q4659" s="0" t="n">
        <f aca="false">SUMPRODUCT(G4659:P4659,_XtX!$B$71:$K$71)</f>
        <v>44.1511647727273</v>
      </c>
      <c r="R4659" s="0" t="n">
        <f aca="false">SUMPRODUCT(MMULT(G4659:P4659,_XtX!$B$58:$K$67),G4659:P4659)</f>
        <v>0.555073131214489</v>
      </c>
      <c r="S4659" s="0" t="n">
        <f aca="false">04_回帰ANOVA!$K$19*04_回帰ANOVA!$K$14*SQRT(1+R4659)</f>
        <v>1.15942335628341</v>
      </c>
      <c r="T4659" s="0" t="n">
        <f aca="false">Q4659-S4659</f>
        <v>42.9917414164439</v>
      </c>
      <c r="U4659" s="0" t="n">
        <f aca="false">Q4659+S4659</f>
        <v>45.3105881290107</v>
      </c>
      <c r="V4659" s="54" t="b">
        <f aca="false">AND(D4659&gt;=01_因子設定!$L$5-0.000000001,D4659&lt;=01_因子設定!$M$5+0.000000001,E4659&gt;=01_因子設定!$L$6-0.000000001,E4659&lt;=01_因子設定!$M$6+0.000000001,F4659&gt;=01_因子設定!$L$7-0.000000001,F4659&lt;=01_因子設定!$M$7+0.000000001,IF(01_因子設定!$B$20="Box-Behnken",D4659^2+E4659^2+F4659^2&lt;=2+0.000000001,TRUE()))</f>
        <v>1</v>
      </c>
      <c r="W4659" s="55" t="n">
        <f aca="false">IF(V4659,IF(01_因子設定!$B$13="最大化",T4659-01_因子設定!$B$14,IF(01_因子設定!$B$13="最小化",01_因子設定!$B$15-U4659,MIN(T4659-01_因子設定!$B$14,01_因子設定!$B$15-U4659))),-1E+030)</f>
        <v>-5.50825858355614</v>
      </c>
      <c r="X4659" s="55" t="n">
        <f aca="false">IF(V4659,IF(01_因子設定!$B$13="最大化",Q4659,IF(01_因子設定!$B$13="最小化",-Q4659,-ABS(Q4659-01_因子設定!$B$16))),-1E+030)</f>
        <v>44.1511647727273</v>
      </c>
      <c r="Y4659" s="55" t="n">
        <f aca="false">W4659+ROW()*0.000000001</f>
        <v>-5.50825392455614</v>
      </c>
      <c r="Z4659" s="55" t="n">
        <f aca="false">X4659+ROW()*0.000000001</f>
        <v>44.1511694317273</v>
      </c>
    </row>
    <row r="4660" customFormat="false" ht="15" hidden="false" customHeight="false" outlineLevel="0" collapsed="false">
      <c r="A4660" s="0" t="n">
        <v>16</v>
      </c>
      <c r="B4660" s="0" t="n">
        <v>1</v>
      </c>
      <c r="C4660" s="0" t="n">
        <v>14</v>
      </c>
      <c r="D4660" s="0" t="n">
        <f aca="false">-1+A4660*0.125</f>
        <v>1</v>
      </c>
      <c r="E4660" s="0" t="n">
        <f aca="false">-1+B4660*0.125</f>
        <v>-0.875</v>
      </c>
      <c r="F4660" s="0" t="n">
        <f aca="false">-1+C4660*0.125</f>
        <v>0.75</v>
      </c>
      <c r="G4660" s="0" t="n">
        <f aca="false">1</f>
        <v>1</v>
      </c>
      <c r="H4660" s="0" t="n">
        <f aca="false">D4660</f>
        <v>1</v>
      </c>
      <c r="I4660" s="0" t="n">
        <f aca="false">E4660</f>
        <v>-0.875</v>
      </c>
      <c r="J4660" s="0" t="n">
        <f aca="false">F4660</f>
        <v>0.75</v>
      </c>
      <c r="K4660" s="0" t="n">
        <f aca="false">D4660*E4660</f>
        <v>-0.875</v>
      </c>
      <c r="L4660" s="0" t="n">
        <f aca="false">D4660*F4660</f>
        <v>0.75</v>
      </c>
      <c r="M4660" s="0" t="n">
        <f aca="false">E4660*F4660</f>
        <v>-0.65625</v>
      </c>
      <c r="N4660" s="0" t="n">
        <f aca="false">D4660*D4660</f>
        <v>1</v>
      </c>
      <c r="O4660" s="0" t="n">
        <f aca="false">E4660*E4660</f>
        <v>0.765625</v>
      </c>
      <c r="P4660" s="0" t="n">
        <f aca="false">F4660*F4660</f>
        <v>0.5625</v>
      </c>
      <c r="Q4660" s="0" t="n">
        <f aca="false">SUMPRODUCT(G4660:P4660,_XtX!$B$71:$K$71)</f>
        <v>44.0533522727273</v>
      </c>
      <c r="R4660" s="0" t="n">
        <f aca="false">SUMPRODUCT(MMULT(G4660:P4660,_XtX!$B$58:$K$67),G4660:P4660)</f>
        <v>0.571375621448864</v>
      </c>
      <c r="S4660" s="0" t="n">
        <f aca="false">04_回帰ANOVA!$K$19*04_回帰ANOVA!$K$14*SQRT(1+R4660)</f>
        <v>1.16548487437682</v>
      </c>
      <c r="T4660" s="0" t="n">
        <f aca="false">Q4660-S4660</f>
        <v>42.8878673983505</v>
      </c>
      <c r="U4660" s="0" t="n">
        <f aca="false">Q4660+S4660</f>
        <v>45.2188371471041</v>
      </c>
      <c r="V4660" s="54" t="b">
        <f aca="false">AND(D4660&gt;=01_因子設定!$L$5-0.000000001,D4660&lt;=01_因子設定!$M$5+0.000000001,E4660&gt;=01_因子設定!$L$6-0.000000001,E4660&lt;=01_因子設定!$M$6+0.000000001,F4660&gt;=01_因子設定!$L$7-0.000000001,F4660&lt;=01_因子設定!$M$7+0.000000001,IF(01_因子設定!$B$20="Box-Behnken",D4660^2+E4660^2+F4660^2&lt;=2+0.000000001,TRUE()))</f>
        <v>1</v>
      </c>
      <c r="W4660" s="55" t="n">
        <f aca="false">IF(V4660,IF(01_因子設定!$B$13="最大化",T4660-01_因子設定!$B$14,IF(01_因子設定!$B$13="最小化",01_因子設定!$B$15-U4660,MIN(T4660-01_因子設定!$B$14,01_因子設定!$B$15-U4660))),-1E+030)</f>
        <v>-5.61213260164954</v>
      </c>
      <c r="X4660" s="55" t="n">
        <f aca="false">IF(V4660,IF(01_因子設定!$B$13="最大化",Q4660,IF(01_因子設定!$B$13="最小化",-Q4660,-ABS(Q4660-01_因子設定!$B$16))),-1E+030)</f>
        <v>44.0533522727273</v>
      </c>
      <c r="Y4660" s="55" t="n">
        <f aca="false">W4660+ROW()*0.000000001</f>
        <v>-5.61212794164954</v>
      </c>
      <c r="Z4660" s="55" t="n">
        <f aca="false">X4660+ROW()*0.000000001</f>
        <v>44.0533569327273</v>
      </c>
    </row>
    <row r="4661" customFormat="false" ht="15" hidden="false" customHeight="false" outlineLevel="0" collapsed="false">
      <c r="A4661" s="0" t="n">
        <v>16</v>
      </c>
      <c r="B4661" s="0" t="n">
        <v>1</v>
      </c>
      <c r="C4661" s="0" t="n">
        <v>15</v>
      </c>
      <c r="D4661" s="0" t="n">
        <f aca="false">-1+A4661*0.125</f>
        <v>1</v>
      </c>
      <c r="E4661" s="0" t="n">
        <f aca="false">-1+B4661*0.125</f>
        <v>-0.875</v>
      </c>
      <c r="F4661" s="0" t="n">
        <f aca="false">-1+C4661*0.125</f>
        <v>0.875</v>
      </c>
      <c r="G4661" s="0" t="n">
        <f aca="false">1</f>
        <v>1</v>
      </c>
      <c r="H4661" s="0" t="n">
        <f aca="false">D4661</f>
        <v>1</v>
      </c>
      <c r="I4661" s="0" t="n">
        <f aca="false">E4661</f>
        <v>-0.875</v>
      </c>
      <c r="J4661" s="0" t="n">
        <f aca="false">F4661</f>
        <v>0.875</v>
      </c>
      <c r="K4661" s="0" t="n">
        <f aca="false">D4661*E4661</f>
        <v>-0.875</v>
      </c>
      <c r="L4661" s="0" t="n">
        <f aca="false">D4661*F4661</f>
        <v>0.875</v>
      </c>
      <c r="M4661" s="0" t="n">
        <f aca="false">E4661*F4661</f>
        <v>-0.765625</v>
      </c>
      <c r="N4661" s="0" t="n">
        <f aca="false">D4661*D4661</f>
        <v>1</v>
      </c>
      <c r="O4661" s="0" t="n">
        <f aca="false">E4661*E4661</f>
        <v>0.765625</v>
      </c>
      <c r="P4661" s="0" t="n">
        <f aca="false">F4661*F4661</f>
        <v>0.765625</v>
      </c>
      <c r="Q4661" s="0" t="n">
        <f aca="false">SUMPRODUCT(G4661:P4661,_XtX!$B$71:$K$71)</f>
        <v>43.91875</v>
      </c>
      <c r="R4661" s="0" t="n">
        <f aca="false">SUMPRODUCT(MMULT(G4661:P4661,_XtX!$B$58:$K$67),G4661:P4661)</f>
        <v>0.618341064453125</v>
      </c>
      <c r="S4661" s="0" t="n">
        <f aca="false">04_回帰ANOVA!$K$19*04_回帰ANOVA!$K$14*SQRT(1+R4661)</f>
        <v>1.18277371124466</v>
      </c>
      <c r="T4661" s="0" t="n">
        <f aca="false">Q4661-S4661</f>
        <v>42.7359762887553</v>
      </c>
      <c r="U4661" s="0" t="n">
        <f aca="false">Q4661+S4661</f>
        <v>45.1015237112447</v>
      </c>
      <c r="V4661" s="54" t="b">
        <f aca="false">AND(D4661&gt;=01_因子設定!$L$5-0.000000001,D4661&lt;=01_因子設定!$M$5+0.000000001,E4661&gt;=01_因子設定!$L$6-0.000000001,E4661&lt;=01_因子設定!$M$6+0.000000001,F4661&gt;=01_因子設定!$L$7-0.000000001,F4661&lt;=01_因子設定!$M$7+0.000000001,IF(01_因子設定!$B$20="Box-Behnken",D4661^2+E4661^2+F4661^2&lt;=2+0.000000001,TRUE()))</f>
        <v>1</v>
      </c>
      <c r="W4661" s="55" t="n">
        <f aca="false">IF(V4661,IF(01_因子設定!$B$13="最大化",T4661-01_因子設定!$B$14,IF(01_因子設定!$B$13="最小化",01_因子設定!$B$15-U4661,MIN(T4661-01_因子設定!$B$14,01_因子設定!$B$15-U4661))),-1E+030)</f>
        <v>-5.76402371124465</v>
      </c>
      <c r="X4661" s="55" t="n">
        <f aca="false">IF(V4661,IF(01_因子設定!$B$13="最大化",Q4661,IF(01_因子設定!$B$13="最小化",-Q4661,-ABS(Q4661-01_因子設定!$B$16))),-1E+030)</f>
        <v>43.91875</v>
      </c>
      <c r="Y4661" s="55" t="n">
        <f aca="false">W4661+ROW()*0.000000001</f>
        <v>-5.76401905024465</v>
      </c>
      <c r="Z4661" s="55" t="n">
        <f aca="false">X4661+ROW()*0.000000001</f>
        <v>43.918754661</v>
      </c>
    </row>
    <row r="4662" customFormat="false" ht="15" hidden="false" customHeight="false" outlineLevel="0" collapsed="false">
      <c r="A4662" s="0" t="n">
        <v>16</v>
      </c>
      <c r="B4662" s="0" t="n">
        <v>1</v>
      </c>
      <c r="C4662" s="0" t="n">
        <v>16</v>
      </c>
      <c r="D4662" s="0" t="n">
        <f aca="false">-1+A4662*0.125</f>
        <v>1</v>
      </c>
      <c r="E4662" s="0" t="n">
        <f aca="false">-1+B4662*0.125</f>
        <v>-0.875</v>
      </c>
      <c r="F4662" s="0" t="n">
        <f aca="false">-1+C4662*0.125</f>
        <v>1</v>
      </c>
      <c r="G4662" s="0" t="n">
        <f aca="false">1</f>
        <v>1</v>
      </c>
      <c r="H4662" s="0" t="n">
        <f aca="false">D4662</f>
        <v>1</v>
      </c>
      <c r="I4662" s="0" t="n">
        <f aca="false">E4662</f>
        <v>-0.875</v>
      </c>
      <c r="J4662" s="0" t="n">
        <f aca="false">F4662</f>
        <v>1</v>
      </c>
      <c r="K4662" s="0" t="n">
        <f aca="false">D4662*E4662</f>
        <v>-0.875</v>
      </c>
      <c r="L4662" s="0" t="n">
        <f aca="false">D4662*F4662</f>
        <v>1</v>
      </c>
      <c r="M4662" s="0" t="n">
        <f aca="false">E4662*F4662</f>
        <v>-0.875</v>
      </c>
      <c r="N4662" s="0" t="n">
        <f aca="false">D4662*D4662</f>
        <v>1</v>
      </c>
      <c r="O4662" s="0" t="n">
        <f aca="false">E4662*E4662</f>
        <v>0.765625</v>
      </c>
      <c r="P4662" s="0" t="n">
        <f aca="false">F4662*F4662</f>
        <v>1</v>
      </c>
      <c r="Q4662" s="0" t="n">
        <f aca="false">SUMPRODUCT(G4662:P4662,_XtX!$B$71:$K$71)</f>
        <v>43.7473579545455</v>
      </c>
      <c r="R4662" s="0" t="n">
        <f aca="false">SUMPRODUCT(MMULT(G4662:P4662,_XtX!$B$58:$K$67),G4662:P4662)</f>
        <v>0.709818892045455</v>
      </c>
      <c r="S4662" s="0" t="n">
        <f aca="false">04_回帰ANOVA!$K$19*04_回帰ANOVA!$K$14*SQRT(1+R4662)</f>
        <v>1.21574275944458</v>
      </c>
      <c r="T4662" s="0" t="n">
        <f aca="false">Q4662-S4662</f>
        <v>42.5316151951009</v>
      </c>
      <c r="U4662" s="0" t="n">
        <f aca="false">Q4662+S4662</f>
        <v>44.96310071399</v>
      </c>
      <c r="V4662" s="54" t="b">
        <f aca="false">AND(D4662&gt;=01_因子設定!$L$5-0.000000001,D4662&lt;=01_因子設定!$M$5+0.000000001,E4662&gt;=01_因子設定!$L$6-0.000000001,E4662&lt;=01_因子設定!$M$6+0.000000001,F4662&gt;=01_因子設定!$L$7-0.000000001,F4662&lt;=01_因子設定!$M$7+0.000000001,IF(01_因子設定!$B$20="Box-Behnken",D4662^2+E4662^2+F4662^2&lt;=2+0.000000001,TRUE()))</f>
        <v>1</v>
      </c>
      <c r="W4662" s="55" t="n">
        <f aca="false">IF(V4662,IF(01_因子設定!$B$13="最大化",T4662-01_因子設定!$B$14,IF(01_因子設定!$B$13="最小化",01_因子設定!$B$15-U4662,MIN(T4662-01_因子設定!$B$14,01_因子設定!$B$15-U4662))),-1E+030)</f>
        <v>-5.96838480489912</v>
      </c>
      <c r="X4662" s="55" t="n">
        <f aca="false">IF(V4662,IF(01_因子設定!$B$13="最大化",Q4662,IF(01_因子設定!$B$13="最小化",-Q4662,-ABS(Q4662-01_因子設定!$B$16))),-1E+030)</f>
        <v>43.7473579545455</v>
      </c>
      <c r="Y4662" s="55" t="n">
        <f aca="false">W4662+ROW()*0.000000001</f>
        <v>-5.96838014289912</v>
      </c>
      <c r="Z4662" s="55" t="n">
        <f aca="false">X4662+ROW()*0.000000001</f>
        <v>43.7473626165455</v>
      </c>
    </row>
    <row r="4663" customFormat="false" ht="15" hidden="false" customHeight="false" outlineLevel="0" collapsed="false">
      <c r="A4663" s="0" t="n">
        <v>16</v>
      </c>
      <c r="B4663" s="0" t="n">
        <v>2</v>
      </c>
      <c r="C4663" s="0" t="n">
        <v>0</v>
      </c>
      <c r="D4663" s="0" t="n">
        <f aca="false">-1+A4663*0.125</f>
        <v>1</v>
      </c>
      <c r="E4663" s="0" t="n">
        <f aca="false">-1+B4663*0.125</f>
        <v>-0.75</v>
      </c>
      <c r="F4663" s="0" t="n">
        <f aca="false">-1+C4663*0.125</f>
        <v>-1</v>
      </c>
      <c r="G4663" s="0" t="n">
        <f aca="false">1</f>
        <v>1</v>
      </c>
      <c r="H4663" s="0" t="n">
        <f aca="false">D4663</f>
        <v>1</v>
      </c>
      <c r="I4663" s="0" t="n">
        <f aca="false">E4663</f>
        <v>-0.75</v>
      </c>
      <c r="J4663" s="0" t="n">
        <f aca="false">F4663</f>
        <v>-1</v>
      </c>
      <c r="K4663" s="0" t="n">
        <f aca="false">D4663*E4663</f>
        <v>-0.75</v>
      </c>
      <c r="L4663" s="0" t="n">
        <f aca="false">D4663*F4663</f>
        <v>-1</v>
      </c>
      <c r="M4663" s="0" t="n">
        <f aca="false">E4663*F4663</f>
        <v>0.75</v>
      </c>
      <c r="N4663" s="0" t="n">
        <f aca="false">D4663*D4663</f>
        <v>1</v>
      </c>
      <c r="O4663" s="0" t="n">
        <f aca="false">E4663*E4663</f>
        <v>0.5625</v>
      </c>
      <c r="P4663" s="0" t="n">
        <f aca="false">F4663*F4663</f>
        <v>1</v>
      </c>
      <c r="Q4663" s="0" t="n">
        <f aca="false">SUMPRODUCT(G4663:P4663,_XtX!$B$71:$K$71)</f>
        <v>42.8422727272727</v>
      </c>
      <c r="R4663" s="0" t="n">
        <f aca="false">SUMPRODUCT(MMULT(G4663:P4663,_XtX!$B$58:$K$67),G4663:P4663)</f>
        <v>0.669886363636364</v>
      </c>
      <c r="S4663" s="0" t="n">
        <f aca="false">04_回帰ANOVA!$K$19*04_回帰ANOVA!$K$14*SQRT(1+R4663)</f>
        <v>1.20146215423986</v>
      </c>
      <c r="T4663" s="0" t="n">
        <f aca="false">Q4663-S4663</f>
        <v>41.6408105730329</v>
      </c>
      <c r="U4663" s="0" t="n">
        <f aca="false">Q4663+S4663</f>
        <v>44.0437348815126</v>
      </c>
      <c r="V4663" s="54" t="b">
        <f aca="false">AND(D4663&gt;=01_因子設定!$L$5-0.000000001,D4663&lt;=01_因子設定!$M$5+0.000000001,E4663&gt;=01_因子設定!$L$6-0.000000001,E4663&lt;=01_因子設定!$M$6+0.000000001,F4663&gt;=01_因子設定!$L$7-0.000000001,F4663&lt;=01_因子設定!$M$7+0.000000001,IF(01_因子設定!$B$20="Box-Behnken",D4663^2+E4663^2+F4663^2&lt;=2+0.000000001,TRUE()))</f>
        <v>1</v>
      </c>
      <c r="W4663" s="55" t="n">
        <f aca="false">IF(V4663,IF(01_因子設定!$B$13="最大化",T4663-01_因子設定!$B$14,IF(01_因子設定!$B$13="最小化",01_因子設定!$B$15-U4663,MIN(T4663-01_因子設定!$B$14,01_因子設定!$B$15-U4663))),-1E+030)</f>
        <v>-6.85918942696713</v>
      </c>
      <c r="X4663" s="55" t="n">
        <f aca="false">IF(V4663,IF(01_因子設定!$B$13="最大化",Q4663,IF(01_因子設定!$B$13="最小化",-Q4663,-ABS(Q4663-01_因子設定!$B$16))),-1E+030)</f>
        <v>42.8422727272727</v>
      </c>
      <c r="Y4663" s="55" t="n">
        <f aca="false">W4663+ROW()*0.000000001</f>
        <v>-6.85918476396713</v>
      </c>
      <c r="Z4663" s="55" t="n">
        <f aca="false">X4663+ROW()*0.000000001</f>
        <v>42.8422773902727</v>
      </c>
    </row>
    <row r="4664" customFormat="false" ht="15" hidden="false" customHeight="false" outlineLevel="0" collapsed="false">
      <c r="A4664" s="0" t="n">
        <v>16</v>
      </c>
      <c r="B4664" s="0" t="n">
        <v>2</v>
      </c>
      <c r="C4664" s="0" t="n">
        <v>1</v>
      </c>
      <c r="D4664" s="0" t="n">
        <f aca="false">-1+A4664*0.125</f>
        <v>1</v>
      </c>
      <c r="E4664" s="0" t="n">
        <f aca="false">-1+B4664*0.125</f>
        <v>-0.75</v>
      </c>
      <c r="F4664" s="0" t="n">
        <f aca="false">-1+C4664*0.125</f>
        <v>-0.875</v>
      </c>
      <c r="G4664" s="0" t="n">
        <f aca="false">1</f>
        <v>1</v>
      </c>
      <c r="H4664" s="0" t="n">
        <f aca="false">D4664</f>
        <v>1</v>
      </c>
      <c r="I4664" s="0" t="n">
        <f aca="false">E4664</f>
        <v>-0.75</v>
      </c>
      <c r="J4664" s="0" t="n">
        <f aca="false">F4664</f>
        <v>-0.875</v>
      </c>
      <c r="K4664" s="0" t="n">
        <f aca="false">D4664*E4664</f>
        <v>-0.75</v>
      </c>
      <c r="L4664" s="0" t="n">
        <f aca="false">D4664*F4664</f>
        <v>-0.875</v>
      </c>
      <c r="M4664" s="0" t="n">
        <f aca="false">E4664*F4664</f>
        <v>0.65625</v>
      </c>
      <c r="N4664" s="0" t="n">
        <f aca="false">D4664*D4664</f>
        <v>1</v>
      </c>
      <c r="O4664" s="0" t="n">
        <f aca="false">E4664*E4664</f>
        <v>0.5625</v>
      </c>
      <c r="P4664" s="0" t="n">
        <f aca="false">F4664*F4664</f>
        <v>0.765625</v>
      </c>
      <c r="Q4664" s="0" t="n">
        <f aca="false">SUMPRODUCT(G4664:P4664,_XtX!$B$71:$K$71)</f>
        <v>43.2297585227273</v>
      </c>
      <c r="R4664" s="0" t="n">
        <f aca="false">SUMPRODUCT(MMULT(G4664:P4664,_XtX!$B$58:$K$67),G4664:P4664)</f>
        <v>0.571375621448864</v>
      </c>
      <c r="S4664" s="0" t="n">
        <f aca="false">04_回帰ANOVA!$K$19*04_回帰ANOVA!$K$14*SQRT(1+R4664)</f>
        <v>1.16548487437682</v>
      </c>
      <c r="T4664" s="0" t="n">
        <f aca="false">Q4664-S4664</f>
        <v>42.0642736483505</v>
      </c>
      <c r="U4664" s="0" t="n">
        <f aca="false">Q4664+S4664</f>
        <v>44.3952433971041</v>
      </c>
      <c r="V4664" s="54" t="b">
        <f aca="false">AND(D4664&gt;=01_因子設定!$L$5-0.000000001,D4664&lt;=01_因子設定!$M$5+0.000000001,E4664&gt;=01_因子設定!$L$6-0.000000001,E4664&lt;=01_因子設定!$M$6+0.000000001,F4664&gt;=01_因子設定!$L$7-0.000000001,F4664&lt;=01_因子設定!$M$7+0.000000001,IF(01_因子設定!$B$20="Box-Behnken",D4664^2+E4664^2+F4664^2&lt;=2+0.000000001,TRUE()))</f>
        <v>1</v>
      </c>
      <c r="W4664" s="55" t="n">
        <f aca="false">IF(V4664,IF(01_因子設定!$B$13="最大化",T4664-01_因子設定!$B$14,IF(01_因子設定!$B$13="最小化",01_因子設定!$B$15-U4664,MIN(T4664-01_因子設定!$B$14,01_因子設定!$B$15-U4664))),-1E+030)</f>
        <v>-6.43572635164954</v>
      </c>
      <c r="X4664" s="55" t="n">
        <f aca="false">IF(V4664,IF(01_因子設定!$B$13="最大化",Q4664,IF(01_因子設定!$B$13="最小化",-Q4664,-ABS(Q4664-01_因子設定!$B$16))),-1E+030)</f>
        <v>43.2297585227273</v>
      </c>
      <c r="Y4664" s="55" t="n">
        <f aca="false">W4664+ROW()*0.000000001</f>
        <v>-6.43572168764954</v>
      </c>
      <c r="Z4664" s="55" t="n">
        <f aca="false">X4664+ROW()*0.000000001</f>
        <v>43.2297631867273</v>
      </c>
    </row>
    <row r="4665" customFormat="false" ht="15" hidden="false" customHeight="false" outlineLevel="0" collapsed="false">
      <c r="A4665" s="0" t="n">
        <v>16</v>
      </c>
      <c r="B4665" s="0" t="n">
        <v>2</v>
      </c>
      <c r="C4665" s="0" t="n">
        <v>2</v>
      </c>
      <c r="D4665" s="0" t="n">
        <f aca="false">-1+A4665*0.125</f>
        <v>1</v>
      </c>
      <c r="E4665" s="0" t="n">
        <f aca="false">-1+B4665*0.125</f>
        <v>-0.75</v>
      </c>
      <c r="F4665" s="0" t="n">
        <f aca="false">-1+C4665*0.125</f>
        <v>-0.75</v>
      </c>
      <c r="G4665" s="0" t="n">
        <f aca="false">1</f>
        <v>1</v>
      </c>
      <c r="H4665" s="0" t="n">
        <f aca="false">D4665</f>
        <v>1</v>
      </c>
      <c r="I4665" s="0" t="n">
        <f aca="false">E4665</f>
        <v>-0.75</v>
      </c>
      <c r="J4665" s="0" t="n">
        <f aca="false">F4665</f>
        <v>-0.75</v>
      </c>
      <c r="K4665" s="0" t="n">
        <f aca="false">D4665*E4665</f>
        <v>-0.75</v>
      </c>
      <c r="L4665" s="0" t="n">
        <f aca="false">D4665*F4665</f>
        <v>-0.75</v>
      </c>
      <c r="M4665" s="0" t="n">
        <f aca="false">E4665*F4665</f>
        <v>0.5625</v>
      </c>
      <c r="N4665" s="0" t="n">
        <f aca="false">D4665*D4665</f>
        <v>1</v>
      </c>
      <c r="O4665" s="0" t="n">
        <f aca="false">E4665*E4665</f>
        <v>0.5625</v>
      </c>
      <c r="P4665" s="0" t="n">
        <f aca="false">F4665*F4665</f>
        <v>0.5625</v>
      </c>
      <c r="Q4665" s="0" t="n">
        <f aca="false">SUMPRODUCT(G4665:P4665,_XtX!$B$71:$K$71)</f>
        <v>43.5804545454546</v>
      </c>
      <c r="R4665" s="0" t="n">
        <f aca="false">SUMPRODUCT(MMULT(G4665:P4665,_XtX!$B$58:$K$67),G4665:P4665)</f>
        <v>0.518314985795455</v>
      </c>
      <c r="S4665" s="0" t="n">
        <f aca="false">04_回帰ANOVA!$K$19*04_回帰ANOVA!$K$14*SQRT(1+R4665)</f>
        <v>1.14563843495971</v>
      </c>
      <c r="T4665" s="0" t="n">
        <f aca="false">Q4665-S4665</f>
        <v>42.4348161104948</v>
      </c>
      <c r="U4665" s="0" t="n">
        <f aca="false">Q4665+S4665</f>
        <v>44.7260929804143</v>
      </c>
      <c r="V4665" s="54" t="b">
        <f aca="false">AND(D4665&gt;=01_因子設定!$L$5-0.000000001,D4665&lt;=01_因子設定!$M$5+0.000000001,E4665&gt;=01_因子設定!$L$6-0.000000001,E4665&lt;=01_因子設定!$M$6+0.000000001,F4665&gt;=01_因子設定!$L$7-0.000000001,F4665&lt;=01_因子設定!$M$7+0.000000001,IF(01_因子設定!$B$20="Box-Behnken",D4665^2+E4665^2+F4665^2&lt;=2+0.000000001,TRUE()))</f>
        <v>1</v>
      </c>
      <c r="W4665" s="55" t="n">
        <f aca="false">IF(V4665,IF(01_因子設定!$B$13="最大化",T4665-01_因子設定!$B$14,IF(01_因子設定!$B$13="最小化",01_因子設定!$B$15-U4665,MIN(T4665-01_因子設定!$B$14,01_因子設定!$B$15-U4665))),-1E+030)</f>
        <v>-6.06518388950516</v>
      </c>
      <c r="X4665" s="55" t="n">
        <f aca="false">IF(V4665,IF(01_因子設定!$B$13="最大化",Q4665,IF(01_因子設定!$B$13="最小化",-Q4665,-ABS(Q4665-01_因子設定!$B$16))),-1E+030)</f>
        <v>43.5804545454546</v>
      </c>
      <c r="Y4665" s="55" t="n">
        <f aca="false">W4665+ROW()*0.000000001</f>
        <v>-6.06517922450516</v>
      </c>
      <c r="Z4665" s="55" t="n">
        <f aca="false">X4665+ROW()*0.000000001</f>
        <v>43.5804592104546</v>
      </c>
    </row>
    <row r="4666" customFormat="false" ht="15" hidden="false" customHeight="false" outlineLevel="0" collapsed="false">
      <c r="A4666" s="0" t="n">
        <v>16</v>
      </c>
      <c r="B4666" s="0" t="n">
        <v>2</v>
      </c>
      <c r="C4666" s="0" t="n">
        <v>3</v>
      </c>
      <c r="D4666" s="0" t="n">
        <f aca="false">-1+A4666*0.125</f>
        <v>1</v>
      </c>
      <c r="E4666" s="0" t="n">
        <f aca="false">-1+B4666*0.125</f>
        <v>-0.75</v>
      </c>
      <c r="F4666" s="0" t="n">
        <f aca="false">-1+C4666*0.125</f>
        <v>-0.625</v>
      </c>
      <c r="G4666" s="0" t="n">
        <f aca="false">1</f>
        <v>1</v>
      </c>
      <c r="H4666" s="0" t="n">
        <f aca="false">D4666</f>
        <v>1</v>
      </c>
      <c r="I4666" s="0" t="n">
        <f aca="false">E4666</f>
        <v>-0.75</v>
      </c>
      <c r="J4666" s="0" t="n">
        <f aca="false">F4666</f>
        <v>-0.625</v>
      </c>
      <c r="K4666" s="0" t="n">
        <f aca="false">D4666*E4666</f>
        <v>-0.75</v>
      </c>
      <c r="L4666" s="0" t="n">
        <f aca="false">D4666*F4666</f>
        <v>-0.625</v>
      </c>
      <c r="M4666" s="0" t="n">
        <f aca="false">E4666*F4666</f>
        <v>0.46875</v>
      </c>
      <c r="N4666" s="0" t="n">
        <f aca="false">D4666*D4666</f>
        <v>1</v>
      </c>
      <c r="O4666" s="0" t="n">
        <f aca="false">E4666*E4666</f>
        <v>0.5625</v>
      </c>
      <c r="P4666" s="0" t="n">
        <f aca="false">F4666*F4666</f>
        <v>0.390625</v>
      </c>
      <c r="Q4666" s="0" t="n">
        <f aca="false">SUMPRODUCT(G4666:P4666,_XtX!$B$71:$K$71)</f>
        <v>43.8943607954545</v>
      </c>
      <c r="R4666" s="0" t="n">
        <f aca="false">SUMPRODUCT(MMULT(G4666:P4666,_XtX!$B$58:$K$67),G4666:P4666)</f>
        <v>0.496855024857955</v>
      </c>
      <c r="S4666" s="0" t="n">
        <f aca="false">04_回帰ANOVA!$K$19*04_回帰ANOVA!$K$14*SQRT(1+R4666)</f>
        <v>1.1375133593161</v>
      </c>
      <c r="T4666" s="0" t="n">
        <f aca="false">Q4666-S4666</f>
        <v>42.7568474361384</v>
      </c>
      <c r="U4666" s="0" t="n">
        <f aca="false">Q4666+S4666</f>
        <v>45.0318741547707</v>
      </c>
      <c r="V4666" s="54" t="b">
        <f aca="false">AND(D4666&gt;=01_因子設定!$L$5-0.000000001,D4666&lt;=01_因子設定!$M$5+0.000000001,E4666&gt;=01_因子設定!$L$6-0.000000001,E4666&lt;=01_因子設定!$M$6+0.000000001,F4666&gt;=01_因子設定!$L$7-0.000000001,F4666&lt;=01_因子設定!$M$7+0.000000001,IF(01_因子設定!$B$20="Box-Behnken",D4666^2+E4666^2+F4666^2&lt;=2+0.000000001,TRUE()))</f>
        <v>1</v>
      </c>
      <c r="W4666" s="55" t="n">
        <f aca="false">IF(V4666,IF(01_因子設定!$B$13="最大化",T4666-01_因子設定!$B$14,IF(01_因子設定!$B$13="最小化",01_因子設定!$B$15-U4666,MIN(T4666-01_因子設定!$B$14,01_因子設定!$B$15-U4666))),-1E+030)</f>
        <v>-5.74315256386156</v>
      </c>
      <c r="X4666" s="55" t="n">
        <f aca="false">IF(V4666,IF(01_因子設定!$B$13="最大化",Q4666,IF(01_因子設定!$B$13="最小化",-Q4666,-ABS(Q4666-01_因子設定!$B$16))),-1E+030)</f>
        <v>43.8943607954545</v>
      </c>
      <c r="Y4666" s="55" t="n">
        <f aca="false">W4666+ROW()*0.000000001</f>
        <v>-5.74314789786156</v>
      </c>
      <c r="Z4666" s="55" t="n">
        <f aca="false">X4666+ROW()*0.000000001</f>
        <v>43.8943654614546</v>
      </c>
    </row>
    <row r="4667" customFormat="false" ht="15" hidden="false" customHeight="false" outlineLevel="0" collapsed="false">
      <c r="A4667" s="0" t="n">
        <v>16</v>
      </c>
      <c r="B4667" s="0" t="n">
        <v>2</v>
      </c>
      <c r="C4667" s="0" t="n">
        <v>4</v>
      </c>
      <c r="D4667" s="0" t="n">
        <f aca="false">-1+A4667*0.125</f>
        <v>1</v>
      </c>
      <c r="E4667" s="0" t="n">
        <f aca="false">-1+B4667*0.125</f>
        <v>-0.75</v>
      </c>
      <c r="F4667" s="0" t="n">
        <f aca="false">-1+C4667*0.125</f>
        <v>-0.5</v>
      </c>
      <c r="G4667" s="0" t="n">
        <f aca="false">1</f>
        <v>1</v>
      </c>
      <c r="H4667" s="0" t="n">
        <f aca="false">D4667</f>
        <v>1</v>
      </c>
      <c r="I4667" s="0" t="n">
        <f aca="false">E4667</f>
        <v>-0.75</v>
      </c>
      <c r="J4667" s="0" t="n">
        <f aca="false">F4667</f>
        <v>-0.5</v>
      </c>
      <c r="K4667" s="0" t="n">
        <f aca="false">D4667*E4667</f>
        <v>-0.75</v>
      </c>
      <c r="L4667" s="0" t="n">
        <f aca="false">D4667*F4667</f>
        <v>-0.5</v>
      </c>
      <c r="M4667" s="0" t="n">
        <f aca="false">E4667*F4667</f>
        <v>0.375</v>
      </c>
      <c r="N4667" s="0" t="n">
        <f aca="false">D4667*D4667</f>
        <v>1</v>
      </c>
      <c r="O4667" s="0" t="n">
        <f aca="false">E4667*E4667</f>
        <v>0.5625</v>
      </c>
      <c r="P4667" s="0" t="n">
        <f aca="false">F4667*F4667</f>
        <v>0.25</v>
      </c>
      <c r="Q4667" s="0" t="n">
        <f aca="false">SUMPRODUCT(G4667:P4667,_XtX!$B$71:$K$71)</f>
        <v>44.1714772727273</v>
      </c>
      <c r="R4667" s="0" t="n">
        <f aca="false">SUMPRODUCT(MMULT(G4667:P4667,_XtX!$B$58:$K$67),G4667:P4667)</f>
        <v>0.495276988636364</v>
      </c>
      <c r="S4667" s="0" t="n">
        <f aca="false">04_回帰ANOVA!$K$19*04_回帰ANOVA!$K$14*SQRT(1+R4667)</f>
        <v>1.13691359828352</v>
      </c>
      <c r="T4667" s="0" t="n">
        <f aca="false">Q4667-S4667</f>
        <v>43.0345636744438</v>
      </c>
      <c r="U4667" s="0" t="n">
        <f aca="false">Q4667+S4667</f>
        <v>45.3083908710108</v>
      </c>
      <c r="V4667" s="54" t="b">
        <f aca="false">AND(D4667&gt;=01_因子設定!$L$5-0.000000001,D4667&lt;=01_因子設定!$M$5+0.000000001,E4667&gt;=01_因子設定!$L$6-0.000000001,E4667&lt;=01_因子設定!$M$6+0.000000001,F4667&gt;=01_因子設定!$L$7-0.000000001,F4667&lt;=01_因子設定!$M$7+0.000000001,IF(01_因子設定!$B$20="Box-Behnken",D4667^2+E4667^2+F4667^2&lt;=2+0.000000001,TRUE()))</f>
        <v>1</v>
      </c>
      <c r="W4667" s="55" t="n">
        <f aca="false">IF(V4667,IF(01_因子設定!$B$13="最大化",T4667-01_因子設定!$B$14,IF(01_因子設定!$B$13="最小化",01_因子設定!$B$15-U4667,MIN(T4667-01_因子設定!$B$14,01_因子設定!$B$15-U4667))),-1E+030)</f>
        <v>-5.46543632555625</v>
      </c>
      <c r="X4667" s="55" t="n">
        <f aca="false">IF(V4667,IF(01_因子設定!$B$13="最大化",Q4667,IF(01_因子設定!$B$13="最小化",-Q4667,-ABS(Q4667-01_因子設定!$B$16))),-1E+030)</f>
        <v>44.1714772727273</v>
      </c>
      <c r="Y4667" s="55" t="n">
        <f aca="false">W4667+ROW()*0.000000001</f>
        <v>-5.46543165855625</v>
      </c>
      <c r="Z4667" s="55" t="n">
        <f aca="false">X4667+ROW()*0.000000001</f>
        <v>44.1714819397273</v>
      </c>
    </row>
    <row r="4668" customFormat="false" ht="15" hidden="false" customHeight="false" outlineLevel="0" collapsed="false">
      <c r="A4668" s="0" t="n">
        <v>16</v>
      </c>
      <c r="B4668" s="0" t="n">
        <v>2</v>
      </c>
      <c r="C4668" s="0" t="n">
        <v>5</v>
      </c>
      <c r="D4668" s="0" t="n">
        <f aca="false">-1+A4668*0.125</f>
        <v>1</v>
      </c>
      <c r="E4668" s="0" t="n">
        <f aca="false">-1+B4668*0.125</f>
        <v>-0.75</v>
      </c>
      <c r="F4668" s="0" t="n">
        <f aca="false">-1+C4668*0.125</f>
        <v>-0.375</v>
      </c>
      <c r="G4668" s="0" t="n">
        <f aca="false">1</f>
        <v>1</v>
      </c>
      <c r="H4668" s="0" t="n">
        <f aca="false">D4668</f>
        <v>1</v>
      </c>
      <c r="I4668" s="0" t="n">
        <f aca="false">E4668</f>
        <v>-0.75</v>
      </c>
      <c r="J4668" s="0" t="n">
        <f aca="false">F4668</f>
        <v>-0.375</v>
      </c>
      <c r="K4668" s="0" t="n">
        <f aca="false">D4668*E4668</f>
        <v>-0.75</v>
      </c>
      <c r="L4668" s="0" t="n">
        <f aca="false">D4668*F4668</f>
        <v>-0.375</v>
      </c>
      <c r="M4668" s="0" t="n">
        <f aca="false">E4668*F4668</f>
        <v>0.28125</v>
      </c>
      <c r="N4668" s="0" t="n">
        <f aca="false">D4668*D4668</f>
        <v>1</v>
      </c>
      <c r="O4668" s="0" t="n">
        <f aca="false">E4668*E4668</f>
        <v>0.5625</v>
      </c>
      <c r="P4668" s="0" t="n">
        <f aca="false">F4668*F4668</f>
        <v>0.140625</v>
      </c>
      <c r="Q4668" s="0" t="n">
        <f aca="false">SUMPRODUCT(G4668:P4668,_XtX!$B$71:$K$71)</f>
        <v>44.4118039772727</v>
      </c>
      <c r="R4668" s="0" t="n">
        <f aca="false">SUMPRODUCT(MMULT(G4668:P4668,_XtX!$B$58:$K$67),G4668:P4668)</f>
        <v>0.503992808948864</v>
      </c>
      <c r="S4668" s="0" t="n">
        <f aca="false">04_回帰ANOVA!$K$19*04_回帰ANOVA!$K$14*SQRT(1+R4668)</f>
        <v>1.14022226176226</v>
      </c>
      <c r="T4668" s="0" t="n">
        <f aca="false">Q4668-S4668</f>
        <v>43.2715817155105</v>
      </c>
      <c r="U4668" s="0" t="n">
        <f aca="false">Q4668+S4668</f>
        <v>45.552026239035</v>
      </c>
      <c r="V4668" s="54" t="b">
        <f aca="false">AND(D4668&gt;=01_因子設定!$L$5-0.000000001,D4668&lt;=01_因子設定!$M$5+0.000000001,E4668&gt;=01_因子設定!$L$6-0.000000001,E4668&lt;=01_因子設定!$M$6+0.000000001,F4668&gt;=01_因子設定!$L$7-0.000000001,F4668&lt;=01_因子設定!$M$7+0.000000001,IF(01_因子設定!$B$20="Box-Behnken",D4668^2+E4668^2+F4668^2&lt;=2+0.000000001,TRUE()))</f>
        <v>1</v>
      </c>
      <c r="W4668" s="55" t="n">
        <f aca="false">IF(V4668,IF(01_因子設定!$B$13="最大化",T4668-01_因子設定!$B$14,IF(01_因子設定!$B$13="最小化",01_因子設定!$B$15-U4668,MIN(T4668-01_因子設定!$B$14,01_因子設定!$B$15-U4668))),-1E+030)</f>
        <v>-5.22841828448954</v>
      </c>
      <c r="X4668" s="55" t="n">
        <f aca="false">IF(V4668,IF(01_因子設定!$B$13="最大化",Q4668,IF(01_因子設定!$B$13="最小化",-Q4668,-ABS(Q4668-01_因子設定!$B$16))),-1E+030)</f>
        <v>44.4118039772727</v>
      </c>
      <c r="Y4668" s="55" t="n">
        <f aca="false">W4668+ROW()*0.000000001</f>
        <v>-5.22841361648954</v>
      </c>
      <c r="Z4668" s="55" t="n">
        <f aca="false">X4668+ROW()*0.000000001</f>
        <v>44.4118086452727</v>
      </c>
    </row>
    <row r="4669" customFormat="false" ht="15" hidden="false" customHeight="false" outlineLevel="0" collapsed="false">
      <c r="A4669" s="0" t="n">
        <v>16</v>
      </c>
      <c r="B4669" s="0" t="n">
        <v>2</v>
      </c>
      <c r="C4669" s="0" t="n">
        <v>6</v>
      </c>
      <c r="D4669" s="0" t="n">
        <f aca="false">-1+A4669*0.125</f>
        <v>1</v>
      </c>
      <c r="E4669" s="0" t="n">
        <f aca="false">-1+B4669*0.125</f>
        <v>-0.75</v>
      </c>
      <c r="F4669" s="0" t="n">
        <f aca="false">-1+C4669*0.125</f>
        <v>-0.25</v>
      </c>
      <c r="G4669" s="0" t="n">
        <f aca="false">1</f>
        <v>1</v>
      </c>
      <c r="H4669" s="0" t="n">
        <f aca="false">D4669</f>
        <v>1</v>
      </c>
      <c r="I4669" s="0" t="n">
        <f aca="false">E4669</f>
        <v>-0.75</v>
      </c>
      <c r="J4669" s="0" t="n">
        <f aca="false">F4669</f>
        <v>-0.25</v>
      </c>
      <c r="K4669" s="0" t="n">
        <f aca="false">D4669*E4669</f>
        <v>-0.75</v>
      </c>
      <c r="L4669" s="0" t="n">
        <f aca="false">D4669*F4669</f>
        <v>-0.25</v>
      </c>
      <c r="M4669" s="0" t="n">
        <f aca="false">E4669*F4669</f>
        <v>0.1875</v>
      </c>
      <c r="N4669" s="0" t="n">
        <f aca="false">D4669*D4669</f>
        <v>1</v>
      </c>
      <c r="O4669" s="0" t="n">
        <f aca="false">E4669*E4669</f>
        <v>0.5625</v>
      </c>
      <c r="P4669" s="0" t="n">
        <f aca="false">F4669*F4669</f>
        <v>0.0625</v>
      </c>
      <c r="Q4669" s="0" t="n">
        <f aca="false">SUMPRODUCT(G4669:P4669,_XtX!$B$71:$K$71)</f>
        <v>44.6153409090909</v>
      </c>
      <c r="R4669" s="0" t="n">
        <f aca="false">SUMPRODUCT(MMULT(G4669:P4669,_XtX!$B$58:$K$67),G4669:P4669)</f>
        <v>0.515545099431818</v>
      </c>
      <c r="S4669" s="0" t="n">
        <f aca="false">04_回帰ANOVA!$K$19*04_回帰ANOVA!$K$14*SQRT(1+R4669)</f>
        <v>1.14459295464101</v>
      </c>
      <c r="T4669" s="0" t="n">
        <f aca="false">Q4669-S4669</f>
        <v>43.4707479544499</v>
      </c>
      <c r="U4669" s="0" t="n">
        <f aca="false">Q4669+S4669</f>
        <v>45.7599338637319</v>
      </c>
      <c r="V4669" s="54" t="b">
        <f aca="false">AND(D4669&gt;=01_因子設定!$L$5-0.000000001,D4669&lt;=01_因子設定!$M$5+0.000000001,E4669&gt;=01_因子設定!$L$6-0.000000001,E4669&lt;=01_因子設定!$M$6+0.000000001,F4669&gt;=01_因子設定!$L$7-0.000000001,F4669&lt;=01_因子設定!$M$7+0.000000001,IF(01_因子設定!$B$20="Box-Behnken",D4669^2+E4669^2+F4669^2&lt;=2+0.000000001,TRUE()))</f>
        <v>1</v>
      </c>
      <c r="W4669" s="55" t="n">
        <f aca="false">IF(V4669,IF(01_因子設定!$B$13="最大化",T4669-01_因子設定!$B$14,IF(01_因子設定!$B$13="最小化",01_因子設定!$B$15-U4669,MIN(T4669-01_因子設定!$B$14,01_因子設定!$B$15-U4669))),-1E+030)</f>
        <v>-5.02925204555011</v>
      </c>
      <c r="X4669" s="55" t="n">
        <f aca="false">IF(V4669,IF(01_因子設定!$B$13="最大化",Q4669,IF(01_因子設定!$B$13="最小化",-Q4669,-ABS(Q4669-01_因子設定!$B$16))),-1E+030)</f>
        <v>44.6153409090909</v>
      </c>
      <c r="Y4669" s="55" t="n">
        <f aca="false">W4669+ROW()*0.000000001</f>
        <v>-5.02924737655011</v>
      </c>
      <c r="Z4669" s="55" t="n">
        <f aca="false">X4669+ROW()*0.000000001</f>
        <v>44.6153455780909</v>
      </c>
    </row>
    <row r="4670" customFormat="false" ht="15" hidden="false" customHeight="false" outlineLevel="0" collapsed="false">
      <c r="A4670" s="0" t="n">
        <v>16</v>
      </c>
      <c r="B4670" s="0" t="n">
        <v>2</v>
      </c>
      <c r="C4670" s="0" t="n">
        <v>7</v>
      </c>
      <c r="D4670" s="0" t="n">
        <f aca="false">-1+A4670*0.125</f>
        <v>1</v>
      </c>
      <c r="E4670" s="0" t="n">
        <f aca="false">-1+B4670*0.125</f>
        <v>-0.75</v>
      </c>
      <c r="F4670" s="0" t="n">
        <f aca="false">-1+C4670*0.125</f>
        <v>-0.125</v>
      </c>
      <c r="G4670" s="0" t="n">
        <f aca="false">1</f>
        <v>1</v>
      </c>
      <c r="H4670" s="0" t="n">
        <f aca="false">D4670</f>
        <v>1</v>
      </c>
      <c r="I4670" s="0" t="n">
        <f aca="false">E4670</f>
        <v>-0.75</v>
      </c>
      <c r="J4670" s="0" t="n">
        <f aca="false">F4670</f>
        <v>-0.125</v>
      </c>
      <c r="K4670" s="0" t="n">
        <f aca="false">D4670*E4670</f>
        <v>-0.75</v>
      </c>
      <c r="L4670" s="0" t="n">
        <f aca="false">D4670*F4670</f>
        <v>-0.125</v>
      </c>
      <c r="M4670" s="0" t="n">
        <f aca="false">E4670*F4670</f>
        <v>0.09375</v>
      </c>
      <c r="N4670" s="0" t="n">
        <f aca="false">D4670*D4670</f>
        <v>1</v>
      </c>
      <c r="O4670" s="0" t="n">
        <f aca="false">E4670*E4670</f>
        <v>0.5625</v>
      </c>
      <c r="P4670" s="0" t="n">
        <f aca="false">F4670*F4670</f>
        <v>0.015625</v>
      </c>
      <c r="Q4670" s="0" t="n">
        <f aca="false">SUMPRODUCT(G4670:P4670,_XtX!$B$71:$K$71)</f>
        <v>44.7820880681818</v>
      </c>
      <c r="R4670" s="0" t="n">
        <f aca="false">SUMPRODUCT(MMULT(G4670:P4670,_XtX!$B$58:$K$67),G4670:P4670)</f>
        <v>0.524607155539773</v>
      </c>
      <c r="S4670" s="0" t="n">
        <f aca="false">04_回帰ANOVA!$K$19*04_回帰ANOVA!$K$14*SQRT(1+R4670)</f>
        <v>1.14800984623412</v>
      </c>
      <c r="T4670" s="0" t="n">
        <f aca="false">Q4670-S4670</f>
        <v>43.6340782219477</v>
      </c>
      <c r="U4670" s="0" t="n">
        <f aca="false">Q4670+S4670</f>
        <v>45.9300979144159</v>
      </c>
      <c r="V4670" s="54" t="b">
        <f aca="false">AND(D4670&gt;=01_因子設定!$L$5-0.000000001,D4670&lt;=01_因子設定!$M$5+0.000000001,E4670&gt;=01_因子設定!$L$6-0.000000001,E4670&lt;=01_因子設定!$M$6+0.000000001,F4670&gt;=01_因子設定!$L$7-0.000000001,F4670&lt;=01_因子設定!$M$7+0.000000001,IF(01_因子設定!$B$20="Box-Behnken",D4670^2+E4670^2+F4670^2&lt;=2+0.000000001,TRUE()))</f>
        <v>1</v>
      </c>
      <c r="W4670" s="55" t="n">
        <f aca="false">IF(V4670,IF(01_因子設定!$B$13="最大化",T4670-01_因子設定!$B$14,IF(01_因子設定!$B$13="最小化",01_因子設定!$B$15-U4670,MIN(T4670-01_因子設定!$B$14,01_因子設定!$B$15-U4670))),-1E+030)</f>
        <v>-4.8659217780523</v>
      </c>
      <c r="X4670" s="55" t="n">
        <f aca="false">IF(V4670,IF(01_因子設定!$B$13="最大化",Q4670,IF(01_因子設定!$B$13="最小化",-Q4670,-ABS(Q4670-01_因子設定!$B$16))),-1E+030)</f>
        <v>44.7820880681818</v>
      </c>
      <c r="Y4670" s="55" t="n">
        <f aca="false">W4670+ROW()*0.000000001</f>
        <v>-4.8659171080523</v>
      </c>
      <c r="Z4670" s="55" t="n">
        <f aca="false">X4670+ROW()*0.000000001</f>
        <v>44.7820927381818</v>
      </c>
    </row>
    <row r="4671" customFormat="false" ht="15" hidden="false" customHeight="false" outlineLevel="0" collapsed="false">
      <c r="A4671" s="0" t="n">
        <v>16</v>
      </c>
      <c r="B4671" s="0" t="n">
        <v>2</v>
      </c>
      <c r="C4671" s="0" t="n">
        <v>8</v>
      </c>
      <c r="D4671" s="0" t="n">
        <f aca="false">-1+A4671*0.125</f>
        <v>1</v>
      </c>
      <c r="E4671" s="0" t="n">
        <f aca="false">-1+B4671*0.125</f>
        <v>-0.75</v>
      </c>
      <c r="F4671" s="0" t="n">
        <f aca="false">-1+C4671*0.125</f>
        <v>0</v>
      </c>
      <c r="G4671" s="0" t="n">
        <f aca="false">1</f>
        <v>1</v>
      </c>
      <c r="H4671" s="0" t="n">
        <f aca="false">D4671</f>
        <v>1</v>
      </c>
      <c r="I4671" s="0" t="n">
        <f aca="false">E4671</f>
        <v>-0.75</v>
      </c>
      <c r="J4671" s="0" t="n">
        <f aca="false">F4671</f>
        <v>0</v>
      </c>
      <c r="K4671" s="0" t="n">
        <f aca="false">D4671*E4671</f>
        <v>-0.75</v>
      </c>
      <c r="L4671" s="0" t="n">
        <f aca="false">D4671*F4671</f>
        <v>0</v>
      </c>
      <c r="M4671" s="0" t="n">
        <f aca="false">E4671*F4671</f>
        <v>-0</v>
      </c>
      <c r="N4671" s="0" t="n">
        <f aca="false">D4671*D4671</f>
        <v>1</v>
      </c>
      <c r="O4671" s="0" t="n">
        <f aca="false">E4671*E4671</f>
        <v>0.5625</v>
      </c>
      <c r="P4671" s="0" t="n">
        <f aca="false">F4671*F4671</f>
        <v>0</v>
      </c>
      <c r="Q4671" s="0" t="n">
        <f aca="false">SUMPRODUCT(G4671:P4671,_XtX!$B$71:$K$71)</f>
        <v>44.9120454545455</v>
      </c>
      <c r="R4671" s="0" t="n">
        <f aca="false">SUMPRODUCT(MMULT(G4671:P4671,_XtX!$B$58:$K$67),G4671:P4671)</f>
        <v>0.527982954545455</v>
      </c>
      <c r="S4671" s="0" t="n">
        <f aca="false">04_回帰ANOVA!$K$19*04_回帰ANOVA!$K$14*SQRT(1+R4671)</f>
        <v>1.14928011037747</v>
      </c>
      <c r="T4671" s="0" t="n">
        <f aca="false">Q4671-S4671</f>
        <v>43.762765344168</v>
      </c>
      <c r="U4671" s="0" t="n">
        <f aca="false">Q4671+S4671</f>
        <v>46.0613255649229</v>
      </c>
      <c r="V4671" s="54" t="b">
        <f aca="false">AND(D4671&gt;=01_因子設定!$L$5-0.000000001,D4671&lt;=01_因子設定!$M$5+0.000000001,E4671&gt;=01_因子設定!$L$6-0.000000001,E4671&lt;=01_因子設定!$M$6+0.000000001,F4671&gt;=01_因子設定!$L$7-0.000000001,F4671&lt;=01_因子設定!$M$7+0.000000001,IF(01_因子設定!$B$20="Box-Behnken",D4671^2+E4671^2+F4671^2&lt;=2+0.000000001,TRUE()))</f>
        <v>1</v>
      </c>
      <c r="W4671" s="55" t="n">
        <f aca="false">IF(V4671,IF(01_因子設定!$B$13="最大化",T4671-01_因子設定!$B$14,IF(01_因子設定!$B$13="最小化",01_因子設定!$B$15-U4671,MIN(T4671-01_因子設定!$B$14,01_因子設定!$B$15-U4671))),-1E+030)</f>
        <v>-4.73723465583203</v>
      </c>
      <c r="X4671" s="55" t="n">
        <f aca="false">IF(V4671,IF(01_因子設定!$B$13="最大化",Q4671,IF(01_因子設定!$B$13="最小化",-Q4671,-ABS(Q4671-01_因子設定!$B$16))),-1E+030)</f>
        <v>44.9120454545455</v>
      </c>
      <c r="Y4671" s="55" t="n">
        <f aca="false">W4671+ROW()*0.000000001</f>
        <v>-4.73722998483203</v>
      </c>
      <c r="Z4671" s="55" t="n">
        <f aca="false">X4671+ROW()*0.000000001</f>
        <v>44.9120501255455</v>
      </c>
    </row>
    <row r="4672" customFormat="false" ht="15" hidden="false" customHeight="false" outlineLevel="0" collapsed="false">
      <c r="A4672" s="0" t="n">
        <v>16</v>
      </c>
      <c r="B4672" s="0" t="n">
        <v>2</v>
      </c>
      <c r="C4672" s="0" t="n">
        <v>9</v>
      </c>
      <c r="D4672" s="0" t="n">
        <f aca="false">-1+A4672*0.125</f>
        <v>1</v>
      </c>
      <c r="E4672" s="0" t="n">
        <f aca="false">-1+B4672*0.125</f>
        <v>-0.75</v>
      </c>
      <c r="F4672" s="0" t="n">
        <f aca="false">-1+C4672*0.125</f>
        <v>0.125</v>
      </c>
      <c r="G4672" s="0" t="n">
        <f aca="false">1</f>
        <v>1</v>
      </c>
      <c r="H4672" s="0" t="n">
        <f aca="false">D4672</f>
        <v>1</v>
      </c>
      <c r="I4672" s="0" t="n">
        <f aca="false">E4672</f>
        <v>-0.75</v>
      </c>
      <c r="J4672" s="0" t="n">
        <f aca="false">F4672</f>
        <v>0.125</v>
      </c>
      <c r="K4672" s="0" t="n">
        <f aca="false">D4672*E4672</f>
        <v>-0.75</v>
      </c>
      <c r="L4672" s="0" t="n">
        <f aca="false">D4672*F4672</f>
        <v>0.125</v>
      </c>
      <c r="M4672" s="0" t="n">
        <f aca="false">E4672*F4672</f>
        <v>-0.09375</v>
      </c>
      <c r="N4672" s="0" t="n">
        <f aca="false">D4672*D4672</f>
        <v>1</v>
      </c>
      <c r="O4672" s="0" t="n">
        <f aca="false">E4672*E4672</f>
        <v>0.5625</v>
      </c>
      <c r="P4672" s="0" t="n">
        <f aca="false">F4672*F4672</f>
        <v>0.015625</v>
      </c>
      <c r="Q4672" s="0" t="n">
        <f aca="false">SUMPRODUCT(G4672:P4672,_XtX!$B$71:$K$71)</f>
        <v>45.0052130681818</v>
      </c>
      <c r="R4672" s="0" t="n">
        <f aca="false">SUMPRODUCT(MMULT(G4672:P4672,_XtX!$B$58:$K$67),G4672:P4672)</f>
        <v>0.524607155539773</v>
      </c>
      <c r="S4672" s="0" t="n">
        <f aca="false">04_回帰ANOVA!$K$19*04_回帰ANOVA!$K$14*SQRT(1+R4672)</f>
        <v>1.14800984623412</v>
      </c>
      <c r="T4672" s="0" t="n">
        <f aca="false">Q4672-S4672</f>
        <v>43.8572032219477</v>
      </c>
      <c r="U4672" s="0" t="n">
        <f aca="false">Q4672+S4672</f>
        <v>46.1532229144159</v>
      </c>
      <c r="V4672" s="54" t="b">
        <f aca="false">AND(D4672&gt;=01_因子設定!$L$5-0.000000001,D4672&lt;=01_因子設定!$M$5+0.000000001,E4672&gt;=01_因子設定!$L$6-0.000000001,E4672&lt;=01_因子設定!$M$6+0.000000001,F4672&gt;=01_因子設定!$L$7-0.000000001,F4672&lt;=01_因子設定!$M$7+0.000000001,IF(01_因子設定!$B$20="Box-Behnken",D4672^2+E4672^2+F4672^2&lt;=2+0.000000001,TRUE()))</f>
        <v>1</v>
      </c>
      <c r="W4672" s="55" t="n">
        <f aca="false">IF(V4672,IF(01_因子設定!$B$13="最大化",T4672-01_因子設定!$B$14,IF(01_因子設定!$B$13="最小化",01_因子設定!$B$15-U4672,MIN(T4672-01_因子設定!$B$14,01_因子設定!$B$15-U4672))),-1E+030)</f>
        <v>-4.64279677805231</v>
      </c>
      <c r="X4672" s="55" t="n">
        <f aca="false">IF(V4672,IF(01_因子設定!$B$13="最大化",Q4672,IF(01_因子設定!$B$13="最小化",-Q4672,-ABS(Q4672-01_因子設定!$B$16))),-1E+030)</f>
        <v>45.0052130681818</v>
      </c>
      <c r="Y4672" s="55" t="n">
        <f aca="false">W4672+ROW()*0.000000001</f>
        <v>-4.64279210605231</v>
      </c>
      <c r="Z4672" s="55" t="n">
        <f aca="false">X4672+ROW()*0.000000001</f>
        <v>45.0052177401818</v>
      </c>
    </row>
    <row r="4673" customFormat="false" ht="15" hidden="false" customHeight="false" outlineLevel="0" collapsed="false">
      <c r="A4673" s="0" t="n">
        <v>16</v>
      </c>
      <c r="B4673" s="0" t="n">
        <v>2</v>
      </c>
      <c r="C4673" s="0" t="n">
        <v>10</v>
      </c>
      <c r="D4673" s="0" t="n">
        <f aca="false">-1+A4673*0.125</f>
        <v>1</v>
      </c>
      <c r="E4673" s="0" t="n">
        <f aca="false">-1+B4673*0.125</f>
        <v>-0.75</v>
      </c>
      <c r="F4673" s="0" t="n">
        <f aca="false">-1+C4673*0.125</f>
        <v>0.25</v>
      </c>
      <c r="G4673" s="0" t="n">
        <f aca="false">1</f>
        <v>1</v>
      </c>
      <c r="H4673" s="0" t="n">
        <f aca="false">D4673</f>
        <v>1</v>
      </c>
      <c r="I4673" s="0" t="n">
        <f aca="false">E4673</f>
        <v>-0.75</v>
      </c>
      <c r="J4673" s="0" t="n">
        <f aca="false">F4673</f>
        <v>0.25</v>
      </c>
      <c r="K4673" s="0" t="n">
        <f aca="false">D4673*E4673</f>
        <v>-0.75</v>
      </c>
      <c r="L4673" s="0" t="n">
        <f aca="false">D4673*F4673</f>
        <v>0.25</v>
      </c>
      <c r="M4673" s="0" t="n">
        <f aca="false">E4673*F4673</f>
        <v>-0.1875</v>
      </c>
      <c r="N4673" s="0" t="n">
        <f aca="false">D4673*D4673</f>
        <v>1</v>
      </c>
      <c r="O4673" s="0" t="n">
        <f aca="false">E4673*E4673</f>
        <v>0.5625</v>
      </c>
      <c r="P4673" s="0" t="n">
        <f aca="false">F4673*F4673</f>
        <v>0.0625</v>
      </c>
      <c r="Q4673" s="0" t="n">
        <f aca="false">SUMPRODUCT(G4673:P4673,_XtX!$B$71:$K$71)</f>
        <v>45.0615909090909</v>
      </c>
      <c r="R4673" s="0" t="n">
        <f aca="false">SUMPRODUCT(MMULT(G4673:P4673,_XtX!$B$58:$K$67),G4673:P4673)</f>
        <v>0.515545099431818</v>
      </c>
      <c r="S4673" s="0" t="n">
        <f aca="false">04_回帰ANOVA!$K$19*04_回帰ANOVA!$K$14*SQRT(1+R4673)</f>
        <v>1.14459295464101</v>
      </c>
      <c r="T4673" s="0" t="n">
        <f aca="false">Q4673-S4673</f>
        <v>43.9169979544499</v>
      </c>
      <c r="U4673" s="0" t="n">
        <f aca="false">Q4673+S4673</f>
        <v>46.2061838637319</v>
      </c>
      <c r="V4673" s="54" t="b">
        <f aca="false">AND(D4673&gt;=01_因子設定!$L$5-0.000000001,D4673&lt;=01_因子設定!$M$5+0.000000001,E4673&gt;=01_因子設定!$L$6-0.000000001,E4673&lt;=01_因子設定!$M$6+0.000000001,F4673&gt;=01_因子設定!$L$7-0.000000001,F4673&lt;=01_因子設定!$M$7+0.000000001,IF(01_因子設定!$B$20="Box-Behnken",D4673^2+E4673^2+F4673^2&lt;=2+0.000000001,TRUE()))</f>
        <v>1</v>
      </c>
      <c r="W4673" s="55" t="n">
        <f aca="false">IF(V4673,IF(01_因子設定!$B$13="最大化",T4673-01_因子設定!$B$14,IF(01_因子設定!$B$13="最小化",01_因子設定!$B$15-U4673,MIN(T4673-01_因子設定!$B$14,01_因子設定!$B$15-U4673))),-1E+030)</f>
        <v>-4.58300204555011</v>
      </c>
      <c r="X4673" s="55" t="n">
        <f aca="false">IF(V4673,IF(01_因子設定!$B$13="最大化",Q4673,IF(01_因子設定!$B$13="最小化",-Q4673,-ABS(Q4673-01_因子設定!$B$16))),-1E+030)</f>
        <v>45.0615909090909</v>
      </c>
      <c r="Y4673" s="55" t="n">
        <f aca="false">W4673+ROW()*0.000000001</f>
        <v>-4.58299737255011</v>
      </c>
      <c r="Z4673" s="55" t="n">
        <f aca="false">X4673+ROW()*0.000000001</f>
        <v>45.0615955820909</v>
      </c>
    </row>
    <row r="4674" customFormat="false" ht="15" hidden="false" customHeight="false" outlineLevel="0" collapsed="false">
      <c r="A4674" s="0" t="n">
        <v>16</v>
      </c>
      <c r="B4674" s="0" t="n">
        <v>2</v>
      </c>
      <c r="C4674" s="0" t="n">
        <v>11</v>
      </c>
      <c r="D4674" s="0" t="n">
        <f aca="false">-1+A4674*0.125</f>
        <v>1</v>
      </c>
      <c r="E4674" s="0" t="n">
        <f aca="false">-1+B4674*0.125</f>
        <v>-0.75</v>
      </c>
      <c r="F4674" s="0" t="n">
        <f aca="false">-1+C4674*0.125</f>
        <v>0.375</v>
      </c>
      <c r="G4674" s="0" t="n">
        <f aca="false">1</f>
        <v>1</v>
      </c>
      <c r="H4674" s="0" t="n">
        <f aca="false">D4674</f>
        <v>1</v>
      </c>
      <c r="I4674" s="0" t="n">
        <f aca="false">E4674</f>
        <v>-0.75</v>
      </c>
      <c r="J4674" s="0" t="n">
        <f aca="false">F4674</f>
        <v>0.375</v>
      </c>
      <c r="K4674" s="0" t="n">
        <f aca="false">D4674*E4674</f>
        <v>-0.75</v>
      </c>
      <c r="L4674" s="0" t="n">
        <f aca="false">D4674*F4674</f>
        <v>0.375</v>
      </c>
      <c r="M4674" s="0" t="n">
        <f aca="false">E4674*F4674</f>
        <v>-0.28125</v>
      </c>
      <c r="N4674" s="0" t="n">
        <f aca="false">D4674*D4674</f>
        <v>1</v>
      </c>
      <c r="O4674" s="0" t="n">
        <f aca="false">E4674*E4674</f>
        <v>0.5625</v>
      </c>
      <c r="P4674" s="0" t="n">
        <f aca="false">F4674*F4674</f>
        <v>0.140625</v>
      </c>
      <c r="Q4674" s="0" t="n">
        <f aca="false">SUMPRODUCT(G4674:P4674,_XtX!$B$71:$K$71)</f>
        <v>45.0811789772727</v>
      </c>
      <c r="R4674" s="0" t="n">
        <f aca="false">SUMPRODUCT(MMULT(G4674:P4674,_XtX!$B$58:$K$67),G4674:P4674)</f>
        <v>0.503992808948864</v>
      </c>
      <c r="S4674" s="0" t="n">
        <f aca="false">04_回帰ANOVA!$K$19*04_回帰ANOVA!$K$14*SQRT(1+R4674)</f>
        <v>1.14022226176226</v>
      </c>
      <c r="T4674" s="0" t="n">
        <f aca="false">Q4674-S4674</f>
        <v>43.9409567155105</v>
      </c>
      <c r="U4674" s="0" t="n">
        <f aca="false">Q4674+S4674</f>
        <v>46.221401239035</v>
      </c>
      <c r="V4674" s="54" t="b">
        <f aca="false">AND(D4674&gt;=01_因子設定!$L$5-0.000000001,D4674&lt;=01_因子設定!$M$5+0.000000001,E4674&gt;=01_因子設定!$L$6-0.000000001,E4674&lt;=01_因子設定!$M$6+0.000000001,F4674&gt;=01_因子設定!$L$7-0.000000001,F4674&lt;=01_因子設定!$M$7+0.000000001,IF(01_因子設定!$B$20="Box-Behnken",D4674^2+E4674^2+F4674^2&lt;=2+0.000000001,TRUE()))</f>
        <v>1</v>
      </c>
      <c r="W4674" s="55" t="n">
        <f aca="false">IF(V4674,IF(01_因子設定!$B$13="最大化",T4674-01_因子設定!$B$14,IF(01_因子設定!$B$13="最小化",01_因子設定!$B$15-U4674,MIN(T4674-01_因子設定!$B$14,01_因子設定!$B$15-U4674))),-1E+030)</f>
        <v>-4.55904328448954</v>
      </c>
      <c r="X4674" s="55" t="n">
        <f aca="false">IF(V4674,IF(01_因子設定!$B$13="最大化",Q4674,IF(01_因子設定!$B$13="最小化",-Q4674,-ABS(Q4674-01_因子設定!$B$16))),-1E+030)</f>
        <v>45.0811789772727</v>
      </c>
      <c r="Y4674" s="55" t="n">
        <f aca="false">W4674+ROW()*0.000000001</f>
        <v>-4.55903861048954</v>
      </c>
      <c r="Z4674" s="55" t="n">
        <f aca="false">X4674+ROW()*0.000000001</f>
        <v>45.0811836512727</v>
      </c>
    </row>
    <row r="4675" customFormat="false" ht="15" hidden="false" customHeight="false" outlineLevel="0" collapsed="false">
      <c r="A4675" s="0" t="n">
        <v>16</v>
      </c>
      <c r="B4675" s="0" t="n">
        <v>2</v>
      </c>
      <c r="C4675" s="0" t="n">
        <v>12</v>
      </c>
      <c r="D4675" s="0" t="n">
        <f aca="false">-1+A4675*0.125</f>
        <v>1</v>
      </c>
      <c r="E4675" s="0" t="n">
        <f aca="false">-1+B4675*0.125</f>
        <v>-0.75</v>
      </c>
      <c r="F4675" s="0" t="n">
        <f aca="false">-1+C4675*0.125</f>
        <v>0.5</v>
      </c>
      <c r="G4675" s="0" t="n">
        <f aca="false">1</f>
        <v>1</v>
      </c>
      <c r="H4675" s="0" t="n">
        <f aca="false">D4675</f>
        <v>1</v>
      </c>
      <c r="I4675" s="0" t="n">
        <f aca="false">E4675</f>
        <v>-0.75</v>
      </c>
      <c r="J4675" s="0" t="n">
        <f aca="false">F4675</f>
        <v>0.5</v>
      </c>
      <c r="K4675" s="0" t="n">
        <f aca="false">D4675*E4675</f>
        <v>-0.75</v>
      </c>
      <c r="L4675" s="0" t="n">
        <f aca="false">D4675*F4675</f>
        <v>0.5</v>
      </c>
      <c r="M4675" s="0" t="n">
        <f aca="false">E4675*F4675</f>
        <v>-0.375</v>
      </c>
      <c r="N4675" s="0" t="n">
        <f aca="false">D4675*D4675</f>
        <v>1</v>
      </c>
      <c r="O4675" s="0" t="n">
        <f aca="false">E4675*E4675</f>
        <v>0.5625</v>
      </c>
      <c r="P4675" s="0" t="n">
        <f aca="false">F4675*F4675</f>
        <v>0.25</v>
      </c>
      <c r="Q4675" s="0" t="n">
        <f aca="false">SUMPRODUCT(G4675:P4675,_XtX!$B$71:$K$71)</f>
        <v>45.0639772727273</v>
      </c>
      <c r="R4675" s="0" t="n">
        <f aca="false">SUMPRODUCT(MMULT(G4675:P4675,_XtX!$B$58:$K$67),G4675:P4675)</f>
        <v>0.495276988636364</v>
      </c>
      <c r="S4675" s="0" t="n">
        <f aca="false">04_回帰ANOVA!$K$19*04_回帰ANOVA!$K$14*SQRT(1+R4675)</f>
        <v>1.13691359828352</v>
      </c>
      <c r="T4675" s="0" t="n">
        <f aca="false">Q4675-S4675</f>
        <v>43.9270636744438</v>
      </c>
      <c r="U4675" s="0" t="n">
        <f aca="false">Q4675+S4675</f>
        <v>46.2008908710108</v>
      </c>
      <c r="V4675" s="54" t="b">
        <f aca="false">AND(D4675&gt;=01_因子設定!$L$5-0.000000001,D4675&lt;=01_因子設定!$M$5+0.000000001,E4675&gt;=01_因子設定!$L$6-0.000000001,E4675&lt;=01_因子設定!$M$6+0.000000001,F4675&gt;=01_因子設定!$L$7-0.000000001,F4675&lt;=01_因子設定!$M$7+0.000000001,IF(01_因子設定!$B$20="Box-Behnken",D4675^2+E4675^2+F4675^2&lt;=2+0.000000001,TRUE()))</f>
        <v>1</v>
      </c>
      <c r="W4675" s="55" t="n">
        <f aca="false">IF(V4675,IF(01_因子設定!$B$13="最大化",T4675-01_因子設定!$B$14,IF(01_因子設定!$B$13="最小化",01_因子設定!$B$15-U4675,MIN(T4675-01_因子設定!$B$14,01_因子設定!$B$15-U4675))),-1E+030)</f>
        <v>-4.57293632555625</v>
      </c>
      <c r="X4675" s="55" t="n">
        <f aca="false">IF(V4675,IF(01_因子設定!$B$13="最大化",Q4675,IF(01_因子設定!$B$13="最小化",-Q4675,-ABS(Q4675-01_因子設定!$B$16))),-1E+030)</f>
        <v>45.0639772727273</v>
      </c>
      <c r="Y4675" s="55" t="n">
        <f aca="false">W4675+ROW()*0.000000001</f>
        <v>-4.57293165055625</v>
      </c>
      <c r="Z4675" s="55" t="n">
        <f aca="false">X4675+ROW()*0.000000001</f>
        <v>45.0639819477273</v>
      </c>
    </row>
    <row r="4676" customFormat="false" ht="15" hidden="false" customHeight="false" outlineLevel="0" collapsed="false">
      <c r="A4676" s="0" t="n">
        <v>16</v>
      </c>
      <c r="B4676" s="0" t="n">
        <v>2</v>
      </c>
      <c r="C4676" s="0" t="n">
        <v>13</v>
      </c>
      <c r="D4676" s="0" t="n">
        <f aca="false">-1+A4676*0.125</f>
        <v>1</v>
      </c>
      <c r="E4676" s="0" t="n">
        <f aca="false">-1+B4676*0.125</f>
        <v>-0.75</v>
      </c>
      <c r="F4676" s="0" t="n">
        <f aca="false">-1+C4676*0.125</f>
        <v>0.625</v>
      </c>
      <c r="G4676" s="0" t="n">
        <f aca="false">1</f>
        <v>1</v>
      </c>
      <c r="H4676" s="0" t="n">
        <f aca="false">D4676</f>
        <v>1</v>
      </c>
      <c r="I4676" s="0" t="n">
        <f aca="false">E4676</f>
        <v>-0.75</v>
      </c>
      <c r="J4676" s="0" t="n">
        <f aca="false">F4676</f>
        <v>0.625</v>
      </c>
      <c r="K4676" s="0" t="n">
        <f aca="false">D4676*E4676</f>
        <v>-0.75</v>
      </c>
      <c r="L4676" s="0" t="n">
        <f aca="false">D4676*F4676</f>
        <v>0.625</v>
      </c>
      <c r="M4676" s="0" t="n">
        <f aca="false">E4676*F4676</f>
        <v>-0.46875</v>
      </c>
      <c r="N4676" s="0" t="n">
        <f aca="false">D4676*D4676</f>
        <v>1</v>
      </c>
      <c r="O4676" s="0" t="n">
        <f aca="false">E4676*E4676</f>
        <v>0.5625</v>
      </c>
      <c r="P4676" s="0" t="n">
        <f aca="false">F4676*F4676</f>
        <v>0.390625</v>
      </c>
      <c r="Q4676" s="0" t="n">
        <f aca="false">SUMPRODUCT(G4676:P4676,_XtX!$B$71:$K$71)</f>
        <v>45.0099857954546</v>
      </c>
      <c r="R4676" s="0" t="n">
        <f aca="false">SUMPRODUCT(MMULT(G4676:P4676,_XtX!$B$58:$K$67),G4676:P4676)</f>
        <v>0.496855024857955</v>
      </c>
      <c r="S4676" s="0" t="n">
        <f aca="false">04_回帰ANOVA!$K$19*04_回帰ANOVA!$K$14*SQRT(1+R4676)</f>
        <v>1.1375133593161</v>
      </c>
      <c r="T4676" s="0" t="n">
        <f aca="false">Q4676-S4676</f>
        <v>43.8724724361385</v>
      </c>
      <c r="U4676" s="0" t="n">
        <f aca="false">Q4676+S4676</f>
        <v>46.1474991547706</v>
      </c>
      <c r="V4676" s="54" t="b">
        <f aca="false">AND(D4676&gt;=01_因子設定!$L$5-0.000000001,D4676&lt;=01_因子設定!$M$5+0.000000001,E4676&gt;=01_因子設定!$L$6-0.000000001,E4676&lt;=01_因子設定!$M$6+0.000000001,F4676&gt;=01_因子設定!$L$7-0.000000001,F4676&lt;=01_因子設定!$M$7+0.000000001,IF(01_因子設定!$B$20="Box-Behnken",D4676^2+E4676^2+F4676^2&lt;=2+0.000000001,TRUE()))</f>
        <v>1</v>
      </c>
      <c r="W4676" s="55" t="n">
        <f aca="false">IF(V4676,IF(01_因子設定!$B$13="最大化",T4676-01_因子設定!$B$14,IF(01_因子設定!$B$13="最小化",01_因子設定!$B$15-U4676,MIN(T4676-01_因子設定!$B$14,01_因子設定!$B$15-U4676))),-1E+030)</f>
        <v>-4.62752756386155</v>
      </c>
      <c r="X4676" s="55" t="n">
        <f aca="false">IF(V4676,IF(01_因子設定!$B$13="最大化",Q4676,IF(01_因子設定!$B$13="最小化",-Q4676,-ABS(Q4676-01_因子設定!$B$16))),-1E+030)</f>
        <v>45.0099857954546</v>
      </c>
      <c r="Y4676" s="55" t="n">
        <f aca="false">W4676+ROW()*0.000000001</f>
        <v>-4.62752288786155</v>
      </c>
      <c r="Z4676" s="55" t="n">
        <f aca="false">X4676+ROW()*0.000000001</f>
        <v>45.0099904714546</v>
      </c>
    </row>
    <row r="4677" customFormat="false" ht="15" hidden="false" customHeight="false" outlineLevel="0" collapsed="false">
      <c r="A4677" s="0" t="n">
        <v>16</v>
      </c>
      <c r="B4677" s="0" t="n">
        <v>2</v>
      </c>
      <c r="C4677" s="0" t="n">
        <v>14</v>
      </c>
      <c r="D4677" s="0" t="n">
        <f aca="false">-1+A4677*0.125</f>
        <v>1</v>
      </c>
      <c r="E4677" s="0" t="n">
        <f aca="false">-1+B4677*0.125</f>
        <v>-0.75</v>
      </c>
      <c r="F4677" s="0" t="n">
        <f aca="false">-1+C4677*0.125</f>
        <v>0.75</v>
      </c>
      <c r="G4677" s="0" t="n">
        <f aca="false">1</f>
        <v>1</v>
      </c>
      <c r="H4677" s="0" t="n">
        <f aca="false">D4677</f>
        <v>1</v>
      </c>
      <c r="I4677" s="0" t="n">
        <f aca="false">E4677</f>
        <v>-0.75</v>
      </c>
      <c r="J4677" s="0" t="n">
        <f aca="false">F4677</f>
        <v>0.75</v>
      </c>
      <c r="K4677" s="0" t="n">
        <f aca="false">D4677*E4677</f>
        <v>-0.75</v>
      </c>
      <c r="L4677" s="0" t="n">
        <f aca="false">D4677*F4677</f>
        <v>0.75</v>
      </c>
      <c r="M4677" s="0" t="n">
        <f aca="false">E4677*F4677</f>
        <v>-0.5625</v>
      </c>
      <c r="N4677" s="0" t="n">
        <f aca="false">D4677*D4677</f>
        <v>1</v>
      </c>
      <c r="O4677" s="0" t="n">
        <f aca="false">E4677*E4677</f>
        <v>0.5625</v>
      </c>
      <c r="P4677" s="0" t="n">
        <f aca="false">F4677*F4677</f>
        <v>0.5625</v>
      </c>
      <c r="Q4677" s="0" t="n">
        <f aca="false">SUMPRODUCT(G4677:P4677,_XtX!$B$71:$K$71)</f>
        <v>44.9192045454546</v>
      </c>
      <c r="R4677" s="0" t="n">
        <f aca="false">SUMPRODUCT(MMULT(G4677:P4677,_XtX!$B$58:$K$67),G4677:P4677)</f>
        <v>0.518314985795455</v>
      </c>
      <c r="S4677" s="0" t="n">
        <f aca="false">04_回帰ANOVA!$K$19*04_回帰ANOVA!$K$14*SQRT(1+R4677)</f>
        <v>1.14563843495971</v>
      </c>
      <c r="T4677" s="0" t="n">
        <f aca="false">Q4677-S4677</f>
        <v>43.7735661104948</v>
      </c>
      <c r="U4677" s="0" t="n">
        <f aca="false">Q4677+S4677</f>
        <v>46.0648429804143</v>
      </c>
      <c r="V4677" s="54" t="b">
        <f aca="false">AND(D4677&gt;=01_因子設定!$L$5-0.000000001,D4677&lt;=01_因子設定!$M$5+0.000000001,E4677&gt;=01_因子設定!$L$6-0.000000001,E4677&lt;=01_因子設定!$M$6+0.000000001,F4677&gt;=01_因子設定!$L$7-0.000000001,F4677&lt;=01_因子設定!$M$7+0.000000001,IF(01_因子設定!$B$20="Box-Behnken",D4677^2+E4677^2+F4677^2&lt;=2+0.000000001,TRUE()))</f>
        <v>1</v>
      </c>
      <c r="W4677" s="55" t="n">
        <f aca="false">IF(V4677,IF(01_因子設定!$B$13="最大化",T4677-01_因子設定!$B$14,IF(01_因子設定!$B$13="最小化",01_因子設定!$B$15-U4677,MIN(T4677-01_因子設定!$B$14,01_因子設定!$B$15-U4677))),-1E+030)</f>
        <v>-4.72643388950516</v>
      </c>
      <c r="X4677" s="55" t="n">
        <f aca="false">IF(V4677,IF(01_因子設定!$B$13="最大化",Q4677,IF(01_因子設定!$B$13="最小化",-Q4677,-ABS(Q4677-01_因子設定!$B$16))),-1E+030)</f>
        <v>44.9192045454546</v>
      </c>
      <c r="Y4677" s="55" t="n">
        <f aca="false">W4677+ROW()*0.000000001</f>
        <v>-4.72642921250516</v>
      </c>
      <c r="Z4677" s="55" t="n">
        <f aca="false">X4677+ROW()*0.000000001</f>
        <v>44.9192092224546</v>
      </c>
    </row>
    <row r="4678" customFormat="false" ht="15" hidden="false" customHeight="false" outlineLevel="0" collapsed="false">
      <c r="A4678" s="0" t="n">
        <v>16</v>
      </c>
      <c r="B4678" s="0" t="n">
        <v>2</v>
      </c>
      <c r="C4678" s="0" t="n">
        <v>15</v>
      </c>
      <c r="D4678" s="0" t="n">
        <f aca="false">-1+A4678*0.125</f>
        <v>1</v>
      </c>
      <c r="E4678" s="0" t="n">
        <f aca="false">-1+B4678*0.125</f>
        <v>-0.75</v>
      </c>
      <c r="F4678" s="0" t="n">
        <f aca="false">-1+C4678*0.125</f>
        <v>0.875</v>
      </c>
      <c r="G4678" s="0" t="n">
        <f aca="false">1</f>
        <v>1</v>
      </c>
      <c r="H4678" s="0" t="n">
        <f aca="false">D4678</f>
        <v>1</v>
      </c>
      <c r="I4678" s="0" t="n">
        <f aca="false">E4678</f>
        <v>-0.75</v>
      </c>
      <c r="J4678" s="0" t="n">
        <f aca="false">F4678</f>
        <v>0.875</v>
      </c>
      <c r="K4678" s="0" t="n">
        <f aca="false">D4678*E4678</f>
        <v>-0.75</v>
      </c>
      <c r="L4678" s="0" t="n">
        <f aca="false">D4678*F4678</f>
        <v>0.875</v>
      </c>
      <c r="M4678" s="0" t="n">
        <f aca="false">E4678*F4678</f>
        <v>-0.65625</v>
      </c>
      <c r="N4678" s="0" t="n">
        <f aca="false">D4678*D4678</f>
        <v>1</v>
      </c>
      <c r="O4678" s="0" t="n">
        <f aca="false">E4678*E4678</f>
        <v>0.5625</v>
      </c>
      <c r="P4678" s="0" t="n">
        <f aca="false">F4678*F4678</f>
        <v>0.765625</v>
      </c>
      <c r="Q4678" s="0" t="n">
        <f aca="false">SUMPRODUCT(G4678:P4678,_XtX!$B$71:$K$71)</f>
        <v>44.7916335227273</v>
      </c>
      <c r="R4678" s="0" t="n">
        <f aca="false">SUMPRODUCT(MMULT(G4678:P4678,_XtX!$B$58:$K$67),G4678:P4678)</f>
        <v>0.571375621448864</v>
      </c>
      <c r="S4678" s="0" t="n">
        <f aca="false">04_回帰ANOVA!$K$19*04_回帰ANOVA!$K$14*SQRT(1+R4678)</f>
        <v>1.16548487437682</v>
      </c>
      <c r="T4678" s="0" t="n">
        <f aca="false">Q4678-S4678</f>
        <v>43.6261486483505</v>
      </c>
      <c r="U4678" s="0" t="n">
        <f aca="false">Q4678+S4678</f>
        <v>45.9571183971041</v>
      </c>
      <c r="V4678" s="54" t="b">
        <f aca="false">AND(D4678&gt;=01_因子設定!$L$5-0.000000001,D4678&lt;=01_因子設定!$M$5+0.000000001,E4678&gt;=01_因子設定!$L$6-0.000000001,E4678&lt;=01_因子設定!$M$6+0.000000001,F4678&gt;=01_因子設定!$L$7-0.000000001,F4678&lt;=01_因子設定!$M$7+0.000000001,IF(01_因子設定!$B$20="Box-Behnken",D4678^2+E4678^2+F4678^2&lt;=2+0.000000001,TRUE()))</f>
        <v>1</v>
      </c>
      <c r="W4678" s="55" t="n">
        <f aca="false">IF(V4678,IF(01_因子設定!$B$13="最大化",T4678-01_因子設定!$B$14,IF(01_因子設定!$B$13="最小化",01_因子設定!$B$15-U4678,MIN(T4678-01_因子設定!$B$14,01_因子設定!$B$15-U4678))),-1E+030)</f>
        <v>-4.87385135164953</v>
      </c>
      <c r="X4678" s="55" t="n">
        <f aca="false">IF(V4678,IF(01_因子設定!$B$13="最大化",Q4678,IF(01_因子設定!$B$13="最小化",-Q4678,-ABS(Q4678-01_因子設定!$B$16))),-1E+030)</f>
        <v>44.7916335227273</v>
      </c>
      <c r="Y4678" s="55" t="n">
        <f aca="false">W4678+ROW()*0.000000001</f>
        <v>-4.87384667364954</v>
      </c>
      <c r="Z4678" s="55" t="n">
        <f aca="false">X4678+ROW()*0.000000001</f>
        <v>44.7916382007273</v>
      </c>
    </row>
    <row r="4679" customFormat="false" ht="15" hidden="false" customHeight="false" outlineLevel="0" collapsed="false">
      <c r="A4679" s="0" t="n">
        <v>16</v>
      </c>
      <c r="B4679" s="0" t="n">
        <v>2</v>
      </c>
      <c r="C4679" s="0" t="n">
        <v>16</v>
      </c>
      <c r="D4679" s="0" t="n">
        <f aca="false">-1+A4679*0.125</f>
        <v>1</v>
      </c>
      <c r="E4679" s="0" t="n">
        <f aca="false">-1+B4679*0.125</f>
        <v>-0.75</v>
      </c>
      <c r="F4679" s="0" t="n">
        <f aca="false">-1+C4679*0.125</f>
        <v>1</v>
      </c>
      <c r="G4679" s="0" t="n">
        <f aca="false">1</f>
        <v>1</v>
      </c>
      <c r="H4679" s="0" t="n">
        <f aca="false">D4679</f>
        <v>1</v>
      </c>
      <c r="I4679" s="0" t="n">
        <f aca="false">E4679</f>
        <v>-0.75</v>
      </c>
      <c r="J4679" s="0" t="n">
        <f aca="false">F4679</f>
        <v>1</v>
      </c>
      <c r="K4679" s="0" t="n">
        <f aca="false">D4679*E4679</f>
        <v>-0.75</v>
      </c>
      <c r="L4679" s="0" t="n">
        <f aca="false">D4679*F4679</f>
        <v>1</v>
      </c>
      <c r="M4679" s="0" t="n">
        <f aca="false">E4679*F4679</f>
        <v>-0.75</v>
      </c>
      <c r="N4679" s="0" t="n">
        <f aca="false">D4679*D4679</f>
        <v>1</v>
      </c>
      <c r="O4679" s="0" t="n">
        <f aca="false">E4679*E4679</f>
        <v>0.5625</v>
      </c>
      <c r="P4679" s="0" t="n">
        <f aca="false">F4679*F4679</f>
        <v>1</v>
      </c>
      <c r="Q4679" s="0" t="n">
        <f aca="false">SUMPRODUCT(G4679:P4679,_XtX!$B$71:$K$71)</f>
        <v>44.6272727272727</v>
      </c>
      <c r="R4679" s="0" t="n">
        <f aca="false">SUMPRODUCT(MMULT(G4679:P4679,_XtX!$B$58:$K$67),G4679:P4679)</f>
        <v>0.669886363636364</v>
      </c>
      <c r="S4679" s="0" t="n">
        <f aca="false">04_回帰ANOVA!$K$19*04_回帰ANOVA!$K$14*SQRT(1+R4679)</f>
        <v>1.20146215423986</v>
      </c>
      <c r="T4679" s="0" t="n">
        <f aca="false">Q4679-S4679</f>
        <v>43.4258105730329</v>
      </c>
      <c r="U4679" s="0" t="n">
        <f aca="false">Q4679+S4679</f>
        <v>45.8287348815126</v>
      </c>
      <c r="V4679" s="54" t="b">
        <f aca="false">AND(D4679&gt;=01_因子設定!$L$5-0.000000001,D4679&lt;=01_因子設定!$M$5+0.000000001,E4679&gt;=01_因子設定!$L$6-0.000000001,E4679&lt;=01_因子設定!$M$6+0.000000001,F4679&gt;=01_因子設定!$L$7-0.000000001,F4679&lt;=01_因子設定!$M$7+0.000000001,IF(01_因子設定!$B$20="Box-Behnken",D4679^2+E4679^2+F4679^2&lt;=2+0.000000001,TRUE()))</f>
        <v>1</v>
      </c>
      <c r="W4679" s="55" t="n">
        <f aca="false">IF(V4679,IF(01_因子設定!$B$13="最大化",T4679-01_因子設定!$B$14,IF(01_因子設定!$B$13="最小化",01_因子設定!$B$15-U4679,MIN(T4679-01_因子設定!$B$14,01_因子設定!$B$15-U4679))),-1E+030)</f>
        <v>-5.07418942696712</v>
      </c>
      <c r="X4679" s="55" t="n">
        <f aca="false">IF(V4679,IF(01_因子設定!$B$13="最大化",Q4679,IF(01_因子設定!$B$13="最小化",-Q4679,-ABS(Q4679-01_因子設定!$B$16))),-1E+030)</f>
        <v>44.6272727272727</v>
      </c>
      <c r="Y4679" s="55" t="n">
        <f aca="false">W4679+ROW()*0.000000001</f>
        <v>-5.07418474796712</v>
      </c>
      <c r="Z4679" s="55" t="n">
        <f aca="false">X4679+ROW()*0.000000001</f>
        <v>44.6272774062727</v>
      </c>
    </row>
    <row r="4680" customFormat="false" ht="15" hidden="false" customHeight="false" outlineLevel="0" collapsed="false">
      <c r="A4680" s="0" t="n">
        <v>16</v>
      </c>
      <c r="B4680" s="0" t="n">
        <v>3</v>
      </c>
      <c r="C4680" s="0" t="n">
        <v>0</v>
      </c>
      <c r="D4680" s="0" t="n">
        <f aca="false">-1+A4680*0.125</f>
        <v>1</v>
      </c>
      <c r="E4680" s="0" t="n">
        <f aca="false">-1+B4680*0.125</f>
        <v>-0.625</v>
      </c>
      <c r="F4680" s="0" t="n">
        <f aca="false">-1+C4680*0.125</f>
        <v>-1</v>
      </c>
      <c r="G4680" s="0" t="n">
        <f aca="false">1</f>
        <v>1</v>
      </c>
      <c r="H4680" s="0" t="n">
        <f aca="false">D4680</f>
        <v>1</v>
      </c>
      <c r="I4680" s="0" t="n">
        <f aca="false">E4680</f>
        <v>-0.625</v>
      </c>
      <c r="J4680" s="0" t="n">
        <f aca="false">F4680</f>
        <v>-1</v>
      </c>
      <c r="K4680" s="0" t="n">
        <f aca="false">D4680*E4680</f>
        <v>-0.625</v>
      </c>
      <c r="L4680" s="0" t="n">
        <f aca="false">D4680*F4680</f>
        <v>-1</v>
      </c>
      <c r="M4680" s="0" t="n">
        <f aca="false">E4680*F4680</f>
        <v>0.625</v>
      </c>
      <c r="N4680" s="0" t="n">
        <f aca="false">D4680*D4680</f>
        <v>1</v>
      </c>
      <c r="O4680" s="0" t="n">
        <f aca="false">E4680*E4680</f>
        <v>0.390625</v>
      </c>
      <c r="P4680" s="0" t="n">
        <f aca="false">F4680*F4680</f>
        <v>1</v>
      </c>
      <c r="Q4680" s="0" t="n">
        <f aca="false">SUMPRODUCT(G4680:P4680,_XtX!$B$71:$K$71)</f>
        <v>43.5463352272727</v>
      </c>
      <c r="R4680" s="0" t="n">
        <f aca="false">SUMPRODUCT(MMULT(G4680:P4680,_XtX!$B$58:$K$67),G4680:P4680)</f>
        <v>0.659534801136364</v>
      </c>
      <c r="S4680" s="0" t="n">
        <f aca="false">04_回帰ANOVA!$K$19*04_回帰ANOVA!$K$14*SQRT(1+R4680)</f>
        <v>1.19773245593097</v>
      </c>
      <c r="T4680" s="0" t="n">
        <f aca="false">Q4680-S4680</f>
        <v>42.3486027713418</v>
      </c>
      <c r="U4680" s="0" t="n">
        <f aca="false">Q4680+S4680</f>
        <v>44.7440676832037</v>
      </c>
      <c r="V4680" s="54" t="b">
        <f aca="false">AND(D4680&gt;=01_因子設定!$L$5-0.000000001,D4680&lt;=01_因子設定!$M$5+0.000000001,E4680&gt;=01_因子設定!$L$6-0.000000001,E4680&lt;=01_因子設定!$M$6+0.000000001,F4680&gt;=01_因子設定!$L$7-0.000000001,F4680&lt;=01_因子設定!$M$7+0.000000001,IF(01_因子設定!$B$20="Box-Behnken",D4680^2+E4680^2+F4680^2&lt;=2+0.000000001,TRUE()))</f>
        <v>1</v>
      </c>
      <c r="W4680" s="55" t="n">
        <f aca="false">IF(V4680,IF(01_因子設定!$B$13="最大化",T4680-01_因子設定!$B$14,IF(01_因子設定!$B$13="最小化",01_因子設定!$B$15-U4680,MIN(T4680-01_因子設定!$B$14,01_因子設定!$B$15-U4680))),-1E+030)</f>
        <v>-6.15139722865823</v>
      </c>
      <c r="X4680" s="55" t="n">
        <f aca="false">IF(V4680,IF(01_因子設定!$B$13="最大化",Q4680,IF(01_因子設定!$B$13="最小化",-Q4680,-ABS(Q4680-01_因子設定!$B$16))),-1E+030)</f>
        <v>43.5463352272727</v>
      </c>
      <c r="Y4680" s="55" t="n">
        <f aca="false">W4680+ROW()*0.000000001</f>
        <v>-6.15139254865823</v>
      </c>
      <c r="Z4680" s="55" t="n">
        <f aca="false">X4680+ROW()*0.000000001</f>
        <v>43.5463399072727</v>
      </c>
    </row>
    <row r="4681" customFormat="false" ht="15" hidden="false" customHeight="false" outlineLevel="0" collapsed="false">
      <c r="A4681" s="0" t="n">
        <v>16</v>
      </c>
      <c r="B4681" s="0" t="n">
        <v>3</v>
      </c>
      <c r="C4681" s="0" t="n">
        <v>1</v>
      </c>
      <c r="D4681" s="0" t="n">
        <f aca="false">-1+A4681*0.125</f>
        <v>1</v>
      </c>
      <c r="E4681" s="0" t="n">
        <f aca="false">-1+B4681*0.125</f>
        <v>-0.625</v>
      </c>
      <c r="F4681" s="0" t="n">
        <f aca="false">-1+C4681*0.125</f>
        <v>-0.875</v>
      </c>
      <c r="G4681" s="0" t="n">
        <f aca="false">1</f>
        <v>1</v>
      </c>
      <c r="H4681" s="0" t="n">
        <f aca="false">D4681</f>
        <v>1</v>
      </c>
      <c r="I4681" s="0" t="n">
        <f aca="false">E4681</f>
        <v>-0.625</v>
      </c>
      <c r="J4681" s="0" t="n">
        <f aca="false">F4681</f>
        <v>-0.875</v>
      </c>
      <c r="K4681" s="0" t="n">
        <f aca="false">D4681*E4681</f>
        <v>-0.625</v>
      </c>
      <c r="L4681" s="0" t="n">
        <f aca="false">D4681*F4681</f>
        <v>-0.875</v>
      </c>
      <c r="M4681" s="0" t="n">
        <f aca="false">E4681*F4681</f>
        <v>0.546875</v>
      </c>
      <c r="N4681" s="0" t="n">
        <f aca="false">D4681*D4681</f>
        <v>1</v>
      </c>
      <c r="O4681" s="0" t="n">
        <f aca="false">E4681*E4681</f>
        <v>0.390625</v>
      </c>
      <c r="P4681" s="0" t="n">
        <f aca="false">F4681*F4681</f>
        <v>0.765625</v>
      </c>
      <c r="Q4681" s="0" t="n">
        <f aca="false">SUMPRODUCT(G4681:P4681,_XtX!$B$71:$K$71)</f>
        <v>43.9408522727273</v>
      </c>
      <c r="R4681" s="0" t="n">
        <f aca="false">SUMPRODUCT(MMULT(G4681:P4681,_XtX!$B$58:$K$67),G4681:P4681)</f>
        <v>0.555073131214489</v>
      </c>
      <c r="S4681" s="0" t="n">
        <f aca="false">04_回帰ANOVA!$K$19*04_回帰ANOVA!$K$14*SQRT(1+R4681)</f>
        <v>1.15942335628341</v>
      </c>
      <c r="T4681" s="0" t="n">
        <f aca="false">Q4681-S4681</f>
        <v>42.7814289164439</v>
      </c>
      <c r="U4681" s="0" t="n">
        <f aca="false">Q4681+S4681</f>
        <v>45.1002756290107</v>
      </c>
      <c r="V4681" s="54" t="b">
        <f aca="false">AND(D4681&gt;=01_因子設定!$L$5-0.000000001,D4681&lt;=01_因子設定!$M$5+0.000000001,E4681&gt;=01_因子設定!$L$6-0.000000001,E4681&lt;=01_因子設定!$M$6+0.000000001,F4681&gt;=01_因子設定!$L$7-0.000000001,F4681&lt;=01_因子設定!$M$7+0.000000001,IF(01_因子設定!$B$20="Box-Behnken",D4681^2+E4681^2+F4681^2&lt;=2+0.000000001,TRUE()))</f>
        <v>1</v>
      </c>
      <c r="W4681" s="55" t="n">
        <f aca="false">IF(V4681,IF(01_因子設定!$B$13="最大化",T4681-01_因子設定!$B$14,IF(01_因子設定!$B$13="最小化",01_因子設定!$B$15-U4681,MIN(T4681-01_因子設定!$B$14,01_因子設定!$B$15-U4681))),-1E+030)</f>
        <v>-5.71857108355613</v>
      </c>
      <c r="X4681" s="55" t="n">
        <f aca="false">IF(V4681,IF(01_因子設定!$B$13="最大化",Q4681,IF(01_因子設定!$B$13="最小化",-Q4681,-ABS(Q4681-01_因子設定!$B$16))),-1E+030)</f>
        <v>43.9408522727273</v>
      </c>
      <c r="Y4681" s="55" t="n">
        <f aca="false">W4681+ROW()*0.000000001</f>
        <v>-5.71856640255613</v>
      </c>
      <c r="Z4681" s="55" t="n">
        <f aca="false">X4681+ROW()*0.000000001</f>
        <v>43.9408569537273</v>
      </c>
    </row>
    <row r="4682" customFormat="false" ht="15" hidden="false" customHeight="false" outlineLevel="0" collapsed="false">
      <c r="A4682" s="0" t="n">
        <v>16</v>
      </c>
      <c r="B4682" s="0" t="n">
        <v>3</v>
      </c>
      <c r="C4682" s="0" t="n">
        <v>2</v>
      </c>
      <c r="D4682" s="0" t="n">
        <f aca="false">-1+A4682*0.125</f>
        <v>1</v>
      </c>
      <c r="E4682" s="0" t="n">
        <f aca="false">-1+B4682*0.125</f>
        <v>-0.625</v>
      </c>
      <c r="F4682" s="0" t="n">
        <f aca="false">-1+C4682*0.125</f>
        <v>-0.75</v>
      </c>
      <c r="G4682" s="0" t="n">
        <f aca="false">1</f>
        <v>1</v>
      </c>
      <c r="H4682" s="0" t="n">
        <f aca="false">D4682</f>
        <v>1</v>
      </c>
      <c r="I4682" s="0" t="n">
        <f aca="false">E4682</f>
        <v>-0.625</v>
      </c>
      <c r="J4682" s="0" t="n">
        <f aca="false">F4682</f>
        <v>-0.75</v>
      </c>
      <c r="K4682" s="0" t="n">
        <f aca="false">D4682*E4682</f>
        <v>-0.625</v>
      </c>
      <c r="L4682" s="0" t="n">
        <f aca="false">D4682*F4682</f>
        <v>-0.75</v>
      </c>
      <c r="M4682" s="0" t="n">
        <f aca="false">E4682*F4682</f>
        <v>0.46875</v>
      </c>
      <c r="N4682" s="0" t="n">
        <f aca="false">D4682*D4682</f>
        <v>1</v>
      </c>
      <c r="O4682" s="0" t="n">
        <f aca="false">E4682*E4682</f>
        <v>0.390625</v>
      </c>
      <c r="P4682" s="0" t="n">
        <f aca="false">F4682*F4682</f>
        <v>0.5625</v>
      </c>
      <c r="Q4682" s="0" t="n">
        <f aca="false">SUMPRODUCT(G4682:P4682,_XtX!$B$71:$K$71)</f>
        <v>44.2985795454545</v>
      </c>
      <c r="R4682" s="0" t="n">
        <f aca="false">SUMPRODUCT(MMULT(G4682:P4682,_XtX!$B$58:$K$67),G4682:P4682)</f>
        <v>0.496855024857955</v>
      </c>
      <c r="S4682" s="0" t="n">
        <f aca="false">04_回帰ANOVA!$K$19*04_回帰ANOVA!$K$14*SQRT(1+R4682)</f>
        <v>1.1375133593161</v>
      </c>
      <c r="T4682" s="0" t="n">
        <f aca="false">Q4682-S4682</f>
        <v>43.1610661861384</v>
      </c>
      <c r="U4682" s="0" t="n">
        <f aca="false">Q4682+S4682</f>
        <v>45.4360929047706</v>
      </c>
      <c r="V4682" s="54" t="b">
        <f aca="false">AND(D4682&gt;=01_因子設定!$L$5-0.000000001,D4682&lt;=01_因子設定!$M$5+0.000000001,E4682&gt;=01_因子設定!$L$6-0.000000001,E4682&lt;=01_因子設定!$M$6+0.000000001,F4682&gt;=01_因子設定!$L$7-0.000000001,F4682&lt;=01_因子設定!$M$7+0.000000001,IF(01_因子設定!$B$20="Box-Behnken",D4682^2+E4682^2+F4682^2&lt;=2+0.000000001,TRUE()))</f>
        <v>1</v>
      </c>
      <c r="W4682" s="55" t="n">
        <f aca="false">IF(V4682,IF(01_因子設定!$B$13="最大化",T4682-01_因子設定!$B$14,IF(01_因子設定!$B$13="最小化",01_因子設定!$B$15-U4682,MIN(T4682-01_因子設定!$B$14,01_因子設定!$B$15-U4682))),-1E+030)</f>
        <v>-5.33893381386156</v>
      </c>
      <c r="X4682" s="55" t="n">
        <f aca="false">IF(V4682,IF(01_因子設定!$B$13="最大化",Q4682,IF(01_因子設定!$B$13="最小化",-Q4682,-ABS(Q4682-01_因子設定!$B$16))),-1E+030)</f>
        <v>44.2985795454545</v>
      </c>
      <c r="Y4682" s="55" t="n">
        <f aca="false">W4682+ROW()*0.000000001</f>
        <v>-5.33892913186156</v>
      </c>
      <c r="Z4682" s="55" t="n">
        <f aca="false">X4682+ROW()*0.000000001</f>
        <v>44.2985842274545</v>
      </c>
    </row>
    <row r="4683" customFormat="false" ht="15" hidden="false" customHeight="false" outlineLevel="0" collapsed="false">
      <c r="A4683" s="0" t="n">
        <v>16</v>
      </c>
      <c r="B4683" s="0" t="n">
        <v>3</v>
      </c>
      <c r="C4683" s="0" t="n">
        <v>3</v>
      </c>
      <c r="D4683" s="0" t="n">
        <f aca="false">-1+A4683*0.125</f>
        <v>1</v>
      </c>
      <c r="E4683" s="0" t="n">
        <f aca="false">-1+B4683*0.125</f>
        <v>-0.625</v>
      </c>
      <c r="F4683" s="0" t="n">
        <f aca="false">-1+C4683*0.125</f>
        <v>-0.625</v>
      </c>
      <c r="G4683" s="0" t="n">
        <f aca="false">1</f>
        <v>1</v>
      </c>
      <c r="H4683" s="0" t="n">
        <f aca="false">D4683</f>
        <v>1</v>
      </c>
      <c r="I4683" s="0" t="n">
        <f aca="false">E4683</f>
        <v>-0.625</v>
      </c>
      <c r="J4683" s="0" t="n">
        <f aca="false">F4683</f>
        <v>-0.625</v>
      </c>
      <c r="K4683" s="0" t="n">
        <f aca="false">D4683*E4683</f>
        <v>-0.625</v>
      </c>
      <c r="L4683" s="0" t="n">
        <f aca="false">D4683*F4683</f>
        <v>-0.625</v>
      </c>
      <c r="M4683" s="0" t="n">
        <f aca="false">E4683*F4683</f>
        <v>0.390625</v>
      </c>
      <c r="N4683" s="0" t="n">
        <f aca="false">D4683*D4683</f>
        <v>1</v>
      </c>
      <c r="O4683" s="0" t="n">
        <f aca="false">E4683*E4683</f>
        <v>0.390625</v>
      </c>
      <c r="P4683" s="0" t="n">
        <f aca="false">F4683*F4683</f>
        <v>0.390625</v>
      </c>
      <c r="Q4683" s="0" t="n">
        <f aca="false">SUMPRODUCT(G4683:P4683,_XtX!$B$71:$K$71)</f>
        <v>44.6195170454545</v>
      </c>
      <c r="R4683" s="0" t="n">
        <f aca="false">SUMPRODUCT(MMULT(G4683:P4683,_XtX!$B$58:$K$67),G4683:P4683)</f>
        <v>0.47103105024858</v>
      </c>
      <c r="S4683" s="0" t="n">
        <f aca="false">04_回帰ANOVA!$K$19*04_回帰ANOVA!$K$14*SQRT(1+R4683)</f>
        <v>1.1276583912499</v>
      </c>
      <c r="T4683" s="0" t="n">
        <f aca="false">Q4683-S4683</f>
        <v>43.4918586542046</v>
      </c>
      <c r="U4683" s="0" t="n">
        <f aca="false">Q4683+S4683</f>
        <v>45.7471754367044</v>
      </c>
      <c r="V4683" s="54" t="b">
        <f aca="false">AND(D4683&gt;=01_因子設定!$L$5-0.000000001,D4683&lt;=01_因子設定!$M$5+0.000000001,E4683&gt;=01_因子設定!$L$6-0.000000001,E4683&lt;=01_因子設定!$M$6+0.000000001,F4683&gt;=01_因子設定!$L$7-0.000000001,F4683&lt;=01_因子設定!$M$7+0.000000001,IF(01_因子設定!$B$20="Box-Behnken",D4683^2+E4683^2+F4683^2&lt;=2+0.000000001,TRUE()))</f>
        <v>1</v>
      </c>
      <c r="W4683" s="55" t="n">
        <f aca="false">IF(V4683,IF(01_因子設定!$B$13="最大化",T4683-01_因子設定!$B$14,IF(01_因子設定!$B$13="最小化",01_因子設定!$B$15-U4683,MIN(T4683-01_因子設定!$B$14,01_因子設定!$B$15-U4683))),-1E+030)</f>
        <v>-5.00814134579536</v>
      </c>
      <c r="X4683" s="55" t="n">
        <f aca="false">IF(V4683,IF(01_因子設定!$B$13="最大化",Q4683,IF(01_因子設定!$B$13="最小化",-Q4683,-ABS(Q4683-01_因子設定!$B$16))),-1E+030)</f>
        <v>44.6195170454545</v>
      </c>
      <c r="Y4683" s="55" t="n">
        <f aca="false">W4683+ROW()*0.000000001</f>
        <v>-5.00813666279536</v>
      </c>
      <c r="Z4683" s="55" t="n">
        <f aca="false">X4683+ROW()*0.000000001</f>
        <v>44.6195217284545</v>
      </c>
    </row>
    <row r="4684" customFormat="false" ht="15" hidden="false" customHeight="false" outlineLevel="0" collapsed="false">
      <c r="A4684" s="0" t="n">
        <v>16</v>
      </c>
      <c r="B4684" s="0" t="n">
        <v>3</v>
      </c>
      <c r="C4684" s="0" t="n">
        <v>4</v>
      </c>
      <c r="D4684" s="0" t="n">
        <f aca="false">-1+A4684*0.125</f>
        <v>1</v>
      </c>
      <c r="E4684" s="0" t="n">
        <f aca="false">-1+B4684*0.125</f>
        <v>-0.625</v>
      </c>
      <c r="F4684" s="0" t="n">
        <f aca="false">-1+C4684*0.125</f>
        <v>-0.5</v>
      </c>
      <c r="G4684" s="0" t="n">
        <f aca="false">1</f>
        <v>1</v>
      </c>
      <c r="H4684" s="0" t="n">
        <f aca="false">D4684</f>
        <v>1</v>
      </c>
      <c r="I4684" s="0" t="n">
        <f aca="false">E4684</f>
        <v>-0.625</v>
      </c>
      <c r="J4684" s="0" t="n">
        <f aca="false">F4684</f>
        <v>-0.5</v>
      </c>
      <c r="K4684" s="0" t="n">
        <f aca="false">D4684*E4684</f>
        <v>-0.625</v>
      </c>
      <c r="L4684" s="0" t="n">
        <f aca="false">D4684*F4684</f>
        <v>-0.5</v>
      </c>
      <c r="M4684" s="0" t="n">
        <f aca="false">E4684*F4684</f>
        <v>0.3125</v>
      </c>
      <c r="N4684" s="0" t="n">
        <f aca="false">D4684*D4684</f>
        <v>1</v>
      </c>
      <c r="O4684" s="0" t="n">
        <f aca="false">E4684*E4684</f>
        <v>0.390625</v>
      </c>
      <c r="P4684" s="0" t="n">
        <f aca="false">F4684*F4684</f>
        <v>0.25</v>
      </c>
      <c r="Q4684" s="0" t="n">
        <f aca="false">SUMPRODUCT(G4684:P4684,_XtX!$B$71:$K$71)</f>
        <v>44.9036647727273</v>
      </c>
      <c r="R4684" s="0" t="n">
        <f aca="false">SUMPRODUCT(MMULT(G4684:P4684,_XtX!$B$58:$K$67),G4684:P4684)</f>
        <v>0.465882457386364</v>
      </c>
      <c r="S4684" s="0" t="n">
        <f aca="false">04_回帰ANOVA!$K$19*04_回帰ANOVA!$K$14*SQRT(1+R4684)</f>
        <v>1.12568326538173</v>
      </c>
      <c r="T4684" s="0" t="n">
        <f aca="false">Q4684-S4684</f>
        <v>43.7779815073455</v>
      </c>
      <c r="U4684" s="0" t="n">
        <f aca="false">Q4684+S4684</f>
        <v>46.029348038109</v>
      </c>
      <c r="V4684" s="54" t="b">
        <f aca="false">AND(D4684&gt;=01_因子設定!$L$5-0.000000001,D4684&lt;=01_因子設定!$M$5+0.000000001,E4684&gt;=01_因子設定!$L$6-0.000000001,E4684&lt;=01_因子設定!$M$6+0.000000001,F4684&gt;=01_因子設定!$L$7-0.000000001,F4684&lt;=01_因子設定!$M$7+0.000000001,IF(01_因子設定!$B$20="Box-Behnken",D4684^2+E4684^2+F4684^2&lt;=2+0.000000001,TRUE()))</f>
        <v>1</v>
      </c>
      <c r="W4684" s="55" t="n">
        <f aca="false">IF(V4684,IF(01_因子設定!$B$13="最大化",T4684-01_因子設定!$B$14,IF(01_因子設定!$B$13="最小化",01_因子設定!$B$15-U4684,MIN(T4684-01_因子設定!$B$14,01_因子設定!$B$15-U4684))),-1E+030)</f>
        <v>-4.72201849265446</v>
      </c>
      <c r="X4684" s="55" t="n">
        <f aca="false">IF(V4684,IF(01_因子設定!$B$13="最大化",Q4684,IF(01_因子設定!$B$13="最小化",-Q4684,-ABS(Q4684-01_因子設定!$B$16))),-1E+030)</f>
        <v>44.9036647727273</v>
      </c>
      <c r="Y4684" s="55" t="n">
        <f aca="false">W4684+ROW()*0.000000001</f>
        <v>-4.72201380865446</v>
      </c>
      <c r="Z4684" s="55" t="n">
        <f aca="false">X4684+ROW()*0.000000001</f>
        <v>44.9036694567273</v>
      </c>
    </row>
    <row r="4685" customFormat="false" ht="15" hidden="false" customHeight="false" outlineLevel="0" collapsed="false">
      <c r="A4685" s="0" t="n">
        <v>16</v>
      </c>
      <c r="B4685" s="0" t="n">
        <v>3</v>
      </c>
      <c r="C4685" s="0" t="n">
        <v>5</v>
      </c>
      <c r="D4685" s="0" t="n">
        <f aca="false">-1+A4685*0.125</f>
        <v>1</v>
      </c>
      <c r="E4685" s="0" t="n">
        <f aca="false">-1+B4685*0.125</f>
        <v>-0.625</v>
      </c>
      <c r="F4685" s="0" t="n">
        <f aca="false">-1+C4685*0.125</f>
        <v>-0.375</v>
      </c>
      <c r="G4685" s="0" t="n">
        <f aca="false">1</f>
        <v>1</v>
      </c>
      <c r="H4685" s="0" t="n">
        <f aca="false">D4685</f>
        <v>1</v>
      </c>
      <c r="I4685" s="0" t="n">
        <f aca="false">E4685</f>
        <v>-0.625</v>
      </c>
      <c r="J4685" s="0" t="n">
        <f aca="false">F4685</f>
        <v>-0.375</v>
      </c>
      <c r="K4685" s="0" t="n">
        <f aca="false">D4685*E4685</f>
        <v>-0.625</v>
      </c>
      <c r="L4685" s="0" t="n">
        <f aca="false">D4685*F4685</f>
        <v>-0.375</v>
      </c>
      <c r="M4685" s="0" t="n">
        <f aca="false">E4685*F4685</f>
        <v>0.234375</v>
      </c>
      <c r="N4685" s="0" t="n">
        <f aca="false">D4685*D4685</f>
        <v>1</v>
      </c>
      <c r="O4685" s="0" t="n">
        <f aca="false">E4685*E4685</f>
        <v>0.390625</v>
      </c>
      <c r="P4685" s="0" t="n">
        <f aca="false">F4685*F4685</f>
        <v>0.140625</v>
      </c>
      <c r="Q4685" s="0" t="n">
        <f aca="false">SUMPRODUCT(G4685:P4685,_XtX!$B$71:$K$71)</f>
        <v>45.1510227272727</v>
      </c>
      <c r="R4685" s="0" t="n">
        <f aca="false">SUMPRODUCT(MMULT(G4685:P4685,_XtX!$B$58:$K$67),G4685:P4685)</f>
        <v>0.471821178089489</v>
      </c>
      <c r="S4685" s="0" t="n">
        <f aca="false">04_回帰ANOVA!$K$19*04_回帰ANOVA!$K$14*SQRT(1+R4685)</f>
        <v>1.12796119746125</v>
      </c>
      <c r="T4685" s="0" t="n">
        <f aca="false">Q4685-S4685</f>
        <v>44.0230615298115</v>
      </c>
      <c r="U4685" s="0" t="n">
        <f aca="false">Q4685+S4685</f>
        <v>46.278983924734</v>
      </c>
      <c r="V4685" s="54" t="b">
        <f aca="false">AND(D4685&gt;=01_因子設定!$L$5-0.000000001,D4685&lt;=01_因子設定!$M$5+0.000000001,E4685&gt;=01_因子設定!$L$6-0.000000001,E4685&lt;=01_因子設定!$M$6+0.000000001,F4685&gt;=01_因子設定!$L$7-0.000000001,F4685&lt;=01_因子設定!$M$7+0.000000001,IF(01_因子設定!$B$20="Box-Behnken",D4685^2+E4685^2+F4685^2&lt;=2+0.000000001,TRUE()))</f>
        <v>1</v>
      </c>
      <c r="W4685" s="55" t="n">
        <f aca="false">IF(V4685,IF(01_因子設定!$B$13="最大化",T4685-01_因子設定!$B$14,IF(01_因子設定!$B$13="最小化",01_因子設定!$B$15-U4685,MIN(T4685-01_因子設定!$B$14,01_因子設定!$B$15-U4685))),-1E+030)</f>
        <v>-4.47693847018854</v>
      </c>
      <c r="X4685" s="55" t="n">
        <f aca="false">IF(V4685,IF(01_因子設定!$B$13="最大化",Q4685,IF(01_因子設定!$B$13="最小化",-Q4685,-ABS(Q4685-01_因子設定!$B$16))),-1E+030)</f>
        <v>45.1510227272727</v>
      </c>
      <c r="Y4685" s="55" t="n">
        <f aca="false">W4685+ROW()*0.000000001</f>
        <v>-4.47693378518854</v>
      </c>
      <c r="Z4685" s="55" t="n">
        <f aca="false">X4685+ROW()*0.000000001</f>
        <v>45.1510274122727</v>
      </c>
    </row>
    <row r="4686" customFormat="false" ht="15" hidden="false" customHeight="false" outlineLevel="0" collapsed="false">
      <c r="A4686" s="0" t="n">
        <v>16</v>
      </c>
      <c r="B4686" s="0" t="n">
        <v>3</v>
      </c>
      <c r="C4686" s="0" t="n">
        <v>6</v>
      </c>
      <c r="D4686" s="0" t="n">
        <f aca="false">-1+A4686*0.125</f>
        <v>1</v>
      </c>
      <c r="E4686" s="0" t="n">
        <f aca="false">-1+B4686*0.125</f>
        <v>-0.625</v>
      </c>
      <c r="F4686" s="0" t="n">
        <f aca="false">-1+C4686*0.125</f>
        <v>-0.25</v>
      </c>
      <c r="G4686" s="0" t="n">
        <f aca="false">1</f>
        <v>1</v>
      </c>
      <c r="H4686" s="0" t="n">
        <f aca="false">D4686</f>
        <v>1</v>
      </c>
      <c r="I4686" s="0" t="n">
        <f aca="false">E4686</f>
        <v>-0.625</v>
      </c>
      <c r="J4686" s="0" t="n">
        <f aca="false">F4686</f>
        <v>-0.25</v>
      </c>
      <c r="K4686" s="0" t="n">
        <f aca="false">D4686*E4686</f>
        <v>-0.625</v>
      </c>
      <c r="L4686" s="0" t="n">
        <f aca="false">D4686*F4686</f>
        <v>-0.25</v>
      </c>
      <c r="M4686" s="0" t="n">
        <f aca="false">E4686*F4686</f>
        <v>0.15625</v>
      </c>
      <c r="N4686" s="0" t="n">
        <f aca="false">D4686*D4686</f>
        <v>1</v>
      </c>
      <c r="O4686" s="0" t="n">
        <f aca="false">E4686*E4686</f>
        <v>0.390625</v>
      </c>
      <c r="P4686" s="0" t="n">
        <f aca="false">F4686*F4686</f>
        <v>0.0625</v>
      </c>
      <c r="Q4686" s="0" t="n">
        <f aca="false">SUMPRODUCT(G4686:P4686,_XtX!$B$71:$K$71)</f>
        <v>45.3615909090909</v>
      </c>
      <c r="R4686" s="0" t="n">
        <f aca="false">SUMPRODUCT(MMULT(G4686:P4686,_XtX!$B$58:$K$67),G4686:P4686)</f>
        <v>0.481389825994318</v>
      </c>
      <c r="S4686" s="0" t="n">
        <f aca="false">04_回帰ANOVA!$K$19*04_回帰ANOVA!$K$14*SQRT(1+R4686)</f>
        <v>1.13162182500693</v>
      </c>
      <c r="T4686" s="0" t="n">
        <f aca="false">Q4686-S4686</f>
        <v>44.229969084084</v>
      </c>
      <c r="U4686" s="0" t="n">
        <f aca="false">Q4686+S4686</f>
        <v>46.4932127340978</v>
      </c>
      <c r="V4686" s="54" t="b">
        <f aca="false">AND(D4686&gt;=01_因子設定!$L$5-0.000000001,D4686&lt;=01_因子設定!$M$5+0.000000001,E4686&gt;=01_因子設定!$L$6-0.000000001,E4686&lt;=01_因子設定!$M$6+0.000000001,F4686&gt;=01_因子設定!$L$7-0.000000001,F4686&lt;=01_因子設定!$M$7+0.000000001,IF(01_因子設定!$B$20="Box-Behnken",D4686^2+E4686^2+F4686^2&lt;=2+0.000000001,TRUE()))</f>
        <v>1</v>
      </c>
      <c r="W4686" s="55" t="n">
        <f aca="false">IF(V4686,IF(01_因子設定!$B$13="最大化",T4686-01_因子設定!$B$14,IF(01_因子設定!$B$13="最小化",01_因子設定!$B$15-U4686,MIN(T4686-01_因子設定!$B$14,01_因子設定!$B$15-U4686))),-1E+030)</f>
        <v>-4.27003091591602</v>
      </c>
      <c r="X4686" s="55" t="n">
        <f aca="false">IF(V4686,IF(01_因子設定!$B$13="最大化",Q4686,IF(01_因子設定!$B$13="最小化",-Q4686,-ABS(Q4686-01_因子設定!$B$16))),-1E+030)</f>
        <v>45.3615909090909</v>
      </c>
      <c r="Y4686" s="55" t="n">
        <f aca="false">W4686+ROW()*0.000000001</f>
        <v>-4.27002622991602</v>
      </c>
      <c r="Z4686" s="55" t="n">
        <f aca="false">X4686+ROW()*0.000000001</f>
        <v>45.3615955950909</v>
      </c>
    </row>
    <row r="4687" customFormat="false" ht="15" hidden="false" customHeight="false" outlineLevel="0" collapsed="false">
      <c r="A4687" s="0" t="n">
        <v>16</v>
      </c>
      <c r="B4687" s="0" t="n">
        <v>3</v>
      </c>
      <c r="C4687" s="0" t="n">
        <v>7</v>
      </c>
      <c r="D4687" s="0" t="n">
        <f aca="false">-1+A4687*0.125</f>
        <v>1</v>
      </c>
      <c r="E4687" s="0" t="n">
        <f aca="false">-1+B4687*0.125</f>
        <v>-0.625</v>
      </c>
      <c r="F4687" s="0" t="n">
        <f aca="false">-1+C4687*0.125</f>
        <v>-0.125</v>
      </c>
      <c r="G4687" s="0" t="n">
        <f aca="false">1</f>
        <v>1</v>
      </c>
      <c r="H4687" s="0" t="n">
        <f aca="false">D4687</f>
        <v>1</v>
      </c>
      <c r="I4687" s="0" t="n">
        <f aca="false">E4687</f>
        <v>-0.625</v>
      </c>
      <c r="J4687" s="0" t="n">
        <f aca="false">F4687</f>
        <v>-0.125</v>
      </c>
      <c r="K4687" s="0" t="n">
        <f aca="false">D4687*E4687</f>
        <v>-0.625</v>
      </c>
      <c r="L4687" s="0" t="n">
        <f aca="false">D4687*F4687</f>
        <v>-0.125</v>
      </c>
      <c r="M4687" s="0" t="n">
        <f aca="false">E4687*F4687</f>
        <v>0.078125</v>
      </c>
      <c r="N4687" s="0" t="n">
        <f aca="false">D4687*D4687</f>
        <v>1</v>
      </c>
      <c r="O4687" s="0" t="n">
        <f aca="false">E4687*E4687</f>
        <v>0.390625</v>
      </c>
      <c r="P4687" s="0" t="n">
        <f aca="false">F4687*F4687</f>
        <v>0.015625</v>
      </c>
      <c r="Q4687" s="0" t="n">
        <f aca="false">SUMPRODUCT(G4687:P4687,_XtX!$B$71:$K$71)</f>
        <v>45.5353693181818</v>
      </c>
      <c r="R4687" s="0" t="n">
        <f aca="false">SUMPRODUCT(MMULT(G4687:P4687,_XtX!$B$58:$K$67),G4687:P4687)</f>
        <v>0.489261696555398</v>
      </c>
      <c r="S4687" s="0" t="n">
        <f aca="false">04_回帰ANOVA!$K$19*04_回帰ANOVA!$K$14*SQRT(1+R4687)</f>
        <v>1.13462447083763</v>
      </c>
      <c r="T4687" s="0" t="n">
        <f aca="false">Q4687-S4687</f>
        <v>44.4007448473442</v>
      </c>
      <c r="U4687" s="0" t="n">
        <f aca="false">Q4687+S4687</f>
        <v>46.6699937890194</v>
      </c>
      <c r="V4687" s="54" t="b">
        <f aca="false">AND(D4687&gt;=01_因子設定!$L$5-0.000000001,D4687&lt;=01_因子設定!$M$5+0.000000001,E4687&gt;=01_因子設定!$L$6-0.000000001,E4687&lt;=01_因子設定!$M$6+0.000000001,F4687&gt;=01_因子設定!$L$7-0.000000001,F4687&lt;=01_因子設定!$M$7+0.000000001,IF(01_因子設定!$B$20="Box-Behnken",D4687^2+E4687^2+F4687^2&lt;=2+0.000000001,TRUE()))</f>
        <v>1</v>
      </c>
      <c r="W4687" s="55" t="n">
        <f aca="false">IF(V4687,IF(01_因子設定!$B$13="最大化",T4687-01_因子設定!$B$14,IF(01_因子設定!$B$13="最小化",01_因子設定!$B$15-U4687,MIN(T4687-01_因子設定!$B$14,01_因子設定!$B$15-U4687))),-1E+030)</f>
        <v>-4.09925515265583</v>
      </c>
      <c r="X4687" s="55" t="n">
        <f aca="false">IF(V4687,IF(01_因子設定!$B$13="最大化",Q4687,IF(01_因子設定!$B$13="最小化",-Q4687,-ABS(Q4687-01_因子設定!$B$16))),-1E+030)</f>
        <v>45.5353693181818</v>
      </c>
      <c r="Y4687" s="55" t="n">
        <f aca="false">W4687+ROW()*0.000000001</f>
        <v>-4.09925046565583</v>
      </c>
      <c r="Z4687" s="55" t="n">
        <f aca="false">X4687+ROW()*0.000000001</f>
        <v>45.5353740051818</v>
      </c>
    </row>
    <row r="4688" customFormat="false" ht="15" hidden="false" customHeight="false" outlineLevel="0" collapsed="false">
      <c r="A4688" s="0" t="n">
        <v>16</v>
      </c>
      <c r="B4688" s="0" t="n">
        <v>3</v>
      </c>
      <c r="C4688" s="0" t="n">
        <v>8</v>
      </c>
      <c r="D4688" s="0" t="n">
        <f aca="false">-1+A4688*0.125</f>
        <v>1</v>
      </c>
      <c r="E4688" s="0" t="n">
        <f aca="false">-1+B4688*0.125</f>
        <v>-0.625</v>
      </c>
      <c r="F4688" s="0" t="n">
        <f aca="false">-1+C4688*0.125</f>
        <v>0</v>
      </c>
      <c r="G4688" s="0" t="n">
        <f aca="false">1</f>
        <v>1</v>
      </c>
      <c r="H4688" s="0" t="n">
        <f aca="false">D4688</f>
        <v>1</v>
      </c>
      <c r="I4688" s="0" t="n">
        <f aca="false">E4688</f>
        <v>-0.625</v>
      </c>
      <c r="J4688" s="0" t="n">
        <f aca="false">F4688</f>
        <v>0</v>
      </c>
      <c r="K4688" s="0" t="n">
        <f aca="false">D4688*E4688</f>
        <v>-0.625</v>
      </c>
      <c r="L4688" s="0" t="n">
        <f aca="false">D4688*F4688</f>
        <v>0</v>
      </c>
      <c r="M4688" s="0" t="n">
        <f aca="false">E4688*F4688</f>
        <v>-0</v>
      </c>
      <c r="N4688" s="0" t="n">
        <f aca="false">D4688*D4688</f>
        <v>1</v>
      </c>
      <c r="O4688" s="0" t="n">
        <f aca="false">E4688*E4688</f>
        <v>0.390625</v>
      </c>
      <c r="P4688" s="0" t="n">
        <f aca="false">F4688*F4688</f>
        <v>0</v>
      </c>
      <c r="Q4688" s="0" t="n">
        <f aca="false">SUMPRODUCT(G4688:P4688,_XtX!$B$71:$K$71)</f>
        <v>45.6723579545455</v>
      </c>
      <c r="R4688" s="0" t="n">
        <f aca="false">SUMPRODUCT(MMULT(G4688:P4688,_XtX!$B$58:$K$67),G4688:P4688)</f>
        <v>0.492240767045455</v>
      </c>
      <c r="S4688" s="0" t="n">
        <f aca="false">04_回帰ANOVA!$K$19*04_回帰ANOVA!$K$14*SQRT(1+R4688)</f>
        <v>1.13575873676322</v>
      </c>
      <c r="T4688" s="0" t="n">
        <f aca="false">Q4688-S4688</f>
        <v>44.5365992177822</v>
      </c>
      <c r="U4688" s="0" t="n">
        <f aca="false">Q4688+S4688</f>
        <v>46.8081166913087</v>
      </c>
      <c r="V4688" s="54" t="b">
        <f aca="false">AND(D4688&gt;=01_因子設定!$L$5-0.000000001,D4688&lt;=01_因子設定!$M$5+0.000000001,E4688&gt;=01_因子設定!$L$6-0.000000001,E4688&lt;=01_因子設定!$M$6+0.000000001,F4688&gt;=01_因子設定!$L$7-0.000000001,F4688&lt;=01_因子設定!$M$7+0.000000001,IF(01_因子設定!$B$20="Box-Behnken",D4688^2+E4688^2+F4688^2&lt;=2+0.000000001,TRUE()))</f>
        <v>1</v>
      </c>
      <c r="W4688" s="55" t="n">
        <f aca="false">IF(V4688,IF(01_因子設定!$B$13="最大化",T4688-01_因子設定!$B$14,IF(01_因子設定!$B$13="最小化",01_因子設定!$B$15-U4688,MIN(T4688-01_因子設定!$B$14,01_因子設定!$B$15-U4688))),-1E+030)</f>
        <v>-3.96340078221778</v>
      </c>
      <c r="X4688" s="55" t="n">
        <f aca="false">IF(V4688,IF(01_因子設定!$B$13="最大化",Q4688,IF(01_因子設定!$B$13="最小化",-Q4688,-ABS(Q4688-01_因子設定!$B$16))),-1E+030)</f>
        <v>45.6723579545455</v>
      </c>
      <c r="Y4688" s="55" t="n">
        <f aca="false">W4688+ROW()*0.000000001</f>
        <v>-3.96339609421778</v>
      </c>
      <c r="Z4688" s="55" t="n">
        <f aca="false">X4688+ROW()*0.000000001</f>
        <v>45.6723626425454</v>
      </c>
    </row>
    <row r="4689" customFormat="false" ht="15" hidden="false" customHeight="false" outlineLevel="0" collapsed="false">
      <c r="A4689" s="0" t="n">
        <v>16</v>
      </c>
      <c r="B4689" s="0" t="n">
        <v>3</v>
      </c>
      <c r="C4689" s="0" t="n">
        <v>9</v>
      </c>
      <c r="D4689" s="0" t="n">
        <f aca="false">-1+A4689*0.125</f>
        <v>1</v>
      </c>
      <c r="E4689" s="0" t="n">
        <f aca="false">-1+B4689*0.125</f>
        <v>-0.625</v>
      </c>
      <c r="F4689" s="0" t="n">
        <f aca="false">-1+C4689*0.125</f>
        <v>0.125</v>
      </c>
      <c r="G4689" s="0" t="n">
        <f aca="false">1</f>
        <v>1</v>
      </c>
      <c r="H4689" s="0" t="n">
        <f aca="false">D4689</f>
        <v>1</v>
      </c>
      <c r="I4689" s="0" t="n">
        <f aca="false">E4689</f>
        <v>-0.625</v>
      </c>
      <c r="J4689" s="0" t="n">
        <f aca="false">F4689</f>
        <v>0.125</v>
      </c>
      <c r="K4689" s="0" t="n">
        <f aca="false">D4689*E4689</f>
        <v>-0.625</v>
      </c>
      <c r="L4689" s="0" t="n">
        <f aca="false">D4689*F4689</f>
        <v>0.125</v>
      </c>
      <c r="M4689" s="0" t="n">
        <f aca="false">E4689*F4689</f>
        <v>-0.078125</v>
      </c>
      <c r="N4689" s="0" t="n">
        <f aca="false">D4689*D4689</f>
        <v>1</v>
      </c>
      <c r="O4689" s="0" t="n">
        <f aca="false">E4689*E4689</f>
        <v>0.390625</v>
      </c>
      <c r="P4689" s="0" t="n">
        <f aca="false">F4689*F4689</f>
        <v>0.015625</v>
      </c>
      <c r="Q4689" s="0" t="n">
        <f aca="false">SUMPRODUCT(G4689:P4689,_XtX!$B$71:$K$71)</f>
        <v>45.7725568181818</v>
      </c>
      <c r="R4689" s="0" t="n">
        <f aca="false">SUMPRODUCT(MMULT(G4689:P4689,_XtX!$B$58:$K$67),G4689:P4689)</f>
        <v>0.489261696555398</v>
      </c>
      <c r="S4689" s="0" t="n">
        <f aca="false">04_回帰ANOVA!$K$19*04_回帰ANOVA!$K$14*SQRT(1+R4689)</f>
        <v>1.13462447083763</v>
      </c>
      <c r="T4689" s="0" t="n">
        <f aca="false">Q4689-S4689</f>
        <v>44.6379323473442</v>
      </c>
      <c r="U4689" s="0" t="n">
        <f aca="false">Q4689+S4689</f>
        <v>46.9071812890195</v>
      </c>
      <c r="V4689" s="54" t="b">
        <f aca="false">AND(D4689&gt;=01_因子設定!$L$5-0.000000001,D4689&lt;=01_因子設定!$M$5+0.000000001,E4689&gt;=01_因子設定!$L$6-0.000000001,E4689&lt;=01_因子設定!$M$6+0.000000001,F4689&gt;=01_因子設定!$L$7-0.000000001,F4689&lt;=01_因子設定!$M$7+0.000000001,IF(01_因子設定!$B$20="Box-Behnken",D4689^2+E4689^2+F4689^2&lt;=2+0.000000001,TRUE()))</f>
        <v>1</v>
      </c>
      <c r="W4689" s="55" t="n">
        <f aca="false">IF(V4689,IF(01_因子設定!$B$13="最大化",T4689-01_因子設定!$B$14,IF(01_因子設定!$B$13="最小化",01_因子設定!$B$15-U4689,MIN(T4689-01_因子設定!$B$14,01_因子設定!$B$15-U4689))),-1E+030)</f>
        <v>-3.86206765265582</v>
      </c>
      <c r="X4689" s="55" t="n">
        <f aca="false">IF(V4689,IF(01_因子設定!$B$13="最大化",Q4689,IF(01_因子設定!$B$13="最小化",-Q4689,-ABS(Q4689-01_因子設定!$B$16))),-1E+030)</f>
        <v>45.7725568181818</v>
      </c>
      <c r="Y4689" s="55" t="n">
        <f aca="false">W4689+ROW()*0.000000001</f>
        <v>-3.86206296365582</v>
      </c>
      <c r="Z4689" s="55" t="n">
        <f aca="false">X4689+ROW()*0.000000001</f>
        <v>45.7725615071818</v>
      </c>
    </row>
    <row r="4690" customFormat="false" ht="15" hidden="false" customHeight="false" outlineLevel="0" collapsed="false">
      <c r="A4690" s="0" t="n">
        <v>16</v>
      </c>
      <c r="B4690" s="0" t="n">
        <v>3</v>
      </c>
      <c r="C4690" s="0" t="n">
        <v>10</v>
      </c>
      <c r="D4690" s="0" t="n">
        <f aca="false">-1+A4690*0.125</f>
        <v>1</v>
      </c>
      <c r="E4690" s="0" t="n">
        <f aca="false">-1+B4690*0.125</f>
        <v>-0.625</v>
      </c>
      <c r="F4690" s="0" t="n">
        <f aca="false">-1+C4690*0.125</f>
        <v>0.25</v>
      </c>
      <c r="G4690" s="0" t="n">
        <f aca="false">1</f>
        <v>1</v>
      </c>
      <c r="H4690" s="0" t="n">
        <f aca="false">D4690</f>
        <v>1</v>
      </c>
      <c r="I4690" s="0" t="n">
        <f aca="false">E4690</f>
        <v>-0.625</v>
      </c>
      <c r="J4690" s="0" t="n">
        <f aca="false">F4690</f>
        <v>0.25</v>
      </c>
      <c r="K4690" s="0" t="n">
        <f aca="false">D4690*E4690</f>
        <v>-0.625</v>
      </c>
      <c r="L4690" s="0" t="n">
        <f aca="false">D4690*F4690</f>
        <v>0.25</v>
      </c>
      <c r="M4690" s="0" t="n">
        <f aca="false">E4690*F4690</f>
        <v>-0.15625</v>
      </c>
      <c r="N4690" s="0" t="n">
        <f aca="false">D4690*D4690</f>
        <v>1</v>
      </c>
      <c r="O4690" s="0" t="n">
        <f aca="false">E4690*E4690</f>
        <v>0.390625</v>
      </c>
      <c r="P4690" s="0" t="n">
        <f aca="false">F4690*F4690</f>
        <v>0.0625</v>
      </c>
      <c r="Q4690" s="0" t="n">
        <f aca="false">SUMPRODUCT(G4690:P4690,_XtX!$B$71:$K$71)</f>
        <v>45.8359659090909</v>
      </c>
      <c r="R4690" s="0" t="n">
        <f aca="false">SUMPRODUCT(MMULT(G4690:P4690,_XtX!$B$58:$K$67),G4690:P4690)</f>
        <v>0.481389825994318</v>
      </c>
      <c r="S4690" s="0" t="n">
        <f aca="false">04_回帰ANOVA!$K$19*04_回帰ANOVA!$K$14*SQRT(1+R4690)</f>
        <v>1.13162182500693</v>
      </c>
      <c r="T4690" s="0" t="n">
        <f aca="false">Q4690-S4690</f>
        <v>44.704344084084</v>
      </c>
      <c r="U4690" s="0" t="n">
        <f aca="false">Q4690+S4690</f>
        <v>46.9675877340978</v>
      </c>
      <c r="V4690" s="54" t="b">
        <f aca="false">AND(D4690&gt;=01_因子設定!$L$5-0.000000001,D4690&lt;=01_因子設定!$M$5+0.000000001,E4690&gt;=01_因子設定!$L$6-0.000000001,E4690&lt;=01_因子設定!$M$6+0.000000001,F4690&gt;=01_因子設定!$L$7-0.000000001,F4690&lt;=01_因子設定!$M$7+0.000000001,IF(01_因子設定!$B$20="Box-Behnken",D4690^2+E4690^2+F4690^2&lt;=2+0.000000001,TRUE()))</f>
        <v>1</v>
      </c>
      <c r="W4690" s="55" t="n">
        <f aca="false">IF(V4690,IF(01_因子設定!$B$13="最大化",T4690-01_因子設定!$B$14,IF(01_因子設定!$B$13="最小化",01_因子設定!$B$15-U4690,MIN(T4690-01_因子設定!$B$14,01_因子設定!$B$15-U4690))),-1E+030)</f>
        <v>-3.79565591591602</v>
      </c>
      <c r="X4690" s="55" t="n">
        <f aca="false">IF(V4690,IF(01_因子設定!$B$13="最大化",Q4690,IF(01_因子設定!$B$13="最小化",-Q4690,-ABS(Q4690-01_因子設定!$B$16))),-1E+030)</f>
        <v>45.8359659090909</v>
      </c>
      <c r="Y4690" s="55" t="n">
        <f aca="false">W4690+ROW()*0.000000001</f>
        <v>-3.79565122591602</v>
      </c>
      <c r="Z4690" s="55" t="n">
        <f aca="false">X4690+ROW()*0.000000001</f>
        <v>45.8359705990909</v>
      </c>
    </row>
    <row r="4691" customFormat="false" ht="15" hidden="false" customHeight="false" outlineLevel="0" collapsed="false">
      <c r="A4691" s="0" t="n">
        <v>16</v>
      </c>
      <c r="B4691" s="0" t="n">
        <v>3</v>
      </c>
      <c r="C4691" s="0" t="n">
        <v>11</v>
      </c>
      <c r="D4691" s="0" t="n">
        <f aca="false">-1+A4691*0.125</f>
        <v>1</v>
      </c>
      <c r="E4691" s="0" t="n">
        <f aca="false">-1+B4691*0.125</f>
        <v>-0.625</v>
      </c>
      <c r="F4691" s="0" t="n">
        <f aca="false">-1+C4691*0.125</f>
        <v>0.375</v>
      </c>
      <c r="G4691" s="0" t="n">
        <f aca="false">1</f>
        <v>1</v>
      </c>
      <c r="H4691" s="0" t="n">
        <f aca="false">D4691</f>
        <v>1</v>
      </c>
      <c r="I4691" s="0" t="n">
        <f aca="false">E4691</f>
        <v>-0.625</v>
      </c>
      <c r="J4691" s="0" t="n">
        <f aca="false">F4691</f>
        <v>0.375</v>
      </c>
      <c r="K4691" s="0" t="n">
        <f aca="false">D4691*E4691</f>
        <v>-0.625</v>
      </c>
      <c r="L4691" s="0" t="n">
        <f aca="false">D4691*F4691</f>
        <v>0.375</v>
      </c>
      <c r="M4691" s="0" t="n">
        <f aca="false">E4691*F4691</f>
        <v>-0.234375</v>
      </c>
      <c r="N4691" s="0" t="n">
        <f aca="false">D4691*D4691</f>
        <v>1</v>
      </c>
      <c r="O4691" s="0" t="n">
        <f aca="false">E4691*E4691</f>
        <v>0.390625</v>
      </c>
      <c r="P4691" s="0" t="n">
        <f aca="false">F4691*F4691</f>
        <v>0.140625</v>
      </c>
      <c r="Q4691" s="0" t="n">
        <f aca="false">SUMPRODUCT(G4691:P4691,_XtX!$B$71:$K$71)</f>
        <v>45.8625852272727</v>
      </c>
      <c r="R4691" s="0" t="n">
        <f aca="false">SUMPRODUCT(MMULT(G4691:P4691,_XtX!$B$58:$K$67),G4691:P4691)</f>
        <v>0.471821178089489</v>
      </c>
      <c r="S4691" s="0" t="n">
        <f aca="false">04_回帰ANOVA!$K$19*04_回帰ANOVA!$K$14*SQRT(1+R4691)</f>
        <v>1.12796119746125</v>
      </c>
      <c r="T4691" s="0" t="n">
        <f aca="false">Q4691-S4691</f>
        <v>44.7346240298115</v>
      </c>
      <c r="U4691" s="0" t="n">
        <f aca="false">Q4691+S4691</f>
        <v>46.990546424734</v>
      </c>
      <c r="V4691" s="54" t="b">
        <f aca="false">AND(D4691&gt;=01_因子設定!$L$5-0.000000001,D4691&lt;=01_因子設定!$M$5+0.000000001,E4691&gt;=01_因子設定!$L$6-0.000000001,E4691&lt;=01_因子設定!$M$6+0.000000001,F4691&gt;=01_因子設定!$L$7-0.000000001,F4691&lt;=01_因子設定!$M$7+0.000000001,IF(01_因子設定!$B$20="Box-Behnken",D4691^2+E4691^2+F4691^2&lt;=2+0.000000001,TRUE()))</f>
        <v>1</v>
      </c>
      <c r="W4691" s="55" t="n">
        <f aca="false">IF(V4691,IF(01_因子設定!$B$13="最大化",T4691-01_因子設定!$B$14,IF(01_因子設定!$B$13="最小化",01_因子設定!$B$15-U4691,MIN(T4691-01_因子設定!$B$14,01_因子設定!$B$15-U4691))),-1E+030)</f>
        <v>-3.76537597018853</v>
      </c>
      <c r="X4691" s="55" t="n">
        <f aca="false">IF(V4691,IF(01_因子設定!$B$13="最大化",Q4691,IF(01_因子設定!$B$13="最小化",-Q4691,-ABS(Q4691-01_因子設定!$B$16))),-1E+030)</f>
        <v>45.8625852272727</v>
      </c>
      <c r="Y4691" s="55" t="n">
        <f aca="false">W4691+ROW()*0.000000001</f>
        <v>-3.76537127918853</v>
      </c>
      <c r="Z4691" s="55" t="n">
        <f aca="false">X4691+ROW()*0.000000001</f>
        <v>45.8625899182727</v>
      </c>
    </row>
    <row r="4692" customFormat="false" ht="15" hidden="false" customHeight="false" outlineLevel="0" collapsed="false">
      <c r="A4692" s="0" t="n">
        <v>16</v>
      </c>
      <c r="B4692" s="0" t="n">
        <v>3</v>
      </c>
      <c r="C4692" s="0" t="n">
        <v>12</v>
      </c>
      <c r="D4692" s="0" t="n">
        <f aca="false">-1+A4692*0.125</f>
        <v>1</v>
      </c>
      <c r="E4692" s="0" t="n">
        <f aca="false">-1+B4692*0.125</f>
        <v>-0.625</v>
      </c>
      <c r="F4692" s="0" t="n">
        <f aca="false">-1+C4692*0.125</f>
        <v>0.5</v>
      </c>
      <c r="G4692" s="0" t="n">
        <f aca="false">1</f>
        <v>1</v>
      </c>
      <c r="H4692" s="0" t="n">
        <f aca="false">D4692</f>
        <v>1</v>
      </c>
      <c r="I4692" s="0" t="n">
        <f aca="false">E4692</f>
        <v>-0.625</v>
      </c>
      <c r="J4692" s="0" t="n">
        <f aca="false">F4692</f>
        <v>0.5</v>
      </c>
      <c r="K4692" s="0" t="n">
        <f aca="false">D4692*E4692</f>
        <v>-0.625</v>
      </c>
      <c r="L4692" s="0" t="n">
        <f aca="false">D4692*F4692</f>
        <v>0.5</v>
      </c>
      <c r="M4692" s="0" t="n">
        <f aca="false">E4692*F4692</f>
        <v>-0.3125</v>
      </c>
      <c r="N4692" s="0" t="n">
        <f aca="false">D4692*D4692</f>
        <v>1</v>
      </c>
      <c r="O4692" s="0" t="n">
        <f aca="false">E4692*E4692</f>
        <v>0.390625</v>
      </c>
      <c r="P4692" s="0" t="n">
        <f aca="false">F4692*F4692</f>
        <v>0.25</v>
      </c>
      <c r="Q4692" s="0" t="n">
        <f aca="false">SUMPRODUCT(G4692:P4692,_XtX!$B$71:$K$71)</f>
        <v>45.8524147727273</v>
      </c>
      <c r="R4692" s="0" t="n">
        <f aca="false">SUMPRODUCT(MMULT(G4692:P4692,_XtX!$B$58:$K$67),G4692:P4692)</f>
        <v>0.465882457386364</v>
      </c>
      <c r="S4692" s="0" t="n">
        <f aca="false">04_回帰ANOVA!$K$19*04_回帰ANOVA!$K$14*SQRT(1+R4692)</f>
        <v>1.12568326538173</v>
      </c>
      <c r="T4692" s="0" t="n">
        <f aca="false">Q4692-S4692</f>
        <v>44.7267315073456</v>
      </c>
      <c r="U4692" s="0" t="n">
        <f aca="false">Q4692+S4692</f>
        <v>46.978098038109</v>
      </c>
      <c r="V4692" s="54" t="b">
        <f aca="false">AND(D4692&gt;=01_因子設定!$L$5-0.000000001,D4692&lt;=01_因子設定!$M$5+0.000000001,E4692&gt;=01_因子設定!$L$6-0.000000001,E4692&lt;=01_因子設定!$M$6+0.000000001,F4692&gt;=01_因子設定!$L$7-0.000000001,F4692&lt;=01_因子設定!$M$7+0.000000001,IF(01_因子設定!$B$20="Box-Behnken",D4692^2+E4692^2+F4692^2&lt;=2+0.000000001,TRUE()))</f>
        <v>1</v>
      </c>
      <c r="W4692" s="55" t="n">
        <f aca="false">IF(V4692,IF(01_因子設定!$B$13="最大化",T4692-01_因子設定!$B$14,IF(01_因子設定!$B$13="最小化",01_因子設定!$B$15-U4692,MIN(T4692-01_因子設定!$B$14,01_因子設定!$B$15-U4692))),-1E+030)</f>
        <v>-3.77326849265445</v>
      </c>
      <c r="X4692" s="55" t="n">
        <f aca="false">IF(V4692,IF(01_因子設定!$B$13="最大化",Q4692,IF(01_因子設定!$B$13="最小化",-Q4692,-ABS(Q4692-01_因子設定!$B$16))),-1E+030)</f>
        <v>45.8524147727273</v>
      </c>
      <c r="Y4692" s="55" t="n">
        <f aca="false">W4692+ROW()*0.000000001</f>
        <v>-3.77326380065445</v>
      </c>
      <c r="Z4692" s="55" t="n">
        <f aca="false">X4692+ROW()*0.000000001</f>
        <v>45.8524194647273</v>
      </c>
    </row>
    <row r="4693" customFormat="false" ht="15" hidden="false" customHeight="false" outlineLevel="0" collapsed="false">
      <c r="A4693" s="0" t="n">
        <v>16</v>
      </c>
      <c r="B4693" s="0" t="n">
        <v>3</v>
      </c>
      <c r="C4693" s="0" t="n">
        <v>13</v>
      </c>
      <c r="D4693" s="0" t="n">
        <f aca="false">-1+A4693*0.125</f>
        <v>1</v>
      </c>
      <c r="E4693" s="0" t="n">
        <f aca="false">-1+B4693*0.125</f>
        <v>-0.625</v>
      </c>
      <c r="F4693" s="0" t="n">
        <f aca="false">-1+C4693*0.125</f>
        <v>0.625</v>
      </c>
      <c r="G4693" s="0" t="n">
        <f aca="false">1</f>
        <v>1</v>
      </c>
      <c r="H4693" s="0" t="n">
        <f aca="false">D4693</f>
        <v>1</v>
      </c>
      <c r="I4693" s="0" t="n">
        <f aca="false">E4693</f>
        <v>-0.625</v>
      </c>
      <c r="J4693" s="0" t="n">
        <f aca="false">F4693</f>
        <v>0.625</v>
      </c>
      <c r="K4693" s="0" t="n">
        <f aca="false">D4693*E4693</f>
        <v>-0.625</v>
      </c>
      <c r="L4693" s="0" t="n">
        <f aca="false">D4693*F4693</f>
        <v>0.625</v>
      </c>
      <c r="M4693" s="0" t="n">
        <f aca="false">E4693*F4693</f>
        <v>-0.390625</v>
      </c>
      <c r="N4693" s="0" t="n">
        <f aca="false">D4693*D4693</f>
        <v>1</v>
      </c>
      <c r="O4693" s="0" t="n">
        <f aca="false">E4693*E4693</f>
        <v>0.390625</v>
      </c>
      <c r="P4693" s="0" t="n">
        <f aca="false">F4693*F4693</f>
        <v>0.390625</v>
      </c>
      <c r="Q4693" s="0" t="n">
        <f aca="false">SUMPRODUCT(G4693:P4693,_XtX!$B$71:$K$71)</f>
        <v>45.8054545454545</v>
      </c>
      <c r="R4693" s="0" t="n">
        <f aca="false">SUMPRODUCT(MMULT(G4693:P4693,_XtX!$B$58:$K$67),G4693:P4693)</f>
        <v>0.47103105024858</v>
      </c>
      <c r="S4693" s="0" t="n">
        <f aca="false">04_回帰ANOVA!$K$19*04_回帰ANOVA!$K$14*SQRT(1+R4693)</f>
        <v>1.1276583912499</v>
      </c>
      <c r="T4693" s="0" t="n">
        <f aca="false">Q4693-S4693</f>
        <v>44.6777961542046</v>
      </c>
      <c r="U4693" s="0" t="n">
        <f aca="false">Q4693+S4693</f>
        <v>46.9331129367045</v>
      </c>
      <c r="V4693" s="54" t="b">
        <f aca="false">AND(D4693&gt;=01_因子設定!$L$5-0.000000001,D4693&lt;=01_因子設定!$M$5+0.000000001,E4693&gt;=01_因子設定!$L$6-0.000000001,E4693&lt;=01_因子設定!$M$6+0.000000001,F4693&gt;=01_因子設定!$L$7-0.000000001,F4693&lt;=01_因子設定!$M$7+0.000000001,IF(01_因子設定!$B$20="Box-Behnken",D4693^2+E4693^2+F4693^2&lt;=2+0.000000001,TRUE()))</f>
        <v>1</v>
      </c>
      <c r="W4693" s="55" t="n">
        <f aca="false">IF(V4693,IF(01_因子設定!$B$13="最大化",T4693-01_因子設定!$B$14,IF(01_因子設定!$B$13="最小化",01_因子設定!$B$15-U4693,MIN(T4693-01_因子設定!$B$14,01_因子設定!$B$15-U4693))),-1E+030)</f>
        <v>-3.82220384579536</v>
      </c>
      <c r="X4693" s="55" t="n">
        <f aca="false">IF(V4693,IF(01_因子設定!$B$13="最大化",Q4693,IF(01_因子設定!$B$13="最小化",-Q4693,-ABS(Q4693-01_因子設定!$B$16))),-1E+030)</f>
        <v>45.8054545454545</v>
      </c>
      <c r="Y4693" s="55" t="n">
        <f aca="false">W4693+ROW()*0.000000001</f>
        <v>-3.82219915279536</v>
      </c>
      <c r="Z4693" s="55" t="n">
        <f aca="false">X4693+ROW()*0.000000001</f>
        <v>45.8054592384545</v>
      </c>
    </row>
    <row r="4694" customFormat="false" ht="15" hidden="false" customHeight="false" outlineLevel="0" collapsed="false">
      <c r="A4694" s="0" t="n">
        <v>16</v>
      </c>
      <c r="B4694" s="0" t="n">
        <v>3</v>
      </c>
      <c r="C4694" s="0" t="n">
        <v>14</v>
      </c>
      <c r="D4694" s="0" t="n">
        <f aca="false">-1+A4694*0.125</f>
        <v>1</v>
      </c>
      <c r="E4694" s="0" t="n">
        <f aca="false">-1+B4694*0.125</f>
        <v>-0.625</v>
      </c>
      <c r="F4694" s="0" t="n">
        <f aca="false">-1+C4694*0.125</f>
        <v>0.75</v>
      </c>
      <c r="G4694" s="0" t="n">
        <f aca="false">1</f>
        <v>1</v>
      </c>
      <c r="H4694" s="0" t="n">
        <f aca="false">D4694</f>
        <v>1</v>
      </c>
      <c r="I4694" s="0" t="n">
        <f aca="false">E4694</f>
        <v>-0.625</v>
      </c>
      <c r="J4694" s="0" t="n">
        <f aca="false">F4694</f>
        <v>0.75</v>
      </c>
      <c r="K4694" s="0" t="n">
        <f aca="false">D4694*E4694</f>
        <v>-0.625</v>
      </c>
      <c r="L4694" s="0" t="n">
        <f aca="false">D4694*F4694</f>
        <v>0.75</v>
      </c>
      <c r="M4694" s="0" t="n">
        <f aca="false">E4694*F4694</f>
        <v>-0.46875</v>
      </c>
      <c r="N4694" s="0" t="n">
        <f aca="false">D4694*D4694</f>
        <v>1</v>
      </c>
      <c r="O4694" s="0" t="n">
        <f aca="false">E4694*E4694</f>
        <v>0.390625</v>
      </c>
      <c r="P4694" s="0" t="n">
        <f aca="false">F4694*F4694</f>
        <v>0.5625</v>
      </c>
      <c r="Q4694" s="0" t="n">
        <f aca="false">SUMPRODUCT(G4694:P4694,_XtX!$B$71:$K$71)</f>
        <v>45.7217045454546</v>
      </c>
      <c r="R4694" s="0" t="n">
        <f aca="false">SUMPRODUCT(MMULT(G4694:P4694,_XtX!$B$58:$K$67),G4694:P4694)</f>
        <v>0.496855024857955</v>
      </c>
      <c r="S4694" s="0" t="n">
        <f aca="false">04_回帰ANOVA!$K$19*04_回帰ANOVA!$K$14*SQRT(1+R4694)</f>
        <v>1.1375133593161</v>
      </c>
      <c r="T4694" s="0" t="n">
        <f aca="false">Q4694-S4694</f>
        <v>44.5841911861385</v>
      </c>
      <c r="U4694" s="0" t="n">
        <f aca="false">Q4694+S4694</f>
        <v>46.8592179047706</v>
      </c>
      <c r="V4694" s="54" t="b">
        <f aca="false">AND(D4694&gt;=01_因子設定!$L$5-0.000000001,D4694&lt;=01_因子設定!$M$5+0.000000001,E4694&gt;=01_因子設定!$L$6-0.000000001,E4694&lt;=01_因子設定!$M$6+0.000000001,F4694&gt;=01_因子設定!$L$7-0.000000001,F4694&lt;=01_因子設定!$M$7+0.000000001,IF(01_因子設定!$B$20="Box-Behnken",D4694^2+E4694^2+F4694^2&lt;=2+0.000000001,TRUE()))</f>
        <v>1</v>
      </c>
      <c r="W4694" s="55" t="n">
        <f aca="false">IF(V4694,IF(01_因子設定!$B$13="最大化",T4694-01_因子設定!$B$14,IF(01_因子設定!$B$13="最小化",01_因子設定!$B$15-U4694,MIN(T4694-01_因子設定!$B$14,01_因子設定!$B$15-U4694))),-1E+030)</f>
        <v>-3.91580881386155</v>
      </c>
      <c r="X4694" s="55" t="n">
        <f aca="false">IF(V4694,IF(01_因子設定!$B$13="最大化",Q4694,IF(01_因子設定!$B$13="最小化",-Q4694,-ABS(Q4694-01_因子設定!$B$16))),-1E+030)</f>
        <v>45.7217045454546</v>
      </c>
      <c r="Y4694" s="55" t="n">
        <f aca="false">W4694+ROW()*0.000000001</f>
        <v>-3.91580411986155</v>
      </c>
      <c r="Z4694" s="55" t="n">
        <f aca="false">X4694+ROW()*0.000000001</f>
        <v>45.7217092394546</v>
      </c>
    </row>
    <row r="4695" customFormat="false" ht="15" hidden="false" customHeight="false" outlineLevel="0" collapsed="false">
      <c r="A4695" s="0" t="n">
        <v>16</v>
      </c>
      <c r="B4695" s="0" t="n">
        <v>3</v>
      </c>
      <c r="C4695" s="0" t="n">
        <v>15</v>
      </c>
      <c r="D4695" s="0" t="n">
        <f aca="false">-1+A4695*0.125</f>
        <v>1</v>
      </c>
      <c r="E4695" s="0" t="n">
        <f aca="false">-1+B4695*0.125</f>
        <v>-0.625</v>
      </c>
      <c r="F4695" s="0" t="n">
        <f aca="false">-1+C4695*0.125</f>
        <v>0.875</v>
      </c>
      <c r="G4695" s="0" t="n">
        <f aca="false">1</f>
        <v>1</v>
      </c>
      <c r="H4695" s="0" t="n">
        <f aca="false">D4695</f>
        <v>1</v>
      </c>
      <c r="I4695" s="0" t="n">
        <f aca="false">E4695</f>
        <v>-0.625</v>
      </c>
      <c r="J4695" s="0" t="n">
        <f aca="false">F4695</f>
        <v>0.875</v>
      </c>
      <c r="K4695" s="0" t="n">
        <f aca="false">D4695*E4695</f>
        <v>-0.625</v>
      </c>
      <c r="L4695" s="0" t="n">
        <f aca="false">D4695*F4695</f>
        <v>0.875</v>
      </c>
      <c r="M4695" s="0" t="n">
        <f aca="false">E4695*F4695</f>
        <v>-0.546875</v>
      </c>
      <c r="N4695" s="0" t="n">
        <f aca="false">D4695*D4695</f>
        <v>1</v>
      </c>
      <c r="O4695" s="0" t="n">
        <f aca="false">E4695*E4695</f>
        <v>0.390625</v>
      </c>
      <c r="P4695" s="0" t="n">
        <f aca="false">F4695*F4695</f>
        <v>0.765625</v>
      </c>
      <c r="Q4695" s="0" t="n">
        <f aca="false">SUMPRODUCT(G4695:P4695,_XtX!$B$71:$K$71)</f>
        <v>45.6011647727273</v>
      </c>
      <c r="R4695" s="0" t="n">
        <f aca="false">SUMPRODUCT(MMULT(G4695:P4695,_XtX!$B$58:$K$67),G4695:P4695)</f>
        <v>0.555073131214489</v>
      </c>
      <c r="S4695" s="0" t="n">
        <f aca="false">04_回帰ANOVA!$K$19*04_回帰ANOVA!$K$14*SQRT(1+R4695)</f>
        <v>1.15942335628341</v>
      </c>
      <c r="T4695" s="0" t="n">
        <f aca="false">Q4695-S4695</f>
        <v>44.4417414164439</v>
      </c>
      <c r="U4695" s="0" t="n">
        <f aca="false">Q4695+S4695</f>
        <v>46.7605881290107</v>
      </c>
      <c r="V4695" s="54" t="b">
        <f aca="false">AND(D4695&gt;=01_因子設定!$L$5-0.000000001,D4695&lt;=01_因子設定!$M$5+0.000000001,E4695&gt;=01_因子設定!$L$6-0.000000001,E4695&lt;=01_因子設定!$M$6+0.000000001,F4695&gt;=01_因子設定!$L$7-0.000000001,F4695&lt;=01_因子設定!$M$7+0.000000001,IF(01_因子設定!$B$20="Box-Behnken",D4695^2+E4695^2+F4695^2&lt;=2+0.000000001,TRUE()))</f>
        <v>1</v>
      </c>
      <c r="W4695" s="55" t="n">
        <f aca="false">IF(V4695,IF(01_因子設定!$B$13="最大化",T4695-01_因子設定!$B$14,IF(01_因子設定!$B$13="最小化",01_因子設定!$B$15-U4695,MIN(T4695-01_因子設定!$B$14,01_因子設定!$B$15-U4695))),-1E+030)</f>
        <v>-4.05825858355613</v>
      </c>
      <c r="X4695" s="55" t="n">
        <f aca="false">IF(V4695,IF(01_因子設定!$B$13="最大化",Q4695,IF(01_因子設定!$B$13="最小化",-Q4695,-ABS(Q4695-01_因子設定!$B$16))),-1E+030)</f>
        <v>45.6011647727273</v>
      </c>
      <c r="Y4695" s="55" t="n">
        <f aca="false">W4695+ROW()*0.000000001</f>
        <v>-4.05825388855612</v>
      </c>
      <c r="Z4695" s="55" t="n">
        <f aca="false">X4695+ROW()*0.000000001</f>
        <v>45.6011694677273</v>
      </c>
    </row>
    <row r="4696" customFormat="false" ht="15" hidden="false" customHeight="false" outlineLevel="0" collapsed="false">
      <c r="A4696" s="0" t="n">
        <v>16</v>
      </c>
      <c r="B4696" s="0" t="n">
        <v>3</v>
      </c>
      <c r="C4696" s="0" t="n">
        <v>16</v>
      </c>
      <c r="D4696" s="0" t="n">
        <f aca="false">-1+A4696*0.125</f>
        <v>1</v>
      </c>
      <c r="E4696" s="0" t="n">
        <f aca="false">-1+B4696*0.125</f>
        <v>-0.625</v>
      </c>
      <c r="F4696" s="0" t="n">
        <f aca="false">-1+C4696*0.125</f>
        <v>1</v>
      </c>
      <c r="G4696" s="0" t="n">
        <f aca="false">1</f>
        <v>1</v>
      </c>
      <c r="H4696" s="0" t="n">
        <f aca="false">D4696</f>
        <v>1</v>
      </c>
      <c r="I4696" s="0" t="n">
        <f aca="false">E4696</f>
        <v>-0.625</v>
      </c>
      <c r="J4696" s="0" t="n">
        <f aca="false">F4696</f>
        <v>1</v>
      </c>
      <c r="K4696" s="0" t="n">
        <f aca="false">D4696*E4696</f>
        <v>-0.625</v>
      </c>
      <c r="L4696" s="0" t="n">
        <f aca="false">D4696*F4696</f>
        <v>1</v>
      </c>
      <c r="M4696" s="0" t="n">
        <f aca="false">E4696*F4696</f>
        <v>-0.625</v>
      </c>
      <c r="N4696" s="0" t="n">
        <f aca="false">D4696*D4696</f>
        <v>1</v>
      </c>
      <c r="O4696" s="0" t="n">
        <f aca="false">E4696*E4696</f>
        <v>0.390625</v>
      </c>
      <c r="P4696" s="0" t="n">
        <f aca="false">F4696*F4696</f>
        <v>1</v>
      </c>
      <c r="Q4696" s="0" t="n">
        <f aca="false">SUMPRODUCT(G4696:P4696,_XtX!$B$71:$K$71)</f>
        <v>45.4438352272727</v>
      </c>
      <c r="R4696" s="0" t="n">
        <f aca="false">SUMPRODUCT(MMULT(G4696:P4696,_XtX!$B$58:$K$67),G4696:P4696)</f>
        <v>0.659534801136364</v>
      </c>
      <c r="S4696" s="0" t="n">
        <f aca="false">04_回帰ANOVA!$K$19*04_回帰ANOVA!$K$14*SQRT(1+R4696)</f>
        <v>1.19773245593097</v>
      </c>
      <c r="T4696" s="0" t="n">
        <f aca="false">Q4696-S4696</f>
        <v>44.2461027713418</v>
      </c>
      <c r="U4696" s="0" t="n">
        <f aca="false">Q4696+S4696</f>
        <v>46.6415676832037</v>
      </c>
      <c r="V4696" s="54" t="b">
        <f aca="false">AND(D4696&gt;=01_因子設定!$L$5-0.000000001,D4696&lt;=01_因子設定!$M$5+0.000000001,E4696&gt;=01_因子設定!$L$6-0.000000001,E4696&lt;=01_因子設定!$M$6+0.000000001,F4696&gt;=01_因子設定!$L$7-0.000000001,F4696&lt;=01_因子設定!$M$7+0.000000001,IF(01_因子設定!$B$20="Box-Behnken",D4696^2+E4696^2+F4696^2&lt;=2+0.000000001,TRUE()))</f>
        <v>1</v>
      </c>
      <c r="W4696" s="55" t="n">
        <f aca="false">IF(V4696,IF(01_因子設定!$B$13="最大化",T4696-01_因子設定!$B$14,IF(01_因子設定!$B$13="最小化",01_因子設定!$B$15-U4696,MIN(T4696-01_因子設定!$B$14,01_因子設定!$B$15-U4696))),-1E+030)</f>
        <v>-4.25389722865823</v>
      </c>
      <c r="X4696" s="55" t="n">
        <f aca="false">IF(V4696,IF(01_因子設定!$B$13="最大化",Q4696,IF(01_因子設定!$B$13="最小化",-Q4696,-ABS(Q4696-01_因子設定!$B$16))),-1E+030)</f>
        <v>45.4438352272727</v>
      </c>
      <c r="Y4696" s="55" t="n">
        <f aca="false">W4696+ROW()*0.000000001</f>
        <v>-4.25389253265823</v>
      </c>
      <c r="Z4696" s="55" t="n">
        <f aca="false">X4696+ROW()*0.000000001</f>
        <v>45.4438399232727</v>
      </c>
    </row>
    <row r="4697" customFormat="false" ht="15" hidden="false" customHeight="false" outlineLevel="0" collapsed="false">
      <c r="A4697" s="0" t="n">
        <v>16</v>
      </c>
      <c r="B4697" s="0" t="n">
        <v>4</v>
      </c>
      <c r="C4697" s="0" t="n">
        <v>0</v>
      </c>
      <c r="D4697" s="0" t="n">
        <f aca="false">-1+A4697*0.125</f>
        <v>1</v>
      </c>
      <c r="E4697" s="0" t="n">
        <f aca="false">-1+B4697*0.125</f>
        <v>-0.5</v>
      </c>
      <c r="F4697" s="0" t="n">
        <f aca="false">-1+C4697*0.125</f>
        <v>-1</v>
      </c>
      <c r="G4697" s="0" t="n">
        <f aca="false">1</f>
        <v>1</v>
      </c>
      <c r="H4697" s="0" t="n">
        <f aca="false">D4697</f>
        <v>1</v>
      </c>
      <c r="I4697" s="0" t="n">
        <f aca="false">E4697</f>
        <v>-0.5</v>
      </c>
      <c r="J4697" s="0" t="n">
        <f aca="false">F4697</f>
        <v>-1</v>
      </c>
      <c r="K4697" s="0" t="n">
        <f aca="false">D4697*E4697</f>
        <v>-0.5</v>
      </c>
      <c r="L4697" s="0" t="n">
        <f aca="false">D4697*F4697</f>
        <v>-1</v>
      </c>
      <c r="M4697" s="0" t="n">
        <f aca="false">E4697*F4697</f>
        <v>0.5</v>
      </c>
      <c r="N4697" s="0" t="n">
        <f aca="false">D4697*D4697</f>
        <v>1</v>
      </c>
      <c r="O4697" s="0" t="n">
        <f aca="false">E4697*E4697</f>
        <v>0.25</v>
      </c>
      <c r="P4697" s="0" t="n">
        <f aca="false">F4697*F4697</f>
        <v>1</v>
      </c>
      <c r="Q4697" s="0" t="n">
        <f aca="false">SUMPRODUCT(G4697:P4697,_XtX!$B$71:$K$71)</f>
        <v>44.1870454545455</v>
      </c>
      <c r="R4697" s="0" t="n">
        <f aca="false">SUMPRODUCT(MMULT(G4697:P4697,_XtX!$B$58:$K$67),G4697:P4697)</f>
        <v>0.667045454545455</v>
      </c>
      <c r="S4697" s="0" t="n">
        <f aca="false">04_回帰ANOVA!$K$19*04_回帰ANOVA!$K$14*SQRT(1+R4697)</f>
        <v>1.200439720088</v>
      </c>
      <c r="T4697" s="0" t="n">
        <f aca="false">Q4697-S4697</f>
        <v>42.9866057344575</v>
      </c>
      <c r="U4697" s="0" t="n">
        <f aca="false">Q4697+S4697</f>
        <v>45.3874851746335</v>
      </c>
      <c r="V4697" s="54" t="b">
        <f aca="false">AND(D4697&gt;=01_因子設定!$L$5-0.000000001,D4697&lt;=01_因子設定!$M$5+0.000000001,E4697&gt;=01_因子設定!$L$6-0.000000001,E4697&lt;=01_因子設定!$M$6+0.000000001,F4697&gt;=01_因子設定!$L$7-0.000000001,F4697&lt;=01_因子設定!$M$7+0.000000001,IF(01_因子設定!$B$20="Box-Behnken",D4697^2+E4697^2+F4697^2&lt;=2+0.000000001,TRUE()))</f>
        <v>1</v>
      </c>
      <c r="W4697" s="55" t="n">
        <f aca="false">IF(V4697,IF(01_因子設定!$B$13="最大化",T4697-01_因子設定!$B$14,IF(01_因子設定!$B$13="最小化",01_因子設定!$B$15-U4697,MIN(T4697-01_因子設定!$B$14,01_因子設定!$B$15-U4697))),-1E+030)</f>
        <v>-5.51339426554254</v>
      </c>
      <c r="X4697" s="55" t="n">
        <f aca="false">IF(V4697,IF(01_因子設定!$B$13="最大化",Q4697,IF(01_因子設定!$B$13="最小化",-Q4697,-ABS(Q4697-01_因子設定!$B$16))),-1E+030)</f>
        <v>44.1870454545455</v>
      </c>
      <c r="Y4697" s="55" t="n">
        <f aca="false">W4697+ROW()*0.000000001</f>
        <v>-5.51338956854254</v>
      </c>
      <c r="Z4697" s="55" t="n">
        <f aca="false">X4697+ROW()*0.000000001</f>
        <v>44.1870501515455</v>
      </c>
    </row>
    <row r="4698" customFormat="false" ht="15" hidden="false" customHeight="false" outlineLevel="0" collapsed="false">
      <c r="A4698" s="0" t="n">
        <v>16</v>
      </c>
      <c r="B4698" s="0" t="n">
        <v>4</v>
      </c>
      <c r="C4698" s="0" t="n">
        <v>1</v>
      </c>
      <c r="D4698" s="0" t="n">
        <f aca="false">-1+A4698*0.125</f>
        <v>1</v>
      </c>
      <c r="E4698" s="0" t="n">
        <f aca="false">-1+B4698*0.125</f>
        <v>-0.5</v>
      </c>
      <c r="F4698" s="0" t="n">
        <f aca="false">-1+C4698*0.125</f>
        <v>-0.875</v>
      </c>
      <c r="G4698" s="0" t="n">
        <f aca="false">1</f>
        <v>1</v>
      </c>
      <c r="H4698" s="0" t="n">
        <f aca="false">D4698</f>
        <v>1</v>
      </c>
      <c r="I4698" s="0" t="n">
        <f aca="false">E4698</f>
        <v>-0.5</v>
      </c>
      <c r="J4698" s="0" t="n">
        <f aca="false">F4698</f>
        <v>-0.875</v>
      </c>
      <c r="K4698" s="0" t="n">
        <f aca="false">D4698*E4698</f>
        <v>-0.5</v>
      </c>
      <c r="L4698" s="0" t="n">
        <f aca="false">D4698*F4698</f>
        <v>-0.875</v>
      </c>
      <c r="M4698" s="0" t="n">
        <f aca="false">E4698*F4698</f>
        <v>0.4375</v>
      </c>
      <c r="N4698" s="0" t="n">
        <f aca="false">D4698*D4698</f>
        <v>1</v>
      </c>
      <c r="O4698" s="0" t="n">
        <f aca="false">E4698*E4698</f>
        <v>0.25</v>
      </c>
      <c r="P4698" s="0" t="n">
        <f aca="false">F4698*F4698</f>
        <v>0.765625</v>
      </c>
      <c r="Q4698" s="0" t="n">
        <f aca="false">SUMPRODUCT(G4698:P4698,_XtX!$B$71:$K$71)</f>
        <v>44.58859375</v>
      </c>
      <c r="R4698" s="0" t="n">
        <f aca="false">SUMPRODUCT(MMULT(G4698:P4698,_XtX!$B$58:$K$67),G4698:P4698)</f>
        <v>0.55771484375</v>
      </c>
      <c r="S4698" s="0" t="n">
        <f aca="false">04_回帰ANOVA!$K$19*04_回帰ANOVA!$K$14*SQRT(1+R4698)</f>
        <v>1.16040773556467</v>
      </c>
      <c r="T4698" s="0" t="n">
        <f aca="false">Q4698-S4698</f>
        <v>43.4281860144353</v>
      </c>
      <c r="U4698" s="0" t="n">
        <f aca="false">Q4698+S4698</f>
        <v>45.7490014855647</v>
      </c>
      <c r="V4698" s="54" t="b">
        <f aca="false">AND(D4698&gt;=01_因子設定!$L$5-0.000000001,D4698&lt;=01_因子設定!$M$5+0.000000001,E4698&gt;=01_因子設定!$L$6-0.000000001,E4698&lt;=01_因子設定!$M$6+0.000000001,F4698&gt;=01_因子設定!$L$7-0.000000001,F4698&lt;=01_因子設定!$M$7+0.000000001,IF(01_因子設定!$B$20="Box-Behnken",D4698^2+E4698^2+F4698^2&lt;=2+0.000000001,TRUE()))</f>
        <v>1</v>
      </c>
      <c r="W4698" s="55" t="n">
        <f aca="false">IF(V4698,IF(01_因子設定!$B$13="最大化",T4698-01_因子設定!$B$14,IF(01_因子設定!$B$13="最小化",01_因子設定!$B$15-U4698,MIN(T4698-01_因子設定!$B$14,01_因子設定!$B$15-U4698))),-1E+030)</f>
        <v>-5.07181398556467</v>
      </c>
      <c r="X4698" s="55" t="n">
        <f aca="false">IF(V4698,IF(01_因子設定!$B$13="最大化",Q4698,IF(01_因子設定!$B$13="最小化",-Q4698,-ABS(Q4698-01_因子設定!$B$16))),-1E+030)</f>
        <v>44.58859375</v>
      </c>
      <c r="Y4698" s="55" t="n">
        <f aca="false">W4698+ROW()*0.000000001</f>
        <v>-5.07180928756467</v>
      </c>
      <c r="Z4698" s="55" t="n">
        <f aca="false">X4698+ROW()*0.000000001</f>
        <v>44.588598448</v>
      </c>
    </row>
    <row r="4699" customFormat="false" ht="15" hidden="false" customHeight="false" outlineLevel="0" collapsed="false">
      <c r="A4699" s="0" t="n">
        <v>16</v>
      </c>
      <c r="B4699" s="0" t="n">
        <v>4</v>
      </c>
      <c r="C4699" s="0" t="n">
        <v>2</v>
      </c>
      <c r="D4699" s="0" t="n">
        <f aca="false">-1+A4699*0.125</f>
        <v>1</v>
      </c>
      <c r="E4699" s="0" t="n">
        <f aca="false">-1+B4699*0.125</f>
        <v>-0.5</v>
      </c>
      <c r="F4699" s="0" t="n">
        <f aca="false">-1+C4699*0.125</f>
        <v>-0.75</v>
      </c>
      <c r="G4699" s="0" t="n">
        <f aca="false">1</f>
        <v>1</v>
      </c>
      <c r="H4699" s="0" t="n">
        <f aca="false">D4699</f>
        <v>1</v>
      </c>
      <c r="I4699" s="0" t="n">
        <f aca="false">E4699</f>
        <v>-0.5</v>
      </c>
      <c r="J4699" s="0" t="n">
        <f aca="false">F4699</f>
        <v>-0.75</v>
      </c>
      <c r="K4699" s="0" t="n">
        <f aca="false">D4699*E4699</f>
        <v>-0.5</v>
      </c>
      <c r="L4699" s="0" t="n">
        <f aca="false">D4699*F4699</f>
        <v>-0.75</v>
      </c>
      <c r="M4699" s="0" t="n">
        <f aca="false">E4699*F4699</f>
        <v>0.375</v>
      </c>
      <c r="N4699" s="0" t="n">
        <f aca="false">D4699*D4699</f>
        <v>1</v>
      </c>
      <c r="O4699" s="0" t="n">
        <f aca="false">E4699*E4699</f>
        <v>0.25</v>
      </c>
      <c r="P4699" s="0" t="n">
        <f aca="false">F4699*F4699</f>
        <v>0.5625</v>
      </c>
      <c r="Q4699" s="0" t="n">
        <f aca="false">SUMPRODUCT(G4699:P4699,_XtX!$B$71:$K$71)</f>
        <v>44.9533522727273</v>
      </c>
      <c r="R4699" s="0" t="n">
        <f aca="false">SUMPRODUCT(MMULT(G4699:P4699,_XtX!$B$58:$K$67),G4699:P4699)</f>
        <v>0.495276988636364</v>
      </c>
      <c r="S4699" s="0" t="n">
        <f aca="false">04_回帰ANOVA!$K$19*04_回帰ANOVA!$K$14*SQRT(1+R4699)</f>
        <v>1.13691359828352</v>
      </c>
      <c r="T4699" s="0" t="n">
        <f aca="false">Q4699-S4699</f>
        <v>43.8164386744438</v>
      </c>
      <c r="U4699" s="0" t="n">
        <f aca="false">Q4699+S4699</f>
        <v>46.0902658710108</v>
      </c>
      <c r="V4699" s="54" t="b">
        <f aca="false">AND(D4699&gt;=01_因子設定!$L$5-0.000000001,D4699&lt;=01_因子設定!$M$5+0.000000001,E4699&gt;=01_因子設定!$L$6-0.000000001,E4699&lt;=01_因子設定!$M$6+0.000000001,F4699&gt;=01_因子設定!$L$7-0.000000001,F4699&lt;=01_因子設定!$M$7+0.000000001,IF(01_因子設定!$B$20="Box-Behnken",D4699^2+E4699^2+F4699^2&lt;=2+0.000000001,TRUE()))</f>
        <v>1</v>
      </c>
      <c r="W4699" s="55" t="n">
        <f aca="false">IF(V4699,IF(01_因子設定!$B$13="最大化",T4699-01_因子設定!$B$14,IF(01_因子設定!$B$13="最小化",01_因子設定!$B$15-U4699,MIN(T4699-01_因子設定!$B$14,01_因子設定!$B$15-U4699))),-1E+030)</f>
        <v>-4.68356132555625</v>
      </c>
      <c r="X4699" s="55" t="n">
        <f aca="false">IF(V4699,IF(01_因子設定!$B$13="最大化",Q4699,IF(01_因子設定!$B$13="最小化",-Q4699,-ABS(Q4699-01_因子設定!$B$16))),-1E+030)</f>
        <v>44.9533522727273</v>
      </c>
      <c r="Y4699" s="55" t="n">
        <f aca="false">W4699+ROW()*0.000000001</f>
        <v>-4.68355662655625</v>
      </c>
      <c r="Z4699" s="55" t="n">
        <f aca="false">X4699+ROW()*0.000000001</f>
        <v>44.9533569717273</v>
      </c>
    </row>
    <row r="4700" customFormat="false" ht="15" hidden="false" customHeight="false" outlineLevel="0" collapsed="false">
      <c r="A4700" s="0" t="n">
        <v>16</v>
      </c>
      <c r="B4700" s="0" t="n">
        <v>4</v>
      </c>
      <c r="C4700" s="0" t="n">
        <v>3</v>
      </c>
      <c r="D4700" s="0" t="n">
        <f aca="false">-1+A4700*0.125</f>
        <v>1</v>
      </c>
      <c r="E4700" s="0" t="n">
        <f aca="false">-1+B4700*0.125</f>
        <v>-0.5</v>
      </c>
      <c r="F4700" s="0" t="n">
        <f aca="false">-1+C4700*0.125</f>
        <v>-0.625</v>
      </c>
      <c r="G4700" s="0" t="n">
        <f aca="false">1</f>
        <v>1</v>
      </c>
      <c r="H4700" s="0" t="n">
        <f aca="false">D4700</f>
        <v>1</v>
      </c>
      <c r="I4700" s="0" t="n">
        <f aca="false">E4700</f>
        <v>-0.5</v>
      </c>
      <c r="J4700" s="0" t="n">
        <f aca="false">F4700</f>
        <v>-0.625</v>
      </c>
      <c r="K4700" s="0" t="n">
        <f aca="false">D4700*E4700</f>
        <v>-0.5</v>
      </c>
      <c r="L4700" s="0" t="n">
        <f aca="false">D4700*F4700</f>
        <v>-0.625</v>
      </c>
      <c r="M4700" s="0" t="n">
        <f aca="false">E4700*F4700</f>
        <v>0.3125</v>
      </c>
      <c r="N4700" s="0" t="n">
        <f aca="false">D4700*D4700</f>
        <v>1</v>
      </c>
      <c r="O4700" s="0" t="n">
        <f aca="false">E4700*E4700</f>
        <v>0.25</v>
      </c>
      <c r="P4700" s="0" t="n">
        <f aca="false">F4700*F4700</f>
        <v>0.390625</v>
      </c>
      <c r="Q4700" s="0" t="n">
        <f aca="false">SUMPRODUCT(G4700:P4700,_XtX!$B$71:$K$71)</f>
        <v>45.2813210227273</v>
      </c>
      <c r="R4700" s="0" t="n">
        <f aca="false">SUMPRODUCT(MMULT(G4700:P4700,_XtX!$B$58:$K$67),G4700:P4700)</f>
        <v>0.465882457386364</v>
      </c>
      <c r="S4700" s="0" t="n">
        <f aca="false">04_回帰ANOVA!$K$19*04_回帰ANOVA!$K$14*SQRT(1+R4700)</f>
        <v>1.12568326538173</v>
      </c>
      <c r="T4700" s="0" t="n">
        <f aca="false">Q4700-S4700</f>
        <v>44.1556377573455</v>
      </c>
      <c r="U4700" s="0" t="n">
        <f aca="false">Q4700+S4700</f>
        <v>46.407004288109</v>
      </c>
      <c r="V4700" s="54" t="b">
        <f aca="false">AND(D4700&gt;=01_因子設定!$L$5-0.000000001,D4700&lt;=01_因子設定!$M$5+0.000000001,E4700&gt;=01_因子設定!$L$6-0.000000001,E4700&lt;=01_因子設定!$M$6+0.000000001,F4700&gt;=01_因子設定!$L$7-0.000000001,F4700&lt;=01_因子設定!$M$7+0.000000001,IF(01_因子設定!$B$20="Box-Behnken",D4700^2+E4700^2+F4700^2&lt;=2+0.000000001,TRUE()))</f>
        <v>1</v>
      </c>
      <c r="W4700" s="55" t="n">
        <f aca="false">IF(V4700,IF(01_因子設定!$B$13="最大化",T4700-01_因子設定!$B$14,IF(01_因子設定!$B$13="最小化",01_因子設定!$B$15-U4700,MIN(T4700-01_因子設定!$B$14,01_因子設定!$B$15-U4700))),-1E+030)</f>
        <v>-4.34436224265446</v>
      </c>
      <c r="X4700" s="55" t="n">
        <f aca="false">IF(V4700,IF(01_因子設定!$B$13="最大化",Q4700,IF(01_因子設定!$B$13="最小化",-Q4700,-ABS(Q4700-01_因子設定!$B$16))),-1E+030)</f>
        <v>45.2813210227273</v>
      </c>
      <c r="Y4700" s="55" t="n">
        <f aca="false">W4700+ROW()*0.000000001</f>
        <v>-4.34435754265446</v>
      </c>
      <c r="Z4700" s="55" t="n">
        <f aca="false">X4700+ROW()*0.000000001</f>
        <v>45.2813257227273</v>
      </c>
    </row>
    <row r="4701" customFormat="false" ht="15" hidden="false" customHeight="false" outlineLevel="0" collapsed="false">
      <c r="A4701" s="0" t="n">
        <v>16</v>
      </c>
      <c r="B4701" s="0" t="n">
        <v>4</v>
      </c>
      <c r="C4701" s="0" t="n">
        <v>4</v>
      </c>
      <c r="D4701" s="0" t="n">
        <f aca="false">-1+A4701*0.125</f>
        <v>1</v>
      </c>
      <c r="E4701" s="0" t="n">
        <f aca="false">-1+B4701*0.125</f>
        <v>-0.5</v>
      </c>
      <c r="F4701" s="0" t="n">
        <f aca="false">-1+C4701*0.125</f>
        <v>-0.5</v>
      </c>
      <c r="G4701" s="0" t="n">
        <f aca="false">1</f>
        <v>1</v>
      </c>
      <c r="H4701" s="0" t="n">
        <f aca="false">D4701</f>
        <v>1</v>
      </c>
      <c r="I4701" s="0" t="n">
        <f aca="false">E4701</f>
        <v>-0.5</v>
      </c>
      <c r="J4701" s="0" t="n">
        <f aca="false">F4701</f>
        <v>-0.5</v>
      </c>
      <c r="K4701" s="0" t="n">
        <f aca="false">D4701*E4701</f>
        <v>-0.5</v>
      </c>
      <c r="L4701" s="0" t="n">
        <f aca="false">D4701*F4701</f>
        <v>-0.5</v>
      </c>
      <c r="M4701" s="0" t="n">
        <f aca="false">E4701*F4701</f>
        <v>0.25</v>
      </c>
      <c r="N4701" s="0" t="n">
        <f aca="false">D4701*D4701</f>
        <v>1</v>
      </c>
      <c r="O4701" s="0" t="n">
        <f aca="false">E4701*E4701</f>
        <v>0.25</v>
      </c>
      <c r="P4701" s="0" t="n">
        <f aca="false">F4701*F4701</f>
        <v>0.25</v>
      </c>
      <c r="Q4701" s="0" t="n">
        <f aca="false">SUMPRODUCT(G4701:P4701,_XtX!$B$71:$K$71)</f>
        <v>45.5725</v>
      </c>
      <c r="R4701" s="0" t="n">
        <f aca="false">SUMPRODUCT(MMULT(G4701:P4701,_XtX!$B$58:$K$67),G4701:P4701)</f>
        <v>0.4578125</v>
      </c>
      <c r="S4701" s="0" t="n">
        <f aca="false">04_回帰ANOVA!$K$19*04_回帰ANOVA!$K$14*SQRT(1+R4701)</f>
        <v>1.12258044051089</v>
      </c>
      <c r="T4701" s="0" t="n">
        <f aca="false">Q4701-S4701</f>
        <v>44.4499195594891</v>
      </c>
      <c r="U4701" s="0" t="n">
        <f aca="false">Q4701+S4701</f>
        <v>46.6950804405109</v>
      </c>
      <c r="V4701" s="54" t="b">
        <f aca="false">AND(D4701&gt;=01_因子設定!$L$5-0.000000001,D4701&lt;=01_因子設定!$M$5+0.000000001,E4701&gt;=01_因子設定!$L$6-0.000000001,E4701&lt;=01_因子設定!$M$6+0.000000001,F4701&gt;=01_因子設定!$L$7-0.000000001,F4701&lt;=01_因子設定!$M$7+0.000000001,IF(01_因子設定!$B$20="Box-Behnken",D4701^2+E4701^2+F4701^2&lt;=2+0.000000001,TRUE()))</f>
        <v>1</v>
      </c>
      <c r="W4701" s="55" t="n">
        <f aca="false">IF(V4701,IF(01_因子設定!$B$13="最大化",T4701-01_因子設定!$B$14,IF(01_因子設定!$B$13="最小化",01_因子設定!$B$15-U4701,MIN(T4701-01_因子設定!$B$14,01_因子設定!$B$15-U4701))),-1E+030)</f>
        <v>-4.05008044051089</v>
      </c>
      <c r="X4701" s="55" t="n">
        <f aca="false">IF(V4701,IF(01_因子設定!$B$13="最大化",Q4701,IF(01_因子設定!$B$13="最小化",-Q4701,-ABS(Q4701-01_因子設定!$B$16))),-1E+030)</f>
        <v>45.5725</v>
      </c>
      <c r="Y4701" s="55" t="n">
        <f aca="false">W4701+ROW()*0.000000001</f>
        <v>-4.05007573951089</v>
      </c>
      <c r="Z4701" s="55" t="n">
        <f aca="false">X4701+ROW()*0.000000001</f>
        <v>45.572504701</v>
      </c>
    </row>
    <row r="4702" customFormat="false" ht="15" hidden="false" customHeight="false" outlineLevel="0" collapsed="false">
      <c r="A4702" s="0" t="n">
        <v>16</v>
      </c>
      <c r="B4702" s="0" t="n">
        <v>4</v>
      </c>
      <c r="C4702" s="0" t="n">
        <v>5</v>
      </c>
      <c r="D4702" s="0" t="n">
        <f aca="false">-1+A4702*0.125</f>
        <v>1</v>
      </c>
      <c r="E4702" s="0" t="n">
        <f aca="false">-1+B4702*0.125</f>
        <v>-0.5</v>
      </c>
      <c r="F4702" s="0" t="n">
        <f aca="false">-1+C4702*0.125</f>
        <v>-0.375</v>
      </c>
      <c r="G4702" s="0" t="n">
        <f aca="false">1</f>
        <v>1</v>
      </c>
      <c r="H4702" s="0" t="n">
        <f aca="false">D4702</f>
        <v>1</v>
      </c>
      <c r="I4702" s="0" t="n">
        <f aca="false">E4702</f>
        <v>-0.5</v>
      </c>
      <c r="J4702" s="0" t="n">
        <f aca="false">F4702</f>
        <v>-0.375</v>
      </c>
      <c r="K4702" s="0" t="n">
        <f aca="false">D4702*E4702</f>
        <v>-0.5</v>
      </c>
      <c r="L4702" s="0" t="n">
        <f aca="false">D4702*F4702</f>
        <v>-0.375</v>
      </c>
      <c r="M4702" s="0" t="n">
        <f aca="false">E4702*F4702</f>
        <v>0.1875</v>
      </c>
      <c r="N4702" s="0" t="n">
        <f aca="false">D4702*D4702</f>
        <v>1</v>
      </c>
      <c r="O4702" s="0" t="n">
        <f aca="false">E4702*E4702</f>
        <v>0.25</v>
      </c>
      <c r="P4702" s="0" t="n">
        <f aca="false">F4702*F4702</f>
        <v>0.140625</v>
      </c>
      <c r="Q4702" s="0" t="n">
        <f aca="false">SUMPRODUCT(G4702:P4702,_XtX!$B$71:$K$71)</f>
        <v>45.8268892045454</v>
      </c>
      <c r="R4702" s="0" t="n">
        <f aca="false">SUMPRODUCT(MMULT(G4702:P4702,_XtX!$B$58:$K$67),G4702:P4702)</f>
        <v>0.461479048295455</v>
      </c>
      <c r="S4702" s="0" t="n">
        <f aca="false">04_回帰ANOVA!$K$19*04_回帰ANOVA!$K$14*SQRT(1+R4702)</f>
        <v>1.12399125658369</v>
      </c>
      <c r="T4702" s="0" t="n">
        <f aca="false">Q4702-S4702</f>
        <v>44.7028979479618</v>
      </c>
      <c r="U4702" s="0" t="n">
        <f aca="false">Q4702+S4702</f>
        <v>46.9508804611291</v>
      </c>
      <c r="V4702" s="54" t="b">
        <f aca="false">AND(D4702&gt;=01_因子設定!$L$5-0.000000001,D4702&lt;=01_因子設定!$M$5+0.000000001,E4702&gt;=01_因子設定!$L$6-0.000000001,E4702&lt;=01_因子設定!$M$6+0.000000001,F4702&gt;=01_因子設定!$L$7-0.000000001,F4702&lt;=01_因子設定!$M$7+0.000000001,IF(01_因子設定!$B$20="Box-Behnken",D4702^2+E4702^2+F4702^2&lt;=2+0.000000001,TRUE()))</f>
        <v>1</v>
      </c>
      <c r="W4702" s="55" t="n">
        <f aca="false">IF(V4702,IF(01_因子設定!$B$13="最大化",T4702-01_因子設定!$B$14,IF(01_因子設定!$B$13="最小化",01_因子設定!$B$15-U4702,MIN(T4702-01_因子設定!$B$14,01_因子設定!$B$15-U4702))),-1E+030)</f>
        <v>-3.79710205203824</v>
      </c>
      <c r="X4702" s="55" t="n">
        <f aca="false">IF(V4702,IF(01_因子設定!$B$13="最大化",Q4702,IF(01_因子設定!$B$13="最小化",-Q4702,-ABS(Q4702-01_因子設定!$B$16))),-1E+030)</f>
        <v>45.8268892045454</v>
      </c>
      <c r="Y4702" s="55" t="n">
        <f aca="false">W4702+ROW()*0.000000001</f>
        <v>-3.79709735003824</v>
      </c>
      <c r="Z4702" s="55" t="n">
        <f aca="false">X4702+ROW()*0.000000001</f>
        <v>45.8268939065454</v>
      </c>
    </row>
    <row r="4703" customFormat="false" ht="15" hidden="false" customHeight="false" outlineLevel="0" collapsed="false">
      <c r="A4703" s="0" t="n">
        <v>16</v>
      </c>
      <c r="B4703" s="0" t="n">
        <v>4</v>
      </c>
      <c r="C4703" s="0" t="n">
        <v>6</v>
      </c>
      <c r="D4703" s="0" t="n">
        <f aca="false">-1+A4703*0.125</f>
        <v>1</v>
      </c>
      <c r="E4703" s="0" t="n">
        <f aca="false">-1+B4703*0.125</f>
        <v>-0.5</v>
      </c>
      <c r="F4703" s="0" t="n">
        <f aca="false">-1+C4703*0.125</f>
        <v>-0.25</v>
      </c>
      <c r="G4703" s="0" t="n">
        <f aca="false">1</f>
        <v>1</v>
      </c>
      <c r="H4703" s="0" t="n">
        <f aca="false">D4703</f>
        <v>1</v>
      </c>
      <c r="I4703" s="0" t="n">
        <f aca="false">E4703</f>
        <v>-0.5</v>
      </c>
      <c r="J4703" s="0" t="n">
        <f aca="false">F4703</f>
        <v>-0.25</v>
      </c>
      <c r="K4703" s="0" t="n">
        <f aca="false">D4703*E4703</f>
        <v>-0.5</v>
      </c>
      <c r="L4703" s="0" t="n">
        <f aca="false">D4703*F4703</f>
        <v>-0.25</v>
      </c>
      <c r="M4703" s="0" t="n">
        <f aca="false">E4703*F4703</f>
        <v>0.125</v>
      </c>
      <c r="N4703" s="0" t="n">
        <f aca="false">D4703*D4703</f>
        <v>1</v>
      </c>
      <c r="O4703" s="0" t="n">
        <f aca="false">E4703*E4703</f>
        <v>0.25</v>
      </c>
      <c r="P4703" s="0" t="n">
        <f aca="false">F4703*F4703</f>
        <v>0.0625</v>
      </c>
      <c r="Q4703" s="0" t="n">
        <f aca="false">SUMPRODUCT(G4703:P4703,_XtX!$B$71:$K$71)</f>
        <v>46.0444886363636</v>
      </c>
      <c r="R4703" s="0" t="n">
        <f aca="false">SUMPRODUCT(MMULT(G4703:P4703,_XtX!$B$58:$K$67),G4703:P4703)</f>
        <v>0.469424715909091</v>
      </c>
      <c r="S4703" s="0" t="n">
        <f aca="false">04_回帰ANOVA!$K$19*04_回帰ANOVA!$K$14*SQRT(1+R4703)</f>
        <v>1.12704253369596</v>
      </c>
      <c r="T4703" s="0" t="n">
        <f aca="false">Q4703-S4703</f>
        <v>44.9174461026677</v>
      </c>
      <c r="U4703" s="0" t="n">
        <f aca="false">Q4703+S4703</f>
        <v>47.1715311700596</v>
      </c>
      <c r="V4703" s="54" t="b">
        <f aca="false">AND(D4703&gt;=01_因子設定!$L$5-0.000000001,D4703&lt;=01_因子設定!$M$5+0.000000001,E4703&gt;=01_因子設定!$L$6-0.000000001,E4703&lt;=01_因子設定!$M$6+0.000000001,F4703&gt;=01_因子設定!$L$7-0.000000001,F4703&lt;=01_因子設定!$M$7+0.000000001,IF(01_因子設定!$B$20="Box-Behnken",D4703^2+E4703^2+F4703^2&lt;=2+0.000000001,TRUE()))</f>
        <v>1</v>
      </c>
      <c r="W4703" s="55" t="n">
        <f aca="false">IF(V4703,IF(01_因子設定!$B$13="最大化",T4703-01_因子設定!$B$14,IF(01_因子設定!$B$13="最小化",01_因子設定!$B$15-U4703,MIN(T4703-01_因子設定!$B$14,01_因子設定!$B$15-U4703))),-1E+030)</f>
        <v>-3.58255389733232</v>
      </c>
      <c r="X4703" s="55" t="n">
        <f aca="false">IF(V4703,IF(01_因子設定!$B$13="最大化",Q4703,IF(01_因子設定!$B$13="最小化",-Q4703,-ABS(Q4703-01_因子設定!$B$16))),-1E+030)</f>
        <v>46.0444886363636</v>
      </c>
      <c r="Y4703" s="55" t="n">
        <f aca="false">W4703+ROW()*0.000000001</f>
        <v>-3.58254919433232</v>
      </c>
      <c r="Z4703" s="55" t="n">
        <f aca="false">X4703+ROW()*0.000000001</f>
        <v>46.0444933393636</v>
      </c>
    </row>
    <row r="4704" customFormat="false" ht="15" hidden="false" customHeight="false" outlineLevel="0" collapsed="false">
      <c r="A4704" s="0" t="n">
        <v>16</v>
      </c>
      <c r="B4704" s="0" t="n">
        <v>4</v>
      </c>
      <c r="C4704" s="0" t="n">
        <v>7</v>
      </c>
      <c r="D4704" s="0" t="n">
        <f aca="false">-1+A4704*0.125</f>
        <v>1</v>
      </c>
      <c r="E4704" s="0" t="n">
        <f aca="false">-1+B4704*0.125</f>
        <v>-0.5</v>
      </c>
      <c r="F4704" s="0" t="n">
        <f aca="false">-1+C4704*0.125</f>
        <v>-0.125</v>
      </c>
      <c r="G4704" s="0" t="n">
        <f aca="false">1</f>
        <v>1</v>
      </c>
      <c r="H4704" s="0" t="n">
        <f aca="false">D4704</f>
        <v>1</v>
      </c>
      <c r="I4704" s="0" t="n">
        <f aca="false">E4704</f>
        <v>-0.5</v>
      </c>
      <c r="J4704" s="0" t="n">
        <f aca="false">F4704</f>
        <v>-0.125</v>
      </c>
      <c r="K4704" s="0" t="n">
        <f aca="false">D4704*E4704</f>
        <v>-0.5</v>
      </c>
      <c r="L4704" s="0" t="n">
        <f aca="false">D4704*F4704</f>
        <v>-0.125</v>
      </c>
      <c r="M4704" s="0" t="n">
        <f aca="false">E4704*F4704</f>
        <v>0.0625</v>
      </c>
      <c r="N4704" s="0" t="n">
        <f aca="false">D4704*D4704</f>
        <v>1</v>
      </c>
      <c r="O4704" s="0" t="n">
        <f aca="false">E4704*E4704</f>
        <v>0.25</v>
      </c>
      <c r="P4704" s="0" t="n">
        <f aca="false">F4704*F4704</f>
        <v>0.015625</v>
      </c>
      <c r="Q4704" s="0" t="n">
        <f aca="false">SUMPRODUCT(G4704:P4704,_XtX!$B$71:$K$71)</f>
        <v>46.2252982954545</v>
      </c>
      <c r="R4704" s="0" t="n">
        <f aca="false">SUMPRODUCT(MMULT(G4704:P4704,_XtX!$B$58:$K$67),G4704:P4704)</f>
        <v>0.476322798295455</v>
      </c>
      <c r="S4704" s="0" t="n">
        <f aca="false">04_回帰ANOVA!$K$19*04_回帰ANOVA!$K$14*SQRT(1+R4704)</f>
        <v>1.12968483630128</v>
      </c>
      <c r="T4704" s="0" t="n">
        <f aca="false">Q4704-S4704</f>
        <v>45.0956134591533</v>
      </c>
      <c r="U4704" s="0" t="n">
        <f aca="false">Q4704+S4704</f>
        <v>47.3549831317558</v>
      </c>
      <c r="V4704" s="54" t="b">
        <f aca="false">AND(D4704&gt;=01_因子設定!$L$5-0.000000001,D4704&lt;=01_因子設定!$M$5+0.000000001,E4704&gt;=01_因子設定!$L$6-0.000000001,E4704&lt;=01_因子設定!$M$6+0.000000001,F4704&gt;=01_因子設定!$L$7-0.000000001,F4704&lt;=01_因子設定!$M$7+0.000000001,IF(01_因子設定!$B$20="Box-Behnken",D4704^2+E4704^2+F4704^2&lt;=2+0.000000001,TRUE()))</f>
        <v>1</v>
      </c>
      <c r="W4704" s="55" t="n">
        <f aca="false">IF(V4704,IF(01_因子設定!$B$13="最大化",T4704-01_因子設定!$B$14,IF(01_因子設定!$B$13="最小化",01_因子設定!$B$15-U4704,MIN(T4704-01_因子設定!$B$14,01_因子設定!$B$15-U4704))),-1E+030)</f>
        <v>-3.40438654084674</v>
      </c>
      <c r="X4704" s="55" t="n">
        <f aca="false">IF(V4704,IF(01_因子設定!$B$13="最大化",Q4704,IF(01_因子設定!$B$13="最小化",-Q4704,-ABS(Q4704-01_因子設定!$B$16))),-1E+030)</f>
        <v>46.2252982954545</v>
      </c>
      <c r="Y4704" s="55" t="n">
        <f aca="false">W4704+ROW()*0.000000001</f>
        <v>-3.40438183684674</v>
      </c>
      <c r="Z4704" s="55" t="n">
        <f aca="false">X4704+ROW()*0.000000001</f>
        <v>46.2253029994545</v>
      </c>
    </row>
    <row r="4705" customFormat="false" ht="15" hidden="false" customHeight="false" outlineLevel="0" collapsed="false">
      <c r="A4705" s="0" t="n">
        <v>16</v>
      </c>
      <c r="B4705" s="0" t="n">
        <v>4</v>
      </c>
      <c r="C4705" s="0" t="n">
        <v>8</v>
      </c>
      <c r="D4705" s="0" t="n">
        <f aca="false">-1+A4705*0.125</f>
        <v>1</v>
      </c>
      <c r="E4705" s="0" t="n">
        <f aca="false">-1+B4705*0.125</f>
        <v>-0.5</v>
      </c>
      <c r="F4705" s="0" t="n">
        <f aca="false">-1+C4705*0.125</f>
        <v>0</v>
      </c>
      <c r="G4705" s="0" t="n">
        <f aca="false">1</f>
        <v>1</v>
      </c>
      <c r="H4705" s="0" t="n">
        <f aca="false">D4705</f>
        <v>1</v>
      </c>
      <c r="I4705" s="0" t="n">
        <f aca="false">E4705</f>
        <v>-0.5</v>
      </c>
      <c r="J4705" s="0" t="n">
        <f aca="false">F4705</f>
        <v>0</v>
      </c>
      <c r="K4705" s="0" t="n">
        <f aca="false">D4705*E4705</f>
        <v>-0.5</v>
      </c>
      <c r="L4705" s="0" t="n">
        <f aca="false">D4705*F4705</f>
        <v>0</v>
      </c>
      <c r="M4705" s="0" t="n">
        <f aca="false">E4705*F4705</f>
        <v>-0</v>
      </c>
      <c r="N4705" s="0" t="n">
        <f aca="false">D4705*D4705</f>
        <v>1</v>
      </c>
      <c r="O4705" s="0" t="n">
        <f aca="false">E4705*E4705</f>
        <v>0.25</v>
      </c>
      <c r="P4705" s="0" t="n">
        <f aca="false">F4705*F4705</f>
        <v>0</v>
      </c>
      <c r="Q4705" s="0" t="n">
        <f aca="false">SUMPRODUCT(G4705:P4705,_XtX!$B$71:$K$71)</f>
        <v>46.3693181818182</v>
      </c>
      <c r="R4705" s="0" t="n">
        <f aca="false">SUMPRODUCT(MMULT(G4705:P4705,_XtX!$B$58:$K$67),G4705:P4705)</f>
        <v>0.478977272727273</v>
      </c>
      <c r="S4705" s="0" t="n">
        <f aca="false">04_回帰ANOVA!$K$19*04_回帰ANOVA!$K$14*SQRT(1+R4705)</f>
        <v>1.13069998447216</v>
      </c>
      <c r="T4705" s="0" t="n">
        <f aca="false">Q4705-S4705</f>
        <v>45.238618197346</v>
      </c>
      <c r="U4705" s="0" t="n">
        <f aca="false">Q4705+S4705</f>
        <v>47.5000181662903</v>
      </c>
      <c r="V4705" s="54" t="b">
        <f aca="false">AND(D4705&gt;=01_因子設定!$L$5-0.000000001,D4705&lt;=01_因子設定!$M$5+0.000000001,E4705&gt;=01_因子設定!$L$6-0.000000001,E4705&lt;=01_因子設定!$M$6+0.000000001,F4705&gt;=01_因子設定!$L$7-0.000000001,F4705&lt;=01_因子設定!$M$7+0.000000001,IF(01_因子設定!$B$20="Box-Behnken",D4705^2+E4705^2+F4705^2&lt;=2+0.000000001,TRUE()))</f>
        <v>1</v>
      </c>
      <c r="W4705" s="55" t="n">
        <f aca="false">IF(V4705,IF(01_因子設定!$B$13="最大化",T4705-01_因子設定!$B$14,IF(01_因子設定!$B$13="最小化",01_因子設定!$B$15-U4705,MIN(T4705-01_因子設定!$B$14,01_因子設定!$B$15-U4705))),-1E+030)</f>
        <v>-3.26138180265399</v>
      </c>
      <c r="X4705" s="55" t="n">
        <f aca="false">IF(V4705,IF(01_因子設定!$B$13="最大化",Q4705,IF(01_因子設定!$B$13="最小化",-Q4705,-ABS(Q4705-01_因子設定!$B$16))),-1E+030)</f>
        <v>46.3693181818182</v>
      </c>
      <c r="Y4705" s="55" t="n">
        <f aca="false">W4705+ROW()*0.000000001</f>
        <v>-3.26137709765399</v>
      </c>
      <c r="Z4705" s="55" t="n">
        <f aca="false">X4705+ROW()*0.000000001</f>
        <v>46.3693228868182</v>
      </c>
    </row>
    <row r="4706" customFormat="false" ht="15" hidden="false" customHeight="false" outlineLevel="0" collapsed="false">
      <c r="A4706" s="0" t="n">
        <v>16</v>
      </c>
      <c r="B4706" s="0" t="n">
        <v>4</v>
      </c>
      <c r="C4706" s="0" t="n">
        <v>9</v>
      </c>
      <c r="D4706" s="0" t="n">
        <f aca="false">-1+A4706*0.125</f>
        <v>1</v>
      </c>
      <c r="E4706" s="0" t="n">
        <f aca="false">-1+B4706*0.125</f>
        <v>-0.5</v>
      </c>
      <c r="F4706" s="0" t="n">
        <f aca="false">-1+C4706*0.125</f>
        <v>0.125</v>
      </c>
      <c r="G4706" s="0" t="n">
        <f aca="false">1</f>
        <v>1</v>
      </c>
      <c r="H4706" s="0" t="n">
        <f aca="false">D4706</f>
        <v>1</v>
      </c>
      <c r="I4706" s="0" t="n">
        <f aca="false">E4706</f>
        <v>-0.5</v>
      </c>
      <c r="J4706" s="0" t="n">
        <f aca="false">F4706</f>
        <v>0.125</v>
      </c>
      <c r="K4706" s="0" t="n">
        <f aca="false">D4706*E4706</f>
        <v>-0.5</v>
      </c>
      <c r="L4706" s="0" t="n">
        <f aca="false">D4706*F4706</f>
        <v>0.125</v>
      </c>
      <c r="M4706" s="0" t="n">
        <f aca="false">E4706*F4706</f>
        <v>-0.0625</v>
      </c>
      <c r="N4706" s="0" t="n">
        <f aca="false">D4706*D4706</f>
        <v>1</v>
      </c>
      <c r="O4706" s="0" t="n">
        <f aca="false">E4706*E4706</f>
        <v>0.25</v>
      </c>
      <c r="P4706" s="0" t="n">
        <f aca="false">F4706*F4706</f>
        <v>0.015625</v>
      </c>
      <c r="Q4706" s="0" t="n">
        <f aca="false">SUMPRODUCT(G4706:P4706,_XtX!$B$71:$K$71)</f>
        <v>46.4765482954545</v>
      </c>
      <c r="R4706" s="0" t="n">
        <f aca="false">SUMPRODUCT(MMULT(G4706:P4706,_XtX!$B$58:$K$67),G4706:P4706)</f>
        <v>0.476322798295455</v>
      </c>
      <c r="S4706" s="0" t="n">
        <f aca="false">04_回帰ANOVA!$K$19*04_回帰ANOVA!$K$14*SQRT(1+R4706)</f>
        <v>1.12968483630128</v>
      </c>
      <c r="T4706" s="0" t="n">
        <f aca="false">Q4706-S4706</f>
        <v>45.3468634591533</v>
      </c>
      <c r="U4706" s="0" t="n">
        <f aca="false">Q4706+S4706</f>
        <v>47.6062331317558</v>
      </c>
      <c r="V4706" s="54" t="b">
        <f aca="false">AND(D4706&gt;=01_因子設定!$L$5-0.000000001,D4706&lt;=01_因子設定!$M$5+0.000000001,E4706&gt;=01_因子設定!$L$6-0.000000001,E4706&lt;=01_因子設定!$M$6+0.000000001,F4706&gt;=01_因子設定!$L$7-0.000000001,F4706&lt;=01_因子設定!$M$7+0.000000001,IF(01_因子設定!$B$20="Box-Behnken",D4706^2+E4706^2+F4706^2&lt;=2+0.000000001,TRUE()))</f>
        <v>1</v>
      </c>
      <c r="W4706" s="55" t="n">
        <f aca="false">IF(V4706,IF(01_因子設定!$B$13="最大化",T4706-01_因子設定!$B$14,IF(01_因子設定!$B$13="最小化",01_因子設定!$B$15-U4706,MIN(T4706-01_因子設定!$B$14,01_因子設定!$B$15-U4706))),-1E+030)</f>
        <v>-3.15313654084675</v>
      </c>
      <c r="X4706" s="55" t="n">
        <f aca="false">IF(V4706,IF(01_因子設定!$B$13="最大化",Q4706,IF(01_因子設定!$B$13="最小化",-Q4706,-ABS(Q4706-01_因子設定!$B$16))),-1E+030)</f>
        <v>46.4765482954545</v>
      </c>
      <c r="Y4706" s="55" t="n">
        <f aca="false">W4706+ROW()*0.000000001</f>
        <v>-3.15313183484675</v>
      </c>
      <c r="Z4706" s="55" t="n">
        <f aca="false">X4706+ROW()*0.000000001</f>
        <v>46.4765530014545</v>
      </c>
    </row>
    <row r="4707" customFormat="false" ht="15" hidden="false" customHeight="false" outlineLevel="0" collapsed="false">
      <c r="A4707" s="0" t="n">
        <v>16</v>
      </c>
      <c r="B4707" s="0" t="n">
        <v>4</v>
      </c>
      <c r="C4707" s="0" t="n">
        <v>10</v>
      </c>
      <c r="D4707" s="0" t="n">
        <f aca="false">-1+A4707*0.125</f>
        <v>1</v>
      </c>
      <c r="E4707" s="0" t="n">
        <f aca="false">-1+B4707*0.125</f>
        <v>-0.5</v>
      </c>
      <c r="F4707" s="0" t="n">
        <f aca="false">-1+C4707*0.125</f>
        <v>0.25</v>
      </c>
      <c r="G4707" s="0" t="n">
        <f aca="false">1</f>
        <v>1</v>
      </c>
      <c r="H4707" s="0" t="n">
        <f aca="false">D4707</f>
        <v>1</v>
      </c>
      <c r="I4707" s="0" t="n">
        <f aca="false">E4707</f>
        <v>-0.5</v>
      </c>
      <c r="J4707" s="0" t="n">
        <f aca="false">F4707</f>
        <v>0.25</v>
      </c>
      <c r="K4707" s="0" t="n">
        <f aca="false">D4707*E4707</f>
        <v>-0.5</v>
      </c>
      <c r="L4707" s="0" t="n">
        <f aca="false">D4707*F4707</f>
        <v>0.25</v>
      </c>
      <c r="M4707" s="0" t="n">
        <f aca="false">E4707*F4707</f>
        <v>-0.125</v>
      </c>
      <c r="N4707" s="0" t="n">
        <f aca="false">D4707*D4707</f>
        <v>1</v>
      </c>
      <c r="O4707" s="0" t="n">
        <f aca="false">E4707*E4707</f>
        <v>0.25</v>
      </c>
      <c r="P4707" s="0" t="n">
        <f aca="false">F4707*F4707</f>
        <v>0.0625</v>
      </c>
      <c r="Q4707" s="0" t="n">
        <f aca="false">SUMPRODUCT(G4707:P4707,_XtX!$B$71:$K$71)</f>
        <v>46.5469886363636</v>
      </c>
      <c r="R4707" s="0" t="n">
        <f aca="false">SUMPRODUCT(MMULT(G4707:P4707,_XtX!$B$58:$K$67),G4707:P4707)</f>
        <v>0.469424715909091</v>
      </c>
      <c r="S4707" s="0" t="n">
        <f aca="false">04_回帰ANOVA!$K$19*04_回帰ANOVA!$K$14*SQRT(1+R4707)</f>
        <v>1.12704253369596</v>
      </c>
      <c r="T4707" s="0" t="n">
        <f aca="false">Q4707-S4707</f>
        <v>45.4199461026677</v>
      </c>
      <c r="U4707" s="0" t="n">
        <f aca="false">Q4707+S4707</f>
        <v>47.6740311700596</v>
      </c>
      <c r="V4707" s="54" t="b">
        <f aca="false">AND(D4707&gt;=01_因子設定!$L$5-0.000000001,D4707&lt;=01_因子設定!$M$5+0.000000001,E4707&gt;=01_因子設定!$L$6-0.000000001,E4707&lt;=01_因子設定!$M$6+0.000000001,F4707&gt;=01_因子設定!$L$7-0.000000001,F4707&lt;=01_因子設定!$M$7+0.000000001,IF(01_因子設定!$B$20="Box-Behnken",D4707^2+E4707^2+F4707^2&lt;=2+0.000000001,TRUE()))</f>
        <v>1</v>
      </c>
      <c r="W4707" s="55" t="n">
        <f aca="false">IF(V4707,IF(01_因子設定!$B$13="最大化",T4707-01_因子設定!$B$14,IF(01_因子設定!$B$13="最小化",01_因子設定!$B$15-U4707,MIN(T4707-01_因子設定!$B$14,01_因子設定!$B$15-U4707))),-1E+030)</f>
        <v>-3.08005389733233</v>
      </c>
      <c r="X4707" s="55" t="n">
        <f aca="false">IF(V4707,IF(01_因子設定!$B$13="最大化",Q4707,IF(01_因子設定!$B$13="最小化",-Q4707,-ABS(Q4707-01_因子設定!$B$16))),-1E+030)</f>
        <v>46.5469886363636</v>
      </c>
      <c r="Y4707" s="55" t="n">
        <f aca="false">W4707+ROW()*0.000000001</f>
        <v>-3.08004919033233</v>
      </c>
      <c r="Z4707" s="55" t="n">
        <f aca="false">X4707+ROW()*0.000000001</f>
        <v>46.5469933433636</v>
      </c>
    </row>
    <row r="4708" customFormat="false" ht="15" hidden="false" customHeight="false" outlineLevel="0" collapsed="false">
      <c r="A4708" s="0" t="n">
        <v>16</v>
      </c>
      <c r="B4708" s="0" t="n">
        <v>4</v>
      </c>
      <c r="C4708" s="0" t="n">
        <v>11</v>
      </c>
      <c r="D4708" s="0" t="n">
        <f aca="false">-1+A4708*0.125</f>
        <v>1</v>
      </c>
      <c r="E4708" s="0" t="n">
        <f aca="false">-1+B4708*0.125</f>
        <v>-0.5</v>
      </c>
      <c r="F4708" s="0" t="n">
        <f aca="false">-1+C4708*0.125</f>
        <v>0.375</v>
      </c>
      <c r="G4708" s="0" t="n">
        <f aca="false">1</f>
        <v>1</v>
      </c>
      <c r="H4708" s="0" t="n">
        <f aca="false">D4708</f>
        <v>1</v>
      </c>
      <c r="I4708" s="0" t="n">
        <f aca="false">E4708</f>
        <v>-0.5</v>
      </c>
      <c r="J4708" s="0" t="n">
        <f aca="false">F4708</f>
        <v>0.375</v>
      </c>
      <c r="K4708" s="0" t="n">
        <f aca="false">D4708*E4708</f>
        <v>-0.5</v>
      </c>
      <c r="L4708" s="0" t="n">
        <f aca="false">D4708*F4708</f>
        <v>0.375</v>
      </c>
      <c r="M4708" s="0" t="n">
        <f aca="false">E4708*F4708</f>
        <v>-0.1875</v>
      </c>
      <c r="N4708" s="0" t="n">
        <f aca="false">D4708*D4708</f>
        <v>1</v>
      </c>
      <c r="O4708" s="0" t="n">
        <f aca="false">E4708*E4708</f>
        <v>0.25</v>
      </c>
      <c r="P4708" s="0" t="n">
        <f aca="false">F4708*F4708</f>
        <v>0.140625</v>
      </c>
      <c r="Q4708" s="0" t="n">
        <f aca="false">SUMPRODUCT(G4708:P4708,_XtX!$B$71:$K$71)</f>
        <v>46.5806392045455</v>
      </c>
      <c r="R4708" s="0" t="n">
        <f aca="false">SUMPRODUCT(MMULT(G4708:P4708,_XtX!$B$58:$K$67),G4708:P4708)</f>
        <v>0.461479048295455</v>
      </c>
      <c r="S4708" s="0" t="n">
        <f aca="false">04_回帰ANOVA!$K$19*04_回帰ANOVA!$K$14*SQRT(1+R4708)</f>
        <v>1.12399125658369</v>
      </c>
      <c r="T4708" s="0" t="n">
        <f aca="false">Q4708-S4708</f>
        <v>45.4566479479618</v>
      </c>
      <c r="U4708" s="0" t="n">
        <f aca="false">Q4708+S4708</f>
        <v>47.7046304611291</v>
      </c>
      <c r="V4708" s="54" t="b">
        <f aca="false">AND(D4708&gt;=01_因子設定!$L$5-0.000000001,D4708&lt;=01_因子設定!$M$5+0.000000001,E4708&gt;=01_因子設定!$L$6-0.000000001,E4708&lt;=01_因子設定!$M$6+0.000000001,F4708&gt;=01_因子設定!$L$7-0.000000001,F4708&lt;=01_因子設定!$M$7+0.000000001,IF(01_因子設定!$B$20="Box-Behnken",D4708^2+E4708^2+F4708^2&lt;=2+0.000000001,TRUE()))</f>
        <v>1</v>
      </c>
      <c r="W4708" s="55" t="n">
        <f aca="false">IF(V4708,IF(01_因子設定!$B$13="最大化",T4708-01_因子設定!$B$14,IF(01_因子設定!$B$13="最小化",01_因子設定!$B$15-U4708,MIN(T4708-01_因子設定!$B$14,01_因子設定!$B$15-U4708))),-1E+030)</f>
        <v>-3.04335205203824</v>
      </c>
      <c r="X4708" s="55" t="n">
        <f aca="false">IF(V4708,IF(01_因子設定!$B$13="最大化",Q4708,IF(01_因子設定!$B$13="最小化",-Q4708,-ABS(Q4708-01_因子設定!$B$16))),-1E+030)</f>
        <v>46.5806392045455</v>
      </c>
      <c r="Y4708" s="55" t="n">
        <f aca="false">W4708+ROW()*0.000000001</f>
        <v>-3.04334734403824</v>
      </c>
      <c r="Z4708" s="55" t="n">
        <f aca="false">X4708+ROW()*0.000000001</f>
        <v>46.5806439125455</v>
      </c>
    </row>
    <row r="4709" customFormat="false" ht="15" hidden="false" customHeight="false" outlineLevel="0" collapsed="false">
      <c r="A4709" s="0" t="n">
        <v>16</v>
      </c>
      <c r="B4709" s="0" t="n">
        <v>4</v>
      </c>
      <c r="C4709" s="0" t="n">
        <v>12</v>
      </c>
      <c r="D4709" s="0" t="n">
        <f aca="false">-1+A4709*0.125</f>
        <v>1</v>
      </c>
      <c r="E4709" s="0" t="n">
        <f aca="false">-1+B4709*0.125</f>
        <v>-0.5</v>
      </c>
      <c r="F4709" s="0" t="n">
        <f aca="false">-1+C4709*0.125</f>
        <v>0.5</v>
      </c>
      <c r="G4709" s="0" t="n">
        <f aca="false">1</f>
        <v>1</v>
      </c>
      <c r="H4709" s="0" t="n">
        <f aca="false">D4709</f>
        <v>1</v>
      </c>
      <c r="I4709" s="0" t="n">
        <f aca="false">E4709</f>
        <v>-0.5</v>
      </c>
      <c r="J4709" s="0" t="n">
        <f aca="false">F4709</f>
        <v>0.5</v>
      </c>
      <c r="K4709" s="0" t="n">
        <f aca="false">D4709*E4709</f>
        <v>-0.5</v>
      </c>
      <c r="L4709" s="0" t="n">
        <f aca="false">D4709*F4709</f>
        <v>0.5</v>
      </c>
      <c r="M4709" s="0" t="n">
        <f aca="false">E4709*F4709</f>
        <v>-0.25</v>
      </c>
      <c r="N4709" s="0" t="n">
        <f aca="false">D4709*D4709</f>
        <v>1</v>
      </c>
      <c r="O4709" s="0" t="n">
        <f aca="false">E4709*E4709</f>
        <v>0.25</v>
      </c>
      <c r="P4709" s="0" t="n">
        <f aca="false">F4709*F4709</f>
        <v>0.25</v>
      </c>
      <c r="Q4709" s="0" t="n">
        <f aca="false">SUMPRODUCT(G4709:P4709,_XtX!$B$71:$K$71)</f>
        <v>46.5775</v>
      </c>
      <c r="R4709" s="0" t="n">
        <f aca="false">SUMPRODUCT(MMULT(G4709:P4709,_XtX!$B$58:$K$67),G4709:P4709)</f>
        <v>0.4578125</v>
      </c>
      <c r="S4709" s="0" t="n">
        <f aca="false">04_回帰ANOVA!$K$19*04_回帰ANOVA!$K$14*SQRT(1+R4709)</f>
        <v>1.12258044051089</v>
      </c>
      <c r="T4709" s="0" t="n">
        <f aca="false">Q4709-S4709</f>
        <v>45.4549195594891</v>
      </c>
      <c r="U4709" s="0" t="n">
        <f aca="false">Q4709+S4709</f>
        <v>47.7000804405109</v>
      </c>
      <c r="V4709" s="54" t="b">
        <f aca="false">AND(D4709&gt;=01_因子設定!$L$5-0.000000001,D4709&lt;=01_因子設定!$M$5+0.000000001,E4709&gt;=01_因子設定!$L$6-0.000000001,E4709&lt;=01_因子設定!$M$6+0.000000001,F4709&gt;=01_因子設定!$L$7-0.000000001,F4709&lt;=01_因子設定!$M$7+0.000000001,IF(01_因子設定!$B$20="Box-Behnken",D4709^2+E4709^2+F4709^2&lt;=2+0.000000001,TRUE()))</f>
        <v>1</v>
      </c>
      <c r="W4709" s="55" t="n">
        <f aca="false">IF(V4709,IF(01_因子設定!$B$13="最大化",T4709-01_因子設定!$B$14,IF(01_因子設定!$B$13="最小化",01_因子設定!$B$15-U4709,MIN(T4709-01_因子設定!$B$14,01_因子設定!$B$15-U4709))),-1E+030)</f>
        <v>-3.04508044051089</v>
      </c>
      <c r="X4709" s="55" t="n">
        <f aca="false">IF(V4709,IF(01_因子設定!$B$13="最大化",Q4709,IF(01_因子設定!$B$13="最小化",-Q4709,-ABS(Q4709-01_因子設定!$B$16))),-1E+030)</f>
        <v>46.5775</v>
      </c>
      <c r="Y4709" s="55" t="n">
        <f aca="false">W4709+ROW()*0.000000001</f>
        <v>-3.04507573151089</v>
      </c>
      <c r="Z4709" s="55" t="n">
        <f aca="false">X4709+ROW()*0.000000001</f>
        <v>46.577504709</v>
      </c>
    </row>
    <row r="4710" customFormat="false" ht="15" hidden="false" customHeight="false" outlineLevel="0" collapsed="false">
      <c r="A4710" s="0" t="n">
        <v>16</v>
      </c>
      <c r="B4710" s="0" t="n">
        <v>4</v>
      </c>
      <c r="C4710" s="0" t="n">
        <v>13</v>
      </c>
      <c r="D4710" s="0" t="n">
        <f aca="false">-1+A4710*0.125</f>
        <v>1</v>
      </c>
      <c r="E4710" s="0" t="n">
        <f aca="false">-1+B4710*0.125</f>
        <v>-0.5</v>
      </c>
      <c r="F4710" s="0" t="n">
        <f aca="false">-1+C4710*0.125</f>
        <v>0.625</v>
      </c>
      <c r="G4710" s="0" t="n">
        <f aca="false">1</f>
        <v>1</v>
      </c>
      <c r="H4710" s="0" t="n">
        <f aca="false">D4710</f>
        <v>1</v>
      </c>
      <c r="I4710" s="0" t="n">
        <f aca="false">E4710</f>
        <v>-0.5</v>
      </c>
      <c r="J4710" s="0" t="n">
        <f aca="false">F4710</f>
        <v>0.625</v>
      </c>
      <c r="K4710" s="0" t="n">
        <f aca="false">D4710*E4710</f>
        <v>-0.5</v>
      </c>
      <c r="L4710" s="0" t="n">
        <f aca="false">D4710*F4710</f>
        <v>0.625</v>
      </c>
      <c r="M4710" s="0" t="n">
        <f aca="false">E4710*F4710</f>
        <v>-0.3125</v>
      </c>
      <c r="N4710" s="0" t="n">
        <f aca="false">D4710*D4710</f>
        <v>1</v>
      </c>
      <c r="O4710" s="0" t="n">
        <f aca="false">E4710*E4710</f>
        <v>0.25</v>
      </c>
      <c r="P4710" s="0" t="n">
        <f aca="false">F4710*F4710</f>
        <v>0.390625</v>
      </c>
      <c r="Q4710" s="0" t="n">
        <f aca="false">SUMPRODUCT(G4710:P4710,_XtX!$B$71:$K$71)</f>
        <v>46.5375710227273</v>
      </c>
      <c r="R4710" s="0" t="n">
        <f aca="false">SUMPRODUCT(MMULT(G4710:P4710,_XtX!$B$58:$K$67),G4710:P4710)</f>
        <v>0.465882457386364</v>
      </c>
      <c r="S4710" s="0" t="n">
        <f aca="false">04_回帰ANOVA!$K$19*04_回帰ANOVA!$K$14*SQRT(1+R4710)</f>
        <v>1.12568326538173</v>
      </c>
      <c r="T4710" s="0" t="n">
        <f aca="false">Q4710-S4710</f>
        <v>45.4118877573455</v>
      </c>
      <c r="U4710" s="0" t="n">
        <f aca="false">Q4710+S4710</f>
        <v>47.663254288109</v>
      </c>
      <c r="V4710" s="54" t="b">
        <f aca="false">AND(D4710&gt;=01_因子設定!$L$5-0.000000001,D4710&lt;=01_因子設定!$M$5+0.000000001,E4710&gt;=01_因子設定!$L$6-0.000000001,E4710&lt;=01_因子設定!$M$6+0.000000001,F4710&gt;=01_因子設定!$L$7-0.000000001,F4710&lt;=01_因子設定!$M$7+0.000000001,IF(01_因子設定!$B$20="Box-Behnken",D4710^2+E4710^2+F4710^2&lt;=2+0.000000001,TRUE()))</f>
        <v>1</v>
      </c>
      <c r="W4710" s="55" t="n">
        <f aca="false">IF(V4710,IF(01_因子設定!$B$13="最大化",T4710-01_因子設定!$B$14,IF(01_因子設定!$B$13="最小化",01_因子設定!$B$15-U4710,MIN(T4710-01_因子設定!$B$14,01_因子設定!$B$15-U4710))),-1E+030)</f>
        <v>-3.08811224265445</v>
      </c>
      <c r="X4710" s="55" t="n">
        <f aca="false">IF(V4710,IF(01_因子設定!$B$13="最大化",Q4710,IF(01_因子設定!$B$13="最小化",-Q4710,-ABS(Q4710-01_因子設定!$B$16))),-1E+030)</f>
        <v>46.5375710227273</v>
      </c>
      <c r="Y4710" s="55" t="n">
        <f aca="false">W4710+ROW()*0.000000001</f>
        <v>-3.08810753265445</v>
      </c>
      <c r="Z4710" s="55" t="n">
        <f aca="false">X4710+ROW()*0.000000001</f>
        <v>46.5375757327273</v>
      </c>
    </row>
    <row r="4711" customFormat="false" ht="15" hidden="false" customHeight="false" outlineLevel="0" collapsed="false">
      <c r="A4711" s="0" t="n">
        <v>16</v>
      </c>
      <c r="B4711" s="0" t="n">
        <v>4</v>
      </c>
      <c r="C4711" s="0" t="n">
        <v>14</v>
      </c>
      <c r="D4711" s="0" t="n">
        <f aca="false">-1+A4711*0.125</f>
        <v>1</v>
      </c>
      <c r="E4711" s="0" t="n">
        <f aca="false">-1+B4711*0.125</f>
        <v>-0.5</v>
      </c>
      <c r="F4711" s="0" t="n">
        <f aca="false">-1+C4711*0.125</f>
        <v>0.75</v>
      </c>
      <c r="G4711" s="0" t="n">
        <f aca="false">1</f>
        <v>1</v>
      </c>
      <c r="H4711" s="0" t="n">
        <f aca="false">D4711</f>
        <v>1</v>
      </c>
      <c r="I4711" s="0" t="n">
        <f aca="false">E4711</f>
        <v>-0.5</v>
      </c>
      <c r="J4711" s="0" t="n">
        <f aca="false">F4711</f>
        <v>0.75</v>
      </c>
      <c r="K4711" s="0" t="n">
        <f aca="false">D4711*E4711</f>
        <v>-0.5</v>
      </c>
      <c r="L4711" s="0" t="n">
        <f aca="false">D4711*F4711</f>
        <v>0.75</v>
      </c>
      <c r="M4711" s="0" t="n">
        <f aca="false">E4711*F4711</f>
        <v>-0.375</v>
      </c>
      <c r="N4711" s="0" t="n">
        <f aca="false">D4711*D4711</f>
        <v>1</v>
      </c>
      <c r="O4711" s="0" t="n">
        <f aca="false">E4711*E4711</f>
        <v>0.25</v>
      </c>
      <c r="P4711" s="0" t="n">
        <f aca="false">F4711*F4711</f>
        <v>0.5625</v>
      </c>
      <c r="Q4711" s="0" t="n">
        <f aca="false">SUMPRODUCT(G4711:P4711,_XtX!$B$71:$K$71)</f>
        <v>46.4608522727273</v>
      </c>
      <c r="R4711" s="0" t="n">
        <f aca="false">SUMPRODUCT(MMULT(G4711:P4711,_XtX!$B$58:$K$67),G4711:P4711)</f>
        <v>0.495276988636364</v>
      </c>
      <c r="S4711" s="0" t="n">
        <f aca="false">04_回帰ANOVA!$K$19*04_回帰ANOVA!$K$14*SQRT(1+R4711)</f>
        <v>1.13691359828352</v>
      </c>
      <c r="T4711" s="0" t="n">
        <f aca="false">Q4711-S4711</f>
        <v>45.3239386744438</v>
      </c>
      <c r="U4711" s="0" t="n">
        <f aca="false">Q4711+S4711</f>
        <v>47.5977658710108</v>
      </c>
      <c r="V4711" s="54" t="b">
        <f aca="false">AND(D4711&gt;=01_因子設定!$L$5-0.000000001,D4711&lt;=01_因子設定!$M$5+0.000000001,E4711&gt;=01_因子設定!$L$6-0.000000001,E4711&lt;=01_因子設定!$M$6+0.000000001,F4711&gt;=01_因子設定!$L$7-0.000000001,F4711&lt;=01_因子設定!$M$7+0.000000001,IF(01_因子設定!$B$20="Box-Behnken",D4711^2+E4711^2+F4711^2&lt;=2+0.000000001,TRUE()))</f>
        <v>1</v>
      </c>
      <c r="W4711" s="55" t="n">
        <f aca="false">IF(V4711,IF(01_因子設定!$B$13="最大化",T4711-01_因子設定!$B$14,IF(01_因子設定!$B$13="最小化",01_因子設定!$B$15-U4711,MIN(T4711-01_因子設定!$B$14,01_因子設定!$B$15-U4711))),-1E+030)</f>
        <v>-3.17606132555625</v>
      </c>
      <c r="X4711" s="55" t="n">
        <f aca="false">IF(V4711,IF(01_因子設定!$B$13="最大化",Q4711,IF(01_因子設定!$B$13="最小化",-Q4711,-ABS(Q4711-01_因子設定!$B$16))),-1E+030)</f>
        <v>46.4608522727273</v>
      </c>
      <c r="Y4711" s="55" t="n">
        <f aca="false">W4711+ROW()*0.000000001</f>
        <v>-3.17605661455625</v>
      </c>
      <c r="Z4711" s="55" t="n">
        <f aca="false">X4711+ROW()*0.000000001</f>
        <v>46.4608569837273</v>
      </c>
    </row>
    <row r="4712" customFormat="false" ht="15" hidden="false" customHeight="false" outlineLevel="0" collapsed="false">
      <c r="A4712" s="0" t="n">
        <v>16</v>
      </c>
      <c r="B4712" s="0" t="n">
        <v>4</v>
      </c>
      <c r="C4712" s="0" t="n">
        <v>15</v>
      </c>
      <c r="D4712" s="0" t="n">
        <f aca="false">-1+A4712*0.125</f>
        <v>1</v>
      </c>
      <c r="E4712" s="0" t="n">
        <f aca="false">-1+B4712*0.125</f>
        <v>-0.5</v>
      </c>
      <c r="F4712" s="0" t="n">
        <f aca="false">-1+C4712*0.125</f>
        <v>0.875</v>
      </c>
      <c r="G4712" s="0" t="n">
        <f aca="false">1</f>
        <v>1</v>
      </c>
      <c r="H4712" s="0" t="n">
        <f aca="false">D4712</f>
        <v>1</v>
      </c>
      <c r="I4712" s="0" t="n">
        <f aca="false">E4712</f>
        <v>-0.5</v>
      </c>
      <c r="J4712" s="0" t="n">
        <f aca="false">F4712</f>
        <v>0.875</v>
      </c>
      <c r="K4712" s="0" t="n">
        <f aca="false">D4712*E4712</f>
        <v>-0.5</v>
      </c>
      <c r="L4712" s="0" t="n">
        <f aca="false">D4712*F4712</f>
        <v>0.875</v>
      </c>
      <c r="M4712" s="0" t="n">
        <f aca="false">E4712*F4712</f>
        <v>-0.4375</v>
      </c>
      <c r="N4712" s="0" t="n">
        <f aca="false">D4712*D4712</f>
        <v>1</v>
      </c>
      <c r="O4712" s="0" t="n">
        <f aca="false">E4712*E4712</f>
        <v>0.25</v>
      </c>
      <c r="P4712" s="0" t="n">
        <f aca="false">F4712*F4712</f>
        <v>0.765625</v>
      </c>
      <c r="Q4712" s="0" t="n">
        <f aca="false">SUMPRODUCT(G4712:P4712,_XtX!$B$71:$K$71)</f>
        <v>46.34734375</v>
      </c>
      <c r="R4712" s="0" t="n">
        <f aca="false">SUMPRODUCT(MMULT(G4712:P4712,_XtX!$B$58:$K$67),G4712:P4712)</f>
        <v>0.55771484375</v>
      </c>
      <c r="S4712" s="0" t="n">
        <f aca="false">04_回帰ANOVA!$K$19*04_回帰ANOVA!$K$14*SQRT(1+R4712)</f>
        <v>1.16040773556467</v>
      </c>
      <c r="T4712" s="0" t="n">
        <f aca="false">Q4712-S4712</f>
        <v>45.1869360144353</v>
      </c>
      <c r="U4712" s="0" t="n">
        <f aca="false">Q4712+S4712</f>
        <v>47.5077514855647</v>
      </c>
      <c r="V4712" s="54" t="b">
        <f aca="false">AND(D4712&gt;=01_因子設定!$L$5-0.000000001,D4712&lt;=01_因子設定!$M$5+0.000000001,E4712&gt;=01_因子設定!$L$6-0.000000001,E4712&lt;=01_因子設定!$M$6+0.000000001,F4712&gt;=01_因子設定!$L$7-0.000000001,F4712&lt;=01_因子設定!$M$7+0.000000001,IF(01_因子設定!$B$20="Box-Behnken",D4712^2+E4712^2+F4712^2&lt;=2+0.000000001,TRUE()))</f>
        <v>1</v>
      </c>
      <c r="W4712" s="55" t="n">
        <f aca="false">IF(V4712,IF(01_因子設定!$B$13="最大化",T4712-01_因子設定!$B$14,IF(01_因子設定!$B$13="最小化",01_因子設定!$B$15-U4712,MIN(T4712-01_因子設定!$B$14,01_因子設定!$B$15-U4712))),-1E+030)</f>
        <v>-3.31306398556467</v>
      </c>
      <c r="X4712" s="55" t="n">
        <f aca="false">IF(V4712,IF(01_因子設定!$B$13="最大化",Q4712,IF(01_因子設定!$B$13="最小化",-Q4712,-ABS(Q4712-01_因子設定!$B$16))),-1E+030)</f>
        <v>46.34734375</v>
      </c>
      <c r="Y4712" s="55" t="n">
        <f aca="false">W4712+ROW()*0.000000001</f>
        <v>-3.31305927356467</v>
      </c>
      <c r="Z4712" s="55" t="n">
        <f aca="false">X4712+ROW()*0.000000001</f>
        <v>46.347348462</v>
      </c>
    </row>
    <row r="4713" customFormat="false" ht="15" hidden="false" customHeight="false" outlineLevel="0" collapsed="false">
      <c r="A4713" s="0" t="n">
        <v>16</v>
      </c>
      <c r="B4713" s="0" t="n">
        <v>4</v>
      </c>
      <c r="C4713" s="0" t="n">
        <v>16</v>
      </c>
      <c r="D4713" s="0" t="n">
        <f aca="false">-1+A4713*0.125</f>
        <v>1</v>
      </c>
      <c r="E4713" s="0" t="n">
        <f aca="false">-1+B4713*0.125</f>
        <v>-0.5</v>
      </c>
      <c r="F4713" s="0" t="n">
        <f aca="false">-1+C4713*0.125</f>
        <v>1</v>
      </c>
      <c r="G4713" s="0" t="n">
        <f aca="false">1</f>
        <v>1</v>
      </c>
      <c r="H4713" s="0" t="n">
        <f aca="false">D4713</f>
        <v>1</v>
      </c>
      <c r="I4713" s="0" t="n">
        <f aca="false">E4713</f>
        <v>-0.5</v>
      </c>
      <c r="J4713" s="0" t="n">
        <f aca="false">F4713</f>
        <v>1</v>
      </c>
      <c r="K4713" s="0" t="n">
        <f aca="false">D4713*E4713</f>
        <v>-0.5</v>
      </c>
      <c r="L4713" s="0" t="n">
        <f aca="false">D4713*F4713</f>
        <v>1</v>
      </c>
      <c r="M4713" s="0" t="n">
        <f aca="false">E4713*F4713</f>
        <v>-0.5</v>
      </c>
      <c r="N4713" s="0" t="n">
        <f aca="false">D4713*D4713</f>
        <v>1</v>
      </c>
      <c r="O4713" s="0" t="n">
        <f aca="false">E4713*E4713</f>
        <v>0.25</v>
      </c>
      <c r="P4713" s="0" t="n">
        <f aca="false">F4713*F4713</f>
        <v>1</v>
      </c>
      <c r="Q4713" s="0" t="n">
        <f aca="false">SUMPRODUCT(G4713:P4713,_XtX!$B$71:$K$71)</f>
        <v>46.1970454545455</v>
      </c>
      <c r="R4713" s="0" t="n">
        <f aca="false">SUMPRODUCT(MMULT(G4713:P4713,_XtX!$B$58:$K$67),G4713:P4713)</f>
        <v>0.667045454545455</v>
      </c>
      <c r="S4713" s="0" t="n">
        <f aca="false">04_回帰ANOVA!$K$19*04_回帰ANOVA!$K$14*SQRT(1+R4713)</f>
        <v>1.200439720088</v>
      </c>
      <c r="T4713" s="0" t="n">
        <f aca="false">Q4713-S4713</f>
        <v>44.9966057344575</v>
      </c>
      <c r="U4713" s="0" t="n">
        <f aca="false">Q4713+S4713</f>
        <v>47.3974851746335</v>
      </c>
      <c r="V4713" s="54" t="b">
        <f aca="false">AND(D4713&gt;=01_因子設定!$L$5-0.000000001,D4713&lt;=01_因子設定!$M$5+0.000000001,E4713&gt;=01_因子設定!$L$6-0.000000001,E4713&lt;=01_因子設定!$M$6+0.000000001,F4713&gt;=01_因子設定!$L$7-0.000000001,F4713&lt;=01_因子設定!$M$7+0.000000001,IF(01_因子設定!$B$20="Box-Behnken",D4713^2+E4713^2+F4713^2&lt;=2+0.000000001,TRUE()))</f>
        <v>1</v>
      </c>
      <c r="W4713" s="55" t="n">
        <f aca="false">IF(V4713,IF(01_因子設定!$B$13="最大化",T4713-01_因子設定!$B$14,IF(01_因子設定!$B$13="最小化",01_因子設定!$B$15-U4713,MIN(T4713-01_因子設定!$B$14,01_因子設定!$B$15-U4713))),-1E+030)</f>
        <v>-3.50339426554253</v>
      </c>
      <c r="X4713" s="55" t="n">
        <f aca="false">IF(V4713,IF(01_因子設定!$B$13="最大化",Q4713,IF(01_因子設定!$B$13="最小化",-Q4713,-ABS(Q4713-01_因子設定!$B$16))),-1E+030)</f>
        <v>46.1970454545455</v>
      </c>
      <c r="Y4713" s="55" t="n">
        <f aca="false">W4713+ROW()*0.000000001</f>
        <v>-3.50338955254253</v>
      </c>
      <c r="Z4713" s="55" t="n">
        <f aca="false">X4713+ROW()*0.000000001</f>
        <v>46.1970501675455</v>
      </c>
    </row>
    <row r="4714" customFormat="false" ht="15" hidden="false" customHeight="false" outlineLevel="0" collapsed="false">
      <c r="A4714" s="0" t="n">
        <v>16</v>
      </c>
      <c r="B4714" s="0" t="n">
        <v>5</v>
      </c>
      <c r="C4714" s="0" t="n">
        <v>0</v>
      </c>
      <c r="D4714" s="0" t="n">
        <f aca="false">-1+A4714*0.125</f>
        <v>1</v>
      </c>
      <c r="E4714" s="0" t="n">
        <f aca="false">-1+B4714*0.125</f>
        <v>-0.375</v>
      </c>
      <c r="F4714" s="0" t="n">
        <f aca="false">-1+C4714*0.125</f>
        <v>-1</v>
      </c>
      <c r="G4714" s="0" t="n">
        <f aca="false">1</f>
        <v>1</v>
      </c>
      <c r="H4714" s="0" t="n">
        <f aca="false">D4714</f>
        <v>1</v>
      </c>
      <c r="I4714" s="0" t="n">
        <f aca="false">E4714</f>
        <v>-0.375</v>
      </c>
      <c r="J4714" s="0" t="n">
        <f aca="false">F4714</f>
        <v>-1</v>
      </c>
      <c r="K4714" s="0" t="n">
        <f aca="false">D4714*E4714</f>
        <v>-0.375</v>
      </c>
      <c r="L4714" s="0" t="n">
        <f aca="false">D4714*F4714</f>
        <v>-1</v>
      </c>
      <c r="M4714" s="0" t="n">
        <f aca="false">E4714*F4714</f>
        <v>0.375</v>
      </c>
      <c r="N4714" s="0" t="n">
        <f aca="false">D4714*D4714</f>
        <v>1</v>
      </c>
      <c r="O4714" s="0" t="n">
        <f aca="false">E4714*E4714</f>
        <v>0.140625</v>
      </c>
      <c r="P4714" s="0" t="n">
        <f aca="false">F4714*F4714</f>
        <v>1</v>
      </c>
      <c r="Q4714" s="0" t="n">
        <f aca="false">SUMPRODUCT(G4714:P4714,_XtX!$B$71:$K$71)</f>
        <v>44.7644034090909</v>
      </c>
      <c r="R4714" s="0" t="n">
        <f aca="false">SUMPRODUCT(MMULT(G4714:P4714,_XtX!$B$58:$K$67),G4714:P4714)</f>
        <v>0.682830255681818</v>
      </c>
      <c r="S4714" s="0" t="n">
        <f aca="false">04_回帰ANOVA!$K$19*04_回帰ANOVA!$K$14*SQRT(1+R4714)</f>
        <v>1.20610964896955</v>
      </c>
      <c r="T4714" s="0" t="n">
        <f aca="false">Q4714-S4714</f>
        <v>43.5582937601214</v>
      </c>
      <c r="U4714" s="0" t="n">
        <f aca="false">Q4714+S4714</f>
        <v>45.9705130580605</v>
      </c>
      <c r="V4714" s="54" t="b">
        <f aca="false">AND(D4714&gt;=01_因子設定!$L$5-0.000000001,D4714&lt;=01_因子設定!$M$5+0.000000001,E4714&gt;=01_因子設定!$L$6-0.000000001,E4714&lt;=01_因子設定!$M$6+0.000000001,F4714&gt;=01_因子設定!$L$7-0.000000001,F4714&lt;=01_因子設定!$M$7+0.000000001,IF(01_因子設定!$B$20="Box-Behnken",D4714^2+E4714^2+F4714^2&lt;=2+0.000000001,TRUE()))</f>
        <v>1</v>
      </c>
      <c r="W4714" s="55" t="n">
        <f aca="false">IF(V4714,IF(01_因子設定!$B$13="最大化",T4714-01_因子設定!$B$14,IF(01_因子設定!$B$13="最小化",01_因子設定!$B$15-U4714,MIN(T4714-01_因子設定!$B$14,01_因子設定!$B$15-U4714))),-1E+030)</f>
        <v>-4.94170623987863</v>
      </c>
      <c r="X4714" s="55" t="n">
        <f aca="false">IF(V4714,IF(01_因子設定!$B$13="最大化",Q4714,IF(01_因子設定!$B$13="最小化",-Q4714,-ABS(Q4714-01_因子設定!$B$16))),-1E+030)</f>
        <v>44.7644034090909</v>
      </c>
      <c r="Y4714" s="55" t="n">
        <f aca="false">W4714+ROW()*0.000000001</f>
        <v>-4.94170152587863</v>
      </c>
      <c r="Z4714" s="55" t="n">
        <f aca="false">X4714+ROW()*0.000000001</f>
        <v>44.7644081230909</v>
      </c>
    </row>
    <row r="4715" customFormat="false" ht="15" hidden="false" customHeight="false" outlineLevel="0" collapsed="false">
      <c r="A4715" s="0" t="n">
        <v>16</v>
      </c>
      <c r="B4715" s="0" t="n">
        <v>5</v>
      </c>
      <c r="C4715" s="0" t="n">
        <v>1</v>
      </c>
      <c r="D4715" s="0" t="n">
        <f aca="false">-1+A4715*0.125</f>
        <v>1</v>
      </c>
      <c r="E4715" s="0" t="n">
        <f aca="false">-1+B4715*0.125</f>
        <v>-0.375</v>
      </c>
      <c r="F4715" s="0" t="n">
        <f aca="false">-1+C4715*0.125</f>
        <v>-0.875</v>
      </c>
      <c r="G4715" s="0" t="n">
        <f aca="false">1</f>
        <v>1</v>
      </c>
      <c r="H4715" s="0" t="n">
        <f aca="false">D4715</f>
        <v>1</v>
      </c>
      <c r="I4715" s="0" t="n">
        <f aca="false">E4715</f>
        <v>-0.375</v>
      </c>
      <c r="J4715" s="0" t="n">
        <f aca="false">F4715</f>
        <v>-0.875</v>
      </c>
      <c r="K4715" s="0" t="n">
        <f aca="false">D4715*E4715</f>
        <v>-0.375</v>
      </c>
      <c r="L4715" s="0" t="n">
        <f aca="false">D4715*F4715</f>
        <v>-0.875</v>
      </c>
      <c r="M4715" s="0" t="n">
        <f aca="false">E4715*F4715</f>
        <v>0.328125</v>
      </c>
      <c r="N4715" s="0" t="n">
        <f aca="false">D4715*D4715</f>
        <v>1</v>
      </c>
      <c r="O4715" s="0" t="n">
        <f aca="false">E4715*E4715</f>
        <v>0.140625</v>
      </c>
      <c r="P4715" s="0" t="n">
        <f aca="false">F4715*F4715</f>
        <v>0.765625</v>
      </c>
      <c r="Q4715" s="0" t="n">
        <f aca="false">SUMPRODUCT(G4715:P4715,_XtX!$B$71:$K$71)</f>
        <v>45.1729829545455</v>
      </c>
      <c r="R4715" s="0" t="n">
        <f aca="false">SUMPRODUCT(MMULT(G4715:P4715,_XtX!$B$58:$K$67),G4715:P4715)</f>
        <v>0.56971269087358</v>
      </c>
      <c r="S4715" s="0" t="n">
        <f aca="false">04_回帰ANOVA!$K$19*04_回帰ANOVA!$K$14*SQRT(1+R4715)</f>
        <v>1.16486801567081</v>
      </c>
      <c r="T4715" s="0" t="n">
        <f aca="false">Q4715-S4715</f>
        <v>44.0081149388747</v>
      </c>
      <c r="U4715" s="0" t="n">
        <f aca="false">Q4715+S4715</f>
        <v>46.3378509702163</v>
      </c>
      <c r="V4715" s="54" t="b">
        <f aca="false">AND(D4715&gt;=01_因子設定!$L$5-0.000000001,D4715&lt;=01_因子設定!$M$5+0.000000001,E4715&gt;=01_因子設定!$L$6-0.000000001,E4715&lt;=01_因子設定!$M$6+0.000000001,F4715&gt;=01_因子設定!$L$7-0.000000001,F4715&lt;=01_因子設定!$M$7+0.000000001,IF(01_因子設定!$B$20="Box-Behnken",D4715^2+E4715^2+F4715^2&lt;=2+0.000000001,TRUE()))</f>
        <v>1</v>
      </c>
      <c r="W4715" s="55" t="n">
        <f aca="false">IF(V4715,IF(01_因子設定!$B$13="最大化",T4715-01_因子設定!$B$14,IF(01_因子設定!$B$13="最小化",01_因子設定!$B$15-U4715,MIN(T4715-01_因子設定!$B$14,01_因子設定!$B$15-U4715))),-1E+030)</f>
        <v>-4.49188506112535</v>
      </c>
      <c r="X4715" s="55" t="n">
        <f aca="false">IF(V4715,IF(01_因子設定!$B$13="最大化",Q4715,IF(01_因子設定!$B$13="最小化",-Q4715,-ABS(Q4715-01_因子設定!$B$16))),-1E+030)</f>
        <v>45.1729829545455</v>
      </c>
      <c r="Y4715" s="55" t="n">
        <f aca="false">W4715+ROW()*0.000000001</f>
        <v>-4.49188034612534</v>
      </c>
      <c r="Z4715" s="55" t="n">
        <f aca="false">X4715+ROW()*0.000000001</f>
        <v>45.1729876695455</v>
      </c>
    </row>
    <row r="4716" customFormat="false" ht="15" hidden="false" customHeight="false" outlineLevel="0" collapsed="false">
      <c r="A4716" s="0" t="n">
        <v>16</v>
      </c>
      <c r="B4716" s="0" t="n">
        <v>5</v>
      </c>
      <c r="C4716" s="0" t="n">
        <v>2</v>
      </c>
      <c r="D4716" s="0" t="n">
        <f aca="false">-1+A4716*0.125</f>
        <v>1</v>
      </c>
      <c r="E4716" s="0" t="n">
        <f aca="false">-1+B4716*0.125</f>
        <v>-0.375</v>
      </c>
      <c r="F4716" s="0" t="n">
        <f aca="false">-1+C4716*0.125</f>
        <v>-0.75</v>
      </c>
      <c r="G4716" s="0" t="n">
        <f aca="false">1</f>
        <v>1</v>
      </c>
      <c r="H4716" s="0" t="n">
        <f aca="false">D4716</f>
        <v>1</v>
      </c>
      <c r="I4716" s="0" t="n">
        <f aca="false">E4716</f>
        <v>-0.375</v>
      </c>
      <c r="J4716" s="0" t="n">
        <f aca="false">F4716</f>
        <v>-0.75</v>
      </c>
      <c r="K4716" s="0" t="n">
        <f aca="false">D4716*E4716</f>
        <v>-0.375</v>
      </c>
      <c r="L4716" s="0" t="n">
        <f aca="false">D4716*F4716</f>
        <v>-0.75</v>
      </c>
      <c r="M4716" s="0" t="n">
        <f aca="false">E4716*F4716</f>
        <v>0.28125</v>
      </c>
      <c r="N4716" s="0" t="n">
        <f aca="false">D4716*D4716</f>
        <v>1</v>
      </c>
      <c r="O4716" s="0" t="n">
        <f aca="false">E4716*E4716</f>
        <v>0.140625</v>
      </c>
      <c r="P4716" s="0" t="n">
        <f aca="false">F4716*F4716</f>
        <v>0.5625</v>
      </c>
      <c r="Q4716" s="0" t="n">
        <f aca="false">SUMPRODUCT(G4716:P4716,_XtX!$B$71:$K$71)</f>
        <v>45.5447727272727</v>
      </c>
      <c r="R4716" s="0" t="n">
        <f aca="false">SUMPRODUCT(MMULT(G4716:P4716,_XtX!$B$58:$K$67),G4716:P4716)</f>
        <v>0.503992808948864</v>
      </c>
      <c r="S4716" s="0" t="n">
        <f aca="false">04_回帰ANOVA!$K$19*04_回帰ANOVA!$K$14*SQRT(1+R4716)</f>
        <v>1.14022226176226</v>
      </c>
      <c r="T4716" s="0" t="n">
        <f aca="false">Q4716-S4716</f>
        <v>44.4045504655105</v>
      </c>
      <c r="U4716" s="0" t="n">
        <f aca="false">Q4716+S4716</f>
        <v>46.684994989035</v>
      </c>
      <c r="V4716" s="54" t="b">
        <f aca="false">AND(D4716&gt;=01_因子設定!$L$5-0.000000001,D4716&lt;=01_因子設定!$M$5+0.000000001,E4716&gt;=01_因子設定!$L$6-0.000000001,E4716&lt;=01_因子設定!$M$6+0.000000001,F4716&gt;=01_因子設定!$L$7-0.000000001,F4716&lt;=01_因子設定!$M$7+0.000000001,IF(01_因子設定!$B$20="Box-Behnken",D4716^2+E4716^2+F4716^2&lt;=2+0.000000001,TRUE()))</f>
        <v>1</v>
      </c>
      <c r="W4716" s="55" t="n">
        <f aca="false">IF(V4716,IF(01_因子設定!$B$13="最大化",T4716-01_因子設定!$B$14,IF(01_因子設定!$B$13="最小化",01_因子設定!$B$15-U4716,MIN(T4716-01_因子設定!$B$14,01_因子設定!$B$15-U4716))),-1E+030)</f>
        <v>-4.09544953448953</v>
      </c>
      <c r="X4716" s="55" t="n">
        <f aca="false">IF(V4716,IF(01_因子設定!$B$13="最大化",Q4716,IF(01_因子設定!$B$13="最小化",-Q4716,-ABS(Q4716-01_因子設定!$B$16))),-1E+030)</f>
        <v>45.5447727272727</v>
      </c>
      <c r="Y4716" s="55" t="n">
        <f aca="false">W4716+ROW()*0.000000001</f>
        <v>-4.09544481848953</v>
      </c>
      <c r="Z4716" s="55" t="n">
        <f aca="false">X4716+ROW()*0.000000001</f>
        <v>45.5447774432727</v>
      </c>
    </row>
    <row r="4717" customFormat="false" ht="15" hidden="false" customHeight="false" outlineLevel="0" collapsed="false">
      <c r="A4717" s="0" t="n">
        <v>16</v>
      </c>
      <c r="B4717" s="0" t="n">
        <v>5</v>
      </c>
      <c r="C4717" s="0" t="n">
        <v>3</v>
      </c>
      <c r="D4717" s="0" t="n">
        <f aca="false">-1+A4717*0.125</f>
        <v>1</v>
      </c>
      <c r="E4717" s="0" t="n">
        <f aca="false">-1+B4717*0.125</f>
        <v>-0.375</v>
      </c>
      <c r="F4717" s="0" t="n">
        <f aca="false">-1+C4717*0.125</f>
        <v>-0.625</v>
      </c>
      <c r="G4717" s="0" t="n">
        <f aca="false">1</f>
        <v>1</v>
      </c>
      <c r="H4717" s="0" t="n">
        <f aca="false">D4717</f>
        <v>1</v>
      </c>
      <c r="I4717" s="0" t="n">
        <f aca="false">E4717</f>
        <v>-0.375</v>
      </c>
      <c r="J4717" s="0" t="n">
        <f aca="false">F4717</f>
        <v>-0.625</v>
      </c>
      <c r="K4717" s="0" t="n">
        <f aca="false">D4717*E4717</f>
        <v>-0.375</v>
      </c>
      <c r="L4717" s="0" t="n">
        <f aca="false">D4717*F4717</f>
        <v>-0.625</v>
      </c>
      <c r="M4717" s="0" t="n">
        <f aca="false">E4717*F4717</f>
        <v>0.234375</v>
      </c>
      <c r="N4717" s="0" t="n">
        <f aca="false">D4717*D4717</f>
        <v>1</v>
      </c>
      <c r="O4717" s="0" t="n">
        <f aca="false">E4717*E4717</f>
        <v>0.140625</v>
      </c>
      <c r="P4717" s="0" t="n">
        <f aca="false">F4717*F4717</f>
        <v>0.390625</v>
      </c>
      <c r="Q4717" s="0" t="n">
        <f aca="false">SUMPRODUCT(G4717:P4717,_XtX!$B$71:$K$71)</f>
        <v>45.8797727272727</v>
      </c>
      <c r="R4717" s="0" t="n">
        <f aca="false">SUMPRODUCT(MMULT(G4717:P4717,_XtX!$B$58:$K$67),G4717:P4717)</f>
        <v>0.471821178089489</v>
      </c>
      <c r="S4717" s="0" t="n">
        <f aca="false">04_回帰ANOVA!$K$19*04_回帰ANOVA!$K$14*SQRT(1+R4717)</f>
        <v>1.12796119746125</v>
      </c>
      <c r="T4717" s="0" t="n">
        <f aca="false">Q4717-S4717</f>
        <v>44.7518115298115</v>
      </c>
      <c r="U4717" s="0" t="n">
        <f aca="false">Q4717+S4717</f>
        <v>47.007733924734</v>
      </c>
      <c r="V4717" s="54" t="b">
        <f aca="false">AND(D4717&gt;=01_因子設定!$L$5-0.000000001,D4717&lt;=01_因子設定!$M$5+0.000000001,E4717&gt;=01_因子設定!$L$6-0.000000001,E4717&lt;=01_因子設定!$M$6+0.000000001,F4717&gt;=01_因子設定!$L$7-0.000000001,F4717&lt;=01_因子設定!$M$7+0.000000001,IF(01_因子設定!$B$20="Box-Behnken",D4717^2+E4717^2+F4717^2&lt;=2+0.000000001,TRUE()))</f>
        <v>1</v>
      </c>
      <c r="W4717" s="55" t="n">
        <f aca="false">IF(V4717,IF(01_因子設定!$B$13="最大化",T4717-01_因子設定!$B$14,IF(01_因子設定!$B$13="最小化",01_因子設定!$B$15-U4717,MIN(T4717-01_因子設定!$B$14,01_因子設定!$B$15-U4717))),-1E+030)</f>
        <v>-3.74818847018853</v>
      </c>
      <c r="X4717" s="55" t="n">
        <f aca="false">IF(V4717,IF(01_因子設定!$B$13="最大化",Q4717,IF(01_因子設定!$B$13="最小化",-Q4717,-ABS(Q4717-01_因子設定!$B$16))),-1E+030)</f>
        <v>45.8797727272727</v>
      </c>
      <c r="Y4717" s="55" t="n">
        <f aca="false">W4717+ROW()*0.000000001</f>
        <v>-3.74818375318853</v>
      </c>
      <c r="Z4717" s="55" t="n">
        <f aca="false">X4717+ROW()*0.000000001</f>
        <v>45.8797774442727</v>
      </c>
    </row>
    <row r="4718" customFormat="false" ht="15" hidden="false" customHeight="false" outlineLevel="0" collapsed="false">
      <c r="A4718" s="0" t="n">
        <v>16</v>
      </c>
      <c r="B4718" s="0" t="n">
        <v>5</v>
      </c>
      <c r="C4718" s="0" t="n">
        <v>4</v>
      </c>
      <c r="D4718" s="0" t="n">
        <f aca="false">-1+A4718*0.125</f>
        <v>1</v>
      </c>
      <c r="E4718" s="0" t="n">
        <f aca="false">-1+B4718*0.125</f>
        <v>-0.375</v>
      </c>
      <c r="F4718" s="0" t="n">
        <f aca="false">-1+C4718*0.125</f>
        <v>-0.5</v>
      </c>
      <c r="G4718" s="0" t="n">
        <f aca="false">1</f>
        <v>1</v>
      </c>
      <c r="H4718" s="0" t="n">
        <f aca="false">D4718</f>
        <v>1</v>
      </c>
      <c r="I4718" s="0" t="n">
        <f aca="false">E4718</f>
        <v>-0.375</v>
      </c>
      <c r="J4718" s="0" t="n">
        <f aca="false">F4718</f>
        <v>-0.5</v>
      </c>
      <c r="K4718" s="0" t="n">
        <f aca="false">D4718*E4718</f>
        <v>-0.375</v>
      </c>
      <c r="L4718" s="0" t="n">
        <f aca="false">D4718*F4718</f>
        <v>-0.5</v>
      </c>
      <c r="M4718" s="0" t="n">
        <f aca="false">E4718*F4718</f>
        <v>0.1875</v>
      </c>
      <c r="N4718" s="0" t="n">
        <f aca="false">D4718*D4718</f>
        <v>1</v>
      </c>
      <c r="O4718" s="0" t="n">
        <f aca="false">E4718*E4718</f>
        <v>0.140625</v>
      </c>
      <c r="P4718" s="0" t="n">
        <f aca="false">F4718*F4718</f>
        <v>0.25</v>
      </c>
      <c r="Q4718" s="0" t="n">
        <f aca="false">SUMPRODUCT(G4718:P4718,_XtX!$B$71:$K$71)</f>
        <v>46.1779829545455</v>
      </c>
      <c r="R4718" s="0" t="n">
        <f aca="false">SUMPRODUCT(MMULT(G4718:P4718,_XtX!$B$58:$K$67),G4718:P4718)</f>
        <v>0.461479048295455</v>
      </c>
      <c r="S4718" s="0" t="n">
        <f aca="false">04_回帰ANOVA!$K$19*04_回帰ANOVA!$K$14*SQRT(1+R4718)</f>
        <v>1.12399125658369</v>
      </c>
      <c r="T4718" s="0" t="n">
        <f aca="false">Q4718-S4718</f>
        <v>45.0539916979618</v>
      </c>
      <c r="U4718" s="0" t="n">
        <f aca="false">Q4718+S4718</f>
        <v>47.3019742111291</v>
      </c>
      <c r="V4718" s="54" t="b">
        <f aca="false">AND(D4718&gt;=01_因子設定!$L$5-0.000000001,D4718&lt;=01_因子設定!$M$5+0.000000001,E4718&gt;=01_因子設定!$L$6-0.000000001,E4718&lt;=01_因子設定!$M$6+0.000000001,F4718&gt;=01_因子設定!$L$7-0.000000001,F4718&lt;=01_因子設定!$M$7+0.000000001,IF(01_因子設定!$B$20="Box-Behnken",D4718^2+E4718^2+F4718^2&lt;=2+0.000000001,TRUE()))</f>
        <v>1</v>
      </c>
      <c r="W4718" s="55" t="n">
        <f aca="false">IF(V4718,IF(01_因子設定!$B$13="最大化",T4718-01_因子設定!$B$14,IF(01_因子設定!$B$13="最小化",01_因子設定!$B$15-U4718,MIN(T4718-01_因子設定!$B$14,01_因子設定!$B$15-U4718))),-1E+030)</f>
        <v>-3.44600830203824</v>
      </c>
      <c r="X4718" s="55" t="n">
        <f aca="false">IF(V4718,IF(01_因子設定!$B$13="最大化",Q4718,IF(01_因子設定!$B$13="最小化",-Q4718,-ABS(Q4718-01_因子設定!$B$16))),-1E+030)</f>
        <v>46.1779829545455</v>
      </c>
      <c r="Y4718" s="55" t="n">
        <f aca="false">W4718+ROW()*0.000000001</f>
        <v>-3.44600358403824</v>
      </c>
      <c r="Z4718" s="55" t="n">
        <f aca="false">X4718+ROW()*0.000000001</f>
        <v>46.1779876725455</v>
      </c>
    </row>
    <row r="4719" customFormat="false" ht="15" hidden="false" customHeight="false" outlineLevel="0" collapsed="false">
      <c r="A4719" s="0" t="n">
        <v>16</v>
      </c>
      <c r="B4719" s="0" t="n">
        <v>5</v>
      </c>
      <c r="C4719" s="0" t="n">
        <v>5</v>
      </c>
      <c r="D4719" s="0" t="n">
        <f aca="false">-1+A4719*0.125</f>
        <v>1</v>
      </c>
      <c r="E4719" s="0" t="n">
        <f aca="false">-1+B4719*0.125</f>
        <v>-0.375</v>
      </c>
      <c r="F4719" s="0" t="n">
        <f aca="false">-1+C4719*0.125</f>
        <v>-0.375</v>
      </c>
      <c r="G4719" s="0" t="n">
        <f aca="false">1</f>
        <v>1</v>
      </c>
      <c r="H4719" s="0" t="n">
        <f aca="false">D4719</f>
        <v>1</v>
      </c>
      <c r="I4719" s="0" t="n">
        <f aca="false">E4719</f>
        <v>-0.375</v>
      </c>
      <c r="J4719" s="0" t="n">
        <f aca="false">F4719</f>
        <v>-0.375</v>
      </c>
      <c r="K4719" s="0" t="n">
        <f aca="false">D4719*E4719</f>
        <v>-0.375</v>
      </c>
      <c r="L4719" s="0" t="n">
        <f aca="false">D4719*F4719</f>
        <v>-0.375</v>
      </c>
      <c r="M4719" s="0" t="n">
        <f aca="false">E4719*F4719</f>
        <v>0.140625</v>
      </c>
      <c r="N4719" s="0" t="n">
        <f aca="false">D4719*D4719</f>
        <v>1</v>
      </c>
      <c r="O4719" s="0" t="n">
        <f aca="false">E4719*E4719</f>
        <v>0.140625</v>
      </c>
      <c r="P4719" s="0" t="n">
        <f aca="false">F4719*F4719</f>
        <v>0.140625</v>
      </c>
      <c r="Q4719" s="0" t="n">
        <f aca="false">SUMPRODUCT(G4719:P4719,_XtX!$B$71:$K$71)</f>
        <v>46.4394034090909</v>
      </c>
      <c r="R4719" s="0" t="n">
        <f aca="false">SUMPRODUCT(MMULT(G4719:P4719,_XtX!$B$58:$K$67),G4719:P4719)</f>
        <v>0.463378351384943</v>
      </c>
      <c r="S4719" s="0" t="n">
        <f aca="false">04_回帰ANOVA!$K$19*04_回帰ANOVA!$K$14*SQRT(1+R4719)</f>
        <v>1.12472137547772</v>
      </c>
      <c r="T4719" s="0" t="n">
        <f aca="false">Q4719-S4719</f>
        <v>45.3146820336132</v>
      </c>
      <c r="U4719" s="0" t="n">
        <f aca="false">Q4719+S4719</f>
        <v>47.5641247845686</v>
      </c>
      <c r="V4719" s="54" t="b">
        <f aca="false">AND(D4719&gt;=01_因子設定!$L$5-0.000000001,D4719&lt;=01_因子設定!$M$5+0.000000001,E4719&gt;=01_因子設定!$L$6-0.000000001,E4719&lt;=01_因子設定!$M$6+0.000000001,F4719&gt;=01_因子設定!$L$7-0.000000001,F4719&lt;=01_因子設定!$M$7+0.000000001,IF(01_因子設定!$B$20="Box-Behnken",D4719^2+E4719^2+F4719^2&lt;=2+0.000000001,TRUE()))</f>
        <v>1</v>
      </c>
      <c r="W4719" s="55" t="n">
        <f aca="false">IF(V4719,IF(01_因子設定!$B$13="最大化",T4719-01_因子設定!$B$14,IF(01_因子設定!$B$13="最小化",01_因子設定!$B$15-U4719,MIN(T4719-01_因子設定!$B$14,01_因子設定!$B$15-U4719))),-1E+030)</f>
        <v>-3.18531796638682</v>
      </c>
      <c r="X4719" s="55" t="n">
        <f aca="false">IF(V4719,IF(01_因子設定!$B$13="最大化",Q4719,IF(01_因子設定!$B$13="最小化",-Q4719,-ABS(Q4719-01_因子設定!$B$16))),-1E+030)</f>
        <v>46.4394034090909</v>
      </c>
      <c r="Y4719" s="55" t="n">
        <f aca="false">W4719+ROW()*0.000000001</f>
        <v>-3.18531324738682</v>
      </c>
      <c r="Z4719" s="55" t="n">
        <f aca="false">X4719+ROW()*0.000000001</f>
        <v>46.4394081280909</v>
      </c>
    </row>
    <row r="4720" customFormat="false" ht="15" hidden="false" customHeight="false" outlineLevel="0" collapsed="false">
      <c r="A4720" s="0" t="n">
        <v>16</v>
      </c>
      <c r="B4720" s="0" t="n">
        <v>5</v>
      </c>
      <c r="C4720" s="0" t="n">
        <v>6</v>
      </c>
      <c r="D4720" s="0" t="n">
        <f aca="false">-1+A4720*0.125</f>
        <v>1</v>
      </c>
      <c r="E4720" s="0" t="n">
        <f aca="false">-1+B4720*0.125</f>
        <v>-0.375</v>
      </c>
      <c r="F4720" s="0" t="n">
        <f aca="false">-1+C4720*0.125</f>
        <v>-0.25</v>
      </c>
      <c r="G4720" s="0" t="n">
        <f aca="false">1</f>
        <v>1</v>
      </c>
      <c r="H4720" s="0" t="n">
        <f aca="false">D4720</f>
        <v>1</v>
      </c>
      <c r="I4720" s="0" t="n">
        <f aca="false">E4720</f>
        <v>-0.375</v>
      </c>
      <c r="J4720" s="0" t="n">
        <f aca="false">F4720</f>
        <v>-0.25</v>
      </c>
      <c r="K4720" s="0" t="n">
        <f aca="false">D4720*E4720</f>
        <v>-0.375</v>
      </c>
      <c r="L4720" s="0" t="n">
        <f aca="false">D4720*F4720</f>
        <v>-0.25</v>
      </c>
      <c r="M4720" s="0" t="n">
        <f aca="false">E4720*F4720</f>
        <v>0.09375</v>
      </c>
      <c r="N4720" s="0" t="n">
        <f aca="false">D4720*D4720</f>
        <v>1</v>
      </c>
      <c r="O4720" s="0" t="n">
        <f aca="false">E4720*E4720</f>
        <v>0.140625</v>
      </c>
      <c r="P4720" s="0" t="n">
        <f aca="false">F4720*F4720</f>
        <v>0.0625</v>
      </c>
      <c r="Q4720" s="0" t="n">
        <f aca="false">SUMPRODUCT(G4720:P4720,_XtX!$B$71:$K$71)</f>
        <v>46.6640340909091</v>
      </c>
      <c r="R4720" s="0" t="n">
        <f aca="false">SUMPRODUCT(MMULT(G4720:P4720,_XtX!$B$58:$K$67),G4720:P4720)</f>
        <v>0.470061700994318</v>
      </c>
      <c r="S4720" s="0" t="n">
        <f aca="false">04_回帰ANOVA!$K$19*04_回帰ANOVA!$K$14*SQRT(1+R4720)</f>
        <v>1.12728678965931</v>
      </c>
      <c r="T4720" s="0" t="n">
        <f aca="false">Q4720-S4720</f>
        <v>45.5367473012498</v>
      </c>
      <c r="U4720" s="0" t="n">
        <f aca="false">Q4720+S4720</f>
        <v>47.7913208805684</v>
      </c>
      <c r="V4720" s="54" t="b">
        <f aca="false">AND(D4720&gt;=01_因子設定!$L$5-0.000000001,D4720&lt;=01_因子設定!$M$5+0.000000001,E4720&gt;=01_因子設定!$L$6-0.000000001,E4720&lt;=01_因子設定!$M$6+0.000000001,F4720&gt;=01_因子設定!$L$7-0.000000001,F4720&lt;=01_因子設定!$M$7+0.000000001,IF(01_因子設定!$B$20="Box-Behnken",D4720^2+E4720^2+F4720^2&lt;=2+0.000000001,TRUE()))</f>
        <v>1</v>
      </c>
      <c r="W4720" s="55" t="n">
        <f aca="false">IF(V4720,IF(01_因子設定!$B$13="最大化",T4720-01_因子設定!$B$14,IF(01_因子設定!$B$13="最小化",01_因子設定!$B$15-U4720,MIN(T4720-01_因子設定!$B$14,01_因子設定!$B$15-U4720))),-1E+030)</f>
        <v>-2.96325269875022</v>
      </c>
      <c r="X4720" s="55" t="n">
        <f aca="false">IF(V4720,IF(01_因子設定!$B$13="最大化",Q4720,IF(01_因子設定!$B$13="最小化",-Q4720,-ABS(Q4720-01_因子設定!$B$16))),-1E+030)</f>
        <v>46.6640340909091</v>
      </c>
      <c r="Y4720" s="55" t="n">
        <f aca="false">W4720+ROW()*0.000000001</f>
        <v>-2.96324797875022</v>
      </c>
      <c r="Z4720" s="55" t="n">
        <f aca="false">X4720+ROW()*0.000000001</f>
        <v>46.6640388109091</v>
      </c>
    </row>
    <row r="4721" customFormat="false" ht="15" hidden="false" customHeight="false" outlineLevel="0" collapsed="false">
      <c r="A4721" s="0" t="n">
        <v>16</v>
      </c>
      <c r="B4721" s="0" t="n">
        <v>5</v>
      </c>
      <c r="C4721" s="0" t="n">
        <v>7</v>
      </c>
      <c r="D4721" s="0" t="n">
        <f aca="false">-1+A4721*0.125</f>
        <v>1</v>
      </c>
      <c r="E4721" s="0" t="n">
        <f aca="false">-1+B4721*0.125</f>
        <v>-0.375</v>
      </c>
      <c r="F4721" s="0" t="n">
        <f aca="false">-1+C4721*0.125</f>
        <v>-0.125</v>
      </c>
      <c r="G4721" s="0" t="n">
        <f aca="false">1</f>
        <v>1</v>
      </c>
      <c r="H4721" s="0" t="n">
        <f aca="false">D4721</f>
        <v>1</v>
      </c>
      <c r="I4721" s="0" t="n">
        <f aca="false">E4721</f>
        <v>-0.375</v>
      </c>
      <c r="J4721" s="0" t="n">
        <f aca="false">F4721</f>
        <v>-0.125</v>
      </c>
      <c r="K4721" s="0" t="n">
        <f aca="false">D4721*E4721</f>
        <v>-0.375</v>
      </c>
      <c r="L4721" s="0" t="n">
        <f aca="false">D4721*F4721</f>
        <v>-0.125</v>
      </c>
      <c r="M4721" s="0" t="n">
        <f aca="false">E4721*F4721</f>
        <v>0.046875</v>
      </c>
      <c r="N4721" s="0" t="n">
        <f aca="false">D4721*D4721</f>
        <v>1</v>
      </c>
      <c r="O4721" s="0" t="n">
        <f aca="false">E4721*E4721</f>
        <v>0.140625</v>
      </c>
      <c r="P4721" s="0" t="n">
        <f aca="false">F4721*F4721</f>
        <v>0.015625</v>
      </c>
      <c r="Q4721" s="0" t="n">
        <f aca="false">SUMPRODUCT(G4721:P4721,_XtX!$B$71:$K$71)</f>
        <v>46.851875</v>
      </c>
      <c r="R4721" s="0" t="n">
        <f aca="false">SUMPRODUCT(MMULT(G4721:P4721,_XtX!$B$58:$K$67),G4721:P4721)</f>
        <v>0.476202392578125</v>
      </c>
      <c r="S4721" s="0" t="n">
        <f aca="false">04_回帰ANOVA!$K$19*04_回帰ANOVA!$K$14*SQRT(1+R4721)</f>
        <v>1.12963876802721</v>
      </c>
      <c r="T4721" s="0" t="n">
        <f aca="false">Q4721-S4721</f>
        <v>45.7222362319728</v>
      </c>
      <c r="U4721" s="0" t="n">
        <f aca="false">Q4721+S4721</f>
        <v>47.9815137680272</v>
      </c>
      <c r="V4721" s="54" t="b">
        <f aca="false">AND(D4721&gt;=01_因子設定!$L$5-0.000000001,D4721&lt;=01_因子設定!$M$5+0.000000001,E4721&gt;=01_因子設定!$L$6-0.000000001,E4721&lt;=01_因子設定!$M$6+0.000000001,F4721&gt;=01_因子設定!$L$7-0.000000001,F4721&lt;=01_因子設定!$M$7+0.000000001,IF(01_因子設定!$B$20="Box-Behnken",D4721^2+E4721^2+F4721^2&lt;=2+0.000000001,TRUE()))</f>
        <v>1</v>
      </c>
      <c r="W4721" s="55" t="n">
        <f aca="false">IF(V4721,IF(01_因子設定!$B$13="最大化",T4721-01_因子設定!$B$14,IF(01_因子設定!$B$13="最小化",01_因子設定!$B$15-U4721,MIN(T4721-01_因子設定!$B$14,01_因子設定!$B$15-U4721))),-1E+030)</f>
        <v>-2.77776376802721</v>
      </c>
      <c r="X4721" s="55" t="n">
        <f aca="false">IF(V4721,IF(01_因子設定!$B$13="最大化",Q4721,IF(01_因子設定!$B$13="最小化",-Q4721,-ABS(Q4721-01_因子設定!$B$16))),-1E+030)</f>
        <v>46.851875</v>
      </c>
      <c r="Y4721" s="55" t="n">
        <f aca="false">W4721+ROW()*0.000000001</f>
        <v>-2.77775904702721</v>
      </c>
      <c r="Z4721" s="55" t="n">
        <f aca="false">X4721+ROW()*0.000000001</f>
        <v>46.851879721</v>
      </c>
    </row>
    <row r="4722" customFormat="false" ht="15" hidden="false" customHeight="false" outlineLevel="0" collapsed="false">
      <c r="A4722" s="0" t="n">
        <v>16</v>
      </c>
      <c r="B4722" s="0" t="n">
        <v>5</v>
      </c>
      <c r="C4722" s="0" t="n">
        <v>8</v>
      </c>
      <c r="D4722" s="0" t="n">
        <f aca="false">-1+A4722*0.125</f>
        <v>1</v>
      </c>
      <c r="E4722" s="0" t="n">
        <f aca="false">-1+B4722*0.125</f>
        <v>-0.375</v>
      </c>
      <c r="F4722" s="0" t="n">
        <f aca="false">-1+C4722*0.125</f>
        <v>0</v>
      </c>
      <c r="G4722" s="0" t="n">
        <f aca="false">1</f>
        <v>1</v>
      </c>
      <c r="H4722" s="0" t="n">
        <f aca="false">D4722</f>
        <v>1</v>
      </c>
      <c r="I4722" s="0" t="n">
        <f aca="false">E4722</f>
        <v>-0.375</v>
      </c>
      <c r="J4722" s="0" t="n">
        <f aca="false">F4722</f>
        <v>0</v>
      </c>
      <c r="K4722" s="0" t="n">
        <f aca="false">D4722*E4722</f>
        <v>-0.375</v>
      </c>
      <c r="L4722" s="0" t="n">
        <f aca="false">D4722*F4722</f>
        <v>0</v>
      </c>
      <c r="M4722" s="0" t="n">
        <f aca="false">E4722*F4722</f>
        <v>-0</v>
      </c>
      <c r="N4722" s="0" t="n">
        <f aca="false">D4722*D4722</f>
        <v>1</v>
      </c>
      <c r="O4722" s="0" t="n">
        <f aca="false">E4722*E4722</f>
        <v>0.140625</v>
      </c>
      <c r="P4722" s="0" t="n">
        <f aca="false">F4722*F4722</f>
        <v>0</v>
      </c>
      <c r="Q4722" s="0" t="n">
        <f aca="false">SUMPRODUCT(G4722:P4722,_XtX!$B$71:$K$71)</f>
        <v>47.0029261363636</v>
      </c>
      <c r="R4722" s="0" t="n">
        <f aca="false">SUMPRODUCT(MMULT(G4722:P4722,_XtX!$B$58:$K$67),G4722:P4722)</f>
        <v>0.478604403409091</v>
      </c>
      <c r="S4722" s="0" t="n">
        <f aca="false">04_回帰ANOVA!$K$19*04_回帰ANOVA!$K$14*SQRT(1+R4722)</f>
        <v>1.13055744343508</v>
      </c>
      <c r="T4722" s="0" t="n">
        <f aca="false">Q4722-S4722</f>
        <v>45.8723686929285</v>
      </c>
      <c r="U4722" s="0" t="n">
        <f aca="false">Q4722+S4722</f>
        <v>48.1334835797987</v>
      </c>
      <c r="V4722" s="54" t="b">
        <f aca="false">AND(D4722&gt;=01_因子設定!$L$5-0.000000001,D4722&lt;=01_因子設定!$M$5+0.000000001,E4722&gt;=01_因子設定!$L$6-0.000000001,E4722&lt;=01_因子設定!$M$6+0.000000001,F4722&gt;=01_因子設定!$L$7-0.000000001,F4722&lt;=01_因子設定!$M$7+0.000000001,IF(01_因子設定!$B$20="Box-Behnken",D4722^2+E4722^2+F4722^2&lt;=2+0.000000001,TRUE()))</f>
        <v>1</v>
      </c>
      <c r="W4722" s="55" t="n">
        <f aca="false">IF(V4722,IF(01_因子設定!$B$13="最大化",T4722-01_因子設定!$B$14,IF(01_因子設定!$B$13="最小化",01_因子設定!$B$15-U4722,MIN(T4722-01_因子設定!$B$14,01_因子設定!$B$15-U4722))),-1E+030)</f>
        <v>-2.62763130707145</v>
      </c>
      <c r="X4722" s="55" t="n">
        <f aca="false">IF(V4722,IF(01_因子設定!$B$13="最大化",Q4722,IF(01_因子設定!$B$13="最小化",-Q4722,-ABS(Q4722-01_因子設定!$B$16))),-1E+030)</f>
        <v>47.0029261363636</v>
      </c>
      <c r="Y4722" s="55" t="n">
        <f aca="false">W4722+ROW()*0.000000001</f>
        <v>-2.62762658507145</v>
      </c>
      <c r="Z4722" s="55" t="n">
        <f aca="false">X4722+ROW()*0.000000001</f>
        <v>47.0029308583636</v>
      </c>
    </row>
    <row r="4723" customFormat="false" ht="15" hidden="false" customHeight="false" outlineLevel="0" collapsed="false">
      <c r="A4723" s="0" t="n">
        <v>16</v>
      </c>
      <c r="B4723" s="0" t="n">
        <v>5</v>
      </c>
      <c r="C4723" s="0" t="n">
        <v>9</v>
      </c>
      <c r="D4723" s="0" t="n">
        <f aca="false">-1+A4723*0.125</f>
        <v>1</v>
      </c>
      <c r="E4723" s="0" t="n">
        <f aca="false">-1+B4723*0.125</f>
        <v>-0.375</v>
      </c>
      <c r="F4723" s="0" t="n">
        <f aca="false">-1+C4723*0.125</f>
        <v>0.125</v>
      </c>
      <c r="G4723" s="0" t="n">
        <f aca="false">1</f>
        <v>1</v>
      </c>
      <c r="H4723" s="0" t="n">
        <f aca="false">D4723</f>
        <v>1</v>
      </c>
      <c r="I4723" s="0" t="n">
        <f aca="false">E4723</f>
        <v>-0.375</v>
      </c>
      <c r="J4723" s="0" t="n">
        <f aca="false">F4723</f>
        <v>0.125</v>
      </c>
      <c r="K4723" s="0" t="n">
        <f aca="false">D4723*E4723</f>
        <v>-0.375</v>
      </c>
      <c r="L4723" s="0" t="n">
        <f aca="false">D4723*F4723</f>
        <v>0.125</v>
      </c>
      <c r="M4723" s="0" t="n">
        <f aca="false">E4723*F4723</f>
        <v>-0.046875</v>
      </c>
      <c r="N4723" s="0" t="n">
        <f aca="false">D4723*D4723</f>
        <v>1</v>
      </c>
      <c r="O4723" s="0" t="n">
        <f aca="false">E4723*E4723</f>
        <v>0.140625</v>
      </c>
      <c r="P4723" s="0" t="n">
        <f aca="false">F4723*F4723</f>
        <v>0.015625</v>
      </c>
      <c r="Q4723" s="0" t="n">
        <f aca="false">SUMPRODUCT(G4723:P4723,_XtX!$B$71:$K$71)</f>
        <v>47.1171875</v>
      </c>
      <c r="R4723" s="0" t="n">
        <f aca="false">SUMPRODUCT(MMULT(G4723:P4723,_XtX!$B$58:$K$67),G4723:P4723)</f>
        <v>0.476202392578125</v>
      </c>
      <c r="S4723" s="0" t="n">
        <f aca="false">04_回帰ANOVA!$K$19*04_回帰ANOVA!$K$14*SQRT(1+R4723)</f>
        <v>1.12963876802721</v>
      </c>
      <c r="T4723" s="0" t="n">
        <f aca="false">Q4723-S4723</f>
        <v>45.9875487319728</v>
      </c>
      <c r="U4723" s="0" t="n">
        <f aca="false">Q4723+S4723</f>
        <v>48.2468262680272</v>
      </c>
      <c r="V4723" s="54" t="b">
        <f aca="false">AND(D4723&gt;=01_因子設定!$L$5-0.000000001,D4723&lt;=01_因子設定!$M$5+0.000000001,E4723&gt;=01_因子設定!$L$6-0.000000001,E4723&lt;=01_因子設定!$M$6+0.000000001,F4723&gt;=01_因子設定!$L$7-0.000000001,F4723&lt;=01_因子設定!$M$7+0.000000001,IF(01_因子設定!$B$20="Box-Behnken",D4723^2+E4723^2+F4723^2&lt;=2+0.000000001,TRUE()))</f>
        <v>1</v>
      </c>
      <c r="W4723" s="55" t="n">
        <f aca="false">IF(V4723,IF(01_因子設定!$B$13="最大化",T4723-01_因子設定!$B$14,IF(01_因子設定!$B$13="最小化",01_因子設定!$B$15-U4723,MIN(T4723-01_因子設定!$B$14,01_因子設定!$B$15-U4723))),-1E+030)</f>
        <v>-2.51245126802721</v>
      </c>
      <c r="X4723" s="55" t="n">
        <f aca="false">IF(V4723,IF(01_因子設定!$B$13="最大化",Q4723,IF(01_因子設定!$B$13="最小化",-Q4723,-ABS(Q4723-01_因子設定!$B$16))),-1E+030)</f>
        <v>47.1171875</v>
      </c>
      <c r="Y4723" s="55" t="n">
        <f aca="false">W4723+ROW()*0.000000001</f>
        <v>-2.51244654502721</v>
      </c>
      <c r="Z4723" s="55" t="n">
        <f aca="false">X4723+ROW()*0.000000001</f>
        <v>47.117192223</v>
      </c>
    </row>
    <row r="4724" customFormat="false" ht="15" hidden="false" customHeight="false" outlineLevel="0" collapsed="false">
      <c r="A4724" s="0" t="n">
        <v>16</v>
      </c>
      <c r="B4724" s="0" t="n">
        <v>5</v>
      </c>
      <c r="C4724" s="0" t="n">
        <v>10</v>
      </c>
      <c r="D4724" s="0" t="n">
        <f aca="false">-1+A4724*0.125</f>
        <v>1</v>
      </c>
      <c r="E4724" s="0" t="n">
        <f aca="false">-1+B4724*0.125</f>
        <v>-0.375</v>
      </c>
      <c r="F4724" s="0" t="n">
        <f aca="false">-1+C4724*0.125</f>
        <v>0.25</v>
      </c>
      <c r="G4724" s="0" t="n">
        <f aca="false">1</f>
        <v>1</v>
      </c>
      <c r="H4724" s="0" t="n">
        <f aca="false">D4724</f>
        <v>1</v>
      </c>
      <c r="I4724" s="0" t="n">
        <f aca="false">E4724</f>
        <v>-0.375</v>
      </c>
      <c r="J4724" s="0" t="n">
        <f aca="false">F4724</f>
        <v>0.25</v>
      </c>
      <c r="K4724" s="0" t="n">
        <f aca="false">D4724*E4724</f>
        <v>-0.375</v>
      </c>
      <c r="L4724" s="0" t="n">
        <f aca="false">D4724*F4724</f>
        <v>0.25</v>
      </c>
      <c r="M4724" s="0" t="n">
        <f aca="false">E4724*F4724</f>
        <v>-0.09375</v>
      </c>
      <c r="N4724" s="0" t="n">
        <f aca="false">D4724*D4724</f>
        <v>1</v>
      </c>
      <c r="O4724" s="0" t="n">
        <f aca="false">E4724*E4724</f>
        <v>0.140625</v>
      </c>
      <c r="P4724" s="0" t="n">
        <f aca="false">F4724*F4724</f>
        <v>0.0625</v>
      </c>
      <c r="Q4724" s="0" t="n">
        <f aca="false">SUMPRODUCT(G4724:P4724,_XtX!$B$71:$K$71)</f>
        <v>47.1946590909091</v>
      </c>
      <c r="R4724" s="0" t="n">
        <f aca="false">SUMPRODUCT(MMULT(G4724:P4724,_XtX!$B$58:$K$67),G4724:P4724)</f>
        <v>0.470061700994318</v>
      </c>
      <c r="S4724" s="0" t="n">
        <f aca="false">04_回帰ANOVA!$K$19*04_回帰ANOVA!$K$14*SQRT(1+R4724)</f>
        <v>1.12728678965931</v>
      </c>
      <c r="T4724" s="0" t="n">
        <f aca="false">Q4724-S4724</f>
        <v>46.0673723012498</v>
      </c>
      <c r="U4724" s="0" t="n">
        <f aca="false">Q4724+S4724</f>
        <v>48.3219458805684</v>
      </c>
      <c r="V4724" s="54" t="b">
        <f aca="false">AND(D4724&gt;=01_因子設定!$L$5-0.000000001,D4724&lt;=01_因子設定!$M$5+0.000000001,E4724&gt;=01_因子設定!$L$6-0.000000001,E4724&lt;=01_因子設定!$M$6+0.000000001,F4724&gt;=01_因子設定!$L$7-0.000000001,F4724&lt;=01_因子設定!$M$7+0.000000001,IF(01_因子設定!$B$20="Box-Behnken",D4724^2+E4724^2+F4724^2&lt;=2+0.000000001,TRUE()))</f>
        <v>1</v>
      </c>
      <c r="W4724" s="55" t="n">
        <f aca="false">IF(V4724,IF(01_因子設定!$B$13="最大化",T4724-01_因子設定!$B$14,IF(01_因子設定!$B$13="最小化",01_因子設定!$B$15-U4724,MIN(T4724-01_因子設定!$B$14,01_因子設定!$B$15-U4724))),-1E+030)</f>
        <v>-2.43262769875022</v>
      </c>
      <c r="X4724" s="55" t="n">
        <f aca="false">IF(V4724,IF(01_因子設定!$B$13="最大化",Q4724,IF(01_因子設定!$B$13="最小化",-Q4724,-ABS(Q4724-01_因子設定!$B$16))),-1E+030)</f>
        <v>47.1946590909091</v>
      </c>
      <c r="Y4724" s="55" t="n">
        <f aca="false">W4724+ROW()*0.000000001</f>
        <v>-2.43262297475022</v>
      </c>
      <c r="Z4724" s="55" t="n">
        <f aca="false">X4724+ROW()*0.000000001</f>
        <v>47.1946638149091</v>
      </c>
    </row>
    <row r="4725" customFormat="false" ht="15" hidden="false" customHeight="false" outlineLevel="0" collapsed="false">
      <c r="A4725" s="0" t="n">
        <v>16</v>
      </c>
      <c r="B4725" s="0" t="n">
        <v>5</v>
      </c>
      <c r="C4725" s="0" t="n">
        <v>11</v>
      </c>
      <c r="D4725" s="0" t="n">
        <f aca="false">-1+A4725*0.125</f>
        <v>1</v>
      </c>
      <c r="E4725" s="0" t="n">
        <f aca="false">-1+B4725*0.125</f>
        <v>-0.375</v>
      </c>
      <c r="F4725" s="0" t="n">
        <f aca="false">-1+C4725*0.125</f>
        <v>0.375</v>
      </c>
      <c r="G4725" s="0" t="n">
        <f aca="false">1</f>
        <v>1</v>
      </c>
      <c r="H4725" s="0" t="n">
        <f aca="false">D4725</f>
        <v>1</v>
      </c>
      <c r="I4725" s="0" t="n">
        <f aca="false">E4725</f>
        <v>-0.375</v>
      </c>
      <c r="J4725" s="0" t="n">
        <f aca="false">F4725</f>
        <v>0.375</v>
      </c>
      <c r="K4725" s="0" t="n">
        <f aca="false">D4725*E4725</f>
        <v>-0.375</v>
      </c>
      <c r="L4725" s="0" t="n">
        <f aca="false">D4725*F4725</f>
        <v>0.375</v>
      </c>
      <c r="M4725" s="0" t="n">
        <f aca="false">E4725*F4725</f>
        <v>-0.140625</v>
      </c>
      <c r="N4725" s="0" t="n">
        <f aca="false">D4725*D4725</f>
        <v>1</v>
      </c>
      <c r="O4725" s="0" t="n">
        <f aca="false">E4725*E4725</f>
        <v>0.140625</v>
      </c>
      <c r="P4725" s="0" t="n">
        <f aca="false">F4725*F4725</f>
        <v>0.140625</v>
      </c>
      <c r="Q4725" s="0" t="n">
        <f aca="false">SUMPRODUCT(G4725:P4725,_XtX!$B$71:$K$71)</f>
        <v>47.2353409090909</v>
      </c>
      <c r="R4725" s="0" t="n">
        <f aca="false">SUMPRODUCT(MMULT(G4725:P4725,_XtX!$B$58:$K$67),G4725:P4725)</f>
        <v>0.463378351384943</v>
      </c>
      <c r="S4725" s="0" t="n">
        <f aca="false">04_回帰ANOVA!$K$19*04_回帰ANOVA!$K$14*SQRT(1+R4725)</f>
        <v>1.12472137547772</v>
      </c>
      <c r="T4725" s="0" t="n">
        <f aca="false">Q4725-S4725</f>
        <v>46.1106195336132</v>
      </c>
      <c r="U4725" s="0" t="n">
        <f aca="false">Q4725+S4725</f>
        <v>48.3600622845686</v>
      </c>
      <c r="V4725" s="54" t="b">
        <f aca="false">AND(D4725&gt;=01_因子設定!$L$5-0.000000001,D4725&lt;=01_因子設定!$M$5+0.000000001,E4725&gt;=01_因子設定!$L$6-0.000000001,E4725&lt;=01_因子設定!$M$6+0.000000001,F4725&gt;=01_因子設定!$L$7-0.000000001,F4725&lt;=01_因子設定!$M$7+0.000000001,IF(01_因子設定!$B$20="Box-Behnken",D4725^2+E4725^2+F4725^2&lt;=2+0.000000001,TRUE()))</f>
        <v>1</v>
      </c>
      <c r="W4725" s="55" t="n">
        <f aca="false">IF(V4725,IF(01_因子設定!$B$13="最大化",T4725-01_因子設定!$B$14,IF(01_因子設定!$B$13="最小化",01_因子設定!$B$15-U4725,MIN(T4725-01_因子設定!$B$14,01_因子設定!$B$15-U4725))),-1E+030)</f>
        <v>-2.38938046638682</v>
      </c>
      <c r="X4725" s="55" t="n">
        <f aca="false">IF(V4725,IF(01_因子設定!$B$13="最大化",Q4725,IF(01_因子設定!$B$13="最小化",-Q4725,-ABS(Q4725-01_因子設定!$B$16))),-1E+030)</f>
        <v>47.2353409090909</v>
      </c>
      <c r="Y4725" s="55" t="n">
        <f aca="false">W4725+ROW()*0.000000001</f>
        <v>-2.38937574138682</v>
      </c>
      <c r="Z4725" s="55" t="n">
        <f aca="false">X4725+ROW()*0.000000001</f>
        <v>47.2353456340909</v>
      </c>
    </row>
    <row r="4726" customFormat="false" ht="15" hidden="false" customHeight="false" outlineLevel="0" collapsed="false">
      <c r="A4726" s="0" t="n">
        <v>16</v>
      </c>
      <c r="B4726" s="0" t="n">
        <v>5</v>
      </c>
      <c r="C4726" s="0" t="n">
        <v>12</v>
      </c>
      <c r="D4726" s="0" t="n">
        <f aca="false">-1+A4726*0.125</f>
        <v>1</v>
      </c>
      <c r="E4726" s="0" t="n">
        <f aca="false">-1+B4726*0.125</f>
        <v>-0.375</v>
      </c>
      <c r="F4726" s="0" t="n">
        <f aca="false">-1+C4726*0.125</f>
        <v>0.5</v>
      </c>
      <c r="G4726" s="0" t="n">
        <f aca="false">1</f>
        <v>1</v>
      </c>
      <c r="H4726" s="0" t="n">
        <f aca="false">D4726</f>
        <v>1</v>
      </c>
      <c r="I4726" s="0" t="n">
        <f aca="false">E4726</f>
        <v>-0.375</v>
      </c>
      <c r="J4726" s="0" t="n">
        <f aca="false">F4726</f>
        <v>0.5</v>
      </c>
      <c r="K4726" s="0" t="n">
        <f aca="false">D4726*E4726</f>
        <v>-0.375</v>
      </c>
      <c r="L4726" s="0" t="n">
        <f aca="false">D4726*F4726</f>
        <v>0.5</v>
      </c>
      <c r="M4726" s="0" t="n">
        <f aca="false">E4726*F4726</f>
        <v>-0.1875</v>
      </c>
      <c r="N4726" s="0" t="n">
        <f aca="false">D4726*D4726</f>
        <v>1</v>
      </c>
      <c r="O4726" s="0" t="n">
        <f aca="false">E4726*E4726</f>
        <v>0.140625</v>
      </c>
      <c r="P4726" s="0" t="n">
        <f aca="false">F4726*F4726</f>
        <v>0.25</v>
      </c>
      <c r="Q4726" s="0" t="n">
        <f aca="false">SUMPRODUCT(G4726:P4726,_XtX!$B$71:$K$71)</f>
        <v>47.2392329545455</v>
      </c>
      <c r="R4726" s="0" t="n">
        <f aca="false">SUMPRODUCT(MMULT(G4726:P4726,_XtX!$B$58:$K$67),G4726:P4726)</f>
        <v>0.461479048295455</v>
      </c>
      <c r="S4726" s="0" t="n">
        <f aca="false">04_回帰ANOVA!$K$19*04_回帰ANOVA!$K$14*SQRT(1+R4726)</f>
        <v>1.12399125658369</v>
      </c>
      <c r="T4726" s="0" t="n">
        <f aca="false">Q4726-S4726</f>
        <v>46.1152416979618</v>
      </c>
      <c r="U4726" s="0" t="n">
        <f aca="false">Q4726+S4726</f>
        <v>48.3632242111291</v>
      </c>
      <c r="V4726" s="54" t="b">
        <f aca="false">AND(D4726&gt;=01_因子設定!$L$5-0.000000001,D4726&lt;=01_因子設定!$M$5+0.000000001,E4726&gt;=01_因子設定!$L$6-0.000000001,E4726&lt;=01_因子設定!$M$6+0.000000001,F4726&gt;=01_因子設定!$L$7-0.000000001,F4726&lt;=01_因子設定!$M$7+0.000000001,IF(01_因子設定!$B$20="Box-Behnken",D4726^2+E4726^2+F4726^2&lt;=2+0.000000001,TRUE()))</f>
        <v>1</v>
      </c>
      <c r="W4726" s="55" t="n">
        <f aca="false">IF(V4726,IF(01_因子設定!$B$13="最大化",T4726-01_因子設定!$B$14,IF(01_因子設定!$B$13="最小化",01_因子設定!$B$15-U4726,MIN(T4726-01_因子設定!$B$14,01_因子設定!$B$15-U4726))),-1E+030)</f>
        <v>-2.38475830203824</v>
      </c>
      <c r="X4726" s="55" t="n">
        <f aca="false">IF(V4726,IF(01_因子設定!$B$13="最大化",Q4726,IF(01_因子設定!$B$13="最小化",-Q4726,-ABS(Q4726-01_因子設定!$B$16))),-1E+030)</f>
        <v>47.2392329545455</v>
      </c>
      <c r="Y4726" s="55" t="n">
        <f aca="false">W4726+ROW()*0.000000001</f>
        <v>-2.38475357603824</v>
      </c>
      <c r="Z4726" s="55" t="n">
        <f aca="false">X4726+ROW()*0.000000001</f>
        <v>47.2392376805455</v>
      </c>
    </row>
    <row r="4727" customFormat="false" ht="15" hidden="false" customHeight="false" outlineLevel="0" collapsed="false">
      <c r="A4727" s="0" t="n">
        <v>16</v>
      </c>
      <c r="B4727" s="0" t="n">
        <v>5</v>
      </c>
      <c r="C4727" s="0" t="n">
        <v>13</v>
      </c>
      <c r="D4727" s="0" t="n">
        <f aca="false">-1+A4727*0.125</f>
        <v>1</v>
      </c>
      <c r="E4727" s="0" t="n">
        <f aca="false">-1+B4727*0.125</f>
        <v>-0.375</v>
      </c>
      <c r="F4727" s="0" t="n">
        <f aca="false">-1+C4727*0.125</f>
        <v>0.625</v>
      </c>
      <c r="G4727" s="0" t="n">
        <f aca="false">1</f>
        <v>1</v>
      </c>
      <c r="H4727" s="0" t="n">
        <f aca="false">D4727</f>
        <v>1</v>
      </c>
      <c r="I4727" s="0" t="n">
        <f aca="false">E4727</f>
        <v>-0.375</v>
      </c>
      <c r="J4727" s="0" t="n">
        <f aca="false">F4727</f>
        <v>0.625</v>
      </c>
      <c r="K4727" s="0" t="n">
        <f aca="false">D4727*E4727</f>
        <v>-0.375</v>
      </c>
      <c r="L4727" s="0" t="n">
        <f aca="false">D4727*F4727</f>
        <v>0.625</v>
      </c>
      <c r="M4727" s="0" t="n">
        <f aca="false">E4727*F4727</f>
        <v>-0.234375</v>
      </c>
      <c r="N4727" s="0" t="n">
        <f aca="false">D4727*D4727</f>
        <v>1</v>
      </c>
      <c r="O4727" s="0" t="n">
        <f aca="false">E4727*E4727</f>
        <v>0.140625</v>
      </c>
      <c r="P4727" s="0" t="n">
        <f aca="false">F4727*F4727</f>
        <v>0.390625</v>
      </c>
      <c r="Q4727" s="0" t="n">
        <f aca="false">SUMPRODUCT(G4727:P4727,_XtX!$B$71:$K$71)</f>
        <v>47.2063352272727</v>
      </c>
      <c r="R4727" s="0" t="n">
        <f aca="false">SUMPRODUCT(MMULT(G4727:P4727,_XtX!$B$58:$K$67),G4727:P4727)</f>
        <v>0.471821178089489</v>
      </c>
      <c r="S4727" s="0" t="n">
        <f aca="false">04_回帰ANOVA!$K$19*04_回帰ANOVA!$K$14*SQRT(1+R4727)</f>
        <v>1.12796119746125</v>
      </c>
      <c r="T4727" s="0" t="n">
        <f aca="false">Q4727-S4727</f>
        <v>46.0783740298115</v>
      </c>
      <c r="U4727" s="0" t="n">
        <f aca="false">Q4727+S4727</f>
        <v>48.334296424734</v>
      </c>
      <c r="V4727" s="54" t="b">
        <f aca="false">AND(D4727&gt;=01_因子設定!$L$5-0.000000001,D4727&lt;=01_因子設定!$M$5+0.000000001,E4727&gt;=01_因子設定!$L$6-0.000000001,E4727&lt;=01_因子設定!$M$6+0.000000001,F4727&gt;=01_因子設定!$L$7-0.000000001,F4727&lt;=01_因子設定!$M$7+0.000000001,IF(01_因子設定!$B$20="Box-Behnken",D4727^2+E4727^2+F4727^2&lt;=2+0.000000001,TRUE()))</f>
        <v>1</v>
      </c>
      <c r="W4727" s="55" t="n">
        <f aca="false">IF(V4727,IF(01_因子設定!$B$13="最大化",T4727-01_因子設定!$B$14,IF(01_因子設定!$B$13="最小化",01_因子設定!$B$15-U4727,MIN(T4727-01_因子設定!$B$14,01_因子設定!$B$15-U4727))),-1E+030)</f>
        <v>-2.42162597018853</v>
      </c>
      <c r="X4727" s="55" t="n">
        <f aca="false">IF(V4727,IF(01_因子設定!$B$13="最大化",Q4727,IF(01_因子設定!$B$13="最小化",-Q4727,-ABS(Q4727-01_因子設定!$B$16))),-1E+030)</f>
        <v>47.2063352272727</v>
      </c>
      <c r="Y4727" s="55" t="n">
        <f aca="false">W4727+ROW()*0.000000001</f>
        <v>-2.42162124318853</v>
      </c>
      <c r="Z4727" s="55" t="n">
        <f aca="false">X4727+ROW()*0.000000001</f>
        <v>47.2063399542727</v>
      </c>
    </row>
    <row r="4728" customFormat="false" ht="15" hidden="false" customHeight="false" outlineLevel="0" collapsed="false">
      <c r="A4728" s="0" t="n">
        <v>16</v>
      </c>
      <c r="B4728" s="0" t="n">
        <v>5</v>
      </c>
      <c r="C4728" s="0" t="n">
        <v>14</v>
      </c>
      <c r="D4728" s="0" t="n">
        <f aca="false">-1+A4728*0.125</f>
        <v>1</v>
      </c>
      <c r="E4728" s="0" t="n">
        <f aca="false">-1+B4728*0.125</f>
        <v>-0.375</v>
      </c>
      <c r="F4728" s="0" t="n">
        <f aca="false">-1+C4728*0.125</f>
        <v>0.75</v>
      </c>
      <c r="G4728" s="0" t="n">
        <f aca="false">1</f>
        <v>1</v>
      </c>
      <c r="H4728" s="0" t="n">
        <f aca="false">D4728</f>
        <v>1</v>
      </c>
      <c r="I4728" s="0" t="n">
        <f aca="false">E4728</f>
        <v>-0.375</v>
      </c>
      <c r="J4728" s="0" t="n">
        <f aca="false">F4728</f>
        <v>0.75</v>
      </c>
      <c r="K4728" s="0" t="n">
        <f aca="false">D4728*E4728</f>
        <v>-0.375</v>
      </c>
      <c r="L4728" s="0" t="n">
        <f aca="false">D4728*F4728</f>
        <v>0.75</v>
      </c>
      <c r="M4728" s="0" t="n">
        <f aca="false">E4728*F4728</f>
        <v>-0.28125</v>
      </c>
      <c r="N4728" s="0" t="n">
        <f aca="false">D4728*D4728</f>
        <v>1</v>
      </c>
      <c r="O4728" s="0" t="n">
        <f aca="false">E4728*E4728</f>
        <v>0.140625</v>
      </c>
      <c r="P4728" s="0" t="n">
        <f aca="false">F4728*F4728</f>
        <v>0.5625</v>
      </c>
      <c r="Q4728" s="0" t="n">
        <f aca="false">SUMPRODUCT(G4728:P4728,_XtX!$B$71:$K$71)</f>
        <v>47.1366477272727</v>
      </c>
      <c r="R4728" s="0" t="n">
        <f aca="false">SUMPRODUCT(MMULT(G4728:P4728,_XtX!$B$58:$K$67),G4728:P4728)</f>
        <v>0.503992808948864</v>
      </c>
      <c r="S4728" s="0" t="n">
        <f aca="false">04_回帰ANOVA!$K$19*04_回帰ANOVA!$K$14*SQRT(1+R4728)</f>
        <v>1.14022226176226</v>
      </c>
      <c r="T4728" s="0" t="n">
        <f aca="false">Q4728-S4728</f>
        <v>45.9964254655105</v>
      </c>
      <c r="U4728" s="0" t="n">
        <f aca="false">Q4728+S4728</f>
        <v>48.276869989035</v>
      </c>
      <c r="V4728" s="54" t="b">
        <f aca="false">AND(D4728&gt;=01_因子設定!$L$5-0.000000001,D4728&lt;=01_因子設定!$M$5+0.000000001,E4728&gt;=01_因子設定!$L$6-0.000000001,E4728&lt;=01_因子設定!$M$6+0.000000001,F4728&gt;=01_因子設定!$L$7-0.000000001,F4728&lt;=01_因子設定!$M$7+0.000000001,IF(01_因子設定!$B$20="Box-Behnken",D4728^2+E4728^2+F4728^2&lt;=2+0.000000001,TRUE()))</f>
        <v>1</v>
      </c>
      <c r="W4728" s="55" t="n">
        <f aca="false">IF(V4728,IF(01_因子設定!$B$13="最大化",T4728-01_因子設定!$B$14,IF(01_因子設定!$B$13="最小化",01_因子設定!$B$15-U4728,MIN(T4728-01_因子設定!$B$14,01_因子設定!$B$15-U4728))),-1E+030)</f>
        <v>-2.50357453448953</v>
      </c>
      <c r="X4728" s="55" t="n">
        <f aca="false">IF(V4728,IF(01_因子設定!$B$13="最大化",Q4728,IF(01_因子設定!$B$13="最小化",-Q4728,-ABS(Q4728-01_因子設定!$B$16))),-1E+030)</f>
        <v>47.1366477272727</v>
      </c>
      <c r="Y4728" s="55" t="n">
        <f aca="false">W4728+ROW()*0.000000001</f>
        <v>-2.50356980648953</v>
      </c>
      <c r="Z4728" s="55" t="n">
        <f aca="false">X4728+ROW()*0.000000001</f>
        <v>47.1366524552727</v>
      </c>
    </row>
    <row r="4729" customFormat="false" ht="15" hidden="false" customHeight="false" outlineLevel="0" collapsed="false">
      <c r="A4729" s="0" t="n">
        <v>16</v>
      </c>
      <c r="B4729" s="0" t="n">
        <v>5</v>
      </c>
      <c r="C4729" s="0" t="n">
        <v>15</v>
      </c>
      <c r="D4729" s="0" t="n">
        <f aca="false">-1+A4729*0.125</f>
        <v>1</v>
      </c>
      <c r="E4729" s="0" t="n">
        <f aca="false">-1+B4729*0.125</f>
        <v>-0.375</v>
      </c>
      <c r="F4729" s="0" t="n">
        <f aca="false">-1+C4729*0.125</f>
        <v>0.875</v>
      </c>
      <c r="G4729" s="0" t="n">
        <f aca="false">1</f>
        <v>1</v>
      </c>
      <c r="H4729" s="0" t="n">
        <f aca="false">D4729</f>
        <v>1</v>
      </c>
      <c r="I4729" s="0" t="n">
        <f aca="false">E4729</f>
        <v>-0.375</v>
      </c>
      <c r="J4729" s="0" t="n">
        <f aca="false">F4729</f>
        <v>0.875</v>
      </c>
      <c r="K4729" s="0" t="n">
        <f aca="false">D4729*E4729</f>
        <v>-0.375</v>
      </c>
      <c r="L4729" s="0" t="n">
        <f aca="false">D4729*F4729</f>
        <v>0.875</v>
      </c>
      <c r="M4729" s="0" t="n">
        <f aca="false">E4729*F4729</f>
        <v>-0.328125</v>
      </c>
      <c r="N4729" s="0" t="n">
        <f aca="false">D4729*D4729</f>
        <v>1</v>
      </c>
      <c r="O4729" s="0" t="n">
        <f aca="false">E4729*E4729</f>
        <v>0.140625</v>
      </c>
      <c r="P4729" s="0" t="n">
        <f aca="false">F4729*F4729</f>
        <v>0.765625</v>
      </c>
      <c r="Q4729" s="0" t="n">
        <f aca="false">SUMPRODUCT(G4729:P4729,_XtX!$B$71:$K$71)</f>
        <v>47.0301704545455</v>
      </c>
      <c r="R4729" s="0" t="n">
        <f aca="false">SUMPRODUCT(MMULT(G4729:P4729,_XtX!$B$58:$K$67),G4729:P4729)</f>
        <v>0.56971269087358</v>
      </c>
      <c r="S4729" s="0" t="n">
        <f aca="false">04_回帰ANOVA!$K$19*04_回帰ANOVA!$K$14*SQRT(1+R4729)</f>
        <v>1.16486801567081</v>
      </c>
      <c r="T4729" s="0" t="n">
        <f aca="false">Q4729-S4729</f>
        <v>45.8653024388747</v>
      </c>
      <c r="U4729" s="0" t="n">
        <f aca="false">Q4729+S4729</f>
        <v>48.1950384702163</v>
      </c>
      <c r="V4729" s="54" t="b">
        <f aca="false">AND(D4729&gt;=01_因子設定!$L$5-0.000000001,D4729&lt;=01_因子設定!$M$5+0.000000001,E4729&gt;=01_因子設定!$L$6-0.000000001,E4729&lt;=01_因子設定!$M$6+0.000000001,F4729&gt;=01_因子設定!$L$7-0.000000001,F4729&lt;=01_因子設定!$M$7+0.000000001,IF(01_因子設定!$B$20="Box-Behnken",D4729^2+E4729^2+F4729^2&lt;=2+0.000000001,TRUE()))</f>
        <v>1</v>
      </c>
      <c r="W4729" s="55" t="n">
        <f aca="false">IF(V4729,IF(01_因子設定!$B$13="最大化",T4729-01_因子設定!$B$14,IF(01_因子設定!$B$13="最小化",01_因子設定!$B$15-U4729,MIN(T4729-01_因子設定!$B$14,01_因子設定!$B$15-U4729))),-1E+030)</f>
        <v>-2.63469756112534</v>
      </c>
      <c r="X4729" s="55" t="n">
        <f aca="false">IF(V4729,IF(01_因子設定!$B$13="最大化",Q4729,IF(01_因子設定!$B$13="最小化",-Q4729,-ABS(Q4729-01_因子設定!$B$16))),-1E+030)</f>
        <v>47.0301704545455</v>
      </c>
      <c r="Y4729" s="55" t="n">
        <f aca="false">W4729+ROW()*0.000000001</f>
        <v>-2.63469283212534</v>
      </c>
      <c r="Z4729" s="55" t="n">
        <f aca="false">X4729+ROW()*0.000000001</f>
        <v>47.0301751835455</v>
      </c>
    </row>
    <row r="4730" customFormat="false" ht="15" hidden="false" customHeight="false" outlineLevel="0" collapsed="false">
      <c r="A4730" s="0" t="n">
        <v>16</v>
      </c>
      <c r="B4730" s="0" t="n">
        <v>5</v>
      </c>
      <c r="C4730" s="0" t="n">
        <v>16</v>
      </c>
      <c r="D4730" s="0" t="n">
        <f aca="false">-1+A4730*0.125</f>
        <v>1</v>
      </c>
      <c r="E4730" s="0" t="n">
        <f aca="false">-1+B4730*0.125</f>
        <v>-0.375</v>
      </c>
      <c r="F4730" s="0" t="n">
        <f aca="false">-1+C4730*0.125</f>
        <v>1</v>
      </c>
      <c r="G4730" s="0" t="n">
        <f aca="false">1</f>
        <v>1</v>
      </c>
      <c r="H4730" s="0" t="n">
        <f aca="false">D4730</f>
        <v>1</v>
      </c>
      <c r="I4730" s="0" t="n">
        <f aca="false">E4730</f>
        <v>-0.375</v>
      </c>
      <c r="J4730" s="0" t="n">
        <f aca="false">F4730</f>
        <v>1</v>
      </c>
      <c r="K4730" s="0" t="n">
        <f aca="false">D4730*E4730</f>
        <v>-0.375</v>
      </c>
      <c r="L4730" s="0" t="n">
        <f aca="false">D4730*F4730</f>
        <v>1</v>
      </c>
      <c r="M4730" s="0" t="n">
        <f aca="false">E4730*F4730</f>
        <v>-0.375</v>
      </c>
      <c r="N4730" s="0" t="n">
        <f aca="false">D4730*D4730</f>
        <v>1</v>
      </c>
      <c r="O4730" s="0" t="n">
        <f aca="false">E4730*E4730</f>
        <v>0.140625</v>
      </c>
      <c r="P4730" s="0" t="n">
        <f aca="false">F4730*F4730</f>
        <v>1</v>
      </c>
      <c r="Q4730" s="0" t="n">
        <f aca="false">SUMPRODUCT(G4730:P4730,_XtX!$B$71:$K$71)</f>
        <v>46.8869034090909</v>
      </c>
      <c r="R4730" s="0" t="n">
        <f aca="false">SUMPRODUCT(MMULT(G4730:P4730,_XtX!$B$58:$K$67),G4730:P4730)</f>
        <v>0.682830255681818</v>
      </c>
      <c r="S4730" s="0" t="n">
        <f aca="false">04_回帰ANOVA!$K$19*04_回帰ANOVA!$K$14*SQRT(1+R4730)</f>
        <v>1.20610964896955</v>
      </c>
      <c r="T4730" s="0" t="n">
        <f aca="false">Q4730-S4730</f>
        <v>45.6807937601214</v>
      </c>
      <c r="U4730" s="0" t="n">
        <f aca="false">Q4730+S4730</f>
        <v>48.0930130580605</v>
      </c>
      <c r="V4730" s="54" t="b">
        <f aca="false">AND(D4730&gt;=01_因子設定!$L$5-0.000000001,D4730&lt;=01_因子設定!$M$5+0.000000001,E4730&gt;=01_因子設定!$L$6-0.000000001,E4730&lt;=01_因子設定!$M$6+0.000000001,F4730&gt;=01_因子設定!$L$7-0.000000001,F4730&lt;=01_因子設定!$M$7+0.000000001,IF(01_因子設定!$B$20="Box-Behnken",D4730^2+E4730^2+F4730^2&lt;=2+0.000000001,TRUE()))</f>
        <v>1</v>
      </c>
      <c r="W4730" s="55" t="n">
        <f aca="false">IF(V4730,IF(01_因子設定!$B$13="最大化",T4730-01_因子設定!$B$14,IF(01_因子設定!$B$13="最小化",01_因子設定!$B$15-U4730,MIN(T4730-01_因子設定!$B$14,01_因子設定!$B$15-U4730))),-1E+030)</f>
        <v>-2.81920623987863</v>
      </c>
      <c r="X4730" s="55" t="n">
        <f aca="false">IF(V4730,IF(01_因子設定!$B$13="最大化",Q4730,IF(01_因子設定!$B$13="最小化",-Q4730,-ABS(Q4730-01_因子設定!$B$16))),-1E+030)</f>
        <v>46.8869034090909</v>
      </c>
      <c r="Y4730" s="55" t="n">
        <f aca="false">W4730+ROW()*0.000000001</f>
        <v>-2.81920150987862</v>
      </c>
      <c r="Z4730" s="55" t="n">
        <f aca="false">X4730+ROW()*0.000000001</f>
        <v>46.8869081390909</v>
      </c>
    </row>
    <row r="4731" customFormat="false" ht="15" hidden="false" customHeight="false" outlineLevel="0" collapsed="false">
      <c r="A4731" s="0" t="n">
        <v>16</v>
      </c>
      <c r="B4731" s="0" t="n">
        <v>6</v>
      </c>
      <c r="C4731" s="0" t="n">
        <v>0</v>
      </c>
      <c r="D4731" s="0" t="n">
        <f aca="false">-1+A4731*0.125</f>
        <v>1</v>
      </c>
      <c r="E4731" s="0" t="n">
        <f aca="false">-1+B4731*0.125</f>
        <v>-0.25</v>
      </c>
      <c r="F4731" s="0" t="n">
        <f aca="false">-1+C4731*0.125</f>
        <v>-1</v>
      </c>
      <c r="G4731" s="0" t="n">
        <f aca="false">1</f>
        <v>1</v>
      </c>
      <c r="H4731" s="0" t="n">
        <f aca="false">D4731</f>
        <v>1</v>
      </c>
      <c r="I4731" s="0" t="n">
        <f aca="false">E4731</f>
        <v>-0.25</v>
      </c>
      <c r="J4731" s="0" t="n">
        <f aca="false">F4731</f>
        <v>-1</v>
      </c>
      <c r="K4731" s="0" t="n">
        <f aca="false">D4731*E4731</f>
        <v>-0.25</v>
      </c>
      <c r="L4731" s="0" t="n">
        <f aca="false">D4731*F4731</f>
        <v>-1</v>
      </c>
      <c r="M4731" s="0" t="n">
        <f aca="false">E4731*F4731</f>
        <v>0.25</v>
      </c>
      <c r="N4731" s="0" t="n">
        <f aca="false">D4731*D4731</f>
        <v>1</v>
      </c>
      <c r="O4731" s="0" t="n">
        <f aca="false">E4731*E4731</f>
        <v>0.0625</v>
      </c>
      <c r="P4731" s="0" t="n">
        <f aca="false">F4731*F4731</f>
        <v>1</v>
      </c>
      <c r="Q4731" s="0" t="n">
        <f aca="false">SUMPRODUCT(G4731:P4731,_XtX!$B$71:$K$71)</f>
        <v>45.2784090909091</v>
      </c>
      <c r="R4731" s="0" t="n">
        <f aca="false">SUMPRODUCT(MMULT(G4731:P4731,_XtX!$B$58:$K$67),G4731:P4731)</f>
        <v>0.699431818181818</v>
      </c>
      <c r="S4731" s="0" t="n">
        <f aca="false">04_回帰ANOVA!$K$19*04_回帰ANOVA!$K$14*SQRT(1+R4731)</f>
        <v>1.21204434231192</v>
      </c>
      <c r="T4731" s="0" t="n">
        <f aca="false">Q4731-S4731</f>
        <v>44.0663647485972</v>
      </c>
      <c r="U4731" s="0" t="n">
        <f aca="false">Q4731+S4731</f>
        <v>46.490453433221</v>
      </c>
      <c r="V4731" s="54" t="b">
        <f aca="false">AND(D4731&gt;=01_因子設定!$L$5-0.000000001,D4731&lt;=01_因子設定!$M$5+0.000000001,E4731&gt;=01_因子設定!$L$6-0.000000001,E4731&lt;=01_因子設定!$M$6+0.000000001,F4731&gt;=01_因子設定!$L$7-0.000000001,F4731&lt;=01_因子設定!$M$7+0.000000001,IF(01_因子設定!$B$20="Box-Behnken",D4731^2+E4731^2+F4731^2&lt;=2+0.000000001,TRUE()))</f>
        <v>1</v>
      </c>
      <c r="W4731" s="55" t="n">
        <f aca="false">IF(V4731,IF(01_因子設定!$B$13="最大化",T4731-01_因子設定!$B$14,IF(01_因子設定!$B$13="最小化",01_因子設定!$B$15-U4731,MIN(T4731-01_因子設定!$B$14,01_因子設定!$B$15-U4731))),-1E+030)</f>
        <v>-4.43363525140282</v>
      </c>
      <c r="X4731" s="55" t="n">
        <f aca="false">IF(V4731,IF(01_因子設定!$B$13="最大化",Q4731,IF(01_因子設定!$B$13="最小化",-Q4731,-ABS(Q4731-01_因子設定!$B$16))),-1E+030)</f>
        <v>45.2784090909091</v>
      </c>
      <c r="Y4731" s="55" t="n">
        <f aca="false">W4731+ROW()*0.000000001</f>
        <v>-4.43363052040282</v>
      </c>
      <c r="Z4731" s="55" t="n">
        <f aca="false">X4731+ROW()*0.000000001</f>
        <v>45.2784138219091</v>
      </c>
    </row>
    <row r="4732" customFormat="false" ht="15" hidden="false" customHeight="false" outlineLevel="0" collapsed="false">
      <c r="A4732" s="0" t="n">
        <v>16</v>
      </c>
      <c r="B4732" s="0" t="n">
        <v>6</v>
      </c>
      <c r="C4732" s="0" t="n">
        <v>1</v>
      </c>
      <c r="D4732" s="0" t="n">
        <f aca="false">-1+A4732*0.125</f>
        <v>1</v>
      </c>
      <c r="E4732" s="0" t="n">
        <f aca="false">-1+B4732*0.125</f>
        <v>-0.25</v>
      </c>
      <c r="F4732" s="0" t="n">
        <f aca="false">-1+C4732*0.125</f>
        <v>-0.875</v>
      </c>
      <c r="G4732" s="0" t="n">
        <f aca="false">1</f>
        <v>1</v>
      </c>
      <c r="H4732" s="0" t="n">
        <f aca="false">D4732</f>
        <v>1</v>
      </c>
      <c r="I4732" s="0" t="n">
        <f aca="false">E4732</f>
        <v>-0.25</v>
      </c>
      <c r="J4732" s="0" t="n">
        <f aca="false">F4732</f>
        <v>-0.875</v>
      </c>
      <c r="K4732" s="0" t="n">
        <f aca="false">D4732*E4732</f>
        <v>-0.25</v>
      </c>
      <c r="L4732" s="0" t="n">
        <f aca="false">D4732*F4732</f>
        <v>-0.875</v>
      </c>
      <c r="M4732" s="0" t="n">
        <f aca="false">E4732*F4732</f>
        <v>0.21875</v>
      </c>
      <c r="N4732" s="0" t="n">
        <f aca="false">D4732*D4732</f>
        <v>1</v>
      </c>
      <c r="O4732" s="0" t="n">
        <f aca="false">E4732*E4732</f>
        <v>0.0625</v>
      </c>
      <c r="P4732" s="0" t="n">
        <f aca="false">F4732*F4732</f>
        <v>0.765625</v>
      </c>
      <c r="Q4732" s="0" t="n">
        <f aca="false">SUMPRODUCT(G4732:P4732,_XtX!$B$71:$K$71)</f>
        <v>45.6940198863636</v>
      </c>
      <c r="R4732" s="0" t="n">
        <f aca="false">SUMPRODUCT(MMULT(G4732:P4732,_XtX!$B$58:$K$67),G4732:P4732)</f>
        <v>0.583609286221591</v>
      </c>
      <c r="S4732" s="0" t="n">
        <f aca="false">04_回帰ANOVA!$K$19*04_回帰ANOVA!$K$14*SQRT(1+R4732)</f>
        <v>1.1700129157584</v>
      </c>
      <c r="T4732" s="0" t="n">
        <f aca="false">Q4732-S4732</f>
        <v>44.5240069706053</v>
      </c>
      <c r="U4732" s="0" t="n">
        <f aca="false">Q4732+S4732</f>
        <v>46.864032802122</v>
      </c>
      <c r="V4732" s="54" t="b">
        <f aca="false">AND(D4732&gt;=01_因子設定!$L$5-0.000000001,D4732&lt;=01_因子設定!$M$5+0.000000001,E4732&gt;=01_因子設定!$L$6-0.000000001,E4732&lt;=01_因子設定!$M$6+0.000000001,F4732&gt;=01_因子設定!$L$7-0.000000001,F4732&lt;=01_因子設定!$M$7+0.000000001,IF(01_因子設定!$B$20="Box-Behnken",D4732^2+E4732^2+F4732^2&lt;=2+0.000000001,TRUE()))</f>
        <v>1</v>
      </c>
      <c r="W4732" s="55" t="n">
        <f aca="false">IF(V4732,IF(01_因子設定!$B$13="最大化",T4732-01_因子設定!$B$14,IF(01_因子設定!$B$13="最小化",01_因子設定!$B$15-U4732,MIN(T4732-01_因子設定!$B$14,01_因子設定!$B$15-U4732))),-1E+030)</f>
        <v>-3.97599302939475</v>
      </c>
      <c r="X4732" s="55" t="n">
        <f aca="false">IF(V4732,IF(01_因子設定!$B$13="最大化",Q4732,IF(01_因子設定!$B$13="最小化",-Q4732,-ABS(Q4732-01_因子設定!$B$16))),-1E+030)</f>
        <v>45.6940198863636</v>
      </c>
      <c r="Y4732" s="55" t="n">
        <f aca="false">W4732+ROW()*0.000000001</f>
        <v>-3.97598829739475</v>
      </c>
      <c r="Z4732" s="55" t="n">
        <f aca="false">X4732+ROW()*0.000000001</f>
        <v>45.6940246183636</v>
      </c>
    </row>
    <row r="4733" customFormat="false" ht="15" hidden="false" customHeight="false" outlineLevel="0" collapsed="false">
      <c r="A4733" s="0" t="n">
        <v>16</v>
      </c>
      <c r="B4733" s="0" t="n">
        <v>6</v>
      </c>
      <c r="C4733" s="0" t="n">
        <v>2</v>
      </c>
      <c r="D4733" s="0" t="n">
        <f aca="false">-1+A4733*0.125</f>
        <v>1</v>
      </c>
      <c r="E4733" s="0" t="n">
        <f aca="false">-1+B4733*0.125</f>
        <v>-0.25</v>
      </c>
      <c r="F4733" s="0" t="n">
        <f aca="false">-1+C4733*0.125</f>
        <v>-0.75</v>
      </c>
      <c r="G4733" s="0" t="n">
        <f aca="false">1</f>
        <v>1</v>
      </c>
      <c r="H4733" s="0" t="n">
        <f aca="false">D4733</f>
        <v>1</v>
      </c>
      <c r="I4733" s="0" t="n">
        <f aca="false">E4733</f>
        <v>-0.25</v>
      </c>
      <c r="J4733" s="0" t="n">
        <f aca="false">F4733</f>
        <v>-0.75</v>
      </c>
      <c r="K4733" s="0" t="n">
        <f aca="false">D4733*E4733</f>
        <v>-0.25</v>
      </c>
      <c r="L4733" s="0" t="n">
        <f aca="false">D4733*F4733</f>
        <v>-0.75</v>
      </c>
      <c r="M4733" s="0" t="n">
        <f aca="false">E4733*F4733</f>
        <v>0.1875</v>
      </c>
      <c r="N4733" s="0" t="n">
        <f aca="false">D4733*D4733</f>
        <v>1</v>
      </c>
      <c r="O4733" s="0" t="n">
        <f aca="false">E4733*E4733</f>
        <v>0.0625</v>
      </c>
      <c r="P4733" s="0" t="n">
        <f aca="false">F4733*F4733</f>
        <v>0.5625</v>
      </c>
      <c r="Q4733" s="0" t="n">
        <f aca="false">SUMPRODUCT(G4733:P4733,_XtX!$B$71:$K$71)</f>
        <v>46.0728409090909</v>
      </c>
      <c r="R4733" s="0" t="n">
        <f aca="false">SUMPRODUCT(MMULT(G4733:P4733,_XtX!$B$58:$K$67),G4733:P4733)</f>
        <v>0.515545099431818</v>
      </c>
      <c r="S4733" s="0" t="n">
        <f aca="false">04_回帰ANOVA!$K$19*04_回帰ANOVA!$K$14*SQRT(1+R4733)</f>
        <v>1.14459295464101</v>
      </c>
      <c r="T4733" s="0" t="n">
        <f aca="false">Q4733-S4733</f>
        <v>44.9282479544499</v>
      </c>
      <c r="U4733" s="0" t="n">
        <f aca="false">Q4733+S4733</f>
        <v>47.2174338637319</v>
      </c>
      <c r="V4733" s="54" t="b">
        <f aca="false">AND(D4733&gt;=01_因子設定!$L$5-0.000000001,D4733&lt;=01_因子設定!$M$5+0.000000001,E4733&gt;=01_因子設定!$L$6-0.000000001,E4733&lt;=01_因子設定!$M$6+0.000000001,F4733&gt;=01_因子設定!$L$7-0.000000001,F4733&lt;=01_因子設定!$M$7+0.000000001,IF(01_因子設定!$B$20="Box-Behnken",D4733^2+E4733^2+F4733^2&lt;=2+0.000000001,TRUE()))</f>
        <v>1</v>
      </c>
      <c r="W4733" s="55" t="n">
        <f aca="false">IF(V4733,IF(01_因子設定!$B$13="最大化",T4733-01_因子設定!$B$14,IF(01_因子設定!$B$13="最小化",01_因子設定!$B$15-U4733,MIN(T4733-01_因子設定!$B$14,01_因子設定!$B$15-U4733))),-1E+030)</f>
        <v>-3.57175204555011</v>
      </c>
      <c r="X4733" s="55" t="n">
        <f aca="false">IF(V4733,IF(01_因子設定!$B$13="最大化",Q4733,IF(01_因子設定!$B$13="最小化",-Q4733,-ABS(Q4733-01_因子設定!$B$16))),-1E+030)</f>
        <v>46.0728409090909</v>
      </c>
      <c r="Y4733" s="55" t="n">
        <f aca="false">W4733+ROW()*0.000000001</f>
        <v>-3.57174731255011</v>
      </c>
      <c r="Z4733" s="55" t="n">
        <f aca="false">X4733+ROW()*0.000000001</f>
        <v>46.0728456420909</v>
      </c>
    </row>
    <row r="4734" customFormat="false" ht="15" hidden="false" customHeight="false" outlineLevel="0" collapsed="false">
      <c r="A4734" s="0" t="n">
        <v>16</v>
      </c>
      <c r="B4734" s="0" t="n">
        <v>6</v>
      </c>
      <c r="C4734" s="0" t="n">
        <v>3</v>
      </c>
      <c r="D4734" s="0" t="n">
        <f aca="false">-1+A4734*0.125</f>
        <v>1</v>
      </c>
      <c r="E4734" s="0" t="n">
        <f aca="false">-1+B4734*0.125</f>
        <v>-0.25</v>
      </c>
      <c r="F4734" s="0" t="n">
        <f aca="false">-1+C4734*0.125</f>
        <v>-0.625</v>
      </c>
      <c r="G4734" s="0" t="n">
        <f aca="false">1</f>
        <v>1</v>
      </c>
      <c r="H4734" s="0" t="n">
        <f aca="false">D4734</f>
        <v>1</v>
      </c>
      <c r="I4734" s="0" t="n">
        <f aca="false">E4734</f>
        <v>-0.25</v>
      </c>
      <c r="J4734" s="0" t="n">
        <f aca="false">F4734</f>
        <v>-0.625</v>
      </c>
      <c r="K4734" s="0" t="n">
        <f aca="false">D4734*E4734</f>
        <v>-0.25</v>
      </c>
      <c r="L4734" s="0" t="n">
        <f aca="false">D4734*F4734</f>
        <v>-0.625</v>
      </c>
      <c r="M4734" s="0" t="n">
        <f aca="false">E4734*F4734</f>
        <v>0.15625</v>
      </c>
      <c r="N4734" s="0" t="n">
        <f aca="false">D4734*D4734</f>
        <v>1</v>
      </c>
      <c r="O4734" s="0" t="n">
        <f aca="false">E4734*E4734</f>
        <v>0.0625</v>
      </c>
      <c r="P4734" s="0" t="n">
        <f aca="false">F4734*F4734</f>
        <v>0.390625</v>
      </c>
      <c r="Q4734" s="0" t="n">
        <f aca="false">SUMPRODUCT(G4734:P4734,_XtX!$B$71:$K$71)</f>
        <v>46.4148721590909</v>
      </c>
      <c r="R4734" s="0" t="n">
        <f aca="false">SUMPRODUCT(MMULT(G4734:P4734,_XtX!$B$58:$K$67),G4734:P4734)</f>
        <v>0.481389825994318</v>
      </c>
      <c r="S4734" s="0" t="n">
        <f aca="false">04_回帰ANOVA!$K$19*04_回帰ANOVA!$K$14*SQRT(1+R4734)</f>
        <v>1.13162182500693</v>
      </c>
      <c r="T4734" s="0" t="n">
        <f aca="false">Q4734-S4734</f>
        <v>45.283250334084</v>
      </c>
      <c r="U4734" s="0" t="n">
        <f aca="false">Q4734+S4734</f>
        <v>47.5464939840978</v>
      </c>
      <c r="V4734" s="54" t="b">
        <f aca="false">AND(D4734&gt;=01_因子設定!$L$5-0.000000001,D4734&lt;=01_因子設定!$M$5+0.000000001,E4734&gt;=01_因子設定!$L$6-0.000000001,E4734&lt;=01_因子設定!$M$6+0.000000001,F4734&gt;=01_因子設定!$L$7-0.000000001,F4734&lt;=01_因子設定!$M$7+0.000000001,IF(01_因子設定!$B$20="Box-Behnken",D4734^2+E4734^2+F4734^2&lt;=2+0.000000001,TRUE()))</f>
        <v>1</v>
      </c>
      <c r="W4734" s="55" t="n">
        <f aca="false">IF(V4734,IF(01_因子設定!$B$13="最大化",T4734-01_因子設定!$B$14,IF(01_因子設定!$B$13="最小化",01_因子設定!$B$15-U4734,MIN(T4734-01_因子設定!$B$14,01_因子設定!$B$15-U4734))),-1E+030)</f>
        <v>-3.21674966591602</v>
      </c>
      <c r="X4734" s="55" t="n">
        <f aca="false">IF(V4734,IF(01_因子設定!$B$13="最大化",Q4734,IF(01_因子設定!$B$13="最小化",-Q4734,-ABS(Q4734-01_因子設定!$B$16))),-1E+030)</f>
        <v>46.4148721590909</v>
      </c>
      <c r="Y4734" s="55" t="n">
        <f aca="false">W4734+ROW()*0.000000001</f>
        <v>-3.21674493191602</v>
      </c>
      <c r="Z4734" s="55" t="n">
        <f aca="false">X4734+ROW()*0.000000001</f>
        <v>46.4148768930909</v>
      </c>
    </row>
    <row r="4735" customFormat="false" ht="15" hidden="false" customHeight="false" outlineLevel="0" collapsed="false">
      <c r="A4735" s="0" t="n">
        <v>16</v>
      </c>
      <c r="B4735" s="0" t="n">
        <v>6</v>
      </c>
      <c r="C4735" s="0" t="n">
        <v>4</v>
      </c>
      <c r="D4735" s="0" t="n">
        <f aca="false">-1+A4735*0.125</f>
        <v>1</v>
      </c>
      <c r="E4735" s="0" t="n">
        <f aca="false">-1+B4735*0.125</f>
        <v>-0.25</v>
      </c>
      <c r="F4735" s="0" t="n">
        <f aca="false">-1+C4735*0.125</f>
        <v>-0.5</v>
      </c>
      <c r="G4735" s="0" t="n">
        <f aca="false">1</f>
        <v>1</v>
      </c>
      <c r="H4735" s="0" t="n">
        <f aca="false">D4735</f>
        <v>1</v>
      </c>
      <c r="I4735" s="0" t="n">
        <f aca="false">E4735</f>
        <v>-0.25</v>
      </c>
      <c r="J4735" s="0" t="n">
        <f aca="false">F4735</f>
        <v>-0.5</v>
      </c>
      <c r="K4735" s="0" t="n">
        <f aca="false">D4735*E4735</f>
        <v>-0.25</v>
      </c>
      <c r="L4735" s="0" t="n">
        <f aca="false">D4735*F4735</f>
        <v>-0.5</v>
      </c>
      <c r="M4735" s="0" t="n">
        <f aca="false">E4735*F4735</f>
        <v>0.125</v>
      </c>
      <c r="N4735" s="0" t="n">
        <f aca="false">D4735*D4735</f>
        <v>1</v>
      </c>
      <c r="O4735" s="0" t="n">
        <f aca="false">E4735*E4735</f>
        <v>0.0625</v>
      </c>
      <c r="P4735" s="0" t="n">
        <f aca="false">F4735*F4735</f>
        <v>0.25</v>
      </c>
      <c r="Q4735" s="0" t="n">
        <f aca="false">SUMPRODUCT(G4735:P4735,_XtX!$B$71:$K$71)</f>
        <v>46.7201136363636</v>
      </c>
      <c r="R4735" s="0" t="n">
        <f aca="false">SUMPRODUCT(MMULT(G4735:P4735,_XtX!$B$58:$K$67),G4735:P4735)</f>
        <v>0.469424715909091</v>
      </c>
      <c r="S4735" s="0" t="n">
        <f aca="false">04_回帰ANOVA!$K$19*04_回帰ANOVA!$K$14*SQRT(1+R4735)</f>
        <v>1.12704253369596</v>
      </c>
      <c r="T4735" s="0" t="n">
        <f aca="false">Q4735-S4735</f>
        <v>45.5930711026677</v>
      </c>
      <c r="U4735" s="0" t="n">
        <f aca="false">Q4735+S4735</f>
        <v>47.8471561700596</v>
      </c>
      <c r="V4735" s="54" t="b">
        <f aca="false">AND(D4735&gt;=01_因子設定!$L$5-0.000000001,D4735&lt;=01_因子設定!$M$5+0.000000001,E4735&gt;=01_因子設定!$L$6-0.000000001,E4735&lt;=01_因子設定!$M$6+0.000000001,F4735&gt;=01_因子設定!$L$7-0.000000001,F4735&lt;=01_因子設定!$M$7+0.000000001,IF(01_因子設定!$B$20="Box-Behnken",D4735^2+E4735^2+F4735^2&lt;=2+0.000000001,TRUE()))</f>
        <v>1</v>
      </c>
      <c r="W4735" s="55" t="n">
        <f aca="false">IF(V4735,IF(01_因子設定!$B$13="最大化",T4735-01_因子設定!$B$14,IF(01_因子設定!$B$13="最小化",01_因子設定!$B$15-U4735,MIN(T4735-01_因子設定!$B$14,01_因子設定!$B$15-U4735))),-1E+030)</f>
        <v>-2.90692889733233</v>
      </c>
      <c r="X4735" s="55" t="n">
        <f aca="false">IF(V4735,IF(01_因子設定!$B$13="最大化",Q4735,IF(01_因子設定!$B$13="最小化",-Q4735,-ABS(Q4735-01_因子設定!$B$16))),-1E+030)</f>
        <v>46.7201136363636</v>
      </c>
      <c r="Y4735" s="55" t="n">
        <f aca="false">W4735+ROW()*0.000000001</f>
        <v>-2.90692416233233</v>
      </c>
      <c r="Z4735" s="55" t="n">
        <f aca="false">X4735+ROW()*0.000000001</f>
        <v>46.7201183713636</v>
      </c>
    </row>
    <row r="4736" customFormat="false" ht="15" hidden="false" customHeight="false" outlineLevel="0" collapsed="false">
      <c r="A4736" s="0" t="n">
        <v>16</v>
      </c>
      <c r="B4736" s="0" t="n">
        <v>6</v>
      </c>
      <c r="C4736" s="0" t="n">
        <v>5</v>
      </c>
      <c r="D4736" s="0" t="n">
        <f aca="false">-1+A4736*0.125</f>
        <v>1</v>
      </c>
      <c r="E4736" s="0" t="n">
        <f aca="false">-1+B4736*0.125</f>
        <v>-0.25</v>
      </c>
      <c r="F4736" s="0" t="n">
        <f aca="false">-1+C4736*0.125</f>
        <v>-0.375</v>
      </c>
      <c r="G4736" s="0" t="n">
        <f aca="false">1</f>
        <v>1</v>
      </c>
      <c r="H4736" s="0" t="n">
        <f aca="false">D4736</f>
        <v>1</v>
      </c>
      <c r="I4736" s="0" t="n">
        <f aca="false">E4736</f>
        <v>-0.25</v>
      </c>
      <c r="J4736" s="0" t="n">
        <f aca="false">F4736</f>
        <v>-0.375</v>
      </c>
      <c r="K4736" s="0" t="n">
        <f aca="false">D4736*E4736</f>
        <v>-0.25</v>
      </c>
      <c r="L4736" s="0" t="n">
        <f aca="false">D4736*F4736</f>
        <v>-0.375</v>
      </c>
      <c r="M4736" s="0" t="n">
        <f aca="false">E4736*F4736</f>
        <v>0.09375</v>
      </c>
      <c r="N4736" s="0" t="n">
        <f aca="false">D4736*D4736</f>
        <v>1</v>
      </c>
      <c r="O4736" s="0" t="n">
        <f aca="false">E4736*E4736</f>
        <v>0.0625</v>
      </c>
      <c r="P4736" s="0" t="n">
        <f aca="false">F4736*F4736</f>
        <v>0.140625</v>
      </c>
      <c r="Q4736" s="0" t="n">
        <f aca="false">SUMPRODUCT(G4736:P4736,_XtX!$B$71:$K$71)</f>
        <v>46.9885653409091</v>
      </c>
      <c r="R4736" s="0" t="n">
        <f aca="false">SUMPRODUCT(MMULT(G4736:P4736,_XtX!$B$58:$K$67),G4736:P4736)</f>
        <v>0.470061700994318</v>
      </c>
      <c r="S4736" s="0" t="n">
        <f aca="false">04_回帰ANOVA!$K$19*04_回帰ANOVA!$K$14*SQRT(1+R4736)</f>
        <v>1.12728678965931</v>
      </c>
      <c r="T4736" s="0" t="n">
        <f aca="false">Q4736-S4736</f>
        <v>45.8612785512498</v>
      </c>
      <c r="U4736" s="0" t="n">
        <f aca="false">Q4736+S4736</f>
        <v>48.1158521305684</v>
      </c>
      <c r="V4736" s="54" t="b">
        <f aca="false">AND(D4736&gt;=01_因子設定!$L$5-0.000000001,D4736&lt;=01_因子設定!$M$5+0.000000001,E4736&gt;=01_因子設定!$L$6-0.000000001,E4736&lt;=01_因子設定!$M$6+0.000000001,F4736&gt;=01_因子設定!$L$7-0.000000001,F4736&lt;=01_因子設定!$M$7+0.000000001,IF(01_因子設定!$B$20="Box-Behnken",D4736^2+E4736^2+F4736^2&lt;=2+0.000000001,TRUE()))</f>
        <v>1</v>
      </c>
      <c r="W4736" s="55" t="n">
        <f aca="false">IF(V4736,IF(01_因子設定!$B$13="最大化",T4736-01_因子設定!$B$14,IF(01_因子設定!$B$13="最小化",01_因子設定!$B$15-U4736,MIN(T4736-01_因子設定!$B$14,01_因子設定!$B$15-U4736))),-1E+030)</f>
        <v>-2.63872144875023</v>
      </c>
      <c r="X4736" s="55" t="n">
        <f aca="false">IF(V4736,IF(01_因子設定!$B$13="最大化",Q4736,IF(01_因子設定!$B$13="最小化",-Q4736,-ABS(Q4736-01_因子設定!$B$16))),-1E+030)</f>
        <v>46.9885653409091</v>
      </c>
      <c r="Y4736" s="55" t="n">
        <f aca="false">W4736+ROW()*0.000000001</f>
        <v>-2.63871671275022</v>
      </c>
      <c r="Z4736" s="55" t="n">
        <f aca="false">X4736+ROW()*0.000000001</f>
        <v>46.9885700769091</v>
      </c>
    </row>
    <row r="4737" customFormat="false" ht="15" hidden="false" customHeight="false" outlineLevel="0" collapsed="false">
      <c r="A4737" s="0" t="n">
        <v>16</v>
      </c>
      <c r="B4737" s="0" t="n">
        <v>6</v>
      </c>
      <c r="C4737" s="0" t="n">
        <v>6</v>
      </c>
      <c r="D4737" s="0" t="n">
        <f aca="false">-1+A4737*0.125</f>
        <v>1</v>
      </c>
      <c r="E4737" s="0" t="n">
        <f aca="false">-1+B4737*0.125</f>
        <v>-0.25</v>
      </c>
      <c r="F4737" s="0" t="n">
        <f aca="false">-1+C4737*0.125</f>
        <v>-0.25</v>
      </c>
      <c r="G4737" s="0" t="n">
        <f aca="false">1</f>
        <v>1</v>
      </c>
      <c r="H4737" s="0" t="n">
        <f aca="false">D4737</f>
        <v>1</v>
      </c>
      <c r="I4737" s="0" t="n">
        <f aca="false">E4737</f>
        <v>-0.25</v>
      </c>
      <c r="J4737" s="0" t="n">
        <f aca="false">F4737</f>
        <v>-0.25</v>
      </c>
      <c r="K4737" s="0" t="n">
        <f aca="false">D4737*E4737</f>
        <v>-0.25</v>
      </c>
      <c r="L4737" s="0" t="n">
        <f aca="false">D4737*F4737</f>
        <v>-0.25</v>
      </c>
      <c r="M4737" s="0" t="n">
        <f aca="false">E4737*F4737</f>
        <v>0.0625</v>
      </c>
      <c r="N4737" s="0" t="n">
        <f aca="false">D4737*D4737</f>
        <v>1</v>
      </c>
      <c r="O4737" s="0" t="n">
        <f aca="false">E4737*E4737</f>
        <v>0.0625</v>
      </c>
      <c r="P4737" s="0" t="n">
        <f aca="false">F4737*F4737</f>
        <v>0.0625</v>
      </c>
      <c r="Q4737" s="0" t="n">
        <f aca="false">SUMPRODUCT(G4737:P4737,_XtX!$B$71:$K$71)</f>
        <v>47.2202272727273</v>
      </c>
      <c r="R4737" s="0" t="n">
        <f aca="false">SUMPRODUCT(MMULT(G4737:P4737,_XtX!$B$58:$K$67),G4737:P4737)</f>
        <v>0.475843394886364</v>
      </c>
      <c r="S4737" s="0" t="n">
        <f aca="false">04_回帰ANOVA!$K$19*04_回帰ANOVA!$K$14*SQRT(1+R4737)</f>
        <v>1.12950140123694</v>
      </c>
      <c r="T4737" s="0" t="n">
        <f aca="false">Q4737-S4737</f>
        <v>46.0907258714903</v>
      </c>
      <c r="U4737" s="0" t="n">
        <f aca="false">Q4737+S4737</f>
        <v>48.3497286739642</v>
      </c>
      <c r="V4737" s="54" t="b">
        <f aca="false">AND(D4737&gt;=01_因子設定!$L$5-0.000000001,D4737&lt;=01_因子設定!$M$5+0.000000001,E4737&gt;=01_因子設定!$L$6-0.000000001,E4737&lt;=01_因子設定!$M$6+0.000000001,F4737&gt;=01_因子設定!$L$7-0.000000001,F4737&lt;=01_因子設定!$M$7+0.000000001,IF(01_因子設定!$B$20="Box-Behnken",D4737^2+E4737^2+F4737^2&lt;=2+0.000000001,TRUE()))</f>
        <v>1</v>
      </c>
      <c r="W4737" s="55" t="n">
        <f aca="false">IF(V4737,IF(01_因子設定!$B$13="最大化",T4737-01_因子設定!$B$14,IF(01_因子設定!$B$13="最小化",01_因子設定!$B$15-U4737,MIN(T4737-01_因子設定!$B$14,01_因子設定!$B$15-U4737))),-1E+030)</f>
        <v>-2.40927412850967</v>
      </c>
      <c r="X4737" s="55" t="n">
        <f aca="false">IF(V4737,IF(01_因子設定!$B$13="最大化",Q4737,IF(01_因子設定!$B$13="最小化",-Q4737,-ABS(Q4737-01_因子設定!$B$16))),-1E+030)</f>
        <v>47.2202272727273</v>
      </c>
      <c r="Y4737" s="55" t="n">
        <f aca="false">W4737+ROW()*0.000000001</f>
        <v>-2.40926939150967</v>
      </c>
      <c r="Z4737" s="55" t="n">
        <f aca="false">X4737+ROW()*0.000000001</f>
        <v>47.2202320097273</v>
      </c>
    </row>
    <row r="4738" customFormat="false" ht="15" hidden="false" customHeight="false" outlineLevel="0" collapsed="false">
      <c r="A4738" s="0" t="n">
        <v>16</v>
      </c>
      <c r="B4738" s="0" t="n">
        <v>6</v>
      </c>
      <c r="C4738" s="0" t="n">
        <v>7</v>
      </c>
      <c r="D4738" s="0" t="n">
        <f aca="false">-1+A4738*0.125</f>
        <v>1</v>
      </c>
      <c r="E4738" s="0" t="n">
        <f aca="false">-1+B4738*0.125</f>
        <v>-0.25</v>
      </c>
      <c r="F4738" s="0" t="n">
        <f aca="false">-1+C4738*0.125</f>
        <v>-0.125</v>
      </c>
      <c r="G4738" s="0" t="n">
        <f aca="false">1</f>
        <v>1</v>
      </c>
      <c r="H4738" s="0" t="n">
        <f aca="false">D4738</f>
        <v>1</v>
      </c>
      <c r="I4738" s="0" t="n">
        <f aca="false">E4738</f>
        <v>-0.25</v>
      </c>
      <c r="J4738" s="0" t="n">
        <f aca="false">F4738</f>
        <v>-0.125</v>
      </c>
      <c r="K4738" s="0" t="n">
        <f aca="false">D4738*E4738</f>
        <v>-0.25</v>
      </c>
      <c r="L4738" s="0" t="n">
        <f aca="false">D4738*F4738</f>
        <v>-0.125</v>
      </c>
      <c r="M4738" s="0" t="n">
        <f aca="false">E4738*F4738</f>
        <v>0.03125</v>
      </c>
      <c r="N4738" s="0" t="n">
        <f aca="false">D4738*D4738</f>
        <v>1</v>
      </c>
      <c r="O4738" s="0" t="n">
        <f aca="false">E4738*E4738</f>
        <v>0.0625</v>
      </c>
      <c r="P4738" s="0" t="n">
        <f aca="false">F4738*F4738</f>
        <v>0.015625</v>
      </c>
      <c r="Q4738" s="0" t="n">
        <f aca="false">SUMPRODUCT(G4738:P4738,_XtX!$B$71:$K$71)</f>
        <v>47.4150994318182</v>
      </c>
      <c r="R4738" s="0" t="n">
        <f aca="false">SUMPRODUCT(MMULT(G4738:P4738,_XtX!$B$58:$K$67),G4738:P4738)</f>
        <v>0.481443093039773</v>
      </c>
      <c r="S4738" s="0" t="n">
        <f aca="false">04_回帰ANOVA!$K$19*04_回帰ANOVA!$K$14*SQRT(1+R4738)</f>
        <v>1.13164216995877</v>
      </c>
      <c r="T4738" s="0" t="n">
        <f aca="false">Q4738-S4738</f>
        <v>46.2834572618594</v>
      </c>
      <c r="U4738" s="0" t="n">
        <f aca="false">Q4738+S4738</f>
        <v>48.5467416017769</v>
      </c>
      <c r="V4738" s="54" t="b">
        <f aca="false">AND(D4738&gt;=01_因子設定!$L$5-0.000000001,D4738&lt;=01_因子設定!$M$5+0.000000001,E4738&gt;=01_因子設定!$L$6-0.000000001,E4738&lt;=01_因子設定!$M$6+0.000000001,F4738&gt;=01_因子設定!$L$7-0.000000001,F4738&lt;=01_因子設定!$M$7+0.000000001,IF(01_因子設定!$B$20="Box-Behnken",D4738^2+E4738^2+F4738^2&lt;=2+0.000000001,TRUE()))</f>
        <v>1</v>
      </c>
      <c r="W4738" s="55" t="n">
        <f aca="false">IF(V4738,IF(01_因子設定!$B$13="最大化",T4738-01_因子設定!$B$14,IF(01_因子設定!$B$13="最小化",01_因子設定!$B$15-U4738,MIN(T4738-01_因子設定!$B$14,01_因子設定!$B$15-U4738))),-1E+030)</f>
        <v>-2.2165427381406</v>
      </c>
      <c r="X4738" s="55" t="n">
        <f aca="false">IF(V4738,IF(01_因子設定!$B$13="最大化",Q4738,IF(01_因子設定!$B$13="最小化",-Q4738,-ABS(Q4738-01_因子設定!$B$16))),-1E+030)</f>
        <v>47.4150994318182</v>
      </c>
      <c r="Y4738" s="55" t="n">
        <f aca="false">W4738+ROW()*0.000000001</f>
        <v>-2.2165380001406</v>
      </c>
      <c r="Z4738" s="55" t="n">
        <f aca="false">X4738+ROW()*0.000000001</f>
        <v>47.4151041698182</v>
      </c>
    </row>
    <row r="4739" customFormat="false" ht="15" hidden="false" customHeight="false" outlineLevel="0" collapsed="false">
      <c r="A4739" s="0" t="n">
        <v>16</v>
      </c>
      <c r="B4739" s="0" t="n">
        <v>6</v>
      </c>
      <c r="C4739" s="0" t="n">
        <v>8</v>
      </c>
      <c r="D4739" s="0" t="n">
        <f aca="false">-1+A4739*0.125</f>
        <v>1</v>
      </c>
      <c r="E4739" s="0" t="n">
        <f aca="false">-1+B4739*0.125</f>
        <v>-0.25</v>
      </c>
      <c r="F4739" s="0" t="n">
        <f aca="false">-1+C4739*0.125</f>
        <v>0</v>
      </c>
      <c r="G4739" s="0" t="n">
        <f aca="false">1</f>
        <v>1</v>
      </c>
      <c r="H4739" s="0" t="n">
        <f aca="false">D4739</f>
        <v>1</v>
      </c>
      <c r="I4739" s="0" t="n">
        <f aca="false">E4739</f>
        <v>-0.25</v>
      </c>
      <c r="J4739" s="0" t="n">
        <f aca="false">F4739</f>
        <v>0</v>
      </c>
      <c r="K4739" s="0" t="n">
        <f aca="false">D4739*E4739</f>
        <v>-0.25</v>
      </c>
      <c r="L4739" s="0" t="n">
        <f aca="false">D4739*F4739</f>
        <v>0</v>
      </c>
      <c r="M4739" s="0" t="n">
        <f aca="false">E4739*F4739</f>
        <v>-0</v>
      </c>
      <c r="N4739" s="0" t="n">
        <f aca="false">D4739*D4739</f>
        <v>1</v>
      </c>
      <c r="O4739" s="0" t="n">
        <f aca="false">E4739*E4739</f>
        <v>0.0625</v>
      </c>
      <c r="P4739" s="0" t="n">
        <f aca="false">F4739*F4739</f>
        <v>0</v>
      </c>
      <c r="Q4739" s="0" t="n">
        <f aca="false">SUMPRODUCT(G4739:P4739,_XtX!$B$71:$K$71)</f>
        <v>47.5731818181818</v>
      </c>
      <c r="R4739" s="0" t="n">
        <f aca="false">SUMPRODUCT(MMULT(G4739:P4739,_XtX!$B$58:$K$67),G4739:P4739)</f>
        <v>0.483664772727273</v>
      </c>
      <c r="S4739" s="0" t="n">
        <f aca="false">04_回帰ANOVA!$K$19*04_回帰ANOVA!$K$14*SQRT(1+R4739)</f>
        <v>1.13249039846694</v>
      </c>
      <c r="T4739" s="0" t="n">
        <f aca="false">Q4739-S4739</f>
        <v>46.4406914197149</v>
      </c>
      <c r="U4739" s="0" t="n">
        <f aca="false">Q4739+S4739</f>
        <v>48.7056722166487</v>
      </c>
      <c r="V4739" s="54" t="b">
        <f aca="false">AND(D4739&gt;=01_因子設定!$L$5-0.000000001,D4739&lt;=01_因子設定!$M$5+0.000000001,E4739&gt;=01_因子設定!$L$6-0.000000001,E4739&lt;=01_因子設定!$M$6+0.000000001,F4739&gt;=01_因子設定!$L$7-0.000000001,F4739&lt;=01_因子設定!$M$7+0.000000001,IF(01_因子設定!$B$20="Box-Behnken",D4739^2+E4739^2+F4739^2&lt;=2+0.000000001,TRUE()))</f>
        <v>1</v>
      </c>
      <c r="W4739" s="55" t="n">
        <f aca="false">IF(V4739,IF(01_因子設定!$B$13="最大化",T4739-01_因子設定!$B$14,IF(01_因子設定!$B$13="最小化",01_因子設定!$B$15-U4739,MIN(T4739-01_因子設定!$B$14,01_因子設定!$B$15-U4739))),-1E+030)</f>
        <v>-2.05930858028513</v>
      </c>
      <c r="X4739" s="55" t="n">
        <f aca="false">IF(V4739,IF(01_因子設定!$B$13="最大化",Q4739,IF(01_因子設定!$B$13="最小化",-Q4739,-ABS(Q4739-01_因子設定!$B$16))),-1E+030)</f>
        <v>47.5731818181818</v>
      </c>
      <c r="Y4739" s="55" t="n">
        <f aca="false">W4739+ROW()*0.000000001</f>
        <v>-2.05930384128513</v>
      </c>
      <c r="Z4739" s="55" t="n">
        <f aca="false">X4739+ROW()*0.000000001</f>
        <v>47.5731865571818</v>
      </c>
    </row>
    <row r="4740" customFormat="false" ht="15" hidden="false" customHeight="false" outlineLevel="0" collapsed="false">
      <c r="A4740" s="0" t="n">
        <v>16</v>
      </c>
      <c r="B4740" s="0" t="n">
        <v>6</v>
      </c>
      <c r="C4740" s="0" t="n">
        <v>9</v>
      </c>
      <c r="D4740" s="0" t="n">
        <f aca="false">-1+A4740*0.125</f>
        <v>1</v>
      </c>
      <c r="E4740" s="0" t="n">
        <f aca="false">-1+B4740*0.125</f>
        <v>-0.25</v>
      </c>
      <c r="F4740" s="0" t="n">
        <f aca="false">-1+C4740*0.125</f>
        <v>0.125</v>
      </c>
      <c r="G4740" s="0" t="n">
        <f aca="false">1</f>
        <v>1</v>
      </c>
      <c r="H4740" s="0" t="n">
        <f aca="false">D4740</f>
        <v>1</v>
      </c>
      <c r="I4740" s="0" t="n">
        <f aca="false">E4740</f>
        <v>-0.25</v>
      </c>
      <c r="J4740" s="0" t="n">
        <f aca="false">F4740</f>
        <v>0.125</v>
      </c>
      <c r="K4740" s="0" t="n">
        <f aca="false">D4740*E4740</f>
        <v>-0.25</v>
      </c>
      <c r="L4740" s="0" t="n">
        <f aca="false">D4740*F4740</f>
        <v>0.125</v>
      </c>
      <c r="M4740" s="0" t="n">
        <f aca="false">E4740*F4740</f>
        <v>-0.03125</v>
      </c>
      <c r="N4740" s="0" t="n">
        <f aca="false">D4740*D4740</f>
        <v>1</v>
      </c>
      <c r="O4740" s="0" t="n">
        <f aca="false">E4740*E4740</f>
        <v>0.0625</v>
      </c>
      <c r="P4740" s="0" t="n">
        <f aca="false">F4740*F4740</f>
        <v>0.015625</v>
      </c>
      <c r="Q4740" s="0" t="n">
        <f aca="false">SUMPRODUCT(G4740:P4740,_XtX!$B$71:$K$71)</f>
        <v>47.6944744318182</v>
      </c>
      <c r="R4740" s="0" t="n">
        <f aca="false">SUMPRODUCT(MMULT(G4740:P4740,_XtX!$B$58:$K$67),G4740:P4740)</f>
        <v>0.481443093039773</v>
      </c>
      <c r="S4740" s="0" t="n">
        <f aca="false">04_回帰ANOVA!$K$19*04_回帰ANOVA!$K$14*SQRT(1+R4740)</f>
        <v>1.13164216995877</v>
      </c>
      <c r="T4740" s="0" t="n">
        <f aca="false">Q4740-S4740</f>
        <v>46.5628322618594</v>
      </c>
      <c r="U4740" s="0" t="n">
        <f aca="false">Q4740+S4740</f>
        <v>48.8261166017769</v>
      </c>
      <c r="V4740" s="54" t="b">
        <f aca="false">AND(D4740&gt;=01_因子設定!$L$5-0.000000001,D4740&lt;=01_因子設定!$M$5+0.000000001,E4740&gt;=01_因子設定!$L$6-0.000000001,E4740&lt;=01_因子設定!$M$6+0.000000001,F4740&gt;=01_因子設定!$L$7-0.000000001,F4740&lt;=01_因子設定!$M$7+0.000000001,IF(01_因子設定!$B$20="Box-Behnken",D4740^2+E4740^2+F4740^2&lt;=2+0.000000001,TRUE()))</f>
        <v>1</v>
      </c>
      <c r="W4740" s="55" t="n">
        <f aca="false">IF(V4740,IF(01_因子設定!$B$13="最大化",T4740-01_因子設定!$B$14,IF(01_因子設定!$B$13="最小化",01_因子設定!$B$15-U4740,MIN(T4740-01_因子設定!$B$14,01_因子設定!$B$15-U4740))),-1E+030)</f>
        <v>-1.93716773814059</v>
      </c>
      <c r="X4740" s="55" t="n">
        <f aca="false">IF(V4740,IF(01_因子設定!$B$13="最大化",Q4740,IF(01_因子設定!$B$13="最小化",-Q4740,-ABS(Q4740-01_因子設定!$B$16))),-1E+030)</f>
        <v>47.6944744318182</v>
      </c>
      <c r="Y4740" s="55" t="n">
        <f aca="false">W4740+ROW()*0.000000001</f>
        <v>-1.93716299814059</v>
      </c>
      <c r="Z4740" s="55" t="n">
        <f aca="false">X4740+ROW()*0.000000001</f>
        <v>47.6944791718182</v>
      </c>
    </row>
    <row r="4741" customFormat="false" ht="15" hidden="false" customHeight="false" outlineLevel="0" collapsed="false">
      <c r="A4741" s="0" t="n">
        <v>16</v>
      </c>
      <c r="B4741" s="0" t="n">
        <v>6</v>
      </c>
      <c r="C4741" s="0" t="n">
        <v>10</v>
      </c>
      <c r="D4741" s="0" t="n">
        <f aca="false">-1+A4741*0.125</f>
        <v>1</v>
      </c>
      <c r="E4741" s="0" t="n">
        <f aca="false">-1+B4741*0.125</f>
        <v>-0.25</v>
      </c>
      <c r="F4741" s="0" t="n">
        <f aca="false">-1+C4741*0.125</f>
        <v>0.25</v>
      </c>
      <c r="G4741" s="0" t="n">
        <f aca="false">1</f>
        <v>1</v>
      </c>
      <c r="H4741" s="0" t="n">
        <f aca="false">D4741</f>
        <v>1</v>
      </c>
      <c r="I4741" s="0" t="n">
        <f aca="false">E4741</f>
        <v>-0.25</v>
      </c>
      <c r="J4741" s="0" t="n">
        <f aca="false">F4741</f>
        <v>0.25</v>
      </c>
      <c r="K4741" s="0" t="n">
        <f aca="false">D4741*E4741</f>
        <v>-0.25</v>
      </c>
      <c r="L4741" s="0" t="n">
        <f aca="false">D4741*F4741</f>
        <v>0.25</v>
      </c>
      <c r="M4741" s="0" t="n">
        <f aca="false">E4741*F4741</f>
        <v>-0.0625</v>
      </c>
      <c r="N4741" s="0" t="n">
        <f aca="false">D4741*D4741</f>
        <v>1</v>
      </c>
      <c r="O4741" s="0" t="n">
        <f aca="false">E4741*E4741</f>
        <v>0.0625</v>
      </c>
      <c r="P4741" s="0" t="n">
        <f aca="false">F4741*F4741</f>
        <v>0.0625</v>
      </c>
      <c r="Q4741" s="0" t="n">
        <f aca="false">SUMPRODUCT(G4741:P4741,_XtX!$B$71:$K$71)</f>
        <v>47.7789772727273</v>
      </c>
      <c r="R4741" s="0" t="n">
        <f aca="false">SUMPRODUCT(MMULT(G4741:P4741,_XtX!$B$58:$K$67),G4741:P4741)</f>
        <v>0.475843394886364</v>
      </c>
      <c r="S4741" s="0" t="n">
        <f aca="false">04_回帰ANOVA!$K$19*04_回帰ANOVA!$K$14*SQRT(1+R4741)</f>
        <v>1.12950140123694</v>
      </c>
      <c r="T4741" s="0" t="n">
        <f aca="false">Q4741-S4741</f>
        <v>46.6494758714903</v>
      </c>
      <c r="U4741" s="0" t="n">
        <f aca="false">Q4741+S4741</f>
        <v>48.9084786739642</v>
      </c>
      <c r="V4741" s="54" t="b">
        <f aca="false">AND(D4741&gt;=01_因子設定!$L$5-0.000000001,D4741&lt;=01_因子設定!$M$5+0.000000001,E4741&gt;=01_因子設定!$L$6-0.000000001,E4741&lt;=01_因子設定!$M$6+0.000000001,F4741&gt;=01_因子設定!$L$7-0.000000001,F4741&lt;=01_因子設定!$M$7+0.000000001,IF(01_因子設定!$B$20="Box-Behnken",D4741^2+E4741^2+F4741^2&lt;=2+0.000000001,TRUE()))</f>
        <v>1</v>
      </c>
      <c r="W4741" s="55" t="n">
        <f aca="false">IF(V4741,IF(01_因子設定!$B$13="最大化",T4741-01_因子設定!$B$14,IF(01_因子設定!$B$13="最小化",01_因子設定!$B$15-U4741,MIN(T4741-01_因子設定!$B$14,01_因子設定!$B$15-U4741))),-1E+030)</f>
        <v>-1.85052412850968</v>
      </c>
      <c r="X4741" s="55" t="n">
        <f aca="false">IF(V4741,IF(01_因子設定!$B$13="最大化",Q4741,IF(01_因子設定!$B$13="最小化",-Q4741,-ABS(Q4741-01_因子設定!$B$16))),-1E+030)</f>
        <v>47.7789772727273</v>
      </c>
      <c r="Y4741" s="55" t="n">
        <f aca="false">W4741+ROW()*0.000000001</f>
        <v>-1.85051938750968</v>
      </c>
      <c r="Z4741" s="55" t="n">
        <f aca="false">X4741+ROW()*0.000000001</f>
        <v>47.7789820137273</v>
      </c>
    </row>
    <row r="4742" customFormat="false" ht="15" hidden="false" customHeight="false" outlineLevel="0" collapsed="false">
      <c r="A4742" s="0" t="n">
        <v>16</v>
      </c>
      <c r="B4742" s="0" t="n">
        <v>6</v>
      </c>
      <c r="C4742" s="0" t="n">
        <v>11</v>
      </c>
      <c r="D4742" s="0" t="n">
        <f aca="false">-1+A4742*0.125</f>
        <v>1</v>
      </c>
      <c r="E4742" s="0" t="n">
        <f aca="false">-1+B4742*0.125</f>
        <v>-0.25</v>
      </c>
      <c r="F4742" s="0" t="n">
        <f aca="false">-1+C4742*0.125</f>
        <v>0.375</v>
      </c>
      <c r="G4742" s="0" t="n">
        <f aca="false">1</f>
        <v>1</v>
      </c>
      <c r="H4742" s="0" t="n">
        <f aca="false">D4742</f>
        <v>1</v>
      </c>
      <c r="I4742" s="0" t="n">
        <f aca="false">E4742</f>
        <v>-0.25</v>
      </c>
      <c r="J4742" s="0" t="n">
        <f aca="false">F4742</f>
        <v>0.375</v>
      </c>
      <c r="K4742" s="0" t="n">
        <f aca="false">D4742*E4742</f>
        <v>-0.25</v>
      </c>
      <c r="L4742" s="0" t="n">
        <f aca="false">D4742*F4742</f>
        <v>0.375</v>
      </c>
      <c r="M4742" s="0" t="n">
        <f aca="false">E4742*F4742</f>
        <v>-0.09375</v>
      </c>
      <c r="N4742" s="0" t="n">
        <f aca="false">D4742*D4742</f>
        <v>1</v>
      </c>
      <c r="O4742" s="0" t="n">
        <f aca="false">E4742*E4742</f>
        <v>0.0625</v>
      </c>
      <c r="P4742" s="0" t="n">
        <f aca="false">F4742*F4742</f>
        <v>0.140625</v>
      </c>
      <c r="Q4742" s="0" t="n">
        <f aca="false">SUMPRODUCT(G4742:P4742,_XtX!$B$71:$K$71)</f>
        <v>47.8266903409091</v>
      </c>
      <c r="R4742" s="0" t="n">
        <f aca="false">SUMPRODUCT(MMULT(G4742:P4742,_XtX!$B$58:$K$67),G4742:P4742)</f>
        <v>0.470061700994318</v>
      </c>
      <c r="S4742" s="0" t="n">
        <f aca="false">04_回帰ANOVA!$K$19*04_回帰ANOVA!$K$14*SQRT(1+R4742)</f>
        <v>1.12728678965931</v>
      </c>
      <c r="T4742" s="0" t="n">
        <f aca="false">Q4742-S4742</f>
        <v>46.6994035512498</v>
      </c>
      <c r="U4742" s="0" t="n">
        <f aca="false">Q4742+S4742</f>
        <v>48.9539771305684</v>
      </c>
      <c r="V4742" s="54" t="b">
        <f aca="false">AND(D4742&gt;=01_因子設定!$L$5-0.000000001,D4742&lt;=01_因子設定!$M$5+0.000000001,E4742&gt;=01_因子設定!$L$6-0.000000001,E4742&lt;=01_因子設定!$M$6+0.000000001,F4742&gt;=01_因子設定!$L$7-0.000000001,F4742&lt;=01_因子設定!$M$7+0.000000001,IF(01_因子設定!$B$20="Box-Behnken",D4742^2+E4742^2+F4742^2&lt;=2+0.000000001,TRUE()))</f>
        <v>1</v>
      </c>
      <c r="W4742" s="55" t="n">
        <f aca="false">IF(V4742,IF(01_因子設定!$B$13="最大化",T4742-01_因子設定!$B$14,IF(01_因子設定!$B$13="最小化",01_因子設定!$B$15-U4742,MIN(T4742-01_因子設定!$B$14,01_因子設定!$B$15-U4742))),-1E+030)</f>
        <v>-1.80059644875023</v>
      </c>
      <c r="X4742" s="55" t="n">
        <f aca="false">IF(V4742,IF(01_因子設定!$B$13="最大化",Q4742,IF(01_因子設定!$B$13="最小化",-Q4742,-ABS(Q4742-01_因子設定!$B$16))),-1E+030)</f>
        <v>47.8266903409091</v>
      </c>
      <c r="Y4742" s="55" t="n">
        <f aca="false">W4742+ROW()*0.000000001</f>
        <v>-1.80059170675023</v>
      </c>
      <c r="Z4742" s="55" t="n">
        <f aca="false">X4742+ROW()*0.000000001</f>
        <v>47.8266950829091</v>
      </c>
    </row>
    <row r="4743" customFormat="false" ht="15" hidden="false" customHeight="false" outlineLevel="0" collapsed="false">
      <c r="A4743" s="0" t="n">
        <v>16</v>
      </c>
      <c r="B4743" s="0" t="n">
        <v>6</v>
      </c>
      <c r="C4743" s="0" t="n">
        <v>12</v>
      </c>
      <c r="D4743" s="0" t="n">
        <f aca="false">-1+A4743*0.125</f>
        <v>1</v>
      </c>
      <c r="E4743" s="0" t="n">
        <f aca="false">-1+B4743*0.125</f>
        <v>-0.25</v>
      </c>
      <c r="F4743" s="0" t="n">
        <f aca="false">-1+C4743*0.125</f>
        <v>0.5</v>
      </c>
      <c r="G4743" s="0" t="n">
        <f aca="false">1</f>
        <v>1</v>
      </c>
      <c r="H4743" s="0" t="n">
        <f aca="false">D4743</f>
        <v>1</v>
      </c>
      <c r="I4743" s="0" t="n">
        <f aca="false">E4743</f>
        <v>-0.25</v>
      </c>
      <c r="J4743" s="0" t="n">
        <f aca="false">F4743</f>
        <v>0.5</v>
      </c>
      <c r="K4743" s="0" t="n">
        <f aca="false">D4743*E4743</f>
        <v>-0.25</v>
      </c>
      <c r="L4743" s="0" t="n">
        <f aca="false">D4743*F4743</f>
        <v>0.5</v>
      </c>
      <c r="M4743" s="0" t="n">
        <f aca="false">E4743*F4743</f>
        <v>-0.125</v>
      </c>
      <c r="N4743" s="0" t="n">
        <f aca="false">D4743*D4743</f>
        <v>1</v>
      </c>
      <c r="O4743" s="0" t="n">
        <f aca="false">E4743*E4743</f>
        <v>0.0625</v>
      </c>
      <c r="P4743" s="0" t="n">
        <f aca="false">F4743*F4743</f>
        <v>0.25</v>
      </c>
      <c r="Q4743" s="0" t="n">
        <f aca="false">SUMPRODUCT(G4743:P4743,_XtX!$B$71:$K$71)</f>
        <v>47.8376136363636</v>
      </c>
      <c r="R4743" s="0" t="n">
        <f aca="false">SUMPRODUCT(MMULT(G4743:P4743,_XtX!$B$58:$K$67),G4743:P4743)</f>
        <v>0.469424715909091</v>
      </c>
      <c r="S4743" s="0" t="n">
        <f aca="false">04_回帰ANOVA!$K$19*04_回帰ANOVA!$K$14*SQRT(1+R4743)</f>
        <v>1.12704253369596</v>
      </c>
      <c r="T4743" s="0" t="n">
        <f aca="false">Q4743-S4743</f>
        <v>46.7105711026677</v>
      </c>
      <c r="U4743" s="0" t="n">
        <f aca="false">Q4743+S4743</f>
        <v>48.9646561700596</v>
      </c>
      <c r="V4743" s="54" t="b">
        <f aca="false">AND(D4743&gt;=01_因子設定!$L$5-0.000000001,D4743&lt;=01_因子設定!$M$5+0.000000001,E4743&gt;=01_因子設定!$L$6-0.000000001,E4743&lt;=01_因子設定!$M$6+0.000000001,F4743&gt;=01_因子設定!$L$7-0.000000001,F4743&lt;=01_因子設定!$M$7+0.000000001,IF(01_因子設定!$B$20="Box-Behnken",D4743^2+E4743^2+F4743^2&lt;=2+0.000000001,TRUE()))</f>
        <v>1</v>
      </c>
      <c r="W4743" s="55" t="n">
        <f aca="false">IF(V4743,IF(01_因子設定!$B$13="最大化",T4743-01_因子設定!$B$14,IF(01_因子設定!$B$13="最小化",01_因子設定!$B$15-U4743,MIN(T4743-01_因子設定!$B$14,01_因子設定!$B$15-U4743))),-1E+030)</f>
        <v>-1.78942889733233</v>
      </c>
      <c r="X4743" s="55" t="n">
        <f aca="false">IF(V4743,IF(01_因子設定!$B$13="最大化",Q4743,IF(01_因子設定!$B$13="最小化",-Q4743,-ABS(Q4743-01_因子設定!$B$16))),-1E+030)</f>
        <v>47.8376136363636</v>
      </c>
      <c r="Y4743" s="55" t="n">
        <f aca="false">W4743+ROW()*0.000000001</f>
        <v>-1.78942415433233</v>
      </c>
      <c r="Z4743" s="55" t="n">
        <f aca="false">X4743+ROW()*0.000000001</f>
        <v>47.8376183793636</v>
      </c>
    </row>
    <row r="4744" customFormat="false" ht="15" hidden="false" customHeight="false" outlineLevel="0" collapsed="false">
      <c r="A4744" s="0" t="n">
        <v>16</v>
      </c>
      <c r="B4744" s="0" t="n">
        <v>6</v>
      </c>
      <c r="C4744" s="0" t="n">
        <v>13</v>
      </c>
      <c r="D4744" s="0" t="n">
        <f aca="false">-1+A4744*0.125</f>
        <v>1</v>
      </c>
      <c r="E4744" s="0" t="n">
        <f aca="false">-1+B4744*0.125</f>
        <v>-0.25</v>
      </c>
      <c r="F4744" s="0" t="n">
        <f aca="false">-1+C4744*0.125</f>
        <v>0.625</v>
      </c>
      <c r="G4744" s="0" t="n">
        <f aca="false">1</f>
        <v>1</v>
      </c>
      <c r="H4744" s="0" t="n">
        <f aca="false">D4744</f>
        <v>1</v>
      </c>
      <c r="I4744" s="0" t="n">
        <f aca="false">E4744</f>
        <v>-0.25</v>
      </c>
      <c r="J4744" s="0" t="n">
        <f aca="false">F4744</f>
        <v>0.625</v>
      </c>
      <c r="K4744" s="0" t="n">
        <f aca="false">D4744*E4744</f>
        <v>-0.25</v>
      </c>
      <c r="L4744" s="0" t="n">
        <f aca="false">D4744*F4744</f>
        <v>0.625</v>
      </c>
      <c r="M4744" s="0" t="n">
        <f aca="false">E4744*F4744</f>
        <v>-0.15625</v>
      </c>
      <c r="N4744" s="0" t="n">
        <f aca="false">D4744*D4744</f>
        <v>1</v>
      </c>
      <c r="O4744" s="0" t="n">
        <f aca="false">E4744*E4744</f>
        <v>0.0625</v>
      </c>
      <c r="P4744" s="0" t="n">
        <f aca="false">F4744*F4744</f>
        <v>0.390625</v>
      </c>
      <c r="Q4744" s="0" t="n">
        <f aca="false">SUMPRODUCT(G4744:P4744,_XtX!$B$71:$K$71)</f>
        <v>47.8117471590909</v>
      </c>
      <c r="R4744" s="0" t="n">
        <f aca="false">SUMPRODUCT(MMULT(G4744:P4744,_XtX!$B$58:$K$67),G4744:P4744)</f>
        <v>0.481389825994318</v>
      </c>
      <c r="S4744" s="0" t="n">
        <f aca="false">04_回帰ANOVA!$K$19*04_回帰ANOVA!$K$14*SQRT(1+R4744)</f>
        <v>1.13162182500693</v>
      </c>
      <c r="T4744" s="0" t="n">
        <f aca="false">Q4744-S4744</f>
        <v>46.680125334084</v>
      </c>
      <c r="U4744" s="0" t="n">
        <f aca="false">Q4744+S4744</f>
        <v>48.9433689840978</v>
      </c>
      <c r="V4744" s="54" t="b">
        <f aca="false">AND(D4744&gt;=01_因子設定!$L$5-0.000000001,D4744&lt;=01_因子設定!$M$5+0.000000001,E4744&gt;=01_因子設定!$L$6-0.000000001,E4744&lt;=01_因子設定!$M$6+0.000000001,F4744&gt;=01_因子設定!$L$7-0.000000001,F4744&lt;=01_因子設定!$M$7+0.000000001,IF(01_因子設定!$B$20="Box-Behnken",D4744^2+E4744^2+F4744^2&lt;=2+0.000000001,TRUE()))</f>
        <v>1</v>
      </c>
      <c r="W4744" s="55" t="n">
        <f aca="false">IF(V4744,IF(01_因子設定!$B$13="最大化",T4744-01_因子設定!$B$14,IF(01_因子設定!$B$13="最小化",01_因子設定!$B$15-U4744,MIN(T4744-01_因子設定!$B$14,01_因子設定!$B$15-U4744))),-1E+030)</f>
        <v>-1.81987466591602</v>
      </c>
      <c r="X4744" s="55" t="n">
        <f aca="false">IF(V4744,IF(01_因子設定!$B$13="最大化",Q4744,IF(01_因子設定!$B$13="最小化",-Q4744,-ABS(Q4744-01_因子設定!$B$16))),-1E+030)</f>
        <v>47.8117471590909</v>
      </c>
      <c r="Y4744" s="55" t="n">
        <f aca="false">W4744+ROW()*0.000000001</f>
        <v>-1.81986992191602</v>
      </c>
      <c r="Z4744" s="55" t="n">
        <f aca="false">X4744+ROW()*0.000000001</f>
        <v>47.8117519030909</v>
      </c>
    </row>
    <row r="4745" customFormat="false" ht="15" hidden="false" customHeight="false" outlineLevel="0" collapsed="false">
      <c r="A4745" s="0" t="n">
        <v>16</v>
      </c>
      <c r="B4745" s="0" t="n">
        <v>6</v>
      </c>
      <c r="C4745" s="0" t="n">
        <v>14</v>
      </c>
      <c r="D4745" s="0" t="n">
        <f aca="false">-1+A4745*0.125</f>
        <v>1</v>
      </c>
      <c r="E4745" s="0" t="n">
        <f aca="false">-1+B4745*0.125</f>
        <v>-0.25</v>
      </c>
      <c r="F4745" s="0" t="n">
        <f aca="false">-1+C4745*0.125</f>
        <v>0.75</v>
      </c>
      <c r="G4745" s="0" t="n">
        <f aca="false">1</f>
        <v>1</v>
      </c>
      <c r="H4745" s="0" t="n">
        <f aca="false">D4745</f>
        <v>1</v>
      </c>
      <c r="I4745" s="0" t="n">
        <f aca="false">E4745</f>
        <v>-0.25</v>
      </c>
      <c r="J4745" s="0" t="n">
        <f aca="false">F4745</f>
        <v>0.75</v>
      </c>
      <c r="K4745" s="0" t="n">
        <f aca="false">D4745*E4745</f>
        <v>-0.25</v>
      </c>
      <c r="L4745" s="0" t="n">
        <f aca="false">D4745*F4745</f>
        <v>0.75</v>
      </c>
      <c r="M4745" s="0" t="n">
        <f aca="false">E4745*F4745</f>
        <v>-0.1875</v>
      </c>
      <c r="N4745" s="0" t="n">
        <f aca="false">D4745*D4745</f>
        <v>1</v>
      </c>
      <c r="O4745" s="0" t="n">
        <f aca="false">E4745*E4745</f>
        <v>0.0625</v>
      </c>
      <c r="P4745" s="0" t="n">
        <f aca="false">F4745*F4745</f>
        <v>0.5625</v>
      </c>
      <c r="Q4745" s="0" t="n">
        <f aca="false">SUMPRODUCT(G4745:P4745,_XtX!$B$71:$K$71)</f>
        <v>47.7490909090909</v>
      </c>
      <c r="R4745" s="0" t="n">
        <f aca="false">SUMPRODUCT(MMULT(G4745:P4745,_XtX!$B$58:$K$67),G4745:P4745)</f>
        <v>0.515545099431818</v>
      </c>
      <c r="S4745" s="0" t="n">
        <f aca="false">04_回帰ANOVA!$K$19*04_回帰ANOVA!$K$14*SQRT(1+R4745)</f>
        <v>1.14459295464101</v>
      </c>
      <c r="T4745" s="0" t="n">
        <f aca="false">Q4745-S4745</f>
        <v>46.6044979544499</v>
      </c>
      <c r="U4745" s="0" t="n">
        <f aca="false">Q4745+S4745</f>
        <v>48.8936838637319</v>
      </c>
      <c r="V4745" s="54" t="b">
        <f aca="false">AND(D4745&gt;=01_因子設定!$L$5-0.000000001,D4745&lt;=01_因子設定!$M$5+0.000000001,E4745&gt;=01_因子設定!$L$6-0.000000001,E4745&lt;=01_因子設定!$M$6+0.000000001,F4745&gt;=01_因子設定!$L$7-0.000000001,F4745&lt;=01_因子設定!$M$7+0.000000001,IF(01_因子設定!$B$20="Box-Behnken",D4745^2+E4745^2+F4745^2&lt;=2+0.000000001,TRUE()))</f>
        <v>1</v>
      </c>
      <c r="W4745" s="55" t="n">
        <f aca="false">IF(V4745,IF(01_因子設定!$B$13="最大化",T4745-01_因子設定!$B$14,IF(01_因子設定!$B$13="最小化",01_因子設定!$B$15-U4745,MIN(T4745-01_因子設定!$B$14,01_因子設定!$B$15-U4745))),-1E+030)</f>
        <v>-1.8955020455501</v>
      </c>
      <c r="X4745" s="55" t="n">
        <f aca="false">IF(V4745,IF(01_因子設定!$B$13="最大化",Q4745,IF(01_因子設定!$B$13="最小化",-Q4745,-ABS(Q4745-01_因子設定!$B$16))),-1E+030)</f>
        <v>47.7490909090909</v>
      </c>
      <c r="Y4745" s="55" t="n">
        <f aca="false">W4745+ROW()*0.000000001</f>
        <v>-1.8954973005501</v>
      </c>
      <c r="Z4745" s="55" t="n">
        <f aca="false">X4745+ROW()*0.000000001</f>
        <v>47.7490956540909</v>
      </c>
    </row>
    <row r="4746" customFormat="false" ht="15" hidden="false" customHeight="false" outlineLevel="0" collapsed="false">
      <c r="A4746" s="0" t="n">
        <v>16</v>
      </c>
      <c r="B4746" s="0" t="n">
        <v>6</v>
      </c>
      <c r="C4746" s="0" t="n">
        <v>15</v>
      </c>
      <c r="D4746" s="0" t="n">
        <f aca="false">-1+A4746*0.125</f>
        <v>1</v>
      </c>
      <c r="E4746" s="0" t="n">
        <f aca="false">-1+B4746*0.125</f>
        <v>-0.25</v>
      </c>
      <c r="F4746" s="0" t="n">
        <f aca="false">-1+C4746*0.125</f>
        <v>0.875</v>
      </c>
      <c r="G4746" s="0" t="n">
        <f aca="false">1</f>
        <v>1</v>
      </c>
      <c r="H4746" s="0" t="n">
        <f aca="false">D4746</f>
        <v>1</v>
      </c>
      <c r="I4746" s="0" t="n">
        <f aca="false">E4746</f>
        <v>-0.25</v>
      </c>
      <c r="J4746" s="0" t="n">
        <f aca="false">F4746</f>
        <v>0.875</v>
      </c>
      <c r="K4746" s="0" t="n">
        <f aca="false">D4746*E4746</f>
        <v>-0.25</v>
      </c>
      <c r="L4746" s="0" t="n">
        <f aca="false">D4746*F4746</f>
        <v>0.875</v>
      </c>
      <c r="M4746" s="0" t="n">
        <f aca="false">E4746*F4746</f>
        <v>-0.21875</v>
      </c>
      <c r="N4746" s="0" t="n">
        <f aca="false">D4746*D4746</f>
        <v>1</v>
      </c>
      <c r="O4746" s="0" t="n">
        <f aca="false">E4746*E4746</f>
        <v>0.0625</v>
      </c>
      <c r="P4746" s="0" t="n">
        <f aca="false">F4746*F4746</f>
        <v>0.765625</v>
      </c>
      <c r="Q4746" s="0" t="n">
        <f aca="false">SUMPRODUCT(G4746:P4746,_XtX!$B$71:$K$71)</f>
        <v>47.6496448863636</v>
      </c>
      <c r="R4746" s="0" t="n">
        <f aca="false">SUMPRODUCT(MMULT(G4746:P4746,_XtX!$B$58:$K$67),G4746:P4746)</f>
        <v>0.583609286221591</v>
      </c>
      <c r="S4746" s="0" t="n">
        <f aca="false">04_回帰ANOVA!$K$19*04_回帰ANOVA!$K$14*SQRT(1+R4746)</f>
        <v>1.1700129157584</v>
      </c>
      <c r="T4746" s="0" t="n">
        <f aca="false">Q4746-S4746</f>
        <v>46.4796319706053</v>
      </c>
      <c r="U4746" s="0" t="n">
        <f aca="false">Q4746+S4746</f>
        <v>48.819657802122</v>
      </c>
      <c r="V4746" s="54" t="b">
        <f aca="false">AND(D4746&gt;=01_因子設定!$L$5-0.000000001,D4746&lt;=01_因子設定!$M$5+0.000000001,E4746&gt;=01_因子設定!$L$6-0.000000001,E4746&lt;=01_因子設定!$M$6+0.000000001,F4746&gt;=01_因子設定!$L$7-0.000000001,F4746&lt;=01_因子設定!$M$7+0.000000001,IF(01_因子設定!$B$20="Box-Behnken",D4746^2+E4746^2+F4746^2&lt;=2+0.000000001,TRUE()))</f>
        <v>1</v>
      </c>
      <c r="W4746" s="55" t="n">
        <f aca="false">IF(V4746,IF(01_因子設定!$B$13="最大化",T4746-01_因子設定!$B$14,IF(01_因子設定!$B$13="最小化",01_因子設定!$B$15-U4746,MIN(T4746-01_因子設定!$B$14,01_因子設定!$B$15-U4746))),-1E+030)</f>
        <v>-2.02036802939475</v>
      </c>
      <c r="X4746" s="55" t="n">
        <f aca="false">IF(V4746,IF(01_因子設定!$B$13="最大化",Q4746,IF(01_因子設定!$B$13="最小化",-Q4746,-ABS(Q4746-01_因子設定!$B$16))),-1E+030)</f>
        <v>47.6496448863636</v>
      </c>
      <c r="Y4746" s="55" t="n">
        <f aca="false">W4746+ROW()*0.000000001</f>
        <v>-2.02036328339475</v>
      </c>
      <c r="Z4746" s="55" t="n">
        <f aca="false">X4746+ROW()*0.000000001</f>
        <v>47.6496496323636</v>
      </c>
    </row>
    <row r="4747" customFormat="false" ht="15" hidden="false" customHeight="false" outlineLevel="0" collapsed="false">
      <c r="A4747" s="0" t="n">
        <v>16</v>
      </c>
      <c r="B4747" s="0" t="n">
        <v>6</v>
      </c>
      <c r="C4747" s="0" t="n">
        <v>16</v>
      </c>
      <c r="D4747" s="0" t="n">
        <f aca="false">-1+A4747*0.125</f>
        <v>1</v>
      </c>
      <c r="E4747" s="0" t="n">
        <f aca="false">-1+B4747*0.125</f>
        <v>-0.25</v>
      </c>
      <c r="F4747" s="0" t="n">
        <f aca="false">-1+C4747*0.125</f>
        <v>1</v>
      </c>
      <c r="G4747" s="0" t="n">
        <f aca="false">1</f>
        <v>1</v>
      </c>
      <c r="H4747" s="0" t="n">
        <f aca="false">D4747</f>
        <v>1</v>
      </c>
      <c r="I4747" s="0" t="n">
        <f aca="false">E4747</f>
        <v>-0.25</v>
      </c>
      <c r="J4747" s="0" t="n">
        <f aca="false">F4747</f>
        <v>1</v>
      </c>
      <c r="K4747" s="0" t="n">
        <f aca="false">D4747*E4747</f>
        <v>-0.25</v>
      </c>
      <c r="L4747" s="0" t="n">
        <f aca="false">D4747*F4747</f>
        <v>1</v>
      </c>
      <c r="M4747" s="0" t="n">
        <f aca="false">E4747*F4747</f>
        <v>-0.25</v>
      </c>
      <c r="N4747" s="0" t="n">
        <f aca="false">D4747*D4747</f>
        <v>1</v>
      </c>
      <c r="O4747" s="0" t="n">
        <f aca="false">E4747*E4747</f>
        <v>0.0625</v>
      </c>
      <c r="P4747" s="0" t="n">
        <f aca="false">F4747*F4747</f>
        <v>1</v>
      </c>
      <c r="Q4747" s="0" t="n">
        <f aca="false">SUMPRODUCT(G4747:P4747,_XtX!$B$71:$K$71)</f>
        <v>47.5134090909091</v>
      </c>
      <c r="R4747" s="0" t="n">
        <f aca="false">SUMPRODUCT(MMULT(G4747:P4747,_XtX!$B$58:$K$67),G4747:P4747)</f>
        <v>0.699431818181818</v>
      </c>
      <c r="S4747" s="0" t="n">
        <f aca="false">04_回帰ANOVA!$K$19*04_回帰ANOVA!$K$14*SQRT(1+R4747)</f>
        <v>1.21204434231192</v>
      </c>
      <c r="T4747" s="0" t="n">
        <f aca="false">Q4747-S4747</f>
        <v>46.3013647485972</v>
      </c>
      <c r="U4747" s="0" t="n">
        <f aca="false">Q4747+S4747</f>
        <v>48.725453433221</v>
      </c>
      <c r="V4747" s="54" t="b">
        <f aca="false">AND(D4747&gt;=01_因子設定!$L$5-0.000000001,D4747&lt;=01_因子設定!$M$5+0.000000001,E4747&gt;=01_因子設定!$L$6-0.000000001,E4747&lt;=01_因子設定!$M$6+0.000000001,F4747&gt;=01_因子設定!$L$7-0.000000001,F4747&lt;=01_因子設定!$M$7+0.000000001,IF(01_因子設定!$B$20="Box-Behnken",D4747^2+E4747^2+F4747^2&lt;=2+0.000000001,TRUE()))</f>
        <v>1</v>
      </c>
      <c r="W4747" s="55" t="n">
        <f aca="false">IF(V4747,IF(01_因子設定!$B$13="最大化",T4747-01_因子設定!$B$14,IF(01_因子設定!$B$13="最小化",01_因子設定!$B$15-U4747,MIN(T4747-01_因子設定!$B$14,01_因子設定!$B$15-U4747))),-1E+030)</f>
        <v>-2.19863525140282</v>
      </c>
      <c r="X4747" s="55" t="n">
        <f aca="false">IF(V4747,IF(01_因子設定!$B$13="最大化",Q4747,IF(01_因子設定!$B$13="最小化",-Q4747,-ABS(Q4747-01_因子設定!$B$16))),-1E+030)</f>
        <v>47.5134090909091</v>
      </c>
      <c r="Y4747" s="55" t="n">
        <f aca="false">W4747+ROW()*0.000000001</f>
        <v>-2.19863050440282</v>
      </c>
      <c r="Z4747" s="55" t="n">
        <f aca="false">X4747+ROW()*0.000000001</f>
        <v>47.5134138379091</v>
      </c>
    </row>
    <row r="4748" customFormat="false" ht="15" hidden="false" customHeight="false" outlineLevel="0" collapsed="false">
      <c r="A4748" s="0" t="n">
        <v>16</v>
      </c>
      <c r="B4748" s="0" t="n">
        <v>7</v>
      </c>
      <c r="C4748" s="0" t="n">
        <v>0</v>
      </c>
      <c r="D4748" s="0" t="n">
        <f aca="false">-1+A4748*0.125</f>
        <v>1</v>
      </c>
      <c r="E4748" s="0" t="n">
        <f aca="false">-1+B4748*0.125</f>
        <v>-0.125</v>
      </c>
      <c r="F4748" s="0" t="n">
        <f aca="false">-1+C4748*0.125</f>
        <v>-1</v>
      </c>
      <c r="G4748" s="0" t="n">
        <f aca="false">1</f>
        <v>1</v>
      </c>
      <c r="H4748" s="0" t="n">
        <f aca="false">D4748</f>
        <v>1</v>
      </c>
      <c r="I4748" s="0" t="n">
        <f aca="false">E4748</f>
        <v>-0.125</v>
      </c>
      <c r="J4748" s="0" t="n">
        <f aca="false">F4748</f>
        <v>-1</v>
      </c>
      <c r="K4748" s="0" t="n">
        <f aca="false">D4748*E4748</f>
        <v>-0.125</v>
      </c>
      <c r="L4748" s="0" t="n">
        <f aca="false">D4748*F4748</f>
        <v>-1</v>
      </c>
      <c r="M4748" s="0" t="n">
        <f aca="false">E4748*F4748</f>
        <v>0.125</v>
      </c>
      <c r="N4748" s="0" t="n">
        <f aca="false">D4748*D4748</f>
        <v>1</v>
      </c>
      <c r="O4748" s="0" t="n">
        <f aca="false">E4748*E4748</f>
        <v>0.015625</v>
      </c>
      <c r="P4748" s="0" t="n">
        <f aca="false">F4748*F4748</f>
        <v>1</v>
      </c>
      <c r="Q4748" s="0" t="n">
        <f aca="false">SUMPRODUCT(G4748:P4748,_XtX!$B$71:$K$71)</f>
        <v>45.7290625</v>
      </c>
      <c r="R4748" s="0" t="n">
        <f aca="false">SUMPRODUCT(MMULT(G4748:P4748,_XtX!$B$58:$K$67),G4748:P4748)</f>
        <v>0.7115234375</v>
      </c>
      <c r="S4748" s="0" t="n">
        <f aca="false">04_回帰ANOVA!$K$19*04_回帰ANOVA!$K$14*SQRT(1+R4748)</f>
        <v>1.21634860506574</v>
      </c>
      <c r="T4748" s="0" t="n">
        <f aca="false">Q4748-S4748</f>
        <v>44.5127138949343</v>
      </c>
      <c r="U4748" s="0" t="n">
        <f aca="false">Q4748+S4748</f>
        <v>46.9454111050657</v>
      </c>
      <c r="V4748" s="54" t="b">
        <f aca="false">AND(D4748&gt;=01_因子設定!$L$5-0.000000001,D4748&lt;=01_因子設定!$M$5+0.000000001,E4748&gt;=01_因子設定!$L$6-0.000000001,E4748&lt;=01_因子設定!$M$6+0.000000001,F4748&gt;=01_因子設定!$L$7-0.000000001,F4748&lt;=01_因子設定!$M$7+0.000000001,IF(01_因子設定!$B$20="Box-Behnken",D4748^2+E4748^2+F4748^2&lt;=2+0.000000001,TRUE()))</f>
        <v>1</v>
      </c>
      <c r="W4748" s="55" t="n">
        <f aca="false">IF(V4748,IF(01_因子設定!$B$13="最大化",T4748-01_因子設定!$B$14,IF(01_因子設定!$B$13="最小化",01_因子設定!$B$15-U4748,MIN(T4748-01_因子設定!$B$14,01_因子設定!$B$15-U4748))),-1E+030)</f>
        <v>-3.98728610506573</v>
      </c>
      <c r="X4748" s="55" t="n">
        <f aca="false">IF(V4748,IF(01_因子設定!$B$13="最大化",Q4748,IF(01_因子設定!$B$13="最小化",-Q4748,-ABS(Q4748-01_因子設定!$B$16))),-1E+030)</f>
        <v>45.7290625</v>
      </c>
      <c r="Y4748" s="55" t="n">
        <f aca="false">W4748+ROW()*0.000000001</f>
        <v>-3.98728135706573</v>
      </c>
      <c r="Z4748" s="55" t="n">
        <f aca="false">X4748+ROW()*0.000000001</f>
        <v>45.729067248</v>
      </c>
    </row>
    <row r="4749" customFormat="false" ht="15" hidden="false" customHeight="false" outlineLevel="0" collapsed="false">
      <c r="A4749" s="0" t="n">
        <v>16</v>
      </c>
      <c r="B4749" s="0" t="n">
        <v>7</v>
      </c>
      <c r="C4749" s="0" t="n">
        <v>1</v>
      </c>
      <c r="D4749" s="0" t="n">
        <f aca="false">-1+A4749*0.125</f>
        <v>1</v>
      </c>
      <c r="E4749" s="0" t="n">
        <f aca="false">-1+B4749*0.125</f>
        <v>-0.125</v>
      </c>
      <c r="F4749" s="0" t="n">
        <f aca="false">-1+C4749*0.125</f>
        <v>-0.875</v>
      </c>
      <c r="G4749" s="0" t="n">
        <f aca="false">1</f>
        <v>1</v>
      </c>
      <c r="H4749" s="0" t="n">
        <f aca="false">D4749</f>
        <v>1</v>
      </c>
      <c r="I4749" s="0" t="n">
        <f aca="false">E4749</f>
        <v>-0.125</v>
      </c>
      <c r="J4749" s="0" t="n">
        <f aca="false">F4749</f>
        <v>-0.875</v>
      </c>
      <c r="K4749" s="0" t="n">
        <f aca="false">D4749*E4749</f>
        <v>-0.125</v>
      </c>
      <c r="L4749" s="0" t="n">
        <f aca="false">D4749*F4749</f>
        <v>-0.875</v>
      </c>
      <c r="M4749" s="0" t="n">
        <f aca="false">E4749*F4749</f>
        <v>0.109375</v>
      </c>
      <c r="N4749" s="0" t="n">
        <f aca="false">D4749*D4749</f>
        <v>1</v>
      </c>
      <c r="O4749" s="0" t="n">
        <f aca="false">E4749*E4749</f>
        <v>0.015625</v>
      </c>
      <c r="P4749" s="0" t="n">
        <f aca="false">F4749*F4749</f>
        <v>0.765625</v>
      </c>
      <c r="Q4749" s="0" t="n">
        <f aca="false">SUMPRODUCT(G4749:P4749,_XtX!$B$71:$K$71)</f>
        <v>46.1517045454546</v>
      </c>
      <c r="R4749" s="0" t="n">
        <f aca="false">SUMPRODUCT(MMULT(G4749:P4749,_XtX!$B$58:$K$67),G4749:P4749)</f>
        <v>0.59407792524858</v>
      </c>
      <c r="S4749" s="0" t="n">
        <f aca="false">04_回帰ANOVA!$K$19*04_回帰ANOVA!$K$14*SQRT(1+R4749)</f>
        <v>1.17387380087722</v>
      </c>
      <c r="T4749" s="0" t="n">
        <f aca="false">Q4749-S4749</f>
        <v>44.9778307445773</v>
      </c>
      <c r="U4749" s="0" t="n">
        <f aca="false">Q4749+S4749</f>
        <v>47.3255783463318</v>
      </c>
      <c r="V4749" s="54" t="b">
        <f aca="false">AND(D4749&gt;=01_因子設定!$L$5-0.000000001,D4749&lt;=01_因子設定!$M$5+0.000000001,E4749&gt;=01_因子設定!$L$6-0.000000001,E4749&lt;=01_因子設定!$M$6+0.000000001,F4749&gt;=01_因子設定!$L$7-0.000000001,F4749&lt;=01_因子設定!$M$7+0.000000001,IF(01_因子設定!$B$20="Box-Behnken",D4749^2+E4749^2+F4749^2&lt;=2+0.000000001,TRUE()))</f>
        <v>1</v>
      </c>
      <c r="W4749" s="55" t="n">
        <f aca="false">IF(V4749,IF(01_因子設定!$B$13="最大化",T4749-01_因子設定!$B$14,IF(01_因子設定!$B$13="最小化",01_因子設定!$B$15-U4749,MIN(T4749-01_因子設定!$B$14,01_因子設定!$B$15-U4749))),-1E+030)</f>
        <v>-3.52216925542267</v>
      </c>
      <c r="X4749" s="55" t="n">
        <f aca="false">IF(V4749,IF(01_因子設定!$B$13="最大化",Q4749,IF(01_因子設定!$B$13="最小化",-Q4749,-ABS(Q4749-01_因子設定!$B$16))),-1E+030)</f>
        <v>46.1517045454546</v>
      </c>
      <c r="Y4749" s="55" t="n">
        <f aca="false">W4749+ROW()*0.000000001</f>
        <v>-3.52216450642267</v>
      </c>
      <c r="Z4749" s="55" t="n">
        <f aca="false">X4749+ROW()*0.000000001</f>
        <v>46.1517092944546</v>
      </c>
    </row>
    <row r="4750" customFormat="false" ht="15" hidden="false" customHeight="false" outlineLevel="0" collapsed="false">
      <c r="A4750" s="0" t="n">
        <v>16</v>
      </c>
      <c r="B4750" s="0" t="n">
        <v>7</v>
      </c>
      <c r="C4750" s="0" t="n">
        <v>2</v>
      </c>
      <c r="D4750" s="0" t="n">
        <f aca="false">-1+A4750*0.125</f>
        <v>1</v>
      </c>
      <c r="E4750" s="0" t="n">
        <f aca="false">-1+B4750*0.125</f>
        <v>-0.125</v>
      </c>
      <c r="F4750" s="0" t="n">
        <f aca="false">-1+C4750*0.125</f>
        <v>-0.75</v>
      </c>
      <c r="G4750" s="0" t="n">
        <f aca="false">1</f>
        <v>1</v>
      </c>
      <c r="H4750" s="0" t="n">
        <f aca="false">D4750</f>
        <v>1</v>
      </c>
      <c r="I4750" s="0" t="n">
        <f aca="false">E4750</f>
        <v>-0.125</v>
      </c>
      <c r="J4750" s="0" t="n">
        <f aca="false">F4750</f>
        <v>-0.75</v>
      </c>
      <c r="K4750" s="0" t="n">
        <f aca="false">D4750*E4750</f>
        <v>-0.125</v>
      </c>
      <c r="L4750" s="0" t="n">
        <f aca="false">D4750*F4750</f>
        <v>-0.75</v>
      </c>
      <c r="M4750" s="0" t="n">
        <f aca="false">E4750*F4750</f>
        <v>0.09375</v>
      </c>
      <c r="N4750" s="0" t="n">
        <f aca="false">D4750*D4750</f>
        <v>1</v>
      </c>
      <c r="O4750" s="0" t="n">
        <f aca="false">E4750*E4750</f>
        <v>0.015625</v>
      </c>
      <c r="P4750" s="0" t="n">
        <f aca="false">F4750*F4750</f>
        <v>0.5625</v>
      </c>
      <c r="Q4750" s="0" t="n">
        <f aca="false">SUMPRODUCT(G4750:P4750,_XtX!$B$71:$K$71)</f>
        <v>46.5375568181818</v>
      </c>
      <c r="R4750" s="0" t="n">
        <f aca="false">SUMPRODUCT(MMULT(G4750:P4750,_XtX!$B$58:$K$67),G4750:P4750)</f>
        <v>0.524607155539773</v>
      </c>
      <c r="S4750" s="0" t="n">
        <f aca="false">04_回帰ANOVA!$K$19*04_回帰ANOVA!$K$14*SQRT(1+R4750)</f>
        <v>1.14800984623412</v>
      </c>
      <c r="T4750" s="0" t="n">
        <f aca="false">Q4750-S4750</f>
        <v>45.3895469719477</v>
      </c>
      <c r="U4750" s="0" t="n">
        <f aca="false">Q4750+S4750</f>
        <v>47.6855666644159</v>
      </c>
      <c r="V4750" s="54" t="b">
        <f aca="false">AND(D4750&gt;=01_因子設定!$L$5-0.000000001,D4750&lt;=01_因子設定!$M$5+0.000000001,E4750&gt;=01_因子設定!$L$6-0.000000001,E4750&lt;=01_因子設定!$M$6+0.000000001,F4750&gt;=01_因子設定!$L$7-0.000000001,F4750&lt;=01_因子設定!$M$7+0.000000001,IF(01_因子設定!$B$20="Box-Behnken",D4750^2+E4750^2+F4750^2&lt;=2+0.000000001,TRUE()))</f>
        <v>1</v>
      </c>
      <c r="W4750" s="55" t="n">
        <f aca="false">IF(V4750,IF(01_因子設定!$B$13="最大化",T4750-01_因子設定!$B$14,IF(01_因子設定!$B$13="最小化",01_因子設定!$B$15-U4750,MIN(T4750-01_因子設定!$B$14,01_因子設定!$B$15-U4750))),-1E+030)</f>
        <v>-3.1104530280523</v>
      </c>
      <c r="X4750" s="55" t="n">
        <f aca="false">IF(V4750,IF(01_因子設定!$B$13="最大化",Q4750,IF(01_因子設定!$B$13="最小化",-Q4750,-ABS(Q4750-01_因子設定!$B$16))),-1E+030)</f>
        <v>46.5375568181818</v>
      </c>
      <c r="Y4750" s="55" t="n">
        <f aca="false">W4750+ROW()*0.000000001</f>
        <v>-3.1104482780523</v>
      </c>
      <c r="Z4750" s="55" t="n">
        <f aca="false">X4750+ROW()*0.000000001</f>
        <v>46.5375615681818</v>
      </c>
    </row>
    <row r="4751" customFormat="false" ht="15" hidden="false" customHeight="false" outlineLevel="0" collapsed="false">
      <c r="A4751" s="0" t="n">
        <v>16</v>
      </c>
      <c r="B4751" s="0" t="n">
        <v>7</v>
      </c>
      <c r="C4751" s="0" t="n">
        <v>3</v>
      </c>
      <c r="D4751" s="0" t="n">
        <f aca="false">-1+A4751*0.125</f>
        <v>1</v>
      </c>
      <c r="E4751" s="0" t="n">
        <f aca="false">-1+B4751*0.125</f>
        <v>-0.125</v>
      </c>
      <c r="F4751" s="0" t="n">
        <f aca="false">-1+C4751*0.125</f>
        <v>-0.625</v>
      </c>
      <c r="G4751" s="0" t="n">
        <f aca="false">1</f>
        <v>1</v>
      </c>
      <c r="H4751" s="0" t="n">
        <f aca="false">D4751</f>
        <v>1</v>
      </c>
      <c r="I4751" s="0" t="n">
        <f aca="false">E4751</f>
        <v>-0.125</v>
      </c>
      <c r="J4751" s="0" t="n">
        <f aca="false">F4751</f>
        <v>-0.625</v>
      </c>
      <c r="K4751" s="0" t="n">
        <f aca="false">D4751*E4751</f>
        <v>-0.125</v>
      </c>
      <c r="L4751" s="0" t="n">
        <f aca="false">D4751*F4751</f>
        <v>-0.625</v>
      </c>
      <c r="M4751" s="0" t="n">
        <f aca="false">E4751*F4751</f>
        <v>0.078125</v>
      </c>
      <c r="N4751" s="0" t="n">
        <f aca="false">D4751*D4751</f>
        <v>1</v>
      </c>
      <c r="O4751" s="0" t="n">
        <f aca="false">E4751*E4751</f>
        <v>0.015625</v>
      </c>
      <c r="P4751" s="0" t="n">
        <f aca="false">F4751*F4751</f>
        <v>0.390625</v>
      </c>
      <c r="Q4751" s="0" t="n">
        <f aca="false">SUMPRODUCT(G4751:P4751,_XtX!$B$71:$K$71)</f>
        <v>46.8866193181818</v>
      </c>
      <c r="R4751" s="0" t="n">
        <f aca="false">SUMPRODUCT(MMULT(G4751:P4751,_XtX!$B$58:$K$67),G4751:P4751)</f>
        <v>0.489261696555398</v>
      </c>
      <c r="S4751" s="0" t="n">
        <f aca="false">04_回帰ANOVA!$K$19*04_回帰ANOVA!$K$14*SQRT(1+R4751)</f>
        <v>1.13462447083763</v>
      </c>
      <c r="T4751" s="0" t="n">
        <f aca="false">Q4751-S4751</f>
        <v>45.7519948473442</v>
      </c>
      <c r="U4751" s="0" t="n">
        <f aca="false">Q4751+S4751</f>
        <v>48.0212437890195</v>
      </c>
      <c r="V4751" s="54" t="b">
        <f aca="false">AND(D4751&gt;=01_因子設定!$L$5-0.000000001,D4751&lt;=01_因子設定!$M$5+0.000000001,E4751&gt;=01_因子設定!$L$6-0.000000001,E4751&lt;=01_因子設定!$M$6+0.000000001,F4751&gt;=01_因子設定!$L$7-0.000000001,F4751&lt;=01_因子設定!$M$7+0.000000001,IF(01_因子設定!$B$20="Box-Behnken",D4751^2+E4751^2+F4751^2&lt;=2+0.000000001,TRUE()))</f>
        <v>1</v>
      </c>
      <c r="W4751" s="55" t="n">
        <f aca="false">IF(V4751,IF(01_因子設定!$B$13="最大化",T4751-01_因子設定!$B$14,IF(01_因子設定!$B$13="最小化",01_因子設定!$B$15-U4751,MIN(T4751-01_因子設定!$B$14,01_因子設定!$B$15-U4751))),-1E+030)</f>
        <v>-2.74800515265582</v>
      </c>
      <c r="X4751" s="55" t="n">
        <f aca="false">IF(V4751,IF(01_因子設定!$B$13="最大化",Q4751,IF(01_因子設定!$B$13="最小化",-Q4751,-ABS(Q4751-01_因子設定!$B$16))),-1E+030)</f>
        <v>46.8866193181818</v>
      </c>
      <c r="Y4751" s="55" t="n">
        <f aca="false">W4751+ROW()*0.000000001</f>
        <v>-2.74800040165582</v>
      </c>
      <c r="Z4751" s="55" t="n">
        <f aca="false">X4751+ROW()*0.000000001</f>
        <v>46.8866240691818</v>
      </c>
    </row>
    <row r="4752" customFormat="false" ht="15" hidden="false" customHeight="false" outlineLevel="0" collapsed="false">
      <c r="A4752" s="0" t="n">
        <v>16</v>
      </c>
      <c r="B4752" s="0" t="n">
        <v>7</v>
      </c>
      <c r="C4752" s="0" t="n">
        <v>4</v>
      </c>
      <c r="D4752" s="0" t="n">
        <f aca="false">-1+A4752*0.125</f>
        <v>1</v>
      </c>
      <c r="E4752" s="0" t="n">
        <f aca="false">-1+B4752*0.125</f>
        <v>-0.125</v>
      </c>
      <c r="F4752" s="0" t="n">
        <f aca="false">-1+C4752*0.125</f>
        <v>-0.5</v>
      </c>
      <c r="G4752" s="0" t="n">
        <f aca="false">1</f>
        <v>1</v>
      </c>
      <c r="H4752" s="0" t="n">
        <f aca="false">D4752</f>
        <v>1</v>
      </c>
      <c r="I4752" s="0" t="n">
        <f aca="false">E4752</f>
        <v>-0.125</v>
      </c>
      <c r="J4752" s="0" t="n">
        <f aca="false">F4752</f>
        <v>-0.5</v>
      </c>
      <c r="K4752" s="0" t="n">
        <f aca="false">D4752*E4752</f>
        <v>-0.125</v>
      </c>
      <c r="L4752" s="0" t="n">
        <f aca="false">D4752*F4752</f>
        <v>-0.5</v>
      </c>
      <c r="M4752" s="0" t="n">
        <f aca="false">E4752*F4752</f>
        <v>0.0625</v>
      </c>
      <c r="N4752" s="0" t="n">
        <f aca="false">D4752*D4752</f>
        <v>1</v>
      </c>
      <c r="O4752" s="0" t="n">
        <f aca="false">E4752*E4752</f>
        <v>0.015625</v>
      </c>
      <c r="P4752" s="0" t="n">
        <f aca="false">F4752*F4752</f>
        <v>0.25</v>
      </c>
      <c r="Q4752" s="0" t="n">
        <f aca="false">SUMPRODUCT(G4752:P4752,_XtX!$B$71:$K$71)</f>
        <v>47.1988920454545</v>
      </c>
      <c r="R4752" s="0" t="n">
        <f aca="false">SUMPRODUCT(MMULT(G4752:P4752,_XtX!$B$58:$K$67),G4752:P4752)</f>
        <v>0.476322798295455</v>
      </c>
      <c r="S4752" s="0" t="n">
        <f aca="false">04_回帰ANOVA!$K$19*04_回帰ANOVA!$K$14*SQRT(1+R4752)</f>
        <v>1.12968483630128</v>
      </c>
      <c r="T4752" s="0" t="n">
        <f aca="false">Q4752-S4752</f>
        <v>46.0692072091533</v>
      </c>
      <c r="U4752" s="0" t="n">
        <f aca="false">Q4752+S4752</f>
        <v>48.3285768817558</v>
      </c>
      <c r="V4752" s="54" t="b">
        <f aca="false">AND(D4752&gt;=01_因子設定!$L$5-0.000000001,D4752&lt;=01_因子設定!$M$5+0.000000001,E4752&gt;=01_因子設定!$L$6-0.000000001,E4752&lt;=01_因子設定!$M$6+0.000000001,F4752&gt;=01_因子設定!$L$7-0.000000001,F4752&lt;=01_因子設定!$M$7+0.000000001,IF(01_因子設定!$B$20="Box-Behnken",D4752^2+E4752^2+F4752^2&lt;=2+0.000000001,TRUE()))</f>
        <v>1</v>
      </c>
      <c r="W4752" s="55" t="n">
        <f aca="false">IF(V4752,IF(01_因子設定!$B$13="最大化",T4752-01_因子設定!$B$14,IF(01_因子設定!$B$13="最小化",01_因子設定!$B$15-U4752,MIN(T4752-01_因子設定!$B$14,01_因子設定!$B$15-U4752))),-1E+030)</f>
        <v>-2.43079279084674</v>
      </c>
      <c r="X4752" s="55" t="n">
        <f aca="false">IF(V4752,IF(01_因子設定!$B$13="最大化",Q4752,IF(01_因子設定!$B$13="最小化",-Q4752,-ABS(Q4752-01_因子設定!$B$16))),-1E+030)</f>
        <v>47.1988920454545</v>
      </c>
      <c r="Y4752" s="55" t="n">
        <f aca="false">W4752+ROW()*0.000000001</f>
        <v>-2.43078803884674</v>
      </c>
      <c r="Z4752" s="55" t="n">
        <f aca="false">X4752+ROW()*0.000000001</f>
        <v>47.1988967974545</v>
      </c>
    </row>
    <row r="4753" customFormat="false" ht="15" hidden="false" customHeight="false" outlineLevel="0" collapsed="false">
      <c r="A4753" s="0" t="n">
        <v>16</v>
      </c>
      <c r="B4753" s="0" t="n">
        <v>7</v>
      </c>
      <c r="C4753" s="0" t="n">
        <v>5</v>
      </c>
      <c r="D4753" s="0" t="n">
        <f aca="false">-1+A4753*0.125</f>
        <v>1</v>
      </c>
      <c r="E4753" s="0" t="n">
        <f aca="false">-1+B4753*0.125</f>
        <v>-0.125</v>
      </c>
      <c r="F4753" s="0" t="n">
        <f aca="false">-1+C4753*0.125</f>
        <v>-0.375</v>
      </c>
      <c r="G4753" s="0" t="n">
        <f aca="false">1</f>
        <v>1</v>
      </c>
      <c r="H4753" s="0" t="n">
        <f aca="false">D4753</f>
        <v>1</v>
      </c>
      <c r="I4753" s="0" t="n">
        <f aca="false">E4753</f>
        <v>-0.125</v>
      </c>
      <c r="J4753" s="0" t="n">
        <f aca="false">F4753</f>
        <v>-0.375</v>
      </c>
      <c r="K4753" s="0" t="n">
        <f aca="false">D4753*E4753</f>
        <v>-0.125</v>
      </c>
      <c r="L4753" s="0" t="n">
        <f aca="false">D4753*F4753</f>
        <v>-0.375</v>
      </c>
      <c r="M4753" s="0" t="n">
        <f aca="false">E4753*F4753</f>
        <v>0.046875</v>
      </c>
      <c r="N4753" s="0" t="n">
        <f aca="false">D4753*D4753</f>
        <v>1</v>
      </c>
      <c r="O4753" s="0" t="n">
        <f aca="false">E4753*E4753</f>
        <v>0.015625</v>
      </c>
      <c r="P4753" s="0" t="n">
        <f aca="false">F4753*F4753</f>
        <v>0.140625</v>
      </c>
      <c r="Q4753" s="0" t="n">
        <f aca="false">SUMPRODUCT(G4753:P4753,_XtX!$B$71:$K$71)</f>
        <v>47.474375</v>
      </c>
      <c r="R4753" s="0" t="n">
        <f aca="false">SUMPRODUCT(MMULT(G4753:P4753,_XtX!$B$58:$K$67),G4753:P4753)</f>
        <v>0.476202392578125</v>
      </c>
      <c r="S4753" s="0" t="n">
        <f aca="false">04_回帰ANOVA!$K$19*04_回帰ANOVA!$K$14*SQRT(1+R4753)</f>
        <v>1.12963876802721</v>
      </c>
      <c r="T4753" s="0" t="n">
        <f aca="false">Q4753-S4753</f>
        <v>46.3447362319728</v>
      </c>
      <c r="U4753" s="0" t="n">
        <f aca="false">Q4753+S4753</f>
        <v>48.6040137680272</v>
      </c>
      <c r="V4753" s="54" t="b">
        <f aca="false">AND(D4753&gt;=01_因子設定!$L$5-0.000000001,D4753&lt;=01_因子設定!$M$5+0.000000001,E4753&gt;=01_因子設定!$L$6-0.000000001,E4753&lt;=01_因子設定!$M$6+0.000000001,F4753&gt;=01_因子設定!$L$7-0.000000001,F4753&lt;=01_因子設定!$M$7+0.000000001,IF(01_因子設定!$B$20="Box-Behnken",D4753^2+E4753^2+F4753^2&lt;=2+0.000000001,TRUE()))</f>
        <v>1</v>
      </c>
      <c r="W4753" s="55" t="n">
        <f aca="false">IF(V4753,IF(01_因子設定!$B$13="最大化",T4753-01_因子設定!$B$14,IF(01_因子設定!$B$13="最小化",01_因子設定!$B$15-U4753,MIN(T4753-01_因子設定!$B$14,01_因子設定!$B$15-U4753))),-1E+030)</f>
        <v>-2.15526376802721</v>
      </c>
      <c r="X4753" s="55" t="n">
        <f aca="false">IF(V4753,IF(01_因子設定!$B$13="最大化",Q4753,IF(01_因子設定!$B$13="最小化",-Q4753,-ABS(Q4753-01_因子設定!$B$16))),-1E+030)</f>
        <v>47.474375</v>
      </c>
      <c r="Y4753" s="55" t="n">
        <f aca="false">W4753+ROW()*0.000000001</f>
        <v>-2.15525901502721</v>
      </c>
      <c r="Z4753" s="55" t="n">
        <f aca="false">X4753+ROW()*0.000000001</f>
        <v>47.474379753</v>
      </c>
    </row>
    <row r="4754" customFormat="false" ht="15" hidden="false" customHeight="false" outlineLevel="0" collapsed="false">
      <c r="A4754" s="0" t="n">
        <v>16</v>
      </c>
      <c r="B4754" s="0" t="n">
        <v>7</v>
      </c>
      <c r="C4754" s="0" t="n">
        <v>6</v>
      </c>
      <c r="D4754" s="0" t="n">
        <f aca="false">-1+A4754*0.125</f>
        <v>1</v>
      </c>
      <c r="E4754" s="0" t="n">
        <f aca="false">-1+B4754*0.125</f>
        <v>-0.125</v>
      </c>
      <c r="F4754" s="0" t="n">
        <f aca="false">-1+C4754*0.125</f>
        <v>-0.25</v>
      </c>
      <c r="G4754" s="0" t="n">
        <f aca="false">1</f>
        <v>1</v>
      </c>
      <c r="H4754" s="0" t="n">
        <f aca="false">D4754</f>
        <v>1</v>
      </c>
      <c r="I4754" s="0" t="n">
        <f aca="false">E4754</f>
        <v>-0.125</v>
      </c>
      <c r="J4754" s="0" t="n">
        <f aca="false">F4754</f>
        <v>-0.25</v>
      </c>
      <c r="K4754" s="0" t="n">
        <f aca="false">D4754*E4754</f>
        <v>-0.125</v>
      </c>
      <c r="L4754" s="0" t="n">
        <f aca="false">D4754*F4754</f>
        <v>-0.25</v>
      </c>
      <c r="M4754" s="0" t="n">
        <f aca="false">E4754*F4754</f>
        <v>0.03125</v>
      </c>
      <c r="N4754" s="0" t="n">
        <f aca="false">D4754*D4754</f>
        <v>1</v>
      </c>
      <c r="O4754" s="0" t="n">
        <f aca="false">E4754*E4754</f>
        <v>0.015625</v>
      </c>
      <c r="P4754" s="0" t="n">
        <f aca="false">F4754*F4754</f>
        <v>0.0625</v>
      </c>
      <c r="Q4754" s="0" t="n">
        <f aca="false">SUMPRODUCT(G4754:P4754,_XtX!$B$71:$K$71)</f>
        <v>47.7130681818182</v>
      </c>
      <c r="R4754" s="0" t="n">
        <f aca="false">SUMPRODUCT(MMULT(G4754:P4754,_XtX!$B$58:$K$67),G4754:P4754)</f>
        <v>0.481443093039773</v>
      </c>
      <c r="S4754" s="0" t="n">
        <f aca="false">04_回帰ANOVA!$K$19*04_回帰ANOVA!$K$14*SQRT(1+R4754)</f>
        <v>1.13164216995877</v>
      </c>
      <c r="T4754" s="0" t="n">
        <f aca="false">Q4754-S4754</f>
        <v>46.5814260118594</v>
      </c>
      <c r="U4754" s="0" t="n">
        <f aca="false">Q4754+S4754</f>
        <v>48.8447103517769</v>
      </c>
      <c r="V4754" s="54" t="b">
        <f aca="false">AND(D4754&gt;=01_因子設定!$L$5-0.000000001,D4754&lt;=01_因子設定!$M$5+0.000000001,E4754&gt;=01_因子設定!$L$6-0.000000001,E4754&lt;=01_因子設定!$M$6+0.000000001,F4754&gt;=01_因子設定!$L$7-0.000000001,F4754&lt;=01_因子設定!$M$7+0.000000001,IF(01_因子設定!$B$20="Box-Behnken",D4754^2+E4754^2+F4754^2&lt;=2+0.000000001,TRUE()))</f>
        <v>1</v>
      </c>
      <c r="W4754" s="55" t="n">
        <f aca="false">IF(V4754,IF(01_因子設定!$B$13="最大化",T4754-01_因子設定!$B$14,IF(01_因子設定!$B$13="最小化",01_因子設定!$B$15-U4754,MIN(T4754-01_因子設定!$B$14,01_因子設定!$B$15-U4754))),-1E+030)</f>
        <v>-1.91857398814059</v>
      </c>
      <c r="X4754" s="55" t="n">
        <f aca="false">IF(V4754,IF(01_因子設定!$B$13="最大化",Q4754,IF(01_因子設定!$B$13="最小化",-Q4754,-ABS(Q4754-01_因子設定!$B$16))),-1E+030)</f>
        <v>47.7130681818182</v>
      </c>
      <c r="Y4754" s="55" t="n">
        <f aca="false">W4754+ROW()*0.000000001</f>
        <v>-1.91856923414059</v>
      </c>
      <c r="Z4754" s="55" t="n">
        <f aca="false">X4754+ROW()*0.000000001</f>
        <v>47.7130729358182</v>
      </c>
    </row>
    <row r="4755" customFormat="false" ht="15" hidden="false" customHeight="false" outlineLevel="0" collapsed="false">
      <c r="A4755" s="0" t="n">
        <v>16</v>
      </c>
      <c r="B4755" s="0" t="n">
        <v>7</v>
      </c>
      <c r="C4755" s="0" t="n">
        <v>7</v>
      </c>
      <c r="D4755" s="0" t="n">
        <f aca="false">-1+A4755*0.125</f>
        <v>1</v>
      </c>
      <c r="E4755" s="0" t="n">
        <f aca="false">-1+B4755*0.125</f>
        <v>-0.125</v>
      </c>
      <c r="F4755" s="0" t="n">
        <f aca="false">-1+C4755*0.125</f>
        <v>-0.125</v>
      </c>
      <c r="G4755" s="0" t="n">
        <f aca="false">1</f>
        <v>1</v>
      </c>
      <c r="H4755" s="0" t="n">
        <f aca="false">D4755</f>
        <v>1</v>
      </c>
      <c r="I4755" s="0" t="n">
        <f aca="false">E4755</f>
        <v>-0.125</v>
      </c>
      <c r="J4755" s="0" t="n">
        <f aca="false">F4755</f>
        <v>-0.125</v>
      </c>
      <c r="K4755" s="0" t="n">
        <f aca="false">D4755*E4755</f>
        <v>-0.125</v>
      </c>
      <c r="L4755" s="0" t="n">
        <f aca="false">D4755*F4755</f>
        <v>-0.125</v>
      </c>
      <c r="M4755" s="0" t="n">
        <f aca="false">E4755*F4755</f>
        <v>0.015625</v>
      </c>
      <c r="N4755" s="0" t="n">
        <f aca="false">D4755*D4755</f>
        <v>1</v>
      </c>
      <c r="O4755" s="0" t="n">
        <f aca="false">E4755*E4755</f>
        <v>0.015625</v>
      </c>
      <c r="P4755" s="0" t="n">
        <f aca="false">F4755*F4755</f>
        <v>0.015625</v>
      </c>
      <c r="Q4755" s="0" t="n">
        <f aca="false">SUMPRODUCT(G4755:P4755,_XtX!$B$71:$K$71)</f>
        <v>47.9149715909091</v>
      </c>
      <c r="R4755" s="0" t="n">
        <f aca="false">SUMPRODUCT(MMULT(G4755:P4755,_XtX!$B$58:$K$67),G4755:P4755)</f>
        <v>0.486718195134943</v>
      </c>
      <c r="S4755" s="0" t="n">
        <f aca="false">04_回帰ANOVA!$K$19*04_回帰ANOVA!$K$14*SQRT(1+R4755)</f>
        <v>1.13365514750636</v>
      </c>
      <c r="T4755" s="0" t="n">
        <f aca="false">Q4755-S4755</f>
        <v>46.7813164434027</v>
      </c>
      <c r="U4755" s="0" t="n">
        <f aca="false">Q4755+S4755</f>
        <v>49.0486267384154</v>
      </c>
      <c r="V4755" s="54" t="b">
        <f aca="false">AND(D4755&gt;=01_因子設定!$L$5-0.000000001,D4755&lt;=01_因子設定!$M$5+0.000000001,E4755&gt;=01_因子設定!$L$6-0.000000001,E4755&lt;=01_因子設定!$M$6+0.000000001,F4755&gt;=01_因子設定!$L$7-0.000000001,F4755&lt;=01_因子設定!$M$7+0.000000001,IF(01_因子設定!$B$20="Box-Behnken",D4755^2+E4755^2+F4755^2&lt;=2+0.000000001,TRUE()))</f>
        <v>1</v>
      </c>
      <c r="W4755" s="55" t="n">
        <f aca="false">IF(V4755,IF(01_因子設定!$B$13="最大化",T4755-01_因子設定!$B$14,IF(01_因子設定!$B$13="最小化",01_因子設定!$B$15-U4755,MIN(T4755-01_因子設定!$B$14,01_因子設定!$B$15-U4755))),-1E+030)</f>
        <v>-1.71868355659728</v>
      </c>
      <c r="X4755" s="55" t="n">
        <f aca="false">IF(V4755,IF(01_因子設定!$B$13="最大化",Q4755,IF(01_因子設定!$B$13="最小化",-Q4755,-ABS(Q4755-01_因子設定!$B$16))),-1E+030)</f>
        <v>47.9149715909091</v>
      </c>
      <c r="Y4755" s="55" t="n">
        <f aca="false">W4755+ROW()*0.000000001</f>
        <v>-1.71867880159728</v>
      </c>
      <c r="Z4755" s="55" t="n">
        <f aca="false">X4755+ROW()*0.000000001</f>
        <v>47.9149763459091</v>
      </c>
    </row>
    <row r="4756" customFormat="false" ht="15" hidden="false" customHeight="false" outlineLevel="0" collapsed="false">
      <c r="A4756" s="0" t="n">
        <v>16</v>
      </c>
      <c r="B4756" s="0" t="n">
        <v>7</v>
      </c>
      <c r="C4756" s="0" t="n">
        <v>8</v>
      </c>
      <c r="D4756" s="0" t="n">
        <f aca="false">-1+A4756*0.125</f>
        <v>1</v>
      </c>
      <c r="E4756" s="0" t="n">
        <f aca="false">-1+B4756*0.125</f>
        <v>-0.125</v>
      </c>
      <c r="F4756" s="0" t="n">
        <f aca="false">-1+C4756*0.125</f>
        <v>0</v>
      </c>
      <c r="G4756" s="0" t="n">
        <f aca="false">1</f>
        <v>1</v>
      </c>
      <c r="H4756" s="0" t="n">
        <f aca="false">D4756</f>
        <v>1</v>
      </c>
      <c r="I4756" s="0" t="n">
        <f aca="false">E4756</f>
        <v>-0.125</v>
      </c>
      <c r="J4756" s="0" t="n">
        <f aca="false">F4756</f>
        <v>0</v>
      </c>
      <c r="K4756" s="0" t="n">
        <f aca="false">D4756*E4756</f>
        <v>-0.125</v>
      </c>
      <c r="L4756" s="0" t="n">
        <f aca="false">D4756*F4756</f>
        <v>0</v>
      </c>
      <c r="M4756" s="0" t="n">
        <f aca="false">E4756*F4756</f>
        <v>-0</v>
      </c>
      <c r="N4756" s="0" t="n">
        <f aca="false">D4756*D4756</f>
        <v>1</v>
      </c>
      <c r="O4756" s="0" t="n">
        <f aca="false">E4756*E4756</f>
        <v>0.015625</v>
      </c>
      <c r="P4756" s="0" t="n">
        <f aca="false">F4756*F4756</f>
        <v>0</v>
      </c>
      <c r="Q4756" s="0" t="n">
        <f aca="false">SUMPRODUCT(G4756:P4756,_XtX!$B$71:$K$71)</f>
        <v>48.0800852272727</v>
      </c>
      <c r="R4756" s="0" t="n">
        <f aca="false">SUMPRODUCT(MMULT(G4756:P4756,_XtX!$B$58:$K$67),G4756:P4756)</f>
        <v>0.488831676136364</v>
      </c>
      <c r="S4756" s="0" t="n">
        <f aca="false">04_回帰ANOVA!$K$19*04_回帰ANOVA!$K$14*SQRT(1+R4756)</f>
        <v>1.13446064908709</v>
      </c>
      <c r="T4756" s="0" t="n">
        <f aca="false">Q4756-S4756</f>
        <v>46.9456245781856</v>
      </c>
      <c r="U4756" s="0" t="n">
        <f aca="false">Q4756+S4756</f>
        <v>49.2145458763598</v>
      </c>
      <c r="V4756" s="54" t="b">
        <f aca="false">AND(D4756&gt;=01_因子設定!$L$5-0.000000001,D4756&lt;=01_因子設定!$M$5+0.000000001,E4756&gt;=01_因子設定!$L$6-0.000000001,E4756&lt;=01_因子設定!$M$6+0.000000001,F4756&gt;=01_因子設定!$L$7-0.000000001,F4756&lt;=01_因子設定!$M$7+0.000000001,IF(01_因子設定!$B$20="Box-Behnken",D4756^2+E4756^2+F4756^2&lt;=2+0.000000001,TRUE()))</f>
        <v>1</v>
      </c>
      <c r="W4756" s="55" t="n">
        <f aca="false">IF(V4756,IF(01_因子設定!$B$13="最大化",T4756-01_因子設定!$B$14,IF(01_因子設定!$B$13="最小化",01_因子設定!$B$15-U4756,MIN(T4756-01_因子設定!$B$14,01_因子設定!$B$15-U4756))),-1E+030)</f>
        <v>-1.55437542181437</v>
      </c>
      <c r="X4756" s="55" t="n">
        <f aca="false">IF(V4756,IF(01_因子設定!$B$13="最大化",Q4756,IF(01_因子設定!$B$13="最小化",-Q4756,-ABS(Q4756-01_因子設定!$B$16))),-1E+030)</f>
        <v>48.0800852272727</v>
      </c>
      <c r="Y4756" s="55" t="n">
        <f aca="false">W4756+ROW()*0.000000001</f>
        <v>-1.55437066581437</v>
      </c>
      <c r="Z4756" s="55" t="n">
        <f aca="false">X4756+ROW()*0.000000001</f>
        <v>48.0800899832727</v>
      </c>
    </row>
    <row r="4757" customFormat="false" ht="15" hidden="false" customHeight="false" outlineLevel="0" collapsed="false">
      <c r="A4757" s="0" t="n">
        <v>16</v>
      </c>
      <c r="B4757" s="0" t="n">
        <v>7</v>
      </c>
      <c r="C4757" s="0" t="n">
        <v>9</v>
      </c>
      <c r="D4757" s="0" t="n">
        <f aca="false">-1+A4757*0.125</f>
        <v>1</v>
      </c>
      <c r="E4757" s="0" t="n">
        <f aca="false">-1+B4757*0.125</f>
        <v>-0.125</v>
      </c>
      <c r="F4757" s="0" t="n">
        <f aca="false">-1+C4757*0.125</f>
        <v>0.125</v>
      </c>
      <c r="G4757" s="0" t="n">
        <f aca="false">1</f>
        <v>1</v>
      </c>
      <c r="H4757" s="0" t="n">
        <f aca="false">D4757</f>
        <v>1</v>
      </c>
      <c r="I4757" s="0" t="n">
        <f aca="false">E4757</f>
        <v>-0.125</v>
      </c>
      <c r="J4757" s="0" t="n">
        <f aca="false">F4757</f>
        <v>0.125</v>
      </c>
      <c r="K4757" s="0" t="n">
        <f aca="false">D4757*E4757</f>
        <v>-0.125</v>
      </c>
      <c r="L4757" s="0" t="n">
        <f aca="false">D4757*F4757</f>
        <v>0.125</v>
      </c>
      <c r="M4757" s="0" t="n">
        <f aca="false">E4757*F4757</f>
        <v>-0.015625</v>
      </c>
      <c r="N4757" s="0" t="n">
        <f aca="false">D4757*D4757</f>
        <v>1</v>
      </c>
      <c r="O4757" s="0" t="n">
        <f aca="false">E4757*E4757</f>
        <v>0.015625</v>
      </c>
      <c r="P4757" s="0" t="n">
        <f aca="false">F4757*F4757</f>
        <v>0.015625</v>
      </c>
      <c r="Q4757" s="0" t="n">
        <f aca="false">SUMPRODUCT(G4757:P4757,_XtX!$B$71:$K$71)</f>
        <v>48.2084090909091</v>
      </c>
      <c r="R4757" s="0" t="n">
        <f aca="false">SUMPRODUCT(MMULT(G4757:P4757,_XtX!$B$58:$K$67),G4757:P4757)</f>
        <v>0.486718195134943</v>
      </c>
      <c r="S4757" s="0" t="n">
        <f aca="false">04_回帰ANOVA!$K$19*04_回帰ANOVA!$K$14*SQRT(1+R4757)</f>
        <v>1.13365514750636</v>
      </c>
      <c r="T4757" s="0" t="n">
        <f aca="false">Q4757-S4757</f>
        <v>47.0747539434027</v>
      </c>
      <c r="U4757" s="0" t="n">
        <f aca="false">Q4757+S4757</f>
        <v>49.3420642384154</v>
      </c>
      <c r="V4757" s="54" t="b">
        <f aca="false">AND(D4757&gt;=01_因子設定!$L$5-0.000000001,D4757&lt;=01_因子設定!$M$5+0.000000001,E4757&gt;=01_因子設定!$L$6-0.000000001,E4757&lt;=01_因子設定!$M$6+0.000000001,F4757&gt;=01_因子設定!$L$7-0.000000001,F4757&lt;=01_因子設定!$M$7+0.000000001,IF(01_因子設定!$B$20="Box-Behnken",D4757^2+E4757^2+F4757^2&lt;=2+0.000000001,TRUE()))</f>
        <v>1</v>
      </c>
      <c r="W4757" s="55" t="n">
        <f aca="false">IF(V4757,IF(01_因子設定!$B$13="最大化",T4757-01_因子設定!$B$14,IF(01_因子設定!$B$13="最小化",01_因子設定!$B$15-U4757,MIN(T4757-01_因子設定!$B$14,01_因子設定!$B$15-U4757))),-1E+030)</f>
        <v>-1.42524605659728</v>
      </c>
      <c r="X4757" s="55" t="n">
        <f aca="false">IF(V4757,IF(01_因子設定!$B$13="最大化",Q4757,IF(01_因子設定!$B$13="最小化",-Q4757,-ABS(Q4757-01_因子設定!$B$16))),-1E+030)</f>
        <v>48.2084090909091</v>
      </c>
      <c r="Y4757" s="55" t="n">
        <f aca="false">W4757+ROW()*0.000000001</f>
        <v>-1.42524129959728</v>
      </c>
      <c r="Z4757" s="55" t="n">
        <f aca="false">X4757+ROW()*0.000000001</f>
        <v>48.2084138479091</v>
      </c>
    </row>
    <row r="4758" customFormat="false" ht="15" hidden="false" customHeight="false" outlineLevel="0" collapsed="false">
      <c r="A4758" s="0" t="n">
        <v>16</v>
      </c>
      <c r="B4758" s="0" t="n">
        <v>7</v>
      </c>
      <c r="C4758" s="0" t="n">
        <v>10</v>
      </c>
      <c r="D4758" s="0" t="n">
        <f aca="false">-1+A4758*0.125</f>
        <v>1</v>
      </c>
      <c r="E4758" s="0" t="n">
        <f aca="false">-1+B4758*0.125</f>
        <v>-0.125</v>
      </c>
      <c r="F4758" s="0" t="n">
        <f aca="false">-1+C4758*0.125</f>
        <v>0.25</v>
      </c>
      <c r="G4758" s="0" t="n">
        <f aca="false">1</f>
        <v>1</v>
      </c>
      <c r="H4758" s="0" t="n">
        <f aca="false">D4758</f>
        <v>1</v>
      </c>
      <c r="I4758" s="0" t="n">
        <f aca="false">E4758</f>
        <v>-0.125</v>
      </c>
      <c r="J4758" s="0" t="n">
        <f aca="false">F4758</f>
        <v>0.25</v>
      </c>
      <c r="K4758" s="0" t="n">
        <f aca="false">D4758*E4758</f>
        <v>-0.125</v>
      </c>
      <c r="L4758" s="0" t="n">
        <f aca="false">D4758*F4758</f>
        <v>0.25</v>
      </c>
      <c r="M4758" s="0" t="n">
        <f aca="false">E4758*F4758</f>
        <v>-0.03125</v>
      </c>
      <c r="N4758" s="0" t="n">
        <f aca="false">D4758*D4758</f>
        <v>1</v>
      </c>
      <c r="O4758" s="0" t="n">
        <f aca="false">E4758*E4758</f>
        <v>0.015625</v>
      </c>
      <c r="P4758" s="0" t="n">
        <f aca="false">F4758*F4758</f>
        <v>0.0625</v>
      </c>
      <c r="Q4758" s="0" t="n">
        <f aca="false">SUMPRODUCT(G4758:P4758,_XtX!$B$71:$K$71)</f>
        <v>48.2999431818182</v>
      </c>
      <c r="R4758" s="0" t="n">
        <f aca="false">SUMPRODUCT(MMULT(G4758:P4758,_XtX!$B$58:$K$67),G4758:P4758)</f>
        <v>0.481443093039773</v>
      </c>
      <c r="S4758" s="0" t="n">
        <f aca="false">04_回帰ANOVA!$K$19*04_回帰ANOVA!$K$14*SQRT(1+R4758)</f>
        <v>1.13164216995877</v>
      </c>
      <c r="T4758" s="0" t="n">
        <f aca="false">Q4758-S4758</f>
        <v>47.1683010118594</v>
      </c>
      <c r="U4758" s="0" t="n">
        <f aca="false">Q4758+S4758</f>
        <v>49.4315853517769</v>
      </c>
      <c r="V4758" s="54" t="b">
        <f aca="false">AND(D4758&gt;=01_因子設定!$L$5-0.000000001,D4758&lt;=01_因子設定!$M$5+0.000000001,E4758&gt;=01_因子設定!$L$6-0.000000001,E4758&lt;=01_因子設定!$M$6+0.000000001,F4758&gt;=01_因子設定!$L$7-0.000000001,F4758&lt;=01_因子設定!$M$7+0.000000001,IF(01_因子設定!$B$20="Box-Behnken",D4758^2+E4758^2+F4758^2&lt;=2+0.000000001,TRUE()))</f>
        <v>1</v>
      </c>
      <c r="W4758" s="55" t="n">
        <f aca="false">IF(V4758,IF(01_因子設定!$B$13="最大化",T4758-01_因子設定!$B$14,IF(01_因子設定!$B$13="最小化",01_因子設定!$B$15-U4758,MIN(T4758-01_因子設定!$B$14,01_因子設定!$B$15-U4758))),-1E+030)</f>
        <v>-1.33169898814059</v>
      </c>
      <c r="X4758" s="55" t="n">
        <f aca="false">IF(V4758,IF(01_因子設定!$B$13="最大化",Q4758,IF(01_因子設定!$B$13="最小化",-Q4758,-ABS(Q4758-01_因子設定!$B$16))),-1E+030)</f>
        <v>48.2999431818182</v>
      </c>
      <c r="Y4758" s="55" t="n">
        <f aca="false">W4758+ROW()*0.000000001</f>
        <v>-1.33169423014059</v>
      </c>
      <c r="Z4758" s="55" t="n">
        <f aca="false">X4758+ROW()*0.000000001</f>
        <v>48.2999479398182</v>
      </c>
    </row>
    <row r="4759" customFormat="false" ht="15" hidden="false" customHeight="false" outlineLevel="0" collapsed="false">
      <c r="A4759" s="0" t="n">
        <v>16</v>
      </c>
      <c r="B4759" s="0" t="n">
        <v>7</v>
      </c>
      <c r="C4759" s="0" t="n">
        <v>11</v>
      </c>
      <c r="D4759" s="0" t="n">
        <f aca="false">-1+A4759*0.125</f>
        <v>1</v>
      </c>
      <c r="E4759" s="0" t="n">
        <f aca="false">-1+B4759*0.125</f>
        <v>-0.125</v>
      </c>
      <c r="F4759" s="0" t="n">
        <f aca="false">-1+C4759*0.125</f>
        <v>0.375</v>
      </c>
      <c r="G4759" s="0" t="n">
        <f aca="false">1</f>
        <v>1</v>
      </c>
      <c r="H4759" s="0" t="n">
        <f aca="false">D4759</f>
        <v>1</v>
      </c>
      <c r="I4759" s="0" t="n">
        <f aca="false">E4759</f>
        <v>-0.125</v>
      </c>
      <c r="J4759" s="0" t="n">
        <f aca="false">F4759</f>
        <v>0.375</v>
      </c>
      <c r="K4759" s="0" t="n">
        <f aca="false">D4759*E4759</f>
        <v>-0.125</v>
      </c>
      <c r="L4759" s="0" t="n">
        <f aca="false">D4759*F4759</f>
        <v>0.375</v>
      </c>
      <c r="M4759" s="0" t="n">
        <f aca="false">E4759*F4759</f>
        <v>-0.046875</v>
      </c>
      <c r="N4759" s="0" t="n">
        <f aca="false">D4759*D4759</f>
        <v>1</v>
      </c>
      <c r="O4759" s="0" t="n">
        <f aca="false">E4759*E4759</f>
        <v>0.015625</v>
      </c>
      <c r="P4759" s="0" t="n">
        <f aca="false">F4759*F4759</f>
        <v>0.140625</v>
      </c>
      <c r="Q4759" s="0" t="n">
        <f aca="false">SUMPRODUCT(G4759:P4759,_XtX!$B$71:$K$71)</f>
        <v>48.3546875</v>
      </c>
      <c r="R4759" s="0" t="n">
        <f aca="false">SUMPRODUCT(MMULT(G4759:P4759,_XtX!$B$58:$K$67),G4759:P4759)</f>
        <v>0.476202392578125</v>
      </c>
      <c r="S4759" s="0" t="n">
        <f aca="false">04_回帰ANOVA!$K$19*04_回帰ANOVA!$K$14*SQRT(1+R4759)</f>
        <v>1.12963876802721</v>
      </c>
      <c r="T4759" s="0" t="n">
        <f aca="false">Q4759-S4759</f>
        <v>47.2250487319728</v>
      </c>
      <c r="U4759" s="0" t="n">
        <f aca="false">Q4759+S4759</f>
        <v>49.4843262680272</v>
      </c>
      <c r="V4759" s="54" t="b">
        <f aca="false">AND(D4759&gt;=01_因子設定!$L$5-0.000000001,D4759&lt;=01_因子設定!$M$5+0.000000001,E4759&gt;=01_因子設定!$L$6-0.000000001,E4759&lt;=01_因子設定!$M$6+0.000000001,F4759&gt;=01_因子設定!$L$7-0.000000001,F4759&lt;=01_因子設定!$M$7+0.000000001,IF(01_因子設定!$B$20="Box-Behnken",D4759^2+E4759^2+F4759^2&lt;=2+0.000000001,TRUE()))</f>
        <v>1</v>
      </c>
      <c r="W4759" s="55" t="n">
        <f aca="false">IF(V4759,IF(01_因子設定!$B$13="最大化",T4759-01_因子設定!$B$14,IF(01_因子設定!$B$13="最小化",01_因子設定!$B$15-U4759,MIN(T4759-01_因子設定!$B$14,01_因子設定!$B$15-U4759))),-1E+030)</f>
        <v>-1.27495126802722</v>
      </c>
      <c r="X4759" s="55" t="n">
        <f aca="false">IF(V4759,IF(01_因子設定!$B$13="最大化",Q4759,IF(01_因子設定!$B$13="最小化",-Q4759,-ABS(Q4759-01_因子設定!$B$16))),-1E+030)</f>
        <v>48.3546875</v>
      </c>
      <c r="Y4759" s="55" t="n">
        <f aca="false">W4759+ROW()*0.000000001</f>
        <v>-1.27494650902722</v>
      </c>
      <c r="Z4759" s="55" t="n">
        <f aca="false">X4759+ROW()*0.000000001</f>
        <v>48.354692259</v>
      </c>
    </row>
    <row r="4760" customFormat="false" ht="15" hidden="false" customHeight="false" outlineLevel="0" collapsed="false">
      <c r="A4760" s="0" t="n">
        <v>16</v>
      </c>
      <c r="B4760" s="0" t="n">
        <v>7</v>
      </c>
      <c r="C4760" s="0" t="n">
        <v>12</v>
      </c>
      <c r="D4760" s="0" t="n">
        <f aca="false">-1+A4760*0.125</f>
        <v>1</v>
      </c>
      <c r="E4760" s="0" t="n">
        <f aca="false">-1+B4760*0.125</f>
        <v>-0.125</v>
      </c>
      <c r="F4760" s="0" t="n">
        <f aca="false">-1+C4760*0.125</f>
        <v>0.5</v>
      </c>
      <c r="G4760" s="0" t="n">
        <f aca="false">1</f>
        <v>1</v>
      </c>
      <c r="H4760" s="0" t="n">
        <f aca="false">D4760</f>
        <v>1</v>
      </c>
      <c r="I4760" s="0" t="n">
        <f aca="false">E4760</f>
        <v>-0.125</v>
      </c>
      <c r="J4760" s="0" t="n">
        <f aca="false">F4760</f>
        <v>0.5</v>
      </c>
      <c r="K4760" s="0" t="n">
        <f aca="false">D4760*E4760</f>
        <v>-0.125</v>
      </c>
      <c r="L4760" s="0" t="n">
        <f aca="false">D4760*F4760</f>
        <v>0.5</v>
      </c>
      <c r="M4760" s="0" t="n">
        <f aca="false">E4760*F4760</f>
        <v>-0.0625</v>
      </c>
      <c r="N4760" s="0" t="n">
        <f aca="false">D4760*D4760</f>
        <v>1</v>
      </c>
      <c r="O4760" s="0" t="n">
        <f aca="false">E4760*E4760</f>
        <v>0.015625</v>
      </c>
      <c r="P4760" s="0" t="n">
        <f aca="false">F4760*F4760</f>
        <v>0.25</v>
      </c>
      <c r="Q4760" s="0" t="n">
        <f aca="false">SUMPRODUCT(G4760:P4760,_XtX!$B$71:$K$71)</f>
        <v>48.3726420454545</v>
      </c>
      <c r="R4760" s="0" t="n">
        <f aca="false">SUMPRODUCT(MMULT(G4760:P4760,_XtX!$B$58:$K$67),G4760:P4760)</f>
        <v>0.476322798295455</v>
      </c>
      <c r="S4760" s="0" t="n">
        <f aca="false">04_回帰ANOVA!$K$19*04_回帰ANOVA!$K$14*SQRT(1+R4760)</f>
        <v>1.12968483630128</v>
      </c>
      <c r="T4760" s="0" t="n">
        <f aca="false">Q4760-S4760</f>
        <v>47.2429572091533</v>
      </c>
      <c r="U4760" s="0" t="n">
        <f aca="false">Q4760+S4760</f>
        <v>49.5023268817558</v>
      </c>
      <c r="V4760" s="54" t="b">
        <f aca="false">AND(D4760&gt;=01_因子設定!$L$5-0.000000001,D4760&lt;=01_因子設定!$M$5+0.000000001,E4760&gt;=01_因子設定!$L$6-0.000000001,E4760&lt;=01_因子設定!$M$6+0.000000001,F4760&gt;=01_因子設定!$L$7-0.000000001,F4760&lt;=01_因子設定!$M$7+0.000000001,IF(01_因子設定!$B$20="Box-Behnken",D4760^2+E4760^2+F4760^2&lt;=2+0.000000001,TRUE()))</f>
        <v>1</v>
      </c>
      <c r="W4760" s="55" t="n">
        <f aca="false">IF(V4760,IF(01_因子設定!$B$13="最大化",T4760-01_因子設定!$B$14,IF(01_因子設定!$B$13="最小化",01_因子設定!$B$15-U4760,MIN(T4760-01_因子設定!$B$14,01_因子設定!$B$15-U4760))),-1E+030)</f>
        <v>-1.25704279084674</v>
      </c>
      <c r="X4760" s="55" t="n">
        <f aca="false">IF(V4760,IF(01_因子設定!$B$13="最大化",Q4760,IF(01_因子設定!$B$13="最小化",-Q4760,-ABS(Q4760-01_因子設定!$B$16))),-1E+030)</f>
        <v>48.3726420454545</v>
      </c>
      <c r="Y4760" s="55" t="n">
        <f aca="false">W4760+ROW()*0.000000001</f>
        <v>-1.25703803084674</v>
      </c>
      <c r="Z4760" s="55" t="n">
        <f aca="false">X4760+ROW()*0.000000001</f>
        <v>48.3726468054545</v>
      </c>
    </row>
    <row r="4761" customFormat="false" ht="15" hidden="false" customHeight="false" outlineLevel="0" collapsed="false">
      <c r="A4761" s="0" t="n">
        <v>16</v>
      </c>
      <c r="B4761" s="0" t="n">
        <v>7</v>
      </c>
      <c r="C4761" s="0" t="n">
        <v>13</v>
      </c>
      <c r="D4761" s="0" t="n">
        <f aca="false">-1+A4761*0.125</f>
        <v>1</v>
      </c>
      <c r="E4761" s="0" t="n">
        <f aca="false">-1+B4761*0.125</f>
        <v>-0.125</v>
      </c>
      <c r="F4761" s="0" t="n">
        <f aca="false">-1+C4761*0.125</f>
        <v>0.625</v>
      </c>
      <c r="G4761" s="0" t="n">
        <f aca="false">1</f>
        <v>1</v>
      </c>
      <c r="H4761" s="0" t="n">
        <f aca="false">D4761</f>
        <v>1</v>
      </c>
      <c r="I4761" s="0" t="n">
        <f aca="false">E4761</f>
        <v>-0.125</v>
      </c>
      <c r="J4761" s="0" t="n">
        <f aca="false">F4761</f>
        <v>0.625</v>
      </c>
      <c r="K4761" s="0" t="n">
        <f aca="false">D4761*E4761</f>
        <v>-0.125</v>
      </c>
      <c r="L4761" s="0" t="n">
        <f aca="false">D4761*F4761</f>
        <v>0.625</v>
      </c>
      <c r="M4761" s="0" t="n">
        <f aca="false">E4761*F4761</f>
        <v>-0.078125</v>
      </c>
      <c r="N4761" s="0" t="n">
        <f aca="false">D4761*D4761</f>
        <v>1</v>
      </c>
      <c r="O4761" s="0" t="n">
        <f aca="false">E4761*E4761</f>
        <v>0.015625</v>
      </c>
      <c r="P4761" s="0" t="n">
        <f aca="false">F4761*F4761</f>
        <v>0.390625</v>
      </c>
      <c r="Q4761" s="0" t="n">
        <f aca="false">SUMPRODUCT(G4761:P4761,_XtX!$B$71:$K$71)</f>
        <v>48.3538068181818</v>
      </c>
      <c r="R4761" s="0" t="n">
        <f aca="false">SUMPRODUCT(MMULT(G4761:P4761,_XtX!$B$58:$K$67),G4761:P4761)</f>
        <v>0.489261696555398</v>
      </c>
      <c r="S4761" s="0" t="n">
        <f aca="false">04_回帰ANOVA!$K$19*04_回帰ANOVA!$K$14*SQRT(1+R4761)</f>
        <v>1.13462447083763</v>
      </c>
      <c r="T4761" s="0" t="n">
        <f aca="false">Q4761-S4761</f>
        <v>47.2191823473442</v>
      </c>
      <c r="U4761" s="0" t="n">
        <f aca="false">Q4761+S4761</f>
        <v>49.4884312890195</v>
      </c>
      <c r="V4761" s="54" t="b">
        <f aca="false">AND(D4761&gt;=01_因子設定!$L$5-0.000000001,D4761&lt;=01_因子設定!$M$5+0.000000001,E4761&gt;=01_因子設定!$L$6-0.000000001,E4761&lt;=01_因子設定!$M$6+0.000000001,F4761&gt;=01_因子設定!$L$7-0.000000001,F4761&lt;=01_因子設定!$M$7+0.000000001,IF(01_因子設定!$B$20="Box-Behnken",D4761^2+E4761^2+F4761^2&lt;=2+0.000000001,TRUE()))</f>
        <v>1</v>
      </c>
      <c r="W4761" s="55" t="n">
        <f aca="false">IF(V4761,IF(01_因子設定!$B$13="最大化",T4761-01_因子設定!$B$14,IF(01_因子設定!$B$13="最小化",01_因子設定!$B$15-U4761,MIN(T4761-01_因子設定!$B$14,01_因子設定!$B$15-U4761))),-1E+030)</f>
        <v>-1.28081765265582</v>
      </c>
      <c r="X4761" s="55" t="n">
        <f aca="false">IF(V4761,IF(01_因子設定!$B$13="最大化",Q4761,IF(01_因子設定!$B$13="最小化",-Q4761,-ABS(Q4761-01_因子設定!$B$16))),-1E+030)</f>
        <v>48.3538068181818</v>
      </c>
      <c r="Y4761" s="55" t="n">
        <f aca="false">W4761+ROW()*0.000000001</f>
        <v>-1.28081289165582</v>
      </c>
      <c r="Z4761" s="55" t="n">
        <f aca="false">X4761+ROW()*0.000000001</f>
        <v>48.3538115791818</v>
      </c>
    </row>
    <row r="4762" customFormat="false" ht="15" hidden="false" customHeight="false" outlineLevel="0" collapsed="false">
      <c r="A4762" s="0" t="n">
        <v>16</v>
      </c>
      <c r="B4762" s="0" t="n">
        <v>7</v>
      </c>
      <c r="C4762" s="0" t="n">
        <v>14</v>
      </c>
      <c r="D4762" s="0" t="n">
        <f aca="false">-1+A4762*0.125</f>
        <v>1</v>
      </c>
      <c r="E4762" s="0" t="n">
        <f aca="false">-1+B4762*0.125</f>
        <v>-0.125</v>
      </c>
      <c r="F4762" s="0" t="n">
        <f aca="false">-1+C4762*0.125</f>
        <v>0.75</v>
      </c>
      <c r="G4762" s="0" t="n">
        <f aca="false">1</f>
        <v>1</v>
      </c>
      <c r="H4762" s="0" t="n">
        <f aca="false">D4762</f>
        <v>1</v>
      </c>
      <c r="I4762" s="0" t="n">
        <f aca="false">E4762</f>
        <v>-0.125</v>
      </c>
      <c r="J4762" s="0" t="n">
        <f aca="false">F4762</f>
        <v>0.75</v>
      </c>
      <c r="K4762" s="0" t="n">
        <f aca="false">D4762*E4762</f>
        <v>-0.125</v>
      </c>
      <c r="L4762" s="0" t="n">
        <f aca="false">D4762*F4762</f>
        <v>0.75</v>
      </c>
      <c r="M4762" s="0" t="n">
        <f aca="false">E4762*F4762</f>
        <v>-0.09375</v>
      </c>
      <c r="N4762" s="0" t="n">
        <f aca="false">D4762*D4762</f>
        <v>1</v>
      </c>
      <c r="O4762" s="0" t="n">
        <f aca="false">E4762*E4762</f>
        <v>0.015625</v>
      </c>
      <c r="P4762" s="0" t="n">
        <f aca="false">F4762*F4762</f>
        <v>0.5625</v>
      </c>
      <c r="Q4762" s="0" t="n">
        <f aca="false">SUMPRODUCT(G4762:P4762,_XtX!$B$71:$K$71)</f>
        <v>48.2981818181818</v>
      </c>
      <c r="R4762" s="0" t="n">
        <f aca="false">SUMPRODUCT(MMULT(G4762:P4762,_XtX!$B$58:$K$67),G4762:P4762)</f>
        <v>0.524607155539773</v>
      </c>
      <c r="S4762" s="0" t="n">
        <f aca="false">04_回帰ANOVA!$K$19*04_回帰ANOVA!$K$14*SQRT(1+R4762)</f>
        <v>1.14800984623412</v>
      </c>
      <c r="T4762" s="0" t="n">
        <f aca="false">Q4762-S4762</f>
        <v>47.1501719719477</v>
      </c>
      <c r="U4762" s="0" t="n">
        <f aca="false">Q4762+S4762</f>
        <v>49.4461916644159</v>
      </c>
      <c r="V4762" s="54" t="b">
        <f aca="false">AND(D4762&gt;=01_因子設定!$L$5-0.000000001,D4762&lt;=01_因子設定!$M$5+0.000000001,E4762&gt;=01_因子設定!$L$6-0.000000001,E4762&lt;=01_因子設定!$M$6+0.000000001,F4762&gt;=01_因子設定!$L$7-0.000000001,F4762&lt;=01_因子設定!$M$7+0.000000001,IF(01_因子設定!$B$20="Box-Behnken",D4762^2+E4762^2+F4762^2&lt;=2+0.000000001,TRUE()))</f>
        <v>1</v>
      </c>
      <c r="W4762" s="55" t="n">
        <f aca="false">IF(V4762,IF(01_因子設定!$B$13="最大化",T4762-01_因子設定!$B$14,IF(01_因子設定!$B$13="最小化",01_因子設定!$B$15-U4762,MIN(T4762-01_因子設定!$B$14,01_因子設定!$B$15-U4762))),-1E+030)</f>
        <v>-1.3498280280523</v>
      </c>
      <c r="X4762" s="55" t="n">
        <f aca="false">IF(V4762,IF(01_因子設定!$B$13="最大化",Q4762,IF(01_因子設定!$B$13="最小化",-Q4762,-ABS(Q4762-01_因子設定!$B$16))),-1E+030)</f>
        <v>48.2981818181818</v>
      </c>
      <c r="Y4762" s="55" t="n">
        <f aca="false">W4762+ROW()*0.000000001</f>
        <v>-1.3498232660523</v>
      </c>
      <c r="Z4762" s="55" t="n">
        <f aca="false">X4762+ROW()*0.000000001</f>
        <v>48.2981865801818</v>
      </c>
    </row>
    <row r="4763" customFormat="false" ht="15" hidden="false" customHeight="false" outlineLevel="0" collapsed="false">
      <c r="A4763" s="0" t="n">
        <v>16</v>
      </c>
      <c r="B4763" s="0" t="n">
        <v>7</v>
      </c>
      <c r="C4763" s="0" t="n">
        <v>15</v>
      </c>
      <c r="D4763" s="0" t="n">
        <f aca="false">-1+A4763*0.125</f>
        <v>1</v>
      </c>
      <c r="E4763" s="0" t="n">
        <f aca="false">-1+B4763*0.125</f>
        <v>-0.125</v>
      </c>
      <c r="F4763" s="0" t="n">
        <f aca="false">-1+C4763*0.125</f>
        <v>0.875</v>
      </c>
      <c r="G4763" s="0" t="n">
        <f aca="false">1</f>
        <v>1</v>
      </c>
      <c r="H4763" s="0" t="n">
        <f aca="false">D4763</f>
        <v>1</v>
      </c>
      <c r="I4763" s="0" t="n">
        <f aca="false">E4763</f>
        <v>-0.125</v>
      </c>
      <c r="J4763" s="0" t="n">
        <f aca="false">F4763</f>
        <v>0.875</v>
      </c>
      <c r="K4763" s="0" t="n">
        <f aca="false">D4763*E4763</f>
        <v>-0.125</v>
      </c>
      <c r="L4763" s="0" t="n">
        <f aca="false">D4763*F4763</f>
        <v>0.875</v>
      </c>
      <c r="M4763" s="0" t="n">
        <f aca="false">E4763*F4763</f>
        <v>-0.109375</v>
      </c>
      <c r="N4763" s="0" t="n">
        <f aca="false">D4763*D4763</f>
        <v>1</v>
      </c>
      <c r="O4763" s="0" t="n">
        <f aca="false">E4763*E4763</f>
        <v>0.015625</v>
      </c>
      <c r="P4763" s="0" t="n">
        <f aca="false">F4763*F4763</f>
        <v>0.765625</v>
      </c>
      <c r="Q4763" s="0" t="n">
        <f aca="false">SUMPRODUCT(G4763:P4763,_XtX!$B$71:$K$71)</f>
        <v>48.2057670454546</v>
      </c>
      <c r="R4763" s="0" t="n">
        <f aca="false">SUMPRODUCT(MMULT(G4763:P4763,_XtX!$B$58:$K$67),G4763:P4763)</f>
        <v>0.59407792524858</v>
      </c>
      <c r="S4763" s="0" t="n">
        <f aca="false">04_回帰ANOVA!$K$19*04_回帰ANOVA!$K$14*SQRT(1+R4763)</f>
        <v>1.17387380087722</v>
      </c>
      <c r="T4763" s="0" t="n">
        <f aca="false">Q4763-S4763</f>
        <v>47.0318932445773</v>
      </c>
      <c r="U4763" s="0" t="n">
        <f aca="false">Q4763+S4763</f>
        <v>49.3796408463318</v>
      </c>
      <c r="V4763" s="54" t="b">
        <f aca="false">AND(D4763&gt;=01_因子設定!$L$5-0.000000001,D4763&lt;=01_因子設定!$M$5+0.000000001,E4763&gt;=01_因子設定!$L$6-0.000000001,E4763&lt;=01_因子設定!$M$6+0.000000001,F4763&gt;=01_因子設定!$L$7-0.000000001,F4763&lt;=01_因子設定!$M$7+0.000000001,IF(01_因子設定!$B$20="Box-Behnken",D4763^2+E4763^2+F4763^2&lt;=2+0.000000001,TRUE()))</f>
        <v>1</v>
      </c>
      <c r="W4763" s="55" t="n">
        <f aca="false">IF(V4763,IF(01_因子設定!$B$13="最大化",T4763-01_因子設定!$B$14,IF(01_因子設定!$B$13="最小化",01_因子設定!$B$15-U4763,MIN(T4763-01_因子設定!$B$14,01_因子設定!$B$15-U4763))),-1E+030)</f>
        <v>-1.46810675542267</v>
      </c>
      <c r="X4763" s="55" t="n">
        <f aca="false">IF(V4763,IF(01_因子設定!$B$13="最大化",Q4763,IF(01_因子設定!$B$13="最小化",-Q4763,-ABS(Q4763-01_因子設定!$B$16))),-1E+030)</f>
        <v>48.2057670454546</v>
      </c>
      <c r="Y4763" s="55" t="n">
        <f aca="false">W4763+ROW()*0.000000001</f>
        <v>-1.46810199242267</v>
      </c>
      <c r="Z4763" s="55" t="n">
        <f aca="false">X4763+ROW()*0.000000001</f>
        <v>48.2057718084546</v>
      </c>
    </row>
    <row r="4764" customFormat="false" ht="15" hidden="false" customHeight="false" outlineLevel="0" collapsed="false">
      <c r="A4764" s="0" t="n">
        <v>16</v>
      </c>
      <c r="B4764" s="0" t="n">
        <v>7</v>
      </c>
      <c r="C4764" s="0" t="n">
        <v>16</v>
      </c>
      <c r="D4764" s="0" t="n">
        <f aca="false">-1+A4764*0.125</f>
        <v>1</v>
      </c>
      <c r="E4764" s="0" t="n">
        <f aca="false">-1+B4764*0.125</f>
        <v>-0.125</v>
      </c>
      <c r="F4764" s="0" t="n">
        <f aca="false">-1+C4764*0.125</f>
        <v>1</v>
      </c>
      <c r="G4764" s="0" t="n">
        <f aca="false">1</f>
        <v>1</v>
      </c>
      <c r="H4764" s="0" t="n">
        <f aca="false">D4764</f>
        <v>1</v>
      </c>
      <c r="I4764" s="0" t="n">
        <f aca="false">E4764</f>
        <v>-0.125</v>
      </c>
      <c r="J4764" s="0" t="n">
        <f aca="false">F4764</f>
        <v>1</v>
      </c>
      <c r="K4764" s="0" t="n">
        <f aca="false">D4764*E4764</f>
        <v>-0.125</v>
      </c>
      <c r="L4764" s="0" t="n">
        <f aca="false">D4764*F4764</f>
        <v>1</v>
      </c>
      <c r="M4764" s="0" t="n">
        <f aca="false">E4764*F4764</f>
        <v>-0.125</v>
      </c>
      <c r="N4764" s="0" t="n">
        <f aca="false">D4764*D4764</f>
        <v>1</v>
      </c>
      <c r="O4764" s="0" t="n">
        <f aca="false">E4764*E4764</f>
        <v>0.015625</v>
      </c>
      <c r="P4764" s="0" t="n">
        <f aca="false">F4764*F4764</f>
        <v>1</v>
      </c>
      <c r="Q4764" s="0" t="n">
        <f aca="false">SUMPRODUCT(G4764:P4764,_XtX!$B$71:$K$71)</f>
        <v>48.0765625</v>
      </c>
      <c r="R4764" s="0" t="n">
        <f aca="false">SUMPRODUCT(MMULT(G4764:P4764,_XtX!$B$58:$K$67),G4764:P4764)</f>
        <v>0.7115234375</v>
      </c>
      <c r="S4764" s="0" t="n">
        <f aca="false">04_回帰ANOVA!$K$19*04_回帰ANOVA!$K$14*SQRT(1+R4764)</f>
        <v>1.21634860506574</v>
      </c>
      <c r="T4764" s="0" t="n">
        <f aca="false">Q4764-S4764</f>
        <v>46.8602138949343</v>
      </c>
      <c r="U4764" s="0" t="n">
        <f aca="false">Q4764+S4764</f>
        <v>49.2929111050657</v>
      </c>
      <c r="V4764" s="54" t="b">
        <f aca="false">AND(D4764&gt;=01_因子設定!$L$5-0.000000001,D4764&lt;=01_因子設定!$M$5+0.000000001,E4764&gt;=01_因子設定!$L$6-0.000000001,E4764&lt;=01_因子設定!$M$6+0.000000001,F4764&gt;=01_因子設定!$L$7-0.000000001,F4764&lt;=01_因子設定!$M$7+0.000000001,IF(01_因子設定!$B$20="Box-Behnken",D4764^2+E4764^2+F4764^2&lt;=2+0.000000001,TRUE()))</f>
        <v>1</v>
      </c>
      <c r="W4764" s="55" t="n">
        <f aca="false">IF(V4764,IF(01_因子設定!$B$13="最大化",T4764-01_因子設定!$B$14,IF(01_因子設定!$B$13="最小化",01_因子設定!$B$15-U4764,MIN(T4764-01_因子設定!$B$14,01_因子設定!$B$15-U4764))),-1E+030)</f>
        <v>-1.63978610506572</v>
      </c>
      <c r="X4764" s="55" t="n">
        <f aca="false">IF(V4764,IF(01_因子設定!$B$13="最大化",Q4764,IF(01_因子設定!$B$13="最小化",-Q4764,-ABS(Q4764-01_因子設定!$B$16))),-1E+030)</f>
        <v>48.0765625</v>
      </c>
      <c r="Y4764" s="55" t="n">
        <f aca="false">W4764+ROW()*0.000000001</f>
        <v>-1.63978134106572</v>
      </c>
      <c r="Z4764" s="55" t="n">
        <f aca="false">X4764+ROW()*0.000000001</f>
        <v>48.076567264</v>
      </c>
    </row>
    <row r="4765" customFormat="false" ht="15" hidden="false" customHeight="false" outlineLevel="0" collapsed="false">
      <c r="A4765" s="0" t="n">
        <v>16</v>
      </c>
      <c r="B4765" s="0" t="n">
        <v>8</v>
      </c>
      <c r="C4765" s="0" t="n">
        <v>0</v>
      </c>
      <c r="D4765" s="0" t="n">
        <f aca="false">-1+A4765*0.125</f>
        <v>1</v>
      </c>
      <c r="E4765" s="0" t="n">
        <f aca="false">-1+B4765*0.125</f>
        <v>0</v>
      </c>
      <c r="F4765" s="0" t="n">
        <f aca="false">-1+C4765*0.125</f>
        <v>-1</v>
      </c>
      <c r="G4765" s="0" t="n">
        <f aca="false">1</f>
        <v>1</v>
      </c>
      <c r="H4765" s="0" t="n">
        <f aca="false">D4765</f>
        <v>1</v>
      </c>
      <c r="I4765" s="0" t="n">
        <f aca="false">E4765</f>
        <v>0</v>
      </c>
      <c r="J4765" s="0" t="n">
        <f aca="false">F4765</f>
        <v>-1</v>
      </c>
      <c r="K4765" s="0" t="n">
        <f aca="false">D4765*E4765</f>
        <v>0</v>
      </c>
      <c r="L4765" s="0" t="n">
        <f aca="false">D4765*F4765</f>
        <v>-1</v>
      </c>
      <c r="M4765" s="0" t="n">
        <f aca="false">E4765*F4765</f>
        <v>-0</v>
      </c>
      <c r="N4765" s="0" t="n">
        <f aca="false">D4765*D4765</f>
        <v>1</v>
      </c>
      <c r="O4765" s="0" t="n">
        <f aca="false">E4765*E4765</f>
        <v>0</v>
      </c>
      <c r="P4765" s="0" t="n">
        <f aca="false">F4765*F4765</f>
        <v>1</v>
      </c>
      <c r="Q4765" s="0" t="n">
        <f aca="false">SUMPRODUCT(G4765:P4765,_XtX!$B$71:$K$71)</f>
        <v>46.1163636363636</v>
      </c>
      <c r="R4765" s="0" t="n">
        <f aca="false">SUMPRODUCT(MMULT(G4765:P4765,_XtX!$B$58:$K$67),G4765:P4765)</f>
        <v>0.715909090909091</v>
      </c>
      <c r="S4765" s="0" t="n">
        <f aca="false">04_回帰ANOVA!$K$19*04_回帰ANOVA!$K$14*SQRT(1+R4765)</f>
        <v>1.21790601011063</v>
      </c>
      <c r="T4765" s="0" t="n">
        <f aca="false">Q4765-S4765</f>
        <v>44.898457626253</v>
      </c>
      <c r="U4765" s="0" t="n">
        <f aca="false">Q4765+S4765</f>
        <v>47.3342696464743</v>
      </c>
      <c r="V4765" s="54" t="b">
        <f aca="false">AND(D4765&gt;=01_因子設定!$L$5-0.000000001,D4765&lt;=01_因子設定!$M$5+0.000000001,E4765&gt;=01_因子設定!$L$6-0.000000001,E4765&lt;=01_因子設定!$M$6+0.000000001,F4765&gt;=01_因子設定!$L$7-0.000000001,F4765&lt;=01_因子設定!$M$7+0.000000001,IF(01_因子設定!$B$20="Box-Behnken",D4765^2+E4765^2+F4765^2&lt;=2+0.000000001,TRUE()))</f>
        <v>1</v>
      </c>
      <c r="W4765" s="55" t="n">
        <f aca="false">IF(V4765,IF(01_因子設定!$B$13="最大化",T4765-01_因子設定!$B$14,IF(01_因子設定!$B$13="最小化",01_因子設定!$B$15-U4765,MIN(T4765-01_因子設定!$B$14,01_因子設定!$B$15-U4765))),-1E+030)</f>
        <v>-3.60154237374698</v>
      </c>
      <c r="X4765" s="55" t="n">
        <f aca="false">IF(V4765,IF(01_因子設定!$B$13="最大化",Q4765,IF(01_因子設定!$B$13="最小化",-Q4765,-ABS(Q4765-01_因子設定!$B$16))),-1E+030)</f>
        <v>46.1163636363636</v>
      </c>
      <c r="Y4765" s="55" t="n">
        <f aca="false">W4765+ROW()*0.000000001</f>
        <v>-3.60153760874698</v>
      </c>
      <c r="Z4765" s="55" t="n">
        <f aca="false">X4765+ROW()*0.000000001</f>
        <v>46.1163684013636</v>
      </c>
    </row>
    <row r="4766" customFormat="false" ht="15" hidden="false" customHeight="false" outlineLevel="0" collapsed="false">
      <c r="A4766" s="0" t="n">
        <v>16</v>
      </c>
      <c r="B4766" s="0" t="n">
        <v>8</v>
      </c>
      <c r="C4766" s="0" t="n">
        <v>1</v>
      </c>
      <c r="D4766" s="0" t="n">
        <f aca="false">-1+A4766*0.125</f>
        <v>1</v>
      </c>
      <c r="E4766" s="0" t="n">
        <f aca="false">-1+B4766*0.125</f>
        <v>0</v>
      </c>
      <c r="F4766" s="0" t="n">
        <f aca="false">-1+C4766*0.125</f>
        <v>-0.875</v>
      </c>
      <c r="G4766" s="0" t="n">
        <f aca="false">1</f>
        <v>1</v>
      </c>
      <c r="H4766" s="0" t="n">
        <f aca="false">D4766</f>
        <v>1</v>
      </c>
      <c r="I4766" s="0" t="n">
        <f aca="false">E4766</f>
        <v>0</v>
      </c>
      <c r="J4766" s="0" t="n">
        <f aca="false">F4766</f>
        <v>-0.875</v>
      </c>
      <c r="K4766" s="0" t="n">
        <f aca="false">D4766*E4766</f>
        <v>0</v>
      </c>
      <c r="L4766" s="0" t="n">
        <f aca="false">D4766*F4766</f>
        <v>-0.875</v>
      </c>
      <c r="M4766" s="0" t="n">
        <f aca="false">E4766*F4766</f>
        <v>-0</v>
      </c>
      <c r="N4766" s="0" t="n">
        <f aca="false">D4766*D4766</f>
        <v>1</v>
      </c>
      <c r="O4766" s="0" t="n">
        <f aca="false">E4766*E4766</f>
        <v>0</v>
      </c>
      <c r="P4766" s="0" t="n">
        <f aca="false">F4766*F4766</f>
        <v>0.765625</v>
      </c>
      <c r="Q4766" s="0" t="n">
        <f aca="false">SUMPRODUCT(G4766:P4766,_XtX!$B$71:$K$71)</f>
        <v>46.5460369318182</v>
      </c>
      <c r="R4766" s="0" t="n">
        <f aca="false">SUMPRODUCT(MMULT(G4766:P4766,_XtX!$B$58:$K$67),G4766:P4766)</f>
        <v>0.597922585227273</v>
      </c>
      <c r="S4766" s="0" t="n">
        <f aca="false">04_回帰ANOVA!$K$19*04_回帰ANOVA!$K$14*SQRT(1+R4766)</f>
        <v>1.17528854591003</v>
      </c>
      <c r="T4766" s="0" t="n">
        <f aca="false">Q4766-S4766</f>
        <v>45.3707483859082</v>
      </c>
      <c r="U4766" s="0" t="n">
        <f aca="false">Q4766+S4766</f>
        <v>47.7213254777282</v>
      </c>
      <c r="V4766" s="54" t="b">
        <f aca="false">AND(D4766&gt;=01_因子設定!$L$5-0.000000001,D4766&lt;=01_因子設定!$M$5+0.000000001,E4766&gt;=01_因子設定!$L$6-0.000000001,E4766&lt;=01_因子設定!$M$6+0.000000001,F4766&gt;=01_因子設定!$L$7-0.000000001,F4766&lt;=01_因子設定!$M$7+0.000000001,IF(01_因子設定!$B$20="Box-Behnken",D4766^2+E4766^2+F4766^2&lt;=2+0.000000001,TRUE()))</f>
        <v>1</v>
      </c>
      <c r="W4766" s="55" t="n">
        <f aca="false">IF(V4766,IF(01_因子設定!$B$13="最大化",T4766-01_因子設定!$B$14,IF(01_因子設定!$B$13="最小化",01_因子設定!$B$15-U4766,MIN(T4766-01_因子設定!$B$14,01_因子設定!$B$15-U4766))),-1E+030)</f>
        <v>-3.12925161409184</v>
      </c>
      <c r="X4766" s="55" t="n">
        <f aca="false">IF(V4766,IF(01_因子設定!$B$13="最大化",Q4766,IF(01_因子設定!$B$13="最小化",-Q4766,-ABS(Q4766-01_因子設定!$B$16))),-1E+030)</f>
        <v>46.5460369318182</v>
      </c>
      <c r="Y4766" s="55" t="n">
        <f aca="false">W4766+ROW()*0.000000001</f>
        <v>-3.12924684809184</v>
      </c>
      <c r="Z4766" s="55" t="n">
        <f aca="false">X4766+ROW()*0.000000001</f>
        <v>46.5460416978182</v>
      </c>
    </row>
    <row r="4767" customFormat="false" ht="15" hidden="false" customHeight="false" outlineLevel="0" collapsed="false">
      <c r="A4767" s="0" t="n">
        <v>16</v>
      </c>
      <c r="B4767" s="0" t="n">
        <v>8</v>
      </c>
      <c r="C4767" s="0" t="n">
        <v>2</v>
      </c>
      <c r="D4767" s="0" t="n">
        <f aca="false">-1+A4767*0.125</f>
        <v>1</v>
      </c>
      <c r="E4767" s="0" t="n">
        <f aca="false">-1+B4767*0.125</f>
        <v>0</v>
      </c>
      <c r="F4767" s="0" t="n">
        <f aca="false">-1+C4767*0.125</f>
        <v>-0.75</v>
      </c>
      <c r="G4767" s="0" t="n">
        <f aca="false">1</f>
        <v>1</v>
      </c>
      <c r="H4767" s="0" t="n">
        <f aca="false">D4767</f>
        <v>1</v>
      </c>
      <c r="I4767" s="0" t="n">
        <f aca="false">E4767</f>
        <v>0</v>
      </c>
      <c r="J4767" s="0" t="n">
        <f aca="false">F4767</f>
        <v>-0.75</v>
      </c>
      <c r="K4767" s="0" t="n">
        <f aca="false">D4767*E4767</f>
        <v>0</v>
      </c>
      <c r="L4767" s="0" t="n">
        <f aca="false">D4767*F4767</f>
        <v>-0.75</v>
      </c>
      <c r="M4767" s="0" t="n">
        <f aca="false">E4767*F4767</f>
        <v>-0</v>
      </c>
      <c r="N4767" s="0" t="n">
        <f aca="false">D4767*D4767</f>
        <v>1</v>
      </c>
      <c r="O4767" s="0" t="n">
        <f aca="false">E4767*E4767</f>
        <v>0</v>
      </c>
      <c r="P4767" s="0" t="n">
        <f aca="false">F4767*F4767</f>
        <v>0.5625</v>
      </c>
      <c r="Q4767" s="0" t="n">
        <f aca="false">SUMPRODUCT(G4767:P4767,_XtX!$B$71:$K$71)</f>
        <v>46.9389204545455</v>
      </c>
      <c r="R4767" s="0" t="n">
        <f aca="false">SUMPRODUCT(MMULT(G4767:P4767,_XtX!$B$58:$K$67),G4767:P4767)</f>
        <v>0.527982954545455</v>
      </c>
      <c r="S4767" s="0" t="n">
        <f aca="false">04_回帰ANOVA!$K$19*04_回帰ANOVA!$K$14*SQRT(1+R4767)</f>
        <v>1.14928011037747</v>
      </c>
      <c r="T4767" s="0" t="n">
        <f aca="false">Q4767-S4767</f>
        <v>45.789640344168</v>
      </c>
      <c r="U4767" s="0" t="n">
        <f aca="false">Q4767+S4767</f>
        <v>48.0882005649229</v>
      </c>
      <c r="V4767" s="54" t="b">
        <f aca="false">AND(D4767&gt;=01_因子設定!$L$5-0.000000001,D4767&lt;=01_因子設定!$M$5+0.000000001,E4767&gt;=01_因子設定!$L$6-0.000000001,E4767&lt;=01_因子設定!$M$6+0.000000001,F4767&gt;=01_因子設定!$L$7-0.000000001,F4767&lt;=01_因子設定!$M$7+0.000000001,IF(01_因子設定!$B$20="Box-Behnken",D4767^2+E4767^2+F4767^2&lt;=2+0.000000001,TRUE()))</f>
        <v>1</v>
      </c>
      <c r="W4767" s="55" t="n">
        <f aca="false">IF(V4767,IF(01_因子設定!$B$13="最大化",T4767-01_因子設定!$B$14,IF(01_因子設定!$B$13="最小化",01_因子設定!$B$15-U4767,MIN(T4767-01_因子設定!$B$14,01_因子設定!$B$15-U4767))),-1E+030)</f>
        <v>-2.71035965583202</v>
      </c>
      <c r="X4767" s="55" t="n">
        <f aca="false">IF(V4767,IF(01_因子設定!$B$13="最大化",Q4767,IF(01_因子設定!$B$13="最小化",-Q4767,-ABS(Q4767-01_因子設定!$B$16))),-1E+030)</f>
        <v>46.9389204545455</v>
      </c>
      <c r="Y4767" s="55" t="n">
        <f aca="false">W4767+ROW()*0.000000001</f>
        <v>-2.71035488883202</v>
      </c>
      <c r="Z4767" s="55" t="n">
        <f aca="false">X4767+ROW()*0.000000001</f>
        <v>46.9389252215455</v>
      </c>
    </row>
    <row r="4768" customFormat="false" ht="15" hidden="false" customHeight="false" outlineLevel="0" collapsed="false">
      <c r="A4768" s="0" t="n">
        <v>16</v>
      </c>
      <c r="B4768" s="0" t="n">
        <v>8</v>
      </c>
      <c r="C4768" s="0" t="n">
        <v>3</v>
      </c>
      <c r="D4768" s="0" t="n">
        <f aca="false">-1+A4768*0.125</f>
        <v>1</v>
      </c>
      <c r="E4768" s="0" t="n">
        <f aca="false">-1+B4768*0.125</f>
        <v>0</v>
      </c>
      <c r="F4768" s="0" t="n">
        <f aca="false">-1+C4768*0.125</f>
        <v>-0.625</v>
      </c>
      <c r="G4768" s="0" t="n">
        <f aca="false">1</f>
        <v>1</v>
      </c>
      <c r="H4768" s="0" t="n">
        <f aca="false">D4768</f>
        <v>1</v>
      </c>
      <c r="I4768" s="0" t="n">
        <f aca="false">E4768</f>
        <v>0</v>
      </c>
      <c r="J4768" s="0" t="n">
        <f aca="false">F4768</f>
        <v>-0.625</v>
      </c>
      <c r="K4768" s="0" t="n">
        <f aca="false">D4768*E4768</f>
        <v>0</v>
      </c>
      <c r="L4768" s="0" t="n">
        <f aca="false">D4768*F4768</f>
        <v>-0.625</v>
      </c>
      <c r="M4768" s="0" t="n">
        <f aca="false">E4768*F4768</f>
        <v>-0</v>
      </c>
      <c r="N4768" s="0" t="n">
        <f aca="false">D4768*D4768</f>
        <v>1</v>
      </c>
      <c r="O4768" s="0" t="n">
        <f aca="false">E4768*E4768</f>
        <v>0</v>
      </c>
      <c r="P4768" s="0" t="n">
        <f aca="false">F4768*F4768</f>
        <v>0.390625</v>
      </c>
      <c r="Q4768" s="0" t="n">
        <f aca="false">SUMPRODUCT(G4768:P4768,_XtX!$B$71:$K$71)</f>
        <v>47.2950142045455</v>
      </c>
      <c r="R4768" s="0" t="n">
        <f aca="false">SUMPRODUCT(MMULT(G4768:P4768,_XtX!$B$58:$K$67),G4768:P4768)</f>
        <v>0.492240767045455</v>
      </c>
      <c r="S4768" s="0" t="n">
        <f aca="false">04_回帰ANOVA!$K$19*04_回帰ANOVA!$K$14*SQRT(1+R4768)</f>
        <v>1.13575873676322</v>
      </c>
      <c r="T4768" s="0" t="n">
        <f aca="false">Q4768-S4768</f>
        <v>46.1592554677822</v>
      </c>
      <c r="U4768" s="0" t="n">
        <f aca="false">Q4768+S4768</f>
        <v>48.4307729413087</v>
      </c>
      <c r="V4768" s="54" t="b">
        <f aca="false">AND(D4768&gt;=01_因子設定!$L$5-0.000000001,D4768&lt;=01_因子設定!$M$5+0.000000001,E4768&gt;=01_因子設定!$L$6-0.000000001,E4768&lt;=01_因子設定!$M$6+0.000000001,F4768&gt;=01_因子設定!$L$7-0.000000001,F4768&lt;=01_因子設定!$M$7+0.000000001,IF(01_因子設定!$B$20="Box-Behnken",D4768^2+E4768^2+F4768^2&lt;=2+0.000000001,TRUE()))</f>
        <v>1</v>
      </c>
      <c r="W4768" s="55" t="n">
        <f aca="false">IF(V4768,IF(01_因子設定!$B$13="最大化",T4768-01_因子設定!$B$14,IF(01_因子設定!$B$13="最小化",01_因子設定!$B$15-U4768,MIN(T4768-01_因子設定!$B$14,01_因子設定!$B$15-U4768))),-1E+030)</f>
        <v>-2.34074453221777</v>
      </c>
      <c r="X4768" s="55" t="n">
        <f aca="false">IF(V4768,IF(01_因子設定!$B$13="最大化",Q4768,IF(01_因子設定!$B$13="最小化",-Q4768,-ABS(Q4768-01_因子設定!$B$16))),-1E+030)</f>
        <v>47.2950142045455</v>
      </c>
      <c r="Y4768" s="55" t="n">
        <f aca="false">W4768+ROW()*0.000000001</f>
        <v>-2.34073976421777</v>
      </c>
      <c r="Z4768" s="55" t="n">
        <f aca="false">X4768+ROW()*0.000000001</f>
        <v>47.2950189725455</v>
      </c>
    </row>
    <row r="4769" customFormat="false" ht="15" hidden="false" customHeight="false" outlineLevel="0" collapsed="false">
      <c r="A4769" s="0" t="n">
        <v>16</v>
      </c>
      <c r="B4769" s="0" t="n">
        <v>8</v>
      </c>
      <c r="C4769" s="0" t="n">
        <v>4</v>
      </c>
      <c r="D4769" s="0" t="n">
        <f aca="false">-1+A4769*0.125</f>
        <v>1</v>
      </c>
      <c r="E4769" s="0" t="n">
        <f aca="false">-1+B4769*0.125</f>
        <v>0</v>
      </c>
      <c r="F4769" s="0" t="n">
        <f aca="false">-1+C4769*0.125</f>
        <v>-0.5</v>
      </c>
      <c r="G4769" s="0" t="n">
        <f aca="false">1</f>
        <v>1</v>
      </c>
      <c r="H4769" s="0" t="n">
        <f aca="false">D4769</f>
        <v>1</v>
      </c>
      <c r="I4769" s="0" t="n">
        <f aca="false">E4769</f>
        <v>0</v>
      </c>
      <c r="J4769" s="0" t="n">
        <f aca="false">F4769</f>
        <v>-0.5</v>
      </c>
      <c r="K4769" s="0" t="n">
        <f aca="false">D4769*E4769</f>
        <v>0</v>
      </c>
      <c r="L4769" s="0" t="n">
        <f aca="false">D4769*F4769</f>
        <v>-0.5</v>
      </c>
      <c r="M4769" s="0" t="n">
        <f aca="false">E4769*F4769</f>
        <v>-0</v>
      </c>
      <c r="N4769" s="0" t="n">
        <f aca="false">D4769*D4769</f>
        <v>1</v>
      </c>
      <c r="O4769" s="0" t="n">
        <f aca="false">E4769*E4769</f>
        <v>0</v>
      </c>
      <c r="P4769" s="0" t="n">
        <f aca="false">F4769*F4769</f>
        <v>0.25</v>
      </c>
      <c r="Q4769" s="0" t="n">
        <f aca="false">SUMPRODUCT(G4769:P4769,_XtX!$B$71:$K$71)</f>
        <v>47.6143181818182</v>
      </c>
      <c r="R4769" s="0" t="n">
        <f aca="false">SUMPRODUCT(MMULT(G4769:P4769,_XtX!$B$58:$K$67),G4769:P4769)</f>
        <v>0.478977272727273</v>
      </c>
      <c r="S4769" s="0" t="n">
        <f aca="false">04_回帰ANOVA!$K$19*04_回帰ANOVA!$K$14*SQRT(1+R4769)</f>
        <v>1.13069998447216</v>
      </c>
      <c r="T4769" s="0" t="n">
        <f aca="false">Q4769-S4769</f>
        <v>46.483618197346</v>
      </c>
      <c r="U4769" s="0" t="n">
        <f aca="false">Q4769+S4769</f>
        <v>48.7450181662903</v>
      </c>
      <c r="V4769" s="54" t="b">
        <f aca="false">AND(D4769&gt;=01_因子設定!$L$5-0.000000001,D4769&lt;=01_因子設定!$M$5+0.000000001,E4769&gt;=01_因子設定!$L$6-0.000000001,E4769&lt;=01_因子設定!$M$6+0.000000001,F4769&gt;=01_因子設定!$L$7-0.000000001,F4769&lt;=01_因子設定!$M$7+0.000000001,IF(01_因子設定!$B$20="Box-Behnken",D4769^2+E4769^2+F4769^2&lt;=2+0.000000001,TRUE()))</f>
        <v>1</v>
      </c>
      <c r="W4769" s="55" t="n">
        <f aca="false">IF(V4769,IF(01_因子設定!$B$13="最大化",T4769-01_因子設定!$B$14,IF(01_因子設定!$B$13="最小化",01_因子設定!$B$15-U4769,MIN(T4769-01_因子設定!$B$14,01_因子設定!$B$15-U4769))),-1E+030)</f>
        <v>-2.01638180265398</v>
      </c>
      <c r="X4769" s="55" t="n">
        <f aca="false">IF(V4769,IF(01_因子設定!$B$13="最大化",Q4769,IF(01_因子設定!$B$13="最小化",-Q4769,-ABS(Q4769-01_因子設定!$B$16))),-1E+030)</f>
        <v>47.6143181818182</v>
      </c>
      <c r="Y4769" s="55" t="n">
        <f aca="false">W4769+ROW()*0.000000001</f>
        <v>-2.01637703365398</v>
      </c>
      <c r="Z4769" s="55" t="n">
        <f aca="false">X4769+ROW()*0.000000001</f>
        <v>47.6143229508182</v>
      </c>
    </row>
    <row r="4770" customFormat="false" ht="15" hidden="false" customHeight="false" outlineLevel="0" collapsed="false">
      <c r="A4770" s="0" t="n">
        <v>16</v>
      </c>
      <c r="B4770" s="0" t="n">
        <v>8</v>
      </c>
      <c r="C4770" s="0" t="n">
        <v>5</v>
      </c>
      <c r="D4770" s="0" t="n">
        <f aca="false">-1+A4770*0.125</f>
        <v>1</v>
      </c>
      <c r="E4770" s="0" t="n">
        <f aca="false">-1+B4770*0.125</f>
        <v>0</v>
      </c>
      <c r="F4770" s="0" t="n">
        <f aca="false">-1+C4770*0.125</f>
        <v>-0.375</v>
      </c>
      <c r="G4770" s="0" t="n">
        <f aca="false">1</f>
        <v>1</v>
      </c>
      <c r="H4770" s="0" t="n">
        <f aca="false">D4770</f>
        <v>1</v>
      </c>
      <c r="I4770" s="0" t="n">
        <f aca="false">E4770</f>
        <v>0</v>
      </c>
      <c r="J4770" s="0" t="n">
        <f aca="false">F4770</f>
        <v>-0.375</v>
      </c>
      <c r="K4770" s="0" t="n">
        <f aca="false">D4770*E4770</f>
        <v>0</v>
      </c>
      <c r="L4770" s="0" t="n">
        <f aca="false">D4770*F4770</f>
        <v>-0.375</v>
      </c>
      <c r="M4770" s="0" t="n">
        <f aca="false">E4770*F4770</f>
        <v>-0</v>
      </c>
      <c r="N4770" s="0" t="n">
        <f aca="false">D4770*D4770</f>
        <v>1</v>
      </c>
      <c r="O4770" s="0" t="n">
        <f aca="false">E4770*E4770</f>
        <v>0</v>
      </c>
      <c r="P4770" s="0" t="n">
        <f aca="false">F4770*F4770</f>
        <v>0.140625</v>
      </c>
      <c r="Q4770" s="0" t="n">
        <f aca="false">SUMPRODUCT(G4770:P4770,_XtX!$B$71:$K$71)</f>
        <v>47.8968323863636</v>
      </c>
      <c r="R4770" s="0" t="n">
        <f aca="false">SUMPRODUCT(MMULT(G4770:P4770,_XtX!$B$58:$K$67),G4770:P4770)</f>
        <v>0.478604403409091</v>
      </c>
      <c r="S4770" s="0" t="n">
        <f aca="false">04_回帰ANOVA!$K$19*04_回帰ANOVA!$K$14*SQRT(1+R4770)</f>
        <v>1.13055744343508</v>
      </c>
      <c r="T4770" s="0" t="n">
        <f aca="false">Q4770-S4770</f>
        <v>46.7662749429286</v>
      </c>
      <c r="U4770" s="0" t="n">
        <f aca="false">Q4770+S4770</f>
        <v>49.0273898297987</v>
      </c>
      <c r="V4770" s="54" t="b">
        <f aca="false">AND(D4770&gt;=01_因子設定!$L$5-0.000000001,D4770&lt;=01_因子設定!$M$5+0.000000001,E4770&gt;=01_因子設定!$L$6-0.000000001,E4770&lt;=01_因子設定!$M$6+0.000000001,F4770&gt;=01_因子設定!$L$7-0.000000001,F4770&lt;=01_因子設定!$M$7+0.000000001,IF(01_因子設定!$B$20="Box-Behnken",D4770^2+E4770^2+F4770^2&lt;=2+0.000000001,TRUE()))</f>
        <v>1</v>
      </c>
      <c r="W4770" s="55" t="n">
        <f aca="false">IF(V4770,IF(01_因子設定!$B$13="最大化",T4770-01_因子設定!$B$14,IF(01_因子設定!$B$13="最小化",01_因子設定!$B$15-U4770,MIN(T4770-01_因子設定!$B$14,01_因子設定!$B$15-U4770))),-1E+030)</f>
        <v>-1.73372505707145</v>
      </c>
      <c r="X4770" s="55" t="n">
        <f aca="false">IF(V4770,IF(01_因子設定!$B$13="最大化",Q4770,IF(01_因子設定!$B$13="最小化",-Q4770,-ABS(Q4770-01_因子設定!$B$16))),-1E+030)</f>
        <v>47.8968323863636</v>
      </c>
      <c r="Y4770" s="55" t="n">
        <f aca="false">W4770+ROW()*0.000000001</f>
        <v>-1.73372028707145</v>
      </c>
      <c r="Z4770" s="55" t="n">
        <f aca="false">X4770+ROW()*0.000000001</f>
        <v>47.8968371563636</v>
      </c>
    </row>
    <row r="4771" customFormat="false" ht="15" hidden="false" customHeight="false" outlineLevel="0" collapsed="false">
      <c r="A4771" s="0" t="n">
        <v>16</v>
      </c>
      <c r="B4771" s="0" t="n">
        <v>8</v>
      </c>
      <c r="C4771" s="0" t="n">
        <v>6</v>
      </c>
      <c r="D4771" s="0" t="n">
        <f aca="false">-1+A4771*0.125</f>
        <v>1</v>
      </c>
      <c r="E4771" s="0" t="n">
        <f aca="false">-1+B4771*0.125</f>
        <v>0</v>
      </c>
      <c r="F4771" s="0" t="n">
        <f aca="false">-1+C4771*0.125</f>
        <v>-0.25</v>
      </c>
      <c r="G4771" s="0" t="n">
        <f aca="false">1</f>
        <v>1</v>
      </c>
      <c r="H4771" s="0" t="n">
        <f aca="false">D4771</f>
        <v>1</v>
      </c>
      <c r="I4771" s="0" t="n">
        <f aca="false">E4771</f>
        <v>0</v>
      </c>
      <c r="J4771" s="0" t="n">
        <f aca="false">F4771</f>
        <v>-0.25</v>
      </c>
      <c r="K4771" s="0" t="n">
        <f aca="false">D4771*E4771</f>
        <v>0</v>
      </c>
      <c r="L4771" s="0" t="n">
        <f aca="false">D4771*F4771</f>
        <v>-0.25</v>
      </c>
      <c r="M4771" s="0" t="n">
        <f aca="false">E4771*F4771</f>
        <v>-0</v>
      </c>
      <c r="N4771" s="0" t="n">
        <f aca="false">D4771*D4771</f>
        <v>1</v>
      </c>
      <c r="O4771" s="0" t="n">
        <f aca="false">E4771*E4771</f>
        <v>0</v>
      </c>
      <c r="P4771" s="0" t="n">
        <f aca="false">F4771*F4771</f>
        <v>0.0625</v>
      </c>
      <c r="Q4771" s="0" t="n">
        <f aca="false">SUMPRODUCT(G4771:P4771,_XtX!$B$71:$K$71)</f>
        <v>48.1425568181818</v>
      </c>
      <c r="R4771" s="0" t="n">
        <f aca="false">SUMPRODUCT(MMULT(G4771:P4771,_XtX!$B$58:$K$67),G4771:P4771)</f>
        <v>0.483664772727273</v>
      </c>
      <c r="S4771" s="0" t="n">
        <f aca="false">04_回帰ANOVA!$K$19*04_回帰ANOVA!$K$14*SQRT(1+R4771)</f>
        <v>1.13249039846694</v>
      </c>
      <c r="T4771" s="0" t="n">
        <f aca="false">Q4771-S4771</f>
        <v>47.0100664197149</v>
      </c>
      <c r="U4771" s="0" t="n">
        <f aca="false">Q4771+S4771</f>
        <v>49.2750472166487</v>
      </c>
      <c r="V4771" s="54" t="b">
        <f aca="false">AND(D4771&gt;=01_因子設定!$L$5-0.000000001,D4771&lt;=01_因子設定!$M$5+0.000000001,E4771&gt;=01_因子設定!$L$6-0.000000001,E4771&lt;=01_因子設定!$M$6+0.000000001,F4771&gt;=01_因子設定!$L$7-0.000000001,F4771&lt;=01_因子設定!$M$7+0.000000001,IF(01_因子設定!$B$20="Box-Behnken",D4771^2+E4771^2+F4771^2&lt;=2+0.000000001,TRUE()))</f>
        <v>1</v>
      </c>
      <c r="W4771" s="55" t="n">
        <f aca="false">IF(V4771,IF(01_因子設定!$B$13="最大化",T4771-01_因子設定!$B$14,IF(01_因子設定!$B$13="最小化",01_因子設定!$B$15-U4771,MIN(T4771-01_因子設定!$B$14,01_因子設定!$B$15-U4771))),-1E+030)</f>
        <v>-1.48993358028513</v>
      </c>
      <c r="X4771" s="55" t="n">
        <f aca="false">IF(V4771,IF(01_因子設定!$B$13="最大化",Q4771,IF(01_因子設定!$B$13="最小化",-Q4771,-ABS(Q4771-01_因子設定!$B$16))),-1E+030)</f>
        <v>48.1425568181818</v>
      </c>
      <c r="Y4771" s="55" t="n">
        <f aca="false">W4771+ROW()*0.000000001</f>
        <v>-1.48992880928513</v>
      </c>
      <c r="Z4771" s="55" t="n">
        <f aca="false">X4771+ROW()*0.000000001</f>
        <v>48.1425615891818</v>
      </c>
    </row>
    <row r="4772" customFormat="false" ht="15" hidden="false" customHeight="false" outlineLevel="0" collapsed="false">
      <c r="A4772" s="0" t="n">
        <v>16</v>
      </c>
      <c r="B4772" s="0" t="n">
        <v>8</v>
      </c>
      <c r="C4772" s="0" t="n">
        <v>7</v>
      </c>
      <c r="D4772" s="0" t="n">
        <f aca="false">-1+A4772*0.125</f>
        <v>1</v>
      </c>
      <c r="E4772" s="0" t="n">
        <f aca="false">-1+B4772*0.125</f>
        <v>0</v>
      </c>
      <c r="F4772" s="0" t="n">
        <f aca="false">-1+C4772*0.125</f>
        <v>-0.125</v>
      </c>
      <c r="G4772" s="0" t="n">
        <f aca="false">1</f>
        <v>1</v>
      </c>
      <c r="H4772" s="0" t="n">
        <f aca="false">D4772</f>
        <v>1</v>
      </c>
      <c r="I4772" s="0" t="n">
        <f aca="false">E4772</f>
        <v>0</v>
      </c>
      <c r="J4772" s="0" t="n">
        <f aca="false">F4772</f>
        <v>-0.125</v>
      </c>
      <c r="K4772" s="0" t="n">
        <f aca="false">D4772*E4772</f>
        <v>0</v>
      </c>
      <c r="L4772" s="0" t="n">
        <f aca="false">D4772*F4772</f>
        <v>-0.125</v>
      </c>
      <c r="M4772" s="0" t="n">
        <f aca="false">E4772*F4772</f>
        <v>-0</v>
      </c>
      <c r="N4772" s="0" t="n">
        <f aca="false">D4772*D4772</f>
        <v>1</v>
      </c>
      <c r="O4772" s="0" t="n">
        <f aca="false">E4772*E4772</f>
        <v>0</v>
      </c>
      <c r="P4772" s="0" t="n">
        <f aca="false">F4772*F4772</f>
        <v>0.015625</v>
      </c>
      <c r="Q4772" s="0" t="n">
        <f aca="false">SUMPRODUCT(G4772:P4772,_XtX!$B$71:$K$71)</f>
        <v>48.3514914772727</v>
      </c>
      <c r="R4772" s="0" t="n">
        <f aca="false">SUMPRODUCT(MMULT(G4772:P4772,_XtX!$B$58:$K$67),G4772:P4772)</f>
        <v>0.488831676136364</v>
      </c>
      <c r="S4772" s="0" t="n">
        <f aca="false">04_回帰ANOVA!$K$19*04_回帰ANOVA!$K$14*SQRT(1+R4772)</f>
        <v>1.13446064908709</v>
      </c>
      <c r="T4772" s="0" t="n">
        <f aca="false">Q4772-S4772</f>
        <v>47.2170308281856</v>
      </c>
      <c r="U4772" s="0" t="n">
        <f aca="false">Q4772+S4772</f>
        <v>49.4859521263598</v>
      </c>
      <c r="V4772" s="54" t="b">
        <f aca="false">AND(D4772&gt;=01_因子設定!$L$5-0.000000001,D4772&lt;=01_因子設定!$M$5+0.000000001,E4772&gt;=01_因子設定!$L$6-0.000000001,E4772&lt;=01_因子設定!$M$6+0.000000001,F4772&gt;=01_因子設定!$L$7-0.000000001,F4772&lt;=01_因子設定!$M$7+0.000000001,IF(01_因子設定!$B$20="Box-Behnken",D4772^2+E4772^2+F4772^2&lt;=2+0.000000001,TRUE()))</f>
        <v>1</v>
      </c>
      <c r="W4772" s="55" t="n">
        <f aca="false">IF(V4772,IF(01_因子設定!$B$13="最大化",T4772-01_因子設定!$B$14,IF(01_因子設定!$B$13="最小化",01_因子設定!$B$15-U4772,MIN(T4772-01_因子設定!$B$14,01_因子設定!$B$15-U4772))),-1E+030)</f>
        <v>-1.28296917181437</v>
      </c>
      <c r="X4772" s="55" t="n">
        <f aca="false">IF(V4772,IF(01_因子設定!$B$13="最大化",Q4772,IF(01_因子設定!$B$13="最小化",-Q4772,-ABS(Q4772-01_因子設定!$B$16))),-1E+030)</f>
        <v>48.3514914772727</v>
      </c>
      <c r="Y4772" s="55" t="n">
        <f aca="false">W4772+ROW()*0.000000001</f>
        <v>-1.28296439981437</v>
      </c>
      <c r="Z4772" s="55" t="n">
        <f aca="false">X4772+ROW()*0.000000001</f>
        <v>48.3514962492727</v>
      </c>
    </row>
    <row r="4773" customFormat="false" ht="15" hidden="false" customHeight="false" outlineLevel="0" collapsed="false">
      <c r="A4773" s="0" t="n">
        <v>16</v>
      </c>
      <c r="B4773" s="0" t="n">
        <v>8</v>
      </c>
      <c r="C4773" s="0" t="n">
        <v>8</v>
      </c>
      <c r="D4773" s="0" t="n">
        <f aca="false">-1+A4773*0.125</f>
        <v>1</v>
      </c>
      <c r="E4773" s="0" t="n">
        <f aca="false">-1+B4773*0.125</f>
        <v>0</v>
      </c>
      <c r="F4773" s="0" t="n">
        <f aca="false">-1+C4773*0.125</f>
        <v>0</v>
      </c>
      <c r="G4773" s="0" t="n">
        <f aca="false">1</f>
        <v>1</v>
      </c>
      <c r="H4773" s="0" t="n">
        <f aca="false">D4773</f>
        <v>1</v>
      </c>
      <c r="I4773" s="0" t="n">
        <f aca="false">E4773</f>
        <v>0</v>
      </c>
      <c r="J4773" s="0" t="n">
        <f aca="false">F4773</f>
        <v>0</v>
      </c>
      <c r="K4773" s="0" t="n">
        <f aca="false">D4773*E4773</f>
        <v>0</v>
      </c>
      <c r="L4773" s="0" t="n">
        <f aca="false">D4773*F4773</f>
        <v>0</v>
      </c>
      <c r="M4773" s="0" t="n">
        <f aca="false">E4773*F4773</f>
        <v>0</v>
      </c>
      <c r="N4773" s="0" t="n">
        <f aca="false">D4773*D4773</f>
        <v>1</v>
      </c>
      <c r="O4773" s="0" t="n">
        <f aca="false">E4773*E4773</f>
        <v>0</v>
      </c>
      <c r="P4773" s="0" t="n">
        <f aca="false">F4773*F4773</f>
        <v>0</v>
      </c>
      <c r="Q4773" s="0" t="n">
        <f aca="false">SUMPRODUCT(G4773:P4773,_XtX!$B$71:$K$71)</f>
        <v>48.5236363636364</v>
      </c>
      <c r="R4773" s="0" t="n">
        <f aca="false">SUMPRODUCT(MMULT(G4773:P4773,_XtX!$B$58:$K$67),G4773:P4773)</f>
        <v>0.490909090909091</v>
      </c>
      <c r="S4773" s="0" t="n">
        <f aca="false">04_回帰ANOVA!$K$19*04_回帰ANOVA!$K$14*SQRT(1+R4773)</f>
        <v>1.13525184792161</v>
      </c>
      <c r="T4773" s="0" t="n">
        <f aca="false">Q4773-S4773</f>
        <v>47.3883845157148</v>
      </c>
      <c r="U4773" s="0" t="n">
        <f aca="false">Q4773+S4773</f>
        <v>49.658888211558</v>
      </c>
      <c r="V4773" s="54" t="b">
        <f aca="false">AND(D4773&gt;=01_因子設定!$L$5-0.000000001,D4773&lt;=01_因子設定!$M$5+0.000000001,E4773&gt;=01_因子設定!$L$6-0.000000001,E4773&lt;=01_因子設定!$M$6+0.000000001,F4773&gt;=01_因子設定!$L$7-0.000000001,F4773&lt;=01_因子設定!$M$7+0.000000001,IF(01_因子設定!$B$20="Box-Behnken",D4773^2+E4773^2+F4773^2&lt;=2+0.000000001,TRUE()))</f>
        <v>1</v>
      </c>
      <c r="W4773" s="55" t="n">
        <f aca="false">IF(V4773,IF(01_因子設定!$B$13="最大化",T4773-01_因子設定!$B$14,IF(01_因子設定!$B$13="最小化",01_因子設定!$B$15-U4773,MIN(T4773-01_因子設定!$B$14,01_因子設定!$B$15-U4773))),-1E+030)</f>
        <v>-1.11161548428525</v>
      </c>
      <c r="X4773" s="55" t="n">
        <f aca="false">IF(V4773,IF(01_因子設定!$B$13="最大化",Q4773,IF(01_因子設定!$B$13="最小化",-Q4773,-ABS(Q4773-01_因子設定!$B$16))),-1E+030)</f>
        <v>48.5236363636364</v>
      </c>
      <c r="Y4773" s="55" t="n">
        <f aca="false">W4773+ROW()*0.000000001</f>
        <v>-1.11161071128525</v>
      </c>
      <c r="Z4773" s="55" t="n">
        <f aca="false">X4773+ROW()*0.000000001</f>
        <v>48.5236411366364</v>
      </c>
    </row>
    <row r="4774" customFormat="false" ht="15" hidden="false" customHeight="false" outlineLevel="0" collapsed="false">
      <c r="A4774" s="0" t="n">
        <v>16</v>
      </c>
      <c r="B4774" s="0" t="n">
        <v>8</v>
      </c>
      <c r="C4774" s="0" t="n">
        <v>9</v>
      </c>
      <c r="D4774" s="0" t="n">
        <f aca="false">-1+A4774*0.125</f>
        <v>1</v>
      </c>
      <c r="E4774" s="0" t="n">
        <f aca="false">-1+B4774*0.125</f>
        <v>0</v>
      </c>
      <c r="F4774" s="0" t="n">
        <f aca="false">-1+C4774*0.125</f>
        <v>0.125</v>
      </c>
      <c r="G4774" s="0" t="n">
        <f aca="false">1</f>
        <v>1</v>
      </c>
      <c r="H4774" s="0" t="n">
        <f aca="false">D4774</f>
        <v>1</v>
      </c>
      <c r="I4774" s="0" t="n">
        <f aca="false">E4774</f>
        <v>0</v>
      </c>
      <c r="J4774" s="0" t="n">
        <f aca="false">F4774</f>
        <v>0.125</v>
      </c>
      <c r="K4774" s="0" t="n">
        <f aca="false">D4774*E4774</f>
        <v>0</v>
      </c>
      <c r="L4774" s="0" t="n">
        <f aca="false">D4774*F4774</f>
        <v>0.125</v>
      </c>
      <c r="M4774" s="0" t="n">
        <f aca="false">E4774*F4774</f>
        <v>0</v>
      </c>
      <c r="N4774" s="0" t="n">
        <f aca="false">D4774*D4774</f>
        <v>1</v>
      </c>
      <c r="O4774" s="0" t="n">
        <f aca="false">E4774*E4774</f>
        <v>0</v>
      </c>
      <c r="P4774" s="0" t="n">
        <f aca="false">F4774*F4774</f>
        <v>0.015625</v>
      </c>
      <c r="Q4774" s="0" t="n">
        <f aca="false">SUMPRODUCT(G4774:P4774,_XtX!$B$71:$K$71)</f>
        <v>48.6589914772727</v>
      </c>
      <c r="R4774" s="0" t="n">
        <f aca="false">SUMPRODUCT(MMULT(G4774:P4774,_XtX!$B$58:$K$67),G4774:P4774)</f>
        <v>0.488831676136364</v>
      </c>
      <c r="S4774" s="0" t="n">
        <f aca="false">04_回帰ANOVA!$K$19*04_回帰ANOVA!$K$14*SQRT(1+R4774)</f>
        <v>1.13446064908709</v>
      </c>
      <c r="T4774" s="0" t="n">
        <f aca="false">Q4774-S4774</f>
        <v>47.5245308281856</v>
      </c>
      <c r="U4774" s="0" t="n">
        <f aca="false">Q4774+S4774</f>
        <v>49.7934521263598</v>
      </c>
      <c r="V4774" s="54" t="b">
        <f aca="false">AND(D4774&gt;=01_因子設定!$L$5-0.000000001,D4774&lt;=01_因子設定!$M$5+0.000000001,E4774&gt;=01_因子設定!$L$6-0.000000001,E4774&lt;=01_因子設定!$M$6+0.000000001,F4774&gt;=01_因子設定!$L$7-0.000000001,F4774&lt;=01_因子設定!$M$7+0.000000001,IF(01_因子設定!$B$20="Box-Behnken",D4774^2+E4774^2+F4774^2&lt;=2+0.000000001,TRUE()))</f>
        <v>1</v>
      </c>
      <c r="W4774" s="55" t="n">
        <f aca="false">IF(V4774,IF(01_因子設定!$B$13="最大化",T4774-01_因子設定!$B$14,IF(01_因子設定!$B$13="最小化",01_因子設定!$B$15-U4774,MIN(T4774-01_因子設定!$B$14,01_因子設定!$B$15-U4774))),-1E+030)</f>
        <v>-0.975469171814375</v>
      </c>
      <c r="X4774" s="55" t="n">
        <f aca="false">IF(V4774,IF(01_因子設定!$B$13="最大化",Q4774,IF(01_因子設定!$B$13="最小化",-Q4774,-ABS(Q4774-01_因子設定!$B$16))),-1E+030)</f>
        <v>48.6589914772727</v>
      </c>
      <c r="Y4774" s="55" t="n">
        <f aca="false">W4774+ROW()*0.000000001</f>
        <v>-0.975464397814375</v>
      </c>
      <c r="Z4774" s="55" t="n">
        <f aca="false">X4774+ROW()*0.000000001</f>
        <v>48.6589962512727</v>
      </c>
    </row>
    <row r="4775" customFormat="false" ht="15" hidden="false" customHeight="false" outlineLevel="0" collapsed="false">
      <c r="A4775" s="0" t="n">
        <v>16</v>
      </c>
      <c r="B4775" s="0" t="n">
        <v>8</v>
      </c>
      <c r="C4775" s="0" t="n">
        <v>10</v>
      </c>
      <c r="D4775" s="0" t="n">
        <f aca="false">-1+A4775*0.125</f>
        <v>1</v>
      </c>
      <c r="E4775" s="0" t="n">
        <f aca="false">-1+B4775*0.125</f>
        <v>0</v>
      </c>
      <c r="F4775" s="0" t="n">
        <f aca="false">-1+C4775*0.125</f>
        <v>0.25</v>
      </c>
      <c r="G4775" s="0" t="n">
        <f aca="false">1</f>
        <v>1</v>
      </c>
      <c r="H4775" s="0" t="n">
        <f aca="false">D4775</f>
        <v>1</v>
      </c>
      <c r="I4775" s="0" t="n">
        <f aca="false">E4775</f>
        <v>0</v>
      </c>
      <c r="J4775" s="0" t="n">
        <f aca="false">F4775</f>
        <v>0.25</v>
      </c>
      <c r="K4775" s="0" t="n">
        <f aca="false">D4775*E4775</f>
        <v>0</v>
      </c>
      <c r="L4775" s="0" t="n">
        <f aca="false">D4775*F4775</f>
        <v>0.25</v>
      </c>
      <c r="M4775" s="0" t="n">
        <f aca="false">E4775*F4775</f>
        <v>0</v>
      </c>
      <c r="N4775" s="0" t="n">
        <f aca="false">D4775*D4775</f>
        <v>1</v>
      </c>
      <c r="O4775" s="0" t="n">
        <f aca="false">E4775*E4775</f>
        <v>0</v>
      </c>
      <c r="P4775" s="0" t="n">
        <f aca="false">F4775*F4775</f>
        <v>0.0625</v>
      </c>
      <c r="Q4775" s="0" t="n">
        <f aca="false">SUMPRODUCT(G4775:P4775,_XtX!$B$71:$K$71)</f>
        <v>48.7575568181818</v>
      </c>
      <c r="R4775" s="0" t="n">
        <f aca="false">SUMPRODUCT(MMULT(G4775:P4775,_XtX!$B$58:$K$67),G4775:P4775)</f>
        <v>0.483664772727273</v>
      </c>
      <c r="S4775" s="0" t="n">
        <f aca="false">04_回帰ANOVA!$K$19*04_回帰ANOVA!$K$14*SQRT(1+R4775)</f>
        <v>1.13249039846694</v>
      </c>
      <c r="T4775" s="0" t="n">
        <f aca="false">Q4775-S4775</f>
        <v>47.6250664197149</v>
      </c>
      <c r="U4775" s="0" t="n">
        <f aca="false">Q4775+S4775</f>
        <v>49.8900472166487</v>
      </c>
      <c r="V4775" s="54" t="b">
        <f aca="false">AND(D4775&gt;=01_因子設定!$L$5-0.000000001,D4775&lt;=01_因子設定!$M$5+0.000000001,E4775&gt;=01_因子設定!$L$6-0.000000001,E4775&lt;=01_因子設定!$M$6+0.000000001,F4775&gt;=01_因子設定!$L$7-0.000000001,F4775&lt;=01_因子設定!$M$7+0.000000001,IF(01_因子設定!$B$20="Box-Behnken",D4775^2+E4775^2+F4775^2&lt;=2+0.000000001,TRUE()))</f>
        <v>1</v>
      </c>
      <c r="W4775" s="55" t="n">
        <f aca="false">IF(V4775,IF(01_因子設定!$B$13="最大化",T4775-01_因子設定!$B$14,IF(01_因子設定!$B$13="最小化",01_因子設定!$B$15-U4775,MIN(T4775-01_因子設定!$B$14,01_因子設定!$B$15-U4775))),-1E+030)</f>
        <v>-0.874933580285124</v>
      </c>
      <c r="X4775" s="55" t="n">
        <f aca="false">IF(V4775,IF(01_因子設定!$B$13="最大化",Q4775,IF(01_因子設定!$B$13="最小化",-Q4775,-ABS(Q4775-01_因子設定!$B$16))),-1E+030)</f>
        <v>48.7575568181818</v>
      </c>
      <c r="Y4775" s="55" t="n">
        <f aca="false">W4775+ROW()*0.000000001</f>
        <v>-0.874928805285124</v>
      </c>
      <c r="Z4775" s="55" t="n">
        <f aca="false">X4775+ROW()*0.000000001</f>
        <v>48.7575615931818</v>
      </c>
    </row>
    <row r="4776" customFormat="false" ht="15" hidden="false" customHeight="false" outlineLevel="0" collapsed="false">
      <c r="A4776" s="0" t="n">
        <v>16</v>
      </c>
      <c r="B4776" s="0" t="n">
        <v>8</v>
      </c>
      <c r="C4776" s="0" t="n">
        <v>11</v>
      </c>
      <c r="D4776" s="0" t="n">
        <f aca="false">-1+A4776*0.125</f>
        <v>1</v>
      </c>
      <c r="E4776" s="0" t="n">
        <f aca="false">-1+B4776*0.125</f>
        <v>0</v>
      </c>
      <c r="F4776" s="0" t="n">
        <f aca="false">-1+C4776*0.125</f>
        <v>0.375</v>
      </c>
      <c r="G4776" s="0" t="n">
        <f aca="false">1</f>
        <v>1</v>
      </c>
      <c r="H4776" s="0" t="n">
        <f aca="false">D4776</f>
        <v>1</v>
      </c>
      <c r="I4776" s="0" t="n">
        <f aca="false">E4776</f>
        <v>0</v>
      </c>
      <c r="J4776" s="0" t="n">
        <f aca="false">F4776</f>
        <v>0.375</v>
      </c>
      <c r="K4776" s="0" t="n">
        <f aca="false">D4776*E4776</f>
        <v>0</v>
      </c>
      <c r="L4776" s="0" t="n">
        <f aca="false">D4776*F4776</f>
        <v>0.375</v>
      </c>
      <c r="M4776" s="0" t="n">
        <f aca="false">E4776*F4776</f>
        <v>0</v>
      </c>
      <c r="N4776" s="0" t="n">
        <f aca="false">D4776*D4776</f>
        <v>1</v>
      </c>
      <c r="O4776" s="0" t="n">
        <f aca="false">E4776*E4776</f>
        <v>0</v>
      </c>
      <c r="P4776" s="0" t="n">
        <f aca="false">F4776*F4776</f>
        <v>0.140625</v>
      </c>
      <c r="Q4776" s="0" t="n">
        <f aca="false">SUMPRODUCT(G4776:P4776,_XtX!$B$71:$K$71)</f>
        <v>48.8193323863636</v>
      </c>
      <c r="R4776" s="0" t="n">
        <f aca="false">SUMPRODUCT(MMULT(G4776:P4776,_XtX!$B$58:$K$67),G4776:P4776)</f>
        <v>0.478604403409091</v>
      </c>
      <c r="S4776" s="0" t="n">
        <f aca="false">04_回帰ANOVA!$K$19*04_回帰ANOVA!$K$14*SQRT(1+R4776)</f>
        <v>1.13055744343508</v>
      </c>
      <c r="T4776" s="0" t="n">
        <f aca="false">Q4776-S4776</f>
        <v>47.6887749429285</v>
      </c>
      <c r="U4776" s="0" t="n">
        <f aca="false">Q4776+S4776</f>
        <v>49.9498898297987</v>
      </c>
      <c r="V4776" s="54" t="b">
        <f aca="false">AND(D4776&gt;=01_因子設定!$L$5-0.000000001,D4776&lt;=01_因子設定!$M$5+0.000000001,E4776&gt;=01_因子設定!$L$6-0.000000001,E4776&lt;=01_因子設定!$M$6+0.000000001,F4776&gt;=01_因子設定!$L$7-0.000000001,F4776&lt;=01_因子設定!$M$7+0.000000001,IF(01_因子設定!$B$20="Box-Behnken",D4776^2+E4776^2+F4776^2&lt;=2+0.000000001,TRUE()))</f>
        <v>1</v>
      </c>
      <c r="W4776" s="55" t="n">
        <f aca="false">IF(V4776,IF(01_因子設定!$B$13="最大化",T4776-01_因子設定!$B$14,IF(01_因子設定!$B$13="最小化",01_因子設定!$B$15-U4776,MIN(T4776-01_因子設定!$B$14,01_因子設定!$B$15-U4776))),-1E+030)</f>
        <v>-0.811225057071454</v>
      </c>
      <c r="X4776" s="55" t="n">
        <f aca="false">IF(V4776,IF(01_因子設定!$B$13="最大化",Q4776,IF(01_因子設定!$B$13="最小化",-Q4776,-ABS(Q4776-01_因子設定!$B$16))),-1E+030)</f>
        <v>48.8193323863636</v>
      </c>
      <c r="Y4776" s="55" t="n">
        <f aca="false">W4776+ROW()*0.000000001</f>
        <v>-0.811220281071454</v>
      </c>
      <c r="Z4776" s="55" t="n">
        <f aca="false">X4776+ROW()*0.000000001</f>
        <v>48.8193371623636</v>
      </c>
    </row>
    <row r="4777" customFormat="false" ht="15" hidden="false" customHeight="false" outlineLevel="0" collapsed="false">
      <c r="A4777" s="0" t="n">
        <v>16</v>
      </c>
      <c r="B4777" s="0" t="n">
        <v>8</v>
      </c>
      <c r="C4777" s="0" t="n">
        <v>12</v>
      </c>
      <c r="D4777" s="0" t="n">
        <f aca="false">-1+A4777*0.125</f>
        <v>1</v>
      </c>
      <c r="E4777" s="0" t="n">
        <f aca="false">-1+B4777*0.125</f>
        <v>0</v>
      </c>
      <c r="F4777" s="0" t="n">
        <f aca="false">-1+C4777*0.125</f>
        <v>0.5</v>
      </c>
      <c r="G4777" s="0" t="n">
        <f aca="false">1</f>
        <v>1</v>
      </c>
      <c r="H4777" s="0" t="n">
        <f aca="false">D4777</f>
        <v>1</v>
      </c>
      <c r="I4777" s="0" t="n">
        <f aca="false">E4777</f>
        <v>0</v>
      </c>
      <c r="J4777" s="0" t="n">
        <f aca="false">F4777</f>
        <v>0.5</v>
      </c>
      <c r="K4777" s="0" t="n">
        <f aca="false">D4777*E4777</f>
        <v>0</v>
      </c>
      <c r="L4777" s="0" t="n">
        <f aca="false">D4777*F4777</f>
        <v>0.5</v>
      </c>
      <c r="M4777" s="0" t="n">
        <f aca="false">E4777*F4777</f>
        <v>0</v>
      </c>
      <c r="N4777" s="0" t="n">
        <f aca="false">D4777*D4777</f>
        <v>1</v>
      </c>
      <c r="O4777" s="0" t="n">
        <f aca="false">E4777*E4777</f>
        <v>0</v>
      </c>
      <c r="P4777" s="0" t="n">
        <f aca="false">F4777*F4777</f>
        <v>0.25</v>
      </c>
      <c r="Q4777" s="0" t="n">
        <f aca="false">SUMPRODUCT(G4777:P4777,_XtX!$B$71:$K$71)</f>
        <v>48.8443181818182</v>
      </c>
      <c r="R4777" s="0" t="n">
        <f aca="false">SUMPRODUCT(MMULT(G4777:P4777,_XtX!$B$58:$K$67),G4777:P4777)</f>
        <v>0.478977272727273</v>
      </c>
      <c r="S4777" s="0" t="n">
        <f aca="false">04_回帰ANOVA!$K$19*04_回帰ANOVA!$K$14*SQRT(1+R4777)</f>
        <v>1.13069998447216</v>
      </c>
      <c r="T4777" s="0" t="n">
        <f aca="false">Q4777-S4777</f>
        <v>47.713618197346</v>
      </c>
      <c r="U4777" s="0" t="n">
        <f aca="false">Q4777+S4777</f>
        <v>49.9750181662903</v>
      </c>
      <c r="V4777" s="54" t="b">
        <f aca="false">AND(D4777&gt;=01_因子設定!$L$5-0.000000001,D4777&lt;=01_因子設定!$M$5+0.000000001,E4777&gt;=01_因子設定!$L$6-0.000000001,E4777&lt;=01_因子設定!$M$6+0.000000001,F4777&gt;=01_因子設定!$L$7-0.000000001,F4777&lt;=01_因子設定!$M$7+0.000000001,IF(01_因子設定!$B$20="Box-Behnken",D4777^2+E4777^2+F4777^2&lt;=2+0.000000001,TRUE()))</f>
        <v>1</v>
      </c>
      <c r="W4777" s="55" t="n">
        <f aca="false">IF(V4777,IF(01_因子設定!$B$13="最大化",T4777-01_因子設定!$B$14,IF(01_因子設定!$B$13="最小化",01_因子設定!$B$15-U4777,MIN(T4777-01_因子設定!$B$14,01_因子設定!$B$15-U4777))),-1E+030)</f>
        <v>-0.786381802653985</v>
      </c>
      <c r="X4777" s="55" t="n">
        <f aca="false">IF(V4777,IF(01_因子設定!$B$13="最大化",Q4777,IF(01_因子設定!$B$13="最小化",-Q4777,-ABS(Q4777-01_因子設定!$B$16))),-1E+030)</f>
        <v>48.8443181818182</v>
      </c>
      <c r="Y4777" s="55" t="n">
        <f aca="false">W4777+ROW()*0.000000001</f>
        <v>-0.786377025653985</v>
      </c>
      <c r="Z4777" s="55" t="n">
        <f aca="false">X4777+ROW()*0.000000001</f>
        <v>48.8443229588182</v>
      </c>
    </row>
    <row r="4778" customFormat="false" ht="15" hidden="false" customHeight="false" outlineLevel="0" collapsed="false">
      <c r="A4778" s="0" t="n">
        <v>16</v>
      </c>
      <c r="B4778" s="0" t="n">
        <v>8</v>
      </c>
      <c r="C4778" s="0" t="n">
        <v>13</v>
      </c>
      <c r="D4778" s="0" t="n">
        <f aca="false">-1+A4778*0.125</f>
        <v>1</v>
      </c>
      <c r="E4778" s="0" t="n">
        <f aca="false">-1+B4778*0.125</f>
        <v>0</v>
      </c>
      <c r="F4778" s="0" t="n">
        <f aca="false">-1+C4778*0.125</f>
        <v>0.625</v>
      </c>
      <c r="G4778" s="0" t="n">
        <f aca="false">1</f>
        <v>1</v>
      </c>
      <c r="H4778" s="0" t="n">
        <f aca="false">D4778</f>
        <v>1</v>
      </c>
      <c r="I4778" s="0" t="n">
        <f aca="false">E4778</f>
        <v>0</v>
      </c>
      <c r="J4778" s="0" t="n">
        <f aca="false">F4778</f>
        <v>0.625</v>
      </c>
      <c r="K4778" s="0" t="n">
        <f aca="false">D4778*E4778</f>
        <v>0</v>
      </c>
      <c r="L4778" s="0" t="n">
        <f aca="false">D4778*F4778</f>
        <v>0.625</v>
      </c>
      <c r="M4778" s="0" t="n">
        <f aca="false">E4778*F4778</f>
        <v>0</v>
      </c>
      <c r="N4778" s="0" t="n">
        <f aca="false">D4778*D4778</f>
        <v>1</v>
      </c>
      <c r="O4778" s="0" t="n">
        <f aca="false">E4778*E4778</f>
        <v>0</v>
      </c>
      <c r="P4778" s="0" t="n">
        <f aca="false">F4778*F4778</f>
        <v>0.390625</v>
      </c>
      <c r="Q4778" s="0" t="n">
        <f aca="false">SUMPRODUCT(G4778:P4778,_XtX!$B$71:$K$71)</f>
        <v>48.8325142045455</v>
      </c>
      <c r="R4778" s="0" t="n">
        <f aca="false">SUMPRODUCT(MMULT(G4778:P4778,_XtX!$B$58:$K$67),G4778:P4778)</f>
        <v>0.492240767045455</v>
      </c>
      <c r="S4778" s="0" t="n">
        <f aca="false">04_回帰ANOVA!$K$19*04_回帰ANOVA!$K$14*SQRT(1+R4778)</f>
        <v>1.13575873676322</v>
      </c>
      <c r="T4778" s="0" t="n">
        <f aca="false">Q4778-S4778</f>
        <v>47.6967554677822</v>
      </c>
      <c r="U4778" s="0" t="n">
        <f aca="false">Q4778+S4778</f>
        <v>49.9682729413087</v>
      </c>
      <c r="V4778" s="54" t="b">
        <f aca="false">AND(D4778&gt;=01_因子設定!$L$5-0.000000001,D4778&lt;=01_因子設定!$M$5+0.000000001,E4778&gt;=01_因子設定!$L$6-0.000000001,E4778&lt;=01_因子設定!$M$6+0.000000001,F4778&gt;=01_因子設定!$L$7-0.000000001,F4778&lt;=01_因子設定!$M$7+0.000000001,IF(01_因子設定!$B$20="Box-Behnken",D4778^2+E4778^2+F4778^2&lt;=2+0.000000001,TRUE()))</f>
        <v>1</v>
      </c>
      <c r="W4778" s="55" t="n">
        <f aca="false">IF(V4778,IF(01_因子設定!$B$13="最大化",T4778-01_因子設定!$B$14,IF(01_因子設定!$B$13="最小化",01_因子設定!$B$15-U4778,MIN(T4778-01_因子設定!$B$14,01_因子設定!$B$15-U4778))),-1E+030)</f>
        <v>-0.803244532217768</v>
      </c>
      <c r="X4778" s="55" t="n">
        <f aca="false">IF(V4778,IF(01_因子設定!$B$13="最大化",Q4778,IF(01_因子設定!$B$13="最小化",-Q4778,-ABS(Q4778-01_因子設定!$B$16))),-1E+030)</f>
        <v>48.8325142045455</v>
      </c>
      <c r="Y4778" s="55" t="n">
        <f aca="false">W4778+ROW()*0.000000001</f>
        <v>-0.803239754217768</v>
      </c>
      <c r="Z4778" s="55" t="n">
        <f aca="false">X4778+ROW()*0.000000001</f>
        <v>48.8325189825455</v>
      </c>
    </row>
    <row r="4779" customFormat="false" ht="15" hidden="false" customHeight="false" outlineLevel="0" collapsed="false">
      <c r="A4779" s="0" t="n">
        <v>16</v>
      </c>
      <c r="B4779" s="0" t="n">
        <v>8</v>
      </c>
      <c r="C4779" s="0" t="n">
        <v>14</v>
      </c>
      <c r="D4779" s="0" t="n">
        <f aca="false">-1+A4779*0.125</f>
        <v>1</v>
      </c>
      <c r="E4779" s="0" t="n">
        <f aca="false">-1+B4779*0.125</f>
        <v>0</v>
      </c>
      <c r="F4779" s="0" t="n">
        <f aca="false">-1+C4779*0.125</f>
        <v>0.75</v>
      </c>
      <c r="G4779" s="0" t="n">
        <f aca="false">1</f>
        <v>1</v>
      </c>
      <c r="H4779" s="0" t="n">
        <f aca="false">D4779</f>
        <v>1</v>
      </c>
      <c r="I4779" s="0" t="n">
        <f aca="false">E4779</f>
        <v>0</v>
      </c>
      <c r="J4779" s="0" t="n">
        <f aca="false">F4779</f>
        <v>0.75</v>
      </c>
      <c r="K4779" s="0" t="n">
        <f aca="false">D4779*E4779</f>
        <v>0</v>
      </c>
      <c r="L4779" s="0" t="n">
        <f aca="false">D4779*F4779</f>
        <v>0.75</v>
      </c>
      <c r="M4779" s="0" t="n">
        <f aca="false">E4779*F4779</f>
        <v>0</v>
      </c>
      <c r="N4779" s="0" t="n">
        <f aca="false">D4779*D4779</f>
        <v>1</v>
      </c>
      <c r="O4779" s="0" t="n">
        <f aca="false">E4779*E4779</f>
        <v>0</v>
      </c>
      <c r="P4779" s="0" t="n">
        <f aca="false">F4779*F4779</f>
        <v>0.5625</v>
      </c>
      <c r="Q4779" s="0" t="n">
        <f aca="false">SUMPRODUCT(G4779:P4779,_XtX!$B$71:$K$71)</f>
        <v>48.7839204545455</v>
      </c>
      <c r="R4779" s="0" t="n">
        <f aca="false">SUMPRODUCT(MMULT(G4779:P4779,_XtX!$B$58:$K$67),G4779:P4779)</f>
        <v>0.527982954545455</v>
      </c>
      <c r="S4779" s="0" t="n">
        <f aca="false">04_回帰ANOVA!$K$19*04_回帰ANOVA!$K$14*SQRT(1+R4779)</f>
        <v>1.14928011037747</v>
      </c>
      <c r="T4779" s="0" t="n">
        <f aca="false">Q4779-S4779</f>
        <v>47.634640344168</v>
      </c>
      <c r="U4779" s="0" t="n">
        <f aca="false">Q4779+S4779</f>
        <v>49.9332005649229</v>
      </c>
      <c r="V4779" s="54" t="b">
        <f aca="false">AND(D4779&gt;=01_因子設定!$L$5-0.000000001,D4779&lt;=01_因子設定!$M$5+0.000000001,E4779&gt;=01_因子設定!$L$6-0.000000001,E4779&lt;=01_因子設定!$M$6+0.000000001,F4779&gt;=01_因子設定!$L$7-0.000000001,F4779&lt;=01_因子設定!$M$7+0.000000001,IF(01_因子設定!$B$20="Box-Behnken",D4779^2+E4779^2+F4779^2&lt;=2+0.000000001,TRUE()))</f>
        <v>1</v>
      </c>
      <c r="W4779" s="55" t="n">
        <f aca="false">IF(V4779,IF(01_因子設定!$B$13="最大化",T4779-01_因子設定!$B$14,IF(01_因子設定!$B$13="最小化",01_因子設定!$B$15-U4779,MIN(T4779-01_因子設定!$B$14,01_因子設定!$B$15-U4779))),-1E+030)</f>
        <v>-0.865359655832023</v>
      </c>
      <c r="X4779" s="55" t="n">
        <f aca="false">IF(V4779,IF(01_因子設定!$B$13="最大化",Q4779,IF(01_因子設定!$B$13="最小化",-Q4779,-ABS(Q4779-01_因子設定!$B$16))),-1E+030)</f>
        <v>48.7839204545455</v>
      </c>
      <c r="Y4779" s="55" t="n">
        <f aca="false">W4779+ROW()*0.000000001</f>
        <v>-0.865354876832023</v>
      </c>
      <c r="Z4779" s="55" t="n">
        <f aca="false">X4779+ROW()*0.000000001</f>
        <v>48.7839252335455</v>
      </c>
    </row>
    <row r="4780" customFormat="false" ht="15" hidden="false" customHeight="false" outlineLevel="0" collapsed="false">
      <c r="A4780" s="0" t="n">
        <v>16</v>
      </c>
      <c r="B4780" s="0" t="n">
        <v>8</v>
      </c>
      <c r="C4780" s="0" t="n">
        <v>15</v>
      </c>
      <c r="D4780" s="0" t="n">
        <f aca="false">-1+A4780*0.125</f>
        <v>1</v>
      </c>
      <c r="E4780" s="0" t="n">
        <f aca="false">-1+B4780*0.125</f>
        <v>0</v>
      </c>
      <c r="F4780" s="0" t="n">
        <f aca="false">-1+C4780*0.125</f>
        <v>0.875</v>
      </c>
      <c r="G4780" s="0" t="n">
        <f aca="false">1</f>
        <v>1</v>
      </c>
      <c r="H4780" s="0" t="n">
        <f aca="false">D4780</f>
        <v>1</v>
      </c>
      <c r="I4780" s="0" t="n">
        <f aca="false">E4780</f>
        <v>0</v>
      </c>
      <c r="J4780" s="0" t="n">
        <f aca="false">F4780</f>
        <v>0.875</v>
      </c>
      <c r="K4780" s="0" t="n">
        <f aca="false">D4780*E4780</f>
        <v>0</v>
      </c>
      <c r="L4780" s="0" t="n">
        <f aca="false">D4780*F4780</f>
        <v>0.875</v>
      </c>
      <c r="M4780" s="0" t="n">
        <f aca="false">E4780*F4780</f>
        <v>0</v>
      </c>
      <c r="N4780" s="0" t="n">
        <f aca="false">D4780*D4780</f>
        <v>1</v>
      </c>
      <c r="O4780" s="0" t="n">
        <f aca="false">E4780*E4780</f>
        <v>0</v>
      </c>
      <c r="P4780" s="0" t="n">
        <f aca="false">F4780*F4780</f>
        <v>0.765625</v>
      </c>
      <c r="Q4780" s="0" t="n">
        <f aca="false">SUMPRODUCT(G4780:P4780,_XtX!$B$71:$K$71)</f>
        <v>48.6985369318182</v>
      </c>
      <c r="R4780" s="0" t="n">
        <f aca="false">SUMPRODUCT(MMULT(G4780:P4780,_XtX!$B$58:$K$67),G4780:P4780)</f>
        <v>0.597922585227273</v>
      </c>
      <c r="S4780" s="0" t="n">
        <f aca="false">04_回帰ANOVA!$K$19*04_回帰ANOVA!$K$14*SQRT(1+R4780)</f>
        <v>1.17528854591003</v>
      </c>
      <c r="T4780" s="0" t="n">
        <f aca="false">Q4780-S4780</f>
        <v>47.5232483859082</v>
      </c>
      <c r="U4780" s="0" t="n">
        <f aca="false">Q4780+S4780</f>
        <v>49.8738254777282</v>
      </c>
      <c r="V4780" s="54" t="b">
        <f aca="false">AND(D4780&gt;=01_因子設定!$L$5-0.000000001,D4780&lt;=01_因子設定!$M$5+0.000000001,E4780&gt;=01_因子設定!$L$6-0.000000001,E4780&lt;=01_因子設定!$M$6+0.000000001,F4780&gt;=01_因子設定!$L$7-0.000000001,F4780&lt;=01_因子設定!$M$7+0.000000001,IF(01_因子設定!$B$20="Box-Behnken",D4780^2+E4780^2+F4780^2&lt;=2+0.000000001,TRUE()))</f>
        <v>1</v>
      </c>
      <c r="W4780" s="55" t="n">
        <f aca="false">IF(V4780,IF(01_因子設定!$B$13="最大化",T4780-01_因子設定!$B$14,IF(01_因子設定!$B$13="最小化",01_因子設定!$B$15-U4780,MIN(T4780-01_因子設定!$B$14,01_因子設定!$B$15-U4780))),-1E+030)</f>
        <v>-0.976751614091839</v>
      </c>
      <c r="X4780" s="55" t="n">
        <f aca="false">IF(V4780,IF(01_因子設定!$B$13="最大化",Q4780,IF(01_因子設定!$B$13="最小化",-Q4780,-ABS(Q4780-01_因子設定!$B$16))),-1E+030)</f>
        <v>48.6985369318182</v>
      </c>
      <c r="Y4780" s="55" t="n">
        <f aca="false">W4780+ROW()*0.000000001</f>
        <v>-0.976746834091839</v>
      </c>
      <c r="Z4780" s="55" t="n">
        <f aca="false">X4780+ROW()*0.000000001</f>
        <v>48.6985417118182</v>
      </c>
    </row>
    <row r="4781" customFormat="false" ht="15" hidden="false" customHeight="false" outlineLevel="0" collapsed="false">
      <c r="A4781" s="0" t="n">
        <v>16</v>
      </c>
      <c r="B4781" s="0" t="n">
        <v>8</v>
      </c>
      <c r="C4781" s="0" t="n">
        <v>16</v>
      </c>
      <c r="D4781" s="0" t="n">
        <f aca="false">-1+A4781*0.125</f>
        <v>1</v>
      </c>
      <c r="E4781" s="0" t="n">
        <f aca="false">-1+B4781*0.125</f>
        <v>0</v>
      </c>
      <c r="F4781" s="0" t="n">
        <f aca="false">-1+C4781*0.125</f>
        <v>1</v>
      </c>
      <c r="G4781" s="0" t="n">
        <f aca="false">1</f>
        <v>1</v>
      </c>
      <c r="H4781" s="0" t="n">
        <f aca="false">D4781</f>
        <v>1</v>
      </c>
      <c r="I4781" s="0" t="n">
        <f aca="false">E4781</f>
        <v>0</v>
      </c>
      <c r="J4781" s="0" t="n">
        <f aca="false">F4781</f>
        <v>1</v>
      </c>
      <c r="K4781" s="0" t="n">
        <f aca="false">D4781*E4781</f>
        <v>0</v>
      </c>
      <c r="L4781" s="0" t="n">
        <f aca="false">D4781*F4781</f>
        <v>1</v>
      </c>
      <c r="M4781" s="0" t="n">
        <f aca="false">E4781*F4781</f>
        <v>0</v>
      </c>
      <c r="N4781" s="0" t="n">
        <f aca="false">D4781*D4781</f>
        <v>1</v>
      </c>
      <c r="O4781" s="0" t="n">
        <f aca="false">E4781*E4781</f>
        <v>0</v>
      </c>
      <c r="P4781" s="0" t="n">
        <f aca="false">F4781*F4781</f>
        <v>1</v>
      </c>
      <c r="Q4781" s="0" t="n">
        <f aca="false">SUMPRODUCT(G4781:P4781,_XtX!$B$71:$K$71)</f>
        <v>48.5763636363636</v>
      </c>
      <c r="R4781" s="0" t="n">
        <f aca="false">SUMPRODUCT(MMULT(G4781:P4781,_XtX!$B$58:$K$67),G4781:P4781)</f>
        <v>0.715909090909091</v>
      </c>
      <c r="S4781" s="0" t="n">
        <f aca="false">04_回帰ANOVA!$K$19*04_回帰ANOVA!$K$14*SQRT(1+R4781)</f>
        <v>1.21790601011063</v>
      </c>
      <c r="T4781" s="0" t="n">
        <f aca="false">Q4781-S4781</f>
        <v>47.358457626253</v>
      </c>
      <c r="U4781" s="0" t="n">
        <f aca="false">Q4781+S4781</f>
        <v>49.7942696464743</v>
      </c>
      <c r="V4781" s="54" t="b">
        <f aca="false">AND(D4781&gt;=01_因子設定!$L$5-0.000000001,D4781&lt;=01_因子設定!$M$5+0.000000001,E4781&gt;=01_因子設定!$L$6-0.000000001,E4781&lt;=01_因子設定!$M$6+0.000000001,F4781&gt;=01_因子設定!$L$7-0.000000001,F4781&lt;=01_因子設定!$M$7+0.000000001,IF(01_因子設定!$B$20="Box-Behnken",D4781^2+E4781^2+F4781^2&lt;=2+0.000000001,TRUE()))</f>
        <v>1</v>
      </c>
      <c r="W4781" s="55" t="n">
        <f aca="false">IF(V4781,IF(01_因子設定!$B$13="最大化",T4781-01_因子設定!$B$14,IF(01_因子設定!$B$13="最小化",01_因子設定!$B$15-U4781,MIN(T4781-01_因子設定!$B$14,01_因子設定!$B$15-U4781))),-1E+030)</f>
        <v>-1.14154237374698</v>
      </c>
      <c r="X4781" s="55" t="n">
        <f aca="false">IF(V4781,IF(01_因子設定!$B$13="最大化",Q4781,IF(01_因子設定!$B$13="最小化",-Q4781,-ABS(Q4781-01_因子設定!$B$16))),-1E+030)</f>
        <v>48.5763636363636</v>
      </c>
      <c r="Y4781" s="55" t="n">
        <f aca="false">W4781+ROW()*0.000000001</f>
        <v>-1.14153759274698</v>
      </c>
      <c r="Z4781" s="55" t="n">
        <f aca="false">X4781+ROW()*0.000000001</f>
        <v>48.5763684173636</v>
      </c>
    </row>
    <row r="4782" customFormat="false" ht="15" hidden="false" customHeight="false" outlineLevel="0" collapsed="false">
      <c r="A4782" s="0" t="n">
        <v>16</v>
      </c>
      <c r="B4782" s="0" t="n">
        <v>9</v>
      </c>
      <c r="C4782" s="0" t="n">
        <v>0</v>
      </c>
      <c r="D4782" s="0" t="n">
        <f aca="false">-1+A4782*0.125</f>
        <v>1</v>
      </c>
      <c r="E4782" s="0" t="n">
        <f aca="false">-1+B4782*0.125</f>
        <v>0.125</v>
      </c>
      <c r="F4782" s="0" t="n">
        <f aca="false">-1+C4782*0.125</f>
        <v>-1</v>
      </c>
      <c r="G4782" s="0" t="n">
        <f aca="false">1</f>
        <v>1</v>
      </c>
      <c r="H4782" s="0" t="n">
        <f aca="false">D4782</f>
        <v>1</v>
      </c>
      <c r="I4782" s="0" t="n">
        <f aca="false">E4782</f>
        <v>0.125</v>
      </c>
      <c r="J4782" s="0" t="n">
        <f aca="false">F4782</f>
        <v>-1</v>
      </c>
      <c r="K4782" s="0" t="n">
        <f aca="false">D4782*E4782</f>
        <v>0.125</v>
      </c>
      <c r="L4782" s="0" t="n">
        <f aca="false">D4782*F4782</f>
        <v>-1</v>
      </c>
      <c r="M4782" s="0" t="n">
        <f aca="false">E4782*F4782</f>
        <v>-0.125</v>
      </c>
      <c r="N4782" s="0" t="n">
        <f aca="false">D4782*D4782</f>
        <v>1</v>
      </c>
      <c r="O4782" s="0" t="n">
        <f aca="false">E4782*E4782</f>
        <v>0.015625</v>
      </c>
      <c r="P4782" s="0" t="n">
        <f aca="false">F4782*F4782</f>
        <v>1</v>
      </c>
      <c r="Q4782" s="0" t="n">
        <f aca="false">SUMPRODUCT(G4782:P4782,_XtX!$B$71:$K$71)</f>
        <v>46.4403125</v>
      </c>
      <c r="R4782" s="0" t="n">
        <f aca="false">SUMPRODUCT(MMULT(G4782:P4782,_XtX!$B$58:$K$67),G4782:P4782)</f>
        <v>0.7115234375</v>
      </c>
      <c r="S4782" s="0" t="n">
        <f aca="false">04_回帰ANOVA!$K$19*04_回帰ANOVA!$K$14*SQRT(1+R4782)</f>
        <v>1.21634860506574</v>
      </c>
      <c r="T4782" s="0" t="n">
        <f aca="false">Q4782-S4782</f>
        <v>45.2239638949343</v>
      </c>
      <c r="U4782" s="0" t="n">
        <f aca="false">Q4782+S4782</f>
        <v>47.6566611050657</v>
      </c>
      <c r="V4782" s="54" t="b">
        <f aca="false">AND(D4782&gt;=01_因子設定!$L$5-0.000000001,D4782&lt;=01_因子設定!$M$5+0.000000001,E4782&gt;=01_因子設定!$L$6-0.000000001,E4782&lt;=01_因子設定!$M$6+0.000000001,F4782&gt;=01_因子設定!$L$7-0.000000001,F4782&lt;=01_因子設定!$M$7+0.000000001,IF(01_因子設定!$B$20="Box-Behnken",D4782^2+E4782^2+F4782^2&lt;=2+0.000000001,TRUE()))</f>
        <v>1</v>
      </c>
      <c r="W4782" s="55" t="n">
        <f aca="false">IF(V4782,IF(01_因子設定!$B$13="最大化",T4782-01_因子設定!$B$14,IF(01_因子設定!$B$13="最小化",01_因子設定!$B$15-U4782,MIN(T4782-01_因子設定!$B$14,01_因子設定!$B$15-U4782))),-1E+030)</f>
        <v>-3.27603610506573</v>
      </c>
      <c r="X4782" s="55" t="n">
        <f aca="false">IF(V4782,IF(01_因子設定!$B$13="最大化",Q4782,IF(01_因子設定!$B$13="最小化",-Q4782,-ABS(Q4782-01_因子設定!$B$16))),-1E+030)</f>
        <v>46.4403125</v>
      </c>
      <c r="Y4782" s="55" t="n">
        <f aca="false">W4782+ROW()*0.000000001</f>
        <v>-3.27603132306573</v>
      </c>
      <c r="Z4782" s="55" t="n">
        <f aca="false">X4782+ROW()*0.000000001</f>
        <v>46.440317282</v>
      </c>
    </row>
    <row r="4783" customFormat="false" ht="15" hidden="false" customHeight="false" outlineLevel="0" collapsed="false">
      <c r="A4783" s="0" t="n">
        <v>16</v>
      </c>
      <c r="B4783" s="0" t="n">
        <v>9</v>
      </c>
      <c r="C4783" s="0" t="n">
        <v>1</v>
      </c>
      <c r="D4783" s="0" t="n">
        <f aca="false">-1+A4783*0.125</f>
        <v>1</v>
      </c>
      <c r="E4783" s="0" t="n">
        <f aca="false">-1+B4783*0.125</f>
        <v>0.125</v>
      </c>
      <c r="F4783" s="0" t="n">
        <f aca="false">-1+C4783*0.125</f>
        <v>-0.875</v>
      </c>
      <c r="G4783" s="0" t="n">
        <f aca="false">1</f>
        <v>1</v>
      </c>
      <c r="H4783" s="0" t="n">
        <f aca="false">D4783</f>
        <v>1</v>
      </c>
      <c r="I4783" s="0" t="n">
        <f aca="false">E4783</f>
        <v>0.125</v>
      </c>
      <c r="J4783" s="0" t="n">
        <f aca="false">F4783</f>
        <v>-0.875</v>
      </c>
      <c r="K4783" s="0" t="n">
        <f aca="false">D4783*E4783</f>
        <v>0.125</v>
      </c>
      <c r="L4783" s="0" t="n">
        <f aca="false">D4783*F4783</f>
        <v>-0.875</v>
      </c>
      <c r="M4783" s="0" t="n">
        <f aca="false">E4783*F4783</f>
        <v>-0.109375</v>
      </c>
      <c r="N4783" s="0" t="n">
        <f aca="false">D4783*D4783</f>
        <v>1</v>
      </c>
      <c r="O4783" s="0" t="n">
        <f aca="false">E4783*E4783</f>
        <v>0.015625</v>
      </c>
      <c r="P4783" s="0" t="n">
        <f aca="false">F4783*F4783</f>
        <v>0.765625</v>
      </c>
      <c r="Q4783" s="0" t="n">
        <f aca="false">SUMPRODUCT(G4783:P4783,_XtX!$B$71:$K$71)</f>
        <v>46.8770170454546</v>
      </c>
      <c r="R4783" s="0" t="n">
        <f aca="false">SUMPRODUCT(MMULT(G4783:P4783,_XtX!$B$58:$K$67),G4783:P4783)</f>
        <v>0.59407792524858</v>
      </c>
      <c r="S4783" s="0" t="n">
        <f aca="false">04_回帰ANOVA!$K$19*04_回帰ANOVA!$K$14*SQRT(1+R4783)</f>
        <v>1.17387380087722</v>
      </c>
      <c r="T4783" s="0" t="n">
        <f aca="false">Q4783-S4783</f>
        <v>45.7031432445773</v>
      </c>
      <c r="U4783" s="0" t="n">
        <f aca="false">Q4783+S4783</f>
        <v>48.0508908463318</v>
      </c>
      <c r="V4783" s="54" t="b">
        <f aca="false">AND(D4783&gt;=01_因子設定!$L$5-0.000000001,D4783&lt;=01_因子設定!$M$5+0.000000001,E4783&gt;=01_因子設定!$L$6-0.000000001,E4783&lt;=01_因子設定!$M$6+0.000000001,F4783&gt;=01_因子設定!$L$7-0.000000001,F4783&lt;=01_因子設定!$M$7+0.000000001,IF(01_因子設定!$B$20="Box-Behnken",D4783^2+E4783^2+F4783^2&lt;=2+0.000000001,TRUE()))</f>
        <v>1</v>
      </c>
      <c r="W4783" s="55" t="n">
        <f aca="false">IF(V4783,IF(01_因子設定!$B$13="最大化",T4783-01_因子設定!$B$14,IF(01_因子設定!$B$13="最小化",01_因子設定!$B$15-U4783,MIN(T4783-01_因子設定!$B$14,01_因子設定!$B$15-U4783))),-1E+030)</f>
        <v>-2.79685675542267</v>
      </c>
      <c r="X4783" s="55" t="n">
        <f aca="false">IF(V4783,IF(01_因子設定!$B$13="最大化",Q4783,IF(01_因子設定!$B$13="最小化",-Q4783,-ABS(Q4783-01_因子設定!$B$16))),-1E+030)</f>
        <v>46.8770170454546</v>
      </c>
      <c r="Y4783" s="55" t="n">
        <f aca="false">W4783+ROW()*0.000000001</f>
        <v>-2.79685197242267</v>
      </c>
      <c r="Z4783" s="55" t="n">
        <f aca="false">X4783+ROW()*0.000000001</f>
        <v>46.8770218284546</v>
      </c>
    </row>
    <row r="4784" customFormat="false" ht="15" hidden="false" customHeight="false" outlineLevel="0" collapsed="false">
      <c r="A4784" s="0" t="n">
        <v>16</v>
      </c>
      <c r="B4784" s="0" t="n">
        <v>9</v>
      </c>
      <c r="C4784" s="0" t="n">
        <v>2</v>
      </c>
      <c r="D4784" s="0" t="n">
        <f aca="false">-1+A4784*0.125</f>
        <v>1</v>
      </c>
      <c r="E4784" s="0" t="n">
        <f aca="false">-1+B4784*0.125</f>
        <v>0.125</v>
      </c>
      <c r="F4784" s="0" t="n">
        <f aca="false">-1+C4784*0.125</f>
        <v>-0.75</v>
      </c>
      <c r="G4784" s="0" t="n">
        <f aca="false">1</f>
        <v>1</v>
      </c>
      <c r="H4784" s="0" t="n">
        <f aca="false">D4784</f>
        <v>1</v>
      </c>
      <c r="I4784" s="0" t="n">
        <f aca="false">E4784</f>
        <v>0.125</v>
      </c>
      <c r="J4784" s="0" t="n">
        <f aca="false">F4784</f>
        <v>-0.75</v>
      </c>
      <c r="K4784" s="0" t="n">
        <f aca="false">D4784*E4784</f>
        <v>0.125</v>
      </c>
      <c r="L4784" s="0" t="n">
        <f aca="false">D4784*F4784</f>
        <v>-0.75</v>
      </c>
      <c r="M4784" s="0" t="n">
        <f aca="false">E4784*F4784</f>
        <v>-0.09375</v>
      </c>
      <c r="N4784" s="0" t="n">
        <f aca="false">D4784*D4784</f>
        <v>1</v>
      </c>
      <c r="O4784" s="0" t="n">
        <f aca="false">E4784*E4784</f>
        <v>0.015625</v>
      </c>
      <c r="P4784" s="0" t="n">
        <f aca="false">F4784*F4784</f>
        <v>0.5625</v>
      </c>
      <c r="Q4784" s="0" t="n">
        <f aca="false">SUMPRODUCT(G4784:P4784,_XtX!$B$71:$K$71)</f>
        <v>47.2769318181818</v>
      </c>
      <c r="R4784" s="0" t="n">
        <f aca="false">SUMPRODUCT(MMULT(G4784:P4784,_XtX!$B$58:$K$67),G4784:P4784)</f>
        <v>0.524607155539773</v>
      </c>
      <c r="S4784" s="0" t="n">
        <f aca="false">04_回帰ANOVA!$K$19*04_回帰ANOVA!$K$14*SQRT(1+R4784)</f>
        <v>1.14800984623412</v>
      </c>
      <c r="T4784" s="0" t="n">
        <f aca="false">Q4784-S4784</f>
        <v>46.1289219719477</v>
      </c>
      <c r="U4784" s="0" t="n">
        <f aca="false">Q4784+S4784</f>
        <v>48.4249416644159</v>
      </c>
      <c r="V4784" s="54" t="b">
        <f aca="false">AND(D4784&gt;=01_因子設定!$L$5-0.000000001,D4784&lt;=01_因子設定!$M$5+0.000000001,E4784&gt;=01_因子設定!$L$6-0.000000001,E4784&lt;=01_因子設定!$M$6+0.000000001,F4784&gt;=01_因子設定!$L$7-0.000000001,F4784&lt;=01_因子設定!$M$7+0.000000001,IF(01_因子設定!$B$20="Box-Behnken",D4784^2+E4784^2+F4784^2&lt;=2+0.000000001,TRUE()))</f>
        <v>1</v>
      </c>
      <c r="W4784" s="55" t="n">
        <f aca="false">IF(V4784,IF(01_因子設定!$B$13="最大化",T4784-01_因子設定!$B$14,IF(01_因子設定!$B$13="最小化",01_因子設定!$B$15-U4784,MIN(T4784-01_因子設定!$B$14,01_因子設定!$B$15-U4784))),-1E+030)</f>
        <v>-2.3710780280523</v>
      </c>
      <c r="X4784" s="55" t="n">
        <f aca="false">IF(V4784,IF(01_因子設定!$B$13="最大化",Q4784,IF(01_因子設定!$B$13="最小化",-Q4784,-ABS(Q4784-01_因子設定!$B$16))),-1E+030)</f>
        <v>47.2769318181818</v>
      </c>
      <c r="Y4784" s="55" t="n">
        <f aca="false">W4784+ROW()*0.000000001</f>
        <v>-2.3710732440523</v>
      </c>
      <c r="Z4784" s="55" t="n">
        <f aca="false">X4784+ROW()*0.000000001</f>
        <v>47.2769366021818</v>
      </c>
    </row>
    <row r="4785" customFormat="false" ht="15" hidden="false" customHeight="false" outlineLevel="0" collapsed="false">
      <c r="A4785" s="0" t="n">
        <v>16</v>
      </c>
      <c r="B4785" s="0" t="n">
        <v>9</v>
      </c>
      <c r="C4785" s="0" t="n">
        <v>3</v>
      </c>
      <c r="D4785" s="0" t="n">
        <f aca="false">-1+A4785*0.125</f>
        <v>1</v>
      </c>
      <c r="E4785" s="0" t="n">
        <f aca="false">-1+B4785*0.125</f>
        <v>0.125</v>
      </c>
      <c r="F4785" s="0" t="n">
        <f aca="false">-1+C4785*0.125</f>
        <v>-0.625</v>
      </c>
      <c r="G4785" s="0" t="n">
        <f aca="false">1</f>
        <v>1</v>
      </c>
      <c r="H4785" s="0" t="n">
        <f aca="false">D4785</f>
        <v>1</v>
      </c>
      <c r="I4785" s="0" t="n">
        <f aca="false">E4785</f>
        <v>0.125</v>
      </c>
      <c r="J4785" s="0" t="n">
        <f aca="false">F4785</f>
        <v>-0.625</v>
      </c>
      <c r="K4785" s="0" t="n">
        <f aca="false">D4785*E4785</f>
        <v>0.125</v>
      </c>
      <c r="L4785" s="0" t="n">
        <f aca="false">D4785*F4785</f>
        <v>-0.625</v>
      </c>
      <c r="M4785" s="0" t="n">
        <f aca="false">E4785*F4785</f>
        <v>-0.078125</v>
      </c>
      <c r="N4785" s="0" t="n">
        <f aca="false">D4785*D4785</f>
        <v>1</v>
      </c>
      <c r="O4785" s="0" t="n">
        <f aca="false">E4785*E4785</f>
        <v>0.015625</v>
      </c>
      <c r="P4785" s="0" t="n">
        <f aca="false">F4785*F4785</f>
        <v>0.390625</v>
      </c>
      <c r="Q4785" s="0" t="n">
        <f aca="false">SUMPRODUCT(G4785:P4785,_XtX!$B$71:$K$71)</f>
        <v>47.6400568181818</v>
      </c>
      <c r="R4785" s="0" t="n">
        <f aca="false">SUMPRODUCT(MMULT(G4785:P4785,_XtX!$B$58:$K$67),G4785:P4785)</f>
        <v>0.489261696555398</v>
      </c>
      <c r="S4785" s="0" t="n">
        <f aca="false">04_回帰ANOVA!$K$19*04_回帰ANOVA!$K$14*SQRT(1+R4785)</f>
        <v>1.13462447083763</v>
      </c>
      <c r="T4785" s="0" t="n">
        <f aca="false">Q4785-S4785</f>
        <v>46.5054323473442</v>
      </c>
      <c r="U4785" s="0" t="n">
        <f aca="false">Q4785+S4785</f>
        <v>48.7746812890195</v>
      </c>
      <c r="V4785" s="54" t="b">
        <f aca="false">AND(D4785&gt;=01_因子設定!$L$5-0.000000001,D4785&lt;=01_因子設定!$M$5+0.000000001,E4785&gt;=01_因子設定!$L$6-0.000000001,E4785&lt;=01_因子設定!$M$6+0.000000001,F4785&gt;=01_因子設定!$L$7-0.000000001,F4785&lt;=01_因子設定!$M$7+0.000000001,IF(01_因子設定!$B$20="Box-Behnken",D4785^2+E4785^2+F4785^2&lt;=2+0.000000001,TRUE()))</f>
        <v>1</v>
      </c>
      <c r="W4785" s="55" t="n">
        <f aca="false">IF(V4785,IF(01_因子設定!$B$13="最大化",T4785-01_因子設定!$B$14,IF(01_因子設定!$B$13="最小化",01_因子設定!$B$15-U4785,MIN(T4785-01_因子設定!$B$14,01_因子設定!$B$15-U4785))),-1E+030)</f>
        <v>-1.99456765265582</v>
      </c>
      <c r="X4785" s="55" t="n">
        <f aca="false">IF(V4785,IF(01_因子設定!$B$13="最大化",Q4785,IF(01_因子設定!$B$13="最小化",-Q4785,-ABS(Q4785-01_因子設定!$B$16))),-1E+030)</f>
        <v>47.6400568181818</v>
      </c>
      <c r="Y4785" s="55" t="n">
        <f aca="false">W4785+ROW()*0.000000001</f>
        <v>-1.99456286765582</v>
      </c>
      <c r="Z4785" s="55" t="n">
        <f aca="false">X4785+ROW()*0.000000001</f>
        <v>47.6400616031818</v>
      </c>
    </row>
    <row r="4786" customFormat="false" ht="15" hidden="false" customHeight="false" outlineLevel="0" collapsed="false">
      <c r="A4786" s="0" t="n">
        <v>16</v>
      </c>
      <c r="B4786" s="0" t="n">
        <v>9</v>
      </c>
      <c r="C4786" s="0" t="n">
        <v>4</v>
      </c>
      <c r="D4786" s="0" t="n">
        <f aca="false">-1+A4786*0.125</f>
        <v>1</v>
      </c>
      <c r="E4786" s="0" t="n">
        <f aca="false">-1+B4786*0.125</f>
        <v>0.125</v>
      </c>
      <c r="F4786" s="0" t="n">
        <f aca="false">-1+C4786*0.125</f>
        <v>-0.5</v>
      </c>
      <c r="G4786" s="0" t="n">
        <f aca="false">1</f>
        <v>1</v>
      </c>
      <c r="H4786" s="0" t="n">
        <f aca="false">D4786</f>
        <v>1</v>
      </c>
      <c r="I4786" s="0" t="n">
        <f aca="false">E4786</f>
        <v>0.125</v>
      </c>
      <c r="J4786" s="0" t="n">
        <f aca="false">F4786</f>
        <v>-0.5</v>
      </c>
      <c r="K4786" s="0" t="n">
        <f aca="false">D4786*E4786</f>
        <v>0.125</v>
      </c>
      <c r="L4786" s="0" t="n">
        <f aca="false">D4786*F4786</f>
        <v>-0.5</v>
      </c>
      <c r="M4786" s="0" t="n">
        <f aca="false">E4786*F4786</f>
        <v>-0.0625</v>
      </c>
      <c r="N4786" s="0" t="n">
        <f aca="false">D4786*D4786</f>
        <v>1</v>
      </c>
      <c r="O4786" s="0" t="n">
        <f aca="false">E4786*E4786</f>
        <v>0.015625</v>
      </c>
      <c r="P4786" s="0" t="n">
        <f aca="false">F4786*F4786</f>
        <v>0.25</v>
      </c>
      <c r="Q4786" s="0" t="n">
        <f aca="false">SUMPRODUCT(G4786:P4786,_XtX!$B$71:$K$71)</f>
        <v>47.9663920454545</v>
      </c>
      <c r="R4786" s="0" t="n">
        <f aca="false">SUMPRODUCT(MMULT(G4786:P4786,_XtX!$B$58:$K$67),G4786:P4786)</f>
        <v>0.476322798295455</v>
      </c>
      <c r="S4786" s="0" t="n">
        <f aca="false">04_回帰ANOVA!$K$19*04_回帰ANOVA!$K$14*SQRT(1+R4786)</f>
        <v>1.12968483630128</v>
      </c>
      <c r="T4786" s="0" t="n">
        <f aca="false">Q4786-S4786</f>
        <v>46.8367072091533</v>
      </c>
      <c r="U4786" s="0" t="n">
        <f aca="false">Q4786+S4786</f>
        <v>49.0960768817558</v>
      </c>
      <c r="V4786" s="54" t="b">
        <f aca="false">AND(D4786&gt;=01_因子設定!$L$5-0.000000001,D4786&lt;=01_因子設定!$M$5+0.000000001,E4786&gt;=01_因子設定!$L$6-0.000000001,E4786&lt;=01_因子設定!$M$6+0.000000001,F4786&gt;=01_因子設定!$L$7-0.000000001,F4786&lt;=01_因子設定!$M$7+0.000000001,IF(01_因子設定!$B$20="Box-Behnken",D4786^2+E4786^2+F4786^2&lt;=2+0.000000001,TRUE()))</f>
        <v>1</v>
      </c>
      <c r="W4786" s="55" t="n">
        <f aca="false">IF(V4786,IF(01_因子設定!$B$13="最大化",T4786-01_因子設定!$B$14,IF(01_因子設定!$B$13="最小化",01_因子設定!$B$15-U4786,MIN(T4786-01_因子設定!$B$14,01_因子設定!$B$15-U4786))),-1E+030)</f>
        <v>-1.66329279084674</v>
      </c>
      <c r="X4786" s="55" t="n">
        <f aca="false">IF(V4786,IF(01_因子設定!$B$13="最大化",Q4786,IF(01_因子設定!$B$13="最小化",-Q4786,-ABS(Q4786-01_因子設定!$B$16))),-1E+030)</f>
        <v>47.9663920454545</v>
      </c>
      <c r="Y4786" s="55" t="n">
        <f aca="false">W4786+ROW()*0.000000001</f>
        <v>-1.66328800484674</v>
      </c>
      <c r="Z4786" s="55" t="n">
        <f aca="false">X4786+ROW()*0.000000001</f>
        <v>47.9663968314545</v>
      </c>
    </row>
    <row r="4787" customFormat="false" ht="15" hidden="false" customHeight="false" outlineLevel="0" collapsed="false">
      <c r="A4787" s="0" t="n">
        <v>16</v>
      </c>
      <c r="B4787" s="0" t="n">
        <v>9</v>
      </c>
      <c r="C4787" s="0" t="n">
        <v>5</v>
      </c>
      <c r="D4787" s="0" t="n">
        <f aca="false">-1+A4787*0.125</f>
        <v>1</v>
      </c>
      <c r="E4787" s="0" t="n">
        <f aca="false">-1+B4787*0.125</f>
        <v>0.125</v>
      </c>
      <c r="F4787" s="0" t="n">
        <f aca="false">-1+C4787*0.125</f>
        <v>-0.375</v>
      </c>
      <c r="G4787" s="0" t="n">
        <f aca="false">1</f>
        <v>1</v>
      </c>
      <c r="H4787" s="0" t="n">
        <f aca="false">D4787</f>
        <v>1</v>
      </c>
      <c r="I4787" s="0" t="n">
        <f aca="false">E4787</f>
        <v>0.125</v>
      </c>
      <c r="J4787" s="0" t="n">
        <f aca="false">F4787</f>
        <v>-0.375</v>
      </c>
      <c r="K4787" s="0" t="n">
        <f aca="false">D4787*E4787</f>
        <v>0.125</v>
      </c>
      <c r="L4787" s="0" t="n">
        <f aca="false">D4787*F4787</f>
        <v>-0.375</v>
      </c>
      <c r="M4787" s="0" t="n">
        <f aca="false">E4787*F4787</f>
        <v>-0.046875</v>
      </c>
      <c r="N4787" s="0" t="n">
        <f aca="false">D4787*D4787</f>
        <v>1</v>
      </c>
      <c r="O4787" s="0" t="n">
        <f aca="false">E4787*E4787</f>
        <v>0.015625</v>
      </c>
      <c r="P4787" s="0" t="n">
        <f aca="false">F4787*F4787</f>
        <v>0.140625</v>
      </c>
      <c r="Q4787" s="0" t="n">
        <f aca="false">SUMPRODUCT(G4787:P4787,_XtX!$B$71:$K$71)</f>
        <v>48.2559375</v>
      </c>
      <c r="R4787" s="0" t="n">
        <f aca="false">SUMPRODUCT(MMULT(G4787:P4787,_XtX!$B$58:$K$67),G4787:P4787)</f>
        <v>0.476202392578125</v>
      </c>
      <c r="S4787" s="0" t="n">
        <f aca="false">04_回帰ANOVA!$K$19*04_回帰ANOVA!$K$14*SQRT(1+R4787)</f>
        <v>1.12963876802721</v>
      </c>
      <c r="T4787" s="0" t="n">
        <f aca="false">Q4787-S4787</f>
        <v>47.1262987319728</v>
      </c>
      <c r="U4787" s="0" t="n">
        <f aca="false">Q4787+S4787</f>
        <v>49.3855762680272</v>
      </c>
      <c r="V4787" s="54" t="b">
        <f aca="false">AND(D4787&gt;=01_因子設定!$L$5-0.000000001,D4787&lt;=01_因子設定!$M$5+0.000000001,E4787&gt;=01_因子設定!$L$6-0.000000001,E4787&lt;=01_因子設定!$M$6+0.000000001,F4787&gt;=01_因子設定!$L$7-0.000000001,F4787&lt;=01_因子設定!$M$7+0.000000001,IF(01_因子設定!$B$20="Box-Behnken",D4787^2+E4787^2+F4787^2&lt;=2+0.000000001,TRUE()))</f>
        <v>1</v>
      </c>
      <c r="W4787" s="55" t="n">
        <f aca="false">IF(V4787,IF(01_因子設定!$B$13="最大化",T4787-01_因子設定!$B$14,IF(01_因子設定!$B$13="最小化",01_因子設定!$B$15-U4787,MIN(T4787-01_因子設定!$B$14,01_因子設定!$B$15-U4787))),-1E+030)</f>
        <v>-1.37370126802721</v>
      </c>
      <c r="X4787" s="55" t="n">
        <f aca="false">IF(V4787,IF(01_因子設定!$B$13="最大化",Q4787,IF(01_因子設定!$B$13="最小化",-Q4787,-ABS(Q4787-01_因子設定!$B$16))),-1E+030)</f>
        <v>48.2559375</v>
      </c>
      <c r="Y4787" s="55" t="n">
        <f aca="false">W4787+ROW()*0.000000001</f>
        <v>-1.37369648102721</v>
      </c>
      <c r="Z4787" s="55" t="n">
        <f aca="false">X4787+ROW()*0.000000001</f>
        <v>48.255942287</v>
      </c>
    </row>
    <row r="4788" customFormat="false" ht="15" hidden="false" customHeight="false" outlineLevel="0" collapsed="false">
      <c r="A4788" s="0" t="n">
        <v>16</v>
      </c>
      <c r="B4788" s="0" t="n">
        <v>9</v>
      </c>
      <c r="C4788" s="0" t="n">
        <v>6</v>
      </c>
      <c r="D4788" s="0" t="n">
        <f aca="false">-1+A4788*0.125</f>
        <v>1</v>
      </c>
      <c r="E4788" s="0" t="n">
        <f aca="false">-1+B4788*0.125</f>
        <v>0.125</v>
      </c>
      <c r="F4788" s="0" t="n">
        <f aca="false">-1+C4788*0.125</f>
        <v>-0.25</v>
      </c>
      <c r="G4788" s="0" t="n">
        <f aca="false">1</f>
        <v>1</v>
      </c>
      <c r="H4788" s="0" t="n">
        <f aca="false">D4788</f>
        <v>1</v>
      </c>
      <c r="I4788" s="0" t="n">
        <f aca="false">E4788</f>
        <v>0.125</v>
      </c>
      <c r="J4788" s="0" t="n">
        <f aca="false">F4788</f>
        <v>-0.25</v>
      </c>
      <c r="K4788" s="0" t="n">
        <f aca="false">D4788*E4788</f>
        <v>0.125</v>
      </c>
      <c r="L4788" s="0" t="n">
        <f aca="false">D4788*F4788</f>
        <v>-0.25</v>
      </c>
      <c r="M4788" s="0" t="n">
        <f aca="false">E4788*F4788</f>
        <v>-0.03125</v>
      </c>
      <c r="N4788" s="0" t="n">
        <f aca="false">D4788*D4788</f>
        <v>1</v>
      </c>
      <c r="O4788" s="0" t="n">
        <f aca="false">E4788*E4788</f>
        <v>0.015625</v>
      </c>
      <c r="P4788" s="0" t="n">
        <f aca="false">F4788*F4788</f>
        <v>0.0625</v>
      </c>
      <c r="Q4788" s="0" t="n">
        <f aca="false">SUMPRODUCT(G4788:P4788,_XtX!$B$71:$K$71)</f>
        <v>48.5086931818182</v>
      </c>
      <c r="R4788" s="0" t="n">
        <f aca="false">SUMPRODUCT(MMULT(G4788:P4788,_XtX!$B$58:$K$67),G4788:P4788)</f>
        <v>0.481443093039773</v>
      </c>
      <c r="S4788" s="0" t="n">
        <f aca="false">04_回帰ANOVA!$K$19*04_回帰ANOVA!$K$14*SQRT(1+R4788)</f>
        <v>1.13164216995877</v>
      </c>
      <c r="T4788" s="0" t="n">
        <f aca="false">Q4788-S4788</f>
        <v>47.3770510118594</v>
      </c>
      <c r="U4788" s="0" t="n">
        <f aca="false">Q4788+S4788</f>
        <v>49.6403353517769</v>
      </c>
      <c r="V4788" s="54" t="b">
        <f aca="false">AND(D4788&gt;=01_因子設定!$L$5-0.000000001,D4788&lt;=01_因子設定!$M$5+0.000000001,E4788&gt;=01_因子設定!$L$6-0.000000001,E4788&lt;=01_因子設定!$M$6+0.000000001,F4788&gt;=01_因子設定!$L$7-0.000000001,F4788&lt;=01_因子設定!$M$7+0.000000001,IF(01_因子設定!$B$20="Box-Behnken",D4788^2+E4788^2+F4788^2&lt;=2+0.000000001,TRUE()))</f>
        <v>1</v>
      </c>
      <c r="W4788" s="55" t="n">
        <f aca="false">IF(V4788,IF(01_因子設定!$B$13="最大化",T4788-01_因子設定!$B$14,IF(01_因子設定!$B$13="最小化",01_因子設定!$B$15-U4788,MIN(T4788-01_因子設定!$B$14,01_因子設定!$B$15-U4788))),-1E+030)</f>
        <v>-1.12294898814059</v>
      </c>
      <c r="X4788" s="55" t="n">
        <f aca="false">IF(V4788,IF(01_因子設定!$B$13="最大化",Q4788,IF(01_因子設定!$B$13="最小化",-Q4788,-ABS(Q4788-01_因子設定!$B$16))),-1E+030)</f>
        <v>48.5086931818182</v>
      </c>
      <c r="Y4788" s="55" t="n">
        <f aca="false">W4788+ROW()*0.000000001</f>
        <v>-1.12294420014059</v>
      </c>
      <c r="Z4788" s="55" t="n">
        <f aca="false">X4788+ROW()*0.000000001</f>
        <v>48.5086979698182</v>
      </c>
    </row>
    <row r="4789" customFormat="false" ht="15" hidden="false" customHeight="false" outlineLevel="0" collapsed="false">
      <c r="A4789" s="0" t="n">
        <v>16</v>
      </c>
      <c r="B4789" s="0" t="n">
        <v>9</v>
      </c>
      <c r="C4789" s="0" t="n">
        <v>7</v>
      </c>
      <c r="D4789" s="0" t="n">
        <f aca="false">-1+A4789*0.125</f>
        <v>1</v>
      </c>
      <c r="E4789" s="0" t="n">
        <f aca="false">-1+B4789*0.125</f>
        <v>0.125</v>
      </c>
      <c r="F4789" s="0" t="n">
        <f aca="false">-1+C4789*0.125</f>
        <v>-0.125</v>
      </c>
      <c r="G4789" s="0" t="n">
        <f aca="false">1</f>
        <v>1</v>
      </c>
      <c r="H4789" s="0" t="n">
        <f aca="false">D4789</f>
        <v>1</v>
      </c>
      <c r="I4789" s="0" t="n">
        <f aca="false">E4789</f>
        <v>0.125</v>
      </c>
      <c r="J4789" s="0" t="n">
        <f aca="false">F4789</f>
        <v>-0.125</v>
      </c>
      <c r="K4789" s="0" t="n">
        <f aca="false">D4789*E4789</f>
        <v>0.125</v>
      </c>
      <c r="L4789" s="0" t="n">
        <f aca="false">D4789*F4789</f>
        <v>-0.125</v>
      </c>
      <c r="M4789" s="0" t="n">
        <f aca="false">E4789*F4789</f>
        <v>-0.015625</v>
      </c>
      <c r="N4789" s="0" t="n">
        <f aca="false">D4789*D4789</f>
        <v>1</v>
      </c>
      <c r="O4789" s="0" t="n">
        <f aca="false">E4789*E4789</f>
        <v>0.015625</v>
      </c>
      <c r="P4789" s="0" t="n">
        <f aca="false">F4789*F4789</f>
        <v>0.015625</v>
      </c>
      <c r="Q4789" s="0" t="n">
        <f aca="false">SUMPRODUCT(G4789:P4789,_XtX!$B$71:$K$71)</f>
        <v>48.7246590909091</v>
      </c>
      <c r="R4789" s="0" t="n">
        <f aca="false">SUMPRODUCT(MMULT(G4789:P4789,_XtX!$B$58:$K$67),G4789:P4789)</f>
        <v>0.486718195134943</v>
      </c>
      <c r="S4789" s="0" t="n">
        <f aca="false">04_回帰ANOVA!$K$19*04_回帰ANOVA!$K$14*SQRT(1+R4789)</f>
        <v>1.13365514750636</v>
      </c>
      <c r="T4789" s="0" t="n">
        <f aca="false">Q4789-S4789</f>
        <v>47.5910039434027</v>
      </c>
      <c r="U4789" s="0" t="n">
        <f aca="false">Q4789+S4789</f>
        <v>49.8583142384154</v>
      </c>
      <c r="V4789" s="54" t="b">
        <f aca="false">AND(D4789&gt;=01_因子設定!$L$5-0.000000001,D4789&lt;=01_因子設定!$M$5+0.000000001,E4789&gt;=01_因子設定!$L$6-0.000000001,E4789&lt;=01_因子設定!$M$6+0.000000001,F4789&gt;=01_因子設定!$L$7-0.000000001,F4789&lt;=01_因子設定!$M$7+0.000000001,IF(01_因子設定!$B$20="Box-Behnken",D4789^2+E4789^2+F4789^2&lt;=2+0.000000001,TRUE()))</f>
        <v>1</v>
      </c>
      <c r="W4789" s="55" t="n">
        <f aca="false">IF(V4789,IF(01_因子設定!$B$13="最大化",T4789-01_因子設定!$B$14,IF(01_因子設定!$B$13="最小化",01_因子設定!$B$15-U4789,MIN(T4789-01_因子設定!$B$14,01_因子設定!$B$15-U4789))),-1E+030)</f>
        <v>-0.908996056597282</v>
      </c>
      <c r="X4789" s="55" t="n">
        <f aca="false">IF(V4789,IF(01_因子設定!$B$13="最大化",Q4789,IF(01_因子設定!$B$13="最小化",-Q4789,-ABS(Q4789-01_因子設定!$B$16))),-1E+030)</f>
        <v>48.7246590909091</v>
      </c>
      <c r="Y4789" s="55" t="n">
        <f aca="false">W4789+ROW()*0.000000001</f>
        <v>-0.908991267597282</v>
      </c>
      <c r="Z4789" s="55" t="n">
        <f aca="false">X4789+ROW()*0.000000001</f>
        <v>48.7246638799091</v>
      </c>
    </row>
    <row r="4790" customFormat="false" ht="15" hidden="false" customHeight="false" outlineLevel="0" collapsed="false">
      <c r="A4790" s="0" t="n">
        <v>16</v>
      </c>
      <c r="B4790" s="0" t="n">
        <v>9</v>
      </c>
      <c r="C4790" s="0" t="n">
        <v>8</v>
      </c>
      <c r="D4790" s="0" t="n">
        <f aca="false">-1+A4790*0.125</f>
        <v>1</v>
      </c>
      <c r="E4790" s="0" t="n">
        <f aca="false">-1+B4790*0.125</f>
        <v>0.125</v>
      </c>
      <c r="F4790" s="0" t="n">
        <f aca="false">-1+C4790*0.125</f>
        <v>0</v>
      </c>
      <c r="G4790" s="0" t="n">
        <f aca="false">1</f>
        <v>1</v>
      </c>
      <c r="H4790" s="0" t="n">
        <f aca="false">D4790</f>
        <v>1</v>
      </c>
      <c r="I4790" s="0" t="n">
        <f aca="false">E4790</f>
        <v>0.125</v>
      </c>
      <c r="J4790" s="0" t="n">
        <f aca="false">F4790</f>
        <v>0</v>
      </c>
      <c r="K4790" s="0" t="n">
        <f aca="false">D4790*E4790</f>
        <v>0.125</v>
      </c>
      <c r="L4790" s="0" t="n">
        <f aca="false">D4790*F4790</f>
        <v>0</v>
      </c>
      <c r="M4790" s="0" t="n">
        <f aca="false">E4790*F4790</f>
        <v>0</v>
      </c>
      <c r="N4790" s="0" t="n">
        <f aca="false">D4790*D4790</f>
        <v>1</v>
      </c>
      <c r="O4790" s="0" t="n">
        <f aca="false">E4790*E4790</f>
        <v>0.015625</v>
      </c>
      <c r="P4790" s="0" t="n">
        <f aca="false">F4790*F4790</f>
        <v>0</v>
      </c>
      <c r="Q4790" s="0" t="n">
        <f aca="false">SUMPRODUCT(G4790:P4790,_XtX!$B$71:$K$71)</f>
        <v>48.9038352272727</v>
      </c>
      <c r="R4790" s="0" t="n">
        <f aca="false">SUMPRODUCT(MMULT(G4790:P4790,_XtX!$B$58:$K$67),G4790:P4790)</f>
        <v>0.488831676136364</v>
      </c>
      <c r="S4790" s="0" t="n">
        <f aca="false">04_回帰ANOVA!$K$19*04_回帰ANOVA!$K$14*SQRT(1+R4790)</f>
        <v>1.13446064908709</v>
      </c>
      <c r="T4790" s="0" t="n">
        <f aca="false">Q4790-S4790</f>
        <v>47.7693745781856</v>
      </c>
      <c r="U4790" s="0" t="n">
        <f aca="false">Q4790+S4790</f>
        <v>50.0382958763598</v>
      </c>
      <c r="V4790" s="54" t="b">
        <f aca="false">AND(D4790&gt;=01_因子設定!$L$5-0.000000001,D4790&lt;=01_因子設定!$M$5+0.000000001,E4790&gt;=01_因子設定!$L$6-0.000000001,E4790&lt;=01_因子設定!$M$6+0.000000001,F4790&gt;=01_因子設定!$L$7-0.000000001,F4790&lt;=01_因子設定!$M$7+0.000000001,IF(01_因子設定!$B$20="Box-Behnken",D4790^2+E4790^2+F4790^2&lt;=2+0.000000001,TRUE()))</f>
        <v>1</v>
      </c>
      <c r="W4790" s="55" t="n">
        <f aca="false">IF(V4790,IF(01_因子設定!$B$13="最大化",T4790-01_因子設定!$B$14,IF(01_因子設定!$B$13="最小化",01_因子設定!$B$15-U4790,MIN(T4790-01_因子設定!$B$14,01_因子設定!$B$15-U4790))),-1E+030)</f>
        <v>-0.730625421814374</v>
      </c>
      <c r="X4790" s="55" t="n">
        <f aca="false">IF(V4790,IF(01_因子設定!$B$13="最大化",Q4790,IF(01_因子設定!$B$13="最小化",-Q4790,-ABS(Q4790-01_因子設定!$B$16))),-1E+030)</f>
        <v>48.9038352272727</v>
      </c>
      <c r="Y4790" s="55" t="n">
        <f aca="false">W4790+ROW()*0.000000001</f>
        <v>-0.730620631814374</v>
      </c>
      <c r="Z4790" s="55" t="n">
        <f aca="false">X4790+ROW()*0.000000001</f>
        <v>48.9038400172727</v>
      </c>
    </row>
    <row r="4791" customFormat="false" ht="15" hidden="false" customHeight="false" outlineLevel="0" collapsed="false">
      <c r="A4791" s="0" t="n">
        <v>16</v>
      </c>
      <c r="B4791" s="0" t="n">
        <v>9</v>
      </c>
      <c r="C4791" s="0" t="n">
        <v>9</v>
      </c>
      <c r="D4791" s="0" t="n">
        <f aca="false">-1+A4791*0.125</f>
        <v>1</v>
      </c>
      <c r="E4791" s="0" t="n">
        <f aca="false">-1+B4791*0.125</f>
        <v>0.125</v>
      </c>
      <c r="F4791" s="0" t="n">
        <f aca="false">-1+C4791*0.125</f>
        <v>0.125</v>
      </c>
      <c r="G4791" s="0" t="n">
        <f aca="false">1</f>
        <v>1</v>
      </c>
      <c r="H4791" s="0" t="n">
        <f aca="false">D4791</f>
        <v>1</v>
      </c>
      <c r="I4791" s="0" t="n">
        <f aca="false">E4791</f>
        <v>0.125</v>
      </c>
      <c r="J4791" s="0" t="n">
        <f aca="false">F4791</f>
        <v>0.125</v>
      </c>
      <c r="K4791" s="0" t="n">
        <f aca="false">D4791*E4791</f>
        <v>0.125</v>
      </c>
      <c r="L4791" s="0" t="n">
        <f aca="false">D4791*F4791</f>
        <v>0.125</v>
      </c>
      <c r="M4791" s="0" t="n">
        <f aca="false">E4791*F4791</f>
        <v>0.015625</v>
      </c>
      <c r="N4791" s="0" t="n">
        <f aca="false">D4791*D4791</f>
        <v>1</v>
      </c>
      <c r="O4791" s="0" t="n">
        <f aca="false">E4791*E4791</f>
        <v>0.015625</v>
      </c>
      <c r="P4791" s="0" t="n">
        <f aca="false">F4791*F4791</f>
        <v>0.015625</v>
      </c>
      <c r="Q4791" s="0" t="n">
        <f aca="false">SUMPRODUCT(G4791:P4791,_XtX!$B$71:$K$71)</f>
        <v>49.0462215909091</v>
      </c>
      <c r="R4791" s="0" t="n">
        <f aca="false">SUMPRODUCT(MMULT(G4791:P4791,_XtX!$B$58:$K$67),G4791:P4791)</f>
        <v>0.486718195134943</v>
      </c>
      <c r="S4791" s="0" t="n">
        <f aca="false">04_回帰ANOVA!$K$19*04_回帰ANOVA!$K$14*SQRT(1+R4791)</f>
        <v>1.13365514750636</v>
      </c>
      <c r="T4791" s="0" t="n">
        <f aca="false">Q4791-S4791</f>
        <v>47.9125664434027</v>
      </c>
      <c r="U4791" s="0" t="n">
        <f aca="false">Q4791+S4791</f>
        <v>50.1798767384154</v>
      </c>
      <c r="V4791" s="54" t="b">
        <f aca="false">AND(D4791&gt;=01_因子設定!$L$5-0.000000001,D4791&lt;=01_因子設定!$M$5+0.000000001,E4791&gt;=01_因子設定!$L$6-0.000000001,E4791&lt;=01_因子設定!$M$6+0.000000001,F4791&gt;=01_因子設定!$L$7-0.000000001,F4791&lt;=01_因子設定!$M$7+0.000000001,IF(01_因子設定!$B$20="Box-Behnken",D4791^2+E4791^2+F4791^2&lt;=2+0.000000001,TRUE()))</f>
        <v>1</v>
      </c>
      <c r="W4791" s="55" t="n">
        <f aca="false">IF(V4791,IF(01_因子設定!$B$13="最大化",T4791-01_因子設定!$B$14,IF(01_因子設定!$B$13="最小化",01_因子設定!$B$15-U4791,MIN(T4791-01_因子設定!$B$14,01_因子設定!$B$15-U4791))),-1E+030)</f>
        <v>-0.587433556597283</v>
      </c>
      <c r="X4791" s="55" t="n">
        <f aca="false">IF(V4791,IF(01_因子設定!$B$13="最大化",Q4791,IF(01_因子設定!$B$13="最小化",-Q4791,-ABS(Q4791-01_因子設定!$B$16))),-1E+030)</f>
        <v>49.0462215909091</v>
      </c>
      <c r="Y4791" s="55" t="n">
        <f aca="false">W4791+ROW()*0.000000001</f>
        <v>-0.587428765597283</v>
      </c>
      <c r="Z4791" s="55" t="n">
        <f aca="false">X4791+ROW()*0.000000001</f>
        <v>49.0462263819091</v>
      </c>
    </row>
    <row r="4792" customFormat="false" ht="15" hidden="false" customHeight="false" outlineLevel="0" collapsed="false">
      <c r="A4792" s="0" t="n">
        <v>16</v>
      </c>
      <c r="B4792" s="0" t="n">
        <v>9</v>
      </c>
      <c r="C4792" s="0" t="n">
        <v>10</v>
      </c>
      <c r="D4792" s="0" t="n">
        <f aca="false">-1+A4792*0.125</f>
        <v>1</v>
      </c>
      <c r="E4792" s="0" t="n">
        <f aca="false">-1+B4792*0.125</f>
        <v>0.125</v>
      </c>
      <c r="F4792" s="0" t="n">
        <f aca="false">-1+C4792*0.125</f>
        <v>0.25</v>
      </c>
      <c r="G4792" s="0" t="n">
        <f aca="false">1</f>
        <v>1</v>
      </c>
      <c r="H4792" s="0" t="n">
        <f aca="false">D4792</f>
        <v>1</v>
      </c>
      <c r="I4792" s="0" t="n">
        <f aca="false">E4792</f>
        <v>0.125</v>
      </c>
      <c r="J4792" s="0" t="n">
        <f aca="false">F4792</f>
        <v>0.25</v>
      </c>
      <c r="K4792" s="0" t="n">
        <f aca="false">D4792*E4792</f>
        <v>0.125</v>
      </c>
      <c r="L4792" s="0" t="n">
        <f aca="false">D4792*F4792</f>
        <v>0.25</v>
      </c>
      <c r="M4792" s="0" t="n">
        <f aca="false">E4792*F4792</f>
        <v>0.03125</v>
      </c>
      <c r="N4792" s="0" t="n">
        <f aca="false">D4792*D4792</f>
        <v>1</v>
      </c>
      <c r="O4792" s="0" t="n">
        <f aca="false">E4792*E4792</f>
        <v>0.015625</v>
      </c>
      <c r="P4792" s="0" t="n">
        <f aca="false">F4792*F4792</f>
        <v>0.0625</v>
      </c>
      <c r="Q4792" s="0" t="n">
        <f aca="false">SUMPRODUCT(G4792:P4792,_XtX!$B$71:$K$71)</f>
        <v>49.1518181818182</v>
      </c>
      <c r="R4792" s="0" t="n">
        <f aca="false">SUMPRODUCT(MMULT(G4792:P4792,_XtX!$B$58:$K$67),G4792:P4792)</f>
        <v>0.481443093039773</v>
      </c>
      <c r="S4792" s="0" t="n">
        <f aca="false">04_回帰ANOVA!$K$19*04_回帰ANOVA!$K$14*SQRT(1+R4792)</f>
        <v>1.13164216995877</v>
      </c>
      <c r="T4792" s="0" t="n">
        <f aca="false">Q4792-S4792</f>
        <v>48.0201760118594</v>
      </c>
      <c r="U4792" s="0" t="n">
        <f aca="false">Q4792+S4792</f>
        <v>50.2834603517769</v>
      </c>
      <c r="V4792" s="54" t="b">
        <f aca="false">AND(D4792&gt;=01_因子設定!$L$5-0.000000001,D4792&lt;=01_因子設定!$M$5+0.000000001,E4792&gt;=01_因子設定!$L$6-0.000000001,E4792&lt;=01_因子設定!$M$6+0.000000001,F4792&gt;=01_因子設定!$L$7-0.000000001,F4792&lt;=01_因子設定!$M$7+0.000000001,IF(01_因子設定!$B$20="Box-Behnken",D4792^2+E4792^2+F4792^2&lt;=2+0.000000001,TRUE()))</f>
        <v>1</v>
      </c>
      <c r="W4792" s="55" t="n">
        <f aca="false">IF(V4792,IF(01_因子設定!$B$13="最大化",T4792-01_因子設定!$B$14,IF(01_因子設定!$B$13="最小化",01_因子設定!$B$15-U4792,MIN(T4792-01_因子設定!$B$14,01_因子設定!$B$15-U4792))),-1E+030)</f>
        <v>-0.479823988140595</v>
      </c>
      <c r="X4792" s="55" t="n">
        <f aca="false">IF(V4792,IF(01_因子設定!$B$13="最大化",Q4792,IF(01_因子設定!$B$13="最小化",-Q4792,-ABS(Q4792-01_因子設定!$B$16))),-1E+030)</f>
        <v>49.1518181818182</v>
      </c>
      <c r="Y4792" s="55" t="n">
        <f aca="false">W4792+ROW()*0.000000001</f>
        <v>-0.479819196140595</v>
      </c>
      <c r="Z4792" s="55" t="n">
        <f aca="false">X4792+ROW()*0.000000001</f>
        <v>49.1518229738182</v>
      </c>
    </row>
    <row r="4793" customFormat="false" ht="15" hidden="false" customHeight="false" outlineLevel="0" collapsed="false">
      <c r="A4793" s="0" t="n">
        <v>16</v>
      </c>
      <c r="B4793" s="0" t="n">
        <v>9</v>
      </c>
      <c r="C4793" s="0" t="n">
        <v>11</v>
      </c>
      <c r="D4793" s="0" t="n">
        <f aca="false">-1+A4793*0.125</f>
        <v>1</v>
      </c>
      <c r="E4793" s="0" t="n">
        <f aca="false">-1+B4793*0.125</f>
        <v>0.125</v>
      </c>
      <c r="F4793" s="0" t="n">
        <f aca="false">-1+C4793*0.125</f>
        <v>0.375</v>
      </c>
      <c r="G4793" s="0" t="n">
        <f aca="false">1</f>
        <v>1</v>
      </c>
      <c r="H4793" s="0" t="n">
        <f aca="false">D4793</f>
        <v>1</v>
      </c>
      <c r="I4793" s="0" t="n">
        <f aca="false">E4793</f>
        <v>0.125</v>
      </c>
      <c r="J4793" s="0" t="n">
        <f aca="false">F4793</f>
        <v>0.375</v>
      </c>
      <c r="K4793" s="0" t="n">
        <f aca="false">D4793*E4793</f>
        <v>0.125</v>
      </c>
      <c r="L4793" s="0" t="n">
        <f aca="false">D4793*F4793</f>
        <v>0.375</v>
      </c>
      <c r="M4793" s="0" t="n">
        <f aca="false">E4793*F4793</f>
        <v>0.046875</v>
      </c>
      <c r="N4793" s="0" t="n">
        <f aca="false">D4793*D4793</f>
        <v>1</v>
      </c>
      <c r="O4793" s="0" t="n">
        <f aca="false">E4793*E4793</f>
        <v>0.015625</v>
      </c>
      <c r="P4793" s="0" t="n">
        <f aca="false">F4793*F4793</f>
        <v>0.140625</v>
      </c>
      <c r="Q4793" s="0" t="n">
        <f aca="false">SUMPRODUCT(G4793:P4793,_XtX!$B$71:$K$71)</f>
        <v>49.220625</v>
      </c>
      <c r="R4793" s="0" t="n">
        <f aca="false">SUMPRODUCT(MMULT(G4793:P4793,_XtX!$B$58:$K$67),G4793:P4793)</f>
        <v>0.476202392578125</v>
      </c>
      <c r="S4793" s="0" t="n">
        <f aca="false">04_回帰ANOVA!$K$19*04_回帰ANOVA!$K$14*SQRT(1+R4793)</f>
        <v>1.12963876802721</v>
      </c>
      <c r="T4793" s="0" t="n">
        <f aca="false">Q4793-S4793</f>
        <v>48.0909862319728</v>
      </c>
      <c r="U4793" s="0" t="n">
        <f aca="false">Q4793+S4793</f>
        <v>50.3502637680272</v>
      </c>
      <c r="V4793" s="54" t="b">
        <f aca="false">AND(D4793&gt;=01_因子設定!$L$5-0.000000001,D4793&lt;=01_因子設定!$M$5+0.000000001,E4793&gt;=01_因子設定!$L$6-0.000000001,E4793&lt;=01_因子設定!$M$6+0.000000001,F4793&gt;=01_因子設定!$L$7-0.000000001,F4793&lt;=01_因子設定!$M$7+0.000000001,IF(01_因子設定!$B$20="Box-Behnken",D4793^2+E4793^2+F4793^2&lt;=2+0.000000001,TRUE()))</f>
        <v>1</v>
      </c>
      <c r="W4793" s="55" t="n">
        <f aca="false">IF(V4793,IF(01_因子設定!$B$13="最大化",T4793-01_因子設定!$B$14,IF(01_因子設定!$B$13="最小化",01_因子設定!$B$15-U4793,MIN(T4793-01_因子設定!$B$14,01_因子設定!$B$15-U4793))),-1E+030)</f>
        <v>-0.409013768027215</v>
      </c>
      <c r="X4793" s="55" t="n">
        <f aca="false">IF(V4793,IF(01_因子設定!$B$13="最大化",Q4793,IF(01_因子設定!$B$13="最小化",-Q4793,-ABS(Q4793-01_因子設定!$B$16))),-1E+030)</f>
        <v>49.220625</v>
      </c>
      <c r="Y4793" s="55" t="n">
        <f aca="false">W4793+ROW()*0.000000001</f>
        <v>-0.409008975027215</v>
      </c>
      <c r="Z4793" s="55" t="n">
        <f aca="false">X4793+ROW()*0.000000001</f>
        <v>49.220629793</v>
      </c>
    </row>
    <row r="4794" customFormat="false" ht="15" hidden="false" customHeight="false" outlineLevel="0" collapsed="false">
      <c r="A4794" s="0" t="n">
        <v>16</v>
      </c>
      <c r="B4794" s="0" t="n">
        <v>9</v>
      </c>
      <c r="C4794" s="0" t="n">
        <v>12</v>
      </c>
      <c r="D4794" s="0" t="n">
        <f aca="false">-1+A4794*0.125</f>
        <v>1</v>
      </c>
      <c r="E4794" s="0" t="n">
        <f aca="false">-1+B4794*0.125</f>
        <v>0.125</v>
      </c>
      <c r="F4794" s="0" t="n">
        <f aca="false">-1+C4794*0.125</f>
        <v>0.5</v>
      </c>
      <c r="G4794" s="0" t="n">
        <f aca="false">1</f>
        <v>1</v>
      </c>
      <c r="H4794" s="0" t="n">
        <f aca="false">D4794</f>
        <v>1</v>
      </c>
      <c r="I4794" s="0" t="n">
        <f aca="false">E4794</f>
        <v>0.125</v>
      </c>
      <c r="J4794" s="0" t="n">
        <f aca="false">F4794</f>
        <v>0.5</v>
      </c>
      <c r="K4794" s="0" t="n">
        <f aca="false">D4794*E4794</f>
        <v>0.125</v>
      </c>
      <c r="L4794" s="0" t="n">
        <f aca="false">D4794*F4794</f>
        <v>0.5</v>
      </c>
      <c r="M4794" s="0" t="n">
        <f aca="false">E4794*F4794</f>
        <v>0.0625</v>
      </c>
      <c r="N4794" s="0" t="n">
        <f aca="false">D4794*D4794</f>
        <v>1</v>
      </c>
      <c r="O4794" s="0" t="n">
        <f aca="false">E4794*E4794</f>
        <v>0.015625</v>
      </c>
      <c r="P4794" s="0" t="n">
        <f aca="false">F4794*F4794</f>
        <v>0.25</v>
      </c>
      <c r="Q4794" s="0" t="n">
        <f aca="false">SUMPRODUCT(G4794:P4794,_XtX!$B$71:$K$71)</f>
        <v>49.2526420454545</v>
      </c>
      <c r="R4794" s="0" t="n">
        <f aca="false">SUMPRODUCT(MMULT(G4794:P4794,_XtX!$B$58:$K$67),G4794:P4794)</f>
        <v>0.476322798295455</v>
      </c>
      <c r="S4794" s="0" t="n">
        <f aca="false">04_回帰ANOVA!$K$19*04_回帰ANOVA!$K$14*SQRT(1+R4794)</f>
        <v>1.12968483630128</v>
      </c>
      <c r="T4794" s="0" t="n">
        <f aca="false">Q4794-S4794</f>
        <v>48.1229572091533</v>
      </c>
      <c r="U4794" s="0" t="n">
        <f aca="false">Q4794+S4794</f>
        <v>50.3823268817558</v>
      </c>
      <c r="V4794" s="54" t="b">
        <f aca="false">AND(D4794&gt;=01_因子設定!$L$5-0.000000001,D4794&lt;=01_因子設定!$M$5+0.000000001,E4794&gt;=01_因子設定!$L$6-0.000000001,E4794&lt;=01_因子設定!$M$6+0.000000001,F4794&gt;=01_因子設定!$L$7-0.000000001,F4794&lt;=01_因子設定!$M$7+0.000000001,IF(01_因子設定!$B$20="Box-Behnken",D4794^2+E4794^2+F4794^2&lt;=2+0.000000001,TRUE()))</f>
        <v>1</v>
      </c>
      <c r="W4794" s="55" t="n">
        <f aca="false">IF(V4794,IF(01_因子設定!$B$13="最大化",T4794-01_因子設定!$B$14,IF(01_因子設定!$B$13="最小化",01_因子設定!$B$15-U4794,MIN(T4794-01_因子設定!$B$14,01_因子設定!$B$15-U4794))),-1E+030)</f>
        <v>-0.377042790846744</v>
      </c>
      <c r="X4794" s="55" t="n">
        <f aca="false">IF(V4794,IF(01_因子設定!$B$13="最大化",Q4794,IF(01_因子設定!$B$13="最小化",-Q4794,-ABS(Q4794-01_因子設定!$B$16))),-1E+030)</f>
        <v>49.2526420454545</v>
      </c>
      <c r="Y4794" s="55" t="n">
        <f aca="false">W4794+ROW()*0.000000001</f>
        <v>-0.377037996846744</v>
      </c>
      <c r="Z4794" s="55" t="n">
        <f aca="false">X4794+ROW()*0.000000001</f>
        <v>49.2526468394545</v>
      </c>
    </row>
    <row r="4795" customFormat="false" ht="15" hidden="false" customHeight="false" outlineLevel="0" collapsed="false">
      <c r="A4795" s="0" t="n">
        <v>16</v>
      </c>
      <c r="B4795" s="0" t="n">
        <v>9</v>
      </c>
      <c r="C4795" s="0" t="n">
        <v>13</v>
      </c>
      <c r="D4795" s="0" t="n">
        <f aca="false">-1+A4795*0.125</f>
        <v>1</v>
      </c>
      <c r="E4795" s="0" t="n">
        <f aca="false">-1+B4795*0.125</f>
        <v>0.125</v>
      </c>
      <c r="F4795" s="0" t="n">
        <f aca="false">-1+C4795*0.125</f>
        <v>0.625</v>
      </c>
      <c r="G4795" s="0" t="n">
        <f aca="false">1</f>
        <v>1</v>
      </c>
      <c r="H4795" s="0" t="n">
        <f aca="false">D4795</f>
        <v>1</v>
      </c>
      <c r="I4795" s="0" t="n">
        <f aca="false">E4795</f>
        <v>0.125</v>
      </c>
      <c r="J4795" s="0" t="n">
        <f aca="false">F4795</f>
        <v>0.625</v>
      </c>
      <c r="K4795" s="0" t="n">
        <f aca="false">D4795*E4795</f>
        <v>0.125</v>
      </c>
      <c r="L4795" s="0" t="n">
        <f aca="false">D4795*F4795</f>
        <v>0.625</v>
      </c>
      <c r="M4795" s="0" t="n">
        <f aca="false">E4795*F4795</f>
        <v>0.078125</v>
      </c>
      <c r="N4795" s="0" t="n">
        <f aca="false">D4795*D4795</f>
        <v>1</v>
      </c>
      <c r="O4795" s="0" t="n">
        <f aca="false">E4795*E4795</f>
        <v>0.015625</v>
      </c>
      <c r="P4795" s="0" t="n">
        <f aca="false">F4795*F4795</f>
        <v>0.390625</v>
      </c>
      <c r="Q4795" s="0" t="n">
        <f aca="false">SUMPRODUCT(G4795:P4795,_XtX!$B$71:$K$71)</f>
        <v>49.2478693181818</v>
      </c>
      <c r="R4795" s="0" t="n">
        <f aca="false">SUMPRODUCT(MMULT(G4795:P4795,_XtX!$B$58:$K$67),G4795:P4795)</f>
        <v>0.489261696555398</v>
      </c>
      <c r="S4795" s="0" t="n">
        <f aca="false">04_回帰ANOVA!$K$19*04_回帰ANOVA!$K$14*SQRT(1+R4795)</f>
        <v>1.13462447083763</v>
      </c>
      <c r="T4795" s="0" t="n">
        <f aca="false">Q4795-S4795</f>
        <v>48.1132448473442</v>
      </c>
      <c r="U4795" s="0" t="n">
        <f aca="false">Q4795+S4795</f>
        <v>50.3824937890195</v>
      </c>
      <c r="V4795" s="54" t="b">
        <f aca="false">AND(D4795&gt;=01_因子設定!$L$5-0.000000001,D4795&lt;=01_因子設定!$M$5+0.000000001,E4795&gt;=01_因子設定!$L$6-0.000000001,E4795&lt;=01_因子設定!$M$6+0.000000001,F4795&gt;=01_因子設定!$L$7-0.000000001,F4795&lt;=01_因子設定!$M$7+0.000000001,IF(01_因子設定!$B$20="Box-Behnken",D4795^2+E4795^2+F4795^2&lt;=2+0.000000001,TRUE()))</f>
        <v>1</v>
      </c>
      <c r="W4795" s="55" t="n">
        <f aca="false">IF(V4795,IF(01_因子設定!$B$13="最大化",T4795-01_因子設定!$B$14,IF(01_因子設定!$B$13="最小化",01_因子設定!$B$15-U4795,MIN(T4795-01_因子設定!$B$14,01_因子設定!$B$15-U4795))),-1E+030)</f>
        <v>-0.386755152655823</v>
      </c>
      <c r="X4795" s="55" t="n">
        <f aca="false">IF(V4795,IF(01_因子設定!$B$13="最大化",Q4795,IF(01_因子設定!$B$13="最小化",-Q4795,-ABS(Q4795-01_因子設定!$B$16))),-1E+030)</f>
        <v>49.2478693181818</v>
      </c>
      <c r="Y4795" s="55" t="n">
        <f aca="false">W4795+ROW()*0.000000001</f>
        <v>-0.386750357655823</v>
      </c>
      <c r="Z4795" s="55" t="n">
        <f aca="false">X4795+ROW()*0.000000001</f>
        <v>49.2478741131818</v>
      </c>
    </row>
    <row r="4796" customFormat="false" ht="15" hidden="false" customHeight="false" outlineLevel="0" collapsed="false">
      <c r="A4796" s="0" t="n">
        <v>16</v>
      </c>
      <c r="B4796" s="0" t="n">
        <v>9</v>
      </c>
      <c r="C4796" s="0" t="n">
        <v>14</v>
      </c>
      <c r="D4796" s="0" t="n">
        <f aca="false">-1+A4796*0.125</f>
        <v>1</v>
      </c>
      <c r="E4796" s="0" t="n">
        <f aca="false">-1+B4796*0.125</f>
        <v>0.125</v>
      </c>
      <c r="F4796" s="0" t="n">
        <f aca="false">-1+C4796*0.125</f>
        <v>0.75</v>
      </c>
      <c r="G4796" s="0" t="n">
        <f aca="false">1</f>
        <v>1</v>
      </c>
      <c r="H4796" s="0" t="n">
        <f aca="false">D4796</f>
        <v>1</v>
      </c>
      <c r="I4796" s="0" t="n">
        <f aca="false">E4796</f>
        <v>0.125</v>
      </c>
      <c r="J4796" s="0" t="n">
        <f aca="false">F4796</f>
        <v>0.75</v>
      </c>
      <c r="K4796" s="0" t="n">
        <f aca="false">D4796*E4796</f>
        <v>0.125</v>
      </c>
      <c r="L4796" s="0" t="n">
        <f aca="false">D4796*F4796</f>
        <v>0.75</v>
      </c>
      <c r="M4796" s="0" t="n">
        <f aca="false">E4796*F4796</f>
        <v>0.09375</v>
      </c>
      <c r="N4796" s="0" t="n">
        <f aca="false">D4796*D4796</f>
        <v>1</v>
      </c>
      <c r="O4796" s="0" t="n">
        <f aca="false">E4796*E4796</f>
        <v>0.015625</v>
      </c>
      <c r="P4796" s="0" t="n">
        <f aca="false">F4796*F4796</f>
        <v>0.5625</v>
      </c>
      <c r="Q4796" s="0" t="n">
        <f aca="false">SUMPRODUCT(G4796:P4796,_XtX!$B$71:$K$71)</f>
        <v>49.2063068181818</v>
      </c>
      <c r="R4796" s="0" t="n">
        <f aca="false">SUMPRODUCT(MMULT(G4796:P4796,_XtX!$B$58:$K$67),G4796:P4796)</f>
        <v>0.524607155539773</v>
      </c>
      <c r="S4796" s="0" t="n">
        <f aca="false">04_回帰ANOVA!$K$19*04_回帰ANOVA!$K$14*SQRT(1+R4796)</f>
        <v>1.14800984623412</v>
      </c>
      <c r="T4796" s="0" t="n">
        <f aca="false">Q4796-S4796</f>
        <v>48.0582969719477</v>
      </c>
      <c r="U4796" s="0" t="n">
        <f aca="false">Q4796+S4796</f>
        <v>50.3543166644159</v>
      </c>
      <c r="V4796" s="54" t="b">
        <f aca="false">AND(D4796&gt;=01_因子設定!$L$5-0.000000001,D4796&lt;=01_因子設定!$M$5+0.000000001,E4796&gt;=01_因子設定!$L$6-0.000000001,E4796&lt;=01_因子設定!$M$6+0.000000001,F4796&gt;=01_因子設定!$L$7-0.000000001,F4796&lt;=01_因子設定!$M$7+0.000000001,IF(01_因子設定!$B$20="Box-Behnken",D4796^2+E4796^2+F4796^2&lt;=2+0.000000001,TRUE()))</f>
        <v>1</v>
      </c>
      <c r="W4796" s="55" t="n">
        <f aca="false">IF(V4796,IF(01_因子設定!$B$13="最大化",T4796-01_因子設定!$B$14,IF(01_因子設定!$B$13="最小化",01_因子設定!$B$15-U4796,MIN(T4796-01_因子設定!$B$14,01_因子設定!$B$15-U4796))),-1E+030)</f>
        <v>-0.441703028052302</v>
      </c>
      <c r="X4796" s="55" t="n">
        <f aca="false">IF(V4796,IF(01_因子設定!$B$13="最大化",Q4796,IF(01_因子設定!$B$13="最小化",-Q4796,-ABS(Q4796-01_因子設定!$B$16))),-1E+030)</f>
        <v>49.2063068181818</v>
      </c>
      <c r="Y4796" s="55" t="n">
        <f aca="false">W4796+ROW()*0.000000001</f>
        <v>-0.441698232052302</v>
      </c>
      <c r="Z4796" s="55" t="n">
        <f aca="false">X4796+ROW()*0.000000001</f>
        <v>49.2063116141818</v>
      </c>
    </row>
    <row r="4797" customFormat="false" ht="15" hidden="false" customHeight="false" outlineLevel="0" collapsed="false">
      <c r="A4797" s="0" t="n">
        <v>16</v>
      </c>
      <c r="B4797" s="0" t="n">
        <v>9</v>
      </c>
      <c r="C4797" s="0" t="n">
        <v>15</v>
      </c>
      <c r="D4797" s="0" t="n">
        <f aca="false">-1+A4797*0.125</f>
        <v>1</v>
      </c>
      <c r="E4797" s="0" t="n">
        <f aca="false">-1+B4797*0.125</f>
        <v>0.125</v>
      </c>
      <c r="F4797" s="0" t="n">
        <f aca="false">-1+C4797*0.125</f>
        <v>0.875</v>
      </c>
      <c r="G4797" s="0" t="n">
        <f aca="false">1</f>
        <v>1</v>
      </c>
      <c r="H4797" s="0" t="n">
        <f aca="false">D4797</f>
        <v>1</v>
      </c>
      <c r="I4797" s="0" t="n">
        <f aca="false">E4797</f>
        <v>0.125</v>
      </c>
      <c r="J4797" s="0" t="n">
        <f aca="false">F4797</f>
        <v>0.875</v>
      </c>
      <c r="K4797" s="0" t="n">
        <f aca="false">D4797*E4797</f>
        <v>0.125</v>
      </c>
      <c r="L4797" s="0" t="n">
        <f aca="false">D4797*F4797</f>
        <v>0.875</v>
      </c>
      <c r="M4797" s="0" t="n">
        <f aca="false">E4797*F4797</f>
        <v>0.109375</v>
      </c>
      <c r="N4797" s="0" t="n">
        <f aca="false">D4797*D4797</f>
        <v>1</v>
      </c>
      <c r="O4797" s="0" t="n">
        <f aca="false">E4797*E4797</f>
        <v>0.015625</v>
      </c>
      <c r="P4797" s="0" t="n">
        <f aca="false">F4797*F4797</f>
        <v>0.765625</v>
      </c>
      <c r="Q4797" s="0" t="n">
        <f aca="false">SUMPRODUCT(G4797:P4797,_XtX!$B$71:$K$71)</f>
        <v>49.1279545454546</v>
      </c>
      <c r="R4797" s="0" t="n">
        <f aca="false">SUMPRODUCT(MMULT(G4797:P4797,_XtX!$B$58:$K$67),G4797:P4797)</f>
        <v>0.59407792524858</v>
      </c>
      <c r="S4797" s="0" t="n">
        <f aca="false">04_回帰ANOVA!$K$19*04_回帰ANOVA!$K$14*SQRT(1+R4797)</f>
        <v>1.17387380087722</v>
      </c>
      <c r="T4797" s="0" t="n">
        <f aca="false">Q4797-S4797</f>
        <v>47.9540807445773</v>
      </c>
      <c r="U4797" s="0" t="n">
        <f aca="false">Q4797+S4797</f>
        <v>50.3018283463318</v>
      </c>
      <c r="V4797" s="54" t="b">
        <f aca="false">AND(D4797&gt;=01_因子設定!$L$5-0.000000001,D4797&lt;=01_因子設定!$M$5+0.000000001,E4797&gt;=01_因子設定!$L$6-0.000000001,E4797&lt;=01_因子設定!$M$6+0.000000001,F4797&gt;=01_因子設定!$L$7-0.000000001,F4797&lt;=01_因子設定!$M$7+0.000000001,IF(01_因子設定!$B$20="Box-Behnken",D4797^2+E4797^2+F4797^2&lt;=2+0.000000001,TRUE()))</f>
        <v>1</v>
      </c>
      <c r="W4797" s="55" t="n">
        <f aca="false">IF(V4797,IF(01_因子設定!$B$13="最大化",T4797-01_因子設定!$B$14,IF(01_因子設定!$B$13="最小化",01_因子設定!$B$15-U4797,MIN(T4797-01_因子設定!$B$14,01_因子設定!$B$15-U4797))),-1E+030)</f>
        <v>-0.545919255422668</v>
      </c>
      <c r="X4797" s="55" t="n">
        <f aca="false">IF(V4797,IF(01_因子設定!$B$13="最大化",Q4797,IF(01_因子設定!$B$13="最小化",-Q4797,-ABS(Q4797-01_因子設定!$B$16))),-1E+030)</f>
        <v>49.1279545454546</v>
      </c>
      <c r="Y4797" s="55" t="n">
        <f aca="false">W4797+ROW()*0.000000001</f>
        <v>-0.545914458422668</v>
      </c>
      <c r="Z4797" s="55" t="n">
        <f aca="false">X4797+ROW()*0.000000001</f>
        <v>49.1279593424546</v>
      </c>
    </row>
    <row r="4798" customFormat="false" ht="15" hidden="false" customHeight="false" outlineLevel="0" collapsed="false">
      <c r="A4798" s="0" t="n">
        <v>16</v>
      </c>
      <c r="B4798" s="0" t="n">
        <v>9</v>
      </c>
      <c r="C4798" s="0" t="n">
        <v>16</v>
      </c>
      <c r="D4798" s="0" t="n">
        <f aca="false">-1+A4798*0.125</f>
        <v>1</v>
      </c>
      <c r="E4798" s="0" t="n">
        <f aca="false">-1+B4798*0.125</f>
        <v>0.125</v>
      </c>
      <c r="F4798" s="0" t="n">
        <f aca="false">-1+C4798*0.125</f>
        <v>1</v>
      </c>
      <c r="G4798" s="0" t="n">
        <f aca="false">1</f>
        <v>1</v>
      </c>
      <c r="H4798" s="0" t="n">
        <f aca="false">D4798</f>
        <v>1</v>
      </c>
      <c r="I4798" s="0" t="n">
        <f aca="false">E4798</f>
        <v>0.125</v>
      </c>
      <c r="J4798" s="0" t="n">
        <f aca="false">F4798</f>
        <v>1</v>
      </c>
      <c r="K4798" s="0" t="n">
        <f aca="false">D4798*E4798</f>
        <v>0.125</v>
      </c>
      <c r="L4798" s="0" t="n">
        <f aca="false">D4798*F4798</f>
        <v>1</v>
      </c>
      <c r="M4798" s="0" t="n">
        <f aca="false">E4798*F4798</f>
        <v>0.125</v>
      </c>
      <c r="N4798" s="0" t="n">
        <f aca="false">D4798*D4798</f>
        <v>1</v>
      </c>
      <c r="O4798" s="0" t="n">
        <f aca="false">E4798*E4798</f>
        <v>0.015625</v>
      </c>
      <c r="P4798" s="0" t="n">
        <f aca="false">F4798*F4798</f>
        <v>1</v>
      </c>
      <c r="Q4798" s="0" t="n">
        <f aca="false">SUMPRODUCT(G4798:P4798,_XtX!$B$71:$K$71)</f>
        <v>49.0128125</v>
      </c>
      <c r="R4798" s="0" t="n">
        <f aca="false">SUMPRODUCT(MMULT(G4798:P4798,_XtX!$B$58:$K$67),G4798:P4798)</f>
        <v>0.7115234375</v>
      </c>
      <c r="S4798" s="0" t="n">
        <f aca="false">04_回帰ANOVA!$K$19*04_回帰ANOVA!$K$14*SQRT(1+R4798)</f>
        <v>1.21634860506574</v>
      </c>
      <c r="T4798" s="0" t="n">
        <f aca="false">Q4798-S4798</f>
        <v>47.7964638949343</v>
      </c>
      <c r="U4798" s="0" t="n">
        <f aca="false">Q4798+S4798</f>
        <v>50.2291611050657</v>
      </c>
      <c r="V4798" s="54" t="b">
        <f aca="false">AND(D4798&gt;=01_因子設定!$L$5-0.000000001,D4798&lt;=01_因子設定!$M$5+0.000000001,E4798&gt;=01_因子設定!$L$6-0.000000001,E4798&lt;=01_因子設定!$M$6+0.000000001,F4798&gt;=01_因子設定!$L$7-0.000000001,F4798&lt;=01_因子設定!$M$7+0.000000001,IF(01_因子設定!$B$20="Box-Behnken",D4798^2+E4798^2+F4798^2&lt;=2+0.000000001,TRUE()))</f>
        <v>1</v>
      </c>
      <c r="W4798" s="55" t="n">
        <f aca="false">IF(V4798,IF(01_因子設定!$B$13="最大化",T4798-01_因子設定!$B$14,IF(01_因子設定!$B$13="最小化",01_因子設定!$B$15-U4798,MIN(T4798-01_因子設定!$B$14,01_因子設定!$B$15-U4798))),-1E+030)</f>
        <v>-0.703536105065723</v>
      </c>
      <c r="X4798" s="55" t="n">
        <f aca="false">IF(V4798,IF(01_因子設定!$B$13="最大化",Q4798,IF(01_因子設定!$B$13="最小化",-Q4798,-ABS(Q4798-01_因子設定!$B$16))),-1E+030)</f>
        <v>49.0128125</v>
      </c>
      <c r="Y4798" s="55" t="n">
        <f aca="false">W4798+ROW()*0.000000001</f>
        <v>-0.703531307065723</v>
      </c>
      <c r="Z4798" s="55" t="n">
        <f aca="false">X4798+ROW()*0.000000001</f>
        <v>49.012817298</v>
      </c>
    </row>
    <row r="4799" customFormat="false" ht="15" hidden="false" customHeight="false" outlineLevel="0" collapsed="false">
      <c r="A4799" s="0" t="n">
        <v>16</v>
      </c>
      <c r="B4799" s="0" t="n">
        <v>10</v>
      </c>
      <c r="C4799" s="0" t="n">
        <v>0</v>
      </c>
      <c r="D4799" s="0" t="n">
        <f aca="false">-1+A4799*0.125</f>
        <v>1</v>
      </c>
      <c r="E4799" s="0" t="n">
        <f aca="false">-1+B4799*0.125</f>
        <v>0.25</v>
      </c>
      <c r="F4799" s="0" t="n">
        <f aca="false">-1+C4799*0.125</f>
        <v>-1</v>
      </c>
      <c r="G4799" s="0" t="n">
        <f aca="false">1</f>
        <v>1</v>
      </c>
      <c r="H4799" s="0" t="n">
        <f aca="false">D4799</f>
        <v>1</v>
      </c>
      <c r="I4799" s="0" t="n">
        <f aca="false">E4799</f>
        <v>0.25</v>
      </c>
      <c r="J4799" s="0" t="n">
        <f aca="false">F4799</f>
        <v>-1</v>
      </c>
      <c r="K4799" s="0" t="n">
        <f aca="false">D4799*E4799</f>
        <v>0.25</v>
      </c>
      <c r="L4799" s="0" t="n">
        <f aca="false">D4799*F4799</f>
        <v>-1</v>
      </c>
      <c r="M4799" s="0" t="n">
        <f aca="false">E4799*F4799</f>
        <v>-0.25</v>
      </c>
      <c r="N4799" s="0" t="n">
        <f aca="false">D4799*D4799</f>
        <v>1</v>
      </c>
      <c r="O4799" s="0" t="n">
        <f aca="false">E4799*E4799</f>
        <v>0.0625</v>
      </c>
      <c r="P4799" s="0" t="n">
        <f aca="false">F4799*F4799</f>
        <v>1</v>
      </c>
      <c r="Q4799" s="0" t="n">
        <f aca="false">SUMPRODUCT(G4799:P4799,_XtX!$B$71:$K$71)</f>
        <v>46.7009090909091</v>
      </c>
      <c r="R4799" s="0" t="n">
        <f aca="false">SUMPRODUCT(MMULT(G4799:P4799,_XtX!$B$58:$K$67),G4799:P4799)</f>
        <v>0.699431818181818</v>
      </c>
      <c r="S4799" s="0" t="n">
        <f aca="false">04_回帰ANOVA!$K$19*04_回帰ANOVA!$K$14*SQRT(1+R4799)</f>
        <v>1.21204434231192</v>
      </c>
      <c r="T4799" s="0" t="n">
        <f aca="false">Q4799-S4799</f>
        <v>45.4888647485972</v>
      </c>
      <c r="U4799" s="0" t="n">
        <f aca="false">Q4799+S4799</f>
        <v>47.912953433221</v>
      </c>
      <c r="V4799" s="54" t="b">
        <f aca="false">AND(D4799&gt;=01_因子設定!$L$5-0.000000001,D4799&lt;=01_因子設定!$M$5+0.000000001,E4799&gt;=01_因子設定!$L$6-0.000000001,E4799&lt;=01_因子設定!$M$6+0.000000001,F4799&gt;=01_因子設定!$L$7-0.000000001,F4799&lt;=01_因子設定!$M$7+0.000000001,IF(01_因子設定!$B$20="Box-Behnken",D4799^2+E4799^2+F4799^2&lt;=2+0.000000001,TRUE()))</f>
        <v>1</v>
      </c>
      <c r="W4799" s="55" t="n">
        <f aca="false">IF(V4799,IF(01_因子設定!$B$13="最大化",T4799-01_因子設定!$B$14,IF(01_因子設定!$B$13="最小化",01_因子設定!$B$15-U4799,MIN(T4799-01_因子設定!$B$14,01_因子設定!$B$15-U4799))),-1E+030)</f>
        <v>-3.01113525140282</v>
      </c>
      <c r="X4799" s="55" t="n">
        <f aca="false">IF(V4799,IF(01_因子設定!$B$13="最大化",Q4799,IF(01_因子設定!$B$13="最小化",-Q4799,-ABS(Q4799-01_因子設定!$B$16))),-1E+030)</f>
        <v>46.7009090909091</v>
      </c>
      <c r="Y4799" s="55" t="n">
        <f aca="false">W4799+ROW()*0.000000001</f>
        <v>-3.01113045240282</v>
      </c>
      <c r="Z4799" s="55" t="n">
        <f aca="false">X4799+ROW()*0.000000001</f>
        <v>46.7009138899091</v>
      </c>
    </row>
    <row r="4800" customFormat="false" ht="15" hidden="false" customHeight="false" outlineLevel="0" collapsed="false">
      <c r="A4800" s="0" t="n">
        <v>16</v>
      </c>
      <c r="B4800" s="0" t="n">
        <v>10</v>
      </c>
      <c r="C4800" s="0" t="n">
        <v>1</v>
      </c>
      <c r="D4800" s="0" t="n">
        <f aca="false">-1+A4800*0.125</f>
        <v>1</v>
      </c>
      <c r="E4800" s="0" t="n">
        <f aca="false">-1+B4800*0.125</f>
        <v>0.25</v>
      </c>
      <c r="F4800" s="0" t="n">
        <f aca="false">-1+C4800*0.125</f>
        <v>-0.875</v>
      </c>
      <c r="G4800" s="0" t="n">
        <f aca="false">1</f>
        <v>1</v>
      </c>
      <c r="H4800" s="0" t="n">
        <f aca="false">D4800</f>
        <v>1</v>
      </c>
      <c r="I4800" s="0" t="n">
        <f aca="false">E4800</f>
        <v>0.25</v>
      </c>
      <c r="J4800" s="0" t="n">
        <f aca="false">F4800</f>
        <v>-0.875</v>
      </c>
      <c r="K4800" s="0" t="n">
        <f aca="false">D4800*E4800</f>
        <v>0.25</v>
      </c>
      <c r="L4800" s="0" t="n">
        <f aca="false">D4800*F4800</f>
        <v>-0.875</v>
      </c>
      <c r="M4800" s="0" t="n">
        <f aca="false">E4800*F4800</f>
        <v>-0.21875</v>
      </c>
      <c r="N4800" s="0" t="n">
        <f aca="false">D4800*D4800</f>
        <v>1</v>
      </c>
      <c r="O4800" s="0" t="n">
        <f aca="false">E4800*E4800</f>
        <v>0.0625</v>
      </c>
      <c r="P4800" s="0" t="n">
        <f aca="false">F4800*F4800</f>
        <v>0.765625</v>
      </c>
      <c r="Q4800" s="0" t="n">
        <f aca="false">SUMPRODUCT(G4800:P4800,_XtX!$B$71:$K$71)</f>
        <v>47.1446448863636</v>
      </c>
      <c r="R4800" s="0" t="n">
        <f aca="false">SUMPRODUCT(MMULT(G4800:P4800,_XtX!$B$58:$K$67),G4800:P4800)</f>
        <v>0.583609286221591</v>
      </c>
      <c r="S4800" s="0" t="n">
        <f aca="false">04_回帰ANOVA!$K$19*04_回帰ANOVA!$K$14*SQRT(1+R4800)</f>
        <v>1.1700129157584</v>
      </c>
      <c r="T4800" s="0" t="n">
        <f aca="false">Q4800-S4800</f>
        <v>45.9746319706052</v>
      </c>
      <c r="U4800" s="0" t="n">
        <f aca="false">Q4800+S4800</f>
        <v>48.314657802122</v>
      </c>
      <c r="V4800" s="54" t="b">
        <f aca="false">AND(D4800&gt;=01_因子設定!$L$5-0.000000001,D4800&lt;=01_因子設定!$M$5+0.000000001,E4800&gt;=01_因子設定!$L$6-0.000000001,E4800&lt;=01_因子設定!$M$6+0.000000001,F4800&gt;=01_因子設定!$L$7-0.000000001,F4800&lt;=01_因子設定!$M$7+0.000000001,IF(01_因子設定!$B$20="Box-Behnken",D4800^2+E4800^2+F4800^2&lt;=2+0.000000001,TRUE()))</f>
        <v>1</v>
      </c>
      <c r="W4800" s="55" t="n">
        <f aca="false">IF(V4800,IF(01_因子設定!$B$13="最大化",T4800-01_因子設定!$B$14,IF(01_因子設定!$B$13="最小化",01_因子設定!$B$15-U4800,MIN(T4800-01_因子設定!$B$14,01_因子設定!$B$15-U4800))),-1E+030)</f>
        <v>-2.52536802939476</v>
      </c>
      <c r="X4800" s="55" t="n">
        <f aca="false">IF(V4800,IF(01_因子設定!$B$13="最大化",Q4800,IF(01_因子設定!$B$13="最小化",-Q4800,-ABS(Q4800-01_因子設定!$B$16))),-1E+030)</f>
        <v>47.1446448863636</v>
      </c>
      <c r="Y4800" s="55" t="n">
        <f aca="false">W4800+ROW()*0.000000001</f>
        <v>-2.52536322939476</v>
      </c>
      <c r="Z4800" s="55" t="n">
        <f aca="false">X4800+ROW()*0.000000001</f>
        <v>47.1446496863636</v>
      </c>
    </row>
    <row r="4801" customFormat="false" ht="15" hidden="false" customHeight="false" outlineLevel="0" collapsed="false">
      <c r="A4801" s="0" t="n">
        <v>16</v>
      </c>
      <c r="B4801" s="0" t="n">
        <v>10</v>
      </c>
      <c r="C4801" s="0" t="n">
        <v>2</v>
      </c>
      <c r="D4801" s="0" t="n">
        <f aca="false">-1+A4801*0.125</f>
        <v>1</v>
      </c>
      <c r="E4801" s="0" t="n">
        <f aca="false">-1+B4801*0.125</f>
        <v>0.25</v>
      </c>
      <c r="F4801" s="0" t="n">
        <f aca="false">-1+C4801*0.125</f>
        <v>-0.75</v>
      </c>
      <c r="G4801" s="0" t="n">
        <f aca="false">1</f>
        <v>1</v>
      </c>
      <c r="H4801" s="0" t="n">
        <f aca="false">D4801</f>
        <v>1</v>
      </c>
      <c r="I4801" s="0" t="n">
        <f aca="false">E4801</f>
        <v>0.25</v>
      </c>
      <c r="J4801" s="0" t="n">
        <f aca="false">F4801</f>
        <v>-0.75</v>
      </c>
      <c r="K4801" s="0" t="n">
        <f aca="false">D4801*E4801</f>
        <v>0.25</v>
      </c>
      <c r="L4801" s="0" t="n">
        <f aca="false">D4801*F4801</f>
        <v>-0.75</v>
      </c>
      <c r="M4801" s="0" t="n">
        <f aca="false">E4801*F4801</f>
        <v>-0.1875</v>
      </c>
      <c r="N4801" s="0" t="n">
        <f aca="false">D4801*D4801</f>
        <v>1</v>
      </c>
      <c r="O4801" s="0" t="n">
        <f aca="false">E4801*E4801</f>
        <v>0.0625</v>
      </c>
      <c r="P4801" s="0" t="n">
        <f aca="false">F4801*F4801</f>
        <v>0.5625</v>
      </c>
      <c r="Q4801" s="0" t="n">
        <f aca="false">SUMPRODUCT(G4801:P4801,_XtX!$B$71:$K$71)</f>
        <v>47.5515909090909</v>
      </c>
      <c r="R4801" s="0" t="n">
        <f aca="false">SUMPRODUCT(MMULT(G4801:P4801,_XtX!$B$58:$K$67),G4801:P4801)</f>
        <v>0.515545099431818</v>
      </c>
      <c r="S4801" s="0" t="n">
        <f aca="false">04_回帰ANOVA!$K$19*04_回帰ANOVA!$K$14*SQRT(1+R4801)</f>
        <v>1.14459295464101</v>
      </c>
      <c r="T4801" s="0" t="n">
        <f aca="false">Q4801-S4801</f>
        <v>46.4069979544499</v>
      </c>
      <c r="U4801" s="0" t="n">
        <f aca="false">Q4801+S4801</f>
        <v>48.6961838637319</v>
      </c>
      <c r="V4801" s="54" t="b">
        <f aca="false">AND(D4801&gt;=01_因子設定!$L$5-0.000000001,D4801&lt;=01_因子設定!$M$5+0.000000001,E4801&gt;=01_因子設定!$L$6-0.000000001,E4801&lt;=01_因子設定!$M$6+0.000000001,F4801&gt;=01_因子設定!$L$7-0.000000001,F4801&lt;=01_因子設定!$M$7+0.000000001,IF(01_因子設定!$B$20="Box-Behnken",D4801^2+E4801^2+F4801^2&lt;=2+0.000000001,TRUE()))</f>
        <v>1</v>
      </c>
      <c r="W4801" s="55" t="n">
        <f aca="false">IF(V4801,IF(01_因子設定!$B$13="最大化",T4801-01_因子設定!$B$14,IF(01_因子設定!$B$13="最小化",01_因子設定!$B$15-U4801,MIN(T4801-01_因子設定!$B$14,01_因子設定!$B$15-U4801))),-1E+030)</f>
        <v>-2.0930020455501</v>
      </c>
      <c r="X4801" s="55" t="n">
        <f aca="false">IF(V4801,IF(01_因子設定!$B$13="最大化",Q4801,IF(01_因子設定!$B$13="最小化",-Q4801,-ABS(Q4801-01_因子設定!$B$16))),-1E+030)</f>
        <v>47.5515909090909</v>
      </c>
      <c r="Y4801" s="55" t="n">
        <f aca="false">W4801+ROW()*0.000000001</f>
        <v>-2.0929972445501</v>
      </c>
      <c r="Z4801" s="55" t="n">
        <f aca="false">X4801+ROW()*0.000000001</f>
        <v>47.5515957100909</v>
      </c>
    </row>
    <row r="4802" customFormat="false" ht="15" hidden="false" customHeight="false" outlineLevel="0" collapsed="false">
      <c r="A4802" s="0" t="n">
        <v>16</v>
      </c>
      <c r="B4802" s="0" t="n">
        <v>10</v>
      </c>
      <c r="C4802" s="0" t="n">
        <v>3</v>
      </c>
      <c r="D4802" s="0" t="n">
        <f aca="false">-1+A4802*0.125</f>
        <v>1</v>
      </c>
      <c r="E4802" s="0" t="n">
        <f aca="false">-1+B4802*0.125</f>
        <v>0.25</v>
      </c>
      <c r="F4802" s="0" t="n">
        <f aca="false">-1+C4802*0.125</f>
        <v>-0.625</v>
      </c>
      <c r="G4802" s="0" t="n">
        <f aca="false">1</f>
        <v>1</v>
      </c>
      <c r="H4802" s="0" t="n">
        <f aca="false">D4802</f>
        <v>1</v>
      </c>
      <c r="I4802" s="0" t="n">
        <f aca="false">E4802</f>
        <v>0.25</v>
      </c>
      <c r="J4802" s="0" t="n">
        <f aca="false">F4802</f>
        <v>-0.625</v>
      </c>
      <c r="K4802" s="0" t="n">
        <f aca="false">D4802*E4802</f>
        <v>0.25</v>
      </c>
      <c r="L4802" s="0" t="n">
        <f aca="false">D4802*F4802</f>
        <v>-0.625</v>
      </c>
      <c r="M4802" s="0" t="n">
        <f aca="false">E4802*F4802</f>
        <v>-0.15625</v>
      </c>
      <c r="N4802" s="0" t="n">
        <f aca="false">D4802*D4802</f>
        <v>1</v>
      </c>
      <c r="O4802" s="0" t="n">
        <f aca="false">E4802*E4802</f>
        <v>0.0625</v>
      </c>
      <c r="P4802" s="0" t="n">
        <f aca="false">F4802*F4802</f>
        <v>0.390625</v>
      </c>
      <c r="Q4802" s="0" t="n">
        <f aca="false">SUMPRODUCT(G4802:P4802,_XtX!$B$71:$K$71)</f>
        <v>47.9217471590909</v>
      </c>
      <c r="R4802" s="0" t="n">
        <f aca="false">SUMPRODUCT(MMULT(G4802:P4802,_XtX!$B$58:$K$67),G4802:P4802)</f>
        <v>0.481389825994318</v>
      </c>
      <c r="S4802" s="0" t="n">
        <f aca="false">04_回帰ANOVA!$K$19*04_回帰ANOVA!$K$14*SQRT(1+R4802)</f>
        <v>1.13162182500693</v>
      </c>
      <c r="T4802" s="0" t="n">
        <f aca="false">Q4802-S4802</f>
        <v>46.790125334084</v>
      </c>
      <c r="U4802" s="0" t="n">
        <f aca="false">Q4802+S4802</f>
        <v>49.0533689840978</v>
      </c>
      <c r="V4802" s="54" t="b">
        <f aca="false">AND(D4802&gt;=01_因子設定!$L$5-0.000000001,D4802&lt;=01_因子設定!$M$5+0.000000001,E4802&gt;=01_因子設定!$L$6-0.000000001,E4802&lt;=01_因子設定!$M$6+0.000000001,F4802&gt;=01_因子設定!$L$7-0.000000001,F4802&lt;=01_因子設定!$M$7+0.000000001,IF(01_因子設定!$B$20="Box-Behnken",D4802^2+E4802^2+F4802^2&lt;=2+0.000000001,TRUE()))</f>
        <v>1</v>
      </c>
      <c r="W4802" s="55" t="n">
        <f aca="false">IF(V4802,IF(01_因子設定!$B$13="最大化",T4802-01_因子設定!$B$14,IF(01_因子設定!$B$13="最小化",01_因子設定!$B$15-U4802,MIN(T4802-01_因子設定!$B$14,01_因子設定!$B$15-U4802))),-1E+030)</f>
        <v>-1.70987466591602</v>
      </c>
      <c r="X4802" s="55" t="n">
        <f aca="false">IF(V4802,IF(01_因子設定!$B$13="最大化",Q4802,IF(01_因子設定!$B$13="最小化",-Q4802,-ABS(Q4802-01_因子設定!$B$16))),-1E+030)</f>
        <v>47.9217471590909</v>
      </c>
      <c r="Y4802" s="55" t="n">
        <f aca="false">W4802+ROW()*0.000000001</f>
        <v>-1.70986986391602</v>
      </c>
      <c r="Z4802" s="55" t="n">
        <f aca="false">X4802+ROW()*0.000000001</f>
        <v>47.9217519610909</v>
      </c>
    </row>
    <row r="4803" customFormat="false" ht="15" hidden="false" customHeight="false" outlineLevel="0" collapsed="false">
      <c r="A4803" s="0" t="n">
        <v>16</v>
      </c>
      <c r="B4803" s="0" t="n">
        <v>10</v>
      </c>
      <c r="C4803" s="0" t="n">
        <v>4</v>
      </c>
      <c r="D4803" s="0" t="n">
        <f aca="false">-1+A4803*0.125</f>
        <v>1</v>
      </c>
      <c r="E4803" s="0" t="n">
        <f aca="false">-1+B4803*0.125</f>
        <v>0.25</v>
      </c>
      <c r="F4803" s="0" t="n">
        <f aca="false">-1+C4803*0.125</f>
        <v>-0.5</v>
      </c>
      <c r="G4803" s="0" t="n">
        <f aca="false">1</f>
        <v>1</v>
      </c>
      <c r="H4803" s="0" t="n">
        <f aca="false">D4803</f>
        <v>1</v>
      </c>
      <c r="I4803" s="0" t="n">
        <f aca="false">E4803</f>
        <v>0.25</v>
      </c>
      <c r="J4803" s="0" t="n">
        <f aca="false">F4803</f>
        <v>-0.5</v>
      </c>
      <c r="K4803" s="0" t="n">
        <f aca="false">D4803*E4803</f>
        <v>0.25</v>
      </c>
      <c r="L4803" s="0" t="n">
        <f aca="false">D4803*F4803</f>
        <v>-0.5</v>
      </c>
      <c r="M4803" s="0" t="n">
        <f aca="false">E4803*F4803</f>
        <v>-0.125</v>
      </c>
      <c r="N4803" s="0" t="n">
        <f aca="false">D4803*D4803</f>
        <v>1</v>
      </c>
      <c r="O4803" s="0" t="n">
        <f aca="false">E4803*E4803</f>
        <v>0.0625</v>
      </c>
      <c r="P4803" s="0" t="n">
        <f aca="false">F4803*F4803</f>
        <v>0.25</v>
      </c>
      <c r="Q4803" s="0" t="n">
        <f aca="false">SUMPRODUCT(G4803:P4803,_XtX!$B$71:$K$71)</f>
        <v>48.2551136363636</v>
      </c>
      <c r="R4803" s="0" t="n">
        <f aca="false">SUMPRODUCT(MMULT(G4803:P4803,_XtX!$B$58:$K$67),G4803:P4803)</f>
        <v>0.469424715909091</v>
      </c>
      <c r="S4803" s="0" t="n">
        <f aca="false">04_回帰ANOVA!$K$19*04_回帰ANOVA!$K$14*SQRT(1+R4803)</f>
        <v>1.12704253369596</v>
      </c>
      <c r="T4803" s="0" t="n">
        <f aca="false">Q4803-S4803</f>
        <v>47.1280711026677</v>
      </c>
      <c r="U4803" s="0" t="n">
        <f aca="false">Q4803+S4803</f>
        <v>49.3821561700596</v>
      </c>
      <c r="V4803" s="54" t="b">
        <f aca="false">AND(D4803&gt;=01_因子設定!$L$5-0.000000001,D4803&lt;=01_因子設定!$M$5+0.000000001,E4803&gt;=01_因子設定!$L$6-0.000000001,E4803&lt;=01_因子設定!$M$6+0.000000001,F4803&gt;=01_因子設定!$L$7-0.000000001,F4803&lt;=01_因子設定!$M$7+0.000000001,IF(01_因子設定!$B$20="Box-Behnken",D4803^2+E4803^2+F4803^2&lt;=2+0.000000001,TRUE()))</f>
        <v>1</v>
      </c>
      <c r="W4803" s="55" t="n">
        <f aca="false">IF(V4803,IF(01_因子設定!$B$13="最大化",T4803-01_因子設定!$B$14,IF(01_因子設定!$B$13="最小化",01_因子設定!$B$15-U4803,MIN(T4803-01_因子設定!$B$14,01_因子設定!$B$15-U4803))),-1E+030)</f>
        <v>-1.37192889733232</v>
      </c>
      <c r="X4803" s="55" t="n">
        <f aca="false">IF(V4803,IF(01_因子設定!$B$13="最大化",Q4803,IF(01_因子設定!$B$13="最小化",-Q4803,-ABS(Q4803-01_因子設定!$B$16))),-1E+030)</f>
        <v>48.2551136363636</v>
      </c>
      <c r="Y4803" s="55" t="n">
        <f aca="false">W4803+ROW()*0.000000001</f>
        <v>-1.37192409433232</v>
      </c>
      <c r="Z4803" s="55" t="n">
        <f aca="false">X4803+ROW()*0.000000001</f>
        <v>48.2551184393636</v>
      </c>
    </row>
    <row r="4804" customFormat="false" ht="15" hidden="false" customHeight="false" outlineLevel="0" collapsed="false">
      <c r="A4804" s="0" t="n">
        <v>16</v>
      </c>
      <c r="B4804" s="0" t="n">
        <v>10</v>
      </c>
      <c r="C4804" s="0" t="n">
        <v>5</v>
      </c>
      <c r="D4804" s="0" t="n">
        <f aca="false">-1+A4804*0.125</f>
        <v>1</v>
      </c>
      <c r="E4804" s="0" t="n">
        <f aca="false">-1+B4804*0.125</f>
        <v>0.25</v>
      </c>
      <c r="F4804" s="0" t="n">
        <f aca="false">-1+C4804*0.125</f>
        <v>-0.375</v>
      </c>
      <c r="G4804" s="0" t="n">
        <f aca="false">1</f>
        <v>1</v>
      </c>
      <c r="H4804" s="0" t="n">
        <f aca="false">D4804</f>
        <v>1</v>
      </c>
      <c r="I4804" s="0" t="n">
        <f aca="false">E4804</f>
        <v>0.25</v>
      </c>
      <c r="J4804" s="0" t="n">
        <f aca="false">F4804</f>
        <v>-0.375</v>
      </c>
      <c r="K4804" s="0" t="n">
        <f aca="false">D4804*E4804</f>
        <v>0.25</v>
      </c>
      <c r="L4804" s="0" t="n">
        <f aca="false">D4804*F4804</f>
        <v>-0.375</v>
      </c>
      <c r="M4804" s="0" t="n">
        <f aca="false">E4804*F4804</f>
        <v>-0.09375</v>
      </c>
      <c r="N4804" s="0" t="n">
        <f aca="false">D4804*D4804</f>
        <v>1</v>
      </c>
      <c r="O4804" s="0" t="n">
        <f aca="false">E4804*E4804</f>
        <v>0.0625</v>
      </c>
      <c r="P4804" s="0" t="n">
        <f aca="false">F4804*F4804</f>
        <v>0.140625</v>
      </c>
      <c r="Q4804" s="0" t="n">
        <f aca="false">SUMPRODUCT(G4804:P4804,_XtX!$B$71:$K$71)</f>
        <v>48.5516903409091</v>
      </c>
      <c r="R4804" s="0" t="n">
        <f aca="false">SUMPRODUCT(MMULT(G4804:P4804,_XtX!$B$58:$K$67),G4804:P4804)</f>
        <v>0.470061700994318</v>
      </c>
      <c r="S4804" s="0" t="n">
        <f aca="false">04_回帰ANOVA!$K$19*04_回帰ANOVA!$K$14*SQRT(1+R4804)</f>
        <v>1.12728678965931</v>
      </c>
      <c r="T4804" s="0" t="n">
        <f aca="false">Q4804-S4804</f>
        <v>47.4244035512498</v>
      </c>
      <c r="U4804" s="0" t="n">
        <f aca="false">Q4804+S4804</f>
        <v>49.6789771305684</v>
      </c>
      <c r="V4804" s="54" t="b">
        <f aca="false">AND(D4804&gt;=01_因子設定!$L$5-0.000000001,D4804&lt;=01_因子設定!$M$5+0.000000001,E4804&gt;=01_因子設定!$L$6-0.000000001,E4804&lt;=01_因子設定!$M$6+0.000000001,F4804&gt;=01_因子設定!$L$7-0.000000001,F4804&lt;=01_因子設定!$M$7+0.000000001,IF(01_因子設定!$B$20="Box-Behnken",D4804^2+E4804^2+F4804^2&lt;=2+0.000000001,TRUE()))</f>
        <v>1</v>
      </c>
      <c r="W4804" s="55" t="n">
        <f aca="false">IF(V4804,IF(01_因子設定!$B$13="最大化",T4804-01_因子設定!$B$14,IF(01_因子設定!$B$13="最小化",01_因子設定!$B$15-U4804,MIN(T4804-01_因子設定!$B$14,01_因子設定!$B$15-U4804))),-1E+030)</f>
        <v>-1.07559644875023</v>
      </c>
      <c r="X4804" s="55" t="n">
        <f aca="false">IF(V4804,IF(01_因子設定!$B$13="最大化",Q4804,IF(01_因子設定!$B$13="最小化",-Q4804,-ABS(Q4804-01_因子設定!$B$16))),-1E+030)</f>
        <v>48.5516903409091</v>
      </c>
      <c r="Y4804" s="55" t="n">
        <f aca="false">W4804+ROW()*0.000000001</f>
        <v>-1.07559164475023</v>
      </c>
      <c r="Z4804" s="55" t="n">
        <f aca="false">X4804+ROW()*0.000000001</f>
        <v>48.5516951449091</v>
      </c>
    </row>
    <row r="4805" customFormat="false" ht="15" hidden="false" customHeight="false" outlineLevel="0" collapsed="false">
      <c r="A4805" s="0" t="n">
        <v>16</v>
      </c>
      <c r="B4805" s="0" t="n">
        <v>10</v>
      </c>
      <c r="C4805" s="0" t="n">
        <v>6</v>
      </c>
      <c r="D4805" s="0" t="n">
        <f aca="false">-1+A4805*0.125</f>
        <v>1</v>
      </c>
      <c r="E4805" s="0" t="n">
        <f aca="false">-1+B4805*0.125</f>
        <v>0.25</v>
      </c>
      <c r="F4805" s="0" t="n">
        <f aca="false">-1+C4805*0.125</f>
        <v>-0.25</v>
      </c>
      <c r="G4805" s="0" t="n">
        <f aca="false">1</f>
        <v>1</v>
      </c>
      <c r="H4805" s="0" t="n">
        <f aca="false">D4805</f>
        <v>1</v>
      </c>
      <c r="I4805" s="0" t="n">
        <f aca="false">E4805</f>
        <v>0.25</v>
      </c>
      <c r="J4805" s="0" t="n">
        <f aca="false">F4805</f>
        <v>-0.25</v>
      </c>
      <c r="K4805" s="0" t="n">
        <f aca="false">D4805*E4805</f>
        <v>0.25</v>
      </c>
      <c r="L4805" s="0" t="n">
        <f aca="false">D4805*F4805</f>
        <v>-0.25</v>
      </c>
      <c r="M4805" s="0" t="n">
        <f aca="false">E4805*F4805</f>
        <v>-0.0625</v>
      </c>
      <c r="N4805" s="0" t="n">
        <f aca="false">D4805*D4805</f>
        <v>1</v>
      </c>
      <c r="O4805" s="0" t="n">
        <f aca="false">E4805*E4805</f>
        <v>0.0625</v>
      </c>
      <c r="P4805" s="0" t="n">
        <f aca="false">F4805*F4805</f>
        <v>0.0625</v>
      </c>
      <c r="Q4805" s="0" t="n">
        <f aca="false">SUMPRODUCT(G4805:P4805,_XtX!$B$71:$K$71)</f>
        <v>48.8114772727273</v>
      </c>
      <c r="R4805" s="0" t="n">
        <f aca="false">SUMPRODUCT(MMULT(G4805:P4805,_XtX!$B$58:$K$67),G4805:P4805)</f>
        <v>0.475843394886364</v>
      </c>
      <c r="S4805" s="0" t="n">
        <f aca="false">04_回帰ANOVA!$K$19*04_回帰ANOVA!$K$14*SQRT(1+R4805)</f>
        <v>1.12950140123694</v>
      </c>
      <c r="T4805" s="0" t="n">
        <f aca="false">Q4805-S4805</f>
        <v>47.6819758714903</v>
      </c>
      <c r="U4805" s="0" t="n">
        <f aca="false">Q4805+S4805</f>
        <v>49.9409786739642</v>
      </c>
      <c r="V4805" s="54" t="b">
        <f aca="false">AND(D4805&gt;=01_因子設定!$L$5-0.000000001,D4805&lt;=01_因子設定!$M$5+0.000000001,E4805&gt;=01_因子設定!$L$6-0.000000001,E4805&lt;=01_因子設定!$M$6+0.000000001,F4805&gt;=01_因子設定!$L$7-0.000000001,F4805&lt;=01_因子設定!$M$7+0.000000001,IF(01_因子設定!$B$20="Box-Behnken",D4805^2+E4805^2+F4805^2&lt;=2+0.000000001,TRUE()))</f>
        <v>1</v>
      </c>
      <c r="W4805" s="55" t="n">
        <f aca="false">IF(V4805,IF(01_因子設定!$B$13="最大化",T4805-01_因子設定!$B$14,IF(01_因子設定!$B$13="最小化",01_因子設定!$B$15-U4805,MIN(T4805-01_因子設定!$B$14,01_因子設定!$B$15-U4805))),-1E+030)</f>
        <v>-0.818024128509677</v>
      </c>
      <c r="X4805" s="55" t="n">
        <f aca="false">IF(V4805,IF(01_因子設定!$B$13="最大化",Q4805,IF(01_因子設定!$B$13="最小化",-Q4805,-ABS(Q4805-01_因子設定!$B$16))),-1E+030)</f>
        <v>48.8114772727273</v>
      </c>
      <c r="Y4805" s="55" t="n">
        <f aca="false">W4805+ROW()*0.000000001</f>
        <v>-0.818019323509677</v>
      </c>
      <c r="Z4805" s="55" t="n">
        <f aca="false">X4805+ROW()*0.000000001</f>
        <v>48.8114820777273</v>
      </c>
    </row>
    <row r="4806" customFormat="false" ht="15" hidden="false" customHeight="false" outlineLevel="0" collapsed="false">
      <c r="A4806" s="0" t="n">
        <v>16</v>
      </c>
      <c r="B4806" s="0" t="n">
        <v>10</v>
      </c>
      <c r="C4806" s="0" t="n">
        <v>7</v>
      </c>
      <c r="D4806" s="0" t="n">
        <f aca="false">-1+A4806*0.125</f>
        <v>1</v>
      </c>
      <c r="E4806" s="0" t="n">
        <f aca="false">-1+B4806*0.125</f>
        <v>0.25</v>
      </c>
      <c r="F4806" s="0" t="n">
        <f aca="false">-1+C4806*0.125</f>
        <v>-0.125</v>
      </c>
      <c r="G4806" s="0" t="n">
        <f aca="false">1</f>
        <v>1</v>
      </c>
      <c r="H4806" s="0" t="n">
        <f aca="false">D4806</f>
        <v>1</v>
      </c>
      <c r="I4806" s="0" t="n">
        <f aca="false">E4806</f>
        <v>0.25</v>
      </c>
      <c r="J4806" s="0" t="n">
        <f aca="false">F4806</f>
        <v>-0.125</v>
      </c>
      <c r="K4806" s="0" t="n">
        <f aca="false">D4806*E4806</f>
        <v>0.25</v>
      </c>
      <c r="L4806" s="0" t="n">
        <f aca="false">D4806*F4806</f>
        <v>-0.125</v>
      </c>
      <c r="M4806" s="0" t="n">
        <f aca="false">E4806*F4806</f>
        <v>-0.03125</v>
      </c>
      <c r="N4806" s="0" t="n">
        <f aca="false">D4806*D4806</f>
        <v>1</v>
      </c>
      <c r="O4806" s="0" t="n">
        <f aca="false">E4806*E4806</f>
        <v>0.0625</v>
      </c>
      <c r="P4806" s="0" t="n">
        <f aca="false">F4806*F4806</f>
        <v>0.015625</v>
      </c>
      <c r="Q4806" s="0" t="n">
        <f aca="false">SUMPRODUCT(G4806:P4806,_XtX!$B$71:$K$71)</f>
        <v>49.0344744318182</v>
      </c>
      <c r="R4806" s="0" t="n">
        <f aca="false">SUMPRODUCT(MMULT(G4806:P4806,_XtX!$B$58:$K$67),G4806:P4806)</f>
        <v>0.481443093039773</v>
      </c>
      <c r="S4806" s="0" t="n">
        <f aca="false">04_回帰ANOVA!$K$19*04_回帰ANOVA!$K$14*SQRT(1+R4806)</f>
        <v>1.13164216995877</v>
      </c>
      <c r="T4806" s="0" t="n">
        <f aca="false">Q4806-S4806</f>
        <v>47.9028322618594</v>
      </c>
      <c r="U4806" s="0" t="n">
        <f aca="false">Q4806+S4806</f>
        <v>50.1661166017769</v>
      </c>
      <c r="V4806" s="54" t="b">
        <f aca="false">AND(D4806&gt;=01_因子設定!$L$5-0.000000001,D4806&lt;=01_因子設定!$M$5+0.000000001,E4806&gt;=01_因子設定!$L$6-0.000000001,E4806&lt;=01_因子設定!$M$6+0.000000001,F4806&gt;=01_因子設定!$L$7-0.000000001,F4806&lt;=01_因子設定!$M$7+0.000000001,IF(01_因子設定!$B$20="Box-Behnken",D4806^2+E4806^2+F4806^2&lt;=2+0.000000001,TRUE()))</f>
        <v>1</v>
      </c>
      <c r="W4806" s="55" t="n">
        <f aca="false">IF(V4806,IF(01_因子設定!$B$13="最大化",T4806-01_因子設定!$B$14,IF(01_因子設定!$B$13="最小化",01_因子設定!$B$15-U4806,MIN(T4806-01_因子設定!$B$14,01_因子設定!$B$15-U4806))),-1E+030)</f>
        <v>-0.597167738140598</v>
      </c>
      <c r="X4806" s="55" t="n">
        <f aca="false">IF(V4806,IF(01_因子設定!$B$13="最大化",Q4806,IF(01_因子設定!$B$13="最小化",-Q4806,-ABS(Q4806-01_因子設定!$B$16))),-1E+030)</f>
        <v>49.0344744318182</v>
      </c>
      <c r="Y4806" s="55" t="n">
        <f aca="false">W4806+ROW()*0.000000001</f>
        <v>-0.597162932140598</v>
      </c>
      <c r="Z4806" s="55" t="n">
        <f aca="false">X4806+ROW()*0.000000001</f>
        <v>49.0344792378182</v>
      </c>
    </row>
    <row r="4807" customFormat="false" ht="15" hidden="false" customHeight="false" outlineLevel="0" collapsed="false">
      <c r="A4807" s="0" t="n">
        <v>16</v>
      </c>
      <c r="B4807" s="0" t="n">
        <v>10</v>
      </c>
      <c r="C4807" s="0" t="n">
        <v>8</v>
      </c>
      <c r="D4807" s="0" t="n">
        <f aca="false">-1+A4807*0.125</f>
        <v>1</v>
      </c>
      <c r="E4807" s="0" t="n">
        <f aca="false">-1+B4807*0.125</f>
        <v>0.25</v>
      </c>
      <c r="F4807" s="0" t="n">
        <f aca="false">-1+C4807*0.125</f>
        <v>0</v>
      </c>
      <c r="G4807" s="0" t="n">
        <f aca="false">1</f>
        <v>1</v>
      </c>
      <c r="H4807" s="0" t="n">
        <f aca="false">D4807</f>
        <v>1</v>
      </c>
      <c r="I4807" s="0" t="n">
        <f aca="false">E4807</f>
        <v>0.25</v>
      </c>
      <c r="J4807" s="0" t="n">
        <f aca="false">F4807</f>
        <v>0</v>
      </c>
      <c r="K4807" s="0" t="n">
        <f aca="false">D4807*E4807</f>
        <v>0.25</v>
      </c>
      <c r="L4807" s="0" t="n">
        <f aca="false">D4807*F4807</f>
        <v>0</v>
      </c>
      <c r="M4807" s="0" t="n">
        <f aca="false">E4807*F4807</f>
        <v>0</v>
      </c>
      <c r="N4807" s="0" t="n">
        <f aca="false">D4807*D4807</f>
        <v>1</v>
      </c>
      <c r="O4807" s="0" t="n">
        <f aca="false">E4807*E4807</f>
        <v>0.0625</v>
      </c>
      <c r="P4807" s="0" t="n">
        <f aca="false">F4807*F4807</f>
        <v>0</v>
      </c>
      <c r="Q4807" s="0" t="n">
        <f aca="false">SUMPRODUCT(G4807:P4807,_XtX!$B$71:$K$71)</f>
        <v>49.2206818181818</v>
      </c>
      <c r="R4807" s="0" t="n">
        <f aca="false">SUMPRODUCT(MMULT(G4807:P4807,_XtX!$B$58:$K$67),G4807:P4807)</f>
        <v>0.483664772727273</v>
      </c>
      <c r="S4807" s="0" t="n">
        <f aca="false">04_回帰ANOVA!$K$19*04_回帰ANOVA!$K$14*SQRT(1+R4807)</f>
        <v>1.13249039846694</v>
      </c>
      <c r="T4807" s="0" t="n">
        <f aca="false">Q4807-S4807</f>
        <v>48.0881914197149</v>
      </c>
      <c r="U4807" s="0" t="n">
        <f aca="false">Q4807+S4807</f>
        <v>50.3531722166487</v>
      </c>
      <c r="V4807" s="54" t="b">
        <f aca="false">AND(D4807&gt;=01_因子設定!$L$5-0.000000001,D4807&lt;=01_因子設定!$M$5+0.000000001,E4807&gt;=01_因子設定!$L$6-0.000000001,E4807&lt;=01_因子設定!$M$6+0.000000001,F4807&gt;=01_因子設定!$L$7-0.000000001,F4807&lt;=01_因子設定!$M$7+0.000000001,IF(01_因子設定!$B$20="Box-Behnken",D4807^2+E4807^2+F4807^2&lt;=2+0.000000001,TRUE()))</f>
        <v>1</v>
      </c>
      <c r="W4807" s="55" t="n">
        <f aca="false">IF(V4807,IF(01_因子設定!$B$13="最大化",T4807-01_因子設定!$B$14,IF(01_因子設定!$B$13="最小化",01_因子設定!$B$15-U4807,MIN(T4807-01_因子設定!$B$14,01_因子設定!$B$15-U4807))),-1E+030)</f>
        <v>-0.411808580285125</v>
      </c>
      <c r="X4807" s="55" t="n">
        <f aca="false">IF(V4807,IF(01_因子設定!$B$13="最大化",Q4807,IF(01_因子設定!$B$13="最小化",-Q4807,-ABS(Q4807-01_因子設定!$B$16))),-1E+030)</f>
        <v>49.2206818181818</v>
      </c>
      <c r="Y4807" s="55" t="n">
        <f aca="false">W4807+ROW()*0.000000001</f>
        <v>-0.411803773285125</v>
      </c>
      <c r="Z4807" s="55" t="n">
        <f aca="false">X4807+ROW()*0.000000001</f>
        <v>49.2206866251818</v>
      </c>
    </row>
    <row r="4808" customFormat="false" ht="15" hidden="false" customHeight="false" outlineLevel="0" collapsed="false">
      <c r="A4808" s="0" t="n">
        <v>16</v>
      </c>
      <c r="B4808" s="0" t="n">
        <v>10</v>
      </c>
      <c r="C4808" s="0" t="n">
        <v>9</v>
      </c>
      <c r="D4808" s="0" t="n">
        <f aca="false">-1+A4808*0.125</f>
        <v>1</v>
      </c>
      <c r="E4808" s="0" t="n">
        <f aca="false">-1+B4808*0.125</f>
        <v>0.25</v>
      </c>
      <c r="F4808" s="0" t="n">
        <f aca="false">-1+C4808*0.125</f>
        <v>0.125</v>
      </c>
      <c r="G4808" s="0" t="n">
        <f aca="false">1</f>
        <v>1</v>
      </c>
      <c r="H4808" s="0" t="n">
        <f aca="false">D4808</f>
        <v>1</v>
      </c>
      <c r="I4808" s="0" t="n">
        <f aca="false">E4808</f>
        <v>0.25</v>
      </c>
      <c r="J4808" s="0" t="n">
        <f aca="false">F4808</f>
        <v>0.125</v>
      </c>
      <c r="K4808" s="0" t="n">
        <f aca="false">D4808*E4808</f>
        <v>0.25</v>
      </c>
      <c r="L4808" s="0" t="n">
        <f aca="false">D4808*F4808</f>
        <v>0.125</v>
      </c>
      <c r="M4808" s="0" t="n">
        <f aca="false">E4808*F4808</f>
        <v>0.03125</v>
      </c>
      <c r="N4808" s="0" t="n">
        <f aca="false">D4808*D4808</f>
        <v>1</v>
      </c>
      <c r="O4808" s="0" t="n">
        <f aca="false">E4808*E4808</f>
        <v>0.0625</v>
      </c>
      <c r="P4808" s="0" t="n">
        <f aca="false">F4808*F4808</f>
        <v>0.015625</v>
      </c>
      <c r="Q4808" s="0" t="n">
        <f aca="false">SUMPRODUCT(G4808:P4808,_XtX!$B$71:$K$71)</f>
        <v>49.3700994318182</v>
      </c>
      <c r="R4808" s="0" t="n">
        <f aca="false">SUMPRODUCT(MMULT(G4808:P4808,_XtX!$B$58:$K$67),G4808:P4808)</f>
        <v>0.481443093039773</v>
      </c>
      <c r="S4808" s="0" t="n">
        <f aca="false">04_回帰ANOVA!$K$19*04_回帰ANOVA!$K$14*SQRT(1+R4808)</f>
        <v>1.13164216995877</v>
      </c>
      <c r="T4808" s="0" t="n">
        <f aca="false">Q4808-S4808</f>
        <v>48.2384572618594</v>
      </c>
      <c r="U4808" s="0" t="n">
        <f aca="false">Q4808+S4808</f>
        <v>50.5017416017769</v>
      </c>
      <c r="V4808" s="54" t="b">
        <f aca="false">AND(D4808&gt;=01_因子設定!$L$5-0.000000001,D4808&lt;=01_因子設定!$M$5+0.000000001,E4808&gt;=01_因子設定!$L$6-0.000000001,E4808&lt;=01_因子設定!$M$6+0.000000001,F4808&gt;=01_因子設定!$L$7-0.000000001,F4808&lt;=01_因子設定!$M$7+0.000000001,IF(01_因子設定!$B$20="Box-Behnken",D4808^2+E4808^2+F4808^2&lt;=2+0.000000001,TRUE()))</f>
        <v>1</v>
      </c>
      <c r="W4808" s="55" t="n">
        <f aca="false">IF(V4808,IF(01_因子設定!$B$13="最大化",T4808-01_因子設定!$B$14,IF(01_因子設定!$B$13="最小化",01_因子設定!$B$15-U4808,MIN(T4808-01_因子設定!$B$14,01_因子設定!$B$15-U4808))),-1E+030)</f>
        <v>-0.261542738140598</v>
      </c>
      <c r="X4808" s="55" t="n">
        <f aca="false">IF(V4808,IF(01_因子設定!$B$13="最大化",Q4808,IF(01_因子設定!$B$13="最小化",-Q4808,-ABS(Q4808-01_因子設定!$B$16))),-1E+030)</f>
        <v>49.3700994318182</v>
      </c>
      <c r="Y4808" s="55" t="n">
        <f aca="false">W4808+ROW()*0.000000001</f>
        <v>-0.261537930140598</v>
      </c>
      <c r="Z4808" s="55" t="n">
        <f aca="false">X4808+ROW()*0.000000001</f>
        <v>49.3701042398182</v>
      </c>
    </row>
    <row r="4809" customFormat="false" ht="15" hidden="false" customHeight="false" outlineLevel="0" collapsed="false">
      <c r="A4809" s="0" t="n">
        <v>16</v>
      </c>
      <c r="B4809" s="0" t="n">
        <v>10</v>
      </c>
      <c r="C4809" s="0" t="n">
        <v>10</v>
      </c>
      <c r="D4809" s="0" t="n">
        <f aca="false">-1+A4809*0.125</f>
        <v>1</v>
      </c>
      <c r="E4809" s="0" t="n">
        <f aca="false">-1+B4809*0.125</f>
        <v>0.25</v>
      </c>
      <c r="F4809" s="0" t="n">
        <f aca="false">-1+C4809*0.125</f>
        <v>0.25</v>
      </c>
      <c r="G4809" s="0" t="n">
        <f aca="false">1</f>
        <v>1</v>
      </c>
      <c r="H4809" s="0" t="n">
        <f aca="false">D4809</f>
        <v>1</v>
      </c>
      <c r="I4809" s="0" t="n">
        <f aca="false">E4809</f>
        <v>0.25</v>
      </c>
      <c r="J4809" s="0" t="n">
        <f aca="false">F4809</f>
        <v>0.25</v>
      </c>
      <c r="K4809" s="0" t="n">
        <f aca="false">D4809*E4809</f>
        <v>0.25</v>
      </c>
      <c r="L4809" s="0" t="n">
        <f aca="false">D4809*F4809</f>
        <v>0.25</v>
      </c>
      <c r="M4809" s="0" t="n">
        <f aca="false">E4809*F4809</f>
        <v>0.0625</v>
      </c>
      <c r="N4809" s="0" t="n">
        <f aca="false">D4809*D4809</f>
        <v>1</v>
      </c>
      <c r="O4809" s="0" t="n">
        <f aca="false">E4809*E4809</f>
        <v>0.0625</v>
      </c>
      <c r="P4809" s="0" t="n">
        <f aca="false">F4809*F4809</f>
        <v>0.0625</v>
      </c>
      <c r="Q4809" s="0" t="n">
        <f aca="false">SUMPRODUCT(G4809:P4809,_XtX!$B$71:$K$71)</f>
        <v>49.4827272727273</v>
      </c>
      <c r="R4809" s="0" t="n">
        <f aca="false">SUMPRODUCT(MMULT(G4809:P4809,_XtX!$B$58:$K$67),G4809:P4809)</f>
        <v>0.475843394886364</v>
      </c>
      <c r="S4809" s="0" t="n">
        <f aca="false">04_回帰ANOVA!$K$19*04_回帰ANOVA!$K$14*SQRT(1+R4809)</f>
        <v>1.12950140123694</v>
      </c>
      <c r="T4809" s="0" t="n">
        <f aca="false">Q4809-S4809</f>
        <v>48.3532258714903</v>
      </c>
      <c r="U4809" s="0" t="n">
        <f aca="false">Q4809+S4809</f>
        <v>50.6122286739642</v>
      </c>
      <c r="V4809" s="54" t="b">
        <f aca="false">AND(D4809&gt;=01_因子設定!$L$5-0.000000001,D4809&lt;=01_因子設定!$M$5+0.000000001,E4809&gt;=01_因子設定!$L$6-0.000000001,E4809&lt;=01_因子設定!$M$6+0.000000001,F4809&gt;=01_因子設定!$L$7-0.000000001,F4809&lt;=01_因子設定!$M$7+0.000000001,IF(01_因子設定!$B$20="Box-Behnken",D4809^2+E4809^2+F4809^2&lt;=2+0.000000001,TRUE()))</f>
        <v>1</v>
      </c>
      <c r="W4809" s="55" t="n">
        <f aca="false">IF(V4809,IF(01_因子設定!$B$13="最大化",T4809-01_因子設定!$B$14,IF(01_因子設定!$B$13="最小化",01_因子設定!$B$15-U4809,MIN(T4809-01_因子設定!$B$14,01_因子設定!$B$15-U4809))),-1E+030)</f>
        <v>-0.146774128509676</v>
      </c>
      <c r="X4809" s="55" t="n">
        <f aca="false">IF(V4809,IF(01_因子設定!$B$13="最大化",Q4809,IF(01_因子設定!$B$13="最小化",-Q4809,-ABS(Q4809-01_因子設定!$B$16))),-1E+030)</f>
        <v>49.4827272727273</v>
      </c>
      <c r="Y4809" s="55" t="n">
        <f aca="false">W4809+ROW()*0.000000001</f>
        <v>-0.146769319509676</v>
      </c>
      <c r="Z4809" s="55" t="n">
        <f aca="false">X4809+ROW()*0.000000001</f>
        <v>49.4827320817273</v>
      </c>
    </row>
    <row r="4810" customFormat="false" ht="15" hidden="false" customHeight="false" outlineLevel="0" collapsed="false">
      <c r="A4810" s="0" t="n">
        <v>16</v>
      </c>
      <c r="B4810" s="0" t="n">
        <v>10</v>
      </c>
      <c r="C4810" s="0" t="n">
        <v>11</v>
      </c>
      <c r="D4810" s="0" t="n">
        <f aca="false">-1+A4810*0.125</f>
        <v>1</v>
      </c>
      <c r="E4810" s="0" t="n">
        <f aca="false">-1+B4810*0.125</f>
        <v>0.25</v>
      </c>
      <c r="F4810" s="0" t="n">
        <f aca="false">-1+C4810*0.125</f>
        <v>0.375</v>
      </c>
      <c r="G4810" s="0" t="n">
        <f aca="false">1</f>
        <v>1</v>
      </c>
      <c r="H4810" s="0" t="n">
        <f aca="false">D4810</f>
        <v>1</v>
      </c>
      <c r="I4810" s="0" t="n">
        <f aca="false">E4810</f>
        <v>0.25</v>
      </c>
      <c r="J4810" s="0" t="n">
        <f aca="false">F4810</f>
        <v>0.375</v>
      </c>
      <c r="K4810" s="0" t="n">
        <f aca="false">D4810*E4810</f>
        <v>0.25</v>
      </c>
      <c r="L4810" s="0" t="n">
        <f aca="false">D4810*F4810</f>
        <v>0.375</v>
      </c>
      <c r="M4810" s="0" t="n">
        <f aca="false">E4810*F4810</f>
        <v>0.09375</v>
      </c>
      <c r="N4810" s="0" t="n">
        <f aca="false">D4810*D4810</f>
        <v>1</v>
      </c>
      <c r="O4810" s="0" t="n">
        <f aca="false">E4810*E4810</f>
        <v>0.0625</v>
      </c>
      <c r="P4810" s="0" t="n">
        <f aca="false">F4810*F4810</f>
        <v>0.140625</v>
      </c>
      <c r="Q4810" s="0" t="n">
        <f aca="false">SUMPRODUCT(G4810:P4810,_XtX!$B$71:$K$71)</f>
        <v>49.5585653409091</v>
      </c>
      <c r="R4810" s="0" t="n">
        <f aca="false">SUMPRODUCT(MMULT(G4810:P4810,_XtX!$B$58:$K$67),G4810:P4810)</f>
        <v>0.470061700994318</v>
      </c>
      <c r="S4810" s="0" t="n">
        <f aca="false">04_回帰ANOVA!$K$19*04_回帰ANOVA!$K$14*SQRT(1+R4810)</f>
        <v>1.12728678965931</v>
      </c>
      <c r="T4810" s="0" t="n">
        <f aca="false">Q4810-S4810</f>
        <v>48.4312785512498</v>
      </c>
      <c r="U4810" s="0" t="n">
        <f aca="false">Q4810+S4810</f>
        <v>50.6858521305684</v>
      </c>
      <c r="V4810" s="54" t="b">
        <f aca="false">AND(D4810&gt;=01_因子設定!$L$5-0.000000001,D4810&lt;=01_因子設定!$M$5+0.000000001,E4810&gt;=01_因子設定!$L$6-0.000000001,E4810&lt;=01_因子設定!$M$6+0.000000001,F4810&gt;=01_因子設定!$L$7-0.000000001,F4810&lt;=01_因子設定!$M$7+0.000000001,IF(01_因子設定!$B$20="Box-Behnken",D4810^2+E4810^2+F4810^2&lt;=2+0.000000001,TRUE()))</f>
        <v>1</v>
      </c>
      <c r="W4810" s="55" t="n">
        <f aca="false">IF(V4810,IF(01_因子設定!$B$13="最大化",T4810-01_因子設定!$B$14,IF(01_因子設定!$B$13="最小化",01_因子設定!$B$15-U4810,MIN(T4810-01_因子設定!$B$14,01_因子設定!$B$15-U4810))),-1E+030)</f>
        <v>-0.0687214487502246</v>
      </c>
      <c r="X4810" s="55" t="n">
        <f aca="false">IF(V4810,IF(01_因子設定!$B$13="最大化",Q4810,IF(01_因子設定!$B$13="最小化",-Q4810,-ABS(Q4810-01_因子設定!$B$16))),-1E+030)</f>
        <v>49.5585653409091</v>
      </c>
      <c r="Y4810" s="55" t="n">
        <f aca="false">W4810+ROW()*0.000000001</f>
        <v>-0.0687166387502246</v>
      </c>
      <c r="Z4810" s="55" t="n">
        <f aca="false">X4810+ROW()*0.000000001</f>
        <v>49.5585701509091</v>
      </c>
    </row>
    <row r="4811" customFormat="false" ht="15" hidden="false" customHeight="false" outlineLevel="0" collapsed="false">
      <c r="A4811" s="0" t="n">
        <v>16</v>
      </c>
      <c r="B4811" s="0" t="n">
        <v>10</v>
      </c>
      <c r="C4811" s="0" t="n">
        <v>12</v>
      </c>
      <c r="D4811" s="0" t="n">
        <f aca="false">-1+A4811*0.125</f>
        <v>1</v>
      </c>
      <c r="E4811" s="0" t="n">
        <f aca="false">-1+B4811*0.125</f>
        <v>0.25</v>
      </c>
      <c r="F4811" s="0" t="n">
        <f aca="false">-1+C4811*0.125</f>
        <v>0.5</v>
      </c>
      <c r="G4811" s="0" t="n">
        <f aca="false">1</f>
        <v>1</v>
      </c>
      <c r="H4811" s="0" t="n">
        <f aca="false">D4811</f>
        <v>1</v>
      </c>
      <c r="I4811" s="0" t="n">
        <f aca="false">E4811</f>
        <v>0.25</v>
      </c>
      <c r="J4811" s="0" t="n">
        <f aca="false">F4811</f>
        <v>0.5</v>
      </c>
      <c r="K4811" s="0" t="n">
        <f aca="false">D4811*E4811</f>
        <v>0.25</v>
      </c>
      <c r="L4811" s="0" t="n">
        <f aca="false">D4811*F4811</f>
        <v>0.5</v>
      </c>
      <c r="M4811" s="0" t="n">
        <f aca="false">E4811*F4811</f>
        <v>0.125</v>
      </c>
      <c r="N4811" s="0" t="n">
        <f aca="false">D4811*D4811</f>
        <v>1</v>
      </c>
      <c r="O4811" s="0" t="n">
        <f aca="false">E4811*E4811</f>
        <v>0.0625</v>
      </c>
      <c r="P4811" s="0" t="n">
        <f aca="false">F4811*F4811</f>
        <v>0.25</v>
      </c>
      <c r="Q4811" s="0" t="n">
        <f aca="false">SUMPRODUCT(G4811:P4811,_XtX!$B$71:$K$71)</f>
        <v>49.5976136363636</v>
      </c>
      <c r="R4811" s="0" t="n">
        <f aca="false">SUMPRODUCT(MMULT(G4811:P4811,_XtX!$B$58:$K$67),G4811:P4811)</f>
        <v>0.469424715909091</v>
      </c>
      <c r="S4811" s="0" t="n">
        <f aca="false">04_回帰ANOVA!$K$19*04_回帰ANOVA!$K$14*SQRT(1+R4811)</f>
        <v>1.12704253369596</v>
      </c>
      <c r="T4811" s="0" t="n">
        <f aca="false">Q4811-S4811</f>
        <v>48.4705711026677</v>
      </c>
      <c r="U4811" s="0" t="n">
        <f aca="false">Q4811+S4811</f>
        <v>50.7246561700596</v>
      </c>
      <c r="V4811" s="54" t="b">
        <f aca="false">AND(D4811&gt;=01_因子設定!$L$5-0.000000001,D4811&lt;=01_因子設定!$M$5+0.000000001,E4811&gt;=01_因子設定!$L$6-0.000000001,E4811&lt;=01_因子設定!$M$6+0.000000001,F4811&gt;=01_因子設定!$L$7-0.000000001,F4811&lt;=01_因子設定!$M$7+0.000000001,IF(01_因子設定!$B$20="Box-Behnken",D4811^2+E4811^2+F4811^2&lt;=2+0.000000001,TRUE()))</f>
        <v>1</v>
      </c>
      <c r="W4811" s="55" t="n">
        <f aca="false">IF(V4811,IF(01_因子設定!$B$13="最大化",T4811-01_因子設定!$B$14,IF(01_因子設定!$B$13="最小化",01_因子設定!$B$15-U4811,MIN(T4811-01_因子設定!$B$14,01_因子設定!$B$15-U4811))),-1E+030)</f>
        <v>-0.0294288973323233</v>
      </c>
      <c r="X4811" s="55" t="n">
        <f aca="false">IF(V4811,IF(01_因子設定!$B$13="最大化",Q4811,IF(01_因子設定!$B$13="最小化",-Q4811,-ABS(Q4811-01_因子設定!$B$16))),-1E+030)</f>
        <v>49.5976136363636</v>
      </c>
      <c r="Y4811" s="55" t="n">
        <f aca="false">W4811+ROW()*0.000000001</f>
        <v>-0.0294240863323233</v>
      </c>
      <c r="Z4811" s="55" t="n">
        <f aca="false">X4811+ROW()*0.000000001</f>
        <v>49.5976184473636</v>
      </c>
    </row>
    <row r="4812" customFormat="false" ht="15" hidden="false" customHeight="false" outlineLevel="0" collapsed="false">
      <c r="A4812" s="0" t="n">
        <v>16</v>
      </c>
      <c r="B4812" s="0" t="n">
        <v>10</v>
      </c>
      <c r="C4812" s="0" t="n">
        <v>13</v>
      </c>
      <c r="D4812" s="0" t="n">
        <f aca="false">-1+A4812*0.125</f>
        <v>1</v>
      </c>
      <c r="E4812" s="0" t="n">
        <f aca="false">-1+B4812*0.125</f>
        <v>0.25</v>
      </c>
      <c r="F4812" s="0" t="n">
        <f aca="false">-1+C4812*0.125</f>
        <v>0.625</v>
      </c>
      <c r="G4812" s="0" t="n">
        <f aca="false">1</f>
        <v>1</v>
      </c>
      <c r="H4812" s="0" t="n">
        <f aca="false">D4812</f>
        <v>1</v>
      </c>
      <c r="I4812" s="0" t="n">
        <f aca="false">E4812</f>
        <v>0.25</v>
      </c>
      <c r="J4812" s="0" t="n">
        <f aca="false">F4812</f>
        <v>0.625</v>
      </c>
      <c r="K4812" s="0" t="n">
        <f aca="false">D4812*E4812</f>
        <v>0.25</v>
      </c>
      <c r="L4812" s="0" t="n">
        <f aca="false">D4812*F4812</f>
        <v>0.625</v>
      </c>
      <c r="M4812" s="0" t="n">
        <f aca="false">E4812*F4812</f>
        <v>0.15625</v>
      </c>
      <c r="N4812" s="0" t="n">
        <f aca="false">D4812*D4812</f>
        <v>1</v>
      </c>
      <c r="O4812" s="0" t="n">
        <f aca="false">E4812*E4812</f>
        <v>0.0625</v>
      </c>
      <c r="P4812" s="0" t="n">
        <f aca="false">F4812*F4812</f>
        <v>0.390625</v>
      </c>
      <c r="Q4812" s="0" t="n">
        <f aca="false">SUMPRODUCT(G4812:P4812,_XtX!$B$71:$K$71)</f>
        <v>49.5998721590909</v>
      </c>
      <c r="R4812" s="0" t="n">
        <f aca="false">SUMPRODUCT(MMULT(G4812:P4812,_XtX!$B$58:$K$67),G4812:P4812)</f>
        <v>0.481389825994318</v>
      </c>
      <c r="S4812" s="0" t="n">
        <f aca="false">04_回帰ANOVA!$K$19*04_回帰ANOVA!$K$14*SQRT(1+R4812)</f>
        <v>1.13162182500693</v>
      </c>
      <c r="T4812" s="0" t="n">
        <f aca="false">Q4812-S4812</f>
        <v>48.468250334084</v>
      </c>
      <c r="U4812" s="0" t="n">
        <f aca="false">Q4812+S4812</f>
        <v>50.7314939840978</v>
      </c>
      <c r="V4812" s="54" t="b">
        <f aca="false">AND(D4812&gt;=01_因子設定!$L$5-0.000000001,D4812&lt;=01_因子設定!$M$5+0.000000001,E4812&gt;=01_因子設定!$L$6-0.000000001,E4812&lt;=01_因子設定!$M$6+0.000000001,F4812&gt;=01_因子設定!$L$7-0.000000001,F4812&lt;=01_因子設定!$M$7+0.000000001,IF(01_因子設定!$B$20="Box-Behnken",D4812^2+E4812^2+F4812^2&lt;=2+0.000000001,TRUE()))</f>
        <v>1</v>
      </c>
      <c r="W4812" s="55" t="n">
        <f aca="false">IF(V4812,IF(01_因子設定!$B$13="最大化",T4812-01_因子設定!$B$14,IF(01_因子設定!$B$13="最小化",01_因子設定!$B$15-U4812,MIN(T4812-01_因子設定!$B$14,01_因子設定!$B$15-U4812))),-1E+030)</f>
        <v>-0.031749665916017</v>
      </c>
      <c r="X4812" s="55" t="n">
        <f aca="false">IF(V4812,IF(01_因子設定!$B$13="最大化",Q4812,IF(01_因子設定!$B$13="最小化",-Q4812,-ABS(Q4812-01_因子設定!$B$16))),-1E+030)</f>
        <v>49.5998721590909</v>
      </c>
      <c r="Y4812" s="55" t="n">
        <f aca="false">W4812+ROW()*0.000000001</f>
        <v>-0.031744853916017</v>
      </c>
      <c r="Z4812" s="55" t="n">
        <f aca="false">X4812+ROW()*0.000000001</f>
        <v>49.5998769710909</v>
      </c>
    </row>
    <row r="4813" customFormat="false" ht="15" hidden="false" customHeight="false" outlineLevel="0" collapsed="false">
      <c r="A4813" s="0" t="n">
        <v>16</v>
      </c>
      <c r="B4813" s="0" t="n">
        <v>10</v>
      </c>
      <c r="C4813" s="0" t="n">
        <v>14</v>
      </c>
      <c r="D4813" s="0" t="n">
        <f aca="false">-1+A4813*0.125</f>
        <v>1</v>
      </c>
      <c r="E4813" s="0" t="n">
        <f aca="false">-1+B4813*0.125</f>
        <v>0.25</v>
      </c>
      <c r="F4813" s="0" t="n">
        <f aca="false">-1+C4813*0.125</f>
        <v>0.75</v>
      </c>
      <c r="G4813" s="0" t="n">
        <f aca="false">1</f>
        <v>1</v>
      </c>
      <c r="H4813" s="0" t="n">
        <f aca="false">D4813</f>
        <v>1</v>
      </c>
      <c r="I4813" s="0" t="n">
        <f aca="false">E4813</f>
        <v>0.25</v>
      </c>
      <c r="J4813" s="0" t="n">
        <f aca="false">F4813</f>
        <v>0.75</v>
      </c>
      <c r="K4813" s="0" t="n">
        <f aca="false">D4813*E4813</f>
        <v>0.25</v>
      </c>
      <c r="L4813" s="0" t="n">
        <f aca="false">D4813*F4813</f>
        <v>0.75</v>
      </c>
      <c r="M4813" s="0" t="n">
        <f aca="false">E4813*F4813</f>
        <v>0.1875</v>
      </c>
      <c r="N4813" s="0" t="n">
        <f aca="false">D4813*D4813</f>
        <v>1</v>
      </c>
      <c r="O4813" s="0" t="n">
        <f aca="false">E4813*E4813</f>
        <v>0.0625</v>
      </c>
      <c r="P4813" s="0" t="n">
        <f aca="false">F4813*F4813</f>
        <v>0.5625</v>
      </c>
      <c r="Q4813" s="0" t="n">
        <f aca="false">SUMPRODUCT(G4813:P4813,_XtX!$B$71:$K$71)</f>
        <v>49.5653409090909</v>
      </c>
      <c r="R4813" s="0" t="n">
        <f aca="false">SUMPRODUCT(MMULT(G4813:P4813,_XtX!$B$58:$K$67),G4813:P4813)</f>
        <v>0.515545099431818</v>
      </c>
      <c r="S4813" s="0" t="n">
        <f aca="false">04_回帰ANOVA!$K$19*04_回帰ANOVA!$K$14*SQRT(1+R4813)</f>
        <v>1.14459295464101</v>
      </c>
      <c r="T4813" s="0" t="n">
        <f aca="false">Q4813-S4813</f>
        <v>48.4207479544499</v>
      </c>
      <c r="U4813" s="0" t="n">
        <f aca="false">Q4813+S4813</f>
        <v>50.7099338637319</v>
      </c>
      <c r="V4813" s="54" t="b">
        <f aca="false">AND(D4813&gt;=01_因子設定!$L$5-0.000000001,D4813&lt;=01_因子設定!$M$5+0.000000001,E4813&gt;=01_因子設定!$L$6-0.000000001,E4813&lt;=01_因子設定!$M$6+0.000000001,F4813&gt;=01_因子設定!$L$7-0.000000001,F4813&lt;=01_因子設定!$M$7+0.000000001,IF(01_因子設定!$B$20="Box-Behnken",D4813^2+E4813^2+F4813^2&lt;=2+0.000000001,TRUE()))</f>
        <v>1</v>
      </c>
      <c r="W4813" s="55" t="n">
        <f aca="false">IF(V4813,IF(01_因子設定!$B$13="最大化",T4813-01_因子設定!$B$14,IF(01_因子設定!$B$13="最小化",01_因子設定!$B$15-U4813,MIN(T4813-01_因子設定!$B$14,01_因子設定!$B$15-U4813))),-1E+030)</f>
        <v>-0.0792520455501062</v>
      </c>
      <c r="X4813" s="55" t="n">
        <f aca="false">IF(V4813,IF(01_因子設定!$B$13="最大化",Q4813,IF(01_因子設定!$B$13="最小化",-Q4813,-ABS(Q4813-01_因子設定!$B$16))),-1E+030)</f>
        <v>49.5653409090909</v>
      </c>
      <c r="Y4813" s="55" t="n">
        <f aca="false">W4813+ROW()*0.000000001</f>
        <v>-0.0792472325501062</v>
      </c>
      <c r="Z4813" s="55" t="n">
        <f aca="false">X4813+ROW()*0.000000001</f>
        <v>49.5653457220909</v>
      </c>
    </row>
    <row r="4814" customFormat="false" ht="15" hidden="false" customHeight="false" outlineLevel="0" collapsed="false">
      <c r="A4814" s="0" t="n">
        <v>16</v>
      </c>
      <c r="B4814" s="0" t="n">
        <v>10</v>
      </c>
      <c r="C4814" s="0" t="n">
        <v>15</v>
      </c>
      <c r="D4814" s="0" t="n">
        <f aca="false">-1+A4814*0.125</f>
        <v>1</v>
      </c>
      <c r="E4814" s="0" t="n">
        <f aca="false">-1+B4814*0.125</f>
        <v>0.25</v>
      </c>
      <c r="F4814" s="0" t="n">
        <f aca="false">-1+C4814*0.125</f>
        <v>0.875</v>
      </c>
      <c r="G4814" s="0" t="n">
        <f aca="false">1</f>
        <v>1</v>
      </c>
      <c r="H4814" s="0" t="n">
        <f aca="false">D4814</f>
        <v>1</v>
      </c>
      <c r="I4814" s="0" t="n">
        <f aca="false">E4814</f>
        <v>0.25</v>
      </c>
      <c r="J4814" s="0" t="n">
        <f aca="false">F4814</f>
        <v>0.875</v>
      </c>
      <c r="K4814" s="0" t="n">
        <f aca="false">D4814*E4814</f>
        <v>0.25</v>
      </c>
      <c r="L4814" s="0" t="n">
        <f aca="false">D4814*F4814</f>
        <v>0.875</v>
      </c>
      <c r="M4814" s="0" t="n">
        <f aca="false">E4814*F4814</f>
        <v>0.21875</v>
      </c>
      <c r="N4814" s="0" t="n">
        <f aca="false">D4814*D4814</f>
        <v>1</v>
      </c>
      <c r="O4814" s="0" t="n">
        <f aca="false">E4814*E4814</f>
        <v>0.0625</v>
      </c>
      <c r="P4814" s="0" t="n">
        <f aca="false">F4814*F4814</f>
        <v>0.765625</v>
      </c>
      <c r="Q4814" s="0" t="n">
        <f aca="false">SUMPRODUCT(G4814:P4814,_XtX!$B$71:$K$71)</f>
        <v>49.4940198863636</v>
      </c>
      <c r="R4814" s="0" t="n">
        <f aca="false">SUMPRODUCT(MMULT(G4814:P4814,_XtX!$B$58:$K$67),G4814:P4814)</f>
        <v>0.583609286221591</v>
      </c>
      <c r="S4814" s="0" t="n">
        <f aca="false">04_回帰ANOVA!$K$19*04_回帰ANOVA!$K$14*SQRT(1+R4814)</f>
        <v>1.1700129157584</v>
      </c>
      <c r="T4814" s="0" t="n">
        <f aca="false">Q4814-S4814</f>
        <v>48.3240069706053</v>
      </c>
      <c r="U4814" s="0" t="n">
        <f aca="false">Q4814+S4814</f>
        <v>50.664032802122</v>
      </c>
      <c r="V4814" s="54" t="b">
        <f aca="false">AND(D4814&gt;=01_因子設定!$L$5-0.000000001,D4814&lt;=01_因子設定!$M$5+0.000000001,E4814&gt;=01_因子設定!$L$6-0.000000001,E4814&lt;=01_因子設定!$M$6+0.000000001,F4814&gt;=01_因子設定!$L$7-0.000000001,F4814&lt;=01_因子設定!$M$7+0.000000001,IF(01_因子設定!$B$20="Box-Behnken",D4814^2+E4814^2+F4814^2&lt;=2+0.000000001,TRUE()))</f>
        <v>1</v>
      </c>
      <c r="W4814" s="55" t="n">
        <f aca="false">IF(V4814,IF(01_因子設定!$B$13="最大化",T4814-01_因子設定!$B$14,IF(01_因子設定!$B$13="最小化",01_因子設定!$B$15-U4814,MIN(T4814-01_因子設定!$B$14,01_因子設定!$B$15-U4814))),-1E+030)</f>
        <v>-0.175993029394753</v>
      </c>
      <c r="X4814" s="55" t="n">
        <f aca="false">IF(V4814,IF(01_因子設定!$B$13="最大化",Q4814,IF(01_因子設定!$B$13="最小化",-Q4814,-ABS(Q4814-01_因子設定!$B$16))),-1E+030)</f>
        <v>49.4940198863636</v>
      </c>
      <c r="Y4814" s="55" t="n">
        <f aca="false">W4814+ROW()*0.000000001</f>
        <v>-0.175988215394753</v>
      </c>
      <c r="Z4814" s="55" t="n">
        <f aca="false">X4814+ROW()*0.000000001</f>
        <v>49.4940247003636</v>
      </c>
    </row>
    <row r="4815" customFormat="false" ht="15" hidden="false" customHeight="false" outlineLevel="0" collapsed="false">
      <c r="A4815" s="0" t="n">
        <v>16</v>
      </c>
      <c r="B4815" s="0" t="n">
        <v>10</v>
      </c>
      <c r="C4815" s="0" t="n">
        <v>16</v>
      </c>
      <c r="D4815" s="0" t="n">
        <f aca="false">-1+A4815*0.125</f>
        <v>1</v>
      </c>
      <c r="E4815" s="0" t="n">
        <f aca="false">-1+B4815*0.125</f>
        <v>0.25</v>
      </c>
      <c r="F4815" s="0" t="n">
        <f aca="false">-1+C4815*0.125</f>
        <v>1</v>
      </c>
      <c r="G4815" s="0" t="n">
        <f aca="false">1</f>
        <v>1</v>
      </c>
      <c r="H4815" s="0" t="n">
        <f aca="false">D4815</f>
        <v>1</v>
      </c>
      <c r="I4815" s="0" t="n">
        <f aca="false">E4815</f>
        <v>0.25</v>
      </c>
      <c r="J4815" s="0" t="n">
        <f aca="false">F4815</f>
        <v>1</v>
      </c>
      <c r="K4815" s="0" t="n">
        <f aca="false">D4815*E4815</f>
        <v>0.25</v>
      </c>
      <c r="L4815" s="0" t="n">
        <f aca="false">D4815*F4815</f>
        <v>1</v>
      </c>
      <c r="M4815" s="0" t="n">
        <f aca="false">E4815*F4815</f>
        <v>0.25</v>
      </c>
      <c r="N4815" s="0" t="n">
        <f aca="false">D4815*D4815</f>
        <v>1</v>
      </c>
      <c r="O4815" s="0" t="n">
        <f aca="false">E4815*E4815</f>
        <v>0.0625</v>
      </c>
      <c r="P4815" s="0" t="n">
        <f aca="false">F4815*F4815</f>
        <v>1</v>
      </c>
      <c r="Q4815" s="0" t="n">
        <f aca="false">SUMPRODUCT(G4815:P4815,_XtX!$B$71:$K$71)</f>
        <v>49.3859090909091</v>
      </c>
      <c r="R4815" s="0" t="n">
        <f aca="false">SUMPRODUCT(MMULT(G4815:P4815,_XtX!$B$58:$K$67),G4815:P4815)</f>
        <v>0.699431818181818</v>
      </c>
      <c r="S4815" s="0" t="n">
        <f aca="false">04_回帰ANOVA!$K$19*04_回帰ANOVA!$K$14*SQRT(1+R4815)</f>
        <v>1.21204434231192</v>
      </c>
      <c r="T4815" s="0" t="n">
        <f aca="false">Q4815-S4815</f>
        <v>48.1738647485972</v>
      </c>
      <c r="U4815" s="0" t="n">
        <f aca="false">Q4815+S4815</f>
        <v>50.597953433221</v>
      </c>
      <c r="V4815" s="54" t="b">
        <f aca="false">AND(D4815&gt;=01_因子設定!$L$5-0.000000001,D4815&lt;=01_因子設定!$M$5+0.000000001,E4815&gt;=01_因子設定!$L$6-0.000000001,E4815&lt;=01_因子設定!$M$6+0.000000001,F4815&gt;=01_因子設定!$L$7-0.000000001,F4815&lt;=01_因子設定!$M$7+0.000000001,IF(01_因子設定!$B$20="Box-Behnken",D4815^2+E4815^2+F4815^2&lt;=2+0.000000001,TRUE()))</f>
        <v>1</v>
      </c>
      <c r="W4815" s="55" t="n">
        <f aca="false">IF(V4815,IF(01_因子設定!$B$13="最大化",T4815-01_因子設定!$B$14,IF(01_因子設定!$B$13="最小化",01_因子設定!$B$15-U4815,MIN(T4815-01_因子設定!$B$14,01_因子設定!$B$15-U4815))),-1E+030)</f>
        <v>-0.326135251402818</v>
      </c>
      <c r="X4815" s="55" t="n">
        <f aca="false">IF(V4815,IF(01_因子設定!$B$13="最大化",Q4815,IF(01_因子設定!$B$13="最小化",-Q4815,-ABS(Q4815-01_因子設定!$B$16))),-1E+030)</f>
        <v>49.3859090909091</v>
      </c>
      <c r="Y4815" s="55" t="n">
        <f aca="false">W4815+ROW()*0.000000001</f>
        <v>-0.326130436402818</v>
      </c>
      <c r="Z4815" s="55" t="n">
        <f aca="false">X4815+ROW()*0.000000001</f>
        <v>49.3859139059091</v>
      </c>
    </row>
    <row r="4816" customFormat="false" ht="15" hidden="false" customHeight="false" outlineLevel="0" collapsed="false">
      <c r="A4816" s="0" t="n">
        <v>16</v>
      </c>
      <c r="B4816" s="0" t="n">
        <v>11</v>
      </c>
      <c r="C4816" s="0" t="n">
        <v>0</v>
      </c>
      <c r="D4816" s="0" t="n">
        <f aca="false">-1+A4816*0.125</f>
        <v>1</v>
      </c>
      <c r="E4816" s="0" t="n">
        <f aca="false">-1+B4816*0.125</f>
        <v>0.375</v>
      </c>
      <c r="F4816" s="0" t="n">
        <f aca="false">-1+C4816*0.125</f>
        <v>-1</v>
      </c>
      <c r="G4816" s="0" t="n">
        <f aca="false">1</f>
        <v>1</v>
      </c>
      <c r="H4816" s="0" t="n">
        <f aca="false">D4816</f>
        <v>1</v>
      </c>
      <c r="I4816" s="0" t="n">
        <f aca="false">E4816</f>
        <v>0.375</v>
      </c>
      <c r="J4816" s="0" t="n">
        <f aca="false">F4816</f>
        <v>-1</v>
      </c>
      <c r="K4816" s="0" t="n">
        <f aca="false">D4816*E4816</f>
        <v>0.375</v>
      </c>
      <c r="L4816" s="0" t="n">
        <f aca="false">D4816*F4816</f>
        <v>-1</v>
      </c>
      <c r="M4816" s="0" t="n">
        <f aca="false">E4816*F4816</f>
        <v>-0.375</v>
      </c>
      <c r="N4816" s="0" t="n">
        <f aca="false">D4816*D4816</f>
        <v>1</v>
      </c>
      <c r="O4816" s="0" t="n">
        <f aca="false">E4816*E4816</f>
        <v>0.140625</v>
      </c>
      <c r="P4816" s="0" t="n">
        <f aca="false">F4816*F4816</f>
        <v>1</v>
      </c>
      <c r="Q4816" s="0" t="n">
        <f aca="false">SUMPRODUCT(G4816:P4816,_XtX!$B$71:$K$71)</f>
        <v>46.8981534090909</v>
      </c>
      <c r="R4816" s="0" t="n">
        <f aca="false">SUMPRODUCT(MMULT(G4816:P4816,_XtX!$B$58:$K$67),G4816:P4816)</f>
        <v>0.682830255681818</v>
      </c>
      <c r="S4816" s="0" t="n">
        <f aca="false">04_回帰ANOVA!$K$19*04_回帰ANOVA!$K$14*SQRT(1+R4816)</f>
        <v>1.20610964896955</v>
      </c>
      <c r="T4816" s="0" t="n">
        <f aca="false">Q4816-S4816</f>
        <v>45.6920437601214</v>
      </c>
      <c r="U4816" s="0" t="n">
        <f aca="false">Q4816+S4816</f>
        <v>48.1042630580605</v>
      </c>
      <c r="V4816" s="54" t="b">
        <f aca="false">AND(D4816&gt;=01_因子設定!$L$5-0.000000001,D4816&lt;=01_因子設定!$M$5+0.000000001,E4816&gt;=01_因子設定!$L$6-0.000000001,E4816&lt;=01_因子設定!$M$6+0.000000001,F4816&gt;=01_因子設定!$L$7-0.000000001,F4816&lt;=01_因子設定!$M$7+0.000000001,IF(01_因子設定!$B$20="Box-Behnken",D4816^2+E4816^2+F4816^2&lt;=2+0.000000001,TRUE()))</f>
        <v>1</v>
      </c>
      <c r="W4816" s="55" t="n">
        <f aca="false">IF(V4816,IF(01_因子設定!$B$13="最大化",T4816-01_因子設定!$B$14,IF(01_因子設定!$B$13="最小化",01_因子設定!$B$15-U4816,MIN(T4816-01_因子設定!$B$14,01_因子設定!$B$15-U4816))),-1E+030)</f>
        <v>-2.80795623987863</v>
      </c>
      <c r="X4816" s="55" t="n">
        <f aca="false">IF(V4816,IF(01_因子設定!$B$13="最大化",Q4816,IF(01_因子設定!$B$13="最小化",-Q4816,-ABS(Q4816-01_因子設定!$B$16))),-1E+030)</f>
        <v>46.8981534090909</v>
      </c>
      <c r="Y4816" s="55" t="n">
        <f aca="false">W4816+ROW()*0.000000001</f>
        <v>-2.80795142387863</v>
      </c>
      <c r="Z4816" s="55" t="n">
        <f aca="false">X4816+ROW()*0.000000001</f>
        <v>46.8981582250909</v>
      </c>
    </row>
    <row r="4817" customFormat="false" ht="15" hidden="false" customHeight="false" outlineLevel="0" collapsed="false">
      <c r="A4817" s="0" t="n">
        <v>16</v>
      </c>
      <c r="B4817" s="0" t="n">
        <v>11</v>
      </c>
      <c r="C4817" s="0" t="n">
        <v>1</v>
      </c>
      <c r="D4817" s="0" t="n">
        <f aca="false">-1+A4817*0.125</f>
        <v>1</v>
      </c>
      <c r="E4817" s="0" t="n">
        <f aca="false">-1+B4817*0.125</f>
        <v>0.375</v>
      </c>
      <c r="F4817" s="0" t="n">
        <f aca="false">-1+C4817*0.125</f>
        <v>-0.875</v>
      </c>
      <c r="G4817" s="0" t="n">
        <f aca="false">1</f>
        <v>1</v>
      </c>
      <c r="H4817" s="0" t="n">
        <f aca="false">D4817</f>
        <v>1</v>
      </c>
      <c r="I4817" s="0" t="n">
        <f aca="false">E4817</f>
        <v>0.375</v>
      </c>
      <c r="J4817" s="0" t="n">
        <f aca="false">F4817</f>
        <v>-0.875</v>
      </c>
      <c r="K4817" s="0" t="n">
        <f aca="false">D4817*E4817</f>
        <v>0.375</v>
      </c>
      <c r="L4817" s="0" t="n">
        <f aca="false">D4817*F4817</f>
        <v>-0.875</v>
      </c>
      <c r="M4817" s="0" t="n">
        <f aca="false">E4817*F4817</f>
        <v>-0.328125</v>
      </c>
      <c r="N4817" s="0" t="n">
        <f aca="false">D4817*D4817</f>
        <v>1</v>
      </c>
      <c r="O4817" s="0" t="n">
        <f aca="false">E4817*E4817</f>
        <v>0.140625</v>
      </c>
      <c r="P4817" s="0" t="n">
        <f aca="false">F4817*F4817</f>
        <v>0.765625</v>
      </c>
      <c r="Q4817" s="0" t="n">
        <f aca="false">SUMPRODUCT(G4817:P4817,_XtX!$B$71:$K$71)</f>
        <v>47.3489204545455</v>
      </c>
      <c r="R4817" s="0" t="n">
        <f aca="false">SUMPRODUCT(MMULT(G4817:P4817,_XtX!$B$58:$K$67),G4817:P4817)</f>
        <v>0.56971269087358</v>
      </c>
      <c r="S4817" s="0" t="n">
        <f aca="false">04_回帰ANOVA!$K$19*04_回帰ANOVA!$K$14*SQRT(1+R4817)</f>
        <v>1.16486801567081</v>
      </c>
      <c r="T4817" s="0" t="n">
        <f aca="false">Q4817-S4817</f>
        <v>46.1840524388747</v>
      </c>
      <c r="U4817" s="0" t="n">
        <f aca="false">Q4817+S4817</f>
        <v>48.5137884702163</v>
      </c>
      <c r="V4817" s="54" t="b">
        <f aca="false">AND(D4817&gt;=01_因子設定!$L$5-0.000000001,D4817&lt;=01_因子設定!$M$5+0.000000001,E4817&gt;=01_因子設定!$L$6-0.000000001,E4817&lt;=01_因子設定!$M$6+0.000000001,F4817&gt;=01_因子設定!$L$7-0.000000001,F4817&lt;=01_因子設定!$M$7+0.000000001,IF(01_因子設定!$B$20="Box-Behnken",D4817^2+E4817^2+F4817^2&lt;=2+0.000000001,TRUE()))</f>
        <v>1</v>
      </c>
      <c r="W4817" s="55" t="n">
        <f aca="false">IF(V4817,IF(01_因子設定!$B$13="最大化",T4817-01_因子設定!$B$14,IF(01_因子設定!$B$13="最小化",01_因子設定!$B$15-U4817,MIN(T4817-01_因子設定!$B$14,01_因子設定!$B$15-U4817))),-1E+030)</f>
        <v>-2.31594756112535</v>
      </c>
      <c r="X4817" s="55" t="n">
        <f aca="false">IF(V4817,IF(01_因子設定!$B$13="最大化",Q4817,IF(01_因子設定!$B$13="最小化",-Q4817,-ABS(Q4817-01_因子設定!$B$16))),-1E+030)</f>
        <v>47.3489204545455</v>
      </c>
      <c r="Y4817" s="55" t="n">
        <f aca="false">W4817+ROW()*0.000000001</f>
        <v>-2.31594274412535</v>
      </c>
      <c r="Z4817" s="55" t="n">
        <f aca="false">X4817+ROW()*0.000000001</f>
        <v>47.3489252715455</v>
      </c>
    </row>
    <row r="4818" customFormat="false" ht="15" hidden="false" customHeight="false" outlineLevel="0" collapsed="false">
      <c r="A4818" s="0" t="n">
        <v>16</v>
      </c>
      <c r="B4818" s="0" t="n">
        <v>11</v>
      </c>
      <c r="C4818" s="0" t="n">
        <v>2</v>
      </c>
      <c r="D4818" s="0" t="n">
        <f aca="false">-1+A4818*0.125</f>
        <v>1</v>
      </c>
      <c r="E4818" s="0" t="n">
        <f aca="false">-1+B4818*0.125</f>
        <v>0.375</v>
      </c>
      <c r="F4818" s="0" t="n">
        <f aca="false">-1+C4818*0.125</f>
        <v>-0.75</v>
      </c>
      <c r="G4818" s="0" t="n">
        <f aca="false">1</f>
        <v>1</v>
      </c>
      <c r="H4818" s="0" t="n">
        <f aca="false">D4818</f>
        <v>1</v>
      </c>
      <c r="I4818" s="0" t="n">
        <f aca="false">E4818</f>
        <v>0.375</v>
      </c>
      <c r="J4818" s="0" t="n">
        <f aca="false">F4818</f>
        <v>-0.75</v>
      </c>
      <c r="K4818" s="0" t="n">
        <f aca="false">D4818*E4818</f>
        <v>0.375</v>
      </c>
      <c r="L4818" s="0" t="n">
        <f aca="false">D4818*F4818</f>
        <v>-0.75</v>
      </c>
      <c r="M4818" s="0" t="n">
        <f aca="false">E4818*F4818</f>
        <v>-0.28125</v>
      </c>
      <c r="N4818" s="0" t="n">
        <f aca="false">D4818*D4818</f>
        <v>1</v>
      </c>
      <c r="O4818" s="0" t="n">
        <f aca="false">E4818*E4818</f>
        <v>0.140625</v>
      </c>
      <c r="P4818" s="0" t="n">
        <f aca="false">F4818*F4818</f>
        <v>0.5625</v>
      </c>
      <c r="Q4818" s="0" t="n">
        <f aca="false">SUMPRODUCT(G4818:P4818,_XtX!$B$71:$K$71)</f>
        <v>47.7628977272727</v>
      </c>
      <c r="R4818" s="0" t="n">
        <f aca="false">SUMPRODUCT(MMULT(G4818:P4818,_XtX!$B$58:$K$67),G4818:P4818)</f>
        <v>0.503992808948864</v>
      </c>
      <c r="S4818" s="0" t="n">
        <f aca="false">04_回帰ANOVA!$K$19*04_回帰ANOVA!$K$14*SQRT(1+R4818)</f>
        <v>1.14022226176226</v>
      </c>
      <c r="T4818" s="0" t="n">
        <f aca="false">Q4818-S4818</f>
        <v>46.6226754655105</v>
      </c>
      <c r="U4818" s="0" t="n">
        <f aca="false">Q4818+S4818</f>
        <v>48.903119989035</v>
      </c>
      <c r="V4818" s="54" t="b">
        <f aca="false">AND(D4818&gt;=01_因子設定!$L$5-0.000000001,D4818&lt;=01_因子設定!$M$5+0.000000001,E4818&gt;=01_因子設定!$L$6-0.000000001,E4818&lt;=01_因子設定!$M$6+0.000000001,F4818&gt;=01_因子設定!$L$7-0.000000001,F4818&lt;=01_因子設定!$M$7+0.000000001,IF(01_因子設定!$B$20="Box-Behnken",D4818^2+E4818^2+F4818^2&lt;=2+0.000000001,TRUE()))</f>
        <v>1</v>
      </c>
      <c r="W4818" s="55" t="n">
        <f aca="false">IF(V4818,IF(01_因子設定!$B$13="最大化",T4818-01_因子設定!$B$14,IF(01_因子設定!$B$13="最小化",01_因子設定!$B$15-U4818,MIN(T4818-01_因子設定!$B$14,01_因子設定!$B$15-U4818))),-1E+030)</f>
        <v>-1.87732453448953</v>
      </c>
      <c r="X4818" s="55" t="n">
        <f aca="false">IF(V4818,IF(01_因子設定!$B$13="最大化",Q4818,IF(01_因子設定!$B$13="最小化",-Q4818,-ABS(Q4818-01_因子設定!$B$16))),-1E+030)</f>
        <v>47.7628977272727</v>
      </c>
      <c r="Y4818" s="55" t="n">
        <f aca="false">W4818+ROW()*0.000000001</f>
        <v>-1.87731971648953</v>
      </c>
      <c r="Z4818" s="55" t="n">
        <f aca="false">X4818+ROW()*0.000000001</f>
        <v>47.7629025452727</v>
      </c>
    </row>
    <row r="4819" customFormat="false" ht="15" hidden="false" customHeight="false" outlineLevel="0" collapsed="false">
      <c r="A4819" s="0" t="n">
        <v>16</v>
      </c>
      <c r="B4819" s="0" t="n">
        <v>11</v>
      </c>
      <c r="C4819" s="0" t="n">
        <v>3</v>
      </c>
      <c r="D4819" s="0" t="n">
        <f aca="false">-1+A4819*0.125</f>
        <v>1</v>
      </c>
      <c r="E4819" s="0" t="n">
        <f aca="false">-1+B4819*0.125</f>
        <v>0.375</v>
      </c>
      <c r="F4819" s="0" t="n">
        <f aca="false">-1+C4819*0.125</f>
        <v>-0.625</v>
      </c>
      <c r="G4819" s="0" t="n">
        <f aca="false">1</f>
        <v>1</v>
      </c>
      <c r="H4819" s="0" t="n">
        <f aca="false">D4819</f>
        <v>1</v>
      </c>
      <c r="I4819" s="0" t="n">
        <f aca="false">E4819</f>
        <v>0.375</v>
      </c>
      <c r="J4819" s="0" t="n">
        <f aca="false">F4819</f>
        <v>-0.625</v>
      </c>
      <c r="K4819" s="0" t="n">
        <f aca="false">D4819*E4819</f>
        <v>0.375</v>
      </c>
      <c r="L4819" s="0" t="n">
        <f aca="false">D4819*F4819</f>
        <v>-0.625</v>
      </c>
      <c r="M4819" s="0" t="n">
        <f aca="false">E4819*F4819</f>
        <v>-0.234375</v>
      </c>
      <c r="N4819" s="0" t="n">
        <f aca="false">D4819*D4819</f>
        <v>1</v>
      </c>
      <c r="O4819" s="0" t="n">
        <f aca="false">E4819*E4819</f>
        <v>0.140625</v>
      </c>
      <c r="P4819" s="0" t="n">
        <f aca="false">F4819*F4819</f>
        <v>0.390625</v>
      </c>
      <c r="Q4819" s="0" t="n">
        <f aca="false">SUMPRODUCT(G4819:P4819,_XtX!$B$71:$K$71)</f>
        <v>48.1400852272727</v>
      </c>
      <c r="R4819" s="0" t="n">
        <f aca="false">SUMPRODUCT(MMULT(G4819:P4819,_XtX!$B$58:$K$67),G4819:P4819)</f>
        <v>0.471821178089489</v>
      </c>
      <c r="S4819" s="0" t="n">
        <f aca="false">04_回帰ANOVA!$K$19*04_回帰ANOVA!$K$14*SQRT(1+R4819)</f>
        <v>1.12796119746125</v>
      </c>
      <c r="T4819" s="0" t="n">
        <f aca="false">Q4819-S4819</f>
        <v>47.0121240298115</v>
      </c>
      <c r="U4819" s="0" t="n">
        <f aca="false">Q4819+S4819</f>
        <v>49.268046424734</v>
      </c>
      <c r="V4819" s="54" t="b">
        <f aca="false">AND(D4819&gt;=01_因子設定!$L$5-0.000000001,D4819&lt;=01_因子設定!$M$5+0.000000001,E4819&gt;=01_因子設定!$L$6-0.000000001,E4819&lt;=01_因子設定!$M$6+0.000000001,F4819&gt;=01_因子設定!$L$7-0.000000001,F4819&lt;=01_因子設定!$M$7+0.000000001,IF(01_因子設定!$B$20="Box-Behnken",D4819^2+E4819^2+F4819^2&lt;=2+0.000000001,TRUE()))</f>
        <v>1</v>
      </c>
      <c r="W4819" s="55" t="n">
        <f aca="false">IF(V4819,IF(01_因子設定!$B$13="最大化",T4819-01_因子設定!$B$14,IF(01_因子設定!$B$13="最小化",01_因子設定!$B$15-U4819,MIN(T4819-01_因子設定!$B$14,01_因子設定!$B$15-U4819))),-1E+030)</f>
        <v>-1.48787597018853</v>
      </c>
      <c r="X4819" s="55" t="n">
        <f aca="false">IF(V4819,IF(01_因子設定!$B$13="最大化",Q4819,IF(01_因子設定!$B$13="最小化",-Q4819,-ABS(Q4819-01_因子設定!$B$16))),-1E+030)</f>
        <v>48.1400852272727</v>
      </c>
      <c r="Y4819" s="55" t="n">
        <f aca="false">W4819+ROW()*0.000000001</f>
        <v>-1.48787115118853</v>
      </c>
      <c r="Z4819" s="55" t="n">
        <f aca="false">X4819+ROW()*0.000000001</f>
        <v>48.1400900462727</v>
      </c>
    </row>
    <row r="4820" customFormat="false" ht="15" hidden="false" customHeight="false" outlineLevel="0" collapsed="false">
      <c r="A4820" s="0" t="n">
        <v>16</v>
      </c>
      <c r="B4820" s="0" t="n">
        <v>11</v>
      </c>
      <c r="C4820" s="0" t="n">
        <v>4</v>
      </c>
      <c r="D4820" s="0" t="n">
        <f aca="false">-1+A4820*0.125</f>
        <v>1</v>
      </c>
      <c r="E4820" s="0" t="n">
        <f aca="false">-1+B4820*0.125</f>
        <v>0.375</v>
      </c>
      <c r="F4820" s="0" t="n">
        <f aca="false">-1+C4820*0.125</f>
        <v>-0.5</v>
      </c>
      <c r="G4820" s="0" t="n">
        <f aca="false">1</f>
        <v>1</v>
      </c>
      <c r="H4820" s="0" t="n">
        <f aca="false">D4820</f>
        <v>1</v>
      </c>
      <c r="I4820" s="0" t="n">
        <f aca="false">E4820</f>
        <v>0.375</v>
      </c>
      <c r="J4820" s="0" t="n">
        <f aca="false">F4820</f>
        <v>-0.5</v>
      </c>
      <c r="K4820" s="0" t="n">
        <f aca="false">D4820*E4820</f>
        <v>0.375</v>
      </c>
      <c r="L4820" s="0" t="n">
        <f aca="false">D4820*F4820</f>
        <v>-0.5</v>
      </c>
      <c r="M4820" s="0" t="n">
        <f aca="false">E4820*F4820</f>
        <v>-0.1875</v>
      </c>
      <c r="N4820" s="0" t="n">
        <f aca="false">D4820*D4820</f>
        <v>1</v>
      </c>
      <c r="O4820" s="0" t="n">
        <f aca="false">E4820*E4820</f>
        <v>0.140625</v>
      </c>
      <c r="P4820" s="0" t="n">
        <f aca="false">F4820*F4820</f>
        <v>0.25</v>
      </c>
      <c r="Q4820" s="0" t="n">
        <f aca="false">SUMPRODUCT(G4820:P4820,_XtX!$B$71:$K$71)</f>
        <v>48.4804829545455</v>
      </c>
      <c r="R4820" s="0" t="n">
        <f aca="false">SUMPRODUCT(MMULT(G4820:P4820,_XtX!$B$58:$K$67),G4820:P4820)</f>
        <v>0.461479048295455</v>
      </c>
      <c r="S4820" s="0" t="n">
        <f aca="false">04_回帰ANOVA!$K$19*04_回帰ANOVA!$K$14*SQRT(1+R4820)</f>
        <v>1.12399125658369</v>
      </c>
      <c r="T4820" s="0" t="n">
        <f aca="false">Q4820-S4820</f>
        <v>47.3564916979618</v>
      </c>
      <c r="U4820" s="0" t="n">
        <f aca="false">Q4820+S4820</f>
        <v>49.6044742111291</v>
      </c>
      <c r="V4820" s="54" t="b">
        <f aca="false">AND(D4820&gt;=01_因子設定!$L$5-0.000000001,D4820&lt;=01_因子設定!$M$5+0.000000001,E4820&gt;=01_因子設定!$L$6-0.000000001,E4820&lt;=01_因子設定!$M$6+0.000000001,F4820&gt;=01_因子設定!$L$7-0.000000001,F4820&lt;=01_因子設定!$M$7+0.000000001,IF(01_因子設定!$B$20="Box-Behnken",D4820^2+E4820^2+F4820^2&lt;=2+0.000000001,TRUE()))</f>
        <v>1</v>
      </c>
      <c r="W4820" s="55" t="n">
        <f aca="false">IF(V4820,IF(01_因子設定!$B$13="最大化",T4820-01_因子設定!$B$14,IF(01_因子設定!$B$13="最小化",01_因子設定!$B$15-U4820,MIN(T4820-01_因子設定!$B$14,01_因子設定!$B$15-U4820))),-1E+030)</f>
        <v>-1.14350830203824</v>
      </c>
      <c r="X4820" s="55" t="n">
        <f aca="false">IF(V4820,IF(01_因子設定!$B$13="最大化",Q4820,IF(01_因子設定!$B$13="最小化",-Q4820,-ABS(Q4820-01_因子設定!$B$16))),-1E+030)</f>
        <v>48.4804829545455</v>
      </c>
      <c r="Y4820" s="55" t="n">
        <f aca="false">W4820+ROW()*0.000000001</f>
        <v>-1.14350348203824</v>
      </c>
      <c r="Z4820" s="55" t="n">
        <f aca="false">X4820+ROW()*0.000000001</f>
        <v>48.4804877745455</v>
      </c>
    </row>
    <row r="4821" customFormat="false" ht="15" hidden="false" customHeight="false" outlineLevel="0" collapsed="false">
      <c r="A4821" s="0" t="n">
        <v>16</v>
      </c>
      <c r="B4821" s="0" t="n">
        <v>11</v>
      </c>
      <c r="C4821" s="0" t="n">
        <v>5</v>
      </c>
      <c r="D4821" s="0" t="n">
        <f aca="false">-1+A4821*0.125</f>
        <v>1</v>
      </c>
      <c r="E4821" s="0" t="n">
        <f aca="false">-1+B4821*0.125</f>
        <v>0.375</v>
      </c>
      <c r="F4821" s="0" t="n">
        <f aca="false">-1+C4821*0.125</f>
        <v>-0.375</v>
      </c>
      <c r="G4821" s="0" t="n">
        <f aca="false">1</f>
        <v>1</v>
      </c>
      <c r="H4821" s="0" t="n">
        <f aca="false">D4821</f>
        <v>1</v>
      </c>
      <c r="I4821" s="0" t="n">
        <f aca="false">E4821</f>
        <v>0.375</v>
      </c>
      <c r="J4821" s="0" t="n">
        <f aca="false">F4821</f>
        <v>-0.375</v>
      </c>
      <c r="K4821" s="0" t="n">
        <f aca="false">D4821*E4821</f>
        <v>0.375</v>
      </c>
      <c r="L4821" s="0" t="n">
        <f aca="false">D4821*F4821</f>
        <v>-0.375</v>
      </c>
      <c r="M4821" s="0" t="n">
        <f aca="false">E4821*F4821</f>
        <v>-0.140625</v>
      </c>
      <c r="N4821" s="0" t="n">
        <f aca="false">D4821*D4821</f>
        <v>1</v>
      </c>
      <c r="O4821" s="0" t="n">
        <f aca="false">E4821*E4821</f>
        <v>0.140625</v>
      </c>
      <c r="P4821" s="0" t="n">
        <f aca="false">F4821*F4821</f>
        <v>0.140625</v>
      </c>
      <c r="Q4821" s="0" t="n">
        <f aca="false">SUMPRODUCT(G4821:P4821,_XtX!$B$71:$K$71)</f>
        <v>48.7840909090909</v>
      </c>
      <c r="R4821" s="0" t="n">
        <f aca="false">SUMPRODUCT(MMULT(G4821:P4821,_XtX!$B$58:$K$67),G4821:P4821)</f>
        <v>0.463378351384943</v>
      </c>
      <c r="S4821" s="0" t="n">
        <f aca="false">04_回帰ANOVA!$K$19*04_回帰ANOVA!$K$14*SQRT(1+R4821)</f>
        <v>1.12472137547772</v>
      </c>
      <c r="T4821" s="0" t="n">
        <f aca="false">Q4821-S4821</f>
        <v>47.6593695336132</v>
      </c>
      <c r="U4821" s="0" t="n">
        <f aca="false">Q4821+S4821</f>
        <v>49.9088122845686</v>
      </c>
      <c r="V4821" s="54" t="b">
        <f aca="false">AND(D4821&gt;=01_因子設定!$L$5-0.000000001,D4821&lt;=01_因子設定!$M$5+0.000000001,E4821&gt;=01_因子設定!$L$6-0.000000001,E4821&lt;=01_因子設定!$M$6+0.000000001,F4821&gt;=01_因子設定!$L$7-0.000000001,F4821&lt;=01_因子設定!$M$7+0.000000001,IF(01_因子設定!$B$20="Box-Behnken",D4821^2+E4821^2+F4821^2&lt;=2+0.000000001,TRUE()))</f>
        <v>1</v>
      </c>
      <c r="W4821" s="55" t="n">
        <f aca="false">IF(V4821,IF(01_因子設定!$B$13="最大化",T4821-01_因子設定!$B$14,IF(01_因子設定!$B$13="最小化",01_因子設定!$B$15-U4821,MIN(T4821-01_因子設定!$B$14,01_因子設定!$B$15-U4821))),-1E+030)</f>
        <v>-0.84063046638682</v>
      </c>
      <c r="X4821" s="55" t="n">
        <f aca="false">IF(V4821,IF(01_因子設定!$B$13="最大化",Q4821,IF(01_因子設定!$B$13="最小化",-Q4821,-ABS(Q4821-01_因子設定!$B$16))),-1E+030)</f>
        <v>48.7840909090909</v>
      </c>
      <c r="Y4821" s="55" t="n">
        <f aca="false">W4821+ROW()*0.000000001</f>
        <v>-0.84062564538682</v>
      </c>
      <c r="Z4821" s="55" t="n">
        <f aca="false">X4821+ROW()*0.000000001</f>
        <v>48.7840957300909</v>
      </c>
    </row>
    <row r="4822" customFormat="false" ht="15" hidden="false" customHeight="false" outlineLevel="0" collapsed="false">
      <c r="A4822" s="0" t="n">
        <v>16</v>
      </c>
      <c r="B4822" s="0" t="n">
        <v>11</v>
      </c>
      <c r="C4822" s="0" t="n">
        <v>6</v>
      </c>
      <c r="D4822" s="0" t="n">
        <f aca="false">-1+A4822*0.125</f>
        <v>1</v>
      </c>
      <c r="E4822" s="0" t="n">
        <f aca="false">-1+B4822*0.125</f>
        <v>0.375</v>
      </c>
      <c r="F4822" s="0" t="n">
        <f aca="false">-1+C4822*0.125</f>
        <v>-0.25</v>
      </c>
      <c r="G4822" s="0" t="n">
        <f aca="false">1</f>
        <v>1</v>
      </c>
      <c r="H4822" s="0" t="n">
        <f aca="false">D4822</f>
        <v>1</v>
      </c>
      <c r="I4822" s="0" t="n">
        <f aca="false">E4822</f>
        <v>0.375</v>
      </c>
      <c r="J4822" s="0" t="n">
        <f aca="false">F4822</f>
        <v>-0.25</v>
      </c>
      <c r="K4822" s="0" t="n">
        <f aca="false">D4822*E4822</f>
        <v>0.375</v>
      </c>
      <c r="L4822" s="0" t="n">
        <f aca="false">D4822*F4822</f>
        <v>-0.25</v>
      </c>
      <c r="M4822" s="0" t="n">
        <f aca="false">E4822*F4822</f>
        <v>-0.09375</v>
      </c>
      <c r="N4822" s="0" t="n">
        <f aca="false">D4822*D4822</f>
        <v>1</v>
      </c>
      <c r="O4822" s="0" t="n">
        <f aca="false">E4822*E4822</f>
        <v>0.140625</v>
      </c>
      <c r="P4822" s="0" t="n">
        <f aca="false">F4822*F4822</f>
        <v>0.0625</v>
      </c>
      <c r="Q4822" s="0" t="n">
        <f aca="false">SUMPRODUCT(G4822:P4822,_XtX!$B$71:$K$71)</f>
        <v>49.0509090909091</v>
      </c>
      <c r="R4822" s="0" t="n">
        <f aca="false">SUMPRODUCT(MMULT(G4822:P4822,_XtX!$B$58:$K$67),G4822:P4822)</f>
        <v>0.470061700994318</v>
      </c>
      <c r="S4822" s="0" t="n">
        <f aca="false">04_回帰ANOVA!$K$19*04_回帰ANOVA!$K$14*SQRT(1+R4822)</f>
        <v>1.12728678965931</v>
      </c>
      <c r="T4822" s="0" t="n">
        <f aca="false">Q4822-S4822</f>
        <v>47.9236223012498</v>
      </c>
      <c r="U4822" s="0" t="n">
        <f aca="false">Q4822+S4822</f>
        <v>50.1781958805684</v>
      </c>
      <c r="V4822" s="54" t="b">
        <f aca="false">AND(D4822&gt;=01_因子設定!$L$5-0.000000001,D4822&lt;=01_因子設定!$M$5+0.000000001,E4822&gt;=01_因子設定!$L$6-0.000000001,E4822&lt;=01_因子設定!$M$6+0.000000001,F4822&gt;=01_因子設定!$L$7-0.000000001,F4822&lt;=01_因子設定!$M$7+0.000000001,IF(01_因子設定!$B$20="Box-Behnken",D4822^2+E4822^2+F4822^2&lt;=2+0.000000001,TRUE()))</f>
        <v>1</v>
      </c>
      <c r="W4822" s="55" t="n">
        <f aca="false">IF(V4822,IF(01_因子設定!$B$13="最大化",T4822-01_因子設定!$B$14,IF(01_因子設定!$B$13="最小化",01_因子設定!$B$15-U4822,MIN(T4822-01_因子設定!$B$14,01_因子設定!$B$15-U4822))),-1E+030)</f>
        <v>-0.576377698750228</v>
      </c>
      <c r="X4822" s="55" t="n">
        <f aca="false">IF(V4822,IF(01_因子設定!$B$13="最大化",Q4822,IF(01_因子設定!$B$13="最小化",-Q4822,-ABS(Q4822-01_因子設定!$B$16))),-1E+030)</f>
        <v>49.0509090909091</v>
      </c>
      <c r="Y4822" s="55" t="n">
        <f aca="false">W4822+ROW()*0.000000001</f>
        <v>-0.576372876750228</v>
      </c>
      <c r="Z4822" s="55" t="n">
        <f aca="false">X4822+ROW()*0.000000001</f>
        <v>49.0509139129091</v>
      </c>
    </row>
    <row r="4823" customFormat="false" ht="15" hidden="false" customHeight="false" outlineLevel="0" collapsed="false">
      <c r="A4823" s="0" t="n">
        <v>16</v>
      </c>
      <c r="B4823" s="0" t="n">
        <v>11</v>
      </c>
      <c r="C4823" s="0" t="n">
        <v>7</v>
      </c>
      <c r="D4823" s="0" t="n">
        <f aca="false">-1+A4823*0.125</f>
        <v>1</v>
      </c>
      <c r="E4823" s="0" t="n">
        <f aca="false">-1+B4823*0.125</f>
        <v>0.375</v>
      </c>
      <c r="F4823" s="0" t="n">
        <f aca="false">-1+C4823*0.125</f>
        <v>-0.125</v>
      </c>
      <c r="G4823" s="0" t="n">
        <f aca="false">1</f>
        <v>1</v>
      </c>
      <c r="H4823" s="0" t="n">
        <f aca="false">D4823</f>
        <v>1</v>
      </c>
      <c r="I4823" s="0" t="n">
        <f aca="false">E4823</f>
        <v>0.375</v>
      </c>
      <c r="J4823" s="0" t="n">
        <f aca="false">F4823</f>
        <v>-0.125</v>
      </c>
      <c r="K4823" s="0" t="n">
        <f aca="false">D4823*E4823</f>
        <v>0.375</v>
      </c>
      <c r="L4823" s="0" t="n">
        <f aca="false">D4823*F4823</f>
        <v>-0.125</v>
      </c>
      <c r="M4823" s="0" t="n">
        <f aca="false">E4823*F4823</f>
        <v>-0.046875</v>
      </c>
      <c r="N4823" s="0" t="n">
        <f aca="false">D4823*D4823</f>
        <v>1</v>
      </c>
      <c r="O4823" s="0" t="n">
        <f aca="false">E4823*E4823</f>
        <v>0.140625</v>
      </c>
      <c r="P4823" s="0" t="n">
        <f aca="false">F4823*F4823</f>
        <v>0.015625</v>
      </c>
      <c r="Q4823" s="0" t="n">
        <f aca="false">SUMPRODUCT(G4823:P4823,_XtX!$B$71:$K$71)</f>
        <v>49.2809375</v>
      </c>
      <c r="R4823" s="0" t="n">
        <f aca="false">SUMPRODUCT(MMULT(G4823:P4823,_XtX!$B$58:$K$67),G4823:P4823)</f>
        <v>0.476202392578125</v>
      </c>
      <c r="S4823" s="0" t="n">
        <f aca="false">04_回帰ANOVA!$K$19*04_回帰ANOVA!$K$14*SQRT(1+R4823)</f>
        <v>1.12963876802721</v>
      </c>
      <c r="T4823" s="0" t="n">
        <f aca="false">Q4823-S4823</f>
        <v>48.1512987319728</v>
      </c>
      <c r="U4823" s="0" t="n">
        <f aca="false">Q4823+S4823</f>
        <v>50.4105762680272</v>
      </c>
      <c r="V4823" s="54" t="b">
        <f aca="false">AND(D4823&gt;=01_因子設定!$L$5-0.000000001,D4823&lt;=01_因子設定!$M$5+0.000000001,E4823&gt;=01_因子設定!$L$6-0.000000001,E4823&lt;=01_因子設定!$M$6+0.000000001,F4823&gt;=01_因子設定!$L$7-0.000000001,F4823&lt;=01_因子設定!$M$7+0.000000001,IF(01_因子設定!$B$20="Box-Behnken",D4823^2+E4823^2+F4823^2&lt;=2+0.000000001,TRUE()))</f>
        <v>1</v>
      </c>
      <c r="W4823" s="55" t="n">
        <f aca="false">IF(V4823,IF(01_因子設定!$B$13="最大化",T4823-01_因子設定!$B$14,IF(01_因子設定!$B$13="最小化",01_因子設定!$B$15-U4823,MIN(T4823-01_因子設定!$B$14,01_因子設定!$B$15-U4823))),-1E+030)</f>
        <v>-0.34870126802722</v>
      </c>
      <c r="X4823" s="55" t="n">
        <f aca="false">IF(V4823,IF(01_因子設定!$B$13="最大化",Q4823,IF(01_因子設定!$B$13="最小化",-Q4823,-ABS(Q4823-01_因子設定!$B$16))),-1E+030)</f>
        <v>49.2809375</v>
      </c>
      <c r="Y4823" s="55" t="n">
        <f aca="false">W4823+ROW()*0.000000001</f>
        <v>-0.34869644502722</v>
      </c>
      <c r="Z4823" s="55" t="n">
        <f aca="false">X4823+ROW()*0.000000001</f>
        <v>49.280942323</v>
      </c>
    </row>
    <row r="4824" customFormat="false" ht="15" hidden="false" customHeight="false" outlineLevel="0" collapsed="false">
      <c r="A4824" s="0" t="n">
        <v>16</v>
      </c>
      <c r="B4824" s="0" t="n">
        <v>11</v>
      </c>
      <c r="C4824" s="0" t="n">
        <v>8</v>
      </c>
      <c r="D4824" s="0" t="n">
        <f aca="false">-1+A4824*0.125</f>
        <v>1</v>
      </c>
      <c r="E4824" s="0" t="n">
        <f aca="false">-1+B4824*0.125</f>
        <v>0.375</v>
      </c>
      <c r="F4824" s="0" t="n">
        <f aca="false">-1+C4824*0.125</f>
        <v>0</v>
      </c>
      <c r="G4824" s="0" t="n">
        <f aca="false">1</f>
        <v>1</v>
      </c>
      <c r="H4824" s="0" t="n">
        <f aca="false">D4824</f>
        <v>1</v>
      </c>
      <c r="I4824" s="0" t="n">
        <f aca="false">E4824</f>
        <v>0.375</v>
      </c>
      <c r="J4824" s="0" t="n">
        <f aca="false">F4824</f>
        <v>0</v>
      </c>
      <c r="K4824" s="0" t="n">
        <f aca="false">D4824*E4824</f>
        <v>0.375</v>
      </c>
      <c r="L4824" s="0" t="n">
        <f aca="false">D4824*F4824</f>
        <v>0</v>
      </c>
      <c r="M4824" s="0" t="n">
        <f aca="false">E4824*F4824</f>
        <v>0</v>
      </c>
      <c r="N4824" s="0" t="n">
        <f aca="false">D4824*D4824</f>
        <v>1</v>
      </c>
      <c r="O4824" s="0" t="n">
        <f aca="false">E4824*E4824</f>
        <v>0.140625</v>
      </c>
      <c r="P4824" s="0" t="n">
        <f aca="false">F4824*F4824</f>
        <v>0</v>
      </c>
      <c r="Q4824" s="0" t="n">
        <f aca="false">SUMPRODUCT(G4824:P4824,_XtX!$B$71:$K$71)</f>
        <v>49.4741761363636</v>
      </c>
      <c r="R4824" s="0" t="n">
        <f aca="false">SUMPRODUCT(MMULT(G4824:P4824,_XtX!$B$58:$K$67),G4824:P4824)</f>
        <v>0.478604403409091</v>
      </c>
      <c r="S4824" s="0" t="n">
        <f aca="false">04_回帰ANOVA!$K$19*04_回帰ANOVA!$K$14*SQRT(1+R4824)</f>
        <v>1.13055744343508</v>
      </c>
      <c r="T4824" s="0" t="n">
        <f aca="false">Q4824-S4824</f>
        <v>48.3436186929285</v>
      </c>
      <c r="U4824" s="0" t="n">
        <f aca="false">Q4824+S4824</f>
        <v>50.6047335797987</v>
      </c>
      <c r="V4824" s="54" t="b">
        <f aca="false">AND(D4824&gt;=01_因子設定!$L$5-0.000000001,D4824&lt;=01_因子設定!$M$5+0.000000001,E4824&gt;=01_因子設定!$L$6-0.000000001,E4824&lt;=01_因子設定!$M$6+0.000000001,F4824&gt;=01_因子設定!$L$7-0.000000001,F4824&lt;=01_因子設定!$M$7+0.000000001,IF(01_因子設定!$B$20="Box-Behnken",D4824^2+E4824^2+F4824^2&lt;=2+0.000000001,TRUE()))</f>
        <v>1</v>
      </c>
      <c r="W4824" s="55" t="n">
        <f aca="false">IF(V4824,IF(01_因子設定!$B$13="最大化",T4824-01_因子設定!$B$14,IF(01_因子設定!$B$13="最小化",01_因子設定!$B$15-U4824,MIN(T4824-01_因子設定!$B$14,01_因子設定!$B$15-U4824))),-1E+030)</f>
        <v>-0.156381307071456</v>
      </c>
      <c r="X4824" s="55" t="n">
        <f aca="false">IF(V4824,IF(01_因子設定!$B$13="最大化",Q4824,IF(01_因子設定!$B$13="最小化",-Q4824,-ABS(Q4824-01_因子設定!$B$16))),-1E+030)</f>
        <v>49.4741761363636</v>
      </c>
      <c r="Y4824" s="55" t="n">
        <f aca="false">W4824+ROW()*0.000000001</f>
        <v>-0.156376483071456</v>
      </c>
      <c r="Z4824" s="55" t="n">
        <f aca="false">X4824+ROW()*0.000000001</f>
        <v>49.4741809603636</v>
      </c>
    </row>
    <row r="4825" customFormat="false" ht="15" hidden="false" customHeight="false" outlineLevel="0" collapsed="false">
      <c r="A4825" s="0" t="n">
        <v>16</v>
      </c>
      <c r="B4825" s="0" t="n">
        <v>11</v>
      </c>
      <c r="C4825" s="0" t="n">
        <v>9</v>
      </c>
      <c r="D4825" s="0" t="n">
        <f aca="false">-1+A4825*0.125</f>
        <v>1</v>
      </c>
      <c r="E4825" s="0" t="n">
        <f aca="false">-1+B4825*0.125</f>
        <v>0.375</v>
      </c>
      <c r="F4825" s="0" t="n">
        <f aca="false">-1+C4825*0.125</f>
        <v>0.125</v>
      </c>
      <c r="G4825" s="0" t="n">
        <f aca="false">1</f>
        <v>1</v>
      </c>
      <c r="H4825" s="0" t="n">
        <f aca="false">D4825</f>
        <v>1</v>
      </c>
      <c r="I4825" s="0" t="n">
        <f aca="false">E4825</f>
        <v>0.375</v>
      </c>
      <c r="J4825" s="0" t="n">
        <f aca="false">F4825</f>
        <v>0.125</v>
      </c>
      <c r="K4825" s="0" t="n">
        <f aca="false">D4825*E4825</f>
        <v>0.375</v>
      </c>
      <c r="L4825" s="0" t="n">
        <f aca="false">D4825*F4825</f>
        <v>0.125</v>
      </c>
      <c r="M4825" s="0" t="n">
        <f aca="false">E4825*F4825</f>
        <v>0.046875</v>
      </c>
      <c r="N4825" s="0" t="n">
        <f aca="false">D4825*D4825</f>
        <v>1</v>
      </c>
      <c r="O4825" s="0" t="n">
        <f aca="false">E4825*E4825</f>
        <v>0.140625</v>
      </c>
      <c r="P4825" s="0" t="n">
        <f aca="false">F4825*F4825</f>
        <v>0.015625</v>
      </c>
      <c r="Q4825" s="0" t="n">
        <f aca="false">SUMPRODUCT(G4825:P4825,_XtX!$B$71:$K$71)</f>
        <v>49.630625</v>
      </c>
      <c r="R4825" s="0" t="n">
        <f aca="false">SUMPRODUCT(MMULT(G4825:P4825,_XtX!$B$58:$K$67),G4825:P4825)</f>
        <v>0.476202392578125</v>
      </c>
      <c r="S4825" s="0" t="n">
        <f aca="false">04_回帰ANOVA!$K$19*04_回帰ANOVA!$K$14*SQRT(1+R4825)</f>
        <v>1.12963876802721</v>
      </c>
      <c r="T4825" s="0" t="n">
        <f aca="false">Q4825-S4825</f>
        <v>48.5009862319728</v>
      </c>
      <c r="U4825" s="0" t="n">
        <f aca="false">Q4825+S4825</f>
        <v>50.7602637680272</v>
      </c>
      <c r="V4825" s="54" t="b">
        <f aca="false">AND(D4825&gt;=01_因子設定!$L$5-0.000000001,D4825&lt;=01_因子設定!$M$5+0.000000001,E4825&gt;=01_因子設定!$L$6-0.000000001,E4825&lt;=01_因子設定!$M$6+0.000000001,F4825&gt;=01_因子設定!$L$7-0.000000001,F4825&lt;=01_因子設定!$M$7+0.000000001,IF(01_因子設定!$B$20="Box-Behnken",D4825^2+E4825^2+F4825^2&lt;=2+0.000000001,TRUE()))</f>
        <v>1</v>
      </c>
      <c r="W4825" s="55" t="n">
        <f aca="false">IF(V4825,IF(01_因子設定!$B$13="最大化",T4825-01_因子設定!$B$14,IF(01_因子設定!$B$13="最小化",01_因子設定!$B$15-U4825,MIN(T4825-01_因子設定!$B$14,01_因子設定!$B$15-U4825))),-1E+030)</f>
        <v>0.000986231972781582</v>
      </c>
      <c r="X4825" s="55" t="n">
        <f aca="false">IF(V4825,IF(01_因子設定!$B$13="最大化",Q4825,IF(01_因子設定!$B$13="最小化",-Q4825,-ABS(Q4825-01_因子設定!$B$16))),-1E+030)</f>
        <v>49.630625</v>
      </c>
      <c r="Y4825" s="55" t="n">
        <f aca="false">W4825+ROW()*0.000000001</f>
        <v>0.000991056972781582</v>
      </c>
      <c r="Z4825" s="55" t="n">
        <f aca="false">X4825+ROW()*0.000000001</f>
        <v>49.630629825</v>
      </c>
    </row>
    <row r="4826" customFormat="false" ht="15" hidden="false" customHeight="false" outlineLevel="0" collapsed="false">
      <c r="A4826" s="0" t="n">
        <v>16</v>
      </c>
      <c r="B4826" s="0" t="n">
        <v>11</v>
      </c>
      <c r="C4826" s="0" t="n">
        <v>10</v>
      </c>
      <c r="D4826" s="0" t="n">
        <f aca="false">-1+A4826*0.125</f>
        <v>1</v>
      </c>
      <c r="E4826" s="0" t="n">
        <f aca="false">-1+B4826*0.125</f>
        <v>0.375</v>
      </c>
      <c r="F4826" s="0" t="n">
        <f aca="false">-1+C4826*0.125</f>
        <v>0.25</v>
      </c>
      <c r="G4826" s="0" t="n">
        <f aca="false">1</f>
        <v>1</v>
      </c>
      <c r="H4826" s="0" t="n">
        <f aca="false">D4826</f>
        <v>1</v>
      </c>
      <c r="I4826" s="0" t="n">
        <f aca="false">E4826</f>
        <v>0.375</v>
      </c>
      <c r="J4826" s="0" t="n">
        <f aca="false">F4826</f>
        <v>0.25</v>
      </c>
      <c r="K4826" s="0" t="n">
        <f aca="false">D4826*E4826</f>
        <v>0.375</v>
      </c>
      <c r="L4826" s="0" t="n">
        <f aca="false">D4826*F4826</f>
        <v>0.25</v>
      </c>
      <c r="M4826" s="0" t="n">
        <f aca="false">E4826*F4826</f>
        <v>0.09375</v>
      </c>
      <c r="N4826" s="0" t="n">
        <f aca="false">D4826*D4826</f>
        <v>1</v>
      </c>
      <c r="O4826" s="0" t="n">
        <f aca="false">E4826*E4826</f>
        <v>0.140625</v>
      </c>
      <c r="P4826" s="0" t="n">
        <f aca="false">F4826*F4826</f>
        <v>0.0625</v>
      </c>
      <c r="Q4826" s="0" t="n">
        <f aca="false">SUMPRODUCT(G4826:P4826,_XtX!$B$71:$K$71)</f>
        <v>49.7502840909091</v>
      </c>
      <c r="R4826" s="0" t="n">
        <f aca="false">SUMPRODUCT(MMULT(G4826:P4826,_XtX!$B$58:$K$67),G4826:P4826)</f>
        <v>0.470061700994318</v>
      </c>
      <c r="S4826" s="0" t="n">
        <f aca="false">04_回帰ANOVA!$K$19*04_回帰ANOVA!$K$14*SQRT(1+R4826)</f>
        <v>1.12728678965931</v>
      </c>
      <c r="T4826" s="0" t="n">
        <f aca="false">Q4826-S4826</f>
        <v>48.6229973012498</v>
      </c>
      <c r="U4826" s="0" t="n">
        <f aca="false">Q4826+S4826</f>
        <v>50.8775708805684</v>
      </c>
      <c r="V4826" s="54" t="b">
        <f aca="false">AND(D4826&gt;=01_因子設定!$L$5-0.000000001,D4826&lt;=01_因子設定!$M$5+0.000000001,E4826&gt;=01_因子設定!$L$6-0.000000001,E4826&lt;=01_因子設定!$M$6+0.000000001,F4826&gt;=01_因子設定!$L$7-0.000000001,F4826&lt;=01_因子設定!$M$7+0.000000001,IF(01_因子設定!$B$20="Box-Behnken",D4826^2+E4826^2+F4826^2&lt;=2+0.000000001,TRUE()))</f>
        <v>1</v>
      </c>
      <c r="W4826" s="55" t="n">
        <f aca="false">IF(V4826,IF(01_因子設定!$B$13="最大化",T4826-01_因子設定!$B$14,IF(01_因子設定!$B$13="最小化",01_因子設定!$B$15-U4826,MIN(T4826-01_因子設定!$B$14,01_因子設定!$B$15-U4826))),-1E+030)</f>
        <v>0.122997301249775</v>
      </c>
      <c r="X4826" s="55" t="n">
        <f aca="false">IF(V4826,IF(01_因子設定!$B$13="最大化",Q4826,IF(01_因子設定!$B$13="最小化",-Q4826,-ABS(Q4826-01_因子設定!$B$16))),-1E+030)</f>
        <v>49.7502840909091</v>
      </c>
      <c r="Y4826" s="55" t="n">
        <f aca="false">W4826+ROW()*0.000000001</f>
        <v>0.123002127249775</v>
      </c>
      <c r="Z4826" s="55" t="n">
        <f aca="false">X4826+ROW()*0.000000001</f>
        <v>49.7502889169091</v>
      </c>
    </row>
    <row r="4827" customFormat="false" ht="15" hidden="false" customHeight="false" outlineLevel="0" collapsed="false">
      <c r="A4827" s="0" t="n">
        <v>16</v>
      </c>
      <c r="B4827" s="0" t="n">
        <v>11</v>
      </c>
      <c r="C4827" s="0" t="n">
        <v>11</v>
      </c>
      <c r="D4827" s="0" t="n">
        <f aca="false">-1+A4827*0.125</f>
        <v>1</v>
      </c>
      <c r="E4827" s="0" t="n">
        <f aca="false">-1+B4827*0.125</f>
        <v>0.375</v>
      </c>
      <c r="F4827" s="0" t="n">
        <f aca="false">-1+C4827*0.125</f>
        <v>0.375</v>
      </c>
      <c r="G4827" s="0" t="n">
        <f aca="false">1</f>
        <v>1</v>
      </c>
      <c r="H4827" s="0" t="n">
        <f aca="false">D4827</f>
        <v>1</v>
      </c>
      <c r="I4827" s="0" t="n">
        <f aca="false">E4827</f>
        <v>0.375</v>
      </c>
      <c r="J4827" s="0" t="n">
        <f aca="false">F4827</f>
        <v>0.375</v>
      </c>
      <c r="K4827" s="0" t="n">
        <f aca="false">D4827*E4827</f>
        <v>0.375</v>
      </c>
      <c r="L4827" s="0" t="n">
        <f aca="false">D4827*F4827</f>
        <v>0.375</v>
      </c>
      <c r="M4827" s="0" t="n">
        <f aca="false">E4827*F4827</f>
        <v>0.140625</v>
      </c>
      <c r="N4827" s="0" t="n">
        <f aca="false">D4827*D4827</f>
        <v>1</v>
      </c>
      <c r="O4827" s="0" t="n">
        <f aca="false">E4827*E4827</f>
        <v>0.140625</v>
      </c>
      <c r="P4827" s="0" t="n">
        <f aca="false">F4827*F4827</f>
        <v>0.140625</v>
      </c>
      <c r="Q4827" s="0" t="n">
        <f aca="false">SUMPRODUCT(G4827:P4827,_XtX!$B$71:$K$71)</f>
        <v>49.8331534090909</v>
      </c>
      <c r="R4827" s="0" t="n">
        <f aca="false">SUMPRODUCT(MMULT(G4827:P4827,_XtX!$B$58:$K$67),G4827:P4827)</f>
        <v>0.463378351384943</v>
      </c>
      <c r="S4827" s="0" t="n">
        <f aca="false">04_回帰ANOVA!$K$19*04_回帰ANOVA!$K$14*SQRT(1+R4827)</f>
        <v>1.12472137547772</v>
      </c>
      <c r="T4827" s="0" t="n">
        <f aca="false">Q4827-S4827</f>
        <v>48.7084320336132</v>
      </c>
      <c r="U4827" s="0" t="n">
        <f aca="false">Q4827+S4827</f>
        <v>50.9578747845686</v>
      </c>
      <c r="V4827" s="54" t="b">
        <f aca="false">AND(D4827&gt;=01_因子設定!$L$5-0.000000001,D4827&lt;=01_因子設定!$M$5+0.000000001,E4827&gt;=01_因子設定!$L$6-0.000000001,E4827&lt;=01_因子設定!$M$6+0.000000001,F4827&gt;=01_因子設定!$L$7-0.000000001,F4827&lt;=01_因子設定!$M$7+0.000000001,IF(01_因子設定!$B$20="Box-Behnken",D4827^2+E4827^2+F4827^2&lt;=2+0.000000001,TRUE()))</f>
        <v>1</v>
      </c>
      <c r="W4827" s="55" t="n">
        <f aca="false">IF(V4827,IF(01_因子設定!$B$13="最大化",T4827-01_因子設定!$B$14,IF(01_因子設定!$B$13="最小化",01_因子設定!$B$15-U4827,MIN(T4827-01_因子設定!$B$14,01_因子設定!$B$15-U4827))),-1E+030)</f>
        <v>0.208432033613185</v>
      </c>
      <c r="X4827" s="55" t="n">
        <f aca="false">IF(V4827,IF(01_因子設定!$B$13="最大化",Q4827,IF(01_因子設定!$B$13="最小化",-Q4827,-ABS(Q4827-01_因子設定!$B$16))),-1E+030)</f>
        <v>49.8331534090909</v>
      </c>
      <c r="Y4827" s="55" t="n">
        <f aca="false">W4827+ROW()*0.000000001</f>
        <v>0.208436860613185</v>
      </c>
      <c r="Z4827" s="55" t="n">
        <f aca="false">X4827+ROW()*0.000000001</f>
        <v>49.8331582360909</v>
      </c>
    </row>
    <row r="4828" customFormat="false" ht="15" hidden="false" customHeight="false" outlineLevel="0" collapsed="false">
      <c r="A4828" s="0" t="n">
        <v>16</v>
      </c>
      <c r="B4828" s="0" t="n">
        <v>11</v>
      </c>
      <c r="C4828" s="0" t="n">
        <v>12</v>
      </c>
      <c r="D4828" s="0" t="n">
        <f aca="false">-1+A4828*0.125</f>
        <v>1</v>
      </c>
      <c r="E4828" s="0" t="n">
        <f aca="false">-1+B4828*0.125</f>
        <v>0.375</v>
      </c>
      <c r="F4828" s="0" t="n">
        <f aca="false">-1+C4828*0.125</f>
        <v>0.5</v>
      </c>
      <c r="G4828" s="0" t="n">
        <f aca="false">1</f>
        <v>1</v>
      </c>
      <c r="H4828" s="0" t="n">
        <f aca="false">D4828</f>
        <v>1</v>
      </c>
      <c r="I4828" s="0" t="n">
        <f aca="false">E4828</f>
        <v>0.375</v>
      </c>
      <c r="J4828" s="0" t="n">
        <f aca="false">F4828</f>
        <v>0.5</v>
      </c>
      <c r="K4828" s="0" t="n">
        <f aca="false">D4828*E4828</f>
        <v>0.375</v>
      </c>
      <c r="L4828" s="0" t="n">
        <f aca="false">D4828*F4828</f>
        <v>0.5</v>
      </c>
      <c r="M4828" s="0" t="n">
        <f aca="false">E4828*F4828</f>
        <v>0.1875</v>
      </c>
      <c r="N4828" s="0" t="n">
        <f aca="false">D4828*D4828</f>
        <v>1</v>
      </c>
      <c r="O4828" s="0" t="n">
        <f aca="false">E4828*E4828</f>
        <v>0.140625</v>
      </c>
      <c r="P4828" s="0" t="n">
        <f aca="false">F4828*F4828</f>
        <v>0.25</v>
      </c>
      <c r="Q4828" s="0" t="n">
        <f aca="false">SUMPRODUCT(G4828:P4828,_XtX!$B$71:$K$71)</f>
        <v>49.8792329545455</v>
      </c>
      <c r="R4828" s="0" t="n">
        <f aca="false">SUMPRODUCT(MMULT(G4828:P4828,_XtX!$B$58:$K$67),G4828:P4828)</f>
        <v>0.461479048295455</v>
      </c>
      <c r="S4828" s="0" t="n">
        <f aca="false">04_回帰ANOVA!$K$19*04_回帰ANOVA!$K$14*SQRT(1+R4828)</f>
        <v>1.12399125658369</v>
      </c>
      <c r="T4828" s="0" t="n">
        <f aca="false">Q4828-S4828</f>
        <v>48.7552416979618</v>
      </c>
      <c r="U4828" s="0" t="n">
        <f aca="false">Q4828+S4828</f>
        <v>51.0032242111291</v>
      </c>
      <c r="V4828" s="54" t="b">
        <f aca="false">AND(D4828&gt;=01_因子設定!$L$5-0.000000001,D4828&lt;=01_因子設定!$M$5+0.000000001,E4828&gt;=01_因子設定!$L$6-0.000000001,E4828&lt;=01_因子設定!$M$6+0.000000001,F4828&gt;=01_因子設定!$L$7-0.000000001,F4828&lt;=01_因子設定!$M$7+0.000000001,IF(01_因子設定!$B$20="Box-Behnken",D4828^2+E4828^2+F4828^2&lt;=2+0.000000001,TRUE()))</f>
        <v>1</v>
      </c>
      <c r="W4828" s="55" t="n">
        <f aca="false">IF(V4828,IF(01_因子設定!$B$13="最大化",T4828-01_因子設定!$B$14,IF(01_因子設定!$B$13="最小化",01_因子設定!$B$15-U4828,MIN(T4828-01_因子設定!$B$14,01_因子設定!$B$15-U4828))),-1E+030)</f>
        <v>0.255241697961765</v>
      </c>
      <c r="X4828" s="55" t="n">
        <f aca="false">IF(V4828,IF(01_因子設定!$B$13="最大化",Q4828,IF(01_因子設定!$B$13="最小化",-Q4828,-ABS(Q4828-01_因子設定!$B$16))),-1E+030)</f>
        <v>49.8792329545455</v>
      </c>
      <c r="Y4828" s="55" t="n">
        <f aca="false">W4828+ROW()*0.000000001</f>
        <v>0.255246525961765</v>
      </c>
      <c r="Z4828" s="55" t="n">
        <f aca="false">X4828+ROW()*0.000000001</f>
        <v>49.8792377825455</v>
      </c>
    </row>
    <row r="4829" customFormat="false" ht="15" hidden="false" customHeight="false" outlineLevel="0" collapsed="false">
      <c r="A4829" s="0" t="n">
        <v>16</v>
      </c>
      <c r="B4829" s="0" t="n">
        <v>11</v>
      </c>
      <c r="C4829" s="0" t="n">
        <v>13</v>
      </c>
      <c r="D4829" s="0" t="n">
        <f aca="false">-1+A4829*0.125</f>
        <v>1</v>
      </c>
      <c r="E4829" s="0" t="n">
        <f aca="false">-1+B4829*0.125</f>
        <v>0.375</v>
      </c>
      <c r="F4829" s="0" t="n">
        <f aca="false">-1+C4829*0.125</f>
        <v>0.625</v>
      </c>
      <c r="G4829" s="0" t="n">
        <f aca="false">1</f>
        <v>1</v>
      </c>
      <c r="H4829" s="0" t="n">
        <f aca="false">D4829</f>
        <v>1</v>
      </c>
      <c r="I4829" s="0" t="n">
        <f aca="false">E4829</f>
        <v>0.375</v>
      </c>
      <c r="J4829" s="0" t="n">
        <f aca="false">F4829</f>
        <v>0.625</v>
      </c>
      <c r="K4829" s="0" t="n">
        <f aca="false">D4829*E4829</f>
        <v>0.375</v>
      </c>
      <c r="L4829" s="0" t="n">
        <f aca="false">D4829*F4829</f>
        <v>0.625</v>
      </c>
      <c r="M4829" s="0" t="n">
        <f aca="false">E4829*F4829</f>
        <v>0.234375</v>
      </c>
      <c r="N4829" s="0" t="n">
        <f aca="false">D4829*D4829</f>
        <v>1</v>
      </c>
      <c r="O4829" s="0" t="n">
        <f aca="false">E4829*E4829</f>
        <v>0.140625</v>
      </c>
      <c r="P4829" s="0" t="n">
        <f aca="false">F4829*F4829</f>
        <v>0.390625</v>
      </c>
      <c r="Q4829" s="0" t="n">
        <f aca="false">SUMPRODUCT(G4829:P4829,_XtX!$B$71:$K$71)</f>
        <v>49.8885227272727</v>
      </c>
      <c r="R4829" s="0" t="n">
        <f aca="false">SUMPRODUCT(MMULT(G4829:P4829,_XtX!$B$58:$K$67),G4829:P4829)</f>
        <v>0.471821178089489</v>
      </c>
      <c r="S4829" s="0" t="n">
        <f aca="false">04_回帰ANOVA!$K$19*04_回帰ANOVA!$K$14*SQRT(1+R4829)</f>
        <v>1.12796119746125</v>
      </c>
      <c r="T4829" s="0" t="n">
        <f aca="false">Q4829-S4829</f>
        <v>48.7605615298115</v>
      </c>
      <c r="U4829" s="0" t="n">
        <f aca="false">Q4829+S4829</f>
        <v>51.016483924734</v>
      </c>
      <c r="V4829" s="54" t="b">
        <f aca="false">AND(D4829&gt;=01_因子設定!$L$5-0.000000001,D4829&lt;=01_因子設定!$M$5+0.000000001,E4829&gt;=01_因子設定!$L$6-0.000000001,E4829&lt;=01_因子設定!$M$6+0.000000001,F4829&gt;=01_因子設定!$L$7-0.000000001,F4829&lt;=01_因子設定!$M$7+0.000000001,IF(01_因子設定!$B$20="Box-Behnken",D4829^2+E4829^2+F4829^2&lt;=2+0.000000001,TRUE()))</f>
        <v>1</v>
      </c>
      <c r="W4829" s="55" t="n">
        <f aca="false">IF(V4829,IF(01_因子設定!$B$13="最大化",T4829-01_因子設定!$B$14,IF(01_因子設定!$B$13="最小化",01_因子設定!$B$15-U4829,MIN(T4829-01_因子設定!$B$14,01_因子設定!$B$15-U4829))),-1E+030)</f>
        <v>0.260561529811469</v>
      </c>
      <c r="X4829" s="55" t="n">
        <f aca="false">IF(V4829,IF(01_因子設定!$B$13="最大化",Q4829,IF(01_因子設定!$B$13="最小化",-Q4829,-ABS(Q4829-01_因子設定!$B$16))),-1E+030)</f>
        <v>49.8885227272727</v>
      </c>
      <c r="Y4829" s="55" t="n">
        <f aca="false">W4829+ROW()*0.000000001</f>
        <v>0.260566358811469</v>
      </c>
      <c r="Z4829" s="55" t="n">
        <f aca="false">X4829+ROW()*0.000000001</f>
        <v>49.8885275562727</v>
      </c>
    </row>
    <row r="4830" customFormat="false" ht="15" hidden="false" customHeight="false" outlineLevel="0" collapsed="false">
      <c r="A4830" s="0" t="n">
        <v>16</v>
      </c>
      <c r="B4830" s="0" t="n">
        <v>11</v>
      </c>
      <c r="C4830" s="0" t="n">
        <v>14</v>
      </c>
      <c r="D4830" s="0" t="n">
        <f aca="false">-1+A4830*0.125</f>
        <v>1</v>
      </c>
      <c r="E4830" s="0" t="n">
        <f aca="false">-1+B4830*0.125</f>
        <v>0.375</v>
      </c>
      <c r="F4830" s="0" t="n">
        <f aca="false">-1+C4830*0.125</f>
        <v>0.75</v>
      </c>
      <c r="G4830" s="0" t="n">
        <f aca="false">1</f>
        <v>1</v>
      </c>
      <c r="H4830" s="0" t="n">
        <f aca="false">D4830</f>
        <v>1</v>
      </c>
      <c r="I4830" s="0" t="n">
        <f aca="false">E4830</f>
        <v>0.375</v>
      </c>
      <c r="J4830" s="0" t="n">
        <f aca="false">F4830</f>
        <v>0.75</v>
      </c>
      <c r="K4830" s="0" t="n">
        <f aca="false">D4830*E4830</f>
        <v>0.375</v>
      </c>
      <c r="L4830" s="0" t="n">
        <f aca="false">D4830*F4830</f>
        <v>0.75</v>
      </c>
      <c r="M4830" s="0" t="n">
        <f aca="false">E4830*F4830</f>
        <v>0.28125</v>
      </c>
      <c r="N4830" s="0" t="n">
        <f aca="false">D4830*D4830</f>
        <v>1</v>
      </c>
      <c r="O4830" s="0" t="n">
        <f aca="false">E4830*E4830</f>
        <v>0.140625</v>
      </c>
      <c r="P4830" s="0" t="n">
        <f aca="false">F4830*F4830</f>
        <v>0.5625</v>
      </c>
      <c r="Q4830" s="0" t="n">
        <f aca="false">SUMPRODUCT(G4830:P4830,_XtX!$B$71:$K$71)</f>
        <v>49.8610227272727</v>
      </c>
      <c r="R4830" s="0" t="n">
        <f aca="false">SUMPRODUCT(MMULT(G4830:P4830,_XtX!$B$58:$K$67),G4830:P4830)</f>
        <v>0.503992808948864</v>
      </c>
      <c r="S4830" s="0" t="n">
        <f aca="false">04_回帰ANOVA!$K$19*04_回帰ANOVA!$K$14*SQRT(1+R4830)</f>
        <v>1.14022226176226</v>
      </c>
      <c r="T4830" s="0" t="n">
        <f aca="false">Q4830-S4830</f>
        <v>48.7208004655105</v>
      </c>
      <c r="U4830" s="0" t="n">
        <f aca="false">Q4830+S4830</f>
        <v>51.001244989035</v>
      </c>
      <c r="V4830" s="54" t="b">
        <f aca="false">AND(D4830&gt;=01_因子設定!$L$5-0.000000001,D4830&lt;=01_因子設定!$M$5+0.000000001,E4830&gt;=01_因子設定!$L$6-0.000000001,E4830&lt;=01_因子設定!$M$6+0.000000001,F4830&gt;=01_因子設定!$L$7-0.000000001,F4830&lt;=01_因子設定!$M$7+0.000000001,IF(01_因子設定!$B$20="Box-Behnken",D4830^2+E4830^2+F4830^2&lt;=2+0.000000001,TRUE()))</f>
        <v>1</v>
      </c>
      <c r="W4830" s="55" t="n">
        <f aca="false">IF(V4830,IF(01_因子設定!$B$13="最大化",T4830-01_因子設定!$B$14,IF(01_因子設定!$B$13="最小化",01_因子設定!$B$15-U4830,MIN(T4830-01_因子設定!$B$14,01_因子設定!$B$15-U4830))),-1E+030)</f>
        <v>0.220800465510465</v>
      </c>
      <c r="X4830" s="55" t="n">
        <f aca="false">IF(V4830,IF(01_因子設定!$B$13="最大化",Q4830,IF(01_因子設定!$B$13="最小化",-Q4830,-ABS(Q4830-01_因子設定!$B$16))),-1E+030)</f>
        <v>49.8610227272727</v>
      </c>
      <c r="Y4830" s="55" t="n">
        <f aca="false">W4830+ROW()*0.000000001</f>
        <v>0.220805295510465</v>
      </c>
      <c r="Z4830" s="55" t="n">
        <f aca="false">X4830+ROW()*0.000000001</f>
        <v>49.8610275572727</v>
      </c>
    </row>
    <row r="4831" customFormat="false" ht="15" hidden="false" customHeight="false" outlineLevel="0" collapsed="false">
      <c r="A4831" s="0" t="n">
        <v>16</v>
      </c>
      <c r="B4831" s="0" t="n">
        <v>11</v>
      </c>
      <c r="C4831" s="0" t="n">
        <v>15</v>
      </c>
      <c r="D4831" s="0" t="n">
        <f aca="false">-1+A4831*0.125</f>
        <v>1</v>
      </c>
      <c r="E4831" s="0" t="n">
        <f aca="false">-1+B4831*0.125</f>
        <v>0.375</v>
      </c>
      <c r="F4831" s="0" t="n">
        <f aca="false">-1+C4831*0.125</f>
        <v>0.875</v>
      </c>
      <c r="G4831" s="0" t="n">
        <f aca="false">1</f>
        <v>1</v>
      </c>
      <c r="H4831" s="0" t="n">
        <f aca="false">D4831</f>
        <v>1</v>
      </c>
      <c r="I4831" s="0" t="n">
        <f aca="false">E4831</f>
        <v>0.375</v>
      </c>
      <c r="J4831" s="0" t="n">
        <f aca="false">F4831</f>
        <v>0.875</v>
      </c>
      <c r="K4831" s="0" t="n">
        <f aca="false">D4831*E4831</f>
        <v>0.375</v>
      </c>
      <c r="L4831" s="0" t="n">
        <f aca="false">D4831*F4831</f>
        <v>0.875</v>
      </c>
      <c r="M4831" s="0" t="n">
        <f aca="false">E4831*F4831</f>
        <v>0.328125</v>
      </c>
      <c r="N4831" s="0" t="n">
        <f aca="false">D4831*D4831</f>
        <v>1</v>
      </c>
      <c r="O4831" s="0" t="n">
        <f aca="false">E4831*E4831</f>
        <v>0.140625</v>
      </c>
      <c r="P4831" s="0" t="n">
        <f aca="false">F4831*F4831</f>
        <v>0.765625</v>
      </c>
      <c r="Q4831" s="0" t="n">
        <f aca="false">SUMPRODUCT(G4831:P4831,_XtX!$B$71:$K$71)</f>
        <v>49.7967329545455</v>
      </c>
      <c r="R4831" s="0" t="n">
        <f aca="false">SUMPRODUCT(MMULT(G4831:P4831,_XtX!$B$58:$K$67),G4831:P4831)</f>
        <v>0.56971269087358</v>
      </c>
      <c r="S4831" s="0" t="n">
        <f aca="false">04_回帰ANOVA!$K$19*04_回帰ANOVA!$K$14*SQRT(1+R4831)</f>
        <v>1.16486801567081</v>
      </c>
      <c r="T4831" s="0" t="n">
        <f aca="false">Q4831-S4831</f>
        <v>48.6318649388747</v>
      </c>
      <c r="U4831" s="0" t="n">
        <f aca="false">Q4831+S4831</f>
        <v>50.9616009702163</v>
      </c>
      <c r="V4831" s="54" t="b">
        <f aca="false">AND(D4831&gt;=01_因子設定!$L$5-0.000000001,D4831&lt;=01_因子設定!$M$5+0.000000001,E4831&gt;=01_因子設定!$L$6-0.000000001,E4831&lt;=01_因子設定!$M$6+0.000000001,F4831&gt;=01_因子設定!$L$7-0.000000001,F4831&lt;=01_因子設定!$M$7+0.000000001,IF(01_因子設定!$B$20="Box-Behnken",D4831^2+E4831^2+F4831^2&lt;=2+0.000000001,TRUE()))</f>
        <v>1</v>
      </c>
      <c r="W4831" s="55" t="n">
        <f aca="false">IF(V4831,IF(01_因子設定!$B$13="最大化",T4831-01_因子設定!$B$14,IF(01_因子設定!$B$13="最小化",01_因子設定!$B$15-U4831,MIN(T4831-01_因子設定!$B$14,01_因子設定!$B$15-U4831))),-1E+030)</f>
        <v>0.131864938874656</v>
      </c>
      <c r="X4831" s="55" t="n">
        <f aca="false">IF(V4831,IF(01_因子設定!$B$13="最大化",Q4831,IF(01_因子設定!$B$13="最小化",-Q4831,-ABS(Q4831-01_因子設定!$B$16))),-1E+030)</f>
        <v>49.7967329545455</v>
      </c>
      <c r="Y4831" s="55" t="n">
        <f aca="false">W4831+ROW()*0.000000001</f>
        <v>0.131869769874656</v>
      </c>
      <c r="Z4831" s="55" t="n">
        <f aca="false">X4831+ROW()*0.000000001</f>
        <v>49.7967377855455</v>
      </c>
    </row>
    <row r="4832" customFormat="false" ht="15" hidden="false" customHeight="false" outlineLevel="0" collapsed="false">
      <c r="A4832" s="0" t="n">
        <v>16</v>
      </c>
      <c r="B4832" s="0" t="n">
        <v>11</v>
      </c>
      <c r="C4832" s="0" t="n">
        <v>16</v>
      </c>
      <c r="D4832" s="0" t="n">
        <f aca="false">-1+A4832*0.125</f>
        <v>1</v>
      </c>
      <c r="E4832" s="0" t="n">
        <f aca="false">-1+B4832*0.125</f>
        <v>0.375</v>
      </c>
      <c r="F4832" s="0" t="n">
        <f aca="false">-1+C4832*0.125</f>
        <v>1</v>
      </c>
      <c r="G4832" s="0" t="n">
        <f aca="false">1</f>
        <v>1</v>
      </c>
      <c r="H4832" s="0" t="n">
        <f aca="false">D4832</f>
        <v>1</v>
      </c>
      <c r="I4832" s="0" t="n">
        <f aca="false">E4832</f>
        <v>0.375</v>
      </c>
      <c r="J4832" s="0" t="n">
        <f aca="false">F4832</f>
        <v>1</v>
      </c>
      <c r="K4832" s="0" t="n">
        <f aca="false">D4832*E4832</f>
        <v>0.375</v>
      </c>
      <c r="L4832" s="0" t="n">
        <f aca="false">D4832*F4832</f>
        <v>1</v>
      </c>
      <c r="M4832" s="0" t="n">
        <f aca="false">E4832*F4832</f>
        <v>0.375</v>
      </c>
      <c r="N4832" s="0" t="n">
        <f aca="false">D4832*D4832</f>
        <v>1</v>
      </c>
      <c r="O4832" s="0" t="n">
        <f aca="false">E4832*E4832</f>
        <v>0.140625</v>
      </c>
      <c r="P4832" s="0" t="n">
        <f aca="false">F4832*F4832</f>
        <v>1</v>
      </c>
      <c r="Q4832" s="0" t="n">
        <f aca="false">SUMPRODUCT(G4832:P4832,_XtX!$B$71:$K$71)</f>
        <v>49.6956534090909</v>
      </c>
      <c r="R4832" s="0" t="n">
        <f aca="false">SUMPRODUCT(MMULT(G4832:P4832,_XtX!$B$58:$K$67),G4832:P4832)</f>
        <v>0.682830255681818</v>
      </c>
      <c r="S4832" s="0" t="n">
        <f aca="false">04_回帰ANOVA!$K$19*04_回帰ANOVA!$K$14*SQRT(1+R4832)</f>
        <v>1.20610964896955</v>
      </c>
      <c r="T4832" s="0" t="n">
        <f aca="false">Q4832-S4832</f>
        <v>48.4895437601214</v>
      </c>
      <c r="U4832" s="0" t="n">
        <f aca="false">Q4832+S4832</f>
        <v>50.9017630580605</v>
      </c>
      <c r="V4832" s="54" t="b">
        <f aca="false">AND(D4832&gt;=01_因子設定!$L$5-0.000000001,D4832&lt;=01_因子設定!$M$5+0.000000001,E4832&gt;=01_因子設定!$L$6-0.000000001,E4832&lt;=01_因子設定!$M$6+0.000000001,F4832&gt;=01_因子設定!$L$7-0.000000001,F4832&lt;=01_因子設定!$M$7+0.000000001,IF(01_因子設定!$B$20="Box-Behnken",D4832^2+E4832^2+F4832^2&lt;=2+0.000000001,TRUE()))</f>
        <v>1</v>
      </c>
      <c r="W4832" s="55" t="n">
        <f aca="false">IF(V4832,IF(01_因子設定!$B$13="最大化",T4832-01_因子設定!$B$14,IF(01_因子設定!$B$13="最小化",01_因子設定!$B$15-U4832,MIN(T4832-01_因子設定!$B$14,01_因子設定!$B$15-U4832))),-1E+030)</f>
        <v>-0.0104562398786285</v>
      </c>
      <c r="X4832" s="55" t="n">
        <f aca="false">IF(V4832,IF(01_因子設定!$B$13="最大化",Q4832,IF(01_因子設定!$B$13="最小化",-Q4832,-ABS(Q4832-01_因子設定!$B$16))),-1E+030)</f>
        <v>49.6956534090909</v>
      </c>
      <c r="Y4832" s="55" t="n">
        <f aca="false">W4832+ROW()*0.000000001</f>
        <v>-0.0104514078786285</v>
      </c>
      <c r="Z4832" s="55" t="n">
        <f aca="false">X4832+ROW()*0.000000001</f>
        <v>49.6956582410909</v>
      </c>
    </row>
    <row r="4833" customFormat="false" ht="15" hidden="false" customHeight="false" outlineLevel="0" collapsed="false">
      <c r="A4833" s="0" t="n">
        <v>16</v>
      </c>
      <c r="B4833" s="0" t="n">
        <v>12</v>
      </c>
      <c r="C4833" s="0" t="n">
        <v>0</v>
      </c>
      <c r="D4833" s="0" t="n">
        <f aca="false">-1+A4833*0.125</f>
        <v>1</v>
      </c>
      <c r="E4833" s="0" t="n">
        <f aca="false">-1+B4833*0.125</f>
        <v>0.5</v>
      </c>
      <c r="F4833" s="0" t="n">
        <f aca="false">-1+C4833*0.125</f>
        <v>-1</v>
      </c>
      <c r="G4833" s="0" t="n">
        <f aca="false">1</f>
        <v>1</v>
      </c>
      <c r="H4833" s="0" t="n">
        <f aca="false">D4833</f>
        <v>1</v>
      </c>
      <c r="I4833" s="0" t="n">
        <f aca="false">E4833</f>
        <v>0.5</v>
      </c>
      <c r="J4833" s="0" t="n">
        <f aca="false">F4833</f>
        <v>-1</v>
      </c>
      <c r="K4833" s="0" t="n">
        <f aca="false">D4833*E4833</f>
        <v>0.5</v>
      </c>
      <c r="L4833" s="0" t="n">
        <f aca="false">D4833*F4833</f>
        <v>-1</v>
      </c>
      <c r="M4833" s="0" t="n">
        <f aca="false">E4833*F4833</f>
        <v>-0.5</v>
      </c>
      <c r="N4833" s="0" t="n">
        <f aca="false">D4833*D4833</f>
        <v>1</v>
      </c>
      <c r="O4833" s="0" t="n">
        <f aca="false">E4833*E4833</f>
        <v>0.25</v>
      </c>
      <c r="P4833" s="0" t="n">
        <f aca="false">F4833*F4833</f>
        <v>1</v>
      </c>
      <c r="Q4833" s="0" t="n">
        <f aca="false">SUMPRODUCT(G4833:P4833,_XtX!$B$71:$K$71)</f>
        <v>47.0320454545455</v>
      </c>
      <c r="R4833" s="0" t="n">
        <f aca="false">SUMPRODUCT(MMULT(G4833:P4833,_XtX!$B$58:$K$67),G4833:P4833)</f>
        <v>0.667045454545455</v>
      </c>
      <c r="S4833" s="0" t="n">
        <f aca="false">04_回帰ANOVA!$K$19*04_回帰ANOVA!$K$14*SQRT(1+R4833)</f>
        <v>1.200439720088</v>
      </c>
      <c r="T4833" s="0" t="n">
        <f aca="false">Q4833-S4833</f>
        <v>45.8316057344575</v>
      </c>
      <c r="U4833" s="0" t="n">
        <f aca="false">Q4833+S4833</f>
        <v>48.2324851746335</v>
      </c>
      <c r="V4833" s="54" t="b">
        <f aca="false">AND(D4833&gt;=01_因子設定!$L$5-0.000000001,D4833&lt;=01_因子設定!$M$5+0.000000001,E4833&gt;=01_因子設定!$L$6-0.000000001,E4833&lt;=01_因子設定!$M$6+0.000000001,F4833&gt;=01_因子設定!$L$7-0.000000001,F4833&lt;=01_因子設定!$M$7+0.000000001,IF(01_因子設定!$B$20="Box-Behnken",D4833^2+E4833^2+F4833^2&lt;=2+0.000000001,TRUE()))</f>
        <v>1</v>
      </c>
      <c r="W4833" s="55" t="n">
        <f aca="false">IF(V4833,IF(01_因子設定!$B$13="最大化",T4833-01_因子設定!$B$14,IF(01_因子設定!$B$13="最小化",01_因子設定!$B$15-U4833,MIN(T4833-01_因子設定!$B$14,01_因子設定!$B$15-U4833))),-1E+030)</f>
        <v>-2.66839426554254</v>
      </c>
      <c r="X4833" s="55" t="n">
        <f aca="false">IF(V4833,IF(01_因子設定!$B$13="最大化",Q4833,IF(01_因子設定!$B$13="最小化",-Q4833,-ABS(Q4833-01_因子設定!$B$16))),-1E+030)</f>
        <v>47.0320454545455</v>
      </c>
      <c r="Y4833" s="55" t="n">
        <f aca="false">W4833+ROW()*0.000000001</f>
        <v>-2.66838943254254</v>
      </c>
      <c r="Z4833" s="55" t="n">
        <f aca="false">X4833+ROW()*0.000000001</f>
        <v>47.0320502875455</v>
      </c>
    </row>
    <row r="4834" customFormat="false" ht="15" hidden="false" customHeight="false" outlineLevel="0" collapsed="false">
      <c r="A4834" s="0" t="n">
        <v>16</v>
      </c>
      <c r="B4834" s="0" t="n">
        <v>12</v>
      </c>
      <c r="C4834" s="0" t="n">
        <v>1</v>
      </c>
      <c r="D4834" s="0" t="n">
        <f aca="false">-1+A4834*0.125</f>
        <v>1</v>
      </c>
      <c r="E4834" s="0" t="n">
        <f aca="false">-1+B4834*0.125</f>
        <v>0.5</v>
      </c>
      <c r="F4834" s="0" t="n">
        <f aca="false">-1+C4834*0.125</f>
        <v>-0.875</v>
      </c>
      <c r="G4834" s="0" t="n">
        <f aca="false">1</f>
        <v>1</v>
      </c>
      <c r="H4834" s="0" t="n">
        <f aca="false">D4834</f>
        <v>1</v>
      </c>
      <c r="I4834" s="0" t="n">
        <f aca="false">E4834</f>
        <v>0.5</v>
      </c>
      <c r="J4834" s="0" t="n">
        <f aca="false">F4834</f>
        <v>-0.875</v>
      </c>
      <c r="K4834" s="0" t="n">
        <f aca="false">D4834*E4834</f>
        <v>0.5</v>
      </c>
      <c r="L4834" s="0" t="n">
        <f aca="false">D4834*F4834</f>
        <v>-0.875</v>
      </c>
      <c r="M4834" s="0" t="n">
        <f aca="false">E4834*F4834</f>
        <v>-0.4375</v>
      </c>
      <c r="N4834" s="0" t="n">
        <f aca="false">D4834*D4834</f>
        <v>1</v>
      </c>
      <c r="O4834" s="0" t="n">
        <f aca="false">E4834*E4834</f>
        <v>0.25</v>
      </c>
      <c r="P4834" s="0" t="n">
        <f aca="false">F4834*F4834</f>
        <v>0.765625</v>
      </c>
      <c r="Q4834" s="0" t="n">
        <f aca="false">SUMPRODUCT(G4834:P4834,_XtX!$B$71:$K$71)</f>
        <v>47.48984375</v>
      </c>
      <c r="R4834" s="0" t="n">
        <f aca="false">SUMPRODUCT(MMULT(G4834:P4834,_XtX!$B$58:$K$67),G4834:P4834)</f>
        <v>0.55771484375</v>
      </c>
      <c r="S4834" s="0" t="n">
        <f aca="false">04_回帰ANOVA!$K$19*04_回帰ANOVA!$K$14*SQRT(1+R4834)</f>
        <v>1.16040773556467</v>
      </c>
      <c r="T4834" s="0" t="n">
        <f aca="false">Q4834-S4834</f>
        <v>46.3294360144353</v>
      </c>
      <c r="U4834" s="0" t="n">
        <f aca="false">Q4834+S4834</f>
        <v>48.6502514855647</v>
      </c>
      <c r="V4834" s="54" t="b">
        <f aca="false">AND(D4834&gt;=01_因子設定!$L$5-0.000000001,D4834&lt;=01_因子設定!$M$5+0.000000001,E4834&gt;=01_因子設定!$L$6-0.000000001,E4834&lt;=01_因子設定!$M$6+0.000000001,F4834&gt;=01_因子設定!$L$7-0.000000001,F4834&lt;=01_因子設定!$M$7+0.000000001,IF(01_因子設定!$B$20="Box-Behnken",D4834^2+E4834^2+F4834^2&lt;=2+0.000000001,TRUE()))</f>
        <v>1</v>
      </c>
      <c r="W4834" s="55" t="n">
        <f aca="false">IF(V4834,IF(01_因子設定!$B$13="最大化",T4834-01_因子設定!$B$14,IF(01_因子設定!$B$13="最小化",01_因子設定!$B$15-U4834,MIN(T4834-01_因子設定!$B$14,01_因子設定!$B$15-U4834))),-1E+030)</f>
        <v>-2.17056398556467</v>
      </c>
      <c r="X4834" s="55" t="n">
        <f aca="false">IF(V4834,IF(01_因子設定!$B$13="最大化",Q4834,IF(01_因子設定!$B$13="最小化",-Q4834,-ABS(Q4834-01_因子設定!$B$16))),-1E+030)</f>
        <v>47.48984375</v>
      </c>
      <c r="Y4834" s="55" t="n">
        <f aca="false">W4834+ROW()*0.000000001</f>
        <v>-2.17055915156467</v>
      </c>
      <c r="Z4834" s="55" t="n">
        <f aca="false">X4834+ROW()*0.000000001</f>
        <v>47.489848584</v>
      </c>
    </row>
    <row r="4835" customFormat="false" ht="15" hidden="false" customHeight="false" outlineLevel="0" collapsed="false">
      <c r="A4835" s="0" t="n">
        <v>16</v>
      </c>
      <c r="B4835" s="0" t="n">
        <v>12</v>
      </c>
      <c r="C4835" s="0" t="n">
        <v>2</v>
      </c>
      <c r="D4835" s="0" t="n">
        <f aca="false">-1+A4835*0.125</f>
        <v>1</v>
      </c>
      <c r="E4835" s="0" t="n">
        <f aca="false">-1+B4835*0.125</f>
        <v>0.5</v>
      </c>
      <c r="F4835" s="0" t="n">
        <f aca="false">-1+C4835*0.125</f>
        <v>-0.75</v>
      </c>
      <c r="G4835" s="0" t="n">
        <f aca="false">1</f>
        <v>1</v>
      </c>
      <c r="H4835" s="0" t="n">
        <f aca="false">D4835</f>
        <v>1</v>
      </c>
      <c r="I4835" s="0" t="n">
        <f aca="false">E4835</f>
        <v>0.5</v>
      </c>
      <c r="J4835" s="0" t="n">
        <f aca="false">F4835</f>
        <v>-0.75</v>
      </c>
      <c r="K4835" s="0" t="n">
        <f aca="false">D4835*E4835</f>
        <v>0.5</v>
      </c>
      <c r="L4835" s="0" t="n">
        <f aca="false">D4835*F4835</f>
        <v>-0.75</v>
      </c>
      <c r="M4835" s="0" t="n">
        <f aca="false">E4835*F4835</f>
        <v>-0.375</v>
      </c>
      <c r="N4835" s="0" t="n">
        <f aca="false">D4835*D4835</f>
        <v>1</v>
      </c>
      <c r="O4835" s="0" t="n">
        <f aca="false">E4835*E4835</f>
        <v>0.25</v>
      </c>
      <c r="P4835" s="0" t="n">
        <f aca="false">F4835*F4835</f>
        <v>0.5625</v>
      </c>
      <c r="Q4835" s="0" t="n">
        <f aca="false">SUMPRODUCT(G4835:P4835,_XtX!$B$71:$K$71)</f>
        <v>47.9108522727273</v>
      </c>
      <c r="R4835" s="0" t="n">
        <f aca="false">SUMPRODUCT(MMULT(G4835:P4835,_XtX!$B$58:$K$67),G4835:P4835)</f>
        <v>0.495276988636364</v>
      </c>
      <c r="S4835" s="0" t="n">
        <f aca="false">04_回帰ANOVA!$K$19*04_回帰ANOVA!$K$14*SQRT(1+R4835)</f>
        <v>1.13691359828352</v>
      </c>
      <c r="T4835" s="0" t="n">
        <f aca="false">Q4835-S4835</f>
        <v>46.7739386744438</v>
      </c>
      <c r="U4835" s="0" t="n">
        <f aca="false">Q4835+S4835</f>
        <v>49.0477658710108</v>
      </c>
      <c r="V4835" s="54" t="b">
        <f aca="false">AND(D4835&gt;=01_因子設定!$L$5-0.000000001,D4835&lt;=01_因子設定!$M$5+0.000000001,E4835&gt;=01_因子設定!$L$6-0.000000001,E4835&lt;=01_因子設定!$M$6+0.000000001,F4835&gt;=01_因子設定!$L$7-0.000000001,F4835&lt;=01_因子設定!$M$7+0.000000001,IF(01_因子設定!$B$20="Box-Behnken",D4835^2+E4835^2+F4835^2&lt;=2+0.000000001,TRUE()))</f>
        <v>1</v>
      </c>
      <c r="W4835" s="55" t="n">
        <f aca="false">IF(V4835,IF(01_因子設定!$B$13="最大化",T4835-01_因子設定!$B$14,IF(01_因子設定!$B$13="最小化",01_因子設定!$B$15-U4835,MIN(T4835-01_因子設定!$B$14,01_因子設定!$B$15-U4835))),-1E+030)</f>
        <v>-1.72606132555624</v>
      </c>
      <c r="X4835" s="55" t="n">
        <f aca="false">IF(V4835,IF(01_因子設定!$B$13="最大化",Q4835,IF(01_因子設定!$B$13="最小化",-Q4835,-ABS(Q4835-01_因子設定!$B$16))),-1E+030)</f>
        <v>47.9108522727273</v>
      </c>
      <c r="Y4835" s="55" t="n">
        <f aca="false">W4835+ROW()*0.000000001</f>
        <v>-1.72605649055624</v>
      </c>
      <c r="Z4835" s="55" t="n">
        <f aca="false">X4835+ROW()*0.000000001</f>
        <v>47.9108571077273</v>
      </c>
    </row>
    <row r="4836" customFormat="false" ht="15" hidden="false" customHeight="false" outlineLevel="0" collapsed="false">
      <c r="A4836" s="0" t="n">
        <v>16</v>
      </c>
      <c r="B4836" s="0" t="n">
        <v>12</v>
      </c>
      <c r="C4836" s="0" t="n">
        <v>3</v>
      </c>
      <c r="D4836" s="0" t="n">
        <f aca="false">-1+A4836*0.125</f>
        <v>1</v>
      </c>
      <c r="E4836" s="0" t="n">
        <f aca="false">-1+B4836*0.125</f>
        <v>0.5</v>
      </c>
      <c r="F4836" s="0" t="n">
        <f aca="false">-1+C4836*0.125</f>
        <v>-0.625</v>
      </c>
      <c r="G4836" s="0" t="n">
        <f aca="false">1</f>
        <v>1</v>
      </c>
      <c r="H4836" s="0" t="n">
        <f aca="false">D4836</f>
        <v>1</v>
      </c>
      <c r="I4836" s="0" t="n">
        <f aca="false">E4836</f>
        <v>0.5</v>
      </c>
      <c r="J4836" s="0" t="n">
        <f aca="false">F4836</f>
        <v>-0.625</v>
      </c>
      <c r="K4836" s="0" t="n">
        <f aca="false">D4836*E4836</f>
        <v>0.5</v>
      </c>
      <c r="L4836" s="0" t="n">
        <f aca="false">D4836*F4836</f>
        <v>-0.625</v>
      </c>
      <c r="M4836" s="0" t="n">
        <f aca="false">E4836*F4836</f>
        <v>-0.3125</v>
      </c>
      <c r="N4836" s="0" t="n">
        <f aca="false">D4836*D4836</f>
        <v>1</v>
      </c>
      <c r="O4836" s="0" t="n">
        <f aca="false">E4836*E4836</f>
        <v>0.25</v>
      </c>
      <c r="P4836" s="0" t="n">
        <f aca="false">F4836*F4836</f>
        <v>0.390625</v>
      </c>
      <c r="Q4836" s="0" t="n">
        <f aca="false">SUMPRODUCT(G4836:P4836,_XtX!$B$71:$K$71)</f>
        <v>48.2950710227273</v>
      </c>
      <c r="R4836" s="0" t="n">
        <f aca="false">SUMPRODUCT(MMULT(G4836:P4836,_XtX!$B$58:$K$67),G4836:P4836)</f>
        <v>0.465882457386364</v>
      </c>
      <c r="S4836" s="0" t="n">
        <f aca="false">04_回帰ANOVA!$K$19*04_回帰ANOVA!$K$14*SQRT(1+R4836)</f>
        <v>1.12568326538173</v>
      </c>
      <c r="T4836" s="0" t="n">
        <f aca="false">Q4836-S4836</f>
        <v>47.1693877573456</v>
      </c>
      <c r="U4836" s="0" t="n">
        <f aca="false">Q4836+S4836</f>
        <v>49.420754288109</v>
      </c>
      <c r="V4836" s="54" t="b">
        <f aca="false">AND(D4836&gt;=01_因子設定!$L$5-0.000000001,D4836&lt;=01_因子設定!$M$5+0.000000001,E4836&gt;=01_因子設定!$L$6-0.000000001,E4836&lt;=01_因子設定!$M$6+0.000000001,F4836&gt;=01_因子設定!$L$7-0.000000001,F4836&lt;=01_因子設定!$M$7+0.000000001,IF(01_因子設定!$B$20="Box-Behnken",D4836^2+E4836^2+F4836^2&lt;=2+0.000000001,TRUE()))</f>
        <v>1</v>
      </c>
      <c r="W4836" s="55" t="n">
        <f aca="false">IF(V4836,IF(01_因子設定!$B$13="最大化",T4836-01_因子設定!$B$14,IF(01_因子設定!$B$13="最小化",01_因子設定!$B$15-U4836,MIN(T4836-01_因子設定!$B$14,01_因子設定!$B$15-U4836))),-1E+030)</f>
        <v>-1.33061224265445</v>
      </c>
      <c r="X4836" s="55" t="n">
        <f aca="false">IF(V4836,IF(01_因子設定!$B$13="最大化",Q4836,IF(01_因子設定!$B$13="最小化",-Q4836,-ABS(Q4836-01_因子設定!$B$16))),-1E+030)</f>
        <v>48.2950710227273</v>
      </c>
      <c r="Y4836" s="55" t="n">
        <f aca="false">W4836+ROW()*0.000000001</f>
        <v>-1.33060740665445</v>
      </c>
      <c r="Z4836" s="55" t="n">
        <f aca="false">X4836+ROW()*0.000000001</f>
        <v>48.2950758587273</v>
      </c>
    </row>
    <row r="4837" customFormat="false" ht="15" hidden="false" customHeight="false" outlineLevel="0" collapsed="false">
      <c r="A4837" s="0" t="n">
        <v>16</v>
      </c>
      <c r="B4837" s="0" t="n">
        <v>12</v>
      </c>
      <c r="C4837" s="0" t="n">
        <v>4</v>
      </c>
      <c r="D4837" s="0" t="n">
        <f aca="false">-1+A4837*0.125</f>
        <v>1</v>
      </c>
      <c r="E4837" s="0" t="n">
        <f aca="false">-1+B4837*0.125</f>
        <v>0.5</v>
      </c>
      <c r="F4837" s="0" t="n">
        <f aca="false">-1+C4837*0.125</f>
        <v>-0.5</v>
      </c>
      <c r="G4837" s="0" t="n">
        <f aca="false">1</f>
        <v>1</v>
      </c>
      <c r="H4837" s="0" t="n">
        <f aca="false">D4837</f>
        <v>1</v>
      </c>
      <c r="I4837" s="0" t="n">
        <f aca="false">E4837</f>
        <v>0.5</v>
      </c>
      <c r="J4837" s="0" t="n">
        <f aca="false">F4837</f>
        <v>-0.5</v>
      </c>
      <c r="K4837" s="0" t="n">
        <f aca="false">D4837*E4837</f>
        <v>0.5</v>
      </c>
      <c r="L4837" s="0" t="n">
        <f aca="false">D4837*F4837</f>
        <v>-0.5</v>
      </c>
      <c r="M4837" s="0" t="n">
        <f aca="false">E4837*F4837</f>
        <v>-0.25</v>
      </c>
      <c r="N4837" s="0" t="n">
        <f aca="false">D4837*D4837</f>
        <v>1</v>
      </c>
      <c r="O4837" s="0" t="n">
        <f aca="false">E4837*E4837</f>
        <v>0.25</v>
      </c>
      <c r="P4837" s="0" t="n">
        <f aca="false">F4837*F4837</f>
        <v>0.25</v>
      </c>
      <c r="Q4837" s="0" t="n">
        <f aca="false">SUMPRODUCT(G4837:P4837,_XtX!$B$71:$K$71)</f>
        <v>48.6425</v>
      </c>
      <c r="R4837" s="0" t="n">
        <f aca="false">SUMPRODUCT(MMULT(G4837:P4837,_XtX!$B$58:$K$67),G4837:P4837)</f>
        <v>0.4578125</v>
      </c>
      <c r="S4837" s="0" t="n">
        <f aca="false">04_回帰ANOVA!$K$19*04_回帰ANOVA!$K$14*SQRT(1+R4837)</f>
        <v>1.12258044051089</v>
      </c>
      <c r="T4837" s="0" t="n">
        <f aca="false">Q4837-S4837</f>
        <v>47.5199195594891</v>
      </c>
      <c r="U4837" s="0" t="n">
        <f aca="false">Q4837+S4837</f>
        <v>49.7650804405109</v>
      </c>
      <c r="V4837" s="54" t="b">
        <f aca="false">AND(D4837&gt;=01_因子設定!$L$5-0.000000001,D4837&lt;=01_因子設定!$M$5+0.000000001,E4837&gt;=01_因子設定!$L$6-0.000000001,E4837&lt;=01_因子設定!$M$6+0.000000001,F4837&gt;=01_因子設定!$L$7-0.000000001,F4837&lt;=01_因子設定!$M$7+0.000000001,IF(01_因子設定!$B$20="Box-Behnken",D4837^2+E4837^2+F4837^2&lt;=2+0.000000001,TRUE()))</f>
        <v>1</v>
      </c>
      <c r="W4837" s="55" t="n">
        <f aca="false">IF(V4837,IF(01_因子設定!$B$13="最大化",T4837-01_因子設定!$B$14,IF(01_因子設定!$B$13="最小化",01_因子設定!$B$15-U4837,MIN(T4837-01_因子設定!$B$14,01_因子設定!$B$15-U4837))),-1E+030)</f>
        <v>-0.980080440510896</v>
      </c>
      <c r="X4837" s="55" t="n">
        <f aca="false">IF(V4837,IF(01_因子設定!$B$13="最大化",Q4837,IF(01_因子設定!$B$13="最小化",-Q4837,-ABS(Q4837-01_因子設定!$B$16))),-1E+030)</f>
        <v>48.6425</v>
      </c>
      <c r="Y4837" s="55" t="n">
        <f aca="false">W4837+ROW()*0.000000001</f>
        <v>-0.980075603510896</v>
      </c>
      <c r="Z4837" s="55" t="n">
        <f aca="false">X4837+ROW()*0.000000001</f>
        <v>48.642504837</v>
      </c>
    </row>
    <row r="4838" customFormat="false" ht="15" hidden="false" customHeight="false" outlineLevel="0" collapsed="false">
      <c r="A4838" s="0" t="n">
        <v>16</v>
      </c>
      <c r="B4838" s="0" t="n">
        <v>12</v>
      </c>
      <c r="C4838" s="0" t="n">
        <v>5</v>
      </c>
      <c r="D4838" s="0" t="n">
        <f aca="false">-1+A4838*0.125</f>
        <v>1</v>
      </c>
      <c r="E4838" s="0" t="n">
        <f aca="false">-1+B4838*0.125</f>
        <v>0.5</v>
      </c>
      <c r="F4838" s="0" t="n">
        <f aca="false">-1+C4838*0.125</f>
        <v>-0.375</v>
      </c>
      <c r="G4838" s="0" t="n">
        <f aca="false">1</f>
        <v>1</v>
      </c>
      <c r="H4838" s="0" t="n">
        <f aca="false">D4838</f>
        <v>1</v>
      </c>
      <c r="I4838" s="0" t="n">
        <f aca="false">E4838</f>
        <v>0.5</v>
      </c>
      <c r="J4838" s="0" t="n">
        <f aca="false">F4838</f>
        <v>-0.375</v>
      </c>
      <c r="K4838" s="0" t="n">
        <f aca="false">D4838*E4838</f>
        <v>0.5</v>
      </c>
      <c r="L4838" s="0" t="n">
        <f aca="false">D4838*F4838</f>
        <v>-0.375</v>
      </c>
      <c r="M4838" s="0" t="n">
        <f aca="false">E4838*F4838</f>
        <v>-0.1875</v>
      </c>
      <c r="N4838" s="0" t="n">
        <f aca="false">D4838*D4838</f>
        <v>1</v>
      </c>
      <c r="O4838" s="0" t="n">
        <f aca="false">E4838*E4838</f>
        <v>0.25</v>
      </c>
      <c r="P4838" s="0" t="n">
        <f aca="false">F4838*F4838</f>
        <v>0.140625</v>
      </c>
      <c r="Q4838" s="0" t="n">
        <f aca="false">SUMPRODUCT(G4838:P4838,_XtX!$B$71:$K$71)</f>
        <v>48.9531392045454</v>
      </c>
      <c r="R4838" s="0" t="n">
        <f aca="false">SUMPRODUCT(MMULT(G4838:P4838,_XtX!$B$58:$K$67),G4838:P4838)</f>
        <v>0.461479048295455</v>
      </c>
      <c r="S4838" s="0" t="n">
        <f aca="false">04_回帰ANOVA!$K$19*04_回帰ANOVA!$K$14*SQRT(1+R4838)</f>
        <v>1.12399125658369</v>
      </c>
      <c r="T4838" s="0" t="n">
        <f aca="false">Q4838-S4838</f>
        <v>47.8291479479618</v>
      </c>
      <c r="U4838" s="0" t="n">
        <f aca="false">Q4838+S4838</f>
        <v>50.0771304611291</v>
      </c>
      <c r="V4838" s="54" t="b">
        <f aca="false">AND(D4838&gt;=01_因子設定!$L$5-0.000000001,D4838&lt;=01_因子設定!$M$5+0.000000001,E4838&gt;=01_因子設定!$L$6-0.000000001,E4838&lt;=01_因子設定!$M$6+0.000000001,F4838&gt;=01_因子設定!$L$7-0.000000001,F4838&lt;=01_因子設定!$M$7+0.000000001,IF(01_因子設定!$B$20="Box-Behnken",D4838^2+E4838^2+F4838^2&lt;=2+0.000000001,TRUE()))</f>
        <v>1</v>
      </c>
      <c r="W4838" s="55" t="n">
        <f aca="false">IF(V4838,IF(01_因子設定!$B$13="最大化",T4838-01_因子設定!$B$14,IF(01_因子設定!$B$13="最小化",01_因子設定!$B$15-U4838,MIN(T4838-01_因子設定!$B$14,01_因子設定!$B$15-U4838))),-1E+030)</f>
        <v>-0.670852052038242</v>
      </c>
      <c r="X4838" s="55" t="n">
        <f aca="false">IF(V4838,IF(01_因子設定!$B$13="最大化",Q4838,IF(01_因子設定!$B$13="最小化",-Q4838,-ABS(Q4838-01_因子設定!$B$16))),-1E+030)</f>
        <v>48.9531392045454</v>
      </c>
      <c r="Y4838" s="55" t="n">
        <f aca="false">W4838+ROW()*0.000000001</f>
        <v>-0.670847214038242</v>
      </c>
      <c r="Z4838" s="55" t="n">
        <f aca="false">X4838+ROW()*0.000000001</f>
        <v>48.9531440425454</v>
      </c>
    </row>
    <row r="4839" customFormat="false" ht="15" hidden="false" customHeight="false" outlineLevel="0" collapsed="false">
      <c r="A4839" s="0" t="n">
        <v>16</v>
      </c>
      <c r="B4839" s="0" t="n">
        <v>12</v>
      </c>
      <c r="C4839" s="0" t="n">
        <v>6</v>
      </c>
      <c r="D4839" s="0" t="n">
        <f aca="false">-1+A4839*0.125</f>
        <v>1</v>
      </c>
      <c r="E4839" s="0" t="n">
        <f aca="false">-1+B4839*0.125</f>
        <v>0.5</v>
      </c>
      <c r="F4839" s="0" t="n">
        <f aca="false">-1+C4839*0.125</f>
        <v>-0.25</v>
      </c>
      <c r="G4839" s="0" t="n">
        <f aca="false">1</f>
        <v>1</v>
      </c>
      <c r="H4839" s="0" t="n">
        <f aca="false">D4839</f>
        <v>1</v>
      </c>
      <c r="I4839" s="0" t="n">
        <f aca="false">E4839</f>
        <v>0.5</v>
      </c>
      <c r="J4839" s="0" t="n">
        <f aca="false">F4839</f>
        <v>-0.25</v>
      </c>
      <c r="K4839" s="0" t="n">
        <f aca="false">D4839*E4839</f>
        <v>0.5</v>
      </c>
      <c r="L4839" s="0" t="n">
        <f aca="false">D4839*F4839</f>
        <v>-0.25</v>
      </c>
      <c r="M4839" s="0" t="n">
        <f aca="false">E4839*F4839</f>
        <v>-0.125</v>
      </c>
      <c r="N4839" s="0" t="n">
        <f aca="false">D4839*D4839</f>
        <v>1</v>
      </c>
      <c r="O4839" s="0" t="n">
        <f aca="false">E4839*E4839</f>
        <v>0.25</v>
      </c>
      <c r="P4839" s="0" t="n">
        <f aca="false">F4839*F4839</f>
        <v>0.0625</v>
      </c>
      <c r="Q4839" s="0" t="n">
        <f aca="false">SUMPRODUCT(G4839:P4839,_XtX!$B$71:$K$71)</f>
        <v>49.2269886363636</v>
      </c>
      <c r="R4839" s="0" t="n">
        <f aca="false">SUMPRODUCT(MMULT(G4839:P4839,_XtX!$B$58:$K$67),G4839:P4839)</f>
        <v>0.469424715909091</v>
      </c>
      <c r="S4839" s="0" t="n">
        <f aca="false">04_回帰ANOVA!$K$19*04_回帰ANOVA!$K$14*SQRT(1+R4839)</f>
        <v>1.12704253369596</v>
      </c>
      <c r="T4839" s="0" t="n">
        <f aca="false">Q4839-S4839</f>
        <v>48.0999461026677</v>
      </c>
      <c r="U4839" s="0" t="n">
        <f aca="false">Q4839+S4839</f>
        <v>50.3540311700596</v>
      </c>
      <c r="V4839" s="54" t="b">
        <f aca="false">AND(D4839&gt;=01_因子設定!$L$5-0.000000001,D4839&lt;=01_因子設定!$M$5+0.000000001,E4839&gt;=01_因子設定!$L$6-0.000000001,E4839&lt;=01_因子設定!$M$6+0.000000001,F4839&gt;=01_因子設定!$L$7-0.000000001,F4839&lt;=01_因子設定!$M$7+0.000000001,IF(01_因子設定!$B$20="Box-Behnken",D4839^2+E4839^2+F4839^2&lt;=2+0.000000001,TRUE()))</f>
        <v>1</v>
      </c>
      <c r="W4839" s="55" t="n">
        <f aca="false">IF(V4839,IF(01_因子設定!$B$13="最大化",T4839-01_因子設定!$B$14,IF(01_因子設定!$B$13="最小化",01_因子設定!$B$15-U4839,MIN(T4839-01_因子設定!$B$14,01_因子設定!$B$15-U4839))),-1E+030)</f>
        <v>-0.400053897332327</v>
      </c>
      <c r="X4839" s="55" t="n">
        <f aca="false">IF(V4839,IF(01_因子設定!$B$13="最大化",Q4839,IF(01_因子設定!$B$13="最小化",-Q4839,-ABS(Q4839-01_因子設定!$B$16))),-1E+030)</f>
        <v>49.2269886363636</v>
      </c>
      <c r="Y4839" s="55" t="n">
        <f aca="false">W4839+ROW()*0.000000001</f>
        <v>-0.400049058332327</v>
      </c>
      <c r="Z4839" s="55" t="n">
        <f aca="false">X4839+ROW()*0.000000001</f>
        <v>49.2269934753636</v>
      </c>
    </row>
    <row r="4840" customFormat="false" ht="15" hidden="false" customHeight="false" outlineLevel="0" collapsed="false">
      <c r="A4840" s="0" t="n">
        <v>16</v>
      </c>
      <c r="B4840" s="0" t="n">
        <v>12</v>
      </c>
      <c r="C4840" s="0" t="n">
        <v>7</v>
      </c>
      <c r="D4840" s="0" t="n">
        <f aca="false">-1+A4840*0.125</f>
        <v>1</v>
      </c>
      <c r="E4840" s="0" t="n">
        <f aca="false">-1+B4840*0.125</f>
        <v>0.5</v>
      </c>
      <c r="F4840" s="0" t="n">
        <f aca="false">-1+C4840*0.125</f>
        <v>-0.125</v>
      </c>
      <c r="G4840" s="0" t="n">
        <f aca="false">1</f>
        <v>1</v>
      </c>
      <c r="H4840" s="0" t="n">
        <f aca="false">D4840</f>
        <v>1</v>
      </c>
      <c r="I4840" s="0" t="n">
        <f aca="false">E4840</f>
        <v>0.5</v>
      </c>
      <c r="J4840" s="0" t="n">
        <f aca="false">F4840</f>
        <v>-0.125</v>
      </c>
      <c r="K4840" s="0" t="n">
        <f aca="false">D4840*E4840</f>
        <v>0.5</v>
      </c>
      <c r="L4840" s="0" t="n">
        <f aca="false">D4840*F4840</f>
        <v>-0.125</v>
      </c>
      <c r="M4840" s="0" t="n">
        <f aca="false">E4840*F4840</f>
        <v>-0.0625</v>
      </c>
      <c r="N4840" s="0" t="n">
        <f aca="false">D4840*D4840</f>
        <v>1</v>
      </c>
      <c r="O4840" s="0" t="n">
        <f aca="false">E4840*E4840</f>
        <v>0.25</v>
      </c>
      <c r="P4840" s="0" t="n">
        <f aca="false">F4840*F4840</f>
        <v>0.015625</v>
      </c>
      <c r="Q4840" s="0" t="n">
        <f aca="false">SUMPRODUCT(G4840:P4840,_XtX!$B$71:$K$71)</f>
        <v>49.4640482954545</v>
      </c>
      <c r="R4840" s="0" t="n">
        <f aca="false">SUMPRODUCT(MMULT(G4840:P4840,_XtX!$B$58:$K$67),G4840:P4840)</f>
        <v>0.476322798295455</v>
      </c>
      <c r="S4840" s="0" t="n">
        <f aca="false">04_回帰ANOVA!$K$19*04_回帰ANOVA!$K$14*SQRT(1+R4840)</f>
        <v>1.12968483630128</v>
      </c>
      <c r="T4840" s="0" t="n">
        <f aca="false">Q4840-S4840</f>
        <v>48.3343634591533</v>
      </c>
      <c r="U4840" s="0" t="n">
        <f aca="false">Q4840+S4840</f>
        <v>50.5937331317558</v>
      </c>
      <c r="V4840" s="54" t="b">
        <f aca="false">AND(D4840&gt;=01_因子設定!$L$5-0.000000001,D4840&lt;=01_因子設定!$M$5+0.000000001,E4840&gt;=01_因子設定!$L$6-0.000000001,E4840&lt;=01_因子設定!$M$6+0.000000001,F4840&gt;=01_因子設定!$L$7-0.000000001,F4840&lt;=01_因子設定!$M$7+0.000000001,IF(01_因子設定!$B$20="Box-Behnken",D4840^2+E4840^2+F4840^2&lt;=2+0.000000001,TRUE()))</f>
        <v>1</v>
      </c>
      <c r="W4840" s="55" t="n">
        <f aca="false">IF(V4840,IF(01_因子設定!$B$13="最大化",T4840-01_因子設定!$B$14,IF(01_因子設定!$B$13="最小化",01_因子設定!$B$15-U4840,MIN(T4840-01_因子設定!$B$14,01_因子設定!$B$15-U4840))),-1E+030)</f>
        <v>-0.165636540846748</v>
      </c>
      <c r="X4840" s="55" t="n">
        <f aca="false">IF(V4840,IF(01_因子設定!$B$13="最大化",Q4840,IF(01_因子設定!$B$13="最小化",-Q4840,-ABS(Q4840-01_因子設定!$B$16))),-1E+030)</f>
        <v>49.4640482954545</v>
      </c>
      <c r="Y4840" s="55" t="n">
        <f aca="false">W4840+ROW()*0.000000001</f>
        <v>-0.165631700846748</v>
      </c>
      <c r="Z4840" s="55" t="n">
        <f aca="false">X4840+ROW()*0.000000001</f>
        <v>49.4640531354545</v>
      </c>
    </row>
    <row r="4841" customFormat="false" ht="15" hidden="false" customHeight="false" outlineLevel="0" collapsed="false">
      <c r="A4841" s="0" t="n">
        <v>16</v>
      </c>
      <c r="B4841" s="0" t="n">
        <v>12</v>
      </c>
      <c r="C4841" s="0" t="n">
        <v>8</v>
      </c>
      <c r="D4841" s="0" t="n">
        <f aca="false">-1+A4841*0.125</f>
        <v>1</v>
      </c>
      <c r="E4841" s="0" t="n">
        <f aca="false">-1+B4841*0.125</f>
        <v>0.5</v>
      </c>
      <c r="F4841" s="0" t="n">
        <f aca="false">-1+C4841*0.125</f>
        <v>0</v>
      </c>
      <c r="G4841" s="0" t="n">
        <f aca="false">1</f>
        <v>1</v>
      </c>
      <c r="H4841" s="0" t="n">
        <f aca="false">D4841</f>
        <v>1</v>
      </c>
      <c r="I4841" s="0" t="n">
        <f aca="false">E4841</f>
        <v>0.5</v>
      </c>
      <c r="J4841" s="0" t="n">
        <f aca="false">F4841</f>
        <v>0</v>
      </c>
      <c r="K4841" s="0" t="n">
        <f aca="false">D4841*E4841</f>
        <v>0.5</v>
      </c>
      <c r="L4841" s="0" t="n">
        <f aca="false">D4841*F4841</f>
        <v>0</v>
      </c>
      <c r="M4841" s="0" t="n">
        <f aca="false">E4841*F4841</f>
        <v>0</v>
      </c>
      <c r="N4841" s="0" t="n">
        <f aca="false">D4841*D4841</f>
        <v>1</v>
      </c>
      <c r="O4841" s="0" t="n">
        <f aca="false">E4841*E4841</f>
        <v>0.25</v>
      </c>
      <c r="P4841" s="0" t="n">
        <f aca="false">F4841*F4841</f>
        <v>0</v>
      </c>
      <c r="Q4841" s="0" t="n">
        <f aca="false">SUMPRODUCT(G4841:P4841,_XtX!$B$71:$K$71)</f>
        <v>49.6643181818182</v>
      </c>
      <c r="R4841" s="0" t="n">
        <f aca="false">SUMPRODUCT(MMULT(G4841:P4841,_XtX!$B$58:$K$67),G4841:P4841)</f>
        <v>0.478977272727273</v>
      </c>
      <c r="S4841" s="0" t="n">
        <f aca="false">04_回帰ANOVA!$K$19*04_回帰ANOVA!$K$14*SQRT(1+R4841)</f>
        <v>1.13069998447216</v>
      </c>
      <c r="T4841" s="0" t="n">
        <f aca="false">Q4841-S4841</f>
        <v>48.533618197346</v>
      </c>
      <c r="U4841" s="0" t="n">
        <f aca="false">Q4841+S4841</f>
        <v>50.7950181662903</v>
      </c>
      <c r="V4841" s="54" t="b">
        <f aca="false">AND(D4841&gt;=01_因子設定!$L$5-0.000000001,D4841&lt;=01_因子設定!$M$5+0.000000001,E4841&gt;=01_因子設定!$L$6-0.000000001,E4841&lt;=01_因子設定!$M$6+0.000000001,F4841&gt;=01_因子設定!$L$7-0.000000001,F4841&lt;=01_因子設定!$M$7+0.000000001,IF(01_因子設定!$B$20="Box-Behnken",D4841^2+E4841^2+F4841^2&lt;=2+0.000000001,TRUE()))</f>
        <v>1</v>
      </c>
      <c r="W4841" s="55" t="n">
        <f aca="false">IF(V4841,IF(01_因子設定!$B$13="最大化",T4841-01_因子設定!$B$14,IF(01_因子設定!$B$13="最小化",01_因子設定!$B$15-U4841,MIN(T4841-01_因子設定!$B$14,01_因子設定!$B$15-U4841))),-1E+030)</f>
        <v>0.0336181973460157</v>
      </c>
      <c r="X4841" s="55" t="n">
        <f aca="false">IF(V4841,IF(01_因子設定!$B$13="最大化",Q4841,IF(01_因子設定!$B$13="最小化",-Q4841,-ABS(Q4841-01_因子設定!$B$16))),-1E+030)</f>
        <v>49.6643181818182</v>
      </c>
      <c r="Y4841" s="55" t="n">
        <f aca="false">W4841+ROW()*0.000000001</f>
        <v>0.0336230383460157</v>
      </c>
      <c r="Z4841" s="55" t="n">
        <f aca="false">X4841+ROW()*0.000000001</f>
        <v>49.6643230228182</v>
      </c>
    </row>
    <row r="4842" customFormat="false" ht="15" hidden="false" customHeight="false" outlineLevel="0" collapsed="false">
      <c r="A4842" s="0" t="n">
        <v>16</v>
      </c>
      <c r="B4842" s="0" t="n">
        <v>12</v>
      </c>
      <c r="C4842" s="0" t="n">
        <v>9</v>
      </c>
      <c r="D4842" s="0" t="n">
        <f aca="false">-1+A4842*0.125</f>
        <v>1</v>
      </c>
      <c r="E4842" s="0" t="n">
        <f aca="false">-1+B4842*0.125</f>
        <v>0.5</v>
      </c>
      <c r="F4842" s="0" t="n">
        <f aca="false">-1+C4842*0.125</f>
        <v>0.125</v>
      </c>
      <c r="G4842" s="0" t="n">
        <f aca="false">1</f>
        <v>1</v>
      </c>
      <c r="H4842" s="0" t="n">
        <f aca="false">D4842</f>
        <v>1</v>
      </c>
      <c r="I4842" s="0" t="n">
        <f aca="false">E4842</f>
        <v>0.5</v>
      </c>
      <c r="J4842" s="0" t="n">
        <f aca="false">F4842</f>
        <v>0.125</v>
      </c>
      <c r="K4842" s="0" t="n">
        <f aca="false">D4842*E4842</f>
        <v>0.5</v>
      </c>
      <c r="L4842" s="0" t="n">
        <f aca="false">D4842*F4842</f>
        <v>0.125</v>
      </c>
      <c r="M4842" s="0" t="n">
        <f aca="false">E4842*F4842</f>
        <v>0.0625</v>
      </c>
      <c r="N4842" s="0" t="n">
        <f aca="false">D4842*D4842</f>
        <v>1</v>
      </c>
      <c r="O4842" s="0" t="n">
        <f aca="false">E4842*E4842</f>
        <v>0.25</v>
      </c>
      <c r="P4842" s="0" t="n">
        <f aca="false">F4842*F4842</f>
        <v>0.015625</v>
      </c>
      <c r="Q4842" s="0" t="n">
        <f aca="false">SUMPRODUCT(G4842:P4842,_XtX!$B$71:$K$71)</f>
        <v>49.8277982954545</v>
      </c>
      <c r="R4842" s="0" t="n">
        <f aca="false">SUMPRODUCT(MMULT(G4842:P4842,_XtX!$B$58:$K$67),G4842:P4842)</f>
        <v>0.476322798295455</v>
      </c>
      <c r="S4842" s="0" t="n">
        <f aca="false">04_回帰ANOVA!$K$19*04_回帰ANOVA!$K$14*SQRT(1+R4842)</f>
        <v>1.12968483630128</v>
      </c>
      <c r="T4842" s="0" t="n">
        <f aca="false">Q4842-S4842</f>
        <v>48.6981134591533</v>
      </c>
      <c r="U4842" s="0" t="n">
        <f aca="false">Q4842+S4842</f>
        <v>50.9574831317558</v>
      </c>
      <c r="V4842" s="54" t="b">
        <f aca="false">AND(D4842&gt;=01_因子設定!$L$5-0.000000001,D4842&lt;=01_因子設定!$M$5+0.000000001,E4842&gt;=01_因子設定!$L$6-0.000000001,E4842&lt;=01_因子設定!$M$6+0.000000001,F4842&gt;=01_因子設定!$L$7-0.000000001,F4842&lt;=01_因子設定!$M$7+0.000000001,IF(01_因子設定!$B$20="Box-Behnken",D4842^2+E4842^2+F4842^2&lt;=2+0.000000001,TRUE()))</f>
        <v>1</v>
      </c>
      <c r="W4842" s="55" t="n">
        <f aca="false">IF(V4842,IF(01_因子設定!$B$13="最大化",T4842-01_因子設定!$B$14,IF(01_因子設定!$B$13="最小化",01_因子設定!$B$15-U4842,MIN(T4842-01_因子設定!$B$14,01_因子設定!$B$15-U4842))),-1E+030)</f>
        <v>0.198113459153255</v>
      </c>
      <c r="X4842" s="55" t="n">
        <f aca="false">IF(V4842,IF(01_因子設定!$B$13="最大化",Q4842,IF(01_因子設定!$B$13="最小化",-Q4842,-ABS(Q4842-01_因子設定!$B$16))),-1E+030)</f>
        <v>49.8277982954545</v>
      </c>
      <c r="Y4842" s="55" t="n">
        <f aca="false">W4842+ROW()*0.000000001</f>
        <v>0.198118301153255</v>
      </c>
      <c r="Z4842" s="55" t="n">
        <f aca="false">X4842+ROW()*0.000000001</f>
        <v>49.8278031374545</v>
      </c>
    </row>
    <row r="4843" customFormat="false" ht="15" hidden="false" customHeight="false" outlineLevel="0" collapsed="false">
      <c r="A4843" s="0" t="n">
        <v>16</v>
      </c>
      <c r="B4843" s="0" t="n">
        <v>12</v>
      </c>
      <c r="C4843" s="0" t="n">
        <v>10</v>
      </c>
      <c r="D4843" s="0" t="n">
        <f aca="false">-1+A4843*0.125</f>
        <v>1</v>
      </c>
      <c r="E4843" s="0" t="n">
        <f aca="false">-1+B4843*0.125</f>
        <v>0.5</v>
      </c>
      <c r="F4843" s="0" t="n">
        <f aca="false">-1+C4843*0.125</f>
        <v>0.25</v>
      </c>
      <c r="G4843" s="0" t="n">
        <f aca="false">1</f>
        <v>1</v>
      </c>
      <c r="H4843" s="0" t="n">
        <f aca="false">D4843</f>
        <v>1</v>
      </c>
      <c r="I4843" s="0" t="n">
        <f aca="false">E4843</f>
        <v>0.5</v>
      </c>
      <c r="J4843" s="0" t="n">
        <f aca="false">F4843</f>
        <v>0.25</v>
      </c>
      <c r="K4843" s="0" t="n">
        <f aca="false">D4843*E4843</f>
        <v>0.5</v>
      </c>
      <c r="L4843" s="0" t="n">
        <f aca="false">D4843*F4843</f>
        <v>0.25</v>
      </c>
      <c r="M4843" s="0" t="n">
        <f aca="false">E4843*F4843</f>
        <v>0.125</v>
      </c>
      <c r="N4843" s="0" t="n">
        <f aca="false">D4843*D4843</f>
        <v>1</v>
      </c>
      <c r="O4843" s="0" t="n">
        <f aca="false">E4843*E4843</f>
        <v>0.25</v>
      </c>
      <c r="P4843" s="0" t="n">
        <f aca="false">F4843*F4843</f>
        <v>0.0625</v>
      </c>
      <c r="Q4843" s="0" t="n">
        <f aca="false">SUMPRODUCT(G4843:P4843,_XtX!$B$71:$K$71)</f>
        <v>49.9544886363636</v>
      </c>
      <c r="R4843" s="0" t="n">
        <f aca="false">SUMPRODUCT(MMULT(G4843:P4843,_XtX!$B$58:$K$67),G4843:P4843)</f>
        <v>0.469424715909091</v>
      </c>
      <c r="S4843" s="0" t="n">
        <f aca="false">04_回帰ANOVA!$K$19*04_回帰ANOVA!$K$14*SQRT(1+R4843)</f>
        <v>1.12704253369596</v>
      </c>
      <c r="T4843" s="0" t="n">
        <f aca="false">Q4843-S4843</f>
        <v>48.8274461026677</v>
      </c>
      <c r="U4843" s="0" t="n">
        <f aca="false">Q4843+S4843</f>
        <v>51.0815311700596</v>
      </c>
      <c r="V4843" s="54" t="b">
        <f aca="false">AND(D4843&gt;=01_因子設定!$L$5-0.000000001,D4843&lt;=01_因子設定!$M$5+0.000000001,E4843&gt;=01_因子設定!$L$6-0.000000001,E4843&lt;=01_因子設定!$M$6+0.000000001,F4843&gt;=01_因子設定!$L$7-0.000000001,F4843&lt;=01_因子設定!$M$7+0.000000001,IF(01_因子設定!$B$20="Box-Behnken",D4843^2+E4843^2+F4843^2&lt;=2+0.000000001,TRUE()))</f>
        <v>1</v>
      </c>
      <c r="W4843" s="55" t="n">
        <f aca="false">IF(V4843,IF(01_因子設定!$B$13="最大化",T4843-01_因子設定!$B$14,IF(01_因子設定!$B$13="最小化",01_因子設定!$B$15-U4843,MIN(T4843-01_因子設定!$B$14,01_因子設定!$B$15-U4843))),-1E+030)</f>
        <v>0.327446102667672</v>
      </c>
      <c r="X4843" s="55" t="n">
        <f aca="false">IF(V4843,IF(01_因子設定!$B$13="最大化",Q4843,IF(01_因子設定!$B$13="最小化",-Q4843,-ABS(Q4843-01_因子設定!$B$16))),-1E+030)</f>
        <v>49.9544886363636</v>
      </c>
      <c r="Y4843" s="55" t="n">
        <f aca="false">W4843+ROW()*0.000000001</f>
        <v>0.327450945667672</v>
      </c>
      <c r="Z4843" s="55" t="n">
        <f aca="false">X4843+ROW()*0.000000001</f>
        <v>49.9544934793636</v>
      </c>
    </row>
    <row r="4844" customFormat="false" ht="15" hidden="false" customHeight="false" outlineLevel="0" collapsed="false">
      <c r="A4844" s="0" t="n">
        <v>16</v>
      </c>
      <c r="B4844" s="0" t="n">
        <v>12</v>
      </c>
      <c r="C4844" s="0" t="n">
        <v>11</v>
      </c>
      <c r="D4844" s="0" t="n">
        <f aca="false">-1+A4844*0.125</f>
        <v>1</v>
      </c>
      <c r="E4844" s="0" t="n">
        <f aca="false">-1+B4844*0.125</f>
        <v>0.5</v>
      </c>
      <c r="F4844" s="0" t="n">
        <f aca="false">-1+C4844*0.125</f>
        <v>0.375</v>
      </c>
      <c r="G4844" s="0" t="n">
        <f aca="false">1</f>
        <v>1</v>
      </c>
      <c r="H4844" s="0" t="n">
        <f aca="false">D4844</f>
        <v>1</v>
      </c>
      <c r="I4844" s="0" t="n">
        <f aca="false">E4844</f>
        <v>0.5</v>
      </c>
      <c r="J4844" s="0" t="n">
        <f aca="false">F4844</f>
        <v>0.375</v>
      </c>
      <c r="K4844" s="0" t="n">
        <f aca="false">D4844*E4844</f>
        <v>0.5</v>
      </c>
      <c r="L4844" s="0" t="n">
        <f aca="false">D4844*F4844</f>
        <v>0.375</v>
      </c>
      <c r="M4844" s="0" t="n">
        <f aca="false">E4844*F4844</f>
        <v>0.1875</v>
      </c>
      <c r="N4844" s="0" t="n">
        <f aca="false">D4844*D4844</f>
        <v>1</v>
      </c>
      <c r="O4844" s="0" t="n">
        <f aca="false">E4844*E4844</f>
        <v>0.25</v>
      </c>
      <c r="P4844" s="0" t="n">
        <f aca="false">F4844*F4844</f>
        <v>0.140625</v>
      </c>
      <c r="Q4844" s="0" t="n">
        <f aca="false">SUMPRODUCT(G4844:P4844,_XtX!$B$71:$K$71)</f>
        <v>50.0443892045454</v>
      </c>
      <c r="R4844" s="0" t="n">
        <f aca="false">SUMPRODUCT(MMULT(G4844:P4844,_XtX!$B$58:$K$67),G4844:P4844)</f>
        <v>0.461479048295455</v>
      </c>
      <c r="S4844" s="0" t="n">
        <f aca="false">04_回帰ANOVA!$K$19*04_回帰ANOVA!$K$14*SQRT(1+R4844)</f>
        <v>1.12399125658369</v>
      </c>
      <c r="T4844" s="0" t="n">
        <f aca="false">Q4844-S4844</f>
        <v>48.9203979479618</v>
      </c>
      <c r="U4844" s="0" t="n">
        <f aca="false">Q4844+S4844</f>
        <v>51.1683804611291</v>
      </c>
      <c r="V4844" s="54" t="b">
        <f aca="false">AND(D4844&gt;=01_因子設定!$L$5-0.000000001,D4844&lt;=01_因子設定!$M$5+0.000000001,E4844&gt;=01_因子設定!$L$6-0.000000001,E4844&lt;=01_因子設定!$M$6+0.000000001,F4844&gt;=01_因子設定!$L$7-0.000000001,F4844&lt;=01_因子設定!$M$7+0.000000001,IF(01_因子設定!$B$20="Box-Behnken",D4844^2+E4844^2+F4844^2&lt;=2+0.000000001,TRUE()))</f>
        <v>1</v>
      </c>
      <c r="W4844" s="55" t="n">
        <f aca="false">IF(V4844,IF(01_因子設定!$B$13="最大化",T4844-01_因子設定!$B$14,IF(01_因子設定!$B$13="最小化",01_因子設定!$B$15-U4844,MIN(T4844-01_因子設定!$B$14,01_因子設定!$B$15-U4844))),-1E+030)</f>
        <v>0.42039794796176</v>
      </c>
      <c r="X4844" s="55" t="n">
        <f aca="false">IF(V4844,IF(01_因子設定!$B$13="最大化",Q4844,IF(01_因子設定!$B$13="最小化",-Q4844,-ABS(Q4844-01_因子設定!$B$16))),-1E+030)</f>
        <v>50.0443892045454</v>
      </c>
      <c r="Y4844" s="55" t="n">
        <f aca="false">W4844+ROW()*0.000000001</f>
        <v>0.42040279196176</v>
      </c>
      <c r="Z4844" s="55" t="n">
        <f aca="false">X4844+ROW()*0.000000001</f>
        <v>50.0443940485455</v>
      </c>
    </row>
    <row r="4845" customFormat="false" ht="15" hidden="false" customHeight="false" outlineLevel="0" collapsed="false">
      <c r="A4845" s="0" t="n">
        <v>16</v>
      </c>
      <c r="B4845" s="0" t="n">
        <v>12</v>
      </c>
      <c r="C4845" s="0" t="n">
        <v>12</v>
      </c>
      <c r="D4845" s="0" t="n">
        <f aca="false">-1+A4845*0.125</f>
        <v>1</v>
      </c>
      <c r="E4845" s="0" t="n">
        <f aca="false">-1+B4845*0.125</f>
        <v>0.5</v>
      </c>
      <c r="F4845" s="0" t="n">
        <f aca="false">-1+C4845*0.125</f>
        <v>0.5</v>
      </c>
      <c r="G4845" s="0" t="n">
        <f aca="false">1</f>
        <v>1</v>
      </c>
      <c r="H4845" s="0" t="n">
        <f aca="false">D4845</f>
        <v>1</v>
      </c>
      <c r="I4845" s="0" t="n">
        <f aca="false">E4845</f>
        <v>0.5</v>
      </c>
      <c r="J4845" s="0" t="n">
        <f aca="false">F4845</f>
        <v>0.5</v>
      </c>
      <c r="K4845" s="0" t="n">
        <f aca="false">D4845*E4845</f>
        <v>0.5</v>
      </c>
      <c r="L4845" s="0" t="n">
        <f aca="false">D4845*F4845</f>
        <v>0.5</v>
      </c>
      <c r="M4845" s="0" t="n">
        <f aca="false">E4845*F4845</f>
        <v>0.25</v>
      </c>
      <c r="N4845" s="0" t="n">
        <f aca="false">D4845*D4845</f>
        <v>1</v>
      </c>
      <c r="O4845" s="0" t="n">
        <f aca="false">E4845*E4845</f>
        <v>0.25</v>
      </c>
      <c r="P4845" s="0" t="n">
        <f aca="false">F4845*F4845</f>
        <v>0.25</v>
      </c>
      <c r="Q4845" s="0" t="n">
        <f aca="false">SUMPRODUCT(G4845:P4845,_XtX!$B$71:$K$71)</f>
        <v>50.0975</v>
      </c>
      <c r="R4845" s="0" t="n">
        <f aca="false">SUMPRODUCT(MMULT(G4845:P4845,_XtX!$B$58:$K$67),G4845:P4845)</f>
        <v>0.4578125</v>
      </c>
      <c r="S4845" s="0" t="n">
        <f aca="false">04_回帰ANOVA!$K$19*04_回帰ANOVA!$K$14*SQRT(1+R4845)</f>
        <v>1.12258044051089</v>
      </c>
      <c r="T4845" s="0" t="n">
        <f aca="false">Q4845-S4845</f>
        <v>48.9749195594891</v>
      </c>
      <c r="U4845" s="0" t="n">
        <f aca="false">Q4845+S4845</f>
        <v>51.2200804405109</v>
      </c>
      <c r="V4845" s="54" t="b">
        <f aca="false">AND(D4845&gt;=01_因子設定!$L$5-0.000000001,D4845&lt;=01_因子設定!$M$5+0.000000001,E4845&gt;=01_因子設定!$L$6-0.000000001,E4845&lt;=01_因子設定!$M$6+0.000000001,F4845&gt;=01_因子設定!$L$7-0.000000001,F4845&lt;=01_因子設定!$M$7+0.000000001,IF(01_因子設定!$B$20="Box-Behnken",D4845^2+E4845^2+F4845^2&lt;=2+0.000000001,TRUE()))</f>
        <v>1</v>
      </c>
      <c r="W4845" s="55" t="n">
        <f aca="false">IF(V4845,IF(01_因子設定!$B$13="最大化",T4845-01_因子設定!$B$14,IF(01_因子設定!$B$13="最小化",01_因子設定!$B$15-U4845,MIN(T4845-01_因子設定!$B$14,01_因子設定!$B$15-U4845))),-1E+030)</f>
        <v>0.474919559489109</v>
      </c>
      <c r="X4845" s="55" t="n">
        <f aca="false">IF(V4845,IF(01_因子設定!$B$13="最大化",Q4845,IF(01_因子設定!$B$13="最小化",-Q4845,-ABS(Q4845-01_因子設定!$B$16))),-1E+030)</f>
        <v>50.0975</v>
      </c>
      <c r="Y4845" s="55" t="n">
        <f aca="false">W4845+ROW()*0.000000001</f>
        <v>0.474924404489109</v>
      </c>
      <c r="Z4845" s="55" t="n">
        <f aca="false">X4845+ROW()*0.000000001</f>
        <v>50.097504845</v>
      </c>
    </row>
    <row r="4846" customFormat="false" ht="15" hidden="false" customHeight="false" outlineLevel="0" collapsed="false">
      <c r="A4846" s="0" t="n">
        <v>16</v>
      </c>
      <c r="B4846" s="0" t="n">
        <v>12</v>
      </c>
      <c r="C4846" s="0" t="n">
        <v>13</v>
      </c>
      <c r="D4846" s="0" t="n">
        <f aca="false">-1+A4846*0.125</f>
        <v>1</v>
      </c>
      <c r="E4846" s="0" t="n">
        <f aca="false">-1+B4846*0.125</f>
        <v>0.5</v>
      </c>
      <c r="F4846" s="0" t="n">
        <f aca="false">-1+C4846*0.125</f>
        <v>0.625</v>
      </c>
      <c r="G4846" s="0" t="n">
        <f aca="false">1</f>
        <v>1</v>
      </c>
      <c r="H4846" s="0" t="n">
        <f aca="false">D4846</f>
        <v>1</v>
      </c>
      <c r="I4846" s="0" t="n">
        <f aca="false">E4846</f>
        <v>0.5</v>
      </c>
      <c r="J4846" s="0" t="n">
        <f aca="false">F4846</f>
        <v>0.625</v>
      </c>
      <c r="K4846" s="0" t="n">
        <f aca="false">D4846*E4846</f>
        <v>0.5</v>
      </c>
      <c r="L4846" s="0" t="n">
        <f aca="false">D4846*F4846</f>
        <v>0.625</v>
      </c>
      <c r="M4846" s="0" t="n">
        <f aca="false">E4846*F4846</f>
        <v>0.3125</v>
      </c>
      <c r="N4846" s="0" t="n">
        <f aca="false">D4846*D4846</f>
        <v>1</v>
      </c>
      <c r="O4846" s="0" t="n">
        <f aca="false">E4846*E4846</f>
        <v>0.25</v>
      </c>
      <c r="P4846" s="0" t="n">
        <f aca="false">F4846*F4846</f>
        <v>0.390625</v>
      </c>
      <c r="Q4846" s="0" t="n">
        <f aca="false">SUMPRODUCT(G4846:P4846,_XtX!$B$71:$K$71)</f>
        <v>50.1138210227273</v>
      </c>
      <c r="R4846" s="0" t="n">
        <f aca="false">SUMPRODUCT(MMULT(G4846:P4846,_XtX!$B$58:$K$67),G4846:P4846)</f>
        <v>0.465882457386364</v>
      </c>
      <c r="S4846" s="0" t="n">
        <f aca="false">04_回帰ANOVA!$K$19*04_回帰ANOVA!$K$14*SQRT(1+R4846)</f>
        <v>1.12568326538173</v>
      </c>
      <c r="T4846" s="0" t="n">
        <f aca="false">Q4846-S4846</f>
        <v>48.9881377573456</v>
      </c>
      <c r="U4846" s="0" t="n">
        <f aca="false">Q4846+S4846</f>
        <v>51.239504288109</v>
      </c>
      <c r="V4846" s="54" t="b">
        <f aca="false">AND(D4846&gt;=01_因子設定!$L$5-0.000000001,D4846&lt;=01_因子設定!$M$5+0.000000001,E4846&gt;=01_因子設定!$L$6-0.000000001,E4846&lt;=01_因子設定!$M$6+0.000000001,F4846&gt;=01_因子設定!$L$7-0.000000001,F4846&lt;=01_因子設定!$M$7+0.000000001,IF(01_因子設定!$B$20="Box-Behnken",D4846^2+E4846^2+F4846^2&lt;=2+0.000000001,TRUE()))</f>
        <v>1</v>
      </c>
      <c r="W4846" s="55" t="n">
        <f aca="false">IF(V4846,IF(01_因子設定!$B$13="最大化",T4846-01_因子設定!$B$14,IF(01_因子設定!$B$13="最小化",01_因子設定!$B$15-U4846,MIN(T4846-01_因子設定!$B$14,01_因子設定!$B$15-U4846))),-1E+030)</f>
        <v>0.488137757345548</v>
      </c>
      <c r="X4846" s="55" t="n">
        <f aca="false">IF(V4846,IF(01_因子設定!$B$13="最大化",Q4846,IF(01_因子設定!$B$13="最小化",-Q4846,-ABS(Q4846-01_因子設定!$B$16))),-1E+030)</f>
        <v>50.1138210227273</v>
      </c>
      <c r="Y4846" s="55" t="n">
        <f aca="false">W4846+ROW()*0.000000001</f>
        <v>0.488142603345548</v>
      </c>
      <c r="Z4846" s="55" t="n">
        <f aca="false">X4846+ROW()*0.000000001</f>
        <v>50.1138258687273</v>
      </c>
    </row>
    <row r="4847" customFormat="false" ht="15" hidden="false" customHeight="false" outlineLevel="0" collapsed="false">
      <c r="A4847" s="0" t="n">
        <v>16</v>
      </c>
      <c r="B4847" s="0" t="n">
        <v>12</v>
      </c>
      <c r="C4847" s="0" t="n">
        <v>14</v>
      </c>
      <c r="D4847" s="0" t="n">
        <f aca="false">-1+A4847*0.125</f>
        <v>1</v>
      </c>
      <c r="E4847" s="0" t="n">
        <f aca="false">-1+B4847*0.125</f>
        <v>0.5</v>
      </c>
      <c r="F4847" s="0" t="n">
        <f aca="false">-1+C4847*0.125</f>
        <v>0.75</v>
      </c>
      <c r="G4847" s="0" t="n">
        <f aca="false">1</f>
        <v>1</v>
      </c>
      <c r="H4847" s="0" t="n">
        <f aca="false">D4847</f>
        <v>1</v>
      </c>
      <c r="I4847" s="0" t="n">
        <f aca="false">E4847</f>
        <v>0.5</v>
      </c>
      <c r="J4847" s="0" t="n">
        <f aca="false">F4847</f>
        <v>0.75</v>
      </c>
      <c r="K4847" s="0" t="n">
        <f aca="false">D4847*E4847</f>
        <v>0.5</v>
      </c>
      <c r="L4847" s="0" t="n">
        <f aca="false">D4847*F4847</f>
        <v>0.75</v>
      </c>
      <c r="M4847" s="0" t="n">
        <f aca="false">E4847*F4847</f>
        <v>0.375</v>
      </c>
      <c r="N4847" s="0" t="n">
        <f aca="false">D4847*D4847</f>
        <v>1</v>
      </c>
      <c r="O4847" s="0" t="n">
        <f aca="false">E4847*E4847</f>
        <v>0.25</v>
      </c>
      <c r="P4847" s="0" t="n">
        <f aca="false">F4847*F4847</f>
        <v>0.5625</v>
      </c>
      <c r="Q4847" s="0" t="n">
        <f aca="false">SUMPRODUCT(G4847:P4847,_XtX!$B$71:$K$71)</f>
        <v>50.0933522727273</v>
      </c>
      <c r="R4847" s="0" t="n">
        <f aca="false">SUMPRODUCT(MMULT(G4847:P4847,_XtX!$B$58:$K$67),G4847:P4847)</f>
        <v>0.495276988636364</v>
      </c>
      <c r="S4847" s="0" t="n">
        <f aca="false">04_回帰ANOVA!$K$19*04_回帰ANOVA!$K$14*SQRT(1+R4847)</f>
        <v>1.13691359828352</v>
      </c>
      <c r="T4847" s="0" t="n">
        <f aca="false">Q4847-S4847</f>
        <v>48.9564386744438</v>
      </c>
      <c r="U4847" s="0" t="n">
        <f aca="false">Q4847+S4847</f>
        <v>51.2302658710108</v>
      </c>
      <c r="V4847" s="54" t="b">
        <f aca="false">AND(D4847&gt;=01_因子設定!$L$5-0.000000001,D4847&lt;=01_因子設定!$M$5+0.000000001,E4847&gt;=01_因子設定!$L$6-0.000000001,E4847&lt;=01_因子設定!$M$6+0.000000001,F4847&gt;=01_因子設定!$L$7-0.000000001,F4847&lt;=01_因子設定!$M$7+0.000000001,IF(01_因子設定!$B$20="Box-Behnken",D4847^2+E4847^2+F4847^2&lt;=2+0.000000001,TRUE()))</f>
        <v>1</v>
      </c>
      <c r="W4847" s="55" t="n">
        <f aca="false">IF(V4847,IF(01_因子設定!$B$13="最大化",T4847-01_因子設定!$B$14,IF(01_因子設定!$B$13="最小化",01_因子設定!$B$15-U4847,MIN(T4847-01_因子設定!$B$14,01_因子設定!$B$15-U4847))),-1E+030)</f>
        <v>0.456438674443753</v>
      </c>
      <c r="X4847" s="55" t="n">
        <f aca="false">IF(V4847,IF(01_因子設定!$B$13="最大化",Q4847,IF(01_因子設定!$B$13="最小化",-Q4847,-ABS(Q4847-01_因子設定!$B$16))),-1E+030)</f>
        <v>50.0933522727273</v>
      </c>
      <c r="Y4847" s="55" t="n">
        <f aca="false">W4847+ROW()*0.000000001</f>
        <v>0.456443521443753</v>
      </c>
      <c r="Z4847" s="55" t="n">
        <f aca="false">X4847+ROW()*0.000000001</f>
        <v>50.0933571197273</v>
      </c>
    </row>
    <row r="4848" customFormat="false" ht="15" hidden="false" customHeight="false" outlineLevel="0" collapsed="false">
      <c r="A4848" s="0" t="n">
        <v>16</v>
      </c>
      <c r="B4848" s="0" t="n">
        <v>12</v>
      </c>
      <c r="C4848" s="0" t="n">
        <v>15</v>
      </c>
      <c r="D4848" s="0" t="n">
        <f aca="false">-1+A4848*0.125</f>
        <v>1</v>
      </c>
      <c r="E4848" s="0" t="n">
        <f aca="false">-1+B4848*0.125</f>
        <v>0.5</v>
      </c>
      <c r="F4848" s="0" t="n">
        <f aca="false">-1+C4848*0.125</f>
        <v>0.875</v>
      </c>
      <c r="G4848" s="0" t="n">
        <f aca="false">1</f>
        <v>1</v>
      </c>
      <c r="H4848" s="0" t="n">
        <f aca="false">D4848</f>
        <v>1</v>
      </c>
      <c r="I4848" s="0" t="n">
        <f aca="false">E4848</f>
        <v>0.5</v>
      </c>
      <c r="J4848" s="0" t="n">
        <f aca="false">F4848</f>
        <v>0.875</v>
      </c>
      <c r="K4848" s="0" t="n">
        <f aca="false">D4848*E4848</f>
        <v>0.5</v>
      </c>
      <c r="L4848" s="0" t="n">
        <f aca="false">D4848*F4848</f>
        <v>0.875</v>
      </c>
      <c r="M4848" s="0" t="n">
        <f aca="false">E4848*F4848</f>
        <v>0.4375</v>
      </c>
      <c r="N4848" s="0" t="n">
        <f aca="false">D4848*D4848</f>
        <v>1</v>
      </c>
      <c r="O4848" s="0" t="n">
        <f aca="false">E4848*E4848</f>
        <v>0.25</v>
      </c>
      <c r="P4848" s="0" t="n">
        <f aca="false">F4848*F4848</f>
        <v>0.765625</v>
      </c>
      <c r="Q4848" s="0" t="n">
        <f aca="false">SUMPRODUCT(G4848:P4848,_XtX!$B$71:$K$71)</f>
        <v>50.03609375</v>
      </c>
      <c r="R4848" s="0" t="n">
        <f aca="false">SUMPRODUCT(MMULT(G4848:P4848,_XtX!$B$58:$K$67),G4848:P4848)</f>
        <v>0.55771484375</v>
      </c>
      <c r="S4848" s="0" t="n">
        <f aca="false">04_回帰ANOVA!$K$19*04_回帰ANOVA!$K$14*SQRT(1+R4848)</f>
        <v>1.16040773556467</v>
      </c>
      <c r="T4848" s="0" t="n">
        <f aca="false">Q4848-S4848</f>
        <v>48.8756860144353</v>
      </c>
      <c r="U4848" s="0" t="n">
        <f aca="false">Q4848+S4848</f>
        <v>51.1965014855647</v>
      </c>
      <c r="V4848" s="54" t="b">
        <f aca="false">AND(D4848&gt;=01_因子設定!$L$5-0.000000001,D4848&lt;=01_因子設定!$M$5+0.000000001,E4848&gt;=01_因子設定!$L$6-0.000000001,E4848&lt;=01_因子設定!$M$6+0.000000001,F4848&gt;=01_因子設定!$L$7-0.000000001,F4848&lt;=01_因子設定!$M$7+0.000000001,IF(01_因子設定!$B$20="Box-Behnken",D4848^2+E4848^2+F4848^2&lt;=2+0.000000001,TRUE()))</f>
        <v>1</v>
      </c>
      <c r="W4848" s="55" t="n">
        <f aca="false">IF(V4848,IF(01_因子設定!$B$13="最大化",T4848-01_因子設定!$B$14,IF(01_因子設定!$B$13="最小化",01_因子設定!$B$15-U4848,MIN(T4848-01_因子設定!$B$14,01_因子設定!$B$15-U4848))),-1E+030)</f>
        <v>0.375686014435331</v>
      </c>
      <c r="X4848" s="55" t="n">
        <f aca="false">IF(V4848,IF(01_因子設定!$B$13="最大化",Q4848,IF(01_因子設定!$B$13="最小化",-Q4848,-ABS(Q4848-01_因子設定!$B$16))),-1E+030)</f>
        <v>50.03609375</v>
      </c>
      <c r="Y4848" s="55" t="n">
        <f aca="false">W4848+ROW()*0.000000001</f>
        <v>0.375690862435331</v>
      </c>
      <c r="Z4848" s="55" t="n">
        <f aca="false">X4848+ROW()*0.000000001</f>
        <v>50.036098598</v>
      </c>
    </row>
    <row r="4849" customFormat="false" ht="15" hidden="false" customHeight="false" outlineLevel="0" collapsed="false">
      <c r="A4849" s="0" t="n">
        <v>16</v>
      </c>
      <c r="B4849" s="0" t="n">
        <v>12</v>
      </c>
      <c r="C4849" s="0" t="n">
        <v>16</v>
      </c>
      <c r="D4849" s="0" t="n">
        <f aca="false">-1+A4849*0.125</f>
        <v>1</v>
      </c>
      <c r="E4849" s="0" t="n">
        <f aca="false">-1+B4849*0.125</f>
        <v>0.5</v>
      </c>
      <c r="F4849" s="0" t="n">
        <f aca="false">-1+C4849*0.125</f>
        <v>1</v>
      </c>
      <c r="G4849" s="0" t="n">
        <f aca="false">1</f>
        <v>1</v>
      </c>
      <c r="H4849" s="0" t="n">
        <f aca="false">D4849</f>
        <v>1</v>
      </c>
      <c r="I4849" s="0" t="n">
        <f aca="false">E4849</f>
        <v>0.5</v>
      </c>
      <c r="J4849" s="0" t="n">
        <f aca="false">F4849</f>
        <v>1</v>
      </c>
      <c r="K4849" s="0" t="n">
        <f aca="false">D4849*E4849</f>
        <v>0.5</v>
      </c>
      <c r="L4849" s="0" t="n">
        <f aca="false">D4849*F4849</f>
        <v>1</v>
      </c>
      <c r="M4849" s="0" t="n">
        <f aca="false">E4849*F4849</f>
        <v>0.5</v>
      </c>
      <c r="N4849" s="0" t="n">
        <f aca="false">D4849*D4849</f>
        <v>1</v>
      </c>
      <c r="O4849" s="0" t="n">
        <f aca="false">E4849*E4849</f>
        <v>0.25</v>
      </c>
      <c r="P4849" s="0" t="n">
        <f aca="false">F4849*F4849</f>
        <v>1</v>
      </c>
      <c r="Q4849" s="0" t="n">
        <f aca="false">SUMPRODUCT(G4849:P4849,_XtX!$B$71:$K$71)</f>
        <v>49.9420454545455</v>
      </c>
      <c r="R4849" s="0" t="n">
        <f aca="false">SUMPRODUCT(MMULT(G4849:P4849,_XtX!$B$58:$K$67),G4849:P4849)</f>
        <v>0.667045454545455</v>
      </c>
      <c r="S4849" s="0" t="n">
        <f aca="false">04_回帰ANOVA!$K$19*04_回帰ANOVA!$K$14*SQRT(1+R4849)</f>
        <v>1.200439720088</v>
      </c>
      <c r="T4849" s="0" t="n">
        <f aca="false">Q4849-S4849</f>
        <v>48.7416057344575</v>
      </c>
      <c r="U4849" s="0" t="n">
        <f aca="false">Q4849+S4849</f>
        <v>51.1424851746335</v>
      </c>
      <c r="V4849" s="54" t="b">
        <f aca="false">AND(D4849&gt;=01_因子設定!$L$5-0.000000001,D4849&lt;=01_因子設定!$M$5+0.000000001,E4849&gt;=01_因子設定!$L$6-0.000000001,E4849&lt;=01_因子設定!$M$6+0.000000001,F4849&gt;=01_因子設定!$L$7-0.000000001,F4849&lt;=01_因子設定!$M$7+0.000000001,IF(01_因子設定!$B$20="Box-Behnken",D4849^2+E4849^2+F4849^2&lt;=2+0.000000001,TRUE()))</f>
        <v>1</v>
      </c>
      <c r="W4849" s="55" t="n">
        <f aca="false">IF(V4849,IF(01_因子設定!$B$13="最大化",T4849-01_因子設定!$B$14,IF(01_因子設定!$B$13="最小化",01_因子設定!$B$15-U4849,MIN(T4849-01_因子設定!$B$14,01_因子設定!$B$15-U4849))),-1E+030)</f>
        <v>0.241605734457465</v>
      </c>
      <c r="X4849" s="55" t="n">
        <f aca="false">IF(V4849,IF(01_因子設定!$B$13="最大化",Q4849,IF(01_因子設定!$B$13="最小化",-Q4849,-ABS(Q4849-01_因子設定!$B$16))),-1E+030)</f>
        <v>49.9420454545455</v>
      </c>
      <c r="Y4849" s="55" t="n">
        <f aca="false">W4849+ROW()*0.000000001</f>
        <v>0.241610583457465</v>
      </c>
      <c r="Z4849" s="55" t="n">
        <f aca="false">X4849+ROW()*0.000000001</f>
        <v>49.9420503035455</v>
      </c>
    </row>
    <row r="4850" customFormat="false" ht="15" hidden="false" customHeight="false" outlineLevel="0" collapsed="false">
      <c r="A4850" s="0" t="n">
        <v>16</v>
      </c>
      <c r="B4850" s="0" t="n">
        <v>13</v>
      </c>
      <c r="C4850" s="0" t="n">
        <v>0</v>
      </c>
      <c r="D4850" s="0" t="n">
        <f aca="false">-1+A4850*0.125</f>
        <v>1</v>
      </c>
      <c r="E4850" s="0" t="n">
        <f aca="false">-1+B4850*0.125</f>
        <v>0.625</v>
      </c>
      <c r="F4850" s="0" t="n">
        <f aca="false">-1+C4850*0.125</f>
        <v>-1</v>
      </c>
      <c r="G4850" s="0" t="n">
        <f aca="false">1</f>
        <v>1</v>
      </c>
      <c r="H4850" s="0" t="n">
        <f aca="false">D4850</f>
        <v>1</v>
      </c>
      <c r="I4850" s="0" t="n">
        <f aca="false">E4850</f>
        <v>0.625</v>
      </c>
      <c r="J4850" s="0" t="n">
        <f aca="false">F4850</f>
        <v>-1</v>
      </c>
      <c r="K4850" s="0" t="n">
        <f aca="false">D4850*E4850</f>
        <v>0.625</v>
      </c>
      <c r="L4850" s="0" t="n">
        <f aca="false">D4850*F4850</f>
        <v>-1</v>
      </c>
      <c r="M4850" s="0" t="n">
        <f aca="false">E4850*F4850</f>
        <v>-0.625</v>
      </c>
      <c r="N4850" s="0" t="n">
        <f aca="false">D4850*D4850</f>
        <v>1</v>
      </c>
      <c r="O4850" s="0" t="n">
        <f aca="false">E4850*E4850</f>
        <v>0.390625</v>
      </c>
      <c r="P4850" s="0" t="n">
        <f aca="false">F4850*F4850</f>
        <v>1</v>
      </c>
      <c r="Q4850" s="0" t="n">
        <f aca="false">SUMPRODUCT(G4850:P4850,_XtX!$B$71:$K$71)</f>
        <v>47.1025852272727</v>
      </c>
      <c r="R4850" s="0" t="n">
        <f aca="false">SUMPRODUCT(MMULT(G4850:P4850,_XtX!$B$58:$K$67),G4850:P4850)</f>
        <v>0.659534801136364</v>
      </c>
      <c r="S4850" s="0" t="n">
        <f aca="false">04_回帰ANOVA!$K$19*04_回帰ANOVA!$K$14*SQRT(1+R4850)</f>
        <v>1.19773245593097</v>
      </c>
      <c r="T4850" s="0" t="n">
        <f aca="false">Q4850-S4850</f>
        <v>45.9048527713418</v>
      </c>
      <c r="U4850" s="0" t="n">
        <f aca="false">Q4850+S4850</f>
        <v>48.3003176832037</v>
      </c>
      <c r="V4850" s="54" t="b">
        <f aca="false">AND(D4850&gt;=01_因子設定!$L$5-0.000000001,D4850&lt;=01_因子設定!$M$5+0.000000001,E4850&gt;=01_因子設定!$L$6-0.000000001,E4850&lt;=01_因子設定!$M$6+0.000000001,F4850&gt;=01_因子設定!$L$7-0.000000001,F4850&lt;=01_因子設定!$M$7+0.000000001,IF(01_因子設定!$B$20="Box-Behnken",D4850^2+E4850^2+F4850^2&lt;=2+0.000000001,TRUE()))</f>
        <v>1</v>
      </c>
      <c r="W4850" s="55" t="n">
        <f aca="false">IF(V4850,IF(01_因子設定!$B$13="最大化",T4850-01_因子設定!$B$14,IF(01_因子設定!$B$13="最小化",01_因子設定!$B$15-U4850,MIN(T4850-01_因子設定!$B$14,01_因子設定!$B$15-U4850))),-1E+030)</f>
        <v>-2.59514722865823</v>
      </c>
      <c r="X4850" s="55" t="n">
        <f aca="false">IF(V4850,IF(01_因子設定!$B$13="最大化",Q4850,IF(01_因子設定!$B$13="最小化",-Q4850,-ABS(Q4850-01_因子設定!$B$16))),-1E+030)</f>
        <v>47.1025852272727</v>
      </c>
      <c r="Y4850" s="55" t="n">
        <f aca="false">W4850+ROW()*0.000000001</f>
        <v>-2.59514237865823</v>
      </c>
      <c r="Z4850" s="55" t="n">
        <f aca="false">X4850+ROW()*0.000000001</f>
        <v>47.1025900772727</v>
      </c>
    </row>
    <row r="4851" customFormat="false" ht="15" hidden="false" customHeight="false" outlineLevel="0" collapsed="false">
      <c r="A4851" s="0" t="n">
        <v>16</v>
      </c>
      <c r="B4851" s="0" t="n">
        <v>13</v>
      </c>
      <c r="C4851" s="0" t="n">
        <v>1</v>
      </c>
      <c r="D4851" s="0" t="n">
        <f aca="false">-1+A4851*0.125</f>
        <v>1</v>
      </c>
      <c r="E4851" s="0" t="n">
        <f aca="false">-1+B4851*0.125</f>
        <v>0.625</v>
      </c>
      <c r="F4851" s="0" t="n">
        <f aca="false">-1+C4851*0.125</f>
        <v>-0.875</v>
      </c>
      <c r="G4851" s="0" t="n">
        <f aca="false">1</f>
        <v>1</v>
      </c>
      <c r="H4851" s="0" t="n">
        <f aca="false">D4851</f>
        <v>1</v>
      </c>
      <c r="I4851" s="0" t="n">
        <f aca="false">E4851</f>
        <v>0.625</v>
      </c>
      <c r="J4851" s="0" t="n">
        <f aca="false">F4851</f>
        <v>-0.875</v>
      </c>
      <c r="K4851" s="0" t="n">
        <f aca="false">D4851*E4851</f>
        <v>0.625</v>
      </c>
      <c r="L4851" s="0" t="n">
        <f aca="false">D4851*F4851</f>
        <v>-0.875</v>
      </c>
      <c r="M4851" s="0" t="n">
        <f aca="false">E4851*F4851</f>
        <v>-0.546875</v>
      </c>
      <c r="N4851" s="0" t="n">
        <f aca="false">D4851*D4851</f>
        <v>1</v>
      </c>
      <c r="O4851" s="0" t="n">
        <f aca="false">E4851*E4851</f>
        <v>0.390625</v>
      </c>
      <c r="P4851" s="0" t="n">
        <f aca="false">F4851*F4851</f>
        <v>0.765625</v>
      </c>
      <c r="Q4851" s="0" t="n">
        <f aca="false">SUMPRODUCT(G4851:P4851,_XtX!$B$71:$K$71)</f>
        <v>47.5674147727273</v>
      </c>
      <c r="R4851" s="0" t="n">
        <f aca="false">SUMPRODUCT(MMULT(G4851:P4851,_XtX!$B$58:$K$67),G4851:P4851)</f>
        <v>0.555073131214489</v>
      </c>
      <c r="S4851" s="0" t="n">
        <f aca="false">04_回帰ANOVA!$K$19*04_回帰ANOVA!$K$14*SQRT(1+R4851)</f>
        <v>1.15942335628341</v>
      </c>
      <c r="T4851" s="0" t="n">
        <f aca="false">Q4851-S4851</f>
        <v>46.4079914164439</v>
      </c>
      <c r="U4851" s="0" t="n">
        <f aca="false">Q4851+S4851</f>
        <v>48.7268381290107</v>
      </c>
      <c r="V4851" s="54" t="b">
        <f aca="false">AND(D4851&gt;=01_因子設定!$L$5-0.000000001,D4851&lt;=01_因子設定!$M$5+0.000000001,E4851&gt;=01_因子設定!$L$6-0.000000001,E4851&lt;=01_因子設定!$M$6+0.000000001,F4851&gt;=01_因子設定!$L$7-0.000000001,F4851&lt;=01_因子設定!$M$7+0.000000001,IF(01_因子設定!$B$20="Box-Behnken",D4851^2+E4851^2+F4851^2&lt;=2+0.000000001,TRUE()))</f>
        <v>1</v>
      </c>
      <c r="W4851" s="55" t="n">
        <f aca="false">IF(V4851,IF(01_因子設定!$B$13="最大化",T4851-01_因子設定!$B$14,IF(01_因子設定!$B$13="最小化",01_因子設定!$B$15-U4851,MIN(T4851-01_因子設定!$B$14,01_因子設定!$B$15-U4851))),-1E+030)</f>
        <v>-2.09200858355613</v>
      </c>
      <c r="X4851" s="55" t="n">
        <f aca="false">IF(V4851,IF(01_因子設定!$B$13="最大化",Q4851,IF(01_因子設定!$B$13="最小化",-Q4851,-ABS(Q4851-01_因子設定!$B$16))),-1E+030)</f>
        <v>47.5674147727273</v>
      </c>
      <c r="Y4851" s="55" t="n">
        <f aca="false">W4851+ROW()*0.000000001</f>
        <v>-2.09200373255613</v>
      </c>
      <c r="Z4851" s="55" t="n">
        <f aca="false">X4851+ROW()*0.000000001</f>
        <v>47.5674196237273</v>
      </c>
    </row>
    <row r="4852" customFormat="false" ht="15" hidden="false" customHeight="false" outlineLevel="0" collapsed="false">
      <c r="A4852" s="0" t="n">
        <v>16</v>
      </c>
      <c r="B4852" s="0" t="n">
        <v>13</v>
      </c>
      <c r="C4852" s="0" t="n">
        <v>2</v>
      </c>
      <c r="D4852" s="0" t="n">
        <f aca="false">-1+A4852*0.125</f>
        <v>1</v>
      </c>
      <c r="E4852" s="0" t="n">
        <f aca="false">-1+B4852*0.125</f>
        <v>0.625</v>
      </c>
      <c r="F4852" s="0" t="n">
        <f aca="false">-1+C4852*0.125</f>
        <v>-0.75</v>
      </c>
      <c r="G4852" s="0" t="n">
        <f aca="false">1</f>
        <v>1</v>
      </c>
      <c r="H4852" s="0" t="n">
        <f aca="false">D4852</f>
        <v>1</v>
      </c>
      <c r="I4852" s="0" t="n">
        <f aca="false">E4852</f>
        <v>0.625</v>
      </c>
      <c r="J4852" s="0" t="n">
        <f aca="false">F4852</f>
        <v>-0.75</v>
      </c>
      <c r="K4852" s="0" t="n">
        <f aca="false">D4852*E4852</f>
        <v>0.625</v>
      </c>
      <c r="L4852" s="0" t="n">
        <f aca="false">D4852*F4852</f>
        <v>-0.75</v>
      </c>
      <c r="M4852" s="0" t="n">
        <f aca="false">E4852*F4852</f>
        <v>-0.46875</v>
      </c>
      <c r="N4852" s="0" t="n">
        <f aca="false">D4852*D4852</f>
        <v>1</v>
      </c>
      <c r="O4852" s="0" t="n">
        <f aca="false">E4852*E4852</f>
        <v>0.390625</v>
      </c>
      <c r="P4852" s="0" t="n">
        <f aca="false">F4852*F4852</f>
        <v>0.5625</v>
      </c>
      <c r="Q4852" s="0" t="n">
        <f aca="false">SUMPRODUCT(G4852:P4852,_XtX!$B$71:$K$71)</f>
        <v>47.9954545454545</v>
      </c>
      <c r="R4852" s="0" t="n">
        <f aca="false">SUMPRODUCT(MMULT(G4852:P4852,_XtX!$B$58:$K$67),G4852:P4852)</f>
        <v>0.496855024857955</v>
      </c>
      <c r="S4852" s="0" t="n">
        <f aca="false">04_回帰ANOVA!$K$19*04_回帰ANOVA!$K$14*SQRT(1+R4852)</f>
        <v>1.1375133593161</v>
      </c>
      <c r="T4852" s="0" t="n">
        <f aca="false">Q4852-S4852</f>
        <v>46.8579411861385</v>
      </c>
      <c r="U4852" s="0" t="n">
        <f aca="false">Q4852+S4852</f>
        <v>49.1329679047706</v>
      </c>
      <c r="V4852" s="54" t="b">
        <f aca="false">AND(D4852&gt;=01_因子設定!$L$5-0.000000001,D4852&lt;=01_因子設定!$M$5+0.000000001,E4852&gt;=01_因子設定!$L$6-0.000000001,E4852&lt;=01_因子設定!$M$6+0.000000001,F4852&gt;=01_因子設定!$L$7-0.000000001,F4852&lt;=01_因子設定!$M$7+0.000000001,IF(01_因子設定!$B$20="Box-Behnken",D4852^2+E4852^2+F4852^2&lt;=2+0.000000001,TRUE()))</f>
        <v>1</v>
      </c>
      <c r="W4852" s="55" t="n">
        <f aca="false">IF(V4852,IF(01_因子設定!$B$13="最大化",T4852-01_因子設定!$B$14,IF(01_因子設定!$B$13="最小化",01_因子設定!$B$15-U4852,MIN(T4852-01_因子設定!$B$14,01_因子設定!$B$15-U4852))),-1E+030)</f>
        <v>-1.64205881386155</v>
      </c>
      <c r="X4852" s="55" t="n">
        <f aca="false">IF(V4852,IF(01_因子設定!$B$13="最大化",Q4852,IF(01_因子設定!$B$13="最小化",-Q4852,-ABS(Q4852-01_因子設定!$B$16))),-1E+030)</f>
        <v>47.9954545454545</v>
      </c>
      <c r="Y4852" s="55" t="n">
        <f aca="false">W4852+ROW()*0.000000001</f>
        <v>-1.64205396186155</v>
      </c>
      <c r="Z4852" s="55" t="n">
        <f aca="false">X4852+ROW()*0.000000001</f>
        <v>47.9954593974545</v>
      </c>
    </row>
    <row r="4853" customFormat="false" ht="15" hidden="false" customHeight="false" outlineLevel="0" collapsed="false">
      <c r="A4853" s="0" t="n">
        <v>16</v>
      </c>
      <c r="B4853" s="0" t="n">
        <v>13</v>
      </c>
      <c r="C4853" s="0" t="n">
        <v>3</v>
      </c>
      <c r="D4853" s="0" t="n">
        <f aca="false">-1+A4853*0.125</f>
        <v>1</v>
      </c>
      <c r="E4853" s="0" t="n">
        <f aca="false">-1+B4853*0.125</f>
        <v>0.625</v>
      </c>
      <c r="F4853" s="0" t="n">
        <f aca="false">-1+C4853*0.125</f>
        <v>-0.625</v>
      </c>
      <c r="G4853" s="0" t="n">
        <f aca="false">1</f>
        <v>1</v>
      </c>
      <c r="H4853" s="0" t="n">
        <f aca="false">D4853</f>
        <v>1</v>
      </c>
      <c r="I4853" s="0" t="n">
        <f aca="false">E4853</f>
        <v>0.625</v>
      </c>
      <c r="J4853" s="0" t="n">
        <f aca="false">F4853</f>
        <v>-0.625</v>
      </c>
      <c r="K4853" s="0" t="n">
        <f aca="false">D4853*E4853</f>
        <v>0.625</v>
      </c>
      <c r="L4853" s="0" t="n">
        <f aca="false">D4853*F4853</f>
        <v>-0.625</v>
      </c>
      <c r="M4853" s="0" t="n">
        <f aca="false">E4853*F4853</f>
        <v>-0.390625</v>
      </c>
      <c r="N4853" s="0" t="n">
        <f aca="false">D4853*D4853</f>
        <v>1</v>
      </c>
      <c r="O4853" s="0" t="n">
        <f aca="false">E4853*E4853</f>
        <v>0.390625</v>
      </c>
      <c r="P4853" s="0" t="n">
        <f aca="false">F4853*F4853</f>
        <v>0.390625</v>
      </c>
      <c r="Q4853" s="0" t="n">
        <f aca="false">SUMPRODUCT(G4853:P4853,_XtX!$B$71:$K$71)</f>
        <v>48.3867045454545</v>
      </c>
      <c r="R4853" s="0" t="n">
        <f aca="false">SUMPRODUCT(MMULT(G4853:P4853,_XtX!$B$58:$K$67),G4853:P4853)</f>
        <v>0.47103105024858</v>
      </c>
      <c r="S4853" s="0" t="n">
        <f aca="false">04_回帰ANOVA!$K$19*04_回帰ANOVA!$K$14*SQRT(1+R4853)</f>
        <v>1.1276583912499</v>
      </c>
      <c r="T4853" s="0" t="n">
        <f aca="false">Q4853-S4853</f>
        <v>47.2590461542046</v>
      </c>
      <c r="U4853" s="0" t="n">
        <f aca="false">Q4853+S4853</f>
        <v>49.5143629367044</v>
      </c>
      <c r="V4853" s="54" t="b">
        <f aca="false">AND(D4853&gt;=01_因子設定!$L$5-0.000000001,D4853&lt;=01_因子設定!$M$5+0.000000001,E4853&gt;=01_因子設定!$L$6-0.000000001,E4853&lt;=01_因子設定!$M$6+0.000000001,F4853&gt;=01_因子設定!$L$7-0.000000001,F4853&lt;=01_因子設定!$M$7+0.000000001,IF(01_因子設定!$B$20="Box-Behnken",D4853^2+E4853^2+F4853^2&lt;=2+0.000000001,TRUE()))</f>
        <v>1</v>
      </c>
      <c r="W4853" s="55" t="n">
        <f aca="false">IF(V4853,IF(01_因子設定!$B$13="最大化",T4853-01_因子設定!$B$14,IF(01_因子設定!$B$13="最小化",01_因子設定!$B$15-U4853,MIN(T4853-01_因子設定!$B$14,01_因子設定!$B$15-U4853))),-1E+030)</f>
        <v>-1.24095384579536</v>
      </c>
      <c r="X4853" s="55" t="n">
        <f aca="false">IF(V4853,IF(01_因子設定!$B$13="最大化",Q4853,IF(01_因子設定!$B$13="最小化",-Q4853,-ABS(Q4853-01_因子設定!$B$16))),-1E+030)</f>
        <v>48.3867045454545</v>
      </c>
      <c r="Y4853" s="55" t="n">
        <f aca="false">W4853+ROW()*0.000000001</f>
        <v>-1.24094899279536</v>
      </c>
      <c r="Z4853" s="55" t="n">
        <f aca="false">X4853+ROW()*0.000000001</f>
        <v>48.3867093984545</v>
      </c>
    </row>
    <row r="4854" customFormat="false" ht="15" hidden="false" customHeight="false" outlineLevel="0" collapsed="false">
      <c r="A4854" s="0" t="n">
        <v>16</v>
      </c>
      <c r="B4854" s="0" t="n">
        <v>13</v>
      </c>
      <c r="C4854" s="0" t="n">
        <v>4</v>
      </c>
      <c r="D4854" s="0" t="n">
        <f aca="false">-1+A4854*0.125</f>
        <v>1</v>
      </c>
      <c r="E4854" s="0" t="n">
        <f aca="false">-1+B4854*0.125</f>
        <v>0.625</v>
      </c>
      <c r="F4854" s="0" t="n">
        <f aca="false">-1+C4854*0.125</f>
        <v>-0.5</v>
      </c>
      <c r="G4854" s="0" t="n">
        <f aca="false">1</f>
        <v>1</v>
      </c>
      <c r="H4854" s="0" t="n">
        <f aca="false">D4854</f>
        <v>1</v>
      </c>
      <c r="I4854" s="0" t="n">
        <f aca="false">E4854</f>
        <v>0.625</v>
      </c>
      <c r="J4854" s="0" t="n">
        <f aca="false">F4854</f>
        <v>-0.5</v>
      </c>
      <c r="K4854" s="0" t="n">
        <f aca="false">D4854*E4854</f>
        <v>0.625</v>
      </c>
      <c r="L4854" s="0" t="n">
        <f aca="false">D4854*F4854</f>
        <v>-0.5</v>
      </c>
      <c r="M4854" s="0" t="n">
        <f aca="false">E4854*F4854</f>
        <v>-0.3125</v>
      </c>
      <c r="N4854" s="0" t="n">
        <f aca="false">D4854*D4854</f>
        <v>1</v>
      </c>
      <c r="O4854" s="0" t="n">
        <f aca="false">E4854*E4854</f>
        <v>0.390625</v>
      </c>
      <c r="P4854" s="0" t="n">
        <f aca="false">F4854*F4854</f>
        <v>0.25</v>
      </c>
      <c r="Q4854" s="0" t="n">
        <f aca="false">SUMPRODUCT(G4854:P4854,_XtX!$B$71:$K$71)</f>
        <v>48.7411647727273</v>
      </c>
      <c r="R4854" s="0" t="n">
        <f aca="false">SUMPRODUCT(MMULT(G4854:P4854,_XtX!$B$58:$K$67),G4854:P4854)</f>
        <v>0.465882457386364</v>
      </c>
      <c r="S4854" s="0" t="n">
        <f aca="false">04_回帰ANOVA!$K$19*04_回帰ANOVA!$K$14*SQRT(1+R4854)</f>
        <v>1.12568326538173</v>
      </c>
      <c r="T4854" s="0" t="n">
        <f aca="false">Q4854-S4854</f>
        <v>47.6154815073455</v>
      </c>
      <c r="U4854" s="0" t="n">
        <f aca="false">Q4854+S4854</f>
        <v>49.866848038109</v>
      </c>
      <c r="V4854" s="54" t="b">
        <f aca="false">AND(D4854&gt;=01_因子設定!$L$5-0.000000001,D4854&lt;=01_因子設定!$M$5+0.000000001,E4854&gt;=01_因子設定!$L$6-0.000000001,E4854&lt;=01_因子設定!$M$6+0.000000001,F4854&gt;=01_因子設定!$L$7-0.000000001,F4854&lt;=01_因子設定!$M$7+0.000000001,IF(01_因子設定!$B$20="Box-Behnken",D4854^2+E4854^2+F4854^2&lt;=2+0.000000001,TRUE()))</f>
        <v>1</v>
      </c>
      <c r="W4854" s="55" t="n">
        <f aca="false">IF(V4854,IF(01_因子設定!$B$13="最大化",T4854-01_因子設定!$B$14,IF(01_因子設定!$B$13="最小化",01_因子設定!$B$15-U4854,MIN(T4854-01_因子設定!$B$14,01_因子設定!$B$15-U4854))),-1E+030)</f>
        <v>-0.884518492654458</v>
      </c>
      <c r="X4854" s="55" t="n">
        <f aca="false">IF(V4854,IF(01_因子設定!$B$13="最大化",Q4854,IF(01_因子設定!$B$13="最小化",-Q4854,-ABS(Q4854-01_因子設定!$B$16))),-1E+030)</f>
        <v>48.7411647727273</v>
      </c>
      <c r="Y4854" s="55" t="n">
        <f aca="false">W4854+ROW()*0.000000001</f>
        <v>-0.884513638654458</v>
      </c>
      <c r="Z4854" s="55" t="n">
        <f aca="false">X4854+ROW()*0.000000001</f>
        <v>48.7411696267273</v>
      </c>
    </row>
    <row r="4855" customFormat="false" ht="15" hidden="false" customHeight="false" outlineLevel="0" collapsed="false">
      <c r="A4855" s="0" t="n">
        <v>16</v>
      </c>
      <c r="B4855" s="0" t="n">
        <v>13</v>
      </c>
      <c r="C4855" s="0" t="n">
        <v>5</v>
      </c>
      <c r="D4855" s="0" t="n">
        <f aca="false">-1+A4855*0.125</f>
        <v>1</v>
      </c>
      <c r="E4855" s="0" t="n">
        <f aca="false">-1+B4855*0.125</f>
        <v>0.625</v>
      </c>
      <c r="F4855" s="0" t="n">
        <f aca="false">-1+C4855*0.125</f>
        <v>-0.375</v>
      </c>
      <c r="G4855" s="0" t="n">
        <f aca="false">1</f>
        <v>1</v>
      </c>
      <c r="H4855" s="0" t="n">
        <f aca="false">D4855</f>
        <v>1</v>
      </c>
      <c r="I4855" s="0" t="n">
        <f aca="false">E4855</f>
        <v>0.625</v>
      </c>
      <c r="J4855" s="0" t="n">
        <f aca="false">F4855</f>
        <v>-0.375</v>
      </c>
      <c r="K4855" s="0" t="n">
        <f aca="false">D4855*E4855</f>
        <v>0.625</v>
      </c>
      <c r="L4855" s="0" t="n">
        <f aca="false">D4855*F4855</f>
        <v>-0.375</v>
      </c>
      <c r="M4855" s="0" t="n">
        <f aca="false">E4855*F4855</f>
        <v>-0.234375</v>
      </c>
      <c r="N4855" s="0" t="n">
        <f aca="false">D4855*D4855</f>
        <v>1</v>
      </c>
      <c r="O4855" s="0" t="n">
        <f aca="false">E4855*E4855</f>
        <v>0.390625</v>
      </c>
      <c r="P4855" s="0" t="n">
        <f aca="false">F4855*F4855</f>
        <v>0.140625</v>
      </c>
      <c r="Q4855" s="0" t="n">
        <f aca="false">SUMPRODUCT(G4855:P4855,_XtX!$B$71:$K$71)</f>
        <v>49.0588352272727</v>
      </c>
      <c r="R4855" s="0" t="n">
        <f aca="false">SUMPRODUCT(MMULT(G4855:P4855,_XtX!$B$58:$K$67),G4855:P4855)</f>
        <v>0.471821178089489</v>
      </c>
      <c r="S4855" s="0" t="n">
        <f aca="false">04_回帰ANOVA!$K$19*04_回帰ANOVA!$K$14*SQRT(1+R4855)</f>
        <v>1.12796119746125</v>
      </c>
      <c r="T4855" s="0" t="n">
        <f aca="false">Q4855-S4855</f>
        <v>47.9308740298115</v>
      </c>
      <c r="U4855" s="0" t="n">
        <f aca="false">Q4855+S4855</f>
        <v>50.186796424734</v>
      </c>
      <c r="V4855" s="54" t="b">
        <f aca="false">AND(D4855&gt;=01_因子設定!$L$5-0.000000001,D4855&lt;=01_因子設定!$M$5+0.000000001,E4855&gt;=01_因子設定!$L$6-0.000000001,E4855&lt;=01_因子設定!$M$6+0.000000001,F4855&gt;=01_因子設定!$L$7-0.000000001,F4855&lt;=01_因子設定!$M$7+0.000000001,IF(01_因子設定!$B$20="Box-Behnken",D4855^2+E4855^2+F4855^2&lt;=2+0.000000001,TRUE()))</f>
        <v>1</v>
      </c>
      <c r="W4855" s="55" t="n">
        <f aca="false">IF(V4855,IF(01_因子設定!$B$13="最大化",T4855-01_因子設定!$B$14,IF(01_因子設定!$B$13="最小化",01_因子設定!$B$15-U4855,MIN(T4855-01_因子設定!$B$14,01_因子設定!$B$15-U4855))),-1E+030)</f>
        <v>-0.569125970188537</v>
      </c>
      <c r="X4855" s="55" t="n">
        <f aca="false">IF(V4855,IF(01_因子設定!$B$13="最大化",Q4855,IF(01_因子設定!$B$13="最小化",-Q4855,-ABS(Q4855-01_因子設定!$B$16))),-1E+030)</f>
        <v>49.0588352272727</v>
      </c>
      <c r="Y4855" s="55" t="n">
        <f aca="false">W4855+ROW()*0.000000001</f>
        <v>-0.569121115188537</v>
      </c>
      <c r="Z4855" s="55" t="n">
        <f aca="false">X4855+ROW()*0.000000001</f>
        <v>49.0588400822727</v>
      </c>
    </row>
    <row r="4856" customFormat="false" ht="15" hidden="false" customHeight="false" outlineLevel="0" collapsed="false">
      <c r="A4856" s="0" t="n">
        <v>16</v>
      </c>
      <c r="B4856" s="0" t="n">
        <v>13</v>
      </c>
      <c r="C4856" s="0" t="n">
        <v>6</v>
      </c>
      <c r="D4856" s="0" t="n">
        <f aca="false">-1+A4856*0.125</f>
        <v>1</v>
      </c>
      <c r="E4856" s="0" t="n">
        <f aca="false">-1+B4856*0.125</f>
        <v>0.625</v>
      </c>
      <c r="F4856" s="0" t="n">
        <f aca="false">-1+C4856*0.125</f>
        <v>-0.25</v>
      </c>
      <c r="G4856" s="0" t="n">
        <f aca="false">1</f>
        <v>1</v>
      </c>
      <c r="H4856" s="0" t="n">
        <f aca="false">D4856</f>
        <v>1</v>
      </c>
      <c r="I4856" s="0" t="n">
        <f aca="false">E4856</f>
        <v>0.625</v>
      </c>
      <c r="J4856" s="0" t="n">
        <f aca="false">F4856</f>
        <v>-0.25</v>
      </c>
      <c r="K4856" s="0" t="n">
        <f aca="false">D4856*E4856</f>
        <v>0.625</v>
      </c>
      <c r="L4856" s="0" t="n">
        <f aca="false">D4856*F4856</f>
        <v>-0.25</v>
      </c>
      <c r="M4856" s="0" t="n">
        <f aca="false">E4856*F4856</f>
        <v>-0.15625</v>
      </c>
      <c r="N4856" s="0" t="n">
        <f aca="false">D4856*D4856</f>
        <v>1</v>
      </c>
      <c r="O4856" s="0" t="n">
        <f aca="false">E4856*E4856</f>
        <v>0.390625</v>
      </c>
      <c r="P4856" s="0" t="n">
        <f aca="false">F4856*F4856</f>
        <v>0.0625</v>
      </c>
      <c r="Q4856" s="0" t="n">
        <f aca="false">SUMPRODUCT(G4856:P4856,_XtX!$B$71:$K$71)</f>
        <v>49.3397159090909</v>
      </c>
      <c r="R4856" s="0" t="n">
        <f aca="false">SUMPRODUCT(MMULT(G4856:P4856,_XtX!$B$58:$K$67),G4856:P4856)</f>
        <v>0.481389825994318</v>
      </c>
      <c r="S4856" s="0" t="n">
        <f aca="false">04_回帰ANOVA!$K$19*04_回帰ANOVA!$K$14*SQRT(1+R4856)</f>
        <v>1.13162182500693</v>
      </c>
      <c r="T4856" s="0" t="n">
        <f aca="false">Q4856-S4856</f>
        <v>48.208094084084</v>
      </c>
      <c r="U4856" s="0" t="n">
        <f aca="false">Q4856+S4856</f>
        <v>50.4713377340978</v>
      </c>
      <c r="V4856" s="54" t="b">
        <f aca="false">AND(D4856&gt;=01_因子設定!$L$5-0.000000001,D4856&lt;=01_因子設定!$M$5+0.000000001,E4856&gt;=01_因子設定!$L$6-0.000000001,E4856&lt;=01_因子設定!$M$6+0.000000001,F4856&gt;=01_因子設定!$L$7-0.000000001,F4856&lt;=01_因子設定!$M$7+0.000000001,IF(01_因子設定!$B$20="Box-Behnken",D4856^2+E4856^2+F4856^2&lt;=2+0.000000001,TRUE()))</f>
        <v>1</v>
      </c>
      <c r="W4856" s="55" t="n">
        <f aca="false">IF(V4856,IF(01_因子設定!$B$13="最大化",T4856-01_因子設定!$B$14,IF(01_因子設定!$B$13="最小化",01_因子設定!$B$15-U4856,MIN(T4856-01_因子設定!$B$14,01_因子設定!$B$15-U4856))),-1E+030)</f>
        <v>-0.291905915916026</v>
      </c>
      <c r="X4856" s="55" t="n">
        <f aca="false">IF(V4856,IF(01_因子設定!$B$13="最大化",Q4856,IF(01_因子設定!$B$13="最小化",-Q4856,-ABS(Q4856-01_因子設定!$B$16))),-1E+030)</f>
        <v>49.3397159090909</v>
      </c>
      <c r="Y4856" s="55" t="n">
        <f aca="false">W4856+ROW()*0.000000001</f>
        <v>-0.291901059916026</v>
      </c>
      <c r="Z4856" s="55" t="n">
        <f aca="false">X4856+ROW()*0.000000001</f>
        <v>49.3397207650909</v>
      </c>
    </row>
    <row r="4857" customFormat="false" ht="15" hidden="false" customHeight="false" outlineLevel="0" collapsed="false">
      <c r="A4857" s="0" t="n">
        <v>16</v>
      </c>
      <c r="B4857" s="0" t="n">
        <v>13</v>
      </c>
      <c r="C4857" s="0" t="n">
        <v>7</v>
      </c>
      <c r="D4857" s="0" t="n">
        <f aca="false">-1+A4857*0.125</f>
        <v>1</v>
      </c>
      <c r="E4857" s="0" t="n">
        <f aca="false">-1+B4857*0.125</f>
        <v>0.625</v>
      </c>
      <c r="F4857" s="0" t="n">
        <f aca="false">-1+C4857*0.125</f>
        <v>-0.125</v>
      </c>
      <c r="G4857" s="0" t="n">
        <f aca="false">1</f>
        <v>1</v>
      </c>
      <c r="H4857" s="0" t="n">
        <f aca="false">D4857</f>
        <v>1</v>
      </c>
      <c r="I4857" s="0" t="n">
        <f aca="false">E4857</f>
        <v>0.625</v>
      </c>
      <c r="J4857" s="0" t="n">
        <f aca="false">F4857</f>
        <v>-0.125</v>
      </c>
      <c r="K4857" s="0" t="n">
        <f aca="false">D4857*E4857</f>
        <v>0.625</v>
      </c>
      <c r="L4857" s="0" t="n">
        <f aca="false">D4857*F4857</f>
        <v>-0.125</v>
      </c>
      <c r="M4857" s="0" t="n">
        <f aca="false">E4857*F4857</f>
        <v>-0.078125</v>
      </c>
      <c r="N4857" s="0" t="n">
        <f aca="false">D4857*D4857</f>
        <v>1</v>
      </c>
      <c r="O4857" s="0" t="n">
        <f aca="false">E4857*E4857</f>
        <v>0.390625</v>
      </c>
      <c r="P4857" s="0" t="n">
        <f aca="false">F4857*F4857</f>
        <v>0.015625</v>
      </c>
      <c r="Q4857" s="0" t="n">
        <f aca="false">SUMPRODUCT(G4857:P4857,_XtX!$B$71:$K$71)</f>
        <v>49.5838068181818</v>
      </c>
      <c r="R4857" s="0" t="n">
        <f aca="false">SUMPRODUCT(MMULT(G4857:P4857,_XtX!$B$58:$K$67),G4857:P4857)</f>
        <v>0.489261696555398</v>
      </c>
      <c r="S4857" s="0" t="n">
        <f aca="false">04_回帰ANOVA!$K$19*04_回帰ANOVA!$K$14*SQRT(1+R4857)</f>
        <v>1.13462447083763</v>
      </c>
      <c r="T4857" s="0" t="n">
        <f aca="false">Q4857-S4857</f>
        <v>48.4491823473442</v>
      </c>
      <c r="U4857" s="0" t="n">
        <f aca="false">Q4857+S4857</f>
        <v>50.7184312890194</v>
      </c>
      <c r="V4857" s="54" t="b">
        <f aca="false">AND(D4857&gt;=01_因子設定!$L$5-0.000000001,D4857&lt;=01_因子設定!$M$5+0.000000001,E4857&gt;=01_因子設定!$L$6-0.000000001,E4857&lt;=01_因子設定!$M$6+0.000000001,F4857&gt;=01_因子設定!$L$7-0.000000001,F4857&lt;=01_因子設定!$M$7+0.000000001,IF(01_因子設定!$B$20="Box-Behnken",D4857^2+E4857^2+F4857^2&lt;=2+0.000000001,TRUE()))</f>
        <v>1</v>
      </c>
      <c r="W4857" s="55" t="n">
        <f aca="false">IF(V4857,IF(01_因子設定!$B$13="最大化",T4857-01_因子設定!$B$14,IF(01_因子設定!$B$13="最小化",01_因子設定!$B$15-U4857,MIN(T4857-01_因子設定!$B$14,01_因子設定!$B$15-U4857))),-1E+030)</f>
        <v>-0.0508176526558302</v>
      </c>
      <c r="X4857" s="55" t="n">
        <f aca="false">IF(V4857,IF(01_因子設定!$B$13="最大化",Q4857,IF(01_因子設定!$B$13="最小化",-Q4857,-ABS(Q4857-01_因子設定!$B$16))),-1E+030)</f>
        <v>49.5838068181818</v>
      </c>
      <c r="Y4857" s="55" t="n">
        <f aca="false">W4857+ROW()*0.000000001</f>
        <v>-0.0508127956558302</v>
      </c>
      <c r="Z4857" s="55" t="n">
        <f aca="false">X4857+ROW()*0.000000001</f>
        <v>49.5838116751818</v>
      </c>
    </row>
    <row r="4858" customFormat="false" ht="15" hidden="false" customHeight="false" outlineLevel="0" collapsed="false">
      <c r="A4858" s="0" t="n">
        <v>16</v>
      </c>
      <c r="B4858" s="0" t="n">
        <v>13</v>
      </c>
      <c r="C4858" s="0" t="n">
        <v>8</v>
      </c>
      <c r="D4858" s="0" t="n">
        <f aca="false">-1+A4858*0.125</f>
        <v>1</v>
      </c>
      <c r="E4858" s="0" t="n">
        <f aca="false">-1+B4858*0.125</f>
        <v>0.625</v>
      </c>
      <c r="F4858" s="0" t="n">
        <f aca="false">-1+C4858*0.125</f>
        <v>0</v>
      </c>
      <c r="G4858" s="0" t="n">
        <f aca="false">1</f>
        <v>1</v>
      </c>
      <c r="H4858" s="0" t="n">
        <f aca="false">D4858</f>
        <v>1</v>
      </c>
      <c r="I4858" s="0" t="n">
        <f aca="false">E4858</f>
        <v>0.625</v>
      </c>
      <c r="J4858" s="0" t="n">
        <f aca="false">F4858</f>
        <v>0</v>
      </c>
      <c r="K4858" s="0" t="n">
        <f aca="false">D4858*E4858</f>
        <v>0.625</v>
      </c>
      <c r="L4858" s="0" t="n">
        <f aca="false">D4858*F4858</f>
        <v>0</v>
      </c>
      <c r="M4858" s="0" t="n">
        <f aca="false">E4858*F4858</f>
        <v>0</v>
      </c>
      <c r="N4858" s="0" t="n">
        <f aca="false">D4858*D4858</f>
        <v>1</v>
      </c>
      <c r="O4858" s="0" t="n">
        <f aca="false">E4858*E4858</f>
        <v>0.390625</v>
      </c>
      <c r="P4858" s="0" t="n">
        <f aca="false">F4858*F4858</f>
        <v>0</v>
      </c>
      <c r="Q4858" s="0" t="n">
        <f aca="false">SUMPRODUCT(G4858:P4858,_XtX!$B$71:$K$71)</f>
        <v>49.7911079545454</v>
      </c>
      <c r="R4858" s="0" t="n">
        <f aca="false">SUMPRODUCT(MMULT(G4858:P4858,_XtX!$B$58:$K$67),G4858:P4858)</f>
        <v>0.492240767045455</v>
      </c>
      <c r="S4858" s="0" t="n">
        <f aca="false">04_回帰ANOVA!$K$19*04_回帰ANOVA!$K$14*SQRT(1+R4858)</f>
        <v>1.13575873676322</v>
      </c>
      <c r="T4858" s="0" t="n">
        <f aca="false">Q4858-S4858</f>
        <v>48.6553492177822</v>
      </c>
      <c r="U4858" s="0" t="n">
        <f aca="false">Q4858+S4858</f>
        <v>50.9268666913087</v>
      </c>
      <c r="V4858" s="54" t="b">
        <f aca="false">AND(D4858&gt;=01_因子設定!$L$5-0.000000001,D4858&lt;=01_因子設定!$M$5+0.000000001,E4858&gt;=01_因子設定!$L$6-0.000000001,E4858&lt;=01_因子設定!$M$6+0.000000001,F4858&gt;=01_因子設定!$L$7-0.000000001,F4858&lt;=01_因子設定!$M$7+0.000000001,IF(01_因子設定!$B$20="Box-Behnken",D4858^2+E4858^2+F4858^2&lt;=2+0.000000001,TRUE()))</f>
        <v>1</v>
      </c>
      <c r="W4858" s="55" t="n">
        <f aca="false">IF(V4858,IF(01_因子設定!$B$13="最大化",T4858-01_因子設定!$B$14,IF(01_因子設定!$B$13="最小化",01_因子設定!$B$15-U4858,MIN(T4858-01_因子設定!$B$14,01_因子設定!$B$15-U4858))),-1E+030)</f>
        <v>0.155349217782224</v>
      </c>
      <c r="X4858" s="55" t="n">
        <f aca="false">IF(V4858,IF(01_因子設定!$B$13="最大化",Q4858,IF(01_因子設定!$B$13="最小化",-Q4858,-ABS(Q4858-01_因子設定!$B$16))),-1E+030)</f>
        <v>49.7911079545454</v>
      </c>
      <c r="Y4858" s="55" t="n">
        <f aca="false">W4858+ROW()*0.000000001</f>
        <v>0.155354075782224</v>
      </c>
      <c r="Z4858" s="55" t="n">
        <f aca="false">X4858+ROW()*0.000000001</f>
        <v>49.7911128125454</v>
      </c>
    </row>
    <row r="4859" customFormat="false" ht="15" hidden="false" customHeight="false" outlineLevel="0" collapsed="false">
      <c r="A4859" s="0" t="n">
        <v>16</v>
      </c>
      <c r="B4859" s="0" t="n">
        <v>13</v>
      </c>
      <c r="C4859" s="0" t="n">
        <v>9</v>
      </c>
      <c r="D4859" s="0" t="n">
        <f aca="false">-1+A4859*0.125</f>
        <v>1</v>
      </c>
      <c r="E4859" s="0" t="n">
        <f aca="false">-1+B4859*0.125</f>
        <v>0.625</v>
      </c>
      <c r="F4859" s="0" t="n">
        <f aca="false">-1+C4859*0.125</f>
        <v>0.125</v>
      </c>
      <c r="G4859" s="0" t="n">
        <f aca="false">1</f>
        <v>1</v>
      </c>
      <c r="H4859" s="0" t="n">
        <f aca="false">D4859</f>
        <v>1</v>
      </c>
      <c r="I4859" s="0" t="n">
        <f aca="false">E4859</f>
        <v>0.625</v>
      </c>
      <c r="J4859" s="0" t="n">
        <f aca="false">F4859</f>
        <v>0.125</v>
      </c>
      <c r="K4859" s="0" t="n">
        <f aca="false">D4859*E4859</f>
        <v>0.625</v>
      </c>
      <c r="L4859" s="0" t="n">
        <f aca="false">D4859*F4859</f>
        <v>0.125</v>
      </c>
      <c r="M4859" s="0" t="n">
        <f aca="false">E4859*F4859</f>
        <v>0.078125</v>
      </c>
      <c r="N4859" s="0" t="n">
        <f aca="false">D4859*D4859</f>
        <v>1</v>
      </c>
      <c r="O4859" s="0" t="n">
        <f aca="false">E4859*E4859</f>
        <v>0.390625</v>
      </c>
      <c r="P4859" s="0" t="n">
        <f aca="false">F4859*F4859</f>
        <v>0.015625</v>
      </c>
      <c r="Q4859" s="0" t="n">
        <f aca="false">SUMPRODUCT(G4859:P4859,_XtX!$B$71:$K$71)</f>
        <v>49.9616193181818</v>
      </c>
      <c r="R4859" s="0" t="n">
        <f aca="false">SUMPRODUCT(MMULT(G4859:P4859,_XtX!$B$58:$K$67),G4859:P4859)</f>
        <v>0.489261696555398</v>
      </c>
      <c r="S4859" s="0" t="n">
        <f aca="false">04_回帰ANOVA!$K$19*04_回帰ANOVA!$K$14*SQRT(1+R4859)</f>
        <v>1.13462447083763</v>
      </c>
      <c r="T4859" s="0" t="n">
        <f aca="false">Q4859-S4859</f>
        <v>48.8269948473442</v>
      </c>
      <c r="U4859" s="0" t="n">
        <f aca="false">Q4859+S4859</f>
        <v>51.0962437890195</v>
      </c>
      <c r="V4859" s="54" t="b">
        <f aca="false">AND(D4859&gt;=01_因子設定!$L$5-0.000000001,D4859&lt;=01_因子設定!$M$5+0.000000001,E4859&gt;=01_因子設定!$L$6-0.000000001,E4859&lt;=01_因子設定!$M$6+0.000000001,F4859&gt;=01_因子設定!$L$7-0.000000001,F4859&lt;=01_因子設定!$M$7+0.000000001,IF(01_因子設定!$B$20="Box-Behnken",D4859^2+E4859^2+F4859^2&lt;=2+0.000000001,TRUE()))</f>
        <v>1</v>
      </c>
      <c r="W4859" s="55" t="n">
        <f aca="false">IF(V4859,IF(01_因子設定!$B$13="最大化",T4859-01_因子設定!$B$14,IF(01_因子設定!$B$13="最小化",01_因子設定!$B$15-U4859,MIN(T4859-01_因子設定!$B$14,01_因子設定!$B$15-U4859))),-1E+030)</f>
        <v>0.326994847344174</v>
      </c>
      <c r="X4859" s="55" t="n">
        <f aca="false">IF(V4859,IF(01_因子設定!$B$13="最大化",Q4859,IF(01_因子設定!$B$13="最小化",-Q4859,-ABS(Q4859-01_因子設定!$B$16))),-1E+030)</f>
        <v>49.9616193181818</v>
      </c>
      <c r="Y4859" s="55" t="n">
        <f aca="false">W4859+ROW()*0.000000001</f>
        <v>0.326999706344174</v>
      </c>
      <c r="Z4859" s="55" t="n">
        <f aca="false">X4859+ROW()*0.000000001</f>
        <v>49.9616241771818</v>
      </c>
    </row>
    <row r="4860" customFormat="false" ht="15" hidden="false" customHeight="false" outlineLevel="0" collapsed="false">
      <c r="A4860" s="0" t="n">
        <v>16</v>
      </c>
      <c r="B4860" s="0" t="n">
        <v>13</v>
      </c>
      <c r="C4860" s="0" t="n">
        <v>10</v>
      </c>
      <c r="D4860" s="0" t="n">
        <f aca="false">-1+A4860*0.125</f>
        <v>1</v>
      </c>
      <c r="E4860" s="0" t="n">
        <f aca="false">-1+B4860*0.125</f>
        <v>0.625</v>
      </c>
      <c r="F4860" s="0" t="n">
        <f aca="false">-1+C4860*0.125</f>
        <v>0.25</v>
      </c>
      <c r="G4860" s="0" t="n">
        <f aca="false">1</f>
        <v>1</v>
      </c>
      <c r="H4860" s="0" t="n">
        <f aca="false">D4860</f>
        <v>1</v>
      </c>
      <c r="I4860" s="0" t="n">
        <f aca="false">E4860</f>
        <v>0.625</v>
      </c>
      <c r="J4860" s="0" t="n">
        <f aca="false">F4860</f>
        <v>0.25</v>
      </c>
      <c r="K4860" s="0" t="n">
        <f aca="false">D4860*E4860</f>
        <v>0.625</v>
      </c>
      <c r="L4860" s="0" t="n">
        <f aca="false">D4860*F4860</f>
        <v>0.25</v>
      </c>
      <c r="M4860" s="0" t="n">
        <f aca="false">E4860*F4860</f>
        <v>0.15625</v>
      </c>
      <c r="N4860" s="0" t="n">
        <f aca="false">D4860*D4860</f>
        <v>1</v>
      </c>
      <c r="O4860" s="0" t="n">
        <f aca="false">E4860*E4860</f>
        <v>0.390625</v>
      </c>
      <c r="P4860" s="0" t="n">
        <f aca="false">F4860*F4860</f>
        <v>0.0625</v>
      </c>
      <c r="Q4860" s="0" t="n">
        <f aca="false">SUMPRODUCT(G4860:P4860,_XtX!$B$71:$K$71)</f>
        <v>50.0953409090909</v>
      </c>
      <c r="R4860" s="0" t="n">
        <f aca="false">SUMPRODUCT(MMULT(G4860:P4860,_XtX!$B$58:$K$67),G4860:P4860)</f>
        <v>0.481389825994318</v>
      </c>
      <c r="S4860" s="0" t="n">
        <f aca="false">04_回帰ANOVA!$K$19*04_回帰ANOVA!$K$14*SQRT(1+R4860)</f>
        <v>1.13162182500693</v>
      </c>
      <c r="T4860" s="0" t="n">
        <f aca="false">Q4860-S4860</f>
        <v>48.963719084084</v>
      </c>
      <c r="U4860" s="0" t="n">
        <f aca="false">Q4860+S4860</f>
        <v>51.2269627340978</v>
      </c>
      <c r="V4860" s="54" t="b">
        <f aca="false">AND(D4860&gt;=01_因子設定!$L$5-0.000000001,D4860&lt;=01_因子設定!$M$5+0.000000001,E4860&gt;=01_因子設定!$L$6-0.000000001,E4860&lt;=01_因子設定!$M$6+0.000000001,F4860&gt;=01_因子設定!$L$7-0.000000001,F4860&lt;=01_因子設定!$M$7+0.000000001,IF(01_因子設定!$B$20="Box-Behnken",D4860^2+E4860^2+F4860^2&lt;=2+0.000000001,TRUE()))</f>
        <v>1</v>
      </c>
      <c r="W4860" s="55" t="n">
        <f aca="false">IF(V4860,IF(01_因子設定!$B$13="最大化",T4860-01_因子設定!$B$14,IF(01_因子設定!$B$13="最小化",01_因子設定!$B$15-U4860,MIN(T4860-01_因子設定!$B$14,01_因子設定!$B$15-U4860))),-1E+030)</f>
        <v>0.463719084083976</v>
      </c>
      <c r="X4860" s="55" t="n">
        <f aca="false">IF(V4860,IF(01_因子設定!$B$13="最大化",Q4860,IF(01_因子設定!$B$13="最小化",-Q4860,-ABS(Q4860-01_因子設定!$B$16))),-1E+030)</f>
        <v>50.0953409090909</v>
      </c>
      <c r="Y4860" s="55" t="n">
        <f aca="false">W4860+ROW()*0.000000001</f>
        <v>0.463723944083976</v>
      </c>
      <c r="Z4860" s="55" t="n">
        <f aca="false">X4860+ROW()*0.000000001</f>
        <v>50.0953457690909</v>
      </c>
    </row>
    <row r="4861" customFormat="false" ht="15" hidden="false" customHeight="false" outlineLevel="0" collapsed="false">
      <c r="A4861" s="0" t="n">
        <v>16</v>
      </c>
      <c r="B4861" s="0" t="n">
        <v>13</v>
      </c>
      <c r="C4861" s="0" t="n">
        <v>11</v>
      </c>
      <c r="D4861" s="0" t="n">
        <f aca="false">-1+A4861*0.125</f>
        <v>1</v>
      </c>
      <c r="E4861" s="0" t="n">
        <f aca="false">-1+B4861*0.125</f>
        <v>0.625</v>
      </c>
      <c r="F4861" s="0" t="n">
        <f aca="false">-1+C4861*0.125</f>
        <v>0.375</v>
      </c>
      <c r="G4861" s="0" t="n">
        <f aca="false">1</f>
        <v>1</v>
      </c>
      <c r="H4861" s="0" t="n">
        <f aca="false">D4861</f>
        <v>1</v>
      </c>
      <c r="I4861" s="0" t="n">
        <f aca="false">E4861</f>
        <v>0.625</v>
      </c>
      <c r="J4861" s="0" t="n">
        <f aca="false">F4861</f>
        <v>0.375</v>
      </c>
      <c r="K4861" s="0" t="n">
        <f aca="false">D4861*E4861</f>
        <v>0.625</v>
      </c>
      <c r="L4861" s="0" t="n">
        <f aca="false">D4861*F4861</f>
        <v>0.375</v>
      </c>
      <c r="M4861" s="0" t="n">
        <f aca="false">E4861*F4861</f>
        <v>0.234375</v>
      </c>
      <c r="N4861" s="0" t="n">
        <f aca="false">D4861*D4861</f>
        <v>1</v>
      </c>
      <c r="O4861" s="0" t="n">
        <f aca="false">E4861*E4861</f>
        <v>0.390625</v>
      </c>
      <c r="P4861" s="0" t="n">
        <f aca="false">F4861*F4861</f>
        <v>0.140625</v>
      </c>
      <c r="Q4861" s="0" t="n">
        <f aca="false">SUMPRODUCT(G4861:P4861,_XtX!$B$71:$K$71)</f>
        <v>50.1922727272727</v>
      </c>
      <c r="R4861" s="0" t="n">
        <f aca="false">SUMPRODUCT(MMULT(G4861:P4861,_XtX!$B$58:$K$67),G4861:P4861)</f>
        <v>0.471821178089489</v>
      </c>
      <c r="S4861" s="0" t="n">
        <f aca="false">04_回帰ANOVA!$K$19*04_回帰ANOVA!$K$14*SQRT(1+R4861)</f>
        <v>1.12796119746125</v>
      </c>
      <c r="T4861" s="0" t="n">
        <f aca="false">Q4861-S4861</f>
        <v>49.0643115298115</v>
      </c>
      <c r="U4861" s="0" t="n">
        <f aca="false">Q4861+S4861</f>
        <v>51.320233924734</v>
      </c>
      <c r="V4861" s="54" t="b">
        <f aca="false">AND(D4861&gt;=01_因子設定!$L$5-0.000000001,D4861&lt;=01_因子設定!$M$5+0.000000001,E4861&gt;=01_因子設定!$L$6-0.000000001,E4861&lt;=01_因子設定!$M$6+0.000000001,F4861&gt;=01_因子設定!$L$7-0.000000001,F4861&lt;=01_因子設定!$M$7+0.000000001,IF(01_因子設定!$B$20="Box-Behnken",D4861^2+E4861^2+F4861^2&lt;=2+0.000000001,TRUE()))</f>
        <v>1</v>
      </c>
      <c r="W4861" s="55" t="n">
        <f aca="false">IF(V4861,IF(01_因子設定!$B$13="最大化",T4861-01_因子設定!$B$14,IF(01_因子設定!$B$13="最小化",01_因子設定!$B$15-U4861,MIN(T4861-01_因子設定!$B$14,01_因子設定!$B$15-U4861))),-1E+030)</f>
        <v>0.564311529811469</v>
      </c>
      <c r="X4861" s="55" t="n">
        <f aca="false">IF(V4861,IF(01_因子設定!$B$13="最大化",Q4861,IF(01_因子設定!$B$13="最小化",-Q4861,-ABS(Q4861-01_因子設定!$B$16))),-1E+030)</f>
        <v>50.1922727272727</v>
      </c>
      <c r="Y4861" s="55" t="n">
        <f aca="false">W4861+ROW()*0.000000001</f>
        <v>0.564316390811469</v>
      </c>
      <c r="Z4861" s="55" t="n">
        <f aca="false">X4861+ROW()*0.000000001</f>
        <v>50.1922775882727</v>
      </c>
    </row>
    <row r="4862" customFormat="false" ht="15" hidden="false" customHeight="false" outlineLevel="0" collapsed="false">
      <c r="A4862" s="0" t="n">
        <v>16</v>
      </c>
      <c r="B4862" s="0" t="n">
        <v>13</v>
      </c>
      <c r="C4862" s="0" t="n">
        <v>12</v>
      </c>
      <c r="D4862" s="0" t="n">
        <f aca="false">-1+A4862*0.125</f>
        <v>1</v>
      </c>
      <c r="E4862" s="0" t="n">
        <f aca="false">-1+B4862*0.125</f>
        <v>0.625</v>
      </c>
      <c r="F4862" s="0" t="n">
        <f aca="false">-1+C4862*0.125</f>
        <v>0.5</v>
      </c>
      <c r="G4862" s="0" t="n">
        <f aca="false">1</f>
        <v>1</v>
      </c>
      <c r="H4862" s="0" t="n">
        <f aca="false">D4862</f>
        <v>1</v>
      </c>
      <c r="I4862" s="0" t="n">
        <f aca="false">E4862</f>
        <v>0.625</v>
      </c>
      <c r="J4862" s="0" t="n">
        <f aca="false">F4862</f>
        <v>0.5</v>
      </c>
      <c r="K4862" s="0" t="n">
        <f aca="false">D4862*E4862</f>
        <v>0.625</v>
      </c>
      <c r="L4862" s="0" t="n">
        <f aca="false">D4862*F4862</f>
        <v>0.5</v>
      </c>
      <c r="M4862" s="0" t="n">
        <f aca="false">E4862*F4862</f>
        <v>0.3125</v>
      </c>
      <c r="N4862" s="0" t="n">
        <f aca="false">D4862*D4862</f>
        <v>1</v>
      </c>
      <c r="O4862" s="0" t="n">
        <f aca="false">E4862*E4862</f>
        <v>0.390625</v>
      </c>
      <c r="P4862" s="0" t="n">
        <f aca="false">F4862*F4862</f>
        <v>0.25</v>
      </c>
      <c r="Q4862" s="0" t="n">
        <f aca="false">SUMPRODUCT(G4862:P4862,_XtX!$B$71:$K$71)</f>
        <v>50.2524147727273</v>
      </c>
      <c r="R4862" s="0" t="n">
        <f aca="false">SUMPRODUCT(MMULT(G4862:P4862,_XtX!$B$58:$K$67),G4862:P4862)</f>
        <v>0.465882457386364</v>
      </c>
      <c r="S4862" s="0" t="n">
        <f aca="false">04_回帰ANOVA!$K$19*04_回帰ANOVA!$K$14*SQRT(1+R4862)</f>
        <v>1.12568326538173</v>
      </c>
      <c r="T4862" s="0" t="n">
        <f aca="false">Q4862-S4862</f>
        <v>49.1267315073455</v>
      </c>
      <c r="U4862" s="0" t="n">
        <f aca="false">Q4862+S4862</f>
        <v>51.378098038109</v>
      </c>
      <c r="V4862" s="54" t="b">
        <f aca="false">AND(D4862&gt;=01_因子設定!$L$5-0.000000001,D4862&lt;=01_因子設定!$M$5+0.000000001,E4862&gt;=01_因子設定!$L$6-0.000000001,E4862&lt;=01_因子設定!$M$6+0.000000001,F4862&gt;=01_因子設定!$L$7-0.000000001,F4862&lt;=01_因子設定!$M$7+0.000000001,IF(01_因子設定!$B$20="Box-Behnken",D4862^2+E4862^2+F4862^2&lt;=2+0.000000001,TRUE()))</f>
        <v>1</v>
      </c>
      <c r="W4862" s="55" t="n">
        <f aca="false">IF(V4862,IF(01_因子設定!$B$13="最大化",T4862-01_因子設定!$B$14,IF(01_因子設定!$B$13="最小化",01_因子設定!$B$15-U4862,MIN(T4862-01_因子設定!$B$14,01_因子設定!$B$15-U4862))),-1E+030)</f>
        <v>0.626731507345546</v>
      </c>
      <c r="X4862" s="55" t="n">
        <f aca="false">IF(V4862,IF(01_因子設定!$B$13="最大化",Q4862,IF(01_因子設定!$B$13="最小化",-Q4862,-ABS(Q4862-01_因子設定!$B$16))),-1E+030)</f>
        <v>50.2524147727273</v>
      </c>
      <c r="Y4862" s="55" t="n">
        <f aca="false">W4862+ROW()*0.000000001</f>
        <v>0.626736369345546</v>
      </c>
      <c r="Z4862" s="55" t="n">
        <f aca="false">X4862+ROW()*0.000000001</f>
        <v>50.2524196347273</v>
      </c>
    </row>
    <row r="4863" customFormat="false" ht="15" hidden="false" customHeight="false" outlineLevel="0" collapsed="false">
      <c r="A4863" s="0" t="n">
        <v>16</v>
      </c>
      <c r="B4863" s="0" t="n">
        <v>13</v>
      </c>
      <c r="C4863" s="0" t="n">
        <v>13</v>
      </c>
      <c r="D4863" s="0" t="n">
        <f aca="false">-1+A4863*0.125</f>
        <v>1</v>
      </c>
      <c r="E4863" s="0" t="n">
        <f aca="false">-1+B4863*0.125</f>
        <v>0.625</v>
      </c>
      <c r="F4863" s="0" t="n">
        <f aca="false">-1+C4863*0.125</f>
        <v>0.625</v>
      </c>
      <c r="G4863" s="0" t="n">
        <f aca="false">1</f>
        <v>1</v>
      </c>
      <c r="H4863" s="0" t="n">
        <f aca="false">D4863</f>
        <v>1</v>
      </c>
      <c r="I4863" s="0" t="n">
        <f aca="false">E4863</f>
        <v>0.625</v>
      </c>
      <c r="J4863" s="0" t="n">
        <f aca="false">F4863</f>
        <v>0.625</v>
      </c>
      <c r="K4863" s="0" t="n">
        <f aca="false">D4863*E4863</f>
        <v>0.625</v>
      </c>
      <c r="L4863" s="0" t="n">
        <f aca="false">D4863*F4863</f>
        <v>0.625</v>
      </c>
      <c r="M4863" s="0" t="n">
        <f aca="false">E4863*F4863</f>
        <v>0.390625</v>
      </c>
      <c r="N4863" s="0" t="n">
        <f aca="false">D4863*D4863</f>
        <v>1</v>
      </c>
      <c r="O4863" s="0" t="n">
        <f aca="false">E4863*E4863</f>
        <v>0.390625</v>
      </c>
      <c r="P4863" s="0" t="n">
        <f aca="false">F4863*F4863</f>
        <v>0.390625</v>
      </c>
      <c r="Q4863" s="0" t="n">
        <f aca="false">SUMPRODUCT(G4863:P4863,_XtX!$B$71:$K$71)</f>
        <v>50.2757670454545</v>
      </c>
      <c r="R4863" s="0" t="n">
        <f aca="false">SUMPRODUCT(MMULT(G4863:P4863,_XtX!$B$58:$K$67),G4863:P4863)</f>
        <v>0.47103105024858</v>
      </c>
      <c r="S4863" s="0" t="n">
        <f aca="false">04_回帰ANOVA!$K$19*04_回帰ANOVA!$K$14*SQRT(1+R4863)</f>
        <v>1.1276583912499</v>
      </c>
      <c r="T4863" s="0" t="n">
        <f aca="false">Q4863-S4863</f>
        <v>49.1481086542046</v>
      </c>
      <c r="U4863" s="0" t="n">
        <f aca="false">Q4863+S4863</f>
        <v>51.4034254367044</v>
      </c>
      <c r="V4863" s="54" t="b">
        <f aca="false">AND(D4863&gt;=01_因子設定!$L$5-0.000000001,D4863&lt;=01_因子設定!$M$5+0.000000001,E4863&gt;=01_因子設定!$L$6-0.000000001,E4863&lt;=01_因子設定!$M$6+0.000000001,F4863&gt;=01_因子設定!$L$7-0.000000001,F4863&lt;=01_因子設定!$M$7+0.000000001,IF(01_因子設定!$B$20="Box-Behnken",D4863^2+E4863^2+F4863^2&lt;=2+0.000000001,TRUE()))</f>
        <v>1</v>
      </c>
      <c r="W4863" s="55" t="n">
        <f aca="false">IF(V4863,IF(01_因子設定!$B$13="最大化",T4863-01_因子設定!$B$14,IF(01_因子設定!$B$13="最小化",01_因子設定!$B$15-U4863,MIN(T4863-01_因子設定!$B$14,01_因子設定!$B$15-U4863))),-1E+030)</f>
        <v>0.648108654204641</v>
      </c>
      <c r="X4863" s="55" t="n">
        <f aca="false">IF(V4863,IF(01_因子設定!$B$13="最大化",Q4863,IF(01_因子設定!$B$13="最小化",-Q4863,-ABS(Q4863-01_因子設定!$B$16))),-1E+030)</f>
        <v>50.2757670454545</v>
      </c>
      <c r="Y4863" s="55" t="n">
        <f aca="false">W4863+ROW()*0.000000001</f>
        <v>0.648113517204641</v>
      </c>
      <c r="Z4863" s="55" t="n">
        <f aca="false">X4863+ROW()*0.000000001</f>
        <v>50.2757719084545</v>
      </c>
    </row>
    <row r="4864" customFormat="false" ht="15" hidden="false" customHeight="false" outlineLevel="0" collapsed="false">
      <c r="A4864" s="0" t="n">
        <v>16</v>
      </c>
      <c r="B4864" s="0" t="n">
        <v>13</v>
      </c>
      <c r="C4864" s="0" t="n">
        <v>14</v>
      </c>
      <c r="D4864" s="0" t="n">
        <f aca="false">-1+A4864*0.125</f>
        <v>1</v>
      </c>
      <c r="E4864" s="0" t="n">
        <f aca="false">-1+B4864*0.125</f>
        <v>0.625</v>
      </c>
      <c r="F4864" s="0" t="n">
        <f aca="false">-1+C4864*0.125</f>
        <v>0.75</v>
      </c>
      <c r="G4864" s="0" t="n">
        <f aca="false">1</f>
        <v>1</v>
      </c>
      <c r="H4864" s="0" t="n">
        <f aca="false">D4864</f>
        <v>1</v>
      </c>
      <c r="I4864" s="0" t="n">
        <f aca="false">E4864</f>
        <v>0.625</v>
      </c>
      <c r="J4864" s="0" t="n">
        <f aca="false">F4864</f>
        <v>0.75</v>
      </c>
      <c r="K4864" s="0" t="n">
        <f aca="false">D4864*E4864</f>
        <v>0.625</v>
      </c>
      <c r="L4864" s="0" t="n">
        <f aca="false">D4864*F4864</f>
        <v>0.75</v>
      </c>
      <c r="M4864" s="0" t="n">
        <f aca="false">E4864*F4864</f>
        <v>0.46875</v>
      </c>
      <c r="N4864" s="0" t="n">
        <f aca="false">D4864*D4864</f>
        <v>1</v>
      </c>
      <c r="O4864" s="0" t="n">
        <f aca="false">E4864*E4864</f>
        <v>0.390625</v>
      </c>
      <c r="P4864" s="0" t="n">
        <f aca="false">F4864*F4864</f>
        <v>0.5625</v>
      </c>
      <c r="Q4864" s="0" t="n">
        <f aca="false">SUMPRODUCT(G4864:P4864,_XtX!$B$71:$K$71)</f>
        <v>50.2623295454546</v>
      </c>
      <c r="R4864" s="0" t="n">
        <f aca="false">SUMPRODUCT(MMULT(G4864:P4864,_XtX!$B$58:$K$67),G4864:P4864)</f>
        <v>0.496855024857955</v>
      </c>
      <c r="S4864" s="0" t="n">
        <f aca="false">04_回帰ANOVA!$K$19*04_回帰ANOVA!$K$14*SQRT(1+R4864)</f>
        <v>1.1375133593161</v>
      </c>
      <c r="T4864" s="0" t="n">
        <f aca="false">Q4864-S4864</f>
        <v>49.1248161861384</v>
      </c>
      <c r="U4864" s="0" t="n">
        <f aca="false">Q4864+S4864</f>
        <v>51.3998429047707</v>
      </c>
      <c r="V4864" s="54" t="b">
        <f aca="false">AND(D4864&gt;=01_因子設定!$L$5-0.000000001,D4864&lt;=01_因子設定!$M$5+0.000000001,E4864&gt;=01_因子設定!$L$6-0.000000001,E4864&lt;=01_因子設定!$M$6+0.000000001,F4864&gt;=01_因子設定!$L$7-0.000000001,F4864&lt;=01_因子設定!$M$7+0.000000001,IF(01_因子設定!$B$20="Box-Behnken",D4864^2+E4864^2+F4864^2&lt;=2+0.000000001,TRUE()))</f>
        <v>1</v>
      </c>
      <c r="W4864" s="55" t="n">
        <f aca="false">IF(V4864,IF(01_因子設定!$B$13="最大化",T4864-01_因子設定!$B$14,IF(01_因子設定!$B$13="最小化",01_因子設定!$B$15-U4864,MIN(T4864-01_因子設定!$B$14,01_因子設定!$B$15-U4864))),-1E+030)</f>
        <v>0.624816186138446</v>
      </c>
      <c r="X4864" s="55" t="n">
        <f aca="false">IF(V4864,IF(01_因子設定!$B$13="最大化",Q4864,IF(01_因子設定!$B$13="最小化",-Q4864,-ABS(Q4864-01_因子設定!$B$16))),-1E+030)</f>
        <v>50.2623295454546</v>
      </c>
      <c r="Y4864" s="55" t="n">
        <f aca="false">W4864+ROW()*0.000000001</f>
        <v>0.624821050138446</v>
      </c>
      <c r="Z4864" s="55" t="n">
        <f aca="false">X4864+ROW()*0.000000001</f>
        <v>50.2623344094545</v>
      </c>
    </row>
    <row r="4865" customFormat="false" ht="15" hidden="false" customHeight="false" outlineLevel="0" collapsed="false">
      <c r="A4865" s="0" t="n">
        <v>16</v>
      </c>
      <c r="B4865" s="0" t="n">
        <v>13</v>
      </c>
      <c r="C4865" s="0" t="n">
        <v>15</v>
      </c>
      <c r="D4865" s="0" t="n">
        <f aca="false">-1+A4865*0.125</f>
        <v>1</v>
      </c>
      <c r="E4865" s="0" t="n">
        <f aca="false">-1+B4865*0.125</f>
        <v>0.625</v>
      </c>
      <c r="F4865" s="0" t="n">
        <f aca="false">-1+C4865*0.125</f>
        <v>0.875</v>
      </c>
      <c r="G4865" s="0" t="n">
        <f aca="false">1</f>
        <v>1</v>
      </c>
      <c r="H4865" s="0" t="n">
        <f aca="false">D4865</f>
        <v>1</v>
      </c>
      <c r="I4865" s="0" t="n">
        <f aca="false">E4865</f>
        <v>0.625</v>
      </c>
      <c r="J4865" s="0" t="n">
        <f aca="false">F4865</f>
        <v>0.875</v>
      </c>
      <c r="K4865" s="0" t="n">
        <f aca="false">D4865*E4865</f>
        <v>0.625</v>
      </c>
      <c r="L4865" s="0" t="n">
        <f aca="false">D4865*F4865</f>
        <v>0.875</v>
      </c>
      <c r="M4865" s="0" t="n">
        <f aca="false">E4865*F4865</f>
        <v>0.546875</v>
      </c>
      <c r="N4865" s="0" t="n">
        <f aca="false">D4865*D4865</f>
        <v>1</v>
      </c>
      <c r="O4865" s="0" t="n">
        <f aca="false">E4865*E4865</f>
        <v>0.390625</v>
      </c>
      <c r="P4865" s="0" t="n">
        <f aca="false">F4865*F4865</f>
        <v>0.765625</v>
      </c>
      <c r="Q4865" s="0" t="n">
        <f aca="false">SUMPRODUCT(G4865:P4865,_XtX!$B$71:$K$71)</f>
        <v>50.2121022727273</v>
      </c>
      <c r="R4865" s="0" t="n">
        <f aca="false">SUMPRODUCT(MMULT(G4865:P4865,_XtX!$B$58:$K$67),G4865:P4865)</f>
        <v>0.555073131214489</v>
      </c>
      <c r="S4865" s="0" t="n">
        <f aca="false">04_回帰ANOVA!$K$19*04_回帰ANOVA!$K$14*SQRT(1+R4865)</f>
        <v>1.15942335628341</v>
      </c>
      <c r="T4865" s="0" t="n">
        <f aca="false">Q4865-S4865</f>
        <v>49.0526789164439</v>
      </c>
      <c r="U4865" s="0" t="n">
        <f aca="false">Q4865+S4865</f>
        <v>51.3715256290107</v>
      </c>
      <c r="V4865" s="54" t="b">
        <f aca="false">AND(D4865&gt;=01_因子設定!$L$5-0.000000001,D4865&lt;=01_因子設定!$M$5+0.000000001,E4865&gt;=01_因子設定!$L$6-0.000000001,E4865&lt;=01_因子設定!$M$6+0.000000001,F4865&gt;=01_因子設定!$L$7-0.000000001,F4865&lt;=01_因子設定!$M$7+0.000000001,IF(01_因子設定!$B$20="Box-Behnken",D4865^2+E4865^2+F4865^2&lt;=2+0.000000001,TRUE()))</f>
        <v>1</v>
      </c>
      <c r="W4865" s="55" t="n">
        <f aca="false">IF(V4865,IF(01_因子設定!$B$13="最大化",T4865-01_因子設定!$B$14,IF(01_因子設定!$B$13="最小化",01_因子設定!$B$15-U4865,MIN(T4865-01_因子設定!$B$14,01_因子設定!$B$15-U4865))),-1E+030)</f>
        <v>0.552678916443874</v>
      </c>
      <c r="X4865" s="55" t="n">
        <f aca="false">IF(V4865,IF(01_因子設定!$B$13="最大化",Q4865,IF(01_因子設定!$B$13="最小化",-Q4865,-ABS(Q4865-01_因子設定!$B$16))),-1E+030)</f>
        <v>50.2121022727273</v>
      </c>
      <c r="Y4865" s="55" t="n">
        <f aca="false">W4865+ROW()*0.000000001</f>
        <v>0.552683781443874</v>
      </c>
      <c r="Z4865" s="55" t="n">
        <f aca="false">X4865+ROW()*0.000000001</f>
        <v>50.2121071377273</v>
      </c>
    </row>
    <row r="4866" customFormat="false" ht="15" hidden="false" customHeight="false" outlineLevel="0" collapsed="false">
      <c r="A4866" s="0" t="n">
        <v>16</v>
      </c>
      <c r="B4866" s="0" t="n">
        <v>13</v>
      </c>
      <c r="C4866" s="0" t="n">
        <v>16</v>
      </c>
      <c r="D4866" s="0" t="n">
        <f aca="false">-1+A4866*0.125</f>
        <v>1</v>
      </c>
      <c r="E4866" s="0" t="n">
        <f aca="false">-1+B4866*0.125</f>
        <v>0.625</v>
      </c>
      <c r="F4866" s="0" t="n">
        <f aca="false">-1+C4866*0.125</f>
        <v>1</v>
      </c>
      <c r="G4866" s="0" t="n">
        <f aca="false">1</f>
        <v>1</v>
      </c>
      <c r="H4866" s="0" t="n">
        <f aca="false">D4866</f>
        <v>1</v>
      </c>
      <c r="I4866" s="0" t="n">
        <f aca="false">E4866</f>
        <v>0.625</v>
      </c>
      <c r="J4866" s="0" t="n">
        <f aca="false">F4866</f>
        <v>1</v>
      </c>
      <c r="K4866" s="0" t="n">
        <f aca="false">D4866*E4866</f>
        <v>0.625</v>
      </c>
      <c r="L4866" s="0" t="n">
        <f aca="false">D4866*F4866</f>
        <v>1</v>
      </c>
      <c r="M4866" s="0" t="n">
        <f aca="false">E4866*F4866</f>
        <v>0.625</v>
      </c>
      <c r="N4866" s="0" t="n">
        <f aca="false">D4866*D4866</f>
        <v>1</v>
      </c>
      <c r="O4866" s="0" t="n">
        <f aca="false">E4866*E4866</f>
        <v>0.390625</v>
      </c>
      <c r="P4866" s="0" t="n">
        <f aca="false">F4866*F4866</f>
        <v>1</v>
      </c>
      <c r="Q4866" s="0" t="n">
        <f aca="false">SUMPRODUCT(G4866:P4866,_XtX!$B$71:$K$71)</f>
        <v>50.1250852272727</v>
      </c>
      <c r="R4866" s="0" t="n">
        <f aca="false">SUMPRODUCT(MMULT(G4866:P4866,_XtX!$B$58:$K$67),G4866:P4866)</f>
        <v>0.659534801136364</v>
      </c>
      <c r="S4866" s="0" t="n">
        <f aca="false">04_回帰ANOVA!$K$19*04_回帰ANOVA!$K$14*SQRT(1+R4866)</f>
        <v>1.19773245593097</v>
      </c>
      <c r="T4866" s="0" t="n">
        <f aca="false">Q4866-S4866</f>
        <v>48.9273527713418</v>
      </c>
      <c r="U4866" s="0" t="n">
        <f aca="false">Q4866+S4866</f>
        <v>51.3228176832037</v>
      </c>
      <c r="V4866" s="54" t="b">
        <f aca="false">AND(D4866&gt;=01_因子設定!$L$5-0.000000001,D4866&lt;=01_因子設定!$M$5+0.000000001,E4866&gt;=01_因子設定!$L$6-0.000000001,E4866&lt;=01_因子設定!$M$6+0.000000001,F4866&gt;=01_因子設定!$L$7-0.000000001,F4866&lt;=01_因子設定!$M$7+0.000000001,IF(01_因子設定!$B$20="Box-Behnken",D4866^2+E4866^2+F4866^2&lt;=2+0.000000001,TRUE()))</f>
        <v>1</v>
      </c>
      <c r="W4866" s="55" t="n">
        <f aca="false">IF(V4866,IF(01_因子設定!$B$13="最大化",T4866-01_因子設定!$B$14,IF(01_因子設定!$B$13="最小化",01_因子設定!$B$15-U4866,MIN(T4866-01_因子設定!$B$14,01_因子設定!$B$15-U4866))),-1E+030)</f>
        <v>0.427352771341766</v>
      </c>
      <c r="X4866" s="55" t="n">
        <f aca="false">IF(V4866,IF(01_因子設定!$B$13="最大化",Q4866,IF(01_因子設定!$B$13="最小化",-Q4866,-ABS(Q4866-01_因子設定!$B$16))),-1E+030)</f>
        <v>50.1250852272727</v>
      </c>
      <c r="Y4866" s="55" t="n">
        <f aca="false">W4866+ROW()*0.000000001</f>
        <v>0.427357637341766</v>
      </c>
      <c r="Z4866" s="55" t="n">
        <f aca="false">X4866+ROW()*0.000000001</f>
        <v>50.1250900932727</v>
      </c>
    </row>
    <row r="4867" customFormat="false" ht="15" hidden="false" customHeight="false" outlineLevel="0" collapsed="false">
      <c r="A4867" s="0" t="n">
        <v>16</v>
      </c>
      <c r="B4867" s="0" t="n">
        <v>14</v>
      </c>
      <c r="C4867" s="0" t="n">
        <v>0</v>
      </c>
      <c r="D4867" s="0" t="n">
        <f aca="false">-1+A4867*0.125</f>
        <v>1</v>
      </c>
      <c r="E4867" s="0" t="n">
        <f aca="false">-1+B4867*0.125</f>
        <v>0.75</v>
      </c>
      <c r="F4867" s="0" t="n">
        <f aca="false">-1+C4867*0.125</f>
        <v>-1</v>
      </c>
      <c r="G4867" s="0" t="n">
        <f aca="false">1</f>
        <v>1</v>
      </c>
      <c r="H4867" s="0" t="n">
        <f aca="false">D4867</f>
        <v>1</v>
      </c>
      <c r="I4867" s="0" t="n">
        <f aca="false">E4867</f>
        <v>0.75</v>
      </c>
      <c r="J4867" s="0" t="n">
        <f aca="false">F4867</f>
        <v>-1</v>
      </c>
      <c r="K4867" s="0" t="n">
        <f aca="false">D4867*E4867</f>
        <v>0.75</v>
      </c>
      <c r="L4867" s="0" t="n">
        <f aca="false">D4867*F4867</f>
        <v>-1</v>
      </c>
      <c r="M4867" s="0" t="n">
        <f aca="false">E4867*F4867</f>
        <v>-0.75</v>
      </c>
      <c r="N4867" s="0" t="n">
        <f aca="false">D4867*D4867</f>
        <v>1</v>
      </c>
      <c r="O4867" s="0" t="n">
        <f aca="false">E4867*E4867</f>
        <v>0.5625</v>
      </c>
      <c r="P4867" s="0" t="n">
        <f aca="false">F4867*F4867</f>
        <v>1</v>
      </c>
      <c r="Q4867" s="0" t="n">
        <f aca="false">SUMPRODUCT(G4867:P4867,_XtX!$B$71:$K$71)</f>
        <v>47.1097727272727</v>
      </c>
      <c r="R4867" s="0" t="n">
        <f aca="false">SUMPRODUCT(MMULT(G4867:P4867,_XtX!$B$58:$K$67),G4867:P4867)</f>
        <v>0.669886363636364</v>
      </c>
      <c r="S4867" s="0" t="n">
        <f aca="false">04_回帰ANOVA!$K$19*04_回帰ANOVA!$K$14*SQRT(1+R4867)</f>
        <v>1.20146215423986</v>
      </c>
      <c r="T4867" s="0" t="n">
        <f aca="false">Q4867-S4867</f>
        <v>45.9083105730329</v>
      </c>
      <c r="U4867" s="0" t="n">
        <f aca="false">Q4867+S4867</f>
        <v>48.3112348815126</v>
      </c>
      <c r="V4867" s="54" t="b">
        <f aca="false">AND(D4867&gt;=01_因子設定!$L$5-0.000000001,D4867&lt;=01_因子設定!$M$5+0.000000001,E4867&gt;=01_因子設定!$L$6-0.000000001,E4867&lt;=01_因子設定!$M$6+0.000000001,F4867&gt;=01_因子設定!$L$7-0.000000001,F4867&lt;=01_因子設定!$M$7+0.000000001,IF(01_因子設定!$B$20="Box-Behnken",D4867^2+E4867^2+F4867^2&lt;=2+0.000000001,TRUE()))</f>
        <v>1</v>
      </c>
      <c r="W4867" s="55" t="n">
        <f aca="false">IF(V4867,IF(01_因子設定!$B$13="最大化",T4867-01_因子設定!$B$14,IF(01_因子設定!$B$13="最小化",01_因子設定!$B$15-U4867,MIN(T4867-01_因子設定!$B$14,01_因子設定!$B$15-U4867))),-1E+030)</f>
        <v>-2.59168942696713</v>
      </c>
      <c r="X4867" s="55" t="n">
        <f aca="false">IF(V4867,IF(01_因子設定!$B$13="最大化",Q4867,IF(01_因子設定!$B$13="最小化",-Q4867,-ABS(Q4867-01_因子設定!$B$16))),-1E+030)</f>
        <v>47.1097727272727</v>
      </c>
      <c r="Y4867" s="55" t="n">
        <f aca="false">W4867+ROW()*0.000000001</f>
        <v>-2.59168455996713</v>
      </c>
      <c r="Z4867" s="55" t="n">
        <f aca="false">X4867+ROW()*0.000000001</f>
        <v>47.1097775942727</v>
      </c>
    </row>
    <row r="4868" customFormat="false" ht="15" hidden="false" customHeight="false" outlineLevel="0" collapsed="false">
      <c r="A4868" s="0" t="n">
        <v>16</v>
      </c>
      <c r="B4868" s="0" t="n">
        <v>14</v>
      </c>
      <c r="C4868" s="0" t="n">
        <v>1</v>
      </c>
      <c r="D4868" s="0" t="n">
        <f aca="false">-1+A4868*0.125</f>
        <v>1</v>
      </c>
      <c r="E4868" s="0" t="n">
        <f aca="false">-1+B4868*0.125</f>
        <v>0.75</v>
      </c>
      <c r="F4868" s="0" t="n">
        <f aca="false">-1+C4868*0.125</f>
        <v>-0.875</v>
      </c>
      <c r="G4868" s="0" t="n">
        <f aca="false">1</f>
        <v>1</v>
      </c>
      <c r="H4868" s="0" t="n">
        <f aca="false">D4868</f>
        <v>1</v>
      </c>
      <c r="I4868" s="0" t="n">
        <f aca="false">E4868</f>
        <v>0.75</v>
      </c>
      <c r="J4868" s="0" t="n">
        <f aca="false">F4868</f>
        <v>-0.875</v>
      </c>
      <c r="K4868" s="0" t="n">
        <f aca="false">D4868*E4868</f>
        <v>0.75</v>
      </c>
      <c r="L4868" s="0" t="n">
        <f aca="false">D4868*F4868</f>
        <v>-0.875</v>
      </c>
      <c r="M4868" s="0" t="n">
        <f aca="false">E4868*F4868</f>
        <v>-0.65625</v>
      </c>
      <c r="N4868" s="0" t="n">
        <f aca="false">D4868*D4868</f>
        <v>1</v>
      </c>
      <c r="O4868" s="0" t="n">
        <f aca="false">E4868*E4868</f>
        <v>0.5625</v>
      </c>
      <c r="P4868" s="0" t="n">
        <f aca="false">F4868*F4868</f>
        <v>0.765625</v>
      </c>
      <c r="Q4868" s="0" t="n">
        <f aca="false">SUMPRODUCT(G4868:P4868,_XtX!$B$71:$K$71)</f>
        <v>47.5816335227273</v>
      </c>
      <c r="R4868" s="0" t="n">
        <f aca="false">SUMPRODUCT(MMULT(G4868:P4868,_XtX!$B$58:$K$67),G4868:P4868)</f>
        <v>0.571375621448864</v>
      </c>
      <c r="S4868" s="0" t="n">
        <f aca="false">04_回帰ANOVA!$K$19*04_回帰ANOVA!$K$14*SQRT(1+R4868)</f>
        <v>1.16548487437682</v>
      </c>
      <c r="T4868" s="0" t="n">
        <f aca="false">Q4868-S4868</f>
        <v>46.4161486483505</v>
      </c>
      <c r="U4868" s="0" t="n">
        <f aca="false">Q4868+S4868</f>
        <v>48.7471183971041</v>
      </c>
      <c r="V4868" s="54" t="b">
        <f aca="false">AND(D4868&gt;=01_因子設定!$L$5-0.000000001,D4868&lt;=01_因子設定!$M$5+0.000000001,E4868&gt;=01_因子設定!$L$6-0.000000001,E4868&lt;=01_因子設定!$M$6+0.000000001,F4868&gt;=01_因子設定!$L$7-0.000000001,F4868&lt;=01_因子設定!$M$7+0.000000001,IF(01_因子設定!$B$20="Box-Behnken",D4868^2+E4868^2+F4868^2&lt;=2+0.000000001,TRUE()))</f>
        <v>1</v>
      </c>
      <c r="W4868" s="55" t="n">
        <f aca="false">IF(V4868,IF(01_因子設定!$B$13="最大化",T4868-01_因子設定!$B$14,IF(01_因子設定!$B$13="最小化",01_因子設定!$B$15-U4868,MIN(T4868-01_因子設定!$B$14,01_因子設定!$B$15-U4868))),-1E+030)</f>
        <v>-2.08385135164954</v>
      </c>
      <c r="X4868" s="55" t="n">
        <f aca="false">IF(V4868,IF(01_因子設定!$B$13="最大化",Q4868,IF(01_因子設定!$B$13="最小化",-Q4868,-ABS(Q4868-01_因子設定!$B$16))),-1E+030)</f>
        <v>47.5816335227273</v>
      </c>
      <c r="Y4868" s="55" t="n">
        <f aca="false">W4868+ROW()*0.000000001</f>
        <v>-2.08384648364954</v>
      </c>
      <c r="Z4868" s="55" t="n">
        <f aca="false">X4868+ROW()*0.000000001</f>
        <v>47.5816383907273</v>
      </c>
    </row>
    <row r="4869" customFormat="false" ht="15" hidden="false" customHeight="false" outlineLevel="0" collapsed="false">
      <c r="A4869" s="0" t="n">
        <v>16</v>
      </c>
      <c r="B4869" s="0" t="n">
        <v>14</v>
      </c>
      <c r="C4869" s="0" t="n">
        <v>2</v>
      </c>
      <c r="D4869" s="0" t="n">
        <f aca="false">-1+A4869*0.125</f>
        <v>1</v>
      </c>
      <c r="E4869" s="0" t="n">
        <f aca="false">-1+B4869*0.125</f>
        <v>0.75</v>
      </c>
      <c r="F4869" s="0" t="n">
        <f aca="false">-1+C4869*0.125</f>
        <v>-0.75</v>
      </c>
      <c r="G4869" s="0" t="n">
        <f aca="false">1</f>
        <v>1</v>
      </c>
      <c r="H4869" s="0" t="n">
        <f aca="false">D4869</f>
        <v>1</v>
      </c>
      <c r="I4869" s="0" t="n">
        <f aca="false">E4869</f>
        <v>0.75</v>
      </c>
      <c r="J4869" s="0" t="n">
        <f aca="false">F4869</f>
        <v>-0.75</v>
      </c>
      <c r="K4869" s="0" t="n">
        <f aca="false">D4869*E4869</f>
        <v>0.75</v>
      </c>
      <c r="L4869" s="0" t="n">
        <f aca="false">D4869*F4869</f>
        <v>-0.75</v>
      </c>
      <c r="M4869" s="0" t="n">
        <f aca="false">E4869*F4869</f>
        <v>-0.5625</v>
      </c>
      <c r="N4869" s="0" t="n">
        <f aca="false">D4869*D4869</f>
        <v>1</v>
      </c>
      <c r="O4869" s="0" t="n">
        <f aca="false">E4869*E4869</f>
        <v>0.5625</v>
      </c>
      <c r="P4869" s="0" t="n">
        <f aca="false">F4869*F4869</f>
        <v>0.5625</v>
      </c>
      <c r="Q4869" s="0" t="n">
        <f aca="false">SUMPRODUCT(G4869:P4869,_XtX!$B$71:$K$71)</f>
        <v>48.0167045454545</v>
      </c>
      <c r="R4869" s="0" t="n">
        <f aca="false">SUMPRODUCT(MMULT(G4869:P4869,_XtX!$B$58:$K$67),G4869:P4869)</f>
        <v>0.518314985795455</v>
      </c>
      <c r="S4869" s="0" t="n">
        <f aca="false">04_回帰ANOVA!$K$19*04_回帰ANOVA!$K$14*SQRT(1+R4869)</f>
        <v>1.14563843495971</v>
      </c>
      <c r="T4869" s="0" t="n">
        <f aca="false">Q4869-S4869</f>
        <v>46.8710661104948</v>
      </c>
      <c r="U4869" s="0" t="n">
        <f aca="false">Q4869+S4869</f>
        <v>49.1623429804143</v>
      </c>
      <c r="V4869" s="54" t="b">
        <f aca="false">AND(D4869&gt;=01_因子設定!$L$5-0.000000001,D4869&lt;=01_因子設定!$M$5+0.000000001,E4869&gt;=01_因子設定!$L$6-0.000000001,E4869&lt;=01_因子設定!$M$6+0.000000001,F4869&gt;=01_因子設定!$L$7-0.000000001,F4869&lt;=01_因子設定!$M$7+0.000000001,IF(01_因子設定!$B$20="Box-Behnken",D4869^2+E4869^2+F4869^2&lt;=2+0.000000001,TRUE()))</f>
        <v>1</v>
      </c>
      <c r="W4869" s="55" t="n">
        <f aca="false">IF(V4869,IF(01_因子設定!$B$13="最大化",T4869-01_因子設定!$B$14,IF(01_因子設定!$B$13="最小化",01_因子設定!$B$15-U4869,MIN(T4869-01_因子設定!$B$14,01_因子設定!$B$15-U4869))),-1E+030)</f>
        <v>-1.62893388950516</v>
      </c>
      <c r="X4869" s="55" t="n">
        <f aca="false">IF(V4869,IF(01_因子設定!$B$13="最大化",Q4869,IF(01_因子設定!$B$13="最小化",-Q4869,-ABS(Q4869-01_因子設定!$B$16))),-1E+030)</f>
        <v>48.0167045454545</v>
      </c>
      <c r="Y4869" s="55" t="n">
        <f aca="false">W4869+ROW()*0.000000001</f>
        <v>-1.62892902050516</v>
      </c>
      <c r="Z4869" s="55" t="n">
        <f aca="false">X4869+ROW()*0.000000001</f>
        <v>48.0167094144545</v>
      </c>
    </row>
    <row r="4870" customFormat="false" ht="15" hidden="false" customHeight="false" outlineLevel="0" collapsed="false">
      <c r="A4870" s="0" t="n">
        <v>16</v>
      </c>
      <c r="B4870" s="0" t="n">
        <v>14</v>
      </c>
      <c r="C4870" s="0" t="n">
        <v>3</v>
      </c>
      <c r="D4870" s="0" t="n">
        <f aca="false">-1+A4870*0.125</f>
        <v>1</v>
      </c>
      <c r="E4870" s="0" t="n">
        <f aca="false">-1+B4870*0.125</f>
        <v>0.75</v>
      </c>
      <c r="F4870" s="0" t="n">
        <f aca="false">-1+C4870*0.125</f>
        <v>-0.625</v>
      </c>
      <c r="G4870" s="0" t="n">
        <f aca="false">1</f>
        <v>1</v>
      </c>
      <c r="H4870" s="0" t="n">
        <f aca="false">D4870</f>
        <v>1</v>
      </c>
      <c r="I4870" s="0" t="n">
        <f aca="false">E4870</f>
        <v>0.75</v>
      </c>
      <c r="J4870" s="0" t="n">
        <f aca="false">F4870</f>
        <v>-0.625</v>
      </c>
      <c r="K4870" s="0" t="n">
        <f aca="false">D4870*E4870</f>
        <v>0.75</v>
      </c>
      <c r="L4870" s="0" t="n">
        <f aca="false">D4870*F4870</f>
        <v>-0.625</v>
      </c>
      <c r="M4870" s="0" t="n">
        <f aca="false">E4870*F4870</f>
        <v>-0.46875</v>
      </c>
      <c r="N4870" s="0" t="n">
        <f aca="false">D4870*D4870</f>
        <v>1</v>
      </c>
      <c r="O4870" s="0" t="n">
        <f aca="false">E4870*E4870</f>
        <v>0.5625</v>
      </c>
      <c r="P4870" s="0" t="n">
        <f aca="false">F4870*F4870</f>
        <v>0.390625</v>
      </c>
      <c r="Q4870" s="0" t="n">
        <f aca="false">SUMPRODUCT(G4870:P4870,_XtX!$B$71:$K$71)</f>
        <v>48.4149857954545</v>
      </c>
      <c r="R4870" s="0" t="n">
        <f aca="false">SUMPRODUCT(MMULT(G4870:P4870,_XtX!$B$58:$K$67),G4870:P4870)</f>
        <v>0.496855024857955</v>
      </c>
      <c r="S4870" s="0" t="n">
        <f aca="false">04_回帰ANOVA!$K$19*04_回帰ANOVA!$K$14*SQRT(1+R4870)</f>
        <v>1.1375133593161</v>
      </c>
      <c r="T4870" s="0" t="n">
        <f aca="false">Q4870-S4870</f>
        <v>47.2774724361384</v>
      </c>
      <c r="U4870" s="0" t="n">
        <f aca="false">Q4870+S4870</f>
        <v>49.5524991547706</v>
      </c>
      <c r="V4870" s="54" t="b">
        <f aca="false">AND(D4870&gt;=01_因子設定!$L$5-0.000000001,D4870&lt;=01_因子設定!$M$5+0.000000001,E4870&gt;=01_因子設定!$L$6-0.000000001,E4870&lt;=01_因子設定!$M$6+0.000000001,F4870&gt;=01_因子設定!$L$7-0.000000001,F4870&lt;=01_因子設定!$M$7+0.000000001,IF(01_因子設定!$B$20="Box-Behnken",D4870^2+E4870^2+F4870^2&lt;=2+0.000000001,TRUE()))</f>
        <v>1</v>
      </c>
      <c r="W4870" s="55" t="n">
        <f aca="false">IF(V4870,IF(01_因子設定!$B$13="最大化",T4870-01_因子設定!$B$14,IF(01_因子設定!$B$13="最小化",01_因子設定!$B$15-U4870,MIN(T4870-01_因子設定!$B$14,01_因子設定!$B$15-U4870))),-1E+030)</f>
        <v>-1.22252756386156</v>
      </c>
      <c r="X4870" s="55" t="n">
        <f aca="false">IF(V4870,IF(01_因子設定!$B$13="最大化",Q4870,IF(01_因子設定!$B$13="最小化",-Q4870,-ABS(Q4870-01_因子設定!$B$16))),-1E+030)</f>
        <v>48.4149857954545</v>
      </c>
      <c r="Y4870" s="55" t="n">
        <f aca="false">W4870+ROW()*0.000000001</f>
        <v>-1.22252269386156</v>
      </c>
      <c r="Z4870" s="55" t="n">
        <f aca="false">X4870+ROW()*0.000000001</f>
        <v>48.4149906654545</v>
      </c>
    </row>
    <row r="4871" customFormat="false" ht="15" hidden="false" customHeight="false" outlineLevel="0" collapsed="false">
      <c r="A4871" s="0" t="n">
        <v>16</v>
      </c>
      <c r="B4871" s="0" t="n">
        <v>14</v>
      </c>
      <c r="C4871" s="0" t="n">
        <v>4</v>
      </c>
      <c r="D4871" s="0" t="n">
        <f aca="false">-1+A4871*0.125</f>
        <v>1</v>
      </c>
      <c r="E4871" s="0" t="n">
        <f aca="false">-1+B4871*0.125</f>
        <v>0.75</v>
      </c>
      <c r="F4871" s="0" t="n">
        <f aca="false">-1+C4871*0.125</f>
        <v>-0.5</v>
      </c>
      <c r="G4871" s="0" t="n">
        <f aca="false">1</f>
        <v>1</v>
      </c>
      <c r="H4871" s="0" t="n">
        <f aca="false">D4871</f>
        <v>1</v>
      </c>
      <c r="I4871" s="0" t="n">
        <f aca="false">E4871</f>
        <v>0.75</v>
      </c>
      <c r="J4871" s="0" t="n">
        <f aca="false">F4871</f>
        <v>-0.5</v>
      </c>
      <c r="K4871" s="0" t="n">
        <f aca="false">D4871*E4871</f>
        <v>0.75</v>
      </c>
      <c r="L4871" s="0" t="n">
        <f aca="false">D4871*F4871</f>
        <v>-0.5</v>
      </c>
      <c r="M4871" s="0" t="n">
        <f aca="false">E4871*F4871</f>
        <v>-0.375</v>
      </c>
      <c r="N4871" s="0" t="n">
        <f aca="false">D4871*D4871</f>
        <v>1</v>
      </c>
      <c r="O4871" s="0" t="n">
        <f aca="false">E4871*E4871</f>
        <v>0.5625</v>
      </c>
      <c r="P4871" s="0" t="n">
        <f aca="false">F4871*F4871</f>
        <v>0.25</v>
      </c>
      <c r="Q4871" s="0" t="n">
        <f aca="false">SUMPRODUCT(G4871:P4871,_XtX!$B$71:$K$71)</f>
        <v>48.7764772727273</v>
      </c>
      <c r="R4871" s="0" t="n">
        <f aca="false">SUMPRODUCT(MMULT(G4871:P4871,_XtX!$B$58:$K$67),G4871:P4871)</f>
        <v>0.495276988636364</v>
      </c>
      <c r="S4871" s="0" t="n">
        <f aca="false">04_回帰ANOVA!$K$19*04_回帰ANOVA!$K$14*SQRT(1+R4871)</f>
        <v>1.13691359828352</v>
      </c>
      <c r="T4871" s="0" t="n">
        <f aca="false">Q4871-S4871</f>
        <v>47.6395636744438</v>
      </c>
      <c r="U4871" s="0" t="n">
        <f aca="false">Q4871+S4871</f>
        <v>49.9133908710108</v>
      </c>
      <c r="V4871" s="54" t="b">
        <f aca="false">AND(D4871&gt;=01_因子設定!$L$5-0.000000001,D4871&lt;=01_因子設定!$M$5+0.000000001,E4871&gt;=01_因子設定!$L$6-0.000000001,E4871&lt;=01_因子設定!$M$6+0.000000001,F4871&gt;=01_因子設定!$L$7-0.000000001,F4871&lt;=01_因子設定!$M$7+0.000000001,IF(01_因子設定!$B$20="Box-Behnken",D4871^2+E4871^2+F4871^2&lt;=2+0.000000001,TRUE()))</f>
        <v>1</v>
      </c>
      <c r="W4871" s="55" t="n">
        <f aca="false">IF(V4871,IF(01_因子設定!$B$13="最大化",T4871-01_因子設定!$B$14,IF(01_因子設定!$B$13="最小化",01_因子設定!$B$15-U4871,MIN(T4871-01_因子設定!$B$14,01_因子設定!$B$15-U4871))),-1E+030)</f>
        <v>-0.86043632555625</v>
      </c>
      <c r="X4871" s="55" t="n">
        <f aca="false">IF(V4871,IF(01_因子設定!$B$13="最大化",Q4871,IF(01_因子設定!$B$13="最小化",-Q4871,-ABS(Q4871-01_因子設定!$B$16))),-1E+030)</f>
        <v>48.7764772727273</v>
      </c>
      <c r="Y4871" s="55" t="n">
        <f aca="false">W4871+ROW()*0.000000001</f>
        <v>-0.86043145455625</v>
      </c>
      <c r="Z4871" s="55" t="n">
        <f aca="false">X4871+ROW()*0.000000001</f>
        <v>48.7764821437273</v>
      </c>
    </row>
    <row r="4872" customFormat="false" ht="15" hidden="false" customHeight="false" outlineLevel="0" collapsed="false">
      <c r="A4872" s="0" t="n">
        <v>16</v>
      </c>
      <c r="B4872" s="0" t="n">
        <v>14</v>
      </c>
      <c r="C4872" s="0" t="n">
        <v>5</v>
      </c>
      <c r="D4872" s="0" t="n">
        <f aca="false">-1+A4872*0.125</f>
        <v>1</v>
      </c>
      <c r="E4872" s="0" t="n">
        <f aca="false">-1+B4872*0.125</f>
        <v>0.75</v>
      </c>
      <c r="F4872" s="0" t="n">
        <f aca="false">-1+C4872*0.125</f>
        <v>-0.375</v>
      </c>
      <c r="G4872" s="0" t="n">
        <f aca="false">1</f>
        <v>1</v>
      </c>
      <c r="H4872" s="0" t="n">
        <f aca="false">D4872</f>
        <v>1</v>
      </c>
      <c r="I4872" s="0" t="n">
        <f aca="false">E4872</f>
        <v>0.75</v>
      </c>
      <c r="J4872" s="0" t="n">
        <f aca="false">F4872</f>
        <v>-0.375</v>
      </c>
      <c r="K4872" s="0" t="n">
        <f aca="false">D4872*E4872</f>
        <v>0.75</v>
      </c>
      <c r="L4872" s="0" t="n">
        <f aca="false">D4872*F4872</f>
        <v>-0.375</v>
      </c>
      <c r="M4872" s="0" t="n">
        <f aca="false">E4872*F4872</f>
        <v>-0.28125</v>
      </c>
      <c r="N4872" s="0" t="n">
        <f aca="false">D4872*D4872</f>
        <v>1</v>
      </c>
      <c r="O4872" s="0" t="n">
        <f aca="false">E4872*E4872</f>
        <v>0.5625</v>
      </c>
      <c r="P4872" s="0" t="n">
        <f aca="false">F4872*F4872</f>
        <v>0.140625</v>
      </c>
      <c r="Q4872" s="0" t="n">
        <f aca="false">SUMPRODUCT(G4872:P4872,_XtX!$B$71:$K$71)</f>
        <v>49.1011789772727</v>
      </c>
      <c r="R4872" s="0" t="n">
        <f aca="false">SUMPRODUCT(MMULT(G4872:P4872,_XtX!$B$58:$K$67),G4872:P4872)</f>
        <v>0.503992808948864</v>
      </c>
      <c r="S4872" s="0" t="n">
        <f aca="false">04_回帰ANOVA!$K$19*04_回帰ANOVA!$K$14*SQRT(1+R4872)</f>
        <v>1.14022226176226</v>
      </c>
      <c r="T4872" s="0" t="n">
        <f aca="false">Q4872-S4872</f>
        <v>47.9609567155105</v>
      </c>
      <c r="U4872" s="0" t="n">
        <f aca="false">Q4872+S4872</f>
        <v>50.241401239035</v>
      </c>
      <c r="V4872" s="54" t="b">
        <f aca="false">AND(D4872&gt;=01_因子設定!$L$5-0.000000001,D4872&lt;=01_因子設定!$M$5+0.000000001,E4872&gt;=01_因子設定!$L$6-0.000000001,E4872&lt;=01_因子設定!$M$6+0.000000001,F4872&gt;=01_因子設定!$L$7-0.000000001,F4872&lt;=01_因子設定!$M$7+0.000000001,IF(01_因子設定!$B$20="Box-Behnken",D4872^2+E4872^2+F4872^2&lt;=2+0.000000001,TRUE()))</f>
        <v>1</v>
      </c>
      <c r="W4872" s="55" t="n">
        <f aca="false">IF(V4872,IF(01_因子設定!$B$13="最大化",T4872-01_因子設定!$B$14,IF(01_因子設定!$B$13="最小化",01_因子設定!$B$15-U4872,MIN(T4872-01_因子設定!$B$14,01_因子設定!$B$15-U4872))),-1E+030)</f>
        <v>-0.539043284489544</v>
      </c>
      <c r="X4872" s="55" t="n">
        <f aca="false">IF(V4872,IF(01_因子設定!$B$13="最大化",Q4872,IF(01_因子設定!$B$13="最小化",-Q4872,-ABS(Q4872-01_因子設定!$B$16))),-1E+030)</f>
        <v>49.1011789772727</v>
      </c>
      <c r="Y4872" s="55" t="n">
        <f aca="false">W4872+ROW()*0.000000001</f>
        <v>-0.539038412489544</v>
      </c>
      <c r="Z4872" s="55" t="n">
        <f aca="false">X4872+ROW()*0.000000001</f>
        <v>49.1011838492727</v>
      </c>
    </row>
    <row r="4873" customFormat="false" ht="15" hidden="false" customHeight="false" outlineLevel="0" collapsed="false">
      <c r="A4873" s="0" t="n">
        <v>16</v>
      </c>
      <c r="B4873" s="0" t="n">
        <v>14</v>
      </c>
      <c r="C4873" s="0" t="n">
        <v>6</v>
      </c>
      <c r="D4873" s="0" t="n">
        <f aca="false">-1+A4873*0.125</f>
        <v>1</v>
      </c>
      <c r="E4873" s="0" t="n">
        <f aca="false">-1+B4873*0.125</f>
        <v>0.75</v>
      </c>
      <c r="F4873" s="0" t="n">
        <f aca="false">-1+C4873*0.125</f>
        <v>-0.25</v>
      </c>
      <c r="G4873" s="0" t="n">
        <f aca="false">1</f>
        <v>1</v>
      </c>
      <c r="H4873" s="0" t="n">
        <f aca="false">D4873</f>
        <v>1</v>
      </c>
      <c r="I4873" s="0" t="n">
        <f aca="false">E4873</f>
        <v>0.75</v>
      </c>
      <c r="J4873" s="0" t="n">
        <f aca="false">F4873</f>
        <v>-0.25</v>
      </c>
      <c r="K4873" s="0" t="n">
        <f aca="false">D4873*E4873</f>
        <v>0.75</v>
      </c>
      <c r="L4873" s="0" t="n">
        <f aca="false">D4873*F4873</f>
        <v>-0.25</v>
      </c>
      <c r="M4873" s="0" t="n">
        <f aca="false">E4873*F4873</f>
        <v>-0.1875</v>
      </c>
      <c r="N4873" s="0" t="n">
        <f aca="false">D4873*D4873</f>
        <v>1</v>
      </c>
      <c r="O4873" s="0" t="n">
        <f aca="false">E4873*E4873</f>
        <v>0.5625</v>
      </c>
      <c r="P4873" s="0" t="n">
        <f aca="false">F4873*F4873</f>
        <v>0.0625</v>
      </c>
      <c r="Q4873" s="0" t="n">
        <f aca="false">SUMPRODUCT(G4873:P4873,_XtX!$B$71:$K$71)</f>
        <v>49.3890909090909</v>
      </c>
      <c r="R4873" s="0" t="n">
        <f aca="false">SUMPRODUCT(MMULT(G4873:P4873,_XtX!$B$58:$K$67),G4873:P4873)</f>
        <v>0.515545099431818</v>
      </c>
      <c r="S4873" s="0" t="n">
        <f aca="false">04_回帰ANOVA!$K$19*04_回帰ANOVA!$K$14*SQRT(1+R4873)</f>
        <v>1.14459295464101</v>
      </c>
      <c r="T4873" s="0" t="n">
        <f aca="false">Q4873-S4873</f>
        <v>48.2444979544499</v>
      </c>
      <c r="U4873" s="0" t="n">
        <f aca="false">Q4873+S4873</f>
        <v>50.5336838637319</v>
      </c>
      <c r="V4873" s="54" t="b">
        <f aca="false">AND(D4873&gt;=01_因子設定!$L$5-0.000000001,D4873&lt;=01_因子設定!$M$5+0.000000001,E4873&gt;=01_因子設定!$L$6-0.000000001,E4873&lt;=01_因子設定!$M$6+0.000000001,F4873&gt;=01_因子設定!$L$7-0.000000001,F4873&lt;=01_因子設定!$M$7+0.000000001,IF(01_因子設定!$B$20="Box-Behnken",D4873^2+E4873^2+F4873^2&lt;=2+0.000000001,TRUE()))</f>
        <v>1</v>
      </c>
      <c r="W4873" s="55" t="n">
        <f aca="false">IF(V4873,IF(01_因子設定!$B$13="最大化",T4873-01_因子設定!$B$14,IF(01_因子設定!$B$13="最小化",01_因子設定!$B$15-U4873,MIN(T4873-01_因子設定!$B$14,01_因子設定!$B$15-U4873))),-1E+030)</f>
        <v>-0.255502045550109</v>
      </c>
      <c r="X4873" s="55" t="n">
        <f aca="false">IF(V4873,IF(01_因子設定!$B$13="最大化",Q4873,IF(01_因子設定!$B$13="最小化",-Q4873,-ABS(Q4873-01_因子設定!$B$16))),-1E+030)</f>
        <v>49.3890909090909</v>
      </c>
      <c r="Y4873" s="55" t="n">
        <f aca="false">W4873+ROW()*0.000000001</f>
        <v>-0.255497172550109</v>
      </c>
      <c r="Z4873" s="55" t="n">
        <f aca="false">X4873+ROW()*0.000000001</f>
        <v>49.3890957820909</v>
      </c>
    </row>
    <row r="4874" customFormat="false" ht="15" hidden="false" customHeight="false" outlineLevel="0" collapsed="false">
      <c r="A4874" s="0" t="n">
        <v>16</v>
      </c>
      <c r="B4874" s="0" t="n">
        <v>14</v>
      </c>
      <c r="C4874" s="0" t="n">
        <v>7</v>
      </c>
      <c r="D4874" s="0" t="n">
        <f aca="false">-1+A4874*0.125</f>
        <v>1</v>
      </c>
      <c r="E4874" s="0" t="n">
        <f aca="false">-1+B4874*0.125</f>
        <v>0.75</v>
      </c>
      <c r="F4874" s="0" t="n">
        <f aca="false">-1+C4874*0.125</f>
        <v>-0.125</v>
      </c>
      <c r="G4874" s="0" t="n">
        <f aca="false">1</f>
        <v>1</v>
      </c>
      <c r="H4874" s="0" t="n">
        <f aca="false">D4874</f>
        <v>1</v>
      </c>
      <c r="I4874" s="0" t="n">
        <f aca="false">E4874</f>
        <v>0.75</v>
      </c>
      <c r="J4874" s="0" t="n">
        <f aca="false">F4874</f>
        <v>-0.125</v>
      </c>
      <c r="K4874" s="0" t="n">
        <f aca="false">D4874*E4874</f>
        <v>0.75</v>
      </c>
      <c r="L4874" s="0" t="n">
        <f aca="false">D4874*F4874</f>
        <v>-0.125</v>
      </c>
      <c r="M4874" s="0" t="n">
        <f aca="false">E4874*F4874</f>
        <v>-0.09375</v>
      </c>
      <c r="N4874" s="0" t="n">
        <f aca="false">D4874*D4874</f>
        <v>1</v>
      </c>
      <c r="O4874" s="0" t="n">
        <f aca="false">E4874*E4874</f>
        <v>0.5625</v>
      </c>
      <c r="P4874" s="0" t="n">
        <f aca="false">F4874*F4874</f>
        <v>0.015625</v>
      </c>
      <c r="Q4874" s="0" t="n">
        <f aca="false">SUMPRODUCT(G4874:P4874,_XtX!$B$71:$K$71)</f>
        <v>49.6402130681818</v>
      </c>
      <c r="R4874" s="0" t="n">
        <f aca="false">SUMPRODUCT(MMULT(G4874:P4874,_XtX!$B$58:$K$67),G4874:P4874)</f>
        <v>0.524607155539773</v>
      </c>
      <c r="S4874" s="0" t="n">
        <f aca="false">04_回帰ANOVA!$K$19*04_回帰ANOVA!$K$14*SQRT(1+R4874)</f>
        <v>1.14800984623412</v>
      </c>
      <c r="T4874" s="0" t="n">
        <f aca="false">Q4874-S4874</f>
        <v>48.4922032219477</v>
      </c>
      <c r="U4874" s="0" t="n">
        <f aca="false">Q4874+S4874</f>
        <v>50.7882229144159</v>
      </c>
      <c r="V4874" s="54" t="b">
        <f aca="false">AND(D4874&gt;=01_因子設定!$L$5-0.000000001,D4874&lt;=01_因子設定!$M$5+0.000000001,E4874&gt;=01_因子設定!$L$6-0.000000001,E4874&lt;=01_因子設定!$M$6+0.000000001,F4874&gt;=01_因子設定!$L$7-0.000000001,F4874&lt;=01_因子設定!$M$7+0.000000001,IF(01_因子設定!$B$20="Box-Behnken",D4874^2+E4874^2+F4874^2&lt;=2+0.000000001,TRUE()))</f>
        <v>1</v>
      </c>
      <c r="W4874" s="55" t="n">
        <f aca="false">IF(V4874,IF(01_因子設定!$B$13="最大化",T4874-01_因子設定!$B$14,IF(01_因子設定!$B$13="最小化",01_因子設定!$B$15-U4874,MIN(T4874-01_因子設定!$B$14,01_因子設定!$B$15-U4874))),-1E+030)</f>
        <v>-0.00779677805230961</v>
      </c>
      <c r="X4874" s="55" t="n">
        <f aca="false">IF(V4874,IF(01_因子設定!$B$13="最大化",Q4874,IF(01_因子設定!$B$13="最小化",-Q4874,-ABS(Q4874-01_因子設定!$B$16))),-1E+030)</f>
        <v>49.6402130681818</v>
      </c>
      <c r="Y4874" s="55" t="n">
        <f aca="false">W4874+ROW()*0.000000001</f>
        <v>-0.00779190405230961</v>
      </c>
      <c r="Z4874" s="55" t="n">
        <f aca="false">X4874+ROW()*0.000000001</f>
        <v>49.6402179421818</v>
      </c>
    </row>
    <row r="4875" customFormat="false" ht="15" hidden="false" customHeight="false" outlineLevel="0" collapsed="false">
      <c r="A4875" s="0" t="n">
        <v>16</v>
      </c>
      <c r="B4875" s="0" t="n">
        <v>14</v>
      </c>
      <c r="C4875" s="0" t="n">
        <v>8</v>
      </c>
      <c r="D4875" s="0" t="n">
        <f aca="false">-1+A4875*0.125</f>
        <v>1</v>
      </c>
      <c r="E4875" s="0" t="n">
        <f aca="false">-1+B4875*0.125</f>
        <v>0.75</v>
      </c>
      <c r="F4875" s="0" t="n">
        <f aca="false">-1+C4875*0.125</f>
        <v>0</v>
      </c>
      <c r="G4875" s="0" t="n">
        <f aca="false">1</f>
        <v>1</v>
      </c>
      <c r="H4875" s="0" t="n">
        <f aca="false">D4875</f>
        <v>1</v>
      </c>
      <c r="I4875" s="0" t="n">
        <f aca="false">E4875</f>
        <v>0.75</v>
      </c>
      <c r="J4875" s="0" t="n">
        <f aca="false">F4875</f>
        <v>0</v>
      </c>
      <c r="K4875" s="0" t="n">
        <f aca="false">D4875*E4875</f>
        <v>0.75</v>
      </c>
      <c r="L4875" s="0" t="n">
        <f aca="false">D4875*F4875</f>
        <v>0</v>
      </c>
      <c r="M4875" s="0" t="n">
        <f aca="false">E4875*F4875</f>
        <v>0</v>
      </c>
      <c r="N4875" s="0" t="n">
        <f aca="false">D4875*D4875</f>
        <v>1</v>
      </c>
      <c r="O4875" s="0" t="n">
        <f aca="false">E4875*E4875</f>
        <v>0.5625</v>
      </c>
      <c r="P4875" s="0" t="n">
        <f aca="false">F4875*F4875</f>
        <v>0</v>
      </c>
      <c r="Q4875" s="0" t="n">
        <f aca="false">SUMPRODUCT(G4875:P4875,_XtX!$B$71:$K$71)</f>
        <v>49.8545454545454</v>
      </c>
      <c r="R4875" s="0" t="n">
        <f aca="false">SUMPRODUCT(MMULT(G4875:P4875,_XtX!$B$58:$K$67),G4875:P4875)</f>
        <v>0.527982954545455</v>
      </c>
      <c r="S4875" s="0" t="n">
        <f aca="false">04_回帰ANOVA!$K$19*04_回帰ANOVA!$K$14*SQRT(1+R4875)</f>
        <v>1.14928011037747</v>
      </c>
      <c r="T4875" s="0" t="n">
        <f aca="false">Q4875-S4875</f>
        <v>48.705265344168</v>
      </c>
      <c r="U4875" s="0" t="n">
        <f aca="false">Q4875+S4875</f>
        <v>51.0038255649229</v>
      </c>
      <c r="V4875" s="54" t="b">
        <f aca="false">AND(D4875&gt;=01_因子設定!$L$5-0.000000001,D4875&lt;=01_因子設定!$M$5+0.000000001,E4875&gt;=01_因子設定!$L$6-0.000000001,E4875&lt;=01_因子設定!$M$6+0.000000001,F4875&gt;=01_因子設定!$L$7-0.000000001,F4875&lt;=01_因子設定!$M$7+0.000000001,IF(01_因子設定!$B$20="Box-Behnken",D4875^2+E4875^2+F4875^2&lt;=2+0.000000001,TRUE()))</f>
        <v>1</v>
      </c>
      <c r="W4875" s="55" t="n">
        <f aca="false">IF(V4875,IF(01_因子設定!$B$13="最大化",T4875-01_因子設定!$B$14,IF(01_因子設定!$B$13="最小化",01_因子設定!$B$15-U4875,MIN(T4875-01_因子設定!$B$14,01_因子設定!$B$15-U4875))),-1E+030)</f>
        <v>0.20526534416797</v>
      </c>
      <c r="X4875" s="55" t="n">
        <f aca="false">IF(V4875,IF(01_因子設定!$B$13="最大化",Q4875,IF(01_因子設定!$B$13="最小化",-Q4875,-ABS(Q4875-01_因子設定!$B$16))),-1E+030)</f>
        <v>49.8545454545454</v>
      </c>
      <c r="Y4875" s="55" t="n">
        <f aca="false">W4875+ROW()*0.000000001</f>
        <v>0.205270219167969</v>
      </c>
      <c r="Z4875" s="55" t="n">
        <f aca="false">X4875+ROW()*0.000000001</f>
        <v>49.8545503295455</v>
      </c>
    </row>
    <row r="4876" customFormat="false" ht="15" hidden="false" customHeight="false" outlineLevel="0" collapsed="false">
      <c r="A4876" s="0" t="n">
        <v>16</v>
      </c>
      <c r="B4876" s="0" t="n">
        <v>14</v>
      </c>
      <c r="C4876" s="0" t="n">
        <v>9</v>
      </c>
      <c r="D4876" s="0" t="n">
        <f aca="false">-1+A4876*0.125</f>
        <v>1</v>
      </c>
      <c r="E4876" s="0" t="n">
        <f aca="false">-1+B4876*0.125</f>
        <v>0.75</v>
      </c>
      <c r="F4876" s="0" t="n">
        <f aca="false">-1+C4876*0.125</f>
        <v>0.125</v>
      </c>
      <c r="G4876" s="0" t="n">
        <f aca="false">1</f>
        <v>1</v>
      </c>
      <c r="H4876" s="0" t="n">
        <f aca="false">D4876</f>
        <v>1</v>
      </c>
      <c r="I4876" s="0" t="n">
        <f aca="false">E4876</f>
        <v>0.75</v>
      </c>
      <c r="J4876" s="0" t="n">
        <f aca="false">F4876</f>
        <v>0.125</v>
      </c>
      <c r="K4876" s="0" t="n">
        <f aca="false">D4876*E4876</f>
        <v>0.75</v>
      </c>
      <c r="L4876" s="0" t="n">
        <f aca="false">D4876*F4876</f>
        <v>0.125</v>
      </c>
      <c r="M4876" s="0" t="n">
        <f aca="false">E4876*F4876</f>
        <v>0.09375</v>
      </c>
      <c r="N4876" s="0" t="n">
        <f aca="false">D4876*D4876</f>
        <v>1</v>
      </c>
      <c r="O4876" s="0" t="n">
        <f aca="false">E4876*E4876</f>
        <v>0.5625</v>
      </c>
      <c r="P4876" s="0" t="n">
        <f aca="false">F4876*F4876</f>
        <v>0.015625</v>
      </c>
      <c r="Q4876" s="0" t="n">
        <f aca="false">SUMPRODUCT(G4876:P4876,_XtX!$B$71:$K$71)</f>
        <v>50.0320880681818</v>
      </c>
      <c r="R4876" s="0" t="n">
        <f aca="false">SUMPRODUCT(MMULT(G4876:P4876,_XtX!$B$58:$K$67),G4876:P4876)</f>
        <v>0.524607155539773</v>
      </c>
      <c r="S4876" s="0" t="n">
        <f aca="false">04_回帰ANOVA!$K$19*04_回帰ANOVA!$K$14*SQRT(1+R4876)</f>
        <v>1.14800984623412</v>
      </c>
      <c r="T4876" s="0" t="n">
        <f aca="false">Q4876-S4876</f>
        <v>48.8840782219477</v>
      </c>
      <c r="U4876" s="0" t="n">
        <f aca="false">Q4876+S4876</f>
        <v>51.1800979144159</v>
      </c>
      <c r="V4876" s="54" t="b">
        <f aca="false">AND(D4876&gt;=01_因子設定!$L$5-0.000000001,D4876&lt;=01_因子設定!$M$5+0.000000001,E4876&gt;=01_因子設定!$L$6-0.000000001,E4876&lt;=01_因子設定!$M$6+0.000000001,F4876&gt;=01_因子設定!$L$7-0.000000001,F4876&lt;=01_因子設定!$M$7+0.000000001,IF(01_因子設定!$B$20="Box-Behnken",D4876^2+E4876^2+F4876^2&lt;=2+0.000000001,TRUE()))</f>
        <v>1</v>
      </c>
      <c r="W4876" s="55" t="n">
        <f aca="false">IF(V4876,IF(01_因子設定!$B$13="最大化",T4876-01_因子設定!$B$14,IF(01_因子設定!$B$13="最小化",01_因子設定!$B$15-U4876,MIN(T4876-01_因子設定!$B$14,01_因子設定!$B$15-U4876))),-1E+030)</f>
        <v>0.384078221947689</v>
      </c>
      <c r="X4876" s="55" t="n">
        <f aca="false">IF(V4876,IF(01_因子設定!$B$13="最大化",Q4876,IF(01_因子設定!$B$13="最小化",-Q4876,-ABS(Q4876-01_因子設定!$B$16))),-1E+030)</f>
        <v>50.0320880681818</v>
      </c>
      <c r="Y4876" s="55" t="n">
        <f aca="false">W4876+ROW()*0.000000001</f>
        <v>0.384083097947689</v>
      </c>
      <c r="Z4876" s="55" t="n">
        <f aca="false">X4876+ROW()*0.000000001</f>
        <v>50.0320929441818</v>
      </c>
    </row>
    <row r="4877" customFormat="false" ht="15" hidden="false" customHeight="false" outlineLevel="0" collapsed="false">
      <c r="A4877" s="0" t="n">
        <v>16</v>
      </c>
      <c r="B4877" s="0" t="n">
        <v>14</v>
      </c>
      <c r="C4877" s="0" t="n">
        <v>10</v>
      </c>
      <c r="D4877" s="0" t="n">
        <f aca="false">-1+A4877*0.125</f>
        <v>1</v>
      </c>
      <c r="E4877" s="0" t="n">
        <f aca="false">-1+B4877*0.125</f>
        <v>0.75</v>
      </c>
      <c r="F4877" s="0" t="n">
        <f aca="false">-1+C4877*0.125</f>
        <v>0.25</v>
      </c>
      <c r="G4877" s="0" t="n">
        <f aca="false">1</f>
        <v>1</v>
      </c>
      <c r="H4877" s="0" t="n">
        <f aca="false">D4877</f>
        <v>1</v>
      </c>
      <c r="I4877" s="0" t="n">
        <f aca="false">E4877</f>
        <v>0.75</v>
      </c>
      <c r="J4877" s="0" t="n">
        <f aca="false">F4877</f>
        <v>0.25</v>
      </c>
      <c r="K4877" s="0" t="n">
        <f aca="false">D4877*E4877</f>
        <v>0.75</v>
      </c>
      <c r="L4877" s="0" t="n">
        <f aca="false">D4877*F4877</f>
        <v>0.25</v>
      </c>
      <c r="M4877" s="0" t="n">
        <f aca="false">E4877*F4877</f>
        <v>0.1875</v>
      </c>
      <c r="N4877" s="0" t="n">
        <f aca="false">D4877*D4877</f>
        <v>1</v>
      </c>
      <c r="O4877" s="0" t="n">
        <f aca="false">E4877*E4877</f>
        <v>0.5625</v>
      </c>
      <c r="P4877" s="0" t="n">
        <f aca="false">F4877*F4877</f>
        <v>0.0625</v>
      </c>
      <c r="Q4877" s="0" t="n">
        <f aca="false">SUMPRODUCT(G4877:P4877,_XtX!$B$71:$K$71)</f>
        <v>50.1728409090909</v>
      </c>
      <c r="R4877" s="0" t="n">
        <f aca="false">SUMPRODUCT(MMULT(G4877:P4877,_XtX!$B$58:$K$67),G4877:P4877)</f>
        <v>0.515545099431818</v>
      </c>
      <c r="S4877" s="0" t="n">
        <f aca="false">04_回帰ANOVA!$K$19*04_回帰ANOVA!$K$14*SQRT(1+R4877)</f>
        <v>1.14459295464101</v>
      </c>
      <c r="T4877" s="0" t="n">
        <f aca="false">Q4877-S4877</f>
        <v>49.0282479544499</v>
      </c>
      <c r="U4877" s="0" t="n">
        <f aca="false">Q4877+S4877</f>
        <v>51.3174338637319</v>
      </c>
      <c r="V4877" s="54" t="b">
        <f aca="false">AND(D4877&gt;=01_因子設定!$L$5-0.000000001,D4877&lt;=01_因子設定!$M$5+0.000000001,E4877&gt;=01_因子設定!$L$6-0.000000001,E4877&lt;=01_因子設定!$M$6+0.000000001,F4877&gt;=01_因子設定!$L$7-0.000000001,F4877&lt;=01_因子設定!$M$7+0.000000001,IF(01_因子設定!$B$20="Box-Behnken",D4877^2+E4877^2+F4877^2&lt;=2+0.000000001,TRUE()))</f>
        <v>1</v>
      </c>
      <c r="W4877" s="55" t="n">
        <f aca="false">IF(V4877,IF(01_因子設定!$B$13="最大化",T4877-01_因子設定!$B$14,IF(01_因子設定!$B$13="最小化",01_因子設定!$B$15-U4877,MIN(T4877-01_因子設定!$B$14,01_因子設定!$B$15-U4877))),-1E+030)</f>
        <v>0.528247954449888</v>
      </c>
      <c r="X4877" s="55" t="n">
        <f aca="false">IF(V4877,IF(01_因子設定!$B$13="最大化",Q4877,IF(01_因子設定!$B$13="最小化",-Q4877,-ABS(Q4877-01_因子設定!$B$16))),-1E+030)</f>
        <v>50.1728409090909</v>
      </c>
      <c r="Y4877" s="55" t="n">
        <f aca="false">W4877+ROW()*0.000000001</f>
        <v>0.528252831449888</v>
      </c>
      <c r="Z4877" s="55" t="n">
        <f aca="false">X4877+ROW()*0.000000001</f>
        <v>50.1728457860909</v>
      </c>
    </row>
    <row r="4878" customFormat="false" ht="15" hidden="false" customHeight="false" outlineLevel="0" collapsed="false">
      <c r="A4878" s="0" t="n">
        <v>16</v>
      </c>
      <c r="B4878" s="0" t="n">
        <v>14</v>
      </c>
      <c r="C4878" s="0" t="n">
        <v>11</v>
      </c>
      <c r="D4878" s="0" t="n">
        <f aca="false">-1+A4878*0.125</f>
        <v>1</v>
      </c>
      <c r="E4878" s="0" t="n">
        <f aca="false">-1+B4878*0.125</f>
        <v>0.75</v>
      </c>
      <c r="F4878" s="0" t="n">
        <f aca="false">-1+C4878*0.125</f>
        <v>0.375</v>
      </c>
      <c r="G4878" s="0" t="n">
        <f aca="false">1</f>
        <v>1</v>
      </c>
      <c r="H4878" s="0" t="n">
        <f aca="false">D4878</f>
        <v>1</v>
      </c>
      <c r="I4878" s="0" t="n">
        <f aca="false">E4878</f>
        <v>0.75</v>
      </c>
      <c r="J4878" s="0" t="n">
        <f aca="false">F4878</f>
        <v>0.375</v>
      </c>
      <c r="K4878" s="0" t="n">
        <f aca="false">D4878*E4878</f>
        <v>0.75</v>
      </c>
      <c r="L4878" s="0" t="n">
        <f aca="false">D4878*F4878</f>
        <v>0.375</v>
      </c>
      <c r="M4878" s="0" t="n">
        <f aca="false">E4878*F4878</f>
        <v>0.28125</v>
      </c>
      <c r="N4878" s="0" t="n">
        <f aca="false">D4878*D4878</f>
        <v>1</v>
      </c>
      <c r="O4878" s="0" t="n">
        <f aca="false">E4878*E4878</f>
        <v>0.5625</v>
      </c>
      <c r="P4878" s="0" t="n">
        <f aca="false">F4878*F4878</f>
        <v>0.140625</v>
      </c>
      <c r="Q4878" s="0" t="n">
        <f aca="false">SUMPRODUCT(G4878:P4878,_XtX!$B$71:$K$71)</f>
        <v>50.2768039772727</v>
      </c>
      <c r="R4878" s="0" t="n">
        <f aca="false">SUMPRODUCT(MMULT(G4878:P4878,_XtX!$B$58:$K$67),G4878:P4878)</f>
        <v>0.503992808948864</v>
      </c>
      <c r="S4878" s="0" t="n">
        <f aca="false">04_回帰ANOVA!$K$19*04_回帰ANOVA!$K$14*SQRT(1+R4878)</f>
        <v>1.14022226176226</v>
      </c>
      <c r="T4878" s="0" t="n">
        <f aca="false">Q4878-S4878</f>
        <v>49.1365817155105</v>
      </c>
      <c r="U4878" s="0" t="n">
        <f aca="false">Q4878+S4878</f>
        <v>51.417026239035</v>
      </c>
      <c r="V4878" s="54" t="b">
        <f aca="false">AND(D4878&gt;=01_因子設定!$L$5-0.000000001,D4878&lt;=01_因子設定!$M$5+0.000000001,E4878&gt;=01_因子設定!$L$6-0.000000001,E4878&lt;=01_因子設定!$M$6+0.000000001,F4878&gt;=01_因子設定!$L$7-0.000000001,F4878&lt;=01_因子設定!$M$7+0.000000001,IF(01_因子設定!$B$20="Box-Behnken",D4878^2+E4878^2+F4878^2&lt;=2+0.000000001,TRUE()))</f>
        <v>1</v>
      </c>
      <c r="W4878" s="55" t="n">
        <f aca="false">IF(V4878,IF(01_因子設定!$B$13="最大化",T4878-01_因子設定!$B$14,IF(01_因子設定!$B$13="最小化",01_因子設定!$B$15-U4878,MIN(T4878-01_因子設定!$B$14,01_因子設定!$B$15-U4878))),-1E+030)</f>
        <v>0.636581715510459</v>
      </c>
      <c r="X4878" s="55" t="n">
        <f aca="false">IF(V4878,IF(01_因子設定!$B$13="最大化",Q4878,IF(01_因子設定!$B$13="最小化",-Q4878,-ABS(Q4878-01_因子設定!$B$16))),-1E+030)</f>
        <v>50.2768039772727</v>
      </c>
      <c r="Y4878" s="55" t="n">
        <f aca="false">W4878+ROW()*0.000000001</f>
        <v>0.636586593510459</v>
      </c>
      <c r="Z4878" s="55" t="n">
        <f aca="false">X4878+ROW()*0.000000001</f>
        <v>50.2768088552727</v>
      </c>
    </row>
    <row r="4879" customFormat="false" ht="15" hidden="false" customHeight="false" outlineLevel="0" collapsed="false">
      <c r="A4879" s="0" t="n">
        <v>16</v>
      </c>
      <c r="B4879" s="0" t="n">
        <v>14</v>
      </c>
      <c r="C4879" s="0" t="n">
        <v>12</v>
      </c>
      <c r="D4879" s="0" t="n">
        <f aca="false">-1+A4879*0.125</f>
        <v>1</v>
      </c>
      <c r="E4879" s="0" t="n">
        <f aca="false">-1+B4879*0.125</f>
        <v>0.75</v>
      </c>
      <c r="F4879" s="0" t="n">
        <f aca="false">-1+C4879*0.125</f>
        <v>0.5</v>
      </c>
      <c r="G4879" s="0" t="n">
        <f aca="false">1</f>
        <v>1</v>
      </c>
      <c r="H4879" s="0" t="n">
        <f aca="false">D4879</f>
        <v>1</v>
      </c>
      <c r="I4879" s="0" t="n">
        <f aca="false">E4879</f>
        <v>0.75</v>
      </c>
      <c r="J4879" s="0" t="n">
        <f aca="false">F4879</f>
        <v>0.5</v>
      </c>
      <c r="K4879" s="0" t="n">
        <f aca="false">D4879*E4879</f>
        <v>0.75</v>
      </c>
      <c r="L4879" s="0" t="n">
        <f aca="false">D4879*F4879</f>
        <v>0.5</v>
      </c>
      <c r="M4879" s="0" t="n">
        <f aca="false">E4879*F4879</f>
        <v>0.375</v>
      </c>
      <c r="N4879" s="0" t="n">
        <f aca="false">D4879*D4879</f>
        <v>1</v>
      </c>
      <c r="O4879" s="0" t="n">
        <f aca="false">E4879*E4879</f>
        <v>0.5625</v>
      </c>
      <c r="P4879" s="0" t="n">
        <f aca="false">F4879*F4879</f>
        <v>0.25</v>
      </c>
      <c r="Q4879" s="0" t="n">
        <f aca="false">SUMPRODUCT(G4879:P4879,_XtX!$B$71:$K$71)</f>
        <v>50.3439772727273</v>
      </c>
      <c r="R4879" s="0" t="n">
        <f aca="false">SUMPRODUCT(MMULT(G4879:P4879,_XtX!$B$58:$K$67),G4879:P4879)</f>
        <v>0.495276988636364</v>
      </c>
      <c r="S4879" s="0" t="n">
        <f aca="false">04_回帰ANOVA!$K$19*04_回帰ANOVA!$K$14*SQRT(1+R4879)</f>
        <v>1.13691359828352</v>
      </c>
      <c r="T4879" s="0" t="n">
        <f aca="false">Q4879-S4879</f>
        <v>49.2070636744437</v>
      </c>
      <c r="U4879" s="0" t="n">
        <f aca="false">Q4879+S4879</f>
        <v>51.4808908710108</v>
      </c>
      <c r="V4879" s="54" t="b">
        <f aca="false">AND(D4879&gt;=01_因子設定!$L$5-0.000000001,D4879&lt;=01_因子設定!$M$5+0.000000001,E4879&gt;=01_因子設定!$L$6-0.000000001,E4879&lt;=01_因子設定!$M$6+0.000000001,F4879&gt;=01_因子設定!$L$7-0.000000001,F4879&lt;=01_因子設定!$M$7+0.000000001,IF(01_因子設定!$B$20="Box-Behnken",D4879^2+E4879^2+F4879^2&lt;=2+0.000000001,TRUE()))</f>
        <v>1</v>
      </c>
      <c r="W4879" s="55" t="n">
        <f aca="false">IF(V4879,IF(01_因子設定!$B$13="最大化",T4879-01_因子設定!$B$14,IF(01_因子設定!$B$13="最小化",01_因子設定!$B$15-U4879,MIN(T4879-01_因子設定!$B$14,01_因子設定!$B$15-U4879))),-1E+030)</f>
        <v>0.707063674443745</v>
      </c>
      <c r="X4879" s="55" t="n">
        <f aca="false">IF(V4879,IF(01_因子設定!$B$13="最大化",Q4879,IF(01_因子設定!$B$13="最小化",-Q4879,-ABS(Q4879-01_因子設定!$B$16))),-1E+030)</f>
        <v>50.3439772727273</v>
      </c>
      <c r="Y4879" s="55" t="n">
        <f aca="false">W4879+ROW()*0.000000001</f>
        <v>0.707068553443745</v>
      </c>
      <c r="Z4879" s="55" t="n">
        <f aca="false">X4879+ROW()*0.000000001</f>
        <v>50.3439821517273</v>
      </c>
    </row>
    <row r="4880" customFormat="false" ht="15" hidden="false" customHeight="false" outlineLevel="0" collapsed="false">
      <c r="A4880" s="0" t="n">
        <v>16</v>
      </c>
      <c r="B4880" s="0" t="n">
        <v>14</v>
      </c>
      <c r="C4880" s="0" t="n">
        <v>13</v>
      </c>
      <c r="D4880" s="0" t="n">
        <f aca="false">-1+A4880*0.125</f>
        <v>1</v>
      </c>
      <c r="E4880" s="0" t="n">
        <f aca="false">-1+B4880*0.125</f>
        <v>0.75</v>
      </c>
      <c r="F4880" s="0" t="n">
        <f aca="false">-1+C4880*0.125</f>
        <v>0.625</v>
      </c>
      <c r="G4880" s="0" t="n">
        <f aca="false">1</f>
        <v>1</v>
      </c>
      <c r="H4880" s="0" t="n">
        <f aca="false">D4880</f>
        <v>1</v>
      </c>
      <c r="I4880" s="0" t="n">
        <f aca="false">E4880</f>
        <v>0.75</v>
      </c>
      <c r="J4880" s="0" t="n">
        <f aca="false">F4880</f>
        <v>0.625</v>
      </c>
      <c r="K4880" s="0" t="n">
        <f aca="false">D4880*E4880</f>
        <v>0.75</v>
      </c>
      <c r="L4880" s="0" t="n">
        <f aca="false">D4880*F4880</f>
        <v>0.625</v>
      </c>
      <c r="M4880" s="0" t="n">
        <f aca="false">E4880*F4880</f>
        <v>0.46875</v>
      </c>
      <c r="N4880" s="0" t="n">
        <f aca="false">D4880*D4880</f>
        <v>1</v>
      </c>
      <c r="O4880" s="0" t="n">
        <f aca="false">E4880*E4880</f>
        <v>0.5625</v>
      </c>
      <c r="P4880" s="0" t="n">
        <f aca="false">F4880*F4880</f>
        <v>0.390625</v>
      </c>
      <c r="Q4880" s="0" t="n">
        <f aca="false">SUMPRODUCT(G4880:P4880,_XtX!$B$71:$K$71)</f>
        <v>50.3743607954545</v>
      </c>
      <c r="R4880" s="0" t="n">
        <f aca="false">SUMPRODUCT(MMULT(G4880:P4880,_XtX!$B$58:$K$67),G4880:P4880)</f>
        <v>0.496855024857955</v>
      </c>
      <c r="S4880" s="0" t="n">
        <f aca="false">04_回帰ANOVA!$K$19*04_回帰ANOVA!$K$14*SQRT(1+R4880)</f>
        <v>1.1375133593161</v>
      </c>
      <c r="T4880" s="0" t="n">
        <f aca="false">Q4880-S4880</f>
        <v>49.2368474361385</v>
      </c>
      <c r="U4880" s="0" t="n">
        <f aca="false">Q4880+S4880</f>
        <v>51.5118741547706</v>
      </c>
      <c r="V4880" s="54" t="b">
        <f aca="false">AND(D4880&gt;=01_因子設定!$L$5-0.000000001,D4880&lt;=01_因子設定!$M$5+0.000000001,E4880&gt;=01_因子設定!$L$6-0.000000001,E4880&lt;=01_因子設定!$M$6+0.000000001,F4880&gt;=01_因子設定!$L$7-0.000000001,F4880&lt;=01_因子設定!$M$7+0.000000001,IF(01_因子設定!$B$20="Box-Behnken",D4880^2+E4880^2+F4880^2&lt;=2+0.000000001,TRUE()))</f>
        <v>1</v>
      </c>
      <c r="W4880" s="55" t="n">
        <f aca="false">IF(V4880,IF(01_因子設定!$B$13="最大化",T4880-01_因子設定!$B$14,IF(01_因子設定!$B$13="最小化",01_因子設定!$B$15-U4880,MIN(T4880-01_因子設定!$B$14,01_因子設定!$B$15-U4880))),-1E+030)</f>
        <v>0.736847436138447</v>
      </c>
      <c r="X4880" s="55" t="n">
        <f aca="false">IF(V4880,IF(01_因子設定!$B$13="最大化",Q4880,IF(01_因子設定!$B$13="最小化",-Q4880,-ABS(Q4880-01_因子設定!$B$16))),-1E+030)</f>
        <v>50.3743607954545</v>
      </c>
      <c r="Y4880" s="55" t="n">
        <f aca="false">W4880+ROW()*0.000000001</f>
        <v>0.736852316138447</v>
      </c>
      <c r="Z4880" s="55" t="n">
        <f aca="false">X4880+ROW()*0.000000001</f>
        <v>50.3743656754545</v>
      </c>
    </row>
    <row r="4881" customFormat="false" ht="15" hidden="false" customHeight="false" outlineLevel="0" collapsed="false">
      <c r="A4881" s="0" t="n">
        <v>16</v>
      </c>
      <c r="B4881" s="0" t="n">
        <v>14</v>
      </c>
      <c r="C4881" s="0" t="n">
        <v>14</v>
      </c>
      <c r="D4881" s="0" t="n">
        <f aca="false">-1+A4881*0.125</f>
        <v>1</v>
      </c>
      <c r="E4881" s="0" t="n">
        <f aca="false">-1+B4881*0.125</f>
        <v>0.75</v>
      </c>
      <c r="F4881" s="0" t="n">
        <f aca="false">-1+C4881*0.125</f>
        <v>0.75</v>
      </c>
      <c r="G4881" s="0" t="n">
        <f aca="false">1</f>
        <v>1</v>
      </c>
      <c r="H4881" s="0" t="n">
        <f aca="false">D4881</f>
        <v>1</v>
      </c>
      <c r="I4881" s="0" t="n">
        <f aca="false">E4881</f>
        <v>0.75</v>
      </c>
      <c r="J4881" s="0" t="n">
        <f aca="false">F4881</f>
        <v>0.75</v>
      </c>
      <c r="K4881" s="0" t="n">
        <f aca="false">D4881*E4881</f>
        <v>0.75</v>
      </c>
      <c r="L4881" s="0" t="n">
        <f aca="false">D4881*F4881</f>
        <v>0.75</v>
      </c>
      <c r="M4881" s="0" t="n">
        <f aca="false">E4881*F4881</f>
        <v>0.5625</v>
      </c>
      <c r="N4881" s="0" t="n">
        <f aca="false">D4881*D4881</f>
        <v>1</v>
      </c>
      <c r="O4881" s="0" t="n">
        <f aca="false">E4881*E4881</f>
        <v>0.5625</v>
      </c>
      <c r="P4881" s="0" t="n">
        <f aca="false">F4881*F4881</f>
        <v>0.5625</v>
      </c>
      <c r="Q4881" s="0" t="n">
        <f aca="false">SUMPRODUCT(G4881:P4881,_XtX!$B$71:$K$71)</f>
        <v>50.3679545454545</v>
      </c>
      <c r="R4881" s="0" t="n">
        <f aca="false">SUMPRODUCT(MMULT(G4881:P4881,_XtX!$B$58:$K$67),G4881:P4881)</f>
        <v>0.518314985795455</v>
      </c>
      <c r="S4881" s="0" t="n">
        <f aca="false">04_回帰ANOVA!$K$19*04_回帰ANOVA!$K$14*SQRT(1+R4881)</f>
        <v>1.14563843495971</v>
      </c>
      <c r="T4881" s="0" t="n">
        <f aca="false">Q4881-S4881</f>
        <v>49.2223161104948</v>
      </c>
      <c r="U4881" s="0" t="n">
        <f aca="false">Q4881+S4881</f>
        <v>51.5135929804143</v>
      </c>
      <c r="V4881" s="54" t="b">
        <f aca="false">AND(D4881&gt;=01_因子設定!$L$5-0.000000001,D4881&lt;=01_因子設定!$M$5+0.000000001,E4881&gt;=01_因子設定!$L$6-0.000000001,E4881&lt;=01_因子設定!$M$6+0.000000001,F4881&gt;=01_因子設定!$L$7-0.000000001,F4881&lt;=01_因子設定!$M$7+0.000000001,IF(01_因子設定!$B$20="Box-Behnken",D4881^2+E4881^2+F4881^2&lt;=2+0.000000001,TRUE()))</f>
        <v>1</v>
      </c>
      <c r="W4881" s="55" t="n">
        <f aca="false">IF(V4881,IF(01_因子設定!$B$13="最大化",T4881-01_因子設定!$B$14,IF(01_因子設定!$B$13="最小化",01_因子設定!$B$15-U4881,MIN(T4881-01_因子設定!$B$14,01_因子設定!$B$15-U4881))),-1E+030)</f>
        <v>0.722316110494838</v>
      </c>
      <c r="X4881" s="55" t="n">
        <f aca="false">IF(V4881,IF(01_因子設定!$B$13="最大化",Q4881,IF(01_因子設定!$B$13="最小化",-Q4881,-ABS(Q4881-01_因子設定!$B$16))),-1E+030)</f>
        <v>50.3679545454545</v>
      </c>
      <c r="Y4881" s="55" t="n">
        <f aca="false">W4881+ROW()*0.000000001</f>
        <v>0.722320991494837</v>
      </c>
      <c r="Z4881" s="55" t="n">
        <f aca="false">X4881+ROW()*0.000000001</f>
        <v>50.3679594264546</v>
      </c>
    </row>
    <row r="4882" customFormat="false" ht="15" hidden="false" customHeight="false" outlineLevel="0" collapsed="false">
      <c r="A4882" s="0" t="n">
        <v>16</v>
      </c>
      <c r="B4882" s="0" t="n">
        <v>14</v>
      </c>
      <c r="C4882" s="0" t="n">
        <v>15</v>
      </c>
      <c r="D4882" s="0" t="n">
        <f aca="false">-1+A4882*0.125</f>
        <v>1</v>
      </c>
      <c r="E4882" s="0" t="n">
        <f aca="false">-1+B4882*0.125</f>
        <v>0.75</v>
      </c>
      <c r="F4882" s="0" t="n">
        <f aca="false">-1+C4882*0.125</f>
        <v>0.875</v>
      </c>
      <c r="G4882" s="0" t="n">
        <f aca="false">1</f>
        <v>1</v>
      </c>
      <c r="H4882" s="0" t="n">
        <f aca="false">D4882</f>
        <v>1</v>
      </c>
      <c r="I4882" s="0" t="n">
        <f aca="false">E4882</f>
        <v>0.75</v>
      </c>
      <c r="J4882" s="0" t="n">
        <f aca="false">F4882</f>
        <v>0.875</v>
      </c>
      <c r="K4882" s="0" t="n">
        <f aca="false">D4882*E4882</f>
        <v>0.75</v>
      </c>
      <c r="L4882" s="0" t="n">
        <f aca="false">D4882*F4882</f>
        <v>0.875</v>
      </c>
      <c r="M4882" s="0" t="n">
        <f aca="false">E4882*F4882</f>
        <v>0.65625</v>
      </c>
      <c r="N4882" s="0" t="n">
        <f aca="false">D4882*D4882</f>
        <v>1</v>
      </c>
      <c r="O4882" s="0" t="n">
        <f aca="false">E4882*E4882</f>
        <v>0.5625</v>
      </c>
      <c r="P4882" s="0" t="n">
        <f aca="false">F4882*F4882</f>
        <v>0.765625</v>
      </c>
      <c r="Q4882" s="0" t="n">
        <f aca="false">SUMPRODUCT(G4882:P4882,_XtX!$B$71:$K$71)</f>
        <v>50.3247585227273</v>
      </c>
      <c r="R4882" s="0" t="n">
        <f aca="false">SUMPRODUCT(MMULT(G4882:P4882,_XtX!$B$58:$K$67),G4882:P4882)</f>
        <v>0.571375621448864</v>
      </c>
      <c r="S4882" s="0" t="n">
        <f aca="false">04_回帰ANOVA!$K$19*04_回帰ANOVA!$K$14*SQRT(1+R4882)</f>
        <v>1.16548487437682</v>
      </c>
      <c r="T4882" s="0" t="n">
        <f aca="false">Q4882-S4882</f>
        <v>49.1592736483505</v>
      </c>
      <c r="U4882" s="0" t="n">
        <f aca="false">Q4882+S4882</f>
        <v>51.4902433971041</v>
      </c>
      <c r="V4882" s="54" t="b">
        <f aca="false">AND(D4882&gt;=01_因子設定!$L$5-0.000000001,D4882&lt;=01_因子設定!$M$5+0.000000001,E4882&gt;=01_因子設定!$L$6-0.000000001,E4882&lt;=01_因子設定!$M$6+0.000000001,F4882&gt;=01_因子設定!$L$7-0.000000001,F4882&lt;=01_因子設定!$M$7+0.000000001,IF(01_因子設定!$B$20="Box-Behnken",D4882^2+E4882^2+F4882^2&lt;=2+0.000000001,TRUE()))</f>
        <v>1</v>
      </c>
      <c r="W4882" s="55" t="n">
        <f aca="false">IF(V4882,IF(01_因子設定!$B$13="最大化",T4882-01_因子設定!$B$14,IF(01_因子設定!$B$13="最小化",01_因子設定!$B$15-U4882,MIN(T4882-01_因子設定!$B$14,01_因子設定!$B$15-U4882))),-1E+030)</f>
        <v>0.659273648350464</v>
      </c>
      <c r="X4882" s="55" t="n">
        <f aca="false">IF(V4882,IF(01_因子設定!$B$13="最大化",Q4882,IF(01_因子設定!$B$13="最小化",-Q4882,-ABS(Q4882-01_因子設定!$B$16))),-1E+030)</f>
        <v>50.3247585227273</v>
      </c>
      <c r="Y4882" s="55" t="n">
        <f aca="false">W4882+ROW()*0.000000001</f>
        <v>0.659278530350464</v>
      </c>
      <c r="Z4882" s="55" t="n">
        <f aca="false">X4882+ROW()*0.000000001</f>
        <v>50.3247634047273</v>
      </c>
    </row>
    <row r="4883" customFormat="false" ht="15" hidden="false" customHeight="false" outlineLevel="0" collapsed="false">
      <c r="A4883" s="0" t="n">
        <v>16</v>
      </c>
      <c r="B4883" s="0" t="n">
        <v>14</v>
      </c>
      <c r="C4883" s="0" t="n">
        <v>16</v>
      </c>
      <c r="D4883" s="0" t="n">
        <f aca="false">-1+A4883*0.125</f>
        <v>1</v>
      </c>
      <c r="E4883" s="0" t="n">
        <f aca="false">-1+B4883*0.125</f>
        <v>0.75</v>
      </c>
      <c r="F4883" s="0" t="n">
        <f aca="false">-1+C4883*0.125</f>
        <v>1</v>
      </c>
      <c r="G4883" s="0" t="n">
        <f aca="false">1</f>
        <v>1</v>
      </c>
      <c r="H4883" s="0" t="n">
        <f aca="false">D4883</f>
        <v>1</v>
      </c>
      <c r="I4883" s="0" t="n">
        <f aca="false">E4883</f>
        <v>0.75</v>
      </c>
      <c r="J4883" s="0" t="n">
        <f aca="false">F4883</f>
        <v>1</v>
      </c>
      <c r="K4883" s="0" t="n">
        <f aca="false">D4883*E4883</f>
        <v>0.75</v>
      </c>
      <c r="L4883" s="0" t="n">
        <f aca="false">D4883*F4883</f>
        <v>1</v>
      </c>
      <c r="M4883" s="0" t="n">
        <f aca="false">E4883*F4883</f>
        <v>0.75</v>
      </c>
      <c r="N4883" s="0" t="n">
        <f aca="false">D4883*D4883</f>
        <v>1</v>
      </c>
      <c r="O4883" s="0" t="n">
        <f aca="false">E4883*E4883</f>
        <v>0.5625</v>
      </c>
      <c r="P4883" s="0" t="n">
        <f aca="false">F4883*F4883</f>
        <v>1</v>
      </c>
      <c r="Q4883" s="0" t="n">
        <f aca="false">SUMPRODUCT(G4883:P4883,_XtX!$B$71:$K$71)</f>
        <v>50.2447727272727</v>
      </c>
      <c r="R4883" s="0" t="n">
        <f aca="false">SUMPRODUCT(MMULT(G4883:P4883,_XtX!$B$58:$K$67),G4883:P4883)</f>
        <v>0.669886363636364</v>
      </c>
      <c r="S4883" s="0" t="n">
        <f aca="false">04_回帰ANOVA!$K$19*04_回帰ANOVA!$K$14*SQRT(1+R4883)</f>
        <v>1.20146215423986</v>
      </c>
      <c r="T4883" s="0" t="n">
        <f aca="false">Q4883-S4883</f>
        <v>49.0433105730329</v>
      </c>
      <c r="U4883" s="0" t="n">
        <f aca="false">Q4883+S4883</f>
        <v>51.4462348815126</v>
      </c>
      <c r="V4883" s="54" t="b">
        <f aca="false">AND(D4883&gt;=01_因子設定!$L$5-0.000000001,D4883&lt;=01_因子設定!$M$5+0.000000001,E4883&gt;=01_因子設定!$L$6-0.000000001,E4883&lt;=01_因子設定!$M$6+0.000000001,F4883&gt;=01_因子設定!$L$7-0.000000001,F4883&lt;=01_因子設定!$M$7+0.000000001,IF(01_因子設定!$B$20="Box-Behnken",D4883^2+E4883^2+F4883^2&lt;=2+0.000000001,TRUE()))</f>
        <v>1</v>
      </c>
      <c r="W4883" s="55" t="n">
        <f aca="false">IF(V4883,IF(01_因子設定!$B$13="最大化",T4883-01_因子設定!$B$14,IF(01_因子設定!$B$13="最小化",01_因子設定!$B$15-U4883,MIN(T4883-01_因子設定!$B$14,01_因子設定!$B$15-U4883))),-1E+030)</f>
        <v>0.543310573032876</v>
      </c>
      <c r="X4883" s="55" t="n">
        <f aca="false">IF(V4883,IF(01_因子設定!$B$13="最大化",Q4883,IF(01_因子設定!$B$13="最小化",-Q4883,-ABS(Q4883-01_因子設定!$B$16))),-1E+030)</f>
        <v>50.2447727272727</v>
      </c>
      <c r="Y4883" s="55" t="n">
        <f aca="false">W4883+ROW()*0.000000001</f>
        <v>0.543315456032876</v>
      </c>
      <c r="Z4883" s="55" t="n">
        <f aca="false">X4883+ROW()*0.000000001</f>
        <v>50.2447776102727</v>
      </c>
    </row>
    <row r="4884" customFormat="false" ht="15" hidden="false" customHeight="false" outlineLevel="0" collapsed="false">
      <c r="A4884" s="0" t="n">
        <v>16</v>
      </c>
      <c r="B4884" s="0" t="n">
        <v>15</v>
      </c>
      <c r="C4884" s="0" t="n">
        <v>0</v>
      </c>
      <c r="D4884" s="0" t="n">
        <f aca="false">-1+A4884*0.125</f>
        <v>1</v>
      </c>
      <c r="E4884" s="0" t="n">
        <f aca="false">-1+B4884*0.125</f>
        <v>0.875</v>
      </c>
      <c r="F4884" s="0" t="n">
        <f aca="false">-1+C4884*0.125</f>
        <v>-1</v>
      </c>
      <c r="G4884" s="0" t="n">
        <f aca="false">1</f>
        <v>1</v>
      </c>
      <c r="H4884" s="0" t="n">
        <f aca="false">D4884</f>
        <v>1</v>
      </c>
      <c r="I4884" s="0" t="n">
        <f aca="false">E4884</f>
        <v>0.875</v>
      </c>
      <c r="J4884" s="0" t="n">
        <f aca="false">F4884</f>
        <v>-1</v>
      </c>
      <c r="K4884" s="0" t="n">
        <f aca="false">D4884*E4884</f>
        <v>0.875</v>
      </c>
      <c r="L4884" s="0" t="n">
        <f aca="false">D4884*F4884</f>
        <v>-1</v>
      </c>
      <c r="M4884" s="0" t="n">
        <f aca="false">E4884*F4884</f>
        <v>-0.875</v>
      </c>
      <c r="N4884" s="0" t="n">
        <f aca="false">D4884*D4884</f>
        <v>1</v>
      </c>
      <c r="O4884" s="0" t="n">
        <f aca="false">E4884*E4884</f>
        <v>0.765625</v>
      </c>
      <c r="P4884" s="0" t="n">
        <f aca="false">F4884*F4884</f>
        <v>1</v>
      </c>
      <c r="Q4884" s="0" t="n">
        <f aca="false">SUMPRODUCT(G4884:P4884,_XtX!$B$71:$K$71)</f>
        <v>47.0536079545455</v>
      </c>
      <c r="R4884" s="0" t="n">
        <f aca="false">SUMPRODUCT(MMULT(G4884:P4884,_XtX!$B$58:$K$67),G4884:P4884)</f>
        <v>0.709818892045455</v>
      </c>
      <c r="S4884" s="0" t="n">
        <f aca="false">04_回帰ANOVA!$K$19*04_回帰ANOVA!$K$14*SQRT(1+R4884)</f>
        <v>1.21574275944458</v>
      </c>
      <c r="T4884" s="0" t="n">
        <f aca="false">Q4884-S4884</f>
        <v>45.8378651951009</v>
      </c>
      <c r="U4884" s="0" t="n">
        <f aca="false">Q4884+S4884</f>
        <v>48.26935071399</v>
      </c>
      <c r="V4884" s="54" t="b">
        <f aca="false">AND(D4884&gt;=01_因子設定!$L$5-0.000000001,D4884&lt;=01_因子設定!$M$5+0.000000001,E4884&gt;=01_因子設定!$L$6-0.000000001,E4884&lt;=01_因子設定!$M$6+0.000000001,F4884&gt;=01_因子設定!$L$7-0.000000001,F4884&lt;=01_因子設定!$M$7+0.000000001,IF(01_因子設定!$B$20="Box-Behnken",D4884^2+E4884^2+F4884^2&lt;=2+0.000000001,TRUE()))</f>
        <v>1</v>
      </c>
      <c r="W4884" s="55" t="n">
        <f aca="false">IF(V4884,IF(01_因子設定!$B$13="最大化",T4884-01_因子設定!$B$14,IF(01_因子設定!$B$13="最小化",01_因子設定!$B$15-U4884,MIN(T4884-01_因子設定!$B$14,01_因子設定!$B$15-U4884))),-1E+030)</f>
        <v>-2.66213480489912</v>
      </c>
      <c r="X4884" s="55" t="n">
        <f aca="false">IF(V4884,IF(01_因子設定!$B$13="最大化",Q4884,IF(01_因子設定!$B$13="最小化",-Q4884,-ABS(Q4884-01_因子設定!$B$16))),-1E+030)</f>
        <v>47.0536079545455</v>
      </c>
      <c r="Y4884" s="55" t="n">
        <f aca="false">W4884+ROW()*0.000000001</f>
        <v>-2.66212992089912</v>
      </c>
      <c r="Z4884" s="55" t="n">
        <f aca="false">X4884+ROW()*0.000000001</f>
        <v>47.0536128385455</v>
      </c>
    </row>
    <row r="4885" customFormat="false" ht="15" hidden="false" customHeight="false" outlineLevel="0" collapsed="false">
      <c r="A4885" s="0" t="n">
        <v>16</v>
      </c>
      <c r="B4885" s="0" t="n">
        <v>15</v>
      </c>
      <c r="C4885" s="0" t="n">
        <v>1</v>
      </c>
      <c r="D4885" s="0" t="n">
        <f aca="false">-1+A4885*0.125</f>
        <v>1</v>
      </c>
      <c r="E4885" s="0" t="n">
        <f aca="false">-1+B4885*0.125</f>
        <v>0.875</v>
      </c>
      <c r="F4885" s="0" t="n">
        <f aca="false">-1+C4885*0.125</f>
        <v>-0.875</v>
      </c>
      <c r="G4885" s="0" t="n">
        <f aca="false">1</f>
        <v>1</v>
      </c>
      <c r="H4885" s="0" t="n">
        <f aca="false">D4885</f>
        <v>1</v>
      </c>
      <c r="I4885" s="0" t="n">
        <f aca="false">E4885</f>
        <v>0.875</v>
      </c>
      <c r="J4885" s="0" t="n">
        <f aca="false">F4885</f>
        <v>-0.875</v>
      </c>
      <c r="K4885" s="0" t="n">
        <f aca="false">D4885*E4885</f>
        <v>0.875</v>
      </c>
      <c r="L4885" s="0" t="n">
        <f aca="false">D4885*F4885</f>
        <v>-0.875</v>
      </c>
      <c r="M4885" s="0" t="n">
        <f aca="false">E4885*F4885</f>
        <v>-0.765625</v>
      </c>
      <c r="N4885" s="0" t="n">
        <f aca="false">D4885*D4885</f>
        <v>1</v>
      </c>
      <c r="O4885" s="0" t="n">
        <f aca="false">E4885*E4885</f>
        <v>0.765625</v>
      </c>
      <c r="P4885" s="0" t="n">
        <f aca="false">F4885*F4885</f>
        <v>0.765625</v>
      </c>
      <c r="Q4885" s="0" t="n">
        <f aca="false">SUMPRODUCT(G4885:P4885,_XtX!$B$71:$K$71)</f>
        <v>47.5325</v>
      </c>
      <c r="R4885" s="0" t="n">
        <f aca="false">SUMPRODUCT(MMULT(G4885:P4885,_XtX!$B$58:$K$67),G4885:P4885)</f>
        <v>0.618341064453125</v>
      </c>
      <c r="S4885" s="0" t="n">
        <f aca="false">04_回帰ANOVA!$K$19*04_回帰ANOVA!$K$14*SQRT(1+R4885)</f>
        <v>1.18277371124466</v>
      </c>
      <c r="T4885" s="0" t="n">
        <f aca="false">Q4885-S4885</f>
        <v>46.3497262887553</v>
      </c>
      <c r="U4885" s="0" t="n">
        <f aca="false">Q4885+S4885</f>
        <v>48.7152737112447</v>
      </c>
      <c r="V4885" s="54" t="b">
        <f aca="false">AND(D4885&gt;=01_因子設定!$L$5-0.000000001,D4885&lt;=01_因子設定!$M$5+0.000000001,E4885&gt;=01_因子設定!$L$6-0.000000001,E4885&lt;=01_因子設定!$M$6+0.000000001,F4885&gt;=01_因子設定!$L$7-0.000000001,F4885&lt;=01_因子設定!$M$7+0.000000001,IF(01_因子設定!$B$20="Box-Behnken",D4885^2+E4885^2+F4885^2&lt;=2+0.000000001,TRUE()))</f>
        <v>1</v>
      </c>
      <c r="W4885" s="55" t="n">
        <f aca="false">IF(V4885,IF(01_因子設定!$B$13="最大化",T4885-01_因子設定!$B$14,IF(01_因子設定!$B$13="最小化",01_因子設定!$B$15-U4885,MIN(T4885-01_因子設定!$B$14,01_因子設定!$B$15-U4885))),-1E+030)</f>
        <v>-2.15027371124466</v>
      </c>
      <c r="X4885" s="55" t="n">
        <f aca="false">IF(V4885,IF(01_因子設定!$B$13="最大化",Q4885,IF(01_因子設定!$B$13="最小化",-Q4885,-ABS(Q4885-01_因子設定!$B$16))),-1E+030)</f>
        <v>47.5325</v>
      </c>
      <c r="Y4885" s="55" t="n">
        <f aca="false">W4885+ROW()*0.000000001</f>
        <v>-2.15026882624466</v>
      </c>
      <c r="Z4885" s="55" t="n">
        <f aca="false">X4885+ROW()*0.000000001</f>
        <v>47.532504885</v>
      </c>
    </row>
    <row r="4886" customFormat="false" ht="15" hidden="false" customHeight="false" outlineLevel="0" collapsed="false">
      <c r="A4886" s="0" t="n">
        <v>16</v>
      </c>
      <c r="B4886" s="0" t="n">
        <v>15</v>
      </c>
      <c r="C4886" s="0" t="n">
        <v>2</v>
      </c>
      <c r="D4886" s="0" t="n">
        <f aca="false">-1+A4886*0.125</f>
        <v>1</v>
      </c>
      <c r="E4886" s="0" t="n">
        <f aca="false">-1+B4886*0.125</f>
        <v>0.875</v>
      </c>
      <c r="F4886" s="0" t="n">
        <f aca="false">-1+C4886*0.125</f>
        <v>-0.75</v>
      </c>
      <c r="G4886" s="0" t="n">
        <f aca="false">1</f>
        <v>1</v>
      </c>
      <c r="H4886" s="0" t="n">
        <f aca="false">D4886</f>
        <v>1</v>
      </c>
      <c r="I4886" s="0" t="n">
        <f aca="false">E4886</f>
        <v>0.875</v>
      </c>
      <c r="J4886" s="0" t="n">
        <f aca="false">F4886</f>
        <v>-0.75</v>
      </c>
      <c r="K4886" s="0" t="n">
        <f aca="false">D4886*E4886</f>
        <v>0.875</v>
      </c>
      <c r="L4886" s="0" t="n">
        <f aca="false">D4886*F4886</f>
        <v>-0.75</v>
      </c>
      <c r="M4886" s="0" t="n">
        <f aca="false">E4886*F4886</f>
        <v>-0.65625</v>
      </c>
      <c r="N4886" s="0" t="n">
        <f aca="false">D4886*D4886</f>
        <v>1</v>
      </c>
      <c r="O4886" s="0" t="n">
        <f aca="false">E4886*E4886</f>
        <v>0.765625</v>
      </c>
      <c r="P4886" s="0" t="n">
        <f aca="false">F4886*F4886</f>
        <v>0.5625</v>
      </c>
      <c r="Q4886" s="0" t="n">
        <f aca="false">SUMPRODUCT(G4886:P4886,_XtX!$B$71:$K$71)</f>
        <v>47.9746022727273</v>
      </c>
      <c r="R4886" s="0" t="n">
        <f aca="false">SUMPRODUCT(MMULT(G4886:P4886,_XtX!$B$58:$K$67),G4886:P4886)</f>
        <v>0.571375621448864</v>
      </c>
      <c r="S4886" s="0" t="n">
        <f aca="false">04_回帰ANOVA!$K$19*04_回帰ANOVA!$K$14*SQRT(1+R4886)</f>
        <v>1.16548487437682</v>
      </c>
      <c r="T4886" s="0" t="n">
        <f aca="false">Q4886-S4886</f>
        <v>46.8091173983505</v>
      </c>
      <c r="U4886" s="0" t="n">
        <f aca="false">Q4886+S4886</f>
        <v>49.1400871471041</v>
      </c>
      <c r="V4886" s="54" t="b">
        <f aca="false">AND(D4886&gt;=01_因子設定!$L$5-0.000000001,D4886&lt;=01_因子設定!$M$5+0.000000001,E4886&gt;=01_因子設定!$L$6-0.000000001,E4886&lt;=01_因子設定!$M$6+0.000000001,F4886&gt;=01_因子設定!$L$7-0.000000001,F4886&lt;=01_因子設定!$M$7+0.000000001,IF(01_因子設定!$B$20="Box-Behnken",D4886^2+E4886^2+F4886^2&lt;=2+0.000000001,TRUE()))</f>
        <v>1</v>
      </c>
      <c r="W4886" s="55" t="n">
        <f aca="false">IF(V4886,IF(01_因子設定!$B$13="最大化",T4886-01_因子設定!$B$14,IF(01_因子設定!$B$13="最小化",01_因子設定!$B$15-U4886,MIN(T4886-01_因子設定!$B$14,01_因子設定!$B$15-U4886))),-1E+030)</f>
        <v>-1.69088260164954</v>
      </c>
      <c r="X4886" s="55" t="n">
        <f aca="false">IF(V4886,IF(01_因子設定!$B$13="最大化",Q4886,IF(01_因子設定!$B$13="最小化",-Q4886,-ABS(Q4886-01_因子設定!$B$16))),-1E+030)</f>
        <v>47.9746022727273</v>
      </c>
      <c r="Y4886" s="55" t="n">
        <f aca="false">W4886+ROW()*0.000000001</f>
        <v>-1.69087771564954</v>
      </c>
      <c r="Z4886" s="55" t="n">
        <f aca="false">X4886+ROW()*0.000000001</f>
        <v>47.9746071587273</v>
      </c>
    </row>
    <row r="4887" customFormat="false" ht="15" hidden="false" customHeight="false" outlineLevel="0" collapsed="false">
      <c r="A4887" s="0" t="n">
        <v>16</v>
      </c>
      <c r="B4887" s="0" t="n">
        <v>15</v>
      </c>
      <c r="C4887" s="0" t="n">
        <v>3</v>
      </c>
      <c r="D4887" s="0" t="n">
        <f aca="false">-1+A4887*0.125</f>
        <v>1</v>
      </c>
      <c r="E4887" s="0" t="n">
        <f aca="false">-1+B4887*0.125</f>
        <v>0.875</v>
      </c>
      <c r="F4887" s="0" t="n">
        <f aca="false">-1+C4887*0.125</f>
        <v>-0.625</v>
      </c>
      <c r="G4887" s="0" t="n">
        <f aca="false">1</f>
        <v>1</v>
      </c>
      <c r="H4887" s="0" t="n">
        <f aca="false">D4887</f>
        <v>1</v>
      </c>
      <c r="I4887" s="0" t="n">
        <f aca="false">E4887</f>
        <v>0.875</v>
      </c>
      <c r="J4887" s="0" t="n">
        <f aca="false">F4887</f>
        <v>-0.625</v>
      </c>
      <c r="K4887" s="0" t="n">
        <f aca="false">D4887*E4887</f>
        <v>0.875</v>
      </c>
      <c r="L4887" s="0" t="n">
        <f aca="false">D4887*F4887</f>
        <v>-0.625</v>
      </c>
      <c r="M4887" s="0" t="n">
        <f aca="false">E4887*F4887</f>
        <v>-0.546875</v>
      </c>
      <c r="N4887" s="0" t="n">
        <f aca="false">D4887*D4887</f>
        <v>1</v>
      </c>
      <c r="O4887" s="0" t="n">
        <f aca="false">E4887*E4887</f>
        <v>0.765625</v>
      </c>
      <c r="P4887" s="0" t="n">
        <f aca="false">F4887*F4887</f>
        <v>0.390625</v>
      </c>
      <c r="Q4887" s="0" t="n">
        <f aca="false">SUMPRODUCT(G4887:P4887,_XtX!$B$71:$K$71)</f>
        <v>48.3799147727273</v>
      </c>
      <c r="R4887" s="0" t="n">
        <f aca="false">SUMPRODUCT(MMULT(G4887:P4887,_XtX!$B$58:$K$67),G4887:P4887)</f>
        <v>0.555073131214489</v>
      </c>
      <c r="S4887" s="0" t="n">
        <f aca="false">04_回帰ANOVA!$K$19*04_回帰ANOVA!$K$14*SQRT(1+R4887)</f>
        <v>1.15942335628341</v>
      </c>
      <c r="T4887" s="0" t="n">
        <f aca="false">Q4887-S4887</f>
        <v>47.2204914164439</v>
      </c>
      <c r="U4887" s="0" t="n">
        <f aca="false">Q4887+S4887</f>
        <v>49.5393381290107</v>
      </c>
      <c r="V4887" s="54" t="b">
        <f aca="false">AND(D4887&gt;=01_因子設定!$L$5-0.000000001,D4887&lt;=01_因子設定!$M$5+0.000000001,E4887&gt;=01_因子設定!$L$6-0.000000001,E4887&lt;=01_因子設定!$M$6+0.000000001,F4887&gt;=01_因子設定!$L$7-0.000000001,F4887&lt;=01_因子設定!$M$7+0.000000001,IF(01_因子設定!$B$20="Box-Behnken",D4887^2+E4887^2+F4887^2&lt;=2+0.000000001,TRUE()))</f>
        <v>1</v>
      </c>
      <c r="W4887" s="55" t="n">
        <f aca="false">IF(V4887,IF(01_因子設定!$B$13="最大化",T4887-01_因子設定!$B$14,IF(01_因子設定!$B$13="最小化",01_因子設定!$B$15-U4887,MIN(T4887-01_因子設定!$B$14,01_因子設定!$B$15-U4887))),-1E+030)</f>
        <v>-1.27950858355614</v>
      </c>
      <c r="X4887" s="55" t="n">
        <f aca="false">IF(V4887,IF(01_因子設定!$B$13="最大化",Q4887,IF(01_因子設定!$B$13="最小化",-Q4887,-ABS(Q4887-01_因子設定!$B$16))),-1E+030)</f>
        <v>48.3799147727273</v>
      </c>
      <c r="Y4887" s="55" t="n">
        <f aca="false">W4887+ROW()*0.000000001</f>
        <v>-1.27950369655614</v>
      </c>
      <c r="Z4887" s="55" t="n">
        <f aca="false">X4887+ROW()*0.000000001</f>
        <v>48.3799196597273</v>
      </c>
    </row>
    <row r="4888" customFormat="false" ht="15" hidden="false" customHeight="false" outlineLevel="0" collapsed="false">
      <c r="A4888" s="0" t="n">
        <v>16</v>
      </c>
      <c r="B4888" s="0" t="n">
        <v>15</v>
      </c>
      <c r="C4888" s="0" t="n">
        <v>4</v>
      </c>
      <c r="D4888" s="0" t="n">
        <f aca="false">-1+A4888*0.125</f>
        <v>1</v>
      </c>
      <c r="E4888" s="0" t="n">
        <f aca="false">-1+B4888*0.125</f>
        <v>0.875</v>
      </c>
      <c r="F4888" s="0" t="n">
        <f aca="false">-1+C4888*0.125</f>
        <v>-0.5</v>
      </c>
      <c r="G4888" s="0" t="n">
        <f aca="false">1</f>
        <v>1</v>
      </c>
      <c r="H4888" s="0" t="n">
        <f aca="false">D4888</f>
        <v>1</v>
      </c>
      <c r="I4888" s="0" t="n">
        <f aca="false">E4888</f>
        <v>0.875</v>
      </c>
      <c r="J4888" s="0" t="n">
        <f aca="false">F4888</f>
        <v>-0.5</v>
      </c>
      <c r="K4888" s="0" t="n">
        <f aca="false">D4888*E4888</f>
        <v>0.875</v>
      </c>
      <c r="L4888" s="0" t="n">
        <f aca="false">D4888*F4888</f>
        <v>-0.5</v>
      </c>
      <c r="M4888" s="0" t="n">
        <f aca="false">E4888*F4888</f>
        <v>-0.4375</v>
      </c>
      <c r="N4888" s="0" t="n">
        <f aca="false">D4888*D4888</f>
        <v>1</v>
      </c>
      <c r="O4888" s="0" t="n">
        <f aca="false">E4888*E4888</f>
        <v>0.765625</v>
      </c>
      <c r="P4888" s="0" t="n">
        <f aca="false">F4888*F4888</f>
        <v>0.25</v>
      </c>
      <c r="Q4888" s="0" t="n">
        <f aca="false">SUMPRODUCT(G4888:P4888,_XtX!$B$71:$K$71)</f>
        <v>48.7484375</v>
      </c>
      <c r="R4888" s="0" t="n">
        <f aca="false">SUMPRODUCT(MMULT(G4888:P4888,_XtX!$B$58:$K$67),G4888:P4888)</f>
        <v>0.55771484375</v>
      </c>
      <c r="S4888" s="0" t="n">
        <f aca="false">04_回帰ANOVA!$K$19*04_回帰ANOVA!$K$14*SQRT(1+R4888)</f>
        <v>1.16040773556467</v>
      </c>
      <c r="T4888" s="0" t="n">
        <f aca="false">Q4888-S4888</f>
        <v>47.5880297644353</v>
      </c>
      <c r="U4888" s="0" t="n">
        <f aca="false">Q4888+S4888</f>
        <v>49.9088452355647</v>
      </c>
      <c r="V4888" s="54" t="b">
        <f aca="false">AND(D4888&gt;=01_因子設定!$L$5-0.000000001,D4888&lt;=01_因子設定!$M$5+0.000000001,E4888&gt;=01_因子設定!$L$6-0.000000001,E4888&lt;=01_因子設定!$M$6+0.000000001,F4888&gt;=01_因子設定!$L$7-0.000000001,F4888&lt;=01_因子設定!$M$7+0.000000001,IF(01_因子設定!$B$20="Box-Behnken",D4888^2+E4888^2+F4888^2&lt;=2+0.000000001,TRUE()))</f>
        <v>1</v>
      </c>
      <c r="W4888" s="55" t="n">
        <f aca="false">IF(V4888,IF(01_因子設定!$B$13="最大化",T4888-01_因子設定!$B$14,IF(01_因子設定!$B$13="最小化",01_因子設定!$B$15-U4888,MIN(T4888-01_因子設定!$B$14,01_因子設定!$B$15-U4888))),-1E+030)</f>
        <v>-0.911970235564681</v>
      </c>
      <c r="X4888" s="55" t="n">
        <f aca="false">IF(V4888,IF(01_因子設定!$B$13="最大化",Q4888,IF(01_因子設定!$B$13="最小化",-Q4888,-ABS(Q4888-01_因子設定!$B$16))),-1E+030)</f>
        <v>48.7484375</v>
      </c>
      <c r="Y4888" s="55" t="n">
        <f aca="false">W4888+ROW()*0.000000001</f>
        <v>-0.911965347564681</v>
      </c>
      <c r="Z4888" s="55" t="n">
        <f aca="false">X4888+ROW()*0.000000001</f>
        <v>48.748442388</v>
      </c>
    </row>
    <row r="4889" customFormat="false" ht="15" hidden="false" customHeight="false" outlineLevel="0" collapsed="false">
      <c r="A4889" s="0" t="n">
        <v>16</v>
      </c>
      <c r="B4889" s="0" t="n">
        <v>15</v>
      </c>
      <c r="C4889" s="0" t="n">
        <v>5</v>
      </c>
      <c r="D4889" s="0" t="n">
        <f aca="false">-1+A4889*0.125</f>
        <v>1</v>
      </c>
      <c r="E4889" s="0" t="n">
        <f aca="false">-1+B4889*0.125</f>
        <v>0.875</v>
      </c>
      <c r="F4889" s="0" t="n">
        <f aca="false">-1+C4889*0.125</f>
        <v>-0.375</v>
      </c>
      <c r="G4889" s="0" t="n">
        <f aca="false">1</f>
        <v>1</v>
      </c>
      <c r="H4889" s="0" t="n">
        <f aca="false">D4889</f>
        <v>1</v>
      </c>
      <c r="I4889" s="0" t="n">
        <f aca="false">E4889</f>
        <v>0.875</v>
      </c>
      <c r="J4889" s="0" t="n">
        <f aca="false">F4889</f>
        <v>-0.375</v>
      </c>
      <c r="K4889" s="0" t="n">
        <f aca="false">D4889*E4889</f>
        <v>0.875</v>
      </c>
      <c r="L4889" s="0" t="n">
        <f aca="false">D4889*F4889</f>
        <v>-0.375</v>
      </c>
      <c r="M4889" s="0" t="n">
        <f aca="false">E4889*F4889</f>
        <v>-0.328125</v>
      </c>
      <c r="N4889" s="0" t="n">
        <f aca="false">D4889*D4889</f>
        <v>1</v>
      </c>
      <c r="O4889" s="0" t="n">
        <f aca="false">E4889*E4889</f>
        <v>0.765625</v>
      </c>
      <c r="P4889" s="0" t="n">
        <f aca="false">F4889*F4889</f>
        <v>0.140625</v>
      </c>
      <c r="Q4889" s="0" t="n">
        <f aca="false">SUMPRODUCT(G4889:P4889,_XtX!$B$71:$K$71)</f>
        <v>49.0801704545454</v>
      </c>
      <c r="R4889" s="0" t="n">
        <f aca="false">SUMPRODUCT(MMULT(G4889:P4889,_XtX!$B$58:$K$67),G4889:P4889)</f>
        <v>0.56971269087358</v>
      </c>
      <c r="S4889" s="0" t="n">
        <f aca="false">04_回帰ANOVA!$K$19*04_回帰ANOVA!$K$14*SQRT(1+R4889)</f>
        <v>1.16486801567081</v>
      </c>
      <c r="T4889" s="0" t="n">
        <f aca="false">Q4889-S4889</f>
        <v>47.9153024388746</v>
      </c>
      <c r="U4889" s="0" t="n">
        <f aca="false">Q4889+S4889</f>
        <v>50.2450384702163</v>
      </c>
      <c r="V4889" s="54" t="b">
        <f aca="false">AND(D4889&gt;=01_因子設定!$L$5-0.000000001,D4889&lt;=01_因子設定!$M$5+0.000000001,E4889&gt;=01_因子設定!$L$6-0.000000001,E4889&lt;=01_因子設定!$M$6+0.000000001,F4889&gt;=01_因子設定!$L$7-0.000000001,F4889&lt;=01_因子設定!$M$7+0.000000001,IF(01_因子設定!$B$20="Box-Behnken",D4889^2+E4889^2+F4889^2&lt;=2+0.000000001,TRUE()))</f>
        <v>1</v>
      </c>
      <c r="W4889" s="55" t="n">
        <f aca="false">IF(V4889,IF(01_因子設定!$B$13="最大化",T4889-01_因子設定!$B$14,IF(01_因子設定!$B$13="最小化",01_因子設定!$B$15-U4889,MIN(T4889-01_因子設定!$B$14,01_因子設定!$B$15-U4889))),-1E+030)</f>
        <v>-0.58469756112536</v>
      </c>
      <c r="X4889" s="55" t="n">
        <f aca="false">IF(V4889,IF(01_因子設定!$B$13="最大化",Q4889,IF(01_因子設定!$B$13="最小化",-Q4889,-ABS(Q4889-01_因子設定!$B$16))),-1E+030)</f>
        <v>49.0801704545454</v>
      </c>
      <c r="Y4889" s="55" t="n">
        <f aca="false">W4889+ROW()*0.000000001</f>
        <v>-0.58469267212536</v>
      </c>
      <c r="Z4889" s="55" t="n">
        <f aca="false">X4889+ROW()*0.000000001</f>
        <v>49.0801753435455</v>
      </c>
    </row>
    <row r="4890" customFormat="false" ht="15" hidden="false" customHeight="false" outlineLevel="0" collapsed="false">
      <c r="A4890" s="0" t="n">
        <v>16</v>
      </c>
      <c r="B4890" s="0" t="n">
        <v>15</v>
      </c>
      <c r="C4890" s="0" t="n">
        <v>6</v>
      </c>
      <c r="D4890" s="0" t="n">
        <f aca="false">-1+A4890*0.125</f>
        <v>1</v>
      </c>
      <c r="E4890" s="0" t="n">
        <f aca="false">-1+B4890*0.125</f>
        <v>0.875</v>
      </c>
      <c r="F4890" s="0" t="n">
        <f aca="false">-1+C4890*0.125</f>
        <v>-0.25</v>
      </c>
      <c r="G4890" s="0" t="n">
        <f aca="false">1</f>
        <v>1</v>
      </c>
      <c r="H4890" s="0" t="n">
        <f aca="false">D4890</f>
        <v>1</v>
      </c>
      <c r="I4890" s="0" t="n">
        <f aca="false">E4890</f>
        <v>0.875</v>
      </c>
      <c r="J4890" s="0" t="n">
        <f aca="false">F4890</f>
        <v>-0.25</v>
      </c>
      <c r="K4890" s="0" t="n">
        <f aca="false">D4890*E4890</f>
        <v>0.875</v>
      </c>
      <c r="L4890" s="0" t="n">
        <f aca="false">D4890*F4890</f>
        <v>-0.25</v>
      </c>
      <c r="M4890" s="0" t="n">
        <f aca="false">E4890*F4890</f>
        <v>-0.21875</v>
      </c>
      <c r="N4890" s="0" t="n">
        <f aca="false">D4890*D4890</f>
        <v>1</v>
      </c>
      <c r="O4890" s="0" t="n">
        <f aca="false">E4890*E4890</f>
        <v>0.765625</v>
      </c>
      <c r="P4890" s="0" t="n">
        <f aca="false">F4890*F4890</f>
        <v>0.0625</v>
      </c>
      <c r="Q4890" s="0" t="n">
        <f aca="false">SUMPRODUCT(G4890:P4890,_XtX!$B$71:$K$71)</f>
        <v>49.3751136363636</v>
      </c>
      <c r="R4890" s="0" t="n">
        <f aca="false">SUMPRODUCT(MMULT(G4890:P4890,_XtX!$B$58:$K$67),G4890:P4890)</f>
        <v>0.583609286221591</v>
      </c>
      <c r="S4890" s="0" t="n">
        <f aca="false">04_回帰ANOVA!$K$19*04_回帰ANOVA!$K$14*SQRT(1+R4890)</f>
        <v>1.1700129157584</v>
      </c>
      <c r="T4890" s="0" t="n">
        <f aca="false">Q4890-S4890</f>
        <v>48.2051007206052</v>
      </c>
      <c r="U4890" s="0" t="n">
        <f aca="false">Q4890+S4890</f>
        <v>50.545126552122</v>
      </c>
      <c r="V4890" s="54" t="b">
        <f aca="false">AND(D4890&gt;=01_因子設定!$L$5-0.000000001,D4890&lt;=01_因子設定!$M$5+0.000000001,E4890&gt;=01_因子設定!$L$6-0.000000001,E4890&lt;=01_因子設定!$M$6+0.000000001,F4890&gt;=01_因子設定!$L$7-0.000000001,F4890&lt;=01_因子設定!$M$7+0.000000001,IF(01_因子設定!$B$20="Box-Behnken",D4890^2+E4890^2+F4890^2&lt;=2+0.000000001,TRUE()))</f>
        <v>1</v>
      </c>
      <c r="W4890" s="55" t="n">
        <f aca="false">IF(V4890,IF(01_因子設定!$B$13="最大化",T4890-01_因子設定!$B$14,IF(01_因子設定!$B$13="最小化",01_因子設定!$B$15-U4890,MIN(T4890-01_因子設定!$B$14,01_因子設定!$B$15-U4890))),-1E+030)</f>
        <v>-0.294899279394762</v>
      </c>
      <c r="X4890" s="55" t="n">
        <f aca="false">IF(V4890,IF(01_因子設定!$B$13="最大化",Q4890,IF(01_因子設定!$B$13="最小化",-Q4890,-ABS(Q4890-01_因子設定!$B$16))),-1E+030)</f>
        <v>49.3751136363636</v>
      </c>
      <c r="Y4890" s="55" t="n">
        <f aca="false">W4890+ROW()*0.000000001</f>
        <v>-0.294894389394763</v>
      </c>
      <c r="Z4890" s="55" t="n">
        <f aca="false">X4890+ROW()*0.000000001</f>
        <v>49.3751185263636</v>
      </c>
    </row>
    <row r="4891" customFormat="false" ht="15" hidden="false" customHeight="false" outlineLevel="0" collapsed="false">
      <c r="A4891" s="0" t="n">
        <v>16</v>
      </c>
      <c r="B4891" s="0" t="n">
        <v>15</v>
      </c>
      <c r="C4891" s="0" t="n">
        <v>7</v>
      </c>
      <c r="D4891" s="0" t="n">
        <f aca="false">-1+A4891*0.125</f>
        <v>1</v>
      </c>
      <c r="E4891" s="0" t="n">
        <f aca="false">-1+B4891*0.125</f>
        <v>0.875</v>
      </c>
      <c r="F4891" s="0" t="n">
        <f aca="false">-1+C4891*0.125</f>
        <v>-0.125</v>
      </c>
      <c r="G4891" s="0" t="n">
        <f aca="false">1</f>
        <v>1</v>
      </c>
      <c r="H4891" s="0" t="n">
        <f aca="false">D4891</f>
        <v>1</v>
      </c>
      <c r="I4891" s="0" t="n">
        <f aca="false">E4891</f>
        <v>0.875</v>
      </c>
      <c r="J4891" s="0" t="n">
        <f aca="false">F4891</f>
        <v>-0.125</v>
      </c>
      <c r="K4891" s="0" t="n">
        <f aca="false">D4891*E4891</f>
        <v>0.875</v>
      </c>
      <c r="L4891" s="0" t="n">
        <f aca="false">D4891*F4891</f>
        <v>-0.125</v>
      </c>
      <c r="M4891" s="0" t="n">
        <f aca="false">E4891*F4891</f>
        <v>-0.109375</v>
      </c>
      <c r="N4891" s="0" t="n">
        <f aca="false">D4891*D4891</f>
        <v>1</v>
      </c>
      <c r="O4891" s="0" t="n">
        <f aca="false">E4891*E4891</f>
        <v>0.765625</v>
      </c>
      <c r="P4891" s="0" t="n">
        <f aca="false">F4891*F4891</f>
        <v>0.015625</v>
      </c>
      <c r="Q4891" s="0" t="n">
        <f aca="false">SUMPRODUCT(G4891:P4891,_XtX!$B$71:$K$71)</f>
        <v>49.6332670454545</v>
      </c>
      <c r="R4891" s="0" t="n">
        <f aca="false">SUMPRODUCT(MMULT(G4891:P4891,_XtX!$B$58:$K$67),G4891:P4891)</f>
        <v>0.59407792524858</v>
      </c>
      <c r="S4891" s="0" t="n">
        <f aca="false">04_回帰ANOVA!$K$19*04_回帰ANOVA!$K$14*SQRT(1+R4891)</f>
        <v>1.17387380087722</v>
      </c>
      <c r="T4891" s="0" t="n">
        <f aca="false">Q4891-S4891</f>
        <v>48.4593932445773</v>
      </c>
      <c r="U4891" s="0" t="n">
        <f aca="false">Q4891+S4891</f>
        <v>50.8071408463318</v>
      </c>
      <c r="V4891" s="54" t="b">
        <f aca="false">AND(D4891&gt;=01_因子設定!$L$5-0.000000001,D4891&lt;=01_因子設定!$M$5+0.000000001,E4891&gt;=01_因子設定!$L$6-0.000000001,E4891&lt;=01_因子設定!$M$6+0.000000001,F4891&gt;=01_因子設定!$L$7-0.000000001,F4891&lt;=01_因子設定!$M$7+0.000000001,IF(01_因子設定!$B$20="Box-Behnken",D4891^2+E4891^2+F4891^2&lt;=2+0.000000001,TRUE()))</f>
        <v>1</v>
      </c>
      <c r="W4891" s="55" t="n">
        <f aca="false">IF(V4891,IF(01_因子設定!$B$13="最大化",T4891-01_因子設定!$B$14,IF(01_因子設定!$B$13="最小化",01_因子設定!$B$15-U4891,MIN(T4891-01_因子設定!$B$14,01_因子設定!$B$15-U4891))),-1E+030)</f>
        <v>-0.0406067554226794</v>
      </c>
      <c r="X4891" s="55" t="n">
        <f aca="false">IF(V4891,IF(01_因子設定!$B$13="最大化",Q4891,IF(01_因子設定!$B$13="最小化",-Q4891,-ABS(Q4891-01_因子設定!$B$16))),-1E+030)</f>
        <v>49.6332670454545</v>
      </c>
      <c r="Y4891" s="55" t="n">
        <f aca="false">W4891+ROW()*0.000000001</f>
        <v>-0.0406018644226794</v>
      </c>
      <c r="Z4891" s="55" t="n">
        <f aca="false">X4891+ROW()*0.000000001</f>
        <v>49.6332719364545</v>
      </c>
    </row>
    <row r="4892" customFormat="false" ht="15" hidden="false" customHeight="false" outlineLevel="0" collapsed="false">
      <c r="A4892" s="0" t="n">
        <v>16</v>
      </c>
      <c r="B4892" s="0" t="n">
        <v>15</v>
      </c>
      <c r="C4892" s="0" t="n">
        <v>8</v>
      </c>
      <c r="D4892" s="0" t="n">
        <f aca="false">-1+A4892*0.125</f>
        <v>1</v>
      </c>
      <c r="E4892" s="0" t="n">
        <f aca="false">-1+B4892*0.125</f>
        <v>0.875</v>
      </c>
      <c r="F4892" s="0" t="n">
        <f aca="false">-1+C4892*0.125</f>
        <v>0</v>
      </c>
      <c r="G4892" s="0" t="n">
        <f aca="false">1</f>
        <v>1</v>
      </c>
      <c r="H4892" s="0" t="n">
        <f aca="false">D4892</f>
        <v>1</v>
      </c>
      <c r="I4892" s="0" t="n">
        <f aca="false">E4892</f>
        <v>0.875</v>
      </c>
      <c r="J4892" s="0" t="n">
        <f aca="false">F4892</f>
        <v>0</v>
      </c>
      <c r="K4892" s="0" t="n">
        <f aca="false">D4892*E4892</f>
        <v>0.875</v>
      </c>
      <c r="L4892" s="0" t="n">
        <f aca="false">D4892*F4892</f>
        <v>0</v>
      </c>
      <c r="M4892" s="0" t="n">
        <f aca="false">E4892*F4892</f>
        <v>0</v>
      </c>
      <c r="N4892" s="0" t="n">
        <f aca="false">D4892*D4892</f>
        <v>1</v>
      </c>
      <c r="O4892" s="0" t="n">
        <f aca="false">E4892*E4892</f>
        <v>0.765625</v>
      </c>
      <c r="P4892" s="0" t="n">
        <f aca="false">F4892*F4892</f>
        <v>0</v>
      </c>
      <c r="Q4892" s="0" t="n">
        <f aca="false">SUMPRODUCT(G4892:P4892,_XtX!$B$71:$K$71)</f>
        <v>49.8546306818182</v>
      </c>
      <c r="R4892" s="0" t="n">
        <f aca="false">SUMPRODUCT(MMULT(G4892:P4892,_XtX!$B$58:$K$67),G4892:P4892)</f>
        <v>0.597922585227273</v>
      </c>
      <c r="S4892" s="0" t="n">
        <f aca="false">04_回帰ANOVA!$K$19*04_回帰ANOVA!$K$14*SQRT(1+R4892)</f>
        <v>1.17528854591003</v>
      </c>
      <c r="T4892" s="0" t="n">
        <f aca="false">Q4892-S4892</f>
        <v>48.6793421359081</v>
      </c>
      <c r="U4892" s="0" t="n">
        <f aca="false">Q4892+S4892</f>
        <v>51.0299192277282</v>
      </c>
      <c r="V4892" s="54" t="b">
        <f aca="false">AND(D4892&gt;=01_因子設定!$L$5-0.000000001,D4892&lt;=01_因子設定!$M$5+0.000000001,E4892&gt;=01_因子設定!$L$6-0.000000001,E4892&lt;=01_因子設定!$M$6+0.000000001,F4892&gt;=01_因子設定!$L$7-0.000000001,F4892&lt;=01_因子設定!$M$7+0.000000001,IF(01_因子設定!$B$20="Box-Behnken",D4892^2+E4892^2+F4892^2&lt;=2+0.000000001,TRUE()))</f>
        <v>1</v>
      </c>
      <c r="W4892" s="55" t="n">
        <f aca="false">IF(V4892,IF(01_因子設定!$B$13="最大化",T4892-01_因子設定!$B$14,IF(01_因子設定!$B$13="最小化",01_因子設定!$B$15-U4892,MIN(T4892-01_因子設定!$B$14,01_因子設定!$B$15-U4892))),-1E+030)</f>
        <v>0.179342135908144</v>
      </c>
      <c r="X4892" s="55" t="n">
        <f aca="false">IF(V4892,IF(01_因子設定!$B$13="最大化",Q4892,IF(01_因子設定!$B$13="最小化",-Q4892,-ABS(Q4892-01_因子設定!$B$16))),-1E+030)</f>
        <v>49.8546306818182</v>
      </c>
      <c r="Y4892" s="55" t="n">
        <f aca="false">W4892+ROW()*0.000000001</f>
        <v>0.179347027908144</v>
      </c>
      <c r="Z4892" s="55" t="n">
        <f aca="false">X4892+ROW()*0.000000001</f>
        <v>49.8546355738182</v>
      </c>
    </row>
    <row r="4893" customFormat="false" ht="15" hidden="false" customHeight="false" outlineLevel="0" collapsed="false">
      <c r="A4893" s="0" t="n">
        <v>16</v>
      </c>
      <c r="B4893" s="0" t="n">
        <v>15</v>
      </c>
      <c r="C4893" s="0" t="n">
        <v>9</v>
      </c>
      <c r="D4893" s="0" t="n">
        <f aca="false">-1+A4893*0.125</f>
        <v>1</v>
      </c>
      <c r="E4893" s="0" t="n">
        <f aca="false">-1+B4893*0.125</f>
        <v>0.875</v>
      </c>
      <c r="F4893" s="0" t="n">
        <f aca="false">-1+C4893*0.125</f>
        <v>0.125</v>
      </c>
      <c r="G4893" s="0" t="n">
        <f aca="false">1</f>
        <v>1</v>
      </c>
      <c r="H4893" s="0" t="n">
        <f aca="false">D4893</f>
        <v>1</v>
      </c>
      <c r="I4893" s="0" t="n">
        <f aca="false">E4893</f>
        <v>0.875</v>
      </c>
      <c r="J4893" s="0" t="n">
        <f aca="false">F4893</f>
        <v>0.125</v>
      </c>
      <c r="K4893" s="0" t="n">
        <f aca="false">D4893*E4893</f>
        <v>0.875</v>
      </c>
      <c r="L4893" s="0" t="n">
        <f aca="false">D4893*F4893</f>
        <v>0.125</v>
      </c>
      <c r="M4893" s="0" t="n">
        <f aca="false">E4893*F4893</f>
        <v>0.109375</v>
      </c>
      <c r="N4893" s="0" t="n">
        <f aca="false">D4893*D4893</f>
        <v>1</v>
      </c>
      <c r="O4893" s="0" t="n">
        <f aca="false">E4893*E4893</f>
        <v>0.765625</v>
      </c>
      <c r="P4893" s="0" t="n">
        <f aca="false">F4893*F4893</f>
        <v>0.015625</v>
      </c>
      <c r="Q4893" s="0" t="n">
        <f aca="false">SUMPRODUCT(G4893:P4893,_XtX!$B$71:$K$71)</f>
        <v>50.0392045454545</v>
      </c>
      <c r="R4893" s="0" t="n">
        <f aca="false">SUMPRODUCT(MMULT(G4893:P4893,_XtX!$B$58:$K$67),G4893:P4893)</f>
        <v>0.59407792524858</v>
      </c>
      <c r="S4893" s="0" t="n">
        <f aca="false">04_回帰ANOVA!$K$19*04_回帰ANOVA!$K$14*SQRT(1+R4893)</f>
        <v>1.17387380087722</v>
      </c>
      <c r="T4893" s="0" t="n">
        <f aca="false">Q4893-S4893</f>
        <v>48.8653307445773</v>
      </c>
      <c r="U4893" s="0" t="n">
        <f aca="false">Q4893+S4893</f>
        <v>51.2130783463318</v>
      </c>
      <c r="V4893" s="54" t="b">
        <f aca="false">AND(D4893&gt;=01_因子設定!$L$5-0.000000001,D4893&lt;=01_因子設定!$M$5+0.000000001,E4893&gt;=01_因子設定!$L$6-0.000000001,E4893&lt;=01_因子設定!$M$6+0.000000001,F4893&gt;=01_因子設定!$L$7-0.000000001,F4893&lt;=01_因子設定!$M$7+0.000000001,IF(01_因子設定!$B$20="Box-Behnken",D4893^2+E4893^2+F4893^2&lt;=2+0.000000001,TRUE()))</f>
        <v>1</v>
      </c>
      <c r="W4893" s="55" t="n">
        <f aca="false">IF(V4893,IF(01_因子設定!$B$13="最大化",T4893-01_因子設定!$B$14,IF(01_因子設定!$B$13="最小化",01_因子設定!$B$15-U4893,MIN(T4893-01_因子設定!$B$14,01_因子設定!$B$15-U4893))),-1E+030)</f>
        <v>0.365330744577321</v>
      </c>
      <c r="X4893" s="55" t="n">
        <f aca="false">IF(V4893,IF(01_因子設定!$B$13="最大化",Q4893,IF(01_因子設定!$B$13="最小化",-Q4893,-ABS(Q4893-01_因子設定!$B$16))),-1E+030)</f>
        <v>50.0392045454545</v>
      </c>
      <c r="Y4893" s="55" t="n">
        <f aca="false">W4893+ROW()*0.000000001</f>
        <v>0.365335637577321</v>
      </c>
      <c r="Z4893" s="55" t="n">
        <f aca="false">X4893+ROW()*0.000000001</f>
        <v>50.0392094384545</v>
      </c>
    </row>
    <row r="4894" customFormat="false" ht="15" hidden="false" customHeight="false" outlineLevel="0" collapsed="false">
      <c r="A4894" s="0" t="n">
        <v>16</v>
      </c>
      <c r="B4894" s="0" t="n">
        <v>15</v>
      </c>
      <c r="C4894" s="0" t="n">
        <v>10</v>
      </c>
      <c r="D4894" s="0" t="n">
        <f aca="false">-1+A4894*0.125</f>
        <v>1</v>
      </c>
      <c r="E4894" s="0" t="n">
        <f aca="false">-1+B4894*0.125</f>
        <v>0.875</v>
      </c>
      <c r="F4894" s="0" t="n">
        <f aca="false">-1+C4894*0.125</f>
        <v>0.25</v>
      </c>
      <c r="G4894" s="0" t="n">
        <f aca="false">1</f>
        <v>1</v>
      </c>
      <c r="H4894" s="0" t="n">
        <f aca="false">D4894</f>
        <v>1</v>
      </c>
      <c r="I4894" s="0" t="n">
        <f aca="false">E4894</f>
        <v>0.875</v>
      </c>
      <c r="J4894" s="0" t="n">
        <f aca="false">F4894</f>
        <v>0.25</v>
      </c>
      <c r="K4894" s="0" t="n">
        <f aca="false">D4894*E4894</f>
        <v>0.875</v>
      </c>
      <c r="L4894" s="0" t="n">
        <f aca="false">D4894*F4894</f>
        <v>0.25</v>
      </c>
      <c r="M4894" s="0" t="n">
        <f aca="false">E4894*F4894</f>
        <v>0.21875</v>
      </c>
      <c r="N4894" s="0" t="n">
        <f aca="false">D4894*D4894</f>
        <v>1</v>
      </c>
      <c r="O4894" s="0" t="n">
        <f aca="false">E4894*E4894</f>
        <v>0.765625</v>
      </c>
      <c r="P4894" s="0" t="n">
        <f aca="false">F4894*F4894</f>
        <v>0.0625</v>
      </c>
      <c r="Q4894" s="0" t="n">
        <f aca="false">SUMPRODUCT(G4894:P4894,_XtX!$B$71:$K$71)</f>
        <v>50.1869886363636</v>
      </c>
      <c r="R4894" s="0" t="n">
        <f aca="false">SUMPRODUCT(MMULT(G4894:P4894,_XtX!$B$58:$K$67),G4894:P4894)</f>
        <v>0.583609286221591</v>
      </c>
      <c r="S4894" s="0" t="n">
        <f aca="false">04_回帰ANOVA!$K$19*04_回帰ANOVA!$K$14*SQRT(1+R4894)</f>
        <v>1.1700129157584</v>
      </c>
      <c r="T4894" s="0" t="n">
        <f aca="false">Q4894-S4894</f>
        <v>49.0169757206052</v>
      </c>
      <c r="U4894" s="0" t="n">
        <f aca="false">Q4894+S4894</f>
        <v>51.357001552122</v>
      </c>
      <c r="V4894" s="54" t="b">
        <f aca="false">AND(D4894&gt;=01_因子設定!$L$5-0.000000001,D4894&lt;=01_因子設定!$M$5+0.000000001,E4894&gt;=01_因子設定!$L$6-0.000000001,E4894&lt;=01_因子設定!$M$6+0.000000001,F4894&gt;=01_因子設定!$L$7-0.000000001,F4894&lt;=01_因子設定!$M$7+0.000000001,IF(01_因子設定!$B$20="Box-Behnken",D4894^2+E4894^2+F4894^2&lt;=2+0.000000001,TRUE()))</f>
        <v>1</v>
      </c>
      <c r="W4894" s="55" t="n">
        <f aca="false">IF(V4894,IF(01_因子設定!$B$13="最大化",T4894-01_因子設定!$B$14,IF(01_因子設定!$B$13="最小化",01_因子設定!$B$15-U4894,MIN(T4894-01_因子設定!$B$14,01_因子設定!$B$15-U4894))),-1E+030)</f>
        <v>0.516975720605238</v>
      </c>
      <c r="X4894" s="55" t="n">
        <f aca="false">IF(V4894,IF(01_因子設定!$B$13="最大化",Q4894,IF(01_因子設定!$B$13="最小化",-Q4894,-ABS(Q4894-01_因子設定!$B$16))),-1E+030)</f>
        <v>50.1869886363636</v>
      </c>
      <c r="Y4894" s="55" t="n">
        <f aca="false">W4894+ROW()*0.000000001</f>
        <v>0.516980614605238</v>
      </c>
      <c r="Z4894" s="55" t="n">
        <f aca="false">X4894+ROW()*0.000000001</f>
        <v>50.1869935303636</v>
      </c>
    </row>
    <row r="4895" customFormat="false" ht="15" hidden="false" customHeight="false" outlineLevel="0" collapsed="false">
      <c r="A4895" s="0" t="n">
        <v>16</v>
      </c>
      <c r="B4895" s="0" t="n">
        <v>15</v>
      </c>
      <c r="C4895" s="0" t="n">
        <v>11</v>
      </c>
      <c r="D4895" s="0" t="n">
        <f aca="false">-1+A4895*0.125</f>
        <v>1</v>
      </c>
      <c r="E4895" s="0" t="n">
        <f aca="false">-1+B4895*0.125</f>
        <v>0.875</v>
      </c>
      <c r="F4895" s="0" t="n">
        <f aca="false">-1+C4895*0.125</f>
        <v>0.375</v>
      </c>
      <c r="G4895" s="0" t="n">
        <f aca="false">1</f>
        <v>1</v>
      </c>
      <c r="H4895" s="0" t="n">
        <f aca="false">D4895</f>
        <v>1</v>
      </c>
      <c r="I4895" s="0" t="n">
        <f aca="false">E4895</f>
        <v>0.875</v>
      </c>
      <c r="J4895" s="0" t="n">
        <f aca="false">F4895</f>
        <v>0.375</v>
      </c>
      <c r="K4895" s="0" t="n">
        <f aca="false">D4895*E4895</f>
        <v>0.875</v>
      </c>
      <c r="L4895" s="0" t="n">
        <f aca="false">D4895*F4895</f>
        <v>0.375</v>
      </c>
      <c r="M4895" s="0" t="n">
        <f aca="false">E4895*F4895</f>
        <v>0.328125</v>
      </c>
      <c r="N4895" s="0" t="n">
        <f aca="false">D4895*D4895</f>
        <v>1</v>
      </c>
      <c r="O4895" s="0" t="n">
        <f aca="false">E4895*E4895</f>
        <v>0.765625</v>
      </c>
      <c r="P4895" s="0" t="n">
        <f aca="false">F4895*F4895</f>
        <v>0.140625</v>
      </c>
      <c r="Q4895" s="0" t="n">
        <f aca="false">SUMPRODUCT(G4895:P4895,_XtX!$B$71:$K$71)</f>
        <v>50.2979829545454</v>
      </c>
      <c r="R4895" s="0" t="n">
        <f aca="false">SUMPRODUCT(MMULT(G4895:P4895,_XtX!$B$58:$K$67),G4895:P4895)</f>
        <v>0.56971269087358</v>
      </c>
      <c r="S4895" s="0" t="n">
        <f aca="false">04_回帰ANOVA!$K$19*04_回帰ANOVA!$K$14*SQRT(1+R4895)</f>
        <v>1.16486801567081</v>
      </c>
      <c r="T4895" s="0" t="n">
        <f aca="false">Q4895-S4895</f>
        <v>49.1331149388746</v>
      </c>
      <c r="U4895" s="0" t="n">
        <f aca="false">Q4895+S4895</f>
        <v>51.4628509702163</v>
      </c>
      <c r="V4895" s="54" t="b">
        <f aca="false">AND(D4895&gt;=01_因子設定!$L$5-0.000000001,D4895&lt;=01_因子設定!$M$5+0.000000001,E4895&gt;=01_因子設定!$L$6-0.000000001,E4895&lt;=01_因子設定!$M$6+0.000000001,F4895&gt;=01_因子設定!$L$7-0.000000001,F4895&lt;=01_因子設定!$M$7+0.000000001,IF(01_因子設定!$B$20="Box-Behnken",D4895^2+E4895^2+F4895^2&lt;=2+0.000000001,TRUE()))</f>
        <v>1</v>
      </c>
      <c r="W4895" s="55" t="n">
        <f aca="false">IF(V4895,IF(01_因子設定!$B$13="最大化",T4895-01_因子設定!$B$14,IF(01_因子設定!$B$13="最小化",01_因子設定!$B$15-U4895,MIN(T4895-01_因子設定!$B$14,01_因子設定!$B$15-U4895))),-1E+030)</f>
        <v>0.633114938874641</v>
      </c>
      <c r="X4895" s="55" t="n">
        <f aca="false">IF(V4895,IF(01_因子設定!$B$13="最大化",Q4895,IF(01_因子設定!$B$13="最小化",-Q4895,-ABS(Q4895-01_因子設定!$B$16))),-1E+030)</f>
        <v>50.2979829545454</v>
      </c>
      <c r="Y4895" s="55" t="n">
        <f aca="false">W4895+ROW()*0.000000001</f>
        <v>0.633119833874641</v>
      </c>
      <c r="Z4895" s="55" t="n">
        <f aca="false">X4895+ROW()*0.000000001</f>
        <v>50.2979878495454</v>
      </c>
    </row>
    <row r="4896" customFormat="false" ht="15" hidden="false" customHeight="false" outlineLevel="0" collapsed="false">
      <c r="A4896" s="0" t="n">
        <v>16</v>
      </c>
      <c r="B4896" s="0" t="n">
        <v>15</v>
      </c>
      <c r="C4896" s="0" t="n">
        <v>12</v>
      </c>
      <c r="D4896" s="0" t="n">
        <f aca="false">-1+A4896*0.125</f>
        <v>1</v>
      </c>
      <c r="E4896" s="0" t="n">
        <f aca="false">-1+B4896*0.125</f>
        <v>0.875</v>
      </c>
      <c r="F4896" s="0" t="n">
        <f aca="false">-1+C4896*0.125</f>
        <v>0.5</v>
      </c>
      <c r="G4896" s="0" t="n">
        <f aca="false">1</f>
        <v>1</v>
      </c>
      <c r="H4896" s="0" t="n">
        <f aca="false">D4896</f>
        <v>1</v>
      </c>
      <c r="I4896" s="0" t="n">
        <f aca="false">E4896</f>
        <v>0.875</v>
      </c>
      <c r="J4896" s="0" t="n">
        <f aca="false">F4896</f>
        <v>0.5</v>
      </c>
      <c r="K4896" s="0" t="n">
        <f aca="false">D4896*E4896</f>
        <v>0.875</v>
      </c>
      <c r="L4896" s="0" t="n">
        <f aca="false">D4896*F4896</f>
        <v>0.5</v>
      </c>
      <c r="M4896" s="0" t="n">
        <f aca="false">E4896*F4896</f>
        <v>0.4375</v>
      </c>
      <c r="N4896" s="0" t="n">
        <f aca="false">D4896*D4896</f>
        <v>1</v>
      </c>
      <c r="O4896" s="0" t="n">
        <f aca="false">E4896*E4896</f>
        <v>0.765625</v>
      </c>
      <c r="P4896" s="0" t="n">
        <f aca="false">F4896*F4896</f>
        <v>0.25</v>
      </c>
      <c r="Q4896" s="0" t="n">
        <f aca="false">SUMPRODUCT(G4896:P4896,_XtX!$B$71:$K$71)</f>
        <v>50.3721875</v>
      </c>
      <c r="R4896" s="0" t="n">
        <f aca="false">SUMPRODUCT(MMULT(G4896:P4896,_XtX!$B$58:$K$67),G4896:P4896)</f>
        <v>0.55771484375</v>
      </c>
      <c r="S4896" s="0" t="n">
        <f aca="false">04_回帰ANOVA!$K$19*04_回帰ANOVA!$K$14*SQRT(1+R4896)</f>
        <v>1.16040773556467</v>
      </c>
      <c r="T4896" s="0" t="n">
        <f aca="false">Q4896-S4896</f>
        <v>49.2117797644353</v>
      </c>
      <c r="U4896" s="0" t="n">
        <f aca="false">Q4896+S4896</f>
        <v>51.5325952355647</v>
      </c>
      <c r="V4896" s="54" t="b">
        <f aca="false">AND(D4896&gt;=01_因子設定!$L$5-0.000000001,D4896&lt;=01_因子設定!$M$5+0.000000001,E4896&gt;=01_因子設定!$L$6-0.000000001,E4896&lt;=01_因子設定!$M$6+0.000000001,F4896&gt;=01_因子設定!$L$7-0.000000001,F4896&lt;=01_因子設定!$M$7+0.000000001,IF(01_因子設定!$B$20="Box-Behnken",D4896^2+E4896^2+F4896^2&lt;=2+0.000000001,TRUE()))</f>
        <v>1</v>
      </c>
      <c r="W4896" s="55" t="n">
        <f aca="false">IF(V4896,IF(01_因子設定!$B$13="最大化",T4896-01_因子設定!$B$14,IF(01_因子設定!$B$13="最小化",01_因子設定!$B$15-U4896,MIN(T4896-01_因子設定!$B$14,01_因子設定!$B$15-U4896))),-1E+030)</f>
        <v>0.71177976443532</v>
      </c>
      <c r="X4896" s="55" t="n">
        <f aca="false">IF(V4896,IF(01_因子設定!$B$13="最大化",Q4896,IF(01_因子設定!$B$13="最小化",-Q4896,-ABS(Q4896-01_因子設定!$B$16))),-1E+030)</f>
        <v>50.3721875</v>
      </c>
      <c r="Y4896" s="55" t="n">
        <f aca="false">W4896+ROW()*0.000000001</f>
        <v>0.71178466043532</v>
      </c>
      <c r="Z4896" s="55" t="n">
        <f aca="false">X4896+ROW()*0.000000001</f>
        <v>50.372192396</v>
      </c>
    </row>
    <row r="4897" customFormat="false" ht="15" hidden="false" customHeight="false" outlineLevel="0" collapsed="false">
      <c r="A4897" s="0" t="n">
        <v>16</v>
      </c>
      <c r="B4897" s="0" t="n">
        <v>15</v>
      </c>
      <c r="C4897" s="0" t="n">
        <v>13</v>
      </c>
      <c r="D4897" s="0" t="n">
        <f aca="false">-1+A4897*0.125</f>
        <v>1</v>
      </c>
      <c r="E4897" s="0" t="n">
        <f aca="false">-1+B4897*0.125</f>
        <v>0.875</v>
      </c>
      <c r="F4897" s="0" t="n">
        <f aca="false">-1+C4897*0.125</f>
        <v>0.625</v>
      </c>
      <c r="G4897" s="0" t="n">
        <f aca="false">1</f>
        <v>1</v>
      </c>
      <c r="H4897" s="0" t="n">
        <f aca="false">D4897</f>
        <v>1</v>
      </c>
      <c r="I4897" s="0" t="n">
        <f aca="false">E4897</f>
        <v>0.875</v>
      </c>
      <c r="J4897" s="0" t="n">
        <f aca="false">F4897</f>
        <v>0.625</v>
      </c>
      <c r="K4897" s="0" t="n">
        <f aca="false">D4897*E4897</f>
        <v>0.875</v>
      </c>
      <c r="L4897" s="0" t="n">
        <f aca="false">D4897*F4897</f>
        <v>0.625</v>
      </c>
      <c r="M4897" s="0" t="n">
        <f aca="false">E4897*F4897</f>
        <v>0.546875</v>
      </c>
      <c r="N4897" s="0" t="n">
        <f aca="false">D4897*D4897</f>
        <v>1</v>
      </c>
      <c r="O4897" s="0" t="n">
        <f aca="false">E4897*E4897</f>
        <v>0.765625</v>
      </c>
      <c r="P4897" s="0" t="n">
        <f aca="false">F4897*F4897</f>
        <v>0.390625</v>
      </c>
      <c r="Q4897" s="0" t="n">
        <f aca="false">SUMPRODUCT(G4897:P4897,_XtX!$B$71:$K$71)</f>
        <v>50.4096022727273</v>
      </c>
      <c r="R4897" s="0" t="n">
        <f aca="false">SUMPRODUCT(MMULT(G4897:P4897,_XtX!$B$58:$K$67),G4897:P4897)</f>
        <v>0.555073131214489</v>
      </c>
      <c r="S4897" s="0" t="n">
        <f aca="false">04_回帰ANOVA!$K$19*04_回帰ANOVA!$K$14*SQRT(1+R4897)</f>
        <v>1.15942335628341</v>
      </c>
      <c r="T4897" s="0" t="n">
        <f aca="false">Q4897-S4897</f>
        <v>49.2501789164439</v>
      </c>
      <c r="U4897" s="0" t="n">
        <f aca="false">Q4897+S4897</f>
        <v>51.5690256290107</v>
      </c>
      <c r="V4897" s="54" t="b">
        <f aca="false">AND(D4897&gt;=01_因子設定!$L$5-0.000000001,D4897&lt;=01_因子設定!$M$5+0.000000001,E4897&gt;=01_因子設定!$L$6-0.000000001,E4897&lt;=01_因子設定!$M$6+0.000000001,F4897&gt;=01_因子設定!$L$7-0.000000001,F4897&lt;=01_因子設定!$M$7+0.000000001,IF(01_因子設定!$B$20="Box-Behnken",D4897^2+E4897^2+F4897^2&lt;=2+0.000000001,TRUE()))</f>
        <v>1</v>
      </c>
      <c r="W4897" s="55" t="n">
        <f aca="false">IF(V4897,IF(01_因子設定!$B$13="最大化",T4897-01_因子設定!$B$14,IF(01_因子設定!$B$13="最小化",01_因子設定!$B$15-U4897,MIN(T4897-01_因子設定!$B$14,01_因子設定!$B$15-U4897))),-1E+030)</f>
        <v>0.750178916443865</v>
      </c>
      <c r="X4897" s="55" t="n">
        <f aca="false">IF(V4897,IF(01_因子設定!$B$13="最大化",Q4897,IF(01_因子設定!$B$13="最小化",-Q4897,-ABS(Q4897-01_因子設定!$B$16))),-1E+030)</f>
        <v>50.4096022727273</v>
      </c>
      <c r="Y4897" s="55" t="n">
        <f aca="false">W4897+ROW()*0.000000001</f>
        <v>0.750183813443865</v>
      </c>
      <c r="Z4897" s="55" t="n">
        <f aca="false">X4897+ROW()*0.000000001</f>
        <v>50.4096071697273</v>
      </c>
    </row>
    <row r="4898" customFormat="false" ht="15" hidden="false" customHeight="false" outlineLevel="0" collapsed="false">
      <c r="A4898" s="0" t="n">
        <v>16</v>
      </c>
      <c r="B4898" s="0" t="n">
        <v>15</v>
      </c>
      <c r="C4898" s="0" t="n">
        <v>14</v>
      </c>
      <c r="D4898" s="0" t="n">
        <f aca="false">-1+A4898*0.125</f>
        <v>1</v>
      </c>
      <c r="E4898" s="0" t="n">
        <f aca="false">-1+B4898*0.125</f>
        <v>0.875</v>
      </c>
      <c r="F4898" s="0" t="n">
        <f aca="false">-1+C4898*0.125</f>
        <v>0.75</v>
      </c>
      <c r="G4898" s="0" t="n">
        <f aca="false">1</f>
        <v>1</v>
      </c>
      <c r="H4898" s="0" t="n">
        <f aca="false">D4898</f>
        <v>1</v>
      </c>
      <c r="I4898" s="0" t="n">
        <f aca="false">E4898</f>
        <v>0.875</v>
      </c>
      <c r="J4898" s="0" t="n">
        <f aca="false">F4898</f>
        <v>0.75</v>
      </c>
      <c r="K4898" s="0" t="n">
        <f aca="false">D4898*E4898</f>
        <v>0.875</v>
      </c>
      <c r="L4898" s="0" t="n">
        <f aca="false">D4898*F4898</f>
        <v>0.75</v>
      </c>
      <c r="M4898" s="0" t="n">
        <f aca="false">E4898*F4898</f>
        <v>0.65625</v>
      </c>
      <c r="N4898" s="0" t="n">
        <f aca="false">D4898*D4898</f>
        <v>1</v>
      </c>
      <c r="O4898" s="0" t="n">
        <f aca="false">E4898*E4898</f>
        <v>0.765625</v>
      </c>
      <c r="P4898" s="0" t="n">
        <f aca="false">F4898*F4898</f>
        <v>0.5625</v>
      </c>
      <c r="Q4898" s="0" t="n">
        <f aca="false">SUMPRODUCT(G4898:P4898,_XtX!$B$71:$K$71)</f>
        <v>50.4102272727273</v>
      </c>
      <c r="R4898" s="0" t="n">
        <f aca="false">SUMPRODUCT(MMULT(G4898:P4898,_XtX!$B$58:$K$67),G4898:P4898)</f>
        <v>0.571375621448864</v>
      </c>
      <c r="S4898" s="0" t="n">
        <f aca="false">04_回帰ANOVA!$K$19*04_回帰ANOVA!$K$14*SQRT(1+R4898)</f>
        <v>1.16548487437682</v>
      </c>
      <c r="T4898" s="0" t="n">
        <f aca="false">Q4898-S4898</f>
        <v>49.2447423983505</v>
      </c>
      <c r="U4898" s="0" t="n">
        <f aca="false">Q4898+S4898</f>
        <v>51.5757121471041</v>
      </c>
      <c r="V4898" s="54" t="b">
        <f aca="false">AND(D4898&gt;=01_因子設定!$L$5-0.000000001,D4898&lt;=01_因子設定!$M$5+0.000000001,E4898&gt;=01_因子設定!$L$6-0.000000001,E4898&lt;=01_因子設定!$M$6+0.000000001,F4898&gt;=01_因子設定!$L$7-0.000000001,F4898&lt;=01_因子設定!$M$7+0.000000001,IF(01_因子設定!$B$20="Box-Behnken",D4898^2+E4898^2+F4898^2&lt;=2+0.000000001,TRUE()))</f>
        <v>1</v>
      </c>
      <c r="W4898" s="55" t="n">
        <f aca="false">IF(V4898,IF(01_因子設定!$B$13="最大化",T4898-01_因子設定!$B$14,IF(01_因子設定!$B$13="最小化",01_因子設定!$B$15-U4898,MIN(T4898-01_因子設定!$B$14,01_因子設定!$B$15-U4898))),-1E+030)</f>
        <v>0.744742398350461</v>
      </c>
      <c r="X4898" s="55" t="n">
        <f aca="false">IF(V4898,IF(01_因子設定!$B$13="最大化",Q4898,IF(01_因子設定!$B$13="最小化",-Q4898,-ABS(Q4898-01_因子設定!$B$16))),-1E+030)</f>
        <v>50.4102272727273</v>
      </c>
      <c r="Y4898" s="55" t="n">
        <f aca="false">W4898+ROW()*0.000000001</f>
        <v>0.744747296350461</v>
      </c>
      <c r="Z4898" s="55" t="n">
        <f aca="false">X4898+ROW()*0.000000001</f>
        <v>50.4102321707273</v>
      </c>
    </row>
    <row r="4899" customFormat="false" ht="15" hidden="false" customHeight="false" outlineLevel="0" collapsed="false">
      <c r="A4899" s="0" t="n">
        <v>16</v>
      </c>
      <c r="B4899" s="0" t="n">
        <v>15</v>
      </c>
      <c r="C4899" s="0" t="n">
        <v>15</v>
      </c>
      <c r="D4899" s="0" t="n">
        <f aca="false">-1+A4899*0.125</f>
        <v>1</v>
      </c>
      <c r="E4899" s="0" t="n">
        <f aca="false">-1+B4899*0.125</f>
        <v>0.875</v>
      </c>
      <c r="F4899" s="0" t="n">
        <f aca="false">-1+C4899*0.125</f>
        <v>0.875</v>
      </c>
      <c r="G4899" s="0" t="n">
        <f aca="false">1</f>
        <v>1</v>
      </c>
      <c r="H4899" s="0" t="n">
        <f aca="false">D4899</f>
        <v>1</v>
      </c>
      <c r="I4899" s="0" t="n">
        <f aca="false">E4899</f>
        <v>0.875</v>
      </c>
      <c r="J4899" s="0" t="n">
        <f aca="false">F4899</f>
        <v>0.875</v>
      </c>
      <c r="K4899" s="0" t="n">
        <f aca="false">D4899*E4899</f>
        <v>0.875</v>
      </c>
      <c r="L4899" s="0" t="n">
        <f aca="false">D4899*F4899</f>
        <v>0.875</v>
      </c>
      <c r="M4899" s="0" t="n">
        <f aca="false">E4899*F4899</f>
        <v>0.765625</v>
      </c>
      <c r="N4899" s="0" t="n">
        <f aca="false">D4899*D4899</f>
        <v>1</v>
      </c>
      <c r="O4899" s="0" t="n">
        <f aca="false">E4899*E4899</f>
        <v>0.765625</v>
      </c>
      <c r="P4899" s="0" t="n">
        <f aca="false">F4899*F4899</f>
        <v>0.765625</v>
      </c>
      <c r="Q4899" s="0" t="n">
        <f aca="false">SUMPRODUCT(G4899:P4899,_XtX!$B$71:$K$71)</f>
        <v>50.3740625</v>
      </c>
      <c r="R4899" s="0" t="n">
        <f aca="false">SUMPRODUCT(MMULT(G4899:P4899,_XtX!$B$58:$K$67),G4899:P4899)</f>
        <v>0.618341064453125</v>
      </c>
      <c r="S4899" s="0" t="n">
        <f aca="false">04_回帰ANOVA!$K$19*04_回帰ANOVA!$K$14*SQRT(1+R4899)</f>
        <v>1.18277371124466</v>
      </c>
      <c r="T4899" s="0" t="n">
        <f aca="false">Q4899-S4899</f>
        <v>49.1912887887553</v>
      </c>
      <c r="U4899" s="0" t="n">
        <f aca="false">Q4899+S4899</f>
        <v>51.5568362112447</v>
      </c>
      <c r="V4899" s="54" t="b">
        <f aca="false">AND(D4899&gt;=01_因子設定!$L$5-0.000000001,D4899&lt;=01_因子設定!$M$5+0.000000001,E4899&gt;=01_因子設定!$L$6-0.000000001,E4899&lt;=01_因子設定!$M$6+0.000000001,F4899&gt;=01_因子設定!$L$7-0.000000001,F4899&lt;=01_因子設定!$M$7+0.000000001,IF(01_因子設定!$B$20="Box-Behnken",D4899^2+E4899^2+F4899^2&lt;=2+0.000000001,TRUE()))</f>
        <v>1</v>
      </c>
      <c r="W4899" s="55" t="n">
        <f aca="false">IF(V4899,IF(01_因子設定!$B$13="最大化",T4899-01_因子設定!$B$14,IF(01_因子設定!$B$13="最小化",01_因子設定!$B$15-U4899,MIN(T4899-01_因子設定!$B$14,01_因子設定!$B$15-U4899))),-1E+030)</f>
        <v>0.691288788755344</v>
      </c>
      <c r="X4899" s="55" t="n">
        <f aca="false">IF(V4899,IF(01_因子設定!$B$13="最大化",Q4899,IF(01_因子設定!$B$13="最小化",-Q4899,-ABS(Q4899-01_因子設定!$B$16))),-1E+030)</f>
        <v>50.3740625</v>
      </c>
      <c r="Y4899" s="55" t="n">
        <f aca="false">W4899+ROW()*0.000000001</f>
        <v>0.691293687755344</v>
      </c>
      <c r="Z4899" s="55" t="n">
        <f aca="false">X4899+ROW()*0.000000001</f>
        <v>50.374067399</v>
      </c>
    </row>
    <row r="4900" customFormat="false" ht="15" hidden="false" customHeight="false" outlineLevel="0" collapsed="false">
      <c r="A4900" s="0" t="n">
        <v>16</v>
      </c>
      <c r="B4900" s="0" t="n">
        <v>15</v>
      </c>
      <c r="C4900" s="0" t="n">
        <v>16</v>
      </c>
      <c r="D4900" s="0" t="n">
        <f aca="false">-1+A4900*0.125</f>
        <v>1</v>
      </c>
      <c r="E4900" s="0" t="n">
        <f aca="false">-1+B4900*0.125</f>
        <v>0.875</v>
      </c>
      <c r="F4900" s="0" t="n">
        <f aca="false">-1+C4900*0.125</f>
        <v>1</v>
      </c>
      <c r="G4900" s="0" t="n">
        <f aca="false">1</f>
        <v>1</v>
      </c>
      <c r="H4900" s="0" t="n">
        <f aca="false">D4900</f>
        <v>1</v>
      </c>
      <c r="I4900" s="0" t="n">
        <f aca="false">E4900</f>
        <v>0.875</v>
      </c>
      <c r="J4900" s="0" t="n">
        <f aca="false">F4900</f>
        <v>1</v>
      </c>
      <c r="K4900" s="0" t="n">
        <f aca="false">D4900*E4900</f>
        <v>0.875</v>
      </c>
      <c r="L4900" s="0" t="n">
        <f aca="false">D4900*F4900</f>
        <v>1</v>
      </c>
      <c r="M4900" s="0" t="n">
        <f aca="false">E4900*F4900</f>
        <v>0.875</v>
      </c>
      <c r="N4900" s="0" t="n">
        <f aca="false">D4900*D4900</f>
        <v>1</v>
      </c>
      <c r="O4900" s="0" t="n">
        <f aca="false">E4900*E4900</f>
        <v>0.765625</v>
      </c>
      <c r="P4900" s="0" t="n">
        <f aca="false">F4900*F4900</f>
        <v>1</v>
      </c>
      <c r="Q4900" s="0" t="n">
        <f aca="false">SUMPRODUCT(G4900:P4900,_XtX!$B$71:$K$71)</f>
        <v>50.3011079545455</v>
      </c>
      <c r="R4900" s="0" t="n">
        <f aca="false">SUMPRODUCT(MMULT(G4900:P4900,_XtX!$B$58:$K$67),G4900:P4900)</f>
        <v>0.709818892045455</v>
      </c>
      <c r="S4900" s="0" t="n">
        <f aca="false">04_回帰ANOVA!$K$19*04_回帰ANOVA!$K$14*SQRT(1+R4900)</f>
        <v>1.21574275944458</v>
      </c>
      <c r="T4900" s="0" t="n">
        <f aca="false">Q4900-S4900</f>
        <v>49.0853651951009</v>
      </c>
      <c r="U4900" s="0" t="n">
        <f aca="false">Q4900+S4900</f>
        <v>51.51685071399</v>
      </c>
      <c r="V4900" s="54" t="b">
        <f aca="false">AND(D4900&gt;=01_因子設定!$L$5-0.000000001,D4900&lt;=01_因子設定!$M$5+0.000000001,E4900&gt;=01_因子設定!$L$6-0.000000001,E4900&lt;=01_因子設定!$M$6+0.000000001,F4900&gt;=01_因子設定!$L$7-0.000000001,F4900&lt;=01_因子設定!$M$7+0.000000001,IF(01_因子設定!$B$20="Box-Behnken",D4900^2+E4900^2+F4900^2&lt;=2+0.000000001,TRUE()))</f>
        <v>1</v>
      </c>
      <c r="W4900" s="55" t="n">
        <f aca="false">IF(V4900,IF(01_因子設定!$B$13="最大化",T4900-01_因子設定!$B$14,IF(01_因子設定!$B$13="最小化",01_因子設定!$B$15-U4900,MIN(T4900-01_因子設定!$B$14,01_因子設定!$B$15-U4900))),-1E+030)</f>
        <v>0.585365195100884</v>
      </c>
      <c r="X4900" s="55" t="n">
        <f aca="false">IF(V4900,IF(01_因子設定!$B$13="最大化",Q4900,IF(01_因子設定!$B$13="最小化",-Q4900,-ABS(Q4900-01_因子設定!$B$16))),-1E+030)</f>
        <v>50.3011079545455</v>
      </c>
      <c r="Y4900" s="55" t="n">
        <f aca="false">W4900+ROW()*0.000000001</f>
        <v>0.585370095100884</v>
      </c>
      <c r="Z4900" s="55" t="n">
        <f aca="false">X4900+ROW()*0.000000001</f>
        <v>50.3011128545455</v>
      </c>
    </row>
    <row r="4901" customFormat="false" ht="15" hidden="false" customHeight="false" outlineLevel="0" collapsed="false">
      <c r="A4901" s="0" t="n">
        <v>16</v>
      </c>
      <c r="B4901" s="0" t="n">
        <v>16</v>
      </c>
      <c r="C4901" s="0" t="n">
        <v>0</v>
      </c>
      <c r="D4901" s="0" t="n">
        <f aca="false">-1+A4901*0.125</f>
        <v>1</v>
      </c>
      <c r="E4901" s="0" t="n">
        <f aca="false">-1+B4901*0.125</f>
        <v>1</v>
      </c>
      <c r="F4901" s="0" t="n">
        <f aca="false">-1+C4901*0.125</f>
        <v>-1</v>
      </c>
      <c r="G4901" s="0" t="n">
        <f aca="false">1</f>
        <v>1</v>
      </c>
      <c r="H4901" s="0" t="n">
        <f aca="false">D4901</f>
        <v>1</v>
      </c>
      <c r="I4901" s="0" t="n">
        <f aca="false">E4901</f>
        <v>1</v>
      </c>
      <c r="J4901" s="0" t="n">
        <f aca="false">F4901</f>
        <v>-1</v>
      </c>
      <c r="K4901" s="0" t="n">
        <f aca="false">D4901*E4901</f>
        <v>1</v>
      </c>
      <c r="L4901" s="0" t="n">
        <f aca="false">D4901*F4901</f>
        <v>-1</v>
      </c>
      <c r="M4901" s="0" t="n">
        <f aca="false">E4901*F4901</f>
        <v>-1</v>
      </c>
      <c r="N4901" s="0" t="n">
        <f aca="false">D4901*D4901</f>
        <v>1</v>
      </c>
      <c r="O4901" s="0" t="n">
        <f aca="false">E4901*E4901</f>
        <v>1</v>
      </c>
      <c r="P4901" s="0" t="n">
        <f aca="false">F4901*F4901</f>
        <v>1</v>
      </c>
      <c r="Q4901" s="0" t="n">
        <f aca="false">SUMPRODUCT(G4901:P4901,_XtX!$B$71:$K$71)</f>
        <v>46.9340909090909</v>
      </c>
      <c r="R4901" s="0" t="n">
        <f aca="false">SUMPRODUCT(MMULT(G4901:P4901,_XtX!$B$58:$K$67),G4901:P4901)</f>
        <v>0.793181818181818</v>
      </c>
      <c r="S4901" s="0" t="n">
        <f aca="false">04_回帰ANOVA!$K$19*04_回帰ANOVA!$K$14*SQRT(1+R4901)</f>
        <v>1.24502708501444</v>
      </c>
      <c r="T4901" s="0" t="n">
        <f aca="false">Q4901-S4901</f>
        <v>45.6890638240765</v>
      </c>
      <c r="U4901" s="0" t="n">
        <f aca="false">Q4901+S4901</f>
        <v>48.1791179941054</v>
      </c>
      <c r="V4901" s="54" t="b">
        <f aca="false">AND(D4901&gt;=01_因子設定!$L$5-0.000000001,D4901&lt;=01_因子設定!$M$5+0.000000001,E4901&gt;=01_因子設定!$L$6-0.000000001,E4901&lt;=01_因子設定!$M$6+0.000000001,F4901&gt;=01_因子設定!$L$7-0.000000001,F4901&lt;=01_因子設定!$M$7+0.000000001,IF(01_因子設定!$B$20="Box-Behnken",D4901^2+E4901^2+F4901^2&lt;=2+0.000000001,TRUE()))</f>
        <v>1</v>
      </c>
      <c r="W4901" s="55" t="n">
        <f aca="false">IF(V4901,IF(01_因子設定!$B$13="最大化",T4901-01_因子設定!$B$14,IF(01_因子設定!$B$13="最小化",01_因子設定!$B$15-U4901,MIN(T4901-01_因子設定!$B$14,01_因子設定!$B$15-U4901))),-1E+030)</f>
        <v>-2.81093617592352</v>
      </c>
      <c r="X4901" s="55" t="n">
        <f aca="false">IF(V4901,IF(01_因子設定!$B$13="最大化",Q4901,IF(01_因子設定!$B$13="最小化",-Q4901,-ABS(Q4901-01_因子設定!$B$16))),-1E+030)</f>
        <v>46.9340909090909</v>
      </c>
      <c r="Y4901" s="55" t="n">
        <f aca="false">W4901+ROW()*0.000000001</f>
        <v>-2.81093127492352</v>
      </c>
      <c r="Z4901" s="55" t="n">
        <f aca="false">X4901+ROW()*0.000000001</f>
        <v>46.9340958100909</v>
      </c>
    </row>
    <row r="4902" customFormat="false" ht="15" hidden="false" customHeight="false" outlineLevel="0" collapsed="false">
      <c r="A4902" s="0" t="n">
        <v>16</v>
      </c>
      <c r="B4902" s="0" t="n">
        <v>16</v>
      </c>
      <c r="C4902" s="0" t="n">
        <v>1</v>
      </c>
      <c r="D4902" s="0" t="n">
        <f aca="false">-1+A4902*0.125</f>
        <v>1</v>
      </c>
      <c r="E4902" s="0" t="n">
        <f aca="false">-1+B4902*0.125</f>
        <v>1</v>
      </c>
      <c r="F4902" s="0" t="n">
        <f aca="false">-1+C4902*0.125</f>
        <v>-0.875</v>
      </c>
      <c r="G4902" s="0" t="n">
        <f aca="false">1</f>
        <v>1</v>
      </c>
      <c r="H4902" s="0" t="n">
        <f aca="false">D4902</f>
        <v>1</v>
      </c>
      <c r="I4902" s="0" t="n">
        <f aca="false">E4902</f>
        <v>1</v>
      </c>
      <c r="J4902" s="0" t="n">
        <f aca="false">F4902</f>
        <v>-0.875</v>
      </c>
      <c r="K4902" s="0" t="n">
        <f aca="false">D4902*E4902</f>
        <v>1</v>
      </c>
      <c r="L4902" s="0" t="n">
        <f aca="false">D4902*F4902</f>
        <v>-0.875</v>
      </c>
      <c r="M4902" s="0" t="n">
        <f aca="false">E4902*F4902</f>
        <v>-0.875</v>
      </c>
      <c r="N4902" s="0" t="n">
        <f aca="false">D4902*D4902</f>
        <v>1</v>
      </c>
      <c r="O4902" s="0" t="n">
        <f aca="false">E4902*E4902</f>
        <v>1</v>
      </c>
      <c r="P4902" s="0" t="n">
        <f aca="false">F4902*F4902</f>
        <v>0.765625</v>
      </c>
      <c r="Q4902" s="0" t="n">
        <f aca="false">SUMPRODUCT(G4902:P4902,_XtX!$B$71:$K$71)</f>
        <v>47.4200142045455</v>
      </c>
      <c r="R4902" s="0" t="n">
        <f aca="false">SUMPRODUCT(MMULT(G4902:P4902,_XtX!$B$58:$K$67),G4902:P4902)</f>
        <v>0.709818892045455</v>
      </c>
      <c r="S4902" s="0" t="n">
        <f aca="false">04_回帰ANOVA!$K$19*04_回帰ANOVA!$K$14*SQRT(1+R4902)</f>
        <v>1.21574275944458</v>
      </c>
      <c r="T4902" s="0" t="n">
        <f aca="false">Q4902-S4902</f>
        <v>46.2042714451009</v>
      </c>
      <c r="U4902" s="0" t="n">
        <f aca="false">Q4902+S4902</f>
        <v>48.63575696399</v>
      </c>
      <c r="V4902" s="54" t="b">
        <f aca="false">AND(D4902&gt;=01_因子設定!$L$5-0.000000001,D4902&lt;=01_因子設定!$M$5+0.000000001,E4902&gt;=01_因子設定!$L$6-0.000000001,E4902&lt;=01_因子設定!$M$6+0.000000001,F4902&gt;=01_因子設定!$L$7-0.000000001,F4902&lt;=01_因子設定!$M$7+0.000000001,IF(01_因子設定!$B$20="Box-Behnken",D4902^2+E4902^2+F4902^2&lt;=2+0.000000001,TRUE()))</f>
        <v>1</v>
      </c>
      <c r="W4902" s="55" t="n">
        <f aca="false">IF(V4902,IF(01_因子設定!$B$13="最大化",T4902-01_因子設定!$B$14,IF(01_因子設定!$B$13="最小化",01_因子設定!$B$15-U4902,MIN(T4902-01_因子設定!$B$14,01_因子設定!$B$15-U4902))),-1E+030)</f>
        <v>-2.29572855489912</v>
      </c>
      <c r="X4902" s="55" t="n">
        <f aca="false">IF(V4902,IF(01_因子設定!$B$13="最大化",Q4902,IF(01_因子設定!$B$13="最小化",-Q4902,-ABS(Q4902-01_因子設定!$B$16))),-1E+030)</f>
        <v>47.4200142045455</v>
      </c>
      <c r="Y4902" s="55" t="n">
        <f aca="false">W4902+ROW()*0.000000001</f>
        <v>-2.29572365289912</v>
      </c>
      <c r="Z4902" s="55" t="n">
        <f aca="false">X4902+ROW()*0.000000001</f>
        <v>47.4200191065455</v>
      </c>
    </row>
    <row r="4903" customFormat="false" ht="15" hidden="false" customHeight="false" outlineLevel="0" collapsed="false">
      <c r="A4903" s="0" t="n">
        <v>16</v>
      </c>
      <c r="B4903" s="0" t="n">
        <v>16</v>
      </c>
      <c r="C4903" s="0" t="n">
        <v>2</v>
      </c>
      <c r="D4903" s="0" t="n">
        <f aca="false">-1+A4903*0.125</f>
        <v>1</v>
      </c>
      <c r="E4903" s="0" t="n">
        <f aca="false">-1+B4903*0.125</f>
        <v>1</v>
      </c>
      <c r="F4903" s="0" t="n">
        <f aca="false">-1+C4903*0.125</f>
        <v>-0.75</v>
      </c>
      <c r="G4903" s="0" t="n">
        <f aca="false">1</f>
        <v>1</v>
      </c>
      <c r="H4903" s="0" t="n">
        <f aca="false">D4903</f>
        <v>1</v>
      </c>
      <c r="I4903" s="0" t="n">
        <f aca="false">E4903</f>
        <v>1</v>
      </c>
      <c r="J4903" s="0" t="n">
        <f aca="false">F4903</f>
        <v>-0.75</v>
      </c>
      <c r="K4903" s="0" t="n">
        <f aca="false">D4903*E4903</f>
        <v>1</v>
      </c>
      <c r="L4903" s="0" t="n">
        <f aca="false">D4903*F4903</f>
        <v>-0.75</v>
      </c>
      <c r="M4903" s="0" t="n">
        <f aca="false">E4903*F4903</f>
        <v>-0.75</v>
      </c>
      <c r="N4903" s="0" t="n">
        <f aca="false">D4903*D4903</f>
        <v>1</v>
      </c>
      <c r="O4903" s="0" t="n">
        <f aca="false">E4903*E4903</f>
        <v>1</v>
      </c>
      <c r="P4903" s="0" t="n">
        <f aca="false">F4903*F4903</f>
        <v>0.5625</v>
      </c>
      <c r="Q4903" s="0" t="n">
        <f aca="false">SUMPRODUCT(G4903:P4903,_XtX!$B$71:$K$71)</f>
        <v>47.8691477272727</v>
      </c>
      <c r="R4903" s="0" t="n">
        <f aca="false">SUMPRODUCT(MMULT(G4903:P4903,_XtX!$B$58:$K$67),G4903:P4903)</f>
        <v>0.669886363636364</v>
      </c>
      <c r="S4903" s="0" t="n">
        <f aca="false">04_回帰ANOVA!$K$19*04_回帰ANOVA!$K$14*SQRT(1+R4903)</f>
        <v>1.20146215423986</v>
      </c>
      <c r="T4903" s="0" t="n">
        <f aca="false">Q4903-S4903</f>
        <v>46.6676855730329</v>
      </c>
      <c r="U4903" s="0" t="n">
        <f aca="false">Q4903+S4903</f>
        <v>49.0706098815126</v>
      </c>
      <c r="V4903" s="54" t="b">
        <f aca="false">AND(D4903&gt;=01_因子設定!$L$5-0.000000001,D4903&lt;=01_因子設定!$M$5+0.000000001,E4903&gt;=01_因子設定!$L$6-0.000000001,E4903&lt;=01_因子設定!$M$6+0.000000001,F4903&gt;=01_因子設定!$L$7-0.000000001,F4903&lt;=01_因子設定!$M$7+0.000000001,IF(01_因子設定!$B$20="Box-Behnken",D4903^2+E4903^2+F4903^2&lt;=2+0.000000001,TRUE()))</f>
        <v>1</v>
      </c>
      <c r="W4903" s="55" t="n">
        <f aca="false">IF(V4903,IF(01_因子設定!$B$13="最大化",T4903-01_因子設定!$B$14,IF(01_因子設定!$B$13="最小化",01_因子設定!$B$15-U4903,MIN(T4903-01_因子設定!$B$14,01_因子設定!$B$15-U4903))),-1E+030)</f>
        <v>-1.83231442696714</v>
      </c>
      <c r="X4903" s="55" t="n">
        <f aca="false">IF(V4903,IF(01_因子設定!$B$13="最大化",Q4903,IF(01_因子設定!$B$13="最小化",-Q4903,-ABS(Q4903-01_因子設定!$B$16))),-1E+030)</f>
        <v>47.8691477272727</v>
      </c>
      <c r="Y4903" s="55" t="n">
        <f aca="false">W4903+ROW()*0.000000001</f>
        <v>-1.83230952396714</v>
      </c>
      <c r="Z4903" s="55" t="n">
        <f aca="false">X4903+ROW()*0.000000001</f>
        <v>47.8691526302727</v>
      </c>
    </row>
    <row r="4904" customFormat="false" ht="15" hidden="false" customHeight="false" outlineLevel="0" collapsed="false">
      <c r="A4904" s="0" t="n">
        <v>16</v>
      </c>
      <c r="B4904" s="0" t="n">
        <v>16</v>
      </c>
      <c r="C4904" s="0" t="n">
        <v>3</v>
      </c>
      <c r="D4904" s="0" t="n">
        <f aca="false">-1+A4904*0.125</f>
        <v>1</v>
      </c>
      <c r="E4904" s="0" t="n">
        <f aca="false">-1+B4904*0.125</f>
        <v>1</v>
      </c>
      <c r="F4904" s="0" t="n">
        <f aca="false">-1+C4904*0.125</f>
        <v>-0.625</v>
      </c>
      <c r="G4904" s="0" t="n">
        <f aca="false">1</f>
        <v>1</v>
      </c>
      <c r="H4904" s="0" t="n">
        <f aca="false">D4904</f>
        <v>1</v>
      </c>
      <c r="I4904" s="0" t="n">
        <f aca="false">E4904</f>
        <v>1</v>
      </c>
      <c r="J4904" s="0" t="n">
        <f aca="false">F4904</f>
        <v>-0.625</v>
      </c>
      <c r="K4904" s="0" t="n">
        <f aca="false">D4904*E4904</f>
        <v>1</v>
      </c>
      <c r="L4904" s="0" t="n">
        <f aca="false">D4904*F4904</f>
        <v>-0.625</v>
      </c>
      <c r="M4904" s="0" t="n">
        <f aca="false">E4904*F4904</f>
        <v>-0.625</v>
      </c>
      <c r="N4904" s="0" t="n">
        <f aca="false">D4904*D4904</f>
        <v>1</v>
      </c>
      <c r="O4904" s="0" t="n">
        <f aca="false">E4904*E4904</f>
        <v>1</v>
      </c>
      <c r="P4904" s="0" t="n">
        <f aca="false">F4904*F4904</f>
        <v>0.390625</v>
      </c>
      <c r="Q4904" s="0" t="n">
        <f aca="false">SUMPRODUCT(G4904:P4904,_XtX!$B$71:$K$71)</f>
        <v>48.2814914772727</v>
      </c>
      <c r="R4904" s="0" t="n">
        <f aca="false">SUMPRODUCT(MMULT(G4904:P4904,_XtX!$B$58:$K$67),G4904:P4904)</f>
        <v>0.659534801136364</v>
      </c>
      <c r="S4904" s="0" t="n">
        <f aca="false">04_回帰ANOVA!$K$19*04_回帰ANOVA!$K$14*SQRT(1+R4904)</f>
        <v>1.19773245593097</v>
      </c>
      <c r="T4904" s="0" t="n">
        <f aca="false">Q4904-S4904</f>
        <v>47.0837590213418</v>
      </c>
      <c r="U4904" s="0" t="n">
        <f aca="false">Q4904+S4904</f>
        <v>49.4792239332037</v>
      </c>
      <c r="V4904" s="54" t="b">
        <f aca="false">AND(D4904&gt;=01_因子設定!$L$5-0.000000001,D4904&lt;=01_因子設定!$M$5+0.000000001,E4904&gt;=01_因子設定!$L$6-0.000000001,E4904&lt;=01_因子設定!$M$6+0.000000001,F4904&gt;=01_因子設定!$L$7-0.000000001,F4904&lt;=01_因子設定!$M$7+0.000000001,IF(01_因子設定!$B$20="Box-Behnken",D4904^2+E4904^2+F4904^2&lt;=2+0.000000001,TRUE()))</f>
        <v>1</v>
      </c>
      <c r="W4904" s="55" t="n">
        <f aca="false">IF(V4904,IF(01_因子設定!$B$13="最大化",T4904-01_因子設定!$B$14,IF(01_因子設定!$B$13="最小化",01_因子設定!$B$15-U4904,MIN(T4904-01_因子設定!$B$14,01_因子設定!$B$15-U4904))),-1E+030)</f>
        <v>-1.41624097865824</v>
      </c>
      <c r="X4904" s="55" t="n">
        <f aca="false">IF(V4904,IF(01_因子設定!$B$13="最大化",Q4904,IF(01_因子設定!$B$13="最小化",-Q4904,-ABS(Q4904-01_因子設定!$B$16))),-1E+030)</f>
        <v>48.2814914772727</v>
      </c>
      <c r="Y4904" s="55" t="n">
        <f aca="false">W4904+ROW()*0.000000001</f>
        <v>-1.41623607465824</v>
      </c>
      <c r="Z4904" s="55" t="n">
        <f aca="false">X4904+ROW()*0.000000001</f>
        <v>48.2814963812727</v>
      </c>
    </row>
    <row r="4905" customFormat="false" ht="15" hidden="false" customHeight="false" outlineLevel="0" collapsed="false">
      <c r="A4905" s="0" t="n">
        <v>16</v>
      </c>
      <c r="B4905" s="0" t="n">
        <v>16</v>
      </c>
      <c r="C4905" s="0" t="n">
        <v>4</v>
      </c>
      <c r="D4905" s="0" t="n">
        <f aca="false">-1+A4905*0.125</f>
        <v>1</v>
      </c>
      <c r="E4905" s="0" t="n">
        <f aca="false">-1+B4905*0.125</f>
        <v>1</v>
      </c>
      <c r="F4905" s="0" t="n">
        <f aca="false">-1+C4905*0.125</f>
        <v>-0.5</v>
      </c>
      <c r="G4905" s="0" t="n">
        <f aca="false">1</f>
        <v>1</v>
      </c>
      <c r="H4905" s="0" t="n">
        <f aca="false">D4905</f>
        <v>1</v>
      </c>
      <c r="I4905" s="0" t="n">
        <f aca="false">E4905</f>
        <v>1</v>
      </c>
      <c r="J4905" s="0" t="n">
        <f aca="false">F4905</f>
        <v>-0.5</v>
      </c>
      <c r="K4905" s="0" t="n">
        <f aca="false">D4905*E4905</f>
        <v>1</v>
      </c>
      <c r="L4905" s="0" t="n">
        <f aca="false">D4905*F4905</f>
        <v>-0.5</v>
      </c>
      <c r="M4905" s="0" t="n">
        <f aca="false">E4905*F4905</f>
        <v>-0.5</v>
      </c>
      <c r="N4905" s="0" t="n">
        <f aca="false">D4905*D4905</f>
        <v>1</v>
      </c>
      <c r="O4905" s="0" t="n">
        <f aca="false">E4905*E4905</f>
        <v>1</v>
      </c>
      <c r="P4905" s="0" t="n">
        <f aca="false">F4905*F4905</f>
        <v>0.25</v>
      </c>
      <c r="Q4905" s="0" t="n">
        <f aca="false">SUMPRODUCT(G4905:P4905,_XtX!$B$71:$K$71)</f>
        <v>48.6570454545455</v>
      </c>
      <c r="R4905" s="0" t="n">
        <f aca="false">SUMPRODUCT(MMULT(G4905:P4905,_XtX!$B$58:$K$67),G4905:P4905)</f>
        <v>0.667045454545455</v>
      </c>
      <c r="S4905" s="0" t="n">
        <f aca="false">04_回帰ANOVA!$K$19*04_回帰ANOVA!$K$14*SQRT(1+R4905)</f>
        <v>1.200439720088</v>
      </c>
      <c r="T4905" s="0" t="n">
        <f aca="false">Q4905-S4905</f>
        <v>47.4566057344575</v>
      </c>
      <c r="U4905" s="0" t="n">
        <f aca="false">Q4905+S4905</f>
        <v>49.8574851746335</v>
      </c>
      <c r="V4905" s="54" t="b">
        <f aca="false">AND(D4905&gt;=01_因子設定!$L$5-0.000000001,D4905&lt;=01_因子設定!$M$5+0.000000001,E4905&gt;=01_因子設定!$L$6-0.000000001,E4905&lt;=01_因子設定!$M$6+0.000000001,F4905&gt;=01_因子設定!$L$7-0.000000001,F4905&lt;=01_因子設定!$M$7+0.000000001,IF(01_因子設定!$B$20="Box-Behnken",D4905^2+E4905^2+F4905^2&lt;=2+0.000000001,TRUE()))</f>
        <v>1</v>
      </c>
      <c r="W4905" s="55" t="n">
        <f aca="false">IF(V4905,IF(01_因子設定!$B$13="最大化",T4905-01_因子設定!$B$14,IF(01_因子設定!$B$13="最小化",01_因子設定!$B$15-U4905,MIN(T4905-01_因子設定!$B$14,01_因子設定!$B$15-U4905))),-1E+030)</f>
        <v>-1.04339426554255</v>
      </c>
      <c r="X4905" s="55" t="n">
        <f aca="false">IF(V4905,IF(01_因子設定!$B$13="最大化",Q4905,IF(01_因子設定!$B$13="最小化",-Q4905,-ABS(Q4905-01_因子設定!$B$16))),-1E+030)</f>
        <v>48.6570454545455</v>
      </c>
      <c r="Y4905" s="55" t="n">
        <f aca="false">W4905+ROW()*0.000000001</f>
        <v>-1.04338936054255</v>
      </c>
      <c r="Z4905" s="55" t="n">
        <f aca="false">X4905+ROW()*0.000000001</f>
        <v>48.6570503595455</v>
      </c>
    </row>
    <row r="4906" customFormat="false" ht="15" hidden="false" customHeight="false" outlineLevel="0" collapsed="false">
      <c r="A4906" s="0" t="n">
        <v>16</v>
      </c>
      <c r="B4906" s="0" t="n">
        <v>16</v>
      </c>
      <c r="C4906" s="0" t="n">
        <v>5</v>
      </c>
      <c r="D4906" s="0" t="n">
        <f aca="false">-1+A4906*0.125</f>
        <v>1</v>
      </c>
      <c r="E4906" s="0" t="n">
        <f aca="false">-1+B4906*0.125</f>
        <v>1</v>
      </c>
      <c r="F4906" s="0" t="n">
        <f aca="false">-1+C4906*0.125</f>
        <v>-0.375</v>
      </c>
      <c r="G4906" s="0" t="n">
        <f aca="false">1</f>
        <v>1</v>
      </c>
      <c r="H4906" s="0" t="n">
        <f aca="false">D4906</f>
        <v>1</v>
      </c>
      <c r="I4906" s="0" t="n">
        <f aca="false">E4906</f>
        <v>1</v>
      </c>
      <c r="J4906" s="0" t="n">
        <f aca="false">F4906</f>
        <v>-0.375</v>
      </c>
      <c r="K4906" s="0" t="n">
        <f aca="false">D4906*E4906</f>
        <v>1</v>
      </c>
      <c r="L4906" s="0" t="n">
        <f aca="false">D4906*F4906</f>
        <v>-0.375</v>
      </c>
      <c r="M4906" s="0" t="n">
        <f aca="false">E4906*F4906</f>
        <v>-0.375</v>
      </c>
      <c r="N4906" s="0" t="n">
        <f aca="false">D4906*D4906</f>
        <v>1</v>
      </c>
      <c r="O4906" s="0" t="n">
        <f aca="false">E4906*E4906</f>
        <v>1</v>
      </c>
      <c r="P4906" s="0" t="n">
        <f aca="false">F4906*F4906</f>
        <v>0.140625</v>
      </c>
      <c r="Q4906" s="0" t="n">
        <f aca="false">SUMPRODUCT(G4906:P4906,_XtX!$B$71:$K$71)</f>
        <v>48.9958096590909</v>
      </c>
      <c r="R4906" s="0" t="n">
        <f aca="false">SUMPRODUCT(MMULT(G4906:P4906,_XtX!$B$58:$K$67),G4906:P4906)</f>
        <v>0.682830255681818</v>
      </c>
      <c r="S4906" s="0" t="n">
        <f aca="false">04_回帰ANOVA!$K$19*04_回帰ANOVA!$K$14*SQRT(1+R4906)</f>
        <v>1.20610964896955</v>
      </c>
      <c r="T4906" s="0" t="n">
        <f aca="false">Q4906-S4906</f>
        <v>47.7897000101214</v>
      </c>
      <c r="U4906" s="0" t="n">
        <f aca="false">Q4906+S4906</f>
        <v>50.2019193080605</v>
      </c>
      <c r="V4906" s="54" t="b">
        <f aca="false">AND(D4906&gt;=01_因子設定!$L$5-0.000000001,D4906&lt;=01_因子設定!$M$5+0.000000001,E4906&gt;=01_因子設定!$L$6-0.000000001,E4906&lt;=01_因子設定!$M$6+0.000000001,F4906&gt;=01_因子設定!$L$7-0.000000001,F4906&lt;=01_因子設定!$M$7+0.000000001,IF(01_因子設定!$B$20="Box-Behnken",D4906^2+E4906^2+F4906^2&lt;=2+0.000000001,TRUE()))</f>
        <v>1</v>
      </c>
      <c r="W4906" s="55" t="n">
        <f aca="false">IF(V4906,IF(01_因子設定!$B$13="最大化",T4906-01_因子設定!$B$14,IF(01_因子設定!$B$13="最小化",01_因子設定!$B$15-U4906,MIN(T4906-01_因子設定!$B$14,01_因子設定!$B$15-U4906))),-1E+030)</f>
        <v>-0.710299989878642</v>
      </c>
      <c r="X4906" s="55" t="n">
        <f aca="false">IF(V4906,IF(01_因子設定!$B$13="最大化",Q4906,IF(01_因子設定!$B$13="最小化",-Q4906,-ABS(Q4906-01_因子設定!$B$16))),-1E+030)</f>
        <v>48.9958096590909</v>
      </c>
      <c r="Y4906" s="55" t="n">
        <f aca="false">W4906+ROW()*0.000000001</f>
        <v>-0.710295083878642</v>
      </c>
      <c r="Z4906" s="55" t="n">
        <f aca="false">X4906+ROW()*0.000000001</f>
        <v>48.9958145650909</v>
      </c>
    </row>
    <row r="4907" customFormat="false" ht="15" hidden="false" customHeight="false" outlineLevel="0" collapsed="false">
      <c r="A4907" s="0" t="n">
        <v>16</v>
      </c>
      <c r="B4907" s="0" t="n">
        <v>16</v>
      </c>
      <c r="C4907" s="0" t="n">
        <v>6</v>
      </c>
      <c r="D4907" s="0" t="n">
        <f aca="false">-1+A4907*0.125</f>
        <v>1</v>
      </c>
      <c r="E4907" s="0" t="n">
        <f aca="false">-1+B4907*0.125</f>
        <v>1</v>
      </c>
      <c r="F4907" s="0" t="n">
        <f aca="false">-1+C4907*0.125</f>
        <v>-0.25</v>
      </c>
      <c r="G4907" s="0" t="n">
        <f aca="false">1</f>
        <v>1</v>
      </c>
      <c r="H4907" s="0" t="n">
        <f aca="false">D4907</f>
        <v>1</v>
      </c>
      <c r="I4907" s="0" t="n">
        <f aca="false">E4907</f>
        <v>1</v>
      </c>
      <c r="J4907" s="0" t="n">
        <f aca="false">F4907</f>
        <v>-0.25</v>
      </c>
      <c r="K4907" s="0" t="n">
        <f aca="false">D4907*E4907</f>
        <v>1</v>
      </c>
      <c r="L4907" s="0" t="n">
        <f aca="false">D4907*F4907</f>
        <v>-0.25</v>
      </c>
      <c r="M4907" s="0" t="n">
        <f aca="false">E4907*F4907</f>
        <v>-0.25</v>
      </c>
      <c r="N4907" s="0" t="n">
        <f aca="false">D4907*D4907</f>
        <v>1</v>
      </c>
      <c r="O4907" s="0" t="n">
        <f aca="false">E4907*E4907</f>
        <v>1</v>
      </c>
      <c r="P4907" s="0" t="n">
        <f aca="false">F4907*F4907</f>
        <v>0.0625</v>
      </c>
      <c r="Q4907" s="0" t="n">
        <f aca="false">SUMPRODUCT(G4907:P4907,_XtX!$B$71:$K$71)</f>
        <v>49.2977840909091</v>
      </c>
      <c r="R4907" s="0" t="n">
        <f aca="false">SUMPRODUCT(MMULT(G4907:P4907,_XtX!$B$58:$K$67),G4907:P4907)</f>
        <v>0.699431818181818</v>
      </c>
      <c r="S4907" s="0" t="n">
        <f aca="false">04_回帰ANOVA!$K$19*04_回帰ANOVA!$K$14*SQRT(1+R4907)</f>
        <v>1.21204434231192</v>
      </c>
      <c r="T4907" s="0" t="n">
        <f aca="false">Q4907-S4907</f>
        <v>48.0857397485972</v>
      </c>
      <c r="U4907" s="0" t="n">
        <f aca="false">Q4907+S4907</f>
        <v>50.509828433221</v>
      </c>
      <c r="V4907" s="54" t="b">
        <f aca="false">AND(D4907&gt;=01_因子設定!$L$5-0.000000001,D4907&lt;=01_因子設定!$M$5+0.000000001,E4907&gt;=01_因子設定!$L$6-0.000000001,E4907&lt;=01_因子設定!$M$6+0.000000001,F4907&gt;=01_因子設定!$L$7-0.000000001,F4907&lt;=01_因子設定!$M$7+0.000000001,IF(01_因子設定!$B$20="Box-Behnken",D4907^2+E4907^2+F4907^2&lt;=2+0.000000001,TRUE()))</f>
        <v>1</v>
      </c>
      <c r="W4907" s="55" t="n">
        <f aca="false">IF(V4907,IF(01_因子設定!$B$13="最大化",T4907-01_因子設定!$B$14,IF(01_因子設定!$B$13="最小化",01_因子設定!$B$15-U4907,MIN(T4907-01_因子設定!$B$14,01_因子設定!$B$15-U4907))),-1E+030)</f>
        <v>-0.414260251402837</v>
      </c>
      <c r="X4907" s="55" t="n">
        <f aca="false">IF(V4907,IF(01_因子設定!$B$13="最大化",Q4907,IF(01_因子設定!$B$13="最小化",-Q4907,-ABS(Q4907-01_因子設定!$B$16))),-1E+030)</f>
        <v>49.2977840909091</v>
      </c>
      <c r="Y4907" s="55" t="n">
        <f aca="false">W4907+ROW()*0.000000001</f>
        <v>-0.414255344402837</v>
      </c>
      <c r="Z4907" s="55" t="n">
        <f aca="false">X4907+ROW()*0.000000001</f>
        <v>49.2977889979091</v>
      </c>
    </row>
    <row r="4908" customFormat="false" ht="15" hidden="false" customHeight="false" outlineLevel="0" collapsed="false">
      <c r="A4908" s="0" t="n">
        <v>16</v>
      </c>
      <c r="B4908" s="0" t="n">
        <v>16</v>
      </c>
      <c r="C4908" s="0" t="n">
        <v>7</v>
      </c>
      <c r="D4908" s="0" t="n">
        <f aca="false">-1+A4908*0.125</f>
        <v>1</v>
      </c>
      <c r="E4908" s="0" t="n">
        <f aca="false">-1+B4908*0.125</f>
        <v>1</v>
      </c>
      <c r="F4908" s="0" t="n">
        <f aca="false">-1+C4908*0.125</f>
        <v>-0.125</v>
      </c>
      <c r="G4908" s="0" t="n">
        <f aca="false">1</f>
        <v>1</v>
      </c>
      <c r="H4908" s="0" t="n">
        <f aca="false">D4908</f>
        <v>1</v>
      </c>
      <c r="I4908" s="0" t="n">
        <f aca="false">E4908</f>
        <v>1</v>
      </c>
      <c r="J4908" s="0" t="n">
        <f aca="false">F4908</f>
        <v>-0.125</v>
      </c>
      <c r="K4908" s="0" t="n">
        <f aca="false">D4908*E4908</f>
        <v>1</v>
      </c>
      <c r="L4908" s="0" t="n">
        <f aca="false">D4908*F4908</f>
        <v>-0.125</v>
      </c>
      <c r="M4908" s="0" t="n">
        <f aca="false">E4908*F4908</f>
        <v>-0.125</v>
      </c>
      <c r="N4908" s="0" t="n">
        <f aca="false">D4908*D4908</f>
        <v>1</v>
      </c>
      <c r="O4908" s="0" t="n">
        <f aca="false">E4908*E4908</f>
        <v>1</v>
      </c>
      <c r="P4908" s="0" t="n">
        <f aca="false">F4908*F4908</f>
        <v>0.015625</v>
      </c>
      <c r="Q4908" s="0" t="n">
        <f aca="false">SUMPRODUCT(G4908:P4908,_XtX!$B$71:$K$71)</f>
        <v>49.56296875</v>
      </c>
      <c r="R4908" s="0" t="n">
        <f aca="false">SUMPRODUCT(MMULT(G4908:P4908,_XtX!$B$58:$K$67),G4908:P4908)</f>
        <v>0.7115234375</v>
      </c>
      <c r="S4908" s="0" t="n">
        <f aca="false">04_回帰ANOVA!$K$19*04_回帰ANOVA!$K$14*SQRT(1+R4908)</f>
        <v>1.21634860506574</v>
      </c>
      <c r="T4908" s="0" t="n">
        <f aca="false">Q4908-S4908</f>
        <v>48.3466201449343</v>
      </c>
      <c r="U4908" s="0" t="n">
        <f aca="false">Q4908+S4908</f>
        <v>50.7793173550657</v>
      </c>
      <c r="V4908" s="54" t="b">
        <f aca="false">AND(D4908&gt;=01_因子設定!$L$5-0.000000001,D4908&lt;=01_因子設定!$M$5+0.000000001,E4908&gt;=01_因子設定!$L$6-0.000000001,E4908&lt;=01_因子設定!$M$6+0.000000001,F4908&gt;=01_因子設定!$L$7-0.000000001,F4908&lt;=01_因子設定!$M$7+0.000000001,IF(01_因子設定!$B$20="Box-Behnken",D4908^2+E4908^2+F4908^2&lt;=2+0.000000001,TRUE()))</f>
        <v>1</v>
      </c>
      <c r="W4908" s="55" t="n">
        <f aca="false">IF(V4908,IF(01_因子設定!$B$13="最大化",T4908-01_因子設定!$B$14,IF(01_因子設定!$B$13="最小化",01_因子設定!$B$15-U4908,MIN(T4908-01_因子設定!$B$14,01_因子設定!$B$15-U4908))),-1E+030)</f>
        <v>-0.153379855065744</v>
      </c>
      <c r="X4908" s="55" t="n">
        <f aca="false">IF(V4908,IF(01_因子設定!$B$13="最大化",Q4908,IF(01_因子設定!$B$13="最小化",-Q4908,-ABS(Q4908-01_因子設定!$B$16))),-1E+030)</f>
        <v>49.56296875</v>
      </c>
      <c r="Y4908" s="55" t="n">
        <f aca="false">W4908+ROW()*0.000000001</f>
        <v>-0.153374947065744</v>
      </c>
      <c r="Z4908" s="55" t="n">
        <f aca="false">X4908+ROW()*0.000000001</f>
        <v>49.562973658</v>
      </c>
    </row>
    <row r="4909" customFormat="false" ht="15" hidden="false" customHeight="false" outlineLevel="0" collapsed="false">
      <c r="A4909" s="0" t="n">
        <v>16</v>
      </c>
      <c r="B4909" s="0" t="n">
        <v>16</v>
      </c>
      <c r="C4909" s="0" t="n">
        <v>8</v>
      </c>
      <c r="D4909" s="0" t="n">
        <f aca="false">-1+A4909*0.125</f>
        <v>1</v>
      </c>
      <c r="E4909" s="0" t="n">
        <f aca="false">-1+B4909*0.125</f>
        <v>1</v>
      </c>
      <c r="F4909" s="0" t="n">
        <f aca="false">-1+C4909*0.125</f>
        <v>0</v>
      </c>
      <c r="G4909" s="0" t="n">
        <f aca="false">1</f>
        <v>1</v>
      </c>
      <c r="H4909" s="0" t="n">
        <f aca="false">D4909</f>
        <v>1</v>
      </c>
      <c r="I4909" s="0" t="n">
        <f aca="false">E4909</f>
        <v>1</v>
      </c>
      <c r="J4909" s="0" t="n">
        <f aca="false">F4909</f>
        <v>0</v>
      </c>
      <c r="K4909" s="0" t="n">
        <f aca="false">D4909*E4909</f>
        <v>1</v>
      </c>
      <c r="L4909" s="0" t="n">
        <f aca="false">D4909*F4909</f>
        <v>0</v>
      </c>
      <c r="M4909" s="0" t="n">
        <f aca="false">E4909*F4909</f>
        <v>0</v>
      </c>
      <c r="N4909" s="0" t="n">
        <f aca="false">D4909*D4909</f>
        <v>1</v>
      </c>
      <c r="O4909" s="0" t="n">
        <f aca="false">E4909*E4909</f>
        <v>1</v>
      </c>
      <c r="P4909" s="0" t="n">
        <f aca="false">F4909*F4909</f>
        <v>0</v>
      </c>
      <c r="Q4909" s="0" t="n">
        <f aca="false">SUMPRODUCT(G4909:P4909,_XtX!$B$71:$K$71)</f>
        <v>49.7913636363636</v>
      </c>
      <c r="R4909" s="0" t="n">
        <f aca="false">SUMPRODUCT(MMULT(G4909:P4909,_XtX!$B$58:$K$67),G4909:P4909)</f>
        <v>0.715909090909091</v>
      </c>
      <c r="S4909" s="0" t="n">
        <f aca="false">04_回帰ANOVA!$K$19*04_回帰ANOVA!$K$14*SQRT(1+R4909)</f>
        <v>1.21790601011063</v>
      </c>
      <c r="T4909" s="0" t="n">
        <f aca="false">Q4909-S4909</f>
        <v>48.573457626253</v>
      </c>
      <c r="U4909" s="0" t="n">
        <f aca="false">Q4909+S4909</f>
        <v>51.0092696464743</v>
      </c>
      <c r="V4909" s="54" t="b">
        <f aca="false">AND(D4909&gt;=01_因子設定!$L$5-0.000000001,D4909&lt;=01_因子設定!$M$5+0.000000001,E4909&gt;=01_因子設定!$L$6-0.000000001,E4909&lt;=01_因子設定!$M$6+0.000000001,F4909&gt;=01_因子設定!$L$7-0.000000001,F4909&lt;=01_因子設定!$M$7+0.000000001,IF(01_因子設定!$B$20="Box-Behnken",D4909^2+E4909^2+F4909^2&lt;=2+0.000000001,TRUE()))</f>
        <v>1</v>
      </c>
      <c r="W4909" s="55" t="n">
        <f aca="false">IF(V4909,IF(01_因子設定!$B$13="最大化",T4909-01_因子設定!$B$14,IF(01_因子設定!$B$13="最小化",01_因子設定!$B$15-U4909,MIN(T4909-01_因子設定!$B$14,01_因子設定!$B$15-U4909))),-1E+030)</f>
        <v>0.0734576262530027</v>
      </c>
      <c r="X4909" s="55" t="n">
        <f aca="false">IF(V4909,IF(01_因子設定!$B$13="最大化",Q4909,IF(01_因子設定!$B$13="最小化",-Q4909,-ABS(Q4909-01_因子設定!$B$16))),-1E+030)</f>
        <v>49.7913636363636</v>
      </c>
      <c r="Y4909" s="55" t="n">
        <f aca="false">W4909+ROW()*0.000000001</f>
        <v>0.0734625352530027</v>
      </c>
      <c r="Z4909" s="55" t="n">
        <f aca="false">X4909+ROW()*0.000000001</f>
        <v>49.7913685453636</v>
      </c>
    </row>
    <row r="4910" customFormat="false" ht="15" hidden="false" customHeight="false" outlineLevel="0" collapsed="false">
      <c r="A4910" s="0" t="n">
        <v>16</v>
      </c>
      <c r="B4910" s="0" t="n">
        <v>16</v>
      </c>
      <c r="C4910" s="0" t="n">
        <v>9</v>
      </c>
      <c r="D4910" s="0" t="n">
        <f aca="false">-1+A4910*0.125</f>
        <v>1</v>
      </c>
      <c r="E4910" s="0" t="n">
        <f aca="false">-1+B4910*0.125</f>
        <v>1</v>
      </c>
      <c r="F4910" s="0" t="n">
        <f aca="false">-1+C4910*0.125</f>
        <v>0.125</v>
      </c>
      <c r="G4910" s="0" t="n">
        <f aca="false">1</f>
        <v>1</v>
      </c>
      <c r="H4910" s="0" t="n">
        <f aca="false">D4910</f>
        <v>1</v>
      </c>
      <c r="I4910" s="0" t="n">
        <f aca="false">E4910</f>
        <v>1</v>
      </c>
      <c r="J4910" s="0" t="n">
        <f aca="false">F4910</f>
        <v>0.125</v>
      </c>
      <c r="K4910" s="0" t="n">
        <f aca="false">D4910*E4910</f>
        <v>1</v>
      </c>
      <c r="L4910" s="0" t="n">
        <f aca="false">D4910*F4910</f>
        <v>0.125</v>
      </c>
      <c r="M4910" s="0" t="n">
        <f aca="false">E4910*F4910</f>
        <v>0.125</v>
      </c>
      <c r="N4910" s="0" t="n">
        <f aca="false">D4910*D4910</f>
        <v>1</v>
      </c>
      <c r="O4910" s="0" t="n">
        <f aca="false">E4910*E4910</f>
        <v>1</v>
      </c>
      <c r="P4910" s="0" t="n">
        <f aca="false">F4910*F4910</f>
        <v>0.015625</v>
      </c>
      <c r="Q4910" s="0" t="n">
        <f aca="false">SUMPRODUCT(G4910:P4910,_XtX!$B$71:$K$71)</f>
        <v>49.98296875</v>
      </c>
      <c r="R4910" s="0" t="n">
        <f aca="false">SUMPRODUCT(MMULT(G4910:P4910,_XtX!$B$58:$K$67),G4910:P4910)</f>
        <v>0.7115234375</v>
      </c>
      <c r="S4910" s="0" t="n">
        <f aca="false">04_回帰ANOVA!$K$19*04_回帰ANOVA!$K$14*SQRT(1+R4910)</f>
        <v>1.21634860506574</v>
      </c>
      <c r="T4910" s="0" t="n">
        <f aca="false">Q4910-S4910</f>
        <v>48.7666201449343</v>
      </c>
      <c r="U4910" s="0" t="n">
        <f aca="false">Q4910+S4910</f>
        <v>51.1993173550657</v>
      </c>
      <c r="V4910" s="54" t="b">
        <f aca="false">AND(D4910&gt;=01_因子設定!$L$5-0.000000001,D4910&lt;=01_因子設定!$M$5+0.000000001,E4910&gt;=01_因子設定!$L$6-0.000000001,E4910&lt;=01_因子設定!$M$6+0.000000001,F4910&gt;=01_因子設定!$L$7-0.000000001,F4910&lt;=01_因子設定!$M$7+0.000000001,IF(01_因子設定!$B$20="Box-Behnken",D4910^2+E4910^2+F4910^2&lt;=2+0.000000001,TRUE()))</f>
        <v>1</v>
      </c>
      <c r="W4910" s="55" t="n">
        <f aca="false">IF(V4910,IF(01_因子設定!$B$13="最大化",T4910-01_因子設定!$B$14,IF(01_因子設定!$B$13="最小化",01_因子設定!$B$15-U4910,MIN(T4910-01_因子設定!$B$14,01_因子設定!$B$15-U4910))),-1E+030)</f>
        <v>0.266620144934258</v>
      </c>
      <c r="X4910" s="55" t="n">
        <f aca="false">IF(V4910,IF(01_因子設定!$B$13="最大化",Q4910,IF(01_因子設定!$B$13="最小化",-Q4910,-ABS(Q4910-01_因子設定!$B$16))),-1E+030)</f>
        <v>49.98296875</v>
      </c>
      <c r="Y4910" s="55" t="n">
        <f aca="false">W4910+ROW()*0.000000001</f>
        <v>0.266625054934258</v>
      </c>
      <c r="Z4910" s="55" t="n">
        <f aca="false">X4910+ROW()*0.000000001</f>
        <v>49.98297366</v>
      </c>
    </row>
    <row r="4911" customFormat="false" ht="15" hidden="false" customHeight="false" outlineLevel="0" collapsed="false">
      <c r="A4911" s="0" t="n">
        <v>16</v>
      </c>
      <c r="B4911" s="0" t="n">
        <v>16</v>
      </c>
      <c r="C4911" s="0" t="n">
        <v>10</v>
      </c>
      <c r="D4911" s="0" t="n">
        <f aca="false">-1+A4911*0.125</f>
        <v>1</v>
      </c>
      <c r="E4911" s="0" t="n">
        <f aca="false">-1+B4911*0.125</f>
        <v>1</v>
      </c>
      <c r="F4911" s="0" t="n">
        <f aca="false">-1+C4911*0.125</f>
        <v>0.25</v>
      </c>
      <c r="G4911" s="0" t="n">
        <f aca="false">1</f>
        <v>1</v>
      </c>
      <c r="H4911" s="0" t="n">
        <f aca="false">D4911</f>
        <v>1</v>
      </c>
      <c r="I4911" s="0" t="n">
        <f aca="false">E4911</f>
        <v>1</v>
      </c>
      <c r="J4911" s="0" t="n">
        <f aca="false">F4911</f>
        <v>0.25</v>
      </c>
      <c r="K4911" s="0" t="n">
        <f aca="false">D4911*E4911</f>
        <v>1</v>
      </c>
      <c r="L4911" s="0" t="n">
        <f aca="false">D4911*F4911</f>
        <v>0.25</v>
      </c>
      <c r="M4911" s="0" t="n">
        <f aca="false">E4911*F4911</f>
        <v>0.25</v>
      </c>
      <c r="N4911" s="0" t="n">
        <f aca="false">D4911*D4911</f>
        <v>1</v>
      </c>
      <c r="O4911" s="0" t="n">
        <f aca="false">E4911*E4911</f>
        <v>1</v>
      </c>
      <c r="P4911" s="0" t="n">
        <f aca="false">F4911*F4911</f>
        <v>0.0625</v>
      </c>
      <c r="Q4911" s="0" t="n">
        <f aca="false">SUMPRODUCT(G4911:P4911,_XtX!$B$71:$K$71)</f>
        <v>50.1377840909091</v>
      </c>
      <c r="R4911" s="0" t="n">
        <f aca="false">SUMPRODUCT(MMULT(G4911:P4911,_XtX!$B$58:$K$67),G4911:P4911)</f>
        <v>0.699431818181818</v>
      </c>
      <c r="S4911" s="0" t="n">
        <f aca="false">04_回帰ANOVA!$K$19*04_回帰ANOVA!$K$14*SQRT(1+R4911)</f>
        <v>1.21204434231192</v>
      </c>
      <c r="T4911" s="0" t="n">
        <f aca="false">Q4911-S4911</f>
        <v>48.9257397485972</v>
      </c>
      <c r="U4911" s="0" t="n">
        <f aca="false">Q4911+S4911</f>
        <v>51.349828433221</v>
      </c>
      <c r="V4911" s="54" t="b">
        <f aca="false">AND(D4911&gt;=01_因子設定!$L$5-0.000000001,D4911&lt;=01_因子設定!$M$5+0.000000001,E4911&gt;=01_因子設定!$L$6-0.000000001,E4911&lt;=01_因子設定!$M$6+0.000000001,F4911&gt;=01_因子設定!$L$7-0.000000001,F4911&lt;=01_因子設定!$M$7+0.000000001,IF(01_因子設定!$B$20="Box-Behnken",D4911^2+E4911^2+F4911^2&lt;=2+0.000000001,TRUE()))</f>
        <v>1</v>
      </c>
      <c r="W4911" s="55" t="n">
        <f aca="false">IF(V4911,IF(01_因子設定!$B$13="最大化",T4911-01_因子設定!$B$14,IF(01_因子設定!$B$13="最小化",01_因子設定!$B$15-U4911,MIN(T4911-01_因子設定!$B$14,01_因子設定!$B$15-U4911))),-1E+030)</f>
        <v>0.425739748597167</v>
      </c>
      <c r="X4911" s="55" t="n">
        <f aca="false">IF(V4911,IF(01_因子設定!$B$13="最大化",Q4911,IF(01_因子設定!$B$13="最小化",-Q4911,-ABS(Q4911-01_因子設定!$B$16))),-1E+030)</f>
        <v>50.1377840909091</v>
      </c>
      <c r="Y4911" s="55" t="n">
        <f aca="false">W4911+ROW()*0.000000001</f>
        <v>0.425744659597167</v>
      </c>
      <c r="Z4911" s="55" t="n">
        <f aca="false">X4911+ROW()*0.000000001</f>
        <v>50.1377890019091</v>
      </c>
    </row>
    <row r="4912" customFormat="false" ht="15" hidden="false" customHeight="false" outlineLevel="0" collapsed="false">
      <c r="A4912" s="0" t="n">
        <v>16</v>
      </c>
      <c r="B4912" s="0" t="n">
        <v>16</v>
      </c>
      <c r="C4912" s="0" t="n">
        <v>11</v>
      </c>
      <c r="D4912" s="0" t="n">
        <f aca="false">-1+A4912*0.125</f>
        <v>1</v>
      </c>
      <c r="E4912" s="0" t="n">
        <f aca="false">-1+B4912*0.125</f>
        <v>1</v>
      </c>
      <c r="F4912" s="0" t="n">
        <f aca="false">-1+C4912*0.125</f>
        <v>0.375</v>
      </c>
      <c r="G4912" s="0" t="n">
        <f aca="false">1</f>
        <v>1</v>
      </c>
      <c r="H4912" s="0" t="n">
        <f aca="false">D4912</f>
        <v>1</v>
      </c>
      <c r="I4912" s="0" t="n">
        <f aca="false">E4912</f>
        <v>1</v>
      </c>
      <c r="J4912" s="0" t="n">
        <f aca="false">F4912</f>
        <v>0.375</v>
      </c>
      <c r="K4912" s="0" t="n">
        <f aca="false">D4912*E4912</f>
        <v>1</v>
      </c>
      <c r="L4912" s="0" t="n">
        <f aca="false">D4912*F4912</f>
        <v>0.375</v>
      </c>
      <c r="M4912" s="0" t="n">
        <f aca="false">E4912*F4912</f>
        <v>0.375</v>
      </c>
      <c r="N4912" s="0" t="n">
        <f aca="false">D4912*D4912</f>
        <v>1</v>
      </c>
      <c r="O4912" s="0" t="n">
        <f aca="false">E4912*E4912</f>
        <v>1</v>
      </c>
      <c r="P4912" s="0" t="n">
        <f aca="false">F4912*F4912</f>
        <v>0.140625</v>
      </c>
      <c r="Q4912" s="0" t="n">
        <f aca="false">SUMPRODUCT(G4912:P4912,_XtX!$B$71:$K$71)</f>
        <v>50.2558096590909</v>
      </c>
      <c r="R4912" s="0" t="n">
        <f aca="false">SUMPRODUCT(MMULT(G4912:P4912,_XtX!$B$58:$K$67),G4912:P4912)</f>
        <v>0.682830255681818</v>
      </c>
      <c r="S4912" s="0" t="n">
        <f aca="false">04_回帰ANOVA!$K$19*04_回帰ANOVA!$K$14*SQRT(1+R4912)</f>
        <v>1.20610964896955</v>
      </c>
      <c r="T4912" s="0" t="n">
        <f aca="false">Q4912-S4912</f>
        <v>49.0497000101214</v>
      </c>
      <c r="U4912" s="0" t="n">
        <f aca="false">Q4912+S4912</f>
        <v>51.4619193080604</v>
      </c>
      <c r="V4912" s="54" t="b">
        <f aca="false">AND(D4912&gt;=01_因子設定!$L$5-0.000000001,D4912&lt;=01_因子設定!$M$5+0.000000001,E4912&gt;=01_因子設定!$L$6-0.000000001,E4912&lt;=01_因子設定!$M$6+0.000000001,F4912&gt;=01_因子設定!$L$7-0.000000001,F4912&lt;=01_因子設定!$M$7+0.000000001,IF(01_因子設定!$B$20="Box-Behnken",D4912^2+E4912^2+F4912^2&lt;=2+0.000000001,TRUE()))</f>
        <v>1</v>
      </c>
      <c r="W4912" s="55" t="n">
        <f aca="false">IF(V4912,IF(01_因子設定!$B$13="最大化",T4912-01_因子設定!$B$14,IF(01_因子設定!$B$13="最小化",01_因子設定!$B$15-U4912,MIN(T4912-01_因子設定!$B$14,01_因子設定!$B$15-U4912))),-1E+030)</f>
        <v>0.549700010121356</v>
      </c>
      <c r="X4912" s="55" t="n">
        <f aca="false">IF(V4912,IF(01_因子設定!$B$13="最大化",Q4912,IF(01_因子設定!$B$13="最小化",-Q4912,-ABS(Q4912-01_因子設定!$B$16))),-1E+030)</f>
        <v>50.2558096590909</v>
      </c>
      <c r="Y4912" s="55" t="n">
        <f aca="false">W4912+ROW()*0.000000001</f>
        <v>0.549704922121356</v>
      </c>
      <c r="Z4912" s="55" t="n">
        <f aca="false">X4912+ROW()*0.000000001</f>
        <v>50.2558145710909</v>
      </c>
    </row>
    <row r="4913" customFormat="false" ht="15" hidden="false" customHeight="false" outlineLevel="0" collapsed="false">
      <c r="A4913" s="0" t="n">
        <v>16</v>
      </c>
      <c r="B4913" s="0" t="n">
        <v>16</v>
      </c>
      <c r="C4913" s="0" t="n">
        <v>12</v>
      </c>
      <c r="D4913" s="0" t="n">
        <f aca="false">-1+A4913*0.125</f>
        <v>1</v>
      </c>
      <c r="E4913" s="0" t="n">
        <f aca="false">-1+B4913*0.125</f>
        <v>1</v>
      </c>
      <c r="F4913" s="0" t="n">
        <f aca="false">-1+C4913*0.125</f>
        <v>0.5</v>
      </c>
      <c r="G4913" s="0" t="n">
        <f aca="false">1</f>
        <v>1</v>
      </c>
      <c r="H4913" s="0" t="n">
        <f aca="false">D4913</f>
        <v>1</v>
      </c>
      <c r="I4913" s="0" t="n">
        <f aca="false">E4913</f>
        <v>1</v>
      </c>
      <c r="J4913" s="0" t="n">
        <f aca="false">F4913</f>
        <v>0.5</v>
      </c>
      <c r="K4913" s="0" t="n">
        <f aca="false">D4913*E4913</f>
        <v>1</v>
      </c>
      <c r="L4913" s="0" t="n">
        <f aca="false">D4913*F4913</f>
        <v>0.5</v>
      </c>
      <c r="M4913" s="0" t="n">
        <f aca="false">E4913*F4913</f>
        <v>0.5</v>
      </c>
      <c r="N4913" s="0" t="n">
        <f aca="false">D4913*D4913</f>
        <v>1</v>
      </c>
      <c r="O4913" s="0" t="n">
        <f aca="false">E4913*E4913</f>
        <v>1</v>
      </c>
      <c r="P4913" s="0" t="n">
        <f aca="false">F4913*F4913</f>
        <v>0.25</v>
      </c>
      <c r="Q4913" s="0" t="n">
        <f aca="false">SUMPRODUCT(G4913:P4913,_XtX!$B$71:$K$71)</f>
        <v>50.3370454545455</v>
      </c>
      <c r="R4913" s="0" t="n">
        <f aca="false">SUMPRODUCT(MMULT(G4913:P4913,_XtX!$B$58:$K$67),G4913:P4913)</f>
        <v>0.667045454545455</v>
      </c>
      <c r="S4913" s="0" t="n">
        <f aca="false">04_回帰ANOVA!$K$19*04_回帰ANOVA!$K$14*SQRT(1+R4913)</f>
        <v>1.200439720088</v>
      </c>
      <c r="T4913" s="0" t="n">
        <f aca="false">Q4913-S4913</f>
        <v>49.1366057344575</v>
      </c>
      <c r="U4913" s="0" t="n">
        <f aca="false">Q4913+S4913</f>
        <v>51.5374851746335</v>
      </c>
      <c r="V4913" s="54" t="b">
        <f aca="false">AND(D4913&gt;=01_因子設定!$L$5-0.000000001,D4913&lt;=01_因子設定!$M$5+0.000000001,E4913&gt;=01_因子設定!$L$6-0.000000001,E4913&lt;=01_因子設定!$M$6+0.000000001,F4913&gt;=01_因子設定!$L$7-0.000000001,F4913&lt;=01_因子設定!$M$7+0.000000001,IF(01_因子設定!$B$20="Box-Behnken",D4913^2+E4913^2+F4913^2&lt;=2+0.000000001,TRUE()))</f>
        <v>1</v>
      </c>
      <c r="W4913" s="55" t="n">
        <f aca="false">IF(V4913,IF(01_因子設定!$B$13="最大化",T4913-01_因子設定!$B$14,IF(01_因子設定!$B$13="最小化",01_因子設定!$B$15-U4913,MIN(T4913-01_因子設定!$B$14,01_因子設定!$B$15-U4913))),-1E+030)</f>
        <v>0.636605734457454</v>
      </c>
      <c r="X4913" s="55" t="n">
        <f aca="false">IF(V4913,IF(01_因子設定!$B$13="最大化",Q4913,IF(01_因子設定!$B$13="最小化",-Q4913,-ABS(Q4913-01_因子設定!$B$16))),-1E+030)</f>
        <v>50.3370454545455</v>
      </c>
      <c r="Y4913" s="55" t="n">
        <f aca="false">W4913+ROW()*0.000000001</f>
        <v>0.636610647457454</v>
      </c>
      <c r="Z4913" s="55" t="n">
        <f aca="false">X4913+ROW()*0.000000001</f>
        <v>50.3370503675455</v>
      </c>
    </row>
    <row r="4914" customFormat="false" ht="15" hidden="false" customHeight="false" outlineLevel="0" collapsed="false">
      <c r="A4914" s="0" t="n">
        <v>16</v>
      </c>
      <c r="B4914" s="0" t="n">
        <v>16</v>
      </c>
      <c r="C4914" s="0" t="n">
        <v>13</v>
      </c>
      <c r="D4914" s="0" t="n">
        <f aca="false">-1+A4914*0.125</f>
        <v>1</v>
      </c>
      <c r="E4914" s="0" t="n">
        <f aca="false">-1+B4914*0.125</f>
        <v>1</v>
      </c>
      <c r="F4914" s="0" t="n">
        <f aca="false">-1+C4914*0.125</f>
        <v>0.625</v>
      </c>
      <c r="G4914" s="0" t="n">
        <f aca="false">1</f>
        <v>1</v>
      </c>
      <c r="H4914" s="0" t="n">
        <f aca="false">D4914</f>
        <v>1</v>
      </c>
      <c r="I4914" s="0" t="n">
        <f aca="false">E4914</f>
        <v>1</v>
      </c>
      <c r="J4914" s="0" t="n">
        <f aca="false">F4914</f>
        <v>0.625</v>
      </c>
      <c r="K4914" s="0" t="n">
        <f aca="false">D4914*E4914</f>
        <v>1</v>
      </c>
      <c r="L4914" s="0" t="n">
        <f aca="false">D4914*F4914</f>
        <v>0.625</v>
      </c>
      <c r="M4914" s="0" t="n">
        <f aca="false">E4914*F4914</f>
        <v>0.625</v>
      </c>
      <c r="N4914" s="0" t="n">
        <f aca="false">D4914*D4914</f>
        <v>1</v>
      </c>
      <c r="O4914" s="0" t="n">
        <f aca="false">E4914*E4914</f>
        <v>1</v>
      </c>
      <c r="P4914" s="0" t="n">
        <f aca="false">F4914*F4914</f>
        <v>0.390625</v>
      </c>
      <c r="Q4914" s="0" t="n">
        <f aca="false">SUMPRODUCT(G4914:P4914,_XtX!$B$71:$K$71)</f>
        <v>50.3814914772727</v>
      </c>
      <c r="R4914" s="0" t="n">
        <f aca="false">SUMPRODUCT(MMULT(G4914:P4914,_XtX!$B$58:$K$67),G4914:P4914)</f>
        <v>0.659534801136364</v>
      </c>
      <c r="S4914" s="0" t="n">
        <f aca="false">04_回帰ANOVA!$K$19*04_回帰ANOVA!$K$14*SQRT(1+R4914)</f>
        <v>1.19773245593097</v>
      </c>
      <c r="T4914" s="0" t="n">
        <f aca="false">Q4914-S4914</f>
        <v>49.1837590213418</v>
      </c>
      <c r="U4914" s="0" t="n">
        <f aca="false">Q4914+S4914</f>
        <v>51.5792239332037</v>
      </c>
      <c r="V4914" s="54" t="b">
        <f aca="false">AND(D4914&gt;=01_因子設定!$L$5-0.000000001,D4914&lt;=01_因子設定!$M$5+0.000000001,E4914&gt;=01_因子設定!$L$6-0.000000001,E4914&lt;=01_因子設定!$M$6+0.000000001,F4914&gt;=01_因子設定!$L$7-0.000000001,F4914&lt;=01_因子設定!$M$7+0.000000001,IF(01_因子設定!$B$20="Box-Behnken",D4914^2+E4914^2+F4914^2&lt;=2+0.000000001,TRUE()))</f>
        <v>1</v>
      </c>
      <c r="W4914" s="55" t="n">
        <f aca="false">IF(V4914,IF(01_因子設定!$B$13="最大化",T4914-01_因子設定!$B$14,IF(01_因子設定!$B$13="最小化",01_因子設定!$B$15-U4914,MIN(T4914-01_因子設定!$B$14,01_因子設定!$B$15-U4914))),-1E+030)</f>
        <v>0.683759021341757</v>
      </c>
      <c r="X4914" s="55" t="n">
        <f aca="false">IF(V4914,IF(01_因子設定!$B$13="最大化",Q4914,IF(01_因子設定!$B$13="最小化",-Q4914,-ABS(Q4914-01_因子設定!$B$16))),-1E+030)</f>
        <v>50.3814914772727</v>
      </c>
      <c r="Y4914" s="55" t="n">
        <f aca="false">W4914+ROW()*0.000000001</f>
        <v>0.683763935341757</v>
      </c>
      <c r="Z4914" s="55" t="n">
        <f aca="false">X4914+ROW()*0.000000001</f>
        <v>50.3814963912727</v>
      </c>
    </row>
    <row r="4915" customFormat="false" ht="15" hidden="false" customHeight="false" outlineLevel="0" collapsed="false">
      <c r="A4915" s="0" t="n">
        <v>16</v>
      </c>
      <c r="B4915" s="0" t="n">
        <v>16</v>
      </c>
      <c r="C4915" s="0" t="n">
        <v>14</v>
      </c>
      <c r="D4915" s="0" t="n">
        <f aca="false">-1+A4915*0.125</f>
        <v>1</v>
      </c>
      <c r="E4915" s="0" t="n">
        <f aca="false">-1+B4915*0.125</f>
        <v>1</v>
      </c>
      <c r="F4915" s="0" t="n">
        <f aca="false">-1+C4915*0.125</f>
        <v>0.75</v>
      </c>
      <c r="G4915" s="0" t="n">
        <f aca="false">1</f>
        <v>1</v>
      </c>
      <c r="H4915" s="0" t="n">
        <f aca="false">D4915</f>
        <v>1</v>
      </c>
      <c r="I4915" s="0" t="n">
        <f aca="false">E4915</f>
        <v>1</v>
      </c>
      <c r="J4915" s="0" t="n">
        <f aca="false">F4915</f>
        <v>0.75</v>
      </c>
      <c r="K4915" s="0" t="n">
        <f aca="false">D4915*E4915</f>
        <v>1</v>
      </c>
      <c r="L4915" s="0" t="n">
        <f aca="false">D4915*F4915</f>
        <v>0.75</v>
      </c>
      <c r="M4915" s="0" t="n">
        <f aca="false">E4915*F4915</f>
        <v>0.75</v>
      </c>
      <c r="N4915" s="0" t="n">
        <f aca="false">D4915*D4915</f>
        <v>1</v>
      </c>
      <c r="O4915" s="0" t="n">
        <f aca="false">E4915*E4915</f>
        <v>1</v>
      </c>
      <c r="P4915" s="0" t="n">
        <f aca="false">F4915*F4915</f>
        <v>0.5625</v>
      </c>
      <c r="Q4915" s="0" t="n">
        <f aca="false">SUMPRODUCT(G4915:P4915,_XtX!$B$71:$K$71)</f>
        <v>50.3891477272727</v>
      </c>
      <c r="R4915" s="0" t="n">
        <f aca="false">SUMPRODUCT(MMULT(G4915:P4915,_XtX!$B$58:$K$67),G4915:P4915)</f>
        <v>0.669886363636364</v>
      </c>
      <c r="S4915" s="0" t="n">
        <f aca="false">04_回帰ANOVA!$K$19*04_回帰ANOVA!$K$14*SQRT(1+R4915)</f>
        <v>1.20146215423986</v>
      </c>
      <c r="T4915" s="0" t="n">
        <f aca="false">Q4915-S4915</f>
        <v>49.1876855730329</v>
      </c>
      <c r="U4915" s="0" t="n">
        <f aca="false">Q4915+S4915</f>
        <v>51.5906098815126</v>
      </c>
      <c r="V4915" s="54" t="b">
        <f aca="false">AND(D4915&gt;=01_因子設定!$L$5-0.000000001,D4915&lt;=01_因子設定!$M$5+0.000000001,E4915&gt;=01_因子設定!$L$6-0.000000001,E4915&lt;=01_因子設定!$M$6+0.000000001,F4915&gt;=01_因子設定!$L$7-0.000000001,F4915&lt;=01_因子設定!$M$7+0.000000001,IF(01_因子設定!$B$20="Box-Behnken",D4915^2+E4915^2+F4915^2&lt;=2+0.000000001,TRUE()))</f>
        <v>1</v>
      </c>
      <c r="W4915" s="55" t="n">
        <f aca="false">IF(V4915,IF(01_因子設定!$B$13="最大化",T4915-01_因子設定!$B$14,IF(01_因子設定!$B$13="最小化",01_因子設定!$B$15-U4915,MIN(T4915-01_因子設定!$B$14,01_因子設定!$B$15-U4915))),-1E+030)</f>
        <v>0.687685573032866</v>
      </c>
      <c r="X4915" s="55" t="n">
        <f aca="false">IF(V4915,IF(01_因子設定!$B$13="最大化",Q4915,IF(01_因子設定!$B$13="最小化",-Q4915,-ABS(Q4915-01_因子設定!$B$16))),-1E+030)</f>
        <v>50.3891477272727</v>
      </c>
      <c r="Y4915" s="55" t="n">
        <f aca="false">W4915+ROW()*0.000000001</f>
        <v>0.687690488032866</v>
      </c>
      <c r="Z4915" s="55" t="n">
        <f aca="false">X4915+ROW()*0.000000001</f>
        <v>50.3891526422727</v>
      </c>
    </row>
    <row r="4916" customFormat="false" ht="15" hidden="false" customHeight="false" outlineLevel="0" collapsed="false">
      <c r="A4916" s="0" t="n">
        <v>16</v>
      </c>
      <c r="B4916" s="0" t="n">
        <v>16</v>
      </c>
      <c r="C4916" s="0" t="n">
        <v>15</v>
      </c>
      <c r="D4916" s="0" t="n">
        <f aca="false">-1+A4916*0.125</f>
        <v>1</v>
      </c>
      <c r="E4916" s="0" t="n">
        <f aca="false">-1+B4916*0.125</f>
        <v>1</v>
      </c>
      <c r="F4916" s="0" t="n">
        <f aca="false">-1+C4916*0.125</f>
        <v>0.875</v>
      </c>
      <c r="G4916" s="0" t="n">
        <f aca="false">1</f>
        <v>1</v>
      </c>
      <c r="H4916" s="0" t="n">
        <f aca="false">D4916</f>
        <v>1</v>
      </c>
      <c r="I4916" s="0" t="n">
        <f aca="false">E4916</f>
        <v>1</v>
      </c>
      <c r="J4916" s="0" t="n">
        <f aca="false">F4916</f>
        <v>0.875</v>
      </c>
      <c r="K4916" s="0" t="n">
        <f aca="false">D4916*E4916</f>
        <v>1</v>
      </c>
      <c r="L4916" s="0" t="n">
        <f aca="false">D4916*F4916</f>
        <v>0.875</v>
      </c>
      <c r="M4916" s="0" t="n">
        <f aca="false">E4916*F4916</f>
        <v>0.875</v>
      </c>
      <c r="N4916" s="0" t="n">
        <f aca="false">D4916*D4916</f>
        <v>1</v>
      </c>
      <c r="O4916" s="0" t="n">
        <f aca="false">E4916*E4916</f>
        <v>1</v>
      </c>
      <c r="P4916" s="0" t="n">
        <f aca="false">F4916*F4916</f>
        <v>0.765625</v>
      </c>
      <c r="Q4916" s="0" t="n">
        <f aca="false">SUMPRODUCT(G4916:P4916,_XtX!$B$71:$K$71)</f>
        <v>50.3600142045455</v>
      </c>
      <c r="R4916" s="0" t="n">
        <f aca="false">SUMPRODUCT(MMULT(G4916:P4916,_XtX!$B$58:$K$67),G4916:P4916)</f>
        <v>0.709818892045455</v>
      </c>
      <c r="S4916" s="0" t="n">
        <f aca="false">04_回帰ANOVA!$K$19*04_回帰ANOVA!$K$14*SQRT(1+R4916)</f>
        <v>1.21574275944458</v>
      </c>
      <c r="T4916" s="0" t="n">
        <f aca="false">Q4916-S4916</f>
        <v>49.1442714451009</v>
      </c>
      <c r="U4916" s="0" t="n">
        <f aca="false">Q4916+S4916</f>
        <v>51.57575696399</v>
      </c>
      <c r="V4916" s="54" t="b">
        <f aca="false">AND(D4916&gt;=01_因子設定!$L$5-0.000000001,D4916&lt;=01_因子設定!$M$5+0.000000001,E4916&gt;=01_因子設定!$L$6-0.000000001,E4916&lt;=01_因子設定!$M$6+0.000000001,F4916&gt;=01_因子設定!$L$7-0.000000001,F4916&lt;=01_因子設定!$M$7+0.000000001,IF(01_因子設定!$B$20="Box-Behnken",D4916^2+E4916^2+F4916^2&lt;=2+0.000000001,TRUE()))</f>
        <v>1</v>
      </c>
      <c r="W4916" s="55" t="n">
        <f aca="false">IF(V4916,IF(01_因子設定!$B$13="最大化",T4916-01_因子設定!$B$14,IF(01_因子設定!$B$13="最小化",01_因子設定!$B$15-U4916,MIN(T4916-01_因子設定!$B$14,01_因子設定!$B$15-U4916))),-1E+030)</f>
        <v>0.644271445100884</v>
      </c>
      <c r="X4916" s="55" t="n">
        <f aca="false">IF(V4916,IF(01_因子設定!$B$13="最大化",Q4916,IF(01_因子設定!$B$13="最小化",-Q4916,-ABS(Q4916-01_因子設定!$B$16))),-1E+030)</f>
        <v>50.3600142045455</v>
      </c>
      <c r="Y4916" s="55" t="n">
        <f aca="false">W4916+ROW()*0.000000001</f>
        <v>0.644276361100884</v>
      </c>
      <c r="Z4916" s="55" t="n">
        <f aca="false">X4916+ROW()*0.000000001</f>
        <v>50.3600191205455</v>
      </c>
    </row>
    <row r="4917" customFormat="false" ht="15" hidden="false" customHeight="false" outlineLevel="0" collapsed="false">
      <c r="A4917" s="0" t="n">
        <v>16</v>
      </c>
      <c r="B4917" s="0" t="n">
        <v>16</v>
      </c>
      <c r="C4917" s="0" t="n">
        <v>16</v>
      </c>
      <c r="D4917" s="0" t="n">
        <f aca="false">-1+A4917*0.125</f>
        <v>1</v>
      </c>
      <c r="E4917" s="0" t="n">
        <f aca="false">-1+B4917*0.125</f>
        <v>1</v>
      </c>
      <c r="F4917" s="0" t="n">
        <f aca="false">-1+C4917*0.125</f>
        <v>1</v>
      </c>
      <c r="G4917" s="0" t="n">
        <f aca="false">1</f>
        <v>1</v>
      </c>
      <c r="H4917" s="0" t="n">
        <f aca="false">D4917</f>
        <v>1</v>
      </c>
      <c r="I4917" s="0" t="n">
        <f aca="false">E4917</f>
        <v>1</v>
      </c>
      <c r="J4917" s="0" t="n">
        <f aca="false">F4917</f>
        <v>1</v>
      </c>
      <c r="K4917" s="0" t="n">
        <f aca="false">D4917*E4917</f>
        <v>1</v>
      </c>
      <c r="L4917" s="0" t="n">
        <f aca="false">D4917*F4917</f>
        <v>1</v>
      </c>
      <c r="M4917" s="0" t="n">
        <f aca="false">E4917*F4917</f>
        <v>1</v>
      </c>
      <c r="N4917" s="0" t="n">
        <f aca="false">D4917*D4917</f>
        <v>1</v>
      </c>
      <c r="O4917" s="0" t="n">
        <f aca="false">E4917*E4917</f>
        <v>1</v>
      </c>
      <c r="P4917" s="0" t="n">
        <f aca="false">F4917*F4917</f>
        <v>1</v>
      </c>
      <c r="Q4917" s="0" t="n">
        <f aca="false">SUMPRODUCT(G4917:P4917,_XtX!$B$71:$K$71)</f>
        <v>50.2940909090909</v>
      </c>
      <c r="R4917" s="0" t="n">
        <f aca="false">SUMPRODUCT(MMULT(G4917:P4917,_XtX!$B$58:$K$67),G4917:P4917)</f>
        <v>0.793181818181818</v>
      </c>
      <c r="S4917" s="0" t="n">
        <f aca="false">04_回帰ANOVA!$K$19*04_回帰ANOVA!$K$14*SQRT(1+R4917)</f>
        <v>1.24502708501444</v>
      </c>
      <c r="T4917" s="0" t="n">
        <f aca="false">Q4917-S4917</f>
        <v>49.0490638240765</v>
      </c>
      <c r="U4917" s="0" t="n">
        <f aca="false">Q4917+S4917</f>
        <v>51.5391179941054</v>
      </c>
      <c r="V4917" s="54" t="b">
        <f aca="false">AND(D4917&gt;=01_因子設定!$L$5-0.000000001,D4917&lt;=01_因子設定!$M$5+0.000000001,E4917&gt;=01_因子設定!$L$6-0.000000001,E4917&lt;=01_因子設定!$M$6+0.000000001,F4917&gt;=01_因子設定!$L$7-0.000000001,F4917&lt;=01_因子設定!$M$7+0.000000001,IF(01_因子設定!$B$20="Box-Behnken",D4917^2+E4917^2+F4917^2&lt;=2+0.000000001,TRUE()))</f>
        <v>1</v>
      </c>
      <c r="W4917" s="55" t="n">
        <f aca="false">IF(V4917,IF(01_因子設定!$B$13="最大化",T4917-01_因子設定!$B$14,IF(01_因子設定!$B$13="最小化",01_因子設定!$B$15-U4917,MIN(T4917-01_因子設定!$B$14,01_因子設定!$B$15-U4917))),-1E+030)</f>
        <v>0.549063824076477</v>
      </c>
      <c r="X4917" s="55" t="n">
        <f aca="false">IF(V4917,IF(01_因子設定!$B$13="最大化",Q4917,IF(01_因子設定!$B$13="最小化",-Q4917,-ABS(Q4917-01_因子設定!$B$16))),-1E+030)</f>
        <v>50.2940909090909</v>
      </c>
      <c r="Y4917" s="55" t="n">
        <f aca="false">W4917+ROW()*0.000000001</f>
        <v>0.549068741076477</v>
      </c>
      <c r="Z4917" s="55" t="n">
        <f aca="false">X4917+ROW()*0.000000001</f>
        <v>50.2940958260909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H1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21.6" hidden="false" customHeight="false" outlineLevel="0" collapsed="false">
      <c r="A1" s="1" t="s">
        <v>296</v>
      </c>
    </row>
    <row r="5" customFormat="false" ht="15" hidden="false" customHeight="false" outlineLevel="0" collapsed="false">
      <c r="B5" s="56" t="n">
        <f aca="false">06_正準解析!B6</f>
        <v>-2.47727272727275</v>
      </c>
      <c r="C5" s="56" t="n">
        <f aca="false">06_正準解析!C6</f>
        <v>0.612499999999999</v>
      </c>
      <c r="D5" s="56" t="n">
        <f aca="false">06_正準解析!D6</f>
        <v>-0.0749999999999997</v>
      </c>
    </row>
    <row r="6" customFormat="false" ht="15" hidden="false" customHeight="false" outlineLevel="0" collapsed="false">
      <c r="B6" s="56" t="n">
        <f aca="false">06_正準解析!B7</f>
        <v>0.612499999999999</v>
      </c>
      <c r="C6" s="56" t="n">
        <f aca="false">06_正準解析!C7</f>
        <v>-2.02727272727272</v>
      </c>
      <c r="D6" s="56" t="n">
        <f aca="false">06_正準解析!D7</f>
        <v>0.225</v>
      </c>
    </row>
    <row r="7" customFormat="false" ht="15" hidden="false" customHeight="false" outlineLevel="0" collapsed="false">
      <c r="B7" s="56" t="n">
        <f aca="false">06_正準解析!B8</f>
        <v>-0.0749999999999997</v>
      </c>
      <c r="C7" s="56" t="n">
        <f aca="false">06_正準解析!C8</f>
        <v>0.225</v>
      </c>
      <c r="D7" s="56" t="n">
        <f aca="false">06_正準解析!D8</f>
        <v>-1.17727272727271</v>
      </c>
    </row>
    <row r="10" customFormat="false" ht="15" hidden="false" customHeight="false" outlineLevel="0" collapsed="false">
      <c r="A10" s="26" t="s">
        <v>297</v>
      </c>
      <c r="B10" s="56" t="n">
        <f aca="false">$G$10^2*B5-2*$H$10*$G$10*C5+$H$10^2*C6</f>
        <v>-2.90479188407965</v>
      </c>
      <c r="C10" s="56" t="n">
        <f aca="false">0</f>
        <v>0</v>
      </c>
      <c r="D10" s="56" t="n">
        <f aca="false">$G$10*D5-$H$10*D6</f>
        <v>-0.190280475303046</v>
      </c>
      <c r="F10" s="56" t="n">
        <f aca="false">IF(ABS(C5)&lt;0.00000000000001,0,0.5*ATAN2(C6-B5,2*C5))</f>
        <v>0.609376006239731</v>
      </c>
      <c r="G10" s="56" t="n">
        <f aca="false">COS(F10)</f>
        <v>0.820005323970409</v>
      </c>
      <c r="H10" s="56" t="n">
        <f aca="false">SIN(F10)</f>
        <v>0.572355893356733</v>
      </c>
    </row>
    <row r="11" customFormat="false" ht="15" hidden="false" customHeight="false" outlineLevel="0" collapsed="false">
      <c r="B11" s="56" t="n">
        <f aca="false">0</f>
        <v>0</v>
      </c>
      <c r="C11" s="56" t="n">
        <f aca="false">$H$10^2*B5+2*$H$10*$G$10*C5+$G$10^2*C6</f>
        <v>-1.59975357046582</v>
      </c>
      <c r="D11" s="56" t="n">
        <f aca="false">$H$10*D5+$G$10*D6</f>
        <v>0.141574505891587</v>
      </c>
    </row>
    <row r="12" customFormat="false" ht="15" hidden="false" customHeight="false" outlineLevel="0" collapsed="false">
      <c r="B12" s="56" t="n">
        <f aca="false">$G$10*B7-$H$10*C7</f>
        <v>-0.190280475303046</v>
      </c>
      <c r="C12" s="56" t="n">
        <f aca="false">$H$10*B7+$G$10*C7</f>
        <v>0.141574505891587</v>
      </c>
      <c r="D12" s="56" t="n">
        <f aca="false">D7</f>
        <v>-1.17727272727271</v>
      </c>
    </row>
    <row r="15" customFormat="false" ht="15" hidden="false" customHeight="false" outlineLevel="0" collapsed="false">
      <c r="A15" s="26" t="s">
        <v>298</v>
      </c>
      <c r="B15" s="56" t="n">
        <f aca="false">$G$15^2*B10-2*$H$15*$G$15*D10+$H$15^2*D12</f>
        <v>-2.92550235523427</v>
      </c>
      <c r="C15" s="56" t="n">
        <f aca="false">$G$15*C10-$H$15*C12</f>
        <v>0.015318755364144</v>
      </c>
      <c r="D15" s="56" t="n">
        <f aca="false">0</f>
        <v>0</v>
      </c>
      <c r="F15" s="56" t="n">
        <f aca="false">IF(ABS(D10)&lt;0.00000000000001,0,0.5*ATAN2(D12-B10,2*D10))</f>
        <v>-0.108415038802797</v>
      </c>
      <c r="G15" s="56" t="n">
        <f aca="false">COS(F15)</f>
        <v>0.994128843771682</v>
      </c>
      <c r="H15" s="56" t="n">
        <f aca="false">SIN(F15)</f>
        <v>-0.108202781762661</v>
      </c>
    </row>
    <row r="16" customFormat="false" ht="15" hidden="false" customHeight="false" outlineLevel="0" collapsed="false">
      <c r="B16" s="56" t="n">
        <f aca="false">$G$15*B11-$H$15*D11</f>
        <v>0.015318755364144</v>
      </c>
      <c r="C16" s="56" t="n">
        <f aca="false">C11</f>
        <v>-1.59975357046582</v>
      </c>
      <c r="D16" s="56" t="n">
        <f aca="false">$H$15*B11+$G$15*D11</f>
        <v>0.140743299849551</v>
      </c>
    </row>
    <row r="17" customFormat="false" ht="15" hidden="false" customHeight="false" outlineLevel="0" collapsed="false">
      <c r="B17" s="56" t="n">
        <f aca="false">0</f>
        <v>0</v>
      </c>
      <c r="C17" s="56" t="n">
        <f aca="false">$H$15*C10+$G$15*C12</f>
        <v>0.140743299849551</v>
      </c>
      <c r="D17" s="56" t="n">
        <f aca="false">$H$15^2*B10+2*$H$15*$G$15*D10+$G$15^2*D12</f>
        <v>-1.15656225611809</v>
      </c>
    </row>
    <row r="20" customFormat="false" ht="15" hidden="false" customHeight="false" outlineLevel="0" collapsed="false">
      <c r="A20" s="26" t="s">
        <v>299</v>
      </c>
      <c r="B20" s="56" t="n">
        <f aca="false">B15</f>
        <v>-2.92550235523427</v>
      </c>
      <c r="C20" s="56" t="n">
        <f aca="false">$G$20*C15-$H$20*D15</f>
        <v>0.0147097173992335</v>
      </c>
      <c r="D20" s="56" t="n">
        <f aca="false">$H$20*C15+$G$20*D15</f>
        <v>0.00427650323759699</v>
      </c>
      <c r="F20" s="56" t="n">
        <f aca="false">IF(ABS(D16)&lt;0.00000000000001,0,0.5*ATAN2(D17-C16,2*D16))</f>
        <v>0.282927343923604</v>
      </c>
      <c r="G20" s="56" t="n">
        <f aca="false">COS(F20)</f>
        <v>0.960242333633969</v>
      </c>
      <c r="H20" s="56" t="n">
        <f aca="false">SIN(F20)</f>
        <v>0.279167800251373</v>
      </c>
    </row>
    <row r="21" customFormat="false" ht="15" hidden="false" customHeight="false" outlineLevel="0" collapsed="false">
      <c r="B21" s="56" t="n">
        <f aca="false">$G$20*B16-$H$20*B17</f>
        <v>0.0147097173992335</v>
      </c>
      <c r="C21" s="56" t="n">
        <f aca="false">$G$20^2*C16-2*$H$20*$G$20*D16+$H$20^2*D17</f>
        <v>-1.64067136386327</v>
      </c>
      <c r="D21" s="56" t="n">
        <f aca="false">0</f>
        <v>0</v>
      </c>
    </row>
    <row r="22" customFormat="false" ht="15" hidden="false" customHeight="false" outlineLevel="0" collapsed="false">
      <c r="B22" s="56" t="n">
        <f aca="false">$H$20*B16+$G$20*B17</f>
        <v>0.00427650323759699</v>
      </c>
      <c r="C22" s="56" t="n">
        <f aca="false">0</f>
        <v>0</v>
      </c>
      <c r="D22" s="56" t="n">
        <f aca="false">$H$20^2*C16+2*$H$20*$G$20*D16+$G$20^2*D17</f>
        <v>-1.11564446272064</v>
      </c>
    </row>
    <row r="25" customFormat="false" ht="15" hidden="false" customHeight="false" outlineLevel="0" collapsed="false">
      <c r="A25" s="26" t="s">
        <v>300</v>
      </c>
      <c r="B25" s="56" t="n">
        <f aca="false">$G$25^2*B20-2*$H$25*$G$25*C20+$H$25^2*C21</f>
        <v>-2.92567074114153</v>
      </c>
      <c r="C25" s="56" t="n">
        <f aca="false">0</f>
        <v>0</v>
      </c>
      <c r="D25" s="56" t="n">
        <f aca="false">$G$25*D20-$H$25*D21</f>
        <v>0.00427622306932358</v>
      </c>
      <c r="F25" s="56" t="n">
        <f aca="false">IF(ABS(C20)&lt;0.00000000000001,0,0.5*ATAN2(C21-B20,2*C20))</f>
        <v>0.0114467564661502</v>
      </c>
      <c r="G25" s="56" t="n">
        <f aca="false">COS(F25)</f>
        <v>0.999934486598549</v>
      </c>
      <c r="H25" s="56" t="n">
        <f aca="false">SIN(F25)</f>
        <v>0.0114465064930745</v>
      </c>
    </row>
    <row r="26" customFormat="false" ht="15" hidden="false" customHeight="false" outlineLevel="0" collapsed="false">
      <c r="B26" s="56" t="n">
        <f aca="false">0</f>
        <v>0</v>
      </c>
      <c r="C26" s="56" t="n">
        <f aca="false">$H$25^2*B20+2*$H$25*$G$25*C20+$G$25^2*C21</f>
        <v>-1.64050297795602</v>
      </c>
      <c r="D26" s="56" t="n">
        <f aca="false">$H$25*D20+$G$25*D21</f>
        <v>4.89510220768082E-005</v>
      </c>
    </row>
    <row r="27" customFormat="false" ht="15" hidden="false" customHeight="false" outlineLevel="0" collapsed="false">
      <c r="B27" s="56" t="n">
        <f aca="false">$G$25*B22-$H$25*C22</f>
        <v>0.00427622306932358</v>
      </c>
      <c r="C27" s="56" t="n">
        <f aca="false">$H$25*B22+$G$25*C22</f>
        <v>4.89510220768082E-005</v>
      </c>
      <c r="D27" s="56" t="n">
        <f aca="false">D22</f>
        <v>-1.11564446272064</v>
      </c>
    </row>
    <row r="30" customFormat="false" ht="15" hidden="false" customHeight="false" outlineLevel="0" collapsed="false">
      <c r="A30" s="26" t="s">
        <v>301</v>
      </c>
      <c r="B30" s="56" t="n">
        <f aca="false">$G$30^2*B25-2*$H$30*$G$30*D25+$H$30^2*D27</f>
        <v>-2.92568084374716</v>
      </c>
      <c r="C30" s="56" t="n">
        <f aca="false">$G$30*C25-$H$30*C27</f>
        <v>-1.15646794672125E-007</v>
      </c>
      <c r="D30" s="56" t="n">
        <f aca="false">0</f>
        <v>0</v>
      </c>
      <c r="F30" s="56" t="n">
        <f aca="false">IF(ABS(D25)&lt;0.00000000000001,0,0.5*ATAN2(D27-B25,2*D25))</f>
        <v>0.00236250230014746</v>
      </c>
      <c r="G30" s="56" t="n">
        <f aca="false">COS(F30)</f>
        <v>0.999997209292739</v>
      </c>
      <c r="H30" s="56" t="n">
        <f aca="false">SIN(F30)</f>
        <v>0.00236250010246294</v>
      </c>
    </row>
    <row r="31" customFormat="false" ht="15" hidden="false" customHeight="false" outlineLevel="0" collapsed="false">
      <c r="B31" s="56" t="n">
        <f aca="false">$G$30*B26-$H$30*D26</f>
        <v>-1.15646794672125E-007</v>
      </c>
      <c r="C31" s="56" t="n">
        <f aca="false">C26</f>
        <v>-1.64050297795602</v>
      </c>
      <c r="D31" s="56" t="n">
        <f aca="false">$H$30*B26+$G$30*D26</f>
        <v>4.89508854688354E-005</v>
      </c>
    </row>
    <row r="32" customFormat="false" ht="15" hidden="false" customHeight="false" outlineLevel="0" collapsed="false">
      <c r="B32" s="56" t="n">
        <f aca="false">0</f>
        <v>0</v>
      </c>
      <c r="C32" s="56" t="n">
        <f aca="false">$H$30*C25+$G$30*C27</f>
        <v>4.89508854688354E-005</v>
      </c>
      <c r="D32" s="56" t="n">
        <f aca="false">$H$30^2*B25+2*$H$30*$G$30*D25+$G$30^2*D27</f>
        <v>-1.11563436011501</v>
      </c>
    </row>
    <row r="35" customFormat="false" ht="15" hidden="false" customHeight="false" outlineLevel="0" collapsed="false">
      <c r="A35" s="26" t="s">
        <v>302</v>
      </c>
      <c r="B35" s="56" t="n">
        <f aca="false">B30</f>
        <v>-2.92568084374716</v>
      </c>
      <c r="C35" s="56" t="n">
        <f aca="false">$G$35*C30-$H$35*D30</f>
        <v>-1.15646794169176E-007</v>
      </c>
      <c r="D35" s="56" t="n">
        <f aca="false">$H$35*C30+$G$35*D30</f>
        <v>-1.07855808759528E-011</v>
      </c>
      <c r="F35" s="56" t="n">
        <f aca="false">IF(ABS(D31)&lt;0.00000000000001,0,0.5*ATAN2(D32-C31,2*D31))</f>
        <v>9.32631200213285E-005</v>
      </c>
      <c r="G35" s="56" t="n">
        <f aca="false">COS(F35)</f>
        <v>0.999999995650995</v>
      </c>
      <c r="H35" s="56" t="n">
        <f aca="false">SIN(F35)</f>
        <v>9.32631198861279E-005</v>
      </c>
    </row>
    <row r="36" customFormat="false" ht="15" hidden="false" customHeight="false" outlineLevel="0" collapsed="false">
      <c r="B36" s="56" t="n">
        <f aca="false">$G$35*B31-$H$35*B32</f>
        <v>-1.15646794169176E-007</v>
      </c>
      <c r="C36" s="56" t="n">
        <f aca="false">$G$35^2*C31-2*$H$35*$G$35*D31+$H$35^2*D32</f>
        <v>-1.64050298252133</v>
      </c>
      <c r="D36" s="56" t="n">
        <f aca="false">0</f>
        <v>0</v>
      </c>
    </row>
    <row r="37" customFormat="false" ht="15" hidden="false" customHeight="false" outlineLevel="0" collapsed="false">
      <c r="B37" s="56" t="n">
        <f aca="false">$H$35*B31+$G$35*B32</f>
        <v>-1.07855808759528E-011</v>
      </c>
      <c r="C37" s="56" t="n">
        <f aca="false">0</f>
        <v>0</v>
      </c>
      <c r="D37" s="56" t="n">
        <f aca="false">$H$35^2*C31+2*$H$35*$G$35*D31+$G$35^2*D32</f>
        <v>-1.11563435554969</v>
      </c>
    </row>
    <row r="40" customFormat="false" ht="15" hidden="false" customHeight="false" outlineLevel="0" collapsed="false">
      <c r="A40" s="26" t="s">
        <v>303</v>
      </c>
      <c r="B40" s="56" t="n">
        <f aca="false">$G$40^2*B35-2*$H$40*$G$40*C35+$H$40^2*C36</f>
        <v>-2.92568084374717</v>
      </c>
      <c r="C40" s="56" t="n">
        <f aca="false">0</f>
        <v>0</v>
      </c>
      <c r="D40" s="56" t="n">
        <f aca="false">$G$40*D35-$H$40*D36</f>
        <v>-1.07855808759528E-011</v>
      </c>
      <c r="F40" s="56" t="n">
        <f aca="false">IF(ABS(C35)&lt;0.00000000000001,0,0.5*ATAN2(C36-B35,2*C35))</f>
        <v>-8.99850500528143E-008</v>
      </c>
      <c r="G40" s="56" t="n">
        <f aca="false">COS(F40)</f>
        <v>0.999999999999996</v>
      </c>
      <c r="H40" s="56" t="n">
        <f aca="false">SIN(F40)</f>
        <v>-8.99850500528142E-008</v>
      </c>
    </row>
    <row r="41" customFormat="false" ht="15" hidden="false" customHeight="false" outlineLevel="0" collapsed="false">
      <c r="B41" s="56" t="n">
        <f aca="false">0</f>
        <v>0</v>
      </c>
      <c r="C41" s="56" t="n">
        <f aca="false">$H$40^2*B35+2*$H$40*$G$40*C35+$G$40^2*C36</f>
        <v>-1.64050298252132</v>
      </c>
      <c r="D41" s="56" t="n">
        <f aca="false">$H$40*D35+$G$40*D36</f>
        <v>9.70541034971289E-019</v>
      </c>
    </row>
    <row r="42" customFormat="false" ht="15" hidden="false" customHeight="false" outlineLevel="0" collapsed="false">
      <c r="B42" s="56" t="n">
        <f aca="false">$G$40*B37-$H$40*C37</f>
        <v>-1.07855808759528E-011</v>
      </c>
      <c r="C42" s="56" t="n">
        <f aca="false">$H$40*B37+$G$40*C37</f>
        <v>9.70541034971289E-019</v>
      </c>
      <c r="D42" s="56" t="n">
        <f aca="false">D37</f>
        <v>-1.11563435554969</v>
      </c>
    </row>
    <row r="45" customFormat="false" ht="15" hidden="false" customHeight="false" outlineLevel="0" collapsed="false">
      <c r="A45" s="26" t="s">
        <v>304</v>
      </c>
      <c r="B45" s="56" t="n">
        <f aca="false">$G$45^2*B40-2*$H$45*$G$45*D40+$H$45^2*D42</f>
        <v>-2.92568084374717</v>
      </c>
      <c r="C45" s="56" t="n">
        <f aca="false">$G$45*C40-$H$45*C42</f>
        <v>5.78319335683918E-030</v>
      </c>
      <c r="D45" s="56" t="n">
        <f aca="false">0</f>
        <v>0</v>
      </c>
      <c r="F45" s="56" t="n">
        <f aca="false">IF(ABS(D40)&lt;0.00000000000001,0,0.5*ATAN2(D42-B40,2*D40))</f>
        <v>-5.9587314172762E-012</v>
      </c>
      <c r="G45" s="56" t="n">
        <f aca="false">COS(F45)</f>
        <v>1</v>
      </c>
      <c r="H45" s="56" t="n">
        <f aca="false">SIN(F45)</f>
        <v>-5.9587314172762E-012</v>
      </c>
    </row>
    <row r="46" customFormat="false" ht="15" hidden="false" customHeight="false" outlineLevel="0" collapsed="false">
      <c r="B46" s="56" t="n">
        <f aca="false">$G$45*B41-$H$45*D41</f>
        <v>5.78319335683918E-030</v>
      </c>
      <c r="C46" s="56" t="n">
        <f aca="false">C41</f>
        <v>-1.64050298252132</v>
      </c>
      <c r="D46" s="56" t="n">
        <f aca="false">$H$45*B41+$G$45*D41</f>
        <v>9.70541034971289E-019</v>
      </c>
    </row>
    <row r="47" customFormat="false" ht="15" hidden="false" customHeight="false" outlineLevel="0" collapsed="false">
      <c r="B47" s="56" t="n">
        <f aca="false">0</f>
        <v>0</v>
      </c>
      <c r="C47" s="56" t="n">
        <f aca="false">$H$45*C40+$G$45*C42</f>
        <v>9.70541034971289E-019</v>
      </c>
      <c r="D47" s="56" t="n">
        <f aca="false">$H$45^2*B40+2*$H$45*$G$45*D40+$G$45^2*D42</f>
        <v>-1.11563435554969</v>
      </c>
    </row>
    <row r="50" customFormat="false" ht="15" hidden="false" customHeight="false" outlineLevel="0" collapsed="false">
      <c r="A50" s="26" t="s">
        <v>305</v>
      </c>
      <c r="B50" s="56" t="n">
        <f aca="false">B45</f>
        <v>-2.92568084374717</v>
      </c>
      <c r="C50" s="56" t="n">
        <f aca="false">$G$50*C45-$H$50*D45</f>
        <v>5.78319335683918E-030</v>
      </c>
      <c r="D50" s="56" t="n">
        <f aca="false">$H$50*C45+$G$50*D45</f>
        <v>0</v>
      </c>
      <c r="F50" s="56" t="n">
        <f aca="false">IF(ABS(D46)&lt;0.00000000000001,0,0.5*ATAN2(D47-C46,2*D46))</f>
        <v>0</v>
      </c>
      <c r="G50" s="56" t="n">
        <f aca="false">COS(F50)</f>
        <v>1</v>
      </c>
      <c r="H50" s="56" t="n">
        <f aca="false">SIN(F50)</f>
        <v>0</v>
      </c>
    </row>
    <row r="51" customFormat="false" ht="15" hidden="false" customHeight="false" outlineLevel="0" collapsed="false">
      <c r="B51" s="56" t="n">
        <f aca="false">$G$50*B46-$H$50*B47</f>
        <v>5.78319335683918E-030</v>
      </c>
      <c r="C51" s="56" t="n">
        <f aca="false">$G$50^2*C46-2*$H$50*$G$50*D46+$H$50^2*D47</f>
        <v>-1.64050298252132</v>
      </c>
      <c r="D51" s="56" t="n">
        <f aca="false">0</f>
        <v>0</v>
      </c>
    </row>
    <row r="52" customFormat="false" ht="15" hidden="false" customHeight="false" outlineLevel="0" collapsed="false">
      <c r="B52" s="56" t="n">
        <f aca="false">$H$50*B46+$G$50*B47</f>
        <v>0</v>
      </c>
      <c r="C52" s="56" t="n">
        <f aca="false">0</f>
        <v>0</v>
      </c>
      <c r="D52" s="56" t="n">
        <f aca="false">$H$50^2*C46+2*$H$50*$G$50*D46+$G$50^2*D47</f>
        <v>-1.11563435554969</v>
      </c>
    </row>
    <row r="55" customFormat="false" ht="15" hidden="false" customHeight="false" outlineLevel="0" collapsed="false">
      <c r="A55" s="26" t="s">
        <v>306</v>
      </c>
      <c r="B55" s="56" t="n">
        <f aca="false">$G$55^2*B50-2*$H$55*$G$55*C50+$H$55^2*C51</f>
        <v>-2.92568084374717</v>
      </c>
      <c r="C55" s="56" t="n">
        <f aca="false">0</f>
        <v>0</v>
      </c>
      <c r="D55" s="56" t="n">
        <f aca="false">$G$55*D50-$H$55*D51</f>
        <v>0</v>
      </c>
      <c r="F55" s="56" t="n">
        <f aca="false">IF(ABS(C50)&lt;0.00000000000001,0,0.5*ATAN2(C51-B50,2*C50))</f>
        <v>0</v>
      </c>
      <c r="G55" s="56" t="n">
        <f aca="false">COS(F55)</f>
        <v>1</v>
      </c>
      <c r="H55" s="56" t="n">
        <f aca="false">SIN(F55)</f>
        <v>0</v>
      </c>
    </row>
    <row r="56" customFormat="false" ht="15" hidden="false" customHeight="false" outlineLevel="0" collapsed="false">
      <c r="B56" s="56" t="n">
        <f aca="false">0</f>
        <v>0</v>
      </c>
      <c r="C56" s="56" t="n">
        <f aca="false">$H$55^2*B50+2*$H$55*$G$55*C50+$G$55^2*C51</f>
        <v>-1.64050298252132</v>
      </c>
      <c r="D56" s="56" t="n">
        <f aca="false">$H$55*D50+$G$55*D51</f>
        <v>0</v>
      </c>
    </row>
    <row r="57" customFormat="false" ht="15" hidden="false" customHeight="false" outlineLevel="0" collapsed="false">
      <c r="B57" s="56" t="n">
        <f aca="false">$G$55*B52-$H$55*C52</f>
        <v>0</v>
      </c>
      <c r="C57" s="56" t="n">
        <f aca="false">$H$55*B52+$G$55*C52</f>
        <v>0</v>
      </c>
      <c r="D57" s="56" t="n">
        <f aca="false">D52</f>
        <v>-1.11563435554969</v>
      </c>
    </row>
    <row r="60" customFormat="false" ht="15" hidden="false" customHeight="false" outlineLevel="0" collapsed="false">
      <c r="A60" s="26" t="s">
        <v>307</v>
      </c>
      <c r="B60" s="56" t="n">
        <f aca="false">$G$60^2*B55-2*$H$60*$G$60*D55+$H$60^2*D57</f>
        <v>-2.92568084374717</v>
      </c>
      <c r="C60" s="56" t="n">
        <f aca="false">$G$60*C55-$H$60*C57</f>
        <v>0</v>
      </c>
      <c r="D60" s="56" t="n">
        <f aca="false">0</f>
        <v>0</v>
      </c>
      <c r="F60" s="56" t="n">
        <f aca="false">IF(ABS(D55)&lt;0.00000000000001,0,0.5*ATAN2(D57-B55,2*D55))</f>
        <v>0</v>
      </c>
      <c r="G60" s="56" t="n">
        <f aca="false">COS(F60)</f>
        <v>1</v>
      </c>
      <c r="H60" s="56" t="n">
        <f aca="false">SIN(F60)</f>
        <v>0</v>
      </c>
    </row>
    <row r="61" customFormat="false" ht="15" hidden="false" customHeight="false" outlineLevel="0" collapsed="false">
      <c r="B61" s="56" t="n">
        <f aca="false">$G$60*B56-$H$60*D56</f>
        <v>0</v>
      </c>
      <c r="C61" s="56" t="n">
        <f aca="false">C56</f>
        <v>-1.64050298252132</v>
      </c>
      <c r="D61" s="56" t="n">
        <f aca="false">$H$60*B56+$G$60*D56</f>
        <v>0</v>
      </c>
    </row>
    <row r="62" customFormat="false" ht="15" hidden="false" customHeight="false" outlineLevel="0" collapsed="false">
      <c r="B62" s="56" t="n">
        <f aca="false">0</f>
        <v>0</v>
      </c>
      <c r="C62" s="56" t="n">
        <f aca="false">$H$60*C55+$G$60*C57</f>
        <v>0</v>
      </c>
      <c r="D62" s="56" t="n">
        <f aca="false">$H$60^2*B55+2*$H$60*$G$60*D55+$G$60^2*D57</f>
        <v>-1.11563435554969</v>
      </c>
    </row>
    <row r="65" customFormat="false" ht="15" hidden="false" customHeight="false" outlineLevel="0" collapsed="false">
      <c r="A65" s="26" t="s">
        <v>308</v>
      </c>
      <c r="B65" s="56" t="n">
        <f aca="false">B60</f>
        <v>-2.92568084374717</v>
      </c>
      <c r="C65" s="56" t="n">
        <f aca="false">$G$65*C60-$H$65*D60</f>
        <v>0</v>
      </c>
      <c r="D65" s="56" t="n">
        <f aca="false">$H$65*C60+$G$65*D60</f>
        <v>0</v>
      </c>
      <c r="F65" s="56" t="n">
        <f aca="false">IF(ABS(D61)&lt;0.00000000000001,0,0.5*ATAN2(D62-C61,2*D61))</f>
        <v>0</v>
      </c>
      <c r="G65" s="56" t="n">
        <f aca="false">COS(F65)</f>
        <v>1</v>
      </c>
      <c r="H65" s="56" t="n">
        <f aca="false">SIN(F65)</f>
        <v>0</v>
      </c>
    </row>
    <row r="66" customFormat="false" ht="15" hidden="false" customHeight="false" outlineLevel="0" collapsed="false">
      <c r="B66" s="56" t="n">
        <f aca="false">$G$65*B61-$H$65*B62</f>
        <v>0</v>
      </c>
      <c r="C66" s="56" t="n">
        <f aca="false">$G$65^2*C61-2*$H$65*$G$65*D61+$H$65^2*D62</f>
        <v>-1.64050298252132</v>
      </c>
      <c r="D66" s="56" t="n">
        <f aca="false">0</f>
        <v>0</v>
      </c>
    </row>
    <row r="67" customFormat="false" ht="15" hidden="false" customHeight="false" outlineLevel="0" collapsed="false">
      <c r="B67" s="56" t="n">
        <f aca="false">$H$65*B61+$G$65*B62</f>
        <v>0</v>
      </c>
      <c r="C67" s="56" t="n">
        <f aca="false">0</f>
        <v>0</v>
      </c>
      <c r="D67" s="56" t="n">
        <f aca="false">$H$65^2*C61+2*$H$65*$G$65*D61+$G$65^2*D62</f>
        <v>-1.11563435554969</v>
      </c>
    </row>
    <row r="70" customFormat="false" ht="15" hidden="false" customHeight="false" outlineLevel="0" collapsed="false">
      <c r="A70" s="26" t="s">
        <v>309</v>
      </c>
      <c r="B70" s="56" t="n">
        <f aca="false">$G$70^2*B65-2*$H$70*$G$70*C65+$H$70^2*C66</f>
        <v>-2.92568084374717</v>
      </c>
      <c r="C70" s="56" t="n">
        <f aca="false">0</f>
        <v>0</v>
      </c>
      <c r="D70" s="56" t="n">
        <f aca="false">$G$70*D65-$H$70*D66</f>
        <v>0</v>
      </c>
      <c r="F70" s="56" t="n">
        <f aca="false">IF(ABS(C65)&lt;0.00000000000001,0,0.5*ATAN2(C66-B65,2*C65))</f>
        <v>0</v>
      </c>
      <c r="G70" s="56" t="n">
        <f aca="false">COS(F70)</f>
        <v>1</v>
      </c>
      <c r="H70" s="56" t="n">
        <f aca="false">SIN(F70)</f>
        <v>0</v>
      </c>
    </row>
    <row r="71" customFormat="false" ht="15" hidden="false" customHeight="false" outlineLevel="0" collapsed="false">
      <c r="B71" s="56" t="n">
        <f aca="false">0</f>
        <v>0</v>
      </c>
      <c r="C71" s="56" t="n">
        <f aca="false">$H$70^2*B65+2*$H$70*$G$70*C65+$G$70^2*C66</f>
        <v>-1.64050298252132</v>
      </c>
      <c r="D71" s="56" t="n">
        <f aca="false">$H$70*D65+$G$70*D66</f>
        <v>0</v>
      </c>
    </row>
    <row r="72" customFormat="false" ht="15" hidden="false" customHeight="false" outlineLevel="0" collapsed="false">
      <c r="B72" s="56" t="n">
        <f aca="false">$G$70*B67-$H$70*C67</f>
        <v>0</v>
      </c>
      <c r="C72" s="56" t="n">
        <f aca="false">$H$70*B67+$G$70*C67</f>
        <v>0</v>
      </c>
      <c r="D72" s="56" t="n">
        <f aca="false">D67</f>
        <v>-1.11563435554969</v>
      </c>
    </row>
    <row r="75" customFormat="false" ht="15" hidden="false" customHeight="false" outlineLevel="0" collapsed="false">
      <c r="A75" s="26" t="s">
        <v>310</v>
      </c>
      <c r="B75" s="56" t="n">
        <f aca="false">$G$75^2*B70-2*$H$75*$G$75*D70+$H$75^2*D72</f>
        <v>-2.92568084374717</v>
      </c>
      <c r="C75" s="56" t="n">
        <f aca="false">$G$75*C70-$H$75*C72</f>
        <v>0</v>
      </c>
      <c r="D75" s="56" t="n">
        <f aca="false">0</f>
        <v>0</v>
      </c>
      <c r="F75" s="56" t="n">
        <f aca="false">IF(ABS(D70)&lt;0.00000000000001,0,0.5*ATAN2(D72-B70,2*D70))</f>
        <v>0</v>
      </c>
      <c r="G75" s="56" t="n">
        <f aca="false">COS(F75)</f>
        <v>1</v>
      </c>
      <c r="H75" s="56" t="n">
        <f aca="false">SIN(F75)</f>
        <v>0</v>
      </c>
    </row>
    <row r="76" customFormat="false" ht="15" hidden="false" customHeight="false" outlineLevel="0" collapsed="false">
      <c r="B76" s="56" t="n">
        <f aca="false">$G$75*B71-$H$75*D71</f>
        <v>0</v>
      </c>
      <c r="C76" s="56" t="n">
        <f aca="false">C71</f>
        <v>-1.64050298252132</v>
      </c>
      <c r="D76" s="56" t="n">
        <f aca="false">$H$75*B71+$G$75*D71</f>
        <v>0</v>
      </c>
    </row>
    <row r="77" customFormat="false" ht="15" hidden="false" customHeight="false" outlineLevel="0" collapsed="false">
      <c r="B77" s="56" t="n">
        <f aca="false">0</f>
        <v>0</v>
      </c>
      <c r="C77" s="56" t="n">
        <f aca="false">$H$75*C70+$G$75*C72</f>
        <v>0</v>
      </c>
      <c r="D77" s="56" t="n">
        <f aca="false">$H$75^2*B70+2*$H$75*$G$75*D70+$G$75^2*D72</f>
        <v>-1.11563435554969</v>
      </c>
    </row>
    <row r="80" customFormat="false" ht="15" hidden="false" customHeight="false" outlineLevel="0" collapsed="false">
      <c r="A80" s="26" t="s">
        <v>311</v>
      </c>
      <c r="B80" s="56" t="n">
        <f aca="false">B75</f>
        <v>-2.92568084374717</v>
      </c>
      <c r="C80" s="56" t="n">
        <f aca="false">$G$80*C75-$H$80*D75</f>
        <v>0</v>
      </c>
      <c r="D80" s="56" t="n">
        <f aca="false">$H$80*C75+$G$80*D75</f>
        <v>0</v>
      </c>
      <c r="F80" s="56" t="n">
        <f aca="false">IF(ABS(D76)&lt;0.00000000000001,0,0.5*ATAN2(D77-C76,2*D76))</f>
        <v>0</v>
      </c>
      <c r="G80" s="56" t="n">
        <f aca="false">COS(F80)</f>
        <v>1</v>
      </c>
      <c r="H80" s="56" t="n">
        <f aca="false">SIN(F80)</f>
        <v>0</v>
      </c>
    </row>
    <row r="81" customFormat="false" ht="15" hidden="false" customHeight="false" outlineLevel="0" collapsed="false">
      <c r="B81" s="56" t="n">
        <f aca="false">$G$80*B76-$H$80*B77</f>
        <v>0</v>
      </c>
      <c r="C81" s="56" t="n">
        <f aca="false">$G$80^2*C76-2*$H$80*$G$80*D76+$H$80^2*D77</f>
        <v>-1.64050298252132</v>
      </c>
      <c r="D81" s="56" t="n">
        <f aca="false">0</f>
        <v>0</v>
      </c>
    </row>
    <row r="82" customFormat="false" ht="15" hidden="false" customHeight="false" outlineLevel="0" collapsed="false">
      <c r="B82" s="56" t="n">
        <f aca="false">$H$80*B76+$G$80*B77</f>
        <v>0</v>
      </c>
      <c r="C82" s="56" t="n">
        <f aca="false">0</f>
        <v>0</v>
      </c>
      <c r="D82" s="56" t="n">
        <f aca="false">$H$80^2*C76+2*$H$80*$G$80*D76+$G$80^2*D77</f>
        <v>-1.11563435554969</v>
      </c>
    </row>
    <row r="85" customFormat="false" ht="15" hidden="false" customHeight="false" outlineLevel="0" collapsed="false">
      <c r="A85" s="26" t="s">
        <v>312</v>
      </c>
      <c r="B85" s="56" t="n">
        <f aca="false">$G$85^2*B80-2*$H$85*$G$85*C80+$H$85^2*C81</f>
        <v>-2.92568084374717</v>
      </c>
      <c r="C85" s="56" t="n">
        <f aca="false">0</f>
        <v>0</v>
      </c>
      <c r="D85" s="56" t="n">
        <f aca="false">$G$85*D80-$H$85*D81</f>
        <v>0</v>
      </c>
      <c r="F85" s="56" t="n">
        <f aca="false">IF(ABS(C80)&lt;0.00000000000001,0,0.5*ATAN2(C81-B80,2*C80))</f>
        <v>0</v>
      </c>
      <c r="G85" s="56" t="n">
        <f aca="false">COS(F85)</f>
        <v>1</v>
      </c>
      <c r="H85" s="56" t="n">
        <f aca="false">SIN(F85)</f>
        <v>0</v>
      </c>
    </row>
    <row r="86" customFormat="false" ht="15" hidden="false" customHeight="false" outlineLevel="0" collapsed="false">
      <c r="B86" s="56" t="n">
        <f aca="false">0</f>
        <v>0</v>
      </c>
      <c r="C86" s="56" t="n">
        <f aca="false">$H$85^2*B80+2*$H$85*$G$85*C80+$G$85^2*C81</f>
        <v>-1.64050298252132</v>
      </c>
      <c r="D86" s="56" t="n">
        <f aca="false">$H$85*D80+$G$85*D81</f>
        <v>0</v>
      </c>
    </row>
    <row r="87" customFormat="false" ht="15" hidden="false" customHeight="false" outlineLevel="0" collapsed="false">
      <c r="B87" s="56" t="n">
        <f aca="false">$G$85*B82-$H$85*C82</f>
        <v>0</v>
      </c>
      <c r="C87" s="56" t="n">
        <f aca="false">$H$85*B82+$G$85*C82</f>
        <v>0</v>
      </c>
      <c r="D87" s="56" t="n">
        <f aca="false">D82</f>
        <v>-1.11563435554969</v>
      </c>
    </row>
    <row r="90" customFormat="false" ht="15" hidden="false" customHeight="false" outlineLevel="0" collapsed="false">
      <c r="A90" s="26" t="s">
        <v>313</v>
      </c>
      <c r="B90" s="56" t="n">
        <f aca="false">$G$90^2*B85-2*$H$90*$G$90*D85+$H$90^2*D87</f>
        <v>-2.92568084374717</v>
      </c>
      <c r="C90" s="56" t="n">
        <f aca="false">$G$90*C85-$H$90*C87</f>
        <v>0</v>
      </c>
      <c r="D90" s="56" t="n">
        <f aca="false">0</f>
        <v>0</v>
      </c>
      <c r="F90" s="56" t="n">
        <f aca="false">IF(ABS(D85)&lt;0.00000000000001,0,0.5*ATAN2(D87-B85,2*D85))</f>
        <v>0</v>
      </c>
      <c r="G90" s="56" t="n">
        <f aca="false">COS(F90)</f>
        <v>1</v>
      </c>
      <c r="H90" s="56" t="n">
        <f aca="false">SIN(F90)</f>
        <v>0</v>
      </c>
    </row>
    <row r="91" customFormat="false" ht="15" hidden="false" customHeight="false" outlineLevel="0" collapsed="false">
      <c r="B91" s="56" t="n">
        <f aca="false">$G$90*B86-$H$90*D86</f>
        <v>0</v>
      </c>
      <c r="C91" s="56" t="n">
        <f aca="false">C86</f>
        <v>-1.64050298252132</v>
      </c>
      <c r="D91" s="56" t="n">
        <f aca="false">$H$90*B86+$G$90*D86</f>
        <v>0</v>
      </c>
    </row>
    <row r="92" customFormat="false" ht="15" hidden="false" customHeight="false" outlineLevel="0" collapsed="false">
      <c r="B92" s="56" t="n">
        <f aca="false">0</f>
        <v>0</v>
      </c>
      <c r="C92" s="56" t="n">
        <f aca="false">$H$90*C85+$G$90*C87</f>
        <v>0</v>
      </c>
      <c r="D92" s="56" t="n">
        <f aca="false">$H$90^2*B85+2*$H$90*$G$90*D85+$G$90^2*D87</f>
        <v>-1.11563435554969</v>
      </c>
    </row>
    <row r="95" customFormat="false" ht="15" hidden="false" customHeight="false" outlineLevel="0" collapsed="false">
      <c r="A95" s="26" t="s">
        <v>314</v>
      </c>
      <c r="B95" s="56" t="n">
        <f aca="false">B90</f>
        <v>-2.92568084374717</v>
      </c>
      <c r="C95" s="56" t="n">
        <f aca="false">$G$95*C90-$H$95*D90</f>
        <v>0</v>
      </c>
      <c r="D95" s="56" t="n">
        <f aca="false">$H$95*C90+$G$95*D90</f>
        <v>0</v>
      </c>
      <c r="F95" s="56" t="n">
        <f aca="false">IF(ABS(D91)&lt;0.00000000000001,0,0.5*ATAN2(D92-C91,2*D91))</f>
        <v>0</v>
      </c>
      <c r="G95" s="56" t="n">
        <f aca="false">COS(F95)</f>
        <v>1</v>
      </c>
      <c r="H95" s="56" t="n">
        <f aca="false">SIN(F95)</f>
        <v>0</v>
      </c>
    </row>
    <row r="96" customFormat="false" ht="15" hidden="false" customHeight="false" outlineLevel="0" collapsed="false">
      <c r="B96" s="56" t="n">
        <f aca="false">$G$95*B91-$H$95*B92</f>
        <v>0</v>
      </c>
      <c r="C96" s="56" t="n">
        <f aca="false">$G$95^2*C91-2*$H$95*$G$95*D91+$H$95^2*D92</f>
        <v>-1.64050298252132</v>
      </c>
      <c r="D96" s="56" t="n">
        <f aca="false">0</f>
        <v>0</v>
      </c>
    </row>
    <row r="97" customFormat="false" ht="15" hidden="false" customHeight="false" outlineLevel="0" collapsed="false">
      <c r="B97" s="56" t="n">
        <f aca="false">$H$95*B91+$G$95*B92</f>
        <v>0</v>
      </c>
      <c r="C97" s="56" t="n">
        <f aca="false">0</f>
        <v>0</v>
      </c>
      <c r="D97" s="56" t="n">
        <f aca="false">$H$95^2*C91+2*$H$95*$G$95*D91+$G$95^2*D92</f>
        <v>-1.11563435554969</v>
      </c>
    </row>
    <row r="100" customFormat="false" ht="15" hidden="false" customHeight="false" outlineLevel="0" collapsed="false">
      <c r="A100" s="26" t="s">
        <v>315</v>
      </c>
      <c r="B100" s="56" t="n">
        <f aca="false">$G$100^2*B95-2*$H$100*$G$100*C95+$H$100^2*C96</f>
        <v>-2.92568084374717</v>
      </c>
      <c r="C100" s="56" t="n">
        <f aca="false">0</f>
        <v>0</v>
      </c>
      <c r="D100" s="56" t="n">
        <f aca="false">$G$100*D95-$H$100*D96</f>
        <v>0</v>
      </c>
      <c r="F100" s="56" t="n">
        <f aca="false">IF(ABS(C95)&lt;0.00000000000001,0,0.5*ATAN2(C96-B95,2*C95))</f>
        <v>0</v>
      </c>
      <c r="G100" s="56" t="n">
        <f aca="false">COS(F100)</f>
        <v>1</v>
      </c>
      <c r="H100" s="56" t="n">
        <f aca="false">SIN(F100)</f>
        <v>0</v>
      </c>
    </row>
    <row r="101" customFormat="false" ht="15" hidden="false" customHeight="false" outlineLevel="0" collapsed="false">
      <c r="B101" s="56" t="n">
        <f aca="false">0</f>
        <v>0</v>
      </c>
      <c r="C101" s="56" t="n">
        <f aca="false">$H$100^2*B95+2*$H$100*$G$100*C95+$G$100^2*C96</f>
        <v>-1.64050298252132</v>
      </c>
      <c r="D101" s="56" t="n">
        <f aca="false">$H$100*D95+$G$100*D96</f>
        <v>0</v>
      </c>
    </row>
    <row r="102" customFormat="false" ht="15" hidden="false" customHeight="false" outlineLevel="0" collapsed="false">
      <c r="B102" s="56" t="n">
        <f aca="false">$G$100*B97-$H$100*C97</f>
        <v>0</v>
      </c>
      <c r="C102" s="56" t="n">
        <f aca="false">$H$100*B97+$G$100*C97</f>
        <v>0</v>
      </c>
      <c r="D102" s="56" t="n">
        <f aca="false">D97</f>
        <v>-1.11563435554969</v>
      </c>
    </row>
    <row r="105" customFormat="false" ht="15" hidden="false" customHeight="false" outlineLevel="0" collapsed="false">
      <c r="A105" s="26" t="s">
        <v>316</v>
      </c>
      <c r="B105" s="56" t="n">
        <f aca="false">$G$105^2*B100-2*$H$105*$G$105*D100+$H$105^2*D102</f>
        <v>-2.92568084374717</v>
      </c>
      <c r="C105" s="56" t="n">
        <f aca="false">$G$105*C100-$H$105*C102</f>
        <v>0</v>
      </c>
      <c r="D105" s="56" t="n">
        <f aca="false">0</f>
        <v>0</v>
      </c>
      <c r="F105" s="56" t="n">
        <f aca="false">IF(ABS(D100)&lt;0.00000000000001,0,0.5*ATAN2(D102-B100,2*D100))</f>
        <v>0</v>
      </c>
      <c r="G105" s="56" t="n">
        <f aca="false">COS(F105)</f>
        <v>1</v>
      </c>
      <c r="H105" s="56" t="n">
        <f aca="false">SIN(F105)</f>
        <v>0</v>
      </c>
    </row>
    <row r="106" customFormat="false" ht="15" hidden="false" customHeight="false" outlineLevel="0" collapsed="false">
      <c r="B106" s="56" t="n">
        <f aca="false">$G$105*B101-$H$105*D101</f>
        <v>0</v>
      </c>
      <c r="C106" s="56" t="n">
        <f aca="false">C101</f>
        <v>-1.64050298252132</v>
      </c>
      <c r="D106" s="56" t="n">
        <f aca="false">$H$105*B101+$G$105*D101</f>
        <v>0</v>
      </c>
    </row>
    <row r="107" customFormat="false" ht="15" hidden="false" customHeight="false" outlineLevel="0" collapsed="false">
      <c r="B107" s="56" t="n">
        <f aca="false">0</f>
        <v>0</v>
      </c>
      <c r="C107" s="56" t="n">
        <f aca="false">$H$105*C100+$G$105*C102</f>
        <v>0</v>
      </c>
      <c r="D107" s="56" t="n">
        <f aca="false">$H$105^2*B100+2*$H$105*$G$105*D100+$G$105^2*D102</f>
        <v>-1.11563435554969</v>
      </c>
    </row>
    <row r="110" customFormat="false" ht="15" hidden="false" customHeight="false" outlineLevel="0" collapsed="false">
      <c r="A110" s="26" t="s">
        <v>317</v>
      </c>
      <c r="B110" s="56" t="n">
        <f aca="false">B105</f>
        <v>-2.92568084374717</v>
      </c>
      <c r="C110" s="56" t="n">
        <f aca="false">$G$110*C105-$H$110*D105</f>
        <v>0</v>
      </c>
      <c r="D110" s="56" t="n">
        <f aca="false">$H$110*C105+$G$110*D105</f>
        <v>0</v>
      </c>
      <c r="F110" s="56" t="n">
        <f aca="false">IF(ABS(D106)&lt;0.00000000000001,0,0.5*ATAN2(D107-C106,2*D106))</f>
        <v>0</v>
      </c>
      <c r="G110" s="56" t="n">
        <f aca="false">COS(F110)</f>
        <v>1</v>
      </c>
      <c r="H110" s="56" t="n">
        <f aca="false">SIN(F110)</f>
        <v>0</v>
      </c>
    </row>
    <row r="111" customFormat="false" ht="15" hidden="false" customHeight="false" outlineLevel="0" collapsed="false">
      <c r="B111" s="56" t="n">
        <f aca="false">$G$110*B106-$H$110*B107</f>
        <v>0</v>
      </c>
      <c r="C111" s="56" t="n">
        <f aca="false">$G$110^2*C106-2*$H$110*$G$110*D106+$H$110^2*D107</f>
        <v>-1.64050298252132</v>
      </c>
      <c r="D111" s="56" t="n">
        <f aca="false">0</f>
        <v>0</v>
      </c>
    </row>
    <row r="112" customFormat="false" ht="15" hidden="false" customHeight="false" outlineLevel="0" collapsed="false">
      <c r="B112" s="56" t="n">
        <f aca="false">$H$110*B106+$G$110*B107</f>
        <v>0</v>
      </c>
      <c r="C112" s="56" t="n">
        <f aca="false">0</f>
        <v>0</v>
      </c>
      <c r="D112" s="56" t="n">
        <f aca="false">$H$110^2*C106+2*$H$110*$G$110*D106+$G$110^2*D107</f>
        <v>-1.11563435554969</v>
      </c>
    </row>
    <row r="115" customFormat="false" ht="15" hidden="false" customHeight="false" outlineLevel="0" collapsed="false">
      <c r="A115" s="26" t="s">
        <v>318</v>
      </c>
      <c r="B115" s="56" t="n">
        <f aca="false">$G$115^2*B110-2*$H$115*$G$115*C110+$H$115^2*C111</f>
        <v>-2.92568084374717</v>
      </c>
      <c r="C115" s="56" t="n">
        <f aca="false">0</f>
        <v>0</v>
      </c>
      <c r="D115" s="56" t="n">
        <f aca="false">$G$115*D110-$H$115*D111</f>
        <v>0</v>
      </c>
      <c r="F115" s="56" t="n">
        <f aca="false">IF(ABS(C110)&lt;0.00000000000001,0,0.5*ATAN2(C111-B110,2*C110))</f>
        <v>0</v>
      </c>
      <c r="G115" s="56" t="n">
        <f aca="false">COS(F115)</f>
        <v>1</v>
      </c>
      <c r="H115" s="56" t="n">
        <f aca="false">SIN(F115)</f>
        <v>0</v>
      </c>
    </row>
    <row r="116" customFormat="false" ht="15" hidden="false" customHeight="false" outlineLevel="0" collapsed="false">
      <c r="B116" s="56" t="n">
        <f aca="false">0</f>
        <v>0</v>
      </c>
      <c r="C116" s="56" t="n">
        <f aca="false">$H$115^2*B110+2*$H$115*$G$115*C110+$G$115^2*C111</f>
        <v>-1.64050298252132</v>
      </c>
      <c r="D116" s="56" t="n">
        <f aca="false">$H$115*D110+$G$115*D111</f>
        <v>0</v>
      </c>
    </row>
    <row r="117" customFormat="false" ht="15" hidden="false" customHeight="false" outlineLevel="0" collapsed="false">
      <c r="B117" s="56" t="n">
        <f aca="false">$G$115*B112-$H$115*C112</f>
        <v>0</v>
      </c>
      <c r="C117" s="56" t="n">
        <f aca="false">$H$115*B112+$G$115*C112</f>
        <v>0</v>
      </c>
      <c r="D117" s="56" t="n">
        <f aca="false">D112</f>
        <v>-1.11563435554969</v>
      </c>
    </row>
    <row r="120" customFormat="false" ht="15" hidden="false" customHeight="false" outlineLevel="0" collapsed="false">
      <c r="A120" s="26" t="s">
        <v>319</v>
      </c>
      <c r="B120" s="56" t="n">
        <f aca="false">$G$120^2*B115-2*$H$120*$G$120*D115+$H$120^2*D117</f>
        <v>-2.92568084374717</v>
      </c>
      <c r="C120" s="56" t="n">
        <f aca="false">$G$120*C115-$H$120*C117</f>
        <v>0</v>
      </c>
      <c r="D120" s="56" t="n">
        <f aca="false">0</f>
        <v>0</v>
      </c>
      <c r="F120" s="56" t="n">
        <f aca="false">IF(ABS(D115)&lt;0.00000000000001,0,0.5*ATAN2(D117-B115,2*D115))</f>
        <v>0</v>
      </c>
      <c r="G120" s="56" t="n">
        <f aca="false">COS(F120)</f>
        <v>1</v>
      </c>
      <c r="H120" s="56" t="n">
        <f aca="false">SIN(F120)</f>
        <v>0</v>
      </c>
    </row>
    <row r="121" customFormat="false" ht="15" hidden="false" customHeight="false" outlineLevel="0" collapsed="false">
      <c r="B121" s="56" t="n">
        <f aca="false">$G$120*B116-$H$120*D116</f>
        <v>0</v>
      </c>
      <c r="C121" s="56" t="n">
        <f aca="false">C116</f>
        <v>-1.64050298252132</v>
      </c>
      <c r="D121" s="56" t="n">
        <f aca="false">$H$120*B116+$G$120*D116</f>
        <v>0</v>
      </c>
    </row>
    <row r="122" customFormat="false" ht="15" hidden="false" customHeight="false" outlineLevel="0" collapsed="false">
      <c r="B122" s="56" t="n">
        <f aca="false">0</f>
        <v>0</v>
      </c>
      <c r="C122" s="56" t="n">
        <f aca="false">$H$120*C115+$G$120*C117</f>
        <v>0</v>
      </c>
      <c r="D122" s="56" t="n">
        <f aca="false">$H$120^2*B115+2*$H$120*$G$120*D115+$G$120^2*D117</f>
        <v>-1.11563435554969</v>
      </c>
    </row>
    <row r="125" customFormat="false" ht="15" hidden="false" customHeight="false" outlineLevel="0" collapsed="false">
      <c r="A125" s="26" t="s">
        <v>320</v>
      </c>
      <c r="B125" s="56" t="n">
        <f aca="false">B120</f>
        <v>-2.92568084374717</v>
      </c>
      <c r="C125" s="56" t="n">
        <f aca="false">$G$125*C120-$H$125*D120</f>
        <v>0</v>
      </c>
      <c r="D125" s="56" t="n">
        <f aca="false">$H$125*C120+$G$125*D120</f>
        <v>0</v>
      </c>
      <c r="F125" s="56" t="n">
        <f aca="false">IF(ABS(D121)&lt;0.00000000000001,0,0.5*ATAN2(D122-C121,2*D121))</f>
        <v>0</v>
      </c>
      <c r="G125" s="56" t="n">
        <f aca="false">COS(F125)</f>
        <v>1</v>
      </c>
      <c r="H125" s="56" t="n">
        <f aca="false">SIN(F125)</f>
        <v>0</v>
      </c>
    </row>
    <row r="126" customFormat="false" ht="15" hidden="false" customHeight="false" outlineLevel="0" collapsed="false">
      <c r="B126" s="56" t="n">
        <f aca="false">$G$125*B121-$H$125*B122</f>
        <v>0</v>
      </c>
      <c r="C126" s="56" t="n">
        <f aca="false">$G$125^2*C121-2*$H$125*$G$125*D121+$H$125^2*D122</f>
        <v>-1.64050298252132</v>
      </c>
      <c r="D126" s="56" t="n">
        <f aca="false">0</f>
        <v>0</v>
      </c>
    </row>
    <row r="127" customFormat="false" ht="15" hidden="false" customHeight="false" outlineLevel="0" collapsed="false">
      <c r="B127" s="56" t="n">
        <f aca="false">$H$125*B121+$G$125*B122</f>
        <v>0</v>
      </c>
      <c r="C127" s="56" t="n">
        <f aca="false">0</f>
        <v>0</v>
      </c>
      <c r="D127" s="56" t="n">
        <f aca="false">$H$125^2*C121+2*$H$125*$G$125*D121+$G$125^2*D122</f>
        <v>-1.11563435554969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W1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21.6" hidden="false" customHeight="false" outlineLevel="0" collapsed="false">
      <c r="A1" s="1" t="s">
        <v>321</v>
      </c>
    </row>
    <row r="4" customFormat="false" ht="26.85" hidden="false" customHeight="false" outlineLevel="0" collapsed="false">
      <c r="A4" s="9" t="s">
        <v>197</v>
      </c>
      <c r="B4" s="10" t="s">
        <v>322</v>
      </c>
      <c r="C4" s="9" t="s">
        <v>323</v>
      </c>
      <c r="D4" s="9" t="s">
        <v>324</v>
      </c>
      <c r="E4" s="10" t="s">
        <v>325</v>
      </c>
    </row>
    <row r="5" customFormat="false" ht="15" hidden="false" customHeight="false" outlineLevel="0" collapsed="false">
      <c r="A5" s="24" t="n">
        <v>1</v>
      </c>
      <c r="B5" s="24" t="n">
        <f aca="false">IF(OR(08_工程窓!$C$4=1,08_工程窓!$C$5=1),0,08_工程窓!C9)</f>
        <v>0</v>
      </c>
      <c r="C5" s="24" t="n">
        <f aca="false">IF(08_工程窓!$C$4=1,1,0)</f>
        <v>1</v>
      </c>
      <c r="D5" s="24" t="n">
        <f aca="false">IF(08_工程窓!$C$5=1,1,0)</f>
        <v>0</v>
      </c>
      <c r="E5" s="24" t="n">
        <f aca="false">IF(C5+D5&gt;0,1,IF(AND(B5&gt;=01_因子設定!L5-0.000000001,B5&lt;=01_因子設定!M5+0.000000001),1,0))</f>
        <v>1</v>
      </c>
      <c r="G5" s="39" t="s">
        <v>326</v>
      </c>
      <c r="H5" s="39" t="n">
        <f aca="false">PRODUCT(E5:E7)</f>
        <v>1</v>
      </c>
    </row>
    <row r="6" customFormat="false" ht="15" hidden="false" customHeight="false" outlineLevel="0" collapsed="false">
      <c r="A6" s="39" t="n">
        <v>2</v>
      </c>
      <c r="B6" s="39" t="n">
        <f aca="false">IF(OR(08_工程窓!$C$4=2,08_工程窓!$C$5=2),0,08_工程窓!C10)</f>
        <v>0</v>
      </c>
      <c r="C6" s="39" t="n">
        <f aca="false">IF(08_工程窓!$C$4=2,1,0)</f>
        <v>0</v>
      </c>
      <c r="D6" s="39" t="n">
        <f aca="false">IF(08_工程窓!$C$5=2,1,0)</f>
        <v>1</v>
      </c>
      <c r="E6" s="39" t="n">
        <f aca="false">IF(C6+D6&gt;0,1,IF(AND(B6&gt;=01_因子設定!L6-0.000000001,B6&lt;=01_因子設定!M6+0.000000001),1,0))</f>
        <v>1</v>
      </c>
      <c r="G6" s="39" t="s">
        <v>327</v>
      </c>
      <c r="H6" s="16" t="n">
        <f aca="false">INDEX(01_因子設定!$L$5:$L$7,08_工程窓!$C$4)</f>
        <v>-99</v>
      </c>
      <c r="I6" s="16" t="n">
        <f aca="false">INDEX(01_因子設定!$M$5:$M$7,08_工程窓!$C$4)</f>
        <v>1.5</v>
      </c>
    </row>
    <row r="7" customFormat="false" ht="15" hidden="false" customHeight="false" outlineLevel="0" collapsed="false">
      <c r="A7" s="39" t="n">
        <v>3</v>
      </c>
      <c r="B7" s="15" t="n">
        <f aca="false">IF(OR(08_工程窓!$C$4=3,08_工程窓!$C$5=3),0,08_工程窓!C11)</f>
        <v>0.625</v>
      </c>
      <c r="C7" s="39" t="n">
        <f aca="false">IF(08_工程窓!$C$4=3,1,0)</f>
        <v>0</v>
      </c>
      <c r="D7" s="39" t="n">
        <f aca="false">IF(08_工程窓!$C$5=3,1,0)</f>
        <v>0</v>
      </c>
      <c r="E7" s="39" t="n">
        <f aca="false">IF(C7+D7&gt;0,1,IF(AND(B7&gt;=01_因子設定!L7-0.000000001,B7&lt;=01_因子設定!M7+0.000000001),1,0))</f>
        <v>1</v>
      </c>
      <c r="G7" s="39" t="s">
        <v>328</v>
      </c>
      <c r="H7" s="16" t="n">
        <f aca="false">INDEX(01_因子設定!$L$5:$L$7,08_工程窓!$C$5)</f>
        <v>-2</v>
      </c>
      <c r="I7" s="16" t="n">
        <f aca="false">INDEX(01_因子設定!$M$5:$M$7,08_工程窓!$C$5)</f>
        <v>99</v>
      </c>
    </row>
    <row r="8" customFormat="false" ht="15" hidden="false" customHeight="false" outlineLevel="0" collapsed="false">
      <c r="G8" s="39" t="s">
        <v>329</v>
      </c>
      <c r="H8" s="39" t="n">
        <f aca="false">SUMSQ(B5:B7)</f>
        <v>0.390625</v>
      </c>
    </row>
    <row r="11" customFormat="false" ht="15" hidden="false" customHeight="false" outlineLevel="0" collapsed="false">
      <c r="A11" s="10" t="s">
        <v>135</v>
      </c>
      <c r="B11" s="9" t="s">
        <v>330</v>
      </c>
      <c r="C11" s="9" t="s">
        <v>331</v>
      </c>
      <c r="D11" s="9" t="s">
        <v>332</v>
      </c>
      <c r="E11" s="9" t="s">
        <v>333</v>
      </c>
      <c r="F11" s="9" t="s">
        <v>334</v>
      </c>
      <c r="G11" s="9" t="s">
        <v>335</v>
      </c>
    </row>
    <row r="12" customFormat="false" ht="15" hidden="false" customHeight="false" outlineLevel="0" collapsed="false">
      <c r="A12" s="39" t="s">
        <v>145</v>
      </c>
      <c r="B12" s="39" t="n">
        <f aca="false">1</f>
        <v>1</v>
      </c>
      <c r="C12" s="39" t="n">
        <f aca="false">0</f>
        <v>0</v>
      </c>
      <c r="D12" s="39" t="n">
        <f aca="false">0</f>
        <v>0</v>
      </c>
      <c r="E12" s="39" t="n">
        <f aca="false">0</f>
        <v>0</v>
      </c>
      <c r="F12" s="39" t="n">
        <f aca="false">0</f>
        <v>0</v>
      </c>
      <c r="G12" s="39" t="n">
        <f aca="false">0</f>
        <v>0</v>
      </c>
    </row>
    <row r="13" customFormat="false" ht="15" hidden="false" customHeight="false" outlineLevel="0" collapsed="false">
      <c r="A13" s="24" t="s">
        <v>64</v>
      </c>
      <c r="B13" s="39" t="n">
        <f aca="false">$B$5</f>
        <v>0</v>
      </c>
      <c r="C13" s="39" t="n">
        <f aca="false">$C$5</f>
        <v>1</v>
      </c>
      <c r="D13" s="39" t="n">
        <f aca="false">$D$5</f>
        <v>0</v>
      </c>
      <c r="E13" s="39" t="n">
        <f aca="false">0</f>
        <v>0</v>
      </c>
      <c r="F13" s="39" t="n">
        <f aca="false">0</f>
        <v>0</v>
      </c>
      <c r="G13" s="39" t="n">
        <f aca="false">0</f>
        <v>0</v>
      </c>
    </row>
    <row r="14" customFormat="false" ht="15" hidden="false" customHeight="false" outlineLevel="0" collapsed="false">
      <c r="A14" s="24" t="s">
        <v>69</v>
      </c>
      <c r="B14" s="39" t="n">
        <f aca="false">$B$6</f>
        <v>0</v>
      </c>
      <c r="C14" s="39" t="n">
        <f aca="false">$C$6</f>
        <v>0</v>
      </c>
      <c r="D14" s="39" t="n">
        <f aca="false">$D$6</f>
        <v>1</v>
      </c>
      <c r="E14" s="39" t="n">
        <f aca="false">0</f>
        <v>0</v>
      </c>
      <c r="F14" s="39" t="n">
        <f aca="false">0</f>
        <v>0</v>
      </c>
      <c r="G14" s="39" t="n">
        <f aca="false">0</f>
        <v>0</v>
      </c>
    </row>
    <row r="15" customFormat="false" ht="15" hidden="false" customHeight="false" outlineLevel="0" collapsed="false">
      <c r="A15" s="24" t="s">
        <v>72</v>
      </c>
      <c r="B15" s="15" t="n">
        <f aca="false">$B$7</f>
        <v>0.625</v>
      </c>
      <c r="C15" s="39" t="n">
        <f aca="false">$C$7</f>
        <v>0</v>
      </c>
      <c r="D15" s="39" t="n">
        <f aca="false">$D$7</f>
        <v>0</v>
      </c>
      <c r="E15" s="39" t="n">
        <f aca="false">0</f>
        <v>0</v>
      </c>
      <c r="F15" s="39" t="n">
        <f aca="false">0</f>
        <v>0</v>
      </c>
      <c r="G15" s="39" t="n">
        <f aca="false">0</f>
        <v>0</v>
      </c>
    </row>
    <row r="16" customFormat="false" ht="15" hidden="false" customHeight="false" outlineLevel="0" collapsed="false">
      <c r="A16" s="24" t="s">
        <v>150</v>
      </c>
      <c r="B16" s="39" t="n">
        <f aca="false">$B$5*$B$6</f>
        <v>0</v>
      </c>
      <c r="C16" s="39" t="n">
        <f aca="false">$B$5*$C$6+$B$6*$C$5</f>
        <v>0</v>
      </c>
      <c r="D16" s="39" t="n">
        <f aca="false">$B$5*$D$6+$B$6*$D$5</f>
        <v>0</v>
      </c>
      <c r="E16" s="39" t="n">
        <f aca="false">$C$5*$D$6+$C$6*$D$5</f>
        <v>1</v>
      </c>
      <c r="F16" s="39" t="n">
        <f aca="false">$C$5*$C$6</f>
        <v>0</v>
      </c>
      <c r="G16" s="39" t="n">
        <f aca="false">$D$5*$D$6</f>
        <v>0</v>
      </c>
    </row>
    <row r="17" customFormat="false" ht="15" hidden="false" customHeight="false" outlineLevel="0" collapsed="false">
      <c r="A17" s="24" t="s">
        <v>152</v>
      </c>
      <c r="B17" s="39" t="n">
        <f aca="false">$B$5*$B$7</f>
        <v>0</v>
      </c>
      <c r="C17" s="39" t="n">
        <f aca="false">$B$5*$C$7+$B$7*$C$5</f>
        <v>0.625</v>
      </c>
      <c r="D17" s="39" t="n">
        <f aca="false">$B$5*$D$7+$B$7*$D$5</f>
        <v>0</v>
      </c>
      <c r="E17" s="39" t="n">
        <f aca="false">$C$5*$D$7+$C$7*$D$5</f>
        <v>0</v>
      </c>
      <c r="F17" s="39" t="n">
        <f aca="false">$C$5*$C$7</f>
        <v>0</v>
      </c>
      <c r="G17" s="39" t="n">
        <f aca="false">$D$5*$D$7</f>
        <v>0</v>
      </c>
    </row>
    <row r="18" customFormat="false" ht="15" hidden="false" customHeight="false" outlineLevel="0" collapsed="false">
      <c r="A18" s="24" t="s">
        <v>154</v>
      </c>
      <c r="B18" s="39" t="n">
        <f aca="false">$B$6*$B$7</f>
        <v>0</v>
      </c>
      <c r="C18" s="39" t="n">
        <f aca="false">$B$6*$C$7+$B$7*$C$6</f>
        <v>0</v>
      </c>
      <c r="D18" s="39" t="n">
        <f aca="false">$B$6*$D$7+$B$7*$D$6</f>
        <v>0.625</v>
      </c>
      <c r="E18" s="39" t="n">
        <f aca="false">$C$6*$D$7+$C$7*$D$6</f>
        <v>0</v>
      </c>
      <c r="F18" s="39" t="n">
        <f aca="false">$C$6*$C$7</f>
        <v>0</v>
      </c>
      <c r="G18" s="39" t="n">
        <f aca="false">$D$6*$D$7</f>
        <v>0</v>
      </c>
    </row>
    <row r="19" customFormat="false" ht="15" hidden="false" customHeight="false" outlineLevel="0" collapsed="false">
      <c r="A19" s="24" t="s">
        <v>156</v>
      </c>
      <c r="B19" s="39" t="n">
        <f aca="false">$B$5*$B$5</f>
        <v>0</v>
      </c>
      <c r="C19" s="39" t="n">
        <f aca="false">$B$5*$C$5+$B$5*$C$5</f>
        <v>0</v>
      </c>
      <c r="D19" s="39" t="n">
        <f aca="false">$B$5*$D$5+$B$5*$D$5</f>
        <v>0</v>
      </c>
      <c r="E19" s="39" t="n">
        <f aca="false">$C$5*$D$5+$C$5*$D$5</f>
        <v>0</v>
      </c>
      <c r="F19" s="39" t="n">
        <f aca="false">$C$5*$C$5</f>
        <v>1</v>
      </c>
      <c r="G19" s="39" t="n">
        <f aca="false">$D$5*$D$5</f>
        <v>0</v>
      </c>
    </row>
    <row r="20" customFormat="false" ht="15" hidden="false" customHeight="false" outlineLevel="0" collapsed="false">
      <c r="A20" s="24" t="s">
        <v>158</v>
      </c>
      <c r="B20" s="39" t="n">
        <f aca="false">$B$6*$B$6</f>
        <v>0</v>
      </c>
      <c r="C20" s="39" t="n">
        <f aca="false">$B$6*$C$6+$B$6*$C$6</f>
        <v>0</v>
      </c>
      <c r="D20" s="39" t="n">
        <f aca="false">$B$6*$D$6+$B$6*$D$6</f>
        <v>0</v>
      </c>
      <c r="E20" s="39" t="n">
        <f aca="false">$C$6*$D$6+$C$6*$D$6</f>
        <v>0</v>
      </c>
      <c r="F20" s="39" t="n">
        <f aca="false">$C$6*$C$6</f>
        <v>0</v>
      </c>
      <c r="G20" s="39" t="n">
        <f aca="false">$D$6*$D$6</f>
        <v>1</v>
      </c>
    </row>
    <row r="21" customFormat="false" ht="15" hidden="false" customHeight="false" outlineLevel="0" collapsed="false">
      <c r="A21" s="24" t="s">
        <v>160</v>
      </c>
      <c r="B21" s="39" t="n">
        <f aca="false">$B$7*$B$7</f>
        <v>0.390625</v>
      </c>
      <c r="C21" s="39" t="n">
        <f aca="false">$B$7*$C$7+$B$7*$C$7</f>
        <v>0</v>
      </c>
      <c r="D21" s="39" t="n">
        <f aca="false">$B$7*$D$7+$B$7*$D$7</f>
        <v>0</v>
      </c>
      <c r="E21" s="39" t="n">
        <f aca="false">$C$7*$D$7+$C$7*$D$7</f>
        <v>0</v>
      </c>
      <c r="F21" s="39" t="n">
        <f aca="false">$C$7*$C$7</f>
        <v>0</v>
      </c>
      <c r="G21" s="39" t="n">
        <f aca="false">$D$7*$D$7</f>
        <v>0</v>
      </c>
    </row>
    <row r="24" customFormat="false" ht="15" hidden="false" customHeight="false" outlineLevel="0" collapsed="false">
      <c r="A24" s="38" t="s">
        <v>336</v>
      </c>
    </row>
    <row r="25" customFormat="false" ht="15" hidden="false" customHeight="false" outlineLevel="0" collapsed="false">
      <c r="B25" s="39" t="n">
        <f aca="false">INDEX($B$12:$G$21,1,1)</f>
        <v>1</v>
      </c>
      <c r="C25" s="39" t="n">
        <f aca="false">INDEX($B$12:$G$21,2,1)</f>
        <v>0</v>
      </c>
      <c r="D25" s="39" t="n">
        <f aca="false">INDEX($B$12:$G$21,3,1)</f>
        <v>0</v>
      </c>
      <c r="E25" s="15" t="n">
        <f aca="false">INDEX($B$12:$G$21,4,1)</f>
        <v>0.625</v>
      </c>
      <c r="F25" s="39" t="n">
        <f aca="false">INDEX($B$12:$G$21,5,1)</f>
        <v>0</v>
      </c>
      <c r="G25" s="39" t="n">
        <f aca="false">INDEX($B$12:$G$21,6,1)</f>
        <v>0</v>
      </c>
      <c r="H25" s="39" t="n">
        <f aca="false">INDEX($B$12:$G$21,7,1)</f>
        <v>0</v>
      </c>
      <c r="I25" s="39" t="n">
        <f aca="false">INDEX($B$12:$G$21,8,1)</f>
        <v>0</v>
      </c>
      <c r="J25" s="39" t="n">
        <f aca="false">INDEX($B$12:$G$21,9,1)</f>
        <v>0</v>
      </c>
      <c r="K25" s="39" t="n">
        <f aca="false">INDEX($B$12:$G$21,10,1)</f>
        <v>0.390625</v>
      </c>
    </row>
    <row r="26" customFormat="false" ht="15" hidden="false" customHeight="false" outlineLevel="0" collapsed="false">
      <c r="B26" s="39" t="n">
        <f aca="false">INDEX($B$12:$G$21,1,2)</f>
        <v>0</v>
      </c>
      <c r="C26" s="39" t="n">
        <f aca="false">INDEX($B$12:$G$21,2,2)</f>
        <v>1</v>
      </c>
      <c r="D26" s="39" t="n">
        <f aca="false">INDEX($B$12:$G$21,3,2)</f>
        <v>0</v>
      </c>
      <c r="E26" s="39" t="n">
        <f aca="false">INDEX($B$12:$G$21,4,2)</f>
        <v>0</v>
      </c>
      <c r="F26" s="39" t="n">
        <f aca="false">INDEX($B$12:$G$21,5,2)</f>
        <v>0</v>
      </c>
      <c r="G26" s="39" t="n">
        <f aca="false">INDEX($B$12:$G$21,6,2)</f>
        <v>0.625</v>
      </c>
      <c r="H26" s="39" t="n">
        <f aca="false">INDEX($B$12:$G$21,7,2)</f>
        <v>0</v>
      </c>
      <c r="I26" s="39" t="n">
        <f aca="false">INDEX($B$12:$G$21,8,2)</f>
        <v>0</v>
      </c>
      <c r="J26" s="39" t="n">
        <f aca="false">INDEX($B$12:$G$21,9,2)</f>
        <v>0</v>
      </c>
      <c r="K26" s="39" t="n">
        <f aca="false">INDEX($B$12:$G$21,10,2)</f>
        <v>0</v>
      </c>
    </row>
    <row r="27" customFormat="false" ht="15" hidden="false" customHeight="false" outlineLevel="0" collapsed="false">
      <c r="B27" s="39" t="n">
        <f aca="false">INDEX($B$12:$G$21,1,3)</f>
        <v>0</v>
      </c>
      <c r="C27" s="39" t="n">
        <f aca="false">INDEX($B$12:$G$21,2,3)</f>
        <v>0</v>
      </c>
      <c r="D27" s="39" t="n">
        <f aca="false">INDEX($B$12:$G$21,3,3)</f>
        <v>1</v>
      </c>
      <c r="E27" s="39" t="n">
        <f aca="false">INDEX($B$12:$G$21,4,3)</f>
        <v>0</v>
      </c>
      <c r="F27" s="39" t="n">
        <f aca="false">INDEX($B$12:$G$21,5,3)</f>
        <v>0</v>
      </c>
      <c r="G27" s="39" t="n">
        <f aca="false">INDEX($B$12:$G$21,6,3)</f>
        <v>0</v>
      </c>
      <c r="H27" s="39" t="n">
        <f aca="false">INDEX($B$12:$G$21,7,3)</f>
        <v>0.625</v>
      </c>
      <c r="I27" s="39" t="n">
        <f aca="false">INDEX($B$12:$G$21,8,3)</f>
        <v>0</v>
      </c>
      <c r="J27" s="39" t="n">
        <f aca="false">INDEX($B$12:$G$21,9,3)</f>
        <v>0</v>
      </c>
      <c r="K27" s="39" t="n">
        <f aca="false">INDEX($B$12:$G$21,10,3)</f>
        <v>0</v>
      </c>
    </row>
    <row r="28" customFormat="false" ht="15" hidden="false" customHeight="false" outlineLevel="0" collapsed="false">
      <c r="B28" s="39" t="n">
        <f aca="false">INDEX($B$12:$G$21,1,4)</f>
        <v>0</v>
      </c>
      <c r="C28" s="39" t="n">
        <f aca="false">INDEX($B$12:$G$21,2,4)</f>
        <v>0</v>
      </c>
      <c r="D28" s="39" t="n">
        <f aca="false">INDEX($B$12:$G$21,3,4)</f>
        <v>0</v>
      </c>
      <c r="E28" s="39" t="n">
        <f aca="false">INDEX($B$12:$G$21,4,4)</f>
        <v>0</v>
      </c>
      <c r="F28" s="39" t="n">
        <f aca="false">INDEX($B$12:$G$21,5,4)</f>
        <v>1</v>
      </c>
      <c r="G28" s="39" t="n">
        <f aca="false">INDEX($B$12:$G$21,6,4)</f>
        <v>0</v>
      </c>
      <c r="H28" s="39" t="n">
        <f aca="false">INDEX($B$12:$G$21,7,4)</f>
        <v>0</v>
      </c>
      <c r="I28" s="39" t="n">
        <f aca="false">INDEX($B$12:$G$21,8,4)</f>
        <v>0</v>
      </c>
      <c r="J28" s="39" t="n">
        <f aca="false">INDEX($B$12:$G$21,9,4)</f>
        <v>0</v>
      </c>
      <c r="K28" s="39" t="n">
        <f aca="false">INDEX($B$12:$G$21,10,4)</f>
        <v>0</v>
      </c>
    </row>
    <row r="29" customFormat="false" ht="15" hidden="false" customHeight="false" outlineLevel="0" collapsed="false">
      <c r="B29" s="39" t="n">
        <f aca="false">INDEX($B$12:$G$21,1,5)</f>
        <v>0</v>
      </c>
      <c r="C29" s="39" t="n">
        <f aca="false">INDEX($B$12:$G$21,2,5)</f>
        <v>0</v>
      </c>
      <c r="D29" s="39" t="n">
        <f aca="false">INDEX($B$12:$G$21,3,5)</f>
        <v>0</v>
      </c>
      <c r="E29" s="39" t="n">
        <f aca="false">INDEX($B$12:$G$21,4,5)</f>
        <v>0</v>
      </c>
      <c r="F29" s="39" t="n">
        <f aca="false">INDEX($B$12:$G$21,5,5)</f>
        <v>0</v>
      </c>
      <c r="G29" s="39" t="n">
        <f aca="false">INDEX($B$12:$G$21,6,5)</f>
        <v>0</v>
      </c>
      <c r="H29" s="39" t="n">
        <f aca="false">INDEX($B$12:$G$21,7,5)</f>
        <v>0</v>
      </c>
      <c r="I29" s="39" t="n">
        <f aca="false">INDEX($B$12:$G$21,8,5)</f>
        <v>1</v>
      </c>
      <c r="J29" s="39" t="n">
        <f aca="false">INDEX($B$12:$G$21,9,5)</f>
        <v>0</v>
      </c>
      <c r="K29" s="39" t="n">
        <f aca="false">INDEX($B$12:$G$21,10,5)</f>
        <v>0</v>
      </c>
    </row>
    <row r="30" customFormat="false" ht="15" hidden="false" customHeight="false" outlineLevel="0" collapsed="false">
      <c r="B30" s="39" t="n">
        <f aca="false">INDEX($B$12:$G$21,1,6)</f>
        <v>0</v>
      </c>
      <c r="C30" s="39" t="n">
        <f aca="false">INDEX($B$12:$G$21,2,6)</f>
        <v>0</v>
      </c>
      <c r="D30" s="39" t="n">
        <f aca="false">INDEX($B$12:$G$21,3,6)</f>
        <v>0</v>
      </c>
      <c r="E30" s="39" t="n">
        <f aca="false">INDEX($B$12:$G$21,4,6)</f>
        <v>0</v>
      </c>
      <c r="F30" s="39" t="n">
        <f aca="false">INDEX($B$12:$G$21,5,6)</f>
        <v>0</v>
      </c>
      <c r="G30" s="39" t="n">
        <f aca="false">INDEX($B$12:$G$21,6,6)</f>
        <v>0</v>
      </c>
      <c r="H30" s="39" t="n">
        <f aca="false">INDEX($B$12:$G$21,7,6)</f>
        <v>0</v>
      </c>
      <c r="I30" s="39" t="n">
        <f aca="false">INDEX($B$12:$G$21,8,6)</f>
        <v>0</v>
      </c>
      <c r="J30" s="39" t="n">
        <f aca="false">INDEX($B$12:$G$21,9,6)</f>
        <v>1</v>
      </c>
      <c r="K30" s="39" t="n">
        <f aca="false">INDEX($B$12:$G$21,10,6)</f>
        <v>0</v>
      </c>
    </row>
    <row r="33" customFormat="false" ht="15" hidden="false" customHeight="false" outlineLevel="0" collapsed="false">
      <c r="A33" s="38" t="s">
        <v>337</v>
      </c>
    </row>
    <row r="34" customFormat="false" ht="15" hidden="false" customHeight="false" outlineLevel="0" collapsed="false">
      <c r="B34" s="39" t="n">
        <f aca="false">INDEX(MMULT(_XtX!$B$58:$K$67,$B$12:$G$21),1,1)</f>
        <v>0.100426136363636</v>
      </c>
      <c r="C34" s="39" t="n">
        <f aca="false">INDEX(MMULT(_XtX!$B$58:$K$67,$B$12:$G$21),1,2)</f>
        <v>0</v>
      </c>
      <c r="D34" s="39" t="n">
        <f aca="false">INDEX(MMULT(_XtX!$B$58:$K$67,$B$12:$G$21),1,3)</f>
        <v>0</v>
      </c>
      <c r="E34" s="39" t="n">
        <f aca="false">INDEX(MMULT(_XtX!$B$58:$K$67,$B$12:$G$21),1,4)</f>
        <v>0</v>
      </c>
      <c r="F34" s="39" t="n">
        <f aca="false">INDEX(MMULT(_XtX!$B$58:$K$67,$B$12:$G$21),1,5)</f>
        <v>-0.0454545454545455</v>
      </c>
      <c r="G34" s="39" t="n">
        <f aca="false">INDEX(MMULT(_XtX!$B$58:$K$67,$B$12:$G$21),1,6)</f>
        <v>-0.0454545454545454</v>
      </c>
    </row>
    <row r="35" customFormat="false" ht="15" hidden="false" customHeight="false" outlineLevel="0" collapsed="false">
      <c r="B35" s="39" t="n">
        <f aca="false">INDEX(MMULT(_XtX!$B$58:$K$67,$B$12:$G$21),2,1)</f>
        <v>0</v>
      </c>
      <c r="C35" s="39" t="n">
        <f aca="false">INDEX(MMULT(_XtX!$B$58:$K$67,$B$12:$G$21),2,2)</f>
        <v>0.1</v>
      </c>
      <c r="D35" s="39" t="n">
        <f aca="false">INDEX(MMULT(_XtX!$B$58:$K$67,$B$12:$G$21),2,3)</f>
        <v>0</v>
      </c>
      <c r="E35" s="39" t="n">
        <f aca="false">INDEX(MMULT(_XtX!$B$58:$K$67,$B$12:$G$21),2,4)</f>
        <v>0</v>
      </c>
      <c r="F35" s="39" t="n">
        <f aca="false">INDEX(MMULT(_XtX!$B$58:$K$67,$B$12:$G$21),2,5)</f>
        <v>0</v>
      </c>
      <c r="G35" s="39" t="n">
        <f aca="false">INDEX(MMULT(_XtX!$B$58:$K$67,$B$12:$G$21),2,6)</f>
        <v>0</v>
      </c>
    </row>
    <row r="36" customFormat="false" ht="15" hidden="false" customHeight="false" outlineLevel="0" collapsed="false">
      <c r="B36" s="39" t="n">
        <f aca="false">INDEX(MMULT(_XtX!$B$58:$K$67,$B$12:$G$21),3,1)</f>
        <v>0</v>
      </c>
      <c r="C36" s="39" t="n">
        <f aca="false">INDEX(MMULT(_XtX!$B$58:$K$67,$B$12:$G$21),3,2)</f>
        <v>0</v>
      </c>
      <c r="D36" s="39" t="n">
        <f aca="false">INDEX(MMULT(_XtX!$B$58:$K$67,$B$12:$G$21),3,3)</f>
        <v>0.1</v>
      </c>
      <c r="E36" s="39" t="n">
        <f aca="false">INDEX(MMULT(_XtX!$B$58:$K$67,$B$12:$G$21),3,4)</f>
        <v>0</v>
      </c>
      <c r="F36" s="39" t="n">
        <f aca="false">INDEX(MMULT(_XtX!$B$58:$K$67,$B$12:$G$21),3,5)</f>
        <v>0</v>
      </c>
      <c r="G36" s="39" t="n">
        <f aca="false">INDEX(MMULT(_XtX!$B$58:$K$67,$B$12:$G$21),3,6)</f>
        <v>0</v>
      </c>
    </row>
    <row r="37" customFormat="false" ht="15" hidden="false" customHeight="false" outlineLevel="0" collapsed="false">
      <c r="B37" s="39" t="n">
        <f aca="false">INDEX(MMULT(_XtX!$B$58:$K$67,$B$12:$G$21),4,1)</f>
        <v>0.0625</v>
      </c>
      <c r="C37" s="39" t="n">
        <f aca="false">INDEX(MMULT(_XtX!$B$58:$K$67,$B$12:$G$21),4,2)</f>
        <v>0</v>
      </c>
      <c r="D37" s="39" t="n">
        <f aca="false">INDEX(MMULT(_XtX!$B$58:$K$67,$B$12:$G$21),4,3)</f>
        <v>0</v>
      </c>
      <c r="E37" s="39" t="n">
        <f aca="false">INDEX(MMULT(_XtX!$B$58:$K$67,$B$12:$G$21),4,4)</f>
        <v>0</v>
      </c>
      <c r="F37" s="39" t="n">
        <f aca="false">INDEX(MMULT(_XtX!$B$58:$K$67,$B$12:$G$21),4,5)</f>
        <v>0</v>
      </c>
      <c r="G37" s="39" t="n">
        <f aca="false">INDEX(MMULT(_XtX!$B$58:$K$67,$B$12:$G$21),4,6)</f>
        <v>0</v>
      </c>
    </row>
    <row r="38" customFormat="false" ht="15" hidden="false" customHeight="false" outlineLevel="0" collapsed="false">
      <c r="B38" s="39" t="n">
        <f aca="false">INDEX(MMULT(_XtX!$B$58:$K$67,$B$12:$G$21),5,1)</f>
        <v>0</v>
      </c>
      <c r="C38" s="39" t="n">
        <f aca="false">INDEX(MMULT(_XtX!$B$58:$K$67,$B$12:$G$21),5,2)</f>
        <v>0</v>
      </c>
      <c r="D38" s="39" t="n">
        <f aca="false">INDEX(MMULT(_XtX!$B$58:$K$67,$B$12:$G$21),5,3)</f>
        <v>0</v>
      </c>
      <c r="E38" s="39" t="n">
        <f aca="false">INDEX(MMULT(_XtX!$B$58:$K$67,$B$12:$G$21),5,4)</f>
        <v>0.125</v>
      </c>
      <c r="F38" s="39" t="n">
        <f aca="false">INDEX(MMULT(_XtX!$B$58:$K$67,$B$12:$G$21),5,5)</f>
        <v>0</v>
      </c>
      <c r="G38" s="39" t="n">
        <f aca="false">INDEX(MMULT(_XtX!$B$58:$K$67,$B$12:$G$21),5,6)</f>
        <v>0</v>
      </c>
    </row>
    <row r="39" customFormat="false" ht="15" hidden="false" customHeight="false" outlineLevel="0" collapsed="false">
      <c r="B39" s="39" t="n">
        <f aca="false">INDEX(MMULT(_XtX!$B$58:$K$67,$B$12:$G$21),6,1)</f>
        <v>0</v>
      </c>
      <c r="C39" s="39" t="n">
        <f aca="false">INDEX(MMULT(_XtX!$B$58:$K$67,$B$12:$G$21),6,2)</f>
        <v>0.078125</v>
      </c>
      <c r="D39" s="39" t="n">
        <f aca="false">INDEX(MMULT(_XtX!$B$58:$K$67,$B$12:$G$21),6,3)</f>
        <v>0</v>
      </c>
      <c r="E39" s="39" t="n">
        <f aca="false">INDEX(MMULT(_XtX!$B$58:$K$67,$B$12:$G$21),6,4)</f>
        <v>0</v>
      </c>
      <c r="F39" s="39" t="n">
        <f aca="false">INDEX(MMULT(_XtX!$B$58:$K$67,$B$12:$G$21),6,5)</f>
        <v>0</v>
      </c>
      <c r="G39" s="39" t="n">
        <f aca="false">INDEX(MMULT(_XtX!$B$58:$K$67,$B$12:$G$21),6,6)</f>
        <v>0</v>
      </c>
    </row>
    <row r="40" customFormat="false" ht="15" hidden="false" customHeight="false" outlineLevel="0" collapsed="false">
      <c r="B40" s="39" t="n">
        <f aca="false">INDEX(MMULT(_XtX!$B$58:$K$67,$B$12:$G$21),7,1)</f>
        <v>0</v>
      </c>
      <c r="C40" s="39" t="n">
        <f aca="false">INDEX(MMULT(_XtX!$B$58:$K$67,$B$12:$G$21),7,2)</f>
        <v>0</v>
      </c>
      <c r="D40" s="39" t="n">
        <f aca="false">INDEX(MMULT(_XtX!$B$58:$K$67,$B$12:$G$21),7,3)</f>
        <v>0.078125</v>
      </c>
      <c r="E40" s="39" t="n">
        <f aca="false">INDEX(MMULT(_XtX!$B$58:$K$67,$B$12:$G$21),7,4)</f>
        <v>0</v>
      </c>
      <c r="F40" s="39" t="n">
        <f aca="false">INDEX(MMULT(_XtX!$B$58:$K$67,$B$12:$G$21),7,5)</f>
        <v>0</v>
      </c>
      <c r="G40" s="39" t="n">
        <f aca="false">INDEX(MMULT(_XtX!$B$58:$K$67,$B$12:$G$21),7,6)</f>
        <v>0</v>
      </c>
    </row>
    <row r="41" customFormat="false" ht="15" hidden="false" customHeight="false" outlineLevel="0" collapsed="false">
      <c r="B41" s="39" t="n">
        <f aca="false">INDEX(MMULT(_XtX!$B$58:$K$67,$B$12:$G$21),8,1)</f>
        <v>-0.0987215909090909</v>
      </c>
      <c r="C41" s="39" t="n">
        <f aca="false">INDEX(MMULT(_XtX!$B$58:$K$67,$B$12:$G$21),8,2)</f>
        <v>0</v>
      </c>
      <c r="D41" s="39" t="n">
        <f aca="false">INDEX(MMULT(_XtX!$B$58:$K$67,$B$12:$G$21),8,3)</f>
        <v>0</v>
      </c>
      <c r="E41" s="39" t="n">
        <f aca="false">INDEX(MMULT(_XtX!$B$58:$K$67,$B$12:$G$21),8,4)</f>
        <v>0</v>
      </c>
      <c r="F41" s="39" t="n">
        <f aca="false">INDEX(MMULT(_XtX!$B$58:$K$67,$B$12:$G$21),8,5)</f>
        <v>0.363636363636364</v>
      </c>
      <c r="G41" s="39" t="n">
        <f aca="false">INDEX(MMULT(_XtX!$B$58:$K$67,$B$12:$G$21),8,6)</f>
        <v>-0.136363636363636</v>
      </c>
    </row>
    <row r="42" customFormat="false" ht="15" hidden="false" customHeight="false" outlineLevel="0" collapsed="false">
      <c r="B42" s="39" t="n">
        <f aca="false">INDEX(MMULT(_XtX!$B$58:$K$67,$B$12:$G$21),9,1)</f>
        <v>-0.0987215909090909</v>
      </c>
      <c r="C42" s="39" t="n">
        <f aca="false">INDEX(MMULT(_XtX!$B$58:$K$67,$B$12:$G$21),9,2)</f>
        <v>0</v>
      </c>
      <c r="D42" s="39" t="n">
        <f aca="false">INDEX(MMULT(_XtX!$B$58:$K$67,$B$12:$G$21),9,3)</f>
        <v>0</v>
      </c>
      <c r="E42" s="39" t="n">
        <f aca="false">INDEX(MMULT(_XtX!$B$58:$K$67,$B$12:$G$21),9,4)</f>
        <v>0</v>
      </c>
      <c r="F42" s="39" t="n">
        <f aca="false">INDEX(MMULT(_XtX!$B$58:$K$67,$B$12:$G$21),9,5)</f>
        <v>-0.136363636363636</v>
      </c>
      <c r="G42" s="39" t="n">
        <f aca="false">INDEX(MMULT(_XtX!$B$58:$K$67,$B$12:$G$21),9,6)</f>
        <v>0.363636363636364</v>
      </c>
    </row>
    <row r="43" customFormat="false" ht="15" hidden="false" customHeight="false" outlineLevel="0" collapsed="false">
      <c r="B43" s="39" t="n">
        <f aca="false">INDEX(MMULT(_XtX!$B$58:$K$67,$B$12:$G$21),10,1)</f>
        <v>0.0965909090909091</v>
      </c>
      <c r="C43" s="39" t="n">
        <f aca="false">INDEX(MMULT(_XtX!$B$58:$K$67,$B$12:$G$21),10,2)</f>
        <v>0</v>
      </c>
      <c r="D43" s="39" t="n">
        <f aca="false">INDEX(MMULT(_XtX!$B$58:$K$67,$B$12:$G$21),10,3)</f>
        <v>0</v>
      </c>
      <c r="E43" s="39" t="n">
        <f aca="false">INDEX(MMULT(_XtX!$B$58:$K$67,$B$12:$G$21),10,4)</f>
        <v>0</v>
      </c>
      <c r="F43" s="39" t="n">
        <f aca="false">INDEX(MMULT(_XtX!$B$58:$K$67,$B$12:$G$21),10,5)</f>
        <v>-0.136363636363636</v>
      </c>
      <c r="G43" s="39" t="n">
        <f aca="false">INDEX(MMULT(_XtX!$B$58:$K$67,$B$12:$G$21),10,6)</f>
        <v>-0.136363636363636</v>
      </c>
    </row>
    <row r="46" customFormat="false" ht="15" hidden="false" customHeight="false" outlineLevel="0" collapsed="false">
      <c r="A46" s="38" t="s">
        <v>338</v>
      </c>
      <c r="I46" s="38" t="s">
        <v>339</v>
      </c>
    </row>
    <row r="47" customFormat="false" ht="15" hidden="false" customHeight="false" outlineLevel="0" collapsed="false">
      <c r="B47" s="39" t="n">
        <f aca="false">INDEX(MMULT($B$25:$K$30,$B$34:$G$43),1,1)</f>
        <v>0.177219460227273</v>
      </c>
      <c r="C47" s="39" t="n">
        <f aca="false">INDEX(MMULT($B$25:$K$30,$B$34:$G$43),1,2)</f>
        <v>0</v>
      </c>
      <c r="D47" s="39" t="n">
        <f aca="false">INDEX(MMULT($B$25:$K$30,$B$34:$G$43),1,3)</f>
        <v>0</v>
      </c>
      <c r="E47" s="39" t="n">
        <f aca="false">INDEX(MMULT($B$25:$K$30,$B$34:$G$43),1,4)</f>
        <v>0</v>
      </c>
      <c r="F47" s="39" t="n">
        <f aca="false">INDEX(MMULT($B$25:$K$30,$B$34:$G$43),1,5)</f>
        <v>-0.0987215909090909</v>
      </c>
      <c r="G47" s="39" t="n">
        <f aca="false">INDEX(MMULT($B$25:$K$30,$B$34:$G$43),1,6)</f>
        <v>-0.0987215909090909</v>
      </c>
      <c r="I47" s="39" t="n">
        <f aca="false">INDEX(MMULT($B$25:$K$30,_XtX!$M$45:$M$54),1,1)</f>
        <v>48.7835369318182</v>
      </c>
    </row>
    <row r="48" customFormat="false" ht="15" hidden="false" customHeight="false" outlineLevel="0" collapsed="false">
      <c r="B48" s="39" t="n">
        <f aca="false">INDEX(MMULT($B$25:$K$30,$B$34:$G$43),2,1)</f>
        <v>0</v>
      </c>
      <c r="C48" s="39" t="n">
        <f aca="false">INDEX(MMULT($B$25:$K$30,$B$34:$G$43),2,2)</f>
        <v>0.148828125</v>
      </c>
      <c r="D48" s="39" t="n">
        <f aca="false">INDEX(MMULT($B$25:$K$30,$B$34:$G$43),2,3)</f>
        <v>0</v>
      </c>
      <c r="E48" s="39" t="n">
        <f aca="false">INDEX(MMULT($B$25:$K$30,$B$34:$G$43),2,4)</f>
        <v>0</v>
      </c>
      <c r="F48" s="39" t="n">
        <f aca="false">INDEX(MMULT($B$25:$K$30,$B$34:$G$43),2,5)</f>
        <v>0</v>
      </c>
      <c r="G48" s="39" t="n">
        <f aca="false">INDEX(MMULT($B$25:$K$30,$B$34:$G$43),2,6)</f>
        <v>0</v>
      </c>
      <c r="I48" s="39" t="n">
        <f aca="false">INDEX(MMULT($B$25:$K$30,_XtX!$M$45:$M$54),2,1)</f>
        <v>2.52625</v>
      </c>
    </row>
    <row r="49" customFormat="false" ht="15" hidden="false" customHeight="false" outlineLevel="0" collapsed="false">
      <c r="B49" s="39" t="n">
        <f aca="false">INDEX(MMULT($B$25:$K$30,$B$34:$G$43),3,1)</f>
        <v>0</v>
      </c>
      <c r="C49" s="39" t="n">
        <f aca="false">INDEX(MMULT($B$25:$K$30,$B$34:$G$43),3,2)</f>
        <v>0</v>
      </c>
      <c r="D49" s="39" t="n">
        <f aca="false">INDEX(MMULT($B$25:$K$30,$B$34:$G$43),3,3)</f>
        <v>0.148828125</v>
      </c>
      <c r="E49" s="39" t="n">
        <f aca="false">INDEX(MMULT($B$25:$K$30,$B$34:$G$43),3,4)</f>
        <v>0</v>
      </c>
      <c r="F49" s="39" t="n">
        <f aca="false">INDEX(MMULT($B$25:$K$30,$B$34:$G$43),3,5)</f>
        <v>0</v>
      </c>
      <c r="G49" s="39" t="n">
        <f aca="false">INDEX(MMULT($B$25:$K$30,$B$34:$G$43),3,6)</f>
        <v>0</v>
      </c>
      <c r="I49" s="39" t="n">
        <f aca="false">INDEX(MMULT($B$25:$K$30,_XtX!$M$45:$M$54),3,1)</f>
        <v>2.35125</v>
      </c>
    </row>
    <row r="50" customFormat="false" ht="15" hidden="false" customHeight="false" outlineLevel="0" collapsed="false">
      <c r="B50" s="39" t="n">
        <f aca="false">INDEX(MMULT($B$25:$K$30,$B$34:$G$43),4,1)</f>
        <v>0</v>
      </c>
      <c r="C50" s="39" t="n">
        <f aca="false">INDEX(MMULT($B$25:$K$30,$B$34:$G$43),4,2)</f>
        <v>0</v>
      </c>
      <c r="D50" s="39" t="n">
        <f aca="false">INDEX(MMULT($B$25:$K$30,$B$34:$G$43),4,3)</f>
        <v>0</v>
      </c>
      <c r="E50" s="39" t="n">
        <f aca="false">INDEX(MMULT($B$25:$K$30,$B$34:$G$43),4,4)</f>
        <v>0.125</v>
      </c>
      <c r="F50" s="39" t="n">
        <f aca="false">INDEX(MMULT($B$25:$K$30,$B$34:$G$43),4,5)</f>
        <v>0</v>
      </c>
      <c r="G50" s="39" t="n">
        <f aca="false">INDEX(MMULT($B$25:$K$30,$B$34:$G$43),4,6)</f>
        <v>0</v>
      </c>
      <c r="I50" s="39" t="n">
        <f aca="false">INDEX(MMULT($B$25:$K$30,_XtX!$M$45:$M$54),4,1)</f>
        <v>1.225</v>
      </c>
    </row>
    <row r="51" customFormat="false" ht="15" hidden="false" customHeight="false" outlineLevel="0" collapsed="false">
      <c r="B51" s="39" t="n">
        <f aca="false">INDEX(MMULT($B$25:$K$30,$B$34:$G$43),5,1)</f>
        <v>-0.0987215909090909</v>
      </c>
      <c r="C51" s="39" t="n">
        <f aca="false">INDEX(MMULT($B$25:$K$30,$B$34:$G$43),5,2)</f>
        <v>0</v>
      </c>
      <c r="D51" s="39" t="n">
        <f aca="false">INDEX(MMULT($B$25:$K$30,$B$34:$G$43),5,3)</f>
        <v>0</v>
      </c>
      <c r="E51" s="39" t="n">
        <f aca="false">INDEX(MMULT($B$25:$K$30,$B$34:$G$43),5,4)</f>
        <v>0</v>
      </c>
      <c r="F51" s="39" t="n">
        <f aca="false">INDEX(MMULT($B$25:$K$30,$B$34:$G$43),5,5)</f>
        <v>0.363636363636364</v>
      </c>
      <c r="G51" s="39" t="n">
        <f aca="false">INDEX(MMULT($B$25:$K$30,$B$34:$G$43),5,6)</f>
        <v>-0.136363636363636</v>
      </c>
      <c r="I51" s="39" t="n">
        <f aca="false">INDEX(MMULT($B$25:$K$30,_XtX!$M$45:$M$54),5,1)</f>
        <v>-2.47727272727275</v>
      </c>
    </row>
    <row r="52" customFormat="false" ht="15" hidden="false" customHeight="false" outlineLevel="0" collapsed="false">
      <c r="B52" s="39" t="n">
        <f aca="false">INDEX(MMULT($B$25:$K$30,$B$34:$G$43),6,1)</f>
        <v>-0.0987215909090909</v>
      </c>
      <c r="C52" s="39" t="n">
        <f aca="false">INDEX(MMULT($B$25:$K$30,$B$34:$G$43),6,2)</f>
        <v>0</v>
      </c>
      <c r="D52" s="39" t="n">
        <f aca="false">INDEX(MMULT($B$25:$K$30,$B$34:$G$43),6,3)</f>
        <v>0</v>
      </c>
      <c r="E52" s="39" t="n">
        <f aca="false">INDEX(MMULT($B$25:$K$30,$B$34:$G$43),6,4)</f>
        <v>0</v>
      </c>
      <c r="F52" s="39" t="n">
        <f aca="false">INDEX(MMULT($B$25:$K$30,$B$34:$G$43),6,5)</f>
        <v>-0.136363636363636</v>
      </c>
      <c r="G52" s="39" t="n">
        <f aca="false">INDEX(MMULT($B$25:$K$30,$B$34:$G$43),6,6)</f>
        <v>0.363636363636364</v>
      </c>
      <c r="I52" s="39" t="n">
        <f aca="false">INDEX(MMULT($B$25:$K$30,_XtX!$M$45:$M$54),6,1)</f>
        <v>-2.02727272727272</v>
      </c>
    </row>
    <row r="55" customFormat="false" ht="15" hidden="false" customHeight="false" outlineLevel="0" collapsed="false">
      <c r="A55" s="10" t="s">
        <v>340</v>
      </c>
      <c r="B55" s="9" t="s">
        <v>341</v>
      </c>
      <c r="C55" s="9" t="s">
        <v>342</v>
      </c>
      <c r="D55" s="10" t="s">
        <v>137</v>
      </c>
    </row>
    <row r="56" customFormat="false" ht="15" hidden="false" customHeight="false" outlineLevel="0" collapsed="false">
      <c r="A56" s="24" t="s">
        <v>343</v>
      </c>
      <c r="B56" s="39" t="n">
        <v>0</v>
      </c>
      <c r="C56" s="39" t="n">
        <v>0</v>
      </c>
      <c r="D56" s="39" t="n">
        <f aca="false">B47</f>
        <v>0.177219460227273</v>
      </c>
    </row>
    <row r="57" customFormat="false" ht="15" hidden="false" customHeight="false" outlineLevel="0" collapsed="false">
      <c r="A57" s="24" t="s">
        <v>344</v>
      </c>
      <c r="B57" s="39" t="n">
        <v>0</v>
      </c>
      <c r="C57" s="39" t="n">
        <v>1</v>
      </c>
      <c r="D57" s="39" t="n">
        <f aca="false">D47+B49</f>
        <v>0</v>
      </c>
    </row>
    <row r="58" customFormat="false" ht="15" hidden="false" customHeight="false" outlineLevel="0" collapsed="false">
      <c r="A58" s="24" t="s">
        <v>345</v>
      </c>
      <c r="B58" s="39" t="n">
        <v>0</v>
      </c>
      <c r="C58" s="39" t="n">
        <v>2</v>
      </c>
      <c r="D58" s="39" t="n">
        <f aca="false">G47+D49+B52</f>
        <v>-0.0486150568181818</v>
      </c>
    </row>
    <row r="59" customFormat="false" ht="15" hidden="false" customHeight="false" outlineLevel="0" collapsed="false">
      <c r="A59" s="24" t="s">
        <v>346</v>
      </c>
      <c r="B59" s="39" t="n">
        <v>0</v>
      </c>
      <c r="C59" s="39" t="n">
        <v>3</v>
      </c>
      <c r="D59" s="39" t="n">
        <f aca="false">G49+D52</f>
        <v>0</v>
      </c>
    </row>
    <row r="60" customFormat="false" ht="15" hidden="false" customHeight="false" outlineLevel="0" collapsed="false">
      <c r="A60" s="24" t="s">
        <v>347</v>
      </c>
      <c r="B60" s="39" t="n">
        <v>0</v>
      </c>
      <c r="C60" s="39" t="n">
        <v>4</v>
      </c>
      <c r="D60" s="39" t="n">
        <f aca="false">G52</f>
        <v>0.363636363636364</v>
      </c>
    </row>
    <row r="61" customFormat="false" ht="15" hidden="false" customHeight="false" outlineLevel="0" collapsed="false">
      <c r="A61" s="24" t="s">
        <v>348</v>
      </c>
      <c r="B61" s="39" t="n">
        <v>1</v>
      </c>
      <c r="C61" s="39" t="n">
        <v>0</v>
      </c>
      <c r="D61" s="39" t="n">
        <f aca="false">C47+B48</f>
        <v>0</v>
      </c>
    </row>
    <row r="62" customFormat="false" ht="15" hidden="false" customHeight="false" outlineLevel="0" collapsed="false">
      <c r="A62" s="24" t="s">
        <v>349</v>
      </c>
      <c r="B62" s="39" t="n">
        <v>1</v>
      </c>
      <c r="C62" s="39" t="n">
        <v>1</v>
      </c>
      <c r="D62" s="39" t="n">
        <f aca="false">E47+D48+C49+B50</f>
        <v>0</v>
      </c>
    </row>
    <row r="63" customFormat="false" ht="15" hidden="false" customHeight="false" outlineLevel="0" collapsed="false">
      <c r="A63" s="24" t="s">
        <v>350</v>
      </c>
      <c r="B63" s="39" t="n">
        <v>1</v>
      </c>
      <c r="C63" s="39" t="n">
        <v>2</v>
      </c>
      <c r="D63" s="39" t="n">
        <f aca="false">G48+E49+D50+C52</f>
        <v>0</v>
      </c>
    </row>
    <row r="64" customFormat="false" ht="15" hidden="false" customHeight="false" outlineLevel="0" collapsed="false">
      <c r="A64" s="24" t="s">
        <v>351</v>
      </c>
      <c r="B64" s="39" t="n">
        <v>1</v>
      </c>
      <c r="C64" s="39" t="n">
        <v>3</v>
      </c>
      <c r="D64" s="39" t="n">
        <f aca="false">G50+E52</f>
        <v>0</v>
      </c>
    </row>
    <row r="65" customFormat="false" ht="15" hidden="false" customHeight="false" outlineLevel="0" collapsed="false">
      <c r="A65" s="24" t="s">
        <v>352</v>
      </c>
      <c r="B65" s="39" t="n">
        <v>2</v>
      </c>
      <c r="C65" s="39" t="n">
        <v>0</v>
      </c>
      <c r="D65" s="39" t="n">
        <f aca="false">F47+C48+B51</f>
        <v>-0.0486150568181818</v>
      </c>
    </row>
    <row r="66" customFormat="false" ht="15" hidden="false" customHeight="false" outlineLevel="0" collapsed="false">
      <c r="A66" s="24" t="s">
        <v>353</v>
      </c>
      <c r="B66" s="39" t="n">
        <v>2</v>
      </c>
      <c r="C66" s="39" t="n">
        <v>1</v>
      </c>
      <c r="D66" s="39" t="n">
        <f aca="false">E48+F49+C50+D51</f>
        <v>0</v>
      </c>
    </row>
    <row r="67" customFormat="false" ht="15" hidden="false" customHeight="false" outlineLevel="0" collapsed="false">
      <c r="A67" s="24" t="s">
        <v>354</v>
      </c>
      <c r="B67" s="39" t="n">
        <v>2</v>
      </c>
      <c r="C67" s="39" t="n">
        <v>2</v>
      </c>
      <c r="D67" s="39" t="n">
        <f aca="false">E50+G51+F52</f>
        <v>-0.147727272727273</v>
      </c>
    </row>
    <row r="68" customFormat="false" ht="15" hidden="false" customHeight="false" outlineLevel="0" collapsed="false">
      <c r="A68" s="24" t="s">
        <v>355</v>
      </c>
      <c r="B68" s="39" t="n">
        <v>3</v>
      </c>
      <c r="C68" s="39" t="n">
        <v>0</v>
      </c>
      <c r="D68" s="39" t="n">
        <f aca="false">F48+C51</f>
        <v>0</v>
      </c>
    </row>
    <row r="69" customFormat="false" ht="15" hidden="false" customHeight="false" outlineLevel="0" collapsed="false">
      <c r="A69" s="24" t="s">
        <v>356</v>
      </c>
      <c r="B69" s="39" t="n">
        <v>3</v>
      </c>
      <c r="C69" s="39" t="n">
        <v>1</v>
      </c>
      <c r="D69" s="39" t="n">
        <f aca="false">F50+E51</f>
        <v>0</v>
      </c>
    </row>
    <row r="70" customFormat="false" ht="15" hidden="false" customHeight="false" outlineLevel="0" collapsed="false">
      <c r="A70" s="24" t="s">
        <v>357</v>
      </c>
      <c r="B70" s="39" t="n">
        <v>4</v>
      </c>
      <c r="C70" s="39" t="n">
        <v>0</v>
      </c>
      <c r="D70" s="39" t="n">
        <f aca="false">F51</f>
        <v>0.363636363636364</v>
      </c>
    </row>
    <row r="72" customFormat="false" ht="15" hidden="false" customHeight="false" outlineLevel="0" collapsed="false">
      <c r="A72" s="17" t="s">
        <v>358</v>
      </c>
    </row>
    <row r="73" customFormat="false" ht="15" hidden="false" customHeight="false" outlineLevel="0" collapsed="false">
      <c r="C73" s="39" t="n">
        <v>-1</v>
      </c>
      <c r="D73" s="39" t="n">
        <v>-0.9</v>
      </c>
      <c r="E73" s="39" t="n">
        <v>-0.8</v>
      </c>
      <c r="F73" s="39" t="n">
        <v>-0.7</v>
      </c>
      <c r="G73" s="39" t="n">
        <v>-0.6</v>
      </c>
      <c r="H73" s="39" t="n">
        <v>-0.5</v>
      </c>
      <c r="I73" s="39" t="n">
        <v>-0.4</v>
      </c>
      <c r="J73" s="39" t="n">
        <v>-0.3</v>
      </c>
      <c r="K73" s="39" t="n">
        <v>-0.2</v>
      </c>
      <c r="L73" s="39" t="n">
        <v>-0.1</v>
      </c>
      <c r="M73" s="39" t="n">
        <v>0</v>
      </c>
      <c r="N73" s="39" t="n">
        <v>0.1</v>
      </c>
      <c r="O73" s="39" t="n">
        <v>0.2</v>
      </c>
      <c r="P73" s="39" t="n">
        <v>0.3</v>
      </c>
      <c r="Q73" s="39" t="n">
        <v>0.4</v>
      </c>
      <c r="R73" s="39" t="n">
        <v>0.5</v>
      </c>
      <c r="S73" s="39" t="n">
        <v>0.6</v>
      </c>
      <c r="T73" s="39" t="n">
        <v>0.7</v>
      </c>
      <c r="U73" s="39" t="n">
        <v>0.8</v>
      </c>
      <c r="V73" s="39" t="n">
        <v>0.9</v>
      </c>
      <c r="W73" s="39" t="n">
        <v>1</v>
      </c>
    </row>
    <row r="74" customFormat="false" ht="15" hidden="false" customHeight="false" outlineLevel="0" collapsed="false">
      <c r="B74" s="39" t="n">
        <v>1</v>
      </c>
      <c r="C74" s="15" t="n">
        <f aca="false">$I$47+$I$48*C$73+$I$49*$B74+$I$50*C$73*$B74+$I$51*C$73^2+$I$52*$B74^2</f>
        <v>42.8789914772727</v>
      </c>
      <c r="D74" s="15" t="n">
        <f aca="false">$I$47+$I$48*D$73+$I$49*$B74+$I$50*D$73*$B74+$I$51*D$73^2+$I$52*$B74^2</f>
        <v>43.7247982954546</v>
      </c>
      <c r="E74" s="15" t="n">
        <f aca="false">$I$47+$I$48*E$73+$I$49*$B74+$I$50*E$73*$B74+$I$51*E$73^2+$I$52*$B74^2</f>
        <v>44.5210596590909</v>
      </c>
      <c r="F74" s="15" t="n">
        <f aca="false">$I$47+$I$48*F$73+$I$49*$B74+$I$50*F$73*$B74+$I$51*F$73^2+$I$52*$B74^2</f>
        <v>45.2677755681818</v>
      </c>
      <c r="G74" s="15" t="n">
        <f aca="false">$I$47+$I$48*G$73+$I$49*$B74+$I$50*G$73*$B74+$I$51*G$73^2+$I$52*$B74^2</f>
        <v>45.9649460227273</v>
      </c>
      <c r="H74" s="15" t="n">
        <f aca="false">$I$47+$I$48*H$73+$I$49*$B74+$I$50*H$73*$B74+$I$51*H$73^2+$I$52*$B74^2</f>
        <v>46.6125710227273</v>
      </c>
      <c r="I74" s="15" t="n">
        <f aca="false">$I$47+$I$48*I$73+$I$49*$B74+$I$50*I$73*$B74+$I$51*I$73^2+$I$52*$B74^2</f>
        <v>47.2106505681818</v>
      </c>
      <c r="J74" s="15" t="n">
        <f aca="false">$I$47+$I$48*J$73+$I$49*$B74+$I$50*J$73*$B74+$I$51*J$73^2+$I$52*$B74^2</f>
        <v>47.7591846590909</v>
      </c>
      <c r="K74" s="15" t="n">
        <f aca="false">$I$47+$I$48*K$73+$I$49*$B74+$I$50*K$73*$B74+$I$51*K$73^2+$I$52*$B74^2</f>
        <v>48.2581732954546</v>
      </c>
      <c r="L74" s="15" t="n">
        <f aca="false">$I$47+$I$48*L$73+$I$49*$B74+$I$50*L$73*$B74+$I$51*L$73^2+$I$52*$B74^2</f>
        <v>48.7076164772727</v>
      </c>
      <c r="M74" s="15" t="n">
        <f aca="false">$I$47+$I$48*M$73+$I$49*$B74+$I$50*M$73*$B74+$I$51*M$73^2+$I$52*$B74^2</f>
        <v>49.1075142045455</v>
      </c>
      <c r="N74" s="15" t="n">
        <f aca="false">$I$47+$I$48*N$73+$I$49*$B74+$I$50*N$73*$B74+$I$51*N$73^2+$I$52*$B74^2</f>
        <v>49.4578664772728</v>
      </c>
      <c r="O74" s="15" t="n">
        <f aca="false">$I$47+$I$48*O$73+$I$49*$B74+$I$50*O$73*$B74+$I$51*O$73^2+$I$52*$B74^2</f>
        <v>49.7586732954546</v>
      </c>
      <c r="P74" s="15" t="n">
        <f aca="false">$I$47+$I$48*P$73+$I$49*$B74+$I$50*P$73*$B74+$I$51*P$73^2+$I$52*$B74^2</f>
        <v>50.0099346590909</v>
      </c>
      <c r="Q74" s="15" t="n">
        <f aca="false">$I$47+$I$48*Q$73+$I$49*$B74+$I$50*Q$73*$B74+$I$51*Q$73^2+$I$52*$B74^2</f>
        <v>50.2116505681818</v>
      </c>
      <c r="R74" s="15" t="n">
        <f aca="false">$I$47+$I$48*R$73+$I$49*$B74+$I$50*R$73*$B74+$I$51*R$73^2+$I$52*$B74^2</f>
        <v>50.3638210227273</v>
      </c>
      <c r="S74" s="15" t="n">
        <f aca="false">$I$47+$I$48*S$73+$I$49*$B74+$I$50*S$73*$B74+$I$51*S$73^2+$I$52*$B74^2</f>
        <v>50.4664460227273</v>
      </c>
      <c r="T74" s="15" t="n">
        <f aca="false">$I$47+$I$48*T$73+$I$49*$B74+$I$50*T$73*$B74+$I$51*T$73^2+$I$52*$B74^2</f>
        <v>50.5195255681818</v>
      </c>
      <c r="U74" s="15" t="n">
        <f aca="false">$I$47+$I$48*U$73+$I$49*$B74+$I$50*U$73*$B74+$I$51*U$73^2+$I$52*$B74^2</f>
        <v>50.5230596590909</v>
      </c>
      <c r="V74" s="15" t="n">
        <f aca="false">$I$47+$I$48*V$73+$I$49*$B74+$I$50*V$73*$B74+$I$51*V$73^2+$I$52*$B74^2</f>
        <v>50.4770482954546</v>
      </c>
      <c r="W74" s="15" t="n">
        <f aca="false">$I$47+$I$48*W$73+$I$49*$B74+$I$50*W$73*$B74+$I$51*W$73^2+$I$52*$B74^2</f>
        <v>50.3814914772727</v>
      </c>
    </row>
    <row r="75" customFormat="false" ht="15" hidden="false" customHeight="false" outlineLevel="0" collapsed="false">
      <c r="B75" s="39" t="n">
        <v>0.9</v>
      </c>
      <c r="C75" s="15" t="n">
        <f aca="false">$I$47+$I$48*C$73+$I$49*$B75+$I$50*C$73*$B75+$I$51*C$73^2+$I$52*$B75^2</f>
        <v>43.1515482954545</v>
      </c>
      <c r="D75" s="15" t="n">
        <f aca="false">$I$47+$I$48*D$73+$I$49*$B75+$I$50*D$73*$B75+$I$51*D$73^2+$I$52*$B75^2</f>
        <v>43.9851051136364</v>
      </c>
      <c r="E75" s="15" t="n">
        <f aca="false">$I$47+$I$48*E$73+$I$49*$B75+$I$50*E$73*$B75+$I$51*E$73^2+$I$52*$B75^2</f>
        <v>44.7691164772727</v>
      </c>
      <c r="F75" s="15" t="n">
        <f aca="false">$I$47+$I$48*F$73+$I$49*$B75+$I$50*F$73*$B75+$I$51*F$73^2+$I$52*$B75^2</f>
        <v>45.5035823863637</v>
      </c>
      <c r="G75" s="15" t="n">
        <f aca="false">$I$47+$I$48*G$73+$I$49*$B75+$I$50*G$73*$B75+$I$51*G$73^2+$I$52*$B75^2</f>
        <v>46.1885028409091</v>
      </c>
      <c r="H75" s="15" t="n">
        <f aca="false">$I$47+$I$48*H$73+$I$49*$B75+$I$50*H$73*$B75+$I$51*H$73^2+$I$52*$B75^2</f>
        <v>46.8238778409091</v>
      </c>
      <c r="I75" s="15" t="n">
        <f aca="false">$I$47+$I$48*I$73+$I$49*$B75+$I$50*I$73*$B75+$I$51*I$73^2+$I$52*$B75^2</f>
        <v>47.4097073863637</v>
      </c>
      <c r="J75" s="15" t="n">
        <f aca="false">$I$47+$I$48*J$73+$I$49*$B75+$I$50*J$73*$B75+$I$51*J$73^2+$I$52*$B75^2</f>
        <v>47.9459914772727</v>
      </c>
      <c r="K75" s="15" t="n">
        <f aca="false">$I$47+$I$48*K$73+$I$49*$B75+$I$50*K$73*$B75+$I$51*K$73^2+$I$52*$B75^2</f>
        <v>48.4327301136364</v>
      </c>
      <c r="L75" s="15" t="n">
        <f aca="false">$I$47+$I$48*L$73+$I$49*$B75+$I$50*L$73*$B75+$I$51*L$73^2+$I$52*$B75^2</f>
        <v>48.8699232954546</v>
      </c>
      <c r="M75" s="15" t="n">
        <f aca="false">$I$47+$I$48*M$73+$I$49*$B75+$I$50*M$73*$B75+$I$51*M$73^2+$I$52*$B75^2</f>
        <v>49.2575710227273</v>
      </c>
      <c r="N75" s="15" t="n">
        <f aca="false">$I$47+$I$48*N$73+$I$49*$B75+$I$50*N$73*$B75+$I$51*N$73^2+$I$52*$B75^2</f>
        <v>49.5956732954546</v>
      </c>
      <c r="O75" s="15" t="n">
        <f aca="false">$I$47+$I$48*O$73+$I$49*$B75+$I$50*O$73*$B75+$I$51*O$73^2+$I$52*$B75^2</f>
        <v>49.8842301136364</v>
      </c>
      <c r="P75" s="15" t="n">
        <f aca="false">$I$47+$I$48*P$73+$I$49*$B75+$I$50*P$73*$B75+$I$51*P$73^2+$I$52*$B75^2</f>
        <v>50.1232414772727</v>
      </c>
      <c r="Q75" s="15" t="n">
        <f aca="false">$I$47+$I$48*Q$73+$I$49*$B75+$I$50*Q$73*$B75+$I$51*Q$73^2+$I$52*$B75^2</f>
        <v>50.3127073863637</v>
      </c>
      <c r="R75" s="15" t="n">
        <f aca="false">$I$47+$I$48*R$73+$I$49*$B75+$I$50*R$73*$B75+$I$51*R$73^2+$I$52*$B75^2</f>
        <v>50.4526278409091</v>
      </c>
      <c r="S75" s="15" t="n">
        <f aca="false">$I$47+$I$48*S$73+$I$49*$B75+$I$50*S$73*$B75+$I$51*S$73^2+$I$52*$B75^2</f>
        <v>50.5430028409091</v>
      </c>
      <c r="T75" s="15" t="n">
        <f aca="false">$I$47+$I$48*T$73+$I$49*$B75+$I$50*T$73*$B75+$I$51*T$73^2+$I$52*$B75^2</f>
        <v>50.5838323863636</v>
      </c>
      <c r="U75" s="15" t="n">
        <f aca="false">$I$47+$I$48*U$73+$I$49*$B75+$I$50*U$73*$B75+$I$51*U$73^2+$I$52*$B75^2</f>
        <v>50.5751164772727</v>
      </c>
      <c r="V75" s="15" t="n">
        <f aca="false">$I$47+$I$48*V$73+$I$49*$B75+$I$50*V$73*$B75+$I$51*V$73^2+$I$52*$B75^2</f>
        <v>50.5168551136364</v>
      </c>
      <c r="W75" s="15" t="n">
        <f aca="false">$I$47+$I$48*W$73+$I$49*$B75+$I$50*W$73*$B75+$I$51*W$73^2+$I$52*$B75^2</f>
        <v>50.4090482954546</v>
      </c>
    </row>
    <row r="76" customFormat="false" ht="15" hidden="false" customHeight="false" outlineLevel="0" collapsed="false">
      <c r="B76" s="39" t="n">
        <v>0.8</v>
      </c>
      <c r="C76" s="15" t="n">
        <f aca="false">$I$47+$I$48*C$73+$I$49*$B76+$I$50*C$73*$B76+$I$51*C$73^2+$I$52*$B76^2</f>
        <v>43.3835596590909</v>
      </c>
      <c r="D76" s="15" t="n">
        <f aca="false">$I$47+$I$48*D$73+$I$49*$B76+$I$50*D$73*$B76+$I$51*D$73^2+$I$52*$B76^2</f>
        <v>44.2048664772727</v>
      </c>
      <c r="E76" s="15" t="n">
        <f aca="false">$I$47+$I$48*E$73+$I$49*$B76+$I$50*E$73*$B76+$I$51*E$73^2+$I$52*$B76^2</f>
        <v>44.9766278409091</v>
      </c>
      <c r="F76" s="15" t="n">
        <f aca="false">$I$47+$I$48*F$73+$I$49*$B76+$I$50*F$73*$B76+$I$51*F$73^2+$I$52*$B76^2</f>
        <v>45.69884375</v>
      </c>
      <c r="G76" s="15" t="n">
        <f aca="false">$I$47+$I$48*G$73+$I$49*$B76+$I$50*G$73*$B76+$I$51*G$73^2+$I$52*$B76^2</f>
        <v>46.3715142045455</v>
      </c>
      <c r="H76" s="15" t="n">
        <f aca="false">$I$47+$I$48*H$73+$I$49*$B76+$I$50*H$73*$B76+$I$51*H$73^2+$I$52*$B76^2</f>
        <v>46.9946392045455</v>
      </c>
      <c r="I76" s="15" t="n">
        <f aca="false">$I$47+$I$48*I$73+$I$49*$B76+$I$50*I$73*$B76+$I$51*I$73^2+$I$52*$B76^2</f>
        <v>47.56821875</v>
      </c>
      <c r="J76" s="15" t="n">
        <f aca="false">$I$47+$I$48*J$73+$I$49*$B76+$I$50*J$73*$B76+$I$51*J$73^2+$I$52*$B76^2</f>
        <v>48.0922528409091</v>
      </c>
      <c r="K76" s="15" t="n">
        <f aca="false">$I$47+$I$48*K$73+$I$49*$B76+$I$50*K$73*$B76+$I$51*K$73^2+$I$52*$B76^2</f>
        <v>48.5667414772727</v>
      </c>
      <c r="L76" s="15" t="n">
        <f aca="false">$I$47+$I$48*L$73+$I$49*$B76+$I$50*L$73*$B76+$I$51*L$73^2+$I$52*$B76^2</f>
        <v>48.9916846590909</v>
      </c>
      <c r="M76" s="15" t="n">
        <f aca="false">$I$47+$I$48*M$73+$I$49*$B76+$I$50*M$73*$B76+$I$51*M$73^2+$I$52*$B76^2</f>
        <v>49.3670823863637</v>
      </c>
      <c r="N76" s="15" t="n">
        <f aca="false">$I$47+$I$48*N$73+$I$49*$B76+$I$50*N$73*$B76+$I$51*N$73^2+$I$52*$B76^2</f>
        <v>49.6929346590909</v>
      </c>
      <c r="O76" s="15" t="n">
        <f aca="false">$I$47+$I$48*O$73+$I$49*$B76+$I$50*O$73*$B76+$I$51*O$73^2+$I$52*$B76^2</f>
        <v>49.9692414772727</v>
      </c>
      <c r="P76" s="15" t="n">
        <f aca="false">$I$47+$I$48*P$73+$I$49*$B76+$I$50*P$73*$B76+$I$51*P$73^2+$I$52*$B76^2</f>
        <v>50.1960028409091</v>
      </c>
      <c r="Q76" s="15" t="n">
        <f aca="false">$I$47+$I$48*Q$73+$I$49*$B76+$I$50*Q$73*$B76+$I$51*Q$73^2+$I$52*$B76^2</f>
        <v>50.37321875</v>
      </c>
      <c r="R76" s="15" t="n">
        <f aca="false">$I$47+$I$48*R$73+$I$49*$B76+$I$50*R$73*$B76+$I$51*R$73^2+$I$52*$B76^2</f>
        <v>50.5008892045455</v>
      </c>
      <c r="S76" s="15" t="n">
        <f aca="false">$I$47+$I$48*S$73+$I$49*$B76+$I$50*S$73*$B76+$I$51*S$73^2+$I$52*$B76^2</f>
        <v>50.5790142045455</v>
      </c>
      <c r="T76" s="15" t="n">
        <f aca="false">$I$47+$I$48*T$73+$I$49*$B76+$I$50*T$73*$B76+$I$51*T$73^2+$I$52*$B76^2</f>
        <v>50.60759375</v>
      </c>
      <c r="U76" s="15" t="n">
        <f aca="false">$I$47+$I$48*U$73+$I$49*$B76+$I$50*U$73*$B76+$I$51*U$73^2+$I$52*$B76^2</f>
        <v>50.5866278409091</v>
      </c>
      <c r="V76" s="15" t="n">
        <f aca="false">$I$47+$I$48*V$73+$I$49*$B76+$I$50*V$73*$B76+$I$51*V$73^2+$I$52*$B76^2</f>
        <v>50.5161164772727</v>
      </c>
      <c r="W76" s="15" t="n">
        <f aca="false">$I$47+$I$48*W$73+$I$49*$B76+$I$50*W$73*$B76+$I$51*W$73^2+$I$52*$B76^2</f>
        <v>50.3960596590909</v>
      </c>
    </row>
    <row r="77" customFormat="false" ht="15" hidden="false" customHeight="false" outlineLevel="0" collapsed="false">
      <c r="B77" s="39" t="n">
        <v>0.7</v>
      </c>
      <c r="C77" s="15" t="n">
        <f aca="false">$I$47+$I$48*C$73+$I$49*$B77+$I$50*C$73*$B77+$I$51*C$73^2+$I$52*$B77^2</f>
        <v>43.5750255681818</v>
      </c>
      <c r="D77" s="15" t="n">
        <f aca="false">$I$47+$I$48*D$73+$I$49*$B77+$I$50*D$73*$B77+$I$51*D$73^2+$I$52*$B77^2</f>
        <v>44.3840823863636</v>
      </c>
      <c r="E77" s="15" t="n">
        <f aca="false">$I$47+$I$48*E$73+$I$49*$B77+$I$50*E$73*$B77+$I$51*E$73^2+$I$52*$B77^2</f>
        <v>45.14359375</v>
      </c>
      <c r="F77" s="15" t="n">
        <f aca="false">$I$47+$I$48*F$73+$I$49*$B77+$I$50*F$73*$B77+$I$51*F$73^2+$I$52*$B77^2</f>
        <v>45.8535596590909</v>
      </c>
      <c r="G77" s="15" t="n">
        <f aca="false">$I$47+$I$48*G$73+$I$49*$B77+$I$50*G$73*$B77+$I$51*G$73^2+$I$52*$B77^2</f>
        <v>46.5139801136364</v>
      </c>
      <c r="H77" s="15" t="n">
        <f aca="false">$I$47+$I$48*H$73+$I$49*$B77+$I$50*H$73*$B77+$I$51*H$73^2+$I$52*$B77^2</f>
        <v>47.1248551136364</v>
      </c>
      <c r="I77" s="15" t="n">
        <f aca="false">$I$47+$I$48*I$73+$I$49*$B77+$I$50*I$73*$B77+$I$51*I$73^2+$I$52*$B77^2</f>
        <v>47.6861846590909</v>
      </c>
      <c r="J77" s="15" t="n">
        <f aca="false">$I$47+$I$48*J$73+$I$49*$B77+$I$50*J$73*$B77+$I$51*J$73^2+$I$52*$B77^2</f>
        <v>48.19796875</v>
      </c>
      <c r="K77" s="15" t="n">
        <f aca="false">$I$47+$I$48*K$73+$I$49*$B77+$I$50*K$73*$B77+$I$51*K$73^2+$I$52*$B77^2</f>
        <v>48.6602073863636</v>
      </c>
      <c r="L77" s="15" t="n">
        <f aca="false">$I$47+$I$48*L$73+$I$49*$B77+$I$50*L$73*$B77+$I$51*L$73^2+$I$52*$B77^2</f>
        <v>49.0729005681818</v>
      </c>
      <c r="M77" s="15" t="n">
        <f aca="false">$I$47+$I$48*M$73+$I$49*$B77+$I$50*M$73*$B77+$I$51*M$73^2+$I$52*$B77^2</f>
        <v>49.4360482954546</v>
      </c>
      <c r="N77" s="15" t="n">
        <f aca="false">$I$47+$I$48*N$73+$I$49*$B77+$I$50*N$73*$B77+$I$51*N$73^2+$I$52*$B77^2</f>
        <v>49.7496505681818</v>
      </c>
      <c r="O77" s="15" t="n">
        <f aca="false">$I$47+$I$48*O$73+$I$49*$B77+$I$50*O$73*$B77+$I$51*O$73^2+$I$52*$B77^2</f>
        <v>50.0137073863637</v>
      </c>
      <c r="P77" s="15" t="n">
        <f aca="false">$I$47+$I$48*P$73+$I$49*$B77+$I$50*P$73*$B77+$I$51*P$73^2+$I$52*$B77^2</f>
        <v>50.22821875</v>
      </c>
      <c r="Q77" s="15" t="n">
        <f aca="false">$I$47+$I$48*Q$73+$I$49*$B77+$I$50*Q$73*$B77+$I$51*Q$73^2+$I$52*$B77^2</f>
        <v>50.3931846590909</v>
      </c>
      <c r="R77" s="15" t="n">
        <f aca="false">$I$47+$I$48*R$73+$I$49*$B77+$I$50*R$73*$B77+$I$51*R$73^2+$I$52*$B77^2</f>
        <v>50.5086051136364</v>
      </c>
      <c r="S77" s="15" t="n">
        <f aca="false">$I$47+$I$48*S$73+$I$49*$B77+$I$50*S$73*$B77+$I$51*S$73^2+$I$52*$B77^2</f>
        <v>50.5744801136364</v>
      </c>
      <c r="T77" s="15" t="n">
        <f aca="false">$I$47+$I$48*T$73+$I$49*$B77+$I$50*T$73*$B77+$I$51*T$73^2+$I$52*$B77^2</f>
        <v>50.5908096590909</v>
      </c>
      <c r="U77" s="15" t="n">
        <f aca="false">$I$47+$I$48*U$73+$I$49*$B77+$I$50*U$73*$B77+$I$51*U$73^2+$I$52*$B77^2</f>
        <v>50.55759375</v>
      </c>
      <c r="V77" s="15" t="n">
        <f aca="false">$I$47+$I$48*V$73+$I$49*$B77+$I$50*V$73*$B77+$I$51*V$73^2+$I$52*$B77^2</f>
        <v>50.4748323863636</v>
      </c>
      <c r="W77" s="15" t="n">
        <f aca="false">$I$47+$I$48*W$73+$I$49*$B77+$I$50*W$73*$B77+$I$51*W$73^2+$I$52*$B77^2</f>
        <v>50.3425255681818</v>
      </c>
    </row>
    <row r="78" customFormat="false" ht="15" hidden="false" customHeight="false" outlineLevel="0" collapsed="false">
      <c r="B78" s="39" t="n">
        <v>0.6</v>
      </c>
      <c r="C78" s="15" t="n">
        <f aca="false">$I$47+$I$48*C$73+$I$49*$B78+$I$50*C$73*$B78+$I$51*C$73^2+$I$52*$B78^2</f>
        <v>43.7259460227273</v>
      </c>
      <c r="D78" s="15" t="n">
        <f aca="false">$I$47+$I$48*D$73+$I$49*$B78+$I$50*D$73*$B78+$I$51*D$73^2+$I$52*$B78^2</f>
        <v>44.5227528409091</v>
      </c>
      <c r="E78" s="15" t="n">
        <f aca="false">$I$47+$I$48*E$73+$I$49*$B78+$I$50*E$73*$B78+$I$51*E$73^2+$I$52*$B78^2</f>
        <v>45.2700142045455</v>
      </c>
      <c r="F78" s="15" t="n">
        <f aca="false">$I$47+$I$48*F$73+$I$49*$B78+$I$50*F$73*$B78+$I$51*F$73^2+$I$52*$B78^2</f>
        <v>45.9677301136364</v>
      </c>
      <c r="G78" s="15" t="n">
        <f aca="false">$I$47+$I$48*G$73+$I$49*$B78+$I$50*G$73*$B78+$I$51*G$73^2+$I$52*$B78^2</f>
        <v>46.6159005681818</v>
      </c>
      <c r="H78" s="15" t="n">
        <f aca="false">$I$47+$I$48*H$73+$I$49*$B78+$I$50*H$73*$B78+$I$51*H$73^2+$I$52*$B78^2</f>
        <v>47.2145255681818</v>
      </c>
      <c r="I78" s="15" t="n">
        <f aca="false">$I$47+$I$48*I$73+$I$49*$B78+$I$50*I$73*$B78+$I$51*I$73^2+$I$52*$B78^2</f>
        <v>47.7636051136364</v>
      </c>
      <c r="J78" s="15" t="n">
        <f aca="false">$I$47+$I$48*J$73+$I$49*$B78+$I$50*J$73*$B78+$I$51*J$73^2+$I$52*$B78^2</f>
        <v>48.2631392045455</v>
      </c>
      <c r="K78" s="15" t="n">
        <f aca="false">$I$47+$I$48*K$73+$I$49*$B78+$I$50*K$73*$B78+$I$51*K$73^2+$I$52*$B78^2</f>
        <v>48.7131278409091</v>
      </c>
      <c r="L78" s="15" t="n">
        <f aca="false">$I$47+$I$48*L$73+$I$49*$B78+$I$50*L$73*$B78+$I$51*L$73^2+$I$52*$B78^2</f>
        <v>49.1135710227273</v>
      </c>
      <c r="M78" s="15" t="n">
        <f aca="false">$I$47+$I$48*M$73+$I$49*$B78+$I$50*M$73*$B78+$I$51*M$73^2+$I$52*$B78^2</f>
        <v>49.46446875</v>
      </c>
      <c r="N78" s="15" t="n">
        <f aca="false">$I$47+$I$48*N$73+$I$49*$B78+$I$50*N$73*$B78+$I$51*N$73^2+$I$52*$B78^2</f>
        <v>49.7658210227273</v>
      </c>
      <c r="O78" s="15" t="n">
        <f aca="false">$I$47+$I$48*O$73+$I$49*$B78+$I$50*O$73*$B78+$I$51*O$73^2+$I$52*$B78^2</f>
        <v>50.0176278409091</v>
      </c>
      <c r="P78" s="15" t="n">
        <f aca="false">$I$47+$I$48*P$73+$I$49*$B78+$I$50*P$73*$B78+$I$51*P$73^2+$I$52*$B78^2</f>
        <v>50.2198892045455</v>
      </c>
      <c r="Q78" s="15" t="n">
        <f aca="false">$I$47+$I$48*Q$73+$I$49*$B78+$I$50*Q$73*$B78+$I$51*Q$73^2+$I$52*$B78^2</f>
        <v>50.3726051136364</v>
      </c>
      <c r="R78" s="15" t="n">
        <f aca="false">$I$47+$I$48*R$73+$I$49*$B78+$I$50*R$73*$B78+$I$51*R$73^2+$I$52*$B78^2</f>
        <v>50.4757755681818</v>
      </c>
      <c r="S78" s="15" t="n">
        <f aca="false">$I$47+$I$48*S$73+$I$49*$B78+$I$50*S$73*$B78+$I$51*S$73^2+$I$52*$B78^2</f>
        <v>50.5294005681818</v>
      </c>
      <c r="T78" s="15" t="n">
        <f aca="false">$I$47+$I$48*T$73+$I$49*$B78+$I$50*T$73*$B78+$I$51*T$73^2+$I$52*$B78^2</f>
        <v>50.5334801136364</v>
      </c>
      <c r="U78" s="15" t="n">
        <f aca="false">$I$47+$I$48*U$73+$I$49*$B78+$I$50*U$73*$B78+$I$51*U$73^2+$I$52*$B78^2</f>
        <v>50.4880142045455</v>
      </c>
      <c r="V78" s="15" t="n">
        <f aca="false">$I$47+$I$48*V$73+$I$49*$B78+$I$50*V$73*$B78+$I$51*V$73^2+$I$52*$B78^2</f>
        <v>50.3930028409091</v>
      </c>
      <c r="W78" s="15" t="n">
        <f aca="false">$I$47+$I$48*W$73+$I$49*$B78+$I$50*W$73*$B78+$I$51*W$73^2+$I$52*$B78^2</f>
        <v>50.2484460227273</v>
      </c>
    </row>
    <row r="79" customFormat="false" ht="15" hidden="false" customHeight="false" outlineLevel="0" collapsed="false">
      <c r="B79" s="39" t="n">
        <v>0.5</v>
      </c>
      <c r="C79" s="15" t="n">
        <f aca="false">$I$47+$I$48*C$73+$I$49*$B79+$I$50*C$73*$B79+$I$51*C$73^2+$I$52*$B79^2</f>
        <v>43.8363210227273</v>
      </c>
      <c r="D79" s="15" t="n">
        <f aca="false">$I$47+$I$48*D$73+$I$49*$B79+$I$50*D$73*$B79+$I$51*D$73^2+$I$52*$B79^2</f>
        <v>44.6208778409091</v>
      </c>
      <c r="E79" s="15" t="n">
        <f aca="false">$I$47+$I$48*E$73+$I$49*$B79+$I$50*E$73*$B79+$I$51*E$73^2+$I$52*$B79^2</f>
        <v>45.3558892045455</v>
      </c>
      <c r="F79" s="15" t="n">
        <f aca="false">$I$47+$I$48*F$73+$I$49*$B79+$I$50*F$73*$B79+$I$51*F$73^2+$I$52*$B79^2</f>
        <v>46.0413551136364</v>
      </c>
      <c r="G79" s="15" t="n">
        <f aca="false">$I$47+$I$48*G$73+$I$49*$B79+$I$50*G$73*$B79+$I$51*G$73^2+$I$52*$B79^2</f>
        <v>46.6772755681818</v>
      </c>
      <c r="H79" s="15" t="n">
        <f aca="false">$I$47+$I$48*H$73+$I$49*$B79+$I$50*H$73*$B79+$I$51*H$73^2+$I$52*$B79^2</f>
        <v>47.2636505681818</v>
      </c>
      <c r="I79" s="15" t="n">
        <f aca="false">$I$47+$I$48*I$73+$I$49*$B79+$I$50*I$73*$B79+$I$51*I$73^2+$I$52*$B79^2</f>
        <v>47.8004801136364</v>
      </c>
      <c r="J79" s="15" t="n">
        <f aca="false">$I$47+$I$48*J$73+$I$49*$B79+$I$50*J$73*$B79+$I$51*J$73^2+$I$52*$B79^2</f>
        <v>48.2877642045455</v>
      </c>
      <c r="K79" s="15" t="n">
        <f aca="false">$I$47+$I$48*K$73+$I$49*$B79+$I$50*K$73*$B79+$I$51*K$73^2+$I$52*$B79^2</f>
        <v>48.7255028409091</v>
      </c>
      <c r="L79" s="15" t="n">
        <f aca="false">$I$47+$I$48*L$73+$I$49*$B79+$I$50*L$73*$B79+$I$51*L$73^2+$I$52*$B79^2</f>
        <v>49.1136960227273</v>
      </c>
      <c r="M79" s="15" t="n">
        <f aca="false">$I$47+$I$48*M$73+$I$49*$B79+$I$50*M$73*$B79+$I$51*M$73^2+$I$52*$B79^2</f>
        <v>49.45234375</v>
      </c>
      <c r="N79" s="15" t="n">
        <f aca="false">$I$47+$I$48*N$73+$I$49*$B79+$I$50*N$73*$B79+$I$51*N$73^2+$I$52*$B79^2</f>
        <v>49.7414460227273</v>
      </c>
      <c r="O79" s="15" t="n">
        <f aca="false">$I$47+$I$48*O$73+$I$49*$B79+$I$50*O$73*$B79+$I$51*O$73^2+$I$52*$B79^2</f>
        <v>49.9810028409091</v>
      </c>
      <c r="P79" s="15" t="n">
        <f aca="false">$I$47+$I$48*P$73+$I$49*$B79+$I$50*P$73*$B79+$I$51*P$73^2+$I$52*$B79^2</f>
        <v>50.1710142045455</v>
      </c>
      <c r="Q79" s="15" t="n">
        <f aca="false">$I$47+$I$48*Q$73+$I$49*$B79+$I$50*Q$73*$B79+$I$51*Q$73^2+$I$52*$B79^2</f>
        <v>50.3114801136364</v>
      </c>
      <c r="R79" s="15" t="n">
        <f aca="false">$I$47+$I$48*R$73+$I$49*$B79+$I$50*R$73*$B79+$I$51*R$73^2+$I$52*$B79^2</f>
        <v>50.4024005681818</v>
      </c>
      <c r="S79" s="15" t="n">
        <f aca="false">$I$47+$I$48*S$73+$I$49*$B79+$I$50*S$73*$B79+$I$51*S$73^2+$I$52*$B79^2</f>
        <v>50.4437755681818</v>
      </c>
      <c r="T79" s="15" t="n">
        <f aca="false">$I$47+$I$48*T$73+$I$49*$B79+$I$50*T$73*$B79+$I$51*T$73^2+$I$52*$B79^2</f>
        <v>50.4356051136364</v>
      </c>
      <c r="U79" s="15" t="n">
        <f aca="false">$I$47+$I$48*U$73+$I$49*$B79+$I$50*U$73*$B79+$I$51*U$73^2+$I$52*$B79^2</f>
        <v>50.3778892045455</v>
      </c>
      <c r="V79" s="15" t="n">
        <f aca="false">$I$47+$I$48*V$73+$I$49*$B79+$I$50*V$73*$B79+$I$51*V$73^2+$I$52*$B79^2</f>
        <v>50.2706278409091</v>
      </c>
      <c r="W79" s="15" t="n">
        <f aca="false">$I$47+$I$48*W$73+$I$49*$B79+$I$50*W$73*$B79+$I$51*W$73^2+$I$52*$B79^2</f>
        <v>50.1138210227273</v>
      </c>
    </row>
    <row r="80" customFormat="false" ht="15" hidden="false" customHeight="false" outlineLevel="0" collapsed="false">
      <c r="B80" s="39" t="n">
        <v>0.4</v>
      </c>
      <c r="C80" s="15" t="n">
        <f aca="false">$I$47+$I$48*C$73+$I$49*$B80+$I$50*C$73*$B80+$I$51*C$73^2+$I$52*$B80^2</f>
        <v>43.9061505681818</v>
      </c>
      <c r="D80" s="15" t="n">
        <f aca="false">$I$47+$I$48*D$73+$I$49*$B80+$I$50*D$73*$B80+$I$51*D$73^2+$I$52*$B80^2</f>
        <v>44.6784573863636</v>
      </c>
      <c r="E80" s="15" t="n">
        <f aca="false">$I$47+$I$48*E$73+$I$49*$B80+$I$50*E$73*$B80+$I$51*E$73^2+$I$52*$B80^2</f>
        <v>45.40121875</v>
      </c>
      <c r="F80" s="15" t="n">
        <f aca="false">$I$47+$I$48*F$73+$I$49*$B80+$I$50*F$73*$B80+$I$51*F$73^2+$I$52*$B80^2</f>
        <v>46.0744346590909</v>
      </c>
      <c r="G80" s="15" t="n">
        <f aca="false">$I$47+$I$48*G$73+$I$49*$B80+$I$50*G$73*$B80+$I$51*G$73^2+$I$52*$B80^2</f>
        <v>46.6981051136364</v>
      </c>
      <c r="H80" s="15" t="n">
        <f aca="false">$I$47+$I$48*H$73+$I$49*$B80+$I$50*H$73*$B80+$I$51*H$73^2+$I$52*$B80^2</f>
        <v>47.2722301136364</v>
      </c>
      <c r="I80" s="15" t="n">
        <f aca="false">$I$47+$I$48*I$73+$I$49*$B80+$I$50*I$73*$B80+$I$51*I$73^2+$I$52*$B80^2</f>
        <v>47.7968096590909</v>
      </c>
      <c r="J80" s="15" t="n">
        <f aca="false">$I$47+$I$48*J$73+$I$49*$B80+$I$50*J$73*$B80+$I$51*J$73^2+$I$52*$B80^2</f>
        <v>48.27184375</v>
      </c>
      <c r="K80" s="15" t="n">
        <f aca="false">$I$47+$I$48*K$73+$I$49*$B80+$I$50*K$73*$B80+$I$51*K$73^2+$I$52*$B80^2</f>
        <v>48.6973323863637</v>
      </c>
      <c r="L80" s="15" t="n">
        <f aca="false">$I$47+$I$48*L$73+$I$49*$B80+$I$50*L$73*$B80+$I$51*L$73^2+$I$52*$B80^2</f>
        <v>49.0732755681818</v>
      </c>
      <c r="M80" s="15" t="n">
        <f aca="false">$I$47+$I$48*M$73+$I$49*$B80+$I$50*M$73*$B80+$I$51*M$73^2+$I$52*$B80^2</f>
        <v>49.3996732954546</v>
      </c>
      <c r="N80" s="15" t="n">
        <f aca="false">$I$47+$I$48*N$73+$I$49*$B80+$I$50*N$73*$B80+$I$51*N$73^2+$I$52*$B80^2</f>
        <v>49.6765255681818</v>
      </c>
      <c r="O80" s="15" t="n">
        <f aca="false">$I$47+$I$48*O$73+$I$49*$B80+$I$50*O$73*$B80+$I$51*O$73^2+$I$52*$B80^2</f>
        <v>49.9038323863637</v>
      </c>
      <c r="P80" s="15" t="n">
        <f aca="false">$I$47+$I$48*P$73+$I$49*$B80+$I$50*P$73*$B80+$I$51*P$73^2+$I$52*$B80^2</f>
        <v>50.08159375</v>
      </c>
      <c r="Q80" s="15" t="n">
        <f aca="false">$I$47+$I$48*Q$73+$I$49*$B80+$I$50*Q$73*$B80+$I$51*Q$73^2+$I$52*$B80^2</f>
        <v>50.2098096590909</v>
      </c>
      <c r="R80" s="15" t="n">
        <f aca="false">$I$47+$I$48*R$73+$I$49*$B80+$I$50*R$73*$B80+$I$51*R$73^2+$I$52*$B80^2</f>
        <v>50.2884801136364</v>
      </c>
      <c r="S80" s="15" t="n">
        <f aca="false">$I$47+$I$48*S$73+$I$49*$B80+$I$50*S$73*$B80+$I$51*S$73^2+$I$52*$B80^2</f>
        <v>50.3176051136364</v>
      </c>
      <c r="T80" s="15" t="n">
        <f aca="false">$I$47+$I$48*T$73+$I$49*$B80+$I$50*T$73*$B80+$I$51*T$73^2+$I$52*$B80^2</f>
        <v>50.2971846590909</v>
      </c>
      <c r="U80" s="15" t="n">
        <f aca="false">$I$47+$I$48*U$73+$I$49*$B80+$I$50*U$73*$B80+$I$51*U$73^2+$I$52*$B80^2</f>
        <v>50.22721875</v>
      </c>
      <c r="V80" s="15" t="n">
        <f aca="false">$I$47+$I$48*V$73+$I$49*$B80+$I$50*V$73*$B80+$I$51*V$73^2+$I$52*$B80^2</f>
        <v>50.1077073863636</v>
      </c>
      <c r="W80" s="15" t="n">
        <f aca="false">$I$47+$I$48*W$73+$I$49*$B80+$I$50*W$73*$B80+$I$51*W$73^2+$I$52*$B80^2</f>
        <v>49.9386505681818</v>
      </c>
    </row>
    <row r="81" customFormat="false" ht="15" hidden="false" customHeight="false" outlineLevel="0" collapsed="false">
      <c r="B81" s="39" t="n">
        <v>0.3</v>
      </c>
      <c r="C81" s="15" t="n">
        <f aca="false">$I$47+$I$48*C$73+$I$49*$B81+$I$50*C$73*$B81+$I$51*C$73^2+$I$52*$B81^2</f>
        <v>43.9354346590909</v>
      </c>
      <c r="D81" s="15" t="n">
        <f aca="false">$I$47+$I$48*D$73+$I$49*$B81+$I$50*D$73*$B81+$I$51*D$73^2+$I$52*$B81^2</f>
        <v>44.6954914772727</v>
      </c>
      <c r="E81" s="15" t="n">
        <f aca="false">$I$47+$I$48*E$73+$I$49*$B81+$I$50*E$73*$B81+$I$51*E$73^2+$I$52*$B81^2</f>
        <v>45.4060028409091</v>
      </c>
      <c r="F81" s="15" t="n">
        <f aca="false">$I$47+$I$48*F$73+$I$49*$B81+$I$50*F$73*$B81+$I$51*F$73^2+$I$52*$B81^2</f>
        <v>46.06696875</v>
      </c>
      <c r="G81" s="15" t="n">
        <f aca="false">$I$47+$I$48*G$73+$I$49*$B81+$I$50*G$73*$B81+$I$51*G$73^2+$I$52*$B81^2</f>
        <v>46.6783892045455</v>
      </c>
      <c r="H81" s="15" t="n">
        <f aca="false">$I$47+$I$48*H$73+$I$49*$B81+$I$50*H$73*$B81+$I$51*H$73^2+$I$52*$B81^2</f>
        <v>47.2402642045455</v>
      </c>
      <c r="I81" s="15" t="n">
        <f aca="false">$I$47+$I$48*I$73+$I$49*$B81+$I$50*I$73*$B81+$I$51*I$73^2+$I$52*$B81^2</f>
        <v>47.75259375</v>
      </c>
      <c r="J81" s="15" t="n">
        <f aca="false">$I$47+$I$48*J$73+$I$49*$B81+$I$50*J$73*$B81+$I$51*J$73^2+$I$52*$B81^2</f>
        <v>48.2153778409091</v>
      </c>
      <c r="K81" s="15" t="n">
        <f aca="false">$I$47+$I$48*K$73+$I$49*$B81+$I$50*K$73*$B81+$I$51*K$73^2+$I$52*$B81^2</f>
        <v>48.6286164772727</v>
      </c>
      <c r="L81" s="15" t="n">
        <f aca="false">$I$47+$I$48*L$73+$I$49*$B81+$I$50*L$73*$B81+$I$51*L$73^2+$I$52*$B81^2</f>
        <v>48.9923096590909</v>
      </c>
      <c r="M81" s="15" t="n">
        <f aca="false">$I$47+$I$48*M$73+$I$49*$B81+$I$50*M$73*$B81+$I$51*M$73^2+$I$52*$B81^2</f>
        <v>49.3064573863637</v>
      </c>
      <c r="N81" s="15" t="n">
        <f aca="false">$I$47+$I$48*N$73+$I$49*$B81+$I$50*N$73*$B81+$I$51*N$73^2+$I$52*$B81^2</f>
        <v>49.5710596590909</v>
      </c>
      <c r="O81" s="15" t="n">
        <f aca="false">$I$47+$I$48*O$73+$I$49*$B81+$I$50*O$73*$B81+$I$51*O$73^2+$I$52*$B81^2</f>
        <v>49.7861164772727</v>
      </c>
      <c r="P81" s="15" t="n">
        <f aca="false">$I$47+$I$48*P$73+$I$49*$B81+$I$50*P$73*$B81+$I$51*P$73^2+$I$52*$B81^2</f>
        <v>49.9516278409091</v>
      </c>
      <c r="Q81" s="15" t="n">
        <f aca="false">$I$47+$I$48*Q$73+$I$49*$B81+$I$50*Q$73*$B81+$I$51*Q$73^2+$I$52*$B81^2</f>
        <v>50.06759375</v>
      </c>
      <c r="R81" s="15" t="n">
        <f aca="false">$I$47+$I$48*R$73+$I$49*$B81+$I$50*R$73*$B81+$I$51*R$73^2+$I$52*$B81^2</f>
        <v>50.1340142045455</v>
      </c>
      <c r="S81" s="15" t="n">
        <f aca="false">$I$47+$I$48*S$73+$I$49*$B81+$I$50*S$73*$B81+$I$51*S$73^2+$I$52*$B81^2</f>
        <v>50.1508892045455</v>
      </c>
      <c r="T81" s="15" t="n">
        <f aca="false">$I$47+$I$48*T$73+$I$49*$B81+$I$50*T$73*$B81+$I$51*T$73^2+$I$52*$B81^2</f>
        <v>50.11821875</v>
      </c>
      <c r="U81" s="15" t="n">
        <f aca="false">$I$47+$I$48*U$73+$I$49*$B81+$I$50*U$73*$B81+$I$51*U$73^2+$I$52*$B81^2</f>
        <v>50.0360028409091</v>
      </c>
      <c r="V81" s="15" t="n">
        <f aca="false">$I$47+$I$48*V$73+$I$49*$B81+$I$50*V$73*$B81+$I$51*V$73^2+$I$52*$B81^2</f>
        <v>49.9042414772727</v>
      </c>
      <c r="W81" s="15" t="n">
        <f aca="false">$I$47+$I$48*W$73+$I$49*$B81+$I$50*W$73*$B81+$I$51*W$73^2+$I$52*$B81^2</f>
        <v>49.7229346590909</v>
      </c>
    </row>
    <row r="82" customFormat="false" ht="15" hidden="false" customHeight="false" outlineLevel="0" collapsed="false">
      <c r="B82" s="39" t="n">
        <v>0.2</v>
      </c>
      <c r="C82" s="15" t="n">
        <f aca="false">$I$47+$I$48*C$73+$I$49*$B82+$I$50*C$73*$B82+$I$51*C$73^2+$I$52*$B82^2</f>
        <v>43.9241732954545</v>
      </c>
      <c r="D82" s="15" t="n">
        <f aca="false">$I$47+$I$48*D$73+$I$49*$B82+$I$50*D$73*$B82+$I$51*D$73^2+$I$52*$B82^2</f>
        <v>44.6719801136364</v>
      </c>
      <c r="E82" s="15" t="n">
        <f aca="false">$I$47+$I$48*E$73+$I$49*$B82+$I$50*E$73*$B82+$I$51*E$73^2+$I$52*$B82^2</f>
        <v>45.3702414772727</v>
      </c>
      <c r="F82" s="15" t="n">
        <f aca="false">$I$47+$I$48*F$73+$I$49*$B82+$I$50*F$73*$B82+$I$51*F$73^2+$I$52*$B82^2</f>
        <v>46.0189573863636</v>
      </c>
      <c r="G82" s="15" t="n">
        <f aca="false">$I$47+$I$48*G$73+$I$49*$B82+$I$50*G$73*$B82+$I$51*G$73^2+$I$52*$B82^2</f>
        <v>46.6181278409091</v>
      </c>
      <c r="H82" s="15" t="n">
        <f aca="false">$I$47+$I$48*H$73+$I$49*$B82+$I$50*H$73*$B82+$I$51*H$73^2+$I$52*$B82^2</f>
        <v>47.1677528409091</v>
      </c>
      <c r="I82" s="15" t="n">
        <f aca="false">$I$47+$I$48*I$73+$I$49*$B82+$I$50*I$73*$B82+$I$51*I$73^2+$I$52*$B82^2</f>
        <v>47.6678323863637</v>
      </c>
      <c r="J82" s="15" t="n">
        <f aca="false">$I$47+$I$48*J$73+$I$49*$B82+$I$50*J$73*$B82+$I$51*J$73^2+$I$52*$B82^2</f>
        <v>48.1183664772727</v>
      </c>
      <c r="K82" s="15" t="n">
        <f aca="false">$I$47+$I$48*K$73+$I$49*$B82+$I$50*K$73*$B82+$I$51*K$73^2+$I$52*$B82^2</f>
        <v>48.5193551136364</v>
      </c>
      <c r="L82" s="15" t="n">
        <f aca="false">$I$47+$I$48*L$73+$I$49*$B82+$I$50*L$73*$B82+$I$51*L$73^2+$I$52*$B82^2</f>
        <v>48.8707982954546</v>
      </c>
      <c r="M82" s="15" t="n">
        <f aca="false">$I$47+$I$48*M$73+$I$49*$B82+$I$50*M$73*$B82+$I$51*M$73^2+$I$52*$B82^2</f>
        <v>49.1726960227273</v>
      </c>
      <c r="N82" s="15" t="n">
        <f aca="false">$I$47+$I$48*N$73+$I$49*$B82+$I$50*N$73*$B82+$I$51*N$73^2+$I$52*$B82^2</f>
        <v>49.4250482954546</v>
      </c>
      <c r="O82" s="15" t="n">
        <f aca="false">$I$47+$I$48*O$73+$I$49*$B82+$I$50*O$73*$B82+$I$51*O$73^2+$I$52*$B82^2</f>
        <v>49.6278551136364</v>
      </c>
      <c r="P82" s="15" t="n">
        <f aca="false">$I$47+$I$48*P$73+$I$49*$B82+$I$50*P$73*$B82+$I$51*P$73^2+$I$52*$B82^2</f>
        <v>49.7811164772727</v>
      </c>
      <c r="Q82" s="15" t="n">
        <f aca="false">$I$47+$I$48*Q$73+$I$49*$B82+$I$50*Q$73*$B82+$I$51*Q$73^2+$I$52*$B82^2</f>
        <v>49.8848323863637</v>
      </c>
      <c r="R82" s="15" t="n">
        <f aca="false">$I$47+$I$48*R$73+$I$49*$B82+$I$50*R$73*$B82+$I$51*R$73^2+$I$52*$B82^2</f>
        <v>49.9390028409091</v>
      </c>
      <c r="S82" s="15" t="n">
        <f aca="false">$I$47+$I$48*S$73+$I$49*$B82+$I$50*S$73*$B82+$I$51*S$73^2+$I$52*$B82^2</f>
        <v>49.9436278409091</v>
      </c>
      <c r="T82" s="15" t="n">
        <f aca="false">$I$47+$I$48*T$73+$I$49*$B82+$I$50*T$73*$B82+$I$51*T$73^2+$I$52*$B82^2</f>
        <v>49.8987073863636</v>
      </c>
      <c r="U82" s="15" t="n">
        <f aca="false">$I$47+$I$48*U$73+$I$49*$B82+$I$50*U$73*$B82+$I$51*U$73^2+$I$52*$B82^2</f>
        <v>49.8042414772727</v>
      </c>
      <c r="V82" s="15" t="n">
        <f aca="false">$I$47+$I$48*V$73+$I$49*$B82+$I$50*V$73*$B82+$I$51*V$73^2+$I$52*$B82^2</f>
        <v>49.6602301136364</v>
      </c>
      <c r="W82" s="15" t="n">
        <f aca="false">$I$47+$I$48*W$73+$I$49*$B82+$I$50*W$73*$B82+$I$51*W$73^2+$I$52*$B82^2</f>
        <v>49.4666732954545</v>
      </c>
    </row>
    <row r="83" customFormat="false" ht="15" hidden="false" customHeight="false" outlineLevel="0" collapsed="false">
      <c r="B83" s="39" t="n">
        <v>0.1</v>
      </c>
      <c r="C83" s="15" t="n">
        <f aca="false">$I$47+$I$48*C$73+$I$49*$B83+$I$50*C$73*$B83+$I$51*C$73^2+$I$52*$B83^2</f>
        <v>43.8723664772727</v>
      </c>
      <c r="D83" s="15" t="n">
        <f aca="false">$I$47+$I$48*D$73+$I$49*$B83+$I$50*D$73*$B83+$I$51*D$73^2+$I$52*$B83^2</f>
        <v>44.6079232954545</v>
      </c>
      <c r="E83" s="15" t="n">
        <f aca="false">$I$47+$I$48*E$73+$I$49*$B83+$I$50*E$73*$B83+$I$51*E$73^2+$I$52*$B83^2</f>
        <v>45.2939346590909</v>
      </c>
      <c r="F83" s="15" t="n">
        <f aca="false">$I$47+$I$48*F$73+$I$49*$B83+$I$50*F$73*$B83+$I$51*F$73^2+$I$52*$B83^2</f>
        <v>45.9304005681818</v>
      </c>
      <c r="G83" s="15" t="n">
        <f aca="false">$I$47+$I$48*G$73+$I$49*$B83+$I$50*G$73*$B83+$I$51*G$73^2+$I$52*$B83^2</f>
        <v>46.5173210227273</v>
      </c>
      <c r="H83" s="15" t="n">
        <f aca="false">$I$47+$I$48*H$73+$I$49*$B83+$I$50*H$73*$B83+$I$51*H$73^2+$I$52*$B83^2</f>
        <v>47.0546960227273</v>
      </c>
      <c r="I83" s="15" t="n">
        <f aca="false">$I$47+$I$48*I$73+$I$49*$B83+$I$50*I$73*$B83+$I$51*I$73^2+$I$52*$B83^2</f>
        <v>47.5425255681818</v>
      </c>
      <c r="J83" s="15" t="n">
        <f aca="false">$I$47+$I$48*J$73+$I$49*$B83+$I$50*J$73*$B83+$I$51*J$73^2+$I$52*$B83^2</f>
        <v>47.9808096590909</v>
      </c>
      <c r="K83" s="15" t="n">
        <f aca="false">$I$47+$I$48*K$73+$I$49*$B83+$I$50*K$73*$B83+$I$51*K$73^2+$I$52*$B83^2</f>
        <v>48.3695482954546</v>
      </c>
      <c r="L83" s="15" t="n">
        <f aca="false">$I$47+$I$48*L$73+$I$49*$B83+$I$50*L$73*$B83+$I$51*L$73^2+$I$52*$B83^2</f>
        <v>48.7087414772727</v>
      </c>
      <c r="M83" s="15" t="n">
        <f aca="false">$I$47+$I$48*M$73+$I$49*$B83+$I$50*M$73*$B83+$I$51*M$73^2+$I$52*$B83^2</f>
        <v>48.9983892045455</v>
      </c>
      <c r="N83" s="15" t="n">
        <f aca="false">$I$47+$I$48*N$73+$I$49*$B83+$I$50*N$73*$B83+$I$51*N$73^2+$I$52*$B83^2</f>
        <v>49.2384914772727</v>
      </c>
      <c r="O83" s="15" t="n">
        <f aca="false">$I$47+$I$48*O$73+$I$49*$B83+$I$50*O$73*$B83+$I$51*O$73^2+$I$52*$B83^2</f>
        <v>49.4290482954546</v>
      </c>
      <c r="P83" s="15" t="n">
        <f aca="false">$I$47+$I$48*P$73+$I$49*$B83+$I$50*P$73*$B83+$I$51*P$73^2+$I$52*$B83^2</f>
        <v>49.5700596590909</v>
      </c>
      <c r="Q83" s="15" t="n">
        <f aca="false">$I$47+$I$48*Q$73+$I$49*$B83+$I$50*Q$73*$B83+$I$51*Q$73^2+$I$52*$B83^2</f>
        <v>49.6615255681818</v>
      </c>
      <c r="R83" s="15" t="n">
        <f aca="false">$I$47+$I$48*R$73+$I$49*$B83+$I$50*R$73*$B83+$I$51*R$73^2+$I$52*$B83^2</f>
        <v>49.7034460227273</v>
      </c>
      <c r="S83" s="15" t="n">
        <f aca="false">$I$47+$I$48*S$73+$I$49*$B83+$I$50*S$73*$B83+$I$51*S$73^2+$I$52*$B83^2</f>
        <v>49.6958210227273</v>
      </c>
      <c r="T83" s="15" t="n">
        <f aca="false">$I$47+$I$48*T$73+$I$49*$B83+$I$50*T$73*$B83+$I$51*T$73^2+$I$52*$B83^2</f>
        <v>49.6386505681818</v>
      </c>
      <c r="U83" s="15" t="n">
        <f aca="false">$I$47+$I$48*U$73+$I$49*$B83+$I$50*U$73*$B83+$I$51*U$73^2+$I$52*$B83^2</f>
        <v>49.5319346590909</v>
      </c>
      <c r="V83" s="15" t="n">
        <f aca="false">$I$47+$I$48*V$73+$I$49*$B83+$I$50*V$73*$B83+$I$51*V$73^2+$I$52*$B83^2</f>
        <v>49.3756732954546</v>
      </c>
      <c r="W83" s="15" t="n">
        <f aca="false">$I$47+$I$48*W$73+$I$49*$B83+$I$50*W$73*$B83+$I$51*W$73^2+$I$52*$B83^2</f>
        <v>49.1698664772727</v>
      </c>
    </row>
    <row r="84" customFormat="false" ht="15" hidden="false" customHeight="false" outlineLevel="0" collapsed="false">
      <c r="B84" s="39" t="n">
        <v>0</v>
      </c>
      <c r="C84" s="15" t="n">
        <f aca="false">$I$47+$I$48*C$73+$I$49*$B84+$I$50*C$73*$B84+$I$51*C$73^2+$I$52*$B84^2</f>
        <v>43.7800142045454</v>
      </c>
      <c r="D84" s="15" t="n">
        <f aca="false">$I$47+$I$48*D$73+$I$49*$B84+$I$50*D$73*$B84+$I$51*D$73^2+$I$52*$B84^2</f>
        <v>44.5033210227273</v>
      </c>
      <c r="E84" s="15" t="n">
        <f aca="false">$I$47+$I$48*E$73+$I$49*$B84+$I$50*E$73*$B84+$I$51*E$73^2+$I$52*$B84^2</f>
        <v>45.1770823863636</v>
      </c>
      <c r="F84" s="15" t="n">
        <f aca="false">$I$47+$I$48*F$73+$I$49*$B84+$I$50*F$73*$B84+$I$51*F$73^2+$I$52*$B84^2</f>
        <v>45.8012982954546</v>
      </c>
      <c r="G84" s="15" t="n">
        <f aca="false">$I$47+$I$48*G$73+$I$49*$B84+$I$50*G$73*$B84+$I$51*G$73^2+$I$52*$B84^2</f>
        <v>46.37596875</v>
      </c>
      <c r="H84" s="15" t="n">
        <f aca="false">$I$47+$I$48*H$73+$I$49*$B84+$I$50*H$73*$B84+$I$51*H$73^2+$I$52*$B84^2</f>
        <v>46.90109375</v>
      </c>
      <c r="I84" s="15" t="n">
        <f aca="false">$I$47+$I$48*I$73+$I$49*$B84+$I$50*I$73*$B84+$I$51*I$73^2+$I$52*$B84^2</f>
        <v>47.3766732954546</v>
      </c>
      <c r="J84" s="15" t="n">
        <f aca="false">$I$47+$I$48*J$73+$I$49*$B84+$I$50*J$73*$B84+$I$51*J$73^2+$I$52*$B84^2</f>
        <v>47.8027073863637</v>
      </c>
      <c r="K84" s="15" t="n">
        <f aca="false">$I$47+$I$48*K$73+$I$49*$B84+$I$50*K$73*$B84+$I$51*K$73^2+$I$52*$B84^2</f>
        <v>48.1791960227273</v>
      </c>
      <c r="L84" s="15" t="n">
        <f aca="false">$I$47+$I$48*L$73+$I$49*$B84+$I$50*L$73*$B84+$I$51*L$73^2+$I$52*$B84^2</f>
        <v>48.5061392045455</v>
      </c>
      <c r="M84" s="15" t="n">
        <f aca="false">$I$47+$I$48*M$73+$I$49*$B84+$I$50*M$73*$B84+$I$51*M$73^2+$I$52*$B84^2</f>
        <v>48.7835369318182</v>
      </c>
      <c r="N84" s="15" t="n">
        <f aca="false">$I$47+$I$48*N$73+$I$49*$B84+$I$50*N$73*$B84+$I$51*N$73^2+$I$52*$B84^2</f>
        <v>49.0113892045455</v>
      </c>
      <c r="O84" s="15" t="n">
        <f aca="false">$I$47+$I$48*O$73+$I$49*$B84+$I$50*O$73*$B84+$I$51*O$73^2+$I$52*$B84^2</f>
        <v>49.1896960227273</v>
      </c>
      <c r="P84" s="15" t="n">
        <f aca="false">$I$47+$I$48*P$73+$I$49*$B84+$I$50*P$73*$B84+$I$51*P$73^2+$I$52*$B84^2</f>
        <v>49.3184573863637</v>
      </c>
      <c r="Q84" s="15" t="n">
        <f aca="false">$I$47+$I$48*Q$73+$I$49*$B84+$I$50*Q$73*$B84+$I$51*Q$73^2+$I$52*$B84^2</f>
        <v>49.3976732954546</v>
      </c>
      <c r="R84" s="15" t="n">
        <f aca="false">$I$47+$I$48*R$73+$I$49*$B84+$I$50*R$73*$B84+$I$51*R$73^2+$I$52*$B84^2</f>
        <v>49.42734375</v>
      </c>
      <c r="S84" s="15" t="n">
        <f aca="false">$I$47+$I$48*S$73+$I$49*$B84+$I$50*S$73*$B84+$I$51*S$73^2+$I$52*$B84^2</f>
        <v>49.40746875</v>
      </c>
      <c r="T84" s="15" t="n">
        <f aca="false">$I$47+$I$48*T$73+$I$49*$B84+$I$50*T$73*$B84+$I$51*T$73^2+$I$52*$B84^2</f>
        <v>49.3380482954546</v>
      </c>
      <c r="U84" s="15" t="n">
        <f aca="false">$I$47+$I$48*U$73+$I$49*$B84+$I$50*U$73*$B84+$I$51*U$73^2+$I$52*$B84^2</f>
        <v>49.2190823863636</v>
      </c>
      <c r="V84" s="15" t="n">
        <f aca="false">$I$47+$I$48*V$73+$I$49*$B84+$I$50*V$73*$B84+$I$51*V$73^2+$I$52*$B84^2</f>
        <v>49.0505710227273</v>
      </c>
      <c r="W84" s="15" t="n">
        <f aca="false">$I$47+$I$48*W$73+$I$49*$B84+$I$50*W$73*$B84+$I$51*W$73^2+$I$52*$B84^2</f>
        <v>48.8325142045455</v>
      </c>
    </row>
    <row r="85" customFormat="false" ht="15" hidden="false" customHeight="false" outlineLevel="0" collapsed="false">
      <c r="B85" s="39" t="n">
        <v>-0.1</v>
      </c>
      <c r="C85" s="15" t="n">
        <f aca="false">$I$47+$I$48*C$73+$I$49*$B85+$I$50*C$73*$B85+$I$51*C$73^2+$I$52*$B85^2</f>
        <v>43.6471164772727</v>
      </c>
      <c r="D85" s="15" t="n">
        <f aca="false">$I$47+$I$48*D$73+$I$49*$B85+$I$50*D$73*$B85+$I$51*D$73^2+$I$52*$B85^2</f>
        <v>44.3581732954546</v>
      </c>
      <c r="E85" s="15" t="n">
        <f aca="false">$I$47+$I$48*E$73+$I$49*$B85+$I$50*E$73*$B85+$I$51*E$73^2+$I$52*$B85^2</f>
        <v>45.0196846590909</v>
      </c>
      <c r="F85" s="15" t="n">
        <f aca="false">$I$47+$I$48*F$73+$I$49*$B85+$I$50*F$73*$B85+$I$51*F$73^2+$I$52*$B85^2</f>
        <v>45.6316505681818</v>
      </c>
      <c r="G85" s="15" t="n">
        <f aca="false">$I$47+$I$48*G$73+$I$49*$B85+$I$50*G$73*$B85+$I$51*G$73^2+$I$52*$B85^2</f>
        <v>46.1940710227273</v>
      </c>
      <c r="H85" s="15" t="n">
        <f aca="false">$I$47+$I$48*H$73+$I$49*$B85+$I$50*H$73*$B85+$I$51*H$73^2+$I$52*$B85^2</f>
        <v>46.7069460227273</v>
      </c>
      <c r="I85" s="15" t="n">
        <f aca="false">$I$47+$I$48*I$73+$I$49*$B85+$I$50*I$73*$B85+$I$51*I$73^2+$I$52*$B85^2</f>
        <v>47.1702755681818</v>
      </c>
      <c r="J85" s="15" t="n">
        <f aca="false">$I$47+$I$48*J$73+$I$49*$B85+$I$50*J$73*$B85+$I$51*J$73^2+$I$52*$B85^2</f>
        <v>47.5840596590909</v>
      </c>
      <c r="K85" s="15" t="n">
        <f aca="false">$I$47+$I$48*K$73+$I$49*$B85+$I$50*K$73*$B85+$I$51*K$73^2+$I$52*$B85^2</f>
        <v>47.9482982954546</v>
      </c>
      <c r="L85" s="15" t="n">
        <f aca="false">$I$47+$I$48*L$73+$I$49*$B85+$I$50*L$73*$B85+$I$51*L$73^2+$I$52*$B85^2</f>
        <v>48.2629914772728</v>
      </c>
      <c r="M85" s="15" t="n">
        <f aca="false">$I$47+$I$48*M$73+$I$49*$B85+$I$50*M$73*$B85+$I$51*M$73^2+$I$52*$B85^2</f>
        <v>48.5281392045455</v>
      </c>
      <c r="N85" s="15" t="n">
        <f aca="false">$I$47+$I$48*N$73+$I$49*$B85+$I$50*N$73*$B85+$I$51*N$73^2+$I$52*$B85^2</f>
        <v>48.7437414772728</v>
      </c>
      <c r="O85" s="15" t="n">
        <f aca="false">$I$47+$I$48*O$73+$I$49*$B85+$I$50*O$73*$B85+$I$51*O$73^2+$I$52*$B85^2</f>
        <v>48.9097982954546</v>
      </c>
      <c r="P85" s="15" t="n">
        <f aca="false">$I$47+$I$48*P$73+$I$49*$B85+$I$50*P$73*$B85+$I$51*P$73^2+$I$52*$B85^2</f>
        <v>49.0263096590909</v>
      </c>
      <c r="Q85" s="15" t="n">
        <f aca="false">$I$47+$I$48*Q$73+$I$49*$B85+$I$50*Q$73*$B85+$I$51*Q$73^2+$I$52*$B85^2</f>
        <v>49.0932755681818</v>
      </c>
      <c r="R85" s="15" t="n">
        <f aca="false">$I$47+$I$48*R$73+$I$49*$B85+$I$50*R$73*$B85+$I$51*R$73^2+$I$52*$B85^2</f>
        <v>49.1106960227273</v>
      </c>
      <c r="S85" s="15" t="n">
        <f aca="false">$I$47+$I$48*S$73+$I$49*$B85+$I$50*S$73*$B85+$I$51*S$73^2+$I$52*$B85^2</f>
        <v>49.0785710227273</v>
      </c>
      <c r="T85" s="15" t="n">
        <f aca="false">$I$47+$I$48*T$73+$I$49*$B85+$I$50*T$73*$B85+$I$51*T$73^2+$I$52*$B85^2</f>
        <v>48.9969005681818</v>
      </c>
      <c r="U85" s="15" t="n">
        <f aca="false">$I$47+$I$48*U$73+$I$49*$B85+$I$50*U$73*$B85+$I$51*U$73^2+$I$52*$B85^2</f>
        <v>48.8656846590909</v>
      </c>
      <c r="V85" s="15" t="n">
        <f aca="false">$I$47+$I$48*V$73+$I$49*$B85+$I$50*V$73*$B85+$I$51*V$73^2+$I$52*$B85^2</f>
        <v>48.6849232954546</v>
      </c>
      <c r="W85" s="15" t="n">
        <f aca="false">$I$47+$I$48*W$73+$I$49*$B85+$I$50*W$73*$B85+$I$51*W$73^2+$I$52*$B85^2</f>
        <v>48.4546164772727</v>
      </c>
    </row>
    <row r="86" customFormat="false" ht="15" hidden="false" customHeight="false" outlineLevel="0" collapsed="false">
      <c r="B86" s="39" t="n">
        <v>-0.2</v>
      </c>
      <c r="C86" s="15" t="n">
        <f aca="false">$I$47+$I$48*C$73+$I$49*$B86+$I$50*C$73*$B86+$I$51*C$73^2+$I$52*$B86^2</f>
        <v>43.4736732954545</v>
      </c>
      <c r="D86" s="15" t="n">
        <f aca="false">$I$47+$I$48*D$73+$I$49*$B86+$I$50*D$73*$B86+$I$51*D$73^2+$I$52*$B86^2</f>
        <v>44.1724801136364</v>
      </c>
      <c r="E86" s="15" t="n">
        <f aca="false">$I$47+$I$48*E$73+$I$49*$B86+$I$50*E$73*$B86+$I$51*E$73^2+$I$52*$B86^2</f>
        <v>44.8217414772727</v>
      </c>
      <c r="F86" s="15" t="n">
        <f aca="false">$I$47+$I$48*F$73+$I$49*$B86+$I$50*F$73*$B86+$I$51*F$73^2+$I$52*$B86^2</f>
        <v>45.4214573863636</v>
      </c>
      <c r="G86" s="15" t="n">
        <f aca="false">$I$47+$I$48*G$73+$I$49*$B86+$I$50*G$73*$B86+$I$51*G$73^2+$I$52*$B86^2</f>
        <v>45.9716278409091</v>
      </c>
      <c r="H86" s="15" t="n">
        <f aca="false">$I$47+$I$48*H$73+$I$49*$B86+$I$50*H$73*$B86+$I$51*H$73^2+$I$52*$B86^2</f>
        <v>46.4722528409091</v>
      </c>
      <c r="I86" s="15" t="n">
        <f aca="false">$I$47+$I$48*I$73+$I$49*$B86+$I$50*I$73*$B86+$I$51*I$73^2+$I$52*$B86^2</f>
        <v>46.9233323863637</v>
      </c>
      <c r="J86" s="15" t="n">
        <f aca="false">$I$47+$I$48*J$73+$I$49*$B86+$I$50*J$73*$B86+$I$51*J$73^2+$I$52*$B86^2</f>
        <v>47.3248664772727</v>
      </c>
      <c r="K86" s="15" t="n">
        <f aca="false">$I$47+$I$48*K$73+$I$49*$B86+$I$50*K$73*$B86+$I$51*K$73^2+$I$52*$B86^2</f>
        <v>47.6768551136364</v>
      </c>
      <c r="L86" s="15" t="n">
        <f aca="false">$I$47+$I$48*L$73+$I$49*$B86+$I$50*L$73*$B86+$I$51*L$73^2+$I$52*$B86^2</f>
        <v>47.9792982954546</v>
      </c>
      <c r="M86" s="15" t="n">
        <f aca="false">$I$47+$I$48*M$73+$I$49*$B86+$I$50*M$73*$B86+$I$51*M$73^2+$I$52*$B86^2</f>
        <v>48.2321960227273</v>
      </c>
      <c r="N86" s="15" t="n">
        <f aca="false">$I$47+$I$48*N$73+$I$49*$B86+$I$50*N$73*$B86+$I$51*N$73^2+$I$52*$B86^2</f>
        <v>48.4355482954546</v>
      </c>
      <c r="O86" s="15" t="n">
        <f aca="false">$I$47+$I$48*O$73+$I$49*$B86+$I$50*O$73*$B86+$I$51*O$73^2+$I$52*$B86^2</f>
        <v>48.5893551136364</v>
      </c>
      <c r="P86" s="15" t="n">
        <f aca="false">$I$47+$I$48*P$73+$I$49*$B86+$I$50*P$73*$B86+$I$51*P$73^2+$I$52*$B86^2</f>
        <v>48.6936164772727</v>
      </c>
      <c r="Q86" s="15" t="n">
        <f aca="false">$I$47+$I$48*Q$73+$I$49*$B86+$I$50*Q$73*$B86+$I$51*Q$73^2+$I$52*$B86^2</f>
        <v>48.7483323863637</v>
      </c>
      <c r="R86" s="15" t="n">
        <f aca="false">$I$47+$I$48*R$73+$I$49*$B86+$I$50*R$73*$B86+$I$51*R$73^2+$I$52*$B86^2</f>
        <v>48.7535028409091</v>
      </c>
      <c r="S86" s="15" t="n">
        <f aca="false">$I$47+$I$48*S$73+$I$49*$B86+$I$50*S$73*$B86+$I$51*S$73^2+$I$52*$B86^2</f>
        <v>48.7091278409091</v>
      </c>
      <c r="T86" s="15" t="n">
        <f aca="false">$I$47+$I$48*T$73+$I$49*$B86+$I$50*T$73*$B86+$I$51*T$73^2+$I$52*$B86^2</f>
        <v>48.6152073863636</v>
      </c>
      <c r="U86" s="15" t="n">
        <f aca="false">$I$47+$I$48*U$73+$I$49*$B86+$I$50*U$73*$B86+$I$51*U$73^2+$I$52*$B86^2</f>
        <v>48.4717414772727</v>
      </c>
      <c r="V86" s="15" t="n">
        <f aca="false">$I$47+$I$48*V$73+$I$49*$B86+$I$50*V$73*$B86+$I$51*V$73^2+$I$52*$B86^2</f>
        <v>48.2787301136364</v>
      </c>
      <c r="W86" s="15" t="n">
        <f aca="false">$I$47+$I$48*W$73+$I$49*$B86+$I$50*W$73*$B86+$I$51*W$73^2+$I$52*$B86^2</f>
        <v>48.0361732954545</v>
      </c>
    </row>
    <row r="87" customFormat="false" ht="15" hidden="false" customHeight="false" outlineLevel="0" collapsed="false">
      <c r="B87" s="39" t="n">
        <v>-0.3</v>
      </c>
      <c r="C87" s="15" t="n">
        <f aca="false">$I$47+$I$48*C$73+$I$49*$B87+$I$50*C$73*$B87+$I$51*C$73^2+$I$52*$B87^2</f>
        <v>43.2596846590909</v>
      </c>
      <c r="D87" s="15" t="n">
        <f aca="false">$I$47+$I$48*D$73+$I$49*$B87+$I$50*D$73*$B87+$I$51*D$73^2+$I$52*$B87^2</f>
        <v>43.9462414772727</v>
      </c>
      <c r="E87" s="15" t="n">
        <f aca="false">$I$47+$I$48*E$73+$I$49*$B87+$I$50*E$73*$B87+$I$51*E$73^2+$I$52*$B87^2</f>
        <v>44.5832528409091</v>
      </c>
      <c r="F87" s="15" t="n">
        <f aca="false">$I$47+$I$48*F$73+$I$49*$B87+$I$50*F$73*$B87+$I$51*F$73^2+$I$52*$B87^2</f>
        <v>45.17071875</v>
      </c>
      <c r="G87" s="15" t="n">
        <f aca="false">$I$47+$I$48*G$73+$I$49*$B87+$I$50*G$73*$B87+$I$51*G$73^2+$I$52*$B87^2</f>
        <v>45.7086392045455</v>
      </c>
      <c r="H87" s="15" t="n">
        <f aca="false">$I$47+$I$48*H$73+$I$49*$B87+$I$50*H$73*$B87+$I$51*H$73^2+$I$52*$B87^2</f>
        <v>46.1970142045455</v>
      </c>
      <c r="I87" s="15" t="n">
        <f aca="false">$I$47+$I$48*I$73+$I$49*$B87+$I$50*I$73*$B87+$I$51*I$73^2+$I$52*$B87^2</f>
        <v>46.63584375</v>
      </c>
      <c r="J87" s="15" t="n">
        <f aca="false">$I$47+$I$48*J$73+$I$49*$B87+$I$50*J$73*$B87+$I$51*J$73^2+$I$52*$B87^2</f>
        <v>47.0251278409091</v>
      </c>
      <c r="K87" s="15" t="n">
        <f aca="false">$I$47+$I$48*K$73+$I$49*$B87+$I$50*K$73*$B87+$I$51*K$73^2+$I$52*$B87^2</f>
        <v>47.3648664772727</v>
      </c>
      <c r="L87" s="15" t="n">
        <f aca="false">$I$47+$I$48*L$73+$I$49*$B87+$I$50*L$73*$B87+$I$51*L$73^2+$I$52*$B87^2</f>
        <v>47.6550596590909</v>
      </c>
      <c r="M87" s="15" t="n">
        <f aca="false">$I$47+$I$48*M$73+$I$49*$B87+$I$50*M$73*$B87+$I$51*M$73^2+$I$52*$B87^2</f>
        <v>47.8957073863637</v>
      </c>
      <c r="N87" s="15" t="n">
        <f aca="false">$I$47+$I$48*N$73+$I$49*$B87+$I$50*N$73*$B87+$I$51*N$73^2+$I$52*$B87^2</f>
        <v>48.0868096590909</v>
      </c>
      <c r="O87" s="15" t="n">
        <f aca="false">$I$47+$I$48*O$73+$I$49*$B87+$I$50*O$73*$B87+$I$51*O$73^2+$I$52*$B87^2</f>
        <v>48.2283664772727</v>
      </c>
      <c r="P87" s="15" t="n">
        <f aca="false">$I$47+$I$48*P$73+$I$49*$B87+$I$50*P$73*$B87+$I$51*P$73^2+$I$52*$B87^2</f>
        <v>48.3203778409091</v>
      </c>
      <c r="Q87" s="15" t="n">
        <f aca="false">$I$47+$I$48*Q$73+$I$49*$B87+$I$50*Q$73*$B87+$I$51*Q$73^2+$I$52*$B87^2</f>
        <v>48.36284375</v>
      </c>
      <c r="R87" s="15" t="n">
        <f aca="false">$I$47+$I$48*R$73+$I$49*$B87+$I$50*R$73*$B87+$I$51*R$73^2+$I$52*$B87^2</f>
        <v>48.3557642045455</v>
      </c>
      <c r="S87" s="15" t="n">
        <f aca="false">$I$47+$I$48*S$73+$I$49*$B87+$I$50*S$73*$B87+$I$51*S$73^2+$I$52*$B87^2</f>
        <v>48.2991392045455</v>
      </c>
      <c r="T87" s="15" t="n">
        <f aca="false">$I$47+$I$48*T$73+$I$49*$B87+$I$50*T$73*$B87+$I$51*T$73^2+$I$52*$B87^2</f>
        <v>48.19296875</v>
      </c>
      <c r="U87" s="15" t="n">
        <f aca="false">$I$47+$I$48*U$73+$I$49*$B87+$I$50*U$73*$B87+$I$51*U$73^2+$I$52*$B87^2</f>
        <v>48.0372528409091</v>
      </c>
      <c r="V87" s="15" t="n">
        <f aca="false">$I$47+$I$48*V$73+$I$49*$B87+$I$50*V$73*$B87+$I$51*V$73^2+$I$52*$B87^2</f>
        <v>47.8319914772727</v>
      </c>
      <c r="W87" s="15" t="n">
        <f aca="false">$I$47+$I$48*W$73+$I$49*$B87+$I$50*W$73*$B87+$I$51*W$73^2+$I$52*$B87^2</f>
        <v>47.5771846590909</v>
      </c>
    </row>
    <row r="88" customFormat="false" ht="15" hidden="false" customHeight="false" outlineLevel="0" collapsed="false">
      <c r="B88" s="39" t="n">
        <v>-0.4</v>
      </c>
      <c r="C88" s="15" t="n">
        <f aca="false">$I$47+$I$48*C$73+$I$49*$B88+$I$50*C$73*$B88+$I$51*C$73^2+$I$52*$B88^2</f>
        <v>43.0051505681818</v>
      </c>
      <c r="D88" s="15" t="n">
        <f aca="false">$I$47+$I$48*D$73+$I$49*$B88+$I$50*D$73*$B88+$I$51*D$73^2+$I$52*$B88^2</f>
        <v>43.6794573863636</v>
      </c>
      <c r="E88" s="15" t="n">
        <f aca="false">$I$47+$I$48*E$73+$I$49*$B88+$I$50*E$73*$B88+$I$51*E$73^2+$I$52*$B88^2</f>
        <v>44.30421875</v>
      </c>
      <c r="F88" s="15" t="n">
        <f aca="false">$I$47+$I$48*F$73+$I$49*$B88+$I$50*F$73*$B88+$I$51*F$73^2+$I$52*$B88^2</f>
        <v>44.8794346590909</v>
      </c>
      <c r="G88" s="15" t="n">
        <f aca="false">$I$47+$I$48*G$73+$I$49*$B88+$I$50*G$73*$B88+$I$51*G$73^2+$I$52*$B88^2</f>
        <v>45.4051051136364</v>
      </c>
      <c r="H88" s="15" t="n">
        <f aca="false">$I$47+$I$48*H$73+$I$49*$B88+$I$50*H$73*$B88+$I$51*H$73^2+$I$52*$B88^2</f>
        <v>45.8812301136364</v>
      </c>
      <c r="I88" s="15" t="n">
        <f aca="false">$I$47+$I$48*I$73+$I$49*$B88+$I$50*I$73*$B88+$I$51*I$73^2+$I$52*$B88^2</f>
        <v>46.3078096590909</v>
      </c>
      <c r="J88" s="15" t="n">
        <f aca="false">$I$47+$I$48*J$73+$I$49*$B88+$I$50*J$73*$B88+$I$51*J$73^2+$I$52*$B88^2</f>
        <v>46.68484375</v>
      </c>
      <c r="K88" s="15" t="n">
        <f aca="false">$I$47+$I$48*K$73+$I$49*$B88+$I$50*K$73*$B88+$I$51*K$73^2+$I$52*$B88^2</f>
        <v>47.0123323863636</v>
      </c>
      <c r="L88" s="15" t="n">
        <f aca="false">$I$47+$I$48*L$73+$I$49*$B88+$I$50*L$73*$B88+$I$51*L$73^2+$I$52*$B88^2</f>
        <v>47.2902755681818</v>
      </c>
      <c r="M88" s="15" t="n">
        <f aca="false">$I$47+$I$48*M$73+$I$49*$B88+$I$50*M$73*$B88+$I$51*M$73^2+$I$52*$B88^2</f>
        <v>47.5186732954546</v>
      </c>
      <c r="N88" s="15" t="n">
        <f aca="false">$I$47+$I$48*N$73+$I$49*$B88+$I$50*N$73*$B88+$I$51*N$73^2+$I$52*$B88^2</f>
        <v>47.6975255681818</v>
      </c>
      <c r="O88" s="15" t="n">
        <f aca="false">$I$47+$I$48*O$73+$I$49*$B88+$I$50*O$73*$B88+$I$51*O$73^2+$I$52*$B88^2</f>
        <v>47.8268323863637</v>
      </c>
      <c r="P88" s="15" t="n">
        <f aca="false">$I$47+$I$48*P$73+$I$49*$B88+$I$50*P$73*$B88+$I$51*P$73^2+$I$52*$B88^2</f>
        <v>47.90659375</v>
      </c>
      <c r="Q88" s="15" t="n">
        <f aca="false">$I$47+$I$48*Q$73+$I$49*$B88+$I$50*Q$73*$B88+$I$51*Q$73^2+$I$52*$B88^2</f>
        <v>47.9368096590909</v>
      </c>
      <c r="R88" s="15" t="n">
        <f aca="false">$I$47+$I$48*R$73+$I$49*$B88+$I$50*R$73*$B88+$I$51*R$73^2+$I$52*$B88^2</f>
        <v>47.9174801136364</v>
      </c>
      <c r="S88" s="15" t="n">
        <f aca="false">$I$47+$I$48*S$73+$I$49*$B88+$I$50*S$73*$B88+$I$51*S$73^2+$I$52*$B88^2</f>
        <v>47.8486051136364</v>
      </c>
      <c r="T88" s="15" t="n">
        <f aca="false">$I$47+$I$48*T$73+$I$49*$B88+$I$50*T$73*$B88+$I$51*T$73^2+$I$52*$B88^2</f>
        <v>47.7301846590909</v>
      </c>
      <c r="U88" s="15" t="n">
        <f aca="false">$I$47+$I$48*U$73+$I$49*$B88+$I$50*U$73*$B88+$I$51*U$73^2+$I$52*$B88^2</f>
        <v>47.56221875</v>
      </c>
      <c r="V88" s="15" t="n">
        <f aca="false">$I$47+$I$48*V$73+$I$49*$B88+$I$50*V$73*$B88+$I$51*V$73^2+$I$52*$B88^2</f>
        <v>47.3447073863636</v>
      </c>
      <c r="W88" s="15" t="n">
        <f aca="false">$I$47+$I$48*W$73+$I$49*$B88+$I$50*W$73*$B88+$I$51*W$73^2+$I$52*$B88^2</f>
        <v>47.0776505681818</v>
      </c>
    </row>
    <row r="89" customFormat="false" ht="15" hidden="false" customHeight="false" outlineLevel="0" collapsed="false">
      <c r="B89" s="39" t="n">
        <v>-0.5</v>
      </c>
      <c r="C89" s="15" t="n">
        <f aca="false">$I$47+$I$48*C$73+$I$49*$B89+$I$50*C$73*$B89+$I$51*C$73^2+$I$52*$B89^2</f>
        <v>42.7100710227273</v>
      </c>
      <c r="D89" s="15" t="n">
        <f aca="false">$I$47+$I$48*D$73+$I$49*$B89+$I$50*D$73*$B89+$I$51*D$73^2+$I$52*$B89^2</f>
        <v>43.3721278409091</v>
      </c>
      <c r="E89" s="15" t="n">
        <f aca="false">$I$47+$I$48*E$73+$I$49*$B89+$I$50*E$73*$B89+$I$51*E$73^2+$I$52*$B89^2</f>
        <v>43.9846392045455</v>
      </c>
      <c r="F89" s="15" t="n">
        <f aca="false">$I$47+$I$48*F$73+$I$49*$B89+$I$50*F$73*$B89+$I$51*F$73^2+$I$52*$B89^2</f>
        <v>44.5476051136364</v>
      </c>
      <c r="G89" s="15" t="n">
        <f aca="false">$I$47+$I$48*G$73+$I$49*$B89+$I$50*G$73*$B89+$I$51*G$73^2+$I$52*$B89^2</f>
        <v>45.0610255681818</v>
      </c>
      <c r="H89" s="15" t="n">
        <f aca="false">$I$47+$I$48*H$73+$I$49*$B89+$I$50*H$73*$B89+$I$51*H$73^2+$I$52*$B89^2</f>
        <v>45.5249005681818</v>
      </c>
      <c r="I89" s="15" t="n">
        <f aca="false">$I$47+$I$48*I$73+$I$49*$B89+$I$50*I$73*$B89+$I$51*I$73^2+$I$52*$B89^2</f>
        <v>45.9392301136364</v>
      </c>
      <c r="J89" s="15" t="n">
        <f aca="false">$I$47+$I$48*J$73+$I$49*$B89+$I$50*J$73*$B89+$I$51*J$73^2+$I$52*$B89^2</f>
        <v>46.3040142045455</v>
      </c>
      <c r="K89" s="15" t="n">
        <f aca="false">$I$47+$I$48*K$73+$I$49*$B89+$I$50*K$73*$B89+$I$51*K$73^2+$I$52*$B89^2</f>
        <v>46.6192528409091</v>
      </c>
      <c r="L89" s="15" t="n">
        <f aca="false">$I$47+$I$48*L$73+$I$49*$B89+$I$50*L$73*$B89+$I$51*L$73^2+$I$52*$B89^2</f>
        <v>46.8849460227273</v>
      </c>
      <c r="M89" s="15" t="n">
        <f aca="false">$I$47+$I$48*M$73+$I$49*$B89+$I$50*M$73*$B89+$I$51*M$73^2+$I$52*$B89^2</f>
        <v>47.10109375</v>
      </c>
      <c r="N89" s="15" t="n">
        <f aca="false">$I$47+$I$48*N$73+$I$49*$B89+$I$50*N$73*$B89+$I$51*N$73^2+$I$52*$B89^2</f>
        <v>47.2676960227273</v>
      </c>
      <c r="O89" s="15" t="n">
        <f aca="false">$I$47+$I$48*O$73+$I$49*$B89+$I$50*O$73*$B89+$I$51*O$73^2+$I$52*$B89^2</f>
        <v>47.3847528409091</v>
      </c>
      <c r="P89" s="15" t="n">
        <f aca="false">$I$47+$I$48*P$73+$I$49*$B89+$I$50*P$73*$B89+$I$51*P$73^2+$I$52*$B89^2</f>
        <v>47.4522642045455</v>
      </c>
      <c r="Q89" s="15" t="n">
        <f aca="false">$I$47+$I$48*Q$73+$I$49*$B89+$I$50*Q$73*$B89+$I$51*Q$73^2+$I$52*$B89^2</f>
        <v>47.4702301136364</v>
      </c>
      <c r="R89" s="15" t="n">
        <f aca="false">$I$47+$I$48*R$73+$I$49*$B89+$I$50*R$73*$B89+$I$51*R$73^2+$I$52*$B89^2</f>
        <v>47.4386505681818</v>
      </c>
      <c r="S89" s="15" t="n">
        <f aca="false">$I$47+$I$48*S$73+$I$49*$B89+$I$50*S$73*$B89+$I$51*S$73^2+$I$52*$B89^2</f>
        <v>47.3575255681818</v>
      </c>
      <c r="T89" s="15" t="n">
        <f aca="false">$I$47+$I$48*T$73+$I$49*$B89+$I$50*T$73*$B89+$I$51*T$73^2+$I$52*$B89^2</f>
        <v>47.2268551136364</v>
      </c>
      <c r="U89" s="15" t="n">
        <f aca="false">$I$47+$I$48*U$73+$I$49*$B89+$I$50*U$73*$B89+$I$51*U$73^2+$I$52*$B89^2</f>
        <v>47.0466392045455</v>
      </c>
      <c r="V89" s="15" t="n">
        <f aca="false">$I$47+$I$48*V$73+$I$49*$B89+$I$50*V$73*$B89+$I$51*V$73^2+$I$52*$B89^2</f>
        <v>46.8168778409091</v>
      </c>
      <c r="W89" s="15" t="n">
        <f aca="false">$I$47+$I$48*W$73+$I$49*$B89+$I$50*W$73*$B89+$I$51*W$73^2+$I$52*$B89^2</f>
        <v>46.5375710227273</v>
      </c>
    </row>
    <row r="90" customFormat="false" ht="15" hidden="false" customHeight="false" outlineLevel="0" collapsed="false">
      <c r="B90" s="39" t="n">
        <v>-0.6</v>
      </c>
      <c r="C90" s="15" t="n">
        <f aca="false">$I$47+$I$48*C$73+$I$49*$B90+$I$50*C$73*$B90+$I$51*C$73^2+$I$52*$B90^2</f>
        <v>42.3744460227273</v>
      </c>
      <c r="D90" s="15" t="n">
        <f aca="false">$I$47+$I$48*D$73+$I$49*$B90+$I$50*D$73*$B90+$I$51*D$73^2+$I$52*$B90^2</f>
        <v>43.0242528409091</v>
      </c>
      <c r="E90" s="15" t="n">
        <f aca="false">$I$47+$I$48*E$73+$I$49*$B90+$I$50*E$73*$B90+$I$51*E$73^2+$I$52*$B90^2</f>
        <v>43.6245142045455</v>
      </c>
      <c r="F90" s="15" t="n">
        <f aca="false">$I$47+$I$48*F$73+$I$49*$B90+$I$50*F$73*$B90+$I$51*F$73^2+$I$52*$B90^2</f>
        <v>44.1752301136364</v>
      </c>
      <c r="G90" s="15" t="n">
        <f aca="false">$I$47+$I$48*G$73+$I$49*$B90+$I$50*G$73*$B90+$I$51*G$73^2+$I$52*$B90^2</f>
        <v>44.6764005681818</v>
      </c>
      <c r="H90" s="15" t="n">
        <f aca="false">$I$47+$I$48*H$73+$I$49*$B90+$I$50*H$73*$B90+$I$51*H$73^2+$I$52*$B90^2</f>
        <v>45.1280255681818</v>
      </c>
      <c r="I90" s="15" t="n">
        <f aca="false">$I$47+$I$48*I$73+$I$49*$B90+$I$50*I$73*$B90+$I$51*I$73^2+$I$52*$B90^2</f>
        <v>45.5301051136364</v>
      </c>
      <c r="J90" s="15" t="n">
        <f aca="false">$I$47+$I$48*J$73+$I$49*$B90+$I$50*J$73*$B90+$I$51*J$73^2+$I$52*$B90^2</f>
        <v>45.8826392045455</v>
      </c>
      <c r="K90" s="15" t="n">
        <f aca="false">$I$47+$I$48*K$73+$I$49*$B90+$I$50*K$73*$B90+$I$51*K$73^2+$I$52*$B90^2</f>
        <v>46.1856278409091</v>
      </c>
      <c r="L90" s="15" t="n">
        <f aca="false">$I$47+$I$48*L$73+$I$49*$B90+$I$50*L$73*$B90+$I$51*L$73^2+$I$52*$B90^2</f>
        <v>46.4390710227273</v>
      </c>
      <c r="M90" s="15" t="n">
        <f aca="false">$I$47+$I$48*M$73+$I$49*$B90+$I$50*M$73*$B90+$I$51*M$73^2+$I$52*$B90^2</f>
        <v>46.64296875</v>
      </c>
      <c r="N90" s="15" t="n">
        <f aca="false">$I$47+$I$48*N$73+$I$49*$B90+$I$50*N$73*$B90+$I$51*N$73^2+$I$52*$B90^2</f>
        <v>46.7973210227273</v>
      </c>
      <c r="O90" s="15" t="n">
        <f aca="false">$I$47+$I$48*O$73+$I$49*$B90+$I$50*O$73*$B90+$I$51*O$73^2+$I$52*$B90^2</f>
        <v>46.9021278409091</v>
      </c>
      <c r="P90" s="15" t="n">
        <f aca="false">$I$47+$I$48*P$73+$I$49*$B90+$I$50*P$73*$B90+$I$51*P$73^2+$I$52*$B90^2</f>
        <v>46.9573892045455</v>
      </c>
      <c r="Q90" s="15" t="n">
        <f aca="false">$I$47+$I$48*Q$73+$I$49*$B90+$I$50*Q$73*$B90+$I$51*Q$73^2+$I$52*$B90^2</f>
        <v>46.9631051136364</v>
      </c>
      <c r="R90" s="15" t="n">
        <f aca="false">$I$47+$I$48*R$73+$I$49*$B90+$I$50*R$73*$B90+$I$51*R$73^2+$I$52*$B90^2</f>
        <v>46.9192755681818</v>
      </c>
      <c r="S90" s="15" t="n">
        <f aca="false">$I$47+$I$48*S$73+$I$49*$B90+$I$50*S$73*$B90+$I$51*S$73^2+$I$52*$B90^2</f>
        <v>46.8259005681818</v>
      </c>
      <c r="T90" s="15" t="n">
        <f aca="false">$I$47+$I$48*T$73+$I$49*$B90+$I$50*T$73*$B90+$I$51*T$73^2+$I$52*$B90^2</f>
        <v>46.6829801136364</v>
      </c>
      <c r="U90" s="15" t="n">
        <f aca="false">$I$47+$I$48*U$73+$I$49*$B90+$I$50*U$73*$B90+$I$51*U$73^2+$I$52*$B90^2</f>
        <v>46.4905142045455</v>
      </c>
      <c r="V90" s="15" t="n">
        <f aca="false">$I$47+$I$48*V$73+$I$49*$B90+$I$50*V$73*$B90+$I$51*V$73^2+$I$52*$B90^2</f>
        <v>46.2485028409091</v>
      </c>
      <c r="W90" s="15" t="n">
        <f aca="false">$I$47+$I$48*W$73+$I$49*$B90+$I$50*W$73*$B90+$I$51*W$73^2+$I$52*$B90^2</f>
        <v>45.9569460227273</v>
      </c>
    </row>
    <row r="91" customFormat="false" ht="15" hidden="false" customHeight="false" outlineLevel="0" collapsed="false">
      <c r="B91" s="39" t="n">
        <v>-0.7</v>
      </c>
      <c r="C91" s="15" t="n">
        <f aca="false">$I$47+$I$48*C$73+$I$49*$B91+$I$50*C$73*$B91+$I$51*C$73^2+$I$52*$B91^2</f>
        <v>41.9982755681818</v>
      </c>
      <c r="D91" s="15" t="n">
        <f aca="false">$I$47+$I$48*D$73+$I$49*$B91+$I$50*D$73*$B91+$I$51*D$73^2+$I$52*$B91^2</f>
        <v>42.6358323863636</v>
      </c>
      <c r="E91" s="15" t="n">
        <f aca="false">$I$47+$I$48*E$73+$I$49*$B91+$I$50*E$73*$B91+$I$51*E$73^2+$I$52*$B91^2</f>
        <v>43.22384375</v>
      </c>
      <c r="F91" s="15" t="n">
        <f aca="false">$I$47+$I$48*F$73+$I$49*$B91+$I$50*F$73*$B91+$I$51*F$73^2+$I$52*$B91^2</f>
        <v>43.7623096590909</v>
      </c>
      <c r="G91" s="15" t="n">
        <f aca="false">$I$47+$I$48*G$73+$I$49*$B91+$I$50*G$73*$B91+$I$51*G$73^2+$I$52*$B91^2</f>
        <v>44.2512301136364</v>
      </c>
      <c r="H91" s="15" t="n">
        <f aca="false">$I$47+$I$48*H$73+$I$49*$B91+$I$50*H$73*$B91+$I$51*H$73^2+$I$52*$B91^2</f>
        <v>44.6906051136364</v>
      </c>
      <c r="I91" s="15" t="n">
        <f aca="false">$I$47+$I$48*I$73+$I$49*$B91+$I$50*I$73*$B91+$I$51*I$73^2+$I$52*$B91^2</f>
        <v>45.0804346590909</v>
      </c>
      <c r="J91" s="15" t="n">
        <f aca="false">$I$47+$I$48*J$73+$I$49*$B91+$I$50*J$73*$B91+$I$51*J$73^2+$I$52*$B91^2</f>
        <v>45.42071875</v>
      </c>
      <c r="K91" s="15" t="n">
        <f aca="false">$I$47+$I$48*K$73+$I$49*$B91+$I$50*K$73*$B91+$I$51*K$73^2+$I$52*$B91^2</f>
        <v>45.7114573863637</v>
      </c>
      <c r="L91" s="15" t="n">
        <f aca="false">$I$47+$I$48*L$73+$I$49*$B91+$I$50*L$73*$B91+$I$51*L$73^2+$I$52*$B91^2</f>
        <v>45.9526505681818</v>
      </c>
      <c r="M91" s="15" t="n">
        <f aca="false">$I$47+$I$48*M$73+$I$49*$B91+$I$50*M$73*$B91+$I$51*M$73^2+$I$52*$B91^2</f>
        <v>46.1442982954546</v>
      </c>
      <c r="N91" s="15" t="n">
        <f aca="false">$I$47+$I$48*N$73+$I$49*$B91+$I$50*N$73*$B91+$I$51*N$73^2+$I$52*$B91^2</f>
        <v>46.2864005681819</v>
      </c>
      <c r="O91" s="15" t="n">
        <f aca="false">$I$47+$I$48*O$73+$I$49*$B91+$I$50*O$73*$B91+$I$51*O$73^2+$I$52*$B91^2</f>
        <v>46.3789573863637</v>
      </c>
      <c r="P91" s="15" t="n">
        <f aca="false">$I$47+$I$48*P$73+$I$49*$B91+$I$50*P$73*$B91+$I$51*P$73^2+$I$52*$B91^2</f>
        <v>46.42196875</v>
      </c>
      <c r="Q91" s="15" t="n">
        <f aca="false">$I$47+$I$48*Q$73+$I$49*$B91+$I$50*Q$73*$B91+$I$51*Q$73^2+$I$52*$B91^2</f>
        <v>46.4154346590909</v>
      </c>
      <c r="R91" s="15" t="n">
        <f aca="false">$I$47+$I$48*R$73+$I$49*$B91+$I$50*R$73*$B91+$I$51*R$73^2+$I$52*$B91^2</f>
        <v>46.3593551136364</v>
      </c>
      <c r="S91" s="15" t="n">
        <f aca="false">$I$47+$I$48*S$73+$I$49*$B91+$I$50*S$73*$B91+$I$51*S$73^2+$I$52*$B91^2</f>
        <v>46.2537301136364</v>
      </c>
      <c r="T91" s="15" t="n">
        <f aca="false">$I$47+$I$48*T$73+$I$49*$B91+$I$50*T$73*$B91+$I$51*T$73^2+$I$52*$B91^2</f>
        <v>46.0985596590909</v>
      </c>
      <c r="U91" s="15" t="n">
        <f aca="false">$I$47+$I$48*U$73+$I$49*$B91+$I$50*U$73*$B91+$I$51*U$73^2+$I$52*$B91^2</f>
        <v>45.89384375</v>
      </c>
      <c r="V91" s="15" t="n">
        <f aca="false">$I$47+$I$48*V$73+$I$49*$B91+$I$50*V$73*$B91+$I$51*V$73^2+$I$52*$B91^2</f>
        <v>45.6395823863637</v>
      </c>
      <c r="W91" s="15" t="n">
        <f aca="false">$I$47+$I$48*W$73+$I$49*$B91+$I$50*W$73*$B91+$I$51*W$73^2+$I$52*$B91^2</f>
        <v>45.3357755681818</v>
      </c>
    </row>
    <row r="92" customFormat="false" ht="15" hidden="false" customHeight="false" outlineLevel="0" collapsed="false">
      <c r="B92" s="39" t="n">
        <v>-0.8</v>
      </c>
      <c r="C92" s="15" t="n">
        <f aca="false">$I$47+$I$48*C$73+$I$49*$B92+$I$50*C$73*$B92+$I$51*C$73^2+$I$52*$B92^2</f>
        <v>41.5815596590909</v>
      </c>
      <c r="D92" s="15" t="n">
        <f aca="false">$I$47+$I$48*D$73+$I$49*$B92+$I$50*D$73*$B92+$I$51*D$73^2+$I$52*$B92^2</f>
        <v>42.2068664772727</v>
      </c>
      <c r="E92" s="15" t="n">
        <f aca="false">$I$47+$I$48*E$73+$I$49*$B92+$I$50*E$73*$B92+$I$51*E$73^2+$I$52*$B92^2</f>
        <v>42.7826278409091</v>
      </c>
      <c r="F92" s="15" t="n">
        <f aca="false">$I$47+$I$48*F$73+$I$49*$B92+$I$50*F$73*$B92+$I$51*F$73^2+$I$52*$B92^2</f>
        <v>43.30884375</v>
      </c>
      <c r="G92" s="15" t="n">
        <f aca="false">$I$47+$I$48*G$73+$I$49*$B92+$I$50*G$73*$B92+$I$51*G$73^2+$I$52*$B92^2</f>
        <v>43.7855142045455</v>
      </c>
      <c r="H92" s="15" t="n">
        <f aca="false">$I$47+$I$48*H$73+$I$49*$B92+$I$50*H$73*$B92+$I$51*H$73^2+$I$52*$B92^2</f>
        <v>44.2126392045455</v>
      </c>
      <c r="I92" s="15" t="n">
        <f aca="false">$I$47+$I$48*I$73+$I$49*$B92+$I$50*I$73*$B92+$I$51*I$73^2+$I$52*$B92^2</f>
        <v>44.59021875</v>
      </c>
      <c r="J92" s="15" t="n">
        <f aca="false">$I$47+$I$48*J$73+$I$49*$B92+$I$50*J$73*$B92+$I$51*J$73^2+$I$52*$B92^2</f>
        <v>44.9182528409091</v>
      </c>
      <c r="K92" s="15" t="n">
        <f aca="false">$I$47+$I$48*K$73+$I$49*$B92+$I$50*K$73*$B92+$I$51*K$73^2+$I$52*$B92^2</f>
        <v>45.1967414772727</v>
      </c>
      <c r="L92" s="15" t="n">
        <f aca="false">$I$47+$I$48*L$73+$I$49*$B92+$I$50*L$73*$B92+$I$51*L$73^2+$I$52*$B92^2</f>
        <v>45.4256846590909</v>
      </c>
      <c r="M92" s="15" t="n">
        <f aca="false">$I$47+$I$48*M$73+$I$49*$B92+$I$50*M$73*$B92+$I$51*M$73^2+$I$52*$B92^2</f>
        <v>45.6050823863637</v>
      </c>
      <c r="N92" s="15" t="n">
        <f aca="false">$I$47+$I$48*N$73+$I$49*$B92+$I$50*N$73*$B92+$I$51*N$73^2+$I$52*$B92^2</f>
        <v>45.7349346590909</v>
      </c>
      <c r="O92" s="15" t="n">
        <f aca="false">$I$47+$I$48*O$73+$I$49*$B92+$I$50*O$73*$B92+$I$51*O$73^2+$I$52*$B92^2</f>
        <v>45.8152414772728</v>
      </c>
      <c r="P92" s="15" t="n">
        <f aca="false">$I$47+$I$48*P$73+$I$49*$B92+$I$50*P$73*$B92+$I$51*P$73^2+$I$52*$B92^2</f>
        <v>45.8460028409091</v>
      </c>
      <c r="Q92" s="15" t="n">
        <f aca="false">$I$47+$I$48*Q$73+$I$49*$B92+$I$50*Q$73*$B92+$I$51*Q$73^2+$I$52*$B92^2</f>
        <v>45.82721875</v>
      </c>
      <c r="R92" s="15" t="n">
        <f aca="false">$I$47+$I$48*R$73+$I$49*$B92+$I$50*R$73*$B92+$I$51*R$73^2+$I$52*$B92^2</f>
        <v>45.7588892045455</v>
      </c>
      <c r="S92" s="15" t="n">
        <f aca="false">$I$47+$I$48*S$73+$I$49*$B92+$I$50*S$73*$B92+$I$51*S$73^2+$I$52*$B92^2</f>
        <v>45.6410142045455</v>
      </c>
      <c r="T92" s="15" t="n">
        <f aca="false">$I$47+$I$48*T$73+$I$49*$B92+$I$50*T$73*$B92+$I$51*T$73^2+$I$52*$B92^2</f>
        <v>45.47359375</v>
      </c>
      <c r="U92" s="15" t="n">
        <f aca="false">$I$47+$I$48*U$73+$I$49*$B92+$I$50*U$73*$B92+$I$51*U$73^2+$I$52*$B92^2</f>
        <v>45.2566278409091</v>
      </c>
      <c r="V92" s="15" t="n">
        <f aca="false">$I$47+$I$48*V$73+$I$49*$B92+$I$50*V$73*$B92+$I$51*V$73^2+$I$52*$B92^2</f>
        <v>44.9901164772727</v>
      </c>
      <c r="W92" s="15" t="n">
        <f aca="false">$I$47+$I$48*W$73+$I$49*$B92+$I$50*W$73*$B92+$I$51*W$73^2+$I$52*$B92^2</f>
        <v>44.6740596590909</v>
      </c>
    </row>
    <row r="93" customFormat="false" ht="15" hidden="false" customHeight="false" outlineLevel="0" collapsed="false">
      <c r="B93" s="39" t="n">
        <v>-0.9</v>
      </c>
      <c r="C93" s="15" t="n">
        <f aca="false">$I$47+$I$48*C$73+$I$49*$B93+$I$50*C$73*$B93+$I$51*C$73^2+$I$52*$B93^2</f>
        <v>41.1242982954545</v>
      </c>
      <c r="D93" s="15" t="n">
        <f aca="false">$I$47+$I$48*D$73+$I$49*$B93+$I$50*D$73*$B93+$I$51*D$73^2+$I$52*$B93^2</f>
        <v>41.7373551136364</v>
      </c>
      <c r="E93" s="15" t="n">
        <f aca="false">$I$47+$I$48*E$73+$I$49*$B93+$I$50*E$73*$B93+$I$51*E$73^2+$I$52*$B93^2</f>
        <v>42.3008664772727</v>
      </c>
      <c r="F93" s="15" t="n">
        <f aca="false">$I$47+$I$48*F$73+$I$49*$B93+$I$50*F$73*$B93+$I$51*F$73^2+$I$52*$B93^2</f>
        <v>42.8148323863637</v>
      </c>
      <c r="G93" s="15" t="n">
        <f aca="false">$I$47+$I$48*G$73+$I$49*$B93+$I$50*G$73*$B93+$I$51*G$73^2+$I$52*$B93^2</f>
        <v>43.2792528409091</v>
      </c>
      <c r="H93" s="15" t="n">
        <f aca="false">$I$47+$I$48*H$73+$I$49*$B93+$I$50*H$73*$B93+$I$51*H$73^2+$I$52*$B93^2</f>
        <v>43.6941278409091</v>
      </c>
      <c r="I93" s="15" t="n">
        <f aca="false">$I$47+$I$48*I$73+$I$49*$B93+$I$50*I$73*$B93+$I$51*I$73^2+$I$52*$B93^2</f>
        <v>44.0594573863637</v>
      </c>
      <c r="J93" s="15" t="n">
        <f aca="false">$I$47+$I$48*J$73+$I$49*$B93+$I$50*J$73*$B93+$I$51*J$73^2+$I$52*$B93^2</f>
        <v>44.3752414772728</v>
      </c>
      <c r="K93" s="15" t="n">
        <f aca="false">$I$47+$I$48*K$73+$I$49*$B93+$I$50*K$73*$B93+$I$51*K$73^2+$I$52*$B93^2</f>
        <v>44.6414801136364</v>
      </c>
      <c r="L93" s="15" t="n">
        <f aca="false">$I$47+$I$48*L$73+$I$49*$B93+$I$50*L$73*$B93+$I$51*L$73^2+$I$52*$B93^2</f>
        <v>44.8581732954546</v>
      </c>
      <c r="M93" s="15" t="n">
        <f aca="false">$I$47+$I$48*M$73+$I$49*$B93+$I$50*M$73*$B93+$I$51*M$73^2+$I$52*$B93^2</f>
        <v>45.0253210227273</v>
      </c>
      <c r="N93" s="15" t="n">
        <f aca="false">$I$47+$I$48*N$73+$I$49*$B93+$I$50*N$73*$B93+$I$51*N$73^2+$I$52*$B93^2</f>
        <v>45.1429232954546</v>
      </c>
      <c r="O93" s="15" t="n">
        <f aca="false">$I$47+$I$48*O$73+$I$49*$B93+$I$50*O$73*$B93+$I$51*O$73^2+$I$52*$B93^2</f>
        <v>45.2109801136364</v>
      </c>
      <c r="P93" s="15" t="n">
        <f aca="false">$I$47+$I$48*P$73+$I$49*$B93+$I$50*P$73*$B93+$I$51*P$73^2+$I$52*$B93^2</f>
        <v>45.2294914772727</v>
      </c>
      <c r="Q93" s="15" t="n">
        <f aca="false">$I$47+$I$48*Q$73+$I$49*$B93+$I$50*Q$73*$B93+$I$51*Q$73^2+$I$52*$B93^2</f>
        <v>45.1984573863637</v>
      </c>
      <c r="R93" s="15" t="n">
        <f aca="false">$I$47+$I$48*R$73+$I$49*$B93+$I$50*R$73*$B93+$I$51*R$73^2+$I$52*$B93^2</f>
        <v>45.1178778409091</v>
      </c>
      <c r="S93" s="15" t="n">
        <f aca="false">$I$47+$I$48*S$73+$I$49*$B93+$I$50*S$73*$B93+$I$51*S$73^2+$I$52*$B93^2</f>
        <v>44.9877528409091</v>
      </c>
      <c r="T93" s="15" t="n">
        <f aca="false">$I$47+$I$48*T$73+$I$49*$B93+$I$50*T$73*$B93+$I$51*T$73^2+$I$52*$B93^2</f>
        <v>44.8080823863637</v>
      </c>
      <c r="U93" s="15" t="n">
        <f aca="false">$I$47+$I$48*U$73+$I$49*$B93+$I$50*U$73*$B93+$I$51*U$73^2+$I$52*$B93^2</f>
        <v>44.5788664772727</v>
      </c>
      <c r="V93" s="15" t="n">
        <f aca="false">$I$47+$I$48*V$73+$I$49*$B93+$I$50*V$73*$B93+$I$51*V$73^2+$I$52*$B93^2</f>
        <v>44.3001051136364</v>
      </c>
      <c r="W93" s="15" t="n">
        <f aca="false">$I$47+$I$48*W$73+$I$49*$B93+$I$50*W$73*$B93+$I$51*W$73^2+$I$52*$B93^2</f>
        <v>43.9717982954546</v>
      </c>
    </row>
    <row r="94" customFormat="false" ht="15" hidden="false" customHeight="false" outlineLevel="0" collapsed="false">
      <c r="B94" s="39" t="n">
        <v>-1</v>
      </c>
      <c r="C94" s="15" t="n">
        <f aca="false">$I$47+$I$48*C$73+$I$49*$B94+$I$50*C$73*$B94+$I$51*C$73^2+$I$52*$B94^2</f>
        <v>40.6264914772727</v>
      </c>
      <c r="D94" s="15" t="n">
        <f aca="false">$I$47+$I$48*D$73+$I$49*$B94+$I$50*D$73*$B94+$I$51*D$73^2+$I$52*$B94^2</f>
        <v>41.2272982954545</v>
      </c>
      <c r="E94" s="15" t="n">
        <f aca="false">$I$47+$I$48*E$73+$I$49*$B94+$I$50*E$73*$B94+$I$51*E$73^2+$I$52*$B94^2</f>
        <v>41.7785596590909</v>
      </c>
      <c r="F94" s="15" t="n">
        <f aca="false">$I$47+$I$48*F$73+$I$49*$B94+$I$50*F$73*$B94+$I$51*F$73^2+$I$52*$B94^2</f>
        <v>42.2802755681818</v>
      </c>
      <c r="G94" s="15" t="n">
        <f aca="false">$I$47+$I$48*G$73+$I$49*$B94+$I$50*G$73*$B94+$I$51*G$73^2+$I$52*$B94^2</f>
        <v>42.7324460227273</v>
      </c>
      <c r="H94" s="15" t="n">
        <f aca="false">$I$47+$I$48*H$73+$I$49*$B94+$I$50*H$73*$B94+$I$51*H$73^2+$I$52*$B94^2</f>
        <v>43.1350710227273</v>
      </c>
      <c r="I94" s="15" t="n">
        <f aca="false">$I$47+$I$48*I$73+$I$49*$B94+$I$50*I$73*$B94+$I$51*I$73^2+$I$52*$B94^2</f>
        <v>43.4881505681818</v>
      </c>
      <c r="J94" s="15" t="n">
        <f aca="false">$I$47+$I$48*J$73+$I$49*$B94+$I$50*J$73*$B94+$I$51*J$73^2+$I$52*$B94^2</f>
        <v>43.7916846590909</v>
      </c>
      <c r="K94" s="15" t="n">
        <f aca="false">$I$47+$I$48*K$73+$I$49*$B94+$I$50*K$73*$B94+$I$51*K$73^2+$I$52*$B94^2</f>
        <v>44.0456732954546</v>
      </c>
      <c r="L94" s="15" t="n">
        <f aca="false">$I$47+$I$48*L$73+$I$49*$B94+$I$50*L$73*$B94+$I$51*L$73^2+$I$52*$B94^2</f>
        <v>44.2501164772728</v>
      </c>
      <c r="M94" s="15" t="n">
        <f aca="false">$I$47+$I$48*M$73+$I$49*$B94+$I$50*M$73*$B94+$I$51*M$73^2+$I$52*$B94^2</f>
        <v>44.4050142045455</v>
      </c>
      <c r="N94" s="15" t="n">
        <f aca="false">$I$47+$I$48*N$73+$I$49*$B94+$I$50*N$73*$B94+$I$51*N$73^2+$I$52*$B94^2</f>
        <v>44.5103664772728</v>
      </c>
      <c r="O94" s="15" t="n">
        <f aca="false">$I$47+$I$48*O$73+$I$49*$B94+$I$50*O$73*$B94+$I$51*O$73^2+$I$52*$B94^2</f>
        <v>44.5661732954546</v>
      </c>
      <c r="P94" s="15" t="n">
        <f aca="false">$I$47+$I$48*P$73+$I$49*$B94+$I$50*P$73*$B94+$I$51*P$73^2+$I$52*$B94^2</f>
        <v>44.5724346590909</v>
      </c>
      <c r="Q94" s="15" t="n">
        <f aca="false">$I$47+$I$48*Q$73+$I$49*$B94+$I$50*Q$73*$B94+$I$51*Q$73^2+$I$52*$B94^2</f>
        <v>44.5291505681818</v>
      </c>
      <c r="R94" s="15" t="n">
        <f aca="false">$I$47+$I$48*R$73+$I$49*$B94+$I$50*R$73*$B94+$I$51*R$73^2+$I$52*$B94^2</f>
        <v>44.4363210227273</v>
      </c>
      <c r="S94" s="15" t="n">
        <f aca="false">$I$47+$I$48*S$73+$I$49*$B94+$I$50*S$73*$B94+$I$51*S$73^2+$I$52*$B94^2</f>
        <v>44.2939460227273</v>
      </c>
      <c r="T94" s="15" t="n">
        <f aca="false">$I$47+$I$48*T$73+$I$49*$B94+$I$50*T$73*$B94+$I$51*T$73^2+$I$52*$B94^2</f>
        <v>44.1020255681818</v>
      </c>
      <c r="U94" s="15" t="n">
        <f aca="false">$I$47+$I$48*U$73+$I$49*$B94+$I$50*U$73*$B94+$I$51*U$73^2+$I$52*$B94^2</f>
        <v>43.8605596590909</v>
      </c>
      <c r="V94" s="15" t="n">
        <f aca="false">$I$47+$I$48*V$73+$I$49*$B94+$I$50*V$73*$B94+$I$51*V$73^2+$I$52*$B94^2</f>
        <v>43.5695482954546</v>
      </c>
      <c r="W94" s="15" t="n">
        <f aca="false">$I$47+$I$48*W$73+$I$49*$B94+$I$50*W$73*$B94+$I$51*W$73^2+$I$52*$B94^2</f>
        <v>43.2289914772727</v>
      </c>
    </row>
    <row r="97" customFormat="false" ht="15" hidden="false" customHeight="false" outlineLevel="0" collapsed="false">
      <c r="A97" s="38" t="s">
        <v>359</v>
      </c>
    </row>
    <row r="98" customFormat="false" ht="15" hidden="false" customHeight="false" outlineLevel="0" collapsed="false">
      <c r="C98" s="39" t="n">
        <v>-1</v>
      </c>
      <c r="D98" s="39" t="n">
        <v>-0.9</v>
      </c>
      <c r="E98" s="39" t="n">
        <v>-0.8</v>
      </c>
      <c r="F98" s="39" t="n">
        <v>-0.7</v>
      </c>
      <c r="G98" s="39" t="n">
        <v>-0.6</v>
      </c>
      <c r="H98" s="39" t="n">
        <v>-0.5</v>
      </c>
      <c r="I98" s="39" t="n">
        <v>-0.4</v>
      </c>
      <c r="J98" s="39" t="n">
        <v>-0.3</v>
      </c>
      <c r="K98" s="39" t="n">
        <v>-0.2</v>
      </c>
      <c r="L98" s="39" t="n">
        <v>-0.1</v>
      </c>
      <c r="M98" s="39" t="n">
        <v>0</v>
      </c>
      <c r="N98" s="39" t="n">
        <v>0.1</v>
      </c>
      <c r="O98" s="39" t="n">
        <v>0.2</v>
      </c>
      <c r="P98" s="39" t="n">
        <v>0.3</v>
      </c>
      <c r="Q98" s="39" t="n">
        <v>0.4</v>
      </c>
      <c r="R98" s="39" t="n">
        <v>0.5</v>
      </c>
      <c r="S98" s="39" t="n">
        <v>0.6</v>
      </c>
      <c r="T98" s="39" t="n">
        <v>0.7</v>
      </c>
      <c r="U98" s="39" t="n">
        <v>0.8</v>
      </c>
      <c r="V98" s="39" t="n">
        <v>0.9</v>
      </c>
      <c r="W98" s="39" t="n">
        <v>1</v>
      </c>
    </row>
    <row r="99" customFormat="false" ht="15" hidden="false" customHeight="false" outlineLevel="0" collapsed="false">
      <c r="B99" s="39" t="n">
        <v>1</v>
      </c>
      <c r="C99" s="30" t="n">
        <f aca="false">$D$56+$D$57*$B99^1+$D$58*$B99^2+$D$59*$B99^3+$D$60*$B99^4+$D$61*C$98^1+$D$62*C$98^1*$B99^1+$D$63*C$98^1*$B99^2+$D$64*C$98^1*$B99^3+$D$65*C$98^2+$D$66*C$98^2*$B99^1+$D$67*C$98^2*$B99^2+$D$68*C$98^3+$D$69*C$98^3*$B99^1+$D$70*C$98^4</f>
        <v>0.659534801136364</v>
      </c>
      <c r="D99" s="30" t="n">
        <f aca="false">$D$56+$D$57*$B99^1+$D$58*$B99^2+$D$59*$B99^3+$D$60*$B99^4+$D$61*D$98^1+$D$62*D$98^1*$B99^1+$D$63*D$98^1*$B99^2+$D$64*D$98^1*$B99^3+$D$65*D$98^2+$D$66*D$98^2*$B99^1+$D$67*D$98^2*$B99^2+$D$68*D$98^3+$D$69*D$98^3*$B99^1+$D$70*D$98^4</f>
        <v>0.571785298295455</v>
      </c>
      <c r="E99" s="30" t="n">
        <f aca="false">$D$56+$D$57*$B99^1+$D$58*$B99^2+$D$59*$B99^3+$D$60*$B99^4+$D$61*E$98^1+$D$62*E$98^1*$B99^1+$D$63*E$98^1*$B99^2+$D$64*E$98^1*$B99^3+$D$65*E$98^2+$D$66*E$98^2*$B99^1+$D$67*E$98^2*$B99^2+$D$68*E$98^3+$D$69*E$98^3*$B99^1+$D$70*E$98^4</f>
        <v>0.515527130681818</v>
      </c>
      <c r="F99" s="30" t="n">
        <f aca="false">$D$56+$D$57*$B99^1+$D$58*$B99^2+$D$59*$B99^3+$D$60*$B99^4+$D$61*F$98^1+$D$62*F$98^1*$B99^1+$D$63*F$98^1*$B99^2+$D$64*F$98^1*$B99^3+$D$65*F$98^2+$D$66*F$98^2*$B99^1+$D$67*F$98^2*$B99^2+$D$68*F$98^3+$D$69*F$98^3*$B99^1+$D$70*F$98^4</f>
        <v>0.483342116477273</v>
      </c>
      <c r="G99" s="30" t="n">
        <f aca="false">$D$56+$D$57*$B99^1+$D$58*$B99^2+$D$59*$B99^3+$D$60*$B99^4+$D$61*G$98^1+$D$62*G$98^1*$B99^1+$D$63*G$98^1*$B99^2+$D$64*G$98^1*$B99^3+$D$65*G$98^2+$D$66*G$98^2*$B99^1+$D$67*G$98^2*$B99^2+$D$68*G$98^3+$D$69*G$98^3*$B99^1+$D$70*G$98^4</f>
        <v>0.468684801136364</v>
      </c>
      <c r="H99" s="30" t="n">
        <f aca="false">$D$56+$D$57*$B99^1+$D$58*$B99^2+$D$59*$B99^3+$D$60*$B99^4+$D$61*H$98^1+$D$62*H$98^1*$B99^1+$D$63*H$98^1*$B99^2+$D$64*H$98^1*$B99^3+$D$65*H$98^2+$D$66*H$98^2*$B99^1+$D$67*H$98^2*$B99^2+$D$68*H$98^3+$D$69*H$98^3*$B99^1+$D$70*H$98^4</f>
        <v>0.465882457386364</v>
      </c>
      <c r="I99" s="30" t="n">
        <f aca="false">$D$56+$D$57*$B99^1+$D$58*$B99^2+$D$59*$B99^3+$D$60*$B99^4+$D$61*I$98^1+$D$62*I$98^1*$B99^1+$D$63*I$98^1*$B99^2+$D$64*I$98^1*$B99^3+$D$65*I$98^2+$D$66*I$98^2*$B99^1+$D$67*I$98^2*$B99^2+$D$68*I$98^3+$D$69*I$98^3*$B99^1+$D$70*I$98^4</f>
        <v>0.470135085227273</v>
      </c>
      <c r="J99" s="30" t="n">
        <f aca="false">$D$56+$D$57*$B99^1+$D$58*$B99^2+$D$59*$B99^3+$D$60*$B99^4+$D$61*J$98^1+$D$62*J$98^1*$B99^1+$D$63*J$98^1*$B99^2+$D$64*J$98^1*$B99^3+$D$65*J$98^2+$D$66*J$98^2*$B99^1+$D$67*J$98^2*$B99^2+$D$68*J$98^3+$D$69*J$98^3*$B99^1+$D$70*J$98^4</f>
        <v>0.477515411931818</v>
      </c>
      <c r="K99" s="30" t="n">
        <f aca="false">$D$56+$D$57*$B99^1+$D$58*$B99^2+$D$59*$B99^3+$D$60*$B99^4+$D$61*K$98^1+$D$62*K$98^1*$B99^1+$D$63*K$98^1*$B99^2+$D$64*K$98^1*$B99^3+$D$65*K$98^2+$D$66*K$98^2*$B99^1+$D$67*K$98^2*$B99^2+$D$68*K$98^3+$D$69*K$98^3*$B99^1+$D$70*K$98^4</f>
        <v>0.484968892045455</v>
      </c>
      <c r="L99" s="30" t="n">
        <f aca="false">$D$56+$D$57*$B99^1+$D$58*$B99^2+$D$59*$B99^3+$D$60*$B99^4+$D$61*L$98^1+$D$62*L$98^1*$B99^1+$D$63*L$98^1*$B99^2+$D$64*L$98^1*$B99^3+$D$65*L$98^2+$D$66*L$98^2*$B99^1+$D$67*L$98^2*$B99^2+$D$68*L$98^3+$D$69*L$98^3*$B99^1+$D$70*L$98^4</f>
        <v>0.490313707386364</v>
      </c>
      <c r="M99" s="30" t="n">
        <f aca="false">$D$56+$D$57*$B99^1+$D$58*$B99^2+$D$59*$B99^3+$D$60*$B99^4+$D$61*M$98^1+$D$62*M$98^1*$B99^1+$D$63*M$98^1*$B99^2+$D$64*M$98^1*$B99^3+$D$65*M$98^2+$D$66*M$98^2*$B99^1+$D$67*M$98^2*$B99^2+$D$68*M$98^3+$D$69*M$98^3*$B99^1+$D$70*M$98^4</f>
        <v>0.492240767045455</v>
      </c>
      <c r="N99" s="30" t="n">
        <f aca="false">$D$56+$D$57*$B99^1+$D$58*$B99^2+$D$59*$B99^3+$D$60*$B99^4+$D$61*N$98^1+$D$62*N$98^1*$B99^1+$D$63*N$98^1*$B99^2+$D$64*N$98^1*$B99^3+$D$65*N$98^2+$D$66*N$98^2*$B99^1+$D$67*N$98^2*$B99^2+$D$68*N$98^3+$D$69*N$98^3*$B99^1+$D$70*N$98^4</f>
        <v>0.490313707386364</v>
      </c>
      <c r="O99" s="30" t="n">
        <f aca="false">$D$56+$D$57*$B99^1+$D$58*$B99^2+$D$59*$B99^3+$D$60*$B99^4+$D$61*O$98^1+$D$62*O$98^1*$B99^1+$D$63*O$98^1*$B99^2+$D$64*O$98^1*$B99^3+$D$65*O$98^2+$D$66*O$98^2*$B99^1+$D$67*O$98^2*$B99^2+$D$68*O$98^3+$D$69*O$98^3*$B99^1+$D$70*O$98^4</f>
        <v>0.484968892045455</v>
      </c>
      <c r="P99" s="30" t="n">
        <f aca="false">$D$56+$D$57*$B99^1+$D$58*$B99^2+$D$59*$B99^3+$D$60*$B99^4+$D$61*P$98^1+$D$62*P$98^1*$B99^1+$D$63*P$98^1*$B99^2+$D$64*P$98^1*$B99^3+$D$65*P$98^2+$D$66*P$98^2*$B99^1+$D$67*P$98^2*$B99^2+$D$68*P$98^3+$D$69*P$98^3*$B99^1+$D$70*P$98^4</f>
        <v>0.477515411931818</v>
      </c>
      <c r="Q99" s="30" t="n">
        <f aca="false">$D$56+$D$57*$B99^1+$D$58*$B99^2+$D$59*$B99^3+$D$60*$B99^4+$D$61*Q$98^1+$D$62*Q$98^1*$B99^1+$D$63*Q$98^1*$B99^2+$D$64*Q$98^1*$B99^3+$D$65*Q$98^2+$D$66*Q$98^2*$B99^1+$D$67*Q$98^2*$B99^2+$D$68*Q$98^3+$D$69*Q$98^3*$B99^1+$D$70*Q$98^4</f>
        <v>0.470135085227273</v>
      </c>
      <c r="R99" s="30" t="n">
        <f aca="false">$D$56+$D$57*$B99^1+$D$58*$B99^2+$D$59*$B99^3+$D$60*$B99^4+$D$61*R$98^1+$D$62*R$98^1*$B99^1+$D$63*R$98^1*$B99^2+$D$64*R$98^1*$B99^3+$D$65*R$98^2+$D$66*R$98^2*$B99^1+$D$67*R$98^2*$B99^2+$D$68*R$98^3+$D$69*R$98^3*$B99^1+$D$70*R$98^4</f>
        <v>0.465882457386364</v>
      </c>
      <c r="S99" s="30" t="n">
        <f aca="false">$D$56+$D$57*$B99^1+$D$58*$B99^2+$D$59*$B99^3+$D$60*$B99^4+$D$61*S$98^1+$D$62*S$98^1*$B99^1+$D$63*S$98^1*$B99^2+$D$64*S$98^1*$B99^3+$D$65*S$98^2+$D$66*S$98^2*$B99^1+$D$67*S$98^2*$B99^2+$D$68*S$98^3+$D$69*S$98^3*$B99^1+$D$70*S$98^4</f>
        <v>0.468684801136364</v>
      </c>
      <c r="T99" s="30" t="n">
        <f aca="false">$D$56+$D$57*$B99^1+$D$58*$B99^2+$D$59*$B99^3+$D$60*$B99^4+$D$61*T$98^1+$D$62*T$98^1*$B99^1+$D$63*T$98^1*$B99^2+$D$64*T$98^1*$B99^3+$D$65*T$98^2+$D$66*T$98^2*$B99^1+$D$67*T$98^2*$B99^2+$D$68*T$98^3+$D$69*T$98^3*$B99^1+$D$70*T$98^4</f>
        <v>0.483342116477273</v>
      </c>
      <c r="U99" s="30" t="n">
        <f aca="false">$D$56+$D$57*$B99^1+$D$58*$B99^2+$D$59*$B99^3+$D$60*$B99^4+$D$61*U$98^1+$D$62*U$98^1*$B99^1+$D$63*U$98^1*$B99^2+$D$64*U$98^1*$B99^3+$D$65*U$98^2+$D$66*U$98^2*$B99^1+$D$67*U$98^2*$B99^2+$D$68*U$98^3+$D$69*U$98^3*$B99^1+$D$70*U$98^4</f>
        <v>0.515527130681818</v>
      </c>
      <c r="V99" s="30" t="n">
        <f aca="false">$D$56+$D$57*$B99^1+$D$58*$B99^2+$D$59*$B99^3+$D$60*$B99^4+$D$61*V$98^1+$D$62*V$98^1*$B99^1+$D$63*V$98^1*$B99^2+$D$64*V$98^1*$B99^3+$D$65*V$98^2+$D$66*V$98^2*$B99^1+$D$67*V$98^2*$B99^2+$D$68*V$98^3+$D$69*V$98^3*$B99^1+$D$70*V$98^4</f>
        <v>0.571785298295455</v>
      </c>
      <c r="W99" s="30" t="n">
        <f aca="false">$D$56+$D$57*$B99^1+$D$58*$B99^2+$D$59*$B99^3+$D$60*$B99^4+$D$61*W$98^1+$D$62*W$98^1*$B99^1+$D$63*W$98^1*$B99^2+$D$64*W$98^1*$B99^3+$D$65*W$98^2+$D$66*W$98^2*$B99^1+$D$67*W$98^2*$B99^2+$D$68*W$98^3+$D$69*W$98^3*$B99^1+$D$70*W$98^4</f>
        <v>0.659534801136364</v>
      </c>
    </row>
    <row r="100" customFormat="false" ht="15" hidden="false" customHeight="false" outlineLevel="0" collapsed="false">
      <c r="B100" s="39" t="n">
        <v>0.9</v>
      </c>
      <c r="C100" s="30" t="n">
        <f aca="false">$D$56+$D$57*$B100^1+$D$58*$B100^2+$D$59*$B100^3+$D$60*$B100^4+$D$61*C$98^1+$D$62*C$98^1*$B100^1+$D$63*C$98^1*$B100^2+$D$64*C$98^1*$B100^3+$D$65*C$98^2+$D$66*C$98^2*$B100^1+$D$67*C$98^2*$B100^2+$D$68*C$98^3+$D$69*C$98^3*$B100^1+$D$70*C$98^4</f>
        <v>0.571785298295455</v>
      </c>
      <c r="D100" s="30" t="n">
        <f aca="false">$D$56+$D$57*$B100^1+$D$58*$B100^2+$D$59*$B100^3+$D$60*$B100^4+$D$61*D$98^1+$D$62*D$98^1*$B100^1+$D$63*D$98^1*$B100^2+$D$64*D$98^1*$B100^3+$D$65*D$98^2+$D$66*D$98^2*$B100^1+$D$67*D$98^2*$B100^2+$D$68*D$98^3+$D$69*D$98^3*$B100^1+$D$70*D$98^4</f>
        <v>0.478702840909091</v>
      </c>
      <c r="E100" s="30" t="n">
        <f aca="false">$D$56+$D$57*$B100^1+$D$58*$B100^2+$D$59*$B100^3+$D$60*$B100^4+$D$61*E$98^1+$D$62*E$98^1*$B100^1+$D$63*E$98^1*$B100^2+$D$64*E$98^1*$B100^3+$D$65*E$98^2+$D$66*E$98^2*$B100^1+$D$67*E$98^2*$B100^2+$D$68*E$98^3+$D$69*E$98^3*$B100^1+$D$70*E$98^4</f>
        <v>0.417673082386364</v>
      </c>
      <c r="F100" s="30" t="n">
        <f aca="false">$D$56+$D$57*$B100^1+$D$58*$B100^2+$D$59*$B100^3+$D$60*$B100^4+$D$61*F$98^1+$D$62*F$98^1*$B100^1+$D$63*F$98^1*$B100^2+$D$64*F$98^1*$B100^3+$D$65*F$98^2+$D$66*F$98^2*$B100^1+$D$67*F$98^2*$B100^2+$D$68*F$98^3+$D$69*F$98^3*$B100^1+$D$70*F$98^4</f>
        <v>0.381277840909091</v>
      </c>
      <c r="G100" s="30" t="n">
        <f aca="false">$D$56+$D$57*$B100^1+$D$58*$B100^2+$D$59*$B100^3+$D$60*$B100^4+$D$61*G$98^1+$D$62*G$98^1*$B100^1+$D$63*G$98^1*$B100^2+$D$64*G$98^1*$B100^3+$D$65*G$98^2+$D$66*G$98^2*$B100^1+$D$67*G$98^2*$B100^2+$D$68*G$98^3+$D$69*G$98^3*$B100^1+$D$70*G$98^4</f>
        <v>0.362971661931818</v>
      </c>
      <c r="H100" s="30" t="n">
        <f aca="false">$D$56+$D$57*$B100^1+$D$58*$B100^2+$D$59*$B100^3+$D$60*$B100^4+$D$61*H$98^1+$D$62*H$98^1*$B100^1+$D$63*H$98^1*$B100^2+$D$64*H$98^1*$B100^3+$D$65*H$98^2+$D$66*H$98^2*$B100^1+$D$67*H$98^2*$B100^2+$D$68*H$98^3+$D$69*H$98^3*$B100^1+$D$70*H$98^4</f>
        <v>0.357081818181818</v>
      </c>
      <c r="I100" s="30" t="n">
        <f aca="false">$D$56+$D$57*$B100^1+$D$58*$B100^2+$D$59*$B100^3+$D$60*$B100^4+$D$61*I$98^1+$D$62*I$98^1*$B100^1+$D$63*I$98^1*$B100^2+$D$64*I$98^1*$B100^3+$D$65*I$98^2+$D$66*I$98^2*$B100^1+$D$67*I$98^2*$B100^2+$D$68*I$98^3+$D$69*I$98^3*$B100^1+$D$70*I$98^4</f>
        <v>0.358808309659091</v>
      </c>
      <c r="J100" s="30" t="n">
        <f aca="false">$D$56+$D$57*$B100^1+$D$58*$B100^2+$D$59*$B100^3+$D$60*$B100^4+$D$61*J$98^1+$D$62*J$98^1*$B100^1+$D$63*J$98^1*$B100^2+$D$64*J$98^1*$B100^3+$D$65*J$98^2+$D$66*J$98^2*$B100^1+$D$67*J$98^2*$B100^2+$D$68*J$98^3+$D$69*J$98^3*$B100^1+$D$70*J$98^4</f>
        <v>0.364223863636364</v>
      </c>
      <c r="K100" s="30" t="n">
        <f aca="false">$D$56+$D$57*$B100^1+$D$58*$B100^2+$D$59*$B100^3+$D$60*$B100^4+$D$61*K$98^1+$D$62*K$98^1*$B100^1+$D$63*K$98^1*$B100^2+$D$64*K$98^1*$B100^3+$D$65*K$98^2+$D$66*K$98^2*$B100^1+$D$67*K$98^2*$B100^2+$D$68*K$98^3+$D$69*K$98^3*$B100^1+$D$70*K$98^4</f>
        <v>0.370273934659091</v>
      </c>
      <c r="L100" s="30" t="n">
        <f aca="false">$D$56+$D$57*$B100^1+$D$58*$B100^2+$D$59*$B100^3+$D$60*$B100^4+$D$61*L$98^1+$D$62*L$98^1*$B100^1+$D$63*L$98^1*$B100^2+$D$64*L$98^1*$B100^3+$D$65*L$98^2+$D$66*L$98^2*$B100^1+$D$67*L$98^2*$B100^2+$D$68*L$98^3+$D$69*L$98^3*$B100^1+$D$70*L$98^4</f>
        <v>0.374776704545455</v>
      </c>
      <c r="M100" s="30" t="n">
        <f aca="false">$D$56+$D$57*$B100^1+$D$58*$B100^2+$D$59*$B100^3+$D$60*$B100^4+$D$61*M$98^1+$D$62*M$98^1*$B100^1+$D$63*M$98^1*$B100^2+$D$64*M$98^1*$B100^3+$D$65*M$98^2+$D$66*M$98^2*$B100^1+$D$67*M$98^2*$B100^2+$D$68*M$98^3+$D$69*M$98^3*$B100^1+$D$70*M$98^4</f>
        <v>0.376423082386364</v>
      </c>
      <c r="N100" s="30" t="n">
        <f aca="false">$D$56+$D$57*$B100^1+$D$58*$B100^2+$D$59*$B100^3+$D$60*$B100^4+$D$61*N$98^1+$D$62*N$98^1*$B100^1+$D$63*N$98^1*$B100^2+$D$64*N$98^1*$B100^3+$D$65*N$98^2+$D$66*N$98^2*$B100^1+$D$67*N$98^2*$B100^2+$D$68*N$98^3+$D$69*N$98^3*$B100^1+$D$70*N$98^4</f>
        <v>0.374776704545455</v>
      </c>
      <c r="O100" s="30" t="n">
        <f aca="false">$D$56+$D$57*$B100^1+$D$58*$B100^2+$D$59*$B100^3+$D$60*$B100^4+$D$61*O$98^1+$D$62*O$98^1*$B100^1+$D$63*O$98^1*$B100^2+$D$64*O$98^1*$B100^3+$D$65*O$98^2+$D$66*O$98^2*$B100^1+$D$67*O$98^2*$B100^2+$D$68*O$98^3+$D$69*O$98^3*$B100^1+$D$70*O$98^4</f>
        <v>0.370273934659091</v>
      </c>
      <c r="P100" s="30" t="n">
        <f aca="false">$D$56+$D$57*$B100^1+$D$58*$B100^2+$D$59*$B100^3+$D$60*$B100^4+$D$61*P$98^1+$D$62*P$98^1*$B100^1+$D$63*P$98^1*$B100^2+$D$64*P$98^1*$B100^3+$D$65*P$98^2+$D$66*P$98^2*$B100^1+$D$67*P$98^2*$B100^2+$D$68*P$98^3+$D$69*P$98^3*$B100^1+$D$70*P$98^4</f>
        <v>0.364223863636364</v>
      </c>
      <c r="Q100" s="30" t="n">
        <f aca="false">$D$56+$D$57*$B100^1+$D$58*$B100^2+$D$59*$B100^3+$D$60*$B100^4+$D$61*Q$98^1+$D$62*Q$98^1*$B100^1+$D$63*Q$98^1*$B100^2+$D$64*Q$98^1*$B100^3+$D$65*Q$98^2+$D$66*Q$98^2*$B100^1+$D$67*Q$98^2*$B100^2+$D$68*Q$98^3+$D$69*Q$98^3*$B100^1+$D$70*Q$98^4</f>
        <v>0.358808309659091</v>
      </c>
      <c r="R100" s="30" t="n">
        <f aca="false">$D$56+$D$57*$B100^1+$D$58*$B100^2+$D$59*$B100^3+$D$60*$B100^4+$D$61*R$98^1+$D$62*R$98^1*$B100^1+$D$63*R$98^1*$B100^2+$D$64*R$98^1*$B100^3+$D$65*R$98^2+$D$66*R$98^2*$B100^1+$D$67*R$98^2*$B100^2+$D$68*R$98^3+$D$69*R$98^3*$B100^1+$D$70*R$98^4</f>
        <v>0.357081818181818</v>
      </c>
      <c r="S100" s="30" t="n">
        <f aca="false">$D$56+$D$57*$B100^1+$D$58*$B100^2+$D$59*$B100^3+$D$60*$B100^4+$D$61*S$98^1+$D$62*S$98^1*$B100^1+$D$63*S$98^1*$B100^2+$D$64*S$98^1*$B100^3+$D$65*S$98^2+$D$66*S$98^2*$B100^1+$D$67*S$98^2*$B100^2+$D$68*S$98^3+$D$69*S$98^3*$B100^1+$D$70*S$98^4</f>
        <v>0.362971661931818</v>
      </c>
      <c r="T100" s="30" t="n">
        <f aca="false">$D$56+$D$57*$B100^1+$D$58*$B100^2+$D$59*$B100^3+$D$60*$B100^4+$D$61*T$98^1+$D$62*T$98^1*$B100^1+$D$63*T$98^1*$B100^2+$D$64*T$98^1*$B100^3+$D$65*T$98^2+$D$66*T$98^2*$B100^1+$D$67*T$98^2*$B100^2+$D$68*T$98^3+$D$69*T$98^3*$B100^1+$D$70*T$98^4</f>
        <v>0.381277840909091</v>
      </c>
      <c r="U100" s="30" t="n">
        <f aca="false">$D$56+$D$57*$B100^1+$D$58*$B100^2+$D$59*$B100^3+$D$60*$B100^4+$D$61*U$98^1+$D$62*U$98^1*$B100^1+$D$63*U$98^1*$B100^2+$D$64*U$98^1*$B100^3+$D$65*U$98^2+$D$66*U$98^2*$B100^1+$D$67*U$98^2*$B100^2+$D$68*U$98^3+$D$69*U$98^3*$B100^1+$D$70*U$98^4</f>
        <v>0.417673082386364</v>
      </c>
      <c r="V100" s="30" t="n">
        <f aca="false">$D$56+$D$57*$B100^1+$D$58*$B100^2+$D$59*$B100^3+$D$60*$B100^4+$D$61*V$98^1+$D$62*V$98^1*$B100^1+$D$63*V$98^1*$B100^2+$D$64*V$98^1*$B100^3+$D$65*V$98^2+$D$66*V$98^2*$B100^1+$D$67*V$98^2*$B100^2+$D$68*V$98^3+$D$69*V$98^3*$B100^1+$D$70*V$98^4</f>
        <v>0.478702840909091</v>
      </c>
      <c r="W100" s="30" t="n">
        <f aca="false">$D$56+$D$57*$B100^1+$D$58*$B100^2+$D$59*$B100^3+$D$60*$B100^4+$D$61*W$98^1+$D$62*W$98^1*$B100^1+$D$63*W$98^1*$B100^2+$D$64*W$98^1*$B100^3+$D$65*W$98^2+$D$66*W$98^2*$B100^1+$D$67*W$98^2*$B100^2+$D$68*W$98^3+$D$69*W$98^3*$B100^1+$D$70*W$98^4</f>
        <v>0.571785298295455</v>
      </c>
    </row>
    <row r="101" customFormat="false" ht="15" hidden="false" customHeight="false" outlineLevel="0" collapsed="false">
      <c r="B101" s="39" t="n">
        <v>0.8</v>
      </c>
      <c r="C101" s="30" t="n">
        <f aca="false">$D$56+$D$57*$B101^1+$D$58*$B101^2+$D$59*$B101^3+$D$60*$B101^4+$D$61*C$98^1+$D$62*C$98^1*$B101^1+$D$63*C$98^1*$B101^2+$D$64*C$98^1*$B101^3+$D$65*C$98^2+$D$66*C$98^2*$B101^1+$D$67*C$98^2*$B101^2+$D$68*C$98^3+$D$69*C$98^3*$B101^1+$D$70*C$98^4</f>
        <v>0.515527130681818</v>
      </c>
      <c r="D101" s="30" t="n">
        <f aca="false">$D$56+$D$57*$B101^1+$D$58*$B101^2+$D$59*$B101^3+$D$60*$B101^4+$D$61*D$98^1+$D$62*D$98^1*$B101^1+$D$63*D$98^1*$B101^2+$D$64*D$98^1*$B101^3+$D$65*D$98^2+$D$66*D$98^2*$B101^1+$D$67*D$98^2*$B101^2+$D$68*D$98^3+$D$69*D$98^3*$B101^1+$D$70*D$98^4</f>
        <v>0.417673082386364</v>
      </c>
      <c r="E101" s="30" t="n">
        <f aca="false">$D$56+$D$57*$B101^1+$D$58*$B101^2+$D$59*$B101^3+$D$60*$B101^4+$D$61*E$98^1+$D$62*E$98^1*$B101^1+$D$63*E$98^1*$B101^2+$D$64*E$98^1*$B101^3+$D$65*E$98^2+$D$66*E$98^2*$B101^1+$D$67*E$98^2*$B101^2+$D$68*E$98^3+$D$69*E$98^3*$B101^1+$D$70*E$98^4</f>
        <v>0.352374005681818</v>
      </c>
      <c r="F101" s="30" t="n">
        <f aca="false">$D$56+$D$57*$B101^1+$D$58*$B101^2+$D$59*$B101^3+$D$60*$B101^4+$D$61*F$98^1+$D$62*F$98^1*$B101^1+$D$63*F$98^1*$B101^2+$D$64*F$98^1*$B101^3+$D$65*F$98^2+$D$66*F$98^2*$B101^1+$D$67*F$98^2*$B101^2+$D$68*F$98^3+$D$69*F$98^3*$B101^1+$D$70*F$98^4</f>
        <v>0.31221171875</v>
      </c>
      <c r="G101" s="30" t="n">
        <f aca="false">$D$56+$D$57*$B101^1+$D$58*$B101^2+$D$59*$B101^3+$D$60*$B101^4+$D$61*G$98^1+$D$62*G$98^1*$B101^1+$D$63*G$98^1*$B101^2+$D$64*G$98^1*$B101^3+$D$65*G$98^2+$D$66*G$98^2*$B101^1+$D$67*G$98^2*$B101^2+$D$68*G$98^3+$D$69*G$98^3*$B101^1+$D$70*G$98^4</f>
        <v>0.290640767045455</v>
      </c>
      <c r="H101" s="30" t="n">
        <f aca="false">$D$56+$D$57*$B101^1+$D$58*$B101^2+$D$59*$B101^3+$D$60*$B101^4+$D$61*H$98^1+$D$62*H$98^1*$B101^1+$D$63*H$98^1*$B101^2+$D$64*H$98^1*$B101^3+$D$65*H$98^2+$D$66*H$98^2*$B101^1+$D$67*H$98^2*$B101^2+$D$68*H$98^3+$D$69*H$98^3*$B101^1+$D$70*H$98^4</f>
        <v>0.281988423295455</v>
      </c>
      <c r="I101" s="30" t="n">
        <f aca="false">$D$56+$D$57*$B101^1+$D$58*$B101^2+$D$59*$B101^3+$D$60*$B101^4+$D$61*I$98^1+$D$62*I$98^1*$B101^1+$D$63*I$98^1*$B101^2+$D$64*I$98^1*$B101^3+$D$65*I$98^2+$D$66*I$98^2*$B101^1+$D$67*I$98^2*$B101^2+$D$68*I$98^3+$D$69*I$98^3*$B101^1+$D$70*I$98^4</f>
        <v>0.2814546875</v>
      </c>
      <c r="J101" s="30" t="n">
        <f aca="false">$D$56+$D$57*$B101^1+$D$58*$B101^2+$D$59*$B101^3+$D$60*$B101^4+$D$61*J$98^1+$D$62*J$98^1*$B101^1+$D$63*J$98^1*$B101^2+$D$64*J$98^1*$B101^3+$D$65*J$98^2+$D$66*J$98^2*$B101^1+$D$67*J$98^2*$B101^2+$D$68*J$98^3+$D$69*J$98^3*$B101^1+$D$70*J$98^4</f>
        <v>0.285112286931818</v>
      </c>
      <c r="K101" s="30" t="n">
        <f aca="false">$D$56+$D$57*$B101^1+$D$58*$B101^2+$D$59*$B101^3+$D$60*$B101^4+$D$61*K$98^1+$D$62*K$98^1*$B101^1+$D$63*K$98^1*$B101^2+$D$64*K$98^1*$B101^3+$D$65*K$98^2+$D$66*K$98^2*$B101^1+$D$67*K$98^2*$B101^2+$D$68*K$98^3+$D$69*K$98^3*$B101^1+$D$70*K$98^4</f>
        <v>0.289906676136364</v>
      </c>
      <c r="L101" s="30" t="n">
        <f aca="false">$D$56+$D$57*$B101^1+$D$58*$B101^2+$D$59*$B101^3+$D$60*$B101^4+$D$61*L$98^1+$D$62*L$98^1*$B101^1+$D$63*L$98^1*$B101^2+$D$64*L$98^1*$B101^3+$D$65*L$98^2+$D$66*L$98^2*$B101^1+$D$67*L$98^2*$B101^2+$D$68*L$98^3+$D$69*L$98^3*$B101^1+$D$70*L$98^4</f>
        <v>0.293656036931818</v>
      </c>
      <c r="M101" s="30" t="n">
        <f aca="false">$D$56+$D$57*$B101^1+$D$58*$B101^2+$D$59*$B101^3+$D$60*$B101^4+$D$61*M$98^1+$D$62*M$98^1*$B101^1+$D$63*M$98^1*$B101^2+$D$64*M$98^1*$B101^3+$D$65*M$98^2+$D$66*M$98^2*$B101^1+$D$67*M$98^2*$B101^2+$D$68*M$98^3+$D$69*M$98^3*$B101^1+$D$70*M$98^4</f>
        <v>0.295051278409091</v>
      </c>
      <c r="N101" s="30" t="n">
        <f aca="false">$D$56+$D$57*$B101^1+$D$58*$B101^2+$D$59*$B101^3+$D$60*$B101^4+$D$61*N$98^1+$D$62*N$98^1*$B101^1+$D$63*N$98^1*$B101^2+$D$64*N$98^1*$B101^3+$D$65*N$98^2+$D$66*N$98^2*$B101^1+$D$67*N$98^2*$B101^2+$D$68*N$98^3+$D$69*N$98^3*$B101^1+$D$70*N$98^4</f>
        <v>0.293656036931818</v>
      </c>
      <c r="O101" s="30" t="n">
        <f aca="false">$D$56+$D$57*$B101^1+$D$58*$B101^2+$D$59*$B101^3+$D$60*$B101^4+$D$61*O$98^1+$D$62*O$98^1*$B101^1+$D$63*O$98^1*$B101^2+$D$64*O$98^1*$B101^3+$D$65*O$98^2+$D$66*O$98^2*$B101^1+$D$67*O$98^2*$B101^2+$D$68*O$98^3+$D$69*O$98^3*$B101^1+$D$70*O$98^4</f>
        <v>0.289906676136364</v>
      </c>
      <c r="P101" s="30" t="n">
        <f aca="false">$D$56+$D$57*$B101^1+$D$58*$B101^2+$D$59*$B101^3+$D$60*$B101^4+$D$61*P$98^1+$D$62*P$98^1*$B101^1+$D$63*P$98^1*$B101^2+$D$64*P$98^1*$B101^3+$D$65*P$98^2+$D$66*P$98^2*$B101^1+$D$67*P$98^2*$B101^2+$D$68*P$98^3+$D$69*P$98^3*$B101^1+$D$70*P$98^4</f>
        <v>0.285112286931818</v>
      </c>
      <c r="Q101" s="30" t="n">
        <f aca="false">$D$56+$D$57*$B101^1+$D$58*$B101^2+$D$59*$B101^3+$D$60*$B101^4+$D$61*Q$98^1+$D$62*Q$98^1*$B101^1+$D$63*Q$98^1*$B101^2+$D$64*Q$98^1*$B101^3+$D$65*Q$98^2+$D$66*Q$98^2*$B101^1+$D$67*Q$98^2*$B101^2+$D$68*Q$98^3+$D$69*Q$98^3*$B101^1+$D$70*Q$98^4</f>
        <v>0.2814546875</v>
      </c>
      <c r="R101" s="30" t="n">
        <f aca="false">$D$56+$D$57*$B101^1+$D$58*$B101^2+$D$59*$B101^3+$D$60*$B101^4+$D$61*R$98^1+$D$62*R$98^1*$B101^1+$D$63*R$98^1*$B101^2+$D$64*R$98^1*$B101^3+$D$65*R$98^2+$D$66*R$98^2*$B101^1+$D$67*R$98^2*$B101^2+$D$68*R$98^3+$D$69*R$98^3*$B101^1+$D$70*R$98^4</f>
        <v>0.281988423295455</v>
      </c>
      <c r="S101" s="30" t="n">
        <f aca="false">$D$56+$D$57*$B101^1+$D$58*$B101^2+$D$59*$B101^3+$D$60*$B101^4+$D$61*S$98^1+$D$62*S$98^1*$B101^1+$D$63*S$98^1*$B101^2+$D$64*S$98^1*$B101^3+$D$65*S$98^2+$D$66*S$98^2*$B101^1+$D$67*S$98^2*$B101^2+$D$68*S$98^3+$D$69*S$98^3*$B101^1+$D$70*S$98^4</f>
        <v>0.290640767045455</v>
      </c>
      <c r="T101" s="30" t="n">
        <f aca="false">$D$56+$D$57*$B101^1+$D$58*$B101^2+$D$59*$B101^3+$D$60*$B101^4+$D$61*T$98^1+$D$62*T$98^1*$B101^1+$D$63*T$98^1*$B101^2+$D$64*T$98^1*$B101^3+$D$65*T$98^2+$D$66*T$98^2*$B101^1+$D$67*T$98^2*$B101^2+$D$68*T$98^3+$D$69*T$98^3*$B101^1+$D$70*T$98^4</f>
        <v>0.31221171875</v>
      </c>
      <c r="U101" s="30" t="n">
        <f aca="false">$D$56+$D$57*$B101^1+$D$58*$B101^2+$D$59*$B101^3+$D$60*$B101^4+$D$61*U$98^1+$D$62*U$98^1*$B101^1+$D$63*U$98^1*$B101^2+$D$64*U$98^1*$B101^3+$D$65*U$98^2+$D$66*U$98^2*$B101^1+$D$67*U$98^2*$B101^2+$D$68*U$98^3+$D$69*U$98^3*$B101^1+$D$70*U$98^4</f>
        <v>0.352374005681818</v>
      </c>
      <c r="V101" s="30" t="n">
        <f aca="false">$D$56+$D$57*$B101^1+$D$58*$B101^2+$D$59*$B101^3+$D$60*$B101^4+$D$61*V$98^1+$D$62*V$98^1*$B101^1+$D$63*V$98^1*$B101^2+$D$64*V$98^1*$B101^3+$D$65*V$98^2+$D$66*V$98^2*$B101^1+$D$67*V$98^2*$B101^2+$D$68*V$98^3+$D$69*V$98^3*$B101^1+$D$70*V$98^4</f>
        <v>0.417673082386364</v>
      </c>
      <c r="W101" s="30" t="n">
        <f aca="false">$D$56+$D$57*$B101^1+$D$58*$B101^2+$D$59*$B101^3+$D$60*$B101^4+$D$61*W$98^1+$D$62*W$98^1*$B101^1+$D$63*W$98^1*$B101^2+$D$64*W$98^1*$B101^3+$D$65*W$98^2+$D$66*W$98^2*$B101^1+$D$67*W$98^2*$B101^2+$D$68*W$98^3+$D$69*W$98^3*$B101^1+$D$70*W$98^4</f>
        <v>0.515527130681818</v>
      </c>
    </row>
    <row r="102" customFormat="false" ht="15" hidden="false" customHeight="false" outlineLevel="0" collapsed="false">
      <c r="B102" s="39" t="n">
        <v>0.7</v>
      </c>
      <c r="C102" s="30" t="n">
        <f aca="false">$D$56+$D$57*$B102^1+$D$58*$B102^2+$D$59*$B102^3+$D$60*$B102^4+$D$61*C$98^1+$D$62*C$98^1*$B102^1+$D$63*C$98^1*$B102^2+$D$64*C$98^1*$B102^3+$D$65*C$98^2+$D$66*C$98^2*$B102^1+$D$67*C$98^2*$B102^2+$D$68*C$98^3+$D$69*C$98^3*$B102^1+$D$70*C$98^4</f>
        <v>0.483342116477273</v>
      </c>
      <c r="D102" s="30" t="n">
        <f aca="false">$D$56+$D$57*$B102^1+$D$58*$B102^2+$D$59*$B102^3+$D$60*$B102^4+$D$61*D$98^1+$D$62*D$98^1*$B102^1+$D$63*D$98^1*$B102^2+$D$64*D$98^1*$B102^3+$D$65*D$98^2+$D$66*D$98^2*$B102^1+$D$67*D$98^2*$B102^2+$D$68*D$98^3+$D$69*D$98^3*$B102^1+$D$70*D$98^4</f>
        <v>0.381277840909091</v>
      </c>
      <c r="E102" s="30" t="n">
        <f aca="false">$D$56+$D$57*$B102^1+$D$58*$B102^2+$D$59*$B102^3+$D$60*$B102^4+$D$61*E$98^1+$D$62*E$98^1*$B102^1+$D$63*E$98^1*$B102^2+$D$64*E$98^1*$B102^3+$D$65*E$98^2+$D$66*E$98^2*$B102^1+$D$67*E$98^2*$B102^2+$D$68*E$98^3+$D$69*E$98^3*$B102^1+$D$70*E$98^4</f>
        <v>0.31221171875</v>
      </c>
      <c r="F102" s="30" t="n">
        <f aca="false">$D$56+$D$57*$B102^1+$D$58*$B102^2+$D$59*$B102^3+$D$60*$B102^4+$D$61*F$98^1+$D$62*F$98^1*$B102^1+$D$63*F$98^1*$B102^2+$D$64*F$98^1*$B102^3+$D$65*F$98^2+$D$66*F$98^2*$B102^1+$D$67*F$98^2*$B102^2+$D$68*F$98^3+$D$69*F$98^3*$B102^1+$D$70*F$98^4</f>
        <v>0.268725568181818</v>
      </c>
      <c r="G102" s="30" t="n">
        <f aca="false">$D$56+$D$57*$B102^1+$D$58*$B102^2+$D$59*$B102^3+$D$60*$B102^4+$D$61*G$98^1+$D$62*G$98^1*$B102^1+$D$63*G$98^1*$B102^2+$D$64*G$98^1*$B102^3+$D$65*G$98^2+$D$66*G$98^2*$B102^1+$D$67*G$98^2*$B102^2+$D$68*G$98^3+$D$69*G$98^3*$B102^1+$D$70*G$98^4</f>
        <v>0.244273934659091</v>
      </c>
      <c r="H102" s="30" t="n">
        <f aca="false">$D$56+$D$57*$B102^1+$D$58*$B102^2+$D$59*$B102^3+$D$60*$B102^4+$D$61*H$98^1+$D$62*H$98^1*$B102^1+$D$63*H$98^1*$B102^2+$D$64*H$98^1*$B102^3+$D$65*H$98^2+$D$66*H$98^2*$B102^1+$D$67*H$98^2*$B102^2+$D$68*H$98^3+$D$69*H$98^3*$B102^1+$D$70*H$98^4</f>
        <v>0.233184090909091</v>
      </c>
      <c r="I102" s="30" t="n">
        <f aca="false">$D$56+$D$57*$B102^1+$D$58*$B102^2+$D$59*$B102^3+$D$60*$B102^4+$D$61*I$98^1+$D$62*I$98^1*$B102^1+$D$63*I$98^1*$B102^2+$D$64*I$98^1*$B102^3+$D$65*I$98^2+$D$66*I$98^2*$B102^1+$D$67*I$98^2*$B102^2+$D$68*I$98^3+$D$69*I$98^3*$B102^1+$D$70*I$98^4</f>
        <v>0.230656036931818</v>
      </c>
      <c r="J102" s="30" t="n">
        <f aca="false">$D$56+$D$57*$B102^1+$D$58*$B102^2+$D$59*$B102^3+$D$60*$B102^4+$D$61*J$98^1+$D$62*J$98^1*$B102^1+$D$63*J$98^1*$B102^2+$D$64*J$98^1*$B102^3+$D$65*J$98^2+$D$66*J$98^2*$B102^1+$D$67*J$98^2*$B102^2+$D$68*J$98^3+$D$69*J$98^3*$B102^1+$D$70*J$98^4</f>
        <v>0.2327625</v>
      </c>
      <c r="K102" s="30" t="n">
        <f aca="false">$D$56+$D$57*$B102^1+$D$58*$B102^2+$D$59*$B102^3+$D$60*$B102^4+$D$61*K$98^1+$D$62*K$98^1*$B102^1+$D$63*K$98^1*$B102^2+$D$64*K$98^1*$B102^3+$D$65*K$98^2+$D$66*K$98^2*$B102^1+$D$67*K$98^2*$B102^2+$D$68*K$98^3+$D$69*K$98^3*$B102^1+$D$70*K$98^4</f>
        <v>0.236448934659091</v>
      </c>
      <c r="L102" s="30" t="n">
        <f aca="false">$D$56+$D$57*$B102^1+$D$58*$B102^2+$D$59*$B102^3+$D$60*$B102^4+$D$61*L$98^1+$D$62*L$98^1*$B102^1+$D$63*L$98^1*$B102^2+$D$64*L$98^1*$B102^3+$D$65*L$98^2+$D$66*L$98^2*$B102^1+$D$67*L$98^2*$B102^2+$D$68*L$98^3+$D$69*L$98^3*$B102^1+$D$70*L$98^4</f>
        <v>0.239533522727273</v>
      </c>
      <c r="M102" s="30" t="n">
        <f aca="false">$D$56+$D$57*$B102^1+$D$58*$B102^2+$D$59*$B102^3+$D$60*$B102^4+$D$61*M$98^1+$D$62*M$98^1*$B102^1+$D$63*M$98^1*$B102^2+$D$64*M$98^1*$B102^3+$D$65*M$98^2+$D$66*M$98^2*$B102^1+$D$67*M$98^2*$B102^2+$D$68*M$98^3+$D$69*M$98^3*$B102^1+$D$70*M$98^4</f>
        <v>0.240707173295455</v>
      </c>
      <c r="N102" s="30" t="n">
        <f aca="false">$D$56+$D$57*$B102^1+$D$58*$B102^2+$D$59*$B102^3+$D$60*$B102^4+$D$61*N$98^1+$D$62*N$98^1*$B102^1+$D$63*N$98^1*$B102^2+$D$64*N$98^1*$B102^3+$D$65*N$98^2+$D$66*N$98^2*$B102^1+$D$67*N$98^2*$B102^2+$D$68*N$98^3+$D$69*N$98^3*$B102^1+$D$70*N$98^4</f>
        <v>0.239533522727273</v>
      </c>
      <c r="O102" s="30" t="n">
        <f aca="false">$D$56+$D$57*$B102^1+$D$58*$B102^2+$D$59*$B102^3+$D$60*$B102^4+$D$61*O$98^1+$D$62*O$98^1*$B102^1+$D$63*O$98^1*$B102^2+$D$64*O$98^1*$B102^3+$D$65*O$98^2+$D$66*O$98^2*$B102^1+$D$67*O$98^2*$B102^2+$D$68*O$98^3+$D$69*O$98^3*$B102^1+$D$70*O$98^4</f>
        <v>0.236448934659091</v>
      </c>
      <c r="P102" s="30" t="n">
        <f aca="false">$D$56+$D$57*$B102^1+$D$58*$B102^2+$D$59*$B102^3+$D$60*$B102^4+$D$61*P$98^1+$D$62*P$98^1*$B102^1+$D$63*P$98^1*$B102^2+$D$64*P$98^1*$B102^3+$D$65*P$98^2+$D$66*P$98^2*$B102^1+$D$67*P$98^2*$B102^2+$D$68*P$98^3+$D$69*P$98^3*$B102^1+$D$70*P$98^4</f>
        <v>0.2327625</v>
      </c>
      <c r="Q102" s="30" t="n">
        <f aca="false">$D$56+$D$57*$B102^1+$D$58*$B102^2+$D$59*$B102^3+$D$60*$B102^4+$D$61*Q$98^1+$D$62*Q$98^1*$B102^1+$D$63*Q$98^1*$B102^2+$D$64*Q$98^1*$B102^3+$D$65*Q$98^2+$D$66*Q$98^2*$B102^1+$D$67*Q$98^2*$B102^2+$D$68*Q$98^3+$D$69*Q$98^3*$B102^1+$D$70*Q$98^4</f>
        <v>0.230656036931818</v>
      </c>
      <c r="R102" s="30" t="n">
        <f aca="false">$D$56+$D$57*$B102^1+$D$58*$B102^2+$D$59*$B102^3+$D$60*$B102^4+$D$61*R$98^1+$D$62*R$98^1*$B102^1+$D$63*R$98^1*$B102^2+$D$64*R$98^1*$B102^3+$D$65*R$98^2+$D$66*R$98^2*$B102^1+$D$67*R$98^2*$B102^2+$D$68*R$98^3+$D$69*R$98^3*$B102^1+$D$70*R$98^4</f>
        <v>0.233184090909091</v>
      </c>
      <c r="S102" s="30" t="n">
        <f aca="false">$D$56+$D$57*$B102^1+$D$58*$B102^2+$D$59*$B102^3+$D$60*$B102^4+$D$61*S$98^1+$D$62*S$98^1*$B102^1+$D$63*S$98^1*$B102^2+$D$64*S$98^1*$B102^3+$D$65*S$98^2+$D$66*S$98^2*$B102^1+$D$67*S$98^2*$B102^2+$D$68*S$98^3+$D$69*S$98^3*$B102^1+$D$70*S$98^4</f>
        <v>0.244273934659091</v>
      </c>
      <c r="T102" s="30" t="n">
        <f aca="false">$D$56+$D$57*$B102^1+$D$58*$B102^2+$D$59*$B102^3+$D$60*$B102^4+$D$61*T$98^1+$D$62*T$98^1*$B102^1+$D$63*T$98^1*$B102^2+$D$64*T$98^1*$B102^3+$D$65*T$98^2+$D$66*T$98^2*$B102^1+$D$67*T$98^2*$B102^2+$D$68*T$98^3+$D$69*T$98^3*$B102^1+$D$70*T$98^4</f>
        <v>0.268725568181818</v>
      </c>
      <c r="U102" s="30" t="n">
        <f aca="false">$D$56+$D$57*$B102^1+$D$58*$B102^2+$D$59*$B102^3+$D$60*$B102^4+$D$61*U$98^1+$D$62*U$98^1*$B102^1+$D$63*U$98^1*$B102^2+$D$64*U$98^1*$B102^3+$D$65*U$98^2+$D$66*U$98^2*$B102^1+$D$67*U$98^2*$B102^2+$D$68*U$98^3+$D$69*U$98^3*$B102^1+$D$70*U$98^4</f>
        <v>0.31221171875</v>
      </c>
      <c r="V102" s="30" t="n">
        <f aca="false">$D$56+$D$57*$B102^1+$D$58*$B102^2+$D$59*$B102^3+$D$60*$B102^4+$D$61*V$98^1+$D$62*V$98^1*$B102^1+$D$63*V$98^1*$B102^2+$D$64*V$98^1*$B102^3+$D$65*V$98^2+$D$66*V$98^2*$B102^1+$D$67*V$98^2*$B102^2+$D$68*V$98^3+$D$69*V$98^3*$B102^1+$D$70*V$98^4</f>
        <v>0.381277840909091</v>
      </c>
      <c r="W102" s="30" t="n">
        <f aca="false">$D$56+$D$57*$B102^1+$D$58*$B102^2+$D$59*$B102^3+$D$60*$B102^4+$D$61*W$98^1+$D$62*W$98^1*$B102^1+$D$63*W$98^1*$B102^2+$D$64*W$98^1*$B102^3+$D$65*W$98^2+$D$66*W$98^2*$B102^1+$D$67*W$98^2*$B102^2+$D$68*W$98^3+$D$69*W$98^3*$B102^1+$D$70*W$98^4</f>
        <v>0.483342116477273</v>
      </c>
    </row>
    <row r="103" customFormat="false" ht="15" hidden="false" customHeight="false" outlineLevel="0" collapsed="false">
      <c r="B103" s="39" t="n">
        <v>0.6</v>
      </c>
      <c r="C103" s="30" t="n">
        <f aca="false">$D$56+$D$57*$B103^1+$D$58*$B103^2+$D$59*$B103^3+$D$60*$B103^4+$D$61*C$98^1+$D$62*C$98^1*$B103^1+$D$63*C$98^1*$B103^2+$D$64*C$98^1*$B103^3+$D$65*C$98^2+$D$66*C$98^2*$B103^1+$D$67*C$98^2*$B103^2+$D$68*C$98^3+$D$69*C$98^3*$B103^1+$D$70*C$98^4</f>
        <v>0.468684801136364</v>
      </c>
      <c r="D103" s="30" t="n">
        <f aca="false">$D$56+$D$57*$B103^1+$D$58*$B103^2+$D$59*$B103^3+$D$60*$B103^4+$D$61*D$98^1+$D$62*D$98^1*$B103^1+$D$63*D$98^1*$B103^2+$D$64*D$98^1*$B103^3+$D$65*D$98^2+$D$66*D$98^2*$B103^1+$D$67*D$98^2*$B103^2+$D$68*D$98^3+$D$69*D$98^3*$B103^1+$D$70*D$98^4</f>
        <v>0.362971661931818</v>
      </c>
      <c r="E103" s="30" t="n">
        <f aca="false">$D$56+$D$57*$B103^1+$D$58*$B103^2+$D$59*$B103^3+$D$60*$B103^4+$D$61*E$98^1+$D$62*E$98^1*$B103^1+$D$63*E$98^1*$B103^2+$D$64*E$98^1*$B103^3+$D$65*E$98^2+$D$66*E$98^2*$B103^1+$D$67*E$98^2*$B103^2+$D$68*E$98^3+$D$69*E$98^3*$B103^1+$D$70*E$98^4</f>
        <v>0.290640767045455</v>
      </c>
      <c r="F103" s="30" t="n">
        <f aca="false">$D$56+$D$57*$B103^1+$D$58*$B103^2+$D$59*$B103^3+$D$60*$B103^4+$D$61*F$98^1+$D$62*F$98^1*$B103^1+$D$63*F$98^1*$B103^2+$D$64*F$98^1*$B103^3+$D$65*F$98^2+$D$66*F$98^2*$B103^1+$D$67*F$98^2*$B103^2+$D$68*F$98^3+$D$69*F$98^3*$B103^1+$D$70*F$98^4</f>
        <v>0.244273934659091</v>
      </c>
      <c r="G103" s="30" t="n">
        <f aca="false">$D$56+$D$57*$B103^1+$D$58*$B103^2+$D$59*$B103^3+$D$60*$B103^4+$D$61*G$98^1+$D$62*G$98^1*$B103^1+$D$63*G$98^1*$B103^2+$D$64*G$98^1*$B103^3+$D$65*G$98^2+$D$66*G$98^2*$B103^1+$D$67*G$98^2*$B103^2+$D$68*G$98^3+$D$69*G$98^3*$B103^1+$D$70*G$98^4</f>
        <v>0.217325710227273</v>
      </c>
      <c r="H103" s="30" t="n">
        <f aca="false">$D$56+$D$57*$B103^1+$D$58*$B103^2+$D$59*$B103^3+$D$60*$B103^4+$D$61*H$98^1+$D$62*H$98^1*$B103^1+$D$63*H$98^1*$B103^2+$D$64*H$98^1*$B103^3+$D$65*H$98^2+$D$66*H$98^2*$B103^1+$D$67*H$98^2*$B103^2+$D$68*H$98^3+$D$69*H$98^3*$B103^1+$D$70*H$98^4</f>
        <v>0.204123366477273</v>
      </c>
      <c r="I103" s="30" t="n">
        <f aca="false">$D$56+$D$57*$B103^1+$D$58*$B103^2+$D$59*$B103^3+$D$60*$B103^4+$D$61*I$98^1+$D$62*I$98^1*$B103^1+$D$63*I$98^1*$B103^2+$D$64*I$98^1*$B103^3+$D$65*I$98^2+$D$66*I$98^2*$B103^1+$D$67*I$98^2*$B103^2+$D$68*I$98^3+$D$69*I$98^3*$B103^1+$D$70*I$98^4</f>
        <v>0.199866903409091</v>
      </c>
      <c r="J103" s="30" t="n">
        <f aca="false">$D$56+$D$57*$B103^1+$D$58*$B103^2+$D$59*$B103^3+$D$60*$B103^4+$D$61*J$98^1+$D$62*J$98^1*$B103^1+$D$63*J$98^1*$B103^2+$D$64*J$98^1*$B103^3+$D$65*J$98^2+$D$66*J$98^2*$B103^1+$D$67*J$98^2*$B103^2+$D$68*J$98^3+$D$69*J$98^3*$B103^1+$D$70*J$98^4</f>
        <v>0.200629048295455</v>
      </c>
      <c r="K103" s="30" t="n">
        <f aca="false">$D$56+$D$57*$B103^1+$D$58*$B103^2+$D$59*$B103^3+$D$60*$B103^4+$D$61*K$98^1+$D$62*K$98^1*$B103^1+$D$63*K$98^1*$B103^2+$D$64*K$98^1*$B103^3+$D$65*K$98^2+$D$66*K$98^2*$B103^1+$D$67*K$98^2*$B103^2+$D$68*K$98^3+$D$69*K$98^3*$B103^1+$D$70*K$98^4</f>
        <v>0.203355255681818</v>
      </c>
      <c r="L103" s="30" t="n">
        <f aca="false">$D$56+$D$57*$B103^1+$D$58*$B103^2+$D$59*$B103^3+$D$60*$B103^4+$D$61*L$98^1+$D$62*L$98^1*$B103^1+$D$63*L$98^1*$B103^2+$D$64*L$98^1*$B103^3+$D$65*L$98^2+$D$66*L$98^2*$B103^1+$D$67*L$98^2*$B103^2+$D$68*L$98^3+$D$69*L$98^3*$B103^1+$D$70*L$98^4</f>
        <v>0.205863707386364</v>
      </c>
      <c r="M103" s="30" t="n">
        <f aca="false">$D$56+$D$57*$B103^1+$D$58*$B103^2+$D$59*$B103^3+$D$60*$B103^4+$D$61*M$98^1+$D$62*M$98^1*$B103^1+$D$63*M$98^1*$B103^2+$D$64*M$98^1*$B103^3+$D$65*M$98^2+$D$66*M$98^2*$B103^1+$D$67*M$98^2*$B103^2+$D$68*M$98^3+$D$69*M$98^3*$B103^1+$D$70*M$98^4</f>
        <v>0.2068453125</v>
      </c>
      <c r="N103" s="30" t="n">
        <f aca="false">$D$56+$D$57*$B103^1+$D$58*$B103^2+$D$59*$B103^3+$D$60*$B103^4+$D$61*N$98^1+$D$62*N$98^1*$B103^1+$D$63*N$98^1*$B103^2+$D$64*N$98^1*$B103^3+$D$65*N$98^2+$D$66*N$98^2*$B103^1+$D$67*N$98^2*$B103^2+$D$68*N$98^3+$D$69*N$98^3*$B103^1+$D$70*N$98^4</f>
        <v>0.205863707386364</v>
      </c>
      <c r="O103" s="30" t="n">
        <f aca="false">$D$56+$D$57*$B103^1+$D$58*$B103^2+$D$59*$B103^3+$D$60*$B103^4+$D$61*O$98^1+$D$62*O$98^1*$B103^1+$D$63*O$98^1*$B103^2+$D$64*O$98^1*$B103^3+$D$65*O$98^2+$D$66*O$98^2*$B103^1+$D$67*O$98^2*$B103^2+$D$68*O$98^3+$D$69*O$98^3*$B103^1+$D$70*O$98^4</f>
        <v>0.203355255681818</v>
      </c>
      <c r="P103" s="30" t="n">
        <f aca="false">$D$56+$D$57*$B103^1+$D$58*$B103^2+$D$59*$B103^3+$D$60*$B103^4+$D$61*P$98^1+$D$62*P$98^1*$B103^1+$D$63*P$98^1*$B103^2+$D$64*P$98^1*$B103^3+$D$65*P$98^2+$D$66*P$98^2*$B103^1+$D$67*P$98^2*$B103^2+$D$68*P$98^3+$D$69*P$98^3*$B103^1+$D$70*P$98^4</f>
        <v>0.200629048295455</v>
      </c>
      <c r="Q103" s="30" t="n">
        <f aca="false">$D$56+$D$57*$B103^1+$D$58*$B103^2+$D$59*$B103^3+$D$60*$B103^4+$D$61*Q$98^1+$D$62*Q$98^1*$B103^1+$D$63*Q$98^1*$B103^2+$D$64*Q$98^1*$B103^3+$D$65*Q$98^2+$D$66*Q$98^2*$B103^1+$D$67*Q$98^2*$B103^2+$D$68*Q$98^3+$D$69*Q$98^3*$B103^1+$D$70*Q$98^4</f>
        <v>0.199866903409091</v>
      </c>
      <c r="R103" s="30" t="n">
        <f aca="false">$D$56+$D$57*$B103^1+$D$58*$B103^2+$D$59*$B103^3+$D$60*$B103^4+$D$61*R$98^1+$D$62*R$98^1*$B103^1+$D$63*R$98^1*$B103^2+$D$64*R$98^1*$B103^3+$D$65*R$98^2+$D$66*R$98^2*$B103^1+$D$67*R$98^2*$B103^2+$D$68*R$98^3+$D$69*R$98^3*$B103^1+$D$70*R$98^4</f>
        <v>0.204123366477273</v>
      </c>
      <c r="S103" s="30" t="n">
        <f aca="false">$D$56+$D$57*$B103^1+$D$58*$B103^2+$D$59*$B103^3+$D$60*$B103^4+$D$61*S$98^1+$D$62*S$98^1*$B103^1+$D$63*S$98^1*$B103^2+$D$64*S$98^1*$B103^3+$D$65*S$98^2+$D$66*S$98^2*$B103^1+$D$67*S$98^2*$B103^2+$D$68*S$98^3+$D$69*S$98^3*$B103^1+$D$70*S$98^4</f>
        <v>0.217325710227273</v>
      </c>
      <c r="T103" s="30" t="n">
        <f aca="false">$D$56+$D$57*$B103^1+$D$58*$B103^2+$D$59*$B103^3+$D$60*$B103^4+$D$61*T$98^1+$D$62*T$98^1*$B103^1+$D$63*T$98^1*$B103^2+$D$64*T$98^1*$B103^3+$D$65*T$98^2+$D$66*T$98^2*$B103^1+$D$67*T$98^2*$B103^2+$D$68*T$98^3+$D$69*T$98^3*$B103^1+$D$70*T$98^4</f>
        <v>0.244273934659091</v>
      </c>
      <c r="U103" s="30" t="n">
        <f aca="false">$D$56+$D$57*$B103^1+$D$58*$B103^2+$D$59*$B103^3+$D$60*$B103^4+$D$61*U$98^1+$D$62*U$98^1*$B103^1+$D$63*U$98^1*$B103^2+$D$64*U$98^1*$B103^3+$D$65*U$98^2+$D$66*U$98^2*$B103^1+$D$67*U$98^2*$B103^2+$D$68*U$98^3+$D$69*U$98^3*$B103^1+$D$70*U$98^4</f>
        <v>0.290640767045455</v>
      </c>
      <c r="V103" s="30" t="n">
        <f aca="false">$D$56+$D$57*$B103^1+$D$58*$B103^2+$D$59*$B103^3+$D$60*$B103^4+$D$61*V$98^1+$D$62*V$98^1*$B103^1+$D$63*V$98^1*$B103^2+$D$64*V$98^1*$B103^3+$D$65*V$98^2+$D$66*V$98^2*$B103^1+$D$67*V$98^2*$B103^2+$D$68*V$98^3+$D$69*V$98^3*$B103^1+$D$70*V$98^4</f>
        <v>0.362971661931818</v>
      </c>
      <c r="W103" s="30" t="n">
        <f aca="false">$D$56+$D$57*$B103^1+$D$58*$B103^2+$D$59*$B103^3+$D$60*$B103^4+$D$61*W$98^1+$D$62*W$98^1*$B103^1+$D$63*W$98^1*$B103^2+$D$64*W$98^1*$B103^3+$D$65*W$98^2+$D$66*W$98^2*$B103^1+$D$67*W$98^2*$B103^2+$D$68*W$98^3+$D$69*W$98^3*$B103^1+$D$70*W$98^4</f>
        <v>0.468684801136364</v>
      </c>
    </row>
    <row r="104" customFormat="false" ht="15" hidden="false" customHeight="false" outlineLevel="0" collapsed="false">
      <c r="B104" s="39" t="n">
        <v>0.5</v>
      </c>
      <c r="C104" s="30" t="n">
        <f aca="false">$D$56+$D$57*$B104^1+$D$58*$B104^2+$D$59*$B104^3+$D$60*$B104^4+$D$61*C$98^1+$D$62*C$98^1*$B104^1+$D$63*C$98^1*$B104^2+$D$64*C$98^1*$B104^3+$D$65*C$98^2+$D$66*C$98^2*$B104^1+$D$67*C$98^2*$B104^2+$D$68*C$98^3+$D$69*C$98^3*$B104^1+$D$70*C$98^4</f>
        <v>0.465882457386364</v>
      </c>
      <c r="D104" s="30" t="n">
        <f aca="false">$D$56+$D$57*$B104^1+$D$58*$B104^2+$D$59*$B104^3+$D$60*$B104^4+$D$61*D$98^1+$D$62*D$98^1*$B104^1+$D$63*D$98^1*$B104^2+$D$64*D$98^1*$B104^3+$D$65*D$98^2+$D$66*D$98^2*$B104^1+$D$67*D$98^2*$B104^2+$D$68*D$98^3+$D$69*D$98^3*$B104^1+$D$70*D$98^4</f>
        <v>0.357081818181818</v>
      </c>
      <c r="E104" s="30" t="n">
        <f aca="false">$D$56+$D$57*$B104^1+$D$58*$B104^2+$D$59*$B104^3+$D$60*$B104^4+$D$61*E$98^1+$D$62*E$98^1*$B104^1+$D$63*E$98^1*$B104^2+$D$64*E$98^1*$B104^3+$D$65*E$98^2+$D$66*E$98^2*$B104^1+$D$67*E$98^2*$B104^2+$D$68*E$98^3+$D$69*E$98^3*$B104^1+$D$70*E$98^4</f>
        <v>0.281988423295455</v>
      </c>
      <c r="F104" s="30" t="n">
        <f aca="false">$D$56+$D$57*$B104^1+$D$58*$B104^2+$D$59*$B104^3+$D$60*$B104^4+$D$61*F$98^1+$D$62*F$98^1*$B104^1+$D$63*F$98^1*$B104^2+$D$64*F$98^1*$B104^3+$D$65*F$98^2+$D$66*F$98^2*$B104^1+$D$67*F$98^2*$B104^2+$D$68*F$98^3+$D$69*F$98^3*$B104^1+$D$70*F$98^4</f>
        <v>0.233184090909091</v>
      </c>
      <c r="G104" s="30" t="n">
        <f aca="false">$D$56+$D$57*$B104^1+$D$58*$B104^2+$D$59*$B104^3+$D$60*$B104^4+$D$61*G$98^1+$D$62*G$98^1*$B104^1+$D$63*G$98^1*$B104^2+$D$64*G$98^1*$B104^3+$D$65*G$98^2+$D$66*G$98^2*$B104^1+$D$67*G$98^2*$B104^2+$D$68*G$98^3+$D$69*G$98^3*$B104^1+$D$70*G$98^4</f>
        <v>0.204123366477273</v>
      </c>
      <c r="H104" s="30" t="n">
        <f aca="false">$D$56+$D$57*$B104^1+$D$58*$B104^2+$D$59*$B104^3+$D$60*$B104^4+$D$61*H$98^1+$D$62*H$98^1*$B104^1+$D$63*H$98^1*$B104^2+$D$64*H$98^1*$B104^3+$D$65*H$98^2+$D$66*H$98^2*$B104^1+$D$67*H$98^2*$B104^2+$D$68*H$98^3+$D$69*H$98^3*$B104^1+$D$70*H$98^4</f>
        <v>0.189133522727273</v>
      </c>
      <c r="I104" s="30" t="n">
        <f aca="false">$D$56+$D$57*$B104^1+$D$58*$B104^2+$D$59*$B104^3+$D$60*$B104^4+$D$61*I$98^1+$D$62*I$98^1*$B104^1+$D$63*I$98^1*$B104^2+$D$64*I$98^1*$B104^3+$D$65*I$98^2+$D$66*I$98^2*$B104^1+$D$67*I$98^2*$B104^2+$D$68*I$98^3+$D$69*I$98^3*$B104^1+$D$70*I$98^4</f>
        <v>0.183414559659091</v>
      </c>
      <c r="J104" s="30" t="n">
        <f aca="false">$D$56+$D$57*$B104^1+$D$58*$B104^2+$D$59*$B104^3+$D$60*$B104^4+$D$61*J$98^1+$D$62*J$98^1*$B104^1+$D$63*J$98^1*$B104^2+$D$64*J$98^1*$B104^3+$D$65*J$98^2+$D$66*J$98^2*$B104^1+$D$67*J$98^2*$B104^2+$D$68*J$98^3+$D$69*J$98^3*$B104^1+$D$70*J$98^4</f>
        <v>0.183039204545455</v>
      </c>
      <c r="K104" s="30" t="n">
        <f aca="false">$D$56+$D$57*$B104^1+$D$58*$B104^2+$D$59*$B104^3+$D$60*$B104^4+$D$61*K$98^1+$D$62*K$98^1*$B104^1+$D$63*K$98^1*$B104^2+$D$64*K$98^1*$B104^3+$D$65*K$98^2+$D$66*K$98^2*$B104^1+$D$67*K$98^2*$B104^2+$D$68*K$98^3+$D$69*K$98^3*$B104^1+$D$70*K$98^4</f>
        <v>0.184952911931818</v>
      </c>
      <c r="L104" s="30" t="n">
        <f aca="false">$D$56+$D$57*$B104^1+$D$58*$B104^2+$D$59*$B104^3+$D$60*$B104^4+$D$61*L$98^1+$D$62*L$98^1*$B104^1+$D$63*L$98^1*$B104^2+$D$64*L$98^1*$B104^3+$D$65*L$98^2+$D$66*L$98^2*$B104^1+$D$67*L$98^2*$B104^2+$D$68*L$98^3+$D$69*L$98^3*$B104^1+$D$70*L$98^4</f>
        <v>0.186973863636364</v>
      </c>
      <c r="M104" s="30" t="n">
        <f aca="false">$D$56+$D$57*$B104^1+$D$58*$B104^2+$D$59*$B104^3+$D$60*$B104^4+$D$61*M$98^1+$D$62*M$98^1*$B104^1+$D$63*M$98^1*$B104^2+$D$64*M$98^1*$B104^3+$D$65*M$98^2+$D$66*M$98^2*$B104^1+$D$67*M$98^2*$B104^2+$D$68*M$98^3+$D$69*M$98^3*$B104^1+$D$70*M$98^4</f>
        <v>0.18779296875</v>
      </c>
      <c r="N104" s="30" t="n">
        <f aca="false">$D$56+$D$57*$B104^1+$D$58*$B104^2+$D$59*$B104^3+$D$60*$B104^4+$D$61*N$98^1+$D$62*N$98^1*$B104^1+$D$63*N$98^1*$B104^2+$D$64*N$98^1*$B104^3+$D$65*N$98^2+$D$66*N$98^2*$B104^1+$D$67*N$98^2*$B104^2+$D$68*N$98^3+$D$69*N$98^3*$B104^1+$D$70*N$98^4</f>
        <v>0.186973863636364</v>
      </c>
      <c r="O104" s="30" t="n">
        <f aca="false">$D$56+$D$57*$B104^1+$D$58*$B104^2+$D$59*$B104^3+$D$60*$B104^4+$D$61*O$98^1+$D$62*O$98^1*$B104^1+$D$63*O$98^1*$B104^2+$D$64*O$98^1*$B104^3+$D$65*O$98^2+$D$66*O$98^2*$B104^1+$D$67*O$98^2*$B104^2+$D$68*O$98^3+$D$69*O$98^3*$B104^1+$D$70*O$98^4</f>
        <v>0.184952911931818</v>
      </c>
      <c r="P104" s="30" t="n">
        <f aca="false">$D$56+$D$57*$B104^1+$D$58*$B104^2+$D$59*$B104^3+$D$60*$B104^4+$D$61*P$98^1+$D$62*P$98^1*$B104^1+$D$63*P$98^1*$B104^2+$D$64*P$98^1*$B104^3+$D$65*P$98^2+$D$66*P$98^2*$B104^1+$D$67*P$98^2*$B104^2+$D$68*P$98^3+$D$69*P$98^3*$B104^1+$D$70*P$98^4</f>
        <v>0.183039204545455</v>
      </c>
      <c r="Q104" s="30" t="n">
        <f aca="false">$D$56+$D$57*$B104^1+$D$58*$B104^2+$D$59*$B104^3+$D$60*$B104^4+$D$61*Q$98^1+$D$62*Q$98^1*$B104^1+$D$63*Q$98^1*$B104^2+$D$64*Q$98^1*$B104^3+$D$65*Q$98^2+$D$66*Q$98^2*$B104^1+$D$67*Q$98^2*$B104^2+$D$68*Q$98^3+$D$69*Q$98^3*$B104^1+$D$70*Q$98^4</f>
        <v>0.183414559659091</v>
      </c>
      <c r="R104" s="30" t="n">
        <f aca="false">$D$56+$D$57*$B104^1+$D$58*$B104^2+$D$59*$B104^3+$D$60*$B104^4+$D$61*R$98^1+$D$62*R$98^1*$B104^1+$D$63*R$98^1*$B104^2+$D$64*R$98^1*$B104^3+$D$65*R$98^2+$D$66*R$98^2*$B104^1+$D$67*R$98^2*$B104^2+$D$68*R$98^3+$D$69*R$98^3*$B104^1+$D$70*R$98^4</f>
        <v>0.189133522727273</v>
      </c>
      <c r="S104" s="30" t="n">
        <f aca="false">$D$56+$D$57*$B104^1+$D$58*$B104^2+$D$59*$B104^3+$D$60*$B104^4+$D$61*S$98^1+$D$62*S$98^1*$B104^1+$D$63*S$98^1*$B104^2+$D$64*S$98^1*$B104^3+$D$65*S$98^2+$D$66*S$98^2*$B104^1+$D$67*S$98^2*$B104^2+$D$68*S$98^3+$D$69*S$98^3*$B104^1+$D$70*S$98^4</f>
        <v>0.204123366477273</v>
      </c>
      <c r="T104" s="30" t="n">
        <f aca="false">$D$56+$D$57*$B104^1+$D$58*$B104^2+$D$59*$B104^3+$D$60*$B104^4+$D$61*T$98^1+$D$62*T$98^1*$B104^1+$D$63*T$98^1*$B104^2+$D$64*T$98^1*$B104^3+$D$65*T$98^2+$D$66*T$98^2*$B104^1+$D$67*T$98^2*$B104^2+$D$68*T$98^3+$D$69*T$98^3*$B104^1+$D$70*T$98^4</f>
        <v>0.233184090909091</v>
      </c>
      <c r="U104" s="30" t="n">
        <f aca="false">$D$56+$D$57*$B104^1+$D$58*$B104^2+$D$59*$B104^3+$D$60*$B104^4+$D$61*U$98^1+$D$62*U$98^1*$B104^1+$D$63*U$98^1*$B104^2+$D$64*U$98^1*$B104^3+$D$65*U$98^2+$D$66*U$98^2*$B104^1+$D$67*U$98^2*$B104^2+$D$68*U$98^3+$D$69*U$98^3*$B104^1+$D$70*U$98^4</f>
        <v>0.281988423295455</v>
      </c>
      <c r="V104" s="30" t="n">
        <f aca="false">$D$56+$D$57*$B104^1+$D$58*$B104^2+$D$59*$B104^3+$D$60*$B104^4+$D$61*V$98^1+$D$62*V$98^1*$B104^1+$D$63*V$98^1*$B104^2+$D$64*V$98^1*$B104^3+$D$65*V$98^2+$D$66*V$98^2*$B104^1+$D$67*V$98^2*$B104^2+$D$68*V$98^3+$D$69*V$98^3*$B104^1+$D$70*V$98^4</f>
        <v>0.357081818181818</v>
      </c>
      <c r="W104" s="30" t="n">
        <f aca="false">$D$56+$D$57*$B104^1+$D$58*$B104^2+$D$59*$B104^3+$D$60*$B104^4+$D$61*W$98^1+$D$62*W$98^1*$B104^1+$D$63*W$98^1*$B104^2+$D$64*W$98^1*$B104^3+$D$65*W$98^2+$D$66*W$98^2*$B104^1+$D$67*W$98^2*$B104^2+$D$68*W$98^3+$D$69*W$98^3*$B104^1+$D$70*W$98^4</f>
        <v>0.465882457386364</v>
      </c>
    </row>
    <row r="105" customFormat="false" ht="15" hidden="false" customHeight="false" outlineLevel="0" collapsed="false">
      <c r="B105" s="39" t="n">
        <v>0.4</v>
      </c>
      <c r="C105" s="30" t="n">
        <f aca="false">$D$56+$D$57*$B105^1+$D$58*$B105^2+$D$59*$B105^3+$D$60*$B105^4+$D$61*C$98^1+$D$62*C$98^1*$B105^1+$D$63*C$98^1*$B105^2+$D$64*C$98^1*$B105^3+$D$65*C$98^2+$D$66*C$98^2*$B105^1+$D$67*C$98^2*$B105^2+$D$68*C$98^3+$D$69*C$98^3*$B105^1+$D$70*C$98^4</f>
        <v>0.470135085227273</v>
      </c>
      <c r="D105" s="30" t="n">
        <f aca="false">$D$56+$D$57*$B105^1+$D$58*$B105^2+$D$59*$B105^3+$D$60*$B105^4+$D$61*D$98^1+$D$62*D$98^1*$B105^1+$D$63*D$98^1*$B105^2+$D$64*D$98^1*$B105^3+$D$65*D$98^2+$D$66*D$98^2*$B105^1+$D$67*D$98^2*$B105^2+$D$68*D$98^3+$D$69*D$98^3*$B105^1+$D$70*D$98^4</f>
        <v>0.358808309659091</v>
      </c>
      <c r="E105" s="30" t="n">
        <f aca="false">$D$56+$D$57*$B105^1+$D$58*$B105^2+$D$59*$B105^3+$D$60*$B105^4+$D$61*E$98^1+$D$62*E$98^1*$B105^1+$D$63*E$98^1*$B105^2+$D$64*E$98^1*$B105^3+$D$65*E$98^2+$D$66*E$98^2*$B105^1+$D$67*E$98^2*$B105^2+$D$68*E$98^3+$D$69*E$98^3*$B105^1+$D$70*E$98^4</f>
        <v>0.2814546875</v>
      </c>
      <c r="F105" s="30" t="n">
        <f aca="false">$D$56+$D$57*$B105^1+$D$58*$B105^2+$D$59*$B105^3+$D$60*$B105^4+$D$61*F$98^1+$D$62*F$98^1*$B105^1+$D$63*F$98^1*$B105^2+$D$64*F$98^1*$B105^3+$D$65*F$98^2+$D$66*F$98^2*$B105^1+$D$67*F$98^2*$B105^2+$D$68*F$98^3+$D$69*F$98^3*$B105^1+$D$70*F$98^4</f>
        <v>0.230656036931818</v>
      </c>
      <c r="G105" s="30" t="n">
        <f aca="false">$D$56+$D$57*$B105^1+$D$58*$B105^2+$D$59*$B105^3+$D$60*$B105^4+$D$61*G$98^1+$D$62*G$98^1*$B105^1+$D$63*G$98^1*$B105^2+$D$64*G$98^1*$B105^3+$D$65*G$98^2+$D$66*G$98^2*$B105^1+$D$67*G$98^2*$B105^2+$D$68*G$98^3+$D$69*G$98^3*$B105^1+$D$70*G$98^4</f>
        <v>0.199866903409091</v>
      </c>
      <c r="H105" s="30" t="n">
        <f aca="false">$D$56+$D$57*$B105^1+$D$58*$B105^2+$D$59*$B105^3+$D$60*$B105^4+$D$61*H$98^1+$D$62*H$98^1*$B105^1+$D$63*H$98^1*$B105^2+$D$64*H$98^1*$B105^3+$D$65*H$98^2+$D$66*H$98^2*$B105^1+$D$67*H$98^2*$B105^2+$D$68*H$98^3+$D$69*H$98^3*$B105^1+$D$70*H$98^4</f>
        <v>0.183414559659091</v>
      </c>
      <c r="I105" s="30" t="n">
        <f aca="false">$D$56+$D$57*$B105^1+$D$58*$B105^2+$D$59*$B105^3+$D$60*$B105^4+$D$61*I$98^1+$D$62*I$98^1*$B105^1+$D$63*I$98^1*$B105^2+$D$64*I$98^1*$B105^3+$D$65*I$98^2+$D$66*I$98^2*$B105^1+$D$67*I$98^2*$B105^2+$D$68*I$98^3+$D$69*I$98^3*$B105^1+$D$70*I$98^4</f>
        <v>0.176499005681818</v>
      </c>
      <c r="J105" s="30" t="n">
        <f aca="false">$D$56+$D$57*$B105^1+$D$58*$B105^2+$D$59*$B105^3+$D$60*$B105^4+$D$61*J$98^1+$D$62*J$98^1*$B105^1+$D$63*J$98^1*$B105^2+$D$64*J$98^1*$B105^3+$D$65*J$98^2+$D$66*J$98^2*$B105^1+$D$67*J$98^2*$B105^2+$D$68*J$98^3+$D$69*J$98^3*$B105^1+$D$70*J$98^4</f>
        <v>0.17519296875</v>
      </c>
      <c r="K105" s="30" t="n">
        <f aca="false">$D$56+$D$57*$B105^1+$D$58*$B105^2+$D$59*$B105^3+$D$60*$B105^4+$D$61*K$98^1+$D$62*K$98^1*$B105^1+$D$63*K$98^1*$B105^2+$D$64*K$98^1*$B105^3+$D$65*K$98^2+$D$66*K$98^2*$B105^1+$D$67*K$98^2*$B105^2+$D$68*K$98^3+$D$69*K$98^3*$B105^1+$D$70*K$98^4</f>
        <v>0.176441903409091</v>
      </c>
      <c r="L105" s="30" t="n">
        <f aca="false">$D$56+$D$57*$B105^1+$D$58*$B105^2+$D$59*$B105^3+$D$60*$B105^4+$D$61*L$98^1+$D$62*L$98^1*$B105^1+$D$63*L$98^1*$B105^2+$D$64*L$98^1*$B105^3+$D$65*L$98^2+$D$66*L$98^2*$B105^1+$D$67*L$98^2*$B105^2+$D$68*L$98^3+$D$69*L$98^3*$B105^1+$D$70*L$98^4</f>
        <v>0.178063991477273</v>
      </c>
      <c r="M105" s="30" t="n">
        <f aca="false">$D$56+$D$57*$B105^1+$D$58*$B105^2+$D$59*$B105^3+$D$60*$B105^4+$D$61*M$98^1+$D$62*M$98^1*$B105^1+$D$63*M$98^1*$B105^2+$D$64*M$98^1*$B105^3+$D$65*M$98^2+$D$66*M$98^2*$B105^1+$D$67*M$98^2*$B105^2+$D$68*M$98^3+$D$69*M$98^3*$B105^1+$D$70*M$98^4</f>
        <v>0.178750142045455</v>
      </c>
      <c r="N105" s="30" t="n">
        <f aca="false">$D$56+$D$57*$B105^1+$D$58*$B105^2+$D$59*$B105^3+$D$60*$B105^4+$D$61*N$98^1+$D$62*N$98^1*$B105^1+$D$63*N$98^1*$B105^2+$D$64*N$98^1*$B105^3+$D$65*N$98^2+$D$66*N$98^2*$B105^1+$D$67*N$98^2*$B105^2+$D$68*N$98^3+$D$69*N$98^3*$B105^1+$D$70*N$98^4</f>
        <v>0.178063991477273</v>
      </c>
      <c r="O105" s="30" t="n">
        <f aca="false">$D$56+$D$57*$B105^1+$D$58*$B105^2+$D$59*$B105^3+$D$60*$B105^4+$D$61*O$98^1+$D$62*O$98^1*$B105^1+$D$63*O$98^1*$B105^2+$D$64*O$98^1*$B105^3+$D$65*O$98^2+$D$66*O$98^2*$B105^1+$D$67*O$98^2*$B105^2+$D$68*O$98^3+$D$69*O$98^3*$B105^1+$D$70*O$98^4</f>
        <v>0.176441903409091</v>
      </c>
      <c r="P105" s="30" t="n">
        <f aca="false">$D$56+$D$57*$B105^1+$D$58*$B105^2+$D$59*$B105^3+$D$60*$B105^4+$D$61*P$98^1+$D$62*P$98^1*$B105^1+$D$63*P$98^1*$B105^2+$D$64*P$98^1*$B105^3+$D$65*P$98^2+$D$66*P$98^2*$B105^1+$D$67*P$98^2*$B105^2+$D$68*P$98^3+$D$69*P$98^3*$B105^1+$D$70*P$98^4</f>
        <v>0.17519296875</v>
      </c>
      <c r="Q105" s="30" t="n">
        <f aca="false">$D$56+$D$57*$B105^1+$D$58*$B105^2+$D$59*$B105^3+$D$60*$B105^4+$D$61*Q$98^1+$D$62*Q$98^1*$B105^1+$D$63*Q$98^1*$B105^2+$D$64*Q$98^1*$B105^3+$D$65*Q$98^2+$D$66*Q$98^2*$B105^1+$D$67*Q$98^2*$B105^2+$D$68*Q$98^3+$D$69*Q$98^3*$B105^1+$D$70*Q$98^4</f>
        <v>0.176499005681818</v>
      </c>
      <c r="R105" s="30" t="n">
        <f aca="false">$D$56+$D$57*$B105^1+$D$58*$B105^2+$D$59*$B105^3+$D$60*$B105^4+$D$61*R$98^1+$D$62*R$98^1*$B105^1+$D$63*R$98^1*$B105^2+$D$64*R$98^1*$B105^3+$D$65*R$98^2+$D$66*R$98^2*$B105^1+$D$67*R$98^2*$B105^2+$D$68*R$98^3+$D$69*R$98^3*$B105^1+$D$70*R$98^4</f>
        <v>0.183414559659091</v>
      </c>
      <c r="S105" s="30" t="n">
        <f aca="false">$D$56+$D$57*$B105^1+$D$58*$B105^2+$D$59*$B105^3+$D$60*$B105^4+$D$61*S$98^1+$D$62*S$98^1*$B105^1+$D$63*S$98^1*$B105^2+$D$64*S$98^1*$B105^3+$D$65*S$98^2+$D$66*S$98^2*$B105^1+$D$67*S$98^2*$B105^2+$D$68*S$98^3+$D$69*S$98^3*$B105^1+$D$70*S$98^4</f>
        <v>0.199866903409091</v>
      </c>
      <c r="T105" s="30" t="n">
        <f aca="false">$D$56+$D$57*$B105^1+$D$58*$B105^2+$D$59*$B105^3+$D$60*$B105^4+$D$61*T$98^1+$D$62*T$98^1*$B105^1+$D$63*T$98^1*$B105^2+$D$64*T$98^1*$B105^3+$D$65*T$98^2+$D$66*T$98^2*$B105^1+$D$67*T$98^2*$B105^2+$D$68*T$98^3+$D$69*T$98^3*$B105^1+$D$70*T$98^4</f>
        <v>0.230656036931818</v>
      </c>
      <c r="U105" s="30" t="n">
        <f aca="false">$D$56+$D$57*$B105^1+$D$58*$B105^2+$D$59*$B105^3+$D$60*$B105^4+$D$61*U$98^1+$D$62*U$98^1*$B105^1+$D$63*U$98^1*$B105^2+$D$64*U$98^1*$B105^3+$D$65*U$98^2+$D$66*U$98^2*$B105^1+$D$67*U$98^2*$B105^2+$D$68*U$98^3+$D$69*U$98^3*$B105^1+$D$70*U$98^4</f>
        <v>0.2814546875</v>
      </c>
      <c r="V105" s="30" t="n">
        <f aca="false">$D$56+$D$57*$B105^1+$D$58*$B105^2+$D$59*$B105^3+$D$60*$B105^4+$D$61*V$98^1+$D$62*V$98^1*$B105^1+$D$63*V$98^1*$B105^2+$D$64*V$98^1*$B105^3+$D$65*V$98^2+$D$66*V$98^2*$B105^1+$D$67*V$98^2*$B105^2+$D$68*V$98^3+$D$69*V$98^3*$B105^1+$D$70*V$98^4</f>
        <v>0.358808309659091</v>
      </c>
      <c r="W105" s="30" t="n">
        <f aca="false">$D$56+$D$57*$B105^1+$D$58*$B105^2+$D$59*$B105^3+$D$60*$B105^4+$D$61*W$98^1+$D$62*W$98^1*$B105^1+$D$63*W$98^1*$B105^2+$D$64*W$98^1*$B105^3+$D$65*W$98^2+$D$66*W$98^2*$B105^1+$D$67*W$98^2*$B105^2+$D$68*W$98^3+$D$69*W$98^3*$B105^1+$D$70*W$98^4</f>
        <v>0.470135085227273</v>
      </c>
    </row>
    <row r="106" customFormat="false" ht="15" hidden="false" customHeight="false" outlineLevel="0" collapsed="false">
      <c r="B106" s="39" t="n">
        <v>0.3</v>
      </c>
      <c r="C106" s="30" t="n">
        <f aca="false">$D$56+$D$57*$B106^1+$D$58*$B106^2+$D$59*$B106^3+$D$60*$B106^4+$D$61*C$98^1+$D$62*C$98^1*$B106^1+$D$63*C$98^1*$B106^2+$D$64*C$98^1*$B106^3+$D$65*C$98^2+$D$66*C$98^2*$B106^1+$D$67*C$98^2*$B106^2+$D$68*C$98^3+$D$69*C$98^3*$B106^1+$D$70*C$98^4</f>
        <v>0.477515411931818</v>
      </c>
      <c r="D106" s="30" t="n">
        <f aca="false">$D$56+$D$57*$B106^1+$D$58*$B106^2+$D$59*$B106^3+$D$60*$B106^4+$D$61*D$98^1+$D$62*D$98^1*$B106^1+$D$63*D$98^1*$B106^2+$D$64*D$98^1*$B106^3+$D$65*D$98^2+$D$66*D$98^2*$B106^1+$D$67*D$98^2*$B106^2+$D$68*D$98^3+$D$69*D$98^3*$B106^1+$D$70*D$98^4</f>
        <v>0.364223863636364</v>
      </c>
      <c r="E106" s="30" t="n">
        <f aca="false">$D$56+$D$57*$B106^1+$D$58*$B106^2+$D$59*$B106^3+$D$60*$B106^4+$D$61*E$98^1+$D$62*E$98^1*$B106^1+$D$63*E$98^1*$B106^2+$D$64*E$98^1*$B106^3+$D$65*E$98^2+$D$66*E$98^2*$B106^1+$D$67*E$98^2*$B106^2+$D$68*E$98^3+$D$69*E$98^3*$B106^1+$D$70*E$98^4</f>
        <v>0.285112286931818</v>
      </c>
      <c r="F106" s="30" t="n">
        <f aca="false">$D$56+$D$57*$B106^1+$D$58*$B106^2+$D$59*$B106^3+$D$60*$B106^4+$D$61*F$98^1+$D$62*F$98^1*$B106^1+$D$63*F$98^1*$B106^2+$D$64*F$98^1*$B106^3+$D$65*F$98^2+$D$66*F$98^2*$B106^1+$D$67*F$98^2*$B106^2+$D$68*F$98^3+$D$69*F$98^3*$B106^1+$D$70*F$98^4</f>
        <v>0.2327625</v>
      </c>
      <c r="G106" s="30" t="n">
        <f aca="false">$D$56+$D$57*$B106^1+$D$58*$B106^2+$D$59*$B106^3+$D$60*$B106^4+$D$61*G$98^1+$D$62*G$98^1*$B106^1+$D$63*G$98^1*$B106^2+$D$64*G$98^1*$B106^3+$D$65*G$98^2+$D$66*G$98^2*$B106^1+$D$67*G$98^2*$B106^2+$D$68*G$98^3+$D$69*G$98^3*$B106^1+$D$70*G$98^4</f>
        <v>0.200629048295455</v>
      </c>
      <c r="H106" s="30" t="n">
        <f aca="false">$D$56+$D$57*$B106^1+$D$58*$B106^2+$D$59*$B106^3+$D$60*$B106^4+$D$61*H$98^1+$D$62*H$98^1*$B106^1+$D$63*H$98^1*$B106^2+$D$64*H$98^1*$B106^3+$D$65*H$98^2+$D$66*H$98^2*$B106^1+$D$67*H$98^2*$B106^2+$D$68*H$98^3+$D$69*H$98^3*$B106^1+$D$70*H$98^4</f>
        <v>0.183039204545455</v>
      </c>
      <c r="I106" s="30" t="n">
        <f aca="false">$D$56+$D$57*$B106^1+$D$58*$B106^2+$D$59*$B106^3+$D$60*$B106^4+$D$61*I$98^1+$D$62*I$98^1*$B106^1+$D$63*I$98^1*$B106^2+$D$64*I$98^1*$B106^3+$D$65*I$98^2+$D$66*I$98^2*$B106^1+$D$67*I$98^2*$B106^2+$D$68*I$98^3+$D$69*I$98^3*$B106^1+$D$70*I$98^4</f>
        <v>0.17519296875</v>
      </c>
      <c r="J106" s="30" t="n">
        <f aca="false">$D$56+$D$57*$B106^1+$D$58*$B106^2+$D$59*$B106^3+$D$60*$B106^4+$D$61*J$98^1+$D$62*J$98^1*$B106^1+$D$63*J$98^1*$B106^2+$D$64*J$98^1*$B106^3+$D$65*J$98^2+$D$66*J$98^2*$B106^1+$D$67*J$98^2*$B106^2+$D$68*J$98^3+$D$69*J$98^3*$B106^1+$D$70*J$98^4</f>
        <v>0.173163068181818</v>
      </c>
      <c r="K106" s="30" t="n">
        <f aca="false">$D$56+$D$57*$B106^1+$D$58*$B106^2+$D$59*$B106^3+$D$60*$B106^4+$D$61*K$98^1+$D$62*K$98^1*$B106^1+$D$63*K$98^1*$B106^2+$D$64*K$98^1*$B106^3+$D$65*K$98^2+$D$66*K$98^2*$B106^1+$D$67*K$98^2*$B106^2+$D$68*K$98^3+$D$69*K$98^3*$B106^1+$D$70*K$98^4</f>
        <v>0.173894957386364</v>
      </c>
      <c r="L106" s="30" t="n">
        <f aca="false">$D$56+$D$57*$B106^1+$D$58*$B106^2+$D$59*$B106^3+$D$60*$B106^4+$D$61*L$98^1+$D$62*L$98^1*$B106^1+$D$63*L$98^1*$B106^2+$D$64*L$98^1*$B106^3+$D$65*L$98^2+$D$66*L$98^2*$B106^1+$D$67*L$98^2*$B106^2+$D$68*L$98^3+$D$69*L$98^3*$B106^1+$D$70*L$98^4</f>
        <v>0.175206818181818</v>
      </c>
      <c r="M106" s="30" t="n">
        <f aca="false">$D$56+$D$57*$B106^1+$D$58*$B106^2+$D$59*$B106^3+$D$60*$B106^4+$D$61*M$98^1+$D$62*M$98^1*$B106^1+$D$63*M$98^1*$B106^2+$D$64*M$98^1*$B106^3+$D$65*M$98^2+$D$66*M$98^2*$B106^1+$D$67*M$98^2*$B106^2+$D$68*M$98^3+$D$69*M$98^3*$B106^1+$D$70*M$98^4</f>
        <v>0.175789559659091</v>
      </c>
      <c r="N106" s="30" t="n">
        <f aca="false">$D$56+$D$57*$B106^1+$D$58*$B106^2+$D$59*$B106^3+$D$60*$B106^4+$D$61*N$98^1+$D$62*N$98^1*$B106^1+$D$63*N$98^1*$B106^2+$D$64*N$98^1*$B106^3+$D$65*N$98^2+$D$66*N$98^2*$B106^1+$D$67*N$98^2*$B106^2+$D$68*N$98^3+$D$69*N$98^3*$B106^1+$D$70*N$98^4</f>
        <v>0.175206818181818</v>
      </c>
      <c r="O106" s="30" t="n">
        <f aca="false">$D$56+$D$57*$B106^1+$D$58*$B106^2+$D$59*$B106^3+$D$60*$B106^4+$D$61*O$98^1+$D$62*O$98^1*$B106^1+$D$63*O$98^1*$B106^2+$D$64*O$98^1*$B106^3+$D$65*O$98^2+$D$66*O$98^2*$B106^1+$D$67*O$98^2*$B106^2+$D$68*O$98^3+$D$69*O$98^3*$B106^1+$D$70*O$98^4</f>
        <v>0.173894957386364</v>
      </c>
      <c r="P106" s="30" t="n">
        <f aca="false">$D$56+$D$57*$B106^1+$D$58*$B106^2+$D$59*$B106^3+$D$60*$B106^4+$D$61*P$98^1+$D$62*P$98^1*$B106^1+$D$63*P$98^1*$B106^2+$D$64*P$98^1*$B106^3+$D$65*P$98^2+$D$66*P$98^2*$B106^1+$D$67*P$98^2*$B106^2+$D$68*P$98^3+$D$69*P$98^3*$B106^1+$D$70*P$98^4</f>
        <v>0.173163068181818</v>
      </c>
      <c r="Q106" s="30" t="n">
        <f aca="false">$D$56+$D$57*$B106^1+$D$58*$B106^2+$D$59*$B106^3+$D$60*$B106^4+$D$61*Q$98^1+$D$62*Q$98^1*$B106^1+$D$63*Q$98^1*$B106^2+$D$64*Q$98^1*$B106^3+$D$65*Q$98^2+$D$66*Q$98^2*$B106^1+$D$67*Q$98^2*$B106^2+$D$68*Q$98^3+$D$69*Q$98^3*$B106^1+$D$70*Q$98^4</f>
        <v>0.17519296875</v>
      </c>
      <c r="R106" s="30" t="n">
        <f aca="false">$D$56+$D$57*$B106^1+$D$58*$B106^2+$D$59*$B106^3+$D$60*$B106^4+$D$61*R$98^1+$D$62*R$98^1*$B106^1+$D$63*R$98^1*$B106^2+$D$64*R$98^1*$B106^3+$D$65*R$98^2+$D$66*R$98^2*$B106^1+$D$67*R$98^2*$B106^2+$D$68*R$98^3+$D$69*R$98^3*$B106^1+$D$70*R$98^4</f>
        <v>0.183039204545455</v>
      </c>
      <c r="S106" s="30" t="n">
        <f aca="false">$D$56+$D$57*$B106^1+$D$58*$B106^2+$D$59*$B106^3+$D$60*$B106^4+$D$61*S$98^1+$D$62*S$98^1*$B106^1+$D$63*S$98^1*$B106^2+$D$64*S$98^1*$B106^3+$D$65*S$98^2+$D$66*S$98^2*$B106^1+$D$67*S$98^2*$B106^2+$D$68*S$98^3+$D$69*S$98^3*$B106^1+$D$70*S$98^4</f>
        <v>0.200629048295455</v>
      </c>
      <c r="T106" s="30" t="n">
        <f aca="false">$D$56+$D$57*$B106^1+$D$58*$B106^2+$D$59*$B106^3+$D$60*$B106^4+$D$61*T$98^1+$D$62*T$98^1*$B106^1+$D$63*T$98^1*$B106^2+$D$64*T$98^1*$B106^3+$D$65*T$98^2+$D$66*T$98^2*$B106^1+$D$67*T$98^2*$B106^2+$D$68*T$98^3+$D$69*T$98^3*$B106^1+$D$70*T$98^4</f>
        <v>0.2327625</v>
      </c>
      <c r="U106" s="30" t="n">
        <f aca="false">$D$56+$D$57*$B106^1+$D$58*$B106^2+$D$59*$B106^3+$D$60*$B106^4+$D$61*U$98^1+$D$62*U$98^1*$B106^1+$D$63*U$98^1*$B106^2+$D$64*U$98^1*$B106^3+$D$65*U$98^2+$D$66*U$98^2*$B106^1+$D$67*U$98^2*$B106^2+$D$68*U$98^3+$D$69*U$98^3*$B106^1+$D$70*U$98^4</f>
        <v>0.285112286931818</v>
      </c>
      <c r="V106" s="30" t="n">
        <f aca="false">$D$56+$D$57*$B106^1+$D$58*$B106^2+$D$59*$B106^3+$D$60*$B106^4+$D$61*V$98^1+$D$62*V$98^1*$B106^1+$D$63*V$98^1*$B106^2+$D$64*V$98^1*$B106^3+$D$65*V$98^2+$D$66*V$98^2*$B106^1+$D$67*V$98^2*$B106^2+$D$68*V$98^3+$D$69*V$98^3*$B106^1+$D$70*V$98^4</f>
        <v>0.364223863636364</v>
      </c>
      <c r="W106" s="30" t="n">
        <f aca="false">$D$56+$D$57*$B106^1+$D$58*$B106^2+$D$59*$B106^3+$D$60*$B106^4+$D$61*W$98^1+$D$62*W$98^1*$B106^1+$D$63*W$98^1*$B106^2+$D$64*W$98^1*$B106^3+$D$65*W$98^2+$D$66*W$98^2*$B106^1+$D$67*W$98^2*$B106^2+$D$68*W$98^3+$D$69*W$98^3*$B106^1+$D$70*W$98^4</f>
        <v>0.477515411931818</v>
      </c>
    </row>
    <row r="107" customFormat="false" ht="15" hidden="false" customHeight="false" outlineLevel="0" collapsed="false">
      <c r="B107" s="39" t="n">
        <v>0.2</v>
      </c>
      <c r="C107" s="30" t="n">
        <f aca="false">$D$56+$D$57*$B107^1+$D$58*$B107^2+$D$59*$B107^3+$D$60*$B107^4+$D$61*C$98^1+$D$62*C$98^1*$B107^1+$D$63*C$98^1*$B107^2+$D$64*C$98^1*$B107^3+$D$65*C$98^2+$D$66*C$98^2*$B107^1+$D$67*C$98^2*$B107^2+$D$68*C$98^3+$D$69*C$98^3*$B107^1+$D$70*C$98^4</f>
        <v>0.484968892045455</v>
      </c>
      <c r="D107" s="30" t="n">
        <f aca="false">$D$56+$D$57*$B107^1+$D$58*$B107^2+$D$59*$B107^3+$D$60*$B107^4+$D$61*D$98^1+$D$62*D$98^1*$B107^1+$D$63*D$98^1*$B107^2+$D$64*D$98^1*$B107^3+$D$65*D$98^2+$D$66*D$98^2*$B107^1+$D$67*D$98^2*$B107^2+$D$68*D$98^3+$D$69*D$98^3*$B107^1+$D$70*D$98^4</f>
        <v>0.370273934659091</v>
      </c>
      <c r="E107" s="30" t="n">
        <f aca="false">$D$56+$D$57*$B107^1+$D$58*$B107^2+$D$59*$B107^3+$D$60*$B107^4+$D$61*E$98^1+$D$62*E$98^1*$B107^1+$D$63*E$98^1*$B107^2+$D$64*E$98^1*$B107^3+$D$65*E$98^2+$D$66*E$98^2*$B107^1+$D$67*E$98^2*$B107^2+$D$68*E$98^3+$D$69*E$98^3*$B107^1+$D$70*E$98^4</f>
        <v>0.289906676136364</v>
      </c>
      <c r="F107" s="30" t="n">
        <f aca="false">$D$56+$D$57*$B107^1+$D$58*$B107^2+$D$59*$B107^3+$D$60*$B107^4+$D$61*F$98^1+$D$62*F$98^1*$B107^1+$D$63*F$98^1*$B107^2+$D$64*F$98^1*$B107^3+$D$65*F$98^2+$D$66*F$98^2*$B107^1+$D$67*F$98^2*$B107^2+$D$68*F$98^3+$D$69*F$98^3*$B107^1+$D$70*F$98^4</f>
        <v>0.236448934659091</v>
      </c>
      <c r="G107" s="30" t="n">
        <f aca="false">$D$56+$D$57*$B107^1+$D$58*$B107^2+$D$59*$B107^3+$D$60*$B107^4+$D$61*G$98^1+$D$62*G$98^1*$B107^1+$D$63*G$98^1*$B107^2+$D$64*G$98^1*$B107^3+$D$65*G$98^2+$D$66*G$98^2*$B107^1+$D$67*G$98^2*$B107^2+$D$68*G$98^3+$D$69*G$98^3*$B107^1+$D$70*G$98^4</f>
        <v>0.203355255681818</v>
      </c>
      <c r="H107" s="30" t="n">
        <f aca="false">$D$56+$D$57*$B107^1+$D$58*$B107^2+$D$59*$B107^3+$D$60*$B107^4+$D$61*H$98^1+$D$62*H$98^1*$B107^1+$D$63*H$98^1*$B107^2+$D$64*H$98^1*$B107^3+$D$65*H$98^2+$D$66*H$98^2*$B107^1+$D$67*H$98^2*$B107^2+$D$68*H$98^3+$D$69*H$98^3*$B107^1+$D$70*H$98^4</f>
        <v>0.184952911931818</v>
      </c>
      <c r="I107" s="30" t="n">
        <f aca="false">$D$56+$D$57*$B107^1+$D$58*$B107^2+$D$59*$B107^3+$D$60*$B107^4+$D$61*I$98^1+$D$62*I$98^1*$B107^1+$D$63*I$98^1*$B107^2+$D$64*I$98^1*$B107^3+$D$65*I$98^2+$D$66*I$98^2*$B107^1+$D$67*I$98^2*$B107^2+$D$68*I$98^3+$D$69*I$98^3*$B107^1+$D$70*I$98^4</f>
        <v>0.176441903409091</v>
      </c>
      <c r="J107" s="30" t="n">
        <f aca="false">$D$56+$D$57*$B107^1+$D$58*$B107^2+$D$59*$B107^3+$D$60*$B107^4+$D$61*J$98^1+$D$62*J$98^1*$B107^1+$D$63*J$98^1*$B107^2+$D$64*J$98^1*$B107^3+$D$65*J$98^2+$D$66*J$98^2*$B107^1+$D$67*J$98^2*$B107^2+$D$68*J$98^3+$D$69*J$98^3*$B107^1+$D$70*J$98^4</f>
        <v>0.173894957386364</v>
      </c>
      <c r="K107" s="30" t="n">
        <f aca="false">$D$56+$D$57*$B107^1+$D$58*$B107^2+$D$59*$B107^3+$D$60*$B107^4+$D$61*K$98^1+$D$62*K$98^1*$B107^1+$D$63*K$98^1*$B107^2+$D$64*K$98^1*$B107^3+$D$65*K$98^2+$D$66*K$98^2*$B107^1+$D$67*K$98^2*$B107^2+$D$68*K$98^3+$D$69*K$98^3*$B107^1+$D$70*K$98^4</f>
        <v>0.174257528409091</v>
      </c>
      <c r="L107" s="30" t="n">
        <f aca="false">$D$56+$D$57*$B107^1+$D$58*$B107^2+$D$59*$B107^3+$D$60*$B107^4+$D$61*L$98^1+$D$62*L$98^1*$B107^1+$D$63*L$98^1*$B107^2+$D$64*L$98^1*$B107^3+$D$65*L$98^2+$D$66*L$98^2*$B107^1+$D$67*L$98^2*$B107^2+$D$68*L$98^3+$D$69*L$98^3*$B107^1+$D$70*L$98^4</f>
        <v>0.175347798295455</v>
      </c>
      <c r="M107" s="30" t="n">
        <f aca="false">$D$56+$D$57*$B107^1+$D$58*$B107^2+$D$59*$B107^3+$D$60*$B107^4+$D$61*M$98^1+$D$62*M$98^1*$B107^1+$D$63*M$98^1*$B107^2+$D$64*M$98^1*$B107^3+$D$65*M$98^2+$D$66*M$98^2*$B107^1+$D$67*M$98^2*$B107^2+$D$68*M$98^3+$D$69*M$98^3*$B107^1+$D$70*M$98^4</f>
        <v>0.175856676136364</v>
      </c>
      <c r="N107" s="30" t="n">
        <f aca="false">$D$56+$D$57*$B107^1+$D$58*$B107^2+$D$59*$B107^3+$D$60*$B107^4+$D$61*N$98^1+$D$62*N$98^1*$B107^1+$D$63*N$98^1*$B107^2+$D$64*N$98^1*$B107^3+$D$65*N$98^2+$D$66*N$98^2*$B107^1+$D$67*N$98^2*$B107^2+$D$68*N$98^3+$D$69*N$98^3*$B107^1+$D$70*N$98^4</f>
        <v>0.175347798295455</v>
      </c>
      <c r="O107" s="30" t="n">
        <f aca="false">$D$56+$D$57*$B107^1+$D$58*$B107^2+$D$59*$B107^3+$D$60*$B107^4+$D$61*O$98^1+$D$62*O$98^1*$B107^1+$D$63*O$98^1*$B107^2+$D$64*O$98^1*$B107^3+$D$65*O$98^2+$D$66*O$98^2*$B107^1+$D$67*O$98^2*$B107^2+$D$68*O$98^3+$D$69*O$98^3*$B107^1+$D$70*O$98^4</f>
        <v>0.174257528409091</v>
      </c>
      <c r="P107" s="30" t="n">
        <f aca="false">$D$56+$D$57*$B107^1+$D$58*$B107^2+$D$59*$B107^3+$D$60*$B107^4+$D$61*P$98^1+$D$62*P$98^1*$B107^1+$D$63*P$98^1*$B107^2+$D$64*P$98^1*$B107^3+$D$65*P$98^2+$D$66*P$98^2*$B107^1+$D$67*P$98^2*$B107^2+$D$68*P$98^3+$D$69*P$98^3*$B107^1+$D$70*P$98^4</f>
        <v>0.173894957386364</v>
      </c>
      <c r="Q107" s="30" t="n">
        <f aca="false">$D$56+$D$57*$B107^1+$D$58*$B107^2+$D$59*$B107^3+$D$60*$B107^4+$D$61*Q$98^1+$D$62*Q$98^1*$B107^1+$D$63*Q$98^1*$B107^2+$D$64*Q$98^1*$B107^3+$D$65*Q$98^2+$D$66*Q$98^2*$B107^1+$D$67*Q$98^2*$B107^2+$D$68*Q$98^3+$D$69*Q$98^3*$B107^1+$D$70*Q$98^4</f>
        <v>0.176441903409091</v>
      </c>
      <c r="R107" s="30" t="n">
        <f aca="false">$D$56+$D$57*$B107^1+$D$58*$B107^2+$D$59*$B107^3+$D$60*$B107^4+$D$61*R$98^1+$D$62*R$98^1*$B107^1+$D$63*R$98^1*$B107^2+$D$64*R$98^1*$B107^3+$D$65*R$98^2+$D$66*R$98^2*$B107^1+$D$67*R$98^2*$B107^2+$D$68*R$98^3+$D$69*R$98^3*$B107^1+$D$70*R$98^4</f>
        <v>0.184952911931818</v>
      </c>
      <c r="S107" s="30" t="n">
        <f aca="false">$D$56+$D$57*$B107^1+$D$58*$B107^2+$D$59*$B107^3+$D$60*$B107^4+$D$61*S$98^1+$D$62*S$98^1*$B107^1+$D$63*S$98^1*$B107^2+$D$64*S$98^1*$B107^3+$D$65*S$98^2+$D$66*S$98^2*$B107^1+$D$67*S$98^2*$B107^2+$D$68*S$98^3+$D$69*S$98^3*$B107^1+$D$70*S$98^4</f>
        <v>0.203355255681818</v>
      </c>
      <c r="T107" s="30" t="n">
        <f aca="false">$D$56+$D$57*$B107^1+$D$58*$B107^2+$D$59*$B107^3+$D$60*$B107^4+$D$61*T$98^1+$D$62*T$98^1*$B107^1+$D$63*T$98^1*$B107^2+$D$64*T$98^1*$B107^3+$D$65*T$98^2+$D$66*T$98^2*$B107^1+$D$67*T$98^2*$B107^2+$D$68*T$98^3+$D$69*T$98^3*$B107^1+$D$70*T$98^4</f>
        <v>0.236448934659091</v>
      </c>
      <c r="U107" s="30" t="n">
        <f aca="false">$D$56+$D$57*$B107^1+$D$58*$B107^2+$D$59*$B107^3+$D$60*$B107^4+$D$61*U$98^1+$D$62*U$98^1*$B107^1+$D$63*U$98^1*$B107^2+$D$64*U$98^1*$B107^3+$D$65*U$98^2+$D$66*U$98^2*$B107^1+$D$67*U$98^2*$B107^2+$D$68*U$98^3+$D$69*U$98^3*$B107^1+$D$70*U$98^4</f>
        <v>0.289906676136364</v>
      </c>
      <c r="V107" s="30" t="n">
        <f aca="false">$D$56+$D$57*$B107^1+$D$58*$B107^2+$D$59*$B107^3+$D$60*$B107^4+$D$61*V$98^1+$D$62*V$98^1*$B107^1+$D$63*V$98^1*$B107^2+$D$64*V$98^1*$B107^3+$D$65*V$98^2+$D$66*V$98^2*$B107^1+$D$67*V$98^2*$B107^2+$D$68*V$98^3+$D$69*V$98^3*$B107^1+$D$70*V$98^4</f>
        <v>0.370273934659091</v>
      </c>
      <c r="W107" s="30" t="n">
        <f aca="false">$D$56+$D$57*$B107^1+$D$58*$B107^2+$D$59*$B107^3+$D$60*$B107^4+$D$61*W$98^1+$D$62*W$98^1*$B107^1+$D$63*W$98^1*$B107^2+$D$64*W$98^1*$B107^3+$D$65*W$98^2+$D$66*W$98^2*$B107^1+$D$67*W$98^2*$B107^2+$D$68*W$98^3+$D$69*W$98^3*$B107^1+$D$70*W$98^4</f>
        <v>0.484968892045455</v>
      </c>
    </row>
    <row r="108" customFormat="false" ht="15" hidden="false" customHeight="false" outlineLevel="0" collapsed="false">
      <c r="B108" s="39" t="n">
        <v>0.1</v>
      </c>
      <c r="C108" s="30" t="n">
        <f aca="false">$D$56+$D$57*$B108^1+$D$58*$B108^2+$D$59*$B108^3+$D$60*$B108^4+$D$61*C$98^1+$D$62*C$98^1*$B108^1+$D$63*C$98^1*$B108^2+$D$64*C$98^1*$B108^3+$D$65*C$98^2+$D$66*C$98^2*$B108^1+$D$67*C$98^2*$B108^2+$D$68*C$98^3+$D$69*C$98^3*$B108^1+$D$70*C$98^4</f>
        <v>0.490313707386364</v>
      </c>
      <c r="D108" s="30" t="n">
        <f aca="false">$D$56+$D$57*$B108^1+$D$58*$B108^2+$D$59*$B108^3+$D$60*$B108^4+$D$61*D$98^1+$D$62*D$98^1*$B108^1+$D$63*D$98^1*$B108^2+$D$64*D$98^1*$B108^3+$D$65*D$98^2+$D$66*D$98^2*$B108^1+$D$67*D$98^2*$B108^2+$D$68*D$98^3+$D$69*D$98^3*$B108^1+$D$70*D$98^4</f>
        <v>0.374776704545455</v>
      </c>
      <c r="E108" s="30" t="n">
        <f aca="false">$D$56+$D$57*$B108^1+$D$58*$B108^2+$D$59*$B108^3+$D$60*$B108^4+$D$61*E$98^1+$D$62*E$98^1*$B108^1+$D$63*E$98^1*$B108^2+$D$64*E$98^1*$B108^3+$D$65*E$98^2+$D$66*E$98^2*$B108^1+$D$67*E$98^2*$B108^2+$D$68*E$98^3+$D$69*E$98^3*$B108^1+$D$70*E$98^4</f>
        <v>0.293656036931818</v>
      </c>
      <c r="F108" s="30" t="n">
        <f aca="false">$D$56+$D$57*$B108^1+$D$58*$B108^2+$D$59*$B108^3+$D$60*$B108^4+$D$61*F$98^1+$D$62*F$98^1*$B108^1+$D$63*F$98^1*$B108^2+$D$64*F$98^1*$B108^3+$D$65*F$98^2+$D$66*F$98^2*$B108^1+$D$67*F$98^2*$B108^2+$D$68*F$98^3+$D$69*F$98^3*$B108^1+$D$70*F$98^4</f>
        <v>0.239533522727273</v>
      </c>
      <c r="G108" s="30" t="n">
        <f aca="false">$D$56+$D$57*$B108^1+$D$58*$B108^2+$D$59*$B108^3+$D$60*$B108^4+$D$61*G$98^1+$D$62*G$98^1*$B108^1+$D$63*G$98^1*$B108^2+$D$64*G$98^1*$B108^3+$D$65*G$98^2+$D$66*G$98^2*$B108^1+$D$67*G$98^2*$B108^2+$D$68*G$98^3+$D$69*G$98^3*$B108^1+$D$70*G$98^4</f>
        <v>0.205863707386364</v>
      </c>
      <c r="H108" s="30" t="n">
        <f aca="false">$D$56+$D$57*$B108^1+$D$58*$B108^2+$D$59*$B108^3+$D$60*$B108^4+$D$61*H$98^1+$D$62*H$98^1*$B108^1+$D$63*H$98^1*$B108^2+$D$64*H$98^1*$B108^3+$D$65*H$98^2+$D$66*H$98^2*$B108^1+$D$67*H$98^2*$B108^2+$D$68*H$98^3+$D$69*H$98^3*$B108^1+$D$70*H$98^4</f>
        <v>0.186973863636364</v>
      </c>
      <c r="I108" s="30" t="n">
        <f aca="false">$D$56+$D$57*$B108^1+$D$58*$B108^2+$D$59*$B108^3+$D$60*$B108^4+$D$61*I$98^1+$D$62*I$98^1*$B108^1+$D$63*I$98^1*$B108^2+$D$64*I$98^1*$B108^3+$D$65*I$98^2+$D$66*I$98^2*$B108^1+$D$67*I$98^2*$B108^2+$D$68*I$98^3+$D$69*I$98^3*$B108^1+$D$70*I$98^4</f>
        <v>0.178063991477273</v>
      </c>
      <c r="J108" s="30" t="n">
        <f aca="false">$D$56+$D$57*$B108^1+$D$58*$B108^2+$D$59*$B108^3+$D$60*$B108^4+$D$61*J$98^1+$D$62*J$98^1*$B108^1+$D$63*J$98^1*$B108^2+$D$64*J$98^1*$B108^3+$D$65*J$98^2+$D$66*J$98^2*$B108^1+$D$67*J$98^2*$B108^2+$D$68*J$98^3+$D$69*J$98^3*$B108^1+$D$70*J$98^4</f>
        <v>0.175206818181818</v>
      </c>
      <c r="K108" s="30" t="n">
        <f aca="false">$D$56+$D$57*$B108^1+$D$58*$B108^2+$D$59*$B108^3+$D$60*$B108^4+$D$61*K$98^1+$D$62*K$98^1*$B108^1+$D$63*K$98^1*$B108^2+$D$64*K$98^1*$B108^3+$D$65*K$98^2+$D$66*K$98^2*$B108^1+$D$67*K$98^2*$B108^2+$D$68*K$98^3+$D$69*K$98^3*$B108^1+$D$70*K$98^4</f>
        <v>0.175347798295455</v>
      </c>
      <c r="L108" s="30" t="n">
        <f aca="false">$D$56+$D$57*$B108^1+$D$58*$B108^2+$D$59*$B108^3+$D$60*$B108^4+$D$61*L$98^1+$D$62*L$98^1*$B108^1+$D$63*L$98^1*$B108^2+$D$64*L$98^1*$B108^3+$D$65*L$98^2+$D$66*L$98^2*$B108^1+$D$67*L$98^2*$B108^2+$D$68*L$98^3+$D$69*L$98^3*$B108^1+$D$70*L$98^4</f>
        <v>0.176305113636364</v>
      </c>
      <c r="M108" s="30" t="n">
        <f aca="false">$D$56+$D$57*$B108^1+$D$58*$B108^2+$D$59*$B108^3+$D$60*$B108^4+$D$61*M$98^1+$D$62*M$98^1*$B108^1+$D$63*M$98^1*$B108^2+$D$64*M$98^1*$B108^3+$D$65*M$98^2+$D$66*M$98^2*$B108^1+$D$67*M$98^2*$B108^2+$D$68*M$98^3+$D$69*M$98^3*$B108^1+$D$70*M$98^4</f>
        <v>0.176769673295455</v>
      </c>
      <c r="N108" s="30" t="n">
        <f aca="false">$D$56+$D$57*$B108^1+$D$58*$B108^2+$D$59*$B108^3+$D$60*$B108^4+$D$61*N$98^1+$D$62*N$98^1*$B108^1+$D$63*N$98^1*$B108^2+$D$64*N$98^1*$B108^3+$D$65*N$98^2+$D$66*N$98^2*$B108^1+$D$67*N$98^2*$B108^2+$D$68*N$98^3+$D$69*N$98^3*$B108^1+$D$70*N$98^4</f>
        <v>0.176305113636364</v>
      </c>
      <c r="O108" s="30" t="n">
        <f aca="false">$D$56+$D$57*$B108^1+$D$58*$B108^2+$D$59*$B108^3+$D$60*$B108^4+$D$61*O$98^1+$D$62*O$98^1*$B108^1+$D$63*O$98^1*$B108^2+$D$64*O$98^1*$B108^3+$D$65*O$98^2+$D$66*O$98^2*$B108^1+$D$67*O$98^2*$B108^2+$D$68*O$98^3+$D$69*O$98^3*$B108^1+$D$70*O$98^4</f>
        <v>0.175347798295455</v>
      </c>
      <c r="P108" s="30" t="n">
        <f aca="false">$D$56+$D$57*$B108^1+$D$58*$B108^2+$D$59*$B108^3+$D$60*$B108^4+$D$61*P$98^1+$D$62*P$98^1*$B108^1+$D$63*P$98^1*$B108^2+$D$64*P$98^1*$B108^3+$D$65*P$98^2+$D$66*P$98^2*$B108^1+$D$67*P$98^2*$B108^2+$D$68*P$98^3+$D$69*P$98^3*$B108^1+$D$70*P$98^4</f>
        <v>0.175206818181818</v>
      </c>
      <c r="Q108" s="30" t="n">
        <f aca="false">$D$56+$D$57*$B108^1+$D$58*$B108^2+$D$59*$B108^3+$D$60*$B108^4+$D$61*Q$98^1+$D$62*Q$98^1*$B108^1+$D$63*Q$98^1*$B108^2+$D$64*Q$98^1*$B108^3+$D$65*Q$98^2+$D$66*Q$98^2*$B108^1+$D$67*Q$98^2*$B108^2+$D$68*Q$98^3+$D$69*Q$98^3*$B108^1+$D$70*Q$98^4</f>
        <v>0.178063991477273</v>
      </c>
      <c r="R108" s="30" t="n">
        <f aca="false">$D$56+$D$57*$B108^1+$D$58*$B108^2+$D$59*$B108^3+$D$60*$B108^4+$D$61*R$98^1+$D$62*R$98^1*$B108^1+$D$63*R$98^1*$B108^2+$D$64*R$98^1*$B108^3+$D$65*R$98^2+$D$66*R$98^2*$B108^1+$D$67*R$98^2*$B108^2+$D$68*R$98^3+$D$69*R$98^3*$B108^1+$D$70*R$98^4</f>
        <v>0.186973863636364</v>
      </c>
      <c r="S108" s="30" t="n">
        <f aca="false">$D$56+$D$57*$B108^1+$D$58*$B108^2+$D$59*$B108^3+$D$60*$B108^4+$D$61*S$98^1+$D$62*S$98^1*$B108^1+$D$63*S$98^1*$B108^2+$D$64*S$98^1*$B108^3+$D$65*S$98^2+$D$66*S$98^2*$B108^1+$D$67*S$98^2*$B108^2+$D$68*S$98^3+$D$69*S$98^3*$B108^1+$D$70*S$98^4</f>
        <v>0.205863707386364</v>
      </c>
      <c r="T108" s="30" t="n">
        <f aca="false">$D$56+$D$57*$B108^1+$D$58*$B108^2+$D$59*$B108^3+$D$60*$B108^4+$D$61*T$98^1+$D$62*T$98^1*$B108^1+$D$63*T$98^1*$B108^2+$D$64*T$98^1*$B108^3+$D$65*T$98^2+$D$66*T$98^2*$B108^1+$D$67*T$98^2*$B108^2+$D$68*T$98^3+$D$69*T$98^3*$B108^1+$D$70*T$98^4</f>
        <v>0.239533522727273</v>
      </c>
      <c r="U108" s="30" t="n">
        <f aca="false">$D$56+$D$57*$B108^1+$D$58*$B108^2+$D$59*$B108^3+$D$60*$B108^4+$D$61*U$98^1+$D$62*U$98^1*$B108^1+$D$63*U$98^1*$B108^2+$D$64*U$98^1*$B108^3+$D$65*U$98^2+$D$66*U$98^2*$B108^1+$D$67*U$98^2*$B108^2+$D$68*U$98^3+$D$69*U$98^3*$B108^1+$D$70*U$98^4</f>
        <v>0.293656036931818</v>
      </c>
      <c r="V108" s="30" t="n">
        <f aca="false">$D$56+$D$57*$B108^1+$D$58*$B108^2+$D$59*$B108^3+$D$60*$B108^4+$D$61*V$98^1+$D$62*V$98^1*$B108^1+$D$63*V$98^1*$B108^2+$D$64*V$98^1*$B108^3+$D$65*V$98^2+$D$66*V$98^2*$B108^1+$D$67*V$98^2*$B108^2+$D$68*V$98^3+$D$69*V$98^3*$B108^1+$D$70*V$98^4</f>
        <v>0.374776704545455</v>
      </c>
      <c r="W108" s="30" t="n">
        <f aca="false">$D$56+$D$57*$B108^1+$D$58*$B108^2+$D$59*$B108^3+$D$60*$B108^4+$D$61*W$98^1+$D$62*W$98^1*$B108^1+$D$63*W$98^1*$B108^2+$D$64*W$98^1*$B108^3+$D$65*W$98^2+$D$66*W$98^2*$B108^1+$D$67*W$98^2*$B108^2+$D$68*W$98^3+$D$69*W$98^3*$B108^1+$D$70*W$98^4</f>
        <v>0.490313707386364</v>
      </c>
    </row>
    <row r="109" customFormat="false" ht="15" hidden="false" customHeight="false" outlineLevel="0" collapsed="false">
      <c r="B109" s="39" t="n">
        <v>0</v>
      </c>
      <c r="C109" s="30" t="n">
        <f aca="false">$D$56+$D$57*$B109^1+$D$58*$B109^2+$D$59*$B109^3+$D$60*$B109^4+$D$61*C$98^1+$D$62*C$98^1*$B109^1+$D$63*C$98^1*$B109^2+$D$64*C$98^1*$B109^3+$D$65*C$98^2+$D$66*C$98^2*$B109^1+$D$67*C$98^2*$B109^2+$D$68*C$98^3+$D$69*C$98^3*$B109^1+$D$70*C$98^4</f>
        <v>0.492240767045455</v>
      </c>
      <c r="D109" s="30" t="n">
        <f aca="false">$D$56+$D$57*$B109^1+$D$58*$B109^2+$D$59*$B109^3+$D$60*$B109^4+$D$61*D$98^1+$D$62*D$98^1*$B109^1+$D$63*D$98^1*$B109^2+$D$64*D$98^1*$B109^3+$D$65*D$98^2+$D$66*D$98^2*$B109^1+$D$67*D$98^2*$B109^2+$D$68*D$98^3+$D$69*D$98^3*$B109^1+$D$70*D$98^4</f>
        <v>0.376423082386364</v>
      </c>
      <c r="E109" s="30" t="n">
        <f aca="false">$D$56+$D$57*$B109^1+$D$58*$B109^2+$D$59*$B109^3+$D$60*$B109^4+$D$61*E$98^1+$D$62*E$98^1*$B109^1+$D$63*E$98^1*$B109^2+$D$64*E$98^1*$B109^3+$D$65*E$98^2+$D$66*E$98^2*$B109^1+$D$67*E$98^2*$B109^2+$D$68*E$98^3+$D$69*E$98^3*$B109^1+$D$70*E$98^4</f>
        <v>0.295051278409091</v>
      </c>
      <c r="F109" s="30" t="n">
        <f aca="false">$D$56+$D$57*$B109^1+$D$58*$B109^2+$D$59*$B109^3+$D$60*$B109^4+$D$61*F$98^1+$D$62*F$98^1*$B109^1+$D$63*F$98^1*$B109^2+$D$64*F$98^1*$B109^3+$D$65*F$98^2+$D$66*F$98^2*$B109^1+$D$67*F$98^2*$B109^2+$D$68*F$98^3+$D$69*F$98^3*$B109^1+$D$70*F$98^4</f>
        <v>0.240707173295455</v>
      </c>
      <c r="G109" s="30" t="n">
        <f aca="false">$D$56+$D$57*$B109^1+$D$58*$B109^2+$D$59*$B109^3+$D$60*$B109^4+$D$61*G$98^1+$D$62*G$98^1*$B109^1+$D$63*G$98^1*$B109^2+$D$64*G$98^1*$B109^3+$D$65*G$98^2+$D$66*G$98^2*$B109^1+$D$67*G$98^2*$B109^2+$D$68*G$98^3+$D$69*G$98^3*$B109^1+$D$70*G$98^4</f>
        <v>0.2068453125</v>
      </c>
      <c r="H109" s="30" t="n">
        <f aca="false">$D$56+$D$57*$B109^1+$D$58*$B109^2+$D$59*$B109^3+$D$60*$B109^4+$D$61*H$98^1+$D$62*H$98^1*$B109^1+$D$63*H$98^1*$B109^2+$D$64*H$98^1*$B109^3+$D$65*H$98^2+$D$66*H$98^2*$B109^1+$D$67*H$98^2*$B109^2+$D$68*H$98^3+$D$69*H$98^3*$B109^1+$D$70*H$98^4</f>
        <v>0.18779296875</v>
      </c>
      <c r="I109" s="30" t="n">
        <f aca="false">$D$56+$D$57*$B109^1+$D$58*$B109^2+$D$59*$B109^3+$D$60*$B109^4+$D$61*I$98^1+$D$62*I$98^1*$B109^1+$D$63*I$98^1*$B109^2+$D$64*I$98^1*$B109^3+$D$65*I$98^2+$D$66*I$98^2*$B109^1+$D$67*I$98^2*$B109^2+$D$68*I$98^3+$D$69*I$98^3*$B109^1+$D$70*I$98^4</f>
        <v>0.178750142045455</v>
      </c>
      <c r="J109" s="30" t="n">
        <f aca="false">$D$56+$D$57*$B109^1+$D$58*$B109^2+$D$59*$B109^3+$D$60*$B109^4+$D$61*J$98^1+$D$62*J$98^1*$B109^1+$D$63*J$98^1*$B109^2+$D$64*J$98^1*$B109^3+$D$65*J$98^2+$D$66*J$98^2*$B109^1+$D$67*J$98^2*$B109^2+$D$68*J$98^3+$D$69*J$98^3*$B109^1+$D$70*J$98^4</f>
        <v>0.175789559659091</v>
      </c>
      <c r="K109" s="30" t="n">
        <f aca="false">$D$56+$D$57*$B109^1+$D$58*$B109^2+$D$59*$B109^3+$D$60*$B109^4+$D$61*K$98^1+$D$62*K$98^1*$B109^1+$D$63*K$98^1*$B109^2+$D$64*K$98^1*$B109^3+$D$65*K$98^2+$D$66*K$98^2*$B109^1+$D$67*K$98^2*$B109^2+$D$68*K$98^3+$D$69*K$98^3*$B109^1+$D$70*K$98^4</f>
        <v>0.175856676136364</v>
      </c>
      <c r="L109" s="30" t="n">
        <f aca="false">$D$56+$D$57*$B109^1+$D$58*$B109^2+$D$59*$B109^3+$D$60*$B109^4+$D$61*L$98^1+$D$62*L$98^1*$B109^1+$D$63*L$98^1*$B109^2+$D$64*L$98^1*$B109^3+$D$65*L$98^2+$D$66*L$98^2*$B109^1+$D$67*L$98^2*$B109^2+$D$68*L$98^3+$D$69*L$98^3*$B109^1+$D$70*L$98^4</f>
        <v>0.176769673295455</v>
      </c>
      <c r="M109" s="30" t="n">
        <f aca="false">$D$56+$D$57*$B109^1+$D$58*$B109^2+$D$59*$B109^3+$D$60*$B109^4+$D$61*M$98^1+$D$62*M$98^1*$B109^1+$D$63*M$98^1*$B109^2+$D$64*M$98^1*$B109^3+$D$65*M$98^2+$D$66*M$98^2*$B109^1+$D$67*M$98^2*$B109^2+$D$68*M$98^3+$D$69*M$98^3*$B109^1+$D$70*M$98^4</f>
        <v>0.177219460227273</v>
      </c>
      <c r="N109" s="30" t="n">
        <f aca="false">$D$56+$D$57*$B109^1+$D$58*$B109^2+$D$59*$B109^3+$D$60*$B109^4+$D$61*N$98^1+$D$62*N$98^1*$B109^1+$D$63*N$98^1*$B109^2+$D$64*N$98^1*$B109^3+$D$65*N$98^2+$D$66*N$98^2*$B109^1+$D$67*N$98^2*$B109^2+$D$68*N$98^3+$D$69*N$98^3*$B109^1+$D$70*N$98^4</f>
        <v>0.176769673295455</v>
      </c>
      <c r="O109" s="30" t="n">
        <f aca="false">$D$56+$D$57*$B109^1+$D$58*$B109^2+$D$59*$B109^3+$D$60*$B109^4+$D$61*O$98^1+$D$62*O$98^1*$B109^1+$D$63*O$98^1*$B109^2+$D$64*O$98^1*$B109^3+$D$65*O$98^2+$D$66*O$98^2*$B109^1+$D$67*O$98^2*$B109^2+$D$68*O$98^3+$D$69*O$98^3*$B109^1+$D$70*O$98^4</f>
        <v>0.175856676136364</v>
      </c>
      <c r="P109" s="30" t="n">
        <f aca="false">$D$56+$D$57*$B109^1+$D$58*$B109^2+$D$59*$B109^3+$D$60*$B109^4+$D$61*P$98^1+$D$62*P$98^1*$B109^1+$D$63*P$98^1*$B109^2+$D$64*P$98^1*$B109^3+$D$65*P$98^2+$D$66*P$98^2*$B109^1+$D$67*P$98^2*$B109^2+$D$68*P$98^3+$D$69*P$98^3*$B109^1+$D$70*P$98^4</f>
        <v>0.175789559659091</v>
      </c>
      <c r="Q109" s="30" t="n">
        <f aca="false">$D$56+$D$57*$B109^1+$D$58*$B109^2+$D$59*$B109^3+$D$60*$B109^4+$D$61*Q$98^1+$D$62*Q$98^1*$B109^1+$D$63*Q$98^1*$B109^2+$D$64*Q$98^1*$B109^3+$D$65*Q$98^2+$D$66*Q$98^2*$B109^1+$D$67*Q$98^2*$B109^2+$D$68*Q$98^3+$D$69*Q$98^3*$B109^1+$D$70*Q$98^4</f>
        <v>0.178750142045455</v>
      </c>
      <c r="R109" s="30" t="n">
        <f aca="false">$D$56+$D$57*$B109^1+$D$58*$B109^2+$D$59*$B109^3+$D$60*$B109^4+$D$61*R$98^1+$D$62*R$98^1*$B109^1+$D$63*R$98^1*$B109^2+$D$64*R$98^1*$B109^3+$D$65*R$98^2+$D$66*R$98^2*$B109^1+$D$67*R$98^2*$B109^2+$D$68*R$98^3+$D$69*R$98^3*$B109^1+$D$70*R$98^4</f>
        <v>0.18779296875</v>
      </c>
      <c r="S109" s="30" t="n">
        <f aca="false">$D$56+$D$57*$B109^1+$D$58*$B109^2+$D$59*$B109^3+$D$60*$B109^4+$D$61*S$98^1+$D$62*S$98^1*$B109^1+$D$63*S$98^1*$B109^2+$D$64*S$98^1*$B109^3+$D$65*S$98^2+$D$66*S$98^2*$B109^1+$D$67*S$98^2*$B109^2+$D$68*S$98^3+$D$69*S$98^3*$B109^1+$D$70*S$98^4</f>
        <v>0.2068453125</v>
      </c>
      <c r="T109" s="30" t="n">
        <f aca="false">$D$56+$D$57*$B109^1+$D$58*$B109^2+$D$59*$B109^3+$D$60*$B109^4+$D$61*T$98^1+$D$62*T$98^1*$B109^1+$D$63*T$98^1*$B109^2+$D$64*T$98^1*$B109^3+$D$65*T$98^2+$D$66*T$98^2*$B109^1+$D$67*T$98^2*$B109^2+$D$68*T$98^3+$D$69*T$98^3*$B109^1+$D$70*T$98^4</f>
        <v>0.240707173295455</v>
      </c>
      <c r="U109" s="30" t="n">
        <f aca="false">$D$56+$D$57*$B109^1+$D$58*$B109^2+$D$59*$B109^3+$D$60*$B109^4+$D$61*U$98^1+$D$62*U$98^1*$B109^1+$D$63*U$98^1*$B109^2+$D$64*U$98^1*$B109^3+$D$65*U$98^2+$D$66*U$98^2*$B109^1+$D$67*U$98^2*$B109^2+$D$68*U$98^3+$D$69*U$98^3*$B109^1+$D$70*U$98^4</f>
        <v>0.295051278409091</v>
      </c>
      <c r="V109" s="30" t="n">
        <f aca="false">$D$56+$D$57*$B109^1+$D$58*$B109^2+$D$59*$B109^3+$D$60*$B109^4+$D$61*V$98^1+$D$62*V$98^1*$B109^1+$D$63*V$98^1*$B109^2+$D$64*V$98^1*$B109^3+$D$65*V$98^2+$D$66*V$98^2*$B109^1+$D$67*V$98^2*$B109^2+$D$68*V$98^3+$D$69*V$98^3*$B109^1+$D$70*V$98^4</f>
        <v>0.376423082386364</v>
      </c>
      <c r="W109" s="30" t="n">
        <f aca="false">$D$56+$D$57*$B109^1+$D$58*$B109^2+$D$59*$B109^3+$D$60*$B109^4+$D$61*W$98^1+$D$62*W$98^1*$B109^1+$D$63*W$98^1*$B109^2+$D$64*W$98^1*$B109^3+$D$65*W$98^2+$D$66*W$98^2*$B109^1+$D$67*W$98^2*$B109^2+$D$68*W$98^3+$D$69*W$98^3*$B109^1+$D$70*W$98^4</f>
        <v>0.492240767045455</v>
      </c>
    </row>
    <row r="110" customFormat="false" ht="15" hidden="false" customHeight="false" outlineLevel="0" collapsed="false">
      <c r="B110" s="39" t="n">
        <v>-0.1</v>
      </c>
      <c r="C110" s="30" t="n">
        <f aca="false">$D$56+$D$57*$B110^1+$D$58*$B110^2+$D$59*$B110^3+$D$60*$B110^4+$D$61*C$98^1+$D$62*C$98^1*$B110^1+$D$63*C$98^1*$B110^2+$D$64*C$98^1*$B110^3+$D$65*C$98^2+$D$66*C$98^2*$B110^1+$D$67*C$98^2*$B110^2+$D$68*C$98^3+$D$69*C$98^3*$B110^1+$D$70*C$98^4</f>
        <v>0.490313707386364</v>
      </c>
      <c r="D110" s="30" t="n">
        <f aca="false">$D$56+$D$57*$B110^1+$D$58*$B110^2+$D$59*$B110^3+$D$60*$B110^4+$D$61*D$98^1+$D$62*D$98^1*$B110^1+$D$63*D$98^1*$B110^2+$D$64*D$98^1*$B110^3+$D$65*D$98^2+$D$66*D$98^2*$B110^1+$D$67*D$98^2*$B110^2+$D$68*D$98^3+$D$69*D$98^3*$B110^1+$D$70*D$98^4</f>
        <v>0.374776704545455</v>
      </c>
      <c r="E110" s="30" t="n">
        <f aca="false">$D$56+$D$57*$B110^1+$D$58*$B110^2+$D$59*$B110^3+$D$60*$B110^4+$D$61*E$98^1+$D$62*E$98^1*$B110^1+$D$63*E$98^1*$B110^2+$D$64*E$98^1*$B110^3+$D$65*E$98^2+$D$66*E$98^2*$B110^1+$D$67*E$98^2*$B110^2+$D$68*E$98^3+$D$69*E$98^3*$B110^1+$D$70*E$98^4</f>
        <v>0.293656036931818</v>
      </c>
      <c r="F110" s="30" t="n">
        <f aca="false">$D$56+$D$57*$B110^1+$D$58*$B110^2+$D$59*$B110^3+$D$60*$B110^4+$D$61*F$98^1+$D$62*F$98^1*$B110^1+$D$63*F$98^1*$B110^2+$D$64*F$98^1*$B110^3+$D$65*F$98^2+$D$66*F$98^2*$B110^1+$D$67*F$98^2*$B110^2+$D$68*F$98^3+$D$69*F$98^3*$B110^1+$D$70*F$98^4</f>
        <v>0.239533522727273</v>
      </c>
      <c r="G110" s="30" t="n">
        <f aca="false">$D$56+$D$57*$B110^1+$D$58*$B110^2+$D$59*$B110^3+$D$60*$B110^4+$D$61*G$98^1+$D$62*G$98^1*$B110^1+$D$63*G$98^1*$B110^2+$D$64*G$98^1*$B110^3+$D$65*G$98^2+$D$66*G$98^2*$B110^1+$D$67*G$98^2*$B110^2+$D$68*G$98^3+$D$69*G$98^3*$B110^1+$D$70*G$98^4</f>
        <v>0.205863707386364</v>
      </c>
      <c r="H110" s="30" t="n">
        <f aca="false">$D$56+$D$57*$B110^1+$D$58*$B110^2+$D$59*$B110^3+$D$60*$B110^4+$D$61*H$98^1+$D$62*H$98^1*$B110^1+$D$63*H$98^1*$B110^2+$D$64*H$98^1*$B110^3+$D$65*H$98^2+$D$66*H$98^2*$B110^1+$D$67*H$98^2*$B110^2+$D$68*H$98^3+$D$69*H$98^3*$B110^1+$D$70*H$98^4</f>
        <v>0.186973863636364</v>
      </c>
      <c r="I110" s="30" t="n">
        <f aca="false">$D$56+$D$57*$B110^1+$D$58*$B110^2+$D$59*$B110^3+$D$60*$B110^4+$D$61*I$98^1+$D$62*I$98^1*$B110^1+$D$63*I$98^1*$B110^2+$D$64*I$98^1*$B110^3+$D$65*I$98^2+$D$66*I$98^2*$B110^1+$D$67*I$98^2*$B110^2+$D$68*I$98^3+$D$69*I$98^3*$B110^1+$D$70*I$98^4</f>
        <v>0.178063991477273</v>
      </c>
      <c r="J110" s="30" t="n">
        <f aca="false">$D$56+$D$57*$B110^1+$D$58*$B110^2+$D$59*$B110^3+$D$60*$B110^4+$D$61*J$98^1+$D$62*J$98^1*$B110^1+$D$63*J$98^1*$B110^2+$D$64*J$98^1*$B110^3+$D$65*J$98^2+$D$66*J$98^2*$B110^1+$D$67*J$98^2*$B110^2+$D$68*J$98^3+$D$69*J$98^3*$B110^1+$D$70*J$98^4</f>
        <v>0.175206818181818</v>
      </c>
      <c r="K110" s="30" t="n">
        <f aca="false">$D$56+$D$57*$B110^1+$D$58*$B110^2+$D$59*$B110^3+$D$60*$B110^4+$D$61*K$98^1+$D$62*K$98^1*$B110^1+$D$63*K$98^1*$B110^2+$D$64*K$98^1*$B110^3+$D$65*K$98^2+$D$66*K$98^2*$B110^1+$D$67*K$98^2*$B110^2+$D$68*K$98^3+$D$69*K$98^3*$B110^1+$D$70*K$98^4</f>
        <v>0.175347798295455</v>
      </c>
      <c r="L110" s="30" t="n">
        <f aca="false">$D$56+$D$57*$B110^1+$D$58*$B110^2+$D$59*$B110^3+$D$60*$B110^4+$D$61*L$98^1+$D$62*L$98^1*$B110^1+$D$63*L$98^1*$B110^2+$D$64*L$98^1*$B110^3+$D$65*L$98^2+$D$66*L$98^2*$B110^1+$D$67*L$98^2*$B110^2+$D$68*L$98^3+$D$69*L$98^3*$B110^1+$D$70*L$98^4</f>
        <v>0.176305113636364</v>
      </c>
      <c r="M110" s="30" t="n">
        <f aca="false">$D$56+$D$57*$B110^1+$D$58*$B110^2+$D$59*$B110^3+$D$60*$B110^4+$D$61*M$98^1+$D$62*M$98^1*$B110^1+$D$63*M$98^1*$B110^2+$D$64*M$98^1*$B110^3+$D$65*M$98^2+$D$66*M$98^2*$B110^1+$D$67*M$98^2*$B110^2+$D$68*M$98^3+$D$69*M$98^3*$B110^1+$D$70*M$98^4</f>
        <v>0.176769673295455</v>
      </c>
      <c r="N110" s="30" t="n">
        <f aca="false">$D$56+$D$57*$B110^1+$D$58*$B110^2+$D$59*$B110^3+$D$60*$B110^4+$D$61*N$98^1+$D$62*N$98^1*$B110^1+$D$63*N$98^1*$B110^2+$D$64*N$98^1*$B110^3+$D$65*N$98^2+$D$66*N$98^2*$B110^1+$D$67*N$98^2*$B110^2+$D$68*N$98^3+$D$69*N$98^3*$B110^1+$D$70*N$98^4</f>
        <v>0.176305113636364</v>
      </c>
      <c r="O110" s="30" t="n">
        <f aca="false">$D$56+$D$57*$B110^1+$D$58*$B110^2+$D$59*$B110^3+$D$60*$B110^4+$D$61*O$98^1+$D$62*O$98^1*$B110^1+$D$63*O$98^1*$B110^2+$D$64*O$98^1*$B110^3+$D$65*O$98^2+$D$66*O$98^2*$B110^1+$D$67*O$98^2*$B110^2+$D$68*O$98^3+$D$69*O$98^3*$B110^1+$D$70*O$98^4</f>
        <v>0.175347798295455</v>
      </c>
      <c r="P110" s="30" t="n">
        <f aca="false">$D$56+$D$57*$B110^1+$D$58*$B110^2+$D$59*$B110^3+$D$60*$B110^4+$D$61*P$98^1+$D$62*P$98^1*$B110^1+$D$63*P$98^1*$B110^2+$D$64*P$98^1*$B110^3+$D$65*P$98^2+$D$66*P$98^2*$B110^1+$D$67*P$98^2*$B110^2+$D$68*P$98^3+$D$69*P$98^3*$B110^1+$D$70*P$98^4</f>
        <v>0.175206818181818</v>
      </c>
      <c r="Q110" s="30" t="n">
        <f aca="false">$D$56+$D$57*$B110^1+$D$58*$B110^2+$D$59*$B110^3+$D$60*$B110^4+$D$61*Q$98^1+$D$62*Q$98^1*$B110^1+$D$63*Q$98^1*$B110^2+$D$64*Q$98^1*$B110^3+$D$65*Q$98^2+$D$66*Q$98^2*$B110^1+$D$67*Q$98^2*$B110^2+$D$68*Q$98^3+$D$69*Q$98^3*$B110^1+$D$70*Q$98^4</f>
        <v>0.178063991477273</v>
      </c>
      <c r="R110" s="30" t="n">
        <f aca="false">$D$56+$D$57*$B110^1+$D$58*$B110^2+$D$59*$B110^3+$D$60*$B110^4+$D$61*R$98^1+$D$62*R$98^1*$B110^1+$D$63*R$98^1*$B110^2+$D$64*R$98^1*$B110^3+$D$65*R$98^2+$D$66*R$98^2*$B110^1+$D$67*R$98^2*$B110^2+$D$68*R$98^3+$D$69*R$98^3*$B110^1+$D$70*R$98^4</f>
        <v>0.186973863636364</v>
      </c>
      <c r="S110" s="30" t="n">
        <f aca="false">$D$56+$D$57*$B110^1+$D$58*$B110^2+$D$59*$B110^3+$D$60*$B110^4+$D$61*S$98^1+$D$62*S$98^1*$B110^1+$D$63*S$98^1*$B110^2+$D$64*S$98^1*$B110^3+$D$65*S$98^2+$D$66*S$98^2*$B110^1+$D$67*S$98^2*$B110^2+$D$68*S$98^3+$D$69*S$98^3*$B110^1+$D$70*S$98^4</f>
        <v>0.205863707386364</v>
      </c>
      <c r="T110" s="30" t="n">
        <f aca="false">$D$56+$D$57*$B110^1+$D$58*$B110^2+$D$59*$B110^3+$D$60*$B110^4+$D$61*T$98^1+$D$62*T$98^1*$B110^1+$D$63*T$98^1*$B110^2+$D$64*T$98^1*$B110^3+$D$65*T$98^2+$D$66*T$98^2*$B110^1+$D$67*T$98^2*$B110^2+$D$68*T$98^3+$D$69*T$98^3*$B110^1+$D$70*T$98^4</f>
        <v>0.239533522727273</v>
      </c>
      <c r="U110" s="30" t="n">
        <f aca="false">$D$56+$D$57*$B110^1+$D$58*$B110^2+$D$59*$B110^3+$D$60*$B110^4+$D$61*U$98^1+$D$62*U$98^1*$B110^1+$D$63*U$98^1*$B110^2+$D$64*U$98^1*$B110^3+$D$65*U$98^2+$D$66*U$98^2*$B110^1+$D$67*U$98^2*$B110^2+$D$68*U$98^3+$D$69*U$98^3*$B110^1+$D$70*U$98^4</f>
        <v>0.293656036931818</v>
      </c>
      <c r="V110" s="30" t="n">
        <f aca="false">$D$56+$D$57*$B110^1+$D$58*$B110^2+$D$59*$B110^3+$D$60*$B110^4+$D$61*V$98^1+$D$62*V$98^1*$B110^1+$D$63*V$98^1*$B110^2+$D$64*V$98^1*$B110^3+$D$65*V$98^2+$D$66*V$98^2*$B110^1+$D$67*V$98^2*$B110^2+$D$68*V$98^3+$D$69*V$98^3*$B110^1+$D$70*V$98^4</f>
        <v>0.374776704545455</v>
      </c>
      <c r="W110" s="30" t="n">
        <f aca="false">$D$56+$D$57*$B110^1+$D$58*$B110^2+$D$59*$B110^3+$D$60*$B110^4+$D$61*W$98^1+$D$62*W$98^1*$B110^1+$D$63*W$98^1*$B110^2+$D$64*W$98^1*$B110^3+$D$65*W$98^2+$D$66*W$98^2*$B110^1+$D$67*W$98^2*$B110^2+$D$68*W$98^3+$D$69*W$98^3*$B110^1+$D$70*W$98^4</f>
        <v>0.490313707386364</v>
      </c>
    </row>
    <row r="111" customFormat="false" ht="15" hidden="false" customHeight="false" outlineLevel="0" collapsed="false">
      <c r="B111" s="39" t="n">
        <v>-0.2</v>
      </c>
      <c r="C111" s="30" t="n">
        <f aca="false">$D$56+$D$57*$B111^1+$D$58*$B111^2+$D$59*$B111^3+$D$60*$B111^4+$D$61*C$98^1+$D$62*C$98^1*$B111^1+$D$63*C$98^1*$B111^2+$D$64*C$98^1*$B111^3+$D$65*C$98^2+$D$66*C$98^2*$B111^1+$D$67*C$98^2*$B111^2+$D$68*C$98^3+$D$69*C$98^3*$B111^1+$D$70*C$98^4</f>
        <v>0.484968892045455</v>
      </c>
      <c r="D111" s="30" t="n">
        <f aca="false">$D$56+$D$57*$B111^1+$D$58*$B111^2+$D$59*$B111^3+$D$60*$B111^4+$D$61*D$98^1+$D$62*D$98^1*$B111^1+$D$63*D$98^1*$B111^2+$D$64*D$98^1*$B111^3+$D$65*D$98^2+$D$66*D$98^2*$B111^1+$D$67*D$98^2*$B111^2+$D$68*D$98^3+$D$69*D$98^3*$B111^1+$D$70*D$98^4</f>
        <v>0.370273934659091</v>
      </c>
      <c r="E111" s="30" t="n">
        <f aca="false">$D$56+$D$57*$B111^1+$D$58*$B111^2+$D$59*$B111^3+$D$60*$B111^4+$D$61*E$98^1+$D$62*E$98^1*$B111^1+$D$63*E$98^1*$B111^2+$D$64*E$98^1*$B111^3+$D$65*E$98^2+$D$66*E$98^2*$B111^1+$D$67*E$98^2*$B111^2+$D$68*E$98^3+$D$69*E$98^3*$B111^1+$D$70*E$98^4</f>
        <v>0.289906676136364</v>
      </c>
      <c r="F111" s="30" t="n">
        <f aca="false">$D$56+$D$57*$B111^1+$D$58*$B111^2+$D$59*$B111^3+$D$60*$B111^4+$D$61*F$98^1+$D$62*F$98^1*$B111^1+$D$63*F$98^1*$B111^2+$D$64*F$98^1*$B111^3+$D$65*F$98^2+$D$66*F$98^2*$B111^1+$D$67*F$98^2*$B111^2+$D$68*F$98^3+$D$69*F$98^3*$B111^1+$D$70*F$98^4</f>
        <v>0.236448934659091</v>
      </c>
      <c r="G111" s="30" t="n">
        <f aca="false">$D$56+$D$57*$B111^1+$D$58*$B111^2+$D$59*$B111^3+$D$60*$B111^4+$D$61*G$98^1+$D$62*G$98^1*$B111^1+$D$63*G$98^1*$B111^2+$D$64*G$98^1*$B111^3+$D$65*G$98^2+$D$66*G$98^2*$B111^1+$D$67*G$98^2*$B111^2+$D$68*G$98^3+$D$69*G$98^3*$B111^1+$D$70*G$98^4</f>
        <v>0.203355255681818</v>
      </c>
      <c r="H111" s="30" t="n">
        <f aca="false">$D$56+$D$57*$B111^1+$D$58*$B111^2+$D$59*$B111^3+$D$60*$B111^4+$D$61*H$98^1+$D$62*H$98^1*$B111^1+$D$63*H$98^1*$B111^2+$D$64*H$98^1*$B111^3+$D$65*H$98^2+$D$66*H$98^2*$B111^1+$D$67*H$98^2*$B111^2+$D$68*H$98^3+$D$69*H$98^3*$B111^1+$D$70*H$98^4</f>
        <v>0.184952911931818</v>
      </c>
      <c r="I111" s="30" t="n">
        <f aca="false">$D$56+$D$57*$B111^1+$D$58*$B111^2+$D$59*$B111^3+$D$60*$B111^4+$D$61*I$98^1+$D$62*I$98^1*$B111^1+$D$63*I$98^1*$B111^2+$D$64*I$98^1*$B111^3+$D$65*I$98^2+$D$66*I$98^2*$B111^1+$D$67*I$98^2*$B111^2+$D$68*I$98^3+$D$69*I$98^3*$B111^1+$D$70*I$98^4</f>
        <v>0.176441903409091</v>
      </c>
      <c r="J111" s="30" t="n">
        <f aca="false">$D$56+$D$57*$B111^1+$D$58*$B111^2+$D$59*$B111^3+$D$60*$B111^4+$D$61*J$98^1+$D$62*J$98^1*$B111^1+$D$63*J$98^1*$B111^2+$D$64*J$98^1*$B111^3+$D$65*J$98^2+$D$66*J$98^2*$B111^1+$D$67*J$98^2*$B111^2+$D$68*J$98^3+$D$69*J$98^3*$B111^1+$D$70*J$98^4</f>
        <v>0.173894957386364</v>
      </c>
      <c r="K111" s="30" t="n">
        <f aca="false">$D$56+$D$57*$B111^1+$D$58*$B111^2+$D$59*$B111^3+$D$60*$B111^4+$D$61*K$98^1+$D$62*K$98^1*$B111^1+$D$63*K$98^1*$B111^2+$D$64*K$98^1*$B111^3+$D$65*K$98^2+$D$66*K$98^2*$B111^1+$D$67*K$98^2*$B111^2+$D$68*K$98^3+$D$69*K$98^3*$B111^1+$D$70*K$98^4</f>
        <v>0.174257528409091</v>
      </c>
      <c r="L111" s="30" t="n">
        <f aca="false">$D$56+$D$57*$B111^1+$D$58*$B111^2+$D$59*$B111^3+$D$60*$B111^4+$D$61*L$98^1+$D$62*L$98^1*$B111^1+$D$63*L$98^1*$B111^2+$D$64*L$98^1*$B111^3+$D$65*L$98^2+$D$66*L$98^2*$B111^1+$D$67*L$98^2*$B111^2+$D$68*L$98^3+$D$69*L$98^3*$B111^1+$D$70*L$98^4</f>
        <v>0.175347798295455</v>
      </c>
      <c r="M111" s="30" t="n">
        <f aca="false">$D$56+$D$57*$B111^1+$D$58*$B111^2+$D$59*$B111^3+$D$60*$B111^4+$D$61*M$98^1+$D$62*M$98^1*$B111^1+$D$63*M$98^1*$B111^2+$D$64*M$98^1*$B111^3+$D$65*M$98^2+$D$66*M$98^2*$B111^1+$D$67*M$98^2*$B111^2+$D$68*M$98^3+$D$69*M$98^3*$B111^1+$D$70*M$98^4</f>
        <v>0.175856676136364</v>
      </c>
      <c r="N111" s="30" t="n">
        <f aca="false">$D$56+$D$57*$B111^1+$D$58*$B111^2+$D$59*$B111^3+$D$60*$B111^4+$D$61*N$98^1+$D$62*N$98^1*$B111^1+$D$63*N$98^1*$B111^2+$D$64*N$98^1*$B111^3+$D$65*N$98^2+$D$66*N$98^2*$B111^1+$D$67*N$98^2*$B111^2+$D$68*N$98^3+$D$69*N$98^3*$B111^1+$D$70*N$98^4</f>
        <v>0.175347798295455</v>
      </c>
      <c r="O111" s="30" t="n">
        <f aca="false">$D$56+$D$57*$B111^1+$D$58*$B111^2+$D$59*$B111^3+$D$60*$B111^4+$D$61*O$98^1+$D$62*O$98^1*$B111^1+$D$63*O$98^1*$B111^2+$D$64*O$98^1*$B111^3+$D$65*O$98^2+$D$66*O$98^2*$B111^1+$D$67*O$98^2*$B111^2+$D$68*O$98^3+$D$69*O$98^3*$B111^1+$D$70*O$98^4</f>
        <v>0.174257528409091</v>
      </c>
      <c r="P111" s="30" t="n">
        <f aca="false">$D$56+$D$57*$B111^1+$D$58*$B111^2+$D$59*$B111^3+$D$60*$B111^4+$D$61*P$98^1+$D$62*P$98^1*$B111^1+$D$63*P$98^1*$B111^2+$D$64*P$98^1*$B111^3+$D$65*P$98^2+$D$66*P$98^2*$B111^1+$D$67*P$98^2*$B111^2+$D$68*P$98^3+$D$69*P$98^3*$B111^1+$D$70*P$98^4</f>
        <v>0.173894957386364</v>
      </c>
      <c r="Q111" s="30" t="n">
        <f aca="false">$D$56+$D$57*$B111^1+$D$58*$B111^2+$D$59*$B111^3+$D$60*$B111^4+$D$61*Q$98^1+$D$62*Q$98^1*$B111^1+$D$63*Q$98^1*$B111^2+$D$64*Q$98^1*$B111^3+$D$65*Q$98^2+$D$66*Q$98^2*$B111^1+$D$67*Q$98^2*$B111^2+$D$68*Q$98^3+$D$69*Q$98^3*$B111^1+$D$70*Q$98^4</f>
        <v>0.176441903409091</v>
      </c>
      <c r="R111" s="30" t="n">
        <f aca="false">$D$56+$D$57*$B111^1+$D$58*$B111^2+$D$59*$B111^3+$D$60*$B111^4+$D$61*R$98^1+$D$62*R$98^1*$B111^1+$D$63*R$98^1*$B111^2+$D$64*R$98^1*$B111^3+$D$65*R$98^2+$D$66*R$98^2*$B111^1+$D$67*R$98^2*$B111^2+$D$68*R$98^3+$D$69*R$98^3*$B111^1+$D$70*R$98^4</f>
        <v>0.184952911931818</v>
      </c>
      <c r="S111" s="30" t="n">
        <f aca="false">$D$56+$D$57*$B111^1+$D$58*$B111^2+$D$59*$B111^3+$D$60*$B111^4+$D$61*S$98^1+$D$62*S$98^1*$B111^1+$D$63*S$98^1*$B111^2+$D$64*S$98^1*$B111^3+$D$65*S$98^2+$D$66*S$98^2*$B111^1+$D$67*S$98^2*$B111^2+$D$68*S$98^3+$D$69*S$98^3*$B111^1+$D$70*S$98^4</f>
        <v>0.203355255681818</v>
      </c>
      <c r="T111" s="30" t="n">
        <f aca="false">$D$56+$D$57*$B111^1+$D$58*$B111^2+$D$59*$B111^3+$D$60*$B111^4+$D$61*T$98^1+$D$62*T$98^1*$B111^1+$D$63*T$98^1*$B111^2+$D$64*T$98^1*$B111^3+$D$65*T$98^2+$D$66*T$98^2*$B111^1+$D$67*T$98^2*$B111^2+$D$68*T$98^3+$D$69*T$98^3*$B111^1+$D$70*T$98^4</f>
        <v>0.236448934659091</v>
      </c>
      <c r="U111" s="30" t="n">
        <f aca="false">$D$56+$D$57*$B111^1+$D$58*$B111^2+$D$59*$B111^3+$D$60*$B111^4+$D$61*U$98^1+$D$62*U$98^1*$B111^1+$D$63*U$98^1*$B111^2+$D$64*U$98^1*$B111^3+$D$65*U$98^2+$D$66*U$98^2*$B111^1+$D$67*U$98^2*$B111^2+$D$68*U$98^3+$D$69*U$98^3*$B111^1+$D$70*U$98^4</f>
        <v>0.289906676136364</v>
      </c>
      <c r="V111" s="30" t="n">
        <f aca="false">$D$56+$D$57*$B111^1+$D$58*$B111^2+$D$59*$B111^3+$D$60*$B111^4+$D$61*V$98^1+$D$62*V$98^1*$B111^1+$D$63*V$98^1*$B111^2+$D$64*V$98^1*$B111^3+$D$65*V$98^2+$D$66*V$98^2*$B111^1+$D$67*V$98^2*$B111^2+$D$68*V$98^3+$D$69*V$98^3*$B111^1+$D$70*V$98^4</f>
        <v>0.370273934659091</v>
      </c>
      <c r="W111" s="30" t="n">
        <f aca="false">$D$56+$D$57*$B111^1+$D$58*$B111^2+$D$59*$B111^3+$D$60*$B111^4+$D$61*W$98^1+$D$62*W$98^1*$B111^1+$D$63*W$98^1*$B111^2+$D$64*W$98^1*$B111^3+$D$65*W$98^2+$D$66*W$98^2*$B111^1+$D$67*W$98^2*$B111^2+$D$68*W$98^3+$D$69*W$98^3*$B111^1+$D$70*W$98^4</f>
        <v>0.484968892045455</v>
      </c>
    </row>
    <row r="112" customFormat="false" ht="15" hidden="false" customHeight="false" outlineLevel="0" collapsed="false">
      <c r="B112" s="39" t="n">
        <v>-0.3</v>
      </c>
      <c r="C112" s="30" t="n">
        <f aca="false">$D$56+$D$57*$B112^1+$D$58*$B112^2+$D$59*$B112^3+$D$60*$B112^4+$D$61*C$98^1+$D$62*C$98^1*$B112^1+$D$63*C$98^1*$B112^2+$D$64*C$98^1*$B112^3+$D$65*C$98^2+$D$66*C$98^2*$B112^1+$D$67*C$98^2*$B112^2+$D$68*C$98^3+$D$69*C$98^3*$B112^1+$D$70*C$98^4</f>
        <v>0.477515411931818</v>
      </c>
      <c r="D112" s="30" t="n">
        <f aca="false">$D$56+$D$57*$B112^1+$D$58*$B112^2+$D$59*$B112^3+$D$60*$B112^4+$D$61*D$98^1+$D$62*D$98^1*$B112^1+$D$63*D$98^1*$B112^2+$D$64*D$98^1*$B112^3+$D$65*D$98^2+$D$66*D$98^2*$B112^1+$D$67*D$98^2*$B112^2+$D$68*D$98^3+$D$69*D$98^3*$B112^1+$D$70*D$98^4</f>
        <v>0.364223863636364</v>
      </c>
      <c r="E112" s="30" t="n">
        <f aca="false">$D$56+$D$57*$B112^1+$D$58*$B112^2+$D$59*$B112^3+$D$60*$B112^4+$D$61*E$98^1+$D$62*E$98^1*$B112^1+$D$63*E$98^1*$B112^2+$D$64*E$98^1*$B112^3+$D$65*E$98^2+$D$66*E$98^2*$B112^1+$D$67*E$98^2*$B112^2+$D$68*E$98^3+$D$69*E$98^3*$B112^1+$D$70*E$98^4</f>
        <v>0.285112286931818</v>
      </c>
      <c r="F112" s="30" t="n">
        <f aca="false">$D$56+$D$57*$B112^1+$D$58*$B112^2+$D$59*$B112^3+$D$60*$B112^4+$D$61*F$98^1+$D$62*F$98^1*$B112^1+$D$63*F$98^1*$B112^2+$D$64*F$98^1*$B112^3+$D$65*F$98^2+$D$66*F$98^2*$B112^1+$D$67*F$98^2*$B112^2+$D$68*F$98^3+$D$69*F$98^3*$B112^1+$D$70*F$98^4</f>
        <v>0.2327625</v>
      </c>
      <c r="G112" s="30" t="n">
        <f aca="false">$D$56+$D$57*$B112^1+$D$58*$B112^2+$D$59*$B112^3+$D$60*$B112^4+$D$61*G$98^1+$D$62*G$98^1*$B112^1+$D$63*G$98^1*$B112^2+$D$64*G$98^1*$B112^3+$D$65*G$98^2+$D$66*G$98^2*$B112^1+$D$67*G$98^2*$B112^2+$D$68*G$98^3+$D$69*G$98^3*$B112^1+$D$70*G$98^4</f>
        <v>0.200629048295455</v>
      </c>
      <c r="H112" s="30" t="n">
        <f aca="false">$D$56+$D$57*$B112^1+$D$58*$B112^2+$D$59*$B112^3+$D$60*$B112^4+$D$61*H$98^1+$D$62*H$98^1*$B112^1+$D$63*H$98^1*$B112^2+$D$64*H$98^1*$B112^3+$D$65*H$98^2+$D$66*H$98^2*$B112^1+$D$67*H$98^2*$B112^2+$D$68*H$98^3+$D$69*H$98^3*$B112^1+$D$70*H$98^4</f>
        <v>0.183039204545455</v>
      </c>
      <c r="I112" s="30" t="n">
        <f aca="false">$D$56+$D$57*$B112^1+$D$58*$B112^2+$D$59*$B112^3+$D$60*$B112^4+$D$61*I$98^1+$D$62*I$98^1*$B112^1+$D$63*I$98^1*$B112^2+$D$64*I$98^1*$B112^3+$D$65*I$98^2+$D$66*I$98^2*$B112^1+$D$67*I$98^2*$B112^2+$D$68*I$98^3+$D$69*I$98^3*$B112^1+$D$70*I$98^4</f>
        <v>0.17519296875</v>
      </c>
      <c r="J112" s="30" t="n">
        <f aca="false">$D$56+$D$57*$B112^1+$D$58*$B112^2+$D$59*$B112^3+$D$60*$B112^4+$D$61*J$98^1+$D$62*J$98^1*$B112^1+$D$63*J$98^1*$B112^2+$D$64*J$98^1*$B112^3+$D$65*J$98^2+$D$66*J$98^2*$B112^1+$D$67*J$98^2*$B112^2+$D$68*J$98^3+$D$69*J$98^3*$B112^1+$D$70*J$98^4</f>
        <v>0.173163068181818</v>
      </c>
      <c r="K112" s="30" t="n">
        <f aca="false">$D$56+$D$57*$B112^1+$D$58*$B112^2+$D$59*$B112^3+$D$60*$B112^4+$D$61*K$98^1+$D$62*K$98^1*$B112^1+$D$63*K$98^1*$B112^2+$D$64*K$98^1*$B112^3+$D$65*K$98^2+$D$66*K$98^2*$B112^1+$D$67*K$98^2*$B112^2+$D$68*K$98^3+$D$69*K$98^3*$B112^1+$D$70*K$98^4</f>
        <v>0.173894957386364</v>
      </c>
      <c r="L112" s="30" t="n">
        <f aca="false">$D$56+$D$57*$B112^1+$D$58*$B112^2+$D$59*$B112^3+$D$60*$B112^4+$D$61*L$98^1+$D$62*L$98^1*$B112^1+$D$63*L$98^1*$B112^2+$D$64*L$98^1*$B112^3+$D$65*L$98^2+$D$66*L$98^2*$B112^1+$D$67*L$98^2*$B112^2+$D$68*L$98^3+$D$69*L$98^3*$B112^1+$D$70*L$98^4</f>
        <v>0.175206818181818</v>
      </c>
      <c r="M112" s="30" t="n">
        <f aca="false">$D$56+$D$57*$B112^1+$D$58*$B112^2+$D$59*$B112^3+$D$60*$B112^4+$D$61*M$98^1+$D$62*M$98^1*$B112^1+$D$63*M$98^1*$B112^2+$D$64*M$98^1*$B112^3+$D$65*M$98^2+$D$66*M$98^2*$B112^1+$D$67*M$98^2*$B112^2+$D$68*M$98^3+$D$69*M$98^3*$B112^1+$D$70*M$98^4</f>
        <v>0.175789559659091</v>
      </c>
      <c r="N112" s="30" t="n">
        <f aca="false">$D$56+$D$57*$B112^1+$D$58*$B112^2+$D$59*$B112^3+$D$60*$B112^4+$D$61*N$98^1+$D$62*N$98^1*$B112^1+$D$63*N$98^1*$B112^2+$D$64*N$98^1*$B112^3+$D$65*N$98^2+$D$66*N$98^2*$B112^1+$D$67*N$98^2*$B112^2+$D$68*N$98^3+$D$69*N$98^3*$B112^1+$D$70*N$98^4</f>
        <v>0.175206818181818</v>
      </c>
      <c r="O112" s="30" t="n">
        <f aca="false">$D$56+$D$57*$B112^1+$D$58*$B112^2+$D$59*$B112^3+$D$60*$B112^4+$D$61*O$98^1+$D$62*O$98^1*$B112^1+$D$63*O$98^1*$B112^2+$D$64*O$98^1*$B112^3+$D$65*O$98^2+$D$66*O$98^2*$B112^1+$D$67*O$98^2*$B112^2+$D$68*O$98^3+$D$69*O$98^3*$B112^1+$D$70*O$98^4</f>
        <v>0.173894957386364</v>
      </c>
      <c r="P112" s="30" t="n">
        <f aca="false">$D$56+$D$57*$B112^1+$D$58*$B112^2+$D$59*$B112^3+$D$60*$B112^4+$D$61*P$98^1+$D$62*P$98^1*$B112^1+$D$63*P$98^1*$B112^2+$D$64*P$98^1*$B112^3+$D$65*P$98^2+$D$66*P$98^2*$B112^1+$D$67*P$98^2*$B112^2+$D$68*P$98^3+$D$69*P$98^3*$B112^1+$D$70*P$98^4</f>
        <v>0.173163068181818</v>
      </c>
      <c r="Q112" s="30" t="n">
        <f aca="false">$D$56+$D$57*$B112^1+$D$58*$B112^2+$D$59*$B112^3+$D$60*$B112^4+$D$61*Q$98^1+$D$62*Q$98^1*$B112^1+$D$63*Q$98^1*$B112^2+$D$64*Q$98^1*$B112^3+$D$65*Q$98^2+$D$66*Q$98^2*$B112^1+$D$67*Q$98^2*$B112^2+$D$68*Q$98^3+$D$69*Q$98^3*$B112^1+$D$70*Q$98^4</f>
        <v>0.17519296875</v>
      </c>
      <c r="R112" s="30" t="n">
        <f aca="false">$D$56+$D$57*$B112^1+$D$58*$B112^2+$D$59*$B112^3+$D$60*$B112^4+$D$61*R$98^1+$D$62*R$98^1*$B112^1+$D$63*R$98^1*$B112^2+$D$64*R$98^1*$B112^3+$D$65*R$98^2+$D$66*R$98^2*$B112^1+$D$67*R$98^2*$B112^2+$D$68*R$98^3+$D$69*R$98^3*$B112^1+$D$70*R$98^4</f>
        <v>0.183039204545455</v>
      </c>
      <c r="S112" s="30" t="n">
        <f aca="false">$D$56+$D$57*$B112^1+$D$58*$B112^2+$D$59*$B112^3+$D$60*$B112^4+$D$61*S$98^1+$D$62*S$98^1*$B112^1+$D$63*S$98^1*$B112^2+$D$64*S$98^1*$B112^3+$D$65*S$98^2+$D$66*S$98^2*$B112^1+$D$67*S$98^2*$B112^2+$D$68*S$98^3+$D$69*S$98^3*$B112^1+$D$70*S$98^4</f>
        <v>0.200629048295455</v>
      </c>
      <c r="T112" s="30" t="n">
        <f aca="false">$D$56+$D$57*$B112^1+$D$58*$B112^2+$D$59*$B112^3+$D$60*$B112^4+$D$61*T$98^1+$D$62*T$98^1*$B112^1+$D$63*T$98^1*$B112^2+$D$64*T$98^1*$B112^3+$D$65*T$98^2+$D$66*T$98^2*$B112^1+$D$67*T$98^2*$B112^2+$D$68*T$98^3+$D$69*T$98^3*$B112^1+$D$70*T$98^4</f>
        <v>0.2327625</v>
      </c>
      <c r="U112" s="30" t="n">
        <f aca="false">$D$56+$D$57*$B112^1+$D$58*$B112^2+$D$59*$B112^3+$D$60*$B112^4+$D$61*U$98^1+$D$62*U$98^1*$B112^1+$D$63*U$98^1*$B112^2+$D$64*U$98^1*$B112^3+$D$65*U$98^2+$D$66*U$98^2*$B112^1+$D$67*U$98^2*$B112^2+$D$68*U$98^3+$D$69*U$98^3*$B112^1+$D$70*U$98^4</f>
        <v>0.285112286931818</v>
      </c>
      <c r="V112" s="30" t="n">
        <f aca="false">$D$56+$D$57*$B112^1+$D$58*$B112^2+$D$59*$B112^3+$D$60*$B112^4+$D$61*V$98^1+$D$62*V$98^1*$B112^1+$D$63*V$98^1*$B112^2+$D$64*V$98^1*$B112^3+$D$65*V$98^2+$D$66*V$98^2*$B112^1+$D$67*V$98^2*$B112^2+$D$68*V$98^3+$D$69*V$98^3*$B112^1+$D$70*V$98^4</f>
        <v>0.364223863636364</v>
      </c>
      <c r="W112" s="30" t="n">
        <f aca="false">$D$56+$D$57*$B112^1+$D$58*$B112^2+$D$59*$B112^3+$D$60*$B112^4+$D$61*W$98^1+$D$62*W$98^1*$B112^1+$D$63*W$98^1*$B112^2+$D$64*W$98^1*$B112^3+$D$65*W$98^2+$D$66*W$98^2*$B112^1+$D$67*W$98^2*$B112^2+$D$68*W$98^3+$D$69*W$98^3*$B112^1+$D$70*W$98^4</f>
        <v>0.477515411931818</v>
      </c>
    </row>
    <row r="113" customFormat="false" ht="15" hidden="false" customHeight="false" outlineLevel="0" collapsed="false">
      <c r="B113" s="39" t="n">
        <v>-0.4</v>
      </c>
      <c r="C113" s="30" t="n">
        <f aca="false">$D$56+$D$57*$B113^1+$D$58*$B113^2+$D$59*$B113^3+$D$60*$B113^4+$D$61*C$98^1+$D$62*C$98^1*$B113^1+$D$63*C$98^1*$B113^2+$D$64*C$98^1*$B113^3+$D$65*C$98^2+$D$66*C$98^2*$B113^1+$D$67*C$98^2*$B113^2+$D$68*C$98^3+$D$69*C$98^3*$B113^1+$D$70*C$98^4</f>
        <v>0.470135085227273</v>
      </c>
      <c r="D113" s="30" t="n">
        <f aca="false">$D$56+$D$57*$B113^1+$D$58*$B113^2+$D$59*$B113^3+$D$60*$B113^4+$D$61*D$98^1+$D$62*D$98^1*$B113^1+$D$63*D$98^1*$B113^2+$D$64*D$98^1*$B113^3+$D$65*D$98^2+$D$66*D$98^2*$B113^1+$D$67*D$98^2*$B113^2+$D$68*D$98^3+$D$69*D$98^3*$B113^1+$D$70*D$98^4</f>
        <v>0.358808309659091</v>
      </c>
      <c r="E113" s="30" t="n">
        <f aca="false">$D$56+$D$57*$B113^1+$D$58*$B113^2+$D$59*$B113^3+$D$60*$B113^4+$D$61*E$98^1+$D$62*E$98^1*$B113^1+$D$63*E$98^1*$B113^2+$D$64*E$98^1*$B113^3+$D$65*E$98^2+$D$66*E$98^2*$B113^1+$D$67*E$98^2*$B113^2+$D$68*E$98^3+$D$69*E$98^3*$B113^1+$D$70*E$98^4</f>
        <v>0.2814546875</v>
      </c>
      <c r="F113" s="30" t="n">
        <f aca="false">$D$56+$D$57*$B113^1+$D$58*$B113^2+$D$59*$B113^3+$D$60*$B113^4+$D$61*F$98^1+$D$62*F$98^1*$B113^1+$D$63*F$98^1*$B113^2+$D$64*F$98^1*$B113^3+$D$65*F$98^2+$D$66*F$98^2*$B113^1+$D$67*F$98^2*$B113^2+$D$68*F$98^3+$D$69*F$98^3*$B113^1+$D$70*F$98^4</f>
        <v>0.230656036931818</v>
      </c>
      <c r="G113" s="30" t="n">
        <f aca="false">$D$56+$D$57*$B113^1+$D$58*$B113^2+$D$59*$B113^3+$D$60*$B113^4+$D$61*G$98^1+$D$62*G$98^1*$B113^1+$D$63*G$98^1*$B113^2+$D$64*G$98^1*$B113^3+$D$65*G$98^2+$D$66*G$98^2*$B113^1+$D$67*G$98^2*$B113^2+$D$68*G$98^3+$D$69*G$98^3*$B113^1+$D$70*G$98^4</f>
        <v>0.199866903409091</v>
      </c>
      <c r="H113" s="30" t="n">
        <f aca="false">$D$56+$D$57*$B113^1+$D$58*$B113^2+$D$59*$B113^3+$D$60*$B113^4+$D$61*H$98^1+$D$62*H$98^1*$B113^1+$D$63*H$98^1*$B113^2+$D$64*H$98^1*$B113^3+$D$65*H$98^2+$D$66*H$98^2*$B113^1+$D$67*H$98^2*$B113^2+$D$68*H$98^3+$D$69*H$98^3*$B113^1+$D$70*H$98^4</f>
        <v>0.183414559659091</v>
      </c>
      <c r="I113" s="30" t="n">
        <f aca="false">$D$56+$D$57*$B113^1+$D$58*$B113^2+$D$59*$B113^3+$D$60*$B113^4+$D$61*I$98^1+$D$62*I$98^1*$B113^1+$D$63*I$98^1*$B113^2+$D$64*I$98^1*$B113^3+$D$65*I$98^2+$D$66*I$98^2*$B113^1+$D$67*I$98^2*$B113^2+$D$68*I$98^3+$D$69*I$98^3*$B113^1+$D$70*I$98^4</f>
        <v>0.176499005681818</v>
      </c>
      <c r="J113" s="30" t="n">
        <f aca="false">$D$56+$D$57*$B113^1+$D$58*$B113^2+$D$59*$B113^3+$D$60*$B113^4+$D$61*J$98^1+$D$62*J$98^1*$B113^1+$D$63*J$98^1*$B113^2+$D$64*J$98^1*$B113^3+$D$65*J$98^2+$D$66*J$98^2*$B113^1+$D$67*J$98^2*$B113^2+$D$68*J$98^3+$D$69*J$98^3*$B113^1+$D$70*J$98^4</f>
        <v>0.17519296875</v>
      </c>
      <c r="K113" s="30" t="n">
        <f aca="false">$D$56+$D$57*$B113^1+$D$58*$B113^2+$D$59*$B113^3+$D$60*$B113^4+$D$61*K$98^1+$D$62*K$98^1*$B113^1+$D$63*K$98^1*$B113^2+$D$64*K$98^1*$B113^3+$D$65*K$98^2+$D$66*K$98^2*$B113^1+$D$67*K$98^2*$B113^2+$D$68*K$98^3+$D$69*K$98^3*$B113^1+$D$70*K$98^4</f>
        <v>0.176441903409091</v>
      </c>
      <c r="L113" s="30" t="n">
        <f aca="false">$D$56+$D$57*$B113^1+$D$58*$B113^2+$D$59*$B113^3+$D$60*$B113^4+$D$61*L$98^1+$D$62*L$98^1*$B113^1+$D$63*L$98^1*$B113^2+$D$64*L$98^1*$B113^3+$D$65*L$98^2+$D$66*L$98^2*$B113^1+$D$67*L$98^2*$B113^2+$D$68*L$98^3+$D$69*L$98^3*$B113^1+$D$70*L$98^4</f>
        <v>0.178063991477273</v>
      </c>
      <c r="M113" s="30" t="n">
        <f aca="false">$D$56+$D$57*$B113^1+$D$58*$B113^2+$D$59*$B113^3+$D$60*$B113^4+$D$61*M$98^1+$D$62*M$98^1*$B113^1+$D$63*M$98^1*$B113^2+$D$64*M$98^1*$B113^3+$D$65*M$98^2+$D$66*M$98^2*$B113^1+$D$67*M$98^2*$B113^2+$D$68*M$98^3+$D$69*M$98^3*$B113^1+$D$70*M$98^4</f>
        <v>0.178750142045455</v>
      </c>
      <c r="N113" s="30" t="n">
        <f aca="false">$D$56+$D$57*$B113^1+$D$58*$B113^2+$D$59*$B113^3+$D$60*$B113^4+$D$61*N$98^1+$D$62*N$98^1*$B113^1+$D$63*N$98^1*$B113^2+$D$64*N$98^1*$B113^3+$D$65*N$98^2+$D$66*N$98^2*$B113^1+$D$67*N$98^2*$B113^2+$D$68*N$98^3+$D$69*N$98^3*$B113^1+$D$70*N$98^4</f>
        <v>0.178063991477273</v>
      </c>
      <c r="O113" s="30" t="n">
        <f aca="false">$D$56+$D$57*$B113^1+$D$58*$B113^2+$D$59*$B113^3+$D$60*$B113^4+$D$61*O$98^1+$D$62*O$98^1*$B113^1+$D$63*O$98^1*$B113^2+$D$64*O$98^1*$B113^3+$D$65*O$98^2+$D$66*O$98^2*$B113^1+$D$67*O$98^2*$B113^2+$D$68*O$98^3+$D$69*O$98^3*$B113^1+$D$70*O$98^4</f>
        <v>0.176441903409091</v>
      </c>
      <c r="P113" s="30" t="n">
        <f aca="false">$D$56+$D$57*$B113^1+$D$58*$B113^2+$D$59*$B113^3+$D$60*$B113^4+$D$61*P$98^1+$D$62*P$98^1*$B113^1+$D$63*P$98^1*$B113^2+$D$64*P$98^1*$B113^3+$D$65*P$98^2+$D$66*P$98^2*$B113^1+$D$67*P$98^2*$B113^2+$D$68*P$98^3+$D$69*P$98^3*$B113^1+$D$70*P$98^4</f>
        <v>0.17519296875</v>
      </c>
      <c r="Q113" s="30" t="n">
        <f aca="false">$D$56+$D$57*$B113^1+$D$58*$B113^2+$D$59*$B113^3+$D$60*$B113^4+$D$61*Q$98^1+$D$62*Q$98^1*$B113^1+$D$63*Q$98^1*$B113^2+$D$64*Q$98^1*$B113^3+$D$65*Q$98^2+$D$66*Q$98^2*$B113^1+$D$67*Q$98^2*$B113^2+$D$68*Q$98^3+$D$69*Q$98^3*$B113^1+$D$70*Q$98^4</f>
        <v>0.176499005681818</v>
      </c>
      <c r="R113" s="30" t="n">
        <f aca="false">$D$56+$D$57*$B113^1+$D$58*$B113^2+$D$59*$B113^3+$D$60*$B113^4+$D$61*R$98^1+$D$62*R$98^1*$B113^1+$D$63*R$98^1*$B113^2+$D$64*R$98^1*$B113^3+$D$65*R$98^2+$D$66*R$98^2*$B113^1+$D$67*R$98^2*$B113^2+$D$68*R$98^3+$D$69*R$98^3*$B113^1+$D$70*R$98^4</f>
        <v>0.183414559659091</v>
      </c>
      <c r="S113" s="30" t="n">
        <f aca="false">$D$56+$D$57*$B113^1+$D$58*$B113^2+$D$59*$B113^3+$D$60*$B113^4+$D$61*S$98^1+$D$62*S$98^1*$B113^1+$D$63*S$98^1*$B113^2+$D$64*S$98^1*$B113^3+$D$65*S$98^2+$D$66*S$98^2*$B113^1+$D$67*S$98^2*$B113^2+$D$68*S$98^3+$D$69*S$98^3*$B113^1+$D$70*S$98^4</f>
        <v>0.199866903409091</v>
      </c>
      <c r="T113" s="30" t="n">
        <f aca="false">$D$56+$D$57*$B113^1+$D$58*$B113^2+$D$59*$B113^3+$D$60*$B113^4+$D$61*T$98^1+$D$62*T$98^1*$B113^1+$D$63*T$98^1*$B113^2+$D$64*T$98^1*$B113^3+$D$65*T$98^2+$D$66*T$98^2*$B113^1+$D$67*T$98^2*$B113^2+$D$68*T$98^3+$D$69*T$98^3*$B113^1+$D$70*T$98^4</f>
        <v>0.230656036931818</v>
      </c>
      <c r="U113" s="30" t="n">
        <f aca="false">$D$56+$D$57*$B113^1+$D$58*$B113^2+$D$59*$B113^3+$D$60*$B113^4+$D$61*U$98^1+$D$62*U$98^1*$B113^1+$D$63*U$98^1*$B113^2+$D$64*U$98^1*$B113^3+$D$65*U$98^2+$D$66*U$98^2*$B113^1+$D$67*U$98^2*$B113^2+$D$68*U$98^3+$D$69*U$98^3*$B113^1+$D$70*U$98^4</f>
        <v>0.2814546875</v>
      </c>
      <c r="V113" s="30" t="n">
        <f aca="false">$D$56+$D$57*$B113^1+$D$58*$B113^2+$D$59*$B113^3+$D$60*$B113^4+$D$61*V$98^1+$D$62*V$98^1*$B113^1+$D$63*V$98^1*$B113^2+$D$64*V$98^1*$B113^3+$D$65*V$98^2+$D$66*V$98^2*$B113^1+$D$67*V$98^2*$B113^2+$D$68*V$98^3+$D$69*V$98^3*$B113^1+$D$70*V$98^4</f>
        <v>0.358808309659091</v>
      </c>
      <c r="W113" s="30" t="n">
        <f aca="false">$D$56+$D$57*$B113^1+$D$58*$B113^2+$D$59*$B113^3+$D$60*$B113^4+$D$61*W$98^1+$D$62*W$98^1*$B113^1+$D$63*W$98^1*$B113^2+$D$64*W$98^1*$B113^3+$D$65*W$98^2+$D$66*W$98^2*$B113^1+$D$67*W$98^2*$B113^2+$D$68*W$98^3+$D$69*W$98^3*$B113^1+$D$70*W$98^4</f>
        <v>0.470135085227273</v>
      </c>
    </row>
    <row r="114" customFormat="false" ht="15" hidden="false" customHeight="false" outlineLevel="0" collapsed="false">
      <c r="B114" s="39" t="n">
        <v>-0.5</v>
      </c>
      <c r="C114" s="30" t="n">
        <f aca="false">$D$56+$D$57*$B114^1+$D$58*$B114^2+$D$59*$B114^3+$D$60*$B114^4+$D$61*C$98^1+$D$62*C$98^1*$B114^1+$D$63*C$98^1*$B114^2+$D$64*C$98^1*$B114^3+$D$65*C$98^2+$D$66*C$98^2*$B114^1+$D$67*C$98^2*$B114^2+$D$68*C$98^3+$D$69*C$98^3*$B114^1+$D$70*C$98^4</f>
        <v>0.465882457386364</v>
      </c>
      <c r="D114" s="30" t="n">
        <f aca="false">$D$56+$D$57*$B114^1+$D$58*$B114^2+$D$59*$B114^3+$D$60*$B114^4+$D$61*D$98^1+$D$62*D$98^1*$B114^1+$D$63*D$98^1*$B114^2+$D$64*D$98^1*$B114^3+$D$65*D$98^2+$D$66*D$98^2*$B114^1+$D$67*D$98^2*$B114^2+$D$68*D$98^3+$D$69*D$98^3*$B114^1+$D$70*D$98^4</f>
        <v>0.357081818181818</v>
      </c>
      <c r="E114" s="30" t="n">
        <f aca="false">$D$56+$D$57*$B114^1+$D$58*$B114^2+$D$59*$B114^3+$D$60*$B114^4+$D$61*E$98^1+$D$62*E$98^1*$B114^1+$D$63*E$98^1*$B114^2+$D$64*E$98^1*$B114^3+$D$65*E$98^2+$D$66*E$98^2*$B114^1+$D$67*E$98^2*$B114^2+$D$68*E$98^3+$D$69*E$98^3*$B114^1+$D$70*E$98^4</f>
        <v>0.281988423295455</v>
      </c>
      <c r="F114" s="30" t="n">
        <f aca="false">$D$56+$D$57*$B114^1+$D$58*$B114^2+$D$59*$B114^3+$D$60*$B114^4+$D$61*F$98^1+$D$62*F$98^1*$B114^1+$D$63*F$98^1*$B114^2+$D$64*F$98^1*$B114^3+$D$65*F$98^2+$D$66*F$98^2*$B114^1+$D$67*F$98^2*$B114^2+$D$68*F$98^3+$D$69*F$98^3*$B114^1+$D$70*F$98^4</f>
        <v>0.233184090909091</v>
      </c>
      <c r="G114" s="30" t="n">
        <f aca="false">$D$56+$D$57*$B114^1+$D$58*$B114^2+$D$59*$B114^3+$D$60*$B114^4+$D$61*G$98^1+$D$62*G$98^1*$B114^1+$D$63*G$98^1*$B114^2+$D$64*G$98^1*$B114^3+$D$65*G$98^2+$D$66*G$98^2*$B114^1+$D$67*G$98^2*$B114^2+$D$68*G$98^3+$D$69*G$98^3*$B114^1+$D$70*G$98^4</f>
        <v>0.204123366477273</v>
      </c>
      <c r="H114" s="30" t="n">
        <f aca="false">$D$56+$D$57*$B114^1+$D$58*$B114^2+$D$59*$B114^3+$D$60*$B114^4+$D$61*H$98^1+$D$62*H$98^1*$B114^1+$D$63*H$98^1*$B114^2+$D$64*H$98^1*$B114^3+$D$65*H$98^2+$D$66*H$98^2*$B114^1+$D$67*H$98^2*$B114^2+$D$68*H$98^3+$D$69*H$98^3*$B114^1+$D$70*H$98^4</f>
        <v>0.189133522727273</v>
      </c>
      <c r="I114" s="30" t="n">
        <f aca="false">$D$56+$D$57*$B114^1+$D$58*$B114^2+$D$59*$B114^3+$D$60*$B114^4+$D$61*I$98^1+$D$62*I$98^1*$B114^1+$D$63*I$98^1*$B114^2+$D$64*I$98^1*$B114^3+$D$65*I$98^2+$D$66*I$98^2*$B114^1+$D$67*I$98^2*$B114^2+$D$68*I$98^3+$D$69*I$98^3*$B114^1+$D$70*I$98^4</f>
        <v>0.183414559659091</v>
      </c>
      <c r="J114" s="30" t="n">
        <f aca="false">$D$56+$D$57*$B114^1+$D$58*$B114^2+$D$59*$B114^3+$D$60*$B114^4+$D$61*J$98^1+$D$62*J$98^1*$B114^1+$D$63*J$98^1*$B114^2+$D$64*J$98^1*$B114^3+$D$65*J$98^2+$D$66*J$98^2*$B114^1+$D$67*J$98^2*$B114^2+$D$68*J$98^3+$D$69*J$98^3*$B114^1+$D$70*J$98^4</f>
        <v>0.183039204545455</v>
      </c>
      <c r="K114" s="30" t="n">
        <f aca="false">$D$56+$D$57*$B114^1+$D$58*$B114^2+$D$59*$B114^3+$D$60*$B114^4+$D$61*K$98^1+$D$62*K$98^1*$B114^1+$D$63*K$98^1*$B114^2+$D$64*K$98^1*$B114^3+$D$65*K$98^2+$D$66*K$98^2*$B114^1+$D$67*K$98^2*$B114^2+$D$68*K$98^3+$D$69*K$98^3*$B114^1+$D$70*K$98^4</f>
        <v>0.184952911931818</v>
      </c>
      <c r="L114" s="30" t="n">
        <f aca="false">$D$56+$D$57*$B114^1+$D$58*$B114^2+$D$59*$B114^3+$D$60*$B114^4+$D$61*L$98^1+$D$62*L$98^1*$B114^1+$D$63*L$98^1*$B114^2+$D$64*L$98^1*$B114^3+$D$65*L$98^2+$D$66*L$98^2*$B114^1+$D$67*L$98^2*$B114^2+$D$68*L$98^3+$D$69*L$98^3*$B114^1+$D$70*L$98^4</f>
        <v>0.186973863636364</v>
      </c>
      <c r="M114" s="30" t="n">
        <f aca="false">$D$56+$D$57*$B114^1+$D$58*$B114^2+$D$59*$B114^3+$D$60*$B114^4+$D$61*M$98^1+$D$62*M$98^1*$B114^1+$D$63*M$98^1*$B114^2+$D$64*M$98^1*$B114^3+$D$65*M$98^2+$D$66*M$98^2*$B114^1+$D$67*M$98^2*$B114^2+$D$68*M$98^3+$D$69*M$98^3*$B114^1+$D$70*M$98^4</f>
        <v>0.18779296875</v>
      </c>
      <c r="N114" s="30" t="n">
        <f aca="false">$D$56+$D$57*$B114^1+$D$58*$B114^2+$D$59*$B114^3+$D$60*$B114^4+$D$61*N$98^1+$D$62*N$98^1*$B114^1+$D$63*N$98^1*$B114^2+$D$64*N$98^1*$B114^3+$D$65*N$98^2+$D$66*N$98^2*$B114^1+$D$67*N$98^2*$B114^2+$D$68*N$98^3+$D$69*N$98^3*$B114^1+$D$70*N$98^4</f>
        <v>0.186973863636364</v>
      </c>
      <c r="O114" s="30" t="n">
        <f aca="false">$D$56+$D$57*$B114^1+$D$58*$B114^2+$D$59*$B114^3+$D$60*$B114^4+$D$61*O$98^1+$D$62*O$98^1*$B114^1+$D$63*O$98^1*$B114^2+$D$64*O$98^1*$B114^3+$D$65*O$98^2+$D$66*O$98^2*$B114^1+$D$67*O$98^2*$B114^2+$D$68*O$98^3+$D$69*O$98^3*$B114^1+$D$70*O$98^4</f>
        <v>0.184952911931818</v>
      </c>
      <c r="P114" s="30" t="n">
        <f aca="false">$D$56+$D$57*$B114^1+$D$58*$B114^2+$D$59*$B114^3+$D$60*$B114^4+$D$61*P$98^1+$D$62*P$98^1*$B114^1+$D$63*P$98^1*$B114^2+$D$64*P$98^1*$B114^3+$D$65*P$98^2+$D$66*P$98^2*$B114^1+$D$67*P$98^2*$B114^2+$D$68*P$98^3+$D$69*P$98^3*$B114^1+$D$70*P$98^4</f>
        <v>0.183039204545455</v>
      </c>
      <c r="Q114" s="30" t="n">
        <f aca="false">$D$56+$D$57*$B114^1+$D$58*$B114^2+$D$59*$B114^3+$D$60*$B114^4+$D$61*Q$98^1+$D$62*Q$98^1*$B114^1+$D$63*Q$98^1*$B114^2+$D$64*Q$98^1*$B114^3+$D$65*Q$98^2+$D$66*Q$98^2*$B114^1+$D$67*Q$98^2*$B114^2+$D$68*Q$98^3+$D$69*Q$98^3*$B114^1+$D$70*Q$98^4</f>
        <v>0.183414559659091</v>
      </c>
      <c r="R114" s="30" t="n">
        <f aca="false">$D$56+$D$57*$B114^1+$D$58*$B114^2+$D$59*$B114^3+$D$60*$B114^4+$D$61*R$98^1+$D$62*R$98^1*$B114^1+$D$63*R$98^1*$B114^2+$D$64*R$98^1*$B114^3+$D$65*R$98^2+$D$66*R$98^2*$B114^1+$D$67*R$98^2*$B114^2+$D$68*R$98^3+$D$69*R$98^3*$B114^1+$D$70*R$98^4</f>
        <v>0.189133522727273</v>
      </c>
      <c r="S114" s="30" t="n">
        <f aca="false">$D$56+$D$57*$B114^1+$D$58*$B114^2+$D$59*$B114^3+$D$60*$B114^4+$D$61*S$98^1+$D$62*S$98^1*$B114^1+$D$63*S$98^1*$B114^2+$D$64*S$98^1*$B114^3+$D$65*S$98^2+$D$66*S$98^2*$B114^1+$D$67*S$98^2*$B114^2+$D$68*S$98^3+$D$69*S$98^3*$B114^1+$D$70*S$98^4</f>
        <v>0.204123366477273</v>
      </c>
      <c r="T114" s="30" t="n">
        <f aca="false">$D$56+$D$57*$B114^1+$D$58*$B114^2+$D$59*$B114^3+$D$60*$B114^4+$D$61*T$98^1+$D$62*T$98^1*$B114^1+$D$63*T$98^1*$B114^2+$D$64*T$98^1*$B114^3+$D$65*T$98^2+$D$66*T$98^2*$B114^1+$D$67*T$98^2*$B114^2+$D$68*T$98^3+$D$69*T$98^3*$B114^1+$D$70*T$98^4</f>
        <v>0.233184090909091</v>
      </c>
      <c r="U114" s="30" t="n">
        <f aca="false">$D$56+$D$57*$B114^1+$D$58*$B114^2+$D$59*$B114^3+$D$60*$B114^4+$D$61*U$98^1+$D$62*U$98^1*$B114^1+$D$63*U$98^1*$B114^2+$D$64*U$98^1*$B114^3+$D$65*U$98^2+$D$66*U$98^2*$B114^1+$D$67*U$98^2*$B114^2+$D$68*U$98^3+$D$69*U$98^3*$B114^1+$D$70*U$98^4</f>
        <v>0.281988423295455</v>
      </c>
      <c r="V114" s="30" t="n">
        <f aca="false">$D$56+$D$57*$B114^1+$D$58*$B114^2+$D$59*$B114^3+$D$60*$B114^4+$D$61*V$98^1+$D$62*V$98^1*$B114^1+$D$63*V$98^1*$B114^2+$D$64*V$98^1*$B114^3+$D$65*V$98^2+$D$66*V$98^2*$B114^1+$D$67*V$98^2*$B114^2+$D$68*V$98^3+$D$69*V$98^3*$B114^1+$D$70*V$98^4</f>
        <v>0.357081818181818</v>
      </c>
      <c r="W114" s="30" t="n">
        <f aca="false">$D$56+$D$57*$B114^1+$D$58*$B114^2+$D$59*$B114^3+$D$60*$B114^4+$D$61*W$98^1+$D$62*W$98^1*$B114^1+$D$63*W$98^1*$B114^2+$D$64*W$98^1*$B114^3+$D$65*W$98^2+$D$66*W$98^2*$B114^1+$D$67*W$98^2*$B114^2+$D$68*W$98^3+$D$69*W$98^3*$B114^1+$D$70*W$98^4</f>
        <v>0.465882457386364</v>
      </c>
    </row>
    <row r="115" customFormat="false" ht="15" hidden="false" customHeight="false" outlineLevel="0" collapsed="false">
      <c r="B115" s="39" t="n">
        <v>-0.6</v>
      </c>
      <c r="C115" s="30" t="n">
        <f aca="false">$D$56+$D$57*$B115^1+$D$58*$B115^2+$D$59*$B115^3+$D$60*$B115^4+$D$61*C$98^1+$D$62*C$98^1*$B115^1+$D$63*C$98^1*$B115^2+$D$64*C$98^1*$B115^3+$D$65*C$98^2+$D$66*C$98^2*$B115^1+$D$67*C$98^2*$B115^2+$D$68*C$98^3+$D$69*C$98^3*$B115^1+$D$70*C$98^4</f>
        <v>0.468684801136364</v>
      </c>
      <c r="D115" s="30" t="n">
        <f aca="false">$D$56+$D$57*$B115^1+$D$58*$B115^2+$D$59*$B115^3+$D$60*$B115^4+$D$61*D$98^1+$D$62*D$98^1*$B115^1+$D$63*D$98^1*$B115^2+$D$64*D$98^1*$B115^3+$D$65*D$98^2+$D$66*D$98^2*$B115^1+$D$67*D$98^2*$B115^2+$D$68*D$98^3+$D$69*D$98^3*$B115^1+$D$70*D$98^4</f>
        <v>0.362971661931818</v>
      </c>
      <c r="E115" s="30" t="n">
        <f aca="false">$D$56+$D$57*$B115^1+$D$58*$B115^2+$D$59*$B115^3+$D$60*$B115^4+$D$61*E$98^1+$D$62*E$98^1*$B115^1+$D$63*E$98^1*$B115^2+$D$64*E$98^1*$B115^3+$D$65*E$98^2+$D$66*E$98^2*$B115^1+$D$67*E$98^2*$B115^2+$D$68*E$98^3+$D$69*E$98^3*$B115^1+$D$70*E$98^4</f>
        <v>0.290640767045455</v>
      </c>
      <c r="F115" s="30" t="n">
        <f aca="false">$D$56+$D$57*$B115^1+$D$58*$B115^2+$D$59*$B115^3+$D$60*$B115^4+$D$61*F$98^1+$D$62*F$98^1*$B115^1+$D$63*F$98^1*$B115^2+$D$64*F$98^1*$B115^3+$D$65*F$98^2+$D$66*F$98^2*$B115^1+$D$67*F$98^2*$B115^2+$D$68*F$98^3+$D$69*F$98^3*$B115^1+$D$70*F$98^4</f>
        <v>0.244273934659091</v>
      </c>
      <c r="G115" s="30" t="n">
        <f aca="false">$D$56+$D$57*$B115^1+$D$58*$B115^2+$D$59*$B115^3+$D$60*$B115^4+$D$61*G$98^1+$D$62*G$98^1*$B115^1+$D$63*G$98^1*$B115^2+$D$64*G$98^1*$B115^3+$D$65*G$98^2+$D$66*G$98^2*$B115^1+$D$67*G$98^2*$B115^2+$D$68*G$98^3+$D$69*G$98^3*$B115^1+$D$70*G$98^4</f>
        <v>0.217325710227273</v>
      </c>
      <c r="H115" s="30" t="n">
        <f aca="false">$D$56+$D$57*$B115^1+$D$58*$B115^2+$D$59*$B115^3+$D$60*$B115^4+$D$61*H$98^1+$D$62*H$98^1*$B115^1+$D$63*H$98^1*$B115^2+$D$64*H$98^1*$B115^3+$D$65*H$98^2+$D$66*H$98^2*$B115^1+$D$67*H$98^2*$B115^2+$D$68*H$98^3+$D$69*H$98^3*$B115^1+$D$70*H$98^4</f>
        <v>0.204123366477273</v>
      </c>
      <c r="I115" s="30" t="n">
        <f aca="false">$D$56+$D$57*$B115^1+$D$58*$B115^2+$D$59*$B115^3+$D$60*$B115^4+$D$61*I$98^1+$D$62*I$98^1*$B115^1+$D$63*I$98^1*$B115^2+$D$64*I$98^1*$B115^3+$D$65*I$98^2+$D$66*I$98^2*$B115^1+$D$67*I$98^2*$B115^2+$D$68*I$98^3+$D$69*I$98^3*$B115^1+$D$70*I$98^4</f>
        <v>0.199866903409091</v>
      </c>
      <c r="J115" s="30" t="n">
        <f aca="false">$D$56+$D$57*$B115^1+$D$58*$B115^2+$D$59*$B115^3+$D$60*$B115^4+$D$61*J$98^1+$D$62*J$98^1*$B115^1+$D$63*J$98^1*$B115^2+$D$64*J$98^1*$B115^3+$D$65*J$98^2+$D$66*J$98^2*$B115^1+$D$67*J$98^2*$B115^2+$D$68*J$98^3+$D$69*J$98^3*$B115^1+$D$70*J$98^4</f>
        <v>0.200629048295455</v>
      </c>
      <c r="K115" s="30" t="n">
        <f aca="false">$D$56+$D$57*$B115^1+$D$58*$B115^2+$D$59*$B115^3+$D$60*$B115^4+$D$61*K$98^1+$D$62*K$98^1*$B115^1+$D$63*K$98^1*$B115^2+$D$64*K$98^1*$B115^3+$D$65*K$98^2+$D$66*K$98^2*$B115^1+$D$67*K$98^2*$B115^2+$D$68*K$98^3+$D$69*K$98^3*$B115^1+$D$70*K$98^4</f>
        <v>0.203355255681818</v>
      </c>
      <c r="L115" s="30" t="n">
        <f aca="false">$D$56+$D$57*$B115^1+$D$58*$B115^2+$D$59*$B115^3+$D$60*$B115^4+$D$61*L$98^1+$D$62*L$98^1*$B115^1+$D$63*L$98^1*$B115^2+$D$64*L$98^1*$B115^3+$D$65*L$98^2+$D$66*L$98^2*$B115^1+$D$67*L$98^2*$B115^2+$D$68*L$98^3+$D$69*L$98^3*$B115^1+$D$70*L$98^4</f>
        <v>0.205863707386364</v>
      </c>
      <c r="M115" s="30" t="n">
        <f aca="false">$D$56+$D$57*$B115^1+$D$58*$B115^2+$D$59*$B115^3+$D$60*$B115^4+$D$61*M$98^1+$D$62*M$98^1*$B115^1+$D$63*M$98^1*$B115^2+$D$64*M$98^1*$B115^3+$D$65*M$98^2+$D$66*M$98^2*$B115^1+$D$67*M$98^2*$B115^2+$D$68*M$98^3+$D$69*M$98^3*$B115^1+$D$70*M$98^4</f>
        <v>0.2068453125</v>
      </c>
      <c r="N115" s="30" t="n">
        <f aca="false">$D$56+$D$57*$B115^1+$D$58*$B115^2+$D$59*$B115^3+$D$60*$B115^4+$D$61*N$98^1+$D$62*N$98^1*$B115^1+$D$63*N$98^1*$B115^2+$D$64*N$98^1*$B115^3+$D$65*N$98^2+$D$66*N$98^2*$B115^1+$D$67*N$98^2*$B115^2+$D$68*N$98^3+$D$69*N$98^3*$B115^1+$D$70*N$98^4</f>
        <v>0.205863707386364</v>
      </c>
      <c r="O115" s="30" t="n">
        <f aca="false">$D$56+$D$57*$B115^1+$D$58*$B115^2+$D$59*$B115^3+$D$60*$B115^4+$D$61*O$98^1+$D$62*O$98^1*$B115^1+$D$63*O$98^1*$B115^2+$D$64*O$98^1*$B115^3+$D$65*O$98^2+$D$66*O$98^2*$B115^1+$D$67*O$98^2*$B115^2+$D$68*O$98^3+$D$69*O$98^3*$B115^1+$D$70*O$98^4</f>
        <v>0.203355255681818</v>
      </c>
      <c r="P115" s="30" t="n">
        <f aca="false">$D$56+$D$57*$B115^1+$D$58*$B115^2+$D$59*$B115^3+$D$60*$B115^4+$D$61*P$98^1+$D$62*P$98^1*$B115^1+$D$63*P$98^1*$B115^2+$D$64*P$98^1*$B115^3+$D$65*P$98^2+$D$66*P$98^2*$B115^1+$D$67*P$98^2*$B115^2+$D$68*P$98^3+$D$69*P$98^3*$B115^1+$D$70*P$98^4</f>
        <v>0.200629048295455</v>
      </c>
      <c r="Q115" s="30" t="n">
        <f aca="false">$D$56+$D$57*$B115^1+$D$58*$B115^2+$D$59*$B115^3+$D$60*$B115^4+$D$61*Q$98^1+$D$62*Q$98^1*$B115^1+$D$63*Q$98^1*$B115^2+$D$64*Q$98^1*$B115^3+$D$65*Q$98^2+$D$66*Q$98^2*$B115^1+$D$67*Q$98^2*$B115^2+$D$68*Q$98^3+$D$69*Q$98^3*$B115^1+$D$70*Q$98^4</f>
        <v>0.199866903409091</v>
      </c>
      <c r="R115" s="30" t="n">
        <f aca="false">$D$56+$D$57*$B115^1+$D$58*$B115^2+$D$59*$B115^3+$D$60*$B115^4+$D$61*R$98^1+$D$62*R$98^1*$B115^1+$D$63*R$98^1*$B115^2+$D$64*R$98^1*$B115^3+$D$65*R$98^2+$D$66*R$98^2*$B115^1+$D$67*R$98^2*$B115^2+$D$68*R$98^3+$D$69*R$98^3*$B115^1+$D$70*R$98^4</f>
        <v>0.204123366477273</v>
      </c>
      <c r="S115" s="30" t="n">
        <f aca="false">$D$56+$D$57*$B115^1+$D$58*$B115^2+$D$59*$B115^3+$D$60*$B115^4+$D$61*S$98^1+$D$62*S$98^1*$B115^1+$D$63*S$98^1*$B115^2+$D$64*S$98^1*$B115^3+$D$65*S$98^2+$D$66*S$98^2*$B115^1+$D$67*S$98^2*$B115^2+$D$68*S$98^3+$D$69*S$98^3*$B115^1+$D$70*S$98^4</f>
        <v>0.217325710227273</v>
      </c>
      <c r="T115" s="30" t="n">
        <f aca="false">$D$56+$D$57*$B115^1+$D$58*$B115^2+$D$59*$B115^3+$D$60*$B115^4+$D$61*T$98^1+$D$62*T$98^1*$B115^1+$D$63*T$98^1*$B115^2+$D$64*T$98^1*$B115^3+$D$65*T$98^2+$D$66*T$98^2*$B115^1+$D$67*T$98^2*$B115^2+$D$68*T$98^3+$D$69*T$98^3*$B115^1+$D$70*T$98^4</f>
        <v>0.244273934659091</v>
      </c>
      <c r="U115" s="30" t="n">
        <f aca="false">$D$56+$D$57*$B115^1+$D$58*$B115^2+$D$59*$B115^3+$D$60*$B115^4+$D$61*U$98^1+$D$62*U$98^1*$B115^1+$D$63*U$98^1*$B115^2+$D$64*U$98^1*$B115^3+$D$65*U$98^2+$D$66*U$98^2*$B115^1+$D$67*U$98^2*$B115^2+$D$68*U$98^3+$D$69*U$98^3*$B115^1+$D$70*U$98^4</f>
        <v>0.290640767045455</v>
      </c>
      <c r="V115" s="30" t="n">
        <f aca="false">$D$56+$D$57*$B115^1+$D$58*$B115^2+$D$59*$B115^3+$D$60*$B115^4+$D$61*V$98^1+$D$62*V$98^1*$B115^1+$D$63*V$98^1*$B115^2+$D$64*V$98^1*$B115^3+$D$65*V$98^2+$D$66*V$98^2*$B115^1+$D$67*V$98^2*$B115^2+$D$68*V$98^3+$D$69*V$98^3*$B115^1+$D$70*V$98^4</f>
        <v>0.362971661931818</v>
      </c>
      <c r="W115" s="30" t="n">
        <f aca="false">$D$56+$D$57*$B115^1+$D$58*$B115^2+$D$59*$B115^3+$D$60*$B115^4+$D$61*W$98^1+$D$62*W$98^1*$B115^1+$D$63*W$98^1*$B115^2+$D$64*W$98^1*$B115^3+$D$65*W$98^2+$D$66*W$98^2*$B115^1+$D$67*W$98^2*$B115^2+$D$68*W$98^3+$D$69*W$98^3*$B115^1+$D$70*W$98^4</f>
        <v>0.468684801136364</v>
      </c>
    </row>
    <row r="116" customFormat="false" ht="15" hidden="false" customHeight="false" outlineLevel="0" collapsed="false">
      <c r="B116" s="39" t="n">
        <v>-0.7</v>
      </c>
      <c r="C116" s="30" t="n">
        <f aca="false">$D$56+$D$57*$B116^1+$D$58*$B116^2+$D$59*$B116^3+$D$60*$B116^4+$D$61*C$98^1+$D$62*C$98^1*$B116^1+$D$63*C$98^1*$B116^2+$D$64*C$98^1*$B116^3+$D$65*C$98^2+$D$66*C$98^2*$B116^1+$D$67*C$98^2*$B116^2+$D$68*C$98^3+$D$69*C$98^3*$B116^1+$D$70*C$98^4</f>
        <v>0.483342116477273</v>
      </c>
      <c r="D116" s="30" t="n">
        <f aca="false">$D$56+$D$57*$B116^1+$D$58*$B116^2+$D$59*$B116^3+$D$60*$B116^4+$D$61*D$98^1+$D$62*D$98^1*$B116^1+$D$63*D$98^1*$B116^2+$D$64*D$98^1*$B116^3+$D$65*D$98^2+$D$66*D$98^2*$B116^1+$D$67*D$98^2*$B116^2+$D$68*D$98^3+$D$69*D$98^3*$B116^1+$D$70*D$98^4</f>
        <v>0.381277840909091</v>
      </c>
      <c r="E116" s="30" t="n">
        <f aca="false">$D$56+$D$57*$B116^1+$D$58*$B116^2+$D$59*$B116^3+$D$60*$B116^4+$D$61*E$98^1+$D$62*E$98^1*$B116^1+$D$63*E$98^1*$B116^2+$D$64*E$98^1*$B116^3+$D$65*E$98^2+$D$66*E$98^2*$B116^1+$D$67*E$98^2*$B116^2+$D$68*E$98^3+$D$69*E$98^3*$B116^1+$D$70*E$98^4</f>
        <v>0.31221171875</v>
      </c>
      <c r="F116" s="30" t="n">
        <f aca="false">$D$56+$D$57*$B116^1+$D$58*$B116^2+$D$59*$B116^3+$D$60*$B116^4+$D$61*F$98^1+$D$62*F$98^1*$B116^1+$D$63*F$98^1*$B116^2+$D$64*F$98^1*$B116^3+$D$65*F$98^2+$D$66*F$98^2*$B116^1+$D$67*F$98^2*$B116^2+$D$68*F$98^3+$D$69*F$98^3*$B116^1+$D$70*F$98^4</f>
        <v>0.268725568181818</v>
      </c>
      <c r="G116" s="30" t="n">
        <f aca="false">$D$56+$D$57*$B116^1+$D$58*$B116^2+$D$59*$B116^3+$D$60*$B116^4+$D$61*G$98^1+$D$62*G$98^1*$B116^1+$D$63*G$98^1*$B116^2+$D$64*G$98^1*$B116^3+$D$65*G$98^2+$D$66*G$98^2*$B116^1+$D$67*G$98^2*$B116^2+$D$68*G$98^3+$D$69*G$98^3*$B116^1+$D$70*G$98^4</f>
        <v>0.244273934659091</v>
      </c>
      <c r="H116" s="30" t="n">
        <f aca="false">$D$56+$D$57*$B116^1+$D$58*$B116^2+$D$59*$B116^3+$D$60*$B116^4+$D$61*H$98^1+$D$62*H$98^1*$B116^1+$D$63*H$98^1*$B116^2+$D$64*H$98^1*$B116^3+$D$65*H$98^2+$D$66*H$98^2*$B116^1+$D$67*H$98^2*$B116^2+$D$68*H$98^3+$D$69*H$98^3*$B116^1+$D$70*H$98^4</f>
        <v>0.233184090909091</v>
      </c>
      <c r="I116" s="30" t="n">
        <f aca="false">$D$56+$D$57*$B116^1+$D$58*$B116^2+$D$59*$B116^3+$D$60*$B116^4+$D$61*I$98^1+$D$62*I$98^1*$B116^1+$D$63*I$98^1*$B116^2+$D$64*I$98^1*$B116^3+$D$65*I$98^2+$D$66*I$98^2*$B116^1+$D$67*I$98^2*$B116^2+$D$68*I$98^3+$D$69*I$98^3*$B116^1+$D$70*I$98^4</f>
        <v>0.230656036931818</v>
      </c>
      <c r="J116" s="30" t="n">
        <f aca="false">$D$56+$D$57*$B116^1+$D$58*$B116^2+$D$59*$B116^3+$D$60*$B116^4+$D$61*J$98^1+$D$62*J$98^1*$B116^1+$D$63*J$98^1*$B116^2+$D$64*J$98^1*$B116^3+$D$65*J$98^2+$D$66*J$98^2*$B116^1+$D$67*J$98^2*$B116^2+$D$68*J$98^3+$D$69*J$98^3*$B116^1+$D$70*J$98^4</f>
        <v>0.2327625</v>
      </c>
      <c r="K116" s="30" t="n">
        <f aca="false">$D$56+$D$57*$B116^1+$D$58*$B116^2+$D$59*$B116^3+$D$60*$B116^4+$D$61*K$98^1+$D$62*K$98^1*$B116^1+$D$63*K$98^1*$B116^2+$D$64*K$98^1*$B116^3+$D$65*K$98^2+$D$66*K$98^2*$B116^1+$D$67*K$98^2*$B116^2+$D$68*K$98^3+$D$69*K$98^3*$B116^1+$D$70*K$98^4</f>
        <v>0.236448934659091</v>
      </c>
      <c r="L116" s="30" t="n">
        <f aca="false">$D$56+$D$57*$B116^1+$D$58*$B116^2+$D$59*$B116^3+$D$60*$B116^4+$D$61*L$98^1+$D$62*L$98^1*$B116^1+$D$63*L$98^1*$B116^2+$D$64*L$98^1*$B116^3+$D$65*L$98^2+$D$66*L$98^2*$B116^1+$D$67*L$98^2*$B116^2+$D$68*L$98^3+$D$69*L$98^3*$B116^1+$D$70*L$98^4</f>
        <v>0.239533522727273</v>
      </c>
      <c r="M116" s="30" t="n">
        <f aca="false">$D$56+$D$57*$B116^1+$D$58*$B116^2+$D$59*$B116^3+$D$60*$B116^4+$D$61*M$98^1+$D$62*M$98^1*$B116^1+$D$63*M$98^1*$B116^2+$D$64*M$98^1*$B116^3+$D$65*M$98^2+$D$66*M$98^2*$B116^1+$D$67*M$98^2*$B116^2+$D$68*M$98^3+$D$69*M$98^3*$B116^1+$D$70*M$98^4</f>
        <v>0.240707173295455</v>
      </c>
      <c r="N116" s="30" t="n">
        <f aca="false">$D$56+$D$57*$B116^1+$D$58*$B116^2+$D$59*$B116^3+$D$60*$B116^4+$D$61*N$98^1+$D$62*N$98^1*$B116^1+$D$63*N$98^1*$B116^2+$D$64*N$98^1*$B116^3+$D$65*N$98^2+$D$66*N$98^2*$B116^1+$D$67*N$98^2*$B116^2+$D$68*N$98^3+$D$69*N$98^3*$B116^1+$D$70*N$98^4</f>
        <v>0.239533522727273</v>
      </c>
      <c r="O116" s="30" t="n">
        <f aca="false">$D$56+$D$57*$B116^1+$D$58*$B116^2+$D$59*$B116^3+$D$60*$B116^4+$D$61*O$98^1+$D$62*O$98^1*$B116^1+$D$63*O$98^1*$B116^2+$D$64*O$98^1*$B116^3+$D$65*O$98^2+$D$66*O$98^2*$B116^1+$D$67*O$98^2*$B116^2+$D$68*O$98^3+$D$69*O$98^3*$B116^1+$D$70*O$98^4</f>
        <v>0.236448934659091</v>
      </c>
      <c r="P116" s="30" t="n">
        <f aca="false">$D$56+$D$57*$B116^1+$D$58*$B116^2+$D$59*$B116^3+$D$60*$B116^4+$D$61*P$98^1+$D$62*P$98^1*$B116^1+$D$63*P$98^1*$B116^2+$D$64*P$98^1*$B116^3+$D$65*P$98^2+$D$66*P$98^2*$B116^1+$D$67*P$98^2*$B116^2+$D$68*P$98^3+$D$69*P$98^3*$B116^1+$D$70*P$98^4</f>
        <v>0.2327625</v>
      </c>
      <c r="Q116" s="30" t="n">
        <f aca="false">$D$56+$D$57*$B116^1+$D$58*$B116^2+$D$59*$B116^3+$D$60*$B116^4+$D$61*Q$98^1+$D$62*Q$98^1*$B116^1+$D$63*Q$98^1*$B116^2+$D$64*Q$98^1*$B116^3+$D$65*Q$98^2+$D$66*Q$98^2*$B116^1+$D$67*Q$98^2*$B116^2+$D$68*Q$98^3+$D$69*Q$98^3*$B116^1+$D$70*Q$98^4</f>
        <v>0.230656036931818</v>
      </c>
      <c r="R116" s="30" t="n">
        <f aca="false">$D$56+$D$57*$B116^1+$D$58*$B116^2+$D$59*$B116^3+$D$60*$B116^4+$D$61*R$98^1+$D$62*R$98^1*$B116^1+$D$63*R$98^1*$B116^2+$D$64*R$98^1*$B116^3+$D$65*R$98^2+$D$66*R$98^2*$B116^1+$D$67*R$98^2*$B116^2+$D$68*R$98^3+$D$69*R$98^3*$B116^1+$D$70*R$98^4</f>
        <v>0.233184090909091</v>
      </c>
      <c r="S116" s="30" t="n">
        <f aca="false">$D$56+$D$57*$B116^1+$D$58*$B116^2+$D$59*$B116^3+$D$60*$B116^4+$D$61*S$98^1+$D$62*S$98^1*$B116^1+$D$63*S$98^1*$B116^2+$D$64*S$98^1*$B116^3+$D$65*S$98^2+$D$66*S$98^2*$B116^1+$D$67*S$98^2*$B116^2+$D$68*S$98^3+$D$69*S$98^3*$B116^1+$D$70*S$98^4</f>
        <v>0.244273934659091</v>
      </c>
      <c r="T116" s="30" t="n">
        <f aca="false">$D$56+$D$57*$B116^1+$D$58*$B116^2+$D$59*$B116^3+$D$60*$B116^4+$D$61*T$98^1+$D$62*T$98^1*$B116^1+$D$63*T$98^1*$B116^2+$D$64*T$98^1*$B116^3+$D$65*T$98^2+$D$66*T$98^2*$B116^1+$D$67*T$98^2*$B116^2+$D$68*T$98^3+$D$69*T$98^3*$B116^1+$D$70*T$98^4</f>
        <v>0.268725568181818</v>
      </c>
      <c r="U116" s="30" t="n">
        <f aca="false">$D$56+$D$57*$B116^1+$D$58*$B116^2+$D$59*$B116^3+$D$60*$B116^4+$D$61*U$98^1+$D$62*U$98^1*$B116^1+$D$63*U$98^1*$B116^2+$D$64*U$98^1*$B116^3+$D$65*U$98^2+$D$66*U$98^2*$B116^1+$D$67*U$98^2*$B116^2+$D$68*U$98^3+$D$69*U$98^3*$B116^1+$D$70*U$98^4</f>
        <v>0.31221171875</v>
      </c>
      <c r="V116" s="30" t="n">
        <f aca="false">$D$56+$D$57*$B116^1+$D$58*$B116^2+$D$59*$B116^3+$D$60*$B116^4+$D$61*V$98^1+$D$62*V$98^1*$B116^1+$D$63*V$98^1*$B116^2+$D$64*V$98^1*$B116^3+$D$65*V$98^2+$D$66*V$98^2*$B116^1+$D$67*V$98^2*$B116^2+$D$68*V$98^3+$D$69*V$98^3*$B116^1+$D$70*V$98^4</f>
        <v>0.381277840909091</v>
      </c>
      <c r="W116" s="30" t="n">
        <f aca="false">$D$56+$D$57*$B116^1+$D$58*$B116^2+$D$59*$B116^3+$D$60*$B116^4+$D$61*W$98^1+$D$62*W$98^1*$B116^1+$D$63*W$98^1*$B116^2+$D$64*W$98^1*$B116^3+$D$65*W$98^2+$D$66*W$98^2*$B116^1+$D$67*W$98^2*$B116^2+$D$68*W$98^3+$D$69*W$98^3*$B116^1+$D$70*W$98^4</f>
        <v>0.483342116477273</v>
      </c>
    </row>
    <row r="117" customFormat="false" ht="15" hidden="false" customHeight="false" outlineLevel="0" collapsed="false">
      <c r="B117" s="39" t="n">
        <v>-0.8</v>
      </c>
      <c r="C117" s="30" t="n">
        <f aca="false">$D$56+$D$57*$B117^1+$D$58*$B117^2+$D$59*$B117^3+$D$60*$B117^4+$D$61*C$98^1+$D$62*C$98^1*$B117^1+$D$63*C$98^1*$B117^2+$D$64*C$98^1*$B117^3+$D$65*C$98^2+$D$66*C$98^2*$B117^1+$D$67*C$98^2*$B117^2+$D$68*C$98^3+$D$69*C$98^3*$B117^1+$D$70*C$98^4</f>
        <v>0.515527130681818</v>
      </c>
      <c r="D117" s="30" t="n">
        <f aca="false">$D$56+$D$57*$B117^1+$D$58*$B117^2+$D$59*$B117^3+$D$60*$B117^4+$D$61*D$98^1+$D$62*D$98^1*$B117^1+$D$63*D$98^1*$B117^2+$D$64*D$98^1*$B117^3+$D$65*D$98^2+$D$66*D$98^2*$B117^1+$D$67*D$98^2*$B117^2+$D$68*D$98^3+$D$69*D$98^3*$B117^1+$D$70*D$98^4</f>
        <v>0.417673082386364</v>
      </c>
      <c r="E117" s="30" t="n">
        <f aca="false">$D$56+$D$57*$B117^1+$D$58*$B117^2+$D$59*$B117^3+$D$60*$B117^4+$D$61*E$98^1+$D$62*E$98^1*$B117^1+$D$63*E$98^1*$B117^2+$D$64*E$98^1*$B117^3+$D$65*E$98^2+$D$66*E$98^2*$B117^1+$D$67*E$98^2*$B117^2+$D$68*E$98^3+$D$69*E$98^3*$B117^1+$D$70*E$98^4</f>
        <v>0.352374005681818</v>
      </c>
      <c r="F117" s="30" t="n">
        <f aca="false">$D$56+$D$57*$B117^1+$D$58*$B117^2+$D$59*$B117^3+$D$60*$B117^4+$D$61*F$98^1+$D$62*F$98^1*$B117^1+$D$63*F$98^1*$B117^2+$D$64*F$98^1*$B117^3+$D$65*F$98^2+$D$66*F$98^2*$B117^1+$D$67*F$98^2*$B117^2+$D$68*F$98^3+$D$69*F$98^3*$B117^1+$D$70*F$98^4</f>
        <v>0.31221171875</v>
      </c>
      <c r="G117" s="30" t="n">
        <f aca="false">$D$56+$D$57*$B117^1+$D$58*$B117^2+$D$59*$B117^3+$D$60*$B117^4+$D$61*G$98^1+$D$62*G$98^1*$B117^1+$D$63*G$98^1*$B117^2+$D$64*G$98^1*$B117^3+$D$65*G$98^2+$D$66*G$98^2*$B117^1+$D$67*G$98^2*$B117^2+$D$68*G$98^3+$D$69*G$98^3*$B117^1+$D$70*G$98^4</f>
        <v>0.290640767045455</v>
      </c>
      <c r="H117" s="30" t="n">
        <f aca="false">$D$56+$D$57*$B117^1+$D$58*$B117^2+$D$59*$B117^3+$D$60*$B117^4+$D$61*H$98^1+$D$62*H$98^1*$B117^1+$D$63*H$98^1*$B117^2+$D$64*H$98^1*$B117^3+$D$65*H$98^2+$D$66*H$98^2*$B117^1+$D$67*H$98^2*$B117^2+$D$68*H$98^3+$D$69*H$98^3*$B117^1+$D$70*H$98^4</f>
        <v>0.281988423295455</v>
      </c>
      <c r="I117" s="30" t="n">
        <f aca="false">$D$56+$D$57*$B117^1+$D$58*$B117^2+$D$59*$B117^3+$D$60*$B117^4+$D$61*I$98^1+$D$62*I$98^1*$B117^1+$D$63*I$98^1*$B117^2+$D$64*I$98^1*$B117^3+$D$65*I$98^2+$D$66*I$98^2*$B117^1+$D$67*I$98^2*$B117^2+$D$68*I$98^3+$D$69*I$98^3*$B117^1+$D$70*I$98^4</f>
        <v>0.2814546875</v>
      </c>
      <c r="J117" s="30" t="n">
        <f aca="false">$D$56+$D$57*$B117^1+$D$58*$B117^2+$D$59*$B117^3+$D$60*$B117^4+$D$61*J$98^1+$D$62*J$98^1*$B117^1+$D$63*J$98^1*$B117^2+$D$64*J$98^1*$B117^3+$D$65*J$98^2+$D$66*J$98^2*$B117^1+$D$67*J$98^2*$B117^2+$D$68*J$98^3+$D$69*J$98^3*$B117^1+$D$70*J$98^4</f>
        <v>0.285112286931818</v>
      </c>
      <c r="K117" s="30" t="n">
        <f aca="false">$D$56+$D$57*$B117^1+$D$58*$B117^2+$D$59*$B117^3+$D$60*$B117^4+$D$61*K$98^1+$D$62*K$98^1*$B117^1+$D$63*K$98^1*$B117^2+$D$64*K$98^1*$B117^3+$D$65*K$98^2+$D$66*K$98^2*$B117^1+$D$67*K$98^2*$B117^2+$D$68*K$98^3+$D$69*K$98^3*$B117^1+$D$70*K$98^4</f>
        <v>0.289906676136364</v>
      </c>
      <c r="L117" s="30" t="n">
        <f aca="false">$D$56+$D$57*$B117^1+$D$58*$B117^2+$D$59*$B117^3+$D$60*$B117^4+$D$61*L$98^1+$D$62*L$98^1*$B117^1+$D$63*L$98^1*$B117^2+$D$64*L$98^1*$B117^3+$D$65*L$98^2+$D$66*L$98^2*$B117^1+$D$67*L$98^2*$B117^2+$D$68*L$98^3+$D$69*L$98^3*$B117^1+$D$70*L$98^4</f>
        <v>0.293656036931818</v>
      </c>
      <c r="M117" s="30" t="n">
        <f aca="false">$D$56+$D$57*$B117^1+$D$58*$B117^2+$D$59*$B117^3+$D$60*$B117^4+$D$61*M$98^1+$D$62*M$98^1*$B117^1+$D$63*M$98^1*$B117^2+$D$64*M$98^1*$B117^3+$D$65*M$98^2+$D$66*M$98^2*$B117^1+$D$67*M$98^2*$B117^2+$D$68*M$98^3+$D$69*M$98^3*$B117^1+$D$70*M$98^4</f>
        <v>0.295051278409091</v>
      </c>
      <c r="N117" s="30" t="n">
        <f aca="false">$D$56+$D$57*$B117^1+$D$58*$B117^2+$D$59*$B117^3+$D$60*$B117^4+$D$61*N$98^1+$D$62*N$98^1*$B117^1+$D$63*N$98^1*$B117^2+$D$64*N$98^1*$B117^3+$D$65*N$98^2+$D$66*N$98^2*$B117^1+$D$67*N$98^2*$B117^2+$D$68*N$98^3+$D$69*N$98^3*$B117^1+$D$70*N$98^4</f>
        <v>0.293656036931818</v>
      </c>
      <c r="O117" s="30" t="n">
        <f aca="false">$D$56+$D$57*$B117^1+$D$58*$B117^2+$D$59*$B117^3+$D$60*$B117^4+$D$61*O$98^1+$D$62*O$98^1*$B117^1+$D$63*O$98^1*$B117^2+$D$64*O$98^1*$B117^3+$D$65*O$98^2+$D$66*O$98^2*$B117^1+$D$67*O$98^2*$B117^2+$D$68*O$98^3+$D$69*O$98^3*$B117^1+$D$70*O$98^4</f>
        <v>0.289906676136364</v>
      </c>
      <c r="P117" s="30" t="n">
        <f aca="false">$D$56+$D$57*$B117^1+$D$58*$B117^2+$D$59*$B117^3+$D$60*$B117^4+$D$61*P$98^1+$D$62*P$98^1*$B117^1+$D$63*P$98^1*$B117^2+$D$64*P$98^1*$B117^3+$D$65*P$98^2+$D$66*P$98^2*$B117^1+$D$67*P$98^2*$B117^2+$D$68*P$98^3+$D$69*P$98^3*$B117^1+$D$70*P$98^4</f>
        <v>0.285112286931818</v>
      </c>
      <c r="Q117" s="30" t="n">
        <f aca="false">$D$56+$D$57*$B117^1+$D$58*$B117^2+$D$59*$B117^3+$D$60*$B117^4+$D$61*Q$98^1+$D$62*Q$98^1*$B117^1+$D$63*Q$98^1*$B117^2+$D$64*Q$98^1*$B117^3+$D$65*Q$98^2+$D$66*Q$98^2*$B117^1+$D$67*Q$98^2*$B117^2+$D$68*Q$98^3+$D$69*Q$98^3*$B117^1+$D$70*Q$98^4</f>
        <v>0.2814546875</v>
      </c>
      <c r="R117" s="30" t="n">
        <f aca="false">$D$56+$D$57*$B117^1+$D$58*$B117^2+$D$59*$B117^3+$D$60*$B117^4+$D$61*R$98^1+$D$62*R$98^1*$B117^1+$D$63*R$98^1*$B117^2+$D$64*R$98^1*$B117^3+$D$65*R$98^2+$D$66*R$98^2*$B117^1+$D$67*R$98^2*$B117^2+$D$68*R$98^3+$D$69*R$98^3*$B117^1+$D$70*R$98^4</f>
        <v>0.281988423295455</v>
      </c>
      <c r="S117" s="30" t="n">
        <f aca="false">$D$56+$D$57*$B117^1+$D$58*$B117^2+$D$59*$B117^3+$D$60*$B117^4+$D$61*S$98^1+$D$62*S$98^1*$B117^1+$D$63*S$98^1*$B117^2+$D$64*S$98^1*$B117^3+$D$65*S$98^2+$D$66*S$98^2*$B117^1+$D$67*S$98^2*$B117^2+$D$68*S$98^3+$D$69*S$98^3*$B117^1+$D$70*S$98^4</f>
        <v>0.290640767045455</v>
      </c>
      <c r="T117" s="30" t="n">
        <f aca="false">$D$56+$D$57*$B117^1+$D$58*$B117^2+$D$59*$B117^3+$D$60*$B117^4+$D$61*T$98^1+$D$62*T$98^1*$B117^1+$D$63*T$98^1*$B117^2+$D$64*T$98^1*$B117^3+$D$65*T$98^2+$D$66*T$98^2*$B117^1+$D$67*T$98^2*$B117^2+$D$68*T$98^3+$D$69*T$98^3*$B117^1+$D$70*T$98^4</f>
        <v>0.31221171875</v>
      </c>
      <c r="U117" s="30" t="n">
        <f aca="false">$D$56+$D$57*$B117^1+$D$58*$B117^2+$D$59*$B117^3+$D$60*$B117^4+$D$61*U$98^1+$D$62*U$98^1*$B117^1+$D$63*U$98^1*$B117^2+$D$64*U$98^1*$B117^3+$D$65*U$98^2+$D$66*U$98^2*$B117^1+$D$67*U$98^2*$B117^2+$D$68*U$98^3+$D$69*U$98^3*$B117^1+$D$70*U$98^4</f>
        <v>0.352374005681818</v>
      </c>
      <c r="V117" s="30" t="n">
        <f aca="false">$D$56+$D$57*$B117^1+$D$58*$B117^2+$D$59*$B117^3+$D$60*$B117^4+$D$61*V$98^1+$D$62*V$98^1*$B117^1+$D$63*V$98^1*$B117^2+$D$64*V$98^1*$B117^3+$D$65*V$98^2+$D$66*V$98^2*$B117^1+$D$67*V$98^2*$B117^2+$D$68*V$98^3+$D$69*V$98^3*$B117^1+$D$70*V$98^4</f>
        <v>0.417673082386364</v>
      </c>
      <c r="W117" s="30" t="n">
        <f aca="false">$D$56+$D$57*$B117^1+$D$58*$B117^2+$D$59*$B117^3+$D$60*$B117^4+$D$61*W$98^1+$D$62*W$98^1*$B117^1+$D$63*W$98^1*$B117^2+$D$64*W$98^1*$B117^3+$D$65*W$98^2+$D$66*W$98^2*$B117^1+$D$67*W$98^2*$B117^2+$D$68*W$98^3+$D$69*W$98^3*$B117^1+$D$70*W$98^4</f>
        <v>0.515527130681818</v>
      </c>
    </row>
    <row r="118" customFormat="false" ht="15" hidden="false" customHeight="false" outlineLevel="0" collapsed="false">
      <c r="B118" s="39" t="n">
        <v>-0.9</v>
      </c>
      <c r="C118" s="30" t="n">
        <f aca="false">$D$56+$D$57*$B118^1+$D$58*$B118^2+$D$59*$B118^3+$D$60*$B118^4+$D$61*C$98^1+$D$62*C$98^1*$B118^1+$D$63*C$98^1*$B118^2+$D$64*C$98^1*$B118^3+$D$65*C$98^2+$D$66*C$98^2*$B118^1+$D$67*C$98^2*$B118^2+$D$68*C$98^3+$D$69*C$98^3*$B118^1+$D$70*C$98^4</f>
        <v>0.571785298295455</v>
      </c>
      <c r="D118" s="30" t="n">
        <f aca="false">$D$56+$D$57*$B118^1+$D$58*$B118^2+$D$59*$B118^3+$D$60*$B118^4+$D$61*D$98^1+$D$62*D$98^1*$B118^1+$D$63*D$98^1*$B118^2+$D$64*D$98^1*$B118^3+$D$65*D$98^2+$D$66*D$98^2*$B118^1+$D$67*D$98^2*$B118^2+$D$68*D$98^3+$D$69*D$98^3*$B118^1+$D$70*D$98^4</f>
        <v>0.478702840909091</v>
      </c>
      <c r="E118" s="30" t="n">
        <f aca="false">$D$56+$D$57*$B118^1+$D$58*$B118^2+$D$59*$B118^3+$D$60*$B118^4+$D$61*E$98^1+$D$62*E$98^1*$B118^1+$D$63*E$98^1*$B118^2+$D$64*E$98^1*$B118^3+$D$65*E$98^2+$D$66*E$98^2*$B118^1+$D$67*E$98^2*$B118^2+$D$68*E$98^3+$D$69*E$98^3*$B118^1+$D$70*E$98^4</f>
        <v>0.417673082386364</v>
      </c>
      <c r="F118" s="30" t="n">
        <f aca="false">$D$56+$D$57*$B118^1+$D$58*$B118^2+$D$59*$B118^3+$D$60*$B118^4+$D$61*F$98^1+$D$62*F$98^1*$B118^1+$D$63*F$98^1*$B118^2+$D$64*F$98^1*$B118^3+$D$65*F$98^2+$D$66*F$98^2*$B118^1+$D$67*F$98^2*$B118^2+$D$68*F$98^3+$D$69*F$98^3*$B118^1+$D$70*F$98^4</f>
        <v>0.381277840909091</v>
      </c>
      <c r="G118" s="30" t="n">
        <f aca="false">$D$56+$D$57*$B118^1+$D$58*$B118^2+$D$59*$B118^3+$D$60*$B118^4+$D$61*G$98^1+$D$62*G$98^1*$B118^1+$D$63*G$98^1*$B118^2+$D$64*G$98^1*$B118^3+$D$65*G$98^2+$D$66*G$98^2*$B118^1+$D$67*G$98^2*$B118^2+$D$68*G$98^3+$D$69*G$98^3*$B118^1+$D$70*G$98^4</f>
        <v>0.362971661931818</v>
      </c>
      <c r="H118" s="30" t="n">
        <f aca="false">$D$56+$D$57*$B118^1+$D$58*$B118^2+$D$59*$B118^3+$D$60*$B118^4+$D$61*H$98^1+$D$62*H$98^1*$B118^1+$D$63*H$98^1*$B118^2+$D$64*H$98^1*$B118^3+$D$65*H$98^2+$D$66*H$98^2*$B118^1+$D$67*H$98^2*$B118^2+$D$68*H$98^3+$D$69*H$98^3*$B118^1+$D$70*H$98^4</f>
        <v>0.357081818181818</v>
      </c>
      <c r="I118" s="30" t="n">
        <f aca="false">$D$56+$D$57*$B118^1+$D$58*$B118^2+$D$59*$B118^3+$D$60*$B118^4+$D$61*I$98^1+$D$62*I$98^1*$B118^1+$D$63*I$98^1*$B118^2+$D$64*I$98^1*$B118^3+$D$65*I$98^2+$D$66*I$98^2*$B118^1+$D$67*I$98^2*$B118^2+$D$68*I$98^3+$D$69*I$98^3*$B118^1+$D$70*I$98^4</f>
        <v>0.358808309659091</v>
      </c>
      <c r="J118" s="30" t="n">
        <f aca="false">$D$56+$D$57*$B118^1+$D$58*$B118^2+$D$59*$B118^3+$D$60*$B118^4+$D$61*J$98^1+$D$62*J$98^1*$B118^1+$D$63*J$98^1*$B118^2+$D$64*J$98^1*$B118^3+$D$65*J$98^2+$D$66*J$98^2*$B118^1+$D$67*J$98^2*$B118^2+$D$68*J$98^3+$D$69*J$98^3*$B118^1+$D$70*J$98^4</f>
        <v>0.364223863636364</v>
      </c>
      <c r="K118" s="30" t="n">
        <f aca="false">$D$56+$D$57*$B118^1+$D$58*$B118^2+$D$59*$B118^3+$D$60*$B118^4+$D$61*K$98^1+$D$62*K$98^1*$B118^1+$D$63*K$98^1*$B118^2+$D$64*K$98^1*$B118^3+$D$65*K$98^2+$D$66*K$98^2*$B118^1+$D$67*K$98^2*$B118^2+$D$68*K$98^3+$D$69*K$98^3*$B118^1+$D$70*K$98^4</f>
        <v>0.370273934659091</v>
      </c>
      <c r="L118" s="30" t="n">
        <f aca="false">$D$56+$D$57*$B118^1+$D$58*$B118^2+$D$59*$B118^3+$D$60*$B118^4+$D$61*L$98^1+$D$62*L$98^1*$B118^1+$D$63*L$98^1*$B118^2+$D$64*L$98^1*$B118^3+$D$65*L$98^2+$D$66*L$98^2*$B118^1+$D$67*L$98^2*$B118^2+$D$68*L$98^3+$D$69*L$98^3*$B118^1+$D$70*L$98^4</f>
        <v>0.374776704545455</v>
      </c>
      <c r="M118" s="30" t="n">
        <f aca="false">$D$56+$D$57*$B118^1+$D$58*$B118^2+$D$59*$B118^3+$D$60*$B118^4+$D$61*M$98^1+$D$62*M$98^1*$B118^1+$D$63*M$98^1*$B118^2+$D$64*M$98^1*$B118^3+$D$65*M$98^2+$D$66*M$98^2*$B118^1+$D$67*M$98^2*$B118^2+$D$68*M$98^3+$D$69*M$98^3*$B118^1+$D$70*M$98^4</f>
        <v>0.376423082386364</v>
      </c>
      <c r="N118" s="30" t="n">
        <f aca="false">$D$56+$D$57*$B118^1+$D$58*$B118^2+$D$59*$B118^3+$D$60*$B118^4+$D$61*N$98^1+$D$62*N$98^1*$B118^1+$D$63*N$98^1*$B118^2+$D$64*N$98^1*$B118^3+$D$65*N$98^2+$D$66*N$98^2*$B118^1+$D$67*N$98^2*$B118^2+$D$68*N$98^3+$D$69*N$98^3*$B118^1+$D$70*N$98^4</f>
        <v>0.374776704545455</v>
      </c>
      <c r="O118" s="30" t="n">
        <f aca="false">$D$56+$D$57*$B118^1+$D$58*$B118^2+$D$59*$B118^3+$D$60*$B118^4+$D$61*O$98^1+$D$62*O$98^1*$B118^1+$D$63*O$98^1*$B118^2+$D$64*O$98^1*$B118^3+$D$65*O$98^2+$D$66*O$98^2*$B118^1+$D$67*O$98^2*$B118^2+$D$68*O$98^3+$D$69*O$98^3*$B118^1+$D$70*O$98^4</f>
        <v>0.370273934659091</v>
      </c>
      <c r="P118" s="30" t="n">
        <f aca="false">$D$56+$D$57*$B118^1+$D$58*$B118^2+$D$59*$B118^3+$D$60*$B118^4+$D$61*P$98^1+$D$62*P$98^1*$B118^1+$D$63*P$98^1*$B118^2+$D$64*P$98^1*$B118^3+$D$65*P$98^2+$D$66*P$98^2*$B118^1+$D$67*P$98^2*$B118^2+$D$68*P$98^3+$D$69*P$98^3*$B118^1+$D$70*P$98^4</f>
        <v>0.364223863636364</v>
      </c>
      <c r="Q118" s="30" t="n">
        <f aca="false">$D$56+$D$57*$B118^1+$D$58*$B118^2+$D$59*$B118^3+$D$60*$B118^4+$D$61*Q$98^1+$D$62*Q$98^1*$B118^1+$D$63*Q$98^1*$B118^2+$D$64*Q$98^1*$B118^3+$D$65*Q$98^2+$D$66*Q$98^2*$B118^1+$D$67*Q$98^2*$B118^2+$D$68*Q$98^3+$D$69*Q$98^3*$B118^1+$D$70*Q$98^4</f>
        <v>0.358808309659091</v>
      </c>
      <c r="R118" s="30" t="n">
        <f aca="false">$D$56+$D$57*$B118^1+$D$58*$B118^2+$D$59*$B118^3+$D$60*$B118^4+$D$61*R$98^1+$D$62*R$98^1*$B118^1+$D$63*R$98^1*$B118^2+$D$64*R$98^1*$B118^3+$D$65*R$98^2+$D$66*R$98^2*$B118^1+$D$67*R$98^2*$B118^2+$D$68*R$98^3+$D$69*R$98^3*$B118^1+$D$70*R$98^4</f>
        <v>0.357081818181818</v>
      </c>
      <c r="S118" s="30" t="n">
        <f aca="false">$D$56+$D$57*$B118^1+$D$58*$B118^2+$D$59*$B118^3+$D$60*$B118^4+$D$61*S$98^1+$D$62*S$98^1*$B118^1+$D$63*S$98^1*$B118^2+$D$64*S$98^1*$B118^3+$D$65*S$98^2+$D$66*S$98^2*$B118^1+$D$67*S$98^2*$B118^2+$D$68*S$98^3+$D$69*S$98^3*$B118^1+$D$70*S$98^4</f>
        <v>0.362971661931818</v>
      </c>
      <c r="T118" s="30" t="n">
        <f aca="false">$D$56+$D$57*$B118^1+$D$58*$B118^2+$D$59*$B118^3+$D$60*$B118^4+$D$61*T$98^1+$D$62*T$98^1*$B118^1+$D$63*T$98^1*$B118^2+$D$64*T$98^1*$B118^3+$D$65*T$98^2+$D$66*T$98^2*$B118^1+$D$67*T$98^2*$B118^2+$D$68*T$98^3+$D$69*T$98^3*$B118^1+$D$70*T$98^4</f>
        <v>0.381277840909091</v>
      </c>
      <c r="U118" s="30" t="n">
        <f aca="false">$D$56+$D$57*$B118^1+$D$58*$B118^2+$D$59*$B118^3+$D$60*$B118^4+$D$61*U$98^1+$D$62*U$98^1*$B118^1+$D$63*U$98^1*$B118^2+$D$64*U$98^1*$B118^3+$D$65*U$98^2+$D$66*U$98^2*$B118^1+$D$67*U$98^2*$B118^2+$D$68*U$98^3+$D$69*U$98^3*$B118^1+$D$70*U$98^4</f>
        <v>0.417673082386364</v>
      </c>
      <c r="V118" s="30" t="n">
        <f aca="false">$D$56+$D$57*$B118^1+$D$58*$B118^2+$D$59*$B118^3+$D$60*$B118^4+$D$61*V$98^1+$D$62*V$98^1*$B118^1+$D$63*V$98^1*$B118^2+$D$64*V$98^1*$B118^3+$D$65*V$98^2+$D$66*V$98^2*$B118^1+$D$67*V$98^2*$B118^2+$D$68*V$98^3+$D$69*V$98^3*$B118^1+$D$70*V$98^4</f>
        <v>0.478702840909091</v>
      </c>
      <c r="W118" s="30" t="n">
        <f aca="false">$D$56+$D$57*$B118^1+$D$58*$B118^2+$D$59*$B118^3+$D$60*$B118^4+$D$61*W$98^1+$D$62*W$98^1*$B118^1+$D$63*W$98^1*$B118^2+$D$64*W$98^1*$B118^3+$D$65*W$98^2+$D$66*W$98^2*$B118^1+$D$67*W$98^2*$B118^2+$D$68*W$98^3+$D$69*W$98^3*$B118^1+$D$70*W$98^4</f>
        <v>0.571785298295455</v>
      </c>
    </row>
    <row r="119" customFormat="false" ht="15" hidden="false" customHeight="false" outlineLevel="0" collapsed="false">
      <c r="B119" s="39" t="n">
        <v>-1</v>
      </c>
      <c r="C119" s="30" t="n">
        <f aca="false">$D$56+$D$57*$B119^1+$D$58*$B119^2+$D$59*$B119^3+$D$60*$B119^4+$D$61*C$98^1+$D$62*C$98^1*$B119^1+$D$63*C$98^1*$B119^2+$D$64*C$98^1*$B119^3+$D$65*C$98^2+$D$66*C$98^2*$B119^1+$D$67*C$98^2*$B119^2+$D$68*C$98^3+$D$69*C$98^3*$B119^1+$D$70*C$98^4</f>
        <v>0.659534801136364</v>
      </c>
      <c r="D119" s="30" t="n">
        <f aca="false">$D$56+$D$57*$B119^1+$D$58*$B119^2+$D$59*$B119^3+$D$60*$B119^4+$D$61*D$98^1+$D$62*D$98^1*$B119^1+$D$63*D$98^1*$B119^2+$D$64*D$98^1*$B119^3+$D$65*D$98^2+$D$66*D$98^2*$B119^1+$D$67*D$98^2*$B119^2+$D$68*D$98^3+$D$69*D$98^3*$B119^1+$D$70*D$98^4</f>
        <v>0.571785298295455</v>
      </c>
      <c r="E119" s="30" t="n">
        <f aca="false">$D$56+$D$57*$B119^1+$D$58*$B119^2+$D$59*$B119^3+$D$60*$B119^4+$D$61*E$98^1+$D$62*E$98^1*$B119^1+$D$63*E$98^1*$B119^2+$D$64*E$98^1*$B119^3+$D$65*E$98^2+$D$66*E$98^2*$B119^1+$D$67*E$98^2*$B119^2+$D$68*E$98^3+$D$69*E$98^3*$B119^1+$D$70*E$98^4</f>
        <v>0.515527130681818</v>
      </c>
      <c r="F119" s="30" t="n">
        <f aca="false">$D$56+$D$57*$B119^1+$D$58*$B119^2+$D$59*$B119^3+$D$60*$B119^4+$D$61*F$98^1+$D$62*F$98^1*$B119^1+$D$63*F$98^1*$B119^2+$D$64*F$98^1*$B119^3+$D$65*F$98^2+$D$66*F$98^2*$B119^1+$D$67*F$98^2*$B119^2+$D$68*F$98^3+$D$69*F$98^3*$B119^1+$D$70*F$98^4</f>
        <v>0.483342116477273</v>
      </c>
      <c r="G119" s="30" t="n">
        <f aca="false">$D$56+$D$57*$B119^1+$D$58*$B119^2+$D$59*$B119^3+$D$60*$B119^4+$D$61*G$98^1+$D$62*G$98^1*$B119^1+$D$63*G$98^1*$B119^2+$D$64*G$98^1*$B119^3+$D$65*G$98^2+$D$66*G$98^2*$B119^1+$D$67*G$98^2*$B119^2+$D$68*G$98^3+$D$69*G$98^3*$B119^1+$D$70*G$98^4</f>
        <v>0.468684801136364</v>
      </c>
      <c r="H119" s="30" t="n">
        <f aca="false">$D$56+$D$57*$B119^1+$D$58*$B119^2+$D$59*$B119^3+$D$60*$B119^4+$D$61*H$98^1+$D$62*H$98^1*$B119^1+$D$63*H$98^1*$B119^2+$D$64*H$98^1*$B119^3+$D$65*H$98^2+$D$66*H$98^2*$B119^1+$D$67*H$98^2*$B119^2+$D$68*H$98^3+$D$69*H$98^3*$B119^1+$D$70*H$98^4</f>
        <v>0.465882457386364</v>
      </c>
      <c r="I119" s="30" t="n">
        <f aca="false">$D$56+$D$57*$B119^1+$D$58*$B119^2+$D$59*$B119^3+$D$60*$B119^4+$D$61*I$98^1+$D$62*I$98^1*$B119^1+$D$63*I$98^1*$B119^2+$D$64*I$98^1*$B119^3+$D$65*I$98^2+$D$66*I$98^2*$B119^1+$D$67*I$98^2*$B119^2+$D$68*I$98^3+$D$69*I$98^3*$B119^1+$D$70*I$98^4</f>
        <v>0.470135085227273</v>
      </c>
      <c r="J119" s="30" t="n">
        <f aca="false">$D$56+$D$57*$B119^1+$D$58*$B119^2+$D$59*$B119^3+$D$60*$B119^4+$D$61*J$98^1+$D$62*J$98^1*$B119^1+$D$63*J$98^1*$B119^2+$D$64*J$98^1*$B119^3+$D$65*J$98^2+$D$66*J$98^2*$B119^1+$D$67*J$98^2*$B119^2+$D$68*J$98^3+$D$69*J$98^3*$B119^1+$D$70*J$98^4</f>
        <v>0.477515411931818</v>
      </c>
      <c r="K119" s="30" t="n">
        <f aca="false">$D$56+$D$57*$B119^1+$D$58*$B119^2+$D$59*$B119^3+$D$60*$B119^4+$D$61*K$98^1+$D$62*K$98^1*$B119^1+$D$63*K$98^1*$B119^2+$D$64*K$98^1*$B119^3+$D$65*K$98^2+$D$66*K$98^2*$B119^1+$D$67*K$98^2*$B119^2+$D$68*K$98^3+$D$69*K$98^3*$B119^1+$D$70*K$98^4</f>
        <v>0.484968892045455</v>
      </c>
      <c r="L119" s="30" t="n">
        <f aca="false">$D$56+$D$57*$B119^1+$D$58*$B119^2+$D$59*$B119^3+$D$60*$B119^4+$D$61*L$98^1+$D$62*L$98^1*$B119^1+$D$63*L$98^1*$B119^2+$D$64*L$98^1*$B119^3+$D$65*L$98^2+$D$66*L$98^2*$B119^1+$D$67*L$98^2*$B119^2+$D$68*L$98^3+$D$69*L$98^3*$B119^1+$D$70*L$98^4</f>
        <v>0.490313707386364</v>
      </c>
      <c r="M119" s="30" t="n">
        <f aca="false">$D$56+$D$57*$B119^1+$D$58*$B119^2+$D$59*$B119^3+$D$60*$B119^4+$D$61*M$98^1+$D$62*M$98^1*$B119^1+$D$63*M$98^1*$B119^2+$D$64*M$98^1*$B119^3+$D$65*M$98^2+$D$66*M$98^2*$B119^1+$D$67*M$98^2*$B119^2+$D$68*M$98^3+$D$69*M$98^3*$B119^1+$D$70*M$98^4</f>
        <v>0.492240767045455</v>
      </c>
      <c r="N119" s="30" t="n">
        <f aca="false">$D$56+$D$57*$B119^1+$D$58*$B119^2+$D$59*$B119^3+$D$60*$B119^4+$D$61*N$98^1+$D$62*N$98^1*$B119^1+$D$63*N$98^1*$B119^2+$D$64*N$98^1*$B119^3+$D$65*N$98^2+$D$66*N$98^2*$B119^1+$D$67*N$98^2*$B119^2+$D$68*N$98^3+$D$69*N$98^3*$B119^1+$D$70*N$98^4</f>
        <v>0.490313707386364</v>
      </c>
      <c r="O119" s="30" t="n">
        <f aca="false">$D$56+$D$57*$B119^1+$D$58*$B119^2+$D$59*$B119^3+$D$60*$B119^4+$D$61*O$98^1+$D$62*O$98^1*$B119^1+$D$63*O$98^1*$B119^2+$D$64*O$98^1*$B119^3+$D$65*O$98^2+$D$66*O$98^2*$B119^1+$D$67*O$98^2*$B119^2+$D$68*O$98^3+$D$69*O$98^3*$B119^1+$D$70*O$98^4</f>
        <v>0.484968892045455</v>
      </c>
      <c r="P119" s="30" t="n">
        <f aca="false">$D$56+$D$57*$B119^1+$D$58*$B119^2+$D$59*$B119^3+$D$60*$B119^4+$D$61*P$98^1+$D$62*P$98^1*$B119^1+$D$63*P$98^1*$B119^2+$D$64*P$98^1*$B119^3+$D$65*P$98^2+$D$66*P$98^2*$B119^1+$D$67*P$98^2*$B119^2+$D$68*P$98^3+$D$69*P$98^3*$B119^1+$D$70*P$98^4</f>
        <v>0.477515411931818</v>
      </c>
      <c r="Q119" s="30" t="n">
        <f aca="false">$D$56+$D$57*$B119^1+$D$58*$B119^2+$D$59*$B119^3+$D$60*$B119^4+$D$61*Q$98^1+$D$62*Q$98^1*$B119^1+$D$63*Q$98^1*$B119^2+$D$64*Q$98^1*$B119^3+$D$65*Q$98^2+$D$66*Q$98^2*$B119^1+$D$67*Q$98^2*$B119^2+$D$68*Q$98^3+$D$69*Q$98^3*$B119^1+$D$70*Q$98^4</f>
        <v>0.470135085227273</v>
      </c>
      <c r="R119" s="30" t="n">
        <f aca="false">$D$56+$D$57*$B119^1+$D$58*$B119^2+$D$59*$B119^3+$D$60*$B119^4+$D$61*R$98^1+$D$62*R$98^1*$B119^1+$D$63*R$98^1*$B119^2+$D$64*R$98^1*$B119^3+$D$65*R$98^2+$D$66*R$98^2*$B119^1+$D$67*R$98^2*$B119^2+$D$68*R$98^3+$D$69*R$98^3*$B119^1+$D$70*R$98^4</f>
        <v>0.465882457386364</v>
      </c>
      <c r="S119" s="30" t="n">
        <f aca="false">$D$56+$D$57*$B119^1+$D$58*$B119^2+$D$59*$B119^3+$D$60*$B119^4+$D$61*S$98^1+$D$62*S$98^1*$B119^1+$D$63*S$98^1*$B119^2+$D$64*S$98^1*$B119^3+$D$65*S$98^2+$D$66*S$98^2*$B119^1+$D$67*S$98^2*$B119^2+$D$68*S$98^3+$D$69*S$98^3*$B119^1+$D$70*S$98^4</f>
        <v>0.468684801136364</v>
      </c>
      <c r="T119" s="30" t="n">
        <f aca="false">$D$56+$D$57*$B119^1+$D$58*$B119^2+$D$59*$B119^3+$D$60*$B119^4+$D$61*T$98^1+$D$62*T$98^1*$B119^1+$D$63*T$98^1*$B119^2+$D$64*T$98^1*$B119^3+$D$65*T$98^2+$D$66*T$98^2*$B119^1+$D$67*T$98^2*$B119^2+$D$68*T$98^3+$D$69*T$98^3*$B119^1+$D$70*T$98^4</f>
        <v>0.483342116477273</v>
      </c>
      <c r="U119" s="30" t="n">
        <f aca="false">$D$56+$D$57*$B119^1+$D$58*$B119^2+$D$59*$B119^3+$D$60*$B119^4+$D$61*U$98^1+$D$62*U$98^1*$B119^1+$D$63*U$98^1*$B119^2+$D$64*U$98^1*$B119^3+$D$65*U$98^2+$D$66*U$98^2*$B119^1+$D$67*U$98^2*$B119^2+$D$68*U$98^3+$D$69*U$98^3*$B119^1+$D$70*U$98^4</f>
        <v>0.515527130681818</v>
      </c>
      <c r="V119" s="30" t="n">
        <f aca="false">$D$56+$D$57*$B119^1+$D$58*$B119^2+$D$59*$B119^3+$D$60*$B119^4+$D$61*V$98^1+$D$62*V$98^1*$B119^1+$D$63*V$98^1*$B119^2+$D$64*V$98^1*$B119^3+$D$65*V$98^2+$D$66*V$98^2*$B119^1+$D$67*V$98^2*$B119^2+$D$68*V$98^3+$D$69*V$98^3*$B119^1+$D$70*V$98^4</f>
        <v>0.571785298295455</v>
      </c>
      <c r="W119" s="30" t="n">
        <f aca="false">$D$56+$D$57*$B119^1+$D$58*$B119^2+$D$59*$B119^3+$D$60*$B119^4+$D$61*W$98^1+$D$62*W$98^1*$B119^1+$D$63*W$98^1*$B119^2+$D$64*W$98^1*$B119^3+$D$65*W$98^2+$D$66*W$98^2*$B119^1+$D$67*W$98^2*$B119^2+$D$68*W$98^3+$D$69*W$98^3*$B119^1+$D$70*W$98^4</f>
        <v>0.659534801136364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Y2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21.6" hidden="false" customHeight="false" outlineLevel="0" collapsed="false">
      <c r="A1" s="1" t="s">
        <v>360</v>
      </c>
    </row>
    <row r="4" customFormat="false" ht="15" hidden="false" customHeight="false" outlineLevel="0" collapsed="false">
      <c r="A4" s="9" t="s">
        <v>197</v>
      </c>
      <c r="B4" s="9" t="s">
        <v>361</v>
      </c>
      <c r="C4" s="9" t="s">
        <v>64</v>
      </c>
      <c r="D4" s="9" t="s">
        <v>69</v>
      </c>
      <c r="E4" s="9" t="s">
        <v>72</v>
      </c>
      <c r="F4" s="10" t="s">
        <v>145</v>
      </c>
      <c r="G4" s="9" t="s">
        <v>64</v>
      </c>
      <c r="H4" s="9" t="s">
        <v>69</v>
      </c>
      <c r="I4" s="9" t="s">
        <v>72</v>
      </c>
      <c r="J4" s="9" t="s">
        <v>150</v>
      </c>
      <c r="K4" s="9" t="s">
        <v>152</v>
      </c>
      <c r="L4" s="9" t="s">
        <v>154</v>
      </c>
      <c r="M4" s="9" t="s">
        <v>156</v>
      </c>
      <c r="N4" s="9" t="s">
        <v>158</v>
      </c>
      <c r="O4" s="9" t="s">
        <v>160</v>
      </c>
      <c r="P4" s="10" t="s">
        <v>233</v>
      </c>
      <c r="Q4" s="9" t="s">
        <v>238</v>
      </c>
      <c r="R4" s="10" t="s">
        <v>362</v>
      </c>
      <c r="S4" s="10" t="s">
        <v>363</v>
      </c>
      <c r="T4" s="10" t="s">
        <v>292</v>
      </c>
      <c r="U4" s="10" t="s">
        <v>234</v>
      </c>
      <c r="V4" s="10" t="s">
        <v>364</v>
      </c>
    </row>
    <row r="5" customFormat="false" ht="15" hidden="false" customHeight="false" outlineLevel="0" collapsed="false">
      <c r="A5" s="0" t="n">
        <v>1</v>
      </c>
      <c r="B5" s="0" t="n">
        <v>-1</v>
      </c>
      <c r="C5" s="0" t="n">
        <f aca="false">B5</f>
        <v>-1</v>
      </c>
      <c r="D5" s="57" t="n">
        <f aca="false">07_最適化!$B$7</f>
        <v>0.75</v>
      </c>
      <c r="E5" s="57" t="n">
        <f aca="false">07_最適化!$B$8</f>
        <v>0.625</v>
      </c>
      <c r="F5" s="55" t="n">
        <f aca="false">1</f>
        <v>1</v>
      </c>
      <c r="G5" s="55" t="n">
        <f aca="false">C5</f>
        <v>-1</v>
      </c>
      <c r="H5" s="57" t="n">
        <f aca="false">D5</f>
        <v>0.75</v>
      </c>
      <c r="I5" s="57" t="n">
        <f aca="false">E5</f>
        <v>0.625</v>
      </c>
      <c r="J5" s="55" t="n">
        <f aca="false">C5*D5</f>
        <v>-0.75</v>
      </c>
      <c r="K5" s="55" t="n">
        <f aca="false">C5*E5</f>
        <v>-0.625</v>
      </c>
      <c r="L5" s="55" t="n">
        <f aca="false">D5*E5</f>
        <v>0.46875</v>
      </c>
      <c r="M5" s="55" t="n">
        <f aca="false">C5*C5</f>
        <v>1</v>
      </c>
      <c r="N5" s="55" t="n">
        <f aca="false">D5*D5</f>
        <v>0.5625</v>
      </c>
      <c r="O5" s="55" t="n">
        <f aca="false">E5*E5</f>
        <v>0.390625</v>
      </c>
      <c r="P5" s="55" t="n">
        <f aca="false">SUMPRODUCT(F5:O5,_XtX!$B$71:$K$71)</f>
        <v>43.4843607954545</v>
      </c>
      <c r="Q5" s="55" t="n">
        <f aca="false">SUMPRODUCT(MMULT(F5:O5,_XtX!$B$58:$K$67),F5:O5)</f>
        <v>0.496855024857955</v>
      </c>
      <c r="R5" s="55" t="n">
        <f aca="false">P5-04_回帰ANOVA!$K$19*04_回帰ANOVA!$K$14*SQRT(1+Q5)</f>
        <v>42.3468474361385</v>
      </c>
      <c r="S5" s="55" t="n">
        <f aca="false">P5+04_回帰ANOVA!$K$19*04_回帰ANOVA!$K$14*SQRT(1+Q5)</f>
        <v>44.6218741547706</v>
      </c>
      <c r="T5" s="54" t="b">
        <f aca="false">AND(C5&gt;=01_因子設定!$L$5-0.000000001,C5&lt;=01_因子設定!$M$5+0.000000001,D5&gt;=01_因子設定!$L$6-0.000000001,D5&lt;=01_因子設定!$M$6+0.000000001,E5&gt;=01_因子設定!$L$7-0.000000001,E5&lt;=01_因子設定!$M$7+0.000000001,IF(01_因子設定!$B$20="Box-Behnken",C5^2+D5^2+E5^2&lt;=2+0.000000001,TRUE()))</f>
        <v>1</v>
      </c>
      <c r="U5" s="55" t="n">
        <f aca="false">IF(T5,IF(01_因子設定!$B$13="最大化",R5-01_因子設定!$B$14,IF(01_因子設定!$B$13="最小化",01_因子設定!$B$15-S5,MIN(R5-01_因子設定!$B$14,01_因子設定!$B$15-S5))),-1E+030)</f>
        <v>-6.15315256386155</v>
      </c>
      <c r="V5" s="55" t="n">
        <f aca="false">IF(U5&gt;=0,1,0)</f>
        <v>0</v>
      </c>
    </row>
    <row r="6" customFormat="false" ht="15" hidden="false" customHeight="false" outlineLevel="0" collapsed="false">
      <c r="A6" s="0" t="n">
        <v>1</v>
      </c>
      <c r="B6" s="0" t="n">
        <v>-0.975</v>
      </c>
      <c r="C6" s="0" t="n">
        <f aca="false">B6</f>
        <v>-0.975</v>
      </c>
      <c r="D6" s="57" t="n">
        <f aca="false">07_最適化!$B$7</f>
        <v>0.75</v>
      </c>
      <c r="E6" s="57" t="n">
        <f aca="false">07_最適化!$B$8</f>
        <v>0.625</v>
      </c>
      <c r="F6" s="55" t="n">
        <f aca="false">1</f>
        <v>1</v>
      </c>
      <c r="G6" s="55" t="n">
        <f aca="false">C6</f>
        <v>-0.975</v>
      </c>
      <c r="H6" s="57" t="n">
        <f aca="false">D6</f>
        <v>0.75</v>
      </c>
      <c r="I6" s="57" t="n">
        <f aca="false">E6</f>
        <v>0.625</v>
      </c>
      <c r="J6" s="55" t="n">
        <f aca="false">C6*D6</f>
        <v>-0.73125</v>
      </c>
      <c r="K6" s="55" t="n">
        <f aca="false">C6*E6</f>
        <v>-0.609375</v>
      </c>
      <c r="L6" s="55" t="n">
        <f aca="false">D6*E6</f>
        <v>0.46875</v>
      </c>
      <c r="M6" s="55" t="n">
        <f aca="false">C6*C6</f>
        <v>0.950625</v>
      </c>
      <c r="N6" s="55" t="n">
        <f aca="false">D6*D6</f>
        <v>0.5625</v>
      </c>
      <c r="O6" s="55" t="n">
        <f aca="false">E6*E6</f>
        <v>0.390625</v>
      </c>
      <c r="P6" s="55" t="n">
        <f aca="false">SUMPRODUCT(F6:O6,_XtX!$B$71:$K$71)</f>
        <v>43.6928011363636</v>
      </c>
      <c r="Q6" s="55" t="n">
        <f aca="false">SUMPRODUCT(MMULT(F6:O6,_XtX!$B$58:$K$67),F6:O6)</f>
        <v>0.468335702237216</v>
      </c>
      <c r="R6" s="55" t="n">
        <f aca="false">P6-04_回帰ANOVA!$K$19*04_回帰ANOVA!$K$14*SQRT(1+Q6)</f>
        <v>42.5661763145123</v>
      </c>
      <c r="S6" s="55" t="n">
        <f aca="false">P6+04_回帰ANOVA!$K$19*04_回帰ANOVA!$K$14*SQRT(1+Q6)</f>
        <v>44.819425958215</v>
      </c>
      <c r="T6" s="54" t="b">
        <f aca="false">AND(C6&gt;=01_因子設定!$L$5-0.000000001,C6&lt;=01_因子設定!$M$5+0.000000001,D6&gt;=01_因子設定!$L$6-0.000000001,D6&lt;=01_因子設定!$M$6+0.000000001,E6&gt;=01_因子設定!$L$7-0.000000001,E6&lt;=01_因子設定!$M$7+0.000000001,IF(01_因子設定!$B$20="Box-Behnken",C6^2+D6^2+E6^2&lt;=2+0.000000001,TRUE()))</f>
        <v>1</v>
      </c>
      <c r="U6" s="55" t="n">
        <f aca="false">IF(T6,IF(01_因子設定!$B$13="最大化",R6-01_因子設定!$B$14,IF(01_因子設定!$B$13="最小化",01_因子設定!$B$15-S6,MIN(R6-01_因子設定!$B$14,01_因子設定!$B$15-S6))),-1E+030)</f>
        <v>-5.93382368548775</v>
      </c>
      <c r="V6" s="55" t="n">
        <f aca="false">IF(U6&gt;=0,1,0)</f>
        <v>0</v>
      </c>
    </row>
    <row r="7" customFormat="false" ht="15" hidden="false" customHeight="false" outlineLevel="0" collapsed="false">
      <c r="A7" s="0" t="n">
        <v>1</v>
      </c>
      <c r="B7" s="0" t="n">
        <v>-0.95</v>
      </c>
      <c r="C7" s="0" t="n">
        <f aca="false">B7</f>
        <v>-0.95</v>
      </c>
      <c r="D7" s="57" t="n">
        <f aca="false">07_最適化!$B$7</f>
        <v>0.75</v>
      </c>
      <c r="E7" s="57" t="n">
        <f aca="false">07_最適化!$B$8</f>
        <v>0.625</v>
      </c>
      <c r="F7" s="55" t="n">
        <f aca="false">1</f>
        <v>1</v>
      </c>
      <c r="G7" s="55" t="n">
        <f aca="false">C7</f>
        <v>-0.95</v>
      </c>
      <c r="H7" s="57" t="n">
        <f aca="false">D7</f>
        <v>0.75</v>
      </c>
      <c r="I7" s="57" t="n">
        <f aca="false">E7</f>
        <v>0.625</v>
      </c>
      <c r="J7" s="55" t="n">
        <f aca="false">C7*D7</f>
        <v>-0.7125</v>
      </c>
      <c r="K7" s="55" t="n">
        <f aca="false">C7*E7</f>
        <v>-0.59375</v>
      </c>
      <c r="L7" s="55" t="n">
        <f aca="false">D7*E7</f>
        <v>0.46875</v>
      </c>
      <c r="M7" s="55" t="n">
        <f aca="false">C7*C7</f>
        <v>0.9025</v>
      </c>
      <c r="N7" s="55" t="n">
        <f aca="false">D7*D7</f>
        <v>0.5625</v>
      </c>
      <c r="O7" s="55" t="n">
        <f aca="false">E7*E7</f>
        <v>0.390625</v>
      </c>
      <c r="P7" s="55" t="n">
        <f aca="false">SUMPRODUCT(F7:O7,_XtX!$B$71:$K$71)</f>
        <v>43.8981448863636</v>
      </c>
      <c r="Q7" s="55" t="n">
        <f aca="false">SUMPRODUCT(MMULT(F7:O7,_XtX!$B$58:$K$67),F7:O7)</f>
        <v>0.442244637784091</v>
      </c>
      <c r="R7" s="55" t="n">
        <f aca="false">P7-04_回帰ANOVA!$K$19*04_回帰ANOVA!$K$14*SQRT(1+Q7)</f>
        <v>42.7815745071926</v>
      </c>
      <c r="S7" s="55" t="n">
        <f aca="false">P7+04_回帰ANOVA!$K$19*04_回帰ANOVA!$K$14*SQRT(1+Q7)</f>
        <v>45.0147152655347</v>
      </c>
      <c r="T7" s="54" t="b">
        <f aca="false">AND(C7&gt;=01_因子設定!$L$5-0.000000001,C7&lt;=01_因子設定!$M$5+0.000000001,D7&gt;=01_因子設定!$L$6-0.000000001,D7&lt;=01_因子設定!$M$6+0.000000001,E7&gt;=01_因子設定!$L$7-0.000000001,E7&lt;=01_因子設定!$M$7+0.000000001,IF(01_因子設定!$B$20="Box-Behnken",C7^2+D7^2+E7^2&lt;=2+0.000000001,TRUE()))</f>
        <v>1</v>
      </c>
      <c r="U7" s="55" t="n">
        <f aca="false">IF(T7,IF(01_因子設定!$B$13="最大化",R7-01_因子設定!$B$14,IF(01_因子設定!$B$13="最小化",01_因子設定!$B$15-S7,MIN(R7-01_因子設定!$B$14,01_因子設定!$B$15-S7))),-1E+030)</f>
        <v>-5.71842549280741</v>
      </c>
      <c r="V7" s="55" t="n">
        <f aca="false">IF(U7&gt;=0,1,0)</f>
        <v>0</v>
      </c>
    </row>
    <row r="8" customFormat="false" ht="15" hidden="false" customHeight="false" outlineLevel="0" collapsed="false">
      <c r="A8" s="0" t="n">
        <v>1</v>
      </c>
      <c r="B8" s="0" t="n">
        <v>-0.925</v>
      </c>
      <c r="C8" s="0" t="n">
        <f aca="false">B8</f>
        <v>-0.925</v>
      </c>
      <c r="D8" s="57" t="n">
        <f aca="false">07_最適化!$B$7</f>
        <v>0.75</v>
      </c>
      <c r="E8" s="57" t="n">
        <f aca="false">07_最適化!$B$8</f>
        <v>0.625</v>
      </c>
      <c r="F8" s="55" t="n">
        <f aca="false">1</f>
        <v>1</v>
      </c>
      <c r="G8" s="55" t="n">
        <f aca="false">C8</f>
        <v>-0.925</v>
      </c>
      <c r="H8" s="57" t="n">
        <f aca="false">D8</f>
        <v>0.75</v>
      </c>
      <c r="I8" s="57" t="n">
        <f aca="false">E8</f>
        <v>0.625</v>
      </c>
      <c r="J8" s="55" t="n">
        <f aca="false">C8*D8</f>
        <v>-0.69375</v>
      </c>
      <c r="K8" s="55" t="n">
        <f aca="false">C8*E8</f>
        <v>-0.578125</v>
      </c>
      <c r="L8" s="55" t="n">
        <f aca="false">D8*E8</f>
        <v>0.46875</v>
      </c>
      <c r="M8" s="55" t="n">
        <f aca="false">C8*C8</f>
        <v>0.855625</v>
      </c>
      <c r="N8" s="55" t="n">
        <f aca="false">D8*D8</f>
        <v>0.5625</v>
      </c>
      <c r="O8" s="55" t="n">
        <f aca="false">E8*E8</f>
        <v>0.390625</v>
      </c>
      <c r="P8" s="55" t="n">
        <f aca="false">SUMPRODUCT(F8:O8,_XtX!$B$71:$K$71)</f>
        <v>44.1003920454546</v>
      </c>
      <c r="Q8" s="55" t="n">
        <f aca="false">SUMPRODUCT(MMULT(F8:O8,_XtX!$B$58:$K$67),F8:O8)</f>
        <v>0.41845058149858</v>
      </c>
      <c r="R8" s="55" t="n">
        <f aca="false">P8-04_回帰ANOVA!$K$19*04_回帰ANOVA!$K$14*SQRT(1+Q8)</f>
        <v>42.9930705236834</v>
      </c>
      <c r="S8" s="55" t="n">
        <f aca="false">P8+04_回帰ANOVA!$K$19*04_回帰ANOVA!$K$14*SQRT(1+Q8)</f>
        <v>45.2077135672257</v>
      </c>
      <c r="T8" s="54" t="b">
        <f aca="false">AND(C8&gt;=01_因子設定!$L$5-0.000000001,C8&lt;=01_因子設定!$M$5+0.000000001,D8&gt;=01_因子設定!$L$6-0.000000001,D8&lt;=01_因子設定!$M$6+0.000000001,E8&gt;=01_因子設定!$L$7-0.000000001,E8&lt;=01_因子設定!$M$7+0.000000001,IF(01_因子設定!$B$20="Box-Behnken",C8^2+D8^2+E8^2&lt;=2+0.000000001,TRUE()))</f>
        <v>1</v>
      </c>
      <c r="U8" s="55" t="n">
        <f aca="false">IF(T8,IF(01_因子設定!$B$13="最大化",R8-01_因子設定!$B$14,IF(01_因子設定!$B$13="最小化",01_因子設定!$B$15-S8,MIN(R8-01_因子設定!$B$14,01_因子設定!$B$15-S8))),-1E+030)</f>
        <v>-5.5069294763166</v>
      </c>
      <c r="V8" s="55" t="n">
        <f aca="false">IF(U8&gt;=0,1,0)</f>
        <v>0</v>
      </c>
    </row>
    <row r="9" customFormat="false" ht="15" hidden="false" customHeight="false" outlineLevel="0" collapsed="false">
      <c r="A9" s="0" t="n">
        <v>1</v>
      </c>
      <c r="B9" s="0" t="n">
        <v>-0.9</v>
      </c>
      <c r="C9" s="0" t="n">
        <f aca="false">B9</f>
        <v>-0.9</v>
      </c>
      <c r="D9" s="57" t="n">
        <f aca="false">07_最適化!$B$7</f>
        <v>0.75</v>
      </c>
      <c r="E9" s="57" t="n">
        <f aca="false">07_最適化!$B$8</f>
        <v>0.625</v>
      </c>
      <c r="F9" s="55" t="n">
        <f aca="false">1</f>
        <v>1</v>
      </c>
      <c r="G9" s="55" t="n">
        <f aca="false">C9</f>
        <v>-0.9</v>
      </c>
      <c r="H9" s="57" t="n">
        <f aca="false">D9</f>
        <v>0.75</v>
      </c>
      <c r="I9" s="57" t="n">
        <f aca="false">E9</f>
        <v>0.625</v>
      </c>
      <c r="J9" s="55" t="n">
        <f aca="false">C9*D9</f>
        <v>-0.675</v>
      </c>
      <c r="K9" s="55" t="n">
        <f aca="false">C9*E9</f>
        <v>-0.5625</v>
      </c>
      <c r="L9" s="55" t="n">
        <f aca="false">D9*E9</f>
        <v>0.46875</v>
      </c>
      <c r="M9" s="55" t="n">
        <f aca="false">C9*C9</f>
        <v>0.81</v>
      </c>
      <c r="N9" s="55" t="n">
        <f aca="false">D9*D9</f>
        <v>0.5625</v>
      </c>
      <c r="O9" s="55" t="n">
        <f aca="false">E9*E9</f>
        <v>0.390625</v>
      </c>
      <c r="P9" s="55" t="n">
        <f aca="false">SUMPRODUCT(F9:O9,_XtX!$B$71:$K$71)</f>
        <v>44.2995426136364</v>
      </c>
      <c r="Q9" s="55" t="n">
        <f aca="false">SUMPRODUCT(MMULT(F9:O9,_XtX!$B$58:$K$67),F9:O9)</f>
        <v>0.396825692471591</v>
      </c>
      <c r="R9" s="55" t="n">
        <f aca="false">P9-04_回帰ANOVA!$K$19*04_回帰ANOVA!$K$14*SQRT(1+Q9)</f>
        <v>43.2006943067145</v>
      </c>
      <c r="S9" s="55" t="n">
        <f aca="false">P9+04_回帰ANOVA!$K$19*04_回帰ANOVA!$K$14*SQRT(1+Q9)</f>
        <v>45.3983909205582</v>
      </c>
      <c r="T9" s="54" t="b">
        <f aca="false">AND(C9&gt;=01_因子設定!$L$5-0.000000001,C9&lt;=01_因子設定!$M$5+0.000000001,D9&gt;=01_因子設定!$L$6-0.000000001,D9&lt;=01_因子設定!$M$6+0.000000001,E9&gt;=01_因子設定!$L$7-0.000000001,E9&lt;=01_因子設定!$M$7+0.000000001,IF(01_因子設定!$B$20="Box-Behnken",C9^2+D9^2+E9^2&lt;=2+0.000000001,TRUE()))</f>
        <v>1</v>
      </c>
      <c r="U9" s="55" t="n">
        <f aca="false">IF(T9,IF(01_因子設定!$B$13="最大化",R9-01_因子設定!$B$14,IF(01_因子設定!$B$13="最小化",01_因子設定!$B$15-S9,MIN(R9-01_因子設定!$B$14,01_因子設定!$B$15-S9))),-1E+030)</f>
        <v>-5.29930569328551</v>
      </c>
      <c r="V9" s="55" t="n">
        <f aca="false">IF(U9&gt;=0,1,0)</f>
        <v>0</v>
      </c>
    </row>
    <row r="10" customFormat="false" ht="15" hidden="false" customHeight="false" outlineLevel="0" collapsed="false">
      <c r="A10" s="0" t="n">
        <v>1</v>
      </c>
      <c r="B10" s="0" t="n">
        <v>-0.875</v>
      </c>
      <c r="C10" s="0" t="n">
        <f aca="false">B10</f>
        <v>-0.875</v>
      </c>
      <c r="D10" s="57" t="n">
        <f aca="false">07_最適化!$B$7</f>
        <v>0.75</v>
      </c>
      <c r="E10" s="57" t="n">
        <f aca="false">07_最適化!$B$8</f>
        <v>0.625</v>
      </c>
      <c r="F10" s="55" t="n">
        <f aca="false">1</f>
        <v>1</v>
      </c>
      <c r="G10" s="55" t="n">
        <f aca="false">C10</f>
        <v>-0.875</v>
      </c>
      <c r="H10" s="57" t="n">
        <f aca="false">D10</f>
        <v>0.75</v>
      </c>
      <c r="I10" s="57" t="n">
        <f aca="false">E10</f>
        <v>0.625</v>
      </c>
      <c r="J10" s="55" t="n">
        <f aca="false">C10*D10</f>
        <v>-0.65625</v>
      </c>
      <c r="K10" s="55" t="n">
        <f aca="false">C10*E10</f>
        <v>-0.546875</v>
      </c>
      <c r="L10" s="55" t="n">
        <f aca="false">D10*E10</f>
        <v>0.46875</v>
      </c>
      <c r="M10" s="55" t="n">
        <f aca="false">C10*C10</f>
        <v>0.765625</v>
      </c>
      <c r="N10" s="55" t="n">
        <f aca="false">D10*D10</f>
        <v>0.5625</v>
      </c>
      <c r="O10" s="55" t="n">
        <f aca="false">E10*E10</f>
        <v>0.390625</v>
      </c>
      <c r="P10" s="55" t="n">
        <f aca="false">SUMPRODUCT(F10:O10,_XtX!$B$71:$K$71)</f>
        <v>44.4955965909091</v>
      </c>
      <c r="Q10" s="55" t="n">
        <f aca="false">SUMPRODUCT(MMULT(F10:O10,_XtX!$B$58:$K$67),F10:O10)</f>
        <v>0.377245538884943</v>
      </c>
      <c r="R10" s="55" t="n">
        <f aca="false">P10-04_回帰ANOVA!$K$19*04_回帰ANOVA!$K$14*SQRT(1+Q10)</f>
        <v>43.4044770762198</v>
      </c>
      <c r="S10" s="55" t="n">
        <f aca="false">P10+04_回帰ANOVA!$K$19*04_回帰ANOVA!$K$14*SQRT(1+Q10)</f>
        <v>45.5867161055984</v>
      </c>
      <c r="T10" s="54" t="b">
        <f aca="false">AND(C10&gt;=01_因子設定!$L$5-0.000000001,C10&lt;=01_因子設定!$M$5+0.000000001,D10&gt;=01_因子設定!$L$6-0.000000001,D10&lt;=01_因子設定!$M$6+0.000000001,E10&gt;=01_因子設定!$L$7-0.000000001,E10&lt;=01_因子設定!$M$7+0.000000001,IF(01_因子設定!$B$20="Box-Behnken",C10^2+D10^2+E10^2&lt;=2+0.000000001,TRUE()))</f>
        <v>1</v>
      </c>
      <c r="U10" s="55" t="n">
        <f aca="false">IF(T10,IF(01_因子設定!$B$13="最大化",R10-01_因子設定!$B$14,IF(01_因子設定!$B$13="最小化",01_因子設定!$B$15-S10,MIN(R10-01_因子設定!$B$14,01_因子設定!$B$15-S10))),-1E+030)</f>
        <v>-5.09552292378018</v>
      </c>
      <c r="V10" s="55" t="n">
        <f aca="false">IF(U10&gt;=0,1,0)</f>
        <v>0</v>
      </c>
    </row>
    <row r="11" customFormat="false" ht="15" hidden="false" customHeight="false" outlineLevel="0" collapsed="false">
      <c r="A11" s="0" t="n">
        <v>1</v>
      </c>
      <c r="B11" s="0" t="n">
        <v>-0.85</v>
      </c>
      <c r="C11" s="0" t="n">
        <f aca="false">B11</f>
        <v>-0.85</v>
      </c>
      <c r="D11" s="57" t="n">
        <f aca="false">07_最適化!$B$7</f>
        <v>0.75</v>
      </c>
      <c r="E11" s="57" t="n">
        <f aca="false">07_最適化!$B$8</f>
        <v>0.625</v>
      </c>
      <c r="F11" s="55" t="n">
        <f aca="false">1</f>
        <v>1</v>
      </c>
      <c r="G11" s="55" t="n">
        <f aca="false">C11</f>
        <v>-0.85</v>
      </c>
      <c r="H11" s="57" t="n">
        <f aca="false">D11</f>
        <v>0.75</v>
      </c>
      <c r="I11" s="57" t="n">
        <f aca="false">E11</f>
        <v>0.625</v>
      </c>
      <c r="J11" s="55" t="n">
        <f aca="false">C11*D11</f>
        <v>-0.6375</v>
      </c>
      <c r="K11" s="55" t="n">
        <f aca="false">C11*E11</f>
        <v>-0.53125</v>
      </c>
      <c r="L11" s="55" t="n">
        <f aca="false">D11*E11</f>
        <v>0.46875</v>
      </c>
      <c r="M11" s="55" t="n">
        <f aca="false">C11*C11</f>
        <v>0.7225</v>
      </c>
      <c r="N11" s="55" t="n">
        <f aca="false">D11*D11</f>
        <v>0.5625</v>
      </c>
      <c r="O11" s="55" t="n">
        <f aca="false">E11*E11</f>
        <v>0.390625</v>
      </c>
      <c r="P11" s="55" t="n">
        <f aca="false">SUMPRODUCT(F11:O11,_XtX!$B$71:$K$71)</f>
        <v>44.6885539772727</v>
      </c>
      <c r="Q11" s="55" t="n">
        <f aca="false">SUMPRODUCT(MMULT(F11:O11,_XtX!$B$58:$K$67),F11:O11)</f>
        <v>0.359589098011364</v>
      </c>
      <c r="R11" s="55" t="n">
        <f aca="false">P11-04_回帰ANOVA!$K$19*04_回帰ANOVA!$K$14*SQRT(1+Q11)</f>
        <v>43.60445116056</v>
      </c>
      <c r="S11" s="55" t="n">
        <f aca="false">P11+04_回帰ANOVA!$K$19*04_回帰ANOVA!$K$14*SQRT(1+Q11)</f>
        <v>45.7726567939855</v>
      </c>
      <c r="T11" s="54" t="b">
        <f aca="false">AND(C11&gt;=01_因子設定!$L$5-0.000000001,C11&lt;=01_因子設定!$M$5+0.000000001,D11&gt;=01_因子設定!$L$6-0.000000001,D11&lt;=01_因子設定!$M$6+0.000000001,E11&gt;=01_因子設定!$L$7-0.000000001,E11&lt;=01_因子設定!$M$7+0.000000001,IF(01_因子設定!$B$20="Box-Behnken",C11^2+D11^2+E11^2&lt;=2+0.000000001,TRUE()))</f>
        <v>1</v>
      </c>
      <c r="U11" s="55" t="n">
        <f aca="false">IF(T11,IF(01_因子設定!$B$13="最大化",R11-01_因子設定!$B$14,IF(01_因子設定!$B$13="最小化",01_因子設定!$B$15-S11,MIN(R11-01_因子設定!$B$14,01_因子設定!$B$15-S11))),-1E+030)</f>
        <v>-4.89554883943999</v>
      </c>
      <c r="V11" s="55" t="n">
        <f aca="false">IF(U11&gt;=0,1,0)</f>
        <v>0</v>
      </c>
    </row>
    <row r="12" customFormat="false" ht="15" hidden="false" customHeight="false" outlineLevel="0" collapsed="false">
      <c r="A12" s="0" t="n">
        <v>1</v>
      </c>
      <c r="B12" s="0" t="n">
        <v>-0.825</v>
      </c>
      <c r="C12" s="0" t="n">
        <f aca="false">B12</f>
        <v>-0.825</v>
      </c>
      <c r="D12" s="57" t="n">
        <f aca="false">07_最適化!$B$7</f>
        <v>0.75</v>
      </c>
      <c r="E12" s="57" t="n">
        <f aca="false">07_最適化!$B$8</f>
        <v>0.625</v>
      </c>
      <c r="F12" s="55" t="n">
        <f aca="false">1</f>
        <v>1</v>
      </c>
      <c r="G12" s="55" t="n">
        <f aca="false">C12</f>
        <v>-0.825</v>
      </c>
      <c r="H12" s="57" t="n">
        <f aca="false">D12</f>
        <v>0.75</v>
      </c>
      <c r="I12" s="57" t="n">
        <f aca="false">E12</f>
        <v>0.625</v>
      </c>
      <c r="J12" s="55" t="n">
        <f aca="false">C12*D12</f>
        <v>-0.61875</v>
      </c>
      <c r="K12" s="55" t="n">
        <f aca="false">C12*E12</f>
        <v>-0.515625</v>
      </c>
      <c r="L12" s="55" t="n">
        <f aca="false">D12*E12</f>
        <v>0.46875</v>
      </c>
      <c r="M12" s="55" t="n">
        <f aca="false">C12*C12</f>
        <v>0.680625</v>
      </c>
      <c r="N12" s="55" t="n">
        <f aca="false">D12*D12</f>
        <v>0.5625</v>
      </c>
      <c r="O12" s="55" t="n">
        <f aca="false">E12*E12</f>
        <v>0.390625</v>
      </c>
      <c r="P12" s="55" t="n">
        <f aca="false">SUMPRODUCT(F12:O12,_XtX!$B$71:$K$71)</f>
        <v>44.8784147727273</v>
      </c>
      <c r="Q12" s="55" t="n">
        <f aca="false">SUMPRODUCT(MMULT(F12:O12,_XtX!$B$58:$K$67),F12:O12)</f>
        <v>0.343738756214489</v>
      </c>
      <c r="R12" s="55" t="n">
        <f aca="false">P12-04_回帰ANOVA!$K$19*04_回帰ANOVA!$K$14*SQRT(1+Q12)</f>
        <v>43.8006498179854</v>
      </c>
      <c r="S12" s="55" t="n">
        <f aca="false">P12+04_回帰ANOVA!$K$19*04_回帰ANOVA!$K$14*SQRT(1+Q12)</f>
        <v>45.9561797274692</v>
      </c>
      <c r="T12" s="54" t="b">
        <f aca="false">AND(C12&gt;=01_因子設定!$L$5-0.000000001,C12&lt;=01_因子設定!$M$5+0.000000001,D12&gt;=01_因子設定!$L$6-0.000000001,D12&lt;=01_因子設定!$M$6+0.000000001,E12&gt;=01_因子設定!$L$7-0.000000001,E12&lt;=01_因子設定!$M$7+0.000000001,IF(01_因子設定!$B$20="Box-Behnken",C12^2+D12^2+E12^2&lt;=2+0.000000001,TRUE()))</f>
        <v>1</v>
      </c>
      <c r="U12" s="55" t="n">
        <f aca="false">IF(T12,IF(01_因子設定!$B$13="最大化",R12-01_因子設定!$B$14,IF(01_因子設定!$B$13="最小化",01_因子設定!$B$15-S12,MIN(R12-01_因子設定!$B$14,01_因子設定!$B$15-S12))),-1E+030)</f>
        <v>-4.69935018201464</v>
      </c>
      <c r="V12" s="55" t="n">
        <f aca="false">IF(U12&gt;=0,1,0)</f>
        <v>0</v>
      </c>
    </row>
    <row r="13" customFormat="false" ht="15" hidden="false" customHeight="false" outlineLevel="0" collapsed="false">
      <c r="A13" s="0" t="n">
        <v>1</v>
      </c>
      <c r="B13" s="0" t="n">
        <v>-0.8</v>
      </c>
      <c r="C13" s="0" t="n">
        <f aca="false">B13</f>
        <v>-0.8</v>
      </c>
      <c r="D13" s="57" t="n">
        <f aca="false">07_最適化!$B$7</f>
        <v>0.75</v>
      </c>
      <c r="E13" s="57" t="n">
        <f aca="false">07_最適化!$B$8</f>
        <v>0.625</v>
      </c>
      <c r="F13" s="55" t="n">
        <f aca="false">1</f>
        <v>1</v>
      </c>
      <c r="G13" s="55" t="n">
        <f aca="false">C13</f>
        <v>-0.8</v>
      </c>
      <c r="H13" s="57" t="n">
        <f aca="false">D13</f>
        <v>0.75</v>
      </c>
      <c r="I13" s="57" t="n">
        <f aca="false">E13</f>
        <v>0.625</v>
      </c>
      <c r="J13" s="55" t="n">
        <f aca="false">C13*D13</f>
        <v>-0.6</v>
      </c>
      <c r="K13" s="55" t="n">
        <f aca="false">C13*E13</f>
        <v>-0.5</v>
      </c>
      <c r="L13" s="55" t="n">
        <f aca="false">D13*E13</f>
        <v>0.46875</v>
      </c>
      <c r="M13" s="55" t="n">
        <f aca="false">C13*C13</f>
        <v>0.64</v>
      </c>
      <c r="N13" s="55" t="n">
        <f aca="false">D13*D13</f>
        <v>0.5625</v>
      </c>
      <c r="O13" s="55" t="n">
        <f aca="false">E13*E13</f>
        <v>0.390625</v>
      </c>
      <c r="P13" s="55" t="n">
        <f aca="false">SUMPRODUCT(F13:O13,_XtX!$B$71:$K$71)</f>
        <v>45.0651789772727</v>
      </c>
      <c r="Q13" s="55" t="n">
        <f aca="false">SUMPRODUCT(MMULT(F13:O13,_XtX!$B$58:$K$67),F13:O13)</f>
        <v>0.329580308948864</v>
      </c>
      <c r="R13" s="55" t="n">
        <f aca="false">P13-04_回帰ANOVA!$K$19*04_回帰ANOVA!$K$14*SQRT(1+Q13)</f>
        <v>43.9931070514607</v>
      </c>
      <c r="S13" s="55" t="n">
        <f aca="false">P13+04_回帰ANOVA!$K$19*04_回帰ANOVA!$K$14*SQRT(1+Q13)</f>
        <v>46.1372509030848</v>
      </c>
      <c r="T13" s="54" t="b">
        <f aca="false">AND(C13&gt;=01_因子設定!$L$5-0.000000001,C13&lt;=01_因子設定!$M$5+0.000000001,D13&gt;=01_因子設定!$L$6-0.000000001,D13&lt;=01_因子設定!$M$6+0.000000001,E13&gt;=01_因子設定!$L$7-0.000000001,E13&lt;=01_因子設定!$M$7+0.000000001,IF(01_因子設定!$B$20="Box-Behnken",C13^2+D13^2+E13^2&lt;=2+0.000000001,TRUE()))</f>
        <v>1</v>
      </c>
      <c r="U13" s="55" t="n">
        <f aca="false">IF(T13,IF(01_因子設定!$B$13="最大化",R13-01_因子設定!$B$14,IF(01_因子設定!$B$13="最小化",01_因子設定!$B$15-S13,MIN(R13-01_因子設定!$B$14,01_因子設定!$B$15-S13))),-1E+030)</f>
        <v>-4.50689294853934</v>
      </c>
      <c r="V13" s="55" t="n">
        <f aca="false">IF(U13&gt;=0,1,0)</f>
        <v>0</v>
      </c>
    </row>
    <row r="14" customFormat="false" ht="15" hidden="false" customHeight="false" outlineLevel="0" collapsed="false">
      <c r="A14" s="0" t="n">
        <v>1</v>
      </c>
      <c r="B14" s="0" t="n">
        <v>-0.775</v>
      </c>
      <c r="C14" s="0" t="n">
        <f aca="false">B14</f>
        <v>-0.775</v>
      </c>
      <c r="D14" s="57" t="n">
        <f aca="false">07_最適化!$B$7</f>
        <v>0.75</v>
      </c>
      <c r="E14" s="57" t="n">
        <f aca="false">07_最適化!$B$8</f>
        <v>0.625</v>
      </c>
      <c r="F14" s="55" t="n">
        <f aca="false">1</f>
        <v>1</v>
      </c>
      <c r="G14" s="55" t="n">
        <f aca="false">C14</f>
        <v>-0.775</v>
      </c>
      <c r="H14" s="57" t="n">
        <f aca="false">D14</f>
        <v>0.75</v>
      </c>
      <c r="I14" s="57" t="n">
        <f aca="false">E14</f>
        <v>0.625</v>
      </c>
      <c r="J14" s="55" t="n">
        <f aca="false">C14*D14</f>
        <v>-0.58125</v>
      </c>
      <c r="K14" s="55" t="n">
        <f aca="false">C14*E14</f>
        <v>-0.484375</v>
      </c>
      <c r="L14" s="55" t="n">
        <f aca="false">D14*E14</f>
        <v>0.46875</v>
      </c>
      <c r="M14" s="55" t="n">
        <f aca="false">C14*C14</f>
        <v>0.600625</v>
      </c>
      <c r="N14" s="55" t="n">
        <f aca="false">D14*D14</f>
        <v>0.5625</v>
      </c>
      <c r="O14" s="55" t="n">
        <f aca="false">E14*E14</f>
        <v>0.390625</v>
      </c>
      <c r="P14" s="55" t="n">
        <f aca="false">SUMPRODUCT(F14:O14,_XtX!$B$71:$K$71)</f>
        <v>45.2488465909091</v>
      </c>
      <c r="Q14" s="55" t="n">
        <f aca="false">SUMPRODUCT(MMULT(F14:O14,_XtX!$B$58:$K$67),F14:O14)</f>
        <v>0.317002960759943</v>
      </c>
      <c r="R14" s="55" t="n">
        <f aca="false">P14-04_回帰ANOVA!$K$19*04_回帰ANOVA!$K$14*SQRT(1+Q14)</f>
        <v>44.1818574199873</v>
      </c>
      <c r="S14" s="55" t="n">
        <f aca="false">P14+04_回帰ANOVA!$K$19*04_回帰ANOVA!$K$14*SQRT(1+Q14)</f>
        <v>46.3158357618309</v>
      </c>
      <c r="T14" s="54" t="b">
        <f aca="false">AND(C14&gt;=01_因子設定!$L$5-0.000000001,C14&lt;=01_因子設定!$M$5+0.000000001,D14&gt;=01_因子設定!$L$6-0.000000001,D14&lt;=01_因子設定!$M$6+0.000000001,E14&gt;=01_因子設定!$L$7-0.000000001,E14&lt;=01_因子設定!$M$7+0.000000001,IF(01_因子設定!$B$20="Box-Behnken",C14^2+D14^2+E14^2&lt;=2+0.000000001,TRUE()))</f>
        <v>1</v>
      </c>
      <c r="U14" s="55" t="n">
        <f aca="false">IF(T14,IF(01_因子設定!$B$13="最大化",R14-01_因子設定!$B$14,IF(01_因子設定!$B$13="最小化",01_因子設定!$B$15-S14,MIN(R14-01_因子設定!$B$14,01_因子設定!$B$15-S14))),-1E+030)</f>
        <v>-4.3181425800127</v>
      </c>
      <c r="V14" s="55" t="n">
        <f aca="false">IF(U14&gt;=0,1,0)</f>
        <v>0</v>
      </c>
    </row>
    <row r="15" customFormat="false" ht="15" hidden="false" customHeight="false" outlineLevel="0" collapsed="false">
      <c r="A15" s="0" t="n">
        <v>1</v>
      </c>
      <c r="B15" s="0" t="n">
        <v>-0.75</v>
      </c>
      <c r="C15" s="0" t="n">
        <f aca="false">B15</f>
        <v>-0.75</v>
      </c>
      <c r="D15" s="57" t="n">
        <f aca="false">07_最適化!$B$7</f>
        <v>0.75</v>
      </c>
      <c r="E15" s="57" t="n">
        <f aca="false">07_最適化!$B$8</f>
        <v>0.625</v>
      </c>
      <c r="F15" s="55" t="n">
        <f aca="false">1</f>
        <v>1</v>
      </c>
      <c r="G15" s="55" t="n">
        <f aca="false">C15</f>
        <v>-0.75</v>
      </c>
      <c r="H15" s="57" t="n">
        <f aca="false">D15</f>
        <v>0.75</v>
      </c>
      <c r="I15" s="57" t="n">
        <f aca="false">E15</f>
        <v>0.625</v>
      </c>
      <c r="J15" s="55" t="n">
        <f aca="false">C15*D15</f>
        <v>-0.5625</v>
      </c>
      <c r="K15" s="55" t="n">
        <f aca="false">C15*E15</f>
        <v>-0.46875</v>
      </c>
      <c r="L15" s="55" t="n">
        <f aca="false">D15*E15</f>
        <v>0.46875</v>
      </c>
      <c r="M15" s="55" t="n">
        <f aca="false">C15*C15</f>
        <v>0.5625</v>
      </c>
      <c r="N15" s="55" t="n">
        <f aca="false">D15*D15</f>
        <v>0.5625</v>
      </c>
      <c r="O15" s="55" t="n">
        <f aca="false">E15*E15</f>
        <v>0.390625</v>
      </c>
      <c r="P15" s="55" t="n">
        <f aca="false">SUMPRODUCT(F15:O15,_XtX!$B$71:$K$71)</f>
        <v>45.4294176136364</v>
      </c>
      <c r="Q15" s="55" t="n">
        <f aca="false">SUMPRODUCT(MMULT(F15:O15,_XtX!$B$58:$K$67),F15:O15)</f>
        <v>0.305899325284091</v>
      </c>
      <c r="R15" s="55" t="n">
        <f aca="false">P15-04_回帰ANOVA!$K$19*04_回帰ANOVA!$K$14*SQRT(1+Q15)</f>
        <v>44.3669358494682</v>
      </c>
      <c r="S15" s="55" t="n">
        <f aca="false">P15+04_回帰ANOVA!$K$19*04_回帰ANOVA!$K$14*SQRT(1+Q15)</f>
        <v>46.4918993778045</v>
      </c>
      <c r="T15" s="54" t="b">
        <f aca="false">AND(C15&gt;=01_因子設定!$L$5-0.000000001,C15&lt;=01_因子設定!$M$5+0.000000001,D15&gt;=01_因子設定!$L$6-0.000000001,D15&lt;=01_因子設定!$M$6+0.000000001,E15&gt;=01_因子設定!$L$7-0.000000001,E15&lt;=01_因子設定!$M$7+0.000000001,IF(01_因子設定!$B$20="Box-Behnken",C15^2+D15^2+E15^2&lt;=2+0.000000001,TRUE()))</f>
        <v>1</v>
      </c>
      <c r="U15" s="55" t="n">
        <f aca="false">IF(T15,IF(01_因子設定!$B$13="最大化",R15-01_因子設定!$B$14,IF(01_因子設定!$B$13="最小化",01_因子設定!$B$15-S15,MIN(R15-01_因子設定!$B$14,01_因子設定!$B$15-S15))),-1E+030)</f>
        <v>-4.13306415053179</v>
      </c>
      <c r="V15" s="55" t="n">
        <f aca="false">IF(U15&gt;=0,1,0)</f>
        <v>0</v>
      </c>
    </row>
    <row r="16" customFormat="false" ht="15" hidden="false" customHeight="false" outlineLevel="0" collapsed="false">
      <c r="A16" s="0" t="n">
        <v>1</v>
      </c>
      <c r="B16" s="0" t="n">
        <v>-0.725</v>
      </c>
      <c r="C16" s="0" t="n">
        <f aca="false">B16</f>
        <v>-0.725</v>
      </c>
      <c r="D16" s="57" t="n">
        <f aca="false">07_最適化!$B$7</f>
        <v>0.75</v>
      </c>
      <c r="E16" s="57" t="n">
        <f aca="false">07_最適化!$B$8</f>
        <v>0.625</v>
      </c>
      <c r="F16" s="55" t="n">
        <f aca="false">1</f>
        <v>1</v>
      </c>
      <c r="G16" s="55" t="n">
        <f aca="false">C16</f>
        <v>-0.725</v>
      </c>
      <c r="H16" s="57" t="n">
        <f aca="false">D16</f>
        <v>0.75</v>
      </c>
      <c r="I16" s="57" t="n">
        <f aca="false">E16</f>
        <v>0.625</v>
      </c>
      <c r="J16" s="55" t="n">
        <f aca="false">C16*D16</f>
        <v>-0.54375</v>
      </c>
      <c r="K16" s="55" t="n">
        <f aca="false">C16*E16</f>
        <v>-0.453125</v>
      </c>
      <c r="L16" s="55" t="n">
        <f aca="false">D16*E16</f>
        <v>0.46875</v>
      </c>
      <c r="M16" s="55" t="n">
        <f aca="false">C16*C16</f>
        <v>0.525625</v>
      </c>
      <c r="N16" s="55" t="n">
        <f aca="false">D16*D16</f>
        <v>0.5625</v>
      </c>
      <c r="O16" s="55" t="n">
        <f aca="false">E16*E16</f>
        <v>0.390625</v>
      </c>
      <c r="P16" s="55" t="n">
        <f aca="false">SUMPRODUCT(F16:O16,_XtX!$B$71:$K$71)</f>
        <v>45.6068920454546</v>
      </c>
      <c r="Q16" s="55" t="n">
        <f aca="false">SUMPRODUCT(MMULT(F16:O16,_XtX!$B$58:$K$67),F16:O16)</f>
        <v>0.29616542524858</v>
      </c>
      <c r="R16" s="55" t="n">
        <f aca="false">P16-04_回帰ANOVA!$K$19*04_回帰ANOVA!$K$14*SQRT(1+Q16)</f>
        <v>44.5483774459781</v>
      </c>
      <c r="S16" s="55" t="n">
        <f aca="false">P16+04_回帰ANOVA!$K$19*04_回帰ANOVA!$K$14*SQRT(1+Q16)</f>
        <v>46.665406644931</v>
      </c>
      <c r="T16" s="54" t="b">
        <f aca="false">AND(C16&gt;=01_因子設定!$L$5-0.000000001,C16&lt;=01_因子設定!$M$5+0.000000001,D16&gt;=01_因子設定!$L$6-0.000000001,D16&lt;=01_因子設定!$M$6+0.000000001,E16&gt;=01_因子設定!$L$7-0.000000001,E16&lt;=01_因子設定!$M$7+0.000000001,IF(01_因子設定!$B$20="Box-Behnken",C16^2+D16^2+E16^2&lt;=2+0.000000001,TRUE()))</f>
        <v>1</v>
      </c>
      <c r="U16" s="55" t="n">
        <f aca="false">IF(T16,IF(01_因子設定!$B$13="最大化",R16-01_因子設定!$B$14,IF(01_因子設定!$B$13="最小化",01_因子設定!$B$15-S16,MIN(R16-01_因子設定!$B$14,01_因子設定!$B$15-S16))),-1E+030)</f>
        <v>-3.9516225540219</v>
      </c>
      <c r="V16" s="55" t="n">
        <f aca="false">IF(U16&gt;=0,1,0)</f>
        <v>0</v>
      </c>
    </row>
    <row r="17" customFormat="false" ht="15" hidden="false" customHeight="false" outlineLevel="0" collapsed="false">
      <c r="A17" s="0" t="n">
        <v>1</v>
      </c>
      <c r="B17" s="0" t="n">
        <v>-0.7</v>
      </c>
      <c r="C17" s="0" t="n">
        <f aca="false">B17</f>
        <v>-0.7</v>
      </c>
      <c r="D17" s="57" t="n">
        <f aca="false">07_最適化!$B$7</f>
        <v>0.75</v>
      </c>
      <c r="E17" s="57" t="n">
        <f aca="false">07_最適化!$B$8</f>
        <v>0.625</v>
      </c>
      <c r="F17" s="55" t="n">
        <f aca="false">1</f>
        <v>1</v>
      </c>
      <c r="G17" s="55" t="n">
        <f aca="false">C17</f>
        <v>-0.7</v>
      </c>
      <c r="H17" s="57" t="n">
        <f aca="false">D17</f>
        <v>0.75</v>
      </c>
      <c r="I17" s="57" t="n">
        <f aca="false">E17</f>
        <v>0.625</v>
      </c>
      <c r="J17" s="55" t="n">
        <f aca="false">C17*D17</f>
        <v>-0.525</v>
      </c>
      <c r="K17" s="55" t="n">
        <f aca="false">C17*E17</f>
        <v>-0.4375</v>
      </c>
      <c r="L17" s="55" t="n">
        <f aca="false">D17*E17</f>
        <v>0.46875</v>
      </c>
      <c r="M17" s="55" t="n">
        <f aca="false">C17*C17</f>
        <v>0.49</v>
      </c>
      <c r="N17" s="55" t="n">
        <f aca="false">D17*D17</f>
        <v>0.5625</v>
      </c>
      <c r="O17" s="55" t="n">
        <f aca="false">E17*E17</f>
        <v>0.390625</v>
      </c>
      <c r="P17" s="55" t="n">
        <f aca="false">SUMPRODUCT(F17:O17,_XtX!$B$71:$K$71)</f>
        <v>45.7812698863636</v>
      </c>
      <c r="Q17" s="55" t="n">
        <f aca="false">SUMPRODUCT(MMULT(F17:O17,_XtX!$B$58:$K$67),F17:O17)</f>
        <v>0.287700692471591</v>
      </c>
      <c r="R17" s="55" t="n">
        <f aca="false">P17-04_回帰ANOVA!$K$19*04_回帰ANOVA!$K$14*SQRT(1+Q17)</f>
        <v>44.72621731404</v>
      </c>
      <c r="S17" s="55" t="n">
        <f aca="false">P17+04_回帰ANOVA!$K$19*04_回帰ANOVA!$K$14*SQRT(1+Q17)</f>
        <v>46.8363224586873</v>
      </c>
      <c r="T17" s="54" t="b">
        <f aca="false">AND(C17&gt;=01_因子設定!$L$5-0.000000001,C17&lt;=01_因子設定!$M$5+0.000000001,D17&gt;=01_因子設定!$L$6-0.000000001,D17&lt;=01_因子設定!$M$6+0.000000001,E17&gt;=01_因子設定!$L$7-0.000000001,E17&lt;=01_因子設定!$M$7+0.000000001,IF(01_因子設定!$B$20="Box-Behnken",C17^2+D17^2+E17^2&lt;=2+0.000000001,TRUE()))</f>
        <v>1</v>
      </c>
      <c r="U17" s="55" t="n">
        <f aca="false">IF(T17,IF(01_因子設定!$B$13="最大化",R17-01_因子設定!$B$14,IF(01_因子設定!$B$13="最小化",01_因子設定!$B$15-S17,MIN(R17-01_因子設定!$B$14,01_因子設定!$B$15-S17))),-1E+030)</f>
        <v>-3.77378268596003</v>
      </c>
      <c r="V17" s="55" t="n">
        <f aca="false">IF(U17&gt;=0,1,0)</f>
        <v>0</v>
      </c>
    </row>
    <row r="18" customFormat="false" ht="15" hidden="false" customHeight="false" outlineLevel="0" collapsed="false">
      <c r="A18" s="0" t="n">
        <v>1</v>
      </c>
      <c r="B18" s="0" t="n">
        <v>-0.675</v>
      </c>
      <c r="C18" s="0" t="n">
        <f aca="false">B18</f>
        <v>-0.675</v>
      </c>
      <c r="D18" s="57" t="n">
        <f aca="false">07_最適化!$B$7</f>
        <v>0.75</v>
      </c>
      <c r="E18" s="57" t="n">
        <f aca="false">07_最適化!$B$8</f>
        <v>0.625</v>
      </c>
      <c r="F18" s="55" t="n">
        <f aca="false">1</f>
        <v>1</v>
      </c>
      <c r="G18" s="55" t="n">
        <f aca="false">C18</f>
        <v>-0.675</v>
      </c>
      <c r="H18" s="57" t="n">
        <f aca="false">D18</f>
        <v>0.75</v>
      </c>
      <c r="I18" s="57" t="n">
        <f aca="false">E18</f>
        <v>0.625</v>
      </c>
      <c r="J18" s="55" t="n">
        <f aca="false">C18*D18</f>
        <v>-0.50625</v>
      </c>
      <c r="K18" s="55" t="n">
        <f aca="false">C18*E18</f>
        <v>-0.421875</v>
      </c>
      <c r="L18" s="55" t="n">
        <f aca="false">D18*E18</f>
        <v>0.46875</v>
      </c>
      <c r="M18" s="55" t="n">
        <f aca="false">C18*C18</f>
        <v>0.455625</v>
      </c>
      <c r="N18" s="55" t="n">
        <f aca="false">D18*D18</f>
        <v>0.5625</v>
      </c>
      <c r="O18" s="55" t="n">
        <f aca="false">E18*E18</f>
        <v>0.390625</v>
      </c>
      <c r="P18" s="55" t="n">
        <f aca="false">SUMPRODUCT(F18:O18,_XtX!$B$71:$K$71)</f>
        <v>45.9525511363636</v>
      </c>
      <c r="Q18" s="55" t="n">
        <f aca="false">SUMPRODUCT(MMULT(F18:O18,_XtX!$B$58:$K$67),F18:O18)</f>
        <v>0.280407967862216</v>
      </c>
      <c r="R18" s="55" t="n">
        <f aca="false">P18-04_回帰ANOVA!$K$19*04_回帰ANOVA!$K$14*SQRT(1+Q18)</f>
        <v>44.9004903821876</v>
      </c>
      <c r="S18" s="55" t="n">
        <f aca="false">P18+04_回帰ANOVA!$K$19*04_回帰ANOVA!$K$14*SQRT(1+Q18)</f>
        <v>47.0046118905397</v>
      </c>
      <c r="T18" s="54" t="b">
        <f aca="false">AND(C18&gt;=01_因子設定!$L$5-0.000000001,C18&lt;=01_因子設定!$M$5+0.000000001,D18&gt;=01_因子設定!$L$6-0.000000001,D18&lt;=01_因子設定!$M$6+0.000000001,E18&gt;=01_因子設定!$L$7-0.000000001,E18&lt;=01_因子設定!$M$7+0.000000001,IF(01_因子設定!$B$20="Box-Behnken",C18^2+D18^2+E18^2&lt;=2+0.000000001,TRUE()))</f>
        <v>1</v>
      </c>
      <c r="U18" s="55" t="n">
        <f aca="false">IF(T18,IF(01_因子設定!$B$13="最大化",R18-01_因子設定!$B$14,IF(01_因子設定!$B$13="最小化",01_因子設定!$B$15-S18,MIN(R18-01_因子設定!$B$14,01_因子設定!$B$15-S18))),-1E+030)</f>
        <v>-3.59950961781238</v>
      </c>
      <c r="V18" s="55" t="n">
        <f aca="false">IF(U18&gt;=0,1,0)</f>
        <v>0</v>
      </c>
    </row>
    <row r="19" customFormat="false" ht="15" hidden="false" customHeight="false" outlineLevel="0" collapsed="false">
      <c r="A19" s="0" t="n">
        <v>1</v>
      </c>
      <c r="B19" s="0" t="n">
        <v>-0.65</v>
      </c>
      <c r="C19" s="0" t="n">
        <f aca="false">B19</f>
        <v>-0.65</v>
      </c>
      <c r="D19" s="57" t="n">
        <f aca="false">07_最適化!$B$7</f>
        <v>0.75</v>
      </c>
      <c r="E19" s="57" t="n">
        <f aca="false">07_最適化!$B$8</f>
        <v>0.625</v>
      </c>
      <c r="F19" s="55" t="n">
        <f aca="false">1</f>
        <v>1</v>
      </c>
      <c r="G19" s="55" t="n">
        <f aca="false">C19</f>
        <v>-0.65</v>
      </c>
      <c r="H19" s="57" t="n">
        <f aca="false">D19</f>
        <v>0.75</v>
      </c>
      <c r="I19" s="57" t="n">
        <f aca="false">E19</f>
        <v>0.625</v>
      </c>
      <c r="J19" s="55" t="n">
        <f aca="false">C19*D19</f>
        <v>-0.4875</v>
      </c>
      <c r="K19" s="55" t="n">
        <f aca="false">C19*E19</f>
        <v>-0.40625</v>
      </c>
      <c r="L19" s="55" t="n">
        <f aca="false">D19*E19</f>
        <v>0.46875</v>
      </c>
      <c r="M19" s="55" t="n">
        <f aca="false">C19*C19</f>
        <v>0.4225</v>
      </c>
      <c r="N19" s="55" t="n">
        <f aca="false">D19*D19</f>
        <v>0.5625</v>
      </c>
      <c r="O19" s="55" t="n">
        <f aca="false">E19*E19</f>
        <v>0.390625</v>
      </c>
      <c r="P19" s="55" t="n">
        <f aca="false">SUMPRODUCT(F19:O19,_XtX!$B$71:$K$71)</f>
        <v>46.1207357954546</v>
      </c>
      <c r="Q19" s="55" t="n">
        <f aca="false">SUMPRODUCT(MMULT(F19:O19,_XtX!$B$58:$K$67),F19:O19)</f>
        <v>0.274193501420455</v>
      </c>
      <c r="R19" s="55" t="n">
        <f aca="false">P19-04_回帰ANOVA!$K$19*04_回帰ANOVA!$K$14*SQRT(1+Q19)</f>
        <v>45.0712312377313</v>
      </c>
      <c r="S19" s="55" t="n">
        <f aca="false">P19+04_回帰ANOVA!$K$19*04_回帰ANOVA!$K$14*SQRT(1+Q19)</f>
        <v>47.1702403531778</v>
      </c>
      <c r="T19" s="54" t="b">
        <f aca="false">AND(C19&gt;=01_因子設定!$L$5-0.000000001,C19&lt;=01_因子設定!$M$5+0.000000001,D19&gt;=01_因子設定!$L$6-0.000000001,D19&lt;=01_因子設定!$M$6+0.000000001,E19&gt;=01_因子設定!$L$7-0.000000001,E19&lt;=01_因子設定!$M$7+0.000000001,IF(01_因子設定!$B$20="Box-Behnken",C19^2+D19^2+E19^2&lt;=2+0.000000001,TRUE()))</f>
        <v>1</v>
      </c>
      <c r="U19" s="55" t="n">
        <f aca="false">IF(T19,IF(01_因子設定!$B$13="最大化",R19-01_因子設定!$B$14,IF(01_因子設定!$B$13="最小化",01_因子設定!$B$15-S19,MIN(R19-01_因子設定!$B$14,01_因子設定!$B$15-S19))),-1E+030)</f>
        <v>-3.42876876226873</v>
      </c>
      <c r="V19" s="55" t="n">
        <f aca="false">IF(U19&gt;=0,1,0)</f>
        <v>0</v>
      </c>
    </row>
    <row r="20" customFormat="false" ht="15" hidden="false" customHeight="false" outlineLevel="0" collapsed="false">
      <c r="A20" s="0" t="n">
        <v>1</v>
      </c>
      <c r="B20" s="0" t="n">
        <v>-0.625</v>
      </c>
      <c r="C20" s="0" t="n">
        <f aca="false">B20</f>
        <v>-0.625</v>
      </c>
      <c r="D20" s="57" t="n">
        <f aca="false">07_最適化!$B$7</f>
        <v>0.75</v>
      </c>
      <c r="E20" s="57" t="n">
        <f aca="false">07_最適化!$B$8</f>
        <v>0.625</v>
      </c>
      <c r="F20" s="55" t="n">
        <f aca="false">1</f>
        <v>1</v>
      </c>
      <c r="G20" s="55" t="n">
        <f aca="false">C20</f>
        <v>-0.625</v>
      </c>
      <c r="H20" s="57" t="n">
        <f aca="false">D20</f>
        <v>0.75</v>
      </c>
      <c r="I20" s="57" t="n">
        <f aca="false">E20</f>
        <v>0.625</v>
      </c>
      <c r="J20" s="55" t="n">
        <f aca="false">C20*D20</f>
        <v>-0.46875</v>
      </c>
      <c r="K20" s="55" t="n">
        <f aca="false">C20*E20</f>
        <v>-0.390625</v>
      </c>
      <c r="L20" s="55" t="n">
        <f aca="false">D20*E20</f>
        <v>0.46875</v>
      </c>
      <c r="M20" s="55" t="n">
        <f aca="false">C20*C20</f>
        <v>0.390625</v>
      </c>
      <c r="N20" s="55" t="n">
        <f aca="false">D20*D20</f>
        <v>0.5625</v>
      </c>
      <c r="O20" s="55" t="n">
        <f aca="false">E20*E20</f>
        <v>0.390625</v>
      </c>
      <c r="P20" s="55" t="n">
        <f aca="false">SUMPRODUCT(F20:O20,_XtX!$B$71:$K$71)</f>
        <v>46.2858238636364</v>
      </c>
      <c r="Q20" s="55" t="n">
        <f aca="false">SUMPRODUCT(MMULT(F20:O20,_XtX!$B$58:$K$67),F20:O20)</f>
        <v>0.268966952237216</v>
      </c>
      <c r="R20" s="55" t="n">
        <f aca="false">P20-04_回帰ANOVA!$K$19*04_回帰ANOVA!$K$14*SQRT(1+Q20)</f>
        <v>45.2384739722584</v>
      </c>
      <c r="S20" s="55" t="n">
        <f aca="false">P20+04_回帰ANOVA!$K$19*04_回帰ANOVA!$K$14*SQRT(1+Q20)</f>
        <v>47.3331737550144</v>
      </c>
      <c r="T20" s="54" t="b">
        <f aca="false">AND(C20&gt;=01_因子設定!$L$5-0.000000001,C20&lt;=01_因子設定!$M$5+0.000000001,D20&gt;=01_因子設定!$L$6-0.000000001,D20&lt;=01_因子設定!$M$6+0.000000001,E20&gt;=01_因子設定!$L$7-0.000000001,E20&lt;=01_因子設定!$M$7+0.000000001,IF(01_因子設定!$B$20="Box-Behnken",C20^2+D20^2+E20^2&lt;=2+0.000000001,TRUE()))</f>
        <v>1</v>
      </c>
      <c r="U20" s="55" t="n">
        <f aca="false">IF(T20,IF(01_因子設定!$B$13="最大化",R20-01_因子設定!$B$14,IF(01_因子設定!$B$13="最小化",01_因子設定!$B$15-S20,MIN(R20-01_因子設定!$B$14,01_因子設定!$B$15-S20))),-1E+030)</f>
        <v>-3.26152602774164</v>
      </c>
      <c r="V20" s="55" t="n">
        <f aca="false">IF(U20&gt;=0,1,0)</f>
        <v>0</v>
      </c>
    </row>
    <row r="21" customFormat="false" ht="15" hidden="false" customHeight="false" outlineLevel="0" collapsed="false">
      <c r="A21" s="0" t="n">
        <v>1</v>
      </c>
      <c r="B21" s="0" t="n">
        <v>-0.6</v>
      </c>
      <c r="C21" s="0" t="n">
        <f aca="false">B21</f>
        <v>-0.6</v>
      </c>
      <c r="D21" s="57" t="n">
        <f aca="false">07_最適化!$B$7</f>
        <v>0.75</v>
      </c>
      <c r="E21" s="57" t="n">
        <f aca="false">07_最適化!$B$8</f>
        <v>0.625</v>
      </c>
      <c r="F21" s="55" t="n">
        <f aca="false">1</f>
        <v>1</v>
      </c>
      <c r="G21" s="55" t="n">
        <f aca="false">C21</f>
        <v>-0.6</v>
      </c>
      <c r="H21" s="57" t="n">
        <f aca="false">D21</f>
        <v>0.75</v>
      </c>
      <c r="I21" s="57" t="n">
        <f aca="false">E21</f>
        <v>0.625</v>
      </c>
      <c r="J21" s="55" t="n">
        <f aca="false">C21*D21</f>
        <v>-0.45</v>
      </c>
      <c r="K21" s="55" t="n">
        <f aca="false">C21*E21</f>
        <v>-0.375</v>
      </c>
      <c r="L21" s="55" t="n">
        <f aca="false">D21*E21</f>
        <v>0.46875</v>
      </c>
      <c r="M21" s="55" t="n">
        <f aca="false">C21*C21</f>
        <v>0.36</v>
      </c>
      <c r="N21" s="55" t="n">
        <f aca="false">D21*D21</f>
        <v>0.5625</v>
      </c>
      <c r="O21" s="55" t="n">
        <f aca="false">E21*E21</f>
        <v>0.390625</v>
      </c>
      <c r="P21" s="55" t="n">
        <f aca="false">SUMPRODUCT(F21:O21,_XtX!$B$71:$K$71)</f>
        <v>46.4478153409091</v>
      </c>
      <c r="Q21" s="55" t="n">
        <f aca="false">SUMPRODUCT(MMULT(F21:O21,_XtX!$B$58:$K$67),F21:O21)</f>
        <v>0.264641388494318</v>
      </c>
      <c r="R21" s="55" t="n">
        <f aca="false">P21-04_回帰ANOVA!$K$19*04_回帰ANOVA!$K$14*SQRT(1+Q21)</f>
        <v>45.4022520390124</v>
      </c>
      <c r="S21" s="55" t="n">
        <f aca="false">P21+04_回帰ANOVA!$K$19*04_回帰ANOVA!$K$14*SQRT(1+Q21)</f>
        <v>47.4933786428058</v>
      </c>
      <c r="T21" s="54" t="b">
        <f aca="false">AND(C21&gt;=01_因子設定!$L$5-0.000000001,C21&lt;=01_因子設定!$M$5+0.000000001,D21&gt;=01_因子設定!$L$6-0.000000001,D21&lt;=01_因子設定!$M$6+0.000000001,E21&gt;=01_因子設定!$L$7-0.000000001,E21&lt;=01_因子設定!$M$7+0.000000001,IF(01_因子設定!$B$20="Box-Behnken",C21^2+D21^2+E21^2&lt;=2+0.000000001,TRUE()))</f>
        <v>1</v>
      </c>
      <c r="U21" s="55" t="n">
        <f aca="false">IF(T21,IF(01_因子設定!$B$13="最大化",R21-01_因子設定!$B$14,IF(01_因子設定!$B$13="最小化",01_因子設定!$B$15-S21,MIN(R21-01_因子設定!$B$14,01_因子設定!$B$15-S21))),-1E+030)</f>
        <v>-3.09774796098757</v>
      </c>
      <c r="V21" s="55" t="n">
        <f aca="false">IF(U21&gt;=0,1,0)</f>
        <v>0</v>
      </c>
    </row>
    <row r="22" customFormat="false" ht="15" hidden="false" customHeight="false" outlineLevel="0" collapsed="false">
      <c r="A22" s="0" t="n">
        <v>1</v>
      </c>
      <c r="B22" s="0" t="n">
        <v>-0.575</v>
      </c>
      <c r="C22" s="0" t="n">
        <f aca="false">B22</f>
        <v>-0.575</v>
      </c>
      <c r="D22" s="57" t="n">
        <f aca="false">07_最適化!$B$7</f>
        <v>0.75</v>
      </c>
      <c r="E22" s="57" t="n">
        <f aca="false">07_最適化!$B$8</f>
        <v>0.625</v>
      </c>
      <c r="F22" s="55" t="n">
        <f aca="false">1</f>
        <v>1</v>
      </c>
      <c r="G22" s="55" t="n">
        <f aca="false">C22</f>
        <v>-0.575</v>
      </c>
      <c r="H22" s="57" t="n">
        <f aca="false">D22</f>
        <v>0.75</v>
      </c>
      <c r="I22" s="57" t="n">
        <f aca="false">E22</f>
        <v>0.625</v>
      </c>
      <c r="J22" s="55" t="n">
        <f aca="false">C22*D22</f>
        <v>-0.43125</v>
      </c>
      <c r="K22" s="55" t="n">
        <f aca="false">C22*E22</f>
        <v>-0.359375</v>
      </c>
      <c r="L22" s="55" t="n">
        <f aca="false">D22*E22</f>
        <v>0.46875</v>
      </c>
      <c r="M22" s="55" t="n">
        <f aca="false">C22*C22</f>
        <v>0.330625</v>
      </c>
      <c r="N22" s="55" t="n">
        <f aca="false">D22*D22</f>
        <v>0.5625</v>
      </c>
      <c r="O22" s="55" t="n">
        <f aca="false">E22*E22</f>
        <v>0.390625</v>
      </c>
      <c r="P22" s="55" t="n">
        <f aca="false">SUMPRODUCT(F22:O22,_XtX!$B$71:$K$71)</f>
        <v>46.6067102272727</v>
      </c>
      <c r="Q22" s="55" t="n">
        <f aca="false">SUMPRODUCT(MMULT(F22:O22,_XtX!$B$58:$K$67),F22:O22)</f>
        <v>0.261133287464489</v>
      </c>
      <c r="R22" s="55" t="n">
        <f aca="false">P22-04_回帰ANOVA!$K$19*04_回帰ANOVA!$K$14*SQRT(1+Q22)</f>
        <v>45.5625981229136</v>
      </c>
      <c r="S22" s="55" t="n">
        <f aca="false">P22+04_回帰ANOVA!$K$19*04_回帰ANOVA!$K$14*SQRT(1+Q22)</f>
        <v>47.6508223316319</v>
      </c>
      <c r="T22" s="54" t="b">
        <f aca="false">AND(C22&gt;=01_因子設定!$L$5-0.000000001,C22&lt;=01_因子設定!$M$5+0.000000001,D22&gt;=01_因子設定!$L$6-0.000000001,D22&lt;=01_因子設定!$M$6+0.000000001,E22&gt;=01_因子設定!$L$7-0.000000001,E22&lt;=01_因子設定!$M$7+0.000000001,IF(01_因子設定!$B$20="Box-Behnken",C22^2+D22^2+E22^2&lt;=2+0.000000001,TRUE()))</f>
        <v>1</v>
      </c>
      <c r="U22" s="55" t="n">
        <f aca="false">IF(T22,IF(01_因子設定!$B$13="最大化",R22-01_因子設定!$B$14,IF(01_因子設定!$B$13="最小化",01_因子設定!$B$15-S22,MIN(R22-01_因子設定!$B$14,01_因子設定!$B$15-S22))),-1E+030)</f>
        <v>-2.93740187708642</v>
      </c>
      <c r="V22" s="55" t="n">
        <f aca="false">IF(U22&gt;=0,1,0)</f>
        <v>0</v>
      </c>
    </row>
    <row r="23" customFormat="false" ht="15" hidden="false" customHeight="false" outlineLevel="0" collapsed="false">
      <c r="A23" s="0" t="n">
        <v>1</v>
      </c>
      <c r="B23" s="0" t="n">
        <v>-0.55</v>
      </c>
      <c r="C23" s="0" t="n">
        <f aca="false">B23</f>
        <v>-0.55</v>
      </c>
      <c r="D23" s="57" t="n">
        <f aca="false">07_最適化!$B$7</f>
        <v>0.75</v>
      </c>
      <c r="E23" s="57" t="n">
        <f aca="false">07_最適化!$B$8</f>
        <v>0.625</v>
      </c>
      <c r="F23" s="55" t="n">
        <f aca="false">1</f>
        <v>1</v>
      </c>
      <c r="G23" s="55" t="n">
        <f aca="false">C23</f>
        <v>-0.55</v>
      </c>
      <c r="H23" s="57" t="n">
        <f aca="false">D23</f>
        <v>0.75</v>
      </c>
      <c r="I23" s="57" t="n">
        <f aca="false">E23</f>
        <v>0.625</v>
      </c>
      <c r="J23" s="55" t="n">
        <f aca="false">C23*D23</f>
        <v>-0.4125</v>
      </c>
      <c r="K23" s="55" t="n">
        <f aca="false">C23*E23</f>
        <v>-0.34375</v>
      </c>
      <c r="L23" s="55" t="n">
        <f aca="false">D23*E23</f>
        <v>0.46875</v>
      </c>
      <c r="M23" s="55" t="n">
        <f aca="false">C23*C23</f>
        <v>0.3025</v>
      </c>
      <c r="N23" s="55" t="n">
        <f aca="false">D23*D23</f>
        <v>0.5625</v>
      </c>
      <c r="O23" s="55" t="n">
        <f aca="false">E23*E23</f>
        <v>0.390625</v>
      </c>
      <c r="P23" s="55" t="n">
        <f aca="false">SUMPRODUCT(F23:O23,_XtX!$B$71:$K$71)</f>
        <v>46.7625085227273</v>
      </c>
      <c r="Q23" s="55" t="n">
        <f aca="false">SUMPRODUCT(MMULT(F23:O23,_XtX!$B$58:$K$67),F23:O23)</f>
        <v>0.258362535511364</v>
      </c>
      <c r="R23" s="55" t="n">
        <f aca="false">P23-04_回帰ANOVA!$K$19*04_回帰ANOVA!$K$14*SQRT(1+Q23)</f>
        <v>45.7195440236293</v>
      </c>
      <c r="S23" s="55" t="n">
        <f aca="false">P23+04_回帰ANOVA!$K$19*04_回帰ANOVA!$K$14*SQRT(1+Q23)</f>
        <v>47.8054730218253</v>
      </c>
      <c r="T23" s="54" t="b">
        <f aca="false">AND(C23&gt;=01_因子設定!$L$5-0.000000001,C23&lt;=01_因子設定!$M$5+0.000000001,D23&gt;=01_因子設定!$L$6-0.000000001,D23&lt;=01_因子設定!$M$6+0.000000001,E23&gt;=01_因子設定!$L$7-0.000000001,E23&lt;=01_因子設定!$M$7+0.000000001,IF(01_因子設定!$B$20="Box-Behnken",C23^2+D23^2+E23^2&lt;=2+0.000000001,TRUE()))</f>
        <v>1</v>
      </c>
      <c r="U23" s="55" t="n">
        <f aca="false">IF(T23,IF(01_因子設定!$B$13="最大化",R23-01_因子設定!$B$14,IF(01_因子設定!$B$13="最小化",01_因子設定!$B$15-S23,MIN(R23-01_因子設定!$B$14,01_因子設定!$B$15-S23))),-1E+030)</f>
        <v>-2.78045597637072</v>
      </c>
      <c r="V23" s="55" t="n">
        <f aca="false">IF(U23&gt;=0,1,0)</f>
        <v>0</v>
      </c>
    </row>
    <row r="24" customFormat="false" ht="15" hidden="false" customHeight="false" outlineLevel="0" collapsed="false">
      <c r="A24" s="0" t="n">
        <v>1</v>
      </c>
      <c r="B24" s="0" t="n">
        <v>-0.525</v>
      </c>
      <c r="C24" s="0" t="n">
        <f aca="false">B24</f>
        <v>-0.525</v>
      </c>
      <c r="D24" s="57" t="n">
        <f aca="false">07_最適化!$B$7</f>
        <v>0.75</v>
      </c>
      <c r="E24" s="57" t="n">
        <f aca="false">07_最適化!$B$8</f>
        <v>0.625</v>
      </c>
      <c r="F24" s="55" t="n">
        <f aca="false">1</f>
        <v>1</v>
      </c>
      <c r="G24" s="55" t="n">
        <f aca="false">C24</f>
        <v>-0.525</v>
      </c>
      <c r="H24" s="57" t="n">
        <f aca="false">D24</f>
        <v>0.75</v>
      </c>
      <c r="I24" s="57" t="n">
        <f aca="false">E24</f>
        <v>0.625</v>
      </c>
      <c r="J24" s="55" t="n">
        <f aca="false">C24*D24</f>
        <v>-0.39375</v>
      </c>
      <c r="K24" s="55" t="n">
        <f aca="false">C24*E24</f>
        <v>-0.328125</v>
      </c>
      <c r="L24" s="55" t="n">
        <f aca="false">D24*E24</f>
        <v>0.46875</v>
      </c>
      <c r="M24" s="55" t="n">
        <f aca="false">C24*C24</f>
        <v>0.275625</v>
      </c>
      <c r="N24" s="55" t="n">
        <f aca="false">D24*D24</f>
        <v>0.5625</v>
      </c>
      <c r="O24" s="55" t="n">
        <f aca="false">E24*E24</f>
        <v>0.390625</v>
      </c>
      <c r="P24" s="55" t="n">
        <f aca="false">SUMPRODUCT(F24:O24,_XtX!$B$71:$K$71)</f>
        <v>46.9152102272727</v>
      </c>
      <c r="Q24" s="55" t="n">
        <f aca="false">SUMPRODUCT(MMULT(F24:O24,_XtX!$B$58:$K$67),F24:O24)</f>
        <v>0.256252428089489</v>
      </c>
      <c r="R24" s="55" t="n">
        <f aca="false">P24-04_回帰ANOVA!$K$19*04_回帰ANOVA!$K$14*SQRT(1+Q24)</f>
        <v>45.8731205517813</v>
      </c>
      <c r="S24" s="55" t="n">
        <f aca="false">P24+04_回帰ANOVA!$K$19*04_回帰ANOVA!$K$14*SQRT(1+Q24)</f>
        <v>47.9572999027642</v>
      </c>
      <c r="T24" s="54" t="b">
        <f aca="false">AND(C24&gt;=01_因子設定!$L$5-0.000000001,C24&lt;=01_因子設定!$M$5+0.000000001,D24&gt;=01_因子設定!$L$6-0.000000001,D24&lt;=01_因子設定!$M$6+0.000000001,E24&gt;=01_因子設定!$L$7-0.000000001,E24&lt;=01_因子設定!$M$7+0.000000001,IF(01_因子設定!$B$20="Box-Behnken",C24^2+D24^2+E24^2&lt;=2+0.000000001,TRUE()))</f>
        <v>1</v>
      </c>
      <c r="U24" s="55" t="n">
        <f aca="false">IF(T24,IF(01_因子設定!$B$13="最大化",R24-01_因子設定!$B$14,IF(01_因子設定!$B$13="最小化",01_因子設定!$B$15-S24,MIN(R24-01_因子設定!$B$14,01_因子設定!$B$15-S24))),-1E+030)</f>
        <v>-2.62687944821867</v>
      </c>
      <c r="V24" s="55" t="n">
        <f aca="false">IF(U24&gt;=0,1,0)</f>
        <v>0</v>
      </c>
    </row>
    <row r="25" customFormat="false" ht="15" hidden="false" customHeight="false" outlineLevel="0" collapsed="false">
      <c r="A25" s="0" t="n">
        <v>1</v>
      </c>
      <c r="B25" s="0" t="n">
        <v>-0.5</v>
      </c>
      <c r="C25" s="0" t="n">
        <f aca="false">B25</f>
        <v>-0.5</v>
      </c>
      <c r="D25" s="57" t="n">
        <f aca="false">07_最適化!$B$7</f>
        <v>0.75</v>
      </c>
      <c r="E25" s="57" t="n">
        <f aca="false">07_最適化!$B$8</f>
        <v>0.625</v>
      </c>
      <c r="F25" s="55" t="n">
        <f aca="false">1</f>
        <v>1</v>
      </c>
      <c r="G25" s="55" t="n">
        <f aca="false">C25</f>
        <v>-0.5</v>
      </c>
      <c r="H25" s="57" t="n">
        <f aca="false">D25</f>
        <v>0.75</v>
      </c>
      <c r="I25" s="57" t="n">
        <f aca="false">E25</f>
        <v>0.625</v>
      </c>
      <c r="J25" s="55" t="n">
        <f aca="false">C25*D25</f>
        <v>-0.375</v>
      </c>
      <c r="K25" s="55" t="n">
        <f aca="false">C25*E25</f>
        <v>-0.3125</v>
      </c>
      <c r="L25" s="55" t="n">
        <f aca="false">D25*E25</f>
        <v>0.46875</v>
      </c>
      <c r="M25" s="55" t="n">
        <f aca="false">C25*C25</f>
        <v>0.25</v>
      </c>
      <c r="N25" s="55" t="n">
        <f aca="false">D25*D25</f>
        <v>0.5625</v>
      </c>
      <c r="O25" s="55" t="n">
        <f aca="false">E25*E25</f>
        <v>0.390625</v>
      </c>
      <c r="P25" s="55" t="n">
        <f aca="false">SUMPRODUCT(F25:O25,_XtX!$B$71:$K$71)</f>
        <v>47.0648153409091</v>
      </c>
      <c r="Q25" s="55" t="n">
        <f aca="false">SUMPRODUCT(MMULT(F25:O25,_XtX!$B$58:$K$67),F25:O25)</f>
        <v>0.254729669744318</v>
      </c>
      <c r="R25" s="55" t="n">
        <f aca="false">P25-04_回帰ANOVA!$K$19*04_回帰ANOVA!$K$14*SQRT(1+Q25)</f>
        <v>46.0233574380928</v>
      </c>
      <c r="S25" s="55" t="n">
        <f aca="false">P25+04_回帰ANOVA!$K$19*04_回帰ANOVA!$K$14*SQRT(1+Q25)</f>
        <v>48.1062732437254</v>
      </c>
      <c r="T25" s="54" t="b">
        <f aca="false">AND(C25&gt;=01_因子設定!$L$5-0.000000001,C25&lt;=01_因子設定!$M$5+0.000000001,D25&gt;=01_因子設定!$L$6-0.000000001,D25&lt;=01_因子設定!$M$6+0.000000001,E25&gt;=01_因子設定!$L$7-0.000000001,E25&lt;=01_因子設定!$M$7+0.000000001,IF(01_因子設定!$B$20="Box-Behnken",C25^2+D25^2+E25^2&lt;=2+0.000000001,TRUE()))</f>
        <v>1</v>
      </c>
      <c r="U25" s="55" t="n">
        <f aca="false">IF(T25,IF(01_因子設定!$B$13="最大化",R25-01_因子設定!$B$14,IF(01_因子設定!$B$13="最小化",01_因子設定!$B$15-S25,MIN(R25-01_因子設定!$B$14,01_因子設定!$B$15-S25))),-1E+030)</f>
        <v>-2.47664256190721</v>
      </c>
      <c r="V25" s="55" t="n">
        <f aca="false">IF(U25&gt;=0,1,0)</f>
        <v>0</v>
      </c>
    </row>
    <row r="26" customFormat="false" ht="15" hidden="false" customHeight="false" outlineLevel="0" collapsed="false">
      <c r="A26" s="0" t="n">
        <v>1</v>
      </c>
      <c r="B26" s="0" t="n">
        <v>-0.475</v>
      </c>
      <c r="C26" s="0" t="n">
        <f aca="false">B26</f>
        <v>-0.475</v>
      </c>
      <c r="D26" s="57" t="n">
        <f aca="false">07_最適化!$B$7</f>
        <v>0.75</v>
      </c>
      <c r="E26" s="57" t="n">
        <f aca="false">07_最適化!$B$8</f>
        <v>0.625</v>
      </c>
      <c r="F26" s="55" t="n">
        <f aca="false">1</f>
        <v>1</v>
      </c>
      <c r="G26" s="55" t="n">
        <f aca="false">C26</f>
        <v>-0.475</v>
      </c>
      <c r="H26" s="57" t="n">
        <f aca="false">D26</f>
        <v>0.75</v>
      </c>
      <c r="I26" s="57" t="n">
        <f aca="false">E26</f>
        <v>0.625</v>
      </c>
      <c r="J26" s="55" t="n">
        <f aca="false">C26*D26</f>
        <v>-0.35625</v>
      </c>
      <c r="K26" s="55" t="n">
        <f aca="false">C26*E26</f>
        <v>-0.296875</v>
      </c>
      <c r="L26" s="55" t="n">
        <f aca="false">D26*E26</f>
        <v>0.46875</v>
      </c>
      <c r="M26" s="55" t="n">
        <f aca="false">C26*C26</f>
        <v>0.225625</v>
      </c>
      <c r="N26" s="55" t="n">
        <f aca="false">D26*D26</f>
        <v>0.5625</v>
      </c>
      <c r="O26" s="55" t="n">
        <f aca="false">E26*E26</f>
        <v>0.390625</v>
      </c>
      <c r="P26" s="55" t="n">
        <f aca="false">SUMPRODUCT(F26:O26,_XtX!$B$71:$K$71)</f>
        <v>47.2113238636364</v>
      </c>
      <c r="Q26" s="55" t="n">
        <f aca="false">SUMPRODUCT(MMULT(F26:O26,_XtX!$B$58:$K$67),F26:O26)</f>
        <v>0.253724374112216</v>
      </c>
      <c r="R26" s="55" t="n">
        <f aca="false">P26-04_回帰ANOVA!$K$19*04_回帰ANOVA!$K$14*SQRT(1+Q26)</f>
        <v>46.1702832550389</v>
      </c>
      <c r="S26" s="55" t="n">
        <f aca="false">P26+04_回帰ANOVA!$K$19*04_回帰ANOVA!$K$14*SQRT(1+Q26)</f>
        <v>48.2523644722339</v>
      </c>
      <c r="T26" s="54" t="b">
        <f aca="false">AND(C26&gt;=01_因子設定!$L$5-0.000000001,C26&lt;=01_因子設定!$M$5+0.000000001,D26&gt;=01_因子設定!$L$6-0.000000001,D26&lt;=01_因子設定!$M$6+0.000000001,E26&gt;=01_因子設定!$L$7-0.000000001,E26&lt;=01_因子設定!$M$7+0.000000001,IF(01_因子設定!$B$20="Box-Behnken",C26^2+D26^2+E26^2&lt;=2+0.000000001,TRUE()))</f>
        <v>1</v>
      </c>
      <c r="U26" s="55" t="n">
        <f aca="false">IF(T26,IF(01_因子設定!$B$13="最大化",R26-01_因子設定!$B$14,IF(01_因子設定!$B$13="最小化",01_因子設定!$B$15-S26,MIN(R26-01_因子設定!$B$14,01_因子設定!$B$15-S26))),-1E+030)</f>
        <v>-2.3297167449611</v>
      </c>
      <c r="V26" s="55" t="n">
        <f aca="false">IF(U26&gt;=0,1,0)</f>
        <v>0</v>
      </c>
    </row>
    <row r="27" customFormat="false" ht="15" hidden="false" customHeight="false" outlineLevel="0" collapsed="false">
      <c r="A27" s="0" t="n">
        <v>1</v>
      </c>
      <c r="B27" s="0" t="n">
        <v>-0.45</v>
      </c>
      <c r="C27" s="0" t="n">
        <f aca="false">B27</f>
        <v>-0.45</v>
      </c>
      <c r="D27" s="57" t="n">
        <f aca="false">07_最適化!$B$7</f>
        <v>0.75</v>
      </c>
      <c r="E27" s="57" t="n">
        <f aca="false">07_最適化!$B$8</f>
        <v>0.625</v>
      </c>
      <c r="F27" s="55" t="n">
        <f aca="false">1</f>
        <v>1</v>
      </c>
      <c r="G27" s="55" t="n">
        <f aca="false">C27</f>
        <v>-0.45</v>
      </c>
      <c r="H27" s="57" t="n">
        <f aca="false">D27</f>
        <v>0.75</v>
      </c>
      <c r="I27" s="57" t="n">
        <f aca="false">E27</f>
        <v>0.625</v>
      </c>
      <c r="J27" s="55" t="n">
        <f aca="false">C27*D27</f>
        <v>-0.3375</v>
      </c>
      <c r="K27" s="55" t="n">
        <f aca="false">C27*E27</f>
        <v>-0.28125</v>
      </c>
      <c r="L27" s="55" t="n">
        <f aca="false">D27*E27</f>
        <v>0.46875</v>
      </c>
      <c r="M27" s="55" t="n">
        <f aca="false">C27*C27</f>
        <v>0.2025</v>
      </c>
      <c r="N27" s="55" t="n">
        <f aca="false">D27*D27</f>
        <v>0.5625</v>
      </c>
      <c r="O27" s="55" t="n">
        <f aca="false">E27*E27</f>
        <v>0.390625</v>
      </c>
      <c r="P27" s="55" t="n">
        <f aca="false">SUMPRODUCT(F27:O27,_XtX!$B$71:$K$71)</f>
        <v>47.3547357954546</v>
      </c>
      <c r="Q27" s="55" t="n">
        <f aca="false">SUMPRODUCT(MMULT(F27:O27,_XtX!$B$58:$K$67),F27:O27)</f>
        <v>0.253170063920455</v>
      </c>
      <c r="R27" s="55" t="n">
        <f aca="false">P27-04_回帰ANOVA!$K$19*04_回帰ANOVA!$K$14*SQRT(1+Q27)</f>
        <v>46.313925350372</v>
      </c>
      <c r="S27" s="55" t="n">
        <f aca="false">P27+04_回帰ANOVA!$K$19*04_回帰ANOVA!$K$14*SQRT(1+Q27)</f>
        <v>48.3955462405371</v>
      </c>
      <c r="T27" s="54" t="b">
        <f aca="false">AND(C27&gt;=01_因子設定!$L$5-0.000000001,C27&lt;=01_因子設定!$M$5+0.000000001,D27&gt;=01_因子設定!$L$6-0.000000001,D27&lt;=01_因子設定!$M$6+0.000000001,E27&gt;=01_因子設定!$L$7-0.000000001,E27&lt;=01_因子設定!$M$7+0.000000001,IF(01_因子設定!$B$20="Box-Behnken",C27^2+D27^2+E27^2&lt;=2+0.000000001,TRUE()))</f>
        <v>1</v>
      </c>
      <c r="U27" s="55" t="n">
        <f aca="false">IF(T27,IF(01_因子設定!$B$13="最大化",R27-01_因子設定!$B$14,IF(01_因子設定!$B$13="最小化",01_因子設定!$B$15-S27,MIN(R27-01_因子設定!$B$14,01_因子設定!$B$15-S27))),-1E+030)</f>
        <v>-2.18607464962798</v>
      </c>
      <c r="V27" s="55" t="n">
        <f aca="false">IF(U27&gt;=0,1,0)</f>
        <v>0</v>
      </c>
    </row>
    <row r="28" customFormat="false" ht="15" hidden="false" customHeight="false" outlineLevel="0" collapsed="false">
      <c r="A28" s="0" t="n">
        <v>1</v>
      </c>
      <c r="B28" s="0" t="n">
        <v>-0.425</v>
      </c>
      <c r="C28" s="0" t="n">
        <f aca="false">B28</f>
        <v>-0.425</v>
      </c>
      <c r="D28" s="57" t="n">
        <f aca="false">07_最適化!$B$7</f>
        <v>0.75</v>
      </c>
      <c r="E28" s="57" t="n">
        <f aca="false">07_最適化!$B$8</f>
        <v>0.625</v>
      </c>
      <c r="F28" s="55" t="n">
        <f aca="false">1</f>
        <v>1</v>
      </c>
      <c r="G28" s="55" t="n">
        <f aca="false">C28</f>
        <v>-0.425</v>
      </c>
      <c r="H28" s="57" t="n">
        <f aca="false">D28</f>
        <v>0.75</v>
      </c>
      <c r="I28" s="57" t="n">
        <f aca="false">E28</f>
        <v>0.625</v>
      </c>
      <c r="J28" s="55" t="n">
        <f aca="false">C28*D28</f>
        <v>-0.31875</v>
      </c>
      <c r="K28" s="55" t="n">
        <f aca="false">C28*E28</f>
        <v>-0.265625</v>
      </c>
      <c r="L28" s="55" t="n">
        <f aca="false">D28*E28</f>
        <v>0.46875</v>
      </c>
      <c r="M28" s="55" t="n">
        <f aca="false">C28*C28</f>
        <v>0.180625</v>
      </c>
      <c r="N28" s="55" t="n">
        <f aca="false">D28*D28</f>
        <v>0.5625</v>
      </c>
      <c r="O28" s="55" t="n">
        <f aca="false">E28*E28</f>
        <v>0.390625</v>
      </c>
      <c r="P28" s="55" t="n">
        <f aca="false">SUMPRODUCT(F28:O28,_XtX!$B$71:$K$71)</f>
        <v>47.4950511363637</v>
      </c>
      <c r="Q28" s="55" t="n">
        <f aca="false">SUMPRODUCT(MMULT(F28:O28,_XtX!$B$58:$K$67),F28:O28)</f>
        <v>0.253003670987216</v>
      </c>
      <c r="R28" s="55" t="n">
        <f aca="false">P28-04_回帰ANOVA!$K$19*04_回帰ANOVA!$K$14*SQRT(1+Q28)</f>
        <v>46.4543097917396</v>
      </c>
      <c r="S28" s="55" t="n">
        <f aca="false">P28+04_回帰ANOVA!$K$19*04_回帰ANOVA!$K$14*SQRT(1+Q28)</f>
        <v>48.5357924809877</v>
      </c>
      <c r="T28" s="54" t="b">
        <f aca="false">AND(C28&gt;=01_因子設定!$L$5-0.000000001,C28&lt;=01_因子設定!$M$5+0.000000001,D28&gt;=01_因子設定!$L$6-0.000000001,D28&lt;=01_因子設定!$M$6+0.000000001,E28&gt;=01_因子設定!$L$7-0.000000001,E28&lt;=01_因子設定!$M$7+0.000000001,IF(01_因子設定!$B$20="Box-Behnken",C28^2+D28^2+E28^2&lt;=2+0.000000001,TRUE()))</f>
        <v>1</v>
      </c>
      <c r="U28" s="55" t="n">
        <f aca="false">IF(T28,IF(01_因子設定!$B$13="最大化",R28-01_因子設定!$B$14,IF(01_因子設定!$B$13="最小化",01_因子設定!$B$15-S28,MIN(R28-01_因子設定!$B$14,01_因子設定!$B$15-S28))),-1E+030)</f>
        <v>-2.04569020826037</v>
      </c>
      <c r="V28" s="55" t="n">
        <f aca="false">IF(U28&gt;=0,1,0)</f>
        <v>0</v>
      </c>
    </row>
    <row r="29" customFormat="false" ht="15" hidden="false" customHeight="false" outlineLevel="0" collapsed="false">
      <c r="A29" s="0" t="n">
        <v>1</v>
      </c>
      <c r="B29" s="0" t="n">
        <v>-0.4</v>
      </c>
      <c r="C29" s="0" t="n">
        <f aca="false">B29</f>
        <v>-0.4</v>
      </c>
      <c r="D29" s="57" t="n">
        <f aca="false">07_最適化!$B$7</f>
        <v>0.75</v>
      </c>
      <c r="E29" s="57" t="n">
        <f aca="false">07_最適化!$B$8</f>
        <v>0.625</v>
      </c>
      <c r="F29" s="55" t="n">
        <f aca="false">1</f>
        <v>1</v>
      </c>
      <c r="G29" s="55" t="n">
        <f aca="false">C29</f>
        <v>-0.4</v>
      </c>
      <c r="H29" s="57" t="n">
        <f aca="false">D29</f>
        <v>0.75</v>
      </c>
      <c r="I29" s="57" t="n">
        <f aca="false">E29</f>
        <v>0.625</v>
      </c>
      <c r="J29" s="55" t="n">
        <f aca="false">C29*D29</f>
        <v>-0.3</v>
      </c>
      <c r="K29" s="55" t="n">
        <f aca="false">C29*E29</f>
        <v>-0.25</v>
      </c>
      <c r="L29" s="55" t="n">
        <f aca="false">D29*E29</f>
        <v>0.46875</v>
      </c>
      <c r="M29" s="55" t="n">
        <f aca="false">C29*C29</f>
        <v>0.16</v>
      </c>
      <c r="N29" s="55" t="n">
        <f aca="false">D29*D29</f>
        <v>0.5625</v>
      </c>
      <c r="O29" s="55" t="n">
        <f aca="false">E29*E29</f>
        <v>0.390625</v>
      </c>
      <c r="P29" s="55" t="n">
        <f aca="false">SUMPRODUCT(F29:O29,_XtX!$B$71:$K$71)</f>
        <v>47.6322698863637</v>
      </c>
      <c r="Q29" s="55" t="n">
        <f aca="false">SUMPRODUCT(MMULT(F29:O29,_XtX!$B$58:$K$67),F29:O29)</f>
        <v>0.253165536221591</v>
      </c>
      <c r="R29" s="55" t="n">
        <f aca="false">P29-04_回帰ANOVA!$K$19*04_回帰ANOVA!$K$14*SQRT(1+Q29)</f>
        <v>46.591461321505</v>
      </c>
      <c r="S29" s="55" t="n">
        <f aca="false">P29+04_回帰ANOVA!$K$19*04_回帰ANOVA!$K$14*SQRT(1+Q29)</f>
        <v>48.6730784512223</v>
      </c>
      <c r="T29" s="54" t="b">
        <f aca="false">AND(C29&gt;=01_因子設定!$L$5-0.000000001,C29&lt;=01_因子設定!$M$5+0.000000001,D29&gt;=01_因子設定!$L$6-0.000000001,D29&lt;=01_因子設定!$M$6+0.000000001,E29&gt;=01_因子設定!$L$7-0.000000001,E29&lt;=01_因子設定!$M$7+0.000000001,IF(01_因子設定!$B$20="Box-Behnken",C29^2+D29^2+E29^2&lt;=2+0.000000001,TRUE()))</f>
        <v>1</v>
      </c>
      <c r="U29" s="55" t="n">
        <f aca="false">IF(T29,IF(01_因子設定!$B$13="最大化",R29-01_因子設定!$B$14,IF(01_因子設定!$B$13="最小化",01_因子設定!$B$15-S29,MIN(R29-01_因子設定!$B$14,01_因子設定!$B$15-S29))),-1E+030)</f>
        <v>-1.90853867849501</v>
      </c>
      <c r="V29" s="55" t="n">
        <f aca="false">IF(U29&gt;=0,1,0)</f>
        <v>0</v>
      </c>
    </row>
    <row r="30" customFormat="false" ht="15" hidden="false" customHeight="false" outlineLevel="0" collapsed="false">
      <c r="A30" s="0" t="n">
        <v>1</v>
      </c>
      <c r="B30" s="0" t="n">
        <v>-0.375</v>
      </c>
      <c r="C30" s="0" t="n">
        <f aca="false">B30</f>
        <v>-0.375</v>
      </c>
      <c r="D30" s="57" t="n">
        <f aca="false">07_最適化!$B$7</f>
        <v>0.75</v>
      </c>
      <c r="E30" s="57" t="n">
        <f aca="false">07_最適化!$B$8</f>
        <v>0.625</v>
      </c>
      <c r="F30" s="55" t="n">
        <f aca="false">1</f>
        <v>1</v>
      </c>
      <c r="G30" s="55" t="n">
        <f aca="false">C30</f>
        <v>-0.375</v>
      </c>
      <c r="H30" s="57" t="n">
        <f aca="false">D30</f>
        <v>0.75</v>
      </c>
      <c r="I30" s="57" t="n">
        <f aca="false">E30</f>
        <v>0.625</v>
      </c>
      <c r="J30" s="55" t="n">
        <f aca="false">C30*D30</f>
        <v>-0.28125</v>
      </c>
      <c r="K30" s="55" t="n">
        <f aca="false">C30*E30</f>
        <v>-0.234375</v>
      </c>
      <c r="L30" s="55" t="n">
        <f aca="false">D30*E30</f>
        <v>0.46875</v>
      </c>
      <c r="M30" s="55" t="n">
        <f aca="false">C30*C30</f>
        <v>0.140625</v>
      </c>
      <c r="N30" s="55" t="n">
        <f aca="false">D30*D30</f>
        <v>0.5625</v>
      </c>
      <c r="O30" s="55" t="n">
        <f aca="false">E30*E30</f>
        <v>0.390625</v>
      </c>
      <c r="P30" s="55" t="n">
        <f aca="false">SUMPRODUCT(F30:O30,_XtX!$B$71:$K$71)</f>
        <v>47.7663920454546</v>
      </c>
      <c r="Q30" s="55" t="n">
        <f aca="false">SUMPRODUCT(MMULT(F30:O30,_XtX!$B$58:$K$67),F30:O30)</f>
        <v>0.25359940962358</v>
      </c>
      <c r="R30" s="55" t="n">
        <f aca="false">P30-04_回帰ANOVA!$K$19*04_回帰ANOVA!$K$14*SQRT(1+Q30)</f>
        <v>46.7254033208086</v>
      </c>
      <c r="S30" s="55" t="n">
        <f aca="false">P30+04_回帰ANOVA!$K$19*04_回帰ANOVA!$K$14*SQRT(1+Q30)</f>
        <v>48.8073807701005</v>
      </c>
      <c r="T30" s="54" t="b">
        <f aca="false">AND(C30&gt;=01_因子設定!$L$5-0.000000001,C30&lt;=01_因子設定!$M$5+0.000000001,D30&gt;=01_因子設定!$L$6-0.000000001,D30&lt;=01_因子設定!$M$6+0.000000001,E30&gt;=01_因子設定!$L$7-0.000000001,E30&lt;=01_因子設定!$M$7+0.000000001,IF(01_因子設定!$B$20="Box-Behnken",C30^2+D30^2+E30^2&lt;=2+0.000000001,TRUE()))</f>
        <v>1</v>
      </c>
      <c r="U30" s="55" t="n">
        <f aca="false">IF(T30,IF(01_因子設定!$B$13="最大化",R30-01_因子設定!$B$14,IF(01_因子設定!$B$13="最小化",01_因子設定!$B$15-S30,MIN(R30-01_因子設定!$B$14,01_因子設定!$B$15-S30))),-1E+030)</f>
        <v>-1.77459667919143</v>
      </c>
      <c r="V30" s="55" t="n">
        <f aca="false">IF(U30&gt;=0,1,0)</f>
        <v>0</v>
      </c>
    </row>
    <row r="31" customFormat="false" ht="15" hidden="false" customHeight="false" outlineLevel="0" collapsed="false">
      <c r="A31" s="0" t="n">
        <v>1</v>
      </c>
      <c r="B31" s="0" t="n">
        <v>-0.35</v>
      </c>
      <c r="C31" s="0" t="n">
        <f aca="false">B31</f>
        <v>-0.35</v>
      </c>
      <c r="D31" s="57" t="n">
        <f aca="false">07_最適化!$B$7</f>
        <v>0.75</v>
      </c>
      <c r="E31" s="57" t="n">
        <f aca="false">07_最適化!$B$8</f>
        <v>0.625</v>
      </c>
      <c r="F31" s="55" t="n">
        <f aca="false">1</f>
        <v>1</v>
      </c>
      <c r="G31" s="55" t="n">
        <f aca="false">C31</f>
        <v>-0.35</v>
      </c>
      <c r="H31" s="57" t="n">
        <f aca="false">D31</f>
        <v>0.75</v>
      </c>
      <c r="I31" s="57" t="n">
        <f aca="false">E31</f>
        <v>0.625</v>
      </c>
      <c r="J31" s="55" t="n">
        <f aca="false">C31*D31</f>
        <v>-0.2625</v>
      </c>
      <c r="K31" s="55" t="n">
        <f aca="false">C31*E31</f>
        <v>-0.21875</v>
      </c>
      <c r="L31" s="55" t="n">
        <f aca="false">D31*E31</f>
        <v>0.46875</v>
      </c>
      <c r="M31" s="55" t="n">
        <f aca="false">C31*C31</f>
        <v>0.1225</v>
      </c>
      <c r="N31" s="55" t="n">
        <f aca="false">D31*D31</f>
        <v>0.5625</v>
      </c>
      <c r="O31" s="55" t="n">
        <f aca="false">E31*E31</f>
        <v>0.390625</v>
      </c>
      <c r="P31" s="55" t="n">
        <f aca="false">SUMPRODUCT(F31:O31,_XtX!$B$71:$K$71)</f>
        <v>47.8974176136364</v>
      </c>
      <c r="Q31" s="55" t="n">
        <f aca="false">SUMPRODUCT(MMULT(F31:O31,_XtX!$B$58:$K$67),F31:O31)</f>
        <v>0.254252450284091</v>
      </c>
      <c r="R31" s="55" t="n">
        <f aca="false">P31-04_回帰ANOVA!$K$19*04_回帰ANOVA!$K$14*SQRT(1+Q31)</f>
        <v>46.8561577818693</v>
      </c>
      <c r="S31" s="55" t="n">
        <f aca="false">P31+04_回帰ANOVA!$K$19*04_回帰ANOVA!$K$14*SQRT(1+Q31)</f>
        <v>48.9386774454035</v>
      </c>
      <c r="T31" s="54" t="b">
        <f aca="false">AND(C31&gt;=01_因子設定!$L$5-0.000000001,C31&lt;=01_因子設定!$M$5+0.000000001,D31&gt;=01_因子設定!$L$6-0.000000001,D31&lt;=01_因子設定!$M$6+0.000000001,E31&gt;=01_因子設定!$L$7-0.000000001,E31&lt;=01_因子設定!$M$7+0.000000001,IF(01_因子設定!$B$20="Box-Behnken",C31^2+D31^2+E31^2&lt;=2+0.000000001,TRUE()))</f>
        <v>1</v>
      </c>
      <c r="U31" s="55" t="n">
        <f aca="false">IF(T31,IF(01_因子設定!$B$13="最大化",R31-01_因子設定!$B$14,IF(01_因子設定!$B$13="最小化",01_因子設定!$B$15-S31,MIN(R31-01_因子設定!$B$14,01_因子設定!$B$15-S31))),-1E+030)</f>
        <v>-1.64384221813069</v>
      </c>
      <c r="V31" s="55" t="n">
        <f aca="false">IF(U31&gt;=0,1,0)</f>
        <v>0</v>
      </c>
    </row>
    <row r="32" customFormat="false" ht="15" hidden="false" customHeight="false" outlineLevel="0" collapsed="false">
      <c r="A32" s="0" t="n">
        <v>1</v>
      </c>
      <c r="B32" s="0" t="n">
        <v>-0.325</v>
      </c>
      <c r="C32" s="0" t="n">
        <f aca="false">B32</f>
        <v>-0.325</v>
      </c>
      <c r="D32" s="57" t="n">
        <f aca="false">07_最適化!$B$7</f>
        <v>0.75</v>
      </c>
      <c r="E32" s="57" t="n">
        <f aca="false">07_最適化!$B$8</f>
        <v>0.625</v>
      </c>
      <c r="F32" s="55" t="n">
        <f aca="false">1</f>
        <v>1</v>
      </c>
      <c r="G32" s="55" t="n">
        <f aca="false">C32</f>
        <v>-0.325</v>
      </c>
      <c r="H32" s="57" t="n">
        <f aca="false">D32</f>
        <v>0.75</v>
      </c>
      <c r="I32" s="57" t="n">
        <f aca="false">E32</f>
        <v>0.625</v>
      </c>
      <c r="J32" s="55" t="n">
        <f aca="false">C32*D32</f>
        <v>-0.24375</v>
      </c>
      <c r="K32" s="55" t="n">
        <f aca="false">C32*E32</f>
        <v>-0.203125</v>
      </c>
      <c r="L32" s="55" t="n">
        <f aca="false">D32*E32</f>
        <v>0.46875</v>
      </c>
      <c r="M32" s="55" t="n">
        <f aca="false">C32*C32</f>
        <v>0.105625</v>
      </c>
      <c r="N32" s="55" t="n">
        <f aca="false">D32*D32</f>
        <v>0.5625</v>
      </c>
      <c r="O32" s="55" t="n">
        <f aca="false">E32*E32</f>
        <v>0.390625</v>
      </c>
      <c r="P32" s="55" t="n">
        <f aca="false">SUMPRODUCT(F32:O32,_XtX!$B$71:$K$71)</f>
        <v>48.0253465909091</v>
      </c>
      <c r="Q32" s="55" t="n">
        <f aca="false">SUMPRODUCT(MMULT(F32:O32,_XtX!$B$58:$K$67),F32:O32)</f>
        <v>0.255075226384943</v>
      </c>
      <c r="R32" s="55" t="n">
        <f aca="false">P32-04_回帰ANOVA!$K$19*04_回帰ANOVA!$K$14*SQRT(1+Q32)</f>
        <v>46.9837452875149</v>
      </c>
      <c r="S32" s="55" t="n">
        <f aca="false">P32+04_回帰ANOVA!$K$19*04_回帰ANOVA!$K$14*SQRT(1+Q32)</f>
        <v>49.0669478943033</v>
      </c>
      <c r="T32" s="54" t="b">
        <f aca="false">AND(C32&gt;=01_因子設定!$L$5-0.000000001,C32&lt;=01_因子設定!$M$5+0.000000001,D32&gt;=01_因子設定!$L$6-0.000000001,D32&lt;=01_因子設定!$M$6+0.000000001,E32&gt;=01_因子設定!$L$7-0.000000001,E32&lt;=01_因子設定!$M$7+0.000000001,IF(01_因子設定!$B$20="Box-Behnken",C32^2+D32^2+E32^2&lt;=2+0.000000001,TRUE()))</f>
        <v>1</v>
      </c>
      <c r="U32" s="55" t="n">
        <f aca="false">IF(T32,IF(01_因子設定!$B$13="最大化",R32-01_因子設定!$B$14,IF(01_因子設定!$B$13="最小化",01_因子設定!$B$15-S32,MIN(R32-01_因子設定!$B$14,01_因子設定!$B$15-S32))),-1E+030)</f>
        <v>-1.51625471248508</v>
      </c>
      <c r="V32" s="55" t="n">
        <f aca="false">IF(U32&gt;=0,1,0)</f>
        <v>0</v>
      </c>
    </row>
    <row r="33" customFormat="false" ht="15" hidden="false" customHeight="false" outlineLevel="0" collapsed="false">
      <c r="A33" s="0" t="n">
        <v>1</v>
      </c>
      <c r="B33" s="0" t="n">
        <v>-0.3</v>
      </c>
      <c r="C33" s="0" t="n">
        <f aca="false">B33</f>
        <v>-0.3</v>
      </c>
      <c r="D33" s="57" t="n">
        <f aca="false">07_最適化!$B$7</f>
        <v>0.75</v>
      </c>
      <c r="E33" s="57" t="n">
        <f aca="false">07_最適化!$B$8</f>
        <v>0.625</v>
      </c>
      <c r="F33" s="55" t="n">
        <f aca="false">1</f>
        <v>1</v>
      </c>
      <c r="G33" s="55" t="n">
        <f aca="false">C33</f>
        <v>-0.3</v>
      </c>
      <c r="H33" s="57" t="n">
        <f aca="false">D33</f>
        <v>0.75</v>
      </c>
      <c r="I33" s="57" t="n">
        <f aca="false">E33</f>
        <v>0.625</v>
      </c>
      <c r="J33" s="55" t="n">
        <f aca="false">C33*D33</f>
        <v>-0.225</v>
      </c>
      <c r="K33" s="55" t="n">
        <f aca="false">C33*E33</f>
        <v>-0.1875</v>
      </c>
      <c r="L33" s="55" t="n">
        <f aca="false">D33*E33</f>
        <v>0.46875</v>
      </c>
      <c r="M33" s="55" t="n">
        <f aca="false">C33*C33</f>
        <v>0.09</v>
      </c>
      <c r="N33" s="55" t="n">
        <f aca="false">D33*D33</f>
        <v>0.5625</v>
      </c>
      <c r="O33" s="55" t="n">
        <f aca="false">E33*E33</f>
        <v>0.390625</v>
      </c>
      <c r="P33" s="55" t="n">
        <f aca="false">SUMPRODUCT(F33:O33,_XtX!$B$71:$K$71)</f>
        <v>48.1501789772727</v>
      </c>
      <c r="Q33" s="55" t="n">
        <f aca="false">SUMPRODUCT(MMULT(F33:O33,_XtX!$B$58:$K$67),F33:O33)</f>
        <v>0.256021715198864</v>
      </c>
      <c r="R33" s="55" t="n">
        <f aca="false">P33-04_回帰ANOVA!$K$19*04_回帰ANOVA!$K$14*SQRT(1+Q33)</f>
        <v>47.108184996944</v>
      </c>
      <c r="S33" s="55" t="n">
        <f aca="false">P33+04_回帰ANOVA!$K$19*04_回帰ANOVA!$K$14*SQRT(1+Q33)</f>
        <v>49.1921729576015</v>
      </c>
      <c r="T33" s="54" t="b">
        <f aca="false">AND(C33&gt;=01_因子設定!$L$5-0.000000001,C33&lt;=01_因子設定!$M$5+0.000000001,D33&gt;=01_因子設定!$L$6-0.000000001,D33&lt;=01_因子設定!$M$6+0.000000001,E33&gt;=01_因子設定!$L$7-0.000000001,E33&lt;=01_因子設定!$M$7+0.000000001,IF(01_因子設定!$B$20="Box-Behnken",C33^2+D33^2+E33^2&lt;=2+0.000000001,TRUE()))</f>
        <v>1</v>
      </c>
      <c r="U33" s="55" t="n">
        <f aca="false">IF(T33,IF(01_因子設定!$B$13="最大化",R33-01_因子設定!$B$14,IF(01_因子設定!$B$13="最小化",01_因子設定!$B$15-S33,MIN(R33-01_因子設定!$B$14,01_因子設定!$B$15-S33))),-1E+030)</f>
        <v>-1.39181500305601</v>
      </c>
      <c r="V33" s="55" t="n">
        <f aca="false">IF(U33&gt;=0,1,0)</f>
        <v>0</v>
      </c>
    </row>
    <row r="34" customFormat="false" ht="15" hidden="false" customHeight="false" outlineLevel="0" collapsed="false">
      <c r="A34" s="0" t="n">
        <v>1</v>
      </c>
      <c r="B34" s="0" t="n">
        <v>-0.275</v>
      </c>
      <c r="C34" s="0" t="n">
        <f aca="false">B34</f>
        <v>-0.275</v>
      </c>
      <c r="D34" s="57" t="n">
        <f aca="false">07_最適化!$B$7</f>
        <v>0.75</v>
      </c>
      <c r="E34" s="57" t="n">
        <f aca="false">07_最適化!$B$8</f>
        <v>0.625</v>
      </c>
      <c r="F34" s="55" t="n">
        <f aca="false">1</f>
        <v>1</v>
      </c>
      <c r="G34" s="55" t="n">
        <f aca="false">C34</f>
        <v>-0.275</v>
      </c>
      <c r="H34" s="57" t="n">
        <f aca="false">D34</f>
        <v>0.75</v>
      </c>
      <c r="I34" s="57" t="n">
        <f aca="false">E34</f>
        <v>0.625</v>
      </c>
      <c r="J34" s="55" t="n">
        <f aca="false">C34*D34</f>
        <v>-0.20625</v>
      </c>
      <c r="K34" s="55" t="n">
        <f aca="false">C34*E34</f>
        <v>-0.171875</v>
      </c>
      <c r="L34" s="55" t="n">
        <f aca="false">D34*E34</f>
        <v>0.46875</v>
      </c>
      <c r="M34" s="55" t="n">
        <f aca="false">C34*C34</f>
        <v>0.075625</v>
      </c>
      <c r="N34" s="55" t="n">
        <f aca="false">D34*D34</f>
        <v>0.5625</v>
      </c>
      <c r="O34" s="55" t="n">
        <f aca="false">E34*E34</f>
        <v>0.390625</v>
      </c>
      <c r="P34" s="55" t="n">
        <f aca="false">SUMPRODUCT(F34:O34,_XtX!$B$71:$K$71)</f>
        <v>48.2719147727273</v>
      </c>
      <c r="Q34" s="55" t="n">
        <f aca="false">SUMPRODUCT(MMULT(F34:O34,_XtX!$B$58:$K$67),F34:O34)</f>
        <v>0.257049303089489</v>
      </c>
      <c r="R34" s="55" t="n">
        <f aca="false">P34-04_回帰ANOVA!$K$19*04_回帰ANOVA!$K$14*SQRT(1+Q34)</f>
        <v>47.2294946367549</v>
      </c>
      <c r="S34" s="55" t="n">
        <f aca="false">P34+04_回帰ANOVA!$K$19*04_回帰ANOVA!$K$14*SQRT(1+Q34)</f>
        <v>49.3143349086997</v>
      </c>
      <c r="T34" s="54" t="b">
        <f aca="false">AND(C34&gt;=01_因子設定!$L$5-0.000000001,C34&lt;=01_因子設定!$M$5+0.000000001,D34&gt;=01_因子設定!$L$6-0.000000001,D34&lt;=01_因子設定!$M$6+0.000000001,E34&gt;=01_因子設定!$L$7-0.000000001,E34&lt;=01_因子設定!$M$7+0.000000001,IF(01_因子設定!$B$20="Box-Behnken",C34^2+D34^2+E34^2&lt;=2+0.000000001,TRUE()))</f>
        <v>1</v>
      </c>
      <c r="U34" s="55" t="n">
        <f aca="false">IF(T34,IF(01_因子設定!$B$13="最大化",R34-01_因子設定!$B$14,IF(01_因子設定!$B$13="最小化",01_因子設定!$B$15-S34,MIN(R34-01_因子設定!$B$14,01_因子設定!$B$15-S34))),-1E+030)</f>
        <v>-1.27050536324508</v>
      </c>
      <c r="V34" s="55" t="n">
        <f aca="false">IF(U34&gt;=0,1,0)</f>
        <v>0</v>
      </c>
    </row>
    <row r="35" customFormat="false" ht="15" hidden="false" customHeight="false" outlineLevel="0" collapsed="false">
      <c r="A35" s="0" t="n">
        <v>1</v>
      </c>
      <c r="B35" s="0" t="n">
        <v>-0.25</v>
      </c>
      <c r="C35" s="0" t="n">
        <f aca="false">B35</f>
        <v>-0.25</v>
      </c>
      <c r="D35" s="57" t="n">
        <f aca="false">07_最適化!$B$7</f>
        <v>0.75</v>
      </c>
      <c r="E35" s="57" t="n">
        <f aca="false">07_最適化!$B$8</f>
        <v>0.625</v>
      </c>
      <c r="F35" s="55" t="n">
        <f aca="false">1</f>
        <v>1</v>
      </c>
      <c r="G35" s="55" t="n">
        <f aca="false">C35</f>
        <v>-0.25</v>
      </c>
      <c r="H35" s="57" t="n">
        <f aca="false">D35</f>
        <v>0.75</v>
      </c>
      <c r="I35" s="57" t="n">
        <f aca="false">E35</f>
        <v>0.625</v>
      </c>
      <c r="J35" s="55" t="n">
        <f aca="false">C35*D35</f>
        <v>-0.1875</v>
      </c>
      <c r="K35" s="55" t="n">
        <f aca="false">C35*E35</f>
        <v>-0.15625</v>
      </c>
      <c r="L35" s="55" t="n">
        <f aca="false">D35*E35</f>
        <v>0.46875</v>
      </c>
      <c r="M35" s="55" t="n">
        <f aca="false">C35*C35</f>
        <v>0.0625</v>
      </c>
      <c r="N35" s="55" t="n">
        <f aca="false">D35*D35</f>
        <v>0.5625</v>
      </c>
      <c r="O35" s="55" t="n">
        <f aca="false">E35*E35</f>
        <v>0.390625</v>
      </c>
      <c r="P35" s="55" t="n">
        <f aca="false">SUMPRODUCT(F35:O35,_XtX!$B$71:$K$71)</f>
        <v>48.3905539772727</v>
      </c>
      <c r="Q35" s="55" t="n">
        <f aca="false">SUMPRODUCT(MMULT(F35:O35,_XtX!$B$58:$K$67),F35:O35)</f>
        <v>0.258118785511364</v>
      </c>
      <c r="R35" s="55" t="n">
        <f aca="false">P35-04_回帰ANOVA!$K$19*04_回帰ANOVA!$K$14*SQRT(1+Q35)</f>
        <v>47.347690496324</v>
      </c>
      <c r="S35" s="55" t="n">
        <f aca="false">P35+04_回帰ANOVA!$K$19*04_回帰ANOVA!$K$14*SQRT(1+Q35)</f>
        <v>49.4334174582215</v>
      </c>
      <c r="T35" s="54" t="b">
        <f aca="false">AND(C35&gt;=01_因子設定!$L$5-0.000000001,C35&lt;=01_因子設定!$M$5+0.000000001,D35&gt;=01_因子設定!$L$6-0.000000001,D35&lt;=01_因子設定!$M$6+0.000000001,E35&gt;=01_因子設定!$L$7-0.000000001,E35&lt;=01_因子設定!$M$7+0.000000001,IF(01_因子設定!$B$20="Box-Behnken",C35^2+D35^2+E35^2&lt;=2+0.000000001,TRUE()))</f>
        <v>1</v>
      </c>
      <c r="U35" s="55" t="n">
        <f aca="false">IF(T35,IF(01_因子設定!$B$13="最大化",R35-01_因子設定!$B$14,IF(01_因子設定!$B$13="最小化",01_因子設定!$B$15-S35,MIN(R35-01_因子設定!$B$14,01_因子設定!$B$15-S35))),-1E+030)</f>
        <v>-1.15230950367602</v>
      </c>
      <c r="V35" s="55" t="n">
        <f aca="false">IF(U35&gt;=0,1,0)</f>
        <v>0</v>
      </c>
    </row>
    <row r="36" customFormat="false" ht="15" hidden="false" customHeight="false" outlineLevel="0" collapsed="false">
      <c r="A36" s="0" t="n">
        <v>1</v>
      </c>
      <c r="B36" s="0" t="n">
        <v>-0.225</v>
      </c>
      <c r="C36" s="0" t="n">
        <f aca="false">B36</f>
        <v>-0.225</v>
      </c>
      <c r="D36" s="57" t="n">
        <f aca="false">07_最適化!$B$7</f>
        <v>0.75</v>
      </c>
      <c r="E36" s="57" t="n">
        <f aca="false">07_最適化!$B$8</f>
        <v>0.625</v>
      </c>
      <c r="F36" s="55" t="n">
        <f aca="false">1</f>
        <v>1</v>
      </c>
      <c r="G36" s="55" t="n">
        <f aca="false">C36</f>
        <v>-0.225</v>
      </c>
      <c r="H36" s="57" t="n">
        <f aca="false">D36</f>
        <v>0.75</v>
      </c>
      <c r="I36" s="57" t="n">
        <f aca="false">E36</f>
        <v>0.625</v>
      </c>
      <c r="J36" s="55" t="n">
        <f aca="false">C36*D36</f>
        <v>-0.16875</v>
      </c>
      <c r="K36" s="55" t="n">
        <f aca="false">C36*E36</f>
        <v>-0.140625</v>
      </c>
      <c r="L36" s="55" t="n">
        <f aca="false">D36*E36</f>
        <v>0.46875</v>
      </c>
      <c r="M36" s="55" t="n">
        <f aca="false">C36*C36</f>
        <v>0.050625</v>
      </c>
      <c r="N36" s="55" t="n">
        <f aca="false">D36*D36</f>
        <v>0.5625</v>
      </c>
      <c r="O36" s="55" t="n">
        <f aca="false">E36*E36</f>
        <v>0.390625</v>
      </c>
      <c r="P36" s="55" t="n">
        <f aca="false">SUMPRODUCT(F36:O36,_XtX!$B$71:$K$71)</f>
        <v>48.5060965909091</v>
      </c>
      <c r="Q36" s="55" t="n">
        <f aca="false">SUMPRODUCT(MMULT(F36:O36,_XtX!$B$58:$K$67),F36:O36)</f>
        <v>0.259194367009943</v>
      </c>
      <c r="R36" s="55" t="n">
        <f aca="false">P36-04_回帰ANOVA!$K$19*04_回帰ANOVA!$K$14*SQRT(1+Q36)</f>
        <v>47.462787426673</v>
      </c>
      <c r="S36" s="55" t="n">
        <f aca="false">P36+04_回帰ANOVA!$K$19*04_回帰ANOVA!$K$14*SQRT(1+Q36)</f>
        <v>49.5494057551453</v>
      </c>
      <c r="T36" s="54" t="b">
        <f aca="false">AND(C36&gt;=01_因子設定!$L$5-0.000000001,C36&lt;=01_因子設定!$M$5+0.000000001,D36&gt;=01_因子設定!$L$6-0.000000001,D36&lt;=01_因子設定!$M$6+0.000000001,E36&gt;=01_因子設定!$L$7-0.000000001,E36&lt;=01_因子設定!$M$7+0.000000001,IF(01_因子設定!$B$20="Box-Behnken",C36^2+D36^2+E36^2&lt;=2+0.000000001,TRUE()))</f>
        <v>1</v>
      </c>
      <c r="U36" s="55" t="n">
        <f aca="false">IF(T36,IF(01_因子設定!$B$13="最大化",R36-01_因子設定!$B$14,IF(01_因子設定!$B$13="最小化",01_因子設定!$B$15-S36,MIN(R36-01_因子設定!$B$14,01_因子設定!$B$15-S36))),-1E+030)</f>
        <v>-1.03721257332704</v>
      </c>
      <c r="V36" s="55" t="n">
        <f aca="false">IF(U36&gt;=0,1,0)</f>
        <v>0</v>
      </c>
    </row>
    <row r="37" customFormat="false" ht="15" hidden="false" customHeight="false" outlineLevel="0" collapsed="false">
      <c r="A37" s="0" t="n">
        <v>1</v>
      </c>
      <c r="B37" s="0" t="n">
        <v>-0.2</v>
      </c>
      <c r="C37" s="0" t="n">
        <f aca="false">B37</f>
        <v>-0.2</v>
      </c>
      <c r="D37" s="57" t="n">
        <f aca="false">07_最適化!$B$7</f>
        <v>0.75</v>
      </c>
      <c r="E37" s="57" t="n">
        <f aca="false">07_最適化!$B$8</f>
        <v>0.625</v>
      </c>
      <c r="F37" s="55" t="n">
        <f aca="false">1</f>
        <v>1</v>
      </c>
      <c r="G37" s="55" t="n">
        <f aca="false">C37</f>
        <v>-0.2</v>
      </c>
      <c r="H37" s="57" t="n">
        <f aca="false">D37</f>
        <v>0.75</v>
      </c>
      <c r="I37" s="57" t="n">
        <f aca="false">E37</f>
        <v>0.625</v>
      </c>
      <c r="J37" s="55" t="n">
        <f aca="false">C37*D37</f>
        <v>-0.15</v>
      </c>
      <c r="K37" s="55" t="n">
        <f aca="false">C37*E37</f>
        <v>-0.125</v>
      </c>
      <c r="L37" s="55" t="n">
        <f aca="false">D37*E37</f>
        <v>0.46875</v>
      </c>
      <c r="M37" s="55" t="n">
        <f aca="false">C37*C37</f>
        <v>0.04</v>
      </c>
      <c r="N37" s="55" t="n">
        <f aca="false">D37*D37</f>
        <v>0.5625</v>
      </c>
      <c r="O37" s="55" t="n">
        <f aca="false">E37*E37</f>
        <v>0.390625</v>
      </c>
      <c r="P37" s="55" t="n">
        <f aca="false">SUMPRODUCT(F37:O37,_XtX!$B$71:$K$71)</f>
        <v>48.6185426136364</v>
      </c>
      <c r="Q37" s="55" t="n">
        <f aca="false">SUMPRODUCT(MMULT(F37:O37,_XtX!$B$58:$K$67),F37:O37)</f>
        <v>0.260243661221591</v>
      </c>
      <c r="R37" s="55" t="n">
        <f aca="false">P37-04_回帰ANOVA!$K$19*04_回帰ANOVA!$K$14*SQRT(1+Q37)</f>
        <v>47.5747988420324</v>
      </c>
      <c r="S37" s="55" t="n">
        <f aca="false">P37+04_回帰ANOVA!$K$19*04_回帰ANOVA!$K$14*SQRT(1+Q37)</f>
        <v>49.6622863852404</v>
      </c>
      <c r="T37" s="54" t="b">
        <f aca="false">AND(C37&gt;=01_因子設定!$L$5-0.000000001,C37&lt;=01_因子設定!$M$5+0.000000001,D37&gt;=01_因子設定!$L$6-0.000000001,D37&lt;=01_因子設定!$M$6+0.000000001,E37&gt;=01_因子設定!$L$7-0.000000001,E37&lt;=01_因子設定!$M$7+0.000000001,IF(01_因子設定!$B$20="Box-Behnken",C37^2+D37^2+E37^2&lt;=2+0.000000001,TRUE()))</f>
        <v>1</v>
      </c>
      <c r="U37" s="55" t="n">
        <f aca="false">IF(T37,IF(01_因子設定!$B$13="最大化",R37-01_因子設定!$B$14,IF(01_因子設定!$B$13="最小化",01_因子設定!$B$15-S37,MIN(R37-01_因子設定!$B$14,01_因子設定!$B$15-S37))),-1E+030)</f>
        <v>-0.925201157967642</v>
      </c>
      <c r="V37" s="55" t="n">
        <f aca="false">IF(U37&gt;=0,1,0)</f>
        <v>0</v>
      </c>
    </row>
    <row r="38" customFormat="false" ht="15" hidden="false" customHeight="false" outlineLevel="0" collapsed="false">
      <c r="A38" s="0" t="n">
        <v>1</v>
      </c>
      <c r="B38" s="0" t="n">
        <v>-0.175</v>
      </c>
      <c r="C38" s="0" t="n">
        <f aca="false">B38</f>
        <v>-0.175</v>
      </c>
      <c r="D38" s="57" t="n">
        <f aca="false">07_最適化!$B$7</f>
        <v>0.75</v>
      </c>
      <c r="E38" s="57" t="n">
        <f aca="false">07_最適化!$B$8</f>
        <v>0.625</v>
      </c>
      <c r="F38" s="55" t="n">
        <f aca="false">1</f>
        <v>1</v>
      </c>
      <c r="G38" s="55" t="n">
        <f aca="false">C38</f>
        <v>-0.175</v>
      </c>
      <c r="H38" s="57" t="n">
        <f aca="false">D38</f>
        <v>0.75</v>
      </c>
      <c r="I38" s="57" t="n">
        <f aca="false">E38</f>
        <v>0.625</v>
      </c>
      <c r="J38" s="55" t="n">
        <f aca="false">C38*D38</f>
        <v>-0.13125</v>
      </c>
      <c r="K38" s="55" t="n">
        <f aca="false">C38*E38</f>
        <v>-0.109375</v>
      </c>
      <c r="L38" s="55" t="n">
        <f aca="false">D38*E38</f>
        <v>0.46875</v>
      </c>
      <c r="M38" s="55" t="n">
        <f aca="false">C38*C38</f>
        <v>0.030625</v>
      </c>
      <c r="N38" s="55" t="n">
        <f aca="false">D38*D38</f>
        <v>0.5625</v>
      </c>
      <c r="O38" s="55" t="n">
        <f aca="false">E38*E38</f>
        <v>0.390625</v>
      </c>
      <c r="P38" s="55" t="n">
        <f aca="false">SUMPRODUCT(F38:O38,_XtX!$B$71:$K$71)</f>
        <v>48.7278920454546</v>
      </c>
      <c r="Q38" s="55" t="n">
        <f aca="false">SUMPRODUCT(MMULT(F38:O38,_XtX!$B$58:$K$67),F38:O38)</f>
        <v>0.26123769087358</v>
      </c>
      <c r="R38" s="55" t="n">
        <f aca="false">P38-04_回帰ANOVA!$K$19*04_回帰ANOVA!$K$14*SQRT(1+Q38)</f>
        <v>47.6837367233768</v>
      </c>
      <c r="S38" s="55" t="n">
        <f aca="false">P38+04_回帰ANOVA!$K$19*04_回帰ANOVA!$K$14*SQRT(1+Q38)</f>
        <v>49.7720473675324</v>
      </c>
      <c r="T38" s="54" t="b">
        <f aca="false">AND(C38&gt;=01_因子設定!$L$5-0.000000001,C38&lt;=01_因子設定!$M$5+0.000000001,D38&gt;=01_因子設定!$L$6-0.000000001,D38&lt;=01_因子設定!$M$6+0.000000001,E38&gt;=01_因子設定!$L$7-0.000000001,E38&lt;=01_因子設定!$M$7+0.000000001,IF(01_因子設定!$B$20="Box-Behnken",C38^2+D38^2+E38^2&lt;=2+0.000000001,TRUE()))</f>
        <v>1</v>
      </c>
      <c r="U38" s="55" t="n">
        <f aca="false">IF(T38,IF(01_因子設定!$B$13="最大化",R38-01_因子設定!$B$14,IF(01_因子設定!$B$13="最小化",01_因子設定!$B$15-S38,MIN(R38-01_因子設定!$B$14,01_因子設定!$B$15-S38))),-1E+030)</f>
        <v>-0.816263276623232</v>
      </c>
      <c r="V38" s="55" t="n">
        <f aca="false">IF(U38&gt;=0,1,0)</f>
        <v>0</v>
      </c>
    </row>
    <row r="39" customFormat="false" ht="15" hidden="false" customHeight="false" outlineLevel="0" collapsed="false">
      <c r="A39" s="0" t="n">
        <v>1</v>
      </c>
      <c r="B39" s="0" t="n">
        <v>-0.15</v>
      </c>
      <c r="C39" s="0" t="n">
        <f aca="false">B39</f>
        <v>-0.15</v>
      </c>
      <c r="D39" s="57" t="n">
        <f aca="false">07_最適化!$B$7</f>
        <v>0.75</v>
      </c>
      <c r="E39" s="57" t="n">
        <f aca="false">07_最適化!$B$8</f>
        <v>0.625</v>
      </c>
      <c r="F39" s="55" t="n">
        <f aca="false">1</f>
        <v>1</v>
      </c>
      <c r="G39" s="55" t="n">
        <f aca="false">C39</f>
        <v>-0.15</v>
      </c>
      <c r="H39" s="57" t="n">
        <f aca="false">D39</f>
        <v>0.75</v>
      </c>
      <c r="I39" s="57" t="n">
        <f aca="false">E39</f>
        <v>0.625</v>
      </c>
      <c r="J39" s="55" t="n">
        <f aca="false">C39*D39</f>
        <v>-0.1125</v>
      </c>
      <c r="K39" s="55" t="n">
        <f aca="false">C39*E39</f>
        <v>-0.09375</v>
      </c>
      <c r="L39" s="55" t="n">
        <f aca="false">D39*E39</f>
        <v>0.46875</v>
      </c>
      <c r="M39" s="55" t="n">
        <f aca="false">C39*C39</f>
        <v>0.0225</v>
      </c>
      <c r="N39" s="55" t="n">
        <f aca="false">D39*D39</f>
        <v>0.5625</v>
      </c>
      <c r="O39" s="55" t="n">
        <f aca="false">E39*E39</f>
        <v>0.390625</v>
      </c>
      <c r="P39" s="55" t="n">
        <f aca="false">SUMPRODUCT(F39:O39,_XtX!$B$71:$K$71)</f>
        <v>48.8341448863637</v>
      </c>
      <c r="Q39" s="55" t="n">
        <f aca="false">SUMPRODUCT(MMULT(F39:O39,_XtX!$B$58:$K$67),F39:O39)</f>
        <v>0.262150887784091</v>
      </c>
      <c r="R39" s="55" t="n">
        <f aca="false">P39-04_回帰ANOVA!$K$19*04_回帰ANOVA!$K$14*SQRT(1+Q39)</f>
        <v>47.7896116232819</v>
      </c>
      <c r="S39" s="55" t="n">
        <f aca="false">P39+04_回帰ANOVA!$K$19*04_回帰ANOVA!$K$14*SQRT(1+Q39)</f>
        <v>49.8786781494454</v>
      </c>
      <c r="T39" s="54" t="b">
        <f aca="false">AND(C39&gt;=01_因子設定!$L$5-0.000000001,C39&lt;=01_因子設定!$M$5+0.000000001,D39&gt;=01_因子設定!$L$6-0.000000001,D39&lt;=01_因子設定!$M$6+0.000000001,E39&gt;=01_因子設定!$L$7-0.000000001,E39&lt;=01_因子設定!$M$7+0.000000001,IF(01_因子設定!$B$20="Box-Behnken",C39^2+D39^2+E39^2&lt;=2+0.000000001,TRUE()))</f>
        <v>1</v>
      </c>
      <c r="U39" s="55" t="n">
        <f aca="false">IF(T39,IF(01_因子設定!$B$13="最大化",R39-01_因子設定!$B$14,IF(01_因子設定!$B$13="最小化",01_因子設定!$B$15-S39,MIN(R39-01_因子設定!$B$14,01_因子設定!$B$15-S39))),-1E+030)</f>
        <v>-0.710388376718072</v>
      </c>
      <c r="V39" s="55" t="n">
        <f aca="false">IF(U39&gt;=0,1,0)</f>
        <v>0</v>
      </c>
    </row>
    <row r="40" customFormat="false" ht="15" hidden="false" customHeight="false" outlineLevel="0" collapsed="false">
      <c r="A40" s="0" t="n">
        <v>1</v>
      </c>
      <c r="B40" s="0" t="n">
        <v>-0.125</v>
      </c>
      <c r="C40" s="0" t="n">
        <f aca="false">B40</f>
        <v>-0.125</v>
      </c>
      <c r="D40" s="57" t="n">
        <f aca="false">07_最適化!$B$7</f>
        <v>0.75</v>
      </c>
      <c r="E40" s="57" t="n">
        <f aca="false">07_最適化!$B$8</f>
        <v>0.625</v>
      </c>
      <c r="F40" s="55" t="n">
        <f aca="false">1</f>
        <v>1</v>
      </c>
      <c r="G40" s="55" t="n">
        <f aca="false">C40</f>
        <v>-0.125</v>
      </c>
      <c r="H40" s="57" t="n">
        <f aca="false">D40</f>
        <v>0.75</v>
      </c>
      <c r="I40" s="57" t="n">
        <f aca="false">E40</f>
        <v>0.625</v>
      </c>
      <c r="J40" s="55" t="n">
        <f aca="false">C40*D40</f>
        <v>-0.09375</v>
      </c>
      <c r="K40" s="55" t="n">
        <f aca="false">C40*E40</f>
        <v>-0.078125</v>
      </c>
      <c r="L40" s="55" t="n">
        <f aca="false">D40*E40</f>
        <v>0.46875</v>
      </c>
      <c r="M40" s="55" t="n">
        <f aca="false">C40*C40</f>
        <v>0.015625</v>
      </c>
      <c r="N40" s="55" t="n">
        <f aca="false">D40*D40</f>
        <v>0.5625</v>
      </c>
      <c r="O40" s="55" t="n">
        <f aca="false">E40*E40</f>
        <v>0.390625</v>
      </c>
      <c r="P40" s="55" t="n">
        <f aca="false">SUMPRODUCT(F40:O40,_XtX!$B$71:$K$71)</f>
        <v>48.9373011363637</v>
      </c>
      <c r="Q40" s="55" t="n">
        <f aca="false">SUMPRODUCT(MMULT(F40:O40,_XtX!$B$58:$K$67),F40:O40)</f>
        <v>0.262961092862216</v>
      </c>
      <c r="R40" s="55" t="n">
        <f aca="false">P40-04_回帰ANOVA!$K$19*04_回帰ANOVA!$K$14*SQRT(1+Q40)</f>
        <v>47.8924326715272</v>
      </c>
      <c r="S40" s="55" t="n">
        <f aca="false">P40+04_回帰ANOVA!$K$19*04_回帰ANOVA!$K$14*SQRT(1+Q40)</f>
        <v>49.9821696012001</v>
      </c>
      <c r="T40" s="54" t="b">
        <f aca="false">AND(C40&gt;=01_因子設定!$L$5-0.000000001,C40&lt;=01_因子設定!$M$5+0.000000001,D40&gt;=01_因子設定!$L$6-0.000000001,D40&lt;=01_因子設定!$M$6+0.000000001,E40&gt;=01_因子設定!$L$7-0.000000001,E40&lt;=01_因子設定!$M$7+0.000000001,IF(01_因子設定!$B$20="Box-Behnken",C40^2+D40^2+E40^2&lt;=2+0.000000001,TRUE()))</f>
        <v>1</v>
      </c>
      <c r="U40" s="55" t="n">
        <f aca="false">IF(T40,IF(01_因子設定!$B$13="最大化",R40-01_因子設定!$B$14,IF(01_因子設定!$B$13="最小化",01_因子設定!$B$15-S40,MIN(R40-01_因子設定!$B$14,01_因子設定!$B$15-S40))),-1E+030)</f>
        <v>-0.607567328472833</v>
      </c>
      <c r="V40" s="55" t="n">
        <f aca="false">IF(U40&gt;=0,1,0)</f>
        <v>0</v>
      </c>
    </row>
    <row r="41" customFormat="false" ht="15" hidden="false" customHeight="false" outlineLevel="0" collapsed="false">
      <c r="A41" s="0" t="n">
        <v>1</v>
      </c>
      <c r="B41" s="0" t="n">
        <v>-0.1</v>
      </c>
      <c r="C41" s="0" t="n">
        <f aca="false">B41</f>
        <v>-0.1</v>
      </c>
      <c r="D41" s="57" t="n">
        <f aca="false">07_最適化!$B$7</f>
        <v>0.75</v>
      </c>
      <c r="E41" s="57" t="n">
        <f aca="false">07_最適化!$B$8</f>
        <v>0.625</v>
      </c>
      <c r="F41" s="55" t="n">
        <f aca="false">1</f>
        <v>1</v>
      </c>
      <c r="G41" s="55" t="n">
        <f aca="false">C41</f>
        <v>-0.1</v>
      </c>
      <c r="H41" s="57" t="n">
        <f aca="false">D41</f>
        <v>0.75</v>
      </c>
      <c r="I41" s="57" t="n">
        <f aca="false">E41</f>
        <v>0.625</v>
      </c>
      <c r="J41" s="55" t="n">
        <f aca="false">C41*D41</f>
        <v>-0.075</v>
      </c>
      <c r="K41" s="55" t="n">
        <f aca="false">C41*E41</f>
        <v>-0.0625</v>
      </c>
      <c r="L41" s="55" t="n">
        <f aca="false">D41*E41</f>
        <v>0.46875</v>
      </c>
      <c r="M41" s="55" t="n">
        <f aca="false">C41*C41</f>
        <v>0.01</v>
      </c>
      <c r="N41" s="55" t="n">
        <f aca="false">D41*D41</f>
        <v>0.5625</v>
      </c>
      <c r="O41" s="55" t="n">
        <f aca="false">E41*E41</f>
        <v>0.390625</v>
      </c>
      <c r="P41" s="55" t="n">
        <f aca="false">SUMPRODUCT(F41:O41,_XtX!$B$71:$K$71)</f>
        <v>49.0373607954546</v>
      </c>
      <c r="Q41" s="55" t="n">
        <f aca="false">SUMPRODUCT(MMULT(F41:O41,_XtX!$B$58:$K$67),F41:O41)</f>
        <v>0.263649556107955</v>
      </c>
      <c r="R41" s="55" t="n">
        <f aca="false">P41-04_回帰ANOVA!$K$19*04_回帰ANOVA!$K$14*SQRT(1+Q41)</f>
        <v>47.9922075809404</v>
      </c>
      <c r="S41" s="55" t="n">
        <f aca="false">P41+04_回帰ANOVA!$K$19*04_回帰ANOVA!$K$14*SQRT(1+Q41)</f>
        <v>50.0825140099687</v>
      </c>
      <c r="T41" s="54" t="b">
        <f aca="false">AND(C41&gt;=01_因子設定!$L$5-0.000000001,C41&lt;=01_因子設定!$M$5+0.000000001,D41&gt;=01_因子設定!$L$6-0.000000001,D41&lt;=01_因子設定!$M$6+0.000000001,E41&gt;=01_因子設定!$L$7-0.000000001,E41&lt;=01_因子設定!$M$7+0.000000001,IF(01_因子設定!$B$20="Box-Behnken",C41^2+D41^2+E41^2&lt;=2+0.000000001,TRUE()))</f>
        <v>1</v>
      </c>
      <c r="U41" s="55" t="n">
        <f aca="false">IF(T41,IF(01_因子設定!$B$13="最大化",R41-01_因子設定!$B$14,IF(01_因子設定!$B$13="最小化",01_因子設定!$B$15-S41,MIN(R41-01_因子設定!$B$14,01_因子設定!$B$15-S41))),-1E+030)</f>
        <v>-0.507792419059584</v>
      </c>
      <c r="V41" s="55" t="n">
        <f aca="false">IF(U41&gt;=0,1,0)</f>
        <v>0</v>
      </c>
    </row>
    <row r="42" customFormat="false" ht="15" hidden="false" customHeight="false" outlineLevel="0" collapsed="false">
      <c r="A42" s="0" t="n">
        <v>1</v>
      </c>
      <c r="B42" s="0" t="n">
        <v>-0.075</v>
      </c>
      <c r="C42" s="0" t="n">
        <f aca="false">B42</f>
        <v>-0.075</v>
      </c>
      <c r="D42" s="57" t="n">
        <f aca="false">07_最適化!$B$7</f>
        <v>0.75</v>
      </c>
      <c r="E42" s="57" t="n">
        <f aca="false">07_最適化!$B$8</f>
        <v>0.625</v>
      </c>
      <c r="F42" s="55" t="n">
        <f aca="false">1</f>
        <v>1</v>
      </c>
      <c r="G42" s="55" t="n">
        <f aca="false">C42</f>
        <v>-0.075</v>
      </c>
      <c r="H42" s="57" t="n">
        <f aca="false">D42</f>
        <v>0.75</v>
      </c>
      <c r="I42" s="57" t="n">
        <f aca="false">E42</f>
        <v>0.625</v>
      </c>
      <c r="J42" s="55" t="n">
        <f aca="false">C42*D42</f>
        <v>-0.05625</v>
      </c>
      <c r="K42" s="55" t="n">
        <f aca="false">C42*E42</f>
        <v>-0.046875</v>
      </c>
      <c r="L42" s="55" t="n">
        <f aca="false">D42*E42</f>
        <v>0.46875</v>
      </c>
      <c r="M42" s="55" t="n">
        <f aca="false">C42*C42</f>
        <v>0.005625</v>
      </c>
      <c r="N42" s="55" t="n">
        <f aca="false">D42*D42</f>
        <v>0.5625</v>
      </c>
      <c r="O42" s="55" t="n">
        <f aca="false">E42*E42</f>
        <v>0.390625</v>
      </c>
      <c r="P42" s="55" t="n">
        <f aca="false">SUMPRODUCT(F42:O42,_XtX!$B$71:$K$71)</f>
        <v>49.1343238636364</v>
      </c>
      <c r="Q42" s="55" t="n">
        <f aca="false">SUMPRODUCT(MMULT(F42:O42,_XtX!$B$58:$K$67),F42:O42)</f>
        <v>0.264200936612216</v>
      </c>
      <c r="R42" s="55" t="n">
        <f aca="false">P42-04_回帰ANOVA!$K$19*04_回帰ANOVA!$K$14*SQRT(1+Q42)</f>
        <v>48.0889426530555</v>
      </c>
      <c r="S42" s="55" t="n">
        <f aca="false">P42+04_回帰ANOVA!$K$19*04_回帰ANOVA!$K$14*SQRT(1+Q42)</f>
        <v>50.1797050742173</v>
      </c>
      <c r="T42" s="54" t="b">
        <f aca="false">AND(C42&gt;=01_因子設定!$L$5-0.000000001,C42&lt;=01_因子設定!$M$5+0.000000001,D42&gt;=01_因子設定!$L$6-0.000000001,D42&lt;=01_因子設定!$M$6+0.000000001,E42&gt;=01_因子設定!$L$7-0.000000001,E42&lt;=01_因子設定!$M$7+0.000000001,IF(01_因子設定!$B$20="Box-Behnken",C42^2+D42^2+E42^2&lt;=2+0.000000001,TRUE()))</f>
        <v>1</v>
      </c>
      <c r="U42" s="55" t="n">
        <f aca="false">IF(T42,IF(01_因子設定!$B$13="最大化",R42-01_因子設定!$B$14,IF(01_因子設定!$B$13="最小化",01_因子設定!$B$15-S42,MIN(R42-01_因子設定!$B$14,01_因子設定!$B$15-S42))),-1E+030)</f>
        <v>-0.411057346944489</v>
      </c>
      <c r="V42" s="55" t="n">
        <f aca="false">IF(U42&gt;=0,1,0)</f>
        <v>0</v>
      </c>
    </row>
    <row r="43" customFormat="false" ht="15" hidden="false" customHeight="false" outlineLevel="0" collapsed="false">
      <c r="A43" s="0" t="n">
        <v>1</v>
      </c>
      <c r="B43" s="0" t="n">
        <v>-0.05</v>
      </c>
      <c r="C43" s="0" t="n">
        <f aca="false">B43</f>
        <v>-0.05</v>
      </c>
      <c r="D43" s="57" t="n">
        <f aca="false">07_最適化!$B$7</f>
        <v>0.75</v>
      </c>
      <c r="E43" s="57" t="n">
        <f aca="false">07_最適化!$B$8</f>
        <v>0.625</v>
      </c>
      <c r="F43" s="55" t="n">
        <f aca="false">1</f>
        <v>1</v>
      </c>
      <c r="G43" s="55" t="n">
        <f aca="false">C43</f>
        <v>-0.05</v>
      </c>
      <c r="H43" s="57" t="n">
        <f aca="false">D43</f>
        <v>0.75</v>
      </c>
      <c r="I43" s="57" t="n">
        <f aca="false">E43</f>
        <v>0.625</v>
      </c>
      <c r="J43" s="55" t="n">
        <f aca="false">C43*D43</f>
        <v>-0.0375</v>
      </c>
      <c r="K43" s="55" t="n">
        <f aca="false">C43*E43</f>
        <v>-0.03125</v>
      </c>
      <c r="L43" s="55" t="n">
        <f aca="false">D43*E43</f>
        <v>0.46875</v>
      </c>
      <c r="M43" s="55" t="n">
        <f aca="false">C43*C43</f>
        <v>0.0025</v>
      </c>
      <c r="N43" s="55" t="n">
        <f aca="false">D43*D43</f>
        <v>0.5625</v>
      </c>
      <c r="O43" s="55" t="n">
        <f aca="false">E43*E43</f>
        <v>0.390625</v>
      </c>
      <c r="P43" s="55" t="n">
        <f aca="false">SUMPRODUCT(F43:O43,_XtX!$B$71:$K$71)</f>
        <v>49.2281903409091</v>
      </c>
      <c r="Q43" s="55" t="n">
        <f aca="false">SUMPRODUCT(MMULT(F43:O43,_XtX!$B$58:$K$67),F43:O43)</f>
        <v>0.264603302556818</v>
      </c>
      <c r="R43" s="55" t="n">
        <f aca="false">P43-04_回帰ANOVA!$K$19*04_回帰ANOVA!$K$14*SQRT(1+Q43)</f>
        <v>48.1826427832221</v>
      </c>
      <c r="S43" s="55" t="n">
        <f aca="false">P43+04_回帰ANOVA!$K$19*04_回帰ANOVA!$K$14*SQRT(1+Q43)</f>
        <v>50.2737378985961</v>
      </c>
      <c r="T43" s="54" t="b">
        <f aca="false">AND(C43&gt;=01_因子設定!$L$5-0.000000001,C43&lt;=01_因子設定!$M$5+0.000000001,D43&gt;=01_因子設定!$L$6-0.000000001,D43&lt;=01_因子設定!$M$6+0.000000001,E43&gt;=01_因子設定!$L$7-0.000000001,E43&lt;=01_因子設定!$M$7+0.000000001,IF(01_因子設定!$B$20="Box-Behnken",C43^2+D43^2+E43^2&lt;=2+0.000000001,TRUE()))</f>
        <v>1</v>
      </c>
      <c r="U43" s="55" t="n">
        <f aca="false">IF(T43,IF(01_因子設定!$B$13="最大化",R43-01_因子設定!$B$14,IF(01_因子設定!$B$13="最小化",01_因子設定!$B$15-S43,MIN(R43-01_因子設定!$B$14,01_因子設定!$B$15-S43))),-1E+030)</f>
        <v>-0.317357216777879</v>
      </c>
      <c r="V43" s="55" t="n">
        <f aca="false">IF(U43&gt;=0,1,0)</f>
        <v>0</v>
      </c>
    </row>
    <row r="44" customFormat="false" ht="15" hidden="false" customHeight="false" outlineLevel="0" collapsed="false">
      <c r="A44" s="0" t="n">
        <v>1</v>
      </c>
      <c r="B44" s="0" t="n">
        <v>-0.025</v>
      </c>
      <c r="C44" s="0" t="n">
        <f aca="false">B44</f>
        <v>-0.025</v>
      </c>
      <c r="D44" s="57" t="n">
        <f aca="false">07_最適化!$B$7</f>
        <v>0.75</v>
      </c>
      <c r="E44" s="57" t="n">
        <f aca="false">07_最適化!$B$8</f>
        <v>0.625</v>
      </c>
      <c r="F44" s="55" t="n">
        <f aca="false">1</f>
        <v>1</v>
      </c>
      <c r="G44" s="55" t="n">
        <f aca="false">C44</f>
        <v>-0.025</v>
      </c>
      <c r="H44" s="57" t="n">
        <f aca="false">D44</f>
        <v>0.75</v>
      </c>
      <c r="I44" s="57" t="n">
        <f aca="false">E44</f>
        <v>0.625</v>
      </c>
      <c r="J44" s="55" t="n">
        <f aca="false">C44*D44</f>
        <v>-0.01875</v>
      </c>
      <c r="K44" s="55" t="n">
        <f aca="false">C44*E44</f>
        <v>-0.015625</v>
      </c>
      <c r="L44" s="55" t="n">
        <f aca="false">D44*E44</f>
        <v>0.46875</v>
      </c>
      <c r="M44" s="55" t="n">
        <f aca="false">C44*C44</f>
        <v>0.000625</v>
      </c>
      <c r="N44" s="55" t="n">
        <f aca="false">D44*D44</f>
        <v>0.5625</v>
      </c>
      <c r="O44" s="55" t="n">
        <f aca="false">E44*E44</f>
        <v>0.390625</v>
      </c>
      <c r="P44" s="55" t="n">
        <f aca="false">SUMPRODUCT(F44:O44,_XtX!$B$71:$K$71)</f>
        <v>49.3189602272728</v>
      </c>
      <c r="Q44" s="55" t="n">
        <f aca="false">SUMPRODUCT(MMULT(F44:O44,_XtX!$B$58:$K$67),F44:O44)</f>
        <v>0.264848131214489</v>
      </c>
      <c r="R44" s="55" t="n">
        <f aca="false">P44-04_回帰ANOVA!$K$19*04_回帰ANOVA!$K$14*SQRT(1+Q44)</f>
        <v>48.2733114648774</v>
      </c>
      <c r="S44" s="55" t="n">
        <f aca="false">P44+04_回帰ANOVA!$K$19*04_回帰ANOVA!$K$14*SQRT(1+Q44)</f>
        <v>50.3646089896681</v>
      </c>
      <c r="T44" s="54" t="b">
        <f aca="false">AND(C44&gt;=01_因子設定!$L$5-0.000000001,C44&lt;=01_因子設定!$M$5+0.000000001,D44&gt;=01_因子設定!$L$6-0.000000001,D44&lt;=01_因子設定!$M$6+0.000000001,E44&gt;=01_因子設定!$L$7-0.000000001,E44&lt;=01_因子設定!$M$7+0.000000001,IF(01_因子設定!$B$20="Box-Behnken",C44^2+D44^2+E44^2&lt;=2+0.000000001,TRUE()))</f>
        <v>1</v>
      </c>
      <c r="U44" s="55" t="n">
        <f aca="false">IF(T44,IF(01_因子設定!$B$13="最大化",R44-01_因子設定!$B$14,IF(01_因子設定!$B$13="最小化",01_因子設定!$B$15-S44,MIN(R44-01_因子設定!$B$14,01_因子設定!$B$15-S44))),-1E+030)</f>
        <v>-0.22668853512257</v>
      </c>
      <c r="V44" s="55" t="n">
        <f aca="false">IF(U44&gt;=0,1,0)</f>
        <v>0</v>
      </c>
    </row>
    <row r="45" customFormat="false" ht="15" hidden="false" customHeight="false" outlineLevel="0" collapsed="false">
      <c r="A45" s="0" t="n">
        <v>1</v>
      </c>
      <c r="B45" s="0" t="n">
        <v>0</v>
      </c>
      <c r="C45" s="0" t="n">
        <f aca="false">B45</f>
        <v>0</v>
      </c>
      <c r="D45" s="57" t="n">
        <f aca="false">07_最適化!$B$7</f>
        <v>0.75</v>
      </c>
      <c r="E45" s="57" t="n">
        <f aca="false">07_最適化!$B$8</f>
        <v>0.625</v>
      </c>
      <c r="F45" s="55" t="n">
        <f aca="false">1</f>
        <v>1</v>
      </c>
      <c r="G45" s="55" t="n">
        <f aca="false">C45</f>
        <v>0</v>
      </c>
      <c r="H45" s="57" t="n">
        <f aca="false">D45</f>
        <v>0.75</v>
      </c>
      <c r="I45" s="57" t="n">
        <f aca="false">E45</f>
        <v>0.625</v>
      </c>
      <c r="J45" s="55" t="n">
        <f aca="false">C45*D45</f>
        <v>0</v>
      </c>
      <c r="K45" s="55" t="n">
        <f aca="false">C45*E45</f>
        <v>0</v>
      </c>
      <c r="L45" s="55" t="n">
        <f aca="false">D45*E45</f>
        <v>0.46875</v>
      </c>
      <c r="M45" s="55" t="n">
        <f aca="false">C45*C45</f>
        <v>0</v>
      </c>
      <c r="N45" s="55" t="n">
        <f aca="false">D45*D45</f>
        <v>0.5625</v>
      </c>
      <c r="O45" s="55" t="n">
        <f aca="false">E45*E45</f>
        <v>0.390625</v>
      </c>
      <c r="P45" s="55" t="n">
        <f aca="false">SUMPRODUCT(F45:O45,_XtX!$B$71:$K$71)</f>
        <v>49.4066335227273</v>
      </c>
      <c r="Q45" s="55" t="n">
        <f aca="false">SUMPRODUCT(MMULT(F45:O45,_XtX!$B$58:$K$67),F45:O45)</f>
        <v>0.264930308948864</v>
      </c>
      <c r="R45" s="55" t="n">
        <f aca="false">P45-04_回帰ANOVA!$K$19*04_回帰ANOVA!$K$14*SQRT(1+Q45)</f>
        <v>48.3609507927558</v>
      </c>
      <c r="S45" s="55" t="n">
        <f aca="false">P45+04_回帰ANOVA!$K$19*04_回帰ANOVA!$K$14*SQRT(1+Q45)</f>
        <v>50.4523162526988</v>
      </c>
      <c r="T45" s="54" t="b">
        <f aca="false">AND(C45&gt;=01_因子設定!$L$5-0.000000001,C45&lt;=01_因子設定!$M$5+0.000000001,D45&gt;=01_因子設定!$L$6-0.000000001,D45&lt;=01_因子設定!$M$6+0.000000001,E45&gt;=01_因子設定!$L$7-0.000000001,E45&lt;=01_因子設定!$M$7+0.000000001,IF(01_因子設定!$B$20="Box-Behnken",C45^2+D45^2+E45^2&lt;=2+0.000000001,TRUE()))</f>
        <v>1</v>
      </c>
      <c r="U45" s="55" t="n">
        <f aca="false">IF(T45,IF(01_因子設定!$B$13="最大化",R45-01_因子設定!$B$14,IF(01_因子設定!$B$13="最小化",01_因子設定!$B$15-S45,MIN(R45-01_因子設定!$B$14,01_因子設定!$B$15-S45))),-1E+030)</f>
        <v>-0.139049207244234</v>
      </c>
      <c r="V45" s="55" t="n">
        <f aca="false">IF(U45&gt;=0,1,0)</f>
        <v>0</v>
      </c>
    </row>
    <row r="46" customFormat="false" ht="15" hidden="false" customHeight="false" outlineLevel="0" collapsed="false">
      <c r="A46" s="0" t="n">
        <v>1</v>
      </c>
      <c r="B46" s="0" t="n">
        <v>0.025</v>
      </c>
      <c r="C46" s="0" t="n">
        <f aca="false">B46</f>
        <v>0.025</v>
      </c>
      <c r="D46" s="57" t="n">
        <f aca="false">07_最適化!$B$7</f>
        <v>0.75</v>
      </c>
      <c r="E46" s="57" t="n">
        <f aca="false">07_最適化!$B$8</f>
        <v>0.625</v>
      </c>
      <c r="F46" s="55" t="n">
        <f aca="false">1</f>
        <v>1</v>
      </c>
      <c r="G46" s="55" t="n">
        <f aca="false">C46</f>
        <v>0.025</v>
      </c>
      <c r="H46" s="57" t="n">
        <f aca="false">D46</f>
        <v>0.75</v>
      </c>
      <c r="I46" s="57" t="n">
        <f aca="false">E46</f>
        <v>0.625</v>
      </c>
      <c r="J46" s="55" t="n">
        <f aca="false">C46*D46</f>
        <v>0.01875</v>
      </c>
      <c r="K46" s="55" t="n">
        <f aca="false">C46*E46</f>
        <v>0.015625</v>
      </c>
      <c r="L46" s="55" t="n">
        <f aca="false">D46*E46</f>
        <v>0.46875</v>
      </c>
      <c r="M46" s="55" t="n">
        <f aca="false">C46*C46</f>
        <v>0.000625</v>
      </c>
      <c r="N46" s="55" t="n">
        <f aca="false">D46*D46</f>
        <v>0.5625</v>
      </c>
      <c r="O46" s="55" t="n">
        <f aca="false">E46*E46</f>
        <v>0.390625</v>
      </c>
      <c r="P46" s="55" t="n">
        <f aca="false">SUMPRODUCT(F46:O46,_XtX!$B$71:$K$71)</f>
        <v>49.4912102272727</v>
      </c>
      <c r="Q46" s="55" t="n">
        <f aca="false">SUMPRODUCT(MMULT(F46:O46,_XtX!$B$58:$K$67),F46:O46)</f>
        <v>0.264848131214489</v>
      </c>
      <c r="R46" s="55" t="n">
        <f aca="false">P46-04_回帰ANOVA!$K$19*04_回帰ANOVA!$K$14*SQRT(1+Q46)</f>
        <v>48.4455614648774</v>
      </c>
      <c r="S46" s="55" t="n">
        <f aca="false">P46+04_回帰ANOVA!$K$19*04_回帰ANOVA!$K$14*SQRT(1+Q46)</f>
        <v>50.5368589896681</v>
      </c>
      <c r="T46" s="54" t="b">
        <f aca="false">AND(C46&gt;=01_因子設定!$L$5-0.000000001,C46&lt;=01_因子設定!$M$5+0.000000001,D46&gt;=01_因子設定!$L$6-0.000000001,D46&lt;=01_因子設定!$M$6+0.000000001,E46&gt;=01_因子設定!$L$7-0.000000001,E46&lt;=01_因子設定!$M$7+0.000000001,IF(01_因子設定!$B$20="Box-Behnken",C46^2+D46^2+E46^2&lt;=2+0.000000001,TRUE()))</f>
        <v>1</v>
      </c>
      <c r="U46" s="55" t="n">
        <f aca="false">IF(T46,IF(01_因子設定!$B$13="最大化",R46-01_因子設定!$B$14,IF(01_因子設定!$B$13="最小化",01_因子設定!$B$15-S46,MIN(R46-01_因子設定!$B$14,01_因子設定!$B$15-S46))),-1E+030)</f>
        <v>-0.0544385351225714</v>
      </c>
      <c r="V46" s="55" t="n">
        <f aca="false">IF(U46&gt;=0,1,0)</f>
        <v>0</v>
      </c>
    </row>
    <row r="47" customFormat="false" ht="15" hidden="false" customHeight="false" outlineLevel="0" collapsed="false">
      <c r="A47" s="0" t="n">
        <v>1</v>
      </c>
      <c r="B47" s="0" t="n">
        <v>0.05</v>
      </c>
      <c r="C47" s="0" t="n">
        <f aca="false">B47</f>
        <v>0.05</v>
      </c>
      <c r="D47" s="57" t="n">
        <f aca="false">07_最適化!$B$7</f>
        <v>0.75</v>
      </c>
      <c r="E47" s="57" t="n">
        <f aca="false">07_最適化!$B$8</f>
        <v>0.625</v>
      </c>
      <c r="F47" s="55" t="n">
        <f aca="false">1</f>
        <v>1</v>
      </c>
      <c r="G47" s="55" t="n">
        <f aca="false">C47</f>
        <v>0.05</v>
      </c>
      <c r="H47" s="57" t="n">
        <f aca="false">D47</f>
        <v>0.75</v>
      </c>
      <c r="I47" s="57" t="n">
        <f aca="false">E47</f>
        <v>0.625</v>
      </c>
      <c r="J47" s="55" t="n">
        <f aca="false">C47*D47</f>
        <v>0.0375</v>
      </c>
      <c r="K47" s="55" t="n">
        <f aca="false">C47*E47</f>
        <v>0.03125</v>
      </c>
      <c r="L47" s="55" t="n">
        <f aca="false">D47*E47</f>
        <v>0.46875</v>
      </c>
      <c r="M47" s="55" t="n">
        <f aca="false">C47*C47</f>
        <v>0.0025</v>
      </c>
      <c r="N47" s="55" t="n">
        <f aca="false">D47*D47</f>
        <v>0.5625</v>
      </c>
      <c r="O47" s="55" t="n">
        <f aca="false">E47*E47</f>
        <v>0.390625</v>
      </c>
      <c r="P47" s="55" t="n">
        <f aca="false">SUMPRODUCT(F47:O47,_XtX!$B$71:$K$71)</f>
        <v>49.5726903409091</v>
      </c>
      <c r="Q47" s="55" t="n">
        <f aca="false">SUMPRODUCT(MMULT(F47:O47,_XtX!$B$58:$K$67),F47:O47)</f>
        <v>0.264603302556818</v>
      </c>
      <c r="R47" s="55" t="n">
        <f aca="false">P47-04_回帰ANOVA!$K$19*04_回帰ANOVA!$K$14*SQRT(1+Q47)</f>
        <v>48.5271427832221</v>
      </c>
      <c r="S47" s="55" t="n">
        <f aca="false">P47+04_回帰ANOVA!$K$19*04_回帰ANOVA!$K$14*SQRT(1+Q47)</f>
        <v>50.6182378985961</v>
      </c>
      <c r="T47" s="54" t="b">
        <f aca="false">AND(C47&gt;=01_因子設定!$L$5-0.000000001,C47&lt;=01_因子設定!$M$5+0.000000001,D47&gt;=01_因子設定!$L$6-0.000000001,D47&lt;=01_因子設定!$M$6+0.000000001,E47&gt;=01_因子設定!$L$7-0.000000001,E47&lt;=01_因子設定!$M$7+0.000000001,IF(01_因子設定!$B$20="Box-Behnken",C47^2+D47^2+E47^2&lt;=2+0.000000001,TRUE()))</f>
        <v>1</v>
      </c>
      <c r="U47" s="55" t="n">
        <f aca="false">IF(T47,IF(01_因子設定!$B$13="最大化",R47-01_因子設定!$B$14,IF(01_因子設定!$B$13="最小化",01_因子設定!$B$15-S47,MIN(R47-01_因子設定!$B$14,01_因子設定!$B$15-S47))),-1E+030)</f>
        <v>0.0271427832221249</v>
      </c>
      <c r="V47" s="55" t="n">
        <f aca="false">IF(U47&gt;=0,1,0)</f>
        <v>1</v>
      </c>
    </row>
    <row r="48" customFormat="false" ht="15" hidden="false" customHeight="false" outlineLevel="0" collapsed="false">
      <c r="A48" s="0" t="n">
        <v>1</v>
      </c>
      <c r="B48" s="0" t="n">
        <v>0.075</v>
      </c>
      <c r="C48" s="0" t="n">
        <f aca="false">B48</f>
        <v>0.075</v>
      </c>
      <c r="D48" s="57" t="n">
        <f aca="false">07_最適化!$B$7</f>
        <v>0.75</v>
      </c>
      <c r="E48" s="57" t="n">
        <f aca="false">07_最適化!$B$8</f>
        <v>0.625</v>
      </c>
      <c r="F48" s="55" t="n">
        <f aca="false">1</f>
        <v>1</v>
      </c>
      <c r="G48" s="55" t="n">
        <f aca="false">C48</f>
        <v>0.075</v>
      </c>
      <c r="H48" s="57" t="n">
        <f aca="false">D48</f>
        <v>0.75</v>
      </c>
      <c r="I48" s="57" t="n">
        <f aca="false">E48</f>
        <v>0.625</v>
      </c>
      <c r="J48" s="55" t="n">
        <f aca="false">C48*D48</f>
        <v>0.05625</v>
      </c>
      <c r="K48" s="55" t="n">
        <f aca="false">C48*E48</f>
        <v>0.046875</v>
      </c>
      <c r="L48" s="55" t="n">
        <f aca="false">D48*E48</f>
        <v>0.46875</v>
      </c>
      <c r="M48" s="55" t="n">
        <f aca="false">C48*C48</f>
        <v>0.005625</v>
      </c>
      <c r="N48" s="55" t="n">
        <f aca="false">D48*D48</f>
        <v>0.5625</v>
      </c>
      <c r="O48" s="55" t="n">
        <f aca="false">E48*E48</f>
        <v>0.390625</v>
      </c>
      <c r="P48" s="55" t="n">
        <f aca="false">SUMPRODUCT(F48:O48,_XtX!$B$71:$K$71)</f>
        <v>49.6510738636364</v>
      </c>
      <c r="Q48" s="55" t="n">
        <f aca="false">SUMPRODUCT(MMULT(F48:O48,_XtX!$B$58:$K$67),F48:O48)</f>
        <v>0.264200936612216</v>
      </c>
      <c r="R48" s="55" t="n">
        <f aca="false">P48-04_回帰ANOVA!$K$19*04_回帰ANOVA!$K$14*SQRT(1+Q48)</f>
        <v>48.6056926530555</v>
      </c>
      <c r="S48" s="55" t="n">
        <f aca="false">P48+04_回帰ANOVA!$K$19*04_回帰ANOVA!$K$14*SQRT(1+Q48)</f>
        <v>50.6964550742173</v>
      </c>
      <c r="T48" s="54" t="b">
        <f aca="false">AND(C48&gt;=01_因子設定!$L$5-0.000000001,C48&lt;=01_因子設定!$M$5+0.000000001,D48&gt;=01_因子設定!$L$6-0.000000001,D48&lt;=01_因子設定!$M$6+0.000000001,E48&gt;=01_因子設定!$L$7-0.000000001,E48&lt;=01_因子設定!$M$7+0.000000001,IF(01_因子設定!$B$20="Box-Behnken",C48^2+D48^2+E48^2&lt;=2+0.000000001,TRUE()))</f>
        <v>1</v>
      </c>
      <c r="U48" s="55" t="n">
        <f aca="false">IF(T48,IF(01_因子設定!$B$13="最大化",R48-01_因子設定!$B$14,IF(01_因子設定!$B$13="最小化",01_因子設定!$B$15-S48,MIN(R48-01_因子設定!$B$14,01_因子設定!$B$15-S48))),-1E+030)</f>
        <v>0.105692653055513</v>
      </c>
      <c r="V48" s="55" t="n">
        <f aca="false">IF(U48&gt;=0,1,0)</f>
        <v>1</v>
      </c>
    </row>
    <row r="49" customFormat="false" ht="15" hidden="false" customHeight="false" outlineLevel="0" collapsed="false">
      <c r="A49" s="0" t="n">
        <v>1</v>
      </c>
      <c r="B49" s="0" t="n">
        <v>0.1</v>
      </c>
      <c r="C49" s="0" t="n">
        <f aca="false">B49</f>
        <v>0.1</v>
      </c>
      <c r="D49" s="57" t="n">
        <f aca="false">07_最適化!$B$7</f>
        <v>0.75</v>
      </c>
      <c r="E49" s="57" t="n">
        <f aca="false">07_最適化!$B$8</f>
        <v>0.625</v>
      </c>
      <c r="F49" s="55" t="n">
        <f aca="false">1</f>
        <v>1</v>
      </c>
      <c r="G49" s="55" t="n">
        <f aca="false">C49</f>
        <v>0.1</v>
      </c>
      <c r="H49" s="57" t="n">
        <f aca="false">D49</f>
        <v>0.75</v>
      </c>
      <c r="I49" s="57" t="n">
        <f aca="false">E49</f>
        <v>0.625</v>
      </c>
      <c r="J49" s="55" t="n">
        <f aca="false">C49*D49</f>
        <v>0.075</v>
      </c>
      <c r="K49" s="55" t="n">
        <f aca="false">C49*E49</f>
        <v>0.0625</v>
      </c>
      <c r="L49" s="55" t="n">
        <f aca="false">D49*E49</f>
        <v>0.46875</v>
      </c>
      <c r="M49" s="55" t="n">
        <f aca="false">C49*C49</f>
        <v>0.01</v>
      </c>
      <c r="N49" s="55" t="n">
        <f aca="false">D49*D49</f>
        <v>0.5625</v>
      </c>
      <c r="O49" s="55" t="n">
        <f aca="false">E49*E49</f>
        <v>0.390625</v>
      </c>
      <c r="P49" s="55" t="n">
        <f aca="false">SUMPRODUCT(F49:O49,_XtX!$B$71:$K$71)</f>
        <v>49.7263607954546</v>
      </c>
      <c r="Q49" s="55" t="n">
        <f aca="false">SUMPRODUCT(MMULT(F49:O49,_XtX!$B$58:$K$67),F49:O49)</f>
        <v>0.263649556107955</v>
      </c>
      <c r="R49" s="55" t="n">
        <f aca="false">P49-04_回帰ANOVA!$K$19*04_回帰ANOVA!$K$14*SQRT(1+Q49)</f>
        <v>48.6812075809404</v>
      </c>
      <c r="S49" s="55" t="n">
        <f aca="false">P49+04_回帰ANOVA!$K$19*04_回帰ANOVA!$K$14*SQRT(1+Q49)</f>
        <v>50.7715140099687</v>
      </c>
      <c r="T49" s="54" t="b">
        <f aca="false">AND(C49&gt;=01_因子設定!$L$5-0.000000001,C49&lt;=01_因子設定!$M$5+0.000000001,D49&gt;=01_因子設定!$L$6-0.000000001,D49&lt;=01_因子設定!$M$6+0.000000001,E49&gt;=01_因子設定!$L$7-0.000000001,E49&lt;=01_因子設定!$M$7+0.000000001,IF(01_因子設定!$B$20="Box-Behnken",C49^2+D49^2+E49^2&lt;=2+0.000000001,TRUE()))</f>
        <v>1</v>
      </c>
      <c r="U49" s="55" t="n">
        <f aca="false">IF(T49,IF(01_因子設定!$B$13="最大化",R49-01_因子設定!$B$14,IF(01_因子設定!$B$13="最小化",01_因子設定!$B$15-S49,MIN(R49-01_因子設定!$B$14,01_因子設定!$B$15-S49))),-1E+030)</f>
        <v>0.181207580940416</v>
      </c>
      <c r="V49" s="55" t="n">
        <f aca="false">IF(U49&gt;=0,1,0)</f>
        <v>1</v>
      </c>
    </row>
    <row r="50" customFormat="false" ht="15" hidden="false" customHeight="false" outlineLevel="0" collapsed="false">
      <c r="A50" s="0" t="n">
        <v>1</v>
      </c>
      <c r="B50" s="0" t="n">
        <v>0.125</v>
      </c>
      <c r="C50" s="0" t="n">
        <f aca="false">B50</f>
        <v>0.125</v>
      </c>
      <c r="D50" s="57" t="n">
        <f aca="false">07_最適化!$B$7</f>
        <v>0.75</v>
      </c>
      <c r="E50" s="57" t="n">
        <f aca="false">07_最適化!$B$8</f>
        <v>0.625</v>
      </c>
      <c r="F50" s="55" t="n">
        <f aca="false">1</f>
        <v>1</v>
      </c>
      <c r="G50" s="55" t="n">
        <f aca="false">C50</f>
        <v>0.125</v>
      </c>
      <c r="H50" s="57" t="n">
        <f aca="false">D50</f>
        <v>0.75</v>
      </c>
      <c r="I50" s="57" t="n">
        <f aca="false">E50</f>
        <v>0.625</v>
      </c>
      <c r="J50" s="55" t="n">
        <f aca="false">C50*D50</f>
        <v>0.09375</v>
      </c>
      <c r="K50" s="55" t="n">
        <f aca="false">C50*E50</f>
        <v>0.078125</v>
      </c>
      <c r="L50" s="55" t="n">
        <f aca="false">D50*E50</f>
        <v>0.46875</v>
      </c>
      <c r="M50" s="55" t="n">
        <f aca="false">C50*C50</f>
        <v>0.015625</v>
      </c>
      <c r="N50" s="55" t="n">
        <f aca="false">D50*D50</f>
        <v>0.5625</v>
      </c>
      <c r="O50" s="55" t="n">
        <f aca="false">E50*E50</f>
        <v>0.390625</v>
      </c>
      <c r="P50" s="55" t="n">
        <f aca="false">SUMPRODUCT(F50:O50,_XtX!$B$71:$K$71)</f>
        <v>49.7985511363637</v>
      </c>
      <c r="Q50" s="55" t="n">
        <f aca="false">SUMPRODUCT(MMULT(F50:O50,_XtX!$B$58:$K$67),F50:O50)</f>
        <v>0.262961092862216</v>
      </c>
      <c r="R50" s="55" t="n">
        <f aca="false">P50-04_回帰ANOVA!$K$19*04_回帰ANOVA!$K$14*SQRT(1+Q50)</f>
        <v>48.7536826715272</v>
      </c>
      <c r="S50" s="55" t="n">
        <f aca="false">P50+04_回帰ANOVA!$K$19*04_回帰ANOVA!$K$14*SQRT(1+Q50)</f>
        <v>50.8434196012001</v>
      </c>
      <c r="T50" s="54" t="b">
        <f aca="false">AND(C50&gt;=01_因子設定!$L$5-0.000000001,C50&lt;=01_因子設定!$M$5+0.000000001,D50&gt;=01_因子設定!$L$6-0.000000001,D50&lt;=01_因子設定!$M$6+0.000000001,E50&gt;=01_因子設定!$L$7-0.000000001,E50&lt;=01_因子設定!$M$7+0.000000001,IF(01_因子設定!$B$20="Box-Behnken",C50^2+D50^2+E50^2&lt;=2+0.000000001,TRUE()))</f>
        <v>1</v>
      </c>
      <c r="U50" s="55" t="n">
        <f aca="false">IF(T50,IF(01_因子設定!$B$13="最大化",R50-01_因子設定!$B$14,IF(01_因子設定!$B$13="最小化",01_因子設定!$B$15-S50,MIN(R50-01_因子設定!$B$14,01_因子設定!$B$15-S50))),-1E+030)</f>
        <v>0.253682671527173</v>
      </c>
      <c r="V50" s="55" t="n">
        <f aca="false">IF(U50&gt;=0,1,0)</f>
        <v>1</v>
      </c>
    </row>
    <row r="51" customFormat="false" ht="15" hidden="false" customHeight="false" outlineLevel="0" collapsed="false">
      <c r="A51" s="0" t="n">
        <v>1</v>
      </c>
      <c r="B51" s="0" t="n">
        <v>0.15</v>
      </c>
      <c r="C51" s="0" t="n">
        <f aca="false">B51</f>
        <v>0.15</v>
      </c>
      <c r="D51" s="57" t="n">
        <f aca="false">07_最適化!$B$7</f>
        <v>0.75</v>
      </c>
      <c r="E51" s="57" t="n">
        <f aca="false">07_最適化!$B$8</f>
        <v>0.625</v>
      </c>
      <c r="F51" s="55" t="n">
        <f aca="false">1</f>
        <v>1</v>
      </c>
      <c r="G51" s="55" t="n">
        <f aca="false">C51</f>
        <v>0.15</v>
      </c>
      <c r="H51" s="57" t="n">
        <f aca="false">D51</f>
        <v>0.75</v>
      </c>
      <c r="I51" s="57" t="n">
        <f aca="false">E51</f>
        <v>0.625</v>
      </c>
      <c r="J51" s="55" t="n">
        <f aca="false">C51*D51</f>
        <v>0.1125</v>
      </c>
      <c r="K51" s="55" t="n">
        <f aca="false">C51*E51</f>
        <v>0.09375</v>
      </c>
      <c r="L51" s="55" t="n">
        <f aca="false">D51*E51</f>
        <v>0.46875</v>
      </c>
      <c r="M51" s="55" t="n">
        <f aca="false">C51*C51</f>
        <v>0.0225</v>
      </c>
      <c r="N51" s="55" t="n">
        <f aca="false">D51*D51</f>
        <v>0.5625</v>
      </c>
      <c r="O51" s="55" t="n">
        <f aca="false">E51*E51</f>
        <v>0.390625</v>
      </c>
      <c r="P51" s="55" t="n">
        <f aca="false">SUMPRODUCT(F51:O51,_XtX!$B$71:$K$71)</f>
        <v>49.8676448863637</v>
      </c>
      <c r="Q51" s="55" t="n">
        <f aca="false">SUMPRODUCT(MMULT(F51:O51,_XtX!$B$58:$K$67),F51:O51)</f>
        <v>0.262150887784091</v>
      </c>
      <c r="R51" s="55" t="n">
        <f aca="false">P51-04_回帰ANOVA!$K$19*04_回帰ANOVA!$K$14*SQRT(1+Q51)</f>
        <v>48.8231116232819</v>
      </c>
      <c r="S51" s="55" t="n">
        <f aca="false">P51+04_回帰ANOVA!$K$19*04_回帰ANOVA!$K$14*SQRT(1+Q51)</f>
        <v>50.9121781494454</v>
      </c>
      <c r="T51" s="54" t="b">
        <f aca="false">AND(C51&gt;=01_因子設定!$L$5-0.000000001,C51&lt;=01_因子設定!$M$5+0.000000001,D51&gt;=01_因子設定!$L$6-0.000000001,D51&lt;=01_因子設定!$M$6+0.000000001,E51&gt;=01_因子設定!$L$7-0.000000001,E51&lt;=01_因子設定!$M$7+0.000000001,IF(01_因子設定!$B$20="Box-Behnken",C51^2+D51^2+E51^2&lt;=2+0.000000001,TRUE()))</f>
        <v>1</v>
      </c>
      <c r="U51" s="55" t="n">
        <f aca="false">IF(T51,IF(01_因子設定!$B$13="最大化",R51-01_因子設定!$B$14,IF(01_因子設定!$B$13="最小化",01_因子設定!$B$15-S51,MIN(R51-01_因子設定!$B$14,01_因子設定!$B$15-S51))),-1E+030)</f>
        <v>0.323111623281932</v>
      </c>
      <c r="V51" s="55" t="n">
        <f aca="false">IF(U51&gt;=0,1,0)</f>
        <v>1</v>
      </c>
    </row>
    <row r="52" customFormat="false" ht="15" hidden="false" customHeight="false" outlineLevel="0" collapsed="false">
      <c r="A52" s="0" t="n">
        <v>1</v>
      </c>
      <c r="B52" s="0" t="n">
        <v>0.175</v>
      </c>
      <c r="C52" s="0" t="n">
        <f aca="false">B52</f>
        <v>0.175</v>
      </c>
      <c r="D52" s="57" t="n">
        <f aca="false">07_最適化!$B$7</f>
        <v>0.75</v>
      </c>
      <c r="E52" s="57" t="n">
        <f aca="false">07_最適化!$B$8</f>
        <v>0.625</v>
      </c>
      <c r="F52" s="55" t="n">
        <f aca="false">1</f>
        <v>1</v>
      </c>
      <c r="G52" s="55" t="n">
        <f aca="false">C52</f>
        <v>0.175</v>
      </c>
      <c r="H52" s="57" t="n">
        <f aca="false">D52</f>
        <v>0.75</v>
      </c>
      <c r="I52" s="57" t="n">
        <f aca="false">E52</f>
        <v>0.625</v>
      </c>
      <c r="J52" s="55" t="n">
        <f aca="false">C52*D52</f>
        <v>0.13125</v>
      </c>
      <c r="K52" s="55" t="n">
        <f aca="false">C52*E52</f>
        <v>0.109375</v>
      </c>
      <c r="L52" s="55" t="n">
        <f aca="false">D52*E52</f>
        <v>0.46875</v>
      </c>
      <c r="M52" s="55" t="n">
        <f aca="false">C52*C52</f>
        <v>0.030625</v>
      </c>
      <c r="N52" s="55" t="n">
        <f aca="false">D52*D52</f>
        <v>0.5625</v>
      </c>
      <c r="O52" s="55" t="n">
        <f aca="false">E52*E52</f>
        <v>0.390625</v>
      </c>
      <c r="P52" s="55" t="n">
        <f aca="false">SUMPRODUCT(F52:O52,_XtX!$B$71:$K$71)</f>
        <v>49.9336420454546</v>
      </c>
      <c r="Q52" s="55" t="n">
        <f aca="false">SUMPRODUCT(MMULT(F52:O52,_XtX!$B$58:$K$67),F52:O52)</f>
        <v>0.26123769087358</v>
      </c>
      <c r="R52" s="55" t="n">
        <f aca="false">P52-04_回帰ANOVA!$K$19*04_回帰ANOVA!$K$14*SQRT(1+Q52)</f>
        <v>48.8894867233768</v>
      </c>
      <c r="S52" s="55" t="n">
        <f aca="false">P52+04_回帰ANOVA!$K$19*04_回帰ANOVA!$K$14*SQRT(1+Q52)</f>
        <v>50.9777973675324</v>
      </c>
      <c r="T52" s="54" t="b">
        <f aca="false">AND(C52&gt;=01_因子設定!$L$5-0.000000001,C52&lt;=01_因子設定!$M$5+0.000000001,D52&gt;=01_因子設定!$L$6-0.000000001,D52&lt;=01_因子設定!$M$6+0.000000001,E52&gt;=01_因子設定!$L$7-0.000000001,E52&lt;=01_因子設定!$M$7+0.000000001,IF(01_因子設定!$B$20="Box-Behnken",C52^2+D52^2+E52^2&lt;=2+0.000000001,TRUE()))</f>
        <v>1</v>
      </c>
      <c r="U52" s="55" t="n">
        <f aca="false">IF(T52,IF(01_因子設定!$B$13="最大化",R52-01_因子設定!$B$14,IF(01_因子設定!$B$13="最小化",01_因子設定!$B$15-S52,MIN(R52-01_因子設定!$B$14,01_因子設定!$B$15-S52))),-1E+030)</f>
        <v>0.38948672337677</v>
      </c>
      <c r="V52" s="55" t="n">
        <f aca="false">IF(U52&gt;=0,1,0)</f>
        <v>1</v>
      </c>
    </row>
    <row r="53" customFormat="false" ht="15" hidden="false" customHeight="false" outlineLevel="0" collapsed="false">
      <c r="A53" s="0" t="n">
        <v>1</v>
      </c>
      <c r="B53" s="0" t="n">
        <v>0.2</v>
      </c>
      <c r="C53" s="0" t="n">
        <f aca="false">B53</f>
        <v>0.2</v>
      </c>
      <c r="D53" s="57" t="n">
        <f aca="false">07_最適化!$B$7</f>
        <v>0.75</v>
      </c>
      <c r="E53" s="57" t="n">
        <f aca="false">07_最適化!$B$8</f>
        <v>0.625</v>
      </c>
      <c r="F53" s="55" t="n">
        <f aca="false">1</f>
        <v>1</v>
      </c>
      <c r="G53" s="55" t="n">
        <f aca="false">C53</f>
        <v>0.2</v>
      </c>
      <c r="H53" s="57" t="n">
        <f aca="false">D53</f>
        <v>0.75</v>
      </c>
      <c r="I53" s="57" t="n">
        <f aca="false">E53</f>
        <v>0.625</v>
      </c>
      <c r="J53" s="55" t="n">
        <f aca="false">C53*D53</f>
        <v>0.15</v>
      </c>
      <c r="K53" s="55" t="n">
        <f aca="false">C53*E53</f>
        <v>0.125</v>
      </c>
      <c r="L53" s="55" t="n">
        <f aca="false">D53*E53</f>
        <v>0.46875</v>
      </c>
      <c r="M53" s="55" t="n">
        <f aca="false">C53*C53</f>
        <v>0.04</v>
      </c>
      <c r="N53" s="55" t="n">
        <f aca="false">D53*D53</f>
        <v>0.5625</v>
      </c>
      <c r="O53" s="55" t="n">
        <f aca="false">E53*E53</f>
        <v>0.390625</v>
      </c>
      <c r="P53" s="55" t="n">
        <f aca="false">SUMPRODUCT(F53:O53,_XtX!$B$71:$K$71)</f>
        <v>49.9965426136364</v>
      </c>
      <c r="Q53" s="55" t="n">
        <f aca="false">SUMPRODUCT(MMULT(F53:O53,_XtX!$B$58:$K$67),F53:O53)</f>
        <v>0.260243661221591</v>
      </c>
      <c r="R53" s="55" t="n">
        <f aca="false">P53-04_回帰ANOVA!$K$19*04_回帰ANOVA!$K$14*SQRT(1+Q53)</f>
        <v>48.9527988420324</v>
      </c>
      <c r="S53" s="55" t="n">
        <f aca="false">P53+04_回帰ANOVA!$K$19*04_回帰ANOVA!$K$14*SQRT(1+Q53)</f>
        <v>51.0402863852404</v>
      </c>
      <c r="T53" s="54" t="b">
        <f aca="false">AND(C53&gt;=01_因子設定!$L$5-0.000000001,C53&lt;=01_因子設定!$M$5+0.000000001,D53&gt;=01_因子設定!$L$6-0.000000001,D53&lt;=01_因子設定!$M$6+0.000000001,E53&gt;=01_因子設定!$L$7-0.000000001,E53&lt;=01_因子設定!$M$7+0.000000001,IF(01_因子設定!$B$20="Box-Behnken",C53^2+D53^2+E53^2&lt;=2+0.000000001,TRUE()))</f>
        <v>1</v>
      </c>
      <c r="U53" s="55" t="n">
        <f aca="false">IF(T53,IF(01_因子設定!$B$13="最大化",R53-01_因子設定!$B$14,IF(01_因子設定!$B$13="最小化",01_因子設定!$B$15-S53,MIN(R53-01_因子設定!$B$14,01_因子設定!$B$15-S53))),-1E+030)</f>
        <v>0.452798842032358</v>
      </c>
      <c r="V53" s="55" t="n">
        <f aca="false">IF(U53&gt;=0,1,0)</f>
        <v>1</v>
      </c>
    </row>
    <row r="54" customFormat="false" ht="15" hidden="false" customHeight="false" outlineLevel="0" collapsed="false">
      <c r="A54" s="0" t="n">
        <v>1</v>
      </c>
      <c r="B54" s="0" t="n">
        <v>0.225</v>
      </c>
      <c r="C54" s="0" t="n">
        <f aca="false">B54</f>
        <v>0.225</v>
      </c>
      <c r="D54" s="57" t="n">
        <f aca="false">07_最適化!$B$7</f>
        <v>0.75</v>
      </c>
      <c r="E54" s="57" t="n">
        <f aca="false">07_最適化!$B$8</f>
        <v>0.625</v>
      </c>
      <c r="F54" s="55" t="n">
        <f aca="false">1</f>
        <v>1</v>
      </c>
      <c r="G54" s="55" t="n">
        <f aca="false">C54</f>
        <v>0.225</v>
      </c>
      <c r="H54" s="57" t="n">
        <f aca="false">D54</f>
        <v>0.75</v>
      </c>
      <c r="I54" s="57" t="n">
        <f aca="false">E54</f>
        <v>0.625</v>
      </c>
      <c r="J54" s="55" t="n">
        <f aca="false">C54*D54</f>
        <v>0.16875</v>
      </c>
      <c r="K54" s="55" t="n">
        <f aca="false">C54*E54</f>
        <v>0.140625</v>
      </c>
      <c r="L54" s="55" t="n">
        <f aca="false">D54*E54</f>
        <v>0.46875</v>
      </c>
      <c r="M54" s="55" t="n">
        <f aca="false">C54*C54</f>
        <v>0.050625</v>
      </c>
      <c r="N54" s="55" t="n">
        <f aca="false">D54*D54</f>
        <v>0.5625</v>
      </c>
      <c r="O54" s="55" t="n">
        <f aca="false">E54*E54</f>
        <v>0.390625</v>
      </c>
      <c r="P54" s="55" t="n">
        <f aca="false">SUMPRODUCT(F54:O54,_XtX!$B$71:$K$71)</f>
        <v>50.0563465909091</v>
      </c>
      <c r="Q54" s="55" t="n">
        <f aca="false">SUMPRODUCT(MMULT(F54:O54,_XtX!$B$58:$K$67),F54:O54)</f>
        <v>0.259194367009943</v>
      </c>
      <c r="R54" s="55" t="n">
        <f aca="false">P54-04_回帰ANOVA!$K$19*04_回帰ANOVA!$K$14*SQRT(1+Q54)</f>
        <v>49.013037426673</v>
      </c>
      <c r="S54" s="55" t="n">
        <f aca="false">P54+04_回帰ANOVA!$K$19*04_回帰ANOVA!$K$14*SQRT(1+Q54)</f>
        <v>51.0996557551453</v>
      </c>
      <c r="T54" s="54" t="b">
        <f aca="false">AND(C54&gt;=01_因子設定!$L$5-0.000000001,C54&lt;=01_因子設定!$M$5+0.000000001,D54&gt;=01_因子設定!$L$6-0.000000001,D54&lt;=01_因子設定!$M$6+0.000000001,E54&gt;=01_因子設定!$L$7-0.000000001,E54&lt;=01_因子設定!$M$7+0.000000001,IF(01_因子設定!$B$20="Box-Behnken",C54^2+D54^2+E54^2&lt;=2+0.000000001,TRUE()))</f>
        <v>1</v>
      </c>
      <c r="U54" s="55" t="n">
        <f aca="false">IF(T54,IF(01_因子設定!$B$13="最大化",R54-01_因子設定!$B$14,IF(01_因子設定!$B$13="最小化",01_因子設定!$B$15-S54,MIN(R54-01_因子設定!$B$14,01_因子設定!$B$15-S54))),-1E+030)</f>
        <v>0.513037426672959</v>
      </c>
      <c r="V54" s="55" t="n">
        <f aca="false">IF(U54&gt;=0,1,0)</f>
        <v>1</v>
      </c>
    </row>
    <row r="55" customFormat="false" ht="15" hidden="false" customHeight="false" outlineLevel="0" collapsed="false">
      <c r="A55" s="0" t="n">
        <v>1</v>
      </c>
      <c r="B55" s="0" t="n">
        <v>0.25</v>
      </c>
      <c r="C55" s="0" t="n">
        <f aca="false">B55</f>
        <v>0.25</v>
      </c>
      <c r="D55" s="57" t="n">
        <f aca="false">07_最適化!$B$7</f>
        <v>0.75</v>
      </c>
      <c r="E55" s="57" t="n">
        <f aca="false">07_最適化!$B$8</f>
        <v>0.625</v>
      </c>
      <c r="F55" s="55" t="n">
        <f aca="false">1</f>
        <v>1</v>
      </c>
      <c r="G55" s="55" t="n">
        <f aca="false">C55</f>
        <v>0.25</v>
      </c>
      <c r="H55" s="57" t="n">
        <f aca="false">D55</f>
        <v>0.75</v>
      </c>
      <c r="I55" s="57" t="n">
        <f aca="false">E55</f>
        <v>0.625</v>
      </c>
      <c r="J55" s="55" t="n">
        <f aca="false">C55*D55</f>
        <v>0.1875</v>
      </c>
      <c r="K55" s="55" t="n">
        <f aca="false">C55*E55</f>
        <v>0.15625</v>
      </c>
      <c r="L55" s="55" t="n">
        <f aca="false">D55*E55</f>
        <v>0.46875</v>
      </c>
      <c r="M55" s="55" t="n">
        <f aca="false">C55*C55</f>
        <v>0.0625</v>
      </c>
      <c r="N55" s="55" t="n">
        <f aca="false">D55*D55</f>
        <v>0.5625</v>
      </c>
      <c r="O55" s="55" t="n">
        <f aca="false">E55*E55</f>
        <v>0.390625</v>
      </c>
      <c r="P55" s="55" t="n">
        <f aca="false">SUMPRODUCT(F55:O55,_XtX!$B$71:$K$71)</f>
        <v>50.1130539772727</v>
      </c>
      <c r="Q55" s="55" t="n">
        <f aca="false">SUMPRODUCT(MMULT(F55:O55,_XtX!$B$58:$K$67),F55:O55)</f>
        <v>0.258118785511364</v>
      </c>
      <c r="R55" s="55" t="n">
        <f aca="false">P55-04_回帰ANOVA!$K$19*04_回帰ANOVA!$K$14*SQRT(1+Q55)</f>
        <v>49.070190496324</v>
      </c>
      <c r="S55" s="55" t="n">
        <f aca="false">P55+04_回帰ANOVA!$K$19*04_回帰ANOVA!$K$14*SQRT(1+Q55)</f>
        <v>51.1559174582215</v>
      </c>
      <c r="T55" s="54" t="b">
        <f aca="false">AND(C55&gt;=01_因子設定!$L$5-0.000000001,C55&lt;=01_因子設定!$M$5+0.000000001,D55&gt;=01_因子設定!$L$6-0.000000001,D55&lt;=01_因子設定!$M$6+0.000000001,E55&gt;=01_因子設定!$L$7-0.000000001,E55&lt;=01_因子設定!$M$7+0.000000001,IF(01_因子設定!$B$20="Box-Behnken",C55^2+D55^2+E55^2&lt;=2+0.000000001,TRUE()))</f>
        <v>1</v>
      </c>
      <c r="U55" s="55" t="n">
        <f aca="false">IF(T55,IF(01_因子設定!$B$13="最大化",R55-01_因子設定!$B$14,IF(01_因子設定!$B$13="最小化",01_因子設定!$B$15-S55,MIN(R55-01_因子設定!$B$14,01_因子設定!$B$15-S55))),-1E+030)</f>
        <v>0.570190496323981</v>
      </c>
      <c r="V55" s="55" t="n">
        <f aca="false">IF(U55&gt;=0,1,0)</f>
        <v>1</v>
      </c>
    </row>
    <row r="56" customFormat="false" ht="15" hidden="false" customHeight="false" outlineLevel="0" collapsed="false">
      <c r="A56" s="0" t="n">
        <v>1</v>
      </c>
      <c r="B56" s="0" t="n">
        <v>0.275</v>
      </c>
      <c r="C56" s="0" t="n">
        <f aca="false">B56</f>
        <v>0.275</v>
      </c>
      <c r="D56" s="57" t="n">
        <f aca="false">07_最適化!$B$7</f>
        <v>0.75</v>
      </c>
      <c r="E56" s="57" t="n">
        <f aca="false">07_最適化!$B$8</f>
        <v>0.625</v>
      </c>
      <c r="F56" s="55" t="n">
        <f aca="false">1</f>
        <v>1</v>
      </c>
      <c r="G56" s="55" t="n">
        <f aca="false">C56</f>
        <v>0.275</v>
      </c>
      <c r="H56" s="57" t="n">
        <f aca="false">D56</f>
        <v>0.75</v>
      </c>
      <c r="I56" s="57" t="n">
        <f aca="false">E56</f>
        <v>0.625</v>
      </c>
      <c r="J56" s="55" t="n">
        <f aca="false">C56*D56</f>
        <v>0.20625</v>
      </c>
      <c r="K56" s="55" t="n">
        <f aca="false">C56*E56</f>
        <v>0.171875</v>
      </c>
      <c r="L56" s="55" t="n">
        <f aca="false">D56*E56</f>
        <v>0.46875</v>
      </c>
      <c r="M56" s="55" t="n">
        <f aca="false">C56*C56</f>
        <v>0.075625</v>
      </c>
      <c r="N56" s="55" t="n">
        <f aca="false">D56*D56</f>
        <v>0.5625</v>
      </c>
      <c r="O56" s="55" t="n">
        <f aca="false">E56*E56</f>
        <v>0.390625</v>
      </c>
      <c r="P56" s="55" t="n">
        <f aca="false">SUMPRODUCT(F56:O56,_XtX!$B$71:$K$71)</f>
        <v>50.1666647727273</v>
      </c>
      <c r="Q56" s="55" t="n">
        <f aca="false">SUMPRODUCT(MMULT(F56:O56,_XtX!$B$58:$K$67),F56:O56)</f>
        <v>0.257049303089489</v>
      </c>
      <c r="R56" s="55" t="n">
        <f aca="false">P56-04_回帰ANOVA!$K$19*04_回帰ANOVA!$K$14*SQRT(1+Q56)</f>
        <v>49.1242446367549</v>
      </c>
      <c r="S56" s="55" t="n">
        <f aca="false">P56+04_回帰ANOVA!$K$19*04_回帰ANOVA!$K$14*SQRT(1+Q56)</f>
        <v>51.2090849086997</v>
      </c>
      <c r="T56" s="54" t="b">
        <f aca="false">AND(C56&gt;=01_因子設定!$L$5-0.000000001,C56&lt;=01_因子設定!$M$5+0.000000001,D56&gt;=01_因子設定!$L$6-0.000000001,D56&lt;=01_因子設定!$M$6+0.000000001,E56&gt;=01_因子設定!$L$7-0.000000001,E56&lt;=01_因子設定!$M$7+0.000000001,IF(01_因子設定!$B$20="Box-Behnken",C56^2+D56^2+E56^2&lt;=2+0.000000001,TRUE()))</f>
        <v>1</v>
      </c>
      <c r="U56" s="55" t="n">
        <f aca="false">IF(T56,IF(01_因子設定!$B$13="最大化",R56-01_因子設定!$B$14,IF(01_因子設定!$B$13="最小化",01_因子設定!$B$15-S56,MIN(R56-01_因子設定!$B$14,01_因子設定!$B$15-S56))),-1E+030)</f>
        <v>0.624244636754924</v>
      </c>
      <c r="V56" s="55" t="n">
        <f aca="false">IF(U56&gt;=0,1,0)</f>
        <v>1</v>
      </c>
    </row>
    <row r="57" customFormat="false" ht="15" hidden="false" customHeight="false" outlineLevel="0" collapsed="false">
      <c r="A57" s="0" t="n">
        <v>1</v>
      </c>
      <c r="B57" s="0" t="n">
        <v>0.3</v>
      </c>
      <c r="C57" s="0" t="n">
        <f aca="false">B57</f>
        <v>0.3</v>
      </c>
      <c r="D57" s="57" t="n">
        <f aca="false">07_最適化!$B$7</f>
        <v>0.75</v>
      </c>
      <c r="E57" s="57" t="n">
        <f aca="false">07_最適化!$B$8</f>
        <v>0.625</v>
      </c>
      <c r="F57" s="55" t="n">
        <f aca="false">1</f>
        <v>1</v>
      </c>
      <c r="G57" s="55" t="n">
        <f aca="false">C57</f>
        <v>0.3</v>
      </c>
      <c r="H57" s="57" t="n">
        <f aca="false">D57</f>
        <v>0.75</v>
      </c>
      <c r="I57" s="57" t="n">
        <f aca="false">E57</f>
        <v>0.625</v>
      </c>
      <c r="J57" s="55" t="n">
        <f aca="false">C57*D57</f>
        <v>0.225</v>
      </c>
      <c r="K57" s="55" t="n">
        <f aca="false">C57*E57</f>
        <v>0.1875</v>
      </c>
      <c r="L57" s="55" t="n">
        <f aca="false">D57*E57</f>
        <v>0.46875</v>
      </c>
      <c r="M57" s="55" t="n">
        <f aca="false">C57*C57</f>
        <v>0.09</v>
      </c>
      <c r="N57" s="55" t="n">
        <f aca="false">D57*D57</f>
        <v>0.5625</v>
      </c>
      <c r="O57" s="55" t="n">
        <f aca="false">E57*E57</f>
        <v>0.390625</v>
      </c>
      <c r="P57" s="55" t="n">
        <f aca="false">SUMPRODUCT(F57:O57,_XtX!$B$71:$K$71)</f>
        <v>50.2171789772727</v>
      </c>
      <c r="Q57" s="55" t="n">
        <f aca="false">SUMPRODUCT(MMULT(F57:O57,_XtX!$B$58:$K$67),F57:O57)</f>
        <v>0.256021715198864</v>
      </c>
      <c r="R57" s="55" t="n">
        <f aca="false">P57-04_回帰ANOVA!$K$19*04_回帰ANOVA!$K$14*SQRT(1+Q57)</f>
        <v>49.175184996944</v>
      </c>
      <c r="S57" s="55" t="n">
        <f aca="false">P57+04_回帰ANOVA!$K$19*04_回帰ANOVA!$K$14*SQRT(1+Q57)</f>
        <v>51.2591729576015</v>
      </c>
      <c r="T57" s="54" t="b">
        <f aca="false">AND(C57&gt;=01_因子設定!$L$5-0.000000001,C57&lt;=01_因子設定!$M$5+0.000000001,D57&gt;=01_因子設定!$L$6-0.000000001,D57&lt;=01_因子設定!$M$6+0.000000001,E57&gt;=01_因子設定!$L$7-0.000000001,E57&lt;=01_因子設定!$M$7+0.000000001,IF(01_因子設定!$B$20="Box-Behnken",C57^2+D57^2+E57^2&lt;=2+0.000000001,TRUE()))</f>
        <v>1</v>
      </c>
      <c r="U57" s="55" t="n">
        <f aca="false">IF(T57,IF(01_因子設定!$B$13="最大化",R57-01_因子設定!$B$14,IF(01_因子設定!$B$13="最小化",01_因子設定!$B$15-S57,MIN(R57-01_因子設定!$B$14,01_因子設定!$B$15-S57))),-1E+030)</f>
        <v>0.67518499694399</v>
      </c>
      <c r="V57" s="55" t="n">
        <f aca="false">IF(U57&gt;=0,1,0)</f>
        <v>1</v>
      </c>
    </row>
    <row r="58" customFormat="false" ht="15" hidden="false" customHeight="false" outlineLevel="0" collapsed="false">
      <c r="A58" s="0" t="n">
        <v>1</v>
      </c>
      <c r="B58" s="0" t="n">
        <v>0.325</v>
      </c>
      <c r="C58" s="0" t="n">
        <f aca="false">B58</f>
        <v>0.325</v>
      </c>
      <c r="D58" s="57" t="n">
        <f aca="false">07_最適化!$B$7</f>
        <v>0.75</v>
      </c>
      <c r="E58" s="57" t="n">
        <f aca="false">07_最適化!$B$8</f>
        <v>0.625</v>
      </c>
      <c r="F58" s="55" t="n">
        <f aca="false">1</f>
        <v>1</v>
      </c>
      <c r="G58" s="55" t="n">
        <f aca="false">C58</f>
        <v>0.325</v>
      </c>
      <c r="H58" s="57" t="n">
        <f aca="false">D58</f>
        <v>0.75</v>
      </c>
      <c r="I58" s="57" t="n">
        <f aca="false">E58</f>
        <v>0.625</v>
      </c>
      <c r="J58" s="55" t="n">
        <f aca="false">C58*D58</f>
        <v>0.24375</v>
      </c>
      <c r="K58" s="55" t="n">
        <f aca="false">C58*E58</f>
        <v>0.203125</v>
      </c>
      <c r="L58" s="55" t="n">
        <f aca="false">D58*E58</f>
        <v>0.46875</v>
      </c>
      <c r="M58" s="55" t="n">
        <f aca="false">C58*C58</f>
        <v>0.105625</v>
      </c>
      <c r="N58" s="55" t="n">
        <f aca="false">D58*D58</f>
        <v>0.5625</v>
      </c>
      <c r="O58" s="55" t="n">
        <f aca="false">E58*E58</f>
        <v>0.390625</v>
      </c>
      <c r="P58" s="55" t="n">
        <f aca="false">SUMPRODUCT(F58:O58,_XtX!$B$71:$K$71)</f>
        <v>50.2645965909091</v>
      </c>
      <c r="Q58" s="55" t="n">
        <f aca="false">SUMPRODUCT(MMULT(F58:O58,_XtX!$B$58:$K$67),F58:O58)</f>
        <v>0.255075226384943</v>
      </c>
      <c r="R58" s="55" t="n">
        <f aca="false">P58-04_回帰ANOVA!$K$19*04_回帰ANOVA!$K$14*SQRT(1+Q58)</f>
        <v>49.2229952875149</v>
      </c>
      <c r="S58" s="55" t="n">
        <f aca="false">P58+04_回帰ANOVA!$K$19*04_回帰ANOVA!$K$14*SQRT(1+Q58)</f>
        <v>51.3061978943033</v>
      </c>
      <c r="T58" s="54" t="b">
        <f aca="false">AND(C58&gt;=01_因子設定!$L$5-0.000000001,C58&lt;=01_因子設定!$M$5+0.000000001,D58&gt;=01_因子設定!$L$6-0.000000001,D58&lt;=01_因子設定!$M$6+0.000000001,E58&gt;=01_因子設定!$L$7-0.000000001,E58&lt;=01_因子設定!$M$7+0.000000001,IF(01_因子設定!$B$20="Box-Behnken",C58^2+D58^2+E58^2&lt;=2+0.000000001,TRUE()))</f>
        <v>1</v>
      </c>
      <c r="U58" s="55" t="n">
        <f aca="false">IF(T58,IF(01_因子設定!$B$13="最大化",R58-01_因子設定!$B$14,IF(01_因子設定!$B$13="最小化",01_因子設定!$B$15-S58,MIN(R58-01_因子設定!$B$14,01_因子設定!$B$15-S58))),-1E+030)</f>
        <v>0.72299528751492</v>
      </c>
      <c r="V58" s="55" t="n">
        <f aca="false">IF(U58&gt;=0,1,0)</f>
        <v>1</v>
      </c>
    </row>
    <row r="59" customFormat="false" ht="15" hidden="false" customHeight="false" outlineLevel="0" collapsed="false">
      <c r="A59" s="0" t="n">
        <v>1</v>
      </c>
      <c r="B59" s="0" t="n">
        <v>0.35</v>
      </c>
      <c r="C59" s="0" t="n">
        <f aca="false">B59</f>
        <v>0.35</v>
      </c>
      <c r="D59" s="57" t="n">
        <f aca="false">07_最適化!$B$7</f>
        <v>0.75</v>
      </c>
      <c r="E59" s="57" t="n">
        <f aca="false">07_最適化!$B$8</f>
        <v>0.625</v>
      </c>
      <c r="F59" s="55" t="n">
        <f aca="false">1</f>
        <v>1</v>
      </c>
      <c r="G59" s="55" t="n">
        <f aca="false">C59</f>
        <v>0.35</v>
      </c>
      <c r="H59" s="57" t="n">
        <f aca="false">D59</f>
        <v>0.75</v>
      </c>
      <c r="I59" s="57" t="n">
        <f aca="false">E59</f>
        <v>0.625</v>
      </c>
      <c r="J59" s="55" t="n">
        <f aca="false">C59*D59</f>
        <v>0.2625</v>
      </c>
      <c r="K59" s="55" t="n">
        <f aca="false">C59*E59</f>
        <v>0.21875</v>
      </c>
      <c r="L59" s="55" t="n">
        <f aca="false">D59*E59</f>
        <v>0.46875</v>
      </c>
      <c r="M59" s="55" t="n">
        <f aca="false">C59*C59</f>
        <v>0.1225</v>
      </c>
      <c r="N59" s="55" t="n">
        <f aca="false">D59*D59</f>
        <v>0.5625</v>
      </c>
      <c r="O59" s="55" t="n">
        <f aca="false">E59*E59</f>
        <v>0.390625</v>
      </c>
      <c r="P59" s="55" t="n">
        <f aca="false">SUMPRODUCT(F59:O59,_XtX!$B$71:$K$71)</f>
        <v>50.3089176136364</v>
      </c>
      <c r="Q59" s="55" t="n">
        <f aca="false">SUMPRODUCT(MMULT(F59:O59,_XtX!$B$58:$K$67),F59:O59)</f>
        <v>0.254252450284091</v>
      </c>
      <c r="R59" s="55" t="n">
        <f aca="false">P59-04_回帰ANOVA!$K$19*04_回帰ANOVA!$K$14*SQRT(1+Q59)</f>
        <v>49.2676577818693</v>
      </c>
      <c r="S59" s="55" t="n">
        <f aca="false">P59+04_回帰ANOVA!$K$19*04_回帰ANOVA!$K$14*SQRT(1+Q59)</f>
        <v>51.3501774454035</v>
      </c>
      <c r="T59" s="54" t="b">
        <f aca="false">AND(C59&gt;=01_因子設定!$L$5-0.000000001,C59&lt;=01_因子設定!$M$5+0.000000001,D59&gt;=01_因子設定!$L$6-0.000000001,D59&lt;=01_因子設定!$M$6+0.000000001,E59&gt;=01_因子設定!$L$7-0.000000001,E59&lt;=01_因子設定!$M$7+0.000000001,IF(01_因子設定!$B$20="Box-Behnken",C59^2+D59^2+E59^2&lt;=2+0.000000001,TRUE()))</f>
        <v>1</v>
      </c>
      <c r="U59" s="55" t="n">
        <f aca="false">IF(T59,IF(01_因子設定!$B$13="最大化",R59-01_因子設定!$B$14,IF(01_因子設定!$B$13="最小化",01_因子設定!$B$15-S59,MIN(R59-01_因子設定!$B$14,01_因子設定!$B$15-S59))),-1E+030)</f>
        <v>0.76765778186931</v>
      </c>
      <c r="V59" s="55" t="n">
        <f aca="false">IF(U59&gt;=0,1,0)</f>
        <v>1</v>
      </c>
    </row>
    <row r="60" customFormat="false" ht="15" hidden="false" customHeight="false" outlineLevel="0" collapsed="false">
      <c r="A60" s="0" t="n">
        <v>1</v>
      </c>
      <c r="B60" s="0" t="n">
        <v>0.375</v>
      </c>
      <c r="C60" s="0" t="n">
        <f aca="false">B60</f>
        <v>0.375</v>
      </c>
      <c r="D60" s="57" t="n">
        <f aca="false">07_最適化!$B$7</f>
        <v>0.75</v>
      </c>
      <c r="E60" s="57" t="n">
        <f aca="false">07_最適化!$B$8</f>
        <v>0.625</v>
      </c>
      <c r="F60" s="55" t="n">
        <f aca="false">1</f>
        <v>1</v>
      </c>
      <c r="G60" s="55" t="n">
        <f aca="false">C60</f>
        <v>0.375</v>
      </c>
      <c r="H60" s="57" t="n">
        <f aca="false">D60</f>
        <v>0.75</v>
      </c>
      <c r="I60" s="57" t="n">
        <f aca="false">E60</f>
        <v>0.625</v>
      </c>
      <c r="J60" s="55" t="n">
        <f aca="false">C60*D60</f>
        <v>0.28125</v>
      </c>
      <c r="K60" s="55" t="n">
        <f aca="false">C60*E60</f>
        <v>0.234375</v>
      </c>
      <c r="L60" s="55" t="n">
        <f aca="false">D60*E60</f>
        <v>0.46875</v>
      </c>
      <c r="M60" s="55" t="n">
        <f aca="false">C60*C60</f>
        <v>0.140625</v>
      </c>
      <c r="N60" s="55" t="n">
        <f aca="false">D60*D60</f>
        <v>0.5625</v>
      </c>
      <c r="O60" s="55" t="n">
        <f aca="false">E60*E60</f>
        <v>0.390625</v>
      </c>
      <c r="P60" s="55" t="n">
        <f aca="false">SUMPRODUCT(F60:O60,_XtX!$B$71:$K$71)</f>
        <v>50.3501420454546</v>
      </c>
      <c r="Q60" s="55" t="n">
        <f aca="false">SUMPRODUCT(MMULT(F60:O60,_XtX!$B$58:$K$67),F60:O60)</f>
        <v>0.25359940962358</v>
      </c>
      <c r="R60" s="55" t="n">
        <f aca="false">P60-04_回帰ANOVA!$K$19*04_回帰ANOVA!$K$14*SQRT(1+Q60)</f>
        <v>49.3091533208086</v>
      </c>
      <c r="S60" s="55" t="n">
        <f aca="false">P60+04_回帰ANOVA!$K$19*04_回帰ANOVA!$K$14*SQRT(1+Q60)</f>
        <v>51.3911307701005</v>
      </c>
      <c r="T60" s="54" t="b">
        <f aca="false">AND(C60&gt;=01_因子設定!$L$5-0.000000001,C60&lt;=01_因子設定!$M$5+0.000000001,D60&gt;=01_因子設定!$L$6-0.000000001,D60&lt;=01_因子設定!$M$6+0.000000001,E60&gt;=01_因子設定!$L$7-0.000000001,E60&lt;=01_因子設定!$M$7+0.000000001,IF(01_因子設定!$B$20="Box-Behnken",C60^2+D60^2+E60^2&lt;=2+0.000000001,TRUE()))</f>
        <v>1</v>
      </c>
      <c r="U60" s="55" t="n">
        <f aca="false">IF(T60,IF(01_因子設定!$B$13="最大化",R60-01_因子設定!$B$14,IF(01_因子設定!$B$13="最小化",01_因子設定!$B$15-S60,MIN(R60-01_因子設定!$B$14,01_因子設定!$B$15-S60))),-1E+030)</f>
        <v>0.809153320808576</v>
      </c>
      <c r="V60" s="55" t="n">
        <f aca="false">IF(U60&gt;=0,1,0)</f>
        <v>1</v>
      </c>
    </row>
    <row r="61" customFormat="false" ht="15" hidden="false" customHeight="false" outlineLevel="0" collapsed="false">
      <c r="A61" s="0" t="n">
        <v>1</v>
      </c>
      <c r="B61" s="0" t="n">
        <v>0.4</v>
      </c>
      <c r="C61" s="0" t="n">
        <f aca="false">B61</f>
        <v>0.4</v>
      </c>
      <c r="D61" s="57" t="n">
        <f aca="false">07_最適化!$B$7</f>
        <v>0.75</v>
      </c>
      <c r="E61" s="57" t="n">
        <f aca="false">07_最適化!$B$8</f>
        <v>0.625</v>
      </c>
      <c r="F61" s="55" t="n">
        <f aca="false">1</f>
        <v>1</v>
      </c>
      <c r="G61" s="55" t="n">
        <f aca="false">C61</f>
        <v>0.4</v>
      </c>
      <c r="H61" s="57" t="n">
        <f aca="false">D61</f>
        <v>0.75</v>
      </c>
      <c r="I61" s="57" t="n">
        <f aca="false">E61</f>
        <v>0.625</v>
      </c>
      <c r="J61" s="55" t="n">
        <f aca="false">C61*D61</f>
        <v>0.3</v>
      </c>
      <c r="K61" s="55" t="n">
        <f aca="false">C61*E61</f>
        <v>0.25</v>
      </c>
      <c r="L61" s="55" t="n">
        <f aca="false">D61*E61</f>
        <v>0.46875</v>
      </c>
      <c r="M61" s="55" t="n">
        <f aca="false">C61*C61</f>
        <v>0.16</v>
      </c>
      <c r="N61" s="55" t="n">
        <f aca="false">D61*D61</f>
        <v>0.5625</v>
      </c>
      <c r="O61" s="55" t="n">
        <f aca="false">E61*E61</f>
        <v>0.390625</v>
      </c>
      <c r="P61" s="55" t="n">
        <f aca="false">SUMPRODUCT(F61:O61,_XtX!$B$71:$K$71)</f>
        <v>50.3882698863637</v>
      </c>
      <c r="Q61" s="55" t="n">
        <f aca="false">SUMPRODUCT(MMULT(F61:O61,_XtX!$B$58:$K$67),F61:O61)</f>
        <v>0.253165536221591</v>
      </c>
      <c r="R61" s="55" t="n">
        <f aca="false">P61-04_回帰ANOVA!$K$19*04_回帰ANOVA!$K$14*SQRT(1+Q61)</f>
        <v>49.347461321505</v>
      </c>
      <c r="S61" s="55" t="n">
        <f aca="false">P61+04_回帰ANOVA!$K$19*04_回帰ANOVA!$K$14*SQRT(1+Q61)</f>
        <v>51.4290784512223</v>
      </c>
      <c r="T61" s="54" t="b">
        <f aca="false">AND(C61&gt;=01_因子設定!$L$5-0.000000001,C61&lt;=01_因子設定!$M$5+0.000000001,D61&gt;=01_因子設定!$L$6-0.000000001,D61&lt;=01_因子設定!$M$6+0.000000001,E61&gt;=01_因子設定!$L$7-0.000000001,E61&lt;=01_因子設定!$M$7+0.000000001,IF(01_因子設定!$B$20="Box-Behnken",C61^2+D61^2+E61^2&lt;=2+0.000000001,TRUE()))</f>
        <v>1</v>
      </c>
      <c r="U61" s="55" t="n">
        <f aca="false">IF(T61,IF(01_因子設定!$B$13="最大化",R61-01_因子設定!$B$14,IF(01_因子設定!$B$13="最小化",01_因子設定!$B$15-S61,MIN(R61-01_因子設定!$B$14,01_因子設定!$B$15-S61))),-1E+030)</f>
        <v>0.847461321504987</v>
      </c>
      <c r="V61" s="55" t="n">
        <f aca="false">IF(U61&gt;=0,1,0)</f>
        <v>1</v>
      </c>
    </row>
    <row r="62" customFormat="false" ht="15" hidden="false" customHeight="false" outlineLevel="0" collapsed="false">
      <c r="A62" s="0" t="n">
        <v>1</v>
      </c>
      <c r="B62" s="0" t="n">
        <v>0.425</v>
      </c>
      <c r="C62" s="0" t="n">
        <f aca="false">B62</f>
        <v>0.425</v>
      </c>
      <c r="D62" s="57" t="n">
        <f aca="false">07_最適化!$B$7</f>
        <v>0.75</v>
      </c>
      <c r="E62" s="57" t="n">
        <f aca="false">07_最適化!$B$8</f>
        <v>0.625</v>
      </c>
      <c r="F62" s="55" t="n">
        <f aca="false">1</f>
        <v>1</v>
      </c>
      <c r="G62" s="55" t="n">
        <f aca="false">C62</f>
        <v>0.425</v>
      </c>
      <c r="H62" s="57" t="n">
        <f aca="false">D62</f>
        <v>0.75</v>
      </c>
      <c r="I62" s="57" t="n">
        <f aca="false">E62</f>
        <v>0.625</v>
      </c>
      <c r="J62" s="55" t="n">
        <f aca="false">C62*D62</f>
        <v>0.31875</v>
      </c>
      <c r="K62" s="55" t="n">
        <f aca="false">C62*E62</f>
        <v>0.265625</v>
      </c>
      <c r="L62" s="55" t="n">
        <f aca="false">D62*E62</f>
        <v>0.46875</v>
      </c>
      <c r="M62" s="55" t="n">
        <f aca="false">C62*C62</f>
        <v>0.180625</v>
      </c>
      <c r="N62" s="55" t="n">
        <f aca="false">D62*D62</f>
        <v>0.5625</v>
      </c>
      <c r="O62" s="55" t="n">
        <f aca="false">E62*E62</f>
        <v>0.390625</v>
      </c>
      <c r="P62" s="55" t="n">
        <f aca="false">SUMPRODUCT(F62:O62,_XtX!$B$71:$K$71)</f>
        <v>50.4233011363637</v>
      </c>
      <c r="Q62" s="55" t="n">
        <f aca="false">SUMPRODUCT(MMULT(F62:O62,_XtX!$B$58:$K$67),F62:O62)</f>
        <v>0.253003670987216</v>
      </c>
      <c r="R62" s="55" t="n">
        <f aca="false">P62-04_回帰ANOVA!$K$19*04_回帰ANOVA!$K$14*SQRT(1+Q62)</f>
        <v>49.3825597917396</v>
      </c>
      <c r="S62" s="55" t="n">
        <f aca="false">P62+04_回帰ANOVA!$K$19*04_回帰ANOVA!$K$14*SQRT(1+Q62)</f>
        <v>51.4640424809877</v>
      </c>
      <c r="T62" s="54" t="b">
        <f aca="false">AND(C62&gt;=01_因子設定!$L$5-0.000000001,C62&lt;=01_因子設定!$M$5+0.000000001,D62&gt;=01_因子設定!$L$6-0.000000001,D62&lt;=01_因子設定!$M$6+0.000000001,E62&gt;=01_因子設定!$L$7-0.000000001,E62&lt;=01_因子設定!$M$7+0.000000001,IF(01_因子設定!$B$20="Box-Behnken",C62^2+D62^2+E62^2&lt;=2+0.000000001,TRUE()))</f>
        <v>1</v>
      </c>
      <c r="U62" s="55" t="n">
        <f aca="false">IF(T62,IF(01_因子設定!$B$13="最大化",R62-01_因子設定!$B$14,IF(01_因子設定!$B$13="最小化",01_因子設定!$B$15-S62,MIN(R62-01_因子設定!$B$14,01_因子設定!$B$15-S62))),-1E+030)</f>
        <v>0.882559791739624</v>
      </c>
      <c r="V62" s="55" t="n">
        <f aca="false">IF(U62&gt;=0,1,0)</f>
        <v>1</v>
      </c>
    </row>
    <row r="63" customFormat="false" ht="15" hidden="false" customHeight="false" outlineLevel="0" collapsed="false">
      <c r="A63" s="0" t="n">
        <v>1</v>
      </c>
      <c r="B63" s="0" t="n">
        <v>0.45</v>
      </c>
      <c r="C63" s="0" t="n">
        <f aca="false">B63</f>
        <v>0.45</v>
      </c>
      <c r="D63" s="57" t="n">
        <f aca="false">07_最適化!$B$7</f>
        <v>0.75</v>
      </c>
      <c r="E63" s="57" t="n">
        <f aca="false">07_最適化!$B$8</f>
        <v>0.625</v>
      </c>
      <c r="F63" s="55" t="n">
        <f aca="false">1</f>
        <v>1</v>
      </c>
      <c r="G63" s="55" t="n">
        <f aca="false">C63</f>
        <v>0.45</v>
      </c>
      <c r="H63" s="57" t="n">
        <f aca="false">D63</f>
        <v>0.75</v>
      </c>
      <c r="I63" s="57" t="n">
        <f aca="false">E63</f>
        <v>0.625</v>
      </c>
      <c r="J63" s="55" t="n">
        <f aca="false">C63*D63</f>
        <v>0.3375</v>
      </c>
      <c r="K63" s="55" t="n">
        <f aca="false">C63*E63</f>
        <v>0.28125</v>
      </c>
      <c r="L63" s="55" t="n">
        <f aca="false">D63*E63</f>
        <v>0.46875</v>
      </c>
      <c r="M63" s="55" t="n">
        <f aca="false">C63*C63</f>
        <v>0.2025</v>
      </c>
      <c r="N63" s="55" t="n">
        <f aca="false">D63*D63</f>
        <v>0.5625</v>
      </c>
      <c r="O63" s="55" t="n">
        <f aca="false">E63*E63</f>
        <v>0.390625</v>
      </c>
      <c r="P63" s="55" t="n">
        <f aca="false">SUMPRODUCT(F63:O63,_XtX!$B$71:$K$71)</f>
        <v>50.4552357954546</v>
      </c>
      <c r="Q63" s="55" t="n">
        <f aca="false">SUMPRODUCT(MMULT(F63:O63,_XtX!$B$58:$K$67),F63:O63)</f>
        <v>0.253170063920455</v>
      </c>
      <c r="R63" s="55" t="n">
        <f aca="false">P63-04_回帰ANOVA!$K$19*04_回帰ANOVA!$K$14*SQRT(1+Q63)</f>
        <v>49.414425350372</v>
      </c>
      <c r="S63" s="55" t="n">
        <f aca="false">P63+04_回帰ANOVA!$K$19*04_回帰ANOVA!$K$14*SQRT(1+Q63)</f>
        <v>51.4960462405371</v>
      </c>
      <c r="T63" s="54" t="b">
        <f aca="false">AND(C63&gt;=01_因子設定!$L$5-0.000000001,C63&lt;=01_因子設定!$M$5+0.000000001,D63&gt;=01_因子設定!$L$6-0.000000001,D63&lt;=01_因子設定!$M$6+0.000000001,E63&gt;=01_因子設定!$L$7-0.000000001,E63&lt;=01_因子設定!$M$7+0.000000001,IF(01_因子設定!$B$20="Box-Behnken",C63^2+D63^2+E63^2&lt;=2+0.000000001,TRUE()))</f>
        <v>1</v>
      </c>
      <c r="U63" s="55" t="n">
        <f aca="false">IF(T63,IF(01_因子設定!$B$13="最大化",R63-01_因子設定!$B$14,IF(01_因子設定!$B$13="最小化",01_因子設定!$B$15-S63,MIN(R63-01_因子設定!$B$14,01_因子設定!$B$15-S63))),-1E+030)</f>
        <v>0.914425350372028</v>
      </c>
      <c r="V63" s="55" t="n">
        <f aca="false">IF(U63&gt;=0,1,0)</f>
        <v>1</v>
      </c>
    </row>
    <row r="64" customFormat="false" ht="15" hidden="false" customHeight="false" outlineLevel="0" collapsed="false">
      <c r="A64" s="0" t="n">
        <v>1</v>
      </c>
      <c r="B64" s="0" t="n">
        <v>0.475</v>
      </c>
      <c r="C64" s="0" t="n">
        <f aca="false">B64</f>
        <v>0.475</v>
      </c>
      <c r="D64" s="57" t="n">
        <f aca="false">07_最適化!$B$7</f>
        <v>0.75</v>
      </c>
      <c r="E64" s="57" t="n">
        <f aca="false">07_最適化!$B$8</f>
        <v>0.625</v>
      </c>
      <c r="F64" s="55" t="n">
        <f aca="false">1</f>
        <v>1</v>
      </c>
      <c r="G64" s="55" t="n">
        <f aca="false">C64</f>
        <v>0.475</v>
      </c>
      <c r="H64" s="57" t="n">
        <f aca="false">D64</f>
        <v>0.75</v>
      </c>
      <c r="I64" s="57" t="n">
        <f aca="false">E64</f>
        <v>0.625</v>
      </c>
      <c r="J64" s="55" t="n">
        <f aca="false">C64*D64</f>
        <v>0.35625</v>
      </c>
      <c r="K64" s="55" t="n">
        <f aca="false">C64*E64</f>
        <v>0.296875</v>
      </c>
      <c r="L64" s="55" t="n">
        <f aca="false">D64*E64</f>
        <v>0.46875</v>
      </c>
      <c r="M64" s="55" t="n">
        <f aca="false">C64*C64</f>
        <v>0.225625</v>
      </c>
      <c r="N64" s="55" t="n">
        <f aca="false">D64*D64</f>
        <v>0.5625</v>
      </c>
      <c r="O64" s="55" t="n">
        <f aca="false">E64*E64</f>
        <v>0.390625</v>
      </c>
      <c r="P64" s="55" t="n">
        <f aca="false">SUMPRODUCT(F64:O64,_XtX!$B$71:$K$71)</f>
        <v>50.4840738636364</v>
      </c>
      <c r="Q64" s="55" t="n">
        <f aca="false">SUMPRODUCT(MMULT(F64:O64,_XtX!$B$58:$K$67),F64:O64)</f>
        <v>0.253724374112216</v>
      </c>
      <c r="R64" s="55" t="n">
        <f aca="false">P64-04_回帰ANOVA!$K$19*04_回帰ANOVA!$K$14*SQRT(1+Q64)</f>
        <v>49.4430332550389</v>
      </c>
      <c r="S64" s="55" t="n">
        <f aca="false">P64+04_回帰ANOVA!$K$19*04_回帰ANOVA!$K$14*SQRT(1+Q64)</f>
        <v>51.5251144722339</v>
      </c>
      <c r="T64" s="54" t="b">
        <f aca="false">AND(C64&gt;=01_因子設定!$L$5-0.000000001,C64&lt;=01_因子設定!$M$5+0.000000001,D64&gt;=01_因子設定!$L$6-0.000000001,D64&lt;=01_因子設定!$M$6+0.000000001,E64&gt;=01_因子設定!$L$7-0.000000001,E64&lt;=01_因子設定!$M$7+0.000000001,IF(01_因子設定!$B$20="Box-Behnken",C64^2+D64^2+E64^2&lt;=2+0.000000001,TRUE()))</f>
        <v>1</v>
      </c>
      <c r="U64" s="55" t="n">
        <f aca="false">IF(T64,IF(01_因子設定!$B$13="最大化",R64-01_因子設定!$B$14,IF(01_因子設定!$B$13="最小化",01_因子設定!$B$15-S64,MIN(R64-01_因子設定!$B$14,01_因子設定!$B$15-S64))),-1E+030)</f>
        <v>0.943033255038898</v>
      </c>
      <c r="V64" s="55" t="n">
        <f aca="false">IF(U64&gt;=0,1,0)</f>
        <v>1</v>
      </c>
    </row>
    <row r="65" customFormat="false" ht="15" hidden="false" customHeight="false" outlineLevel="0" collapsed="false">
      <c r="A65" s="0" t="n">
        <v>1</v>
      </c>
      <c r="B65" s="0" t="n">
        <v>0.5</v>
      </c>
      <c r="C65" s="0" t="n">
        <f aca="false">B65</f>
        <v>0.5</v>
      </c>
      <c r="D65" s="57" t="n">
        <f aca="false">07_最適化!$B$7</f>
        <v>0.75</v>
      </c>
      <c r="E65" s="57" t="n">
        <f aca="false">07_最適化!$B$8</f>
        <v>0.625</v>
      </c>
      <c r="F65" s="55" t="n">
        <f aca="false">1</f>
        <v>1</v>
      </c>
      <c r="G65" s="55" t="n">
        <f aca="false">C65</f>
        <v>0.5</v>
      </c>
      <c r="H65" s="57" t="n">
        <f aca="false">D65</f>
        <v>0.75</v>
      </c>
      <c r="I65" s="57" t="n">
        <f aca="false">E65</f>
        <v>0.625</v>
      </c>
      <c r="J65" s="55" t="n">
        <f aca="false">C65*D65</f>
        <v>0.375</v>
      </c>
      <c r="K65" s="55" t="n">
        <f aca="false">C65*E65</f>
        <v>0.3125</v>
      </c>
      <c r="L65" s="55" t="n">
        <f aca="false">D65*E65</f>
        <v>0.46875</v>
      </c>
      <c r="M65" s="55" t="n">
        <f aca="false">C65*C65</f>
        <v>0.25</v>
      </c>
      <c r="N65" s="55" t="n">
        <f aca="false">D65*D65</f>
        <v>0.5625</v>
      </c>
      <c r="O65" s="55" t="n">
        <f aca="false">E65*E65</f>
        <v>0.390625</v>
      </c>
      <c r="P65" s="55" t="n">
        <f aca="false">SUMPRODUCT(F65:O65,_XtX!$B$71:$K$71)</f>
        <v>50.5098153409091</v>
      </c>
      <c r="Q65" s="55" t="n">
        <f aca="false">SUMPRODUCT(MMULT(F65:O65,_XtX!$B$58:$K$67),F65:O65)</f>
        <v>0.254729669744318</v>
      </c>
      <c r="R65" s="55" t="n">
        <f aca="false">P65-04_回帰ANOVA!$K$19*04_回帰ANOVA!$K$14*SQRT(1+Q65)</f>
        <v>49.4683574380928</v>
      </c>
      <c r="S65" s="55" t="n">
        <f aca="false">P65+04_回帰ANOVA!$K$19*04_回帰ANOVA!$K$14*SQRT(1+Q65)</f>
        <v>51.5512732437254</v>
      </c>
      <c r="T65" s="54" t="b">
        <f aca="false">AND(C65&gt;=01_因子設定!$L$5-0.000000001,C65&lt;=01_因子設定!$M$5+0.000000001,D65&gt;=01_因子設定!$L$6-0.000000001,D65&lt;=01_因子設定!$M$6+0.000000001,E65&gt;=01_因子設定!$L$7-0.000000001,E65&lt;=01_因子設定!$M$7+0.000000001,IF(01_因子設定!$B$20="Box-Behnken",C65^2+D65^2+E65^2&lt;=2+0.000000001,TRUE()))</f>
        <v>1</v>
      </c>
      <c r="U65" s="55" t="n">
        <f aca="false">IF(T65,IF(01_因子設定!$B$13="最大化",R65-01_因子設定!$B$14,IF(01_因子設定!$B$13="最小化",01_因子設定!$B$15-S65,MIN(R65-01_因子設定!$B$14,01_因子設定!$B$15-S65))),-1E+030)</f>
        <v>0.968357438092795</v>
      </c>
      <c r="V65" s="55" t="n">
        <f aca="false">IF(U65&gt;=0,1,0)</f>
        <v>1</v>
      </c>
    </row>
    <row r="66" customFormat="false" ht="15" hidden="false" customHeight="false" outlineLevel="0" collapsed="false">
      <c r="A66" s="0" t="n">
        <v>1</v>
      </c>
      <c r="B66" s="0" t="n">
        <v>0.525</v>
      </c>
      <c r="C66" s="0" t="n">
        <f aca="false">B66</f>
        <v>0.525</v>
      </c>
      <c r="D66" s="57" t="n">
        <f aca="false">07_最適化!$B$7</f>
        <v>0.75</v>
      </c>
      <c r="E66" s="57" t="n">
        <f aca="false">07_最適化!$B$8</f>
        <v>0.625</v>
      </c>
      <c r="F66" s="55" t="n">
        <f aca="false">1</f>
        <v>1</v>
      </c>
      <c r="G66" s="55" t="n">
        <f aca="false">C66</f>
        <v>0.525</v>
      </c>
      <c r="H66" s="57" t="n">
        <f aca="false">D66</f>
        <v>0.75</v>
      </c>
      <c r="I66" s="57" t="n">
        <f aca="false">E66</f>
        <v>0.625</v>
      </c>
      <c r="J66" s="55" t="n">
        <f aca="false">C66*D66</f>
        <v>0.39375</v>
      </c>
      <c r="K66" s="55" t="n">
        <f aca="false">C66*E66</f>
        <v>0.328125</v>
      </c>
      <c r="L66" s="55" t="n">
        <f aca="false">D66*E66</f>
        <v>0.46875</v>
      </c>
      <c r="M66" s="55" t="n">
        <f aca="false">C66*C66</f>
        <v>0.275625</v>
      </c>
      <c r="N66" s="55" t="n">
        <f aca="false">D66*D66</f>
        <v>0.5625</v>
      </c>
      <c r="O66" s="55" t="n">
        <f aca="false">E66*E66</f>
        <v>0.390625</v>
      </c>
      <c r="P66" s="55" t="n">
        <f aca="false">SUMPRODUCT(F66:O66,_XtX!$B$71:$K$71)</f>
        <v>50.5324602272727</v>
      </c>
      <c r="Q66" s="55" t="n">
        <f aca="false">SUMPRODUCT(MMULT(F66:O66,_XtX!$B$58:$K$67),F66:O66)</f>
        <v>0.256252428089489</v>
      </c>
      <c r="R66" s="55" t="n">
        <f aca="false">P66-04_回帰ANOVA!$K$19*04_回帰ANOVA!$K$14*SQRT(1+Q66)</f>
        <v>49.4903705517813</v>
      </c>
      <c r="S66" s="55" t="n">
        <f aca="false">P66+04_回帰ANOVA!$K$19*04_回帰ANOVA!$K$14*SQRT(1+Q66)</f>
        <v>51.5745499027642</v>
      </c>
      <c r="T66" s="54" t="b">
        <f aca="false">AND(C66&gt;=01_因子設定!$L$5-0.000000001,C66&lt;=01_因子設定!$M$5+0.000000001,D66&gt;=01_因子設定!$L$6-0.000000001,D66&lt;=01_因子設定!$M$6+0.000000001,E66&gt;=01_因子設定!$L$7-0.000000001,E66&lt;=01_因子設定!$M$7+0.000000001,IF(01_因子設定!$B$20="Box-Behnken",C66^2+D66^2+E66^2&lt;=2+0.000000001,TRUE()))</f>
        <v>1</v>
      </c>
      <c r="U66" s="55" t="n">
        <f aca="false">IF(T66,IF(01_因子設定!$B$13="最大化",R66-01_因子設定!$B$14,IF(01_因子設定!$B$13="最小化",01_因子設定!$B$15-S66,MIN(R66-01_因子設定!$B$14,01_因子設定!$B$15-S66))),-1E+030)</f>
        <v>0.990370551781332</v>
      </c>
      <c r="V66" s="55" t="n">
        <f aca="false">IF(U66&gt;=0,1,0)</f>
        <v>1</v>
      </c>
    </row>
    <row r="67" customFormat="false" ht="15" hidden="false" customHeight="false" outlineLevel="0" collapsed="false">
      <c r="A67" s="0" t="n">
        <v>1</v>
      </c>
      <c r="B67" s="0" t="n">
        <v>0.55</v>
      </c>
      <c r="C67" s="0" t="n">
        <f aca="false">B67</f>
        <v>0.55</v>
      </c>
      <c r="D67" s="57" t="n">
        <f aca="false">07_最適化!$B$7</f>
        <v>0.75</v>
      </c>
      <c r="E67" s="57" t="n">
        <f aca="false">07_最適化!$B$8</f>
        <v>0.625</v>
      </c>
      <c r="F67" s="55" t="n">
        <f aca="false">1</f>
        <v>1</v>
      </c>
      <c r="G67" s="55" t="n">
        <f aca="false">C67</f>
        <v>0.55</v>
      </c>
      <c r="H67" s="57" t="n">
        <f aca="false">D67</f>
        <v>0.75</v>
      </c>
      <c r="I67" s="57" t="n">
        <f aca="false">E67</f>
        <v>0.625</v>
      </c>
      <c r="J67" s="55" t="n">
        <f aca="false">C67*D67</f>
        <v>0.4125</v>
      </c>
      <c r="K67" s="55" t="n">
        <f aca="false">C67*E67</f>
        <v>0.34375</v>
      </c>
      <c r="L67" s="55" t="n">
        <f aca="false">D67*E67</f>
        <v>0.46875</v>
      </c>
      <c r="M67" s="55" t="n">
        <f aca="false">C67*C67</f>
        <v>0.3025</v>
      </c>
      <c r="N67" s="55" t="n">
        <f aca="false">D67*D67</f>
        <v>0.5625</v>
      </c>
      <c r="O67" s="55" t="n">
        <f aca="false">E67*E67</f>
        <v>0.390625</v>
      </c>
      <c r="P67" s="55" t="n">
        <f aca="false">SUMPRODUCT(F67:O67,_XtX!$B$71:$K$71)</f>
        <v>50.5520085227273</v>
      </c>
      <c r="Q67" s="55" t="n">
        <f aca="false">SUMPRODUCT(MMULT(F67:O67,_XtX!$B$58:$K$67),F67:O67)</f>
        <v>0.258362535511364</v>
      </c>
      <c r="R67" s="55" t="n">
        <f aca="false">P67-04_回帰ANOVA!$K$19*04_回帰ANOVA!$K$14*SQRT(1+Q67)</f>
        <v>49.5090440236293</v>
      </c>
      <c r="S67" s="55" t="n">
        <f aca="false">P67+04_回帰ANOVA!$K$19*04_回帰ANOVA!$K$14*SQRT(1+Q67)</f>
        <v>51.5949730218253</v>
      </c>
      <c r="T67" s="54" t="b">
        <f aca="false">AND(C67&gt;=01_因子設定!$L$5-0.000000001,C67&lt;=01_因子設定!$M$5+0.000000001,D67&gt;=01_因子設定!$L$6-0.000000001,D67&lt;=01_因子設定!$M$6+0.000000001,E67&gt;=01_因子設定!$L$7-0.000000001,E67&lt;=01_因子設定!$M$7+0.000000001,IF(01_因子設定!$B$20="Box-Behnken",C67^2+D67^2+E67^2&lt;=2+0.000000001,TRUE()))</f>
        <v>1</v>
      </c>
      <c r="U67" s="55" t="n">
        <f aca="false">IF(T67,IF(01_因子設定!$B$13="最大化",R67-01_因子設定!$B$14,IF(01_因子設定!$B$13="最小化",01_因子設定!$B$15-S67,MIN(R67-01_因子設定!$B$14,01_因子設定!$B$15-S67))),-1E+030)</f>
        <v>1.00904402362928</v>
      </c>
      <c r="V67" s="55" t="n">
        <f aca="false">IF(U67&gt;=0,1,0)</f>
        <v>1</v>
      </c>
    </row>
    <row r="68" customFormat="false" ht="15" hidden="false" customHeight="false" outlineLevel="0" collapsed="false">
      <c r="A68" s="0" t="n">
        <v>1</v>
      </c>
      <c r="B68" s="0" t="n">
        <v>0.575</v>
      </c>
      <c r="C68" s="0" t="n">
        <f aca="false">B68</f>
        <v>0.575</v>
      </c>
      <c r="D68" s="57" t="n">
        <f aca="false">07_最適化!$B$7</f>
        <v>0.75</v>
      </c>
      <c r="E68" s="57" t="n">
        <f aca="false">07_最適化!$B$8</f>
        <v>0.625</v>
      </c>
      <c r="F68" s="55" t="n">
        <f aca="false">1</f>
        <v>1</v>
      </c>
      <c r="G68" s="55" t="n">
        <f aca="false">C68</f>
        <v>0.575</v>
      </c>
      <c r="H68" s="57" t="n">
        <f aca="false">D68</f>
        <v>0.75</v>
      </c>
      <c r="I68" s="57" t="n">
        <f aca="false">E68</f>
        <v>0.625</v>
      </c>
      <c r="J68" s="55" t="n">
        <f aca="false">C68*D68</f>
        <v>0.43125</v>
      </c>
      <c r="K68" s="55" t="n">
        <f aca="false">C68*E68</f>
        <v>0.359375</v>
      </c>
      <c r="L68" s="55" t="n">
        <f aca="false">D68*E68</f>
        <v>0.46875</v>
      </c>
      <c r="M68" s="55" t="n">
        <f aca="false">C68*C68</f>
        <v>0.330625</v>
      </c>
      <c r="N68" s="55" t="n">
        <f aca="false">D68*D68</f>
        <v>0.5625</v>
      </c>
      <c r="O68" s="55" t="n">
        <f aca="false">E68*E68</f>
        <v>0.390625</v>
      </c>
      <c r="P68" s="55" t="n">
        <f aca="false">SUMPRODUCT(F68:O68,_XtX!$B$71:$K$71)</f>
        <v>50.5684602272727</v>
      </c>
      <c r="Q68" s="55" t="n">
        <f aca="false">SUMPRODUCT(MMULT(F68:O68,_XtX!$B$58:$K$67),F68:O68)</f>
        <v>0.261133287464489</v>
      </c>
      <c r="R68" s="55" t="n">
        <f aca="false">P68-04_回帰ANOVA!$K$19*04_回帰ANOVA!$K$14*SQRT(1+Q68)</f>
        <v>49.5243481229136</v>
      </c>
      <c r="S68" s="55" t="n">
        <f aca="false">P68+04_回帰ANOVA!$K$19*04_回帰ANOVA!$K$14*SQRT(1+Q68)</f>
        <v>51.6125723316319</v>
      </c>
      <c r="T68" s="54" t="b">
        <f aca="false">AND(C68&gt;=01_因子設定!$L$5-0.000000001,C68&lt;=01_因子設定!$M$5+0.000000001,D68&gt;=01_因子設定!$L$6-0.000000001,D68&lt;=01_因子設定!$M$6+0.000000001,E68&gt;=01_因子設定!$L$7-0.000000001,E68&lt;=01_因子設定!$M$7+0.000000001,IF(01_因子設定!$B$20="Box-Behnken",C68^2+D68^2+E68^2&lt;=2+0.000000001,TRUE()))</f>
        <v>1</v>
      </c>
      <c r="U68" s="55" t="n">
        <f aca="false">IF(T68,IF(01_因子設定!$B$13="最大化",R68-01_因子設定!$B$14,IF(01_因子設定!$B$13="最小化",01_因子設定!$B$15-S68,MIN(R68-01_因子設定!$B$14,01_因子設定!$B$15-S68))),-1E+030)</f>
        <v>1.02434812291359</v>
      </c>
      <c r="V68" s="55" t="n">
        <f aca="false">IF(U68&gt;=0,1,0)</f>
        <v>1</v>
      </c>
    </row>
    <row r="69" customFormat="false" ht="15" hidden="false" customHeight="false" outlineLevel="0" collapsed="false">
      <c r="A69" s="0" t="n">
        <v>1</v>
      </c>
      <c r="B69" s="0" t="n">
        <v>0.6</v>
      </c>
      <c r="C69" s="0" t="n">
        <f aca="false">B69</f>
        <v>0.6</v>
      </c>
      <c r="D69" s="57" t="n">
        <f aca="false">07_最適化!$B$7</f>
        <v>0.75</v>
      </c>
      <c r="E69" s="57" t="n">
        <f aca="false">07_最適化!$B$8</f>
        <v>0.625</v>
      </c>
      <c r="F69" s="55" t="n">
        <f aca="false">1</f>
        <v>1</v>
      </c>
      <c r="G69" s="55" t="n">
        <f aca="false">C69</f>
        <v>0.6</v>
      </c>
      <c r="H69" s="57" t="n">
        <f aca="false">D69</f>
        <v>0.75</v>
      </c>
      <c r="I69" s="57" t="n">
        <f aca="false">E69</f>
        <v>0.625</v>
      </c>
      <c r="J69" s="55" t="n">
        <f aca="false">C69*D69</f>
        <v>0.45</v>
      </c>
      <c r="K69" s="55" t="n">
        <f aca="false">C69*E69</f>
        <v>0.375</v>
      </c>
      <c r="L69" s="55" t="n">
        <f aca="false">D69*E69</f>
        <v>0.46875</v>
      </c>
      <c r="M69" s="55" t="n">
        <f aca="false">C69*C69</f>
        <v>0.36</v>
      </c>
      <c r="N69" s="55" t="n">
        <f aca="false">D69*D69</f>
        <v>0.5625</v>
      </c>
      <c r="O69" s="55" t="n">
        <f aca="false">E69*E69</f>
        <v>0.390625</v>
      </c>
      <c r="P69" s="55" t="n">
        <f aca="false">SUMPRODUCT(F69:O69,_XtX!$B$71:$K$71)</f>
        <v>50.5818153409091</v>
      </c>
      <c r="Q69" s="55" t="n">
        <f aca="false">SUMPRODUCT(MMULT(F69:O69,_XtX!$B$58:$K$67),F69:O69)</f>
        <v>0.264641388494318</v>
      </c>
      <c r="R69" s="55" t="n">
        <f aca="false">P69-04_回帰ANOVA!$K$19*04_回帰ANOVA!$K$14*SQRT(1+Q69)</f>
        <v>49.5362520390124</v>
      </c>
      <c r="S69" s="55" t="n">
        <f aca="false">P69+04_回帰ANOVA!$K$19*04_回帰ANOVA!$K$14*SQRT(1+Q69)</f>
        <v>51.6273786428058</v>
      </c>
      <c r="T69" s="54" t="b">
        <f aca="false">AND(C69&gt;=01_因子設定!$L$5-0.000000001,C69&lt;=01_因子設定!$M$5+0.000000001,D69&gt;=01_因子設定!$L$6-0.000000001,D69&lt;=01_因子設定!$M$6+0.000000001,E69&gt;=01_因子設定!$L$7-0.000000001,E69&lt;=01_因子設定!$M$7+0.000000001,IF(01_因子設定!$B$20="Box-Behnken",C69^2+D69^2+E69^2&lt;=2+0.000000001,TRUE()))</f>
        <v>1</v>
      </c>
      <c r="U69" s="55" t="n">
        <f aca="false">IF(T69,IF(01_因子設定!$B$13="最大化",R69-01_因子設定!$B$14,IF(01_因子設定!$B$13="最小化",01_因子設定!$B$15-S69,MIN(R69-01_因子設定!$B$14,01_因子設定!$B$15-S69))),-1E+030)</f>
        <v>1.03625203901243</v>
      </c>
      <c r="V69" s="55" t="n">
        <f aca="false">IF(U69&gt;=0,1,0)</f>
        <v>1</v>
      </c>
    </row>
    <row r="70" customFormat="false" ht="15" hidden="false" customHeight="false" outlineLevel="0" collapsed="false">
      <c r="A70" s="0" t="n">
        <v>1</v>
      </c>
      <c r="B70" s="0" t="n">
        <v>0.625</v>
      </c>
      <c r="C70" s="0" t="n">
        <f aca="false">B70</f>
        <v>0.625</v>
      </c>
      <c r="D70" s="57" t="n">
        <f aca="false">07_最適化!$B$7</f>
        <v>0.75</v>
      </c>
      <c r="E70" s="57" t="n">
        <f aca="false">07_最適化!$B$8</f>
        <v>0.625</v>
      </c>
      <c r="F70" s="55" t="n">
        <f aca="false">1</f>
        <v>1</v>
      </c>
      <c r="G70" s="55" t="n">
        <f aca="false">C70</f>
        <v>0.625</v>
      </c>
      <c r="H70" s="57" t="n">
        <f aca="false">D70</f>
        <v>0.75</v>
      </c>
      <c r="I70" s="57" t="n">
        <f aca="false">E70</f>
        <v>0.625</v>
      </c>
      <c r="J70" s="55" t="n">
        <f aca="false">C70*D70</f>
        <v>0.46875</v>
      </c>
      <c r="K70" s="55" t="n">
        <f aca="false">C70*E70</f>
        <v>0.390625</v>
      </c>
      <c r="L70" s="55" t="n">
        <f aca="false">D70*E70</f>
        <v>0.46875</v>
      </c>
      <c r="M70" s="55" t="n">
        <f aca="false">C70*C70</f>
        <v>0.390625</v>
      </c>
      <c r="N70" s="55" t="n">
        <f aca="false">D70*D70</f>
        <v>0.5625</v>
      </c>
      <c r="O70" s="55" t="n">
        <f aca="false">E70*E70</f>
        <v>0.390625</v>
      </c>
      <c r="P70" s="55" t="n">
        <f aca="false">SUMPRODUCT(F70:O70,_XtX!$B$71:$K$71)</f>
        <v>50.5920738636364</v>
      </c>
      <c r="Q70" s="55" t="n">
        <f aca="false">SUMPRODUCT(MMULT(F70:O70,_XtX!$B$58:$K$67),F70:O70)</f>
        <v>0.268966952237216</v>
      </c>
      <c r="R70" s="55" t="n">
        <f aca="false">P70-04_回帰ANOVA!$K$19*04_回帰ANOVA!$K$14*SQRT(1+Q70)</f>
        <v>49.5447239722584</v>
      </c>
      <c r="S70" s="55" t="n">
        <f aca="false">P70+04_回帰ANOVA!$K$19*04_回帰ANOVA!$K$14*SQRT(1+Q70)</f>
        <v>51.6394237550144</v>
      </c>
      <c r="T70" s="54" t="b">
        <f aca="false">AND(C70&gt;=01_因子設定!$L$5-0.000000001,C70&lt;=01_因子設定!$M$5+0.000000001,D70&gt;=01_因子設定!$L$6-0.000000001,D70&lt;=01_因子設定!$M$6+0.000000001,E70&gt;=01_因子設定!$L$7-0.000000001,E70&lt;=01_因子設定!$M$7+0.000000001,IF(01_因子設定!$B$20="Box-Behnken",C70^2+D70^2+E70^2&lt;=2+0.000000001,TRUE()))</f>
        <v>1</v>
      </c>
      <c r="U70" s="55" t="n">
        <f aca="false">IF(T70,IF(01_因子設定!$B$13="最大化",R70-01_因子設定!$B$14,IF(01_因子設定!$B$13="最小化",01_因子設定!$B$15-S70,MIN(R70-01_因子設定!$B$14,01_因子設定!$B$15-S70))),-1E+030)</f>
        <v>1.04472397225836</v>
      </c>
      <c r="V70" s="55" t="n">
        <f aca="false">IF(U70&gt;=0,1,0)</f>
        <v>1</v>
      </c>
    </row>
    <row r="71" customFormat="false" ht="15" hidden="false" customHeight="false" outlineLevel="0" collapsed="false">
      <c r="A71" s="0" t="n">
        <v>1</v>
      </c>
      <c r="B71" s="0" t="n">
        <v>0.65</v>
      </c>
      <c r="C71" s="0" t="n">
        <f aca="false">B71</f>
        <v>0.65</v>
      </c>
      <c r="D71" s="57" t="n">
        <f aca="false">07_最適化!$B$7</f>
        <v>0.75</v>
      </c>
      <c r="E71" s="57" t="n">
        <f aca="false">07_最適化!$B$8</f>
        <v>0.625</v>
      </c>
      <c r="F71" s="55" t="n">
        <f aca="false">1</f>
        <v>1</v>
      </c>
      <c r="G71" s="55" t="n">
        <f aca="false">C71</f>
        <v>0.65</v>
      </c>
      <c r="H71" s="57" t="n">
        <f aca="false">D71</f>
        <v>0.75</v>
      </c>
      <c r="I71" s="57" t="n">
        <f aca="false">E71</f>
        <v>0.625</v>
      </c>
      <c r="J71" s="55" t="n">
        <f aca="false">C71*D71</f>
        <v>0.4875</v>
      </c>
      <c r="K71" s="55" t="n">
        <f aca="false">C71*E71</f>
        <v>0.40625</v>
      </c>
      <c r="L71" s="55" t="n">
        <f aca="false">D71*E71</f>
        <v>0.46875</v>
      </c>
      <c r="M71" s="55" t="n">
        <f aca="false">C71*C71</f>
        <v>0.4225</v>
      </c>
      <c r="N71" s="55" t="n">
        <f aca="false">D71*D71</f>
        <v>0.5625</v>
      </c>
      <c r="O71" s="55" t="n">
        <f aca="false">E71*E71</f>
        <v>0.390625</v>
      </c>
      <c r="P71" s="55" t="n">
        <f aca="false">SUMPRODUCT(F71:O71,_XtX!$B$71:$K$71)</f>
        <v>50.5992357954546</v>
      </c>
      <c r="Q71" s="55" t="n">
        <f aca="false">SUMPRODUCT(MMULT(F71:O71,_XtX!$B$58:$K$67),F71:O71)</f>
        <v>0.274193501420455</v>
      </c>
      <c r="R71" s="55" t="n">
        <f aca="false">P71-04_回帰ANOVA!$K$19*04_回帰ANOVA!$K$14*SQRT(1+Q71)</f>
        <v>49.5497312377313</v>
      </c>
      <c r="S71" s="55" t="n">
        <f aca="false">P71+04_回帰ANOVA!$K$19*04_回帰ANOVA!$K$14*SQRT(1+Q71)</f>
        <v>51.6487403531778</v>
      </c>
      <c r="T71" s="54" t="b">
        <f aca="false">AND(C71&gt;=01_因子設定!$L$5-0.000000001,C71&lt;=01_因子設定!$M$5+0.000000001,D71&gt;=01_因子設定!$L$6-0.000000001,D71&lt;=01_因子設定!$M$6+0.000000001,E71&gt;=01_因子設定!$L$7-0.000000001,E71&lt;=01_因子設定!$M$7+0.000000001,IF(01_因子設定!$B$20="Box-Behnken",C71^2+D71^2+E71^2&lt;=2+0.000000001,TRUE()))</f>
        <v>1</v>
      </c>
      <c r="U71" s="55" t="n">
        <f aca="false">IF(T71,IF(01_因子設定!$B$13="最大化",R71-01_因子設定!$B$14,IF(01_因子設定!$B$13="最小化",01_因子設定!$B$15-S71,MIN(R71-01_因子設定!$B$14,01_因子設定!$B$15-S71))),-1E+030)</f>
        <v>1.04973123773127</v>
      </c>
      <c r="V71" s="55" t="n">
        <f aca="false">IF(U71&gt;=0,1,0)</f>
        <v>1</v>
      </c>
    </row>
    <row r="72" customFormat="false" ht="15" hidden="false" customHeight="false" outlineLevel="0" collapsed="false">
      <c r="A72" s="0" t="n">
        <v>1</v>
      </c>
      <c r="B72" s="0" t="n">
        <v>0.675</v>
      </c>
      <c r="C72" s="0" t="n">
        <f aca="false">B72</f>
        <v>0.675</v>
      </c>
      <c r="D72" s="57" t="n">
        <f aca="false">07_最適化!$B$7</f>
        <v>0.75</v>
      </c>
      <c r="E72" s="57" t="n">
        <f aca="false">07_最適化!$B$8</f>
        <v>0.625</v>
      </c>
      <c r="F72" s="55" t="n">
        <f aca="false">1</f>
        <v>1</v>
      </c>
      <c r="G72" s="55" t="n">
        <f aca="false">C72</f>
        <v>0.675</v>
      </c>
      <c r="H72" s="57" t="n">
        <f aca="false">D72</f>
        <v>0.75</v>
      </c>
      <c r="I72" s="57" t="n">
        <f aca="false">E72</f>
        <v>0.625</v>
      </c>
      <c r="J72" s="55" t="n">
        <f aca="false">C72*D72</f>
        <v>0.50625</v>
      </c>
      <c r="K72" s="55" t="n">
        <f aca="false">C72*E72</f>
        <v>0.421875</v>
      </c>
      <c r="L72" s="55" t="n">
        <f aca="false">D72*E72</f>
        <v>0.46875</v>
      </c>
      <c r="M72" s="55" t="n">
        <f aca="false">C72*C72</f>
        <v>0.455625</v>
      </c>
      <c r="N72" s="55" t="n">
        <f aca="false">D72*D72</f>
        <v>0.5625</v>
      </c>
      <c r="O72" s="55" t="n">
        <f aca="false">E72*E72</f>
        <v>0.390625</v>
      </c>
      <c r="P72" s="55" t="n">
        <f aca="false">SUMPRODUCT(F72:O72,_XtX!$B$71:$K$71)</f>
        <v>50.6033011363637</v>
      </c>
      <c r="Q72" s="55" t="n">
        <f aca="false">SUMPRODUCT(MMULT(F72:O72,_XtX!$B$58:$K$67),F72:O72)</f>
        <v>0.280407967862216</v>
      </c>
      <c r="R72" s="55" t="n">
        <f aca="false">P72-04_回帰ANOVA!$K$19*04_回帰ANOVA!$K$14*SQRT(1+Q72)</f>
        <v>49.5512403821876</v>
      </c>
      <c r="S72" s="55" t="n">
        <f aca="false">P72+04_回帰ANOVA!$K$19*04_回帰ANOVA!$K$14*SQRT(1+Q72)</f>
        <v>51.6553618905397</v>
      </c>
      <c r="T72" s="54" t="b">
        <f aca="false">AND(C72&gt;=01_因子設定!$L$5-0.000000001,C72&lt;=01_因子設定!$M$5+0.000000001,D72&gt;=01_因子設定!$L$6-0.000000001,D72&lt;=01_因子設定!$M$6+0.000000001,E72&gt;=01_因子設定!$L$7-0.000000001,E72&lt;=01_因子設定!$M$7+0.000000001,IF(01_因子設定!$B$20="Box-Behnken",C72^2+D72^2+E72^2&lt;=2+0.000000001,TRUE()))</f>
        <v>1</v>
      </c>
      <c r="U72" s="55" t="n">
        <f aca="false">IF(T72,IF(01_因子設定!$B$13="最大化",R72-01_因子設定!$B$14,IF(01_因子設定!$B$13="最小化",01_因子設定!$B$15-S72,MIN(R72-01_因子設定!$B$14,01_因子設定!$B$15-S72))),-1E+030)</f>
        <v>1.05124038218762</v>
      </c>
      <c r="V72" s="55" t="n">
        <f aca="false">IF(U72&gt;=0,1,0)</f>
        <v>1</v>
      </c>
    </row>
    <row r="73" customFormat="false" ht="15" hidden="false" customHeight="false" outlineLevel="0" collapsed="false">
      <c r="A73" s="0" t="n">
        <v>1</v>
      </c>
      <c r="B73" s="0" t="n">
        <v>0.7</v>
      </c>
      <c r="C73" s="0" t="n">
        <f aca="false">B73</f>
        <v>0.7</v>
      </c>
      <c r="D73" s="57" t="n">
        <f aca="false">07_最適化!$B$7</f>
        <v>0.75</v>
      </c>
      <c r="E73" s="57" t="n">
        <f aca="false">07_最適化!$B$8</f>
        <v>0.625</v>
      </c>
      <c r="F73" s="55" t="n">
        <f aca="false">1</f>
        <v>1</v>
      </c>
      <c r="G73" s="55" t="n">
        <f aca="false">C73</f>
        <v>0.7</v>
      </c>
      <c r="H73" s="57" t="n">
        <f aca="false">D73</f>
        <v>0.75</v>
      </c>
      <c r="I73" s="57" t="n">
        <f aca="false">E73</f>
        <v>0.625</v>
      </c>
      <c r="J73" s="55" t="n">
        <f aca="false">C73*D73</f>
        <v>0.525</v>
      </c>
      <c r="K73" s="55" t="n">
        <f aca="false">C73*E73</f>
        <v>0.4375</v>
      </c>
      <c r="L73" s="55" t="n">
        <f aca="false">D73*E73</f>
        <v>0.46875</v>
      </c>
      <c r="M73" s="55" t="n">
        <f aca="false">C73*C73</f>
        <v>0.49</v>
      </c>
      <c r="N73" s="55" t="n">
        <f aca="false">D73*D73</f>
        <v>0.5625</v>
      </c>
      <c r="O73" s="55" t="n">
        <f aca="false">E73*E73</f>
        <v>0.390625</v>
      </c>
      <c r="P73" s="55" t="n">
        <f aca="false">SUMPRODUCT(F73:O73,_XtX!$B$71:$K$71)</f>
        <v>50.6042698863636</v>
      </c>
      <c r="Q73" s="55" t="n">
        <f aca="false">SUMPRODUCT(MMULT(F73:O73,_XtX!$B$58:$K$67),F73:O73)</f>
        <v>0.287700692471591</v>
      </c>
      <c r="R73" s="55" t="n">
        <f aca="false">P73-04_回帰ANOVA!$K$19*04_回帰ANOVA!$K$14*SQRT(1+Q73)</f>
        <v>49.54921731404</v>
      </c>
      <c r="S73" s="55" t="n">
        <f aca="false">P73+04_回帰ANOVA!$K$19*04_回帰ANOVA!$K$14*SQRT(1+Q73)</f>
        <v>51.6593224586873</v>
      </c>
      <c r="T73" s="54" t="b">
        <f aca="false">AND(C73&gt;=01_因子設定!$L$5-0.000000001,C73&lt;=01_因子設定!$M$5+0.000000001,D73&gt;=01_因子設定!$L$6-0.000000001,D73&lt;=01_因子設定!$M$6+0.000000001,E73&gt;=01_因子設定!$L$7-0.000000001,E73&lt;=01_因子設定!$M$7+0.000000001,IF(01_因子設定!$B$20="Box-Behnken",C73^2+D73^2+E73^2&lt;=2+0.000000001,TRUE()))</f>
        <v>1</v>
      </c>
      <c r="U73" s="55" t="n">
        <f aca="false">IF(T73,IF(01_因子設定!$B$13="最大化",R73-01_因子設定!$B$14,IF(01_因子設定!$B$13="最小化",01_因子設定!$B$15-S73,MIN(R73-01_因子設定!$B$14,01_因子設定!$B$15-S73))),-1E+030)</f>
        <v>1.04921731403997</v>
      </c>
      <c r="V73" s="55" t="n">
        <f aca="false">IF(U73&gt;=0,1,0)</f>
        <v>1</v>
      </c>
    </row>
    <row r="74" customFormat="false" ht="15" hidden="false" customHeight="false" outlineLevel="0" collapsed="false">
      <c r="A74" s="0" t="n">
        <v>1</v>
      </c>
      <c r="B74" s="0" t="n">
        <v>0.725</v>
      </c>
      <c r="C74" s="0" t="n">
        <f aca="false">B74</f>
        <v>0.725</v>
      </c>
      <c r="D74" s="57" t="n">
        <f aca="false">07_最適化!$B$7</f>
        <v>0.75</v>
      </c>
      <c r="E74" s="57" t="n">
        <f aca="false">07_最適化!$B$8</f>
        <v>0.625</v>
      </c>
      <c r="F74" s="55" t="n">
        <f aca="false">1</f>
        <v>1</v>
      </c>
      <c r="G74" s="55" t="n">
        <f aca="false">C74</f>
        <v>0.725</v>
      </c>
      <c r="H74" s="57" t="n">
        <f aca="false">D74</f>
        <v>0.75</v>
      </c>
      <c r="I74" s="57" t="n">
        <f aca="false">E74</f>
        <v>0.625</v>
      </c>
      <c r="J74" s="55" t="n">
        <f aca="false">C74*D74</f>
        <v>0.54375</v>
      </c>
      <c r="K74" s="55" t="n">
        <f aca="false">C74*E74</f>
        <v>0.453125</v>
      </c>
      <c r="L74" s="55" t="n">
        <f aca="false">D74*E74</f>
        <v>0.46875</v>
      </c>
      <c r="M74" s="55" t="n">
        <f aca="false">C74*C74</f>
        <v>0.525625</v>
      </c>
      <c r="N74" s="55" t="n">
        <f aca="false">D74*D74</f>
        <v>0.5625</v>
      </c>
      <c r="O74" s="55" t="n">
        <f aca="false">E74*E74</f>
        <v>0.390625</v>
      </c>
      <c r="P74" s="55" t="n">
        <f aca="false">SUMPRODUCT(F74:O74,_XtX!$B$71:$K$71)</f>
        <v>50.6021420454546</v>
      </c>
      <c r="Q74" s="55" t="n">
        <f aca="false">SUMPRODUCT(MMULT(F74:O74,_XtX!$B$58:$K$67),F74:O74)</f>
        <v>0.29616542524858</v>
      </c>
      <c r="R74" s="55" t="n">
        <f aca="false">P74-04_回帰ANOVA!$K$19*04_回帰ANOVA!$K$14*SQRT(1+Q74)</f>
        <v>49.5436274459781</v>
      </c>
      <c r="S74" s="55" t="n">
        <f aca="false">P74+04_回帰ANOVA!$K$19*04_回帰ANOVA!$K$14*SQRT(1+Q74)</f>
        <v>51.660656644931</v>
      </c>
      <c r="T74" s="54" t="b">
        <f aca="false">AND(C74&gt;=01_因子設定!$L$5-0.000000001,C74&lt;=01_因子設定!$M$5+0.000000001,D74&gt;=01_因子設定!$L$6-0.000000001,D74&lt;=01_因子設定!$M$6+0.000000001,E74&gt;=01_因子設定!$L$7-0.000000001,E74&lt;=01_因子設定!$M$7+0.000000001,IF(01_因子設定!$B$20="Box-Behnken",C74^2+D74^2+E74^2&lt;=2+0.000000001,TRUE()))</f>
        <v>1</v>
      </c>
      <c r="U74" s="55" t="n">
        <f aca="false">IF(T74,IF(01_因子設定!$B$13="最大化",R74-01_因子設定!$B$14,IF(01_因子設定!$B$13="最小化",01_因子設定!$B$15-S74,MIN(R74-01_因子設定!$B$14,01_因子設定!$B$15-S74))),-1E+030)</f>
        <v>1.0436274459781</v>
      </c>
      <c r="V74" s="55" t="n">
        <f aca="false">IF(U74&gt;=0,1,0)</f>
        <v>1</v>
      </c>
    </row>
    <row r="75" customFormat="false" ht="15" hidden="false" customHeight="false" outlineLevel="0" collapsed="false">
      <c r="A75" s="0" t="n">
        <v>1</v>
      </c>
      <c r="B75" s="0" t="n">
        <v>0.75</v>
      </c>
      <c r="C75" s="0" t="n">
        <f aca="false">B75</f>
        <v>0.75</v>
      </c>
      <c r="D75" s="57" t="n">
        <f aca="false">07_最適化!$B$7</f>
        <v>0.75</v>
      </c>
      <c r="E75" s="57" t="n">
        <f aca="false">07_最適化!$B$8</f>
        <v>0.625</v>
      </c>
      <c r="F75" s="55" t="n">
        <f aca="false">1</f>
        <v>1</v>
      </c>
      <c r="G75" s="55" t="n">
        <f aca="false">C75</f>
        <v>0.75</v>
      </c>
      <c r="H75" s="57" t="n">
        <f aca="false">D75</f>
        <v>0.75</v>
      </c>
      <c r="I75" s="57" t="n">
        <f aca="false">E75</f>
        <v>0.625</v>
      </c>
      <c r="J75" s="55" t="n">
        <f aca="false">C75*D75</f>
        <v>0.5625</v>
      </c>
      <c r="K75" s="55" t="n">
        <f aca="false">C75*E75</f>
        <v>0.46875</v>
      </c>
      <c r="L75" s="55" t="n">
        <f aca="false">D75*E75</f>
        <v>0.46875</v>
      </c>
      <c r="M75" s="55" t="n">
        <f aca="false">C75*C75</f>
        <v>0.5625</v>
      </c>
      <c r="N75" s="55" t="n">
        <f aca="false">D75*D75</f>
        <v>0.5625</v>
      </c>
      <c r="O75" s="55" t="n">
        <f aca="false">E75*E75</f>
        <v>0.390625</v>
      </c>
      <c r="P75" s="55" t="n">
        <f aca="false">SUMPRODUCT(F75:O75,_XtX!$B$71:$K$71)</f>
        <v>50.5969176136364</v>
      </c>
      <c r="Q75" s="55" t="n">
        <f aca="false">SUMPRODUCT(MMULT(F75:O75,_XtX!$B$58:$K$67),F75:O75)</f>
        <v>0.305899325284091</v>
      </c>
      <c r="R75" s="55" t="n">
        <f aca="false">P75-04_回帰ANOVA!$K$19*04_回帰ANOVA!$K$14*SQRT(1+Q75)</f>
        <v>49.5344358494682</v>
      </c>
      <c r="S75" s="55" t="n">
        <f aca="false">P75+04_回帰ANOVA!$K$19*04_回帰ANOVA!$K$14*SQRT(1+Q75)</f>
        <v>51.6593993778045</v>
      </c>
      <c r="T75" s="54" t="b">
        <f aca="false">AND(C75&gt;=01_因子設定!$L$5-0.000000001,C75&lt;=01_因子設定!$M$5+0.000000001,D75&gt;=01_因子設定!$L$6-0.000000001,D75&lt;=01_因子設定!$M$6+0.000000001,E75&gt;=01_因子設定!$L$7-0.000000001,E75&lt;=01_因子設定!$M$7+0.000000001,IF(01_因子設定!$B$20="Box-Behnken",C75^2+D75^2+E75^2&lt;=2+0.000000001,TRUE()))</f>
        <v>1</v>
      </c>
      <c r="U75" s="55" t="n">
        <f aca="false">IF(T75,IF(01_因子設定!$B$13="最大化",R75-01_因子設定!$B$14,IF(01_因子設定!$B$13="最小化",01_因子設定!$B$15-S75,MIN(R75-01_因子設定!$B$14,01_因子設定!$B$15-S75))),-1E+030)</f>
        <v>1.03443584946821</v>
      </c>
      <c r="V75" s="55" t="n">
        <f aca="false">IF(U75&gt;=0,1,0)</f>
        <v>1</v>
      </c>
    </row>
    <row r="76" customFormat="false" ht="15" hidden="false" customHeight="false" outlineLevel="0" collapsed="false">
      <c r="A76" s="0" t="n">
        <v>1</v>
      </c>
      <c r="B76" s="0" t="n">
        <v>0.775</v>
      </c>
      <c r="C76" s="0" t="n">
        <f aca="false">B76</f>
        <v>0.775</v>
      </c>
      <c r="D76" s="57" t="n">
        <f aca="false">07_最適化!$B$7</f>
        <v>0.75</v>
      </c>
      <c r="E76" s="57" t="n">
        <f aca="false">07_最適化!$B$8</f>
        <v>0.625</v>
      </c>
      <c r="F76" s="55" t="n">
        <f aca="false">1</f>
        <v>1</v>
      </c>
      <c r="G76" s="55" t="n">
        <f aca="false">C76</f>
        <v>0.775</v>
      </c>
      <c r="H76" s="57" t="n">
        <f aca="false">D76</f>
        <v>0.75</v>
      </c>
      <c r="I76" s="57" t="n">
        <f aca="false">E76</f>
        <v>0.625</v>
      </c>
      <c r="J76" s="55" t="n">
        <f aca="false">C76*D76</f>
        <v>0.58125</v>
      </c>
      <c r="K76" s="55" t="n">
        <f aca="false">C76*E76</f>
        <v>0.484375</v>
      </c>
      <c r="L76" s="55" t="n">
        <f aca="false">D76*E76</f>
        <v>0.46875</v>
      </c>
      <c r="M76" s="55" t="n">
        <f aca="false">C76*C76</f>
        <v>0.600625</v>
      </c>
      <c r="N76" s="55" t="n">
        <f aca="false">D76*D76</f>
        <v>0.5625</v>
      </c>
      <c r="O76" s="55" t="n">
        <f aca="false">E76*E76</f>
        <v>0.390625</v>
      </c>
      <c r="P76" s="55" t="n">
        <f aca="false">SUMPRODUCT(F76:O76,_XtX!$B$71:$K$71)</f>
        <v>50.5885965909091</v>
      </c>
      <c r="Q76" s="55" t="n">
        <f aca="false">SUMPRODUCT(MMULT(F76:O76,_XtX!$B$58:$K$67),F76:O76)</f>
        <v>0.317002960759943</v>
      </c>
      <c r="R76" s="55" t="n">
        <f aca="false">P76-04_回帰ANOVA!$K$19*04_回帰ANOVA!$K$14*SQRT(1+Q76)</f>
        <v>49.5216074199873</v>
      </c>
      <c r="S76" s="55" t="n">
        <f aca="false">P76+04_回帰ANOVA!$K$19*04_回帰ANOVA!$K$14*SQRT(1+Q76)</f>
        <v>51.6555857618309</v>
      </c>
      <c r="T76" s="54" t="b">
        <f aca="false">AND(C76&gt;=01_因子設定!$L$5-0.000000001,C76&lt;=01_因子設定!$M$5+0.000000001,D76&gt;=01_因子設定!$L$6-0.000000001,D76&lt;=01_因子設定!$M$6+0.000000001,E76&gt;=01_因子設定!$L$7-0.000000001,E76&lt;=01_因子設定!$M$7+0.000000001,IF(01_因子設定!$B$20="Box-Behnken",C76^2+D76^2+E76^2&lt;=2+0.000000001,TRUE()))</f>
        <v>1</v>
      </c>
      <c r="U76" s="55" t="n">
        <f aca="false">IF(T76,IF(01_因子設定!$B$13="最大化",R76-01_因子設定!$B$14,IF(01_因子設定!$B$13="最小化",01_因子設定!$B$15-S76,MIN(R76-01_因子設定!$B$14,01_因子設定!$B$15-S76))),-1E+030)</f>
        <v>1.0216074199873</v>
      </c>
      <c r="V76" s="55" t="n">
        <f aca="false">IF(U76&gt;=0,1,0)</f>
        <v>1</v>
      </c>
    </row>
    <row r="77" customFormat="false" ht="15" hidden="false" customHeight="false" outlineLevel="0" collapsed="false">
      <c r="A77" s="0" t="n">
        <v>1</v>
      </c>
      <c r="B77" s="0" t="n">
        <v>0.8</v>
      </c>
      <c r="C77" s="0" t="n">
        <f aca="false">B77</f>
        <v>0.8</v>
      </c>
      <c r="D77" s="57" t="n">
        <f aca="false">07_最適化!$B$7</f>
        <v>0.75</v>
      </c>
      <c r="E77" s="57" t="n">
        <f aca="false">07_最適化!$B$8</f>
        <v>0.625</v>
      </c>
      <c r="F77" s="55" t="n">
        <f aca="false">1</f>
        <v>1</v>
      </c>
      <c r="G77" s="55" t="n">
        <f aca="false">C77</f>
        <v>0.8</v>
      </c>
      <c r="H77" s="57" t="n">
        <f aca="false">D77</f>
        <v>0.75</v>
      </c>
      <c r="I77" s="57" t="n">
        <f aca="false">E77</f>
        <v>0.625</v>
      </c>
      <c r="J77" s="55" t="n">
        <f aca="false">C77*D77</f>
        <v>0.6</v>
      </c>
      <c r="K77" s="55" t="n">
        <f aca="false">C77*E77</f>
        <v>0.5</v>
      </c>
      <c r="L77" s="55" t="n">
        <f aca="false">D77*E77</f>
        <v>0.46875</v>
      </c>
      <c r="M77" s="55" t="n">
        <f aca="false">C77*C77</f>
        <v>0.64</v>
      </c>
      <c r="N77" s="55" t="n">
        <f aca="false">D77*D77</f>
        <v>0.5625</v>
      </c>
      <c r="O77" s="55" t="n">
        <f aca="false">E77*E77</f>
        <v>0.390625</v>
      </c>
      <c r="P77" s="55" t="n">
        <f aca="false">SUMPRODUCT(F77:O77,_XtX!$B$71:$K$71)</f>
        <v>50.5771789772727</v>
      </c>
      <c r="Q77" s="55" t="n">
        <f aca="false">SUMPRODUCT(MMULT(F77:O77,_XtX!$B$58:$K$67),F77:O77)</f>
        <v>0.329580308948864</v>
      </c>
      <c r="R77" s="55" t="n">
        <f aca="false">P77-04_回帰ANOVA!$K$19*04_回帰ANOVA!$K$14*SQRT(1+Q77)</f>
        <v>49.5051070514607</v>
      </c>
      <c r="S77" s="55" t="n">
        <f aca="false">P77+04_回帰ANOVA!$K$19*04_回帰ANOVA!$K$14*SQRT(1+Q77)</f>
        <v>51.6492509030848</v>
      </c>
      <c r="T77" s="54" t="b">
        <f aca="false">AND(C77&gt;=01_因子設定!$L$5-0.000000001,C77&lt;=01_因子設定!$M$5+0.000000001,D77&gt;=01_因子設定!$L$6-0.000000001,D77&lt;=01_因子設定!$M$6+0.000000001,E77&gt;=01_因子設定!$L$7-0.000000001,E77&lt;=01_因子設定!$M$7+0.000000001,IF(01_因子設定!$B$20="Box-Behnken",C77^2+D77^2+E77^2&lt;=2+0.000000001,TRUE()))</f>
        <v>1</v>
      </c>
      <c r="U77" s="55" t="n">
        <f aca="false">IF(T77,IF(01_因子設定!$B$13="最大化",R77-01_因子設定!$B$14,IF(01_因子設定!$B$13="最小化",01_因子設定!$B$15-S77,MIN(R77-01_因子設定!$B$14,01_因子設定!$B$15-S77))),-1E+030)</f>
        <v>1.00510705146066</v>
      </c>
      <c r="V77" s="55" t="n">
        <f aca="false">IF(U77&gt;=0,1,0)</f>
        <v>1</v>
      </c>
    </row>
    <row r="78" customFormat="false" ht="15" hidden="false" customHeight="false" outlineLevel="0" collapsed="false">
      <c r="A78" s="0" t="n">
        <v>1</v>
      </c>
      <c r="B78" s="0" t="n">
        <v>0.825</v>
      </c>
      <c r="C78" s="0" t="n">
        <f aca="false">B78</f>
        <v>0.825</v>
      </c>
      <c r="D78" s="57" t="n">
        <f aca="false">07_最適化!$B$7</f>
        <v>0.75</v>
      </c>
      <c r="E78" s="57" t="n">
        <f aca="false">07_最適化!$B$8</f>
        <v>0.625</v>
      </c>
      <c r="F78" s="55" t="n">
        <f aca="false">1</f>
        <v>1</v>
      </c>
      <c r="G78" s="55" t="n">
        <f aca="false">C78</f>
        <v>0.825</v>
      </c>
      <c r="H78" s="57" t="n">
        <f aca="false">D78</f>
        <v>0.75</v>
      </c>
      <c r="I78" s="57" t="n">
        <f aca="false">E78</f>
        <v>0.625</v>
      </c>
      <c r="J78" s="55" t="n">
        <f aca="false">C78*D78</f>
        <v>0.61875</v>
      </c>
      <c r="K78" s="55" t="n">
        <f aca="false">C78*E78</f>
        <v>0.515625</v>
      </c>
      <c r="L78" s="55" t="n">
        <f aca="false">D78*E78</f>
        <v>0.46875</v>
      </c>
      <c r="M78" s="55" t="n">
        <f aca="false">C78*C78</f>
        <v>0.680625</v>
      </c>
      <c r="N78" s="55" t="n">
        <f aca="false">D78*D78</f>
        <v>0.5625</v>
      </c>
      <c r="O78" s="55" t="n">
        <f aca="false">E78*E78</f>
        <v>0.390625</v>
      </c>
      <c r="P78" s="55" t="n">
        <f aca="false">SUMPRODUCT(F78:O78,_XtX!$B$71:$K$71)</f>
        <v>50.5626647727273</v>
      </c>
      <c r="Q78" s="55" t="n">
        <f aca="false">SUMPRODUCT(MMULT(F78:O78,_XtX!$B$58:$K$67),F78:O78)</f>
        <v>0.343738756214489</v>
      </c>
      <c r="R78" s="55" t="n">
        <f aca="false">P78-04_回帰ANOVA!$K$19*04_回帰ANOVA!$K$14*SQRT(1+Q78)</f>
        <v>49.4848998179854</v>
      </c>
      <c r="S78" s="55" t="n">
        <f aca="false">P78+04_回帰ANOVA!$K$19*04_回帰ANOVA!$K$14*SQRT(1+Q78)</f>
        <v>51.6404297274692</v>
      </c>
      <c r="T78" s="54" t="b">
        <f aca="false">AND(C78&gt;=01_因子設定!$L$5-0.000000001,C78&lt;=01_因子設定!$M$5+0.000000001,D78&gt;=01_因子設定!$L$6-0.000000001,D78&lt;=01_因子設定!$M$6+0.000000001,E78&gt;=01_因子設定!$L$7-0.000000001,E78&lt;=01_因子設定!$M$7+0.000000001,IF(01_因子設定!$B$20="Box-Behnken",C78^2+D78^2+E78^2&lt;=2+0.000000001,TRUE()))</f>
        <v>1</v>
      </c>
      <c r="U78" s="55" t="n">
        <f aca="false">IF(T78,IF(01_因子設定!$B$13="最大化",R78-01_因子設定!$B$14,IF(01_因子設定!$B$13="最小化",01_因子設定!$B$15-S78,MIN(R78-01_因子設定!$B$14,01_因子設定!$B$15-S78))),-1E+030)</f>
        <v>0.984899817985358</v>
      </c>
      <c r="V78" s="55" t="n">
        <f aca="false">IF(U78&gt;=0,1,0)</f>
        <v>1</v>
      </c>
    </row>
    <row r="79" customFormat="false" ht="15" hidden="false" customHeight="false" outlineLevel="0" collapsed="false">
      <c r="A79" s="0" t="n">
        <v>1</v>
      </c>
      <c r="B79" s="0" t="n">
        <v>0.85</v>
      </c>
      <c r="C79" s="0" t="n">
        <f aca="false">B79</f>
        <v>0.85</v>
      </c>
      <c r="D79" s="57" t="n">
        <f aca="false">07_最適化!$B$7</f>
        <v>0.75</v>
      </c>
      <c r="E79" s="57" t="n">
        <f aca="false">07_最適化!$B$8</f>
        <v>0.625</v>
      </c>
      <c r="F79" s="55" t="n">
        <f aca="false">1</f>
        <v>1</v>
      </c>
      <c r="G79" s="55" t="n">
        <f aca="false">C79</f>
        <v>0.85</v>
      </c>
      <c r="H79" s="57" t="n">
        <f aca="false">D79</f>
        <v>0.75</v>
      </c>
      <c r="I79" s="57" t="n">
        <f aca="false">E79</f>
        <v>0.625</v>
      </c>
      <c r="J79" s="55" t="n">
        <f aca="false">C79*D79</f>
        <v>0.6375</v>
      </c>
      <c r="K79" s="55" t="n">
        <f aca="false">C79*E79</f>
        <v>0.53125</v>
      </c>
      <c r="L79" s="55" t="n">
        <f aca="false">D79*E79</f>
        <v>0.46875</v>
      </c>
      <c r="M79" s="55" t="n">
        <f aca="false">C79*C79</f>
        <v>0.7225</v>
      </c>
      <c r="N79" s="55" t="n">
        <f aca="false">D79*D79</f>
        <v>0.5625</v>
      </c>
      <c r="O79" s="55" t="n">
        <f aca="false">E79*E79</f>
        <v>0.390625</v>
      </c>
      <c r="P79" s="55" t="n">
        <f aca="false">SUMPRODUCT(F79:O79,_XtX!$B$71:$K$71)</f>
        <v>50.5450539772727</v>
      </c>
      <c r="Q79" s="55" t="n">
        <f aca="false">SUMPRODUCT(MMULT(F79:O79,_XtX!$B$58:$K$67),F79:O79)</f>
        <v>0.359589098011364</v>
      </c>
      <c r="R79" s="55" t="n">
        <f aca="false">P79-04_回帰ANOVA!$K$19*04_回帰ANOVA!$K$14*SQRT(1+Q79)</f>
        <v>49.46095116056</v>
      </c>
      <c r="S79" s="55" t="n">
        <f aca="false">P79+04_回帰ANOVA!$K$19*04_回帰ANOVA!$K$14*SQRT(1+Q79)</f>
        <v>51.6291567939855</v>
      </c>
      <c r="T79" s="54" t="b">
        <f aca="false">AND(C79&gt;=01_因子設定!$L$5-0.000000001,C79&lt;=01_因子設定!$M$5+0.000000001,D79&gt;=01_因子設定!$L$6-0.000000001,D79&lt;=01_因子設定!$M$6+0.000000001,E79&gt;=01_因子設定!$L$7-0.000000001,E79&lt;=01_因子設定!$M$7+0.000000001,IF(01_因子設定!$B$20="Box-Behnken",C79^2+D79^2+E79^2&lt;=2+0.000000001,TRUE()))</f>
        <v>1</v>
      </c>
      <c r="U79" s="55" t="n">
        <f aca="false">IF(T79,IF(01_因子設定!$B$13="最大化",R79-01_因子設定!$B$14,IF(01_因子設定!$B$13="最小化",01_因子設定!$B$15-S79,MIN(R79-01_因子設定!$B$14,01_因子設定!$B$15-S79))),-1E+030)</f>
        <v>0.960951160560008</v>
      </c>
      <c r="V79" s="55" t="n">
        <f aca="false">IF(U79&gt;=0,1,0)</f>
        <v>1</v>
      </c>
    </row>
    <row r="80" customFormat="false" ht="15" hidden="false" customHeight="false" outlineLevel="0" collapsed="false">
      <c r="A80" s="0" t="n">
        <v>1</v>
      </c>
      <c r="B80" s="0" t="n">
        <v>0.875</v>
      </c>
      <c r="C80" s="0" t="n">
        <f aca="false">B80</f>
        <v>0.875</v>
      </c>
      <c r="D80" s="57" t="n">
        <f aca="false">07_最適化!$B$7</f>
        <v>0.75</v>
      </c>
      <c r="E80" s="57" t="n">
        <f aca="false">07_最適化!$B$8</f>
        <v>0.625</v>
      </c>
      <c r="F80" s="55" t="n">
        <f aca="false">1</f>
        <v>1</v>
      </c>
      <c r="G80" s="55" t="n">
        <f aca="false">C80</f>
        <v>0.875</v>
      </c>
      <c r="H80" s="57" t="n">
        <f aca="false">D80</f>
        <v>0.75</v>
      </c>
      <c r="I80" s="57" t="n">
        <f aca="false">E80</f>
        <v>0.625</v>
      </c>
      <c r="J80" s="55" t="n">
        <f aca="false">C80*D80</f>
        <v>0.65625</v>
      </c>
      <c r="K80" s="55" t="n">
        <f aca="false">C80*E80</f>
        <v>0.546875</v>
      </c>
      <c r="L80" s="55" t="n">
        <f aca="false">D80*E80</f>
        <v>0.46875</v>
      </c>
      <c r="M80" s="55" t="n">
        <f aca="false">C80*C80</f>
        <v>0.765625</v>
      </c>
      <c r="N80" s="55" t="n">
        <f aca="false">D80*D80</f>
        <v>0.5625</v>
      </c>
      <c r="O80" s="55" t="n">
        <f aca="false">E80*E80</f>
        <v>0.390625</v>
      </c>
      <c r="P80" s="55" t="n">
        <f aca="false">SUMPRODUCT(F80:O80,_XtX!$B$71:$K$71)</f>
        <v>50.5243465909091</v>
      </c>
      <c r="Q80" s="55" t="n">
        <f aca="false">SUMPRODUCT(MMULT(F80:O80,_XtX!$B$58:$K$67),F80:O80)</f>
        <v>0.377245538884943</v>
      </c>
      <c r="R80" s="55" t="n">
        <f aca="false">P80-04_回帰ANOVA!$K$19*04_回帰ANOVA!$K$14*SQRT(1+Q80)</f>
        <v>49.4332270762198</v>
      </c>
      <c r="S80" s="55" t="n">
        <f aca="false">P80+04_回帰ANOVA!$K$19*04_回帰ANOVA!$K$14*SQRT(1+Q80)</f>
        <v>51.6154661055984</v>
      </c>
      <c r="T80" s="54" t="b">
        <f aca="false">AND(C80&gt;=01_因子設定!$L$5-0.000000001,C80&lt;=01_因子設定!$M$5+0.000000001,D80&gt;=01_因子設定!$L$6-0.000000001,D80&lt;=01_因子設定!$M$6+0.000000001,E80&gt;=01_因子設定!$L$7-0.000000001,E80&lt;=01_因子設定!$M$7+0.000000001,IF(01_因子設定!$B$20="Box-Behnken",C80^2+D80^2+E80^2&lt;=2+0.000000001,TRUE()))</f>
        <v>1</v>
      </c>
      <c r="U80" s="55" t="n">
        <f aca="false">IF(T80,IF(01_因子設定!$B$13="最大化",R80-01_因子設定!$B$14,IF(01_因子設定!$B$13="最小化",01_因子設定!$B$15-S80,MIN(R80-01_因子設定!$B$14,01_因子設定!$B$15-S80))),-1E+030)</f>
        <v>0.933227076219815</v>
      </c>
      <c r="V80" s="55" t="n">
        <f aca="false">IF(U80&gt;=0,1,0)</f>
        <v>1</v>
      </c>
    </row>
    <row r="81" customFormat="false" ht="15" hidden="false" customHeight="false" outlineLevel="0" collapsed="false">
      <c r="A81" s="0" t="n">
        <v>1</v>
      </c>
      <c r="B81" s="0" t="n">
        <v>0.9</v>
      </c>
      <c r="C81" s="0" t="n">
        <f aca="false">B81</f>
        <v>0.9</v>
      </c>
      <c r="D81" s="57" t="n">
        <f aca="false">07_最適化!$B$7</f>
        <v>0.75</v>
      </c>
      <c r="E81" s="57" t="n">
        <f aca="false">07_最適化!$B$8</f>
        <v>0.625</v>
      </c>
      <c r="F81" s="55" t="n">
        <f aca="false">1</f>
        <v>1</v>
      </c>
      <c r="G81" s="55" t="n">
        <f aca="false">C81</f>
        <v>0.9</v>
      </c>
      <c r="H81" s="57" t="n">
        <f aca="false">D81</f>
        <v>0.75</v>
      </c>
      <c r="I81" s="57" t="n">
        <f aca="false">E81</f>
        <v>0.625</v>
      </c>
      <c r="J81" s="55" t="n">
        <f aca="false">C81*D81</f>
        <v>0.675</v>
      </c>
      <c r="K81" s="55" t="n">
        <f aca="false">C81*E81</f>
        <v>0.5625</v>
      </c>
      <c r="L81" s="55" t="n">
        <f aca="false">D81*E81</f>
        <v>0.46875</v>
      </c>
      <c r="M81" s="55" t="n">
        <f aca="false">C81*C81</f>
        <v>0.81</v>
      </c>
      <c r="N81" s="55" t="n">
        <f aca="false">D81*D81</f>
        <v>0.5625</v>
      </c>
      <c r="O81" s="55" t="n">
        <f aca="false">E81*E81</f>
        <v>0.390625</v>
      </c>
      <c r="P81" s="55" t="n">
        <f aca="false">SUMPRODUCT(F81:O81,_XtX!$B$71:$K$71)</f>
        <v>50.5005426136364</v>
      </c>
      <c r="Q81" s="55" t="n">
        <f aca="false">SUMPRODUCT(MMULT(F81:O81,_XtX!$B$58:$K$67),F81:O81)</f>
        <v>0.396825692471591</v>
      </c>
      <c r="R81" s="55" t="n">
        <f aca="false">P81-04_回帰ANOVA!$K$19*04_回帰ANOVA!$K$14*SQRT(1+Q81)</f>
        <v>49.4016943067145</v>
      </c>
      <c r="S81" s="55" t="n">
        <f aca="false">P81+04_回帰ANOVA!$K$19*04_回帰ANOVA!$K$14*SQRT(1+Q81)</f>
        <v>51.5993909205582</v>
      </c>
      <c r="T81" s="54" t="b">
        <f aca="false">AND(C81&gt;=01_因子設定!$L$5-0.000000001,C81&lt;=01_因子設定!$M$5+0.000000001,D81&gt;=01_因子設定!$L$6-0.000000001,D81&lt;=01_因子設定!$M$6+0.000000001,E81&gt;=01_因子設定!$L$7-0.000000001,E81&lt;=01_因子設定!$M$7+0.000000001,IF(01_因子設定!$B$20="Box-Behnken",C81^2+D81^2+E81^2&lt;=2+0.000000001,TRUE()))</f>
        <v>1</v>
      </c>
      <c r="U81" s="55" t="n">
        <f aca="false">IF(T81,IF(01_因子設定!$B$13="最大化",R81-01_因子設定!$B$14,IF(01_因子設定!$B$13="最小化",01_因子設定!$B$15-S81,MIN(R81-01_因子設定!$B$14,01_因子設定!$B$15-S81))),-1E+030)</f>
        <v>0.901694306714489</v>
      </c>
      <c r="V81" s="55" t="n">
        <f aca="false">IF(U81&gt;=0,1,0)</f>
        <v>1</v>
      </c>
    </row>
    <row r="82" customFormat="false" ht="15" hidden="false" customHeight="false" outlineLevel="0" collapsed="false">
      <c r="A82" s="0" t="n">
        <v>1</v>
      </c>
      <c r="B82" s="0" t="n">
        <v>0.925</v>
      </c>
      <c r="C82" s="0" t="n">
        <f aca="false">B82</f>
        <v>0.925</v>
      </c>
      <c r="D82" s="57" t="n">
        <f aca="false">07_最適化!$B$7</f>
        <v>0.75</v>
      </c>
      <c r="E82" s="57" t="n">
        <f aca="false">07_最適化!$B$8</f>
        <v>0.625</v>
      </c>
      <c r="F82" s="55" t="n">
        <f aca="false">1</f>
        <v>1</v>
      </c>
      <c r="G82" s="55" t="n">
        <f aca="false">C82</f>
        <v>0.925</v>
      </c>
      <c r="H82" s="57" t="n">
        <f aca="false">D82</f>
        <v>0.75</v>
      </c>
      <c r="I82" s="57" t="n">
        <f aca="false">E82</f>
        <v>0.625</v>
      </c>
      <c r="J82" s="55" t="n">
        <f aca="false">C82*D82</f>
        <v>0.69375</v>
      </c>
      <c r="K82" s="55" t="n">
        <f aca="false">C82*E82</f>
        <v>0.578125</v>
      </c>
      <c r="L82" s="55" t="n">
        <f aca="false">D82*E82</f>
        <v>0.46875</v>
      </c>
      <c r="M82" s="55" t="n">
        <f aca="false">C82*C82</f>
        <v>0.855625</v>
      </c>
      <c r="N82" s="55" t="n">
        <f aca="false">D82*D82</f>
        <v>0.5625</v>
      </c>
      <c r="O82" s="55" t="n">
        <f aca="false">E82*E82</f>
        <v>0.390625</v>
      </c>
      <c r="P82" s="55" t="n">
        <f aca="false">SUMPRODUCT(F82:O82,_XtX!$B$71:$K$71)</f>
        <v>50.4736420454546</v>
      </c>
      <c r="Q82" s="55" t="n">
        <f aca="false">SUMPRODUCT(MMULT(F82:O82,_XtX!$B$58:$K$67),F82:O82)</f>
        <v>0.41845058149858</v>
      </c>
      <c r="R82" s="55" t="n">
        <f aca="false">P82-04_回帰ANOVA!$K$19*04_回帰ANOVA!$K$14*SQRT(1+Q82)</f>
        <v>49.3663205236834</v>
      </c>
      <c r="S82" s="55" t="n">
        <f aca="false">P82+04_回帰ANOVA!$K$19*04_回帰ANOVA!$K$14*SQRT(1+Q82)</f>
        <v>51.5809635672257</v>
      </c>
      <c r="T82" s="54" t="b">
        <f aca="false">AND(C82&gt;=01_因子設定!$L$5-0.000000001,C82&lt;=01_因子設定!$M$5+0.000000001,D82&gt;=01_因子設定!$L$6-0.000000001,D82&lt;=01_因子設定!$M$6+0.000000001,E82&gt;=01_因子設定!$L$7-0.000000001,E82&lt;=01_因子設定!$M$7+0.000000001,IF(01_因子設定!$B$20="Box-Behnken",C82^2+D82^2+E82^2&lt;=2+0.000000001,TRUE()))</f>
        <v>1</v>
      </c>
      <c r="U82" s="55" t="n">
        <f aca="false">IF(T82,IF(01_因子設定!$B$13="最大化",R82-01_因子設定!$B$14,IF(01_因子設定!$B$13="最小化",01_因子設定!$B$15-S82,MIN(R82-01_因子設定!$B$14,01_因子設定!$B$15-S82))),-1E+030)</f>
        <v>0.866320523683399</v>
      </c>
      <c r="V82" s="55" t="n">
        <f aca="false">IF(U82&gt;=0,1,0)</f>
        <v>1</v>
      </c>
    </row>
    <row r="83" customFormat="false" ht="15" hidden="false" customHeight="false" outlineLevel="0" collapsed="false">
      <c r="A83" s="0" t="n">
        <v>1</v>
      </c>
      <c r="B83" s="0" t="n">
        <v>0.95</v>
      </c>
      <c r="C83" s="0" t="n">
        <f aca="false">B83</f>
        <v>0.95</v>
      </c>
      <c r="D83" s="57" t="n">
        <f aca="false">07_最適化!$B$7</f>
        <v>0.75</v>
      </c>
      <c r="E83" s="57" t="n">
        <f aca="false">07_最適化!$B$8</f>
        <v>0.625</v>
      </c>
      <c r="F83" s="55" t="n">
        <f aca="false">1</f>
        <v>1</v>
      </c>
      <c r="G83" s="55" t="n">
        <f aca="false">C83</f>
        <v>0.95</v>
      </c>
      <c r="H83" s="57" t="n">
        <f aca="false">D83</f>
        <v>0.75</v>
      </c>
      <c r="I83" s="57" t="n">
        <f aca="false">E83</f>
        <v>0.625</v>
      </c>
      <c r="J83" s="55" t="n">
        <f aca="false">C83*D83</f>
        <v>0.7125</v>
      </c>
      <c r="K83" s="55" t="n">
        <f aca="false">C83*E83</f>
        <v>0.59375</v>
      </c>
      <c r="L83" s="55" t="n">
        <f aca="false">D83*E83</f>
        <v>0.46875</v>
      </c>
      <c r="M83" s="55" t="n">
        <f aca="false">C83*C83</f>
        <v>0.9025</v>
      </c>
      <c r="N83" s="55" t="n">
        <f aca="false">D83*D83</f>
        <v>0.5625</v>
      </c>
      <c r="O83" s="55" t="n">
        <f aca="false">E83*E83</f>
        <v>0.390625</v>
      </c>
      <c r="P83" s="55" t="n">
        <f aca="false">SUMPRODUCT(F83:O83,_XtX!$B$71:$K$71)</f>
        <v>50.4436448863636</v>
      </c>
      <c r="Q83" s="55" t="n">
        <f aca="false">SUMPRODUCT(MMULT(F83:O83,_XtX!$B$58:$K$67),F83:O83)</f>
        <v>0.442244637784091</v>
      </c>
      <c r="R83" s="55" t="n">
        <f aca="false">P83-04_回帰ANOVA!$K$19*04_回帰ANOVA!$K$14*SQRT(1+Q83)</f>
        <v>49.3270745071926</v>
      </c>
      <c r="S83" s="55" t="n">
        <f aca="false">P83+04_回帰ANOVA!$K$19*04_回帰ANOVA!$K$14*SQRT(1+Q83)</f>
        <v>51.5602152655347</v>
      </c>
      <c r="T83" s="54" t="b">
        <f aca="false">AND(C83&gt;=01_因子設定!$L$5-0.000000001,C83&lt;=01_因子設定!$M$5+0.000000001,D83&gt;=01_因子設定!$L$6-0.000000001,D83&lt;=01_因子設定!$M$6+0.000000001,E83&gt;=01_因子設定!$L$7-0.000000001,E83&lt;=01_因子設定!$M$7+0.000000001,IF(01_因子設定!$B$20="Box-Behnken",C83^2+D83^2+E83^2&lt;=2+0.000000001,TRUE()))</f>
        <v>1</v>
      </c>
      <c r="U83" s="55" t="n">
        <f aca="false">IF(T83,IF(01_因子設定!$B$13="最大化",R83-01_因子設定!$B$14,IF(01_因子設定!$B$13="最小化",01_因子設定!$B$15-S83,MIN(R83-01_因子設定!$B$14,01_因子設定!$B$15-S83))),-1E+030)</f>
        <v>0.827074507192592</v>
      </c>
      <c r="V83" s="55" t="n">
        <f aca="false">IF(U83&gt;=0,1,0)</f>
        <v>1</v>
      </c>
    </row>
    <row r="84" customFormat="false" ht="15" hidden="false" customHeight="false" outlineLevel="0" collapsed="false">
      <c r="A84" s="0" t="n">
        <v>1</v>
      </c>
      <c r="B84" s="0" t="n">
        <v>0.975</v>
      </c>
      <c r="C84" s="0" t="n">
        <f aca="false">B84</f>
        <v>0.975</v>
      </c>
      <c r="D84" s="57" t="n">
        <f aca="false">07_最適化!$B$7</f>
        <v>0.75</v>
      </c>
      <c r="E84" s="57" t="n">
        <f aca="false">07_最適化!$B$8</f>
        <v>0.625</v>
      </c>
      <c r="F84" s="55" t="n">
        <f aca="false">1</f>
        <v>1</v>
      </c>
      <c r="G84" s="55" t="n">
        <f aca="false">C84</f>
        <v>0.975</v>
      </c>
      <c r="H84" s="57" t="n">
        <f aca="false">D84</f>
        <v>0.75</v>
      </c>
      <c r="I84" s="57" t="n">
        <f aca="false">E84</f>
        <v>0.625</v>
      </c>
      <c r="J84" s="55" t="n">
        <f aca="false">C84*D84</f>
        <v>0.73125</v>
      </c>
      <c r="K84" s="55" t="n">
        <f aca="false">C84*E84</f>
        <v>0.609375</v>
      </c>
      <c r="L84" s="55" t="n">
        <f aca="false">D84*E84</f>
        <v>0.46875</v>
      </c>
      <c r="M84" s="55" t="n">
        <f aca="false">C84*C84</f>
        <v>0.950625</v>
      </c>
      <c r="N84" s="55" t="n">
        <f aca="false">D84*D84</f>
        <v>0.5625</v>
      </c>
      <c r="O84" s="55" t="n">
        <f aca="false">E84*E84</f>
        <v>0.390625</v>
      </c>
      <c r="P84" s="55" t="n">
        <f aca="false">SUMPRODUCT(F84:O84,_XtX!$B$71:$K$71)</f>
        <v>50.4105511363636</v>
      </c>
      <c r="Q84" s="55" t="n">
        <f aca="false">SUMPRODUCT(MMULT(F84:O84,_XtX!$B$58:$K$67),F84:O84)</f>
        <v>0.468335702237216</v>
      </c>
      <c r="R84" s="55" t="n">
        <f aca="false">P84-04_回帰ANOVA!$K$19*04_回帰ANOVA!$K$14*SQRT(1+Q84)</f>
        <v>49.2839263145123</v>
      </c>
      <c r="S84" s="55" t="n">
        <f aca="false">P84+04_回帰ANOVA!$K$19*04_回帰ANOVA!$K$14*SQRT(1+Q84)</f>
        <v>51.537175958215</v>
      </c>
      <c r="T84" s="54" t="b">
        <f aca="false">AND(C84&gt;=01_因子設定!$L$5-0.000000001,C84&lt;=01_因子設定!$M$5+0.000000001,D84&gt;=01_因子設定!$L$6-0.000000001,D84&lt;=01_因子設定!$M$6+0.000000001,E84&gt;=01_因子設定!$L$7-0.000000001,E84&lt;=01_因子設定!$M$7+0.000000001,IF(01_因子設定!$B$20="Box-Behnken",C84^2+D84^2+E84^2&lt;=2+0.000000001,TRUE()))</f>
        <v>1</v>
      </c>
      <c r="U84" s="55" t="n">
        <f aca="false">IF(T84,IF(01_因子設定!$B$13="最大化",R84-01_因子設定!$B$14,IF(01_因子設定!$B$13="最小化",01_因子設定!$B$15-S84,MIN(R84-01_因子設定!$B$14,01_因子設定!$B$15-S84))),-1E+030)</f>
        <v>0.78392631451225</v>
      </c>
      <c r="V84" s="55" t="n">
        <f aca="false">IF(U84&gt;=0,1,0)</f>
        <v>1</v>
      </c>
    </row>
    <row r="85" customFormat="false" ht="15" hidden="false" customHeight="false" outlineLevel="0" collapsed="false">
      <c r="A85" s="0" t="n">
        <v>1</v>
      </c>
      <c r="B85" s="0" t="n">
        <v>1</v>
      </c>
      <c r="C85" s="0" t="n">
        <f aca="false">B85</f>
        <v>1</v>
      </c>
      <c r="D85" s="57" t="n">
        <f aca="false">07_最適化!$B$7</f>
        <v>0.75</v>
      </c>
      <c r="E85" s="57" t="n">
        <f aca="false">07_最適化!$B$8</f>
        <v>0.625</v>
      </c>
      <c r="F85" s="55" t="n">
        <f aca="false">1</f>
        <v>1</v>
      </c>
      <c r="G85" s="55" t="n">
        <f aca="false">C85</f>
        <v>1</v>
      </c>
      <c r="H85" s="57" t="n">
        <f aca="false">D85</f>
        <v>0.75</v>
      </c>
      <c r="I85" s="57" t="n">
        <f aca="false">E85</f>
        <v>0.625</v>
      </c>
      <c r="J85" s="55" t="n">
        <f aca="false">C85*D85</f>
        <v>0.75</v>
      </c>
      <c r="K85" s="55" t="n">
        <f aca="false">C85*E85</f>
        <v>0.625</v>
      </c>
      <c r="L85" s="55" t="n">
        <f aca="false">D85*E85</f>
        <v>0.46875</v>
      </c>
      <c r="M85" s="55" t="n">
        <f aca="false">C85*C85</f>
        <v>1</v>
      </c>
      <c r="N85" s="55" t="n">
        <f aca="false">D85*D85</f>
        <v>0.5625</v>
      </c>
      <c r="O85" s="55" t="n">
        <f aca="false">E85*E85</f>
        <v>0.390625</v>
      </c>
      <c r="P85" s="55" t="n">
        <f aca="false">SUMPRODUCT(F85:O85,_XtX!$B$71:$K$71)</f>
        <v>50.3743607954545</v>
      </c>
      <c r="Q85" s="55" t="n">
        <f aca="false">SUMPRODUCT(MMULT(F85:O85,_XtX!$B$58:$K$67),F85:O85)</f>
        <v>0.496855024857955</v>
      </c>
      <c r="R85" s="55" t="n">
        <f aca="false">P85-04_回帰ANOVA!$K$19*04_回帰ANOVA!$K$14*SQRT(1+Q85)</f>
        <v>49.2368474361385</v>
      </c>
      <c r="S85" s="55" t="n">
        <f aca="false">P85+04_回帰ANOVA!$K$19*04_回帰ANOVA!$K$14*SQRT(1+Q85)</f>
        <v>51.5118741547706</v>
      </c>
      <c r="T85" s="54" t="b">
        <f aca="false">AND(C85&gt;=01_因子設定!$L$5-0.000000001,C85&lt;=01_因子設定!$M$5+0.000000001,D85&gt;=01_因子設定!$L$6-0.000000001,D85&lt;=01_因子設定!$M$6+0.000000001,E85&gt;=01_因子設定!$L$7-0.000000001,E85&lt;=01_因子設定!$M$7+0.000000001,IF(01_因子設定!$B$20="Box-Behnken",C85^2+D85^2+E85^2&lt;=2+0.000000001,TRUE()))</f>
        <v>1</v>
      </c>
      <c r="U85" s="55" t="n">
        <f aca="false">IF(T85,IF(01_因子設定!$B$13="最大化",R85-01_因子設定!$B$14,IF(01_因子設定!$B$13="最小化",01_因子設定!$B$15-S85,MIN(R85-01_因子設定!$B$14,01_因子設定!$B$15-S85))),-1E+030)</f>
        <v>0.736847436138447</v>
      </c>
      <c r="V85" s="55" t="n">
        <f aca="false">IF(U85&gt;=0,1,0)</f>
        <v>1</v>
      </c>
    </row>
    <row r="86" customFormat="false" ht="15" hidden="false" customHeight="false" outlineLevel="0" collapsed="false">
      <c r="A86" s="0" t="n">
        <v>2</v>
      </c>
      <c r="B86" s="0" t="n">
        <v>-1</v>
      </c>
      <c r="C86" s="57" t="n">
        <f aca="false">07_最適化!$B$6</f>
        <v>0.625</v>
      </c>
      <c r="D86" s="55" t="n">
        <f aca="false">B86</f>
        <v>-1</v>
      </c>
      <c r="E86" s="57" t="n">
        <f aca="false">07_最適化!$B$8</f>
        <v>0.625</v>
      </c>
      <c r="F86" s="55" t="n">
        <f aca="false">1</f>
        <v>1</v>
      </c>
      <c r="G86" s="57" t="n">
        <f aca="false">C86</f>
        <v>0.625</v>
      </c>
      <c r="H86" s="55" t="n">
        <f aca="false">D86</f>
        <v>-1</v>
      </c>
      <c r="I86" s="57" t="n">
        <f aca="false">E86</f>
        <v>0.625</v>
      </c>
      <c r="J86" s="55" t="n">
        <f aca="false">C86*D86</f>
        <v>-0.625</v>
      </c>
      <c r="K86" s="55" t="n">
        <f aca="false">C86*E86</f>
        <v>0.390625</v>
      </c>
      <c r="L86" s="55" t="n">
        <f aca="false">D86*E86</f>
        <v>-0.625</v>
      </c>
      <c r="M86" s="55" t="n">
        <f aca="false">C86*C86</f>
        <v>0.390625</v>
      </c>
      <c r="N86" s="55" t="n">
        <f aca="false">D86*D86</f>
        <v>1</v>
      </c>
      <c r="O86" s="55" t="n">
        <f aca="false">E86*E86</f>
        <v>0.390625</v>
      </c>
      <c r="P86" s="55" t="n">
        <f aca="false">SUMPRODUCT(F86:O86,_XtX!$B$71:$K$71)</f>
        <v>44.2506107954546</v>
      </c>
      <c r="Q86" s="55" t="n">
        <f aca="false">SUMPRODUCT(MMULT(F86:O86,_XtX!$B$58:$K$67),F86:O86)</f>
        <v>0.47103105024858</v>
      </c>
      <c r="R86" s="55" t="n">
        <f aca="false">P86-04_回帰ANOVA!$K$19*04_回帰ANOVA!$K$14*SQRT(1+Q86)</f>
        <v>43.1229524042047</v>
      </c>
      <c r="S86" s="55" t="n">
        <f aca="false">P86+04_回帰ANOVA!$K$19*04_回帰ANOVA!$K$14*SQRT(1+Q86)</f>
        <v>45.3782691867045</v>
      </c>
      <c r="T86" s="54" t="b">
        <f aca="false">AND(C86&gt;=01_因子設定!$L$5-0.000000001,C86&lt;=01_因子設定!$M$5+0.000000001,D86&gt;=01_因子設定!$L$6-0.000000001,D86&lt;=01_因子設定!$M$6+0.000000001,E86&gt;=01_因子設定!$L$7-0.000000001,E86&lt;=01_因子設定!$M$7+0.000000001,IF(01_因子設定!$B$20="Box-Behnken",C86^2+D86^2+E86^2&lt;=2+0.000000001,TRUE()))</f>
        <v>1</v>
      </c>
      <c r="U86" s="55" t="n">
        <f aca="false">IF(T86,IF(01_因子設定!$B$13="最大化",R86-01_因子設定!$B$14,IF(01_因子設定!$B$13="最小化",01_因子設定!$B$15-S86,MIN(R86-01_因子設定!$B$14,01_因子設定!$B$15-S86))),-1E+030)</f>
        <v>-5.37704759579535</v>
      </c>
      <c r="V86" s="55" t="n">
        <f aca="false">IF(U86&gt;=0,1,0)</f>
        <v>0</v>
      </c>
    </row>
    <row r="87" customFormat="false" ht="15" hidden="false" customHeight="false" outlineLevel="0" collapsed="false">
      <c r="A87" s="0" t="n">
        <v>2</v>
      </c>
      <c r="B87" s="0" t="n">
        <v>-0.975</v>
      </c>
      <c r="C87" s="57" t="n">
        <f aca="false">07_最適化!$B$6</f>
        <v>0.625</v>
      </c>
      <c r="D87" s="55" t="n">
        <f aca="false">B87</f>
        <v>-0.975</v>
      </c>
      <c r="E87" s="57" t="n">
        <f aca="false">07_最適化!$B$8</f>
        <v>0.625</v>
      </c>
      <c r="F87" s="55" t="n">
        <f aca="false">1</f>
        <v>1</v>
      </c>
      <c r="G87" s="57" t="n">
        <f aca="false">C87</f>
        <v>0.625</v>
      </c>
      <c r="H87" s="55" t="n">
        <f aca="false">D87</f>
        <v>-0.975</v>
      </c>
      <c r="I87" s="57" t="n">
        <f aca="false">E87</f>
        <v>0.625</v>
      </c>
      <c r="J87" s="55" t="n">
        <f aca="false">C87*D87</f>
        <v>-0.609375</v>
      </c>
      <c r="K87" s="55" t="n">
        <f aca="false">C87*E87</f>
        <v>0.390625</v>
      </c>
      <c r="L87" s="55" t="n">
        <f aca="false">D87*E87</f>
        <v>-0.609375</v>
      </c>
      <c r="M87" s="55" t="n">
        <f aca="false">C87*C87</f>
        <v>0.390625</v>
      </c>
      <c r="N87" s="55" t="n">
        <f aca="false">D87*D87</f>
        <v>0.950625</v>
      </c>
      <c r="O87" s="55" t="n">
        <f aca="false">E87*E87</f>
        <v>0.390625</v>
      </c>
      <c r="P87" s="55" t="n">
        <f aca="false">SUMPRODUCT(F87:O87,_XtX!$B$71:$K$71)</f>
        <v>44.4286292613637</v>
      </c>
      <c r="Q87" s="55" t="n">
        <f aca="false">SUMPRODUCT(MMULT(F87:O87,_XtX!$B$58:$K$67),F87:O87)</f>
        <v>0.441258065518466</v>
      </c>
      <c r="R87" s="55" t="n">
        <f aca="false">P87-04_回帰ANOVA!$K$19*04_回帰ANOVA!$K$14*SQRT(1+Q87)</f>
        <v>43.3124408443746</v>
      </c>
      <c r="S87" s="55" t="n">
        <f aca="false">P87+04_回帰ANOVA!$K$19*04_回帰ANOVA!$K$14*SQRT(1+Q87)</f>
        <v>45.5448176783527</v>
      </c>
      <c r="T87" s="54" t="b">
        <f aca="false">AND(C87&gt;=01_因子設定!$L$5-0.000000001,C87&lt;=01_因子設定!$M$5+0.000000001,D87&gt;=01_因子設定!$L$6-0.000000001,D87&lt;=01_因子設定!$M$6+0.000000001,E87&gt;=01_因子設定!$L$7-0.000000001,E87&lt;=01_因子設定!$M$7+0.000000001,IF(01_因子設定!$B$20="Box-Behnken",C87^2+D87^2+E87^2&lt;=2+0.000000001,TRUE()))</f>
        <v>1</v>
      </c>
      <c r="U87" s="55" t="n">
        <f aca="false">IF(T87,IF(01_因子設定!$B$13="最大化",R87-01_因子設定!$B$14,IF(01_因子設定!$B$13="最小化",01_因子設定!$B$15-S87,MIN(R87-01_因子設定!$B$14,01_因子設定!$B$15-S87))),-1E+030)</f>
        <v>-5.18755915562542</v>
      </c>
      <c r="V87" s="55" t="n">
        <f aca="false">IF(U87&gt;=0,1,0)</f>
        <v>0</v>
      </c>
    </row>
    <row r="88" customFormat="false" ht="15" hidden="false" customHeight="false" outlineLevel="0" collapsed="false">
      <c r="A88" s="0" t="n">
        <v>2</v>
      </c>
      <c r="B88" s="0" t="n">
        <v>-0.95</v>
      </c>
      <c r="C88" s="57" t="n">
        <f aca="false">07_最適化!$B$6</f>
        <v>0.625</v>
      </c>
      <c r="D88" s="55" t="n">
        <f aca="false">B88</f>
        <v>-0.95</v>
      </c>
      <c r="E88" s="57" t="n">
        <f aca="false">07_最適化!$B$8</f>
        <v>0.625</v>
      </c>
      <c r="F88" s="55" t="n">
        <f aca="false">1</f>
        <v>1</v>
      </c>
      <c r="G88" s="57" t="n">
        <f aca="false">C88</f>
        <v>0.625</v>
      </c>
      <c r="H88" s="55" t="n">
        <f aca="false">D88</f>
        <v>-0.95</v>
      </c>
      <c r="I88" s="57" t="n">
        <f aca="false">E88</f>
        <v>0.625</v>
      </c>
      <c r="J88" s="55" t="n">
        <f aca="false">C88*D88</f>
        <v>-0.59375</v>
      </c>
      <c r="K88" s="55" t="n">
        <f aca="false">C88*E88</f>
        <v>0.390625</v>
      </c>
      <c r="L88" s="55" t="n">
        <f aca="false">D88*E88</f>
        <v>-0.59375</v>
      </c>
      <c r="M88" s="55" t="n">
        <f aca="false">C88*C88</f>
        <v>0.390625</v>
      </c>
      <c r="N88" s="55" t="n">
        <f aca="false">D88*D88</f>
        <v>0.9025</v>
      </c>
      <c r="O88" s="55" t="n">
        <f aca="false">E88*E88</f>
        <v>0.390625</v>
      </c>
      <c r="P88" s="55" t="n">
        <f aca="false">SUMPRODUCT(F88:O88,_XtX!$B$71:$K$71)</f>
        <v>44.6041136363637</v>
      </c>
      <c r="Q88" s="55" t="n">
        <f aca="false">SUMPRODUCT(MMULT(F88:O88,_XtX!$B$58:$K$67),F88:O88)</f>
        <v>0.413945077237216</v>
      </c>
      <c r="R88" s="55" t="n">
        <f aca="false">P88-04_回帰ANOVA!$K$19*04_回帰ANOVA!$K$14*SQRT(1+Q88)</f>
        <v>43.4985521370946</v>
      </c>
      <c r="S88" s="55" t="n">
        <f aca="false">P88+04_回帰ANOVA!$K$19*04_回帰ANOVA!$K$14*SQRT(1+Q88)</f>
        <v>45.7096751356327</v>
      </c>
      <c r="T88" s="54" t="b">
        <f aca="false">AND(C88&gt;=01_因子設定!$L$5-0.000000001,C88&lt;=01_因子設定!$M$5+0.000000001,D88&gt;=01_因子設定!$L$6-0.000000001,D88&lt;=01_因子設定!$M$6+0.000000001,E88&gt;=01_因子設定!$L$7-0.000000001,E88&lt;=01_因子設定!$M$7+0.000000001,IF(01_因子設定!$B$20="Box-Behnken",C88^2+D88^2+E88^2&lt;=2+0.000000001,TRUE()))</f>
        <v>1</v>
      </c>
      <c r="U88" s="55" t="n">
        <f aca="false">IF(T88,IF(01_因子設定!$B$13="最大化",R88-01_因子設定!$B$14,IF(01_因子設定!$B$13="最小化",01_因子設定!$B$15-S88,MIN(R88-01_因子設定!$B$14,01_因子設定!$B$15-S88))),-1E+030)</f>
        <v>-5.00144786290544</v>
      </c>
      <c r="V88" s="55" t="n">
        <f aca="false">IF(U88&gt;=0,1,0)</f>
        <v>0</v>
      </c>
    </row>
    <row r="89" customFormat="false" ht="15" hidden="false" customHeight="false" outlineLevel="0" collapsed="false">
      <c r="A89" s="0" t="n">
        <v>2</v>
      </c>
      <c r="B89" s="0" t="n">
        <v>-0.925</v>
      </c>
      <c r="C89" s="57" t="n">
        <f aca="false">07_最適化!$B$6</f>
        <v>0.625</v>
      </c>
      <c r="D89" s="55" t="n">
        <f aca="false">B89</f>
        <v>-0.925</v>
      </c>
      <c r="E89" s="57" t="n">
        <f aca="false">07_最適化!$B$8</f>
        <v>0.625</v>
      </c>
      <c r="F89" s="55" t="n">
        <f aca="false">1</f>
        <v>1</v>
      </c>
      <c r="G89" s="57" t="n">
        <f aca="false">C89</f>
        <v>0.625</v>
      </c>
      <c r="H89" s="55" t="n">
        <f aca="false">D89</f>
        <v>-0.925</v>
      </c>
      <c r="I89" s="57" t="n">
        <f aca="false">E89</f>
        <v>0.625</v>
      </c>
      <c r="J89" s="55" t="n">
        <f aca="false">C89*D89</f>
        <v>-0.578125</v>
      </c>
      <c r="K89" s="55" t="n">
        <f aca="false">C89*E89</f>
        <v>0.390625</v>
      </c>
      <c r="L89" s="55" t="n">
        <f aca="false">D89*E89</f>
        <v>-0.578125</v>
      </c>
      <c r="M89" s="55" t="n">
        <f aca="false">C89*C89</f>
        <v>0.390625</v>
      </c>
      <c r="N89" s="55" t="n">
        <f aca="false">D89*D89</f>
        <v>0.855625</v>
      </c>
      <c r="O89" s="55" t="n">
        <f aca="false">E89*E89</f>
        <v>0.390625</v>
      </c>
      <c r="P89" s="55" t="n">
        <f aca="false">SUMPRODUCT(F89:O89,_XtX!$B$71:$K$71)</f>
        <v>44.7770639204546</v>
      </c>
      <c r="Q89" s="55" t="n">
        <f aca="false">SUMPRODUCT(MMULT(F89:O89,_XtX!$B$58:$K$67),F89:O89)</f>
        <v>0.38896083540483</v>
      </c>
      <c r="R89" s="55" t="n">
        <f aca="false">P89-04_回帰ANOVA!$K$19*04_回帰ANOVA!$K$14*SQRT(1+Q89)</f>
        <v>43.6813135249007</v>
      </c>
      <c r="S89" s="55" t="n">
        <f aca="false">P89+04_回帰ANOVA!$K$19*04_回帰ANOVA!$K$14*SQRT(1+Q89)</f>
        <v>45.8728143160084</v>
      </c>
      <c r="T89" s="54" t="b">
        <f aca="false">AND(C89&gt;=01_因子設定!$L$5-0.000000001,C89&lt;=01_因子設定!$M$5+0.000000001,D89&gt;=01_因子設定!$L$6-0.000000001,D89&lt;=01_因子設定!$M$6+0.000000001,E89&gt;=01_因子設定!$L$7-0.000000001,E89&lt;=01_因子設定!$M$7+0.000000001,IF(01_因子設定!$B$20="Box-Behnken",C89^2+D89^2+E89^2&lt;=2+0.000000001,TRUE()))</f>
        <v>1</v>
      </c>
      <c r="U89" s="55" t="n">
        <f aca="false">IF(T89,IF(01_因子設定!$B$13="最大化",R89-01_因子設定!$B$14,IF(01_因子設定!$B$13="最小化",01_因子設定!$B$15-S89,MIN(R89-01_因子設定!$B$14,01_因子設定!$B$15-S89))),-1E+030)</f>
        <v>-4.8186864750993</v>
      </c>
      <c r="V89" s="55" t="n">
        <f aca="false">IF(U89&gt;=0,1,0)</f>
        <v>0</v>
      </c>
    </row>
    <row r="90" customFormat="false" ht="15" hidden="false" customHeight="false" outlineLevel="0" collapsed="false">
      <c r="A90" s="0" t="n">
        <v>2</v>
      </c>
      <c r="B90" s="0" t="n">
        <v>-0.9</v>
      </c>
      <c r="C90" s="57" t="n">
        <f aca="false">07_最適化!$B$6</f>
        <v>0.625</v>
      </c>
      <c r="D90" s="55" t="n">
        <f aca="false">B90</f>
        <v>-0.9</v>
      </c>
      <c r="E90" s="57" t="n">
        <f aca="false">07_最適化!$B$8</f>
        <v>0.625</v>
      </c>
      <c r="F90" s="55" t="n">
        <f aca="false">1</f>
        <v>1</v>
      </c>
      <c r="G90" s="57" t="n">
        <f aca="false">C90</f>
        <v>0.625</v>
      </c>
      <c r="H90" s="55" t="n">
        <f aca="false">D90</f>
        <v>-0.9</v>
      </c>
      <c r="I90" s="57" t="n">
        <f aca="false">E90</f>
        <v>0.625</v>
      </c>
      <c r="J90" s="55" t="n">
        <f aca="false">C90*D90</f>
        <v>-0.5625</v>
      </c>
      <c r="K90" s="55" t="n">
        <f aca="false">C90*E90</f>
        <v>0.390625</v>
      </c>
      <c r="L90" s="55" t="n">
        <f aca="false">D90*E90</f>
        <v>-0.5625</v>
      </c>
      <c r="M90" s="55" t="n">
        <f aca="false">C90*C90</f>
        <v>0.390625</v>
      </c>
      <c r="N90" s="55" t="n">
        <f aca="false">D90*D90</f>
        <v>0.81</v>
      </c>
      <c r="O90" s="55" t="n">
        <f aca="false">E90*E90</f>
        <v>0.390625</v>
      </c>
      <c r="P90" s="55" t="n">
        <f aca="false">SUMPRODUCT(F90:O90,_XtX!$B$71:$K$71)</f>
        <v>44.9474801136364</v>
      </c>
      <c r="Q90" s="55" t="n">
        <f aca="false">SUMPRODUCT(MMULT(F90:O90,_XtX!$B$58:$K$67),F90:O90)</f>
        <v>0.366177499112216</v>
      </c>
      <c r="R90" s="55" t="n">
        <f aca="false">P90-04_回帰ANOVA!$K$19*04_回帰ANOVA!$K$14*SQRT(1+Q90)</f>
        <v>43.8607537571424</v>
      </c>
      <c r="S90" s="55" t="n">
        <f aca="false">P90+04_回帰ANOVA!$K$19*04_回帰ANOVA!$K$14*SQRT(1+Q90)</f>
        <v>46.0342064701304</v>
      </c>
      <c r="T90" s="54" t="b">
        <f aca="false">AND(C90&gt;=01_因子設定!$L$5-0.000000001,C90&lt;=01_因子設定!$M$5+0.000000001,D90&gt;=01_因子設定!$L$6-0.000000001,D90&lt;=01_因子設定!$M$6+0.000000001,E90&gt;=01_因子設定!$L$7-0.000000001,E90&lt;=01_因子設定!$M$7+0.000000001,IF(01_因子設定!$B$20="Box-Behnken",C90^2+D90^2+E90^2&lt;=2+0.000000001,TRUE()))</f>
        <v>1</v>
      </c>
      <c r="U90" s="55" t="n">
        <f aca="false">IF(T90,IF(01_因子設定!$B$13="最大化",R90-01_因子設定!$B$14,IF(01_因子設定!$B$13="最小化",01_因子設定!$B$15-S90,MIN(R90-01_因子設定!$B$14,01_因子設定!$B$15-S90))),-1E+030)</f>
        <v>-4.63924624285763</v>
      </c>
      <c r="V90" s="55" t="n">
        <f aca="false">IF(U90&gt;=0,1,0)</f>
        <v>0</v>
      </c>
    </row>
    <row r="91" customFormat="false" ht="15" hidden="false" customHeight="false" outlineLevel="0" collapsed="false">
      <c r="A91" s="0" t="n">
        <v>2</v>
      </c>
      <c r="B91" s="0" t="n">
        <v>-0.875</v>
      </c>
      <c r="C91" s="57" t="n">
        <f aca="false">07_最適化!$B$6</f>
        <v>0.625</v>
      </c>
      <c r="D91" s="55" t="n">
        <f aca="false">B91</f>
        <v>-0.875</v>
      </c>
      <c r="E91" s="57" t="n">
        <f aca="false">07_最適化!$B$8</f>
        <v>0.625</v>
      </c>
      <c r="F91" s="55" t="n">
        <f aca="false">1</f>
        <v>1</v>
      </c>
      <c r="G91" s="57" t="n">
        <f aca="false">C91</f>
        <v>0.625</v>
      </c>
      <c r="H91" s="55" t="n">
        <f aca="false">D91</f>
        <v>-0.875</v>
      </c>
      <c r="I91" s="57" t="n">
        <f aca="false">E91</f>
        <v>0.625</v>
      </c>
      <c r="J91" s="55" t="n">
        <f aca="false">C91*D91</f>
        <v>-0.546875</v>
      </c>
      <c r="K91" s="55" t="n">
        <f aca="false">C91*E91</f>
        <v>0.390625</v>
      </c>
      <c r="L91" s="55" t="n">
        <f aca="false">D91*E91</f>
        <v>-0.546875</v>
      </c>
      <c r="M91" s="55" t="n">
        <f aca="false">C91*C91</f>
        <v>0.390625</v>
      </c>
      <c r="N91" s="55" t="n">
        <f aca="false">D91*D91</f>
        <v>0.765625</v>
      </c>
      <c r="O91" s="55" t="n">
        <f aca="false">E91*E91</f>
        <v>0.390625</v>
      </c>
      <c r="P91" s="55" t="n">
        <f aca="false">SUMPRODUCT(F91:O91,_XtX!$B$71:$K$71)</f>
        <v>45.1153622159091</v>
      </c>
      <c r="Q91" s="55" t="n">
        <f aca="false">SUMPRODUCT(MMULT(F91:O91,_XtX!$B$58:$K$67),F91:O91)</f>
        <v>0.345470636541193</v>
      </c>
      <c r="R91" s="55" t="n">
        <f aca="false">P91-04_回帰ANOVA!$K$19*04_回帰ANOVA!$K$14*SQRT(1+Q91)</f>
        <v>44.0369029450768</v>
      </c>
      <c r="S91" s="55" t="n">
        <f aca="false">P91+04_回帰ANOVA!$K$19*04_回帰ANOVA!$K$14*SQRT(1+Q91)</f>
        <v>46.1938214867414</v>
      </c>
      <c r="T91" s="54" t="b">
        <f aca="false">AND(C91&gt;=01_因子設定!$L$5-0.000000001,C91&lt;=01_因子設定!$M$5+0.000000001,D91&gt;=01_因子設定!$L$6-0.000000001,D91&lt;=01_因子設定!$M$6+0.000000001,E91&gt;=01_因子設定!$L$7-0.000000001,E91&lt;=01_因子設定!$M$7+0.000000001,IF(01_因子設定!$B$20="Box-Behnken",C91^2+D91^2+E91^2&lt;=2+0.000000001,TRUE()))</f>
        <v>1</v>
      </c>
      <c r="U91" s="55" t="n">
        <f aca="false">IF(T91,IF(01_因子設定!$B$13="最大化",R91-01_因子設定!$B$14,IF(01_因子設定!$B$13="最小化",01_因子設定!$B$15-S91,MIN(R91-01_因子設定!$B$14,01_因子設定!$B$15-S91))),-1E+030)</f>
        <v>-4.46309705492317</v>
      </c>
      <c r="V91" s="55" t="n">
        <f aca="false">IF(U91&gt;=0,1,0)</f>
        <v>0</v>
      </c>
    </row>
    <row r="92" customFormat="false" ht="15" hidden="false" customHeight="false" outlineLevel="0" collapsed="false">
      <c r="A92" s="0" t="n">
        <v>2</v>
      </c>
      <c r="B92" s="0" t="n">
        <v>-0.85</v>
      </c>
      <c r="C92" s="57" t="n">
        <f aca="false">07_最適化!$B$6</f>
        <v>0.625</v>
      </c>
      <c r="D92" s="55" t="n">
        <f aca="false">B92</f>
        <v>-0.85</v>
      </c>
      <c r="E92" s="57" t="n">
        <f aca="false">07_最適化!$B$8</f>
        <v>0.625</v>
      </c>
      <c r="F92" s="55" t="n">
        <f aca="false">1</f>
        <v>1</v>
      </c>
      <c r="G92" s="57" t="n">
        <f aca="false">C92</f>
        <v>0.625</v>
      </c>
      <c r="H92" s="55" t="n">
        <f aca="false">D92</f>
        <v>-0.85</v>
      </c>
      <c r="I92" s="57" t="n">
        <f aca="false">E92</f>
        <v>0.625</v>
      </c>
      <c r="J92" s="55" t="n">
        <f aca="false">C92*D92</f>
        <v>-0.53125</v>
      </c>
      <c r="K92" s="55" t="n">
        <f aca="false">C92*E92</f>
        <v>0.390625</v>
      </c>
      <c r="L92" s="55" t="n">
        <f aca="false">D92*E92</f>
        <v>-0.53125</v>
      </c>
      <c r="M92" s="55" t="n">
        <f aca="false">C92*C92</f>
        <v>0.390625</v>
      </c>
      <c r="N92" s="55" t="n">
        <f aca="false">D92*D92</f>
        <v>0.7225</v>
      </c>
      <c r="O92" s="55" t="n">
        <f aca="false">E92*E92</f>
        <v>0.390625</v>
      </c>
      <c r="P92" s="55" t="n">
        <f aca="false">SUMPRODUCT(F92:O92,_XtX!$B$71:$K$71)</f>
        <v>45.2807102272727</v>
      </c>
      <c r="Q92" s="55" t="n">
        <f aca="false">SUMPRODUCT(MMULT(F92:O92,_XtX!$B$58:$K$67),F92:O92)</f>
        <v>0.326719224964489</v>
      </c>
      <c r="R92" s="55" t="n">
        <f aca="false">P92-04_回帰ANOVA!$K$19*04_回帰ANOVA!$K$14*SQRT(1+Q92)</f>
        <v>44.2097924023733</v>
      </c>
      <c r="S92" s="55" t="n">
        <f aca="false">P92+04_回帰ANOVA!$K$19*04_回帰ANOVA!$K$14*SQRT(1+Q92)</f>
        <v>46.3516280521722</v>
      </c>
      <c r="T92" s="54" t="b">
        <f aca="false">AND(C92&gt;=01_因子設定!$L$5-0.000000001,C92&lt;=01_因子設定!$M$5+0.000000001,D92&gt;=01_因子設定!$L$6-0.000000001,D92&lt;=01_因子設定!$M$6+0.000000001,E92&gt;=01_因子設定!$L$7-0.000000001,E92&lt;=01_因子設定!$M$7+0.000000001,IF(01_因子設定!$B$20="Box-Behnken",C92^2+D92^2+E92^2&lt;=2+0.000000001,TRUE()))</f>
        <v>1</v>
      </c>
      <c r="U92" s="55" t="n">
        <f aca="false">IF(T92,IF(01_因子設定!$B$13="最大化",R92-01_因子設定!$B$14,IF(01_因子設定!$B$13="最小化",01_因子設定!$B$15-S92,MIN(R92-01_因子設定!$B$14,01_因子設定!$B$15-S92))),-1E+030)</f>
        <v>-4.29020759762668</v>
      </c>
      <c r="V92" s="55" t="n">
        <f aca="false">IF(U92&gt;=0,1,0)</f>
        <v>0</v>
      </c>
    </row>
    <row r="93" customFormat="false" ht="15" hidden="false" customHeight="false" outlineLevel="0" collapsed="false">
      <c r="A93" s="0" t="n">
        <v>2</v>
      </c>
      <c r="B93" s="0" t="n">
        <v>-0.825</v>
      </c>
      <c r="C93" s="57" t="n">
        <f aca="false">07_最適化!$B$6</f>
        <v>0.625</v>
      </c>
      <c r="D93" s="55" t="n">
        <f aca="false">B93</f>
        <v>-0.825</v>
      </c>
      <c r="E93" s="57" t="n">
        <f aca="false">07_最適化!$B$8</f>
        <v>0.625</v>
      </c>
      <c r="F93" s="55" t="n">
        <f aca="false">1</f>
        <v>1</v>
      </c>
      <c r="G93" s="57" t="n">
        <f aca="false">C93</f>
        <v>0.625</v>
      </c>
      <c r="H93" s="55" t="n">
        <f aca="false">D93</f>
        <v>-0.825</v>
      </c>
      <c r="I93" s="57" t="n">
        <f aca="false">E93</f>
        <v>0.625</v>
      </c>
      <c r="J93" s="55" t="n">
        <f aca="false">C93*D93</f>
        <v>-0.515625</v>
      </c>
      <c r="K93" s="55" t="n">
        <f aca="false">C93*E93</f>
        <v>0.390625</v>
      </c>
      <c r="L93" s="55" t="n">
        <f aca="false">D93*E93</f>
        <v>-0.515625</v>
      </c>
      <c r="M93" s="55" t="n">
        <f aca="false">C93*C93</f>
        <v>0.390625</v>
      </c>
      <c r="N93" s="55" t="n">
        <f aca="false">D93*D93</f>
        <v>0.680625</v>
      </c>
      <c r="O93" s="55" t="n">
        <f aca="false">E93*E93</f>
        <v>0.390625</v>
      </c>
      <c r="P93" s="55" t="n">
        <f aca="false">SUMPRODUCT(F93:O93,_XtX!$B$71:$K$71)</f>
        <v>45.4435241477273</v>
      </c>
      <c r="Q93" s="55" t="n">
        <f aca="false">SUMPRODUCT(MMULT(F93:O93,_XtX!$B$58:$K$67),F93:O93)</f>
        <v>0.309805650745739</v>
      </c>
      <c r="R93" s="55" t="n">
        <f aca="false">P93-04_回帰ANOVA!$K$19*04_回帰ANOVA!$K$14*SQRT(1+Q93)</f>
        <v>44.3794544738492</v>
      </c>
      <c r="S93" s="55" t="n">
        <f aca="false">P93+04_回帰ANOVA!$K$19*04_回帰ANOVA!$K$14*SQRT(1+Q93)</f>
        <v>46.5075938216054</v>
      </c>
      <c r="T93" s="54" t="b">
        <f aca="false">AND(C93&gt;=01_因子設定!$L$5-0.000000001,C93&lt;=01_因子設定!$M$5+0.000000001,D93&gt;=01_因子設定!$L$6-0.000000001,D93&lt;=01_因子設定!$M$6+0.000000001,E93&gt;=01_因子設定!$L$7-0.000000001,E93&lt;=01_因子設定!$M$7+0.000000001,IF(01_因子設定!$B$20="Box-Behnken",C93^2+D93^2+E93^2&lt;=2+0.000000001,TRUE()))</f>
        <v>1</v>
      </c>
      <c r="U93" s="55" t="n">
        <f aca="false">IF(T93,IF(01_因子設定!$B$13="最大化",R93-01_因子設定!$B$14,IF(01_因子設定!$B$13="最小化",01_因子設定!$B$15-S93,MIN(R93-01_因子設定!$B$14,01_因子設定!$B$15-S93))),-1E+030)</f>
        <v>-4.12054552615084</v>
      </c>
      <c r="V93" s="55" t="n">
        <f aca="false">IF(U93&gt;=0,1,0)</f>
        <v>0</v>
      </c>
    </row>
    <row r="94" customFormat="false" ht="15" hidden="false" customHeight="false" outlineLevel="0" collapsed="false">
      <c r="A94" s="0" t="n">
        <v>2</v>
      </c>
      <c r="B94" s="0" t="n">
        <v>-0.8</v>
      </c>
      <c r="C94" s="57" t="n">
        <f aca="false">07_最適化!$B$6</f>
        <v>0.625</v>
      </c>
      <c r="D94" s="55" t="n">
        <f aca="false">B94</f>
        <v>-0.8</v>
      </c>
      <c r="E94" s="57" t="n">
        <f aca="false">07_最適化!$B$8</f>
        <v>0.625</v>
      </c>
      <c r="F94" s="55" t="n">
        <f aca="false">1</f>
        <v>1</v>
      </c>
      <c r="G94" s="57" t="n">
        <f aca="false">C94</f>
        <v>0.625</v>
      </c>
      <c r="H94" s="55" t="n">
        <f aca="false">D94</f>
        <v>-0.8</v>
      </c>
      <c r="I94" s="57" t="n">
        <f aca="false">E94</f>
        <v>0.625</v>
      </c>
      <c r="J94" s="55" t="n">
        <f aca="false">C94*D94</f>
        <v>-0.5</v>
      </c>
      <c r="K94" s="55" t="n">
        <f aca="false">C94*E94</f>
        <v>0.390625</v>
      </c>
      <c r="L94" s="55" t="n">
        <f aca="false">D94*E94</f>
        <v>-0.5</v>
      </c>
      <c r="M94" s="55" t="n">
        <f aca="false">C94*C94</f>
        <v>0.390625</v>
      </c>
      <c r="N94" s="55" t="n">
        <f aca="false">D94*D94</f>
        <v>0.64</v>
      </c>
      <c r="O94" s="55" t="n">
        <f aca="false">E94*E94</f>
        <v>0.390625</v>
      </c>
      <c r="P94" s="55" t="n">
        <f aca="false">SUMPRODUCT(F94:O94,_XtX!$B$71:$K$71)</f>
        <v>45.6038039772727</v>
      </c>
      <c r="Q94" s="55" t="n">
        <f aca="false">SUMPRODUCT(MMULT(F94:O94,_XtX!$B$58:$K$67),F94:O94)</f>
        <v>0.294615709339489</v>
      </c>
      <c r="R94" s="55" t="n">
        <f aca="false">P94-04_回帰ANOVA!$K$19*04_回帰ANOVA!$K$14*SQRT(1+Q94)</f>
        <v>44.5459223554615</v>
      </c>
      <c r="S94" s="55" t="n">
        <f aca="false">P94+04_回帰ANOVA!$K$19*04_回帰ANOVA!$K$14*SQRT(1+Q94)</f>
        <v>46.661685599084</v>
      </c>
      <c r="T94" s="54" t="b">
        <f aca="false">AND(C94&gt;=01_因子設定!$L$5-0.000000001,C94&lt;=01_因子設定!$M$5+0.000000001,D94&gt;=01_因子設定!$L$6-0.000000001,D94&lt;=01_因子設定!$M$6+0.000000001,E94&gt;=01_因子設定!$L$7-0.000000001,E94&lt;=01_因子設定!$M$7+0.000000001,IF(01_因子設定!$B$20="Box-Behnken",C94^2+D94^2+E94^2&lt;=2+0.000000001,TRUE()))</f>
        <v>1</v>
      </c>
      <c r="U94" s="55" t="n">
        <f aca="false">IF(T94,IF(01_因子設定!$B$13="最大化",R94-01_因子設定!$B$14,IF(01_因子設定!$B$13="最小化",01_因子設定!$B$15-S94,MIN(R94-01_因子設定!$B$14,01_因子設定!$B$15-S94))),-1E+030)</f>
        <v>-3.95407764453847</v>
      </c>
      <c r="V94" s="55" t="n">
        <f aca="false">IF(U94&gt;=0,1,0)</f>
        <v>0</v>
      </c>
    </row>
    <row r="95" customFormat="false" ht="15" hidden="false" customHeight="false" outlineLevel="0" collapsed="false">
      <c r="A95" s="0" t="n">
        <v>2</v>
      </c>
      <c r="B95" s="0" t="n">
        <v>-0.775</v>
      </c>
      <c r="C95" s="57" t="n">
        <f aca="false">07_最適化!$B$6</f>
        <v>0.625</v>
      </c>
      <c r="D95" s="55" t="n">
        <f aca="false">B95</f>
        <v>-0.775</v>
      </c>
      <c r="E95" s="57" t="n">
        <f aca="false">07_最適化!$B$8</f>
        <v>0.625</v>
      </c>
      <c r="F95" s="55" t="n">
        <f aca="false">1</f>
        <v>1</v>
      </c>
      <c r="G95" s="57" t="n">
        <f aca="false">C95</f>
        <v>0.625</v>
      </c>
      <c r="H95" s="55" t="n">
        <f aca="false">D95</f>
        <v>-0.775</v>
      </c>
      <c r="I95" s="57" t="n">
        <f aca="false">E95</f>
        <v>0.625</v>
      </c>
      <c r="J95" s="55" t="n">
        <f aca="false">C95*D95</f>
        <v>-0.484375</v>
      </c>
      <c r="K95" s="55" t="n">
        <f aca="false">C95*E95</f>
        <v>0.390625</v>
      </c>
      <c r="L95" s="55" t="n">
        <f aca="false">D95*E95</f>
        <v>-0.484375</v>
      </c>
      <c r="M95" s="55" t="n">
        <f aca="false">C95*C95</f>
        <v>0.390625</v>
      </c>
      <c r="N95" s="55" t="n">
        <f aca="false">D95*D95</f>
        <v>0.600625</v>
      </c>
      <c r="O95" s="55" t="n">
        <f aca="false">E95*E95</f>
        <v>0.390625</v>
      </c>
      <c r="P95" s="55" t="n">
        <f aca="false">SUMPRODUCT(F95:O95,_XtX!$B$71:$K$71)</f>
        <v>45.7615497159091</v>
      </c>
      <c r="Q95" s="55" t="n">
        <f aca="false">SUMPRODUCT(MMULT(F95:O95,_XtX!$B$58:$K$67),F95:O95)</f>
        <v>0.281038605291193</v>
      </c>
      <c r="R95" s="55" t="n">
        <f aca="false">P95-04_回帰ANOVA!$K$19*04_回帰ANOVA!$K$14*SQRT(1+Q95)</f>
        <v>44.7092299086689</v>
      </c>
      <c r="S95" s="55" t="n">
        <f aca="false">P95+04_回帰ANOVA!$K$19*04_回帰ANOVA!$K$14*SQRT(1+Q95)</f>
        <v>46.8138695231493</v>
      </c>
      <c r="T95" s="54" t="b">
        <f aca="false">AND(C95&gt;=01_因子設定!$L$5-0.000000001,C95&lt;=01_因子設定!$M$5+0.000000001,D95&gt;=01_因子設定!$L$6-0.000000001,D95&lt;=01_因子設定!$M$6+0.000000001,E95&gt;=01_因子設定!$L$7-0.000000001,E95&lt;=01_因子設定!$M$7+0.000000001,IF(01_因子設定!$B$20="Box-Behnken",C95^2+D95^2+E95^2&lt;=2+0.000000001,TRUE()))</f>
        <v>1</v>
      </c>
      <c r="U95" s="55" t="n">
        <f aca="false">IF(T95,IF(01_因子設定!$B$13="最大化",R95-01_因子設定!$B$14,IF(01_因子設定!$B$13="最小化",01_因子設定!$B$15-S95,MIN(R95-01_因子設定!$B$14,01_因子設定!$B$15-S95))),-1E+030)</f>
        <v>-3.79077009133108</v>
      </c>
      <c r="V95" s="55" t="n">
        <f aca="false">IF(U95&gt;=0,1,0)</f>
        <v>0</v>
      </c>
    </row>
    <row r="96" customFormat="false" ht="15" hidden="false" customHeight="false" outlineLevel="0" collapsed="false">
      <c r="A96" s="0" t="n">
        <v>2</v>
      </c>
      <c r="B96" s="0" t="n">
        <v>-0.75</v>
      </c>
      <c r="C96" s="57" t="n">
        <f aca="false">07_最適化!$B$6</f>
        <v>0.625</v>
      </c>
      <c r="D96" s="55" t="n">
        <f aca="false">B96</f>
        <v>-0.75</v>
      </c>
      <c r="E96" s="57" t="n">
        <f aca="false">07_最適化!$B$8</f>
        <v>0.625</v>
      </c>
      <c r="F96" s="55" t="n">
        <f aca="false">1</f>
        <v>1</v>
      </c>
      <c r="G96" s="57" t="n">
        <f aca="false">C96</f>
        <v>0.625</v>
      </c>
      <c r="H96" s="55" t="n">
        <f aca="false">D96</f>
        <v>-0.75</v>
      </c>
      <c r="I96" s="57" t="n">
        <f aca="false">E96</f>
        <v>0.625</v>
      </c>
      <c r="J96" s="55" t="n">
        <f aca="false">C96*D96</f>
        <v>-0.46875</v>
      </c>
      <c r="K96" s="55" t="n">
        <f aca="false">C96*E96</f>
        <v>0.390625</v>
      </c>
      <c r="L96" s="55" t="n">
        <f aca="false">D96*E96</f>
        <v>-0.46875</v>
      </c>
      <c r="M96" s="55" t="n">
        <f aca="false">C96*C96</f>
        <v>0.390625</v>
      </c>
      <c r="N96" s="55" t="n">
        <f aca="false">D96*D96</f>
        <v>0.5625</v>
      </c>
      <c r="O96" s="55" t="n">
        <f aca="false">E96*E96</f>
        <v>0.390625</v>
      </c>
      <c r="P96" s="55" t="n">
        <f aca="false">SUMPRODUCT(F96:O96,_XtX!$B$71:$K$71)</f>
        <v>45.9167613636364</v>
      </c>
      <c r="Q96" s="55" t="n">
        <f aca="false">SUMPRODUCT(MMULT(F96:O96,_XtX!$B$58:$K$67),F96:O96)</f>
        <v>0.268966952237216</v>
      </c>
      <c r="R96" s="55" t="n">
        <f aca="false">P96-04_回帰ANOVA!$K$19*04_回帰ANOVA!$K$14*SQRT(1+Q96)</f>
        <v>44.8694114722584</v>
      </c>
      <c r="S96" s="55" t="n">
        <f aca="false">P96+04_回帰ANOVA!$K$19*04_回帰ANOVA!$K$14*SQRT(1+Q96)</f>
        <v>46.9641112550144</v>
      </c>
      <c r="T96" s="54" t="b">
        <f aca="false">AND(C96&gt;=01_因子設定!$L$5-0.000000001,C96&lt;=01_因子設定!$M$5+0.000000001,D96&gt;=01_因子設定!$L$6-0.000000001,D96&lt;=01_因子設定!$M$6+0.000000001,E96&gt;=01_因子設定!$L$7-0.000000001,E96&lt;=01_因子設定!$M$7+0.000000001,IF(01_因子設定!$B$20="Box-Behnken",C96^2+D96^2+E96^2&lt;=2+0.000000001,TRUE()))</f>
        <v>1</v>
      </c>
      <c r="U96" s="55" t="n">
        <f aca="false">IF(T96,IF(01_因子設定!$B$13="最大化",R96-01_因子設定!$B$14,IF(01_因子設定!$B$13="最小化",01_因子設定!$B$15-S96,MIN(R96-01_因子設定!$B$14,01_因子設定!$B$15-S96))),-1E+030)</f>
        <v>-3.63058852774164</v>
      </c>
      <c r="V96" s="55" t="n">
        <f aca="false">IF(U96&gt;=0,1,0)</f>
        <v>0</v>
      </c>
    </row>
    <row r="97" customFormat="false" ht="15" hidden="false" customHeight="false" outlineLevel="0" collapsed="false">
      <c r="A97" s="0" t="n">
        <v>2</v>
      </c>
      <c r="B97" s="0" t="n">
        <v>-0.725</v>
      </c>
      <c r="C97" s="57" t="n">
        <f aca="false">07_最適化!$B$6</f>
        <v>0.625</v>
      </c>
      <c r="D97" s="55" t="n">
        <f aca="false">B97</f>
        <v>-0.725</v>
      </c>
      <c r="E97" s="57" t="n">
        <f aca="false">07_最適化!$B$8</f>
        <v>0.625</v>
      </c>
      <c r="F97" s="55" t="n">
        <f aca="false">1</f>
        <v>1</v>
      </c>
      <c r="G97" s="57" t="n">
        <f aca="false">C97</f>
        <v>0.625</v>
      </c>
      <c r="H97" s="55" t="n">
        <f aca="false">D97</f>
        <v>-0.725</v>
      </c>
      <c r="I97" s="57" t="n">
        <f aca="false">E97</f>
        <v>0.625</v>
      </c>
      <c r="J97" s="55" t="n">
        <f aca="false">C97*D97</f>
        <v>-0.453125</v>
      </c>
      <c r="K97" s="55" t="n">
        <f aca="false">C97*E97</f>
        <v>0.390625</v>
      </c>
      <c r="L97" s="55" t="n">
        <f aca="false">D97*E97</f>
        <v>-0.453125</v>
      </c>
      <c r="M97" s="55" t="n">
        <f aca="false">C97*C97</f>
        <v>0.390625</v>
      </c>
      <c r="N97" s="55" t="n">
        <f aca="false">D97*D97</f>
        <v>0.525625</v>
      </c>
      <c r="O97" s="55" t="n">
        <f aca="false">E97*E97</f>
        <v>0.390625</v>
      </c>
      <c r="P97" s="55" t="n">
        <f aca="false">SUMPRODUCT(F97:O97,_XtX!$B$71:$K$71)</f>
        <v>46.0694389204546</v>
      </c>
      <c r="Q97" s="55" t="n">
        <f aca="false">SUMPRODUCT(MMULT(F97:O97,_XtX!$B$58:$K$67),F97:O97)</f>
        <v>0.25829677290483</v>
      </c>
      <c r="R97" s="55" t="n">
        <f aca="false">P97-04_回帰ANOVA!$K$19*04_回帰ANOVA!$K$14*SQRT(1+Q97)</f>
        <v>45.0265016746155</v>
      </c>
      <c r="S97" s="55" t="n">
        <f aca="false">P97+04_回帰ANOVA!$K$19*04_回帰ANOVA!$K$14*SQRT(1+Q97)</f>
        <v>47.1123761662936</v>
      </c>
      <c r="T97" s="54" t="b">
        <f aca="false">AND(C97&gt;=01_因子設定!$L$5-0.000000001,C97&lt;=01_因子設定!$M$5+0.000000001,D97&gt;=01_因子設定!$L$6-0.000000001,D97&lt;=01_因子設定!$M$6+0.000000001,E97&gt;=01_因子設定!$L$7-0.000000001,E97&lt;=01_因子設定!$M$7+0.000000001,IF(01_因子設定!$B$20="Box-Behnken",C97^2+D97^2+E97^2&lt;=2+0.000000001,TRUE()))</f>
        <v>1</v>
      </c>
      <c r="U97" s="55" t="n">
        <f aca="false">IF(T97,IF(01_因子設定!$B$13="最大化",R97-01_因子設定!$B$14,IF(01_因子設定!$B$13="最小化",01_因子設定!$B$15-S97,MIN(R97-01_因子設定!$B$14,01_因子設定!$B$15-S97))),-1E+030)</f>
        <v>-3.47349832538448</v>
      </c>
      <c r="V97" s="55" t="n">
        <f aca="false">IF(U97&gt;=0,1,0)</f>
        <v>0</v>
      </c>
    </row>
    <row r="98" customFormat="false" ht="15" hidden="false" customHeight="false" outlineLevel="0" collapsed="false">
      <c r="A98" s="0" t="n">
        <v>2</v>
      </c>
      <c r="B98" s="0" t="n">
        <v>-0.7</v>
      </c>
      <c r="C98" s="57" t="n">
        <f aca="false">07_最適化!$B$6</f>
        <v>0.625</v>
      </c>
      <c r="D98" s="55" t="n">
        <f aca="false">B98</f>
        <v>-0.7</v>
      </c>
      <c r="E98" s="57" t="n">
        <f aca="false">07_最適化!$B$8</f>
        <v>0.625</v>
      </c>
      <c r="F98" s="55" t="n">
        <f aca="false">1</f>
        <v>1</v>
      </c>
      <c r="G98" s="57" t="n">
        <f aca="false">C98</f>
        <v>0.625</v>
      </c>
      <c r="H98" s="55" t="n">
        <f aca="false">D98</f>
        <v>-0.7</v>
      </c>
      <c r="I98" s="57" t="n">
        <f aca="false">E98</f>
        <v>0.625</v>
      </c>
      <c r="J98" s="55" t="n">
        <f aca="false">C98*D98</f>
        <v>-0.4375</v>
      </c>
      <c r="K98" s="55" t="n">
        <f aca="false">C98*E98</f>
        <v>0.390625</v>
      </c>
      <c r="L98" s="55" t="n">
        <f aca="false">D98*E98</f>
        <v>-0.4375</v>
      </c>
      <c r="M98" s="55" t="n">
        <f aca="false">C98*C98</f>
        <v>0.390625</v>
      </c>
      <c r="N98" s="55" t="n">
        <f aca="false">D98*D98</f>
        <v>0.49</v>
      </c>
      <c r="O98" s="55" t="n">
        <f aca="false">E98*E98</f>
        <v>0.390625</v>
      </c>
      <c r="P98" s="55" t="n">
        <f aca="false">SUMPRODUCT(F98:O98,_XtX!$B$71:$K$71)</f>
        <v>46.2195823863637</v>
      </c>
      <c r="Q98" s="55" t="n">
        <f aca="false">SUMPRODUCT(MMULT(F98:O98,_XtX!$B$58:$K$67),F98:O98)</f>
        <v>0.248927499112216</v>
      </c>
      <c r="R98" s="55" t="n">
        <f aca="false">P98-04_回帰ANOVA!$K$19*04_回帰ANOVA!$K$14*SQRT(1+Q98)</f>
        <v>45.1805352492067</v>
      </c>
      <c r="S98" s="55" t="n">
        <f aca="false">P98+04_回帰ANOVA!$K$19*04_回帰ANOVA!$K$14*SQRT(1+Q98)</f>
        <v>47.2586295235206</v>
      </c>
      <c r="T98" s="54" t="b">
        <f aca="false">AND(C98&gt;=01_因子設定!$L$5-0.000000001,C98&lt;=01_因子設定!$M$5+0.000000001,D98&gt;=01_因子設定!$L$6-0.000000001,D98&lt;=01_因子設定!$M$6+0.000000001,E98&gt;=01_因子設定!$L$7-0.000000001,E98&lt;=01_因子設定!$M$7+0.000000001,IF(01_因子設定!$B$20="Box-Behnken",C98^2+D98^2+E98^2&lt;=2+0.000000001,TRUE()))</f>
        <v>1</v>
      </c>
      <c r="U98" s="55" t="n">
        <f aca="false">IF(T98,IF(01_因子設定!$B$13="最大化",R98-01_因子設定!$B$14,IF(01_因子設定!$B$13="最小化",01_因子設定!$B$15-S98,MIN(R98-01_因子設定!$B$14,01_因子設定!$B$15-S98))),-1E+030)</f>
        <v>-3.31946475079331</v>
      </c>
      <c r="V98" s="55" t="n">
        <f aca="false">IF(U98&gt;=0,1,0)</f>
        <v>0</v>
      </c>
    </row>
    <row r="99" customFormat="false" ht="15" hidden="false" customHeight="false" outlineLevel="0" collapsed="false">
      <c r="A99" s="0" t="n">
        <v>2</v>
      </c>
      <c r="B99" s="0" t="n">
        <v>-0.675</v>
      </c>
      <c r="C99" s="57" t="n">
        <f aca="false">07_最適化!$B$6</f>
        <v>0.625</v>
      </c>
      <c r="D99" s="55" t="n">
        <f aca="false">B99</f>
        <v>-0.675</v>
      </c>
      <c r="E99" s="57" t="n">
        <f aca="false">07_最適化!$B$8</f>
        <v>0.625</v>
      </c>
      <c r="F99" s="55" t="n">
        <f aca="false">1</f>
        <v>1</v>
      </c>
      <c r="G99" s="57" t="n">
        <f aca="false">C99</f>
        <v>0.625</v>
      </c>
      <c r="H99" s="55" t="n">
        <f aca="false">D99</f>
        <v>-0.675</v>
      </c>
      <c r="I99" s="57" t="n">
        <f aca="false">E99</f>
        <v>0.625</v>
      </c>
      <c r="J99" s="55" t="n">
        <f aca="false">C99*D99</f>
        <v>-0.421875</v>
      </c>
      <c r="K99" s="55" t="n">
        <f aca="false">C99*E99</f>
        <v>0.390625</v>
      </c>
      <c r="L99" s="55" t="n">
        <f aca="false">D99*E99</f>
        <v>-0.421875</v>
      </c>
      <c r="M99" s="55" t="n">
        <f aca="false">C99*C99</f>
        <v>0.390625</v>
      </c>
      <c r="N99" s="55" t="n">
        <f aca="false">D99*D99</f>
        <v>0.455625</v>
      </c>
      <c r="O99" s="55" t="n">
        <f aca="false">E99*E99</f>
        <v>0.390625</v>
      </c>
      <c r="P99" s="55" t="n">
        <f aca="false">SUMPRODUCT(F99:O99,_XtX!$B$71:$K$71)</f>
        <v>46.3671917613637</v>
      </c>
      <c r="Q99" s="55" t="n">
        <f aca="false">SUMPRODUCT(MMULT(F99:O99,_XtX!$B$58:$K$67),F99:O99)</f>
        <v>0.240761971768466</v>
      </c>
      <c r="R99" s="55" t="n">
        <f aca="false">P99-04_回帰ANOVA!$K$19*04_回帰ANOVA!$K$14*SQRT(1+Q99)</f>
        <v>45.3315468557622</v>
      </c>
      <c r="S99" s="55" t="n">
        <f aca="false">P99+04_回帰ANOVA!$K$19*04_回帰ANOVA!$K$14*SQRT(1+Q99)</f>
        <v>47.4028366669651</v>
      </c>
      <c r="T99" s="54" t="b">
        <f aca="false">AND(C99&gt;=01_因子設定!$L$5-0.000000001,C99&lt;=01_因子設定!$M$5+0.000000001,D99&gt;=01_因子設定!$L$6-0.000000001,D99&lt;=01_因子設定!$M$6+0.000000001,E99&gt;=01_因子設定!$L$7-0.000000001,E99&lt;=01_因子設定!$M$7+0.000000001,IF(01_因子設定!$B$20="Box-Behnken",C99^2+D99^2+E99^2&lt;=2+0.000000001,TRUE()))</f>
        <v>1</v>
      </c>
      <c r="U99" s="55" t="n">
        <f aca="false">IF(T99,IF(01_因子設定!$B$13="最大化",R99-01_因子設定!$B$14,IF(01_因子設定!$B$13="最小化",01_因子設定!$B$15-S99,MIN(R99-01_因子設定!$B$14,01_因子設定!$B$15-S99))),-1E+030)</f>
        <v>-3.16845314423783</v>
      </c>
      <c r="V99" s="55" t="n">
        <f aca="false">IF(U99&gt;=0,1,0)</f>
        <v>0</v>
      </c>
    </row>
    <row r="100" customFormat="false" ht="15" hidden="false" customHeight="false" outlineLevel="0" collapsed="false">
      <c r="A100" s="0" t="n">
        <v>2</v>
      </c>
      <c r="B100" s="0" t="n">
        <v>-0.65</v>
      </c>
      <c r="C100" s="57" t="n">
        <f aca="false">07_最適化!$B$6</f>
        <v>0.625</v>
      </c>
      <c r="D100" s="55" t="n">
        <f aca="false">B100</f>
        <v>-0.65</v>
      </c>
      <c r="E100" s="57" t="n">
        <f aca="false">07_最適化!$B$8</f>
        <v>0.625</v>
      </c>
      <c r="F100" s="55" t="n">
        <f aca="false">1</f>
        <v>1</v>
      </c>
      <c r="G100" s="57" t="n">
        <f aca="false">C100</f>
        <v>0.625</v>
      </c>
      <c r="H100" s="55" t="n">
        <f aca="false">D100</f>
        <v>-0.65</v>
      </c>
      <c r="I100" s="57" t="n">
        <f aca="false">E100</f>
        <v>0.625</v>
      </c>
      <c r="J100" s="55" t="n">
        <f aca="false">C100*D100</f>
        <v>-0.40625</v>
      </c>
      <c r="K100" s="55" t="n">
        <f aca="false">C100*E100</f>
        <v>0.390625</v>
      </c>
      <c r="L100" s="55" t="n">
        <f aca="false">D100*E100</f>
        <v>-0.40625</v>
      </c>
      <c r="M100" s="55" t="n">
        <f aca="false">C100*C100</f>
        <v>0.390625</v>
      </c>
      <c r="N100" s="55" t="n">
        <f aca="false">D100*D100</f>
        <v>0.4225</v>
      </c>
      <c r="O100" s="55" t="n">
        <f aca="false">E100*E100</f>
        <v>0.390625</v>
      </c>
      <c r="P100" s="55" t="n">
        <f aca="false">SUMPRODUCT(F100:O100,_XtX!$B$71:$K$71)</f>
        <v>46.5122670454546</v>
      </c>
      <c r="Q100" s="55" t="n">
        <f aca="false">SUMPRODUCT(MMULT(F100:O100,_XtX!$B$58:$K$67),F100:O100)</f>
        <v>0.23370644087358</v>
      </c>
      <c r="R100" s="55" t="n">
        <f aca="false">P100-04_回帰ANOVA!$K$19*04_回帰ANOVA!$K$14*SQRT(1+Q100)</f>
        <v>45.4795709093156</v>
      </c>
      <c r="S100" s="55" t="n">
        <f aca="false">P100+04_回帰ANOVA!$K$19*04_回帰ANOVA!$K$14*SQRT(1+Q100)</f>
        <v>47.5449631815935</v>
      </c>
      <c r="T100" s="54" t="b">
        <f aca="false">AND(C100&gt;=01_因子設定!$L$5-0.000000001,C100&lt;=01_因子設定!$M$5+0.000000001,D100&gt;=01_因子設定!$L$6-0.000000001,D100&lt;=01_因子設定!$M$6+0.000000001,E100&gt;=01_因子設定!$L$7-0.000000001,E100&lt;=01_因子設定!$M$7+0.000000001,IF(01_因子設定!$B$20="Box-Behnken",C100^2+D100^2+E100^2&lt;=2+0.000000001,TRUE()))</f>
        <v>1</v>
      </c>
      <c r="U100" s="55" t="n">
        <f aca="false">IF(T100,IF(01_因子設定!$B$13="最大化",R100-01_因子設定!$B$14,IF(01_因子設定!$B$13="最小化",01_因子設定!$B$15-S100,MIN(R100-01_因子設定!$B$14,01_因子設定!$B$15-S100))),-1E+030)</f>
        <v>-3.02042909068439</v>
      </c>
      <c r="V100" s="55" t="n">
        <f aca="false">IF(U100&gt;=0,1,0)</f>
        <v>0</v>
      </c>
    </row>
    <row r="101" customFormat="false" ht="15" hidden="false" customHeight="false" outlineLevel="0" collapsed="false">
      <c r="A101" s="0" t="n">
        <v>2</v>
      </c>
      <c r="B101" s="0" t="n">
        <v>-0.625</v>
      </c>
      <c r="C101" s="57" t="n">
        <f aca="false">07_最適化!$B$6</f>
        <v>0.625</v>
      </c>
      <c r="D101" s="55" t="n">
        <f aca="false">B101</f>
        <v>-0.625</v>
      </c>
      <c r="E101" s="57" t="n">
        <f aca="false">07_最適化!$B$8</f>
        <v>0.625</v>
      </c>
      <c r="F101" s="55" t="n">
        <f aca="false">1</f>
        <v>1</v>
      </c>
      <c r="G101" s="57" t="n">
        <f aca="false">C101</f>
        <v>0.625</v>
      </c>
      <c r="H101" s="55" t="n">
        <f aca="false">D101</f>
        <v>-0.625</v>
      </c>
      <c r="I101" s="57" t="n">
        <f aca="false">E101</f>
        <v>0.625</v>
      </c>
      <c r="J101" s="55" t="n">
        <f aca="false">C101*D101</f>
        <v>-0.390625</v>
      </c>
      <c r="K101" s="55" t="n">
        <f aca="false">C101*E101</f>
        <v>0.390625</v>
      </c>
      <c r="L101" s="55" t="n">
        <f aca="false">D101*E101</f>
        <v>-0.390625</v>
      </c>
      <c r="M101" s="55" t="n">
        <f aca="false">C101*C101</f>
        <v>0.390625</v>
      </c>
      <c r="N101" s="55" t="n">
        <f aca="false">D101*D101</f>
        <v>0.390625</v>
      </c>
      <c r="O101" s="55" t="n">
        <f aca="false">E101*E101</f>
        <v>0.390625</v>
      </c>
      <c r="P101" s="55" t="n">
        <f aca="false">SUMPRODUCT(F101:O101,_XtX!$B$71:$K$71)</f>
        <v>46.6548082386364</v>
      </c>
      <c r="Q101" s="55" t="n">
        <f aca="false">SUMPRODUCT(MMULT(F101:O101,_XtX!$B$58:$K$67),F101:O101)</f>
        <v>0.227670565518466</v>
      </c>
      <c r="R101" s="55" t="n">
        <f aca="false">P101-04_回帰ANOVA!$K$19*04_回帰ANOVA!$K$14*SQRT(1+Q101)</f>
        <v>45.6246414188847</v>
      </c>
      <c r="S101" s="55" t="n">
        <f aca="false">P101+04_回帰ANOVA!$K$19*04_回帰ANOVA!$K$14*SQRT(1+Q101)</f>
        <v>47.684975058388</v>
      </c>
      <c r="T101" s="54" t="b">
        <f aca="false">AND(C101&gt;=01_因子設定!$L$5-0.000000001,C101&lt;=01_因子設定!$M$5+0.000000001,D101&gt;=01_因子設定!$L$6-0.000000001,D101&lt;=01_因子設定!$M$6+0.000000001,E101&gt;=01_因子設定!$L$7-0.000000001,E101&lt;=01_因子設定!$M$7+0.000000001,IF(01_因子設定!$B$20="Box-Behnken",C101^2+D101^2+E101^2&lt;=2+0.000000001,TRUE()))</f>
        <v>1</v>
      </c>
      <c r="U101" s="55" t="n">
        <f aca="false">IF(T101,IF(01_因子設定!$B$13="最大化",R101-01_因子設定!$B$14,IF(01_因子設定!$B$13="最小化",01_因子設定!$B$15-S101,MIN(R101-01_因子設定!$B$14,01_因子設定!$B$15-S101))),-1E+030)</f>
        <v>-2.87535858111527</v>
      </c>
      <c r="V101" s="55" t="n">
        <f aca="false">IF(U101&gt;=0,1,0)</f>
        <v>0</v>
      </c>
    </row>
    <row r="102" customFormat="false" ht="15" hidden="false" customHeight="false" outlineLevel="0" collapsed="false">
      <c r="A102" s="0" t="n">
        <v>2</v>
      </c>
      <c r="B102" s="0" t="n">
        <v>-0.6</v>
      </c>
      <c r="C102" s="57" t="n">
        <f aca="false">07_最適化!$B$6</f>
        <v>0.625</v>
      </c>
      <c r="D102" s="55" t="n">
        <f aca="false">B102</f>
        <v>-0.6</v>
      </c>
      <c r="E102" s="57" t="n">
        <f aca="false">07_最適化!$B$8</f>
        <v>0.625</v>
      </c>
      <c r="F102" s="55" t="n">
        <f aca="false">1</f>
        <v>1</v>
      </c>
      <c r="G102" s="57" t="n">
        <f aca="false">C102</f>
        <v>0.625</v>
      </c>
      <c r="H102" s="55" t="n">
        <f aca="false">D102</f>
        <v>-0.6</v>
      </c>
      <c r="I102" s="57" t="n">
        <f aca="false">E102</f>
        <v>0.625</v>
      </c>
      <c r="J102" s="55" t="n">
        <f aca="false">C102*D102</f>
        <v>-0.375</v>
      </c>
      <c r="K102" s="55" t="n">
        <f aca="false">C102*E102</f>
        <v>0.390625</v>
      </c>
      <c r="L102" s="55" t="n">
        <f aca="false">D102*E102</f>
        <v>-0.375</v>
      </c>
      <c r="M102" s="55" t="n">
        <f aca="false">C102*C102</f>
        <v>0.390625</v>
      </c>
      <c r="N102" s="55" t="n">
        <f aca="false">D102*D102</f>
        <v>0.36</v>
      </c>
      <c r="O102" s="55" t="n">
        <f aca="false">E102*E102</f>
        <v>0.390625</v>
      </c>
      <c r="P102" s="55" t="n">
        <f aca="false">SUMPRODUCT(F102:O102,_XtX!$B$71:$K$71)</f>
        <v>46.7948153409091</v>
      </c>
      <c r="Q102" s="55" t="n">
        <f aca="false">SUMPRODUCT(MMULT(F102:O102,_XtX!$B$58:$K$67),F102:O102)</f>
        <v>0.222567413884943</v>
      </c>
      <c r="R102" s="55" t="n">
        <f aca="false">P102-04_回帰ANOVA!$K$19*04_回帰ANOVA!$K$14*SQRT(1+Q102)</f>
        <v>45.7667918371924</v>
      </c>
      <c r="S102" s="55" t="n">
        <f aca="false">P102+04_回帰ANOVA!$K$19*04_回帰ANOVA!$K$14*SQRT(1+Q102)</f>
        <v>47.8228388446258</v>
      </c>
      <c r="T102" s="54" t="b">
        <f aca="false">AND(C102&gt;=01_因子設定!$L$5-0.000000001,C102&lt;=01_因子設定!$M$5+0.000000001,D102&gt;=01_因子設定!$L$6-0.000000001,D102&lt;=01_因子設定!$M$6+0.000000001,E102&gt;=01_因子設定!$L$7-0.000000001,E102&lt;=01_因子設定!$M$7+0.000000001,IF(01_因子設定!$B$20="Box-Behnken",C102^2+D102^2+E102^2&lt;=2+0.000000001,TRUE()))</f>
        <v>1</v>
      </c>
      <c r="U102" s="55" t="n">
        <f aca="false">IF(T102,IF(01_因子設定!$B$13="最大化",R102-01_因子設定!$B$14,IF(01_因子設定!$B$13="最小化",01_因子設定!$B$15-S102,MIN(R102-01_因子設定!$B$14,01_因子設定!$B$15-S102))),-1E+030)</f>
        <v>-2.73320816280761</v>
      </c>
      <c r="V102" s="55" t="n">
        <f aca="false">IF(U102&gt;=0,1,0)</f>
        <v>0</v>
      </c>
    </row>
    <row r="103" customFormat="false" ht="15" hidden="false" customHeight="false" outlineLevel="0" collapsed="false">
      <c r="A103" s="0" t="n">
        <v>2</v>
      </c>
      <c r="B103" s="0" t="n">
        <v>-0.575</v>
      </c>
      <c r="C103" s="57" t="n">
        <f aca="false">07_最適化!$B$6</f>
        <v>0.625</v>
      </c>
      <c r="D103" s="55" t="n">
        <f aca="false">B103</f>
        <v>-0.575</v>
      </c>
      <c r="E103" s="57" t="n">
        <f aca="false">07_最適化!$B$8</f>
        <v>0.625</v>
      </c>
      <c r="F103" s="55" t="n">
        <f aca="false">1</f>
        <v>1</v>
      </c>
      <c r="G103" s="57" t="n">
        <f aca="false">C103</f>
        <v>0.625</v>
      </c>
      <c r="H103" s="55" t="n">
        <f aca="false">D103</f>
        <v>-0.575</v>
      </c>
      <c r="I103" s="57" t="n">
        <f aca="false">E103</f>
        <v>0.625</v>
      </c>
      <c r="J103" s="55" t="n">
        <f aca="false">C103*D103</f>
        <v>-0.359375</v>
      </c>
      <c r="K103" s="55" t="n">
        <f aca="false">C103*E103</f>
        <v>0.390625</v>
      </c>
      <c r="L103" s="55" t="n">
        <f aca="false">D103*E103</f>
        <v>-0.359375</v>
      </c>
      <c r="M103" s="55" t="n">
        <f aca="false">C103*C103</f>
        <v>0.390625</v>
      </c>
      <c r="N103" s="55" t="n">
        <f aca="false">D103*D103</f>
        <v>0.330625</v>
      </c>
      <c r="O103" s="55" t="n">
        <f aca="false">E103*E103</f>
        <v>0.390625</v>
      </c>
      <c r="P103" s="55" t="n">
        <f aca="false">SUMPRODUCT(F103:O103,_XtX!$B$71:$K$71)</f>
        <v>46.9322883522727</v>
      </c>
      <c r="Q103" s="55" t="n">
        <f aca="false">SUMPRODUCT(MMULT(F103:O103,_XtX!$B$58:$K$67),F103:O103)</f>
        <v>0.218313463245739</v>
      </c>
      <c r="R103" s="55" t="n">
        <f aca="false">P103-04_回帰ANOVA!$K$19*04_回帰ANOVA!$K$14*SQRT(1+Q103)</f>
        <v>45.9060549224414</v>
      </c>
      <c r="S103" s="55" t="n">
        <f aca="false">P103+04_回帰ANOVA!$K$19*04_回帰ANOVA!$K$14*SQRT(1+Q103)</f>
        <v>47.958521782104</v>
      </c>
      <c r="T103" s="54" t="b">
        <f aca="false">AND(C103&gt;=01_因子設定!$L$5-0.000000001,C103&lt;=01_因子設定!$M$5+0.000000001,D103&gt;=01_因子設定!$L$6-0.000000001,D103&lt;=01_因子設定!$M$6+0.000000001,E103&gt;=01_因子設定!$L$7-0.000000001,E103&lt;=01_因子設定!$M$7+0.000000001,IF(01_因子設定!$B$20="Box-Behnken",C103^2+D103^2+E103^2&lt;=2+0.000000001,TRUE()))</f>
        <v>1</v>
      </c>
      <c r="U103" s="55" t="n">
        <f aca="false">IF(T103,IF(01_因子設定!$B$13="最大化",R103-01_因子設定!$B$14,IF(01_因子設定!$B$13="最小化",01_因子設定!$B$15-S103,MIN(R103-01_因子設定!$B$14,01_因子設定!$B$15-S103))),-1E+030)</f>
        <v>-2.59394507755856</v>
      </c>
      <c r="V103" s="55" t="n">
        <f aca="false">IF(U103&gt;=0,1,0)</f>
        <v>0</v>
      </c>
    </row>
    <row r="104" customFormat="false" ht="15" hidden="false" customHeight="false" outlineLevel="0" collapsed="false">
      <c r="A104" s="0" t="n">
        <v>2</v>
      </c>
      <c r="B104" s="0" t="n">
        <v>-0.55</v>
      </c>
      <c r="C104" s="57" t="n">
        <f aca="false">07_最適化!$B$6</f>
        <v>0.625</v>
      </c>
      <c r="D104" s="55" t="n">
        <f aca="false">B104</f>
        <v>-0.55</v>
      </c>
      <c r="E104" s="57" t="n">
        <f aca="false">07_最適化!$B$8</f>
        <v>0.625</v>
      </c>
      <c r="F104" s="55" t="n">
        <f aca="false">1</f>
        <v>1</v>
      </c>
      <c r="G104" s="57" t="n">
        <f aca="false">C104</f>
        <v>0.625</v>
      </c>
      <c r="H104" s="55" t="n">
        <f aca="false">D104</f>
        <v>-0.55</v>
      </c>
      <c r="I104" s="57" t="n">
        <f aca="false">E104</f>
        <v>0.625</v>
      </c>
      <c r="J104" s="55" t="n">
        <f aca="false">C104*D104</f>
        <v>-0.34375</v>
      </c>
      <c r="K104" s="55" t="n">
        <f aca="false">C104*E104</f>
        <v>0.390625</v>
      </c>
      <c r="L104" s="55" t="n">
        <f aca="false">D104*E104</f>
        <v>-0.34375</v>
      </c>
      <c r="M104" s="55" t="n">
        <f aca="false">C104*C104</f>
        <v>0.390625</v>
      </c>
      <c r="N104" s="55" t="n">
        <f aca="false">D104*D104</f>
        <v>0.3025</v>
      </c>
      <c r="O104" s="55" t="n">
        <f aca="false">E104*E104</f>
        <v>0.390625</v>
      </c>
      <c r="P104" s="55" t="n">
        <f aca="false">SUMPRODUCT(F104:O104,_XtX!$B$71:$K$71)</f>
        <v>47.0672272727273</v>
      </c>
      <c r="Q104" s="55" t="n">
        <f aca="false">SUMPRODUCT(MMULT(F104:O104,_XtX!$B$58:$K$67),F104:O104)</f>
        <v>0.214828599964489</v>
      </c>
      <c r="R104" s="55" t="n">
        <f aca="false">P104-04_回帰ANOVA!$K$19*04_回帰ANOVA!$K$14*SQRT(1+Q104)</f>
        <v>46.0424626127854</v>
      </c>
      <c r="S104" s="55" t="n">
        <f aca="false">P104+04_回帰ANOVA!$K$19*04_回帰ANOVA!$K$14*SQRT(1+Q104)</f>
        <v>48.0919919326691</v>
      </c>
      <c r="T104" s="54" t="b">
        <f aca="false">AND(C104&gt;=01_因子設定!$L$5-0.000000001,C104&lt;=01_因子設定!$M$5+0.000000001,D104&gt;=01_因子設定!$L$6-0.000000001,D104&lt;=01_因子設定!$M$6+0.000000001,E104&gt;=01_因子設定!$L$7-0.000000001,E104&lt;=01_因子設定!$M$7+0.000000001,IF(01_因子設定!$B$20="Box-Behnken",C104^2+D104^2+E104^2&lt;=2+0.000000001,TRUE()))</f>
        <v>1</v>
      </c>
      <c r="U104" s="55" t="n">
        <f aca="false">IF(T104,IF(01_因子設定!$B$13="最大化",R104-01_因子設定!$B$14,IF(01_因子設定!$B$13="最小化",01_因子設定!$B$15-S104,MIN(R104-01_因子設定!$B$14,01_因子設定!$B$15-S104))),-1E+030)</f>
        <v>-2.45753738721456</v>
      </c>
      <c r="V104" s="55" t="n">
        <f aca="false">IF(U104&gt;=0,1,0)</f>
        <v>0</v>
      </c>
    </row>
    <row r="105" customFormat="false" ht="15" hidden="false" customHeight="false" outlineLevel="0" collapsed="false">
      <c r="A105" s="0" t="n">
        <v>2</v>
      </c>
      <c r="B105" s="0" t="n">
        <v>-0.525</v>
      </c>
      <c r="C105" s="57" t="n">
        <f aca="false">07_最適化!$B$6</f>
        <v>0.625</v>
      </c>
      <c r="D105" s="55" t="n">
        <f aca="false">B105</f>
        <v>-0.525</v>
      </c>
      <c r="E105" s="57" t="n">
        <f aca="false">07_最適化!$B$8</f>
        <v>0.625</v>
      </c>
      <c r="F105" s="55" t="n">
        <f aca="false">1</f>
        <v>1</v>
      </c>
      <c r="G105" s="57" t="n">
        <f aca="false">C105</f>
        <v>0.625</v>
      </c>
      <c r="H105" s="55" t="n">
        <f aca="false">D105</f>
        <v>-0.525</v>
      </c>
      <c r="I105" s="57" t="n">
        <f aca="false">E105</f>
        <v>0.625</v>
      </c>
      <c r="J105" s="55" t="n">
        <f aca="false">C105*D105</f>
        <v>-0.328125</v>
      </c>
      <c r="K105" s="55" t="n">
        <f aca="false">C105*E105</f>
        <v>0.390625</v>
      </c>
      <c r="L105" s="55" t="n">
        <f aca="false">D105*E105</f>
        <v>-0.328125</v>
      </c>
      <c r="M105" s="55" t="n">
        <f aca="false">C105*C105</f>
        <v>0.390625</v>
      </c>
      <c r="N105" s="55" t="n">
        <f aca="false">D105*D105</f>
        <v>0.275625</v>
      </c>
      <c r="O105" s="55" t="n">
        <f aca="false">E105*E105</f>
        <v>0.390625</v>
      </c>
      <c r="P105" s="55" t="n">
        <f aca="false">SUMPRODUCT(F105:O105,_XtX!$B$71:$K$71)</f>
        <v>47.1996321022727</v>
      </c>
      <c r="Q105" s="55" t="n">
        <f aca="false">SUMPRODUCT(MMULT(F105:O105,_XtX!$B$58:$K$67),F105:O105)</f>
        <v>0.212036119495739</v>
      </c>
      <c r="R105" s="55" t="n">
        <f aca="false">P105-04_回帰ANOVA!$K$19*04_回帰ANOVA!$K$14*SQRT(1+Q105)</f>
        <v>46.1760459137934</v>
      </c>
      <c r="S105" s="55" t="n">
        <f aca="false">P105+04_回帰ANOVA!$K$19*04_回帰ANOVA!$K$14*SQRT(1+Q105)</f>
        <v>48.223218290752</v>
      </c>
      <c r="T105" s="54" t="b">
        <f aca="false">AND(C105&gt;=01_因子設定!$L$5-0.000000001,C105&lt;=01_因子設定!$M$5+0.000000001,D105&gt;=01_因子設定!$L$6-0.000000001,D105&lt;=01_因子設定!$M$6+0.000000001,E105&gt;=01_因子設定!$L$7-0.000000001,E105&lt;=01_因子設定!$M$7+0.000000001,IF(01_因子設定!$B$20="Box-Behnken",C105^2+D105^2+E105^2&lt;=2+0.000000001,TRUE()))</f>
        <v>1</v>
      </c>
      <c r="U105" s="55" t="n">
        <f aca="false">IF(T105,IF(01_因子設定!$B$13="最大化",R105-01_因子設定!$B$14,IF(01_因子設定!$B$13="最小化",01_因子設定!$B$15-S105,MIN(R105-01_因子設定!$B$14,01_因子設定!$B$15-S105))),-1E+030)</f>
        <v>-2.32395408620656</v>
      </c>
      <c r="V105" s="55" t="n">
        <f aca="false">IF(U105&gt;=0,1,0)</f>
        <v>0</v>
      </c>
    </row>
    <row r="106" customFormat="false" ht="15" hidden="false" customHeight="false" outlineLevel="0" collapsed="false">
      <c r="A106" s="0" t="n">
        <v>2</v>
      </c>
      <c r="B106" s="0" t="n">
        <v>-0.5</v>
      </c>
      <c r="C106" s="57" t="n">
        <f aca="false">07_最適化!$B$6</f>
        <v>0.625</v>
      </c>
      <c r="D106" s="55" t="n">
        <f aca="false">B106</f>
        <v>-0.5</v>
      </c>
      <c r="E106" s="57" t="n">
        <f aca="false">07_最適化!$B$8</f>
        <v>0.625</v>
      </c>
      <c r="F106" s="55" t="n">
        <f aca="false">1</f>
        <v>1</v>
      </c>
      <c r="G106" s="57" t="n">
        <f aca="false">C106</f>
        <v>0.625</v>
      </c>
      <c r="H106" s="55" t="n">
        <f aca="false">D106</f>
        <v>-0.5</v>
      </c>
      <c r="I106" s="57" t="n">
        <f aca="false">E106</f>
        <v>0.625</v>
      </c>
      <c r="J106" s="55" t="n">
        <f aca="false">C106*D106</f>
        <v>-0.3125</v>
      </c>
      <c r="K106" s="55" t="n">
        <f aca="false">C106*E106</f>
        <v>0.390625</v>
      </c>
      <c r="L106" s="55" t="n">
        <f aca="false">D106*E106</f>
        <v>-0.3125</v>
      </c>
      <c r="M106" s="55" t="n">
        <f aca="false">C106*C106</f>
        <v>0.390625</v>
      </c>
      <c r="N106" s="55" t="n">
        <f aca="false">D106*D106</f>
        <v>0.25</v>
      </c>
      <c r="O106" s="55" t="n">
        <f aca="false">E106*E106</f>
        <v>0.390625</v>
      </c>
      <c r="P106" s="55" t="n">
        <f aca="false">SUMPRODUCT(F106:O106,_XtX!$B$71:$K$71)</f>
        <v>47.3295028409091</v>
      </c>
      <c r="Q106" s="55" t="n">
        <f aca="false">SUMPRODUCT(MMULT(F106:O106,_XtX!$B$58:$K$67),F106:O106)</f>
        <v>0.209862726384943</v>
      </c>
      <c r="R106" s="55" t="n">
        <f aca="false">P106-04_回帰ANOVA!$K$19*04_回帰ANOVA!$K$14*SQRT(1+Q106)</f>
        <v>46.3068347988979</v>
      </c>
      <c r="S106" s="55" t="n">
        <f aca="false">P106+04_回帰ANOVA!$K$19*04_回帰ANOVA!$K$14*SQRT(1+Q106)</f>
        <v>48.3521708829203</v>
      </c>
      <c r="T106" s="54" t="b">
        <f aca="false">AND(C106&gt;=01_因子設定!$L$5-0.000000001,C106&lt;=01_因子設定!$M$5+0.000000001,D106&gt;=01_因子設定!$L$6-0.000000001,D106&lt;=01_因子設定!$M$6+0.000000001,E106&gt;=01_因子設定!$L$7-0.000000001,E106&lt;=01_因子設定!$M$7+0.000000001,IF(01_因子設定!$B$20="Box-Behnken",C106^2+D106^2+E106^2&lt;=2+0.000000001,TRUE()))</f>
        <v>1</v>
      </c>
      <c r="U106" s="55" t="n">
        <f aca="false">IF(T106,IF(01_因子設定!$B$13="最大化",R106-01_因子設定!$B$14,IF(01_因子設定!$B$13="最小化",01_因子設定!$B$15-S106,MIN(R106-01_因子設定!$B$14,01_因子設定!$B$15-S106))),-1E+030)</f>
        <v>-2.1931652011021</v>
      </c>
      <c r="V106" s="55" t="n">
        <f aca="false">IF(U106&gt;=0,1,0)</f>
        <v>0</v>
      </c>
    </row>
    <row r="107" customFormat="false" ht="15" hidden="false" customHeight="false" outlineLevel="0" collapsed="false">
      <c r="A107" s="0" t="n">
        <v>2</v>
      </c>
      <c r="B107" s="0" t="n">
        <v>-0.475</v>
      </c>
      <c r="C107" s="57" t="n">
        <f aca="false">07_最適化!$B$6</f>
        <v>0.625</v>
      </c>
      <c r="D107" s="55" t="n">
        <f aca="false">B107</f>
        <v>-0.475</v>
      </c>
      <c r="E107" s="57" t="n">
        <f aca="false">07_最適化!$B$8</f>
        <v>0.625</v>
      </c>
      <c r="F107" s="55" t="n">
        <f aca="false">1</f>
        <v>1</v>
      </c>
      <c r="G107" s="57" t="n">
        <f aca="false">C107</f>
        <v>0.625</v>
      </c>
      <c r="H107" s="55" t="n">
        <f aca="false">D107</f>
        <v>-0.475</v>
      </c>
      <c r="I107" s="57" t="n">
        <f aca="false">E107</f>
        <v>0.625</v>
      </c>
      <c r="J107" s="55" t="n">
        <f aca="false">C107*D107</f>
        <v>-0.296875</v>
      </c>
      <c r="K107" s="55" t="n">
        <f aca="false">C107*E107</f>
        <v>0.390625</v>
      </c>
      <c r="L107" s="55" t="n">
        <f aca="false">D107*E107</f>
        <v>-0.296875</v>
      </c>
      <c r="M107" s="55" t="n">
        <f aca="false">C107*C107</f>
        <v>0.390625</v>
      </c>
      <c r="N107" s="55" t="n">
        <f aca="false">D107*D107</f>
        <v>0.225625</v>
      </c>
      <c r="O107" s="55" t="n">
        <f aca="false">E107*E107</f>
        <v>0.390625</v>
      </c>
      <c r="P107" s="55" t="n">
        <f aca="false">SUMPRODUCT(F107:O107,_XtX!$B$71:$K$71)</f>
        <v>47.4568394886364</v>
      </c>
      <c r="Q107" s="55" t="n">
        <f aca="false">SUMPRODUCT(MMULT(F107:O107,_XtX!$B$58:$K$67),F107:O107)</f>
        <v>0.208238534268466</v>
      </c>
      <c r="R107" s="55" t="n">
        <f aca="false">P107-04_回帰ANOVA!$K$19*04_回帰ANOVA!$K$14*SQRT(1+Q107)</f>
        <v>46.4348581225469</v>
      </c>
      <c r="S107" s="55" t="n">
        <f aca="false">P107+04_回帰ANOVA!$K$19*04_回帰ANOVA!$K$14*SQRT(1+Q107)</f>
        <v>48.4788208547258</v>
      </c>
      <c r="T107" s="54" t="b">
        <f aca="false">AND(C107&gt;=01_因子設定!$L$5-0.000000001,C107&lt;=01_因子設定!$M$5+0.000000001,D107&gt;=01_因子設定!$L$6-0.000000001,D107&lt;=01_因子設定!$M$6+0.000000001,E107&gt;=01_因子設定!$L$7-0.000000001,E107&lt;=01_因子設定!$M$7+0.000000001,IF(01_因子設定!$B$20="Box-Behnken",C107^2+D107^2+E107^2&lt;=2+0.000000001,TRUE()))</f>
        <v>1</v>
      </c>
      <c r="U107" s="55" t="n">
        <f aca="false">IF(T107,IF(01_因子設定!$B$13="最大化",R107-01_因子設定!$B$14,IF(01_因子設定!$B$13="最小化",01_因子設定!$B$15-S107,MIN(R107-01_因子設定!$B$14,01_因子設定!$B$15-S107))),-1E+030)</f>
        <v>-2.06514187745306</v>
      </c>
      <c r="V107" s="55" t="n">
        <f aca="false">IF(U107&gt;=0,1,0)</f>
        <v>0</v>
      </c>
    </row>
    <row r="108" customFormat="false" ht="15" hidden="false" customHeight="false" outlineLevel="0" collapsed="false">
      <c r="A108" s="0" t="n">
        <v>2</v>
      </c>
      <c r="B108" s="0" t="n">
        <v>-0.45</v>
      </c>
      <c r="C108" s="57" t="n">
        <f aca="false">07_最適化!$B$6</f>
        <v>0.625</v>
      </c>
      <c r="D108" s="55" t="n">
        <f aca="false">B108</f>
        <v>-0.45</v>
      </c>
      <c r="E108" s="57" t="n">
        <f aca="false">07_最適化!$B$8</f>
        <v>0.625</v>
      </c>
      <c r="F108" s="55" t="n">
        <f aca="false">1</f>
        <v>1</v>
      </c>
      <c r="G108" s="57" t="n">
        <f aca="false">C108</f>
        <v>0.625</v>
      </c>
      <c r="H108" s="55" t="n">
        <f aca="false">D108</f>
        <v>-0.45</v>
      </c>
      <c r="I108" s="57" t="n">
        <f aca="false">E108</f>
        <v>0.625</v>
      </c>
      <c r="J108" s="55" t="n">
        <f aca="false">C108*D108</f>
        <v>-0.28125</v>
      </c>
      <c r="K108" s="55" t="n">
        <f aca="false">C108*E108</f>
        <v>0.390625</v>
      </c>
      <c r="L108" s="55" t="n">
        <f aca="false">D108*E108</f>
        <v>-0.28125</v>
      </c>
      <c r="M108" s="55" t="n">
        <f aca="false">C108*C108</f>
        <v>0.390625</v>
      </c>
      <c r="N108" s="55" t="n">
        <f aca="false">D108*D108</f>
        <v>0.2025</v>
      </c>
      <c r="O108" s="55" t="n">
        <f aca="false">E108*E108</f>
        <v>0.390625</v>
      </c>
      <c r="P108" s="55" t="n">
        <f aca="false">SUMPRODUCT(F108:O108,_XtX!$B$71:$K$71)</f>
        <v>47.5816420454546</v>
      </c>
      <c r="Q108" s="55" t="n">
        <f aca="false">SUMPRODUCT(MMULT(F108:O108,_XtX!$B$58:$K$67),F108:O108)</f>
        <v>0.20709706587358</v>
      </c>
      <c r="R108" s="55" t="n">
        <f aca="false">P108-04_回帰ANOVA!$K$19*04_回帰ANOVA!$K$14*SQRT(1+Q108)</f>
        <v>46.5601435455583</v>
      </c>
      <c r="S108" s="55" t="n">
        <f aca="false">P108+04_回帰ANOVA!$K$19*04_回帰ANOVA!$K$14*SQRT(1+Q108)</f>
        <v>48.6031405453508</v>
      </c>
      <c r="T108" s="54" t="b">
        <f aca="false">AND(C108&gt;=01_因子設定!$L$5-0.000000001,C108&lt;=01_因子設定!$M$5+0.000000001,D108&gt;=01_因子設定!$L$6-0.000000001,D108&lt;=01_因子設定!$M$6+0.000000001,E108&gt;=01_因子設定!$L$7-0.000000001,E108&lt;=01_因子設定!$M$7+0.000000001,IF(01_因子設定!$B$20="Box-Behnken",C108^2+D108^2+E108^2&lt;=2+0.000000001,TRUE()))</f>
        <v>1</v>
      </c>
      <c r="U108" s="55" t="n">
        <f aca="false">IF(T108,IF(01_因子設定!$B$13="最大化",R108-01_因子設定!$B$14,IF(01_因子設定!$B$13="最小化",01_因子設定!$B$15-S108,MIN(R108-01_因子設定!$B$14,01_因子設定!$B$15-S108))),-1E+030)</f>
        <v>-1.93985645444172</v>
      </c>
      <c r="V108" s="55" t="n">
        <f aca="false">IF(U108&gt;=0,1,0)</f>
        <v>0</v>
      </c>
    </row>
    <row r="109" customFormat="false" ht="15" hidden="false" customHeight="false" outlineLevel="0" collapsed="false">
      <c r="A109" s="0" t="n">
        <v>2</v>
      </c>
      <c r="B109" s="0" t="n">
        <v>-0.425</v>
      </c>
      <c r="C109" s="57" t="n">
        <f aca="false">07_最適化!$B$6</f>
        <v>0.625</v>
      </c>
      <c r="D109" s="55" t="n">
        <f aca="false">B109</f>
        <v>-0.425</v>
      </c>
      <c r="E109" s="57" t="n">
        <f aca="false">07_最適化!$B$8</f>
        <v>0.625</v>
      </c>
      <c r="F109" s="55" t="n">
        <f aca="false">1</f>
        <v>1</v>
      </c>
      <c r="G109" s="57" t="n">
        <f aca="false">C109</f>
        <v>0.625</v>
      </c>
      <c r="H109" s="55" t="n">
        <f aca="false">D109</f>
        <v>-0.425</v>
      </c>
      <c r="I109" s="57" t="n">
        <f aca="false">E109</f>
        <v>0.625</v>
      </c>
      <c r="J109" s="55" t="n">
        <f aca="false">C109*D109</f>
        <v>-0.265625</v>
      </c>
      <c r="K109" s="55" t="n">
        <f aca="false">C109*E109</f>
        <v>0.390625</v>
      </c>
      <c r="L109" s="55" t="n">
        <f aca="false">D109*E109</f>
        <v>-0.265625</v>
      </c>
      <c r="M109" s="55" t="n">
        <f aca="false">C109*C109</f>
        <v>0.390625</v>
      </c>
      <c r="N109" s="55" t="n">
        <f aca="false">D109*D109</f>
        <v>0.180625</v>
      </c>
      <c r="O109" s="55" t="n">
        <f aca="false">E109*E109</f>
        <v>0.390625</v>
      </c>
      <c r="P109" s="55" t="n">
        <f aca="false">SUMPRODUCT(F109:O109,_XtX!$B$71:$K$71)</f>
        <v>47.7039105113636</v>
      </c>
      <c r="Q109" s="55" t="n">
        <f aca="false">SUMPRODUCT(MMULT(F109:O109,_XtX!$B$58:$K$67),F109:O109)</f>
        <v>0.206375253018466</v>
      </c>
      <c r="R109" s="55" t="n">
        <f aca="false">P109-04_回帰ANOVA!$K$19*04_回帰ANOVA!$K$14*SQRT(1+Q109)</f>
        <v>46.6827174719927</v>
      </c>
      <c r="S109" s="55" t="n">
        <f aca="false">P109+04_回帰ANOVA!$K$19*04_回帰ANOVA!$K$14*SQRT(1+Q109)</f>
        <v>48.7251035507345</v>
      </c>
      <c r="T109" s="54" t="b">
        <f aca="false">AND(C109&gt;=01_因子設定!$L$5-0.000000001,C109&lt;=01_因子設定!$M$5+0.000000001,D109&gt;=01_因子設定!$L$6-0.000000001,D109&lt;=01_因子設定!$M$6+0.000000001,E109&gt;=01_因子設定!$L$7-0.000000001,E109&lt;=01_因子設定!$M$7+0.000000001,IF(01_因子設定!$B$20="Box-Behnken",C109^2+D109^2+E109^2&lt;=2+0.000000001,TRUE()))</f>
        <v>1</v>
      </c>
      <c r="U109" s="55" t="n">
        <f aca="false">IF(T109,IF(01_因子設定!$B$13="最大化",R109-01_因子設定!$B$14,IF(01_因子設定!$B$13="最小化",01_因子設定!$B$15-S109,MIN(R109-01_因子設定!$B$14,01_因子設定!$B$15-S109))),-1E+030)</f>
        <v>-1.81728252800725</v>
      </c>
      <c r="V109" s="55" t="n">
        <f aca="false">IF(U109&gt;=0,1,0)</f>
        <v>0</v>
      </c>
    </row>
    <row r="110" customFormat="false" ht="15" hidden="false" customHeight="false" outlineLevel="0" collapsed="false">
      <c r="A110" s="0" t="n">
        <v>2</v>
      </c>
      <c r="B110" s="0" t="n">
        <v>-0.4</v>
      </c>
      <c r="C110" s="57" t="n">
        <f aca="false">07_最適化!$B$6</f>
        <v>0.625</v>
      </c>
      <c r="D110" s="55" t="n">
        <f aca="false">B110</f>
        <v>-0.4</v>
      </c>
      <c r="E110" s="57" t="n">
        <f aca="false">07_最適化!$B$8</f>
        <v>0.625</v>
      </c>
      <c r="F110" s="55" t="n">
        <f aca="false">1</f>
        <v>1</v>
      </c>
      <c r="G110" s="57" t="n">
        <f aca="false">C110</f>
        <v>0.625</v>
      </c>
      <c r="H110" s="55" t="n">
        <f aca="false">D110</f>
        <v>-0.4</v>
      </c>
      <c r="I110" s="57" t="n">
        <f aca="false">E110</f>
        <v>0.625</v>
      </c>
      <c r="J110" s="55" t="n">
        <f aca="false">C110*D110</f>
        <v>-0.25</v>
      </c>
      <c r="K110" s="55" t="n">
        <f aca="false">C110*E110</f>
        <v>0.390625</v>
      </c>
      <c r="L110" s="55" t="n">
        <f aca="false">D110*E110</f>
        <v>-0.25</v>
      </c>
      <c r="M110" s="55" t="n">
        <f aca="false">C110*C110</f>
        <v>0.390625</v>
      </c>
      <c r="N110" s="55" t="n">
        <f aca="false">D110*D110</f>
        <v>0.16</v>
      </c>
      <c r="O110" s="55" t="n">
        <f aca="false">E110*E110</f>
        <v>0.390625</v>
      </c>
      <c r="P110" s="55" t="n">
        <f aca="false">SUMPRODUCT(F110:O110,_XtX!$B$71:$K$71)</f>
        <v>47.8236448863636</v>
      </c>
      <c r="Q110" s="55" t="n">
        <f aca="false">SUMPRODUCT(MMULT(F110:O110,_XtX!$B$58:$K$67),F110:O110)</f>
        <v>0.206013436612216</v>
      </c>
      <c r="R110" s="55" t="n">
        <f aca="false">P110-04_回帰ANOVA!$K$19*04_回帰ANOVA!$K$14*SQRT(1+Q110)</f>
        <v>46.802604996729</v>
      </c>
      <c r="S110" s="55" t="n">
        <f aca="false">P110+04_回帰ANOVA!$K$19*04_回帰ANOVA!$K$14*SQRT(1+Q110)</f>
        <v>48.8446847759983</v>
      </c>
      <c r="T110" s="54" t="b">
        <f aca="false">AND(C110&gt;=01_因子設定!$L$5-0.000000001,C110&lt;=01_因子設定!$M$5+0.000000001,D110&gt;=01_因子設定!$L$6-0.000000001,D110&lt;=01_因子設定!$M$6+0.000000001,E110&gt;=01_因子設定!$L$7-0.000000001,E110&lt;=01_因子設定!$M$7+0.000000001,IF(01_因子設定!$B$20="Box-Behnken",C110^2+D110^2+E110^2&lt;=2+0.000000001,TRUE()))</f>
        <v>1</v>
      </c>
      <c r="U110" s="55" t="n">
        <f aca="false">IF(T110,IF(01_因子設定!$B$13="最大化",R110-01_因子設定!$B$14,IF(01_因子設定!$B$13="最小化",01_因子設定!$B$15-S110,MIN(R110-01_因子設定!$B$14,01_因子設定!$B$15-S110))),-1E+030)</f>
        <v>-1.69739500327097</v>
      </c>
      <c r="V110" s="55" t="n">
        <f aca="false">IF(U110&gt;=0,1,0)</f>
        <v>0</v>
      </c>
    </row>
    <row r="111" customFormat="false" ht="15" hidden="false" customHeight="false" outlineLevel="0" collapsed="false">
      <c r="A111" s="0" t="n">
        <v>2</v>
      </c>
      <c r="B111" s="0" t="n">
        <v>-0.375</v>
      </c>
      <c r="C111" s="57" t="n">
        <f aca="false">07_最適化!$B$6</f>
        <v>0.625</v>
      </c>
      <c r="D111" s="55" t="n">
        <f aca="false">B111</f>
        <v>-0.375</v>
      </c>
      <c r="E111" s="57" t="n">
        <f aca="false">07_最適化!$B$8</f>
        <v>0.625</v>
      </c>
      <c r="F111" s="55" t="n">
        <f aca="false">1</f>
        <v>1</v>
      </c>
      <c r="G111" s="57" t="n">
        <f aca="false">C111</f>
        <v>0.625</v>
      </c>
      <c r="H111" s="55" t="n">
        <f aca="false">D111</f>
        <v>-0.375</v>
      </c>
      <c r="I111" s="57" t="n">
        <f aca="false">E111</f>
        <v>0.625</v>
      </c>
      <c r="J111" s="55" t="n">
        <f aca="false">C111*D111</f>
        <v>-0.234375</v>
      </c>
      <c r="K111" s="55" t="n">
        <f aca="false">C111*E111</f>
        <v>0.390625</v>
      </c>
      <c r="L111" s="55" t="n">
        <f aca="false">D111*E111</f>
        <v>-0.234375</v>
      </c>
      <c r="M111" s="55" t="n">
        <f aca="false">C111*C111</f>
        <v>0.390625</v>
      </c>
      <c r="N111" s="55" t="n">
        <f aca="false">D111*D111</f>
        <v>0.140625</v>
      </c>
      <c r="O111" s="55" t="n">
        <f aca="false">E111*E111</f>
        <v>0.390625</v>
      </c>
      <c r="P111" s="55" t="n">
        <f aca="false">SUMPRODUCT(F111:O111,_XtX!$B$71:$K$71)</f>
        <v>47.9408451704546</v>
      </c>
      <c r="Q111" s="55" t="n">
        <f aca="false">SUMPRODUCT(MMULT(F111:O111,_XtX!$B$58:$K$67),F111:O111)</f>
        <v>0.20595536665483</v>
      </c>
      <c r="R111" s="55" t="n">
        <f aca="false">P111-04_回帰ANOVA!$K$19*04_回帰ANOVA!$K$14*SQRT(1+Q111)</f>
        <v>46.9198298628249</v>
      </c>
      <c r="S111" s="55" t="n">
        <f aca="false">P111+04_回帰ANOVA!$K$19*04_回帰ANOVA!$K$14*SQRT(1+Q111)</f>
        <v>48.9618604780842</v>
      </c>
      <c r="T111" s="54" t="b">
        <f aca="false">AND(C111&gt;=01_因子設定!$L$5-0.000000001,C111&lt;=01_因子設定!$M$5+0.000000001,D111&gt;=01_因子設定!$L$6-0.000000001,D111&lt;=01_因子設定!$M$6+0.000000001,E111&gt;=01_因子設定!$L$7-0.000000001,E111&lt;=01_因子設定!$M$7+0.000000001,IF(01_因子設定!$B$20="Box-Behnken",C111^2+D111^2+E111^2&lt;=2+0.000000001,TRUE()))</f>
        <v>1</v>
      </c>
      <c r="U111" s="55" t="n">
        <f aca="false">IF(T111,IF(01_因子設定!$B$13="最大化",R111-01_因子設定!$B$14,IF(01_因子設定!$B$13="最小化",01_因子設定!$B$15-S111,MIN(R111-01_因子設定!$B$14,01_因子設定!$B$15-S111))),-1E+030)</f>
        <v>-1.58017013717507</v>
      </c>
      <c r="V111" s="55" t="n">
        <f aca="false">IF(U111&gt;=0,1,0)</f>
        <v>0</v>
      </c>
    </row>
    <row r="112" customFormat="false" ht="15" hidden="false" customHeight="false" outlineLevel="0" collapsed="false">
      <c r="A112" s="0" t="n">
        <v>2</v>
      </c>
      <c r="B112" s="0" t="n">
        <v>-0.35</v>
      </c>
      <c r="C112" s="57" t="n">
        <f aca="false">07_最適化!$B$6</f>
        <v>0.625</v>
      </c>
      <c r="D112" s="55" t="n">
        <f aca="false">B112</f>
        <v>-0.35</v>
      </c>
      <c r="E112" s="57" t="n">
        <f aca="false">07_最適化!$B$8</f>
        <v>0.625</v>
      </c>
      <c r="F112" s="55" t="n">
        <f aca="false">1</f>
        <v>1</v>
      </c>
      <c r="G112" s="57" t="n">
        <f aca="false">C112</f>
        <v>0.625</v>
      </c>
      <c r="H112" s="55" t="n">
        <f aca="false">D112</f>
        <v>-0.35</v>
      </c>
      <c r="I112" s="57" t="n">
        <f aca="false">E112</f>
        <v>0.625</v>
      </c>
      <c r="J112" s="55" t="n">
        <f aca="false">C112*D112</f>
        <v>-0.21875</v>
      </c>
      <c r="K112" s="55" t="n">
        <f aca="false">C112*E112</f>
        <v>0.390625</v>
      </c>
      <c r="L112" s="55" t="n">
        <f aca="false">D112*E112</f>
        <v>-0.21875</v>
      </c>
      <c r="M112" s="55" t="n">
        <f aca="false">C112*C112</f>
        <v>0.390625</v>
      </c>
      <c r="N112" s="55" t="n">
        <f aca="false">D112*D112</f>
        <v>0.1225</v>
      </c>
      <c r="O112" s="55" t="n">
        <f aca="false">E112*E112</f>
        <v>0.390625</v>
      </c>
      <c r="P112" s="55" t="n">
        <f aca="false">SUMPRODUCT(F112:O112,_XtX!$B$71:$K$71)</f>
        <v>48.0555113636364</v>
      </c>
      <c r="Q112" s="55" t="n">
        <f aca="false">SUMPRODUCT(MMULT(F112:O112,_XtX!$B$58:$K$67),F112:O112)</f>
        <v>0.206148202237216</v>
      </c>
      <c r="R112" s="55" t="n">
        <f aca="false">P112-04_回帰ANOVA!$K$19*04_回帰ANOVA!$K$14*SQRT(1+Q112)</f>
        <v>47.0344144276908</v>
      </c>
      <c r="S112" s="55" t="n">
        <f aca="false">P112+04_回帰ANOVA!$K$19*04_回帰ANOVA!$K$14*SQRT(1+Q112)</f>
        <v>49.0766082995819</v>
      </c>
      <c r="T112" s="54" t="b">
        <f aca="false">AND(C112&gt;=01_因子設定!$L$5-0.000000001,C112&lt;=01_因子設定!$M$5+0.000000001,D112&gt;=01_因子設定!$L$6-0.000000001,D112&lt;=01_因子設定!$M$6+0.000000001,E112&gt;=01_因子設定!$L$7-0.000000001,E112&lt;=01_因子設定!$M$7+0.000000001,IF(01_因子設定!$B$20="Box-Behnken",C112^2+D112^2+E112^2&lt;=2+0.000000001,TRUE()))</f>
        <v>1</v>
      </c>
      <c r="U112" s="55" t="n">
        <f aca="false">IF(T112,IF(01_因子設定!$B$13="最大化",R112-01_因子設定!$B$14,IF(01_因子設定!$B$13="最小化",01_因子設定!$B$15-S112,MIN(R112-01_因子設定!$B$14,01_因子設定!$B$15-S112))),-1E+030)</f>
        <v>-1.4655855723092</v>
      </c>
      <c r="V112" s="55" t="n">
        <f aca="false">IF(U112&gt;=0,1,0)</f>
        <v>0</v>
      </c>
    </row>
    <row r="113" customFormat="false" ht="15" hidden="false" customHeight="false" outlineLevel="0" collapsed="false">
      <c r="A113" s="0" t="n">
        <v>2</v>
      </c>
      <c r="B113" s="0" t="n">
        <v>-0.325</v>
      </c>
      <c r="C113" s="57" t="n">
        <f aca="false">07_最適化!$B$6</f>
        <v>0.625</v>
      </c>
      <c r="D113" s="55" t="n">
        <f aca="false">B113</f>
        <v>-0.325</v>
      </c>
      <c r="E113" s="57" t="n">
        <f aca="false">07_最適化!$B$8</f>
        <v>0.625</v>
      </c>
      <c r="F113" s="55" t="n">
        <f aca="false">1</f>
        <v>1</v>
      </c>
      <c r="G113" s="57" t="n">
        <f aca="false">C113</f>
        <v>0.625</v>
      </c>
      <c r="H113" s="55" t="n">
        <f aca="false">D113</f>
        <v>-0.325</v>
      </c>
      <c r="I113" s="57" t="n">
        <f aca="false">E113</f>
        <v>0.625</v>
      </c>
      <c r="J113" s="55" t="n">
        <f aca="false">C113*D113</f>
        <v>-0.203125</v>
      </c>
      <c r="K113" s="55" t="n">
        <f aca="false">C113*E113</f>
        <v>0.390625</v>
      </c>
      <c r="L113" s="55" t="n">
        <f aca="false">D113*E113</f>
        <v>-0.203125</v>
      </c>
      <c r="M113" s="55" t="n">
        <f aca="false">C113*C113</f>
        <v>0.390625</v>
      </c>
      <c r="N113" s="55" t="n">
        <f aca="false">D113*D113</f>
        <v>0.105625</v>
      </c>
      <c r="O113" s="55" t="n">
        <f aca="false">E113*E113</f>
        <v>0.390625</v>
      </c>
      <c r="P113" s="55" t="n">
        <f aca="false">SUMPRODUCT(F113:O113,_XtX!$B$71:$K$71)</f>
        <v>48.1676434659091</v>
      </c>
      <c r="Q113" s="55" t="n">
        <f aca="false">SUMPRODUCT(MMULT(F113:O113,_XtX!$B$58:$K$67),F113:O113)</f>
        <v>0.206542511541193</v>
      </c>
      <c r="R113" s="55" t="n">
        <f aca="false">P113-04_回帰ANOVA!$K$19*04_回帰ANOVA!$K$14*SQRT(1+Q113)</f>
        <v>47.1463796370725</v>
      </c>
      <c r="S113" s="55" t="n">
        <f aca="false">P113+04_回帰ANOVA!$K$19*04_回帰ANOVA!$K$14*SQRT(1+Q113)</f>
        <v>49.1889072947458</v>
      </c>
      <c r="T113" s="54" t="b">
        <f aca="false">AND(C113&gt;=01_因子設定!$L$5-0.000000001,C113&lt;=01_因子設定!$M$5+0.000000001,D113&gt;=01_因子設定!$L$6-0.000000001,D113&lt;=01_因子設定!$M$6+0.000000001,E113&gt;=01_因子設定!$L$7-0.000000001,E113&lt;=01_因子設定!$M$7+0.000000001,IF(01_因子設定!$B$20="Box-Behnken",C113^2+D113^2+E113^2&lt;=2+0.000000001,TRUE()))</f>
        <v>1</v>
      </c>
      <c r="U113" s="55" t="n">
        <f aca="false">IF(T113,IF(01_因子設定!$B$13="最大化",R113-01_因子設定!$B$14,IF(01_因子設定!$B$13="最小化",01_因子設定!$B$15-S113,MIN(R113-01_因子設定!$B$14,01_因子設定!$B$15-S113))),-1E+030)</f>
        <v>-1.35362036292755</v>
      </c>
      <c r="V113" s="55" t="n">
        <f aca="false">IF(U113&gt;=0,1,0)</f>
        <v>0</v>
      </c>
    </row>
    <row r="114" customFormat="false" ht="15" hidden="false" customHeight="false" outlineLevel="0" collapsed="false">
      <c r="A114" s="0" t="n">
        <v>2</v>
      </c>
      <c r="B114" s="0" t="n">
        <v>-0.3</v>
      </c>
      <c r="C114" s="57" t="n">
        <f aca="false">07_最適化!$B$6</f>
        <v>0.625</v>
      </c>
      <c r="D114" s="55" t="n">
        <f aca="false">B114</f>
        <v>-0.3</v>
      </c>
      <c r="E114" s="57" t="n">
        <f aca="false">07_最適化!$B$8</f>
        <v>0.625</v>
      </c>
      <c r="F114" s="55" t="n">
        <f aca="false">1</f>
        <v>1</v>
      </c>
      <c r="G114" s="57" t="n">
        <f aca="false">C114</f>
        <v>0.625</v>
      </c>
      <c r="H114" s="55" t="n">
        <f aca="false">D114</f>
        <v>-0.3</v>
      </c>
      <c r="I114" s="57" t="n">
        <f aca="false">E114</f>
        <v>0.625</v>
      </c>
      <c r="J114" s="55" t="n">
        <f aca="false">C114*D114</f>
        <v>-0.1875</v>
      </c>
      <c r="K114" s="55" t="n">
        <f aca="false">C114*E114</f>
        <v>0.390625</v>
      </c>
      <c r="L114" s="55" t="n">
        <f aca="false">D114*E114</f>
        <v>-0.1875</v>
      </c>
      <c r="M114" s="55" t="n">
        <f aca="false">C114*C114</f>
        <v>0.390625</v>
      </c>
      <c r="N114" s="55" t="n">
        <f aca="false">D114*D114</f>
        <v>0.09</v>
      </c>
      <c r="O114" s="55" t="n">
        <f aca="false">E114*E114</f>
        <v>0.390625</v>
      </c>
      <c r="P114" s="55" t="n">
        <f aca="false">SUMPRODUCT(F114:O114,_XtX!$B$71:$K$71)</f>
        <v>48.2772414772727</v>
      </c>
      <c r="Q114" s="55" t="n">
        <f aca="false">SUMPRODUCT(MMULT(F114:O114,_XtX!$B$58:$K$67),F114:O114)</f>
        <v>0.207092271839489</v>
      </c>
      <c r="R114" s="55" t="n">
        <f aca="false">P114-04_回帰ANOVA!$K$19*04_回帰ANOVA!$K$14*SQRT(1+Q114)</f>
        <v>47.2557450058395</v>
      </c>
      <c r="S114" s="55" t="n">
        <f aca="false">P114+04_回帰ANOVA!$K$19*04_回帰ANOVA!$K$14*SQRT(1+Q114)</f>
        <v>49.298737948706</v>
      </c>
      <c r="T114" s="54" t="b">
        <f aca="false">AND(C114&gt;=01_因子設定!$L$5-0.000000001,C114&lt;=01_因子設定!$M$5+0.000000001,D114&gt;=01_因子設定!$L$6-0.000000001,D114&lt;=01_因子設定!$M$6+0.000000001,E114&gt;=01_因子設定!$L$7-0.000000001,E114&lt;=01_因子設定!$M$7+0.000000001,IF(01_因子設定!$B$20="Box-Behnken",C114^2+D114^2+E114^2&lt;=2+0.000000001,TRUE()))</f>
        <v>1</v>
      </c>
      <c r="U114" s="55" t="n">
        <f aca="false">IF(T114,IF(01_因子設定!$B$13="最大化",R114-01_因子設定!$B$14,IF(01_因子設定!$B$13="最小化",01_因子設定!$B$15-S114,MIN(R114-01_因子設定!$B$14,01_因子設定!$B$15-S114))),-1E+030)</f>
        <v>-1.24425499416053</v>
      </c>
      <c r="V114" s="55" t="n">
        <f aca="false">IF(U114&gt;=0,1,0)</f>
        <v>0</v>
      </c>
    </row>
    <row r="115" customFormat="false" ht="15" hidden="false" customHeight="false" outlineLevel="0" collapsed="false">
      <c r="A115" s="0" t="n">
        <v>2</v>
      </c>
      <c r="B115" s="0" t="n">
        <v>-0.275</v>
      </c>
      <c r="C115" s="57" t="n">
        <f aca="false">07_最適化!$B$6</f>
        <v>0.625</v>
      </c>
      <c r="D115" s="55" t="n">
        <f aca="false">B115</f>
        <v>-0.275</v>
      </c>
      <c r="E115" s="57" t="n">
        <f aca="false">07_最適化!$B$8</f>
        <v>0.625</v>
      </c>
      <c r="F115" s="55" t="n">
        <f aca="false">1</f>
        <v>1</v>
      </c>
      <c r="G115" s="57" t="n">
        <f aca="false">C115</f>
        <v>0.625</v>
      </c>
      <c r="H115" s="55" t="n">
        <f aca="false">D115</f>
        <v>-0.275</v>
      </c>
      <c r="I115" s="57" t="n">
        <f aca="false">E115</f>
        <v>0.625</v>
      </c>
      <c r="J115" s="55" t="n">
        <f aca="false">C115*D115</f>
        <v>-0.171875</v>
      </c>
      <c r="K115" s="55" t="n">
        <f aca="false">C115*E115</f>
        <v>0.390625</v>
      </c>
      <c r="L115" s="55" t="n">
        <f aca="false">D115*E115</f>
        <v>-0.171875</v>
      </c>
      <c r="M115" s="55" t="n">
        <f aca="false">C115*C115</f>
        <v>0.390625</v>
      </c>
      <c r="N115" s="55" t="n">
        <f aca="false">D115*D115</f>
        <v>0.075625</v>
      </c>
      <c r="O115" s="55" t="n">
        <f aca="false">E115*E115</f>
        <v>0.390625</v>
      </c>
      <c r="P115" s="55" t="n">
        <f aca="false">SUMPRODUCT(F115:O115,_XtX!$B$71:$K$71)</f>
        <v>48.3843053977273</v>
      </c>
      <c r="Q115" s="55" t="n">
        <f aca="false">SUMPRODUCT(MMULT(F115:O115,_XtX!$B$58:$K$67),F115:O115)</f>
        <v>0.207754869495739</v>
      </c>
      <c r="R115" s="55" t="n">
        <f aca="false">P115-04_回帰ANOVA!$K$19*04_回帰ANOVA!$K$14*SQRT(1+Q115)</f>
        <v>47.3625286045961</v>
      </c>
      <c r="S115" s="55" t="n">
        <f aca="false">P115+04_回帰ANOVA!$K$19*04_回帰ANOVA!$K$14*SQRT(1+Q115)</f>
        <v>49.4060821908585</v>
      </c>
      <c r="T115" s="54" t="b">
        <f aca="false">AND(C115&gt;=01_因子設定!$L$5-0.000000001,C115&lt;=01_因子設定!$M$5+0.000000001,D115&gt;=01_因子設定!$L$6-0.000000001,D115&lt;=01_因子設定!$M$6+0.000000001,E115&gt;=01_因子設定!$L$7-0.000000001,E115&lt;=01_因子設定!$M$7+0.000000001,IF(01_因子設定!$B$20="Box-Behnken",C115^2+D115^2+E115^2&lt;=2+0.000000001,TRUE()))</f>
        <v>1</v>
      </c>
      <c r="U115" s="55" t="n">
        <f aca="false">IF(T115,IF(01_因子設定!$B$13="最大化",R115-01_因子設定!$B$14,IF(01_因子設定!$B$13="最小化",01_因子設定!$B$15-S115,MIN(R115-01_因子設定!$B$14,01_因子設定!$B$15-S115))),-1E+030)</f>
        <v>-1.13747139540389</v>
      </c>
      <c r="V115" s="55" t="n">
        <f aca="false">IF(U115&gt;=0,1,0)</f>
        <v>0</v>
      </c>
    </row>
    <row r="116" customFormat="false" ht="15" hidden="false" customHeight="false" outlineLevel="0" collapsed="false">
      <c r="A116" s="0" t="n">
        <v>2</v>
      </c>
      <c r="B116" s="0" t="n">
        <v>-0.25</v>
      </c>
      <c r="C116" s="57" t="n">
        <f aca="false">07_最適化!$B$6</f>
        <v>0.625</v>
      </c>
      <c r="D116" s="55" t="n">
        <f aca="false">B116</f>
        <v>-0.25</v>
      </c>
      <c r="E116" s="57" t="n">
        <f aca="false">07_最適化!$B$8</f>
        <v>0.625</v>
      </c>
      <c r="F116" s="55" t="n">
        <f aca="false">1</f>
        <v>1</v>
      </c>
      <c r="G116" s="57" t="n">
        <f aca="false">C116</f>
        <v>0.625</v>
      </c>
      <c r="H116" s="55" t="n">
        <f aca="false">D116</f>
        <v>-0.25</v>
      </c>
      <c r="I116" s="57" t="n">
        <f aca="false">E116</f>
        <v>0.625</v>
      </c>
      <c r="J116" s="55" t="n">
        <f aca="false">C116*D116</f>
        <v>-0.15625</v>
      </c>
      <c r="K116" s="55" t="n">
        <f aca="false">C116*E116</f>
        <v>0.390625</v>
      </c>
      <c r="L116" s="55" t="n">
        <f aca="false">D116*E116</f>
        <v>-0.15625</v>
      </c>
      <c r="M116" s="55" t="n">
        <f aca="false">C116*C116</f>
        <v>0.390625</v>
      </c>
      <c r="N116" s="55" t="n">
        <f aca="false">D116*D116</f>
        <v>0.0625</v>
      </c>
      <c r="O116" s="55" t="n">
        <f aca="false">E116*E116</f>
        <v>0.390625</v>
      </c>
      <c r="P116" s="55" t="n">
        <f aca="false">SUMPRODUCT(F116:O116,_XtX!$B$71:$K$71)</f>
        <v>48.4888352272727</v>
      </c>
      <c r="Q116" s="55" t="n">
        <f aca="false">SUMPRODUCT(MMULT(F116:O116,_XtX!$B$58:$K$67),F116:O116)</f>
        <v>0.208491099964489</v>
      </c>
      <c r="R116" s="55" t="n">
        <f aca="false">P116-04_回帰ANOVA!$K$19*04_回帰ANOVA!$K$14*SQRT(1+Q116)</f>
        <v>47.4667470511702</v>
      </c>
      <c r="S116" s="55" t="n">
        <f aca="false">P116+04_回帰ANOVA!$K$19*04_回帰ANOVA!$K$14*SQRT(1+Q116)</f>
        <v>49.5109234033753</v>
      </c>
      <c r="T116" s="54" t="b">
        <f aca="false">AND(C116&gt;=01_因子設定!$L$5-0.000000001,C116&lt;=01_因子設定!$M$5+0.000000001,D116&gt;=01_因子設定!$L$6-0.000000001,D116&lt;=01_因子設定!$M$6+0.000000001,E116&gt;=01_因子設定!$L$7-0.000000001,E116&lt;=01_因子設定!$M$7+0.000000001,IF(01_因子設定!$B$20="Box-Behnken",C116^2+D116^2+E116^2&lt;=2+0.000000001,TRUE()))</f>
        <v>1</v>
      </c>
      <c r="U116" s="55" t="n">
        <f aca="false">IF(T116,IF(01_因子設定!$B$13="最大化",R116-01_因子設定!$B$14,IF(01_因子設定!$B$13="最小化",01_因子設定!$B$15-S116,MIN(R116-01_因子設定!$B$14,01_因子設定!$B$15-S116))),-1E+030)</f>
        <v>-1.03325294882985</v>
      </c>
      <c r="V116" s="55" t="n">
        <f aca="false">IF(U116&gt;=0,1,0)</f>
        <v>0</v>
      </c>
    </row>
    <row r="117" customFormat="false" ht="15" hidden="false" customHeight="false" outlineLevel="0" collapsed="false">
      <c r="A117" s="0" t="n">
        <v>2</v>
      </c>
      <c r="B117" s="0" t="n">
        <v>-0.225</v>
      </c>
      <c r="C117" s="57" t="n">
        <f aca="false">07_最適化!$B$6</f>
        <v>0.625</v>
      </c>
      <c r="D117" s="55" t="n">
        <f aca="false">B117</f>
        <v>-0.225</v>
      </c>
      <c r="E117" s="57" t="n">
        <f aca="false">07_最適化!$B$8</f>
        <v>0.625</v>
      </c>
      <c r="F117" s="55" t="n">
        <f aca="false">1</f>
        <v>1</v>
      </c>
      <c r="G117" s="57" t="n">
        <f aca="false">C117</f>
        <v>0.625</v>
      </c>
      <c r="H117" s="55" t="n">
        <f aca="false">D117</f>
        <v>-0.225</v>
      </c>
      <c r="I117" s="57" t="n">
        <f aca="false">E117</f>
        <v>0.625</v>
      </c>
      <c r="J117" s="55" t="n">
        <f aca="false">C117*D117</f>
        <v>-0.140625</v>
      </c>
      <c r="K117" s="55" t="n">
        <f aca="false">C117*E117</f>
        <v>0.390625</v>
      </c>
      <c r="L117" s="55" t="n">
        <f aca="false">D117*E117</f>
        <v>-0.140625</v>
      </c>
      <c r="M117" s="55" t="n">
        <f aca="false">C117*C117</f>
        <v>0.390625</v>
      </c>
      <c r="N117" s="55" t="n">
        <f aca="false">D117*D117</f>
        <v>0.050625</v>
      </c>
      <c r="O117" s="55" t="n">
        <f aca="false">E117*E117</f>
        <v>0.390625</v>
      </c>
      <c r="P117" s="55" t="n">
        <f aca="false">SUMPRODUCT(F117:O117,_XtX!$B$71:$K$71)</f>
        <v>48.5908309659091</v>
      </c>
      <c r="Q117" s="55" t="n">
        <f aca="false">SUMPRODUCT(MMULT(F117:O117,_XtX!$B$58:$K$67),F117:O117)</f>
        <v>0.209265167791193</v>
      </c>
      <c r="R117" s="55" t="n">
        <f aca="false">P117-04_回帰ANOVA!$K$19*04_回帰ANOVA!$K$14*SQRT(1+Q117)</f>
        <v>47.5684155060873</v>
      </c>
      <c r="S117" s="55" t="n">
        <f aca="false">P117+04_回帰ANOVA!$K$19*04_回帰ANOVA!$K$14*SQRT(1+Q117)</f>
        <v>49.6132464257309</v>
      </c>
      <c r="T117" s="54" t="b">
        <f aca="false">AND(C117&gt;=01_因子設定!$L$5-0.000000001,C117&lt;=01_因子設定!$M$5+0.000000001,D117&gt;=01_因子設定!$L$6-0.000000001,D117&lt;=01_因子設定!$M$6+0.000000001,E117&gt;=01_因子設定!$L$7-0.000000001,E117&lt;=01_因子設定!$M$7+0.000000001,IF(01_因子設定!$B$20="Box-Behnken",C117^2+D117^2+E117^2&lt;=2+0.000000001,TRUE()))</f>
        <v>1</v>
      </c>
      <c r="U117" s="55" t="n">
        <f aca="false">IF(T117,IF(01_因子設定!$B$13="最大化",R117-01_因子設定!$B$14,IF(01_因子設定!$B$13="最小化",01_因子設定!$B$15-S117,MIN(R117-01_因子設定!$B$14,01_因子設定!$B$15-S117))),-1E+030)</f>
        <v>-0.931584493912659</v>
      </c>
      <c r="V117" s="55" t="n">
        <f aca="false">IF(U117&gt;=0,1,0)</f>
        <v>0</v>
      </c>
    </row>
    <row r="118" customFormat="false" ht="15" hidden="false" customHeight="false" outlineLevel="0" collapsed="false">
      <c r="A118" s="0" t="n">
        <v>2</v>
      </c>
      <c r="B118" s="0" t="n">
        <v>-0.2</v>
      </c>
      <c r="C118" s="57" t="n">
        <f aca="false">07_最適化!$B$6</f>
        <v>0.625</v>
      </c>
      <c r="D118" s="55" t="n">
        <f aca="false">B118</f>
        <v>-0.2</v>
      </c>
      <c r="E118" s="57" t="n">
        <f aca="false">07_最適化!$B$8</f>
        <v>0.625</v>
      </c>
      <c r="F118" s="55" t="n">
        <f aca="false">1</f>
        <v>1</v>
      </c>
      <c r="G118" s="57" t="n">
        <f aca="false">C118</f>
        <v>0.625</v>
      </c>
      <c r="H118" s="55" t="n">
        <f aca="false">D118</f>
        <v>-0.2</v>
      </c>
      <c r="I118" s="57" t="n">
        <f aca="false">E118</f>
        <v>0.625</v>
      </c>
      <c r="J118" s="55" t="n">
        <f aca="false">C118*D118</f>
        <v>-0.125</v>
      </c>
      <c r="K118" s="55" t="n">
        <f aca="false">C118*E118</f>
        <v>0.390625</v>
      </c>
      <c r="L118" s="55" t="n">
        <f aca="false">D118*E118</f>
        <v>-0.125</v>
      </c>
      <c r="M118" s="55" t="n">
        <f aca="false">C118*C118</f>
        <v>0.390625</v>
      </c>
      <c r="N118" s="55" t="n">
        <f aca="false">D118*D118</f>
        <v>0.04</v>
      </c>
      <c r="O118" s="55" t="n">
        <f aca="false">E118*E118</f>
        <v>0.390625</v>
      </c>
      <c r="P118" s="55" t="n">
        <f aca="false">SUMPRODUCT(F118:O118,_XtX!$B$71:$K$71)</f>
        <v>48.6902926136364</v>
      </c>
      <c r="Q118" s="55" t="n">
        <f aca="false">SUMPRODUCT(MMULT(F118:O118,_XtX!$B$58:$K$67),F118:O118)</f>
        <v>0.210044686612216</v>
      </c>
      <c r="R118" s="55" t="n">
        <f aca="false">P118-04_回帰ANOVA!$K$19*04_回帰ANOVA!$K$14*SQRT(1+Q118)</f>
        <v>47.6675476712012</v>
      </c>
      <c r="S118" s="55" t="n">
        <f aca="false">P118+04_回帰ANOVA!$K$19*04_回帰ANOVA!$K$14*SQRT(1+Q118)</f>
        <v>49.7130375560715</v>
      </c>
      <c r="T118" s="54" t="b">
        <f aca="false">AND(C118&gt;=01_因子設定!$L$5-0.000000001,C118&lt;=01_因子設定!$M$5+0.000000001,D118&gt;=01_因子設定!$L$6-0.000000001,D118&lt;=01_因子設定!$M$6+0.000000001,E118&gt;=01_因子設定!$L$7-0.000000001,E118&lt;=01_因子設定!$M$7+0.000000001,IF(01_因子設定!$B$20="Box-Behnken",C118^2+D118^2+E118^2&lt;=2+0.000000001,TRUE()))</f>
        <v>1</v>
      </c>
      <c r="U118" s="55" t="n">
        <f aca="false">IF(T118,IF(01_因子設定!$B$13="最大化",R118-01_因子設定!$B$14,IF(01_因子設定!$B$13="最小化",01_因子設定!$B$15-S118,MIN(R118-01_因子設定!$B$14,01_因子設定!$B$15-S118))),-1E+030)</f>
        <v>-0.832452328798787</v>
      </c>
      <c r="V118" s="55" t="n">
        <f aca="false">IF(U118&gt;=0,1,0)</f>
        <v>0</v>
      </c>
    </row>
    <row r="119" customFormat="false" ht="15" hidden="false" customHeight="false" outlineLevel="0" collapsed="false">
      <c r="A119" s="0" t="n">
        <v>2</v>
      </c>
      <c r="B119" s="0" t="n">
        <v>-0.175</v>
      </c>
      <c r="C119" s="57" t="n">
        <f aca="false">07_最適化!$B$6</f>
        <v>0.625</v>
      </c>
      <c r="D119" s="55" t="n">
        <f aca="false">B119</f>
        <v>-0.175</v>
      </c>
      <c r="E119" s="57" t="n">
        <f aca="false">07_最適化!$B$8</f>
        <v>0.625</v>
      </c>
      <c r="F119" s="55" t="n">
        <f aca="false">1</f>
        <v>1</v>
      </c>
      <c r="G119" s="57" t="n">
        <f aca="false">C119</f>
        <v>0.625</v>
      </c>
      <c r="H119" s="55" t="n">
        <f aca="false">D119</f>
        <v>-0.175</v>
      </c>
      <c r="I119" s="57" t="n">
        <f aca="false">E119</f>
        <v>0.625</v>
      </c>
      <c r="J119" s="55" t="n">
        <f aca="false">C119*D119</f>
        <v>-0.109375</v>
      </c>
      <c r="K119" s="55" t="n">
        <f aca="false">C119*E119</f>
        <v>0.390625</v>
      </c>
      <c r="L119" s="55" t="n">
        <f aca="false">D119*E119</f>
        <v>-0.109375</v>
      </c>
      <c r="M119" s="55" t="n">
        <f aca="false">C119*C119</f>
        <v>0.390625</v>
      </c>
      <c r="N119" s="55" t="n">
        <f aca="false">D119*D119</f>
        <v>0.030625</v>
      </c>
      <c r="O119" s="55" t="n">
        <f aca="false">E119*E119</f>
        <v>0.390625</v>
      </c>
      <c r="P119" s="55" t="n">
        <f aca="false">SUMPRODUCT(F119:O119,_XtX!$B$71:$K$71)</f>
        <v>48.7872201704546</v>
      </c>
      <c r="Q119" s="55" t="n">
        <f aca="false">SUMPRODUCT(MMULT(F119:O119,_XtX!$B$58:$K$67),F119:O119)</f>
        <v>0.21080067915483</v>
      </c>
      <c r="R119" s="55" t="n">
        <f aca="false">P119-04_回帰ANOVA!$K$19*04_回帰ANOVA!$K$14*SQRT(1+Q119)</f>
        <v>47.7641557907165</v>
      </c>
      <c r="S119" s="55" t="n">
        <f aca="false">P119+04_回帰ANOVA!$K$19*04_回帰ANOVA!$K$14*SQRT(1+Q119)</f>
        <v>49.8102845501926</v>
      </c>
      <c r="T119" s="54" t="b">
        <f aca="false">AND(C119&gt;=01_因子設定!$L$5-0.000000001,C119&lt;=01_因子設定!$M$5+0.000000001,D119&gt;=01_因子設定!$L$6-0.000000001,D119&lt;=01_因子設定!$M$6+0.000000001,E119&gt;=01_因子設定!$L$7-0.000000001,E119&lt;=01_因子設定!$M$7+0.000000001,IF(01_因子設定!$B$20="Box-Behnken",C119^2+D119^2+E119^2&lt;=2+0.000000001,TRUE()))</f>
        <v>1</v>
      </c>
      <c r="U119" s="55" t="n">
        <f aca="false">IF(T119,IF(01_因子設定!$B$13="最大化",R119-01_因子設定!$B$14,IF(01_因子設定!$B$13="最小化",01_因子設定!$B$15-S119,MIN(R119-01_因子設定!$B$14,01_因子設定!$B$15-S119))),-1E+030)</f>
        <v>-0.735844209283535</v>
      </c>
      <c r="V119" s="55" t="n">
        <f aca="false">IF(U119&gt;=0,1,0)</f>
        <v>0</v>
      </c>
    </row>
    <row r="120" customFormat="false" ht="15" hidden="false" customHeight="false" outlineLevel="0" collapsed="false">
      <c r="A120" s="0" t="n">
        <v>2</v>
      </c>
      <c r="B120" s="0" t="n">
        <v>-0.15</v>
      </c>
      <c r="C120" s="57" t="n">
        <f aca="false">07_最適化!$B$6</f>
        <v>0.625</v>
      </c>
      <c r="D120" s="55" t="n">
        <f aca="false">B120</f>
        <v>-0.15</v>
      </c>
      <c r="E120" s="57" t="n">
        <f aca="false">07_最適化!$B$8</f>
        <v>0.625</v>
      </c>
      <c r="F120" s="55" t="n">
        <f aca="false">1</f>
        <v>1</v>
      </c>
      <c r="G120" s="57" t="n">
        <f aca="false">C120</f>
        <v>0.625</v>
      </c>
      <c r="H120" s="55" t="n">
        <f aca="false">D120</f>
        <v>-0.15</v>
      </c>
      <c r="I120" s="57" t="n">
        <f aca="false">E120</f>
        <v>0.625</v>
      </c>
      <c r="J120" s="55" t="n">
        <f aca="false">C120*D120</f>
        <v>-0.09375</v>
      </c>
      <c r="K120" s="55" t="n">
        <f aca="false">C120*E120</f>
        <v>0.390625</v>
      </c>
      <c r="L120" s="55" t="n">
        <f aca="false">D120*E120</f>
        <v>-0.09375</v>
      </c>
      <c r="M120" s="55" t="n">
        <f aca="false">C120*C120</f>
        <v>0.390625</v>
      </c>
      <c r="N120" s="55" t="n">
        <f aca="false">D120*D120</f>
        <v>0.0225</v>
      </c>
      <c r="O120" s="55" t="n">
        <f aca="false">E120*E120</f>
        <v>0.390625</v>
      </c>
      <c r="P120" s="55" t="n">
        <f aca="false">SUMPRODUCT(F120:O120,_XtX!$B$71:$K$71)</f>
        <v>48.8816136363636</v>
      </c>
      <c r="Q120" s="55" t="n">
        <f aca="false">SUMPRODUCT(MMULT(F120:O120,_XtX!$B$58:$K$67),F120:O120)</f>
        <v>0.211507577237216</v>
      </c>
      <c r="R120" s="55" t="n">
        <f aca="false">P120-04_回帰ANOVA!$K$19*04_回帰ANOVA!$K$14*SQRT(1+Q120)</f>
        <v>47.8582506539178</v>
      </c>
      <c r="S120" s="55" t="n">
        <f aca="false">P120+04_回帰ANOVA!$K$19*04_回帰ANOVA!$K$14*SQRT(1+Q120)</f>
        <v>49.9049766188095</v>
      </c>
      <c r="T120" s="54" t="b">
        <f aca="false">AND(C120&gt;=01_因子設定!$L$5-0.000000001,C120&lt;=01_因子設定!$M$5+0.000000001,D120&gt;=01_因子設定!$L$6-0.000000001,D120&lt;=01_因子設定!$M$6+0.000000001,E120&gt;=01_因子設定!$L$7-0.000000001,E120&lt;=01_因子設定!$M$7+0.000000001,IF(01_因子設定!$B$20="Box-Behnken",C120^2+D120^2+E120^2&lt;=2+0.000000001,TRUE()))</f>
        <v>1</v>
      </c>
      <c r="U120" s="55" t="n">
        <f aca="false">IF(T120,IF(01_因子設定!$B$13="最大化",R120-01_因子設定!$B$14,IF(01_因子設定!$B$13="最小化",01_因子設定!$B$15-S120,MIN(R120-01_因子設定!$B$14,01_因子設定!$B$15-S120))),-1E+030)</f>
        <v>-0.641749346082222</v>
      </c>
      <c r="V120" s="55" t="n">
        <f aca="false">IF(U120&gt;=0,1,0)</f>
        <v>0</v>
      </c>
    </row>
    <row r="121" customFormat="false" ht="15" hidden="false" customHeight="false" outlineLevel="0" collapsed="false">
      <c r="A121" s="0" t="n">
        <v>2</v>
      </c>
      <c r="B121" s="0" t="n">
        <v>-0.125</v>
      </c>
      <c r="C121" s="57" t="n">
        <f aca="false">07_最適化!$B$6</f>
        <v>0.625</v>
      </c>
      <c r="D121" s="55" t="n">
        <f aca="false">B121</f>
        <v>-0.125</v>
      </c>
      <c r="E121" s="57" t="n">
        <f aca="false">07_最適化!$B$8</f>
        <v>0.625</v>
      </c>
      <c r="F121" s="55" t="n">
        <f aca="false">1</f>
        <v>1</v>
      </c>
      <c r="G121" s="57" t="n">
        <f aca="false">C121</f>
        <v>0.625</v>
      </c>
      <c r="H121" s="55" t="n">
        <f aca="false">D121</f>
        <v>-0.125</v>
      </c>
      <c r="I121" s="57" t="n">
        <f aca="false">E121</f>
        <v>0.625</v>
      </c>
      <c r="J121" s="55" t="n">
        <f aca="false">C121*D121</f>
        <v>-0.078125</v>
      </c>
      <c r="K121" s="55" t="n">
        <f aca="false">C121*E121</f>
        <v>0.390625</v>
      </c>
      <c r="L121" s="55" t="n">
        <f aca="false">D121*E121</f>
        <v>-0.078125</v>
      </c>
      <c r="M121" s="55" t="n">
        <f aca="false">C121*C121</f>
        <v>0.390625</v>
      </c>
      <c r="N121" s="55" t="n">
        <f aca="false">D121*D121</f>
        <v>0.015625</v>
      </c>
      <c r="O121" s="55" t="n">
        <f aca="false">E121*E121</f>
        <v>0.390625</v>
      </c>
      <c r="P121" s="55" t="n">
        <f aca="false">SUMPRODUCT(F121:O121,_XtX!$B$71:$K$71)</f>
        <v>48.9734730113636</v>
      </c>
      <c r="Q121" s="55" t="n">
        <f aca="false">SUMPRODUCT(MMULT(F121:O121,_XtX!$B$58:$K$67),F121:O121)</f>
        <v>0.212143221768466</v>
      </c>
      <c r="R121" s="55" t="n">
        <f aca="false">P121-04_回帰ANOVA!$K$19*04_回帰ANOVA!$K$14*SQRT(1+Q121)</f>
        <v>47.9498415989906</v>
      </c>
      <c r="S121" s="55" t="n">
        <f aca="false">P121+04_回帰ANOVA!$K$19*04_回帰ANOVA!$K$14*SQRT(1+Q121)</f>
        <v>49.9971044237367</v>
      </c>
      <c r="T121" s="54" t="b">
        <f aca="false">AND(C121&gt;=01_因子設定!$L$5-0.000000001,C121&lt;=01_因子設定!$M$5+0.000000001,D121&gt;=01_因子設定!$L$6-0.000000001,D121&lt;=01_因子設定!$M$6+0.000000001,E121&gt;=01_因子設定!$L$7-0.000000001,E121&lt;=01_因子設定!$M$7+0.000000001,IF(01_因子設定!$B$20="Box-Behnken",C121^2+D121^2+E121^2&lt;=2+0.000000001,TRUE()))</f>
        <v>1</v>
      </c>
      <c r="U121" s="55" t="n">
        <f aca="false">IF(T121,IF(01_因子設定!$B$13="最大化",R121-01_因子設定!$B$14,IF(01_因子設定!$B$13="最小化",01_因子設定!$B$15-S121,MIN(R121-01_因子設定!$B$14,01_因子設定!$B$15-S121))),-1E+030)</f>
        <v>-0.550158401009398</v>
      </c>
      <c r="V121" s="55" t="n">
        <f aca="false">IF(U121&gt;=0,1,0)</f>
        <v>0</v>
      </c>
    </row>
    <row r="122" customFormat="false" ht="15" hidden="false" customHeight="false" outlineLevel="0" collapsed="false">
      <c r="A122" s="0" t="n">
        <v>2</v>
      </c>
      <c r="B122" s="0" t="n">
        <v>-0.1</v>
      </c>
      <c r="C122" s="57" t="n">
        <f aca="false">07_最適化!$B$6</f>
        <v>0.625</v>
      </c>
      <c r="D122" s="55" t="n">
        <f aca="false">B122</f>
        <v>-0.1</v>
      </c>
      <c r="E122" s="57" t="n">
        <f aca="false">07_最適化!$B$8</f>
        <v>0.625</v>
      </c>
      <c r="F122" s="55" t="n">
        <f aca="false">1</f>
        <v>1</v>
      </c>
      <c r="G122" s="57" t="n">
        <f aca="false">C122</f>
        <v>0.625</v>
      </c>
      <c r="H122" s="55" t="n">
        <f aca="false">D122</f>
        <v>-0.1</v>
      </c>
      <c r="I122" s="57" t="n">
        <f aca="false">E122</f>
        <v>0.625</v>
      </c>
      <c r="J122" s="55" t="n">
        <f aca="false">C122*D122</f>
        <v>-0.0625</v>
      </c>
      <c r="K122" s="55" t="n">
        <f aca="false">C122*E122</f>
        <v>0.390625</v>
      </c>
      <c r="L122" s="55" t="n">
        <f aca="false">D122*E122</f>
        <v>-0.0625</v>
      </c>
      <c r="M122" s="55" t="n">
        <f aca="false">C122*C122</f>
        <v>0.390625</v>
      </c>
      <c r="N122" s="55" t="n">
        <f aca="false">D122*D122</f>
        <v>0.01</v>
      </c>
      <c r="O122" s="55" t="n">
        <f aca="false">E122*E122</f>
        <v>0.390625</v>
      </c>
      <c r="P122" s="55" t="n">
        <f aca="false">SUMPRODUCT(F122:O122,_XtX!$B$71:$K$71)</f>
        <v>49.0627982954546</v>
      </c>
      <c r="Q122" s="55" t="n">
        <f aca="false">SUMPRODUCT(MMULT(F122:O122,_XtX!$B$58:$K$67),F122:O122)</f>
        <v>0.21268886274858</v>
      </c>
      <c r="R122" s="55" t="n">
        <f aca="false">P122-04_回帰ANOVA!$K$19*04_回帰ANOVA!$K$14*SQRT(1+Q122)</f>
        <v>48.0389365173971</v>
      </c>
      <c r="S122" s="55" t="n">
        <f aca="false">P122+04_回帰ANOVA!$K$19*04_回帰ANOVA!$K$14*SQRT(1+Q122)</f>
        <v>50.086660073512</v>
      </c>
      <c r="T122" s="54" t="b">
        <f aca="false">AND(C122&gt;=01_因子設定!$L$5-0.000000001,C122&lt;=01_因子設定!$M$5+0.000000001,D122&gt;=01_因子設定!$L$6-0.000000001,D122&lt;=01_因子設定!$M$6+0.000000001,E122&gt;=01_因子設定!$L$7-0.000000001,E122&lt;=01_因子設定!$M$7+0.000000001,IF(01_因子設定!$B$20="Box-Behnken",C122^2+D122^2+E122^2&lt;=2+0.000000001,TRUE()))</f>
        <v>1</v>
      </c>
      <c r="U122" s="55" t="n">
        <f aca="false">IF(T122,IF(01_因子設定!$B$13="最大化",R122-01_因子設定!$B$14,IF(01_因子設定!$B$13="最小化",01_因子設定!$B$15-S122,MIN(R122-01_因子設定!$B$14,01_因子設定!$B$15-S122))),-1E+030)</f>
        <v>-0.461063482602874</v>
      </c>
      <c r="V122" s="55" t="n">
        <f aca="false">IF(U122&gt;=0,1,0)</f>
        <v>0</v>
      </c>
    </row>
    <row r="123" customFormat="false" ht="15" hidden="false" customHeight="false" outlineLevel="0" collapsed="false">
      <c r="A123" s="0" t="n">
        <v>2</v>
      </c>
      <c r="B123" s="0" t="n">
        <v>-0.075</v>
      </c>
      <c r="C123" s="57" t="n">
        <f aca="false">07_最適化!$B$6</f>
        <v>0.625</v>
      </c>
      <c r="D123" s="55" t="n">
        <f aca="false">B123</f>
        <v>-0.075</v>
      </c>
      <c r="E123" s="57" t="n">
        <f aca="false">07_最適化!$B$8</f>
        <v>0.625</v>
      </c>
      <c r="F123" s="55" t="n">
        <f aca="false">1</f>
        <v>1</v>
      </c>
      <c r="G123" s="57" t="n">
        <f aca="false">C123</f>
        <v>0.625</v>
      </c>
      <c r="H123" s="55" t="n">
        <f aca="false">D123</f>
        <v>-0.075</v>
      </c>
      <c r="I123" s="57" t="n">
        <f aca="false">E123</f>
        <v>0.625</v>
      </c>
      <c r="J123" s="55" t="n">
        <f aca="false">C123*D123</f>
        <v>-0.046875</v>
      </c>
      <c r="K123" s="55" t="n">
        <f aca="false">C123*E123</f>
        <v>0.390625</v>
      </c>
      <c r="L123" s="55" t="n">
        <f aca="false">D123*E123</f>
        <v>-0.046875</v>
      </c>
      <c r="M123" s="55" t="n">
        <f aca="false">C123*C123</f>
        <v>0.390625</v>
      </c>
      <c r="N123" s="55" t="n">
        <f aca="false">D123*D123</f>
        <v>0.005625</v>
      </c>
      <c r="O123" s="55" t="n">
        <f aca="false">E123*E123</f>
        <v>0.390625</v>
      </c>
      <c r="P123" s="55" t="n">
        <f aca="false">SUMPRODUCT(F123:O123,_XtX!$B$71:$K$71)</f>
        <v>49.1495894886364</v>
      </c>
      <c r="Q123" s="55" t="n">
        <f aca="false">SUMPRODUCT(MMULT(F123:O123,_XtX!$B$58:$K$67),F123:O123)</f>
        <v>0.213129159268466</v>
      </c>
      <c r="R123" s="55" t="n">
        <f aca="false">P123-04_回帰ANOVA!$K$19*04_回帰ANOVA!$K$14*SQRT(1+Q123)</f>
        <v>48.1255418583459</v>
      </c>
      <c r="S123" s="55" t="n">
        <f aca="false">P123+04_回帰ANOVA!$K$19*04_回帰ANOVA!$K$14*SQRT(1+Q123)</f>
        <v>50.1736371189269</v>
      </c>
      <c r="T123" s="54" t="b">
        <f aca="false">AND(C123&gt;=01_因子設定!$L$5-0.000000001,C123&lt;=01_因子設定!$M$5+0.000000001,D123&gt;=01_因子設定!$L$6-0.000000001,D123&lt;=01_因子設定!$M$6+0.000000001,E123&gt;=01_因子設定!$L$7-0.000000001,E123&lt;=01_因子設定!$M$7+0.000000001,IF(01_因子設定!$B$20="Box-Behnken",C123^2+D123^2+E123^2&lt;=2+0.000000001,TRUE()))</f>
        <v>1</v>
      </c>
      <c r="U123" s="55" t="n">
        <f aca="false">IF(T123,IF(01_因子設定!$B$13="最大化",R123-01_因子設定!$B$14,IF(01_因子設定!$B$13="最小化",01_因子設定!$B$15-S123,MIN(R123-01_因子設定!$B$14,01_因子設定!$B$15-S123))),-1E+030)</f>
        <v>-0.374458141654152</v>
      </c>
      <c r="V123" s="55" t="n">
        <f aca="false">IF(U123&gt;=0,1,0)</f>
        <v>0</v>
      </c>
    </row>
    <row r="124" customFormat="false" ht="15" hidden="false" customHeight="false" outlineLevel="0" collapsed="false">
      <c r="A124" s="0" t="n">
        <v>2</v>
      </c>
      <c r="B124" s="0" t="n">
        <v>-0.05</v>
      </c>
      <c r="C124" s="57" t="n">
        <f aca="false">07_最適化!$B$6</f>
        <v>0.625</v>
      </c>
      <c r="D124" s="55" t="n">
        <f aca="false">B124</f>
        <v>-0.05</v>
      </c>
      <c r="E124" s="57" t="n">
        <f aca="false">07_最適化!$B$8</f>
        <v>0.625</v>
      </c>
      <c r="F124" s="55" t="n">
        <f aca="false">1</f>
        <v>1</v>
      </c>
      <c r="G124" s="57" t="n">
        <f aca="false">C124</f>
        <v>0.625</v>
      </c>
      <c r="H124" s="55" t="n">
        <f aca="false">D124</f>
        <v>-0.05</v>
      </c>
      <c r="I124" s="57" t="n">
        <f aca="false">E124</f>
        <v>0.625</v>
      </c>
      <c r="J124" s="55" t="n">
        <f aca="false">C124*D124</f>
        <v>-0.03125</v>
      </c>
      <c r="K124" s="55" t="n">
        <f aca="false">C124*E124</f>
        <v>0.390625</v>
      </c>
      <c r="L124" s="55" t="n">
        <f aca="false">D124*E124</f>
        <v>-0.03125</v>
      </c>
      <c r="M124" s="55" t="n">
        <f aca="false">C124*C124</f>
        <v>0.390625</v>
      </c>
      <c r="N124" s="55" t="n">
        <f aca="false">D124*D124</f>
        <v>0.0025</v>
      </c>
      <c r="O124" s="55" t="n">
        <f aca="false">E124*E124</f>
        <v>0.390625</v>
      </c>
      <c r="P124" s="55" t="n">
        <f aca="false">SUMPRODUCT(F124:O124,_XtX!$B$71:$K$71)</f>
        <v>49.2338465909091</v>
      </c>
      <c r="Q124" s="55" t="n">
        <f aca="false">SUMPRODUCT(MMULT(F124:O124,_XtX!$B$58:$K$67),F124:O124)</f>
        <v>0.213452179509943</v>
      </c>
      <c r="R124" s="55" t="n">
        <f aca="false">P124-04_回帰ANOVA!$K$19*04_回帰ANOVA!$K$14*SQRT(1+Q124)</f>
        <v>48.2096626329681</v>
      </c>
      <c r="S124" s="55" t="n">
        <f aca="false">P124+04_回帰ANOVA!$K$19*04_回帰ANOVA!$K$14*SQRT(1+Q124)</f>
        <v>50.2580305488501</v>
      </c>
      <c r="T124" s="54" t="b">
        <f aca="false">AND(C124&gt;=01_因子設定!$L$5-0.000000001,C124&lt;=01_因子設定!$M$5+0.000000001,D124&gt;=01_因子設定!$L$6-0.000000001,D124&lt;=01_因子設定!$M$6+0.000000001,E124&gt;=01_因子設定!$L$7-0.000000001,E124&lt;=01_因子設定!$M$7+0.000000001,IF(01_因子設定!$B$20="Box-Behnken",C124^2+D124^2+E124^2&lt;=2+0.000000001,TRUE()))</f>
        <v>1</v>
      </c>
      <c r="U124" s="55" t="n">
        <f aca="false">IF(T124,IF(01_因子設定!$B$13="最大化",R124-01_因子設定!$B$14,IF(01_因子設定!$B$13="最小化",01_因子設定!$B$15-S124,MIN(R124-01_因子設定!$B$14,01_因子設定!$B$15-S124))),-1E+030)</f>
        <v>-0.290337367031889</v>
      </c>
      <c r="V124" s="55" t="n">
        <f aca="false">IF(U124&gt;=0,1,0)</f>
        <v>0</v>
      </c>
    </row>
    <row r="125" customFormat="false" ht="15" hidden="false" customHeight="false" outlineLevel="0" collapsed="false">
      <c r="A125" s="0" t="n">
        <v>2</v>
      </c>
      <c r="B125" s="0" t="n">
        <v>-0.025</v>
      </c>
      <c r="C125" s="57" t="n">
        <f aca="false">07_最適化!$B$6</f>
        <v>0.625</v>
      </c>
      <c r="D125" s="55" t="n">
        <f aca="false">B125</f>
        <v>-0.025</v>
      </c>
      <c r="E125" s="57" t="n">
        <f aca="false">07_最適化!$B$8</f>
        <v>0.625</v>
      </c>
      <c r="F125" s="55" t="n">
        <f aca="false">1</f>
        <v>1</v>
      </c>
      <c r="G125" s="57" t="n">
        <f aca="false">C125</f>
        <v>0.625</v>
      </c>
      <c r="H125" s="55" t="n">
        <f aca="false">D125</f>
        <v>-0.025</v>
      </c>
      <c r="I125" s="57" t="n">
        <f aca="false">E125</f>
        <v>0.625</v>
      </c>
      <c r="J125" s="55" t="n">
        <f aca="false">C125*D125</f>
        <v>-0.015625</v>
      </c>
      <c r="K125" s="55" t="n">
        <f aca="false">C125*E125</f>
        <v>0.390625</v>
      </c>
      <c r="L125" s="55" t="n">
        <f aca="false">D125*E125</f>
        <v>-0.015625</v>
      </c>
      <c r="M125" s="55" t="n">
        <f aca="false">C125*C125</f>
        <v>0.390625</v>
      </c>
      <c r="N125" s="55" t="n">
        <f aca="false">D125*D125</f>
        <v>0.000625</v>
      </c>
      <c r="O125" s="55" t="n">
        <f aca="false">E125*E125</f>
        <v>0.390625</v>
      </c>
      <c r="P125" s="55" t="n">
        <f aca="false">SUMPRODUCT(F125:O125,_XtX!$B$71:$K$71)</f>
        <v>49.3155696022727</v>
      </c>
      <c r="Q125" s="55" t="n">
        <f aca="false">SUMPRODUCT(MMULT(F125:O125,_XtX!$B$58:$K$67),F125:O125)</f>
        <v>0.213649400745739</v>
      </c>
      <c r="R125" s="55" t="n">
        <f aca="false">P125-04_回帰ANOVA!$K$19*04_回帰ANOVA!$K$14*SQRT(1+Q125)</f>
        <v>48.291302417888</v>
      </c>
      <c r="S125" s="55" t="n">
        <f aca="false">P125+04_回帰ANOVA!$K$19*04_回帰ANOVA!$K$14*SQRT(1+Q125)</f>
        <v>50.3398367866575</v>
      </c>
      <c r="T125" s="54" t="b">
        <f aca="false">AND(C125&gt;=01_因子設定!$L$5-0.000000001,C125&lt;=01_因子設定!$M$5+0.000000001,D125&gt;=01_因子設定!$L$6-0.000000001,D125&lt;=01_因子設定!$M$6+0.000000001,E125&gt;=01_因子設定!$L$7-0.000000001,E125&lt;=01_因子設定!$M$7+0.000000001,IF(01_因子設定!$B$20="Box-Behnken",C125^2+D125^2+E125^2&lt;=2+0.000000001,TRUE()))</f>
        <v>1</v>
      </c>
      <c r="U125" s="55" t="n">
        <f aca="false">IF(T125,IF(01_因子設定!$B$13="最大化",R125-01_因子設定!$B$14,IF(01_因子設定!$B$13="最小化",01_因子設定!$B$15-S125,MIN(R125-01_因子設定!$B$14,01_因子設定!$B$15-S125))),-1E+030)</f>
        <v>-0.208697582112031</v>
      </c>
      <c r="V125" s="55" t="n">
        <f aca="false">IF(U125&gt;=0,1,0)</f>
        <v>0</v>
      </c>
    </row>
    <row r="126" customFormat="false" ht="15" hidden="false" customHeight="false" outlineLevel="0" collapsed="false">
      <c r="A126" s="0" t="n">
        <v>2</v>
      </c>
      <c r="B126" s="0" t="n">
        <v>0</v>
      </c>
      <c r="C126" s="57" t="n">
        <f aca="false">07_最適化!$B$6</f>
        <v>0.625</v>
      </c>
      <c r="D126" s="55" t="n">
        <f aca="false">B126</f>
        <v>0</v>
      </c>
      <c r="E126" s="57" t="n">
        <f aca="false">07_最適化!$B$8</f>
        <v>0.625</v>
      </c>
      <c r="F126" s="55" t="n">
        <f aca="false">1</f>
        <v>1</v>
      </c>
      <c r="G126" s="57" t="n">
        <f aca="false">C126</f>
        <v>0.625</v>
      </c>
      <c r="H126" s="55" t="n">
        <f aca="false">D126</f>
        <v>0</v>
      </c>
      <c r="I126" s="57" t="n">
        <f aca="false">E126</f>
        <v>0.625</v>
      </c>
      <c r="J126" s="55" t="n">
        <f aca="false">C126*D126</f>
        <v>0</v>
      </c>
      <c r="K126" s="55" t="n">
        <f aca="false">C126*E126</f>
        <v>0.390625</v>
      </c>
      <c r="L126" s="55" t="n">
        <f aca="false">D126*E126</f>
        <v>0</v>
      </c>
      <c r="M126" s="55" t="n">
        <f aca="false">C126*C126</f>
        <v>0.390625</v>
      </c>
      <c r="N126" s="55" t="n">
        <f aca="false">D126*D126</f>
        <v>0</v>
      </c>
      <c r="O126" s="55" t="n">
        <f aca="false">E126*E126</f>
        <v>0.390625</v>
      </c>
      <c r="P126" s="55" t="n">
        <f aca="false">SUMPRODUCT(F126:O126,_XtX!$B$71:$K$71)</f>
        <v>49.3947585227273</v>
      </c>
      <c r="Q126" s="55" t="n">
        <f aca="false">SUMPRODUCT(MMULT(F126:O126,_XtX!$B$58:$K$67),F126:O126)</f>
        <v>0.213715709339489</v>
      </c>
      <c r="R126" s="55" t="n">
        <f aca="false">P126-04_回帰ANOVA!$K$19*04_回帰ANOVA!$K$14*SQRT(1+Q126)</f>
        <v>48.3704633579435</v>
      </c>
      <c r="S126" s="55" t="n">
        <f aca="false">P126+04_回帰ANOVA!$K$19*04_回帰ANOVA!$K$14*SQRT(1+Q126)</f>
        <v>50.4190536875111</v>
      </c>
      <c r="T126" s="54" t="b">
        <f aca="false">AND(C126&gt;=01_因子設定!$L$5-0.000000001,C126&lt;=01_因子設定!$M$5+0.000000001,D126&gt;=01_因子設定!$L$6-0.000000001,D126&lt;=01_因子設定!$M$6+0.000000001,E126&gt;=01_因子設定!$L$7-0.000000001,E126&lt;=01_因子設定!$M$7+0.000000001,IF(01_因子設定!$B$20="Box-Behnken",C126^2+D126^2+E126^2&lt;=2+0.000000001,TRUE()))</f>
        <v>1</v>
      </c>
      <c r="U126" s="55" t="n">
        <f aca="false">IF(T126,IF(01_因子設定!$B$13="最大化",R126-01_因子設定!$B$14,IF(01_因子設定!$B$13="最小化",01_因子設定!$B$15-S126,MIN(R126-01_因子設定!$B$14,01_因子設定!$B$15-S126))),-1E+030)</f>
        <v>-0.129536642056493</v>
      </c>
      <c r="V126" s="55" t="n">
        <f aca="false">IF(U126&gt;=0,1,0)</f>
        <v>0</v>
      </c>
    </row>
    <row r="127" customFormat="false" ht="15" hidden="false" customHeight="false" outlineLevel="0" collapsed="false">
      <c r="A127" s="0" t="n">
        <v>2</v>
      </c>
      <c r="B127" s="0" t="n">
        <v>0.025</v>
      </c>
      <c r="C127" s="57" t="n">
        <f aca="false">07_最適化!$B$6</f>
        <v>0.625</v>
      </c>
      <c r="D127" s="55" t="n">
        <f aca="false">B127</f>
        <v>0.025</v>
      </c>
      <c r="E127" s="57" t="n">
        <f aca="false">07_最適化!$B$8</f>
        <v>0.625</v>
      </c>
      <c r="F127" s="55" t="n">
        <f aca="false">1</f>
        <v>1</v>
      </c>
      <c r="G127" s="57" t="n">
        <f aca="false">C127</f>
        <v>0.625</v>
      </c>
      <c r="H127" s="55" t="n">
        <f aca="false">D127</f>
        <v>0.025</v>
      </c>
      <c r="I127" s="57" t="n">
        <f aca="false">E127</f>
        <v>0.625</v>
      </c>
      <c r="J127" s="55" t="n">
        <f aca="false">C127*D127</f>
        <v>0.015625</v>
      </c>
      <c r="K127" s="55" t="n">
        <f aca="false">C127*E127</f>
        <v>0.390625</v>
      </c>
      <c r="L127" s="55" t="n">
        <f aca="false">D127*E127</f>
        <v>0.015625</v>
      </c>
      <c r="M127" s="55" t="n">
        <f aca="false">C127*C127</f>
        <v>0.390625</v>
      </c>
      <c r="N127" s="55" t="n">
        <f aca="false">D127*D127</f>
        <v>0.000625</v>
      </c>
      <c r="O127" s="55" t="n">
        <f aca="false">E127*E127</f>
        <v>0.390625</v>
      </c>
      <c r="P127" s="55" t="n">
        <f aca="false">SUMPRODUCT(F127:O127,_XtX!$B$71:$K$71)</f>
        <v>49.4714133522727</v>
      </c>
      <c r="Q127" s="55" t="n">
        <f aca="false">SUMPRODUCT(MMULT(F127:O127,_XtX!$B$58:$K$67),F127:O127)</f>
        <v>0.213649400745739</v>
      </c>
      <c r="R127" s="55" t="n">
        <f aca="false">P127-04_回帰ANOVA!$K$19*04_回帰ANOVA!$K$14*SQRT(1+Q127)</f>
        <v>48.447146167888</v>
      </c>
      <c r="S127" s="55" t="n">
        <f aca="false">P127+04_回帰ANOVA!$K$19*04_回帰ANOVA!$K$14*SQRT(1+Q127)</f>
        <v>50.4956805366575</v>
      </c>
      <c r="T127" s="54" t="b">
        <f aca="false">AND(C127&gt;=01_因子設定!$L$5-0.000000001,C127&lt;=01_因子設定!$M$5+0.000000001,D127&gt;=01_因子設定!$L$6-0.000000001,D127&lt;=01_因子設定!$M$6+0.000000001,E127&gt;=01_因子設定!$L$7-0.000000001,E127&lt;=01_因子設定!$M$7+0.000000001,IF(01_因子設定!$B$20="Box-Behnken",C127^2+D127^2+E127^2&lt;=2+0.000000001,TRUE()))</f>
        <v>1</v>
      </c>
      <c r="U127" s="55" t="n">
        <f aca="false">IF(T127,IF(01_因子設定!$B$13="最大化",R127-01_因子設定!$B$14,IF(01_因子設定!$B$13="最小化",01_因子設定!$B$15-S127,MIN(R127-01_因子設定!$B$14,01_因子設定!$B$15-S127))),-1E+030)</f>
        <v>-0.0528538321120351</v>
      </c>
      <c r="V127" s="55" t="n">
        <f aca="false">IF(U127&gt;=0,1,0)</f>
        <v>0</v>
      </c>
    </row>
    <row r="128" customFormat="false" ht="15" hidden="false" customHeight="false" outlineLevel="0" collapsed="false">
      <c r="A128" s="0" t="n">
        <v>2</v>
      </c>
      <c r="B128" s="0" t="n">
        <v>0.05</v>
      </c>
      <c r="C128" s="57" t="n">
        <f aca="false">07_最適化!$B$6</f>
        <v>0.625</v>
      </c>
      <c r="D128" s="55" t="n">
        <f aca="false">B128</f>
        <v>0.05</v>
      </c>
      <c r="E128" s="57" t="n">
        <f aca="false">07_最適化!$B$8</f>
        <v>0.625</v>
      </c>
      <c r="F128" s="55" t="n">
        <f aca="false">1</f>
        <v>1</v>
      </c>
      <c r="G128" s="57" t="n">
        <f aca="false">C128</f>
        <v>0.625</v>
      </c>
      <c r="H128" s="55" t="n">
        <f aca="false">D128</f>
        <v>0.05</v>
      </c>
      <c r="I128" s="57" t="n">
        <f aca="false">E128</f>
        <v>0.625</v>
      </c>
      <c r="J128" s="55" t="n">
        <f aca="false">C128*D128</f>
        <v>0.03125</v>
      </c>
      <c r="K128" s="55" t="n">
        <f aca="false">C128*E128</f>
        <v>0.390625</v>
      </c>
      <c r="L128" s="55" t="n">
        <f aca="false">D128*E128</f>
        <v>0.03125</v>
      </c>
      <c r="M128" s="55" t="n">
        <f aca="false">C128*C128</f>
        <v>0.390625</v>
      </c>
      <c r="N128" s="55" t="n">
        <f aca="false">D128*D128</f>
        <v>0.0025</v>
      </c>
      <c r="O128" s="55" t="n">
        <f aca="false">E128*E128</f>
        <v>0.390625</v>
      </c>
      <c r="P128" s="55" t="n">
        <f aca="false">SUMPRODUCT(F128:O128,_XtX!$B$71:$K$71)</f>
        <v>49.5455340909091</v>
      </c>
      <c r="Q128" s="55" t="n">
        <f aca="false">SUMPRODUCT(MMULT(F128:O128,_XtX!$B$58:$K$67),F128:O128)</f>
        <v>0.213452179509943</v>
      </c>
      <c r="R128" s="55" t="n">
        <f aca="false">P128-04_回帰ANOVA!$K$19*04_回帰ANOVA!$K$14*SQRT(1+Q128)</f>
        <v>48.5213501329681</v>
      </c>
      <c r="S128" s="55" t="n">
        <f aca="false">P128+04_回帰ANOVA!$K$19*04_回帰ANOVA!$K$14*SQRT(1+Q128)</f>
        <v>50.5697180488501</v>
      </c>
      <c r="T128" s="54" t="b">
        <f aca="false">AND(C128&gt;=01_因子設定!$L$5-0.000000001,C128&lt;=01_因子設定!$M$5+0.000000001,D128&gt;=01_因子設定!$L$6-0.000000001,D128&lt;=01_因子設定!$M$6+0.000000001,E128&gt;=01_因子設定!$L$7-0.000000001,E128&lt;=01_因子設定!$M$7+0.000000001,IF(01_因子設定!$B$20="Box-Behnken",C128^2+D128^2+E128^2&lt;=2+0.000000001,TRUE()))</f>
        <v>1</v>
      </c>
      <c r="U128" s="55" t="n">
        <f aca="false">IF(T128,IF(01_因子設定!$B$13="最大化",R128-01_因子設定!$B$14,IF(01_因子設定!$B$13="最小化",01_因子設定!$B$15-S128,MIN(R128-01_因子設定!$B$14,01_因子設定!$B$15-S128))),-1E+030)</f>
        <v>0.0213501329681094</v>
      </c>
      <c r="V128" s="55" t="n">
        <f aca="false">IF(U128&gt;=0,1,0)</f>
        <v>1</v>
      </c>
    </row>
    <row r="129" customFormat="false" ht="15" hidden="false" customHeight="false" outlineLevel="0" collapsed="false">
      <c r="A129" s="0" t="n">
        <v>2</v>
      </c>
      <c r="B129" s="0" t="n">
        <v>0.075</v>
      </c>
      <c r="C129" s="57" t="n">
        <f aca="false">07_最適化!$B$6</f>
        <v>0.625</v>
      </c>
      <c r="D129" s="55" t="n">
        <f aca="false">B129</f>
        <v>0.075</v>
      </c>
      <c r="E129" s="57" t="n">
        <f aca="false">07_最適化!$B$8</f>
        <v>0.625</v>
      </c>
      <c r="F129" s="55" t="n">
        <f aca="false">1</f>
        <v>1</v>
      </c>
      <c r="G129" s="57" t="n">
        <f aca="false">C129</f>
        <v>0.625</v>
      </c>
      <c r="H129" s="55" t="n">
        <f aca="false">D129</f>
        <v>0.075</v>
      </c>
      <c r="I129" s="57" t="n">
        <f aca="false">E129</f>
        <v>0.625</v>
      </c>
      <c r="J129" s="55" t="n">
        <f aca="false">C129*D129</f>
        <v>0.046875</v>
      </c>
      <c r="K129" s="55" t="n">
        <f aca="false">C129*E129</f>
        <v>0.390625</v>
      </c>
      <c r="L129" s="55" t="n">
        <f aca="false">D129*E129</f>
        <v>0.046875</v>
      </c>
      <c r="M129" s="55" t="n">
        <f aca="false">C129*C129</f>
        <v>0.390625</v>
      </c>
      <c r="N129" s="55" t="n">
        <f aca="false">D129*D129</f>
        <v>0.005625</v>
      </c>
      <c r="O129" s="55" t="n">
        <f aca="false">E129*E129</f>
        <v>0.390625</v>
      </c>
      <c r="P129" s="55" t="n">
        <f aca="false">SUMPRODUCT(F129:O129,_XtX!$B$71:$K$71)</f>
        <v>49.6171207386364</v>
      </c>
      <c r="Q129" s="55" t="n">
        <f aca="false">SUMPRODUCT(MMULT(F129:O129,_XtX!$B$58:$K$67),F129:O129)</f>
        <v>0.213129159268466</v>
      </c>
      <c r="R129" s="55" t="n">
        <f aca="false">P129-04_回帰ANOVA!$K$19*04_回帰ANOVA!$K$14*SQRT(1+Q129)</f>
        <v>48.5930731083459</v>
      </c>
      <c r="S129" s="55" t="n">
        <f aca="false">P129+04_回帰ANOVA!$K$19*04_回帰ANOVA!$K$14*SQRT(1+Q129)</f>
        <v>50.6411683689269</v>
      </c>
      <c r="T129" s="54" t="b">
        <f aca="false">AND(C129&gt;=01_因子設定!$L$5-0.000000001,C129&lt;=01_因子設定!$M$5+0.000000001,D129&gt;=01_因子設定!$L$6-0.000000001,D129&lt;=01_因子設定!$M$6+0.000000001,E129&gt;=01_因子設定!$L$7-0.000000001,E129&lt;=01_因子設定!$M$7+0.000000001,IF(01_因子設定!$B$20="Box-Behnken",C129^2+D129^2+E129^2&lt;=2+0.000000001,TRUE()))</f>
        <v>1</v>
      </c>
      <c r="U129" s="55" t="n">
        <f aca="false">IF(T129,IF(01_因子設定!$B$13="最大化",R129-01_因子設定!$B$14,IF(01_因子設定!$B$13="最小化",01_因子設定!$B$15-S129,MIN(R129-01_因子設定!$B$14,01_因子設定!$B$15-S129))),-1E+030)</f>
        <v>0.0930731083458483</v>
      </c>
      <c r="V129" s="55" t="n">
        <f aca="false">IF(U129&gt;=0,1,0)</f>
        <v>1</v>
      </c>
    </row>
    <row r="130" customFormat="false" ht="15" hidden="false" customHeight="false" outlineLevel="0" collapsed="false">
      <c r="A130" s="0" t="n">
        <v>2</v>
      </c>
      <c r="B130" s="0" t="n">
        <v>0.1</v>
      </c>
      <c r="C130" s="57" t="n">
        <f aca="false">07_最適化!$B$6</f>
        <v>0.625</v>
      </c>
      <c r="D130" s="55" t="n">
        <f aca="false">B130</f>
        <v>0.1</v>
      </c>
      <c r="E130" s="57" t="n">
        <f aca="false">07_最適化!$B$8</f>
        <v>0.625</v>
      </c>
      <c r="F130" s="55" t="n">
        <f aca="false">1</f>
        <v>1</v>
      </c>
      <c r="G130" s="57" t="n">
        <f aca="false">C130</f>
        <v>0.625</v>
      </c>
      <c r="H130" s="55" t="n">
        <f aca="false">D130</f>
        <v>0.1</v>
      </c>
      <c r="I130" s="57" t="n">
        <f aca="false">E130</f>
        <v>0.625</v>
      </c>
      <c r="J130" s="55" t="n">
        <f aca="false">C130*D130</f>
        <v>0.0625</v>
      </c>
      <c r="K130" s="55" t="n">
        <f aca="false">C130*E130</f>
        <v>0.390625</v>
      </c>
      <c r="L130" s="55" t="n">
        <f aca="false">D130*E130</f>
        <v>0.0625</v>
      </c>
      <c r="M130" s="55" t="n">
        <f aca="false">C130*C130</f>
        <v>0.390625</v>
      </c>
      <c r="N130" s="55" t="n">
        <f aca="false">D130*D130</f>
        <v>0.01</v>
      </c>
      <c r="O130" s="55" t="n">
        <f aca="false">E130*E130</f>
        <v>0.390625</v>
      </c>
      <c r="P130" s="55" t="n">
        <f aca="false">SUMPRODUCT(F130:O130,_XtX!$B$71:$K$71)</f>
        <v>49.6861732954546</v>
      </c>
      <c r="Q130" s="55" t="n">
        <f aca="false">SUMPRODUCT(MMULT(F130:O130,_XtX!$B$58:$K$67),F130:O130)</f>
        <v>0.21268886274858</v>
      </c>
      <c r="R130" s="55" t="n">
        <f aca="false">P130-04_回帰ANOVA!$K$19*04_回帰ANOVA!$K$14*SQRT(1+Q130)</f>
        <v>48.6623115173971</v>
      </c>
      <c r="S130" s="55" t="n">
        <f aca="false">P130+04_回帰ANOVA!$K$19*04_回帰ANOVA!$K$14*SQRT(1+Q130)</f>
        <v>50.710035073512</v>
      </c>
      <c r="T130" s="54" t="b">
        <f aca="false">AND(C130&gt;=01_因子設定!$L$5-0.000000001,C130&lt;=01_因子設定!$M$5+0.000000001,D130&gt;=01_因子設定!$L$6-0.000000001,D130&lt;=01_因子設定!$M$6+0.000000001,E130&gt;=01_因子設定!$L$7-0.000000001,E130&lt;=01_因子設定!$M$7+0.000000001,IF(01_因子設定!$B$20="Box-Behnken",C130^2+D130^2+E130^2&lt;=2+0.000000001,TRUE()))</f>
        <v>1</v>
      </c>
      <c r="U130" s="55" t="n">
        <f aca="false">IF(T130,IF(01_因子設定!$B$13="最大化",R130-01_因子設定!$B$14,IF(01_因子設定!$B$13="最小化",01_因子設定!$B$15-S130,MIN(R130-01_因子設定!$B$14,01_因子設定!$B$15-S130))),-1E+030)</f>
        <v>0.162311517397121</v>
      </c>
      <c r="V130" s="55" t="n">
        <f aca="false">IF(U130&gt;=0,1,0)</f>
        <v>1</v>
      </c>
    </row>
    <row r="131" customFormat="false" ht="15" hidden="false" customHeight="false" outlineLevel="0" collapsed="false">
      <c r="A131" s="0" t="n">
        <v>2</v>
      </c>
      <c r="B131" s="0" t="n">
        <v>0.125</v>
      </c>
      <c r="C131" s="57" t="n">
        <f aca="false">07_最適化!$B$6</f>
        <v>0.625</v>
      </c>
      <c r="D131" s="55" t="n">
        <f aca="false">B131</f>
        <v>0.125</v>
      </c>
      <c r="E131" s="57" t="n">
        <f aca="false">07_最適化!$B$8</f>
        <v>0.625</v>
      </c>
      <c r="F131" s="55" t="n">
        <f aca="false">1</f>
        <v>1</v>
      </c>
      <c r="G131" s="57" t="n">
        <f aca="false">C131</f>
        <v>0.625</v>
      </c>
      <c r="H131" s="55" t="n">
        <f aca="false">D131</f>
        <v>0.125</v>
      </c>
      <c r="I131" s="57" t="n">
        <f aca="false">E131</f>
        <v>0.625</v>
      </c>
      <c r="J131" s="55" t="n">
        <f aca="false">C131*D131</f>
        <v>0.078125</v>
      </c>
      <c r="K131" s="55" t="n">
        <f aca="false">C131*E131</f>
        <v>0.390625</v>
      </c>
      <c r="L131" s="55" t="n">
        <f aca="false">D131*E131</f>
        <v>0.078125</v>
      </c>
      <c r="M131" s="55" t="n">
        <f aca="false">C131*C131</f>
        <v>0.390625</v>
      </c>
      <c r="N131" s="55" t="n">
        <f aca="false">D131*D131</f>
        <v>0.015625</v>
      </c>
      <c r="O131" s="55" t="n">
        <f aca="false">E131*E131</f>
        <v>0.390625</v>
      </c>
      <c r="P131" s="55" t="n">
        <f aca="false">SUMPRODUCT(F131:O131,_XtX!$B$71:$K$71)</f>
        <v>49.7526917613636</v>
      </c>
      <c r="Q131" s="55" t="n">
        <f aca="false">SUMPRODUCT(MMULT(F131:O131,_XtX!$B$58:$K$67),F131:O131)</f>
        <v>0.212143221768466</v>
      </c>
      <c r="R131" s="55" t="n">
        <f aca="false">P131-04_回帰ANOVA!$K$19*04_回帰ANOVA!$K$14*SQRT(1+Q131)</f>
        <v>48.7290603489906</v>
      </c>
      <c r="S131" s="55" t="n">
        <f aca="false">P131+04_回帰ANOVA!$K$19*04_回帰ANOVA!$K$14*SQRT(1+Q131)</f>
        <v>50.7763231737367</v>
      </c>
      <c r="T131" s="54" t="b">
        <f aca="false">AND(C131&gt;=01_因子設定!$L$5-0.000000001,C131&lt;=01_因子設定!$M$5+0.000000001,D131&gt;=01_因子設定!$L$6-0.000000001,D131&lt;=01_因子設定!$M$6+0.000000001,E131&gt;=01_因子設定!$L$7-0.000000001,E131&lt;=01_因子設定!$M$7+0.000000001,IF(01_因子設定!$B$20="Box-Behnken",C131^2+D131^2+E131^2&lt;=2+0.000000001,TRUE()))</f>
        <v>1</v>
      </c>
      <c r="U131" s="55" t="n">
        <f aca="false">IF(T131,IF(01_因子設定!$B$13="最大化",R131-01_因子設定!$B$14,IF(01_因子設定!$B$13="最小化",01_因子設定!$B$15-S131,MIN(R131-01_因子設定!$B$14,01_因子設定!$B$15-S131))),-1E+030)</f>
        <v>0.2290603489906</v>
      </c>
      <c r="V131" s="55" t="n">
        <f aca="false">IF(U131&gt;=0,1,0)</f>
        <v>1</v>
      </c>
    </row>
    <row r="132" customFormat="false" ht="15" hidden="false" customHeight="false" outlineLevel="0" collapsed="false">
      <c r="A132" s="0" t="n">
        <v>2</v>
      </c>
      <c r="B132" s="0" t="n">
        <v>0.15</v>
      </c>
      <c r="C132" s="57" t="n">
        <f aca="false">07_最適化!$B$6</f>
        <v>0.625</v>
      </c>
      <c r="D132" s="55" t="n">
        <f aca="false">B132</f>
        <v>0.15</v>
      </c>
      <c r="E132" s="57" t="n">
        <f aca="false">07_最適化!$B$8</f>
        <v>0.625</v>
      </c>
      <c r="F132" s="55" t="n">
        <f aca="false">1</f>
        <v>1</v>
      </c>
      <c r="G132" s="57" t="n">
        <f aca="false">C132</f>
        <v>0.625</v>
      </c>
      <c r="H132" s="55" t="n">
        <f aca="false">D132</f>
        <v>0.15</v>
      </c>
      <c r="I132" s="57" t="n">
        <f aca="false">E132</f>
        <v>0.625</v>
      </c>
      <c r="J132" s="55" t="n">
        <f aca="false">C132*D132</f>
        <v>0.09375</v>
      </c>
      <c r="K132" s="55" t="n">
        <f aca="false">C132*E132</f>
        <v>0.390625</v>
      </c>
      <c r="L132" s="55" t="n">
        <f aca="false">D132*E132</f>
        <v>0.09375</v>
      </c>
      <c r="M132" s="55" t="n">
        <f aca="false">C132*C132</f>
        <v>0.390625</v>
      </c>
      <c r="N132" s="55" t="n">
        <f aca="false">D132*D132</f>
        <v>0.0225</v>
      </c>
      <c r="O132" s="55" t="n">
        <f aca="false">E132*E132</f>
        <v>0.390625</v>
      </c>
      <c r="P132" s="55" t="n">
        <f aca="false">SUMPRODUCT(F132:O132,_XtX!$B$71:$K$71)</f>
        <v>49.8166761363637</v>
      </c>
      <c r="Q132" s="55" t="n">
        <f aca="false">SUMPRODUCT(MMULT(F132:O132,_XtX!$B$58:$K$67),F132:O132)</f>
        <v>0.211507577237216</v>
      </c>
      <c r="R132" s="55" t="n">
        <f aca="false">P132-04_回帰ANOVA!$K$19*04_回帰ANOVA!$K$14*SQRT(1+Q132)</f>
        <v>48.7933131539178</v>
      </c>
      <c r="S132" s="55" t="n">
        <f aca="false">P132+04_回帰ANOVA!$K$19*04_回帰ANOVA!$K$14*SQRT(1+Q132)</f>
        <v>50.8400391188095</v>
      </c>
      <c r="T132" s="54" t="b">
        <f aca="false">AND(C132&gt;=01_因子設定!$L$5-0.000000001,C132&lt;=01_因子設定!$M$5+0.000000001,D132&gt;=01_因子設定!$L$6-0.000000001,D132&lt;=01_因子設定!$M$6+0.000000001,E132&gt;=01_因子設定!$L$7-0.000000001,E132&lt;=01_因子設定!$M$7+0.000000001,IF(01_因子設定!$B$20="Box-Behnken",C132^2+D132^2+E132^2&lt;=2+0.000000001,TRUE()))</f>
        <v>1</v>
      </c>
      <c r="U132" s="55" t="n">
        <f aca="false">IF(T132,IF(01_因子設定!$B$13="最大化",R132-01_因子設定!$B$14,IF(01_因子設定!$B$13="最小化",01_因子設定!$B$15-S132,MIN(R132-01_因子設定!$B$14,01_因子設定!$B$15-S132))),-1E+030)</f>
        <v>0.293313153917779</v>
      </c>
      <c r="V132" s="55" t="n">
        <f aca="false">IF(U132&gt;=0,1,0)</f>
        <v>1</v>
      </c>
    </row>
    <row r="133" customFormat="false" ht="15" hidden="false" customHeight="false" outlineLevel="0" collapsed="false">
      <c r="A133" s="0" t="n">
        <v>2</v>
      </c>
      <c r="B133" s="0" t="n">
        <v>0.175</v>
      </c>
      <c r="C133" s="57" t="n">
        <f aca="false">07_最適化!$B$6</f>
        <v>0.625</v>
      </c>
      <c r="D133" s="55" t="n">
        <f aca="false">B133</f>
        <v>0.175</v>
      </c>
      <c r="E133" s="57" t="n">
        <f aca="false">07_最適化!$B$8</f>
        <v>0.625</v>
      </c>
      <c r="F133" s="55" t="n">
        <f aca="false">1</f>
        <v>1</v>
      </c>
      <c r="G133" s="57" t="n">
        <f aca="false">C133</f>
        <v>0.625</v>
      </c>
      <c r="H133" s="55" t="n">
        <f aca="false">D133</f>
        <v>0.175</v>
      </c>
      <c r="I133" s="57" t="n">
        <f aca="false">E133</f>
        <v>0.625</v>
      </c>
      <c r="J133" s="55" t="n">
        <f aca="false">C133*D133</f>
        <v>0.109375</v>
      </c>
      <c r="K133" s="55" t="n">
        <f aca="false">C133*E133</f>
        <v>0.390625</v>
      </c>
      <c r="L133" s="55" t="n">
        <f aca="false">D133*E133</f>
        <v>0.109375</v>
      </c>
      <c r="M133" s="55" t="n">
        <f aca="false">C133*C133</f>
        <v>0.390625</v>
      </c>
      <c r="N133" s="55" t="n">
        <f aca="false">D133*D133</f>
        <v>0.030625</v>
      </c>
      <c r="O133" s="55" t="n">
        <f aca="false">E133*E133</f>
        <v>0.390625</v>
      </c>
      <c r="P133" s="55" t="n">
        <f aca="false">SUMPRODUCT(F133:O133,_XtX!$B$71:$K$71)</f>
        <v>49.8781264204546</v>
      </c>
      <c r="Q133" s="55" t="n">
        <f aca="false">SUMPRODUCT(MMULT(F133:O133,_XtX!$B$58:$K$67),F133:O133)</f>
        <v>0.21080067915483</v>
      </c>
      <c r="R133" s="55" t="n">
        <f aca="false">P133-04_回帰ANOVA!$K$19*04_回帰ANOVA!$K$14*SQRT(1+Q133)</f>
        <v>48.8550620407165</v>
      </c>
      <c r="S133" s="55" t="n">
        <f aca="false">P133+04_回帰ANOVA!$K$19*04_回帰ANOVA!$K$14*SQRT(1+Q133)</f>
        <v>50.9011908001926</v>
      </c>
      <c r="T133" s="54" t="b">
        <f aca="false">AND(C133&gt;=01_因子設定!$L$5-0.000000001,C133&lt;=01_因子設定!$M$5+0.000000001,D133&gt;=01_因子設定!$L$6-0.000000001,D133&lt;=01_因子設定!$M$6+0.000000001,E133&gt;=01_因子設定!$L$7-0.000000001,E133&lt;=01_因子設定!$M$7+0.000000001,IF(01_因子設定!$B$20="Box-Behnken",C133^2+D133^2+E133^2&lt;=2+0.000000001,TRUE()))</f>
        <v>1</v>
      </c>
      <c r="U133" s="55" t="n">
        <f aca="false">IF(T133,IF(01_因子設定!$B$13="最大化",R133-01_因子設定!$B$14,IF(01_因子設定!$B$13="最小化",01_因子設定!$B$15-S133,MIN(R133-01_因子設定!$B$14,01_因子設定!$B$15-S133))),-1E+030)</f>
        <v>0.355062040716469</v>
      </c>
      <c r="V133" s="55" t="n">
        <f aca="false">IF(U133&gt;=0,1,0)</f>
        <v>1</v>
      </c>
    </row>
    <row r="134" customFormat="false" ht="15" hidden="false" customHeight="false" outlineLevel="0" collapsed="false">
      <c r="A134" s="0" t="n">
        <v>2</v>
      </c>
      <c r="B134" s="0" t="n">
        <v>0.2</v>
      </c>
      <c r="C134" s="57" t="n">
        <f aca="false">07_最適化!$B$6</f>
        <v>0.625</v>
      </c>
      <c r="D134" s="55" t="n">
        <f aca="false">B134</f>
        <v>0.2</v>
      </c>
      <c r="E134" s="57" t="n">
        <f aca="false">07_最適化!$B$8</f>
        <v>0.625</v>
      </c>
      <c r="F134" s="55" t="n">
        <f aca="false">1</f>
        <v>1</v>
      </c>
      <c r="G134" s="57" t="n">
        <f aca="false">C134</f>
        <v>0.625</v>
      </c>
      <c r="H134" s="55" t="n">
        <f aca="false">D134</f>
        <v>0.2</v>
      </c>
      <c r="I134" s="57" t="n">
        <f aca="false">E134</f>
        <v>0.625</v>
      </c>
      <c r="J134" s="55" t="n">
        <f aca="false">C134*D134</f>
        <v>0.125</v>
      </c>
      <c r="K134" s="55" t="n">
        <f aca="false">C134*E134</f>
        <v>0.390625</v>
      </c>
      <c r="L134" s="55" t="n">
        <f aca="false">D134*E134</f>
        <v>0.125</v>
      </c>
      <c r="M134" s="55" t="n">
        <f aca="false">C134*C134</f>
        <v>0.390625</v>
      </c>
      <c r="N134" s="55" t="n">
        <f aca="false">D134*D134</f>
        <v>0.04</v>
      </c>
      <c r="O134" s="55" t="n">
        <f aca="false">E134*E134</f>
        <v>0.390625</v>
      </c>
      <c r="P134" s="55" t="n">
        <f aca="false">SUMPRODUCT(F134:O134,_XtX!$B$71:$K$71)</f>
        <v>49.9370426136364</v>
      </c>
      <c r="Q134" s="55" t="n">
        <f aca="false">SUMPRODUCT(MMULT(F134:O134,_XtX!$B$58:$K$67),F134:O134)</f>
        <v>0.210044686612216</v>
      </c>
      <c r="R134" s="55" t="n">
        <f aca="false">P134-04_回帰ANOVA!$K$19*04_回帰ANOVA!$K$14*SQRT(1+Q134)</f>
        <v>48.9142976712012</v>
      </c>
      <c r="S134" s="55" t="n">
        <f aca="false">P134+04_回帰ANOVA!$K$19*04_回帰ANOVA!$K$14*SQRT(1+Q134)</f>
        <v>50.9597875560715</v>
      </c>
      <c r="T134" s="54" t="b">
        <f aca="false">AND(C134&gt;=01_因子設定!$L$5-0.000000001,C134&lt;=01_因子設定!$M$5+0.000000001,D134&gt;=01_因子設定!$L$6-0.000000001,D134&lt;=01_因子設定!$M$6+0.000000001,E134&gt;=01_因子設定!$L$7-0.000000001,E134&lt;=01_因子設定!$M$7+0.000000001,IF(01_因子設定!$B$20="Box-Behnken",C134^2+D134^2+E134^2&lt;=2+0.000000001,TRUE()))</f>
        <v>1</v>
      </c>
      <c r="U134" s="55" t="n">
        <f aca="false">IF(T134,IF(01_因子設定!$B$13="最大化",R134-01_因子設定!$B$14,IF(01_因子設定!$B$13="最小化",01_因子設定!$B$15-S134,MIN(R134-01_因子設定!$B$14,01_因子設定!$B$15-S134))),-1E+030)</f>
        <v>0.414297671201211</v>
      </c>
      <c r="V134" s="55" t="n">
        <f aca="false">IF(U134&gt;=0,1,0)</f>
        <v>1</v>
      </c>
    </row>
    <row r="135" customFormat="false" ht="15" hidden="false" customHeight="false" outlineLevel="0" collapsed="false">
      <c r="A135" s="0" t="n">
        <v>2</v>
      </c>
      <c r="B135" s="0" t="n">
        <v>0.225</v>
      </c>
      <c r="C135" s="57" t="n">
        <f aca="false">07_最適化!$B$6</f>
        <v>0.625</v>
      </c>
      <c r="D135" s="55" t="n">
        <f aca="false">B135</f>
        <v>0.225</v>
      </c>
      <c r="E135" s="57" t="n">
        <f aca="false">07_最適化!$B$8</f>
        <v>0.625</v>
      </c>
      <c r="F135" s="55" t="n">
        <f aca="false">1</f>
        <v>1</v>
      </c>
      <c r="G135" s="57" t="n">
        <f aca="false">C135</f>
        <v>0.625</v>
      </c>
      <c r="H135" s="55" t="n">
        <f aca="false">D135</f>
        <v>0.225</v>
      </c>
      <c r="I135" s="57" t="n">
        <f aca="false">E135</f>
        <v>0.625</v>
      </c>
      <c r="J135" s="55" t="n">
        <f aca="false">C135*D135</f>
        <v>0.140625</v>
      </c>
      <c r="K135" s="55" t="n">
        <f aca="false">C135*E135</f>
        <v>0.390625</v>
      </c>
      <c r="L135" s="55" t="n">
        <f aca="false">D135*E135</f>
        <v>0.140625</v>
      </c>
      <c r="M135" s="55" t="n">
        <f aca="false">C135*C135</f>
        <v>0.390625</v>
      </c>
      <c r="N135" s="55" t="n">
        <f aca="false">D135*D135</f>
        <v>0.050625</v>
      </c>
      <c r="O135" s="55" t="n">
        <f aca="false">E135*E135</f>
        <v>0.390625</v>
      </c>
      <c r="P135" s="55" t="n">
        <f aca="false">SUMPRODUCT(F135:O135,_XtX!$B$71:$K$71)</f>
        <v>49.9934247159091</v>
      </c>
      <c r="Q135" s="55" t="n">
        <f aca="false">SUMPRODUCT(MMULT(F135:O135,_XtX!$B$58:$K$67),F135:O135)</f>
        <v>0.209265167791193</v>
      </c>
      <c r="R135" s="55" t="n">
        <f aca="false">P135-04_回帰ANOVA!$K$19*04_回帰ANOVA!$K$14*SQRT(1+Q135)</f>
        <v>48.9710092560873</v>
      </c>
      <c r="S135" s="55" t="n">
        <f aca="false">P135+04_回帰ANOVA!$K$19*04_回帰ANOVA!$K$14*SQRT(1+Q135)</f>
        <v>51.0158401757309</v>
      </c>
      <c r="T135" s="54" t="b">
        <f aca="false">AND(C135&gt;=01_因子設定!$L$5-0.000000001,C135&lt;=01_因子設定!$M$5+0.000000001,D135&gt;=01_因子設定!$L$6-0.000000001,D135&lt;=01_因子設定!$M$6+0.000000001,E135&gt;=01_因子設定!$L$7-0.000000001,E135&lt;=01_因子設定!$M$7+0.000000001,IF(01_因子設定!$B$20="Box-Behnken",C135^2+D135^2+E135^2&lt;=2+0.000000001,TRUE()))</f>
        <v>1</v>
      </c>
      <c r="U135" s="55" t="n">
        <f aca="false">IF(T135,IF(01_因子設定!$B$13="最大化",R135-01_因子設定!$B$14,IF(01_因子設定!$B$13="最小化",01_因子設定!$B$15-S135,MIN(R135-01_因子設定!$B$14,01_因子設定!$B$15-S135))),-1E+030)</f>
        <v>0.471009256087342</v>
      </c>
      <c r="V135" s="55" t="n">
        <f aca="false">IF(U135&gt;=0,1,0)</f>
        <v>1</v>
      </c>
    </row>
    <row r="136" customFormat="false" ht="15" hidden="false" customHeight="false" outlineLevel="0" collapsed="false">
      <c r="A136" s="0" t="n">
        <v>2</v>
      </c>
      <c r="B136" s="0" t="n">
        <v>0.25</v>
      </c>
      <c r="C136" s="57" t="n">
        <f aca="false">07_最適化!$B$6</f>
        <v>0.625</v>
      </c>
      <c r="D136" s="55" t="n">
        <f aca="false">B136</f>
        <v>0.25</v>
      </c>
      <c r="E136" s="57" t="n">
        <f aca="false">07_最適化!$B$8</f>
        <v>0.625</v>
      </c>
      <c r="F136" s="55" t="n">
        <f aca="false">1</f>
        <v>1</v>
      </c>
      <c r="G136" s="57" t="n">
        <f aca="false">C136</f>
        <v>0.625</v>
      </c>
      <c r="H136" s="55" t="n">
        <f aca="false">D136</f>
        <v>0.25</v>
      </c>
      <c r="I136" s="57" t="n">
        <f aca="false">E136</f>
        <v>0.625</v>
      </c>
      <c r="J136" s="55" t="n">
        <f aca="false">C136*D136</f>
        <v>0.15625</v>
      </c>
      <c r="K136" s="55" t="n">
        <f aca="false">C136*E136</f>
        <v>0.390625</v>
      </c>
      <c r="L136" s="55" t="n">
        <f aca="false">D136*E136</f>
        <v>0.15625</v>
      </c>
      <c r="M136" s="55" t="n">
        <f aca="false">C136*C136</f>
        <v>0.390625</v>
      </c>
      <c r="N136" s="55" t="n">
        <f aca="false">D136*D136</f>
        <v>0.0625</v>
      </c>
      <c r="O136" s="55" t="n">
        <f aca="false">E136*E136</f>
        <v>0.390625</v>
      </c>
      <c r="P136" s="55" t="n">
        <f aca="false">SUMPRODUCT(F136:O136,_XtX!$B$71:$K$71)</f>
        <v>50.0472727272727</v>
      </c>
      <c r="Q136" s="55" t="n">
        <f aca="false">SUMPRODUCT(MMULT(F136:O136,_XtX!$B$58:$K$67),F136:O136)</f>
        <v>0.208491099964489</v>
      </c>
      <c r="R136" s="55" t="n">
        <f aca="false">P136-04_回帰ANOVA!$K$19*04_回帰ANOVA!$K$14*SQRT(1+Q136)</f>
        <v>49.0251845511702</v>
      </c>
      <c r="S136" s="55" t="n">
        <f aca="false">P136+04_回帰ANOVA!$K$19*04_回帰ANOVA!$K$14*SQRT(1+Q136)</f>
        <v>51.0693609033753</v>
      </c>
      <c r="T136" s="54" t="b">
        <f aca="false">AND(C136&gt;=01_因子設定!$L$5-0.000000001,C136&lt;=01_因子設定!$M$5+0.000000001,D136&gt;=01_因子設定!$L$6-0.000000001,D136&lt;=01_因子設定!$M$6+0.000000001,E136&gt;=01_因子設定!$L$7-0.000000001,E136&lt;=01_因子設定!$M$7+0.000000001,IF(01_因子設定!$B$20="Box-Behnken",C136^2+D136^2+E136^2&lt;=2+0.000000001,TRUE()))</f>
        <v>1</v>
      </c>
      <c r="U136" s="55" t="n">
        <f aca="false">IF(T136,IF(01_因子設定!$B$13="最大化",R136-01_因子設定!$B$14,IF(01_因子設定!$B$13="最小化",01_因子設定!$B$15-S136,MIN(R136-01_因子設定!$B$14,01_因子設定!$B$15-S136))),-1E+030)</f>
        <v>0.525184551170149</v>
      </c>
      <c r="V136" s="55" t="n">
        <f aca="false">IF(U136&gt;=0,1,0)</f>
        <v>1</v>
      </c>
    </row>
    <row r="137" customFormat="false" ht="15" hidden="false" customHeight="false" outlineLevel="0" collapsed="false">
      <c r="A137" s="0" t="n">
        <v>2</v>
      </c>
      <c r="B137" s="0" t="n">
        <v>0.275</v>
      </c>
      <c r="C137" s="57" t="n">
        <f aca="false">07_最適化!$B$6</f>
        <v>0.625</v>
      </c>
      <c r="D137" s="55" t="n">
        <f aca="false">B137</f>
        <v>0.275</v>
      </c>
      <c r="E137" s="57" t="n">
        <f aca="false">07_最適化!$B$8</f>
        <v>0.625</v>
      </c>
      <c r="F137" s="55" t="n">
        <f aca="false">1</f>
        <v>1</v>
      </c>
      <c r="G137" s="57" t="n">
        <f aca="false">C137</f>
        <v>0.625</v>
      </c>
      <c r="H137" s="55" t="n">
        <f aca="false">D137</f>
        <v>0.275</v>
      </c>
      <c r="I137" s="57" t="n">
        <f aca="false">E137</f>
        <v>0.625</v>
      </c>
      <c r="J137" s="55" t="n">
        <f aca="false">C137*D137</f>
        <v>0.171875</v>
      </c>
      <c r="K137" s="55" t="n">
        <f aca="false">C137*E137</f>
        <v>0.390625</v>
      </c>
      <c r="L137" s="55" t="n">
        <f aca="false">D137*E137</f>
        <v>0.171875</v>
      </c>
      <c r="M137" s="55" t="n">
        <f aca="false">C137*C137</f>
        <v>0.390625</v>
      </c>
      <c r="N137" s="55" t="n">
        <f aca="false">D137*D137</f>
        <v>0.075625</v>
      </c>
      <c r="O137" s="55" t="n">
        <f aca="false">E137*E137</f>
        <v>0.390625</v>
      </c>
      <c r="P137" s="55" t="n">
        <f aca="false">SUMPRODUCT(F137:O137,_XtX!$B$71:$K$71)</f>
        <v>50.0985866477273</v>
      </c>
      <c r="Q137" s="55" t="n">
        <f aca="false">SUMPRODUCT(MMULT(F137:O137,_XtX!$B$58:$K$67),F137:O137)</f>
        <v>0.207754869495739</v>
      </c>
      <c r="R137" s="55" t="n">
        <f aca="false">P137-04_回帰ANOVA!$K$19*04_回帰ANOVA!$K$14*SQRT(1+Q137)</f>
        <v>49.0768098545961</v>
      </c>
      <c r="S137" s="55" t="n">
        <f aca="false">P137+04_回帰ANOVA!$K$19*04_回帰ANOVA!$K$14*SQRT(1+Q137)</f>
        <v>51.1203634408585</v>
      </c>
      <c r="T137" s="54" t="b">
        <f aca="false">AND(C137&gt;=01_因子設定!$L$5-0.000000001,C137&lt;=01_因子設定!$M$5+0.000000001,D137&gt;=01_因子設定!$L$6-0.000000001,D137&lt;=01_因子設定!$M$6+0.000000001,E137&gt;=01_因子設定!$L$7-0.000000001,E137&lt;=01_因子設定!$M$7+0.000000001,IF(01_因子設定!$B$20="Box-Behnken",C137^2+D137^2+E137^2&lt;=2+0.000000001,TRUE()))</f>
        <v>1</v>
      </c>
      <c r="U137" s="55" t="n">
        <f aca="false">IF(T137,IF(01_因子設定!$B$13="最大化",R137-01_因子設定!$B$14,IF(01_因子設定!$B$13="最小化",01_因子設定!$B$15-S137,MIN(R137-01_因子設定!$B$14,01_因子設定!$B$15-S137))),-1E+030)</f>
        <v>0.576809854596107</v>
      </c>
      <c r="V137" s="55" t="n">
        <f aca="false">IF(U137&gt;=0,1,0)</f>
        <v>1</v>
      </c>
    </row>
    <row r="138" customFormat="false" ht="15" hidden="false" customHeight="false" outlineLevel="0" collapsed="false">
      <c r="A138" s="0" t="n">
        <v>2</v>
      </c>
      <c r="B138" s="0" t="n">
        <v>0.3</v>
      </c>
      <c r="C138" s="57" t="n">
        <f aca="false">07_最適化!$B$6</f>
        <v>0.625</v>
      </c>
      <c r="D138" s="55" t="n">
        <f aca="false">B138</f>
        <v>0.3</v>
      </c>
      <c r="E138" s="57" t="n">
        <f aca="false">07_最適化!$B$8</f>
        <v>0.625</v>
      </c>
      <c r="F138" s="55" t="n">
        <f aca="false">1</f>
        <v>1</v>
      </c>
      <c r="G138" s="57" t="n">
        <f aca="false">C138</f>
        <v>0.625</v>
      </c>
      <c r="H138" s="55" t="n">
        <f aca="false">D138</f>
        <v>0.3</v>
      </c>
      <c r="I138" s="57" t="n">
        <f aca="false">E138</f>
        <v>0.625</v>
      </c>
      <c r="J138" s="55" t="n">
        <f aca="false">C138*D138</f>
        <v>0.1875</v>
      </c>
      <c r="K138" s="55" t="n">
        <f aca="false">C138*E138</f>
        <v>0.390625</v>
      </c>
      <c r="L138" s="55" t="n">
        <f aca="false">D138*E138</f>
        <v>0.1875</v>
      </c>
      <c r="M138" s="55" t="n">
        <f aca="false">C138*C138</f>
        <v>0.390625</v>
      </c>
      <c r="N138" s="55" t="n">
        <f aca="false">D138*D138</f>
        <v>0.09</v>
      </c>
      <c r="O138" s="55" t="n">
        <f aca="false">E138*E138</f>
        <v>0.390625</v>
      </c>
      <c r="P138" s="55" t="n">
        <f aca="false">SUMPRODUCT(F138:O138,_XtX!$B$71:$K$71)</f>
        <v>50.1473664772727</v>
      </c>
      <c r="Q138" s="55" t="n">
        <f aca="false">SUMPRODUCT(MMULT(F138:O138,_XtX!$B$58:$K$67),F138:O138)</f>
        <v>0.207092271839489</v>
      </c>
      <c r="R138" s="55" t="n">
        <f aca="false">P138-04_回帰ANOVA!$K$19*04_回帰ANOVA!$K$14*SQRT(1+Q138)</f>
        <v>49.1258700058395</v>
      </c>
      <c r="S138" s="55" t="n">
        <f aca="false">P138+04_回帰ANOVA!$K$19*04_回帰ANOVA!$K$14*SQRT(1+Q138)</f>
        <v>51.168862948706</v>
      </c>
      <c r="T138" s="54" t="b">
        <f aca="false">AND(C138&gt;=01_因子設定!$L$5-0.000000001,C138&lt;=01_因子設定!$M$5+0.000000001,D138&gt;=01_因子設定!$L$6-0.000000001,D138&lt;=01_因子設定!$M$6+0.000000001,E138&gt;=01_因子設定!$L$7-0.000000001,E138&lt;=01_因子設定!$M$7+0.000000001,IF(01_因子設定!$B$20="Box-Behnken",C138^2+D138^2+E138^2&lt;=2+0.000000001,TRUE()))</f>
        <v>1</v>
      </c>
      <c r="U138" s="55" t="n">
        <f aca="false">IF(T138,IF(01_因子設定!$B$13="最大化",R138-01_因子設定!$B$14,IF(01_因子設定!$B$13="最小化",01_因子設定!$B$15-S138,MIN(R138-01_因子設定!$B$14,01_因子設定!$B$15-S138))),-1E+030)</f>
        <v>0.625870005839467</v>
      </c>
      <c r="V138" s="55" t="n">
        <f aca="false">IF(U138&gt;=0,1,0)</f>
        <v>1</v>
      </c>
    </row>
    <row r="139" customFormat="false" ht="15" hidden="false" customHeight="false" outlineLevel="0" collapsed="false">
      <c r="A139" s="0" t="n">
        <v>2</v>
      </c>
      <c r="B139" s="0" t="n">
        <v>0.325</v>
      </c>
      <c r="C139" s="57" t="n">
        <f aca="false">07_最適化!$B$6</f>
        <v>0.625</v>
      </c>
      <c r="D139" s="55" t="n">
        <f aca="false">B139</f>
        <v>0.325</v>
      </c>
      <c r="E139" s="57" t="n">
        <f aca="false">07_最適化!$B$8</f>
        <v>0.625</v>
      </c>
      <c r="F139" s="55" t="n">
        <f aca="false">1</f>
        <v>1</v>
      </c>
      <c r="G139" s="57" t="n">
        <f aca="false">C139</f>
        <v>0.625</v>
      </c>
      <c r="H139" s="55" t="n">
        <f aca="false">D139</f>
        <v>0.325</v>
      </c>
      <c r="I139" s="57" t="n">
        <f aca="false">E139</f>
        <v>0.625</v>
      </c>
      <c r="J139" s="55" t="n">
        <f aca="false">C139*D139</f>
        <v>0.203125</v>
      </c>
      <c r="K139" s="55" t="n">
        <f aca="false">C139*E139</f>
        <v>0.390625</v>
      </c>
      <c r="L139" s="55" t="n">
        <f aca="false">D139*E139</f>
        <v>0.203125</v>
      </c>
      <c r="M139" s="55" t="n">
        <f aca="false">C139*C139</f>
        <v>0.390625</v>
      </c>
      <c r="N139" s="55" t="n">
        <f aca="false">D139*D139</f>
        <v>0.105625</v>
      </c>
      <c r="O139" s="55" t="n">
        <f aca="false">E139*E139</f>
        <v>0.390625</v>
      </c>
      <c r="P139" s="55" t="n">
        <f aca="false">SUMPRODUCT(F139:O139,_XtX!$B$71:$K$71)</f>
        <v>50.1936122159091</v>
      </c>
      <c r="Q139" s="55" t="n">
        <f aca="false">SUMPRODUCT(MMULT(F139:O139,_XtX!$B$58:$K$67),F139:O139)</f>
        <v>0.206542511541193</v>
      </c>
      <c r="R139" s="55" t="n">
        <f aca="false">P139-04_回帰ANOVA!$K$19*04_回帰ANOVA!$K$14*SQRT(1+Q139)</f>
        <v>49.1723483870725</v>
      </c>
      <c r="S139" s="55" t="n">
        <f aca="false">P139+04_回帰ANOVA!$K$19*04_回帰ANOVA!$K$14*SQRT(1+Q139)</f>
        <v>51.2148760447458</v>
      </c>
      <c r="T139" s="54" t="b">
        <f aca="false">AND(C139&gt;=01_因子設定!$L$5-0.000000001,C139&lt;=01_因子設定!$M$5+0.000000001,D139&gt;=01_因子設定!$L$6-0.000000001,D139&lt;=01_因子設定!$M$6+0.000000001,E139&gt;=01_因子設定!$L$7-0.000000001,E139&lt;=01_因子設定!$M$7+0.000000001,IF(01_因子設定!$B$20="Box-Behnken",C139^2+D139^2+E139^2&lt;=2+0.000000001,TRUE()))</f>
        <v>1</v>
      </c>
      <c r="U139" s="55" t="n">
        <f aca="false">IF(T139,IF(01_因子設定!$B$13="最大化",R139-01_因子設定!$B$14,IF(01_因子設定!$B$13="最小化",01_因子設定!$B$15-S139,MIN(R139-01_因子設定!$B$14,01_因子設定!$B$15-S139))),-1E+030)</f>
        <v>0.672348387072447</v>
      </c>
      <c r="V139" s="55" t="n">
        <f aca="false">IF(U139&gt;=0,1,0)</f>
        <v>1</v>
      </c>
    </row>
    <row r="140" customFormat="false" ht="15" hidden="false" customHeight="false" outlineLevel="0" collapsed="false">
      <c r="A140" s="0" t="n">
        <v>2</v>
      </c>
      <c r="B140" s="0" t="n">
        <v>0.35</v>
      </c>
      <c r="C140" s="57" t="n">
        <f aca="false">07_最適化!$B$6</f>
        <v>0.625</v>
      </c>
      <c r="D140" s="55" t="n">
        <f aca="false">B140</f>
        <v>0.35</v>
      </c>
      <c r="E140" s="57" t="n">
        <f aca="false">07_最適化!$B$8</f>
        <v>0.625</v>
      </c>
      <c r="F140" s="55" t="n">
        <f aca="false">1</f>
        <v>1</v>
      </c>
      <c r="G140" s="57" t="n">
        <f aca="false">C140</f>
        <v>0.625</v>
      </c>
      <c r="H140" s="55" t="n">
        <f aca="false">D140</f>
        <v>0.35</v>
      </c>
      <c r="I140" s="57" t="n">
        <f aca="false">E140</f>
        <v>0.625</v>
      </c>
      <c r="J140" s="55" t="n">
        <f aca="false">C140*D140</f>
        <v>0.21875</v>
      </c>
      <c r="K140" s="55" t="n">
        <f aca="false">C140*E140</f>
        <v>0.390625</v>
      </c>
      <c r="L140" s="55" t="n">
        <f aca="false">D140*E140</f>
        <v>0.21875</v>
      </c>
      <c r="M140" s="55" t="n">
        <f aca="false">C140*C140</f>
        <v>0.390625</v>
      </c>
      <c r="N140" s="55" t="n">
        <f aca="false">D140*D140</f>
        <v>0.1225</v>
      </c>
      <c r="O140" s="55" t="n">
        <f aca="false">E140*E140</f>
        <v>0.390625</v>
      </c>
      <c r="P140" s="55" t="n">
        <f aca="false">SUMPRODUCT(F140:O140,_XtX!$B$71:$K$71)</f>
        <v>50.2373238636364</v>
      </c>
      <c r="Q140" s="55" t="n">
        <f aca="false">SUMPRODUCT(MMULT(F140:O140,_XtX!$B$58:$K$67),F140:O140)</f>
        <v>0.206148202237216</v>
      </c>
      <c r="R140" s="55" t="n">
        <f aca="false">P140-04_回帰ANOVA!$K$19*04_回帰ANOVA!$K$14*SQRT(1+Q140)</f>
        <v>49.2162269276908</v>
      </c>
      <c r="S140" s="55" t="n">
        <f aca="false">P140+04_回帰ANOVA!$K$19*04_回帰ANOVA!$K$14*SQRT(1+Q140)</f>
        <v>51.2584207995819</v>
      </c>
      <c r="T140" s="54" t="b">
        <f aca="false">AND(C140&gt;=01_因子設定!$L$5-0.000000001,C140&lt;=01_因子設定!$M$5+0.000000001,D140&gt;=01_因子設定!$L$6-0.000000001,D140&lt;=01_因子設定!$M$6+0.000000001,E140&gt;=01_因子設定!$L$7-0.000000001,E140&lt;=01_因子設定!$M$7+0.000000001,IF(01_因子設定!$B$20="Box-Behnken",C140^2+D140^2+E140^2&lt;=2+0.000000001,TRUE()))</f>
        <v>1</v>
      </c>
      <c r="U140" s="55" t="n">
        <f aca="false">IF(T140,IF(01_因子設定!$B$13="最大化",R140-01_因子設定!$B$14,IF(01_因子設定!$B$13="最小化",01_因子設定!$B$15-S140,MIN(R140-01_因子設定!$B$14,01_因子設定!$B$15-S140))),-1E+030)</f>
        <v>0.716226927690798</v>
      </c>
      <c r="V140" s="55" t="n">
        <f aca="false">IF(U140&gt;=0,1,0)</f>
        <v>1</v>
      </c>
    </row>
    <row r="141" customFormat="false" ht="15" hidden="false" customHeight="false" outlineLevel="0" collapsed="false">
      <c r="A141" s="0" t="n">
        <v>2</v>
      </c>
      <c r="B141" s="0" t="n">
        <v>0.375</v>
      </c>
      <c r="C141" s="57" t="n">
        <f aca="false">07_最適化!$B$6</f>
        <v>0.625</v>
      </c>
      <c r="D141" s="55" t="n">
        <f aca="false">B141</f>
        <v>0.375</v>
      </c>
      <c r="E141" s="57" t="n">
        <f aca="false">07_最適化!$B$8</f>
        <v>0.625</v>
      </c>
      <c r="F141" s="55" t="n">
        <f aca="false">1</f>
        <v>1</v>
      </c>
      <c r="G141" s="57" t="n">
        <f aca="false">C141</f>
        <v>0.625</v>
      </c>
      <c r="H141" s="55" t="n">
        <f aca="false">D141</f>
        <v>0.375</v>
      </c>
      <c r="I141" s="57" t="n">
        <f aca="false">E141</f>
        <v>0.625</v>
      </c>
      <c r="J141" s="55" t="n">
        <f aca="false">C141*D141</f>
        <v>0.234375</v>
      </c>
      <c r="K141" s="55" t="n">
        <f aca="false">C141*E141</f>
        <v>0.390625</v>
      </c>
      <c r="L141" s="55" t="n">
        <f aca="false">D141*E141</f>
        <v>0.234375</v>
      </c>
      <c r="M141" s="55" t="n">
        <f aca="false">C141*C141</f>
        <v>0.390625</v>
      </c>
      <c r="N141" s="55" t="n">
        <f aca="false">D141*D141</f>
        <v>0.140625</v>
      </c>
      <c r="O141" s="55" t="n">
        <f aca="false">E141*E141</f>
        <v>0.390625</v>
      </c>
      <c r="P141" s="55" t="n">
        <f aca="false">SUMPRODUCT(F141:O141,_XtX!$B$71:$K$71)</f>
        <v>50.2785014204546</v>
      </c>
      <c r="Q141" s="55" t="n">
        <f aca="false">SUMPRODUCT(MMULT(F141:O141,_XtX!$B$58:$K$67),F141:O141)</f>
        <v>0.20595536665483</v>
      </c>
      <c r="R141" s="55" t="n">
        <f aca="false">P141-04_回帰ANOVA!$K$19*04_回帰ANOVA!$K$14*SQRT(1+Q141)</f>
        <v>49.2574861128249</v>
      </c>
      <c r="S141" s="55" t="n">
        <f aca="false">P141+04_回帰ANOVA!$K$19*04_回帰ANOVA!$K$14*SQRT(1+Q141)</f>
        <v>51.2995167280842</v>
      </c>
      <c r="T141" s="54" t="b">
        <f aca="false">AND(C141&gt;=01_因子設定!$L$5-0.000000001,C141&lt;=01_因子設定!$M$5+0.000000001,D141&gt;=01_因子設定!$L$6-0.000000001,D141&lt;=01_因子設定!$M$6+0.000000001,E141&gt;=01_因子設定!$L$7-0.000000001,E141&lt;=01_因子設定!$M$7+0.000000001,IF(01_因子設定!$B$20="Box-Behnken",C141^2+D141^2+E141^2&lt;=2+0.000000001,TRUE()))</f>
        <v>1</v>
      </c>
      <c r="U141" s="55" t="n">
        <f aca="false">IF(T141,IF(01_因子設定!$B$13="最大化",R141-01_因子設定!$B$14,IF(01_因子設定!$B$13="最小化",01_因子設定!$B$15-S141,MIN(R141-01_因子設定!$B$14,01_因子設定!$B$15-S141))),-1E+030)</f>
        <v>0.757486112824928</v>
      </c>
      <c r="V141" s="55" t="n">
        <f aca="false">IF(U141&gt;=0,1,0)</f>
        <v>1</v>
      </c>
    </row>
    <row r="142" customFormat="false" ht="15" hidden="false" customHeight="false" outlineLevel="0" collapsed="false">
      <c r="A142" s="0" t="n">
        <v>2</v>
      </c>
      <c r="B142" s="0" t="n">
        <v>0.4</v>
      </c>
      <c r="C142" s="57" t="n">
        <f aca="false">07_最適化!$B$6</f>
        <v>0.625</v>
      </c>
      <c r="D142" s="55" t="n">
        <f aca="false">B142</f>
        <v>0.4</v>
      </c>
      <c r="E142" s="57" t="n">
        <f aca="false">07_最適化!$B$8</f>
        <v>0.625</v>
      </c>
      <c r="F142" s="55" t="n">
        <f aca="false">1</f>
        <v>1</v>
      </c>
      <c r="G142" s="57" t="n">
        <f aca="false">C142</f>
        <v>0.625</v>
      </c>
      <c r="H142" s="55" t="n">
        <f aca="false">D142</f>
        <v>0.4</v>
      </c>
      <c r="I142" s="57" t="n">
        <f aca="false">E142</f>
        <v>0.625</v>
      </c>
      <c r="J142" s="55" t="n">
        <f aca="false">C142*D142</f>
        <v>0.25</v>
      </c>
      <c r="K142" s="55" t="n">
        <f aca="false">C142*E142</f>
        <v>0.390625</v>
      </c>
      <c r="L142" s="55" t="n">
        <f aca="false">D142*E142</f>
        <v>0.25</v>
      </c>
      <c r="M142" s="55" t="n">
        <f aca="false">C142*C142</f>
        <v>0.390625</v>
      </c>
      <c r="N142" s="55" t="n">
        <f aca="false">D142*D142</f>
        <v>0.16</v>
      </c>
      <c r="O142" s="55" t="n">
        <f aca="false">E142*E142</f>
        <v>0.390625</v>
      </c>
      <c r="P142" s="55" t="n">
        <f aca="false">SUMPRODUCT(F142:O142,_XtX!$B$71:$K$71)</f>
        <v>50.3171448863636</v>
      </c>
      <c r="Q142" s="55" t="n">
        <f aca="false">SUMPRODUCT(MMULT(F142:O142,_XtX!$B$58:$K$67),F142:O142)</f>
        <v>0.206013436612216</v>
      </c>
      <c r="R142" s="55" t="n">
        <f aca="false">P142-04_回帰ANOVA!$K$19*04_回帰ANOVA!$K$14*SQRT(1+Q142)</f>
        <v>49.296104996729</v>
      </c>
      <c r="S142" s="55" t="n">
        <f aca="false">P142+04_回帰ANOVA!$K$19*04_回帰ANOVA!$K$14*SQRT(1+Q142)</f>
        <v>51.3381847759983</v>
      </c>
      <c r="T142" s="54" t="b">
        <f aca="false">AND(C142&gt;=01_因子設定!$L$5-0.000000001,C142&lt;=01_因子設定!$M$5+0.000000001,D142&gt;=01_因子設定!$L$6-0.000000001,D142&lt;=01_因子設定!$M$6+0.000000001,E142&gt;=01_因子設定!$L$7-0.000000001,E142&lt;=01_因子設定!$M$7+0.000000001,IF(01_因子設定!$B$20="Box-Behnken",C142^2+D142^2+E142^2&lt;=2+0.000000001,TRUE()))</f>
        <v>1</v>
      </c>
      <c r="U142" s="55" t="n">
        <f aca="false">IF(T142,IF(01_因子設定!$B$13="最大化",R142-01_因子設定!$B$14,IF(01_因子設定!$B$13="最小化",01_因子設定!$B$15-S142,MIN(R142-01_因子設定!$B$14,01_因子設定!$B$15-S142))),-1E+030)</f>
        <v>0.796104996729028</v>
      </c>
      <c r="V142" s="55" t="n">
        <f aca="false">IF(U142&gt;=0,1,0)</f>
        <v>1</v>
      </c>
    </row>
    <row r="143" customFormat="false" ht="15" hidden="false" customHeight="false" outlineLevel="0" collapsed="false">
      <c r="A143" s="0" t="n">
        <v>2</v>
      </c>
      <c r="B143" s="0" t="n">
        <v>0.425</v>
      </c>
      <c r="C143" s="57" t="n">
        <f aca="false">07_最適化!$B$6</f>
        <v>0.625</v>
      </c>
      <c r="D143" s="55" t="n">
        <f aca="false">B143</f>
        <v>0.425</v>
      </c>
      <c r="E143" s="57" t="n">
        <f aca="false">07_最適化!$B$8</f>
        <v>0.625</v>
      </c>
      <c r="F143" s="55" t="n">
        <f aca="false">1</f>
        <v>1</v>
      </c>
      <c r="G143" s="57" t="n">
        <f aca="false">C143</f>
        <v>0.625</v>
      </c>
      <c r="H143" s="55" t="n">
        <f aca="false">D143</f>
        <v>0.425</v>
      </c>
      <c r="I143" s="57" t="n">
        <f aca="false">E143</f>
        <v>0.625</v>
      </c>
      <c r="J143" s="55" t="n">
        <f aca="false">C143*D143</f>
        <v>0.265625</v>
      </c>
      <c r="K143" s="55" t="n">
        <f aca="false">C143*E143</f>
        <v>0.390625</v>
      </c>
      <c r="L143" s="55" t="n">
        <f aca="false">D143*E143</f>
        <v>0.265625</v>
      </c>
      <c r="M143" s="55" t="n">
        <f aca="false">C143*C143</f>
        <v>0.390625</v>
      </c>
      <c r="N143" s="55" t="n">
        <f aca="false">D143*D143</f>
        <v>0.180625</v>
      </c>
      <c r="O143" s="55" t="n">
        <f aca="false">E143*E143</f>
        <v>0.390625</v>
      </c>
      <c r="P143" s="55" t="n">
        <f aca="false">SUMPRODUCT(F143:O143,_XtX!$B$71:$K$71)</f>
        <v>50.3532542613636</v>
      </c>
      <c r="Q143" s="55" t="n">
        <f aca="false">SUMPRODUCT(MMULT(F143:O143,_XtX!$B$58:$K$67),F143:O143)</f>
        <v>0.206375253018466</v>
      </c>
      <c r="R143" s="55" t="n">
        <f aca="false">P143-04_回帰ANOVA!$K$19*04_回帰ANOVA!$K$14*SQRT(1+Q143)</f>
        <v>49.3320612219927</v>
      </c>
      <c r="S143" s="55" t="n">
        <f aca="false">P143+04_回帰ANOVA!$K$19*04_回帰ANOVA!$K$14*SQRT(1+Q143)</f>
        <v>51.3744473007345</v>
      </c>
      <c r="T143" s="54" t="b">
        <f aca="false">AND(C143&gt;=01_因子設定!$L$5-0.000000001,C143&lt;=01_因子設定!$M$5+0.000000001,D143&gt;=01_因子設定!$L$6-0.000000001,D143&lt;=01_因子設定!$M$6+0.000000001,E143&gt;=01_因子設定!$L$7-0.000000001,E143&lt;=01_因子設定!$M$7+0.000000001,IF(01_因子設定!$B$20="Box-Behnken",C143^2+D143^2+E143^2&lt;=2+0.000000001,TRUE()))</f>
        <v>1</v>
      </c>
      <c r="U143" s="55" t="n">
        <f aca="false">IF(T143,IF(01_因子設定!$B$13="最大化",R143-01_因子設定!$B$14,IF(01_因子設定!$B$13="最小化",01_因子設定!$B$15-S143,MIN(R143-01_因子設定!$B$14,01_因子設定!$B$15-S143))),-1E+030)</f>
        <v>0.832061221992746</v>
      </c>
      <c r="V143" s="55" t="n">
        <f aca="false">IF(U143&gt;=0,1,0)</f>
        <v>1</v>
      </c>
    </row>
    <row r="144" customFormat="false" ht="15" hidden="false" customHeight="false" outlineLevel="0" collapsed="false">
      <c r="A144" s="0" t="n">
        <v>2</v>
      </c>
      <c r="B144" s="0" t="n">
        <v>0.45</v>
      </c>
      <c r="C144" s="57" t="n">
        <f aca="false">07_最適化!$B$6</f>
        <v>0.625</v>
      </c>
      <c r="D144" s="55" t="n">
        <f aca="false">B144</f>
        <v>0.45</v>
      </c>
      <c r="E144" s="57" t="n">
        <f aca="false">07_最適化!$B$8</f>
        <v>0.625</v>
      </c>
      <c r="F144" s="55" t="n">
        <f aca="false">1</f>
        <v>1</v>
      </c>
      <c r="G144" s="57" t="n">
        <f aca="false">C144</f>
        <v>0.625</v>
      </c>
      <c r="H144" s="55" t="n">
        <f aca="false">D144</f>
        <v>0.45</v>
      </c>
      <c r="I144" s="57" t="n">
        <f aca="false">E144</f>
        <v>0.625</v>
      </c>
      <c r="J144" s="55" t="n">
        <f aca="false">C144*D144</f>
        <v>0.28125</v>
      </c>
      <c r="K144" s="55" t="n">
        <f aca="false">C144*E144</f>
        <v>0.390625</v>
      </c>
      <c r="L144" s="55" t="n">
        <f aca="false">D144*E144</f>
        <v>0.28125</v>
      </c>
      <c r="M144" s="55" t="n">
        <f aca="false">C144*C144</f>
        <v>0.390625</v>
      </c>
      <c r="N144" s="55" t="n">
        <f aca="false">D144*D144</f>
        <v>0.2025</v>
      </c>
      <c r="O144" s="55" t="n">
        <f aca="false">E144*E144</f>
        <v>0.390625</v>
      </c>
      <c r="P144" s="55" t="n">
        <f aca="false">SUMPRODUCT(F144:O144,_XtX!$B$71:$K$71)</f>
        <v>50.3868295454546</v>
      </c>
      <c r="Q144" s="55" t="n">
        <f aca="false">SUMPRODUCT(MMULT(F144:O144,_XtX!$B$58:$K$67),F144:O144)</f>
        <v>0.20709706587358</v>
      </c>
      <c r="R144" s="55" t="n">
        <f aca="false">P144-04_回帰ANOVA!$K$19*04_回帰ANOVA!$K$14*SQRT(1+Q144)</f>
        <v>49.3653310455583</v>
      </c>
      <c r="S144" s="55" t="n">
        <f aca="false">P144+04_回帰ANOVA!$K$19*04_回帰ANOVA!$K$14*SQRT(1+Q144)</f>
        <v>51.4083280453508</v>
      </c>
      <c r="T144" s="54" t="b">
        <f aca="false">AND(C144&gt;=01_因子設定!$L$5-0.000000001,C144&lt;=01_因子設定!$M$5+0.000000001,D144&gt;=01_因子設定!$L$6-0.000000001,D144&lt;=01_因子設定!$M$6+0.000000001,E144&gt;=01_因子設定!$L$7-0.000000001,E144&lt;=01_因子設定!$M$7+0.000000001,IF(01_因子設定!$B$20="Box-Behnken",C144^2+D144^2+E144^2&lt;=2+0.000000001,TRUE()))</f>
        <v>1</v>
      </c>
      <c r="U144" s="55" t="n">
        <f aca="false">IF(T144,IF(01_因子設定!$B$13="最大化",R144-01_因子設定!$B$14,IF(01_因子設定!$B$13="最小化",01_因子設定!$B$15-S144,MIN(R144-01_因子設定!$B$14,01_因子設定!$B$15-S144))),-1E+030)</f>
        <v>0.865331045558271</v>
      </c>
      <c r="V144" s="55" t="n">
        <f aca="false">IF(U144&gt;=0,1,0)</f>
        <v>1</v>
      </c>
    </row>
    <row r="145" customFormat="false" ht="15" hidden="false" customHeight="false" outlineLevel="0" collapsed="false">
      <c r="A145" s="0" t="n">
        <v>2</v>
      </c>
      <c r="B145" s="0" t="n">
        <v>0.475</v>
      </c>
      <c r="C145" s="57" t="n">
        <f aca="false">07_最適化!$B$6</f>
        <v>0.625</v>
      </c>
      <c r="D145" s="55" t="n">
        <f aca="false">B145</f>
        <v>0.475</v>
      </c>
      <c r="E145" s="57" t="n">
        <f aca="false">07_最適化!$B$8</f>
        <v>0.625</v>
      </c>
      <c r="F145" s="55" t="n">
        <f aca="false">1</f>
        <v>1</v>
      </c>
      <c r="G145" s="57" t="n">
        <f aca="false">C145</f>
        <v>0.625</v>
      </c>
      <c r="H145" s="55" t="n">
        <f aca="false">D145</f>
        <v>0.475</v>
      </c>
      <c r="I145" s="57" t="n">
        <f aca="false">E145</f>
        <v>0.625</v>
      </c>
      <c r="J145" s="55" t="n">
        <f aca="false">C145*D145</f>
        <v>0.296875</v>
      </c>
      <c r="K145" s="55" t="n">
        <f aca="false">C145*E145</f>
        <v>0.390625</v>
      </c>
      <c r="L145" s="55" t="n">
        <f aca="false">D145*E145</f>
        <v>0.296875</v>
      </c>
      <c r="M145" s="55" t="n">
        <f aca="false">C145*C145</f>
        <v>0.390625</v>
      </c>
      <c r="N145" s="55" t="n">
        <f aca="false">D145*D145</f>
        <v>0.225625</v>
      </c>
      <c r="O145" s="55" t="n">
        <f aca="false">E145*E145</f>
        <v>0.390625</v>
      </c>
      <c r="P145" s="55" t="n">
        <f aca="false">SUMPRODUCT(F145:O145,_XtX!$B$71:$K$71)</f>
        <v>50.4178707386364</v>
      </c>
      <c r="Q145" s="55" t="n">
        <f aca="false">SUMPRODUCT(MMULT(F145:O145,_XtX!$B$58:$K$67),F145:O145)</f>
        <v>0.208238534268466</v>
      </c>
      <c r="R145" s="55" t="n">
        <f aca="false">P145-04_回帰ANOVA!$K$19*04_回帰ANOVA!$K$14*SQRT(1+Q145)</f>
        <v>49.3958893725469</v>
      </c>
      <c r="S145" s="55" t="n">
        <f aca="false">P145+04_回帰ANOVA!$K$19*04_回帰ANOVA!$K$14*SQRT(1+Q145)</f>
        <v>51.4398521047258</v>
      </c>
      <c r="T145" s="54" t="b">
        <f aca="false">AND(C145&gt;=01_因子設定!$L$5-0.000000001,C145&lt;=01_因子設定!$M$5+0.000000001,D145&gt;=01_因子設定!$L$6-0.000000001,D145&lt;=01_因子設定!$M$6+0.000000001,E145&gt;=01_因子設定!$L$7-0.000000001,E145&lt;=01_因子設定!$M$7+0.000000001,IF(01_因子設定!$B$20="Box-Behnken",C145^2+D145^2+E145^2&lt;=2+0.000000001,TRUE()))</f>
        <v>1</v>
      </c>
      <c r="U145" s="55" t="n">
        <f aca="false">IF(T145,IF(01_因子設定!$B$13="最大化",R145-01_因子設定!$B$14,IF(01_因子設定!$B$13="最小化",01_因子設定!$B$15-S145,MIN(R145-01_因子設定!$B$14,01_因子設定!$B$15-S145))),-1E+030)</f>
        <v>0.89588937254694</v>
      </c>
      <c r="V145" s="55" t="n">
        <f aca="false">IF(U145&gt;=0,1,0)</f>
        <v>1</v>
      </c>
    </row>
    <row r="146" customFormat="false" ht="15" hidden="false" customHeight="false" outlineLevel="0" collapsed="false">
      <c r="A146" s="0" t="n">
        <v>2</v>
      </c>
      <c r="B146" s="0" t="n">
        <v>0.5</v>
      </c>
      <c r="C146" s="57" t="n">
        <f aca="false">07_最適化!$B$6</f>
        <v>0.625</v>
      </c>
      <c r="D146" s="55" t="n">
        <f aca="false">B146</f>
        <v>0.5</v>
      </c>
      <c r="E146" s="57" t="n">
        <f aca="false">07_最適化!$B$8</f>
        <v>0.625</v>
      </c>
      <c r="F146" s="55" t="n">
        <f aca="false">1</f>
        <v>1</v>
      </c>
      <c r="G146" s="57" t="n">
        <f aca="false">C146</f>
        <v>0.625</v>
      </c>
      <c r="H146" s="55" t="n">
        <f aca="false">D146</f>
        <v>0.5</v>
      </c>
      <c r="I146" s="57" t="n">
        <f aca="false">E146</f>
        <v>0.625</v>
      </c>
      <c r="J146" s="55" t="n">
        <f aca="false">C146*D146</f>
        <v>0.3125</v>
      </c>
      <c r="K146" s="55" t="n">
        <f aca="false">C146*E146</f>
        <v>0.390625</v>
      </c>
      <c r="L146" s="55" t="n">
        <f aca="false">D146*E146</f>
        <v>0.3125</v>
      </c>
      <c r="M146" s="55" t="n">
        <f aca="false">C146*C146</f>
        <v>0.390625</v>
      </c>
      <c r="N146" s="55" t="n">
        <f aca="false">D146*D146</f>
        <v>0.25</v>
      </c>
      <c r="O146" s="55" t="n">
        <f aca="false">E146*E146</f>
        <v>0.390625</v>
      </c>
      <c r="P146" s="55" t="n">
        <f aca="false">SUMPRODUCT(F146:O146,_XtX!$B$71:$K$71)</f>
        <v>50.4463778409091</v>
      </c>
      <c r="Q146" s="55" t="n">
        <f aca="false">SUMPRODUCT(MMULT(F146:O146,_XtX!$B$58:$K$67),F146:O146)</f>
        <v>0.209862726384943</v>
      </c>
      <c r="R146" s="55" t="n">
        <f aca="false">P146-04_回帰ANOVA!$K$19*04_回帰ANOVA!$K$14*SQRT(1+Q146)</f>
        <v>49.4237097988979</v>
      </c>
      <c r="S146" s="55" t="n">
        <f aca="false">P146+04_回帰ANOVA!$K$19*04_回帰ANOVA!$K$14*SQRT(1+Q146)</f>
        <v>51.4690458829203</v>
      </c>
      <c r="T146" s="54" t="b">
        <f aca="false">AND(C146&gt;=01_因子設定!$L$5-0.000000001,C146&lt;=01_因子設定!$M$5+0.000000001,D146&gt;=01_因子設定!$L$6-0.000000001,D146&lt;=01_因子設定!$M$6+0.000000001,E146&gt;=01_因子設定!$L$7-0.000000001,E146&lt;=01_因子設定!$M$7+0.000000001,IF(01_因子設定!$B$20="Box-Behnken",C146^2+D146^2+E146^2&lt;=2+0.000000001,TRUE()))</f>
        <v>1</v>
      </c>
      <c r="U146" s="55" t="n">
        <f aca="false">IF(T146,IF(01_因子設定!$B$13="最大化",R146-01_因子設定!$B$14,IF(01_因子設定!$B$13="最小化",01_因子設定!$B$15-S146,MIN(R146-01_因子設定!$B$14,01_因子設定!$B$15-S146))),-1E+030)</f>
        <v>0.923709798897903</v>
      </c>
      <c r="V146" s="55" t="n">
        <f aca="false">IF(U146&gt;=0,1,0)</f>
        <v>1</v>
      </c>
    </row>
    <row r="147" customFormat="false" ht="15" hidden="false" customHeight="false" outlineLevel="0" collapsed="false">
      <c r="A147" s="0" t="n">
        <v>2</v>
      </c>
      <c r="B147" s="0" t="n">
        <v>0.525</v>
      </c>
      <c r="C147" s="57" t="n">
        <f aca="false">07_最適化!$B$6</f>
        <v>0.625</v>
      </c>
      <c r="D147" s="55" t="n">
        <f aca="false">B147</f>
        <v>0.525</v>
      </c>
      <c r="E147" s="57" t="n">
        <f aca="false">07_最適化!$B$8</f>
        <v>0.625</v>
      </c>
      <c r="F147" s="55" t="n">
        <f aca="false">1</f>
        <v>1</v>
      </c>
      <c r="G147" s="57" t="n">
        <f aca="false">C147</f>
        <v>0.625</v>
      </c>
      <c r="H147" s="55" t="n">
        <f aca="false">D147</f>
        <v>0.525</v>
      </c>
      <c r="I147" s="57" t="n">
        <f aca="false">E147</f>
        <v>0.625</v>
      </c>
      <c r="J147" s="55" t="n">
        <f aca="false">C147*D147</f>
        <v>0.328125</v>
      </c>
      <c r="K147" s="55" t="n">
        <f aca="false">C147*E147</f>
        <v>0.390625</v>
      </c>
      <c r="L147" s="55" t="n">
        <f aca="false">D147*E147</f>
        <v>0.328125</v>
      </c>
      <c r="M147" s="55" t="n">
        <f aca="false">C147*C147</f>
        <v>0.390625</v>
      </c>
      <c r="N147" s="55" t="n">
        <f aca="false">D147*D147</f>
        <v>0.275625</v>
      </c>
      <c r="O147" s="55" t="n">
        <f aca="false">E147*E147</f>
        <v>0.390625</v>
      </c>
      <c r="P147" s="55" t="n">
        <f aca="false">SUMPRODUCT(F147:O147,_XtX!$B$71:$K$71)</f>
        <v>50.4723508522727</v>
      </c>
      <c r="Q147" s="55" t="n">
        <f aca="false">SUMPRODUCT(MMULT(F147:O147,_XtX!$B$58:$K$67),F147:O147)</f>
        <v>0.212036119495739</v>
      </c>
      <c r="R147" s="55" t="n">
        <f aca="false">P147-04_回帰ANOVA!$K$19*04_回帰ANOVA!$K$14*SQRT(1+Q147)</f>
        <v>49.4487646637935</v>
      </c>
      <c r="S147" s="55" t="n">
        <f aca="false">P147+04_回帰ANOVA!$K$19*04_回帰ANOVA!$K$14*SQRT(1+Q147)</f>
        <v>51.495937040752</v>
      </c>
      <c r="T147" s="54" t="b">
        <f aca="false">AND(C147&gt;=01_因子設定!$L$5-0.000000001,C147&lt;=01_因子設定!$M$5+0.000000001,D147&gt;=01_因子設定!$L$6-0.000000001,D147&lt;=01_因子設定!$M$6+0.000000001,E147&gt;=01_因子設定!$L$7-0.000000001,E147&lt;=01_因子設定!$M$7+0.000000001,IF(01_因子設定!$B$20="Box-Behnken",C147^2+D147^2+E147^2&lt;=2+0.000000001,TRUE()))</f>
        <v>1</v>
      </c>
      <c r="U147" s="55" t="n">
        <f aca="false">IF(T147,IF(01_因子設定!$B$13="最大化",R147-01_因子設定!$B$14,IF(01_因子設定!$B$13="最小化",01_因子設定!$B$15-S147,MIN(R147-01_因子設定!$B$14,01_因子設定!$B$15-S147))),-1E+030)</f>
        <v>0.948764663793448</v>
      </c>
      <c r="V147" s="55" t="n">
        <f aca="false">IF(U147&gt;=0,1,0)</f>
        <v>1</v>
      </c>
    </row>
    <row r="148" customFormat="false" ht="15" hidden="false" customHeight="false" outlineLevel="0" collapsed="false">
      <c r="A148" s="0" t="n">
        <v>2</v>
      </c>
      <c r="B148" s="0" t="n">
        <v>0.55</v>
      </c>
      <c r="C148" s="57" t="n">
        <f aca="false">07_最適化!$B$6</f>
        <v>0.625</v>
      </c>
      <c r="D148" s="55" t="n">
        <f aca="false">B148</f>
        <v>0.55</v>
      </c>
      <c r="E148" s="57" t="n">
        <f aca="false">07_最適化!$B$8</f>
        <v>0.625</v>
      </c>
      <c r="F148" s="55" t="n">
        <f aca="false">1</f>
        <v>1</v>
      </c>
      <c r="G148" s="57" t="n">
        <f aca="false">C148</f>
        <v>0.625</v>
      </c>
      <c r="H148" s="55" t="n">
        <f aca="false">D148</f>
        <v>0.55</v>
      </c>
      <c r="I148" s="57" t="n">
        <f aca="false">E148</f>
        <v>0.625</v>
      </c>
      <c r="J148" s="55" t="n">
        <f aca="false">C148*D148</f>
        <v>0.34375</v>
      </c>
      <c r="K148" s="55" t="n">
        <f aca="false">C148*E148</f>
        <v>0.390625</v>
      </c>
      <c r="L148" s="55" t="n">
        <f aca="false">D148*E148</f>
        <v>0.34375</v>
      </c>
      <c r="M148" s="55" t="n">
        <f aca="false">C148*C148</f>
        <v>0.390625</v>
      </c>
      <c r="N148" s="55" t="n">
        <f aca="false">D148*D148</f>
        <v>0.3025</v>
      </c>
      <c r="O148" s="55" t="n">
        <f aca="false">E148*E148</f>
        <v>0.390625</v>
      </c>
      <c r="P148" s="55" t="n">
        <f aca="false">SUMPRODUCT(F148:O148,_XtX!$B$71:$K$71)</f>
        <v>50.4957897727273</v>
      </c>
      <c r="Q148" s="55" t="n">
        <f aca="false">SUMPRODUCT(MMULT(F148:O148,_XtX!$B$58:$K$67),F148:O148)</f>
        <v>0.214828599964489</v>
      </c>
      <c r="R148" s="55" t="n">
        <f aca="false">P148-04_回帰ANOVA!$K$19*04_回帰ANOVA!$K$14*SQRT(1+Q148)</f>
        <v>49.4710251127855</v>
      </c>
      <c r="S148" s="55" t="n">
        <f aca="false">P148+04_回帰ANOVA!$K$19*04_回帰ANOVA!$K$14*SQRT(1+Q148)</f>
        <v>51.5205544326691</v>
      </c>
      <c r="T148" s="54" t="b">
        <f aca="false">AND(C148&gt;=01_因子設定!$L$5-0.000000001,C148&lt;=01_因子設定!$M$5+0.000000001,D148&gt;=01_因子設定!$L$6-0.000000001,D148&lt;=01_因子設定!$M$6+0.000000001,E148&gt;=01_因子設定!$L$7-0.000000001,E148&lt;=01_因子設定!$M$7+0.000000001,IF(01_因子設定!$B$20="Box-Behnken",C148^2+D148^2+E148^2&lt;=2+0.000000001,TRUE()))</f>
        <v>1</v>
      </c>
      <c r="U148" s="55" t="n">
        <f aca="false">IF(T148,IF(01_因子設定!$B$13="最大化",R148-01_因子設定!$B$14,IF(01_因子設定!$B$13="最小化",01_因子設定!$B$15-S148,MIN(R148-01_因子設定!$B$14,01_因子設定!$B$15-S148))),-1E+030)</f>
        <v>0.971025112785448</v>
      </c>
      <c r="V148" s="55" t="n">
        <f aca="false">IF(U148&gt;=0,1,0)</f>
        <v>1</v>
      </c>
    </row>
    <row r="149" customFormat="false" ht="15" hidden="false" customHeight="false" outlineLevel="0" collapsed="false">
      <c r="A149" s="0" t="n">
        <v>2</v>
      </c>
      <c r="B149" s="0" t="n">
        <v>0.575</v>
      </c>
      <c r="C149" s="57" t="n">
        <f aca="false">07_最適化!$B$6</f>
        <v>0.625</v>
      </c>
      <c r="D149" s="55" t="n">
        <f aca="false">B149</f>
        <v>0.575</v>
      </c>
      <c r="E149" s="57" t="n">
        <f aca="false">07_最適化!$B$8</f>
        <v>0.625</v>
      </c>
      <c r="F149" s="55" t="n">
        <f aca="false">1</f>
        <v>1</v>
      </c>
      <c r="G149" s="57" t="n">
        <f aca="false">C149</f>
        <v>0.625</v>
      </c>
      <c r="H149" s="55" t="n">
        <f aca="false">D149</f>
        <v>0.575</v>
      </c>
      <c r="I149" s="57" t="n">
        <f aca="false">E149</f>
        <v>0.625</v>
      </c>
      <c r="J149" s="55" t="n">
        <f aca="false">C149*D149</f>
        <v>0.359375</v>
      </c>
      <c r="K149" s="55" t="n">
        <f aca="false">C149*E149</f>
        <v>0.390625</v>
      </c>
      <c r="L149" s="55" t="n">
        <f aca="false">D149*E149</f>
        <v>0.359375</v>
      </c>
      <c r="M149" s="55" t="n">
        <f aca="false">C149*C149</f>
        <v>0.390625</v>
      </c>
      <c r="N149" s="55" t="n">
        <f aca="false">D149*D149</f>
        <v>0.330625</v>
      </c>
      <c r="O149" s="55" t="n">
        <f aca="false">E149*E149</f>
        <v>0.390625</v>
      </c>
      <c r="P149" s="55" t="n">
        <f aca="false">SUMPRODUCT(F149:O149,_XtX!$B$71:$K$71)</f>
        <v>50.5166946022727</v>
      </c>
      <c r="Q149" s="55" t="n">
        <f aca="false">SUMPRODUCT(MMULT(F149:O149,_XtX!$B$58:$K$67),F149:O149)</f>
        <v>0.218313463245739</v>
      </c>
      <c r="R149" s="55" t="n">
        <f aca="false">P149-04_回帰ANOVA!$K$19*04_回帰ANOVA!$K$14*SQRT(1+Q149)</f>
        <v>49.4904611724414</v>
      </c>
      <c r="S149" s="55" t="n">
        <f aca="false">P149+04_回帰ANOVA!$K$19*04_回帰ANOVA!$K$14*SQRT(1+Q149)</f>
        <v>51.542928032104</v>
      </c>
      <c r="T149" s="54" t="b">
        <f aca="false">AND(C149&gt;=01_因子設定!$L$5-0.000000001,C149&lt;=01_因子設定!$M$5+0.000000001,D149&gt;=01_因子設定!$L$6-0.000000001,D149&lt;=01_因子設定!$M$6+0.000000001,E149&gt;=01_因子設定!$L$7-0.000000001,E149&lt;=01_因子設定!$M$7+0.000000001,IF(01_因子設定!$B$20="Box-Behnken",C149^2+D149^2+E149^2&lt;=2+0.000000001,TRUE()))</f>
        <v>1</v>
      </c>
      <c r="U149" s="55" t="n">
        <f aca="false">IF(T149,IF(01_因子設定!$B$13="最大化",R149-01_因子設定!$B$14,IF(01_因子設定!$B$13="最小化",01_因子設定!$B$15-S149,MIN(R149-01_因子設定!$B$14,01_因子設定!$B$15-S149))),-1E+030)</f>
        <v>0.990461172441442</v>
      </c>
      <c r="V149" s="55" t="n">
        <f aca="false">IF(U149&gt;=0,1,0)</f>
        <v>1</v>
      </c>
    </row>
    <row r="150" customFormat="false" ht="15" hidden="false" customHeight="false" outlineLevel="0" collapsed="false">
      <c r="A150" s="0" t="n">
        <v>2</v>
      </c>
      <c r="B150" s="0" t="n">
        <v>0.6</v>
      </c>
      <c r="C150" s="57" t="n">
        <f aca="false">07_最適化!$B$6</f>
        <v>0.625</v>
      </c>
      <c r="D150" s="55" t="n">
        <f aca="false">B150</f>
        <v>0.6</v>
      </c>
      <c r="E150" s="57" t="n">
        <f aca="false">07_最適化!$B$8</f>
        <v>0.625</v>
      </c>
      <c r="F150" s="55" t="n">
        <f aca="false">1</f>
        <v>1</v>
      </c>
      <c r="G150" s="57" t="n">
        <f aca="false">C150</f>
        <v>0.625</v>
      </c>
      <c r="H150" s="55" t="n">
        <f aca="false">D150</f>
        <v>0.6</v>
      </c>
      <c r="I150" s="57" t="n">
        <f aca="false">E150</f>
        <v>0.625</v>
      </c>
      <c r="J150" s="55" t="n">
        <f aca="false">C150*D150</f>
        <v>0.375</v>
      </c>
      <c r="K150" s="55" t="n">
        <f aca="false">C150*E150</f>
        <v>0.390625</v>
      </c>
      <c r="L150" s="55" t="n">
        <f aca="false">D150*E150</f>
        <v>0.375</v>
      </c>
      <c r="M150" s="55" t="n">
        <f aca="false">C150*C150</f>
        <v>0.390625</v>
      </c>
      <c r="N150" s="55" t="n">
        <f aca="false">D150*D150</f>
        <v>0.36</v>
      </c>
      <c r="O150" s="55" t="n">
        <f aca="false">E150*E150</f>
        <v>0.390625</v>
      </c>
      <c r="P150" s="55" t="n">
        <f aca="false">SUMPRODUCT(F150:O150,_XtX!$B$71:$K$71)</f>
        <v>50.5350653409091</v>
      </c>
      <c r="Q150" s="55" t="n">
        <f aca="false">SUMPRODUCT(MMULT(F150:O150,_XtX!$B$58:$K$67),F150:O150)</f>
        <v>0.222567413884943</v>
      </c>
      <c r="R150" s="55" t="n">
        <f aca="false">P150-04_回帰ANOVA!$K$19*04_回帰ANOVA!$K$14*SQRT(1+Q150)</f>
        <v>49.5070418371924</v>
      </c>
      <c r="S150" s="55" t="n">
        <f aca="false">P150+04_回帰ANOVA!$K$19*04_回帰ANOVA!$K$14*SQRT(1+Q150)</f>
        <v>51.5630888446258</v>
      </c>
      <c r="T150" s="54" t="b">
        <f aca="false">AND(C150&gt;=01_因子設定!$L$5-0.000000001,C150&lt;=01_因子設定!$M$5+0.000000001,D150&gt;=01_因子設定!$L$6-0.000000001,D150&lt;=01_因子設定!$M$6+0.000000001,E150&gt;=01_因子設定!$L$7-0.000000001,E150&lt;=01_因子設定!$M$7+0.000000001,IF(01_因子設定!$B$20="Box-Behnken",C150^2+D150^2+E150^2&lt;=2+0.000000001,TRUE()))</f>
        <v>1</v>
      </c>
      <c r="U150" s="55" t="n">
        <f aca="false">IF(T150,IF(01_因子設定!$B$13="最大化",R150-01_因子設定!$B$14,IF(01_因子設定!$B$13="最小化",01_因子設定!$B$15-S150,MIN(R150-01_因子設定!$B$14,01_因子設定!$B$15-S150))),-1E+030)</f>
        <v>1.00704183719239</v>
      </c>
      <c r="V150" s="55" t="n">
        <f aca="false">IF(U150&gt;=0,1,0)</f>
        <v>1</v>
      </c>
    </row>
    <row r="151" customFormat="false" ht="15" hidden="false" customHeight="false" outlineLevel="0" collapsed="false">
      <c r="A151" s="0" t="n">
        <v>2</v>
      </c>
      <c r="B151" s="0" t="n">
        <v>0.625</v>
      </c>
      <c r="C151" s="57" t="n">
        <f aca="false">07_最適化!$B$6</f>
        <v>0.625</v>
      </c>
      <c r="D151" s="55" t="n">
        <f aca="false">B151</f>
        <v>0.625</v>
      </c>
      <c r="E151" s="57" t="n">
        <f aca="false">07_最適化!$B$8</f>
        <v>0.625</v>
      </c>
      <c r="F151" s="55" t="n">
        <f aca="false">1</f>
        <v>1</v>
      </c>
      <c r="G151" s="57" t="n">
        <f aca="false">C151</f>
        <v>0.625</v>
      </c>
      <c r="H151" s="55" t="n">
        <f aca="false">D151</f>
        <v>0.625</v>
      </c>
      <c r="I151" s="57" t="n">
        <f aca="false">E151</f>
        <v>0.625</v>
      </c>
      <c r="J151" s="55" t="n">
        <f aca="false">C151*D151</f>
        <v>0.390625</v>
      </c>
      <c r="K151" s="55" t="n">
        <f aca="false">C151*E151</f>
        <v>0.390625</v>
      </c>
      <c r="L151" s="55" t="n">
        <f aca="false">D151*E151</f>
        <v>0.390625</v>
      </c>
      <c r="M151" s="55" t="n">
        <f aca="false">C151*C151</f>
        <v>0.390625</v>
      </c>
      <c r="N151" s="55" t="n">
        <f aca="false">D151*D151</f>
        <v>0.390625</v>
      </c>
      <c r="O151" s="55" t="n">
        <f aca="false">E151*E151</f>
        <v>0.390625</v>
      </c>
      <c r="P151" s="55" t="n">
        <f aca="false">SUMPRODUCT(F151:O151,_XtX!$B$71:$K$71)</f>
        <v>50.5509019886364</v>
      </c>
      <c r="Q151" s="55" t="n">
        <f aca="false">SUMPRODUCT(MMULT(F151:O151,_XtX!$B$58:$K$67),F151:O151)</f>
        <v>0.227670565518466</v>
      </c>
      <c r="R151" s="55" t="n">
        <f aca="false">P151-04_回帰ANOVA!$K$19*04_回帰ANOVA!$K$14*SQRT(1+Q151)</f>
        <v>49.5207351688847</v>
      </c>
      <c r="S151" s="55" t="n">
        <f aca="false">P151+04_回帰ANOVA!$K$19*04_回帰ANOVA!$K$14*SQRT(1+Q151)</f>
        <v>51.581068808388</v>
      </c>
      <c r="T151" s="54" t="b">
        <f aca="false">AND(C151&gt;=01_因子設定!$L$5-0.000000001,C151&lt;=01_因子設定!$M$5+0.000000001,D151&gt;=01_因子設定!$L$6-0.000000001,D151&lt;=01_因子設定!$M$6+0.000000001,E151&gt;=01_因子設定!$L$7-0.000000001,E151&lt;=01_因子設定!$M$7+0.000000001,IF(01_因子設定!$B$20="Box-Behnken",C151^2+D151^2+E151^2&lt;=2+0.000000001,TRUE()))</f>
        <v>1</v>
      </c>
      <c r="U151" s="55" t="n">
        <f aca="false">IF(T151,IF(01_因子設定!$B$13="最大化",R151-01_因子設定!$B$14,IF(01_因子設定!$B$13="最小化",01_因子設定!$B$15-S151,MIN(R151-01_因子設定!$B$14,01_因子設定!$B$15-S151))),-1E+030)</f>
        <v>1.02073516888473</v>
      </c>
      <c r="V151" s="55" t="n">
        <f aca="false">IF(U151&gt;=0,1,0)</f>
        <v>1</v>
      </c>
    </row>
    <row r="152" customFormat="false" ht="15" hidden="false" customHeight="false" outlineLevel="0" collapsed="false">
      <c r="A152" s="0" t="n">
        <v>2</v>
      </c>
      <c r="B152" s="0" t="n">
        <v>0.65</v>
      </c>
      <c r="C152" s="57" t="n">
        <f aca="false">07_最適化!$B$6</f>
        <v>0.625</v>
      </c>
      <c r="D152" s="55" t="n">
        <f aca="false">B152</f>
        <v>0.65</v>
      </c>
      <c r="E152" s="57" t="n">
        <f aca="false">07_最適化!$B$8</f>
        <v>0.625</v>
      </c>
      <c r="F152" s="55" t="n">
        <f aca="false">1</f>
        <v>1</v>
      </c>
      <c r="G152" s="57" t="n">
        <f aca="false">C152</f>
        <v>0.625</v>
      </c>
      <c r="H152" s="55" t="n">
        <f aca="false">D152</f>
        <v>0.65</v>
      </c>
      <c r="I152" s="57" t="n">
        <f aca="false">E152</f>
        <v>0.625</v>
      </c>
      <c r="J152" s="55" t="n">
        <f aca="false">C152*D152</f>
        <v>0.40625</v>
      </c>
      <c r="K152" s="55" t="n">
        <f aca="false">C152*E152</f>
        <v>0.390625</v>
      </c>
      <c r="L152" s="55" t="n">
        <f aca="false">D152*E152</f>
        <v>0.40625</v>
      </c>
      <c r="M152" s="55" t="n">
        <f aca="false">C152*C152</f>
        <v>0.390625</v>
      </c>
      <c r="N152" s="55" t="n">
        <f aca="false">D152*D152</f>
        <v>0.4225</v>
      </c>
      <c r="O152" s="55" t="n">
        <f aca="false">E152*E152</f>
        <v>0.390625</v>
      </c>
      <c r="P152" s="55" t="n">
        <f aca="false">SUMPRODUCT(F152:O152,_XtX!$B$71:$K$71)</f>
        <v>50.5642045454546</v>
      </c>
      <c r="Q152" s="55" t="n">
        <f aca="false">SUMPRODUCT(MMULT(F152:O152,_XtX!$B$58:$K$67),F152:O152)</f>
        <v>0.23370644087358</v>
      </c>
      <c r="R152" s="55" t="n">
        <f aca="false">P152-04_回帰ANOVA!$K$19*04_回帰ANOVA!$K$14*SQRT(1+Q152)</f>
        <v>49.5315084093156</v>
      </c>
      <c r="S152" s="55" t="n">
        <f aca="false">P152+04_回帰ANOVA!$K$19*04_回帰ANOVA!$K$14*SQRT(1+Q152)</f>
        <v>51.5969006815935</v>
      </c>
      <c r="T152" s="54" t="b">
        <f aca="false">AND(C152&gt;=01_因子設定!$L$5-0.000000001,C152&lt;=01_因子設定!$M$5+0.000000001,D152&gt;=01_因子設定!$L$6-0.000000001,D152&lt;=01_因子設定!$M$6+0.000000001,E152&gt;=01_因子設定!$L$7-0.000000001,E152&lt;=01_因子設定!$M$7+0.000000001,IF(01_因子設定!$B$20="Box-Behnken",C152^2+D152^2+E152^2&lt;=2+0.000000001,TRUE()))</f>
        <v>1</v>
      </c>
      <c r="U152" s="55" t="n">
        <f aca="false">IF(T152,IF(01_因子設定!$B$13="最大化",R152-01_因子設定!$B$14,IF(01_因子設定!$B$13="最小化",01_因子設定!$B$15-S152,MIN(R152-01_因子設定!$B$14,01_因子設定!$B$15-S152))),-1E+030)</f>
        <v>1.03150840931561</v>
      </c>
      <c r="V152" s="55" t="n">
        <f aca="false">IF(U152&gt;=0,1,0)</f>
        <v>1</v>
      </c>
    </row>
    <row r="153" customFormat="false" ht="15" hidden="false" customHeight="false" outlineLevel="0" collapsed="false">
      <c r="A153" s="0" t="n">
        <v>2</v>
      </c>
      <c r="B153" s="0" t="n">
        <v>0.675</v>
      </c>
      <c r="C153" s="57" t="n">
        <f aca="false">07_最適化!$B$6</f>
        <v>0.625</v>
      </c>
      <c r="D153" s="55" t="n">
        <f aca="false">B153</f>
        <v>0.675</v>
      </c>
      <c r="E153" s="57" t="n">
        <f aca="false">07_最適化!$B$8</f>
        <v>0.625</v>
      </c>
      <c r="F153" s="55" t="n">
        <f aca="false">1</f>
        <v>1</v>
      </c>
      <c r="G153" s="57" t="n">
        <f aca="false">C153</f>
        <v>0.625</v>
      </c>
      <c r="H153" s="55" t="n">
        <f aca="false">D153</f>
        <v>0.675</v>
      </c>
      <c r="I153" s="57" t="n">
        <f aca="false">E153</f>
        <v>0.625</v>
      </c>
      <c r="J153" s="55" t="n">
        <f aca="false">C153*D153</f>
        <v>0.421875</v>
      </c>
      <c r="K153" s="55" t="n">
        <f aca="false">C153*E153</f>
        <v>0.390625</v>
      </c>
      <c r="L153" s="55" t="n">
        <f aca="false">D153*E153</f>
        <v>0.421875</v>
      </c>
      <c r="M153" s="55" t="n">
        <f aca="false">C153*C153</f>
        <v>0.390625</v>
      </c>
      <c r="N153" s="55" t="n">
        <f aca="false">D153*D153</f>
        <v>0.455625</v>
      </c>
      <c r="O153" s="55" t="n">
        <f aca="false">E153*E153</f>
        <v>0.390625</v>
      </c>
      <c r="P153" s="55" t="n">
        <f aca="false">SUMPRODUCT(F153:O153,_XtX!$B$71:$K$71)</f>
        <v>50.5749730113636</v>
      </c>
      <c r="Q153" s="55" t="n">
        <f aca="false">SUMPRODUCT(MMULT(F153:O153,_XtX!$B$58:$K$67),F153:O153)</f>
        <v>0.240761971768466</v>
      </c>
      <c r="R153" s="55" t="n">
        <f aca="false">P153-04_回帰ANOVA!$K$19*04_回帰ANOVA!$K$14*SQRT(1+Q153)</f>
        <v>49.5393281057622</v>
      </c>
      <c r="S153" s="55" t="n">
        <f aca="false">P153+04_回帰ANOVA!$K$19*04_回帰ANOVA!$K$14*SQRT(1+Q153)</f>
        <v>51.6106179169651</v>
      </c>
      <c r="T153" s="54" t="b">
        <f aca="false">AND(C153&gt;=01_因子設定!$L$5-0.000000001,C153&lt;=01_因子設定!$M$5+0.000000001,D153&gt;=01_因子設定!$L$6-0.000000001,D153&lt;=01_因子設定!$M$6+0.000000001,E153&gt;=01_因子設定!$L$7-0.000000001,E153&lt;=01_因子設定!$M$7+0.000000001,IF(01_因子設定!$B$20="Box-Behnken",C153^2+D153^2+E153^2&lt;=2+0.000000001,TRUE()))</f>
        <v>1</v>
      </c>
      <c r="U153" s="55" t="n">
        <f aca="false">IF(T153,IF(01_因子設定!$B$13="最大化",R153-01_因子設定!$B$14,IF(01_因子設定!$B$13="最小化",01_因子設定!$B$15-S153,MIN(R153-01_因子設定!$B$14,01_因子設定!$B$15-S153))),-1E+030)</f>
        <v>1.03932810576217</v>
      </c>
      <c r="V153" s="55" t="n">
        <f aca="false">IF(U153&gt;=0,1,0)</f>
        <v>1</v>
      </c>
    </row>
    <row r="154" customFormat="false" ht="15" hidden="false" customHeight="false" outlineLevel="0" collapsed="false">
      <c r="A154" s="0" t="n">
        <v>2</v>
      </c>
      <c r="B154" s="0" t="n">
        <v>0.7</v>
      </c>
      <c r="C154" s="57" t="n">
        <f aca="false">07_最適化!$B$6</f>
        <v>0.625</v>
      </c>
      <c r="D154" s="55" t="n">
        <f aca="false">B154</f>
        <v>0.7</v>
      </c>
      <c r="E154" s="57" t="n">
        <f aca="false">07_最適化!$B$8</f>
        <v>0.625</v>
      </c>
      <c r="F154" s="55" t="n">
        <f aca="false">1</f>
        <v>1</v>
      </c>
      <c r="G154" s="57" t="n">
        <f aca="false">C154</f>
        <v>0.625</v>
      </c>
      <c r="H154" s="55" t="n">
        <f aca="false">D154</f>
        <v>0.7</v>
      </c>
      <c r="I154" s="57" t="n">
        <f aca="false">E154</f>
        <v>0.625</v>
      </c>
      <c r="J154" s="55" t="n">
        <f aca="false">C154*D154</f>
        <v>0.4375</v>
      </c>
      <c r="K154" s="55" t="n">
        <f aca="false">C154*E154</f>
        <v>0.390625</v>
      </c>
      <c r="L154" s="55" t="n">
        <f aca="false">D154*E154</f>
        <v>0.4375</v>
      </c>
      <c r="M154" s="55" t="n">
        <f aca="false">C154*C154</f>
        <v>0.390625</v>
      </c>
      <c r="N154" s="55" t="n">
        <f aca="false">D154*D154</f>
        <v>0.49</v>
      </c>
      <c r="O154" s="55" t="n">
        <f aca="false">E154*E154</f>
        <v>0.390625</v>
      </c>
      <c r="P154" s="55" t="n">
        <f aca="false">SUMPRODUCT(F154:O154,_XtX!$B$71:$K$71)</f>
        <v>50.5832073863637</v>
      </c>
      <c r="Q154" s="55" t="n">
        <f aca="false">SUMPRODUCT(MMULT(F154:O154,_XtX!$B$58:$K$67),F154:O154)</f>
        <v>0.248927499112216</v>
      </c>
      <c r="R154" s="55" t="n">
        <f aca="false">P154-04_回帰ANOVA!$K$19*04_回帰ANOVA!$K$14*SQRT(1+Q154)</f>
        <v>49.5441602492067</v>
      </c>
      <c r="S154" s="55" t="n">
        <f aca="false">P154+04_回帰ANOVA!$K$19*04_回帰ANOVA!$K$14*SQRT(1+Q154)</f>
        <v>51.6222545235206</v>
      </c>
      <c r="T154" s="54" t="b">
        <f aca="false">AND(C154&gt;=01_因子設定!$L$5-0.000000001,C154&lt;=01_因子設定!$M$5+0.000000001,D154&gt;=01_因子設定!$L$6-0.000000001,D154&lt;=01_因子設定!$M$6+0.000000001,E154&gt;=01_因子設定!$L$7-0.000000001,E154&lt;=01_因子設定!$M$7+0.000000001,IF(01_因子設定!$B$20="Box-Behnken",C154^2+D154^2+E154^2&lt;=2+0.000000001,TRUE()))</f>
        <v>1</v>
      </c>
      <c r="U154" s="55" t="n">
        <f aca="false">IF(T154,IF(01_因子設定!$B$13="最大化",R154-01_因子設定!$B$14,IF(01_因子設定!$B$13="最小化",01_因子設定!$B$15-S154,MIN(R154-01_因子設定!$B$14,01_因子設定!$B$15-S154))),-1E+030)</f>
        <v>1.04416024920669</v>
      </c>
      <c r="V154" s="55" t="n">
        <f aca="false">IF(U154&gt;=0,1,0)</f>
        <v>1</v>
      </c>
    </row>
    <row r="155" customFormat="false" ht="15" hidden="false" customHeight="false" outlineLevel="0" collapsed="false">
      <c r="A155" s="0" t="n">
        <v>2</v>
      </c>
      <c r="B155" s="0" t="n">
        <v>0.725</v>
      </c>
      <c r="C155" s="57" t="n">
        <f aca="false">07_最適化!$B$6</f>
        <v>0.625</v>
      </c>
      <c r="D155" s="55" t="n">
        <f aca="false">B155</f>
        <v>0.725</v>
      </c>
      <c r="E155" s="57" t="n">
        <f aca="false">07_最適化!$B$8</f>
        <v>0.625</v>
      </c>
      <c r="F155" s="55" t="n">
        <f aca="false">1</f>
        <v>1</v>
      </c>
      <c r="G155" s="57" t="n">
        <f aca="false">C155</f>
        <v>0.625</v>
      </c>
      <c r="H155" s="55" t="n">
        <f aca="false">D155</f>
        <v>0.725</v>
      </c>
      <c r="I155" s="57" t="n">
        <f aca="false">E155</f>
        <v>0.625</v>
      </c>
      <c r="J155" s="55" t="n">
        <f aca="false">C155*D155</f>
        <v>0.453125</v>
      </c>
      <c r="K155" s="55" t="n">
        <f aca="false">C155*E155</f>
        <v>0.390625</v>
      </c>
      <c r="L155" s="55" t="n">
        <f aca="false">D155*E155</f>
        <v>0.453125</v>
      </c>
      <c r="M155" s="55" t="n">
        <f aca="false">C155*C155</f>
        <v>0.390625</v>
      </c>
      <c r="N155" s="55" t="n">
        <f aca="false">D155*D155</f>
        <v>0.525625</v>
      </c>
      <c r="O155" s="55" t="n">
        <f aca="false">E155*E155</f>
        <v>0.390625</v>
      </c>
      <c r="P155" s="55" t="n">
        <f aca="false">SUMPRODUCT(F155:O155,_XtX!$B$71:$K$71)</f>
        <v>50.5889076704546</v>
      </c>
      <c r="Q155" s="55" t="n">
        <f aca="false">SUMPRODUCT(MMULT(F155:O155,_XtX!$B$58:$K$67),F155:O155)</f>
        <v>0.25829677290483</v>
      </c>
      <c r="R155" s="55" t="n">
        <f aca="false">P155-04_回帰ANOVA!$K$19*04_回帰ANOVA!$K$14*SQRT(1+Q155)</f>
        <v>49.5459704246155</v>
      </c>
      <c r="S155" s="55" t="n">
        <f aca="false">P155+04_回帰ANOVA!$K$19*04_回帰ANOVA!$K$14*SQRT(1+Q155)</f>
        <v>51.6318449162936</v>
      </c>
      <c r="T155" s="54" t="b">
        <f aca="false">AND(C155&gt;=01_因子設定!$L$5-0.000000001,C155&lt;=01_因子設定!$M$5+0.000000001,D155&gt;=01_因子設定!$L$6-0.000000001,D155&lt;=01_因子設定!$M$6+0.000000001,E155&gt;=01_因子設定!$L$7-0.000000001,E155&lt;=01_因子設定!$M$7+0.000000001,IF(01_因子設定!$B$20="Box-Behnken",C155^2+D155^2+E155^2&lt;=2+0.000000001,TRUE()))</f>
        <v>1</v>
      </c>
      <c r="U155" s="55" t="n">
        <f aca="false">IF(T155,IF(01_因子設定!$B$13="最大化",R155-01_因子設定!$B$14,IF(01_因子設定!$B$13="最小化",01_因子設定!$B$15-S155,MIN(R155-01_因子設定!$B$14,01_因子設定!$B$15-S155))),-1E+030)</f>
        <v>1.04597042461552</v>
      </c>
      <c r="V155" s="55" t="n">
        <f aca="false">IF(U155&gt;=0,1,0)</f>
        <v>1</v>
      </c>
    </row>
    <row r="156" customFormat="false" ht="15" hidden="false" customHeight="false" outlineLevel="0" collapsed="false">
      <c r="A156" s="0" t="n">
        <v>2</v>
      </c>
      <c r="B156" s="0" t="n">
        <v>0.75</v>
      </c>
      <c r="C156" s="57" t="n">
        <f aca="false">07_最適化!$B$6</f>
        <v>0.625</v>
      </c>
      <c r="D156" s="55" t="n">
        <f aca="false">B156</f>
        <v>0.75</v>
      </c>
      <c r="E156" s="57" t="n">
        <f aca="false">07_最適化!$B$8</f>
        <v>0.625</v>
      </c>
      <c r="F156" s="55" t="n">
        <f aca="false">1</f>
        <v>1</v>
      </c>
      <c r="G156" s="57" t="n">
        <f aca="false">C156</f>
        <v>0.625</v>
      </c>
      <c r="H156" s="55" t="n">
        <f aca="false">D156</f>
        <v>0.75</v>
      </c>
      <c r="I156" s="57" t="n">
        <f aca="false">E156</f>
        <v>0.625</v>
      </c>
      <c r="J156" s="55" t="n">
        <f aca="false">C156*D156</f>
        <v>0.46875</v>
      </c>
      <c r="K156" s="55" t="n">
        <f aca="false">C156*E156</f>
        <v>0.390625</v>
      </c>
      <c r="L156" s="55" t="n">
        <f aca="false">D156*E156</f>
        <v>0.46875</v>
      </c>
      <c r="M156" s="55" t="n">
        <f aca="false">C156*C156</f>
        <v>0.390625</v>
      </c>
      <c r="N156" s="55" t="n">
        <f aca="false">D156*D156</f>
        <v>0.5625</v>
      </c>
      <c r="O156" s="55" t="n">
        <f aca="false">E156*E156</f>
        <v>0.390625</v>
      </c>
      <c r="P156" s="55" t="n">
        <f aca="false">SUMPRODUCT(F156:O156,_XtX!$B$71:$K$71)</f>
        <v>50.5920738636364</v>
      </c>
      <c r="Q156" s="55" t="n">
        <f aca="false">SUMPRODUCT(MMULT(F156:O156,_XtX!$B$58:$K$67),F156:O156)</f>
        <v>0.268966952237216</v>
      </c>
      <c r="R156" s="55" t="n">
        <f aca="false">P156-04_回帰ANOVA!$K$19*04_回帰ANOVA!$K$14*SQRT(1+Q156)</f>
        <v>49.5447239722584</v>
      </c>
      <c r="S156" s="55" t="n">
        <f aca="false">P156+04_回帰ANOVA!$K$19*04_回帰ANOVA!$K$14*SQRT(1+Q156)</f>
        <v>51.6394237550144</v>
      </c>
      <c r="T156" s="54" t="b">
        <f aca="false">AND(C156&gt;=01_因子設定!$L$5-0.000000001,C156&lt;=01_因子設定!$M$5+0.000000001,D156&gt;=01_因子設定!$L$6-0.000000001,D156&lt;=01_因子設定!$M$6+0.000000001,E156&gt;=01_因子設定!$L$7-0.000000001,E156&lt;=01_因子設定!$M$7+0.000000001,IF(01_因子設定!$B$20="Box-Behnken",C156^2+D156^2+E156^2&lt;=2+0.000000001,TRUE()))</f>
        <v>1</v>
      </c>
      <c r="U156" s="55" t="n">
        <f aca="false">IF(T156,IF(01_因子設定!$B$13="最大化",R156-01_因子設定!$B$14,IF(01_因子設定!$B$13="最小化",01_因子設定!$B$15-S156,MIN(R156-01_因子設定!$B$14,01_因子設定!$B$15-S156))),-1E+030)</f>
        <v>1.04472397225836</v>
      </c>
      <c r="V156" s="55" t="n">
        <f aca="false">IF(U156&gt;=0,1,0)</f>
        <v>1</v>
      </c>
    </row>
    <row r="157" customFormat="false" ht="15" hidden="false" customHeight="false" outlineLevel="0" collapsed="false">
      <c r="A157" s="0" t="n">
        <v>2</v>
      </c>
      <c r="B157" s="0" t="n">
        <v>0.775</v>
      </c>
      <c r="C157" s="57" t="n">
        <f aca="false">07_最適化!$B$6</f>
        <v>0.625</v>
      </c>
      <c r="D157" s="55" t="n">
        <f aca="false">B157</f>
        <v>0.775</v>
      </c>
      <c r="E157" s="57" t="n">
        <f aca="false">07_最適化!$B$8</f>
        <v>0.625</v>
      </c>
      <c r="F157" s="55" t="n">
        <f aca="false">1</f>
        <v>1</v>
      </c>
      <c r="G157" s="57" t="n">
        <f aca="false">C157</f>
        <v>0.625</v>
      </c>
      <c r="H157" s="55" t="n">
        <f aca="false">D157</f>
        <v>0.775</v>
      </c>
      <c r="I157" s="57" t="n">
        <f aca="false">E157</f>
        <v>0.625</v>
      </c>
      <c r="J157" s="55" t="n">
        <f aca="false">C157*D157</f>
        <v>0.484375</v>
      </c>
      <c r="K157" s="55" t="n">
        <f aca="false">C157*E157</f>
        <v>0.390625</v>
      </c>
      <c r="L157" s="55" t="n">
        <f aca="false">D157*E157</f>
        <v>0.484375</v>
      </c>
      <c r="M157" s="55" t="n">
        <f aca="false">C157*C157</f>
        <v>0.390625</v>
      </c>
      <c r="N157" s="55" t="n">
        <f aca="false">D157*D157</f>
        <v>0.600625</v>
      </c>
      <c r="O157" s="55" t="n">
        <f aca="false">E157*E157</f>
        <v>0.390625</v>
      </c>
      <c r="P157" s="55" t="n">
        <f aca="false">SUMPRODUCT(F157:O157,_XtX!$B$71:$K$71)</f>
        <v>50.5927059659091</v>
      </c>
      <c r="Q157" s="55" t="n">
        <f aca="false">SUMPRODUCT(MMULT(F157:O157,_XtX!$B$58:$K$67),F157:O157)</f>
        <v>0.281038605291193</v>
      </c>
      <c r="R157" s="55" t="n">
        <f aca="false">P157-04_回帰ANOVA!$K$19*04_回帰ANOVA!$K$14*SQRT(1+Q157)</f>
        <v>49.5403861586689</v>
      </c>
      <c r="S157" s="55" t="n">
        <f aca="false">P157+04_回帰ANOVA!$K$19*04_回帰ANOVA!$K$14*SQRT(1+Q157)</f>
        <v>51.6450257731493</v>
      </c>
      <c r="T157" s="54" t="b">
        <f aca="false">AND(C157&gt;=01_因子設定!$L$5-0.000000001,C157&lt;=01_因子設定!$M$5+0.000000001,D157&gt;=01_因子設定!$L$6-0.000000001,D157&lt;=01_因子設定!$M$6+0.000000001,E157&gt;=01_因子設定!$L$7-0.000000001,E157&lt;=01_因子設定!$M$7+0.000000001,IF(01_因子設定!$B$20="Box-Behnken",C157^2+D157^2+E157^2&lt;=2+0.000000001,TRUE()))</f>
        <v>1</v>
      </c>
      <c r="U157" s="55" t="n">
        <f aca="false">IF(T157,IF(01_因子設定!$B$13="最大化",R157-01_因子設定!$B$14,IF(01_因子設定!$B$13="最小化",01_因子設定!$B$15-S157,MIN(R157-01_因子設定!$B$14,01_因子設定!$B$15-S157))),-1E+030)</f>
        <v>1.04038615866892</v>
      </c>
      <c r="V157" s="55" t="n">
        <f aca="false">IF(U157&gt;=0,1,0)</f>
        <v>1</v>
      </c>
    </row>
    <row r="158" customFormat="false" ht="15" hidden="false" customHeight="false" outlineLevel="0" collapsed="false">
      <c r="A158" s="0" t="n">
        <v>2</v>
      </c>
      <c r="B158" s="0" t="n">
        <v>0.8</v>
      </c>
      <c r="C158" s="57" t="n">
        <f aca="false">07_最適化!$B$6</f>
        <v>0.625</v>
      </c>
      <c r="D158" s="55" t="n">
        <f aca="false">B158</f>
        <v>0.8</v>
      </c>
      <c r="E158" s="57" t="n">
        <f aca="false">07_最適化!$B$8</f>
        <v>0.625</v>
      </c>
      <c r="F158" s="55" t="n">
        <f aca="false">1</f>
        <v>1</v>
      </c>
      <c r="G158" s="57" t="n">
        <f aca="false">C158</f>
        <v>0.625</v>
      </c>
      <c r="H158" s="55" t="n">
        <f aca="false">D158</f>
        <v>0.8</v>
      </c>
      <c r="I158" s="57" t="n">
        <f aca="false">E158</f>
        <v>0.625</v>
      </c>
      <c r="J158" s="55" t="n">
        <f aca="false">C158*D158</f>
        <v>0.5</v>
      </c>
      <c r="K158" s="55" t="n">
        <f aca="false">C158*E158</f>
        <v>0.390625</v>
      </c>
      <c r="L158" s="55" t="n">
        <f aca="false">D158*E158</f>
        <v>0.5</v>
      </c>
      <c r="M158" s="55" t="n">
        <f aca="false">C158*C158</f>
        <v>0.390625</v>
      </c>
      <c r="N158" s="55" t="n">
        <f aca="false">D158*D158</f>
        <v>0.64</v>
      </c>
      <c r="O158" s="55" t="n">
        <f aca="false">E158*E158</f>
        <v>0.390625</v>
      </c>
      <c r="P158" s="55" t="n">
        <f aca="false">SUMPRODUCT(F158:O158,_XtX!$B$71:$K$71)</f>
        <v>50.5908039772727</v>
      </c>
      <c r="Q158" s="55" t="n">
        <f aca="false">SUMPRODUCT(MMULT(F158:O158,_XtX!$B$58:$K$67),F158:O158)</f>
        <v>0.294615709339489</v>
      </c>
      <c r="R158" s="55" t="n">
        <f aca="false">P158-04_回帰ANOVA!$K$19*04_回帰ANOVA!$K$14*SQRT(1+Q158)</f>
        <v>49.5329223554615</v>
      </c>
      <c r="S158" s="55" t="n">
        <f aca="false">P158+04_回帰ANOVA!$K$19*04_回帰ANOVA!$K$14*SQRT(1+Q158)</f>
        <v>51.648685599084</v>
      </c>
      <c r="T158" s="54" t="b">
        <f aca="false">AND(C158&gt;=01_因子設定!$L$5-0.000000001,C158&lt;=01_因子設定!$M$5+0.000000001,D158&gt;=01_因子設定!$L$6-0.000000001,D158&lt;=01_因子設定!$M$6+0.000000001,E158&gt;=01_因子設定!$L$7-0.000000001,E158&lt;=01_因子設定!$M$7+0.000000001,IF(01_因子設定!$B$20="Box-Behnken",C158^2+D158^2+E158^2&lt;=2+0.000000001,TRUE()))</f>
        <v>1</v>
      </c>
      <c r="U158" s="55" t="n">
        <f aca="false">IF(T158,IF(01_因子設定!$B$13="最大化",R158-01_因子設定!$B$14,IF(01_因子設定!$B$13="最小化",01_因子設定!$B$15-S158,MIN(R158-01_因子設定!$B$14,01_因子設定!$B$15-S158))),-1E+030)</f>
        <v>1.03292235546152</v>
      </c>
      <c r="V158" s="55" t="n">
        <f aca="false">IF(U158&gt;=0,1,0)</f>
        <v>1</v>
      </c>
    </row>
    <row r="159" customFormat="false" ht="15" hidden="false" customHeight="false" outlineLevel="0" collapsed="false">
      <c r="A159" s="0" t="n">
        <v>2</v>
      </c>
      <c r="B159" s="0" t="n">
        <v>0.825</v>
      </c>
      <c r="C159" s="57" t="n">
        <f aca="false">07_最適化!$B$6</f>
        <v>0.625</v>
      </c>
      <c r="D159" s="55" t="n">
        <f aca="false">B159</f>
        <v>0.825</v>
      </c>
      <c r="E159" s="57" t="n">
        <f aca="false">07_最適化!$B$8</f>
        <v>0.625</v>
      </c>
      <c r="F159" s="55" t="n">
        <f aca="false">1</f>
        <v>1</v>
      </c>
      <c r="G159" s="57" t="n">
        <f aca="false">C159</f>
        <v>0.625</v>
      </c>
      <c r="H159" s="55" t="n">
        <f aca="false">D159</f>
        <v>0.825</v>
      </c>
      <c r="I159" s="57" t="n">
        <f aca="false">E159</f>
        <v>0.625</v>
      </c>
      <c r="J159" s="55" t="n">
        <f aca="false">C159*D159</f>
        <v>0.515625</v>
      </c>
      <c r="K159" s="55" t="n">
        <f aca="false">C159*E159</f>
        <v>0.390625</v>
      </c>
      <c r="L159" s="55" t="n">
        <f aca="false">D159*E159</f>
        <v>0.515625</v>
      </c>
      <c r="M159" s="55" t="n">
        <f aca="false">C159*C159</f>
        <v>0.390625</v>
      </c>
      <c r="N159" s="55" t="n">
        <f aca="false">D159*D159</f>
        <v>0.680625</v>
      </c>
      <c r="O159" s="55" t="n">
        <f aca="false">E159*E159</f>
        <v>0.390625</v>
      </c>
      <c r="P159" s="55" t="n">
        <f aca="false">SUMPRODUCT(F159:O159,_XtX!$B$71:$K$71)</f>
        <v>50.5863678977273</v>
      </c>
      <c r="Q159" s="55" t="n">
        <f aca="false">SUMPRODUCT(MMULT(F159:O159,_XtX!$B$58:$K$67),F159:O159)</f>
        <v>0.309805650745739</v>
      </c>
      <c r="R159" s="55" t="n">
        <f aca="false">P159-04_回帰ANOVA!$K$19*04_回帰ANOVA!$K$14*SQRT(1+Q159)</f>
        <v>49.5222982238492</v>
      </c>
      <c r="S159" s="55" t="n">
        <f aca="false">P159+04_回帰ANOVA!$K$19*04_回帰ANOVA!$K$14*SQRT(1+Q159)</f>
        <v>51.6504375716054</v>
      </c>
      <c r="T159" s="54" t="b">
        <f aca="false">AND(C159&gt;=01_因子設定!$L$5-0.000000001,C159&lt;=01_因子設定!$M$5+0.000000001,D159&gt;=01_因子設定!$L$6-0.000000001,D159&lt;=01_因子設定!$M$6+0.000000001,E159&gt;=01_因子設定!$L$7-0.000000001,E159&lt;=01_因子設定!$M$7+0.000000001,IF(01_因子設定!$B$20="Box-Behnken",C159^2+D159^2+E159^2&lt;=2+0.000000001,TRUE()))</f>
        <v>1</v>
      </c>
      <c r="U159" s="55" t="n">
        <f aca="false">IF(T159,IF(01_因子設定!$B$13="最大化",R159-01_因子設定!$B$14,IF(01_因子設定!$B$13="最小化",01_因子設定!$B$15-S159,MIN(R159-01_因子設定!$B$14,01_因子設定!$B$15-S159))),-1E+030)</f>
        <v>1.02229822384916</v>
      </c>
      <c r="V159" s="55" t="n">
        <f aca="false">IF(U159&gt;=0,1,0)</f>
        <v>1</v>
      </c>
    </row>
    <row r="160" customFormat="false" ht="15" hidden="false" customHeight="false" outlineLevel="0" collapsed="false">
      <c r="A160" s="0" t="n">
        <v>2</v>
      </c>
      <c r="B160" s="0" t="n">
        <v>0.85</v>
      </c>
      <c r="C160" s="57" t="n">
        <f aca="false">07_最適化!$B$6</f>
        <v>0.625</v>
      </c>
      <c r="D160" s="55" t="n">
        <f aca="false">B160</f>
        <v>0.85</v>
      </c>
      <c r="E160" s="57" t="n">
        <f aca="false">07_最適化!$B$8</f>
        <v>0.625</v>
      </c>
      <c r="F160" s="55" t="n">
        <f aca="false">1</f>
        <v>1</v>
      </c>
      <c r="G160" s="57" t="n">
        <f aca="false">C160</f>
        <v>0.625</v>
      </c>
      <c r="H160" s="55" t="n">
        <f aca="false">D160</f>
        <v>0.85</v>
      </c>
      <c r="I160" s="57" t="n">
        <f aca="false">E160</f>
        <v>0.625</v>
      </c>
      <c r="J160" s="55" t="n">
        <f aca="false">C160*D160</f>
        <v>0.53125</v>
      </c>
      <c r="K160" s="55" t="n">
        <f aca="false">C160*E160</f>
        <v>0.390625</v>
      </c>
      <c r="L160" s="55" t="n">
        <f aca="false">D160*E160</f>
        <v>0.53125</v>
      </c>
      <c r="M160" s="55" t="n">
        <f aca="false">C160*C160</f>
        <v>0.390625</v>
      </c>
      <c r="N160" s="55" t="n">
        <f aca="false">D160*D160</f>
        <v>0.7225</v>
      </c>
      <c r="O160" s="55" t="n">
        <f aca="false">E160*E160</f>
        <v>0.390625</v>
      </c>
      <c r="P160" s="55" t="n">
        <f aca="false">SUMPRODUCT(F160:O160,_XtX!$B$71:$K$71)</f>
        <v>50.5793977272727</v>
      </c>
      <c r="Q160" s="55" t="n">
        <f aca="false">SUMPRODUCT(MMULT(F160:O160,_XtX!$B$58:$K$67),F160:O160)</f>
        <v>0.326719224964489</v>
      </c>
      <c r="R160" s="55" t="n">
        <f aca="false">P160-04_回帰ANOVA!$K$19*04_回帰ANOVA!$K$14*SQRT(1+Q160)</f>
        <v>49.5084799023733</v>
      </c>
      <c r="S160" s="55" t="n">
        <f aca="false">P160+04_回帰ANOVA!$K$19*04_回帰ANOVA!$K$14*SQRT(1+Q160)</f>
        <v>51.6503155521722</v>
      </c>
      <c r="T160" s="54" t="b">
        <f aca="false">AND(C160&gt;=01_因子設定!$L$5-0.000000001,C160&lt;=01_因子設定!$M$5+0.000000001,D160&gt;=01_因子設定!$L$6-0.000000001,D160&lt;=01_因子設定!$M$6+0.000000001,E160&gt;=01_因子設定!$L$7-0.000000001,E160&lt;=01_因子設定!$M$7+0.000000001,IF(01_因子設定!$B$20="Box-Behnken",C160^2+D160^2+E160^2&lt;=2+0.000000001,TRUE()))</f>
        <v>1</v>
      </c>
      <c r="U160" s="55" t="n">
        <f aca="false">IF(T160,IF(01_因子設定!$B$13="最大化",R160-01_因子設定!$B$14,IF(01_因子設定!$B$13="最小化",01_因子設定!$B$15-S160,MIN(R160-01_因子設定!$B$14,01_因子設定!$B$15-S160))),-1E+030)</f>
        <v>1.00847990237331</v>
      </c>
      <c r="V160" s="55" t="n">
        <f aca="false">IF(U160&gt;=0,1,0)</f>
        <v>1</v>
      </c>
    </row>
    <row r="161" customFormat="false" ht="15" hidden="false" customHeight="false" outlineLevel="0" collapsed="false">
      <c r="A161" s="0" t="n">
        <v>2</v>
      </c>
      <c r="B161" s="0" t="n">
        <v>0.875</v>
      </c>
      <c r="C161" s="57" t="n">
        <f aca="false">07_最適化!$B$6</f>
        <v>0.625</v>
      </c>
      <c r="D161" s="55" t="n">
        <f aca="false">B161</f>
        <v>0.875</v>
      </c>
      <c r="E161" s="57" t="n">
        <f aca="false">07_最適化!$B$8</f>
        <v>0.625</v>
      </c>
      <c r="F161" s="55" t="n">
        <f aca="false">1</f>
        <v>1</v>
      </c>
      <c r="G161" s="57" t="n">
        <f aca="false">C161</f>
        <v>0.625</v>
      </c>
      <c r="H161" s="55" t="n">
        <f aca="false">D161</f>
        <v>0.875</v>
      </c>
      <c r="I161" s="57" t="n">
        <f aca="false">E161</f>
        <v>0.625</v>
      </c>
      <c r="J161" s="55" t="n">
        <f aca="false">C161*D161</f>
        <v>0.546875</v>
      </c>
      <c r="K161" s="55" t="n">
        <f aca="false">C161*E161</f>
        <v>0.390625</v>
      </c>
      <c r="L161" s="55" t="n">
        <f aca="false">D161*E161</f>
        <v>0.546875</v>
      </c>
      <c r="M161" s="55" t="n">
        <f aca="false">C161*C161</f>
        <v>0.390625</v>
      </c>
      <c r="N161" s="55" t="n">
        <f aca="false">D161*D161</f>
        <v>0.765625</v>
      </c>
      <c r="O161" s="55" t="n">
        <f aca="false">E161*E161</f>
        <v>0.390625</v>
      </c>
      <c r="P161" s="55" t="n">
        <f aca="false">SUMPRODUCT(F161:O161,_XtX!$B$71:$K$71)</f>
        <v>50.5698934659091</v>
      </c>
      <c r="Q161" s="55" t="n">
        <f aca="false">SUMPRODUCT(MMULT(F161:O161,_XtX!$B$58:$K$67),F161:O161)</f>
        <v>0.345470636541193</v>
      </c>
      <c r="R161" s="55" t="n">
        <f aca="false">P161-04_回帰ANOVA!$K$19*04_回帰ANOVA!$K$14*SQRT(1+Q161)</f>
        <v>49.4914341950768</v>
      </c>
      <c r="S161" s="55" t="n">
        <f aca="false">P161+04_回帰ANOVA!$K$19*04_回帰ANOVA!$K$14*SQRT(1+Q161)</f>
        <v>51.6483527367414</v>
      </c>
      <c r="T161" s="54" t="b">
        <f aca="false">AND(C161&gt;=01_因子設定!$L$5-0.000000001,C161&lt;=01_因子設定!$M$5+0.000000001,D161&gt;=01_因子設定!$L$6-0.000000001,D161&lt;=01_因子設定!$M$6+0.000000001,E161&gt;=01_因子設定!$L$7-0.000000001,E161&lt;=01_因子設定!$M$7+0.000000001,IF(01_因子設定!$B$20="Box-Behnken",C161^2+D161^2+E161^2&lt;=2+0.000000001,TRUE()))</f>
        <v>1</v>
      </c>
      <c r="U161" s="55" t="n">
        <f aca="false">IF(T161,IF(01_因子設定!$B$13="最大化",R161-01_因子設定!$B$14,IF(01_因子設定!$B$13="最小化",01_因子設定!$B$15-S161,MIN(R161-01_因子設定!$B$14,01_因子設定!$B$15-S161))),-1E+030)</f>
        <v>0.991434195076835</v>
      </c>
      <c r="V161" s="55" t="n">
        <f aca="false">IF(U161&gt;=0,1,0)</f>
        <v>1</v>
      </c>
    </row>
    <row r="162" customFormat="false" ht="15" hidden="false" customHeight="false" outlineLevel="0" collapsed="false">
      <c r="A162" s="0" t="n">
        <v>2</v>
      </c>
      <c r="B162" s="0" t="n">
        <v>0.9</v>
      </c>
      <c r="C162" s="57" t="n">
        <f aca="false">07_最適化!$B$6</f>
        <v>0.625</v>
      </c>
      <c r="D162" s="55" t="n">
        <f aca="false">B162</f>
        <v>0.9</v>
      </c>
      <c r="E162" s="57" t="n">
        <f aca="false">07_最適化!$B$8</f>
        <v>0.625</v>
      </c>
      <c r="F162" s="55" t="n">
        <f aca="false">1</f>
        <v>1</v>
      </c>
      <c r="G162" s="57" t="n">
        <f aca="false">C162</f>
        <v>0.625</v>
      </c>
      <c r="H162" s="55" t="n">
        <f aca="false">D162</f>
        <v>0.9</v>
      </c>
      <c r="I162" s="57" t="n">
        <f aca="false">E162</f>
        <v>0.625</v>
      </c>
      <c r="J162" s="55" t="n">
        <f aca="false">C162*D162</f>
        <v>0.5625</v>
      </c>
      <c r="K162" s="55" t="n">
        <f aca="false">C162*E162</f>
        <v>0.390625</v>
      </c>
      <c r="L162" s="55" t="n">
        <f aca="false">D162*E162</f>
        <v>0.5625</v>
      </c>
      <c r="M162" s="55" t="n">
        <f aca="false">C162*C162</f>
        <v>0.390625</v>
      </c>
      <c r="N162" s="55" t="n">
        <f aca="false">D162*D162</f>
        <v>0.81</v>
      </c>
      <c r="O162" s="55" t="n">
        <f aca="false">E162*E162</f>
        <v>0.390625</v>
      </c>
      <c r="P162" s="55" t="n">
        <f aca="false">SUMPRODUCT(F162:O162,_XtX!$B$71:$K$71)</f>
        <v>50.5578551136364</v>
      </c>
      <c r="Q162" s="55" t="n">
        <f aca="false">SUMPRODUCT(MMULT(F162:O162,_XtX!$B$58:$K$67),F162:O162)</f>
        <v>0.366177499112216</v>
      </c>
      <c r="R162" s="55" t="n">
        <f aca="false">P162-04_回帰ANOVA!$K$19*04_回帰ANOVA!$K$14*SQRT(1+Q162)</f>
        <v>49.4711287571424</v>
      </c>
      <c r="S162" s="55" t="n">
        <f aca="false">P162+04_回帰ANOVA!$K$19*04_回帰ANOVA!$K$14*SQRT(1+Q162)</f>
        <v>51.6445814701304</v>
      </c>
      <c r="T162" s="54" t="b">
        <f aca="false">AND(C162&gt;=01_因子設定!$L$5-0.000000001,C162&lt;=01_因子設定!$M$5+0.000000001,D162&gt;=01_因子設定!$L$6-0.000000001,D162&lt;=01_因子設定!$M$6+0.000000001,E162&gt;=01_因子設定!$L$7-0.000000001,E162&lt;=01_因子設定!$M$7+0.000000001,IF(01_因子設定!$B$20="Box-Behnken",C162^2+D162^2+E162^2&lt;=2+0.000000001,TRUE()))</f>
        <v>1</v>
      </c>
      <c r="U162" s="55" t="n">
        <f aca="false">IF(T162,IF(01_因子設定!$B$13="最大化",R162-01_因子設定!$B$14,IF(01_因子設定!$B$13="最小化",01_因子設定!$B$15-S162,MIN(R162-01_因子設定!$B$14,01_因子設定!$B$15-S162))),-1E+030)</f>
        <v>0.971128757142367</v>
      </c>
      <c r="V162" s="55" t="n">
        <f aca="false">IF(U162&gt;=0,1,0)</f>
        <v>1</v>
      </c>
    </row>
    <row r="163" customFormat="false" ht="15" hidden="false" customHeight="false" outlineLevel="0" collapsed="false">
      <c r="A163" s="0" t="n">
        <v>2</v>
      </c>
      <c r="B163" s="0" t="n">
        <v>0.925</v>
      </c>
      <c r="C163" s="57" t="n">
        <f aca="false">07_最適化!$B$6</f>
        <v>0.625</v>
      </c>
      <c r="D163" s="55" t="n">
        <f aca="false">B163</f>
        <v>0.925</v>
      </c>
      <c r="E163" s="57" t="n">
        <f aca="false">07_最適化!$B$8</f>
        <v>0.625</v>
      </c>
      <c r="F163" s="55" t="n">
        <f aca="false">1</f>
        <v>1</v>
      </c>
      <c r="G163" s="57" t="n">
        <f aca="false">C163</f>
        <v>0.625</v>
      </c>
      <c r="H163" s="55" t="n">
        <f aca="false">D163</f>
        <v>0.925</v>
      </c>
      <c r="I163" s="57" t="n">
        <f aca="false">E163</f>
        <v>0.625</v>
      </c>
      <c r="J163" s="55" t="n">
        <f aca="false">C163*D163</f>
        <v>0.578125</v>
      </c>
      <c r="K163" s="55" t="n">
        <f aca="false">C163*E163</f>
        <v>0.390625</v>
      </c>
      <c r="L163" s="55" t="n">
        <f aca="false">D163*E163</f>
        <v>0.578125</v>
      </c>
      <c r="M163" s="55" t="n">
        <f aca="false">C163*C163</f>
        <v>0.390625</v>
      </c>
      <c r="N163" s="55" t="n">
        <f aca="false">D163*D163</f>
        <v>0.855625</v>
      </c>
      <c r="O163" s="55" t="n">
        <f aca="false">E163*E163</f>
        <v>0.390625</v>
      </c>
      <c r="P163" s="55" t="n">
        <f aca="false">SUMPRODUCT(F163:O163,_XtX!$B$71:$K$71)</f>
        <v>50.5432826704546</v>
      </c>
      <c r="Q163" s="55" t="n">
        <f aca="false">SUMPRODUCT(MMULT(F163:O163,_XtX!$B$58:$K$67),F163:O163)</f>
        <v>0.38896083540483</v>
      </c>
      <c r="R163" s="55" t="n">
        <f aca="false">P163-04_回帰ANOVA!$K$19*04_回帰ANOVA!$K$14*SQRT(1+Q163)</f>
        <v>49.4475322749007</v>
      </c>
      <c r="S163" s="55" t="n">
        <f aca="false">P163+04_回帰ANOVA!$K$19*04_回帰ANOVA!$K$14*SQRT(1+Q163)</f>
        <v>51.6390330660084</v>
      </c>
      <c r="T163" s="54" t="b">
        <f aca="false">AND(C163&gt;=01_因子設定!$L$5-0.000000001,C163&lt;=01_因子設定!$M$5+0.000000001,D163&gt;=01_因子設定!$L$6-0.000000001,D163&lt;=01_因子設定!$M$6+0.000000001,E163&gt;=01_因子設定!$L$7-0.000000001,E163&lt;=01_因子設定!$M$7+0.000000001,IF(01_因子設定!$B$20="Box-Behnken",C163^2+D163^2+E163^2&lt;=2+0.000000001,TRUE()))</f>
        <v>1</v>
      </c>
      <c r="U163" s="55" t="n">
        <f aca="false">IF(T163,IF(01_因子設定!$B$13="最大化",R163-01_因子設定!$B$14,IF(01_因子設定!$B$13="最小化",01_因子設定!$B$15-S163,MIN(R163-01_因子設定!$B$14,01_因子設定!$B$15-S163))),-1E+030)</f>
        <v>0.947532274900702</v>
      </c>
      <c r="V163" s="55" t="n">
        <f aca="false">IF(U163&gt;=0,1,0)</f>
        <v>1</v>
      </c>
    </row>
    <row r="164" customFormat="false" ht="15" hidden="false" customHeight="false" outlineLevel="0" collapsed="false">
      <c r="A164" s="0" t="n">
        <v>2</v>
      </c>
      <c r="B164" s="0" t="n">
        <v>0.95</v>
      </c>
      <c r="C164" s="57" t="n">
        <f aca="false">07_最適化!$B$6</f>
        <v>0.625</v>
      </c>
      <c r="D164" s="55" t="n">
        <f aca="false">B164</f>
        <v>0.95</v>
      </c>
      <c r="E164" s="57" t="n">
        <f aca="false">07_最適化!$B$8</f>
        <v>0.625</v>
      </c>
      <c r="F164" s="55" t="n">
        <f aca="false">1</f>
        <v>1</v>
      </c>
      <c r="G164" s="57" t="n">
        <f aca="false">C164</f>
        <v>0.625</v>
      </c>
      <c r="H164" s="55" t="n">
        <f aca="false">D164</f>
        <v>0.95</v>
      </c>
      <c r="I164" s="57" t="n">
        <f aca="false">E164</f>
        <v>0.625</v>
      </c>
      <c r="J164" s="55" t="n">
        <f aca="false">C164*D164</f>
        <v>0.59375</v>
      </c>
      <c r="K164" s="55" t="n">
        <f aca="false">C164*E164</f>
        <v>0.390625</v>
      </c>
      <c r="L164" s="55" t="n">
        <f aca="false">D164*E164</f>
        <v>0.59375</v>
      </c>
      <c r="M164" s="55" t="n">
        <f aca="false">C164*C164</f>
        <v>0.390625</v>
      </c>
      <c r="N164" s="55" t="n">
        <f aca="false">D164*D164</f>
        <v>0.9025</v>
      </c>
      <c r="O164" s="55" t="n">
        <f aca="false">E164*E164</f>
        <v>0.390625</v>
      </c>
      <c r="P164" s="55" t="n">
        <f aca="false">SUMPRODUCT(F164:O164,_XtX!$B$71:$K$71)</f>
        <v>50.5261761363636</v>
      </c>
      <c r="Q164" s="55" t="n">
        <f aca="false">SUMPRODUCT(MMULT(F164:O164,_XtX!$B$58:$K$67),F164:O164)</f>
        <v>0.413945077237216</v>
      </c>
      <c r="R164" s="55" t="n">
        <f aca="false">P164-04_回帰ANOVA!$K$19*04_回帰ANOVA!$K$14*SQRT(1+Q164)</f>
        <v>49.4206146370946</v>
      </c>
      <c r="S164" s="55" t="n">
        <f aca="false">P164+04_回帰ANOVA!$K$19*04_回帰ANOVA!$K$14*SQRT(1+Q164)</f>
        <v>51.6317376356327</v>
      </c>
      <c r="T164" s="54" t="b">
        <f aca="false">AND(C164&gt;=01_因子設定!$L$5-0.000000001,C164&lt;=01_因子設定!$M$5+0.000000001,D164&gt;=01_因子設定!$L$6-0.000000001,D164&lt;=01_因子設定!$M$6+0.000000001,E164&gt;=01_因子設定!$L$7-0.000000001,E164&lt;=01_因子設定!$M$7+0.000000001,IF(01_因子設定!$B$20="Box-Behnken",C164^2+D164^2+E164^2&lt;=2+0.000000001,TRUE()))</f>
        <v>1</v>
      </c>
      <c r="U164" s="55" t="n">
        <f aca="false">IF(T164,IF(01_因子設定!$B$13="最大化",R164-01_因子設定!$B$14,IF(01_因子設定!$B$13="最小化",01_因子設定!$B$15-S164,MIN(R164-01_因子設定!$B$14,01_因子設定!$B$15-S164))),-1E+030)</f>
        <v>0.920614637094552</v>
      </c>
      <c r="V164" s="55" t="n">
        <f aca="false">IF(U164&gt;=0,1,0)</f>
        <v>1</v>
      </c>
    </row>
    <row r="165" customFormat="false" ht="15" hidden="false" customHeight="false" outlineLevel="0" collapsed="false">
      <c r="A165" s="0" t="n">
        <v>2</v>
      </c>
      <c r="B165" s="0" t="n">
        <v>0.975</v>
      </c>
      <c r="C165" s="57" t="n">
        <f aca="false">07_最適化!$B$6</f>
        <v>0.625</v>
      </c>
      <c r="D165" s="55" t="n">
        <f aca="false">B165</f>
        <v>0.975</v>
      </c>
      <c r="E165" s="57" t="n">
        <f aca="false">07_最適化!$B$8</f>
        <v>0.625</v>
      </c>
      <c r="F165" s="55" t="n">
        <f aca="false">1</f>
        <v>1</v>
      </c>
      <c r="G165" s="57" t="n">
        <f aca="false">C165</f>
        <v>0.625</v>
      </c>
      <c r="H165" s="55" t="n">
        <f aca="false">D165</f>
        <v>0.975</v>
      </c>
      <c r="I165" s="57" t="n">
        <f aca="false">E165</f>
        <v>0.625</v>
      </c>
      <c r="J165" s="55" t="n">
        <f aca="false">C165*D165</f>
        <v>0.609375</v>
      </c>
      <c r="K165" s="55" t="n">
        <f aca="false">C165*E165</f>
        <v>0.390625</v>
      </c>
      <c r="L165" s="55" t="n">
        <f aca="false">D165*E165</f>
        <v>0.609375</v>
      </c>
      <c r="M165" s="55" t="n">
        <f aca="false">C165*C165</f>
        <v>0.390625</v>
      </c>
      <c r="N165" s="55" t="n">
        <f aca="false">D165*D165</f>
        <v>0.950625</v>
      </c>
      <c r="O165" s="55" t="n">
        <f aca="false">E165*E165</f>
        <v>0.390625</v>
      </c>
      <c r="P165" s="55" t="n">
        <f aca="false">SUMPRODUCT(F165:O165,_XtX!$B$71:$K$71)</f>
        <v>50.5065355113637</v>
      </c>
      <c r="Q165" s="55" t="n">
        <f aca="false">SUMPRODUCT(MMULT(F165:O165,_XtX!$B$58:$K$67),F165:O165)</f>
        <v>0.441258065518466</v>
      </c>
      <c r="R165" s="55" t="n">
        <f aca="false">P165-04_回帰ANOVA!$K$19*04_回帰ANOVA!$K$14*SQRT(1+Q165)</f>
        <v>49.3903470943746</v>
      </c>
      <c r="S165" s="55" t="n">
        <f aca="false">P165+04_回帰ANOVA!$K$19*04_回帰ANOVA!$K$14*SQRT(1+Q165)</f>
        <v>51.6227239283527</v>
      </c>
      <c r="T165" s="54" t="b">
        <f aca="false">AND(C165&gt;=01_因子設定!$L$5-0.000000001,C165&lt;=01_因子設定!$M$5+0.000000001,D165&gt;=01_因子設定!$L$6-0.000000001,D165&lt;=01_因子設定!$M$6+0.000000001,E165&gt;=01_因子設定!$L$7-0.000000001,E165&lt;=01_因子設定!$M$7+0.000000001,IF(01_因子設定!$B$20="Box-Behnken",C165^2+D165^2+E165^2&lt;=2+0.000000001,TRUE()))</f>
        <v>1</v>
      </c>
      <c r="U165" s="55" t="n">
        <f aca="false">IF(T165,IF(01_因子設定!$B$13="最大化",R165-01_因子設定!$B$14,IF(01_因子設定!$B$13="最小化",01_因子設定!$B$15-S165,MIN(R165-01_因子設定!$B$14,01_因子設定!$B$15-S165))),-1E+030)</f>
        <v>0.890347094374583</v>
      </c>
      <c r="V165" s="55" t="n">
        <f aca="false">IF(U165&gt;=0,1,0)</f>
        <v>1</v>
      </c>
    </row>
    <row r="166" customFormat="false" ht="15" hidden="false" customHeight="false" outlineLevel="0" collapsed="false">
      <c r="A166" s="0" t="n">
        <v>2</v>
      </c>
      <c r="B166" s="0" t="n">
        <v>1</v>
      </c>
      <c r="C166" s="57" t="n">
        <f aca="false">07_最適化!$B$6</f>
        <v>0.625</v>
      </c>
      <c r="D166" s="55" t="n">
        <f aca="false">B166</f>
        <v>1</v>
      </c>
      <c r="E166" s="57" t="n">
        <f aca="false">07_最適化!$B$8</f>
        <v>0.625</v>
      </c>
      <c r="F166" s="55" t="n">
        <f aca="false">1</f>
        <v>1</v>
      </c>
      <c r="G166" s="57" t="n">
        <f aca="false">C166</f>
        <v>0.625</v>
      </c>
      <c r="H166" s="55" t="n">
        <f aca="false">D166</f>
        <v>1</v>
      </c>
      <c r="I166" s="57" t="n">
        <f aca="false">E166</f>
        <v>0.625</v>
      </c>
      <c r="J166" s="55" t="n">
        <f aca="false">C166*D166</f>
        <v>0.625</v>
      </c>
      <c r="K166" s="55" t="n">
        <f aca="false">C166*E166</f>
        <v>0.390625</v>
      </c>
      <c r="L166" s="55" t="n">
        <f aca="false">D166*E166</f>
        <v>0.625</v>
      </c>
      <c r="M166" s="55" t="n">
        <f aca="false">C166*C166</f>
        <v>0.390625</v>
      </c>
      <c r="N166" s="55" t="n">
        <f aca="false">D166*D166</f>
        <v>1</v>
      </c>
      <c r="O166" s="55" t="n">
        <f aca="false">E166*E166</f>
        <v>0.390625</v>
      </c>
      <c r="P166" s="55" t="n">
        <f aca="false">SUMPRODUCT(F166:O166,_XtX!$B$71:$K$71)</f>
        <v>50.4843607954546</v>
      </c>
      <c r="Q166" s="55" t="n">
        <f aca="false">SUMPRODUCT(MMULT(F166:O166,_XtX!$B$58:$K$67),F166:O166)</f>
        <v>0.47103105024858</v>
      </c>
      <c r="R166" s="55" t="n">
        <f aca="false">P166-04_回帰ANOVA!$K$19*04_回帰ANOVA!$K$14*SQRT(1+Q166)</f>
        <v>49.3567024042047</v>
      </c>
      <c r="S166" s="55" t="n">
        <f aca="false">P166+04_回帰ANOVA!$K$19*04_回帰ANOVA!$K$14*SQRT(1+Q166)</f>
        <v>51.6120191867045</v>
      </c>
      <c r="T166" s="54" t="b">
        <f aca="false">AND(C166&gt;=01_因子設定!$L$5-0.000000001,C166&lt;=01_因子設定!$M$5+0.000000001,D166&gt;=01_因子設定!$L$6-0.000000001,D166&lt;=01_因子設定!$M$6+0.000000001,E166&gt;=01_因子設定!$L$7-0.000000001,E166&lt;=01_因子設定!$M$7+0.000000001,IF(01_因子設定!$B$20="Box-Behnken",C166^2+D166^2+E166^2&lt;=2+0.000000001,TRUE()))</f>
        <v>1</v>
      </c>
      <c r="U166" s="55" t="n">
        <f aca="false">IF(T166,IF(01_因子設定!$B$13="最大化",R166-01_因子設定!$B$14,IF(01_因子設定!$B$13="最小化",01_因子設定!$B$15-S166,MIN(R166-01_因子設定!$B$14,01_因子設定!$B$15-S166))),-1E+030)</f>
        <v>0.856702404204654</v>
      </c>
      <c r="V166" s="55" t="n">
        <f aca="false">IF(U166&gt;=0,1,0)</f>
        <v>1</v>
      </c>
    </row>
    <row r="167" customFormat="false" ht="15" hidden="false" customHeight="false" outlineLevel="0" collapsed="false">
      <c r="A167" s="0" t="n">
        <v>3</v>
      </c>
      <c r="B167" s="0" t="n">
        <v>-1</v>
      </c>
      <c r="C167" s="57" t="n">
        <f aca="false">07_最適化!$B$6</f>
        <v>0.625</v>
      </c>
      <c r="D167" s="57" t="n">
        <f aca="false">07_最適化!$B$7</f>
        <v>0.75</v>
      </c>
      <c r="E167" s="55" t="n">
        <f aca="false">B167</f>
        <v>-1</v>
      </c>
      <c r="F167" s="55" t="n">
        <f aca="false">1</f>
        <v>1</v>
      </c>
      <c r="G167" s="57" t="n">
        <f aca="false">C167</f>
        <v>0.625</v>
      </c>
      <c r="H167" s="57" t="n">
        <f aca="false">D167</f>
        <v>0.75</v>
      </c>
      <c r="I167" s="55" t="n">
        <f aca="false">E167</f>
        <v>-1</v>
      </c>
      <c r="J167" s="55" t="n">
        <f aca="false">C167*D167</f>
        <v>0.46875</v>
      </c>
      <c r="K167" s="55" t="n">
        <f aca="false">C167*E167</f>
        <v>-0.625</v>
      </c>
      <c r="L167" s="55" t="n">
        <f aca="false">D167*E167</f>
        <v>-0.75</v>
      </c>
      <c r="M167" s="55" t="n">
        <f aca="false">C167*C167</f>
        <v>0.390625</v>
      </c>
      <c r="N167" s="55" t="n">
        <f aca="false">D167*D167</f>
        <v>0.5625</v>
      </c>
      <c r="O167" s="55" t="n">
        <f aca="false">E167*E167</f>
        <v>1</v>
      </c>
      <c r="P167" s="55" t="n">
        <f aca="false">SUMPRODUCT(F167:O167,_XtX!$B$71:$K$71)</f>
        <v>47.2360795454546</v>
      </c>
      <c r="Q167" s="55" t="n">
        <f aca="false">SUMPRODUCT(MMULT(F167:O167,_XtX!$B$58:$K$67),F167:O167)</f>
        <v>0.496855024857955</v>
      </c>
      <c r="R167" s="55" t="n">
        <f aca="false">P167-04_回帰ANOVA!$K$19*04_回帰ANOVA!$K$14*SQRT(1+Q167)</f>
        <v>46.0985661861385</v>
      </c>
      <c r="S167" s="55" t="n">
        <f aca="false">P167+04_回帰ANOVA!$K$19*04_回帰ANOVA!$K$14*SQRT(1+Q167)</f>
        <v>48.3735929047707</v>
      </c>
      <c r="T167" s="54" t="b">
        <f aca="false">AND(C167&gt;=01_因子設定!$L$5-0.000000001,C167&lt;=01_因子設定!$M$5+0.000000001,D167&gt;=01_因子設定!$L$6-0.000000001,D167&lt;=01_因子設定!$M$6+0.000000001,E167&gt;=01_因子設定!$L$7-0.000000001,E167&lt;=01_因子設定!$M$7+0.000000001,IF(01_因子設定!$B$20="Box-Behnken",C167^2+D167^2+E167^2&lt;=2+0.000000001,TRUE()))</f>
        <v>1</v>
      </c>
      <c r="U167" s="55" t="n">
        <f aca="false">IF(T167,IF(01_因子設定!$B$13="最大化",R167-01_因子設定!$B$14,IF(01_因子設定!$B$13="最小化",01_因子設定!$B$15-S167,MIN(R167-01_因子設定!$B$14,01_因子設定!$B$15-S167))),-1E+030)</f>
        <v>-2.40143381386153</v>
      </c>
      <c r="V167" s="55" t="n">
        <f aca="false">IF(U167&gt;=0,1,0)</f>
        <v>0</v>
      </c>
    </row>
    <row r="168" customFormat="false" ht="15" hidden="false" customHeight="false" outlineLevel="0" collapsed="false">
      <c r="A168" s="0" t="n">
        <v>3</v>
      </c>
      <c r="B168" s="0" t="n">
        <v>-0.975</v>
      </c>
      <c r="C168" s="57" t="n">
        <f aca="false">07_最適化!$B$6</f>
        <v>0.625</v>
      </c>
      <c r="D168" s="57" t="n">
        <f aca="false">07_最適化!$B$7</f>
        <v>0.75</v>
      </c>
      <c r="E168" s="55" t="n">
        <f aca="false">B168</f>
        <v>-0.975</v>
      </c>
      <c r="F168" s="55" t="n">
        <f aca="false">1</f>
        <v>1</v>
      </c>
      <c r="G168" s="57" t="n">
        <f aca="false">C168</f>
        <v>0.625</v>
      </c>
      <c r="H168" s="57" t="n">
        <f aca="false">D168</f>
        <v>0.75</v>
      </c>
      <c r="I168" s="55" t="n">
        <f aca="false">E168</f>
        <v>-0.975</v>
      </c>
      <c r="J168" s="55" t="n">
        <f aca="false">C168*D168</f>
        <v>0.46875</v>
      </c>
      <c r="K168" s="55" t="n">
        <f aca="false">C168*E168</f>
        <v>-0.609375</v>
      </c>
      <c r="L168" s="55" t="n">
        <f aca="false">D168*E168</f>
        <v>-0.73125</v>
      </c>
      <c r="M168" s="55" t="n">
        <f aca="false">C168*C168</f>
        <v>0.390625</v>
      </c>
      <c r="N168" s="55" t="n">
        <f aca="false">D168*D168</f>
        <v>0.5625</v>
      </c>
      <c r="O168" s="55" t="n">
        <f aca="false">E168*E168</f>
        <v>0.950625</v>
      </c>
      <c r="P168" s="55" t="n">
        <f aca="false">SUMPRODUCT(F168:O168,_XtX!$B$71:$K$71)</f>
        <v>47.3348011363637</v>
      </c>
      <c r="Q168" s="55" t="n">
        <f aca="false">SUMPRODUCT(MMULT(F168:O168,_XtX!$B$58:$K$67),F168:O168)</f>
        <v>0.468335702237216</v>
      </c>
      <c r="R168" s="55" t="n">
        <f aca="false">P168-04_回帰ANOVA!$K$19*04_回帰ANOVA!$K$14*SQRT(1+Q168)</f>
        <v>46.2081763145123</v>
      </c>
      <c r="S168" s="55" t="n">
        <f aca="false">P168+04_回帰ANOVA!$K$19*04_回帰ANOVA!$K$14*SQRT(1+Q168)</f>
        <v>48.461425958215</v>
      </c>
      <c r="T168" s="54" t="b">
        <f aca="false">AND(C168&gt;=01_因子設定!$L$5-0.000000001,C168&lt;=01_因子設定!$M$5+0.000000001,D168&gt;=01_因子設定!$L$6-0.000000001,D168&lt;=01_因子設定!$M$6+0.000000001,E168&gt;=01_因子設定!$L$7-0.000000001,E168&lt;=01_因子設定!$M$7+0.000000001,IF(01_因子設定!$B$20="Box-Behnken",C168^2+D168^2+E168^2&lt;=2+0.000000001,TRUE()))</f>
        <v>1</v>
      </c>
      <c r="U168" s="55" t="n">
        <f aca="false">IF(T168,IF(01_因子設定!$B$13="最大化",R168-01_因子設定!$B$14,IF(01_因子設定!$B$13="最小化",01_因子設定!$B$15-S168,MIN(R168-01_因子設定!$B$14,01_因子設定!$B$15-S168))),-1E+030)</f>
        <v>-2.29182368548773</v>
      </c>
      <c r="V168" s="55" t="n">
        <f aca="false">IF(U168&gt;=0,1,0)</f>
        <v>0</v>
      </c>
    </row>
    <row r="169" customFormat="false" ht="15" hidden="false" customHeight="false" outlineLevel="0" collapsed="false">
      <c r="A169" s="0" t="n">
        <v>3</v>
      </c>
      <c r="B169" s="0" t="n">
        <v>-0.95</v>
      </c>
      <c r="C169" s="57" t="n">
        <f aca="false">07_最適化!$B$6</f>
        <v>0.625</v>
      </c>
      <c r="D169" s="57" t="n">
        <f aca="false">07_最適化!$B$7</f>
        <v>0.75</v>
      </c>
      <c r="E169" s="55" t="n">
        <f aca="false">B169</f>
        <v>-0.95</v>
      </c>
      <c r="F169" s="55" t="n">
        <f aca="false">1</f>
        <v>1</v>
      </c>
      <c r="G169" s="57" t="n">
        <f aca="false">C169</f>
        <v>0.625</v>
      </c>
      <c r="H169" s="57" t="n">
        <f aca="false">D169</f>
        <v>0.75</v>
      </c>
      <c r="I169" s="55" t="n">
        <f aca="false">E169</f>
        <v>-0.95</v>
      </c>
      <c r="J169" s="55" t="n">
        <f aca="false">C169*D169</f>
        <v>0.46875</v>
      </c>
      <c r="K169" s="55" t="n">
        <f aca="false">C169*E169</f>
        <v>-0.59375</v>
      </c>
      <c r="L169" s="55" t="n">
        <f aca="false">D169*E169</f>
        <v>-0.7125</v>
      </c>
      <c r="M169" s="55" t="n">
        <f aca="false">C169*C169</f>
        <v>0.390625</v>
      </c>
      <c r="N169" s="55" t="n">
        <f aca="false">D169*D169</f>
        <v>0.5625</v>
      </c>
      <c r="O169" s="55" t="n">
        <f aca="false">E169*E169</f>
        <v>0.9025</v>
      </c>
      <c r="P169" s="55" t="n">
        <f aca="false">SUMPRODUCT(F169:O169,_XtX!$B$71:$K$71)</f>
        <v>47.4320511363637</v>
      </c>
      <c r="Q169" s="55" t="n">
        <f aca="false">SUMPRODUCT(MMULT(F169:O169,_XtX!$B$58:$K$67),F169:O169)</f>
        <v>0.442244637784091</v>
      </c>
      <c r="R169" s="55" t="n">
        <f aca="false">P169-04_回帰ANOVA!$K$19*04_回帰ANOVA!$K$14*SQRT(1+Q169)</f>
        <v>46.3154807571926</v>
      </c>
      <c r="S169" s="55" t="n">
        <f aca="false">P169+04_回帰ANOVA!$K$19*04_回帰ANOVA!$K$14*SQRT(1+Q169)</f>
        <v>48.5486215155347</v>
      </c>
      <c r="T169" s="54" t="b">
        <f aca="false">AND(C169&gt;=01_因子設定!$L$5-0.000000001,C169&lt;=01_因子設定!$M$5+0.000000001,D169&gt;=01_因子設定!$L$6-0.000000001,D169&lt;=01_因子設定!$M$6+0.000000001,E169&gt;=01_因子設定!$L$7-0.000000001,E169&lt;=01_因子設定!$M$7+0.000000001,IF(01_因子設定!$B$20="Box-Behnken",C169^2+D169^2+E169^2&lt;=2+0.000000001,TRUE()))</f>
        <v>1</v>
      </c>
      <c r="U169" s="55" t="n">
        <f aca="false">IF(T169,IF(01_因子設定!$B$13="最大化",R169-01_因子設定!$B$14,IF(01_因子設定!$B$13="最小化",01_因子設定!$B$15-S169,MIN(R169-01_因子設定!$B$14,01_因子設定!$B$15-S169))),-1E+030)</f>
        <v>-2.18451924280739</v>
      </c>
      <c r="V169" s="55" t="n">
        <f aca="false">IF(U169&gt;=0,1,0)</f>
        <v>0</v>
      </c>
    </row>
    <row r="170" customFormat="false" ht="15" hidden="false" customHeight="false" outlineLevel="0" collapsed="false">
      <c r="A170" s="0" t="n">
        <v>3</v>
      </c>
      <c r="B170" s="0" t="n">
        <v>-0.925</v>
      </c>
      <c r="C170" s="57" t="n">
        <f aca="false">07_最適化!$B$6</f>
        <v>0.625</v>
      </c>
      <c r="D170" s="57" t="n">
        <f aca="false">07_最適化!$B$7</f>
        <v>0.75</v>
      </c>
      <c r="E170" s="55" t="n">
        <f aca="false">B170</f>
        <v>-0.925</v>
      </c>
      <c r="F170" s="55" t="n">
        <f aca="false">1</f>
        <v>1</v>
      </c>
      <c r="G170" s="57" t="n">
        <f aca="false">C170</f>
        <v>0.625</v>
      </c>
      <c r="H170" s="57" t="n">
        <f aca="false">D170</f>
        <v>0.75</v>
      </c>
      <c r="I170" s="55" t="n">
        <f aca="false">E170</f>
        <v>-0.925</v>
      </c>
      <c r="J170" s="55" t="n">
        <f aca="false">C170*D170</f>
        <v>0.46875</v>
      </c>
      <c r="K170" s="55" t="n">
        <f aca="false">C170*E170</f>
        <v>-0.578125</v>
      </c>
      <c r="L170" s="55" t="n">
        <f aca="false">D170*E170</f>
        <v>-0.69375</v>
      </c>
      <c r="M170" s="55" t="n">
        <f aca="false">C170*C170</f>
        <v>0.390625</v>
      </c>
      <c r="N170" s="55" t="n">
        <f aca="false">D170*D170</f>
        <v>0.5625</v>
      </c>
      <c r="O170" s="55" t="n">
        <f aca="false">E170*E170</f>
        <v>0.855625</v>
      </c>
      <c r="P170" s="55" t="n">
        <f aca="false">SUMPRODUCT(F170:O170,_XtX!$B$71:$K$71)</f>
        <v>47.5278295454546</v>
      </c>
      <c r="Q170" s="55" t="n">
        <f aca="false">SUMPRODUCT(MMULT(F170:O170,_XtX!$B$58:$K$67),F170:O170)</f>
        <v>0.41845058149858</v>
      </c>
      <c r="R170" s="55" t="n">
        <f aca="false">P170-04_回帰ANOVA!$K$19*04_回帰ANOVA!$K$14*SQRT(1+Q170)</f>
        <v>46.4205080236834</v>
      </c>
      <c r="S170" s="55" t="n">
        <f aca="false">P170+04_回帰ANOVA!$K$19*04_回帰ANOVA!$K$14*SQRT(1+Q170)</f>
        <v>48.6351510672257</v>
      </c>
      <c r="T170" s="54" t="b">
        <f aca="false">AND(C170&gt;=01_因子設定!$L$5-0.000000001,C170&lt;=01_因子設定!$M$5+0.000000001,D170&gt;=01_因子設定!$L$6-0.000000001,D170&lt;=01_因子設定!$M$6+0.000000001,E170&gt;=01_因子設定!$L$7-0.000000001,E170&lt;=01_因子設定!$M$7+0.000000001,IF(01_因子設定!$B$20="Box-Behnken",C170^2+D170^2+E170^2&lt;=2+0.000000001,TRUE()))</f>
        <v>1</v>
      </c>
      <c r="U170" s="55" t="n">
        <f aca="false">IF(T170,IF(01_因子設定!$B$13="最大化",R170-01_因子設定!$B$14,IF(01_因子設定!$B$13="最小化",01_因子設定!$B$15-S170,MIN(R170-01_因子設定!$B$14,01_因子設定!$B$15-S170))),-1E+030)</f>
        <v>-2.07949197631658</v>
      </c>
      <c r="V170" s="55" t="n">
        <f aca="false">IF(U170&gt;=0,1,0)</f>
        <v>0</v>
      </c>
    </row>
    <row r="171" customFormat="false" ht="15" hidden="false" customHeight="false" outlineLevel="0" collapsed="false">
      <c r="A171" s="0" t="n">
        <v>3</v>
      </c>
      <c r="B171" s="0" t="n">
        <v>-0.9</v>
      </c>
      <c r="C171" s="57" t="n">
        <f aca="false">07_最適化!$B$6</f>
        <v>0.625</v>
      </c>
      <c r="D171" s="57" t="n">
        <f aca="false">07_最適化!$B$7</f>
        <v>0.75</v>
      </c>
      <c r="E171" s="55" t="n">
        <f aca="false">B171</f>
        <v>-0.9</v>
      </c>
      <c r="F171" s="55" t="n">
        <f aca="false">1</f>
        <v>1</v>
      </c>
      <c r="G171" s="57" t="n">
        <f aca="false">C171</f>
        <v>0.625</v>
      </c>
      <c r="H171" s="57" t="n">
        <f aca="false">D171</f>
        <v>0.75</v>
      </c>
      <c r="I171" s="55" t="n">
        <f aca="false">E171</f>
        <v>-0.9</v>
      </c>
      <c r="J171" s="55" t="n">
        <f aca="false">C171*D171</f>
        <v>0.46875</v>
      </c>
      <c r="K171" s="55" t="n">
        <f aca="false">C171*E171</f>
        <v>-0.5625</v>
      </c>
      <c r="L171" s="55" t="n">
        <f aca="false">D171*E171</f>
        <v>-0.675</v>
      </c>
      <c r="M171" s="55" t="n">
        <f aca="false">C171*C171</f>
        <v>0.390625</v>
      </c>
      <c r="N171" s="55" t="n">
        <f aca="false">D171*D171</f>
        <v>0.5625</v>
      </c>
      <c r="O171" s="55" t="n">
        <f aca="false">E171*E171</f>
        <v>0.81</v>
      </c>
      <c r="P171" s="55" t="n">
        <f aca="false">SUMPRODUCT(F171:O171,_XtX!$B$71:$K$71)</f>
        <v>47.6221363636364</v>
      </c>
      <c r="Q171" s="55" t="n">
        <f aca="false">SUMPRODUCT(MMULT(F171:O171,_XtX!$B$58:$K$67),F171:O171)</f>
        <v>0.396825692471591</v>
      </c>
      <c r="R171" s="55" t="n">
        <f aca="false">P171-04_回帰ANOVA!$K$19*04_回帰ANOVA!$K$14*SQRT(1+Q171)</f>
        <v>46.5232880567145</v>
      </c>
      <c r="S171" s="55" t="n">
        <f aca="false">P171+04_回帰ANOVA!$K$19*04_回帰ANOVA!$K$14*SQRT(1+Q171)</f>
        <v>48.7209846705583</v>
      </c>
      <c r="T171" s="54" t="b">
        <f aca="false">AND(C171&gt;=01_因子設定!$L$5-0.000000001,C171&lt;=01_因子設定!$M$5+0.000000001,D171&gt;=01_因子設定!$L$6-0.000000001,D171&lt;=01_因子設定!$M$6+0.000000001,E171&gt;=01_因子設定!$L$7-0.000000001,E171&lt;=01_因子設定!$M$7+0.000000001,IF(01_因子設定!$B$20="Box-Behnken",C171^2+D171^2+E171^2&lt;=2+0.000000001,TRUE()))</f>
        <v>1</v>
      </c>
      <c r="U171" s="55" t="n">
        <f aca="false">IF(T171,IF(01_因子設定!$B$13="最大化",R171-01_因子設定!$B$14,IF(01_因子設定!$B$13="最小化",01_因子設定!$B$15-S171,MIN(R171-01_因子設定!$B$14,01_因子設定!$B$15-S171))),-1E+030)</f>
        <v>-1.97671194328549</v>
      </c>
      <c r="V171" s="55" t="n">
        <f aca="false">IF(U171&gt;=0,1,0)</f>
        <v>0</v>
      </c>
    </row>
    <row r="172" customFormat="false" ht="15" hidden="false" customHeight="false" outlineLevel="0" collapsed="false">
      <c r="A172" s="0" t="n">
        <v>3</v>
      </c>
      <c r="B172" s="0" t="n">
        <v>-0.875</v>
      </c>
      <c r="C172" s="57" t="n">
        <f aca="false">07_最適化!$B$6</f>
        <v>0.625</v>
      </c>
      <c r="D172" s="57" t="n">
        <f aca="false">07_最適化!$B$7</f>
        <v>0.75</v>
      </c>
      <c r="E172" s="55" t="n">
        <f aca="false">B172</f>
        <v>-0.875</v>
      </c>
      <c r="F172" s="55" t="n">
        <f aca="false">1</f>
        <v>1</v>
      </c>
      <c r="G172" s="57" t="n">
        <f aca="false">C172</f>
        <v>0.625</v>
      </c>
      <c r="H172" s="57" t="n">
        <f aca="false">D172</f>
        <v>0.75</v>
      </c>
      <c r="I172" s="55" t="n">
        <f aca="false">E172</f>
        <v>-0.875</v>
      </c>
      <c r="J172" s="55" t="n">
        <f aca="false">C172*D172</f>
        <v>0.46875</v>
      </c>
      <c r="K172" s="55" t="n">
        <f aca="false">C172*E172</f>
        <v>-0.546875</v>
      </c>
      <c r="L172" s="55" t="n">
        <f aca="false">D172*E172</f>
        <v>-0.65625</v>
      </c>
      <c r="M172" s="55" t="n">
        <f aca="false">C172*C172</f>
        <v>0.390625</v>
      </c>
      <c r="N172" s="55" t="n">
        <f aca="false">D172*D172</f>
        <v>0.5625</v>
      </c>
      <c r="O172" s="55" t="n">
        <f aca="false">E172*E172</f>
        <v>0.765625</v>
      </c>
      <c r="P172" s="55" t="n">
        <f aca="false">SUMPRODUCT(F172:O172,_XtX!$B$71:$K$71)</f>
        <v>47.7149715909091</v>
      </c>
      <c r="Q172" s="55" t="n">
        <f aca="false">SUMPRODUCT(MMULT(F172:O172,_XtX!$B$58:$K$67),F172:O172)</f>
        <v>0.377245538884943</v>
      </c>
      <c r="R172" s="55" t="n">
        <f aca="false">P172-04_回帰ANOVA!$K$19*04_回帰ANOVA!$K$14*SQRT(1+Q172)</f>
        <v>46.6238520762198</v>
      </c>
      <c r="S172" s="55" t="n">
        <f aca="false">P172+04_回帰ANOVA!$K$19*04_回帰ANOVA!$K$14*SQRT(1+Q172)</f>
        <v>48.8060911055984</v>
      </c>
      <c r="T172" s="54" t="b">
        <f aca="false">AND(C172&gt;=01_因子設定!$L$5-0.000000001,C172&lt;=01_因子設定!$M$5+0.000000001,D172&gt;=01_因子設定!$L$6-0.000000001,D172&lt;=01_因子設定!$M$6+0.000000001,E172&gt;=01_因子設定!$L$7-0.000000001,E172&lt;=01_因子設定!$M$7+0.000000001,IF(01_因子設定!$B$20="Box-Behnken",C172^2+D172^2+E172^2&lt;=2+0.000000001,TRUE()))</f>
        <v>1</v>
      </c>
      <c r="U172" s="55" t="n">
        <f aca="false">IF(T172,IF(01_因子設定!$B$13="最大化",R172-01_因子設定!$B$14,IF(01_因子設定!$B$13="最小化",01_因子設定!$B$15-S172,MIN(R172-01_因子設定!$B$14,01_因子設定!$B$15-S172))),-1E+030)</f>
        <v>-1.87614792378017</v>
      </c>
      <c r="V172" s="55" t="n">
        <f aca="false">IF(U172&gt;=0,1,0)</f>
        <v>0</v>
      </c>
    </row>
    <row r="173" customFormat="false" ht="15" hidden="false" customHeight="false" outlineLevel="0" collapsed="false">
      <c r="A173" s="0" t="n">
        <v>3</v>
      </c>
      <c r="B173" s="0" t="n">
        <v>-0.85</v>
      </c>
      <c r="C173" s="57" t="n">
        <f aca="false">07_最適化!$B$6</f>
        <v>0.625</v>
      </c>
      <c r="D173" s="57" t="n">
        <f aca="false">07_最適化!$B$7</f>
        <v>0.75</v>
      </c>
      <c r="E173" s="55" t="n">
        <f aca="false">B173</f>
        <v>-0.85</v>
      </c>
      <c r="F173" s="55" t="n">
        <f aca="false">1</f>
        <v>1</v>
      </c>
      <c r="G173" s="57" t="n">
        <f aca="false">C173</f>
        <v>0.625</v>
      </c>
      <c r="H173" s="57" t="n">
        <f aca="false">D173</f>
        <v>0.75</v>
      </c>
      <c r="I173" s="55" t="n">
        <f aca="false">E173</f>
        <v>-0.85</v>
      </c>
      <c r="J173" s="55" t="n">
        <f aca="false">C173*D173</f>
        <v>0.46875</v>
      </c>
      <c r="K173" s="55" t="n">
        <f aca="false">C173*E173</f>
        <v>-0.53125</v>
      </c>
      <c r="L173" s="55" t="n">
        <f aca="false">D173*E173</f>
        <v>-0.6375</v>
      </c>
      <c r="M173" s="55" t="n">
        <f aca="false">C173*C173</f>
        <v>0.390625</v>
      </c>
      <c r="N173" s="55" t="n">
        <f aca="false">D173*D173</f>
        <v>0.5625</v>
      </c>
      <c r="O173" s="55" t="n">
        <f aca="false">E173*E173</f>
        <v>0.7225</v>
      </c>
      <c r="P173" s="55" t="n">
        <f aca="false">SUMPRODUCT(F173:O173,_XtX!$B$71:$K$71)</f>
        <v>47.8063352272728</v>
      </c>
      <c r="Q173" s="55" t="n">
        <f aca="false">SUMPRODUCT(MMULT(F173:O173,_XtX!$B$58:$K$67),F173:O173)</f>
        <v>0.359589098011364</v>
      </c>
      <c r="R173" s="55" t="n">
        <f aca="false">P173-04_回帰ANOVA!$K$19*04_回帰ANOVA!$K$14*SQRT(1+Q173)</f>
        <v>46.72223241056</v>
      </c>
      <c r="S173" s="55" t="n">
        <f aca="false">P173+04_回帰ANOVA!$K$19*04_回帰ANOVA!$K$14*SQRT(1+Q173)</f>
        <v>48.8904380439855</v>
      </c>
      <c r="T173" s="54" t="b">
        <f aca="false">AND(C173&gt;=01_因子設定!$L$5-0.000000001,C173&lt;=01_因子設定!$M$5+0.000000001,D173&gt;=01_因子設定!$L$6-0.000000001,D173&lt;=01_因子設定!$M$6+0.000000001,E173&gt;=01_因子設定!$L$7-0.000000001,E173&lt;=01_因子設定!$M$7+0.000000001,IF(01_因子設定!$B$20="Box-Behnken",C173^2+D173^2+E173^2&lt;=2+0.000000001,TRUE()))</f>
        <v>1</v>
      </c>
      <c r="U173" s="55" t="n">
        <f aca="false">IF(T173,IF(01_因子設定!$B$13="最大化",R173-01_因子設定!$B$14,IF(01_因子設定!$B$13="最小化",01_因子設定!$B$15-S173,MIN(R173-01_因子設定!$B$14,01_因子設定!$B$15-S173))),-1E+030)</f>
        <v>-1.77776758943998</v>
      </c>
      <c r="V173" s="55" t="n">
        <f aca="false">IF(U173&gt;=0,1,0)</f>
        <v>0</v>
      </c>
    </row>
    <row r="174" customFormat="false" ht="15" hidden="false" customHeight="false" outlineLevel="0" collapsed="false">
      <c r="A174" s="0" t="n">
        <v>3</v>
      </c>
      <c r="B174" s="0" t="n">
        <v>-0.825</v>
      </c>
      <c r="C174" s="57" t="n">
        <f aca="false">07_最適化!$B$6</f>
        <v>0.625</v>
      </c>
      <c r="D174" s="57" t="n">
        <f aca="false">07_最適化!$B$7</f>
        <v>0.75</v>
      </c>
      <c r="E174" s="55" t="n">
        <f aca="false">B174</f>
        <v>-0.825</v>
      </c>
      <c r="F174" s="55" t="n">
        <f aca="false">1</f>
        <v>1</v>
      </c>
      <c r="G174" s="57" t="n">
        <f aca="false">C174</f>
        <v>0.625</v>
      </c>
      <c r="H174" s="57" t="n">
        <f aca="false">D174</f>
        <v>0.75</v>
      </c>
      <c r="I174" s="55" t="n">
        <f aca="false">E174</f>
        <v>-0.825</v>
      </c>
      <c r="J174" s="55" t="n">
        <f aca="false">C174*D174</f>
        <v>0.46875</v>
      </c>
      <c r="K174" s="55" t="n">
        <f aca="false">C174*E174</f>
        <v>-0.515625</v>
      </c>
      <c r="L174" s="55" t="n">
        <f aca="false">D174*E174</f>
        <v>-0.61875</v>
      </c>
      <c r="M174" s="55" t="n">
        <f aca="false">C174*C174</f>
        <v>0.390625</v>
      </c>
      <c r="N174" s="55" t="n">
        <f aca="false">D174*D174</f>
        <v>0.5625</v>
      </c>
      <c r="O174" s="55" t="n">
        <f aca="false">E174*E174</f>
        <v>0.680625</v>
      </c>
      <c r="P174" s="55" t="n">
        <f aca="false">SUMPRODUCT(F174:O174,_XtX!$B$71:$K$71)</f>
        <v>47.8962272727273</v>
      </c>
      <c r="Q174" s="55" t="n">
        <f aca="false">SUMPRODUCT(MMULT(F174:O174,_XtX!$B$58:$K$67),F174:O174)</f>
        <v>0.343738756214489</v>
      </c>
      <c r="R174" s="55" t="n">
        <f aca="false">P174-04_回帰ANOVA!$K$19*04_回帰ANOVA!$K$14*SQRT(1+Q174)</f>
        <v>46.8184623179854</v>
      </c>
      <c r="S174" s="55" t="n">
        <f aca="false">P174+04_回帰ANOVA!$K$19*04_回帰ANOVA!$K$14*SQRT(1+Q174)</f>
        <v>48.9739922274692</v>
      </c>
      <c r="T174" s="54" t="b">
        <f aca="false">AND(C174&gt;=01_因子設定!$L$5-0.000000001,C174&lt;=01_因子設定!$M$5+0.000000001,D174&gt;=01_因子設定!$L$6-0.000000001,D174&lt;=01_因子設定!$M$6+0.000000001,E174&gt;=01_因子設定!$L$7-0.000000001,E174&lt;=01_因子設定!$M$7+0.000000001,IF(01_因子設定!$B$20="Box-Behnken",C174^2+D174^2+E174^2&lt;=2+0.000000001,TRUE()))</f>
        <v>1</v>
      </c>
      <c r="U174" s="55" t="n">
        <f aca="false">IF(T174,IF(01_因子設定!$B$13="最大化",R174-01_因子設定!$B$14,IF(01_因子設定!$B$13="最小化",01_因子設定!$B$15-S174,MIN(R174-01_因子設定!$B$14,01_因子設定!$B$15-S174))),-1E+030)</f>
        <v>-1.68153768201463</v>
      </c>
      <c r="V174" s="55" t="n">
        <f aca="false">IF(U174&gt;=0,1,0)</f>
        <v>0</v>
      </c>
    </row>
    <row r="175" customFormat="false" ht="15" hidden="false" customHeight="false" outlineLevel="0" collapsed="false">
      <c r="A175" s="0" t="n">
        <v>3</v>
      </c>
      <c r="B175" s="0" t="n">
        <v>-0.8</v>
      </c>
      <c r="C175" s="57" t="n">
        <f aca="false">07_最適化!$B$6</f>
        <v>0.625</v>
      </c>
      <c r="D175" s="57" t="n">
        <f aca="false">07_最適化!$B$7</f>
        <v>0.75</v>
      </c>
      <c r="E175" s="55" t="n">
        <f aca="false">B175</f>
        <v>-0.8</v>
      </c>
      <c r="F175" s="55" t="n">
        <f aca="false">1</f>
        <v>1</v>
      </c>
      <c r="G175" s="57" t="n">
        <f aca="false">C175</f>
        <v>0.625</v>
      </c>
      <c r="H175" s="57" t="n">
        <f aca="false">D175</f>
        <v>0.75</v>
      </c>
      <c r="I175" s="55" t="n">
        <f aca="false">E175</f>
        <v>-0.8</v>
      </c>
      <c r="J175" s="55" t="n">
        <f aca="false">C175*D175</f>
        <v>0.46875</v>
      </c>
      <c r="K175" s="55" t="n">
        <f aca="false">C175*E175</f>
        <v>-0.5</v>
      </c>
      <c r="L175" s="55" t="n">
        <f aca="false">D175*E175</f>
        <v>-0.6</v>
      </c>
      <c r="M175" s="55" t="n">
        <f aca="false">C175*C175</f>
        <v>0.390625</v>
      </c>
      <c r="N175" s="55" t="n">
        <f aca="false">D175*D175</f>
        <v>0.5625</v>
      </c>
      <c r="O175" s="55" t="n">
        <f aca="false">E175*E175</f>
        <v>0.64</v>
      </c>
      <c r="P175" s="55" t="n">
        <f aca="false">SUMPRODUCT(F175:O175,_XtX!$B$71:$K$71)</f>
        <v>47.9846477272727</v>
      </c>
      <c r="Q175" s="55" t="n">
        <f aca="false">SUMPRODUCT(MMULT(F175:O175,_XtX!$B$58:$K$67),F175:O175)</f>
        <v>0.329580308948864</v>
      </c>
      <c r="R175" s="55" t="n">
        <f aca="false">P175-04_回帰ANOVA!$K$19*04_回帰ANOVA!$K$14*SQRT(1+Q175)</f>
        <v>46.9125758014607</v>
      </c>
      <c r="S175" s="55" t="n">
        <f aca="false">P175+04_回帰ANOVA!$K$19*04_回帰ANOVA!$K$14*SQRT(1+Q175)</f>
        <v>49.0567196530848</v>
      </c>
      <c r="T175" s="54" t="b">
        <f aca="false">AND(C175&gt;=01_因子設定!$L$5-0.000000001,C175&lt;=01_因子設定!$M$5+0.000000001,D175&gt;=01_因子設定!$L$6-0.000000001,D175&lt;=01_因子設定!$M$6+0.000000001,E175&gt;=01_因子設定!$L$7-0.000000001,E175&lt;=01_因子設定!$M$7+0.000000001,IF(01_因子設定!$B$20="Box-Behnken",C175^2+D175^2+E175^2&lt;=2+0.000000001,TRUE()))</f>
        <v>1</v>
      </c>
      <c r="U175" s="55" t="n">
        <f aca="false">IF(T175,IF(01_因子設定!$B$13="最大化",R175-01_因子設定!$B$14,IF(01_因子設定!$B$13="最小化",01_因子設定!$B$15-S175,MIN(R175-01_因子設定!$B$14,01_因子設定!$B$15-S175))),-1E+030)</f>
        <v>-1.58742419853932</v>
      </c>
      <c r="V175" s="55" t="n">
        <f aca="false">IF(U175&gt;=0,1,0)</f>
        <v>0</v>
      </c>
    </row>
    <row r="176" customFormat="false" ht="15" hidden="false" customHeight="false" outlineLevel="0" collapsed="false">
      <c r="A176" s="0" t="n">
        <v>3</v>
      </c>
      <c r="B176" s="0" t="n">
        <v>-0.775</v>
      </c>
      <c r="C176" s="57" t="n">
        <f aca="false">07_最適化!$B$6</f>
        <v>0.625</v>
      </c>
      <c r="D176" s="57" t="n">
        <f aca="false">07_最適化!$B$7</f>
        <v>0.75</v>
      </c>
      <c r="E176" s="55" t="n">
        <f aca="false">B176</f>
        <v>-0.775</v>
      </c>
      <c r="F176" s="55" t="n">
        <f aca="false">1</f>
        <v>1</v>
      </c>
      <c r="G176" s="57" t="n">
        <f aca="false">C176</f>
        <v>0.625</v>
      </c>
      <c r="H176" s="57" t="n">
        <f aca="false">D176</f>
        <v>0.75</v>
      </c>
      <c r="I176" s="55" t="n">
        <f aca="false">E176</f>
        <v>-0.775</v>
      </c>
      <c r="J176" s="55" t="n">
        <f aca="false">C176*D176</f>
        <v>0.46875</v>
      </c>
      <c r="K176" s="55" t="n">
        <f aca="false">C176*E176</f>
        <v>-0.484375</v>
      </c>
      <c r="L176" s="55" t="n">
        <f aca="false">D176*E176</f>
        <v>-0.58125</v>
      </c>
      <c r="M176" s="55" t="n">
        <f aca="false">C176*C176</f>
        <v>0.390625</v>
      </c>
      <c r="N176" s="55" t="n">
        <f aca="false">D176*D176</f>
        <v>0.5625</v>
      </c>
      <c r="O176" s="55" t="n">
        <f aca="false">E176*E176</f>
        <v>0.600625</v>
      </c>
      <c r="P176" s="55" t="n">
        <f aca="false">SUMPRODUCT(F176:O176,_XtX!$B$71:$K$71)</f>
        <v>48.0715965909091</v>
      </c>
      <c r="Q176" s="55" t="n">
        <f aca="false">SUMPRODUCT(MMULT(F176:O176,_XtX!$B$58:$K$67),F176:O176)</f>
        <v>0.317002960759943</v>
      </c>
      <c r="R176" s="55" t="n">
        <f aca="false">P176-04_回帰ANOVA!$K$19*04_回帰ANOVA!$K$14*SQRT(1+Q176)</f>
        <v>47.0046074199873</v>
      </c>
      <c r="S176" s="55" t="n">
        <f aca="false">P176+04_回帰ANOVA!$K$19*04_回帰ANOVA!$K$14*SQRT(1+Q176)</f>
        <v>49.1385857618309</v>
      </c>
      <c r="T176" s="54" t="b">
        <f aca="false">AND(C176&gt;=01_因子設定!$L$5-0.000000001,C176&lt;=01_因子設定!$M$5+0.000000001,D176&gt;=01_因子設定!$L$6-0.000000001,D176&lt;=01_因子設定!$M$6+0.000000001,E176&gt;=01_因子設定!$L$7-0.000000001,E176&lt;=01_因子設定!$M$7+0.000000001,IF(01_因子設定!$B$20="Box-Behnken",C176^2+D176^2+E176^2&lt;=2+0.000000001,TRUE()))</f>
        <v>1</v>
      </c>
      <c r="U176" s="55" t="n">
        <f aca="false">IF(T176,IF(01_因子設定!$B$13="最大化",R176-01_因子設定!$B$14,IF(01_因子設定!$B$13="最小化",01_因子設定!$B$15-S176,MIN(R176-01_因子設定!$B$14,01_因子設定!$B$15-S176))),-1E+030)</f>
        <v>-1.49539258001269</v>
      </c>
      <c r="V176" s="55" t="n">
        <f aca="false">IF(U176&gt;=0,1,0)</f>
        <v>0</v>
      </c>
    </row>
    <row r="177" customFormat="false" ht="15" hidden="false" customHeight="false" outlineLevel="0" collapsed="false">
      <c r="A177" s="0" t="n">
        <v>3</v>
      </c>
      <c r="B177" s="0" t="n">
        <v>-0.75</v>
      </c>
      <c r="C177" s="57" t="n">
        <f aca="false">07_最適化!$B$6</f>
        <v>0.625</v>
      </c>
      <c r="D177" s="57" t="n">
        <f aca="false">07_最適化!$B$7</f>
        <v>0.75</v>
      </c>
      <c r="E177" s="55" t="n">
        <f aca="false">B177</f>
        <v>-0.75</v>
      </c>
      <c r="F177" s="55" t="n">
        <f aca="false">1</f>
        <v>1</v>
      </c>
      <c r="G177" s="57" t="n">
        <f aca="false">C177</f>
        <v>0.625</v>
      </c>
      <c r="H177" s="57" t="n">
        <f aca="false">D177</f>
        <v>0.75</v>
      </c>
      <c r="I177" s="55" t="n">
        <f aca="false">E177</f>
        <v>-0.75</v>
      </c>
      <c r="J177" s="55" t="n">
        <f aca="false">C177*D177</f>
        <v>0.46875</v>
      </c>
      <c r="K177" s="55" t="n">
        <f aca="false">C177*E177</f>
        <v>-0.46875</v>
      </c>
      <c r="L177" s="55" t="n">
        <f aca="false">D177*E177</f>
        <v>-0.5625</v>
      </c>
      <c r="M177" s="55" t="n">
        <f aca="false">C177*C177</f>
        <v>0.390625</v>
      </c>
      <c r="N177" s="55" t="n">
        <f aca="false">D177*D177</f>
        <v>0.5625</v>
      </c>
      <c r="O177" s="55" t="n">
        <f aca="false">E177*E177</f>
        <v>0.5625</v>
      </c>
      <c r="P177" s="55" t="n">
        <f aca="false">SUMPRODUCT(F177:O177,_XtX!$B$71:$K$71)</f>
        <v>48.1570738636364</v>
      </c>
      <c r="Q177" s="55" t="n">
        <f aca="false">SUMPRODUCT(MMULT(F177:O177,_XtX!$B$58:$K$67),F177:O177)</f>
        <v>0.305899325284091</v>
      </c>
      <c r="R177" s="55" t="n">
        <f aca="false">P177-04_回帰ANOVA!$K$19*04_回帰ANOVA!$K$14*SQRT(1+Q177)</f>
        <v>47.0945920994682</v>
      </c>
      <c r="S177" s="55" t="n">
        <f aca="false">P177+04_回帰ANOVA!$K$19*04_回帰ANOVA!$K$14*SQRT(1+Q177)</f>
        <v>49.2195556278045</v>
      </c>
      <c r="T177" s="54" t="b">
        <f aca="false">AND(C177&gt;=01_因子設定!$L$5-0.000000001,C177&lt;=01_因子設定!$M$5+0.000000001,D177&gt;=01_因子設定!$L$6-0.000000001,D177&lt;=01_因子設定!$M$6+0.000000001,E177&gt;=01_因子設定!$L$7-0.000000001,E177&lt;=01_因子設定!$M$7+0.000000001,IF(01_因子設定!$B$20="Box-Behnken",C177^2+D177^2+E177^2&lt;=2+0.000000001,TRUE()))</f>
        <v>1</v>
      </c>
      <c r="U177" s="55" t="n">
        <f aca="false">IF(T177,IF(01_因子設定!$B$13="最大化",R177-01_因子設定!$B$14,IF(01_因子設定!$B$13="最小化",01_因子設定!$B$15-S177,MIN(R177-01_因子設定!$B$14,01_因子設定!$B$15-S177))),-1E+030)</f>
        <v>-1.40540790053178</v>
      </c>
      <c r="V177" s="55" t="n">
        <f aca="false">IF(U177&gt;=0,1,0)</f>
        <v>0</v>
      </c>
    </row>
    <row r="178" customFormat="false" ht="15" hidden="false" customHeight="false" outlineLevel="0" collapsed="false">
      <c r="A178" s="0" t="n">
        <v>3</v>
      </c>
      <c r="B178" s="0" t="n">
        <v>-0.725</v>
      </c>
      <c r="C178" s="57" t="n">
        <f aca="false">07_最適化!$B$6</f>
        <v>0.625</v>
      </c>
      <c r="D178" s="57" t="n">
        <f aca="false">07_最適化!$B$7</f>
        <v>0.75</v>
      </c>
      <c r="E178" s="55" t="n">
        <f aca="false">B178</f>
        <v>-0.725</v>
      </c>
      <c r="F178" s="55" t="n">
        <f aca="false">1</f>
        <v>1</v>
      </c>
      <c r="G178" s="57" t="n">
        <f aca="false">C178</f>
        <v>0.625</v>
      </c>
      <c r="H178" s="57" t="n">
        <f aca="false">D178</f>
        <v>0.75</v>
      </c>
      <c r="I178" s="55" t="n">
        <f aca="false">E178</f>
        <v>-0.725</v>
      </c>
      <c r="J178" s="55" t="n">
        <f aca="false">C178*D178</f>
        <v>0.46875</v>
      </c>
      <c r="K178" s="55" t="n">
        <f aca="false">C178*E178</f>
        <v>-0.453125</v>
      </c>
      <c r="L178" s="55" t="n">
        <f aca="false">D178*E178</f>
        <v>-0.54375</v>
      </c>
      <c r="M178" s="55" t="n">
        <f aca="false">C178*C178</f>
        <v>0.390625</v>
      </c>
      <c r="N178" s="55" t="n">
        <f aca="false">D178*D178</f>
        <v>0.5625</v>
      </c>
      <c r="O178" s="55" t="n">
        <f aca="false">E178*E178</f>
        <v>0.525625</v>
      </c>
      <c r="P178" s="55" t="n">
        <f aca="false">SUMPRODUCT(F178:O178,_XtX!$B$71:$K$71)</f>
        <v>48.2410795454546</v>
      </c>
      <c r="Q178" s="55" t="n">
        <f aca="false">SUMPRODUCT(MMULT(F178:O178,_XtX!$B$58:$K$67),F178:O178)</f>
        <v>0.29616542524858</v>
      </c>
      <c r="R178" s="55" t="n">
        <f aca="false">P178-04_回帰ANOVA!$K$19*04_回帰ANOVA!$K$14*SQRT(1+Q178)</f>
        <v>47.1825649459781</v>
      </c>
      <c r="S178" s="55" t="n">
        <f aca="false">P178+04_回帰ANOVA!$K$19*04_回帰ANOVA!$K$14*SQRT(1+Q178)</f>
        <v>49.299594144931</v>
      </c>
      <c r="T178" s="54" t="b">
        <f aca="false">AND(C178&gt;=01_因子設定!$L$5-0.000000001,C178&lt;=01_因子設定!$M$5+0.000000001,D178&gt;=01_因子設定!$L$6-0.000000001,D178&lt;=01_因子設定!$M$6+0.000000001,E178&gt;=01_因子設定!$L$7-0.000000001,E178&lt;=01_因子設定!$M$7+0.000000001,IF(01_因子設定!$B$20="Box-Behnken",C178^2+D178^2+E178^2&lt;=2+0.000000001,TRUE()))</f>
        <v>1</v>
      </c>
      <c r="U178" s="55" t="n">
        <f aca="false">IF(T178,IF(01_因子設定!$B$13="最大化",R178-01_因子設定!$B$14,IF(01_因子設定!$B$13="最小化",01_因子設定!$B$15-S178,MIN(R178-01_因子設定!$B$14,01_因子設定!$B$15-S178))),-1E+030)</f>
        <v>-1.31743505402189</v>
      </c>
      <c r="V178" s="55" t="n">
        <f aca="false">IF(U178&gt;=0,1,0)</f>
        <v>0</v>
      </c>
    </row>
    <row r="179" customFormat="false" ht="15" hidden="false" customHeight="false" outlineLevel="0" collapsed="false">
      <c r="A179" s="0" t="n">
        <v>3</v>
      </c>
      <c r="B179" s="0" t="n">
        <v>-0.7</v>
      </c>
      <c r="C179" s="57" t="n">
        <f aca="false">07_最適化!$B$6</f>
        <v>0.625</v>
      </c>
      <c r="D179" s="57" t="n">
        <f aca="false">07_最適化!$B$7</f>
        <v>0.75</v>
      </c>
      <c r="E179" s="55" t="n">
        <f aca="false">B179</f>
        <v>-0.7</v>
      </c>
      <c r="F179" s="55" t="n">
        <f aca="false">1</f>
        <v>1</v>
      </c>
      <c r="G179" s="57" t="n">
        <f aca="false">C179</f>
        <v>0.625</v>
      </c>
      <c r="H179" s="57" t="n">
        <f aca="false">D179</f>
        <v>0.75</v>
      </c>
      <c r="I179" s="55" t="n">
        <f aca="false">E179</f>
        <v>-0.7</v>
      </c>
      <c r="J179" s="55" t="n">
        <f aca="false">C179*D179</f>
        <v>0.46875</v>
      </c>
      <c r="K179" s="55" t="n">
        <f aca="false">C179*E179</f>
        <v>-0.4375</v>
      </c>
      <c r="L179" s="55" t="n">
        <f aca="false">D179*E179</f>
        <v>-0.525</v>
      </c>
      <c r="M179" s="55" t="n">
        <f aca="false">C179*C179</f>
        <v>0.390625</v>
      </c>
      <c r="N179" s="55" t="n">
        <f aca="false">D179*D179</f>
        <v>0.5625</v>
      </c>
      <c r="O179" s="55" t="n">
        <f aca="false">E179*E179</f>
        <v>0.49</v>
      </c>
      <c r="P179" s="55" t="n">
        <f aca="false">SUMPRODUCT(F179:O179,_XtX!$B$71:$K$71)</f>
        <v>48.3236136363636</v>
      </c>
      <c r="Q179" s="55" t="n">
        <f aca="false">SUMPRODUCT(MMULT(F179:O179,_XtX!$B$58:$K$67),F179:O179)</f>
        <v>0.287700692471591</v>
      </c>
      <c r="R179" s="55" t="n">
        <f aca="false">P179-04_回帰ANOVA!$K$19*04_回帰ANOVA!$K$14*SQRT(1+Q179)</f>
        <v>47.26856106404</v>
      </c>
      <c r="S179" s="55" t="n">
        <f aca="false">P179+04_回帰ANOVA!$K$19*04_回帰ANOVA!$K$14*SQRT(1+Q179)</f>
        <v>49.3786662086873</v>
      </c>
      <c r="T179" s="54" t="b">
        <f aca="false">AND(C179&gt;=01_因子設定!$L$5-0.000000001,C179&lt;=01_因子設定!$M$5+0.000000001,D179&gt;=01_因子設定!$L$6-0.000000001,D179&lt;=01_因子設定!$M$6+0.000000001,E179&gt;=01_因子設定!$L$7-0.000000001,E179&lt;=01_因子設定!$M$7+0.000000001,IF(01_因子設定!$B$20="Box-Behnken",C179^2+D179^2+E179^2&lt;=2+0.000000001,TRUE()))</f>
        <v>1</v>
      </c>
      <c r="U179" s="55" t="n">
        <f aca="false">IF(T179,IF(01_因子設定!$B$13="最大化",R179-01_因子設定!$B$14,IF(01_因子設定!$B$13="最小化",01_因子設定!$B$15-S179,MIN(R179-01_因子設定!$B$14,01_因子設定!$B$15-S179))),-1E+030)</f>
        <v>-1.23143893596003</v>
      </c>
      <c r="V179" s="55" t="n">
        <f aca="false">IF(U179&gt;=0,1,0)</f>
        <v>0</v>
      </c>
    </row>
    <row r="180" customFormat="false" ht="15" hidden="false" customHeight="false" outlineLevel="0" collapsed="false">
      <c r="A180" s="0" t="n">
        <v>3</v>
      </c>
      <c r="B180" s="0" t="n">
        <v>-0.675</v>
      </c>
      <c r="C180" s="57" t="n">
        <f aca="false">07_最適化!$B$6</f>
        <v>0.625</v>
      </c>
      <c r="D180" s="57" t="n">
        <f aca="false">07_最適化!$B$7</f>
        <v>0.75</v>
      </c>
      <c r="E180" s="55" t="n">
        <f aca="false">B180</f>
        <v>-0.675</v>
      </c>
      <c r="F180" s="55" t="n">
        <f aca="false">1</f>
        <v>1</v>
      </c>
      <c r="G180" s="57" t="n">
        <f aca="false">C180</f>
        <v>0.625</v>
      </c>
      <c r="H180" s="57" t="n">
        <f aca="false">D180</f>
        <v>0.75</v>
      </c>
      <c r="I180" s="55" t="n">
        <f aca="false">E180</f>
        <v>-0.675</v>
      </c>
      <c r="J180" s="55" t="n">
        <f aca="false">C180*D180</f>
        <v>0.46875</v>
      </c>
      <c r="K180" s="55" t="n">
        <f aca="false">C180*E180</f>
        <v>-0.421875</v>
      </c>
      <c r="L180" s="55" t="n">
        <f aca="false">D180*E180</f>
        <v>-0.50625</v>
      </c>
      <c r="M180" s="55" t="n">
        <f aca="false">C180*C180</f>
        <v>0.390625</v>
      </c>
      <c r="N180" s="55" t="n">
        <f aca="false">D180*D180</f>
        <v>0.5625</v>
      </c>
      <c r="O180" s="55" t="n">
        <f aca="false">E180*E180</f>
        <v>0.455625</v>
      </c>
      <c r="P180" s="55" t="n">
        <f aca="false">SUMPRODUCT(F180:O180,_XtX!$B$71:$K$71)</f>
        <v>48.4046761363637</v>
      </c>
      <c r="Q180" s="55" t="n">
        <f aca="false">SUMPRODUCT(MMULT(F180:O180,_XtX!$B$58:$K$67),F180:O180)</f>
        <v>0.280407967862216</v>
      </c>
      <c r="R180" s="55" t="n">
        <f aca="false">P180-04_回帰ANOVA!$K$19*04_回帰ANOVA!$K$14*SQRT(1+Q180)</f>
        <v>47.3526153821876</v>
      </c>
      <c r="S180" s="55" t="n">
        <f aca="false">P180+04_回帰ANOVA!$K$19*04_回帰ANOVA!$K$14*SQRT(1+Q180)</f>
        <v>49.4567368905397</v>
      </c>
      <c r="T180" s="54" t="b">
        <f aca="false">AND(C180&gt;=01_因子設定!$L$5-0.000000001,C180&lt;=01_因子設定!$M$5+0.000000001,D180&gt;=01_因子設定!$L$6-0.000000001,D180&lt;=01_因子設定!$M$6+0.000000001,E180&gt;=01_因子設定!$L$7-0.000000001,E180&lt;=01_因子設定!$M$7+0.000000001,IF(01_因子設定!$B$20="Box-Behnken",C180^2+D180^2+E180^2&lt;=2+0.000000001,TRUE()))</f>
        <v>1</v>
      </c>
      <c r="U180" s="55" t="n">
        <f aca="false">IF(T180,IF(01_因子設定!$B$13="最大化",R180-01_因子設定!$B$14,IF(01_因子設定!$B$13="最小化",01_因子設定!$B$15-S180,MIN(R180-01_因子設定!$B$14,01_因子設定!$B$15-S180))),-1E+030)</f>
        <v>-1.14738461781238</v>
      </c>
      <c r="V180" s="55" t="n">
        <f aca="false">IF(U180&gt;=0,1,0)</f>
        <v>0</v>
      </c>
    </row>
    <row r="181" customFormat="false" ht="15" hidden="false" customHeight="false" outlineLevel="0" collapsed="false">
      <c r="A181" s="0" t="n">
        <v>3</v>
      </c>
      <c r="B181" s="0" t="n">
        <v>-0.65</v>
      </c>
      <c r="C181" s="57" t="n">
        <f aca="false">07_最適化!$B$6</f>
        <v>0.625</v>
      </c>
      <c r="D181" s="57" t="n">
        <f aca="false">07_最適化!$B$7</f>
        <v>0.75</v>
      </c>
      <c r="E181" s="55" t="n">
        <f aca="false">B181</f>
        <v>-0.65</v>
      </c>
      <c r="F181" s="55" t="n">
        <f aca="false">1</f>
        <v>1</v>
      </c>
      <c r="G181" s="57" t="n">
        <f aca="false">C181</f>
        <v>0.625</v>
      </c>
      <c r="H181" s="57" t="n">
        <f aca="false">D181</f>
        <v>0.75</v>
      </c>
      <c r="I181" s="55" t="n">
        <f aca="false">E181</f>
        <v>-0.65</v>
      </c>
      <c r="J181" s="55" t="n">
        <f aca="false">C181*D181</f>
        <v>0.46875</v>
      </c>
      <c r="K181" s="55" t="n">
        <f aca="false">C181*E181</f>
        <v>-0.40625</v>
      </c>
      <c r="L181" s="55" t="n">
        <f aca="false">D181*E181</f>
        <v>-0.4875</v>
      </c>
      <c r="M181" s="55" t="n">
        <f aca="false">C181*C181</f>
        <v>0.390625</v>
      </c>
      <c r="N181" s="55" t="n">
        <f aca="false">D181*D181</f>
        <v>0.5625</v>
      </c>
      <c r="O181" s="55" t="n">
        <f aca="false">E181*E181</f>
        <v>0.4225</v>
      </c>
      <c r="P181" s="55" t="n">
        <f aca="false">SUMPRODUCT(F181:O181,_XtX!$B$71:$K$71)</f>
        <v>48.4842670454546</v>
      </c>
      <c r="Q181" s="55" t="n">
        <f aca="false">SUMPRODUCT(MMULT(F181:O181,_XtX!$B$58:$K$67),F181:O181)</f>
        <v>0.274193501420455</v>
      </c>
      <c r="R181" s="55" t="n">
        <f aca="false">P181-04_回帰ANOVA!$K$19*04_回帰ANOVA!$K$14*SQRT(1+Q181)</f>
        <v>47.4347624877313</v>
      </c>
      <c r="S181" s="55" t="n">
        <f aca="false">P181+04_回帰ANOVA!$K$19*04_回帰ANOVA!$K$14*SQRT(1+Q181)</f>
        <v>49.5337716031779</v>
      </c>
      <c r="T181" s="54" t="b">
        <f aca="false">AND(C181&gt;=01_因子設定!$L$5-0.000000001,C181&lt;=01_因子設定!$M$5+0.000000001,D181&gt;=01_因子設定!$L$6-0.000000001,D181&lt;=01_因子設定!$M$6+0.000000001,E181&gt;=01_因子設定!$L$7-0.000000001,E181&lt;=01_因子設定!$M$7+0.000000001,IF(01_因子設定!$B$20="Box-Behnken",C181^2+D181^2+E181^2&lt;=2+0.000000001,TRUE()))</f>
        <v>1</v>
      </c>
      <c r="U181" s="55" t="n">
        <f aca="false">IF(T181,IF(01_因子設定!$B$13="最大化",R181-01_因子設定!$B$14,IF(01_因子設定!$B$13="最小化",01_因子設定!$B$15-S181,MIN(R181-01_因子設定!$B$14,01_因子設定!$B$15-S181))),-1E+030)</f>
        <v>-1.06523751226873</v>
      </c>
      <c r="V181" s="55" t="n">
        <f aca="false">IF(U181&gt;=0,1,0)</f>
        <v>0</v>
      </c>
    </row>
    <row r="182" customFormat="false" ht="15" hidden="false" customHeight="false" outlineLevel="0" collapsed="false">
      <c r="A182" s="0" t="n">
        <v>3</v>
      </c>
      <c r="B182" s="0" t="n">
        <v>-0.625</v>
      </c>
      <c r="C182" s="57" t="n">
        <f aca="false">07_最適化!$B$6</f>
        <v>0.625</v>
      </c>
      <c r="D182" s="57" t="n">
        <f aca="false">07_最適化!$B$7</f>
        <v>0.75</v>
      </c>
      <c r="E182" s="55" t="n">
        <f aca="false">B182</f>
        <v>-0.625</v>
      </c>
      <c r="F182" s="55" t="n">
        <f aca="false">1</f>
        <v>1</v>
      </c>
      <c r="G182" s="57" t="n">
        <f aca="false">C182</f>
        <v>0.625</v>
      </c>
      <c r="H182" s="57" t="n">
        <f aca="false">D182</f>
        <v>0.75</v>
      </c>
      <c r="I182" s="55" t="n">
        <f aca="false">E182</f>
        <v>-0.625</v>
      </c>
      <c r="J182" s="55" t="n">
        <f aca="false">C182*D182</f>
        <v>0.46875</v>
      </c>
      <c r="K182" s="55" t="n">
        <f aca="false">C182*E182</f>
        <v>-0.390625</v>
      </c>
      <c r="L182" s="55" t="n">
        <f aca="false">D182*E182</f>
        <v>-0.46875</v>
      </c>
      <c r="M182" s="55" t="n">
        <f aca="false">C182*C182</f>
        <v>0.390625</v>
      </c>
      <c r="N182" s="55" t="n">
        <f aca="false">D182*D182</f>
        <v>0.5625</v>
      </c>
      <c r="O182" s="55" t="n">
        <f aca="false">E182*E182</f>
        <v>0.390625</v>
      </c>
      <c r="P182" s="55" t="n">
        <f aca="false">SUMPRODUCT(F182:O182,_XtX!$B$71:$K$71)</f>
        <v>48.5623863636364</v>
      </c>
      <c r="Q182" s="55" t="n">
        <f aca="false">SUMPRODUCT(MMULT(F182:O182,_XtX!$B$58:$K$67),F182:O182)</f>
        <v>0.268966952237216</v>
      </c>
      <c r="R182" s="55" t="n">
        <f aca="false">P182-04_回帰ANOVA!$K$19*04_回帰ANOVA!$K$14*SQRT(1+Q182)</f>
        <v>47.5150364722584</v>
      </c>
      <c r="S182" s="55" t="n">
        <f aca="false">P182+04_回帰ANOVA!$K$19*04_回帰ANOVA!$K$14*SQRT(1+Q182)</f>
        <v>49.6097362550144</v>
      </c>
      <c r="T182" s="54" t="b">
        <f aca="false">AND(C182&gt;=01_因子設定!$L$5-0.000000001,C182&lt;=01_因子設定!$M$5+0.000000001,D182&gt;=01_因子設定!$L$6-0.000000001,D182&lt;=01_因子設定!$M$6+0.000000001,E182&gt;=01_因子設定!$L$7-0.000000001,E182&lt;=01_因子設定!$M$7+0.000000001,IF(01_因子設定!$B$20="Box-Behnken",C182^2+D182^2+E182^2&lt;=2+0.000000001,TRUE()))</f>
        <v>1</v>
      </c>
      <c r="U182" s="55" t="n">
        <f aca="false">IF(T182,IF(01_因子設定!$B$13="最大化",R182-01_因子設定!$B$14,IF(01_因子設定!$B$13="最小化",01_因子設定!$B$15-S182,MIN(R182-01_因子設定!$B$14,01_因子設定!$B$15-S182))),-1E+030)</f>
        <v>-0.984963527741641</v>
      </c>
      <c r="V182" s="55" t="n">
        <f aca="false">IF(U182&gt;=0,1,0)</f>
        <v>0</v>
      </c>
    </row>
    <row r="183" customFormat="false" ht="15" hidden="false" customHeight="false" outlineLevel="0" collapsed="false">
      <c r="A183" s="0" t="n">
        <v>3</v>
      </c>
      <c r="B183" s="0" t="n">
        <v>-0.6</v>
      </c>
      <c r="C183" s="57" t="n">
        <f aca="false">07_最適化!$B$6</f>
        <v>0.625</v>
      </c>
      <c r="D183" s="57" t="n">
        <f aca="false">07_最適化!$B$7</f>
        <v>0.75</v>
      </c>
      <c r="E183" s="55" t="n">
        <f aca="false">B183</f>
        <v>-0.6</v>
      </c>
      <c r="F183" s="55" t="n">
        <f aca="false">1</f>
        <v>1</v>
      </c>
      <c r="G183" s="57" t="n">
        <f aca="false">C183</f>
        <v>0.625</v>
      </c>
      <c r="H183" s="57" t="n">
        <f aca="false">D183</f>
        <v>0.75</v>
      </c>
      <c r="I183" s="55" t="n">
        <f aca="false">E183</f>
        <v>-0.6</v>
      </c>
      <c r="J183" s="55" t="n">
        <f aca="false">C183*D183</f>
        <v>0.46875</v>
      </c>
      <c r="K183" s="55" t="n">
        <f aca="false">C183*E183</f>
        <v>-0.375</v>
      </c>
      <c r="L183" s="55" t="n">
        <f aca="false">D183*E183</f>
        <v>-0.45</v>
      </c>
      <c r="M183" s="55" t="n">
        <f aca="false">C183*C183</f>
        <v>0.390625</v>
      </c>
      <c r="N183" s="55" t="n">
        <f aca="false">D183*D183</f>
        <v>0.5625</v>
      </c>
      <c r="O183" s="55" t="n">
        <f aca="false">E183*E183</f>
        <v>0.36</v>
      </c>
      <c r="P183" s="55" t="n">
        <f aca="false">SUMPRODUCT(F183:O183,_XtX!$B$71:$K$71)</f>
        <v>48.6390340909091</v>
      </c>
      <c r="Q183" s="55" t="n">
        <f aca="false">SUMPRODUCT(MMULT(F183:O183,_XtX!$B$58:$K$67),F183:O183)</f>
        <v>0.264641388494318</v>
      </c>
      <c r="R183" s="55" t="n">
        <f aca="false">P183-04_回帰ANOVA!$K$19*04_回帰ANOVA!$K$14*SQRT(1+Q183)</f>
        <v>47.5934707890124</v>
      </c>
      <c r="S183" s="55" t="n">
        <f aca="false">P183+04_回帰ANOVA!$K$19*04_回帰ANOVA!$K$14*SQRT(1+Q183)</f>
        <v>49.6845973928058</v>
      </c>
      <c r="T183" s="54" t="b">
        <f aca="false">AND(C183&gt;=01_因子設定!$L$5-0.000000001,C183&lt;=01_因子設定!$M$5+0.000000001,D183&gt;=01_因子設定!$L$6-0.000000001,D183&lt;=01_因子設定!$M$6+0.000000001,E183&gt;=01_因子設定!$L$7-0.000000001,E183&lt;=01_因子設定!$M$7+0.000000001,IF(01_因子設定!$B$20="Box-Behnken",C183^2+D183^2+E183^2&lt;=2+0.000000001,TRUE()))</f>
        <v>1</v>
      </c>
      <c r="U183" s="55" t="n">
        <f aca="false">IF(T183,IF(01_因子設定!$B$13="最大化",R183-01_因子設定!$B$14,IF(01_因子設定!$B$13="最小化",01_因子設定!$B$15-S183,MIN(R183-01_因子設定!$B$14,01_因子設定!$B$15-S183))),-1E+030)</f>
        <v>-0.906529210987571</v>
      </c>
      <c r="V183" s="55" t="n">
        <f aca="false">IF(U183&gt;=0,1,0)</f>
        <v>0</v>
      </c>
    </row>
    <row r="184" customFormat="false" ht="15" hidden="false" customHeight="false" outlineLevel="0" collapsed="false">
      <c r="A184" s="0" t="n">
        <v>3</v>
      </c>
      <c r="B184" s="0" t="n">
        <v>-0.575</v>
      </c>
      <c r="C184" s="57" t="n">
        <f aca="false">07_最適化!$B$6</f>
        <v>0.625</v>
      </c>
      <c r="D184" s="57" t="n">
        <f aca="false">07_最適化!$B$7</f>
        <v>0.75</v>
      </c>
      <c r="E184" s="55" t="n">
        <f aca="false">B184</f>
        <v>-0.575</v>
      </c>
      <c r="F184" s="55" t="n">
        <f aca="false">1</f>
        <v>1</v>
      </c>
      <c r="G184" s="57" t="n">
        <f aca="false">C184</f>
        <v>0.625</v>
      </c>
      <c r="H184" s="57" t="n">
        <f aca="false">D184</f>
        <v>0.75</v>
      </c>
      <c r="I184" s="55" t="n">
        <f aca="false">E184</f>
        <v>-0.575</v>
      </c>
      <c r="J184" s="55" t="n">
        <f aca="false">C184*D184</f>
        <v>0.46875</v>
      </c>
      <c r="K184" s="55" t="n">
        <f aca="false">C184*E184</f>
        <v>-0.359375</v>
      </c>
      <c r="L184" s="55" t="n">
        <f aca="false">D184*E184</f>
        <v>-0.43125</v>
      </c>
      <c r="M184" s="55" t="n">
        <f aca="false">C184*C184</f>
        <v>0.390625</v>
      </c>
      <c r="N184" s="55" t="n">
        <f aca="false">D184*D184</f>
        <v>0.5625</v>
      </c>
      <c r="O184" s="55" t="n">
        <f aca="false">E184*E184</f>
        <v>0.330625</v>
      </c>
      <c r="P184" s="55" t="n">
        <f aca="false">SUMPRODUCT(F184:O184,_XtX!$B$71:$K$71)</f>
        <v>48.7142102272727</v>
      </c>
      <c r="Q184" s="55" t="n">
        <f aca="false">SUMPRODUCT(MMULT(F184:O184,_XtX!$B$58:$K$67),F184:O184)</f>
        <v>0.261133287464489</v>
      </c>
      <c r="R184" s="55" t="n">
        <f aca="false">P184-04_回帰ANOVA!$K$19*04_回帰ANOVA!$K$14*SQRT(1+Q184)</f>
        <v>47.6700981229136</v>
      </c>
      <c r="S184" s="55" t="n">
        <f aca="false">P184+04_回帰ANOVA!$K$19*04_回帰ANOVA!$K$14*SQRT(1+Q184)</f>
        <v>49.7583223316319</v>
      </c>
      <c r="T184" s="54" t="b">
        <f aca="false">AND(C184&gt;=01_因子設定!$L$5-0.000000001,C184&lt;=01_因子設定!$M$5+0.000000001,D184&gt;=01_因子設定!$L$6-0.000000001,D184&lt;=01_因子設定!$M$6+0.000000001,E184&gt;=01_因子設定!$L$7-0.000000001,E184&lt;=01_因子設定!$M$7+0.000000001,IF(01_因子設定!$B$20="Box-Behnken",C184^2+D184^2+E184^2&lt;=2+0.000000001,TRUE()))</f>
        <v>1</v>
      </c>
      <c r="U184" s="55" t="n">
        <f aca="false">IF(T184,IF(01_因子設定!$B$13="最大化",R184-01_因子設定!$B$14,IF(01_因子設定!$B$13="最小化",01_因子設定!$B$15-S184,MIN(R184-01_因子設定!$B$14,01_因子設定!$B$15-S184))),-1E+030)</f>
        <v>-0.829901877086414</v>
      </c>
      <c r="V184" s="55" t="n">
        <f aca="false">IF(U184&gt;=0,1,0)</f>
        <v>0</v>
      </c>
    </row>
    <row r="185" customFormat="false" ht="15" hidden="false" customHeight="false" outlineLevel="0" collapsed="false">
      <c r="A185" s="0" t="n">
        <v>3</v>
      </c>
      <c r="B185" s="0" t="n">
        <v>-0.55</v>
      </c>
      <c r="C185" s="57" t="n">
        <f aca="false">07_最適化!$B$6</f>
        <v>0.625</v>
      </c>
      <c r="D185" s="57" t="n">
        <f aca="false">07_最適化!$B$7</f>
        <v>0.75</v>
      </c>
      <c r="E185" s="55" t="n">
        <f aca="false">B185</f>
        <v>-0.55</v>
      </c>
      <c r="F185" s="55" t="n">
        <f aca="false">1</f>
        <v>1</v>
      </c>
      <c r="G185" s="57" t="n">
        <f aca="false">C185</f>
        <v>0.625</v>
      </c>
      <c r="H185" s="57" t="n">
        <f aca="false">D185</f>
        <v>0.75</v>
      </c>
      <c r="I185" s="55" t="n">
        <f aca="false">E185</f>
        <v>-0.55</v>
      </c>
      <c r="J185" s="55" t="n">
        <f aca="false">C185*D185</f>
        <v>0.46875</v>
      </c>
      <c r="K185" s="55" t="n">
        <f aca="false">C185*E185</f>
        <v>-0.34375</v>
      </c>
      <c r="L185" s="55" t="n">
        <f aca="false">D185*E185</f>
        <v>-0.4125</v>
      </c>
      <c r="M185" s="55" t="n">
        <f aca="false">C185*C185</f>
        <v>0.390625</v>
      </c>
      <c r="N185" s="55" t="n">
        <f aca="false">D185*D185</f>
        <v>0.5625</v>
      </c>
      <c r="O185" s="55" t="n">
        <f aca="false">E185*E185</f>
        <v>0.3025</v>
      </c>
      <c r="P185" s="55" t="n">
        <f aca="false">SUMPRODUCT(F185:O185,_XtX!$B$71:$K$71)</f>
        <v>48.7879147727273</v>
      </c>
      <c r="Q185" s="55" t="n">
        <f aca="false">SUMPRODUCT(MMULT(F185:O185,_XtX!$B$58:$K$67),F185:O185)</f>
        <v>0.258362535511364</v>
      </c>
      <c r="R185" s="55" t="n">
        <f aca="false">P185-04_回帰ANOVA!$K$19*04_回帰ANOVA!$K$14*SQRT(1+Q185)</f>
        <v>47.7449502736293</v>
      </c>
      <c r="S185" s="55" t="n">
        <f aca="false">P185+04_回帰ANOVA!$K$19*04_回帰ANOVA!$K$14*SQRT(1+Q185)</f>
        <v>49.8308792718253</v>
      </c>
      <c r="T185" s="54" t="b">
        <f aca="false">AND(C185&gt;=01_因子設定!$L$5-0.000000001,C185&lt;=01_因子設定!$M$5+0.000000001,D185&gt;=01_因子設定!$L$6-0.000000001,D185&lt;=01_因子設定!$M$6+0.000000001,E185&gt;=01_因子設定!$L$7-0.000000001,E185&lt;=01_因子設定!$M$7+0.000000001,IF(01_因子設定!$B$20="Box-Behnken",C185^2+D185^2+E185^2&lt;=2+0.000000001,TRUE()))</f>
        <v>1</v>
      </c>
      <c r="U185" s="55" t="n">
        <f aca="false">IF(T185,IF(01_因子設定!$B$13="最大化",R185-01_因子設定!$B$14,IF(01_因子設定!$B$13="最小化",01_因子設定!$B$15-S185,MIN(R185-01_因子設定!$B$14,01_因子設定!$B$15-S185))),-1E+030)</f>
        <v>-0.755049726370721</v>
      </c>
      <c r="V185" s="55" t="n">
        <f aca="false">IF(U185&gt;=0,1,0)</f>
        <v>0</v>
      </c>
    </row>
    <row r="186" customFormat="false" ht="15" hidden="false" customHeight="false" outlineLevel="0" collapsed="false">
      <c r="A186" s="0" t="n">
        <v>3</v>
      </c>
      <c r="B186" s="0" t="n">
        <v>-0.525</v>
      </c>
      <c r="C186" s="57" t="n">
        <f aca="false">07_最適化!$B$6</f>
        <v>0.625</v>
      </c>
      <c r="D186" s="57" t="n">
        <f aca="false">07_最適化!$B$7</f>
        <v>0.75</v>
      </c>
      <c r="E186" s="55" t="n">
        <f aca="false">B186</f>
        <v>-0.525</v>
      </c>
      <c r="F186" s="55" t="n">
        <f aca="false">1</f>
        <v>1</v>
      </c>
      <c r="G186" s="57" t="n">
        <f aca="false">C186</f>
        <v>0.625</v>
      </c>
      <c r="H186" s="57" t="n">
        <f aca="false">D186</f>
        <v>0.75</v>
      </c>
      <c r="I186" s="55" t="n">
        <f aca="false">E186</f>
        <v>-0.525</v>
      </c>
      <c r="J186" s="55" t="n">
        <f aca="false">C186*D186</f>
        <v>0.46875</v>
      </c>
      <c r="K186" s="55" t="n">
        <f aca="false">C186*E186</f>
        <v>-0.328125</v>
      </c>
      <c r="L186" s="55" t="n">
        <f aca="false">D186*E186</f>
        <v>-0.39375</v>
      </c>
      <c r="M186" s="55" t="n">
        <f aca="false">C186*C186</f>
        <v>0.390625</v>
      </c>
      <c r="N186" s="55" t="n">
        <f aca="false">D186*D186</f>
        <v>0.5625</v>
      </c>
      <c r="O186" s="55" t="n">
        <f aca="false">E186*E186</f>
        <v>0.275625</v>
      </c>
      <c r="P186" s="55" t="n">
        <f aca="false">SUMPRODUCT(F186:O186,_XtX!$B$71:$K$71)</f>
        <v>48.8601477272727</v>
      </c>
      <c r="Q186" s="55" t="n">
        <f aca="false">SUMPRODUCT(MMULT(F186:O186,_XtX!$B$58:$K$67),F186:O186)</f>
        <v>0.256252428089489</v>
      </c>
      <c r="R186" s="55" t="n">
        <f aca="false">P186-04_回帰ANOVA!$K$19*04_回帰ANOVA!$K$14*SQRT(1+Q186)</f>
        <v>47.8180580517813</v>
      </c>
      <c r="S186" s="55" t="n">
        <f aca="false">P186+04_回帰ANOVA!$K$19*04_回帰ANOVA!$K$14*SQRT(1+Q186)</f>
        <v>49.9022374027641</v>
      </c>
      <c r="T186" s="54" t="b">
        <f aca="false">AND(C186&gt;=01_因子設定!$L$5-0.000000001,C186&lt;=01_因子設定!$M$5+0.000000001,D186&gt;=01_因子設定!$L$6-0.000000001,D186&lt;=01_因子設定!$M$6+0.000000001,E186&gt;=01_因子設定!$L$7-0.000000001,E186&lt;=01_因子設定!$M$7+0.000000001,IF(01_因子設定!$B$20="Box-Behnken",C186^2+D186^2+E186^2&lt;=2+0.000000001,TRUE()))</f>
        <v>1</v>
      </c>
      <c r="U186" s="55" t="n">
        <f aca="false">IF(T186,IF(01_因子設定!$B$13="最大化",R186-01_因子設定!$B$14,IF(01_因子設定!$B$13="最小化",01_因子設定!$B$15-S186,MIN(R186-01_因子設定!$B$14,01_因子設定!$B$15-S186))),-1E+030)</f>
        <v>-0.681941948218679</v>
      </c>
      <c r="V186" s="55" t="n">
        <f aca="false">IF(U186&gt;=0,1,0)</f>
        <v>0</v>
      </c>
    </row>
    <row r="187" customFormat="false" ht="15" hidden="false" customHeight="false" outlineLevel="0" collapsed="false">
      <c r="A187" s="0" t="n">
        <v>3</v>
      </c>
      <c r="B187" s="0" t="n">
        <v>-0.5</v>
      </c>
      <c r="C187" s="57" t="n">
        <f aca="false">07_最適化!$B$6</f>
        <v>0.625</v>
      </c>
      <c r="D187" s="57" t="n">
        <f aca="false">07_最適化!$B$7</f>
        <v>0.75</v>
      </c>
      <c r="E187" s="55" t="n">
        <f aca="false">B187</f>
        <v>-0.5</v>
      </c>
      <c r="F187" s="55" t="n">
        <f aca="false">1</f>
        <v>1</v>
      </c>
      <c r="G187" s="57" t="n">
        <f aca="false">C187</f>
        <v>0.625</v>
      </c>
      <c r="H187" s="57" t="n">
        <f aca="false">D187</f>
        <v>0.75</v>
      </c>
      <c r="I187" s="55" t="n">
        <f aca="false">E187</f>
        <v>-0.5</v>
      </c>
      <c r="J187" s="55" t="n">
        <f aca="false">C187*D187</f>
        <v>0.46875</v>
      </c>
      <c r="K187" s="55" t="n">
        <f aca="false">C187*E187</f>
        <v>-0.3125</v>
      </c>
      <c r="L187" s="55" t="n">
        <f aca="false">D187*E187</f>
        <v>-0.375</v>
      </c>
      <c r="M187" s="55" t="n">
        <f aca="false">C187*C187</f>
        <v>0.390625</v>
      </c>
      <c r="N187" s="55" t="n">
        <f aca="false">D187*D187</f>
        <v>0.5625</v>
      </c>
      <c r="O187" s="55" t="n">
        <f aca="false">E187*E187</f>
        <v>0.25</v>
      </c>
      <c r="P187" s="55" t="n">
        <f aca="false">SUMPRODUCT(F187:O187,_XtX!$B$71:$K$71)</f>
        <v>48.9309090909091</v>
      </c>
      <c r="Q187" s="55" t="n">
        <f aca="false">SUMPRODUCT(MMULT(F187:O187,_XtX!$B$58:$K$67),F187:O187)</f>
        <v>0.254729669744318</v>
      </c>
      <c r="R187" s="55" t="n">
        <f aca="false">P187-04_回帰ANOVA!$K$19*04_回帰ANOVA!$K$14*SQRT(1+Q187)</f>
        <v>47.8894511880928</v>
      </c>
      <c r="S187" s="55" t="n">
        <f aca="false">P187+04_回帰ANOVA!$K$19*04_回帰ANOVA!$K$14*SQRT(1+Q187)</f>
        <v>49.9723669937254</v>
      </c>
      <c r="T187" s="54" t="b">
        <f aca="false">AND(C187&gt;=01_因子設定!$L$5-0.000000001,C187&lt;=01_因子設定!$M$5+0.000000001,D187&gt;=01_因子設定!$L$6-0.000000001,D187&lt;=01_因子設定!$M$6+0.000000001,E187&gt;=01_因子設定!$L$7-0.000000001,E187&lt;=01_因子設定!$M$7+0.000000001,IF(01_因子設定!$B$20="Box-Behnken",C187^2+D187^2+E187^2&lt;=2+0.000000001,TRUE()))</f>
        <v>1</v>
      </c>
      <c r="U187" s="55" t="n">
        <f aca="false">IF(T187,IF(01_因子設定!$B$13="最大化",R187-01_因子設定!$B$14,IF(01_因子設定!$B$13="最小化",01_因子設定!$B$15-S187,MIN(R187-01_因子設定!$B$14,01_因子設定!$B$15-S187))),-1E+030)</f>
        <v>-0.610548811907215</v>
      </c>
      <c r="V187" s="55" t="n">
        <f aca="false">IF(U187&gt;=0,1,0)</f>
        <v>0</v>
      </c>
    </row>
    <row r="188" customFormat="false" ht="15" hidden="false" customHeight="false" outlineLevel="0" collapsed="false">
      <c r="A188" s="0" t="n">
        <v>3</v>
      </c>
      <c r="B188" s="0" t="n">
        <v>-0.475</v>
      </c>
      <c r="C188" s="57" t="n">
        <f aca="false">07_最適化!$B$6</f>
        <v>0.625</v>
      </c>
      <c r="D188" s="57" t="n">
        <f aca="false">07_最適化!$B$7</f>
        <v>0.75</v>
      </c>
      <c r="E188" s="55" t="n">
        <f aca="false">B188</f>
        <v>-0.475</v>
      </c>
      <c r="F188" s="55" t="n">
        <f aca="false">1</f>
        <v>1</v>
      </c>
      <c r="G188" s="57" t="n">
        <f aca="false">C188</f>
        <v>0.625</v>
      </c>
      <c r="H188" s="57" t="n">
        <f aca="false">D188</f>
        <v>0.75</v>
      </c>
      <c r="I188" s="55" t="n">
        <f aca="false">E188</f>
        <v>-0.475</v>
      </c>
      <c r="J188" s="55" t="n">
        <f aca="false">C188*D188</f>
        <v>0.46875</v>
      </c>
      <c r="K188" s="55" t="n">
        <f aca="false">C188*E188</f>
        <v>-0.296875</v>
      </c>
      <c r="L188" s="55" t="n">
        <f aca="false">D188*E188</f>
        <v>-0.35625</v>
      </c>
      <c r="M188" s="55" t="n">
        <f aca="false">C188*C188</f>
        <v>0.390625</v>
      </c>
      <c r="N188" s="55" t="n">
        <f aca="false">D188*D188</f>
        <v>0.5625</v>
      </c>
      <c r="O188" s="55" t="n">
        <f aca="false">E188*E188</f>
        <v>0.225625</v>
      </c>
      <c r="P188" s="55" t="n">
        <f aca="false">SUMPRODUCT(F188:O188,_XtX!$B$71:$K$71)</f>
        <v>49.0001988636364</v>
      </c>
      <c r="Q188" s="55" t="n">
        <f aca="false">SUMPRODUCT(MMULT(F188:O188,_XtX!$B$58:$K$67),F188:O188)</f>
        <v>0.253724374112216</v>
      </c>
      <c r="R188" s="55" t="n">
        <f aca="false">P188-04_回帰ANOVA!$K$19*04_回帰ANOVA!$K$14*SQRT(1+Q188)</f>
        <v>47.9591582550389</v>
      </c>
      <c r="S188" s="55" t="n">
        <f aca="false">P188+04_回帰ANOVA!$K$19*04_回帰ANOVA!$K$14*SQRT(1+Q188)</f>
        <v>50.0412394722339</v>
      </c>
      <c r="T188" s="54" t="b">
        <f aca="false">AND(C188&gt;=01_因子設定!$L$5-0.000000001,C188&lt;=01_因子設定!$M$5+0.000000001,D188&gt;=01_因子設定!$L$6-0.000000001,D188&lt;=01_因子設定!$M$6+0.000000001,E188&gt;=01_因子設定!$L$7-0.000000001,E188&lt;=01_因子設定!$M$7+0.000000001,IF(01_因子設定!$B$20="Box-Behnken",C188^2+D188^2+E188^2&lt;=2+0.000000001,TRUE()))</f>
        <v>1</v>
      </c>
      <c r="U188" s="55" t="n">
        <f aca="false">IF(T188,IF(01_因子設定!$B$13="最大化",R188-01_因子設定!$B$14,IF(01_因子設定!$B$13="最小化",01_因子設定!$B$15-S188,MIN(R188-01_因子設定!$B$14,01_因子設定!$B$15-S188))),-1E+030)</f>
        <v>-0.540841744961107</v>
      </c>
      <c r="V188" s="55" t="n">
        <f aca="false">IF(U188&gt;=0,1,0)</f>
        <v>0</v>
      </c>
    </row>
    <row r="189" customFormat="false" ht="15" hidden="false" customHeight="false" outlineLevel="0" collapsed="false">
      <c r="A189" s="0" t="n">
        <v>3</v>
      </c>
      <c r="B189" s="0" t="n">
        <v>-0.45</v>
      </c>
      <c r="C189" s="57" t="n">
        <f aca="false">07_最適化!$B$6</f>
        <v>0.625</v>
      </c>
      <c r="D189" s="57" t="n">
        <f aca="false">07_最適化!$B$7</f>
        <v>0.75</v>
      </c>
      <c r="E189" s="55" t="n">
        <f aca="false">B189</f>
        <v>-0.45</v>
      </c>
      <c r="F189" s="55" t="n">
        <f aca="false">1</f>
        <v>1</v>
      </c>
      <c r="G189" s="57" t="n">
        <f aca="false">C189</f>
        <v>0.625</v>
      </c>
      <c r="H189" s="57" t="n">
        <f aca="false">D189</f>
        <v>0.75</v>
      </c>
      <c r="I189" s="55" t="n">
        <f aca="false">E189</f>
        <v>-0.45</v>
      </c>
      <c r="J189" s="55" t="n">
        <f aca="false">C189*D189</f>
        <v>0.46875</v>
      </c>
      <c r="K189" s="55" t="n">
        <f aca="false">C189*E189</f>
        <v>-0.28125</v>
      </c>
      <c r="L189" s="55" t="n">
        <f aca="false">D189*E189</f>
        <v>-0.3375</v>
      </c>
      <c r="M189" s="55" t="n">
        <f aca="false">C189*C189</f>
        <v>0.390625</v>
      </c>
      <c r="N189" s="55" t="n">
        <f aca="false">D189*D189</f>
        <v>0.5625</v>
      </c>
      <c r="O189" s="55" t="n">
        <f aca="false">E189*E189</f>
        <v>0.2025</v>
      </c>
      <c r="P189" s="55" t="n">
        <f aca="false">SUMPRODUCT(F189:O189,_XtX!$B$71:$K$71)</f>
        <v>49.0680170454546</v>
      </c>
      <c r="Q189" s="55" t="n">
        <f aca="false">SUMPRODUCT(MMULT(F189:O189,_XtX!$B$58:$K$67),F189:O189)</f>
        <v>0.253170063920455</v>
      </c>
      <c r="R189" s="55" t="n">
        <f aca="false">P189-04_回帰ANOVA!$K$19*04_回帰ANOVA!$K$14*SQRT(1+Q189)</f>
        <v>48.027206600372</v>
      </c>
      <c r="S189" s="55" t="n">
        <f aca="false">P189+04_回帰ANOVA!$K$19*04_回帰ANOVA!$K$14*SQRT(1+Q189)</f>
        <v>50.1088274905371</v>
      </c>
      <c r="T189" s="54" t="b">
        <f aca="false">AND(C189&gt;=01_因子設定!$L$5-0.000000001,C189&lt;=01_因子設定!$M$5+0.000000001,D189&gt;=01_因子設定!$L$6-0.000000001,D189&lt;=01_因子設定!$M$6+0.000000001,E189&gt;=01_因子設定!$L$7-0.000000001,E189&lt;=01_因子設定!$M$7+0.000000001,IF(01_因子設定!$B$20="Box-Behnken",C189^2+D189^2+E189^2&lt;=2+0.000000001,TRUE()))</f>
        <v>1</v>
      </c>
      <c r="U189" s="55" t="n">
        <f aca="false">IF(T189,IF(01_因子設定!$B$13="最大化",R189-01_因子設定!$B$14,IF(01_因子設定!$B$13="最小化",01_因子設定!$B$15-S189,MIN(R189-01_因子設定!$B$14,01_因子設定!$B$15-S189))),-1E+030)</f>
        <v>-0.472793399627982</v>
      </c>
      <c r="V189" s="55" t="n">
        <f aca="false">IF(U189&gt;=0,1,0)</f>
        <v>0</v>
      </c>
    </row>
    <row r="190" customFormat="false" ht="15" hidden="false" customHeight="false" outlineLevel="0" collapsed="false">
      <c r="A190" s="0" t="n">
        <v>3</v>
      </c>
      <c r="B190" s="0" t="n">
        <v>-0.425</v>
      </c>
      <c r="C190" s="57" t="n">
        <f aca="false">07_最適化!$B$6</f>
        <v>0.625</v>
      </c>
      <c r="D190" s="57" t="n">
        <f aca="false">07_最適化!$B$7</f>
        <v>0.75</v>
      </c>
      <c r="E190" s="55" t="n">
        <f aca="false">B190</f>
        <v>-0.425</v>
      </c>
      <c r="F190" s="55" t="n">
        <f aca="false">1</f>
        <v>1</v>
      </c>
      <c r="G190" s="57" t="n">
        <f aca="false">C190</f>
        <v>0.625</v>
      </c>
      <c r="H190" s="57" t="n">
        <f aca="false">D190</f>
        <v>0.75</v>
      </c>
      <c r="I190" s="55" t="n">
        <f aca="false">E190</f>
        <v>-0.425</v>
      </c>
      <c r="J190" s="55" t="n">
        <f aca="false">C190*D190</f>
        <v>0.46875</v>
      </c>
      <c r="K190" s="55" t="n">
        <f aca="false">C190*E190</f>
        <v>-0.265625</v>
      </c>
      <c r="L190" s="55" t="n">
        <f aca="false">D190*E190</f>
        <v>-0.31875</v>
      </c>
      <c r="M190" s="55" t="n">
        <f aca="false">C190*C190</f>
        <v>0.390625</v>
      </c>
      <c r="N190" s="55" t="n">
        <f aca="false">D190*D190</f>
        <v>0.5625</v>
      </c>
      <c r="O190" s="55" t="n">
        <f aca="false">E190*E190</f>
        <v>0.180625</v>
      </c>
      <c r="P190" s="55" t="n">
        <f aca="false">SUMPRODUCT(F190:O190,_XtX!$B$71:$K$71)</f>
        <v>49.1343636363636</v>
      </c>
      <c r="Q190" s="55" t="n">
        <f aca="false">SUMPRODUCT(MMULT(F190:O190,_XtX!$B$58:$K$67),F190:O190)</f>
        <v>0.253003670987216</v>
      </c>
      <c r="R190" s="55" t="n">
        <f aca="false">P190-04_回帰ANOVA!$K$19*04_回帰ANOVA!$K$14*SQRT(1+Q190)</f>
        <v>48.0936222917396</v>
      </c>
      <c r="S190" s="55" t="n">
        <f aca="false">P190+04_回帰ANOVA!$K$19*04_回帰ANOVA!$K$14*SQRT(1+Q190)</f>
        <v>50.1751049809877</v>
      </c>
      <c r="T190" s="54" t="b">
        <f aca="false">AND(C190&gt;=01_因子設定!$L$5-0.000000001,C190&lt;=01_因子設定!$M$5+0.000000001,D190&gt;=01_因子設定!$L$6-0.000000001,D190&lt;=01_因子設定!$M$6+0.000000001,E190&gt;=01_因子設定!$L$7-0.000000001,E190&lt;=01_因子設定!$M$7+0.000000001,IF(01_因子設定!$B$20="Box-Behnken",C190^2+D190^2+E190^2&lt;=2+0.000000001,TRUE()))</f>
        <v>1</v>
      </c>
      <c r="U190" s="55" t="n">
        <f aca="false">IF(T190,IF(01_因子設定!$B$13="最大化",R190-01_因子設定!$B$14,IF(01_因子設定!$B$13="最小化",01_因子設定!$B$15-S190,MIN(R190-01_因子設定!$B$14,01_因子設定!$B$15-S190))),-1E+030)</f>
        <v>-0.406377708260379</v>
      </c>
      <c r="V190" s="55" t="n">
        <f aca="false">IF(U190&gt;=0,1,0)</f>
        <v>0</v>
      </c>
    </row>
    <row r="191" customFormat="false" ht="15" hidden="false" customHeight="false" outlineLevel="0" collapsed="false">
      <c r="A191" s="0" t="n">
        <v>3</v>
      </c>
      <c r="B191" s="0" t="n">
        <v>-0.4</v>
      </c>
      <c r="C191" s="57" t="n">
        <f aca="false">07_最適化!$B$6</f>
        <v>0.625</v>
      </c>
      <c r="D191" s="57" t="n">
        <f aca="false">07_最適化!$B$7</f>
        <v>0.75</v>
      </c>
      <c r="E191" s="55" t="n">
        <f aca="false">B191</f>
        <v>-0.4</v>
      </c>
      <c r="F191" s="55" t="n">
        <f aca="false">1</f>
        <v>1</v>
      </c>
      <c r="G191" s="57" t="n">
        <f aca="false">C191</f>
        <v>0.625</v>
      </c>
      <c r="H191" s="57" t="n">
        <f aca="false">D191</f>
        <v>0.75</v>
      </c>
      <c r="I191" s="55" t="n">
        <f aca="false">E191</f>
        <v>-0.4</v>
      </c>
      <c r="J191" s="55" t="n">
        <f aca="false">C191*D191</f>
        <v>0.46875</v>
      </c>
      <c r="K191" s="55" t="n">
        <f aca="false">C191*E191</f>
        <v>-0.25</v>
      </c>
      <c r="L191" s="55" t="n">
        <f aca="false">D191*E191</f>
        <v>-0.3</v>
      </c>
      <c r="M191" s="55" t="n">
        <f aca="false">C191*C191</f>
        <v>0.390625</v>
      </c>
      <c r="N191" s="55" t="n">
        <f aca="false">D191*D191</f>
        <v>0.5625</v>
      </c>
      <c r="O191" s="55" t="n">
        <f aca="false">E191*E191</f>
        <v>0.16</v>
      </c>
      <c r="P191" s="55" t="n">
        <f aca="false">SUMPRODUCT(F191:O191,_XtX!$B$71:$K$71)</f>
        <v>49.1992386363636</v>
      </c>
      <c r="Q191" s="55" t="n">
        <f aca="false">SUMPRODUCT(MMULT(F191:O191,_XtX!$B$58:$K$67),F191:O191)</f>
        <v>0.253165536221591</v>
      </c>
      <c r="R191" s="55" t="n">
        <f aca="false">P191-04_回帰ANOVA!$K$19*04_回帰ANOVA!$K$14*SQRT(1+Q191)</f>
        <v>48.158430071505</v>
      </c>
      <c r="S191" s="55" t="n">
        <f aca="false">P191+04_回帰ANOVA!$K$19*04_回帰ANOVA!$K$14*SQRT(1+Q191)</f>
        <v>50.2400472012223</v>
      </c>
      <c r="T191" s="54" t="b">
        <f aca="false">AND(C191&gt;=01_因子設定!$L$5-0.000000001,C191&lt;=01_因子設定!$M$5+0.000000001,D191&gt;=01_因子設定!$L$6-0.000000001,D191&lt;=01_因子設定!$M$6+0.000000001,E191&gt;=01_因子設定!$L$7-0.000000001,E191&lt;=01_因子設定!$M$7+0.000000001,IF(01_因子設定!$B$20="Box-Behnken",C191^2+D191^2+E191^2&lt;=2+0.000000001,TRUE()))</f>
        <v>1</v>
      </c>
      <c r="U191" s="55" t="n">
        <f aca="false">IF(T191,IF(01_因子設定!$B$13="最大化",R191-01_因子設定!$B$14,IF(01_因子設定!$B$13="最小化",01_因子設定!$B$15-S191,MIN(R191-01_因子設定!$B$14,01_因子設定!$B$15-S191))),-1E+030)</f>
        <v>-0.341569928495026</v>
      </c>
      <c r="V191" s="55" t="n">
        <f aca="false">IF(U191&gt;=0,1,0)</f>
        <v>0</v>
      </c>
    </row>
    <row r="192" customFormat="false" ht="15" hidden="false" customHeight="false" outlineLevel="0" collapsed="false">
      <c r="A192" s="0" t="n">
        <v>3</v>
      </c>
      <c r="B192" s="0" t="n">
        <v>-0.375</v>
      </c>
      <c r="C192" s="57" t="n">
        <f aca="false">07_最適化!$B$6</f>
        <v>0.625</v>
      </c>
      <c r="D192" s="57" t="n">
        <f aca="false">07_最適化!$B$7</f>
        <v>0.75</v>
      </c>
      <c r="E192" s="55" t="n">
        <f aca="false">B192</f>
        <v>-0.375</v>
      </c>
      <c r="F192" s="55" t="n">
        <f aca="false">1</f>
        <v>1</v>
      </c>
      <c r="G192" s="57" t="n">
        <f aca="false">C192</f>
        <v>0.625</v>
      </c>
      <c r="H192" s="57" t="n">
        <f aca="false">D192</f>
        <v>0.75</v>
      </c>
      <c r="I192" s="55" t="n">
        <f aca="false">E192</f>
        <v>-0.375</v>
      </c>
      <c r="J192" s="55" t="n">
        <f aca="false">C192*D192</f>
        <v>0.46875</v>
      </c>
      <c r="K192" s="55" t="n">
        <f aca="false">C192*E192</f>
        <v>-0.234375</v>
      </c>
      <c r="L192" s="55" t="n">
        <f aca="false">D192*E192</f>
        <v>-0.28125</v>
      </c>
      <c r="M192" s="55" t="n">
        <f aca="false">C192*C192</f>
        <v>0.390625</v>
      </c>
      <c r="N192" s="55" t="n">
        <f aca="false">D192*D192</f>
        <v>0.5625</v>
      </c>
      <c r="O192" s="55" t="n">
        <f aca="false">E192*E192</f>
        <v>0.140625</v>
      </c>
      <c r="P192" s="55" t="n">
        <f aca="false">SUMPRODUCT(F192:O192,_XtX!$B$71:$K$71)</f>
        <v>49.2626420454546</v>
      </c>
      <c r="Q192" s="55" t="n">
        <f aca="false">SUMPRODUCT(MMULT(F192:O192,_XtX!$B$58:$K$67),F192:O192)</f>
        <v>0.25359940962358</v>
      </c>
      <c r="R192" s="55" t="n">
        <f aca="false">P192-04_回帰ANOVA!$K$19*04_回帰ANOVA!$K$14*SQRT(1+Q192)</f>
        <v>48.2216533208086</v>
      </c>
      <c r="S192" s="55" t="n">
        <f aca="false">P192+04_回帰ANOVA!$K$19*04_回帰ANOVA!$K$14*SQRT(1+Q192)</f>
        <v>50.3036307701005</v>
      </c>
      <c r="T192" s="54" t="b">
        <f aca="false">AND(C192&gt;=01_因子設定!$L$5-0.000000001,C192&lt;=01_因子設定!$M$5+0.000000001,D192&gt;=01_因子設定!$L$6-0.000000001,D192&lt;=01_因子設定!$M$6+0.000000001,E192&gt;=01_因子設定!$L$7-0.000000001,E192&lt;=01_因子設定!$M$7+0.000000001,IF(01_因子設定!$B$20="Box-Behnken",C192^2+D192^2+E192^2&lt;=2+0.000000001,TRUE()))</f>
        <v>1</v>
      </c>
      <c r="U192" s="55" t="n">
        <f aca="false">IF(T192,IF(01_因子設定!$B$13="最大化",R192-01_因子設定!$B$14,IF(01_因子設定!$B$13="最小化",01_因子設定!$B$15-S192,MIN(R192-01_因子設定!$B$14,01_因子設定!$B$15-S192))),-1E+030)</f>
        <v>-0.278346679191436</v>
      </c>
      <c r="V192" s="55" t="n">
        <f aca="false">IF(U192&gt;=0,1,0)</f>
        <v>0</v>
      </c>
    </row>
    <row r="193" customFormat="false" ht="15" hidden="false" customHeight="false" outlineLevel="0" collapsed="false">
      <c r="A193" s="0" t="n">
        <v>3</v>
      </c>
      <c r="B193" s="0" t="n">
        <v>-0.35</v>
      </c>
      <c r="C193" s="57" t="n">
        <f aca="false">07_最適化!$B$6</f>
        <v>0.625</v>
      </c>
      <c r="D193" s="57" t="n">
        <f aca="false">07_最適化!$B$7</f>
        <v>0.75</v>
      </c>
      <c r="E193" s="55" t="n">
        <f aca="false">B193</f>
        <v>-0.35</v>
      </c>
      <c r="F193" s="55" t="n">
        <f aca="false">1</f>
        <v>1</v>
      </c>
      <c r="G193" s="57" t="n">
        <f aca="false">C193</f>
        <v>0.625</v>
      </c>
      <c r="H193" s="57" t="n">
        <f aca="false">D193</f>
        <v>0.75</v>
      </c>
      <c r="I193" s="55" t="n">
        <f aca="false">E193</f>
        <v>-0.35</v>
      </c>
      <c r="J193" s="55" t="n">
        <f aca="false">C193*D193</f>
        <v>0.46875</v>
      </c>
      <c r="K193" s="55" t="n">
        <f aca="false">C193*E193</f>
        <v>-0.21875</v>
      </c>
      <c r="L193" s="55" t="n">
        <f aca="false">D193*E193</f>
        <v>-0.2625</v>
      </c>
      <c r="M193" s="55" t="n">
        <f aca="false">C193*C193</f>
        <v>0.390625</v>
      </c>
      <c r="N193" s="55" t="n">
        <f aca="false">D193*D193</f>
        <v>0.5625</v>
      </c>
      <c r="O193" s="55" t="n">
        <f aca="false">E193*E193</f>
        <v>0.1225</v>
      </c>
      <c r="P193" s="55" t="n">
        <f aca="false">SUMPRODUCT(F193:O193,_XtX!$B$71:$K$71)</f>
        <v>49.3245738636364</v>
      </c>
      <c r="Q193" s="55" t="n">
        <f aca="false">SUMPRODUCT(MMULT(F193:O193,_XtX!$B$58:$K$67),F193:O193)</f>
        <v>0.254252450284091</v>
      </c>
      <c r="R193" s="55" t="n">
        <f aca="false">P193-04_回帰ANOVA!$K$19*04_回帰ANOVA!$K$14*SQRT(1+Q193)</f>
        <v>48.2833140318693</v>
      </c>
      <c r="S193" s="55" t="n">
        <f aca="false">P193+04_回帰ANOVA!$K$19*04_回帰ANOVA!$K$14*SQRT(1+Q193)</f>
        <v>50.3658336954034</v>
      </c>
      <c r="T193" s="54" t="b">
        <f aca="false">AND(C193&gt;=01_因子設定!$L$5-0.000000001,C193&lt;=01_因子設定!$M$5+0.000000001,D193&gt;=01_因子設定!$L$6-0.000000001,D193&lt;=01_因子設定!$M$6+0.000000001,E193&gt;=01_因子設定!$L$7-0.000000001,E193&lt;=01_因子設定!$M$7+0.000000001,IF(01_因子設定!$B$20="Box-Behnken",C193^2+D193^2+E193^2&lt;=2+0.000000001,TRUE()))</f>
        <v>1</v>
      </c>
      <c r="U193" s="55" t="n">
        <f aca="false">IF(T193,IF(01_因子設定!$B$13="最大化",R193-01_因子設定!$B$14,IF(01_因子設定!$B$13="最小化",01_因子設定!$B$15-S193,MIN(R193-01_因子設定!$B$14,01_因子設定!$B$15-S193))),-1E+030)</f>
        <v>-0.216685968130705</v>
      </c>
      <c r="V193" s="55" t="n">
        <f aca="false">IF(U193&gt;=0,1,0)</f>
        <v>0</v>
      </c>
    </row>
    <row r="194" customFormat="false" ht="15" hidden="false" customHeight="false" outlineLevel="0" collapsed="false">
      <c r="A194" s="0" t="n">
        <v>3</v>
      </c>
      <c r="B194" s="0" t="n">
        <v>-0.325</v>
      </c>
      <c r="C194" s="57" t="n">
        <f aca="false">07_最適化!$B$6</f>
        <v>0.625</v>
      </c>
      <c r="D194" s="57" t="n">
        <f aca="false">07_最適化!$B$7</f>
        <v>0.75</v>
      </c>
      <c r="E194" s="55" t="n">
        <f aca="false">B194</f>
        <v>-0.325</v>
      </c>
      <c r="F194" s="55" t="n">
        <f aca="false">1</f>
        <v>1</v>
      </c>
      <c r="G194" s="57" t="n">
        <f aca="false">C194</f>
        <v>0.625</v>
      </c>
      <c r="H194" s="57" t="n">
        <f aca="false">D194</f>
        <v>0.75</v>
      </c>
      <c r="I194" s="55" t="n">
        <f aca="false">E194</f>
        <v>-0.325</v>
      </c>
      <c r="J194" s="55" t="n">
        <f aca="false">C194*D194</f>
        <v>0.46875</v>
      </c>
      <c r="K194" s="55" t="n">
        <f aca="false">C194*E194</f>
        <v>-0.203125</v>
      </c>
      <c r="L194" s="55" t="n">
        <f aca="false">D194*E194</f>
        <v>-0.24375</v>
      </c>
      <c r="M194" s="55" t="n">
        <f aca="false">C194*C194</f>
        <v>0.390625</v>
      </c>
      <c r="N194" s="55" t="n">
        <f aca="false">D194*D194</f>
        <v>0.5625</v>
      </c>
      <c r="O194" s="55" t="n">
        <f aca="false">E194*E194</f>
        <v>0.105625</v>
      </c>
      <c r="P194" s="55" t="n">
        <f aca="false">SUMPRODUCT(F194:O194,_XtX!$B$71:$K$71)</f>
        <v>49.3850340909091</v>
      </c>
      <c r="Q194" s="55" t="n">
        <f aca="false">SUMPRODUCT(MMULT(F194:O194,_XtX!$B$58:$K$67),F194:O194)</f>
        <v>0.255075226384943</v>
      </c>
      <c r="R194" s="55" t="n">
        <f aca="false">P194-04_回帰ANOVA!$K$19*04_回帰ANOVA!$K$14*SQRT(1+Q194)</f>
        <v>48.3434327875149</v>
      </c>
      <c r="S194" s="55" t="n">
        <f aca="false">P194+04_回帰ANOVA!$K$19*04_回帰ANOVA!$K$14*SQRT(1+Q194)</f>
        <v>50.4266353943033</v>
      </c>
      <c r="T194" s="54" t="b">
        <f aca="false">AND(C194&gt;=01_因子設定!$L$5-0.000000001,C194&lt;=01_因子設定!$M$5+0.000000001,D194&gt;=01_因子設定!$L$6-0.000000001,D194&lt;=01_因子設定!$M$6+0.000000001,E194&gt;=01_因子設定!$L$7-0.000000001,E194&lt;=01_因子設定!$M$7+0.000000001,IF(01_因子設定!$B$20="Box-Behnken",C194^2+D194^2+E194^2&lt;=2+0.000000001,TRUE()))</f>
        <v>1</v>
      </c>
      <c r="U194" s="55" t="n">
        <f aca="false">IF(T194,IF(01_因子設定!$B$13="最大化",R194-01_因子設定!$B$14,IF(01_因子設定!$B$13="最小化",01_因子設定!$B$15-S194,MIN(R194-01_因子設定!$B$14,01_因子設定!$B$15-S194))),-1E+030)</f>
        <v>-0.156567212485093</v>
      </c>
      <c r="V194" s="55" t="n">
        <f aca="false">IF(U194&gt;=0,1,0)</f>
        <v>0</v>
      </c>
    </row>
    <row r="195" customFormat="false" ht="15" hidden="false" customHeight="false" outlineLevel="0" collapsed="false">
      <c r="A195" s="0" t="n">
        <v>3</v>
      </c>
      <c r="B195" s="0" t="n">
        <v>-0.3</v>
      </c>
      <c r="C195" s="57" t="n">
        <f aca="false">07_最適化!$B$6</f>
        <v>0.625</v>
      </c>
      <c r="D195" s="57" t="n">
        <f aca="false">07_最適化!$B$7</f>
        <v>0.75</v>
      </c>
      <c r="E195" s="55" t="n">
        <f aca="false">B195</f>
        <v>-0.3</v>
      </c>
      <c r="F195" s="55" t="n">
        <f aca="false">1</f>
        <v>1</v>
      </c>
      <c r="G195" s="57" t="n">
        <f aca="false">C195</f>
        <v>0.625</v>
      </c>
      <c r="H195" s="57" t="n">
        <f aca="false">D195</f>
        <v>0.75</v>
      </c>
      <c r="I195" s="55" t="n">
        <f aca="false">E195</f>
        <v>-0.3</v>
      </c>
      <c r="J195" s="55" t="n">
        <f aca="false">C195*D195</f>
        <v>0.46875</v>
      </c>
      <c r="K195" s="55" t="n">
        <f aca="false">C195*E195</f>
        <v>-0.1875</v>
      </c>
      <c r="L195" s="55" t="n">
        <f aca="false">D195*E195</f>
        <v>-0.225</v>
      </c>
      <c r="M195" s="55" t="n">
        <f aca="false">C195*C195</f>
        <v>0.390625</v>
      </c>
      <c r="N195" s="55" t="n">
        <f aca="false">D195*D195</f>
        <v>0.5625</v>
      </c>
      <c r="O195" s="55" t="n">
        <f aca="false">E195*E195</f>
        <v>0.09</v>
      </c>
      <c r="P195" s="55" t="n">
        <f aca="false">SUMPRODUCT(F195:O195,_XtX!$B$71:$K$71)</f>
        <v>49.4440227272727</v>
      </c>
      <c r="Q195" s="55" t="n">
        <f aca="false">SUMPRODUCT(MMULT(F195:O195,_XtX!$B$58:$K$67),F195:O195)</f>
        <v>0.256021715198864</v>
      </c>
      <c r="R195" s="55" t="n">
        <f aca="false">P195-04_回帰ANOVA!$K$19*04_回帰ANOVA!$K$14*SQRT(1+Q195)</f>
        <v>48.402028746944</v>
      </c>
      <c r="S195" s="55" t="n">
        <f aca="false">P195+04_回帰ANOVA!$K$19*04_回帰ANOVA!$K$14*SQRT(1+Q195)</f>
        <v>50.4860167076015</v>
      </c>
      <c r="T195" s="54" t="b">
        <f aca="false">AND(C195&gt;=01_因子設定!$L$5-0.000000001,C195&lt;=01_因子設定!$M$5+0.000000001,D195&gt;=01_因子設定!$L$6-0.000000001,D195&lt;=01_因子設定!$M$6+0.000000001,E195&gt;=01_因子設定!$L$7-0.000000001,E195&lt;=01_因子設定!$M$7+0.000000001,IF(01_因子設定!$B$20="Box-Behnken",C195^2+D195^2+E195^2&lt;=2+0.000000001,TRUE()))</f>
        <v>1</v>
      </c>
      <c r="U195" s="55" t="n">
        <f aca="false">IF(T195,IF(01_因子設定!$B$13="最大化",R195-01_因子設定!$B$14,IF(01_因子設定!$B$13="最小化",01_因子設定!$B$15-S195,MIN(R195-01_因子設定!$B$14,01_因子設定!$B$15-S195))),-1E+030)</f>
        <v>-0.0979712530560235</v>
      </c>
      <c r="V195" s="55" t="n">
        <f aca="false">IF(U195&gt;=0,1,0)</f>
        <v>0</v>
      </c>
    </row>
    <row r="196" customFormat="false" ht="15" hidden="false" customHeight="false" outlineLevel="0" collapsed="false">
      <c r="A196" s="0" t="n">
        <v>3</v>
      </c>
      <c r="B196" s="0" t="n">
        <v>-0.275</v>
      </c>
      <c r="C196" s="57" t="n">
        <f aca="false">07_最適化!$B$6</f>
        <v>0.625</v>
      </c>
      <c r="D196" s="57" t="n">
        <f aca="false">07_最適化!$B$7</f>
        <v>0.75</v>
      </c>
      <c r="E196" s="55" t="n">
        <f aca="false">B196</f>
        <v>-0.275</v>
      </c>
      <c r="F196" s="55" t="n">
        <f aca="false">1</f>
        <v>1</v>
      </c>
      <c r="G196" s="57" t="n">
        <f aca="false">C196</f>
        <v>0.625</v>
      </c>
      <c r="H196" s="57" t="n">
        <f aca="false">D196</f>
        <v>0.75</v>
      </c>
      <c r="I196" s="55" t="n">
        <f aca="false">E196</f>
        <v>-0.275</v>
      </c>
      <c r="J196" s="55" t="n">
        <f aca="false">C196*D196</f>
        <v>0.46875</v>
      </c>
      <c r="K196" s="55" t="n">
        <f aca="false">C196*E196</f>
        <v>-0.171875</v>
      </c>
      <c r="L196" s="55" t="n">
        <f aca="false">D196*E196</f>
        <v>-0.20625</v>
      </c>
      <c r="M196" s="55" t="n">
        <f aca="false">C196*C196</f>
        <v>0.390625</v>
      </c>
      <c r="N196" s="55" t="n">
        <f aca="false">D196*D196</f>
        <v>0.5625</v>
      </c>
      <c r="O196" s="55" t="n">
        <f aca="false">E196*E196</f>
        <v>0.075625</v>
      </c>
      <c r="P196" s="55" t="n">
        <f aca="false">SUMPRODUCT(F196:O196,_XtX!$B$71:$K$71)</f>
        <v>49.5015397727273</v>
      </c>
      <c r="Q196" s="55" t="n">
        <f aca="false">SUMPRODUCT(MMULT(F196:O196,_XtX!$B$58:$K$67),F196:O196)</f>
        <v>0.257049303089489</v>
      </c>
      <c r="R196" s="55" t="n">
        <f aca="false">P196-04_回帰ANOVA!$K$19*04_回帰ANOVA!$K$14*SQRT(1+Q196)</f>
        <v>48.4591196367549</v>
      </c>
      <c r="S196" s="55" t="n">
        <f aca="false">P196+04_回帰ANOVA!$K$19*04_回帰ANOVA!$K$14*SQRT(1+Q196)</f>
        <v>50.5439599086996</v>
      </c>
      <c r="T196" s="54" t="b">
        <f aca="false">AND(C196&gt;=01_因子設定!$L$5-0.000000001,C196&lt;=01_因子設定!$M$5+0.000000001,D196&gt;=01_因子設定!$L$6-0.000000001,D196&lt;=01_因子設定!$M$6+0.000000001,E196&gt;=01_因子設定!$L$7-0.000000001,E196&lt;=01_因子設定!$M$7+0.000000001,IF(01_因子設定!$B$20="Box-Behnken",C196^2+D196^2+E196^2&lt;=2+0.000000001,TRUE()))</f>
        <v>1</v>
      </c>
      <c r="U196" s="55" t="n">
        <f aca="false">IF(T196,IF(01_因子設定!$B$13="最大化",R196-01_因子設定!$B$14,IF(01_因子設定!$B$13="最小化",01_因子設定!$B$15-S196,MIN(R196-01_因子設定!$B$14,01_因子設定!$B$15-S196))),-1E+030)</f>
        <v>-0.0408803632450869</v>
      </c>
      <c r="V196" s="55" t="n">
        <f aca="false">IF(U196&gt;=0,1,0)</f>
        <v>0</v>
      </c>
    </row>
    <row r="197" customFormat="false" ht="15" hidden="false" customHeight="false" outlineLevel="0" collapsed="false">
      <c r="A197" s="0" t="n">
        <v>3</v>
      </c>
      <c r="B197" s="0" t="n">
        <v>-0.25</v>
      </c>
      <c r="C197" s="57" t="n">
        <f aca="false">07_最適化!$B$6</f>
        <v>0.625</v>
      </c>
      <c r="D197" s="57" t="n">
        <f aca="false">07_最適化!$B$7</f>
        <v>0.75</v>
      </c>
      <c r="E197" s="55" t="n">
        <f aca="false">B197</f>
        <v>-0.25</v>
      </c>
      <c r="F197" s="55" t="n">
        <f aca="false">1</f>
        <v>1</v>
      </c>
      <c r="G197" s="57" t="n">
        <f aca="false">C197</f>
        <v>0.625</v>
      </c>
      <c r="H197" s="57" t="n">
        <f aca="false">D197</f>
        <v>0.75</v>
      </c>
      <c r="I197" s="55" t="n">
        <f aca="false">E197</f>
        <v>-0.25</v>
      </c>
      <c r="J197" s="55" t="n">
        <f aca="false">C197*D197</f>
        <v>0.46875</v>
      </c>
      <c r="K197" s="55" t="n">
        <f aca="false">C197*E197</f>
        <v>-0.15625</v>
      </c>
      <c r="L197" s="55" t="n">
        <f aca="false">D197*E197</f>
        <v>-0.1875</v>
      </c>
      <c r="M197" s="55" t="n">
        <f aca="false">C197*C197</f>
        <v>0.390625</v>
      </c>
      <c r="N197" s="55" t="n">
        <f aca="false">D197*D197</f>
        <v>0.5625</v>
      </c>
      <c r="O197" s="55" t="n">
        <f aca="false">E197*E197</f>
        <v>0.0625</v>
      </c>
      <c r="P197" s="55" t="n">
        <f aca="false">SUMPRODUCT(F197:O197,_XtX!$B$71:$K$71)</f>
        <v>49.5575852272727</v>
      </c>
      <c r="Q197" s="55" t="n">
        <f aca="false">SUMPRODUCT(MMULT(F197:O197,_XtX!$B$58:$K$67),F197:O197)</f>
        <v>0.258118785511364</v>
      </c>
      <c r="R197" s="55" t="n">
        <f aca="false">P197-04_回帰ANOVA!$K$19*04_回帰ANOVA!$K$14*SQRT(1+Q197)</f>
        <v>48.514721746324</v>
      </c>
      <c r="S197" s="55" t="n">
        <f aca="false">P197+04_回帰ANOVA!$K$19*04_回帰ANOVA!$K$14*SQRT(1+Q197)</f>
        <v>50.6004487082215</v>
      </c>
      <c r="T197" s="54" t="b">
        <f aca="false">AND(C197&gt;=01_因子設定!$L$5-0.000000001,C197&lt;=01_因子設定!$M$5+0.000000001,D197&gt;=01_因子設定!$L$6-0.000000001,D197&lt;=01_因子設定!$M$6+0.000000001,E197&gt;=01_因子設定!$L$7-0.000000001,E197&lt;=01_因子設定!$M$7+0.000000001,IF(01_因子設定!$B$20="Box-Behnken",C197^2+D197^2+E197^2&lt;=2+0.000000001,TRUE()))</f>
        <v>1</v>
      </c>
      <c r="U197" s="55" t="n">
        <f aca="false">IF(T197,IF(01_因子設定!$B$13="最大化",R197-01_因子設定!$B$14,IF(01_因子設定!$B$13="最小化",01_因子設定!$B$15-S197,MIN(R197-01_因子設定!$B$14,01_因子設定!$B$15-S197))),-1E+030)</f>
        <v>0.0147217463239713</v>
      </c>
      <c r="V197" s="55" t="n">
        <f aca="false">IF(U197&gt;=0,1,0)</f>
        <v>1</v>
      </c>
    </row>
    <row r="198" customFormat="false" ht="15" hidden="false" customHeight="false" outlineLevel="0" collapsed="false">
      <c r="A198" s="0" t="n">
        <v>3</v>
      </c>
      <c r="B198" s="0" t="n">
        <v>-0.225</v>
      </c>
      <c r="C198" s="57" t="n">
        <f aca="false">07_最適化!$B$6</f>
        <v>0.625</v>
      </c>
      <c r="D198" s="57" t="n">
        <f aca="false">07_最適化!$B$7</f>
        <v>0.75</v>
      </c>
      <c r="E198" s="55" t="n">
        <f aca="false">B198</f>
        <v>-0.225</v>
      </c>
      <c r="F198" s="55" t="n">
        <f aca="false">1</f>
        <v>1</v>
      </c>
      <c r="G198" s="57" t="n">
        <f aca="false">C198</f>
        <v>0.625</v>
      </c>
      <c r="H198" s="57" t="n">
        <f aca="false">D198</f>
        <v>0.75</v>
      </c>
      <c r="I198" s="55" t="n">
        <f aca="false">E198</f>
        <v>-0.225</v>
      </c>
      <c r="J198" s="55" t="n">
        <f aca="false">C198*D198</f>
        <v>0.46875</v>
      </c>
      <c r="K198" s="55" t="n">
        <f aca="false">C198*E198</f>
        <v>-0.140625</v>
      </c>
      <c r="L198" s="55" t="n">
        <f aca="false">D198*E198</f>
        <v>-0.16875</v>
      </c>
      <c r="M198" s="55" t="n">
        <f aca="false">C198*C198</f>
        <v>0.390625</v>
      </c>
      <c r="N198" s="55" t="n">
        <f aca="false">D198*D198</f>
        <v>0.5625</v>
      </c>
      <c r="O198" s="55" t="n">
        <f aca="false">E198*E198</f>
        <v>0.050625</v>
      </c>
      <c r="P198" s="55" t="n">
        <f aca="false">SUMPRODUCT(F198:O198,_XtX!$B$71:$K$71)</f>
        <v>49.6121590909091</v>
      </c>
      <c r="Q198" s="55" t="n">
        <f aca="false">SUMPRODUCT(MMULT(F198:O198,_XtX!$B$58:$K$67),F198:O198)</f>
        <v>0.259194367009943</v>
      </c>
      <c r="R198" s="55" t="n">
        <f aca="false">P198-04_回帰ANOVA!$K$19*04_回帰ANOVA!$K$14*SQRT(1+Q198)</f>
        <v>48.568849926673</v>
      </c>
      <c r="S198" s="55" t="n">
        <f aca="false">P198+04_回帰ANOVA!$K$19*04_回帰ANOVA!$K$14*SQRT(1+Q198)</f>
        <v>50.6554682551452</v>
      </c>
      <c r="T198" s="54" t="b">
        <f aca="false">AND(C198&gt;=01_因子設定!$L$5-0.000000001,C198&lt;=01_因子設定!$M$5+0.000000001,D198&gt;=01_因子設定!$L$6-0.000000001,D198&lt;=01_因子設定!$M$6+0.000000001,E198&gt;=01_因子設定!$L$7-0.000000001,E198&lt;=01_因子設定!$M$7+0.000000001,IF(01_因子設定!$B$20="Box-Behnken",C198^2+D198^2+E198^2&lt;=2+0.000000001,TRUE()))</f>
        <v>1</v>
      </c>
      <c r="U198" s="55" t="n">
        <f aca="false">IF(T198,IF(01_因子設定!$B$13="最大化",R198-01_因子設定!$B$14,IF(01_因子設定!$B$13="最小化",01_因子設定!$B$15-S198,MIN(R198-01_因子設定!$B$14,01_因子設定!$B$15-S198))),-1E+030)</f>
        <v>0.0688499266729465</v>
      </c>
      <c r="V198" s="55" t="n">
        <f aca="false">IF(U198&gt;=0,1,0)</f>
        <v>1</v>
      </c>
    </row>
    <row r="199" customFormat="false" ht="15" hidden="false" customHeight="false" outlineLevel="0" collapsed="false">
      <c r="A199" s="0" t="n">
        <v>3</v>
      </c>
      <c r="B199" s="0" t="n">
        <v>-0.2</v>
      </c>
      <c r="C199" s="57" t="n">
        <f aca="false">07_最適化!$B$6</f>
        <v>0.625</v>
      </c>
      <c r="D199" s="57" t="n">
        <f aca="false">07_最適化!$B$7</f>
        <v>0.75</v>
      </c>
      <c r="E199" s="55" t="n">
        <f aca="false">B199</f>
        <v>-0.2</v>
      </c>
      <c r="F199" s="55" t="n">
        <f aca="false">1</f>
        <v>1</v>
      </c>
      <c r="G199" s="57" t="n">
        <f aca="false">C199</f>
        <v>0.625</v>
      </c>
      <c r="H199" s="57" t="n">
        <f aca="false">D199</f>
        <v>0.75</v>
      </c>
      <c r="I199" s="55" t="n">
        <f aca="false">E199</f>
        <v>-0.2</v>
      </c>
      <c r="J199" s="55" t="n">
        <f aca="false">C199*D199</f>
        <v>0.46875</v>
      </c>
      <c r="K199" s="55" t="n">
        <f aca="false">C199*E199</f>
        <v>-0.125</v>
      </c>
      <c r="L199" s="55" t="n">
        <f aca="false">D199*E199</f>
        <v>-0.15</v>
      </c>
      <c r="M199" s="55" t="n">
        <f aca="false">C199*C199</f>
        <v>0.390625</v>
      </c>
      <c r="N199" s="55" t="n">
        <f aca="false">D199*D199</f>
        <v>0.5625</v>
      </c>
      <c r="O199" s="55" t="n">
        <f aca="false">E199*E199</f>
        <v>0.04</v>
      </c>
      <c r="P199" s="55" t="n">
        <f aca="false">SUMPRODUCT(F199:O199,_XtX!$B$71:$K$71)</f>
        <v>49.6652613636364</v>
      </c>
      <c r="Q199" s="55" t="n">
        <f aca="false">SUMPRODUCT(MMULT(F199:O199,_XtX!$B$58:$K$67),F199:O199)</f>
        <v>0.260243661221591</v>
      </c>
      <c r="R199" s="55" t="n">
        <f aca="false">P199-04_回帰ANOVA!$K$19*04_回帰ANOVA!$K$14*SQRT(1+Q199)</f>
        <v>48.6215175920324</v>
      </c>
      <c r="S199" s="55" t="n">
        <f aca="false">P199+04_回帰ANOVA!$K$19*04_回帰ANOVA!$K$14*SQRT(1+Q199)</f>
        <v>50.7090051352404</v>
      </c>
      <c r="T199" s="54" t="b">
        <f aca="false">AND(C199&gt;=01_因子設定!$L$5-0.000000001,C199&lt;=01_因子設定!$M$5+0.000000001,D199&gt;=01_因子設定!$L$6-0.000000001,D199&lt;=01_因子設定!$M$6+0.000000001,E199&gt;=01_因子設定!$L$7-0.000000001,E199&lt;=01_因子設定!$M$7+0.000000001,IF(01_因子設定!$B$20="Box-Behnken",C199^2+D199^2+E199^2&lt;=2+0.000000001,TRUE()))</f>
        <v>1</v>
      </c>
      <c r="U199" s="55" t="n">
        <f aca="false">IF(T199,IF(01_因子設定!$B$13="最大化",R199-01_因子設定!$B$14,IF(01_因子設定!$B$13="最小化",01_因子設定!$B$15-S199,MIN(R199-01_因子設定!$B$14,01_因子設定!$B$15-S199))),-1E+030)</f>
        <v>0.121517592032347</v>
      </c>
      <c r="V199" s="55" t="n">
        <f aca="false">IF(U199&gt;=0,1,0)</f>
        <v>1</v>
      </c>
    </row>
    <row r="200" customFormat="false" ht="15" hidden="false" customHeight="false" outlineLevel="0" collapsed="false">
      <c r="A200" s="0" t="n">
        <v>3</v>
      </c>
      <c r="B200" s="0" t="n">
        <v>-0.175</v>
      </c>
      <c r="C200" s="57" t="n">
        <f aca="false">07_最適化!$B$6</f>
        <v>0.625</v>
      </c>
      <c r="D200" s="57" t="n">
        <f aca="false">07_最適化!$B$7</f>
        <v>0.75</v>
      </c>
      <c r="E200" s="55" t="n">
        <f aca="false">B200</f>
        <v>-0.175</v>
      </c>
      <c r="F200" s="55" t="n">
        <f aca="false">1</f>
        <v>1</v>
      </c>
      <c r="G200" s="57" t="n">
        <f aca="false">C200</f>
        <v>0.625</v>
      </c>
      <c r="H200" s="57" t="n">
        <f aca="false">D200</f>
        <v>0.75</v>
      </c>
      <c r="I200" s="55" t="n">
        <f aca="false">E200</f>
        <v>-0.175</v>
      </c>
      <c r="J200" s="55" t="n">
        <f aca="false">C200*D200</f>
        <v>0.46875</v>
      </c>
      <c r="K200" s="55" t="n">
        <f aca="false">C200*E200</f>
        <v>-0.109375</v>
      </c>
      <c r="L200" s="55" t="n">
        <f aca="false">D200*E200</f>
        <v>-0.13125</v>
      </c>
      <c r="M200" s="55" t="n">
        <f aca="false">C200*C200</f>
        <v>0.390625</v>
      </c>
      <c r="N200" s="55" t="n">
        <f aca="false">D200*D200</f>
        <v>0.5625</v>
      </c>
      <c r="O200" s="55" t="n">
        <f aca="false">E200*E200</f>
        <v>0.030625</v>
      </c>
      <c r="P200" s="55" t="n">
        <f aca="false">SUMPRODUCT(F200:O200,_XtX!$B$71:$K$71)</f>
        <v>49.7168920454546</v>
      </c>
      <c r="Q200" s="55" t="n">
        <f aca="false">SUMPRODUCT(MMULT(F200:O200,_XtX!$B$58:$K$67),F200:O200)</f>
        <v>0.26123769087358</v>
      </c>
      <c r="R200" s="55" t="n">
        <f aca="false">P200-04_回帰ANOVA!$K$19*04_回帰ANOVA!$K$14*SQRT(1+Q200)</f>
        <v>48.6727367233768</v>
      </c>
      <c r="S200" s="55" t="n">
        <f aca="false">P200+04_回帰ANOVA!$K$19*04_回帰ANOVA!$K$14*SQRT(1+Q200)</f>
        <v>50.7610473675323</v>
      </c>
      <c r="T200" s="54" t="b">
        <f aca="false">AND(C200&gt;=01_因子設定!$L$5-0.000000001,C200&lt;=01_因子設定!$M$5+0.000000001,D200&gt;=01_因子設定!$L$6-0.000000001,D200&lt;=01_因子設定!$M$6+0.000000001,E200&gt;=01_因子設定!$L$7-0.000000001,E200&lt;=01_因子設定!$M$7+0.000000001,IF(01_因子設定!$B$20="Box-Behnken",C200^2+D200^2+E200^2&lt;=2+0.000000001,TRUE()))</f>
        <v>1</v>
      </c>
      <c r="U200" s="55" t="n">
        <f aca="false">IF(T200,IF(01_因子設定!$B$13="最大化",R200-01_因子設定!$B$14,IF(01_因子設定!$B$13="最小化",01_因子設定!$B$15-S200,MIN(R200-01_因子設定!$B$14,01_因子設定!$B$15-S200))),-1E+030)</f>
        <v>0.172736723376758</v>
      </c>
      <c r="V200" s="55" t="n">
        <f aca="false">IF(U200&gt;=0,1,0)</f>
        <v>1</v>
      </c>
    </row>
    <row r="201" customFormat="false" ht="15" hidden="false" customHeight="false" outlineLevel="0" collapsed="false">
      <c r="A201" s="0" t="n">
        <v>3</v>
      </c>
      <c r="B201" s="0" t="n">
        <v>-0.15</v>
      </c>
      <c r="C201" s="57" t="n">
        <f aca="false">07_最適化!$B$6</f>
        <v>0.625</v>
      </c>
      <c r="D201" s="57" t="n">
        <f aca="false">07_最適化!$B$7</f>
        <v>0.75</v>
      </c>
      <c r="E201" s="55" t="n">
        <f aca="false">B201</f>
        <v>-0.15</v>
      </c>
      <c r="F201" s="55" t="n">
        <f aca="false">1</f>
        <v>1</v>
      </c>
      <c r="G201" s="57" t="n">
        <f aca="false">C201</f>
        <v>0.625</v>
      </c>
      <c r="H201" s="57" t="n">
        <f aca="false">D201</f>
        <v>0.75</v>
      </c>
      <c r="I201" s="55" t="n">
        <f aca="false">E201</f>
        <v>-0.15</v>
      </c>
      <c r="J201" s="55" t="n">
        <f aca="false">C201*D201</f>
        <v>0.46875</v>
      </c>
      <c r="K201" s="55" t="n">
        <f aca="false">C201*E201</f>
        <v>-0.09375</v>
      </c>
      <c r="L201" s="55" t="n">
        <f aca="false">D201*E201</f>
        <v>-0.1125</v>
      </c>
      <c r="M201" s="55" t="n">
        <f aca="false">C201*C201</f>
        <v>0.390625</v>
      </c>
      <c r="N201" s="55" t="n">
        <f aca="false">D201*D201</f>
        <v>0.5625</v>
      </c>
      <c r="O201" s="55" t="n">
        <f aca="false">E201*E201</f>
        <v>0.0225</v>
      </c>
      <c r="P201" s="55" t="n">
        <f aca="false">SUMPRODUCT(F201:O201,_XtX!$B$71:$K$71)</f>
        <v>49.7670511363636</v>
      </c>
      <c r="Q201" s="55" t="n">
        <f aca="false">SUMPRODUCT(MMULT(F201:O201,_XtX!$B$58:$K$67),F201:O201)</f>
        <v>0.262150887784091</v>
      </c>
      <c r="R201" s="55" t="n">
        <f aca="false">P201-04_回帰ANOVA!$K$19*04_回帰ANOVA!$K$14*SQRT(1+Q201)</f>
        <v>48.7225178732819</v>
      </c>
      <c r="S201" s="55" t="n">
        <f aca="false">P201+04_回帰ANOVA!$K$19*04_回帰ANOVA!$K$14*SQRT(1+Q201)</f>
        <v>50.8115843994454</v>
      </c>
      <c r="T201" s="54" t="b">
        <f aca="false">AND(C201&gt;=01_因子設定!$L$5-0.000000001,C201&lt;=01_因子設定!$M$5+0.000000001,D201&gt;=01_因子設定!$L$6-0.000000001,D201&lt;=01_因子設定!$M$6+0.000000001,E201&gt;=01_因子設定!$L$7-0.000000001,E201&lt;=01_因子設定!$M$7+0.000000001,IF(01_因子設定!$B$20="Box-Behnken",C201^2+D201^2+E201^2&lt;=2+0.000000001,TRUE()))</f>
        <v>1</v>
      </c>
      <c r="U201" s="55" t="n">
        <f aca="false">IF(T201,IF(01_因子設定!$B$13="最大化",R201-01_因子設定!$B$14,IF(01_因子設定!$B$13="最小化",01_因子設定!$B$15-S201,MIN(R201-01_因子設定!$B$14,01_因子設定!$B$15-S201))),-1E+030)</f>
        <v>0.222517873281916</v>
      </c>
      <c r="V201" s="55" t="n">
        <f aca="false">IF(U201&gt;=0,1,0)</f>
        <v>1</v>
      </c>
    </row>
    <row r="202" customFormat="false" ht="15" hidden="false" customHeight="false" outlineLevel="0" collapsed="false">
      <c r="A202" s="0" t="n">
        <v>3</v>
      </c>
      <c r="B202" s="0" t="n">
        <v>-0.125</v>
      </c>
      <c r="C202" s="57" t="n">
        <f aca="false">07_最適化!$B$6</f>
        <v>0.625</v>
      </c>
      <c r="D202" s="57" t="n">
        <f aca="false">07_最適化!$B$7</f>
        <v>0.75</v>
      </c>
      <c r="E202" s="55" t="n">
        <f aca="false">B202</f>
        <v>-0.125</v>
      </c>
      <c r="F202" s="55" t="n">
        <f aca="false">1</f>
        <v>1</v>
      </c>
      <c r="G202" s="57" t="n">
        <f aca="false">C202</f>
        <v>0.625</v>
      </c>
      <c r="H202" s="57" t="n">
        <f aca="false">D202</f>
        <v>0.75</v>
      </c>
      <c r="I202" s="55" t="n">
        <f aca="false">E202</f>
        <v>-0.125</v>
      </c>
      <c r="J202" s="55" t="n">
        <f aca="false">C202*D202</f>
        <v>0.46875</v>
      </c>
      <c r="K202" s="55" t="n">
        <f aca="false">C202*E202</f>
        <v>-0.078125</v>
      </c>
      <c r="L202" s="55" t="n">
        <f aca="false">D202*E202</f>
        <v>-0.09375</v>
      </c>
      <c r="M202" s="55" t="n">
        <f aca="false">C202*C202</f>
        <v>0.390625</v>
      </c>
      <c r="N202" s="55" t="n">
        <f aca="false">D202*D202</f>
        <v>0.5625</v>
      </c>
      <c r="O202" s="55" t="n">
        <f aca="false">E202*E202</f>
        <v>0.015625</v>
      </c>
      <c r="P202" s="55" t="n">
        <f aca="false">SUMPRODUCT(F202:O202,_XtX!$B$71:$K$71)</f>
        <v>49.8157386363636</v>
      </c>
      <c r="Q202" s="55" t="n">
        <f aca="false">SUMPRODUCT(MMULT(F202:O202,_XtX!$B$58:$K$67),F202:O202)</f>
        <v>0.262961092862216</v>
      </c>
      <c r="R202" s="55" t="n">
        <f aca="false">P202-04_回帰ANOVA!$K$19*04_回帰ANOVA!$K$14*SQRT(1+Q202)</f>
        <v>48.7708701715272</v>
      </c>
      <c r="S202" s="55" t="n">
        <f aca="false">P202+04_回帰ANOVA!$K$19*04_回帰ANOVA!$K$14*SQRT(1+Q202)</f>
        <v>50.8606071012001</v>
      </c>
      <c r="T202" s="54" t="b">
        <f aca="false">AND(C202&gt;=01_因子設定!$L$5-0.000000001,C202&lt;=01_因子設定!$M$5+0.000000001,D202&gt;=01_因子設定!$L$6-0.000000001,D202&lt;=01_因子設定!$M$6+0.000000001,E202&gt;=01_因子設定!$L$7-0.000000001,E202&lt;=01_因子設定!$M$7+0.000000001,IF(01_因子設定!$B$20="Box-Behnken",C202^2+D202^2+E202^2&lt;=2+0.000000001,TRUE()))</f>
        <v>1</v>
      </c>
      <c r="U202" s="55" t="n">
        <f aca="false">IF(T202,IF(01_因子設定!$B$13="最大化",R202-01_因子設定!$B$14,IF(01_因子設定!$B$13="最小化",01_因子設定!$B$15-S202,MIN(R202-01_因子設定!$B$14,01_因子設定!$B$15-S202))),-1E+030)</f>
        <v>0.270870171527157</v>
      </c>
      <c r="V202" s="55" t="n">
        <f aca="false">IF(U202&gt;=0,1,0)</f>
        <v>1</v>
      </c>
    </row>
    <row r="203" customFormat="false" ht="15" hidden="false" customHeight="false" outlineLevel="0" collapsed="false">
      <c r="A203" s="0" t="n">
        <v>3</v>
      </c>
      <c r="B203" s="0" t="n">
        <v>-0.1</v>
      </c>
      <c r="C203" s="57" t="n">
        <f aca="false">07_最適化!$B$6</f>
        <v>0.625</v>
      </c>
      <c r="D203" s="57" t="n">
        <f aca="false">07_最適化!$B$7</f>
        <v>0.75</v>
      </c>
      <c r="E203" s="55" t="n">
        <f aca="false">B203</f>
        <v>-0.1</v>
      </c>
      <c r="F203" s="55" t="n">
        <f aca="false">1</f>
        <v>1</v>
      </c>
      <c r="G203" s="57" t="n">
        <f aca="false">C203</f>
        <v>0.625</v>
      </c>
      <c r="H203" s="57" t="n">
        <f aca="false">D203</f>
        <v>0.75</v>
      </c>
      <c r="I203" s="55" t="n">
        <f aca="false">E203</f>
        <v>-0.1</v>
      </c>
      <c r="J203" s="55" t="n">
        <f aca="false">C203*D203</f>
        <v>0.46875</v>
      </c>
      <c r="K203" s="55" t="n">
        <f aca="false">C203*E203</f>
        <v>-0.0625</v>
      </c>
      <c r="L203" s="55" t="n">
        <f aca="false">D203*E203</f>
        <v>-0.075</v>
      </c>
      <c r="M203" s="55" t="n">
        <f aca="false">C203*C203</f>
        <v>0.390625</v>
      </c>
      <c r="N203" s="55" t="n">
        <f aca="false">D203*D203</f>
        <v>0.5625</v>
      </c>
      <c r="O203" s="55" t="n">
        <f aca="false">E203*E203</f>
        <v>0.01</v>
      </c>
      <c r="P203" s="55" t="n">
        <f aca="false">SUMPRODUCT(F203:O203,_XtX!$B$71:$K$71)</f>
        <v>49.8629545454546</v>
      </c>
      <c r="Q203" s="55" t="n">
        <f aca="false">SUMPRODUCT(MMULT(F203:O203,_XtX!$B$58:$K$67),F203:O203)</f>
        <v>0.263649556107955</v>
      </c>
      <c r="R203" s="55" t="n">
        <f aca="false">P203-04_回帰ANOVA!$K$19*04_回帰ANOVA!$K$14*SQRT(1+Q203)</f>
        <v>48.8178013309404</v>
      </c>
      <c r="S203" s="55" t="n">
        <f aca="false">P203+04_回帰ANOVA!$K$19*04_回帰ANOVA!$K$14*SQRT(1+Q203)</f>
        <v>50.9081077599687</v>
      </c>
      <c r="T203" s="54" t="b">
        <f aca="false">AND(C203&gt;=01_因子設定!$L$5-0.000000001,C203&lt;=01_因子設定!$M$5+0.000000001,D203&gt;=01_因子設定!$L$6-0.000000001,D203&lt;=01_因子設定!$M$6+0.000000001,E203&gt;=01_因子設定!$L$7-0.000000001,E203&lt;=01_因子設定!$M$7+0.000000001,IF(01_因子設定!$B$20="Box-Behnken",C203^2+D203^2+E203^2&lt;=2+0.000000001,TRUE()))</f>
        <v>1</v>
      </c>
      <c r="U203" s="55" t="n">
        <f aca="false">IF(T203,IF(01_因子設定!$B$13="最大化",R203-01_因子設定!$B$14,IF(01_因子設定!$B$13="最小化",01_因子設定!$B$15-S203,MIN(R203-01_因子設定!$B$14,01_因子設定!$B$15-S203))),-1E+030)</f>
        <v>0.317801330940405</v>
      </c>
      <c r="V203" s="55" t="n">
        <f aca="false">IF(U203&gt;=0,1,0)</f>
        <v>1</v>
      </c>
    </row>
    <row r="204" customFormat="false" ht="15" hidden="false" customHeight="false" outlineLevel="0" collapsed="false">
      <c r="A204" s="0" t="n">
        <v>3</v>
      </c>
      <c r="B204" s="0" t="n">
        <v>-0.075</v>
      </c>
      <c r="C204" s="57" t="n">
        <f aca="false">07_最適化!$B$6</f>
        <v>0.625</v>
      </c>
      <c r="D204" s="57" t="n">
        <f aca="false">07_最適化!$B$7</f>
        <v>0.75</v>
      </c>
      <c r="E204" s="55" t="n">
        <f aca="false">B204</f>
        <v>-0.075</v>
      </c>
      <c r="F204" s="55" t="n">
        <f aca="false">1</f>
        <v>1</v>
      </c>
      <c r="G204" s="57" t="n">
        <f aca="false">C204</f>
        <v>0.625</v>
      </c>
      <c r="H204" s="57" t="n">
        <f aca="false">D204</f>
        <v>0.75</v>
      </c>
      <c r="I204" s="55" t="n">
        <f aca="false">E204</f>
        <v>-0.075</v>
      </c>
      <c r="J204" s="55" t="n">
        <f aca="false">C204*D204</f>
        <v>0.46875</v>
      </c>
      <c r="K204" s="55" t="n">
        <f aca="false">C204*E204</f>
        <v>-0.046875</v>
      </c>
      <c r="L204" s="55" t="n">
        <f aca="false">D204*E204</f>
        <v>-0.05625</v>
      </c>
      <c r="M204" s="55" t="n">
        <f aca="false">C204*C204</f>
        <v>0.390625</v>
      </c>
      <c r="N204" s="55" t="n">
        <f aca="false">D204*D204</f>
        <v>0.5625</v>
      </c>
      <c r="O204" s="55" t="n">
        <f aca="false">E204*E204</f>
        <v>0.005625</v>
      </c>
      <c r="P204" s="55" t="n">
        <f aca="false">SUMPRODUCT(F204:O204,_XtX!$B$71:$K$71)</f>
        <v>49.9086988636364</v>
      </c>
      <c r="Q204" s="55" t="n">
        <f aca="false">SUMPRODUCT(MMULT(F204:O204,_XtX!$B$58:$K$67),F204:O204)</f>
        <v>0.264200936612216</v>
      </c>
      <c r="R204" s="55" t="n">
        <f aca="false">P204-04_回帰ANOVA!$K$19*04_回帰ANOVA!$K$14*SQRT(1+Q204)</f>
        <v>48.8633176530555</v>
      </c>
      <c r="S204" s="55" t="n">
        <f aca="false">P204+04_回帰ANOVA!$K$19*04_回帰ANOVA!$K$14*SQRT(1+Q204)</f>
        <v>50.9540800742172</v>
      </c>
      <c r="T204" s="54" t="b">
        <f aca="false">AND(C204&gt;=01_因子設定!$L$5-0.000000001,C204&lt;=01_因子設定!$M$5+0.000000001,D204&gt;=01_因子設定!$L$6-0.000000001,D204&lt;=01_因子設定!$M$6+0.000000001,E204&gt;=01_因子設定!$L$7-0.000000001,E204&lt;=01_因子設定!$M$7+0.000000001,IF(01_因子設定!$B$20="Box-Behnken",C204^2+D204^2+E204^2&lt;=2+0.000000001,TRUE()))</f>
        <v>1</v>
      </c>
      <c r="U204" s="55" t="n">
        <f aca="false">IF(T204,IF(01_因子設定!$B$13="最大化",R204-01_因子設定!$B$14,IF(01_因子設定!$B$13="最小化",01_因子設定!$B$15-S204,MIN(R204-01_因子設定!$B$14,01_因子設定!$B$15-S204))),-1E+030)</f>
        <v>0.363317653055496</v>
      </c>
      <c r="V204" s="55" t="n">
        <f aca="false">IF(U204&gt;=0,1,0)</f>
        <v>1</v>
      </c>
    </row>
    <row r="205" customFormat="false" ht="15" hidden="false" customHeight="false" outlineLevel="0" collapsed="false">
      <c r="A205" s="0" t="n">
        <v>3</v>
      </c>
      <c r="B205" s="0" t="n">
        <v>-0.05</v>
      </c>
      <c r="C205" s="57" t="n">
        <f aca="false">07_最適化!$B$6</f>
        <v>0.625</v>
      </c>
      <c r="D205" s="57" t="n">
        <f aca="false">07_最適化!$B$7</f>
        <v>0.75</v>
      </c>
      <c r="E205" s="55" t="n">
        <f aca="false">B205</f>
        <v>-0.05</v>
      </c>
      <c r="F205" s="55" t="n">
        <f aca="false">1</f>
        <v>1</v>
      </c>
      <c r="G205" s="57" t="n">
        <f aca="false">C205</f>
        <v>0.625</v>
      </c>
      <c r="H205" s="57" t="n">
        <f aca="false">D205</f>
        <v>0.75</v>
      </c>
      <c r="I205" s="55" t="n">
        <f aca="false">E205</f>
        <v>-0.05</v>
      </c>
      <c r="J205" s="55" t="n">
        <f aca="false">C205*D205</f>
        <v>0.46875</v>
      </c>
      <c r="K205" s="55" t="n">
        <f aca="false">C205*E205</f>
        <v>-0.03125</v>
      </c>
      <c r="L205" s="55" t="n">
        <f aca="false">D205*E205</f>
        <v>-0.0375</v>
      </c>
      <c r="M205" s="55" t="n">
        <f aca="false">C205*C205</f>
        <v>0.390625</v>
      </c>
      <c r="N205" s="55" t="n">
        <f aca="false">D205*D205</f>
        <v>0.5625</v>
      </c>
      <c r="O205" s="55" t="n">
        <f aca="false">E205*E205</f>
        <v>0.0025</v>
      </c>
      <c r="P205" s="55" t="n">
        <f aca="false">SUMPRODUCT(F205:O205,_XtX!$B$71:$K$71)</f>
        <v>49.9529715909091</v>
      </c>
      <c r="Q205" s="55" t="n">
        <f aca="false">SUMPRODUCT(MMULT(F205:O205,_XtX!$B$58:$K$67),F205:O205)</f>
        <v>0.264603302556818</v>
      </c>
      <c r="R205" s="55" t="n">
        <f aca="false">P205-04_回帰ANOVA!$K$19*04_回帰ANOVA!$K$14*SQRT(1+Q205)</f>
        <v>48.9074240332221</v>
      </c>
      <c r="S205" s="55" t="n">
        <f aca="false">P205+04_回帰ANOVA!$K$19*04_回帰ANOVA!$K$14*SQRT(1+Q205)</f>
        <v>50.9985191485961</v>
      </c>
      <c r="T205" s="54" t="b">
        <f aca="false">AND(C205&gt;=01_因子設定!$L$5-0.000000001,C205&lt;=01_因子設定!$M$5+0.000000001,D205&gt;=01_因子設定!$L$6-0.000000001,D205&lt;=01_因子設定!$M$6+0.000000001,E205&gt;=01_因子設定!$L$7-0.000000001,E205&lt;=01_因子設定!$M$7+0.000000001,IF(01_因子設定!$B$20="Box-Behnken",C205^2+D205^2+E205^2&lt;=2+0.000000001,TRUE()))</f>
        <v>1</v>
      </c>
      <c r="U205" s="55" t="n">
        <f aca="false">IF(T205,IF(01_因子設定!$B$13="最大化",R205-01_因子設定!$B$14,IF(01_因子設定!$B$13="最小化",01_因子設定!$B$15-S205,MIN(R205-01_因子設定!$B$14,01_因子設定!$B$15-S205))),-1E+030)</f>
        <v>0.407424033222107</v>
      </c>
      <c r="V205" s="55" t="n">
        <f aca="false">IF(U205&gt;=0,1,0)</f>
        <v>1</v>
      </c>
    </row>
    <row r="206" customFormat="false" ht="15" hidden="false" customHeight="false" outlineLevel="0" collapsed="false">
      <c r="A206" s="0" t="n">
        <v>3</v>
      </c>
      <c r="B206" s="0" t="n">
        <v>-0.025</v>
      </c>
      <c r="C206" s="57" t="n">
        <f aca="false">07_最適化!$B$6</f>
        <v>0.625</v>
      </c>
      <c r="D206" s="57" t="n">
        <f aca="false">07_最適化!$B$7</f>
        <v>0.75</v>
      </c>
      <c r="E206" s="55" t="n">
        <f aca="false">B206</f>
        <v>-0.025</v>
      </c>
      <c r="F206" s="55" t="n">
        <f aca="false">1</f>
        <v>1</v>
      </c>
      <c r="G206" s="57" t="n">
        <f aca="false">C206</f>
        <v>0.625</v>
      </c>
      <c r="H206" s="57" t="n">
        <f aca="false">D206</f>
        <v>0.75</v>
      </c>
      <c r="I206" s="55" t="n">
        <f aca="false">E206</f>
        <v>-0.025</v>
      </c>
      <c r="J206" s="55" t="n">
        <f aca="false">C206*D206</f>
        <v>0.46875</v>
      </c>
      <c r="K206" s="55" t="n">
        <f aca="false">C206*E206</f>
        <v>-0.015625</v>
      </c>
      <c r="L206" s="55" t="n">
        <f aca="false">D206*E206</f>
        <v>-0.01875</v>
      </c>
      <c r="M206" s="55" t="n">
        <f aca="false">C206*C206</f>
        <v>0.390625</v>
      </c>
      <c r="N206" s="55" t="n">
        <f aca="false">D206*D206</f>
        <v>0.5625</v>
      </c>
      <c r="O206" s="55" t="n">
        <f aca="false">E206*E206</f>
        <v>0.000625</v>
      </c>
      <c r="P206" s="55" t="n">
        <f aca="false">SUMPRODUCT(F206:O206,_XtX!$B$71:$K$71)</f>
        <v>49.9957727272727</v>
      </c>
      <c r="Q206" s="55" t="n">
        <f aca="false">SUMPRODUCT(MMULT(F206:O206,_XtX!$B$58:$K$67),F206:O206)</f>
        <v>0.264848131214489</v>
      </c>
      <c r="R206" s="55" t="n">
        <f aca="false">P206-04_回帰ANOVA!$K$19*04_回帰ANOVA!$K$14*SQRT(1+Q206)</f>
        <v>48.9501239648774</v>
      </c>
      <c r="S206" s="55" t="n">
        <f aca="false">P206+04_回帰ANOVA!$K$19*04_回帰ANOVA!$K$14*SQRT(1+Q206)</f>
        <v>51.041421489668</v>
      </c>
      <c r="T206" s="54" t="b">
        <f aca="false">AND(C206&gt;=01_因子設定!$L$5-0.000000001,C206&lt;=01_因子設定!$M$5+0.000000001,D206&gt;=01_因子設定!$L$6-0.000000001,D206&lt;=01_因子設定!$M$6+0.000000001,E206&gt;=01_因子設定!$L$7-0.000000001,E206&lt;=01_因子設定!$M$7+0.000000001,IF(01_因子設定!$B$20="Box-Behnken",C206^2+D206^2+E206^2&lt;=2+0.000000001,TRUE()))</f>
        <v>1</v>
      </c>
      <c r="U206" s="55" t="n">
        <f aca="false">IF(T206,IF(01_因子設定!$B$13="最大化",R206-01_因子設定!$B$14,IF(01_因子設定!$B$13="最小化",01_因子設定!$B$15-S206,MIN(R206-01_因子設定!$B$14,01_因子設定!$B$15-S206))),-1E+030)</f>
        <v>0.450123964877413</v>
      </c>
      <c r="V206" s="55" t="n">
        <f aca="false">IF(U206&gt;=0,1,0)</f>
        <v>1</v>
      </c>
    </row>
    <row r="207" customFormat="false" ht="15" hidden="false" customHeight="false" outlineLevel="0" collapsed="false">
      <c r="A207" s="0" t="n">
        <v>3</v>
      </c>
      <c r="B207" s="0" t="n">
        <v>0</v>
      </c>
      <c r="C207" s="57" t="n">
        <f aca="false">07_最適化!$B$6</f>
        <v>0.625</v>
      </c>
      <c r="D207" s="57" t="n">
        <f aca="false">07_最適化!$B$7</f>
        <v>0.75</v>
      </c>
      <c r="E207" s="55" t="n">
        <f aca="false">B207</f>
        <v>0</v>
      </c>
      <c r="F207" s="55" t="n">
        <f aca="false">1</f>
        <v>1</v>
      </c>
      <c r="G207" s="57" t="n">
        <f aca="false">C207</f>
        <v>0.625</v>
      </c>
      <c r="H207" s="57" t="n">
        <f aca="false">D207</f>
        <v>0.75</v>
      </c>
      <c r="I207" s="55" t="n">
        <f aca="false">E207</f>
        <v>0</v>
      </c>
      <c r="J207" s="55" t="n">
        <f aca="false">C207*D207</f>
        <v>0.46875</v>
      </c>
      <c r="K207" s="55" t="n">
        <f aca="false">C207*E207</f>
        <v>0</v>
      </c>
      <c r="L207" s="55" t="n">
        <f aca="false">D207*E207</f>
        <v>0</v>
      </c>
      <c r="M207" s="55" t="n">
        <f aca="false">C207*C207</f>
        <v>0.390625</v>
      </c>
      <c r="N207" s="55" t="n">
        <f aca="false">D207*D207</f>
        <v>0.5625</v>
      </c>
      <c r="O207" s="55" t="n">
        <f aca="false">E207*E207</f>
        <v>0</v>
      </c>
      <c r="P207" s="55" t="n">
        <f aca="false">SUMPRODUCT(F207:O207,_XtX!$B$71:$K$71)</f>
        <v>50.0371022727273</v>
      </c>
      <c r="Q207" s="55" t="n">
        <f aca="false">SUMPRODUCT(MMULT(F207:O207,_XtX!$B$58:$K$67),F207:O207)</f>
        <v>0.264930308948864</v>
      </c>
      <c r="R207" s="55" t="n">
        <f aca="false">P207-04_回帰ANOVA!$K$19*04_回帰ANOVA!$K$14*SQRT(1+Q207)</f>
        <v>48.9914195427558</v>
      </c>
      <c r="S207" s="55" t="n">
        <f aca="false">P207+04_回帰ANOVA!$K$19*04_回帰ANOVA!$K$14*SQRT(1+Q207)</f>
        <v>51.0827850026988</v>
      </c>
      <c r="T207" s="54" t="b">
        <f aca="false">AND(C207&gt;=01_因子設定!$L$5-0.000000001,C207&lt;=01_因子設定!$M$5+0.000000001,D207&gt;=01_因子設定!$L$6-0.000000001,D207&lt;=01_因子設定!$M$6+0.000000001,E207&gt;=01_因子設定!$L$7-0.000000001,E207&lt;=01_因子設定!$M$7+0.000000001,IF(01_因子設定!$B$20="Box-Behnken",C207^2+D207^2+E207^2&lt;=2+0.000000001,TRUE()))</f>
        <v>1</v>
      </c>
      <c r="U207" s="55" t="n">
        <f aca="false">IF(T207,IF(01_因子設定!$B$13="最大化",R207-01_因子設定!$B$14,IF(01_因子設定!$B$13="最小化",01_因子設定!$B$15-S207,MIN(R207-01_因子設定!$B$14,01_因子設定!$B$15-S207))),-1E+030)</f>
        <v>0.49141954275575</v>
      </c>
      <c r="V207" s="55" t="n">
        <f aca="false">IF(U207&gt;=0,1,0)</f>
        <v>1</v>
      </c>
    </row>
    <row r="208" customFormat="false" ht="15" hidden="false" customHeight="false" outlineLevel="0" collapsed="false">
      <c r="A208" s="0" t="n">
        <v>3</v>
      </c>
      <c r="B208" s="0" t="n">
        <v>0.025</v>
      </c>
      <c r="C208" s="57" t="n">
        <f aca="false">07_最適化!$B$6</f>
        <v>0.625</v>
      </c>
      <c r="D208" s="57" t="n">
        <f aca="false">07_最適化!$B$7</f>
        <v>0.75</v>
      </c>
      <c r="E208" s="55" t="n">
        <f aca="false">B208</f>
        <v>0.025</v>
      </c>
      <c r="F208" s="55" t="n">
        <f aca="false">1</f>
        <v>1</v>
      </c>
      <c r="G208" s="57" t="n">
        <f aca="false">C208</f>
        <v>0.625</v>
      </c>
      <c r="H208" s="57" t="n">
        <f aca="false">D208</f>
        <v>0.75</v>
      </c>
      <c r="I208" s="55" t="n">
        <f aca="false">E208</f>
        <v>0.025</v>
      </c>
      <c r="J208" s="55" t="n">
        <f aca="false">C208*D208</f>
        <v>0.46875</v>
      </c>
      <c r="K208" s="55" t="n">
        <f aca="false">C208*E208</f>
        <v>0.015625</v>
      </c>
      <c r="L208" s="55" t="n">
        <f aca="false">D208*E208</f>
        <v>0.01875</v>
      </c>
      <c r="M208" s="55" t="n">
        <f aca="false">C208*C208</f>
        <v>0.390625</v>
      </c>
      <c r="N208" s="55" t="n">
        <f aca="false">D208*D208</f>
        <v>0.5625</v>
      </c>
      <c r="O208" s="55" t="n">
        <f aca="false">E208*E208</f>
        <v>0.000625</v>
      </c>
      <c r="P208" s="55" t="n">
        <f aca="false">SUMPRODUCT(F208:O208,_XtX!$B$71:$K$71)</f>
        <v>50.0769602272727</v>
      </c>
      <c r="Q208" s="55" t="n">
        <f aca="false">SUMPRODUCT(MMULT(F208:O208,_XtX!$B$58:$K$67),F208:O208)</f>
        <v>0.264848131214489</v>
      </c>
      <c r="R208" s="55" t="n">
        <f aca="false">P208-04_回帰ANOVA!$K$19*04_回帰ANOVA!$K$14*SQRT(1+Q208)</f>
        <v>49.0313114648774</v>
      </c>
      <c r="S208" s="55" t="n">
        <f aca="false">P208+04_回帰ANOVA!$K$19*04_回帰ANOVA!$K$14*SQRT(1+Q208)</f>
        <v>51.122608989668</v>
      </c>
      <c r="T208" s="54" t="b">
        <f aca="false">AND(C208&gt;=01_因子設定!$L$5-0.000000001,C208&lt;=01_因子設定!$M$5+0.000000001,D208&gt;=01_因子設定!$L$6-0.000000001,D208&lt;=01_因子設定!$M$6+0.000000001,E208&gt;=01_因子設定!$L$7-0.000000001,E208&lt;=01_因子設定!$M$7+0.000000001,IF(01_因子設定!$B$20="Box-Behnken",C208^2+D208^2+E208^2&lt;=2+0.000000001,TRUE()))</f>
        <v>1</v>
      </c>
      <c r="U208" s="55" t="n">
        <f aca="false">IF(T208,IF(01_因子設定!$B$13="最大化",R208-01_因子設定!$B$14,IF(01_因子設定!$B$13="最小化",01_因子設定!$B$15-S208,MIN(R208-01_因子設定!$B$14,01_因子設定!$B$15-S208))),-1E+030)</f>
        <v>0.531311464877412</v>
      </c>
      <c r="V208" s="55" t="n">
        <f aca="false">IF(U208&gt;=0,1,0)</f>
        <v>1</v>
      </c>
    </row>
    <row r="209" customFormat="false" ht="15" hidden="false" customHeight="false" outlineLevel="0" collapsed="false">
      <c r="A209" s="0" t="n">
        <v>3</v>
      </c>
      <c r="B209" s="0" t="n">
        <v>0.05</v>
      </c>
      <c r="C209" s="57" t="n">
        <f aca="false">07_最適化!$B$6</f>
        <v>0.625</v>
      </c>
      <c r="D209" s="57" t="n">
        <f aca="false">07_最適化!$B$7</f>
        <v>0.75</v>
      </c>
      <c r="E209" s="55" t="n">
        <f aca="false">B209</f>
        <v>0.05</v>
      </c>
      <c r="F209" s="55" t="n">
        <f aca="false">1</f>
        <v>1</v>
      </c>
      <c r="G209" s="57" t="n">
        <f aca="false">C209</f>
        <v>0.625</v>
      </c>
      <c r="H209" s="57" t="n">
        <f aca="false">D209</f>
        <v>0.75</v>
      </c>
      <c r="I209" s="55" t="n">
        <f aca="false">E209</f>
        <v>0.05</v>
      </c>
      <c r="J209" s="55" t="n">
        <f aca="false">C209*D209</f>
        <v>0.46875</v>
      </c>
      <c r="K209" s="55" t="n">
        <f aca="false">C209*E209</f>
        <v>0.03125</v>
      </c>
      <c r="L209" s="55" t="n">
        <f aca="false">D209*E209</f>
        <v>0.0375</v>
      </c>
      <c r="M209" s="55" t="n">
        <f aca="false">C209*C209</f>
        <v>0.390625</v>
      </c>
      <c r="N209" s="55" t="n">
        <f aca="false">D209*D209</f>
        <v>0.5625</v>
      </c>
      <c r="O209" s="55" t="n">
        <f aca="false">E209*E209</f>
        <v>0.0025</v>
      </c>
      <c r="P209" s="55" t="n">
        <f aca="false">SUMPRODUCT(F209:O209,_XtX!$B$71:$K$71)</f>
        <v>50.1153465909091</v>
      </c>
      <c r="Q209" s="55" t="n">
        <f aca="false">SUMPRODUCT(MMULT(F209:O209,_XtX!$B$58:$K$67),F209:O209)</f>
        <v>0.264603302556818</v>
      </c>
      <c r="R209" s="55" t="n">
        <f aca="false">P209-04_回帰ANOVA!$K$19*04_回帰ANOVA!$K$14*SQRT(1+Q209)</f>
        <v>49.0697990332221</v>
      </c>
      <c r="S209" s="55" t="n">
        <f aca="false">P209+04_回帰ANOVA!$K$19*04_回帰ANOVA!$K$14*SQRT(1+Q209)</f>
        <v>51.1608941485961</v>
      </c>
      <c r="T209" s="54" t="b">
        <f aca="false">AND(C209&gt;=01_因子設定!$L$5-0.000000001,C209&lt;=01_因子設定!$M$5+0.000000001,D209&gt;=01_因子設定!$L$6-0.000000001,D209&lt;=01_因子設定!$M$6+0.000000001,E209&gt;=01_因子設定!$L$7-0.000000001,E209&lt;=01_因子設定!$M$7+0.000000001,IF(01_因子設定!$B$20="Box-Behnken",C209^2+D209^2+E209^2&lt;=2+0.000000001,TRUE()))</f>
        <v>1</v>
      </c>
      <c r="U209" s="55" t="n">
        <f aca="false">IF(T209,IF(01_因子設定!$B$13="最大化",R209-01_因子設定!$B$14,IF(01_因子設定!$B$13="最小化",01_因子設定!$B$15-S209,MIN(R209-01_因子設定!$B$14,01_因子設定!$B$15-S209))),-1E+030)</f>
        <v>0.569799033222104</v>
      </c>
      <c r="V209" s="55" t="n">
        <f aca="false">IF(U209&gt;=0,1,0)</f>
        <v>1</v>
      </c>
    </row>
    <row r="210" customFormat="false" ht="15" hidden="false" customHeight="false" outlineLevel="0" collapsed="false">
      <c r="A210" s="0" t="n">
        <v>3</v>
      </c>
      <c r="B210" s="0" t="n">
        <v>0.075</v>
      </c>
      <c r="C210" s="57" t="n">
        <f aca="false">07_最適化!$B$6</f>
        <v>0.625</v>
      </c>
      <c r="D210" s="57" t="n">
        <f aca="false">07_最適化!$B$7</f>
        <v>0.75</v>
      </c>
      <c r="E210" s="55" t="n">
        <f aca="false">B210</f>
        <v>0.075</v>
      </c>
      <c r="F210" s="55" t="n">
        <f aca="false">1</f>
        <v>1</v>
      </c>
      <c r="G210" s="57" t="n">
        <f aca="false">C210</f>
        <v>0.625</v>
      </c>
      <c r="H210" s="57" t="n">
        <f aca="false">D210</f>
        <v>0.75</v>
      </c>
      <c r="I210" s="55" t="n">
        <f aca="false">E210</f>
        <v>0.075</v>
      </c>
      <c r="J210" s="55" t="n">
        <f aca="false">C210*D210</f>
        <v>0.46875</v>
      </c>
      <c r="K210" s="55" t="n">
        <f aca="false">C210*E210</f>
        <v>0.046875</v>
      </c>
      <c r="L210" s="55" t="n">
        <f aca="false">D210*E210</f>
        <v>0.05625</v>
      </c>
      <c r="M210" s="55" t="n">
        <f aca="false">C210*C210</f>
        <v>0.390625</v>
      </c>
      <c r="N210" s="55" t="n">
        <f aca="false">D210*D210</f>
        <v>0.5625</v>
      </c>
      <c r="O210" s="55" t="n">
        <f aca="false">E210*E210</f>
        <v>0.005625</v>
      </c>
      <c r="P210" s="55" t="n">
        <f aca="false">SUMPRODUCT(F210:O210,_XtX!$B$71:$K$71)</f>
        <v>50.1522613636364</v>
      </c>
      <c r="Q210" s="55" t="n">
        <f aca="false">SUMPRODUCT(MMULT(F210:O210,_XtX!$B$58:$K$67),F210:O210)</f>
        <v>0.264200936612216</v>
      </c>
      <c r="R210" s="55" t="n">
        <f aca="false">P210-04_回帰ANOVA!$K$19*04_回帰ANOVA!$K$14*SQRT(1+Q210)</f>
        <v>49.1068801530555</v>
      </c>
      <c r="S210" s="55" t="n">
        <f aca="false">P210+04_回帰ANOVA!$K$19*04_回帰ANOVA!$K$14*SQRT(1+Q210)</f>
        <v>51.1976425742172</v>
      </c>
      <c r="T210" s="54" t="b">
        <f aca="false">AND(C210&gt;=01_因子設定!$L$5-0.000000001,C210&lt;=01_因子設定!$M$5+0.000000001,D210&gt;=01_因子設定!$L$6-0.000000001,D210&lt;=01_因子設定!$M$6+0.000000001,E210&gt;=01_因子設定!$L$7-0.000000001,E210&lt;=01_因子設定!$M$7+0.000000001,IF(01_因子設定!$B$20="Box-Behnken",C210^2+D210^2+E210^2&lt;=2+0.000000001,TRUE()))</f>
        <v>1</v>
      </c>
      <c r="U210" s="55" t="n">
        <f aca="false">IF(T210,IF(01_因子設定!$B$13="最大化",R210-01_因子設定!$B$14,IF(01_因子設定!$B$13="最小化",01_因子設定!$B$15-S210,MIN(R210-01_因子設定!$B$14,01_因子設定!$B$15-S210))),-1E+030)</f>
        <v>0.606880153055492</v>
      </c>
      <c r="V210" s="55" t="n">
        <f aca="false">IF(U210&gt;=0,1,0)</f>
        <v>1</v>
      </c>
    </row>
    <row r="211" customFormat="false" ht="15" hidden="false" customHeight="false" outlineLevel="0" collapsed="false">
      <c r="A211" s="0" t="n">
        <v>3</v>
      </c>
      <c r="B211" s="0" t="n">
        <v>0.1</v>
      </c>
      <c r="C211" s="57" t="n">
        <f aca="false">07_最適化!$B$6</f>
        <v>0.625</v>
      </c>
      <c r="D211" s="57" t="n">
        <f aca="false">07_最適化!$B$7</f>
        <v>0.75</v>
      </c>
      <c r="E211" s="55" t="n">
        <f aca="false">B211</f>
        <v>0.1</v>
      </c>
      <c r="F211" s="55" t="n">
        <f aca="false">1</f>
        <v>1</v>
      </c>
      <c r="G211" s="57" t="n">
        <f aca="false">C211</f>
        <v>0.625</v>
      </c>
      <c r="H211" s="57" t="n">
        <f aca="false">D211</f>
        <v>0.75</v>
      </c>
      <c r="I211" s="55" t="n">
        <f aca="false">E211</f>
        <v>0.1</v>
      </c>
      <c r="J211" s="55" t="n">
        <f aca="false">C211*D211</f>
        <v>0.46875</v>
      </c>
      <c r="K211" s="55" t="n">
        <f aca="false">C211*E211</f>
        <v>0.0625</v>
      </c>
      <c r="L211" s="55" t="n">
        <f aca="false">D211*E211</f>
        <v>0.075</v>
      </c>
      <c r="M211" s="55" t="n">
        <f aca="false">C211*C211</f>
        <v>0.390625</v>
      </c>
      <c r="N211" s="55" t="n">
        <f aca="false">D211*D211</f>
        <v>0.5625</v>
      </c>
      <c r="O211" s="55" t="n">
        <f aca="false">E211*E211</f>
        <v>0.01</v>
      </c>
      <c r="P211" s="55" t="n">
        <f aca="false">SUMPRODUCT(F211:O211,_XtX!$B$71:$K$71)</f>
        <v>50.1877045454546</v>
      </c>
      <c r="Q211" s="55" t="n">
        <f aca="false">SUMPRODUCT(MMULT(F211:O211,_XtX!$B$58:$K$67),F211:O211)</f>
        <v>0.263649556107955</v>
      </c>
      <c r="R211" s="55" t="n">
        <f aca="false">P211-04_回帰ANOVA!$K$19*04_回帰ANOVA!$K$14*SQRT(1+Q211)</f>
        <v>49.1425513309404</v>
      </c>
      <c r="S211" s="55" t="n">
        <f aca="false">P211+04_回帰ANOVA!$K$19*04_回帰ANOVA!$K$14*SQRT(1+Q211)</f>
        <v>51.2328577599687</v>
      </c>
      <c r="T211" s="54" t="b">
        <f aca="false">AND(C211&gt;=01_因子設定!$L$5-0.000000001,C211&lt;=01_因子設定!$M$5+0.000000001,D211&gt;=01_因子設定!$L$6-0.000000001,D211&lt;=01_因子設定!$M$6+0.000000001,E211&gt;=01_因子設定!$L$7-0.000000001,E211&lt;=01_因子設定!$M$7+0.000000001,IF(01_因子設定!$B$20="Box-Behnken",C211^2+D211^2+E211^2&lt;=2+0.000000001,TRUE()))</f>
        <v>1</v>
      </c>
      <c r="U211" s="55" t="n">
        <f aca="false">IF(T211,IF(01_因子設定!$B$13="最大化",R211-01_因子設定!$B$14,IF(01_因子設定!$B$13="最小化",01_因子設定!$B$15-S211,MIN(R211-01_因子設定!$B$14,01_因子設定!$B$15-S211))),-1E+030)</f>
        <v>0.642551330940407</v>
      </c>
      <c r="V211" s="55" t="n">
        <f aca="false">IF(U211&gt;=0,1,0)</f>
        <v>1</v>
      </c>
    </row>
    <row r="212" customFormat="false" ht="15" hidden="false" customHeight="false" outlineLevel="0" collapsed="false">
      <c r="A212" s="0" t="n">
        <v>3</v>
      </c>
      <c r="B212" s="0" t="n">
        <v>0.125</v>
      </c>
      <c r="C212" s="57" t="n">
        <f aca="false">07_最適化!$B$6</f>
        <v>0.625</v>
      </c>
      <c r="D212" s="57" t="n">
        <f aca="false">07_最適化!$B$7</f>
        <v>0.75</v>
      </c>
      <c r="E212" s="55" t="n">
        <f aca="false">B212</f>
        <v>0.125</v>
      </c>
      <c r="F212" s="55" t="n">
        <f aca="false">1</f>
        <v>1</v>
      </c>
      <c r="G212" s="57" t="n">
        <f aca="false">C212</f>
        <v>0.625</v>
      </c>
      <c r="H212" s="57" t="n">
        <f aca="false">D212</f>
        <v>0.75</v>
      </c>
      <c r="I212" s="55" t="n">
        <f aca="false">E212</f>
        <v>0.125</v>
      </c>
      <c r="J212" s="55" t="n">
        <f aca="false">C212*D212</f>
        <v>0.46875</v>
      </c>
      <c r="K212" s="55" t="n">
        <f aca="false">C212*E212</f>
        <v>0.078125</v>
      </c>
      <c r="L212" s="55" t="n">
        <f aca="false">D212*E212</f>
        <v>0.09375</v>
      </c>
      <c r="M212" s="55" t="n">
        <f aca="false">C212*C212</f>
        <v>0.390625</v>
      </c>
      <c r="N212" s="55" t="n">
        <f aca="false">D212*D212</f>
        <v>0.5625</v>
      </c>
      <c r="O212" s="55" t="n">
        <f aca="false">E212*E212</f>
        <v>0.015625</v>
      </c>
      <c r="P212" s="55" t="n">
        <f aca="false">SUMPRODUCT(F212:O212,_XtX!$B$71:$K$71)</f>
        <v>50.2216761363636</v>
      </c>
      <c r="Q212" s="55" t="n">
        <f aca="false">SUMPRODUCT(MMULT(F212:O212,_XtX!$B$58:$K$67),F212:O212)</f>
        <v>0.262961092862216</v>
      </c>
      <c r="R212" s="55" t="n">
        <f aca="false">P212-04_回帰ANOVA!$K$19*04_回帰ANOVA!$K$14*SQRT(1+Q212)</f>
        <v>49.1768076715272</v>
      </c>
      <c r="S212" s="55" t="n">
        <f aca="false">P212+04_回帰ANOVA!$K$19*04_回帰ANOVA!$K$14*SQRT(1+Q212)</f>
        <v>51.2665446012001</v>
      </c>
      <c r="T212" s="54" t="b">
        <f aca="false">AND(C212&gt;=01_因子設定!$L$5-0.000000001,C212&lt;=01_因子設定!$M$5+0.000000001,D212&gt;=01_因子設定!$L$6-0.000000001,D212&lt;=01_因子設定!$M$6+0.000000001,E212&gt;=01_因子設定!$L$7-0.000000001,E212&lt;=01_因子設定!$M$7+0.000000001,IF(01_因子設定!$B$20="Box-Behnken",C212^2+D212^2+E212^2&lt;=2+0.000000001,TRUE()))</f>
        <v>1</v>
      </c>
      <c r="U212" s="55" t="n">
        <f aca="false">IF(T212,IF(01_因子設定!$B$13="最大化",R212-01_因子設定!$B$14,IF(01_因子設定!$B$13="最小化",01_因子設定!$B$15-S212,MIN(R212-01_因子設定!$B$14,01_因子設定!$B$15-S212))),-1E+030)</f>
        <v>0.676807671527158</v>
      </c>
      <c r="V212" s="55" t="n">
        <f aca="false">IF(U212&gt;=0,1,0)</f>
        <v>1</v>
      </c>
    </row>
    <row r="213" customFormat="false" ht="15" hidden="false" customHeight="false" outlineLevel="0" collapsed="false">
      <c r="A213" s="0" t="n">
        <v>3</v>
      </c>
      <c r="B213" s="0" t="n">
        <v>0.15</v>
      </c>
      <c r="C213" s="57" t="n">
        <f aca="false">07_最適化!$B$6</f>
        <v>0.625</v>
      </c>
      <c r="D213" s="57" t="n">
        <f aca="false">07_最適化!$B$7</f>
        <v>0.75</v>
      </c>
      <c r="E213" s="55" t="n">
        <f aca="false">B213</f>
        <v>0.15</v>
      </c>
      <c r="F213" s="55" t="n">
        <f aca="false">1</f>
        <v>1</v>
      </c>
      <c r="G213" s="57" t="n">
        <f aca="false">C213</f>
        <v>0.625</v>
      </c>
      <c r="H213" s="57" t="n">
        <f aca="false">D213</f>
        <v>0.75</v>
      </c>
      <c r="I213" s="55" t="n">
        <f aca="false">E213</f>
        <v>0.15</v>
      </c>
      <c r="J213" s="55" t="n">
        <f aca="false">C213*D213</f>
        <v>0.46875</v>
      </c>
      <c r="K213" s="55" t="n">
        <f aca="false">C213*E213</f>
        <v>0.09375</v>
      </c>
      <c r="L213" s="55" t="n">
        <f aca="false">D213*E213</f>
        <v>0.1125</v>
      </c>
      <c r="M213" s="55" t="n">
        <f aca="false">C213*C213</f>
        <v>0.390625</v>
      </c>
      <c r="N213" s="55" t="n">
        <f aca="false">D213*D213</f>
        <v>0.5625</v>
      </c>
      <c r="O213" s="55" t="n">
        <f aca="false">E213*E213</f>
        <v>0.0225</v>
      </c>
      <c r="P213" s="55" t="n">
        <f aca="false">SUMPRODUCT(F213:O213,_XtX!$B$71:$K$71)</f>
        <v>50.2541761363636</v>
      </c>
      <c r="Q213" s="55" t="n">
        <f aca="false">SUMPRODUCT(MMULT(F213:O213,_XtX!$B$58:$K$67),F213:O213)</f>
        <v>0.262150887784091</v>
      </c>
      <c r="R213" s="55" t="n">
        <f aca="false">P213-04_回帰ANOVA!$K$19*04_回帰ANOVA!$K$14*SQRT(1+Q213)</f>
        <v>49.2096428732819</v>
      </c>
      <c r="S213" s="55" t="n">
        <f aca="false">P213+04_回帰ANOVA!$K$19*04_回帰ANOVA!$K$14*SQRT(1+Q213)</f>
        <v>51.2987093994454</v>
      </c>
      <c r="T213" s="54" t="b">
        <f aca="false">AND(C213&gt;=01_因子設定!$L$5-0.000000001,C213&lt;=01_因子設定!$M$5+0.000000001,D213&gt;=01_因子設定!$L$6-0.000000001,D213&lt;=01_因子設定!$M$6+0.000000001,E213&gt;=01_因子設定!$L$7-0.000000001,E213&lt;=01_因子設定!$M$7+0.000000001,IF(01_因子設定!$B$20="Box-Behnken",C213^2+D213^2+E213^2&lt;=2+0.000000001,TRUE()))</f>
        <v>1</v>
      </c>
      <c r="U213" s="55" t="n">
        <f aca="false">IF(T213,IF(01_因子設定!$B$13="最大化",R213-01_因子設定!$B$14,IF(01_因子設定!$B$13="最小化",01_因子設定!$B$15-S213,MIN(R213-01_因子設定!$B$14,01_因子設定!$B$15-S213))),-1E+030)</f>
        <v>0.709642873281915</v>
      </c>
      <c r="V213" s="55" t="n">
        <f aca="false">IF(U213&gt;=0,1,0)</f>
        <v>1</v>
      </c>
    </row>
    <row r="214" customFormat="false" ht="15" hidden="false" customHeight="false" outlineLevel="0" collapsed="false">
      <c r="A214" s="0" t="n">
        <v>3</v>
      </c>
      <c r="B214" s="0" t="n">
        <v>0.175</v>
      </c>
      <c r="C214" s="57" t="n">
        <f aca="false">07_最適化!$B$6</f>
        <v>0.625</v>
      </c>
      <c r="D214" s="57" t="n">
        <f aca="false">07_最適化!$B$7</f>
        <v>0.75</v>
      </c>
      <c r="E214" s="55" t="n">
        <f aca="false">B214</f>
        <v>0.175</v>
      </c>
      <c r="F214" s="55" t="n">
        <f aca="false">1</f>
        <v>1</v>
      </c>
      <c r="G214" s="57" t="n">
        <f aca="false">C214</f>
        <v>0.625</v>
      </c>
      <c r="H214" s="57" t="n">
        <f aca="false">D214</f>
        <v>0.75</v>
      </c>
      <c r="I214" s="55" t="n">
        <f aca="false">E214</f>
        <v>0.175</v>
      </c>
      <c r="J214" s="55" t="n">
        <f aca="false">C214*D214</f>
        <v>0.46875</v>
      </c>
      <c r="K214" s="55" t="n">
        <f aca="false">C214*E214</f>
        <v>0.109375</v>
      </c>
      <c r="L214" s="55" t="n">
        <f aca="false">D214*E214</f>
        <v>0.13125</v>
      </c>
      <c r="M214" s="55" t="n">
        <f aca="false">C214*C214</f>
        <v>0.390625</v>
      </c>
      <c r="N214" s="55" t="n">
        <f aca="false">D214*D214</f>
        <v>0.5625</v>
      </c>
      <c r="O214" s="55" t="n">
        <f aca="false">E214*E214</f>
        <v>0.030625</v>
      </c>
      <c r="P214" s="55" t="n">
        <f aca="false">SUMPRODUCT(F214:O214,_XtX!$B$71:$K$71)</f>
        <v>50.2852045454546</v>
      </c>
      <c r="Q214" s="55" t="n">
        <f aca="false">SUMPRODUCT(MMULT(F214:O214,_XtX!$B$58:$K$67),F214:O214)</f>
        <v>0.26123769087358</v>
      </c>
      <c r="R214" s="55" t="n">
        <f aca="false">P214-04_回帰ANOVA!$K$19*04_回帰ANOVA!$K$14*SQRT(1+Q214)</f>
        <v>49.2410492233768</v>
      </c>
      <c r="S214" s="55" t="n">
        <f aca="false">P214+04_回帰ANOVA!$K$19*04_回帰ANOVA!$K$14*SQRT(1+Q214)</f>
        <v>51.3293598675323</v>
      </c>
      <c r="T214" s="54" t="b">
        <f aca="false">AND(C214&gt;=01_因子設定!$L$5-0.000000001,C214&lt;=01_因子設定!$M$5+0.000000001,D214&gt;=01_因子設定!$L$6-0.000000001,D214&lt;=01_因子設定!$M$6+0.000000001,E214&gt;=01_因子設定!$L$7-0.000000001,E214&lt;=01_因子設定!$M$7+0.000000001,IF(01_因子設定!$B$20="Box-Behnken",C214^2+D214^2+E214^2&lt;=2+0.000000001,TRUE()))</f>
        <v>1</v>
      </c>
      <c r="U214" s="55" t="n">
        <f aca="false">IF(T214,IF(01_因子設定!$B$13="最大化",R214-01_因子設定!$B$14,IF(01_因子設定!$B$13="最小化",01_因子設定!$B$15-S214,MIN(R214-01_因子設定!$B$14,01_因子設定!$B$15-S214))),-1E+030)</f>
        <v>0.741049223376756</v>
      </c>
      <c r="V214" s="55" t="n">
        <f aca="false">IF(U214&gt;=0,1,0)</f>
        <v>1</v>
      </c>
    </row>
    <row r="215" customFormat="false" ht="15" hidden="false" customHeight="false" outlineLevel="0" collapsed="false">
      <c r="A215" s="0" t="n">
        <v>3</v>
      </c>
      <c r="B215" s="0" t="n">
        <v>0.2</v>
      </c>
      <c r="C215" s="57" t="n">
        <f aca="false">07_最適化!$B$6</f>
        <v>0.625</v>
      </c>
      <c r="D215" s="57" t="n">
        <f aca="false">07_最適化!$B$7</f>
        <v>0.75</v>
      </c>
      <c r="E215" s="55" t="n">
        <f aca="false">B215</f>
        <v>0.2</v>
      </c>
      <c r="F215" s="55" t="n">
        <f aca="false">1</f>
        <v>1</v>
      </c>
      <c r="G215" s="57" t="n">
        <f aca="false">C215</f>
        <v>0.625</v>
      </c>
      <c r="H215" s="57" t="n">
        <f aca="false">D215</f>
        <v>0.75</v>
      </c>
      <c r="I215" s="55" t="n">
        <f aca="false">E215</f>
        <v>0.2</v>
      </c>
      <c r="J215" s="55" t="n">
        <f aca="false">C215*D215</f>
        <v>0.46875</v>
      </c>
      <c r="K215" s="55" t="n">
        <f aca="false">C215*E215</f>
        <v>0.125</v>
      </c>
      <c r="L215" s="55" t="n">
        <f aca="false">D215*E215</f>
        <v>0.15</v>
      </c>
      <c r="M215" s="55" t="n">
        <f aca="false">C215*C215</f>
        <v>0.390625</v>
      </c>
      <c r="N215" s="55" t="n">
        <f aca="false">D215*D215</f>
        <v>0.5625</v>
      </c>
      <c r="O215" s="55" t="n">
        <f aca="false">E215*E215</f>
        <v>0.04</v>
      </c>
      <c r="P215" s="55" t="n">
        <f aca="false">SUMPRODUCT(F215:O215,_XtX!$B$71:$K$71)</f>
        <v>50.3147613636364</v>
      </c>
      <c r="Q215" s="55" t="n">
        <f aca="false">SUMPRODUCT(MMULT(F215:O215,_XtX!$B$58:$K$67),F215:O215)</f>
        <v>0.260243661221591</v>
      </c>
      <c r="R215" s="55" t="n">
        <f aca="false">P215-04_回帰ANOVA!$K$19*04_回帰ANOVA!$K$14*SQRT(1+Q215)</f>
        <v>49.2710175920323</v>
      </c>
      <c r="S215" s="55" t="n">
        <f aca="false">P215+04_回帰ANOVA!$K$19*04_回帰ANOVA!$K$14*SQRT(1+Q215)</f>
        <v>51.3585051352404</v>
      </c>
      <c r="T215" s="54" t="b">
        <f aca="false">AND(C215&gt;=01_因子設定!$L$5-0.000000001,C215&lt;=01_因子設定!$M$5+0.000000001,D215&gt;=01_因子設定!$L$6-0.000000001,D215&lt;=01_因子設定!$M$6+0.000000001,E215&gt;=01_因子設定!$L$7-0.000000001,E215&lt;=01_因子設定!$M$7+0.000000001,IF(01_因子設定!$B$20="Box-Behnken",C215^2+D215^2+E215^2&lt;=2+0.000000001,TRUE()))</f>
        <v>1</v>
      </c>
      <c r="U215" s="55" t="n">
        <f aca="false">IF(T215,IF(01_因子設定!$B$13="最大化",R215-01_因子設定!$B$14,IF(01_因子設定!$B$13="最小化",01_因子設定!$B$15-S215,MIN(R215-01_因子設定!$B$14,01_因子設定!$B$15-S215))),-1E+030)</f>
        <v>0.771017592032344</v>
      </c>
      <c r="V215" s="55" t="n">
        <f aca="false">IF(U215&gt;=0,1,0)</f>
        <v>1</v>
      </c>
    </row>
    <row r="216" customFormat="false" ht="15" hidden="false" customHeight="false" outlineLevel="0" collapsed="false">
      <c r="A216" s="0" t="n">
        <v>3</v>
      </c>
      <c r="B216" s="0" t="n">
        <v>0.225</v>
      </c>
      <c r="C216" s="57" t="n">
        <f aca="false">07_最適化!$B$6</f>
        <v>0.625</v>
      </c>
      <c r="D216" s="57" t="n">
        <f aca="false">07_最適化!$B$7</f>
        <v>0.75</v>
      </c>
      <c r="E216" s="55" t="n">
        <f aca="false">B216</f>
        <v>0.225</v>
      </c>
      <c r="F216" s="55" t="n">
        <f aca="false">1</f>
        <v>1</v>
      </c>
      <c r="G216" s="57" t="n">
        <f aca="false">C216</f>
        <v>0.625</v>
      </c>
      <c r="H216" s="57" t="n">
        <f aca="false">D216</f>
        <v>0.75</v>
      </c>
      <c r="I216" s="55" t="n">
        <f aca="false">E216</f>
        <v>0.225</v>
      </c>
      <c r="J216" s="55" t="n">
        <f aca="false">C216*D216</f>
        <v>0.46875</v>
      </c>
      <c r="K216" s="55" t="n">
        <f aca="false">C216*E216</f>
        <v>0.140625</v>
      </c>
      <c r="L216" s="55" t="n">
        <f aca="false">D216*E216</f>
        <v>0.16875</v>
      </c>
      <c r="M216" s="55" t="n">
        <f aca="false">C216*C216</f>
        <v>0.390625</v>
      </c>
      <c r="N216" s="55" t="n">
        <f aca="false">D216*D216</f>
        <v>0.5625</v>
      </c>
      <c r="O216" s="55" t="n">
        <f aca="false">E216*E216</f>
        <v>0.050625</v>
      </c>
      <c r="P216" s="55" t="n">
        <f aca="false">SUMPRODUCT(F216:O216,_XtX!$B$71:$K$71)</f>
        <v>50.3428465909091</v>
      </c>
      <c r="Q216" s="55" t="n">
        <f aca="false">SUMPRODUCT(MMULT(F216:O216,_XtX!$B$58:$K$67),F216:O216)</f>
        <v>0.259194367009943</v>
      </c>
      <c r="R216" s="55" t="n">
        <f aca="false">P216-04_回帰ANOVA!$K$19*04_回帰ANOVA!$K$14*SQRT(1+Q216)</f>
        <v>49.299537426673</v>
      </c>
      <c r="S216" s="55" t="n">
        <f aca="false">P216+04_回帰ANOVA!$K$19*04_回帰ANOVA!$K$14*SQRT(1+Q216)</f>
        <v>51.3861557551452</v>
      </c>
      <c r="T216" s="54" t="b">
        <f aca="false">AND(C216&gt;=01_因子設定!$L$5-0.000000001,C216&lt;=01_因子設定!$M$5+0.000000001,D216&gt;=01_因子設定!$L$6-0.000000001,D216&lt;=01_因子設定!$M$6+0.000000001,E216&gt;=01_因子設定!$L$7-0.000000001,E216&lt;=01_因子設定!$M$7+0.000000001,IF(01_因子設定!$B$20="Box-Behnken",C216^2+D216^2+E216^2&lt;=2+0.000000001,TRUE()))</f>
        <v>1</v>
      </c>
      <c r="U216" s="55" t="n">
        <f aca="false">IF(T216,IF(01_因子設定!$B$13="最大化",R216-01_因子設定!$B$14,IF(01_因子設定!$B$13="最小化",01_因子設定!$B$15-S216,MIN(R216-01_因子設定!$B$14,01_因子設定!$B$15-S216))),-1E+030)</f>
        <v>0.799537426672949</v>
      </c>
      <c r="V216" s="55" t="n">
        <f aca="false">IF(U216&gt;=0,1,0)</f>
        <v>1</v>
      </c>
    </row>
    <row r="217" customFormat="false" ht="15" hidden="false" customHeight="false" outlineLevel="0" collapsed="false">
      <c r="A217" s="0" t="n">
        <v>3</v>
      </c>
      <c r="B217" s="0" t="n">
        <v>0.25</v>
      </c>
      <c r="C217" s="57" t="n">
        <f aca="false">07_最適化!$B$6</f>
        <v>0.625</v>
      </c>
      <c r="D217" s="57" t="n">
        <f aca="false">07_最適化!$B$7</f>
        <v>0.75</v>
      </c>
      <c r="E217" s="55" t="n">
        <f aca="false">B217</f>
        <v>0.25</v>
      </c>
      <c r="F217" s="55" t="n">
        <f aca="false">1</f>
        <v>1</v>
      </c>
      <c r="G217" s="57" t="n">
        <f aca="false">C217</f>
        <v>0.625</v>
      </c>
      <c r="H217" s="57" t="n">
        <f aca="false">D217</f>
        <v>0.75</v>
      </c>
      <c r="I217" s="55" t="n">
        <f aca="false">E217</f>
        <v>0.25</v>
      </c>
      <c r="J217" s="55" t="n">
        <f aca="false">C217*D217</f>
        <v>0.46875</v>
      </c>
      <c r="K217" s="55" t="n">
        <f aca="false">C217*E217</f>
        <v>0.15625</v>
      </c>
      <c r="L217" s="55" t="n">
        <f aca="false">D217*E217</f>
        <v>0.1875</v>
      </c>
      <c r="M217" s="55" t="n">
        <f aca="false">C217*C217</f>
        <v>0.390625</v>
      </c>
      <c r="N217" s="55" t="n">
        <f aca="false">D217*D217</f>
        <v>0.5625</v>
      </c>
      <c r="O217" s="55" t="n">
        <f aca="false">E217*E217</f>
        <v>0.0625</v>
      </c>
      <c r="P217" s="55" t="n">
        <f aca="false">SUMPRODUCT(F217:O217,_XtX!$B$71:$K$71)</f>
        <v>50.3694602272727</v>
      </c>
      <c r="Q217" s="55" t="n">
        <f aca="false">SUMPRODUCT(MMULT(F217:O217,_XtX!$B$58:$K$67),F217:O217)</f>
        <v>0.258118785511364</v>
      </c>
      <c r="R217" s="55" t="n">
        <f aca="false">P217-04_回帰ANOVA!$K$19*04_回帰ANOVA!$K$14*SQRT(1+Q217)</f>
        <v>49.326596746324</v>
      </c>
      <c r="S217" s="55" t="n">
        <f aca="false">P217+04_回帰ANOVA!$K$19*04_回帰ANOVA!$K$14*SQRT(1+Q217)</f>
        <v>51.4123237082215</v>
      </c>
      <c r="T217" s="54" t="b">
        <f aca="false">AND(C217&gt;=01_因子設定!$L$5-0.000000001,C217&lt;=01_因子設定!$M$5+0.000000001,D217&gt;=01_因子設定!$L$6-0.000000001,D217&lt;=01_因子設定!$M$6+0.000000001,E217&gt;=01_因子設定!$L$7-0.000000001,E217&lt;=01_因子設定!$M$7+0.000000001,IF(01_因子設定!$B$20="Box-Behnken",C217^2+D217^2+E217^2&lt;=2+0.000000001,TRUE()))</f>
        <v>1</v>
      </c>
      <c r="U217" s="55" t="n">
        <f aca="false">IF(T217,IF(01_因子設定!$B$13="最大化",R217-01_因子設定!$B$14,IF(01_因子設定!$B$13="最小化",01_因子設定!$B$15-S217,MIN(R217-01_因子設定!$B$14,01_因子設定!$B$15-S217))),-1E+030)</f>
        <v>0.826596746323972</v>
      </c>
      <c r="V217" s="55" t="n">
        <f aca="false">IF(U217&gt;=0,1,0)</f>
        <v>1</v>
      </c>
    </row>
    <row r="218" customFormat="false" ht="15" hidden="false" customHeight="false" outlineLevel="0" collapsed="false">
      <c r="A218" s="0" t="n">
        <v>3</v>
      </c>
      <c r="B218" s="0" t="n">
        <v>0.275</v>
      </c>
      <c r="C218" s="57" t="n">
        <f aca="false">07_最適化!$B$6</f>
        <v>0.625</v>
      </c>
      <c r="D218" s="57" t="n">
        <f aca="false">07_最適化!$B$7</f>
        <v>0.75</v>
      </c>
      <c r="E218" s="55" t="n">
        <f aca="false">B218</f>
        <v>0.275</v>
      </c>
      <c r="F218" s="55" t="n">
        <f aca="false">1</f>
        <v>1</v>
      </c>
      <c r="G218" s="57" t="n">
        <f aca="false">C218</f>
        <v>0.625</v>
      </c>
      <c r="H218" s="57" t="n">
        <f aca="false">D218</f>
        <v>0.75</v>
      </c>
      <c r="I218" s="55" t="n">
        <f aca="false">E218</f>
        <v>0.275</v>
      </c>
      <c r="J218" s="55" t="n">
        <f aca="false">C218*D218</f>
        <v>0.46875</v>
      </c>
      <c r="K218" s="55" t="n">
        <f aca="false">C218*E218</f>
        <v>0.171875</v>
      </c>
      <c r="L218" s="55" t="n">
        <f aca="false">D218*E218</f>
        <v>0.20625</v>
      </c>
      <c r="M218" s="55" t="n">
        <f aca="false">C218*C218</f>
        <v>0.390625</v>
      </c>
      <c r="N218" s="55" t="n">
        <f aca="false">D218*D218</f>
        <v>0.5625</v>
      </c>
      <c r="O218" s="55" t="n">
        <f aca="false">E218*E218</f>
        <v>0.075625</v>
      </c>
      <c r="P218" s="55" t="n">
        <f aca="false">SUMPRODUCT(F218:O218,_XtX!$B$71:$K$71)</f>
        <v>50.3946022727273</v>
      </c>
      <c r="Q218" s="55" t="n">
        <f aca="false">SUMPRODUCT(MMULT(F218:O218,_XtX!$B$58:$K$67),F218:O218)</f>
        <v>0.257049303089489</v>
      </c>
      <c r="R218" s="55" t="n">
        <f aca="false">P218-04_回帰ANOVA!$K$19*04_回帰ANOVA!$K$14*SQRT(1+Q218)</f>
        <v>49.3521821367549</v>
      </c>
      <c r="S218" s="55" t="n">
        <f aca="false">P218+04_回帰ANOVA!$K$19*04_回帰ANOVA!$K$14*SQRT(1+Q218)</f>
        <v>51.4370224086996</v>
      </c>
      <c r="T218" s="54" t="b">
        <f aca="false">AND(C218&gt;=01_因子設定!$L$5-0.000000001,C218&lt;=01_因子設定!$M$5+0.000000001,D218&gt;=01_因子設定!$L$6-0.000000001,D218&lt;=01_因子設定!$M$6+0.000000001,E218&gt;=01_因子設定!$L$7-0.000000001,E218&lt;=01_因子設定!$M$7+0.000000001,IF(01_因子設定!$B$20="Box-Behnken",C218^2+D218^2+E218^2&lt;=2+0.000000001,TRUE()))</f>
        <v>1</v>
      </c>
      <c r="U218" s="55" t="n">
        <f aca="false">IF(T218,IF(01_因子設定!$B$13="最大化",R218-01_因子設定!$B$14,IF(01_因子設定!$B$13="最小化",01_因子設定!$B$15-S218,MIN(R218-01_因子設定!$B$14,01_因子設定!$B$15-S218))),-1E+030)</f>
        <v>0.852182136754912</v>
      </c>
      <c r="V218" s="55" t="n">
        <f aca="false">IF(U218&gt;=0,1,0)</f>
        <v>1</v>
      </c>
    </row>
    <row r="219" customFormat="false" ht="15" hidden="false" customHeight="false" outlineLevel="0" collapsed="false">
      <c r="A219" s="0" t="n">
        <v>3</v>
      </c>
      <c r="B219" s="0" t="n">
        <v>0.3</v>
      </c>
      <c r="C219" s="57" t="n">
        <f aca="false">07_最適化!$B$6</f>
        <v>0.625</v>
      </c>
      <c r="D219" s="57" t="n">
        <f aca="false">07_最適化!$B$7</f>
        <v>0.75</v>
      </c>
      <c r="E219" s="55" t="n">
        <f aca="false">B219</f>
        <v>0.3</v>
      </c>
      <c r="F219" s="55" t="n">
        <f aca="false">1</f>
        <v>1</v>
      </c>
      <c r="G219" s="57" t="n">
        <f aca="false">C219</f>
        <v>0.625</v>
      </c>
      <c r="H219" s="57" t="n">
        <f aca="false">D219</f>
        <v>0.75</v>
      </c>
      <c r="I219" s="55" t="n">
        <f aca="false">E219</f>
        <v>0.3</v>
      </c>
      <c r="J219" s="55" t="n">
        <f aca="false">C219*D219</f>
        <v>0.46875</v>
      </c>
      <c r="K219" s="55" t="n">
        <f aca="false">C219*E219</f>
        <v>0.1875</v>
      </c>
      <c r="L219" s="55" t="n">
        <f aca="false">D219*E219</f>
        <v>0.225</v>
      </c>
      <c r="M219" s="55" t="n">
        <f aca="false">C219*C219</f>
        <v>0.390625</v>
      </c>
      <c r="N219" s="55" t="n">
        <f aca="false">D219*D219</f>
        <v>0.5625</v>
      </c>
      <c r="O219" s="55" t="n">
        <f aca="false">E219*E219</f>
        <v>0.09</v>
      </c>
      <c r="P219" s="55" t="n">
        <f aca="false">SUMPRODUCT(F219:O219,_XtX!$B$71:$K$71)</f>
        <v>50.4182727272727</v>
      </c>
      <c r="Q219" s="55" t="n">
        <f aca="false">SUMPRODUCT(MMULT(F219:O219,_XtX!$B$58:$K$67),F219:O219)</f>
        <v>0.256021715198864</v>
      </c>
      <c r="R219" s="55" t="n">
        <f aca="false">P219-04_回帰ANOVA!$K$19*04_回帰ANOVA!$K$14*SQRT(1+Q219)</f>
        <v>49.376278746944</v>
      </c>
      <c r="S219" s="55" t="n">
        <f aca="false">P219+04_回帰ANOVA!$K$19*04_回帰ANOVA!$K$14*SQRT(1+Q219)</f>
        <v>51.4602667076015</v>
      </c>
      <c r="T219" s="54" t="b">
        <f aca="false">AND(C219&gt;=01_因子設定!$L$5-0.000000001,C219&lt;=01_因子設定!$M$5+0.000000001,D219&gt;=01_因子設定!$L$6-0.000000001,D219&lt;=01_因子設定!$M$6+0.000000001,E219&gt;=01_因子設定!$L$7-0.000000001,E219&lt;=01_因子設定!$M$7+0.000000001,IF(01_因子設定!$B$20="Box-Behnken",C219^2+D219^2+E219^2&lt;=2+0.000000001,TRUE()))</f>
        <v>1</v>
      </c>
      <c r="U219" s="55" t="n">
        <f aca="false">IF(T219,IF(01_因子設定!$B$13="最大化",R219-01_因子設定!$B$14,IF(01_因子設定!$B$13="最小化",01_因子設定!$B$15-S219,MIN(R219-01_因子設定!$B$14,01_因子設定!$B$15-S219))),-1E+030)</f>
        <v>0.876278746943974</v>
      </c>
      <c r="V219" s="55" t="n">
        <f aca="false">IF(U219&gt;=0,1,0)</f>
        <v>1</v>
      </c>
    </row>
    <row r="220" customFormat="false" ht="15" hidden="false" customHeight="false" outlineLevel="0" collapsed="false">
      <c r="A220" s="0" t="n">
        <v>3</v>
      </c>
      <c r="B220" s="0" t="n">
        <v>0.325</v>
      </c>
      <c r="C220" s="57" t="n">
        <f aca="false">07_最適化!$B$6</f>
        <v>0.625</v>
      </c>
      <c r="D220" s="57" t="n">
        <f aca="false">07_最適化!$B$7</f>
        <v>0.75</v>
      </c>
      <c r="E220" s="55" t="n">
        <f aca="false">B220</f>
        <v>0.325</v>
      </c>
      <c r="F220" s="55" t="n">
        <f aca="false">1</f>
        <v>1</v>
      </c>
      <c r="G220" s="57" t="n">
        <f aca="false">C220</f>
        <v>0.625</v>
      </c>
      <c r="H220" s="57" t="n">
        <f aca="false">D220</f>
        <v>0.75</v>
      </c>
      <c r="I220" s="55" t="n">
        <f aca="false">E220</f>
        <v>0.325</v>
      </c>
      <c r="J220" s="55" t="n">
        <f aca="false">C220*D220</f>
        <v>0.46875</v>
      </c>
      <c r="K220" s="55" t="n">
        <f aca="false">C220*E220</f>
        <v>0.203125</v>
      </c>
      <c r="L220" s="55" t="n">
        <f aca="false">D220*E220</f>
        <v>0.24375</v>
      </c>
      <c r="M220" s="55" t="n">
        <f aca="false">C220*C220</f>
        <v>0.390625</v>
      </c>
      <c r="N220" s="55" t="n">
        <f aca="false">D220*D220</f>
        <v>0.5625</v>
      </c>
      <c r="O220" s="55" t="n">
        <f aca="false">E220*E220</f>
        <v>0.105625</v>
      </c>
      <c r="P220" s="55" t="n">
        <f aca="false">SUMPRODUCT(F220:O220,_XtX!$B$71:$K$71)</f>
        <v>50.4404715909091</v>
      </c>
      <c r="Q220" s="55" t="n">
        <f aca="false">SUMPRODUCT(MMULT(F220:O220,_XtX!$B$58:$K$67),F220:O220)</f>
        <v>0.255075226384943</v>
      </c>
      <c r="R220" s="55" t="n">
        <f aca="false">P220-04_回帰ANOVA!$K$19*04_回帰ANOVA!$K$14*SQRT(1+Q220)</f>
        <v>49.3988702875149</v>
      </c>
      <c r="S220" s="55" t="n">
        <f aca="false">P220+04_回帰ANOVA!$K$19*04_回帰ANOVA!$K$14*SQRT(1+Q220)</f>
        <v>51.4820728943033</v>
      </c>
      <c r="T220" s="54" t="b">
        <f aca="false">AND(C220&gt;=01_因子設定!$L$5-0.000000001,C220&lt;=01_因子設定!$M$5+0.000000001,D220&gt;=01_因子設定!$L$6-0.000000001,D220&lt;=01_因子設定!$M$6+0.000000001,E220&gt;=01_因子設定!$L$7-0.000000001,E220&lt;=01_因子設定!$M$7+0.000000001,IF(01_因子設定!$B$20="Box-Behnken",C220^2+D220^2+E220^2&lt;=2+0.000000001,TRUE()))</f>
        <v>1</v>
      </c>
      <c r="U220" s="55" t="n">
        <f aca="false">IF(T220,IF(01_因子設定!$B$13="最大化",R220-01_因子設定!$B$14,IF(01_因子設定!$B$13="最小化",01_因子設定!$B$15-S220,MIN(R220-01_因子設定!$B$14,01_因子設定!$B$15-S220))),-1E+030)</f>
        <v>0.89887028751491</v>
      </c>
      <c r="V220" s="55" t="n">
        <f aca="false">IF(U220&gt;=0,1,0)</f>
        <v>1</v>
      </c>
    </row>
    <row r="221" customFormat="false" ht="15" hidden="false" customHeight="false" outlineLevel="0" collapsed="false">
      <c r="A221" s="0" t="n">
        <v>3</v>
      </c>
      <c r="B221" s="0" t="n">
        <v>0.35</v>
      </c>
      <c r="C221" s="57" t="n">
        <f aca="false">07_最適化!$B$6</f>
        <v>0.625</v>
      </c>
      <c r="D221" s="57" t="n">
        <f aca="false">07_最適化!$B$7</f>
        <v>0.75</v>
      </c>
      <c r="E221" s="55" t="n">
        <f aca="false">B221</f>
        <v>0.35</v>
      </c>
      <c r="F221" s="55" t="n">
        <f aca="false">1</f>
        <v>1</v>
      </c>
      <c r="G221" s="57" t="n">
        <f aca="false">C221</f>
        <v>0.625</v>
      </c>
      <c r="H221" s="57" t="n">
        <f aca="false">D221</f>
        <v>0.75</v>
      </c>
      <c r="I221" s="55" t="n">
        <f aca="false">E221</f>
        <v>0.35</v>
      </c>
      <c r="J221" s="55" t="n">
        <f aca="false">C221*D221</f>
        <v>0.46875</v>
      </c>
      <c r="K221" s="55" t="n">
        <f aca="false">C221*E221</f>
        <v>0.21875</v>
      </c>
      <c r="L221" s="55" t="n">
        <f aca="false">D221*E221</f>
        <v>0.2625</v>
      </c>
      <c r="M221" s="55" t="n">
        <f aca="false">C221*C221</f>
        <v>0.390625</v>
      </c>
      <c r="N221" s="55" t="n">
        <f aca="false">D221*D221</f>
        <v>0.5625</v>
      </c>
      <c r="O221" s="55" t="n">
        <f aca="false">E221*E221</f>
        <v>0.1225</v>
      </c>
      <c r="P221" s="55" t="n">
        <f aca="false">SUMPRODUCT(F221:O221,_XtX!$B$71:$K$71)</f>
        <v>50.4611988636364</v>
      </c>
      <c r="Q221" s="55" t="n">
        <f aca="false">SUMPRODUCT(MMULT(F221:O221,_XtX!$B$58:$K$67),F221:O221)</f>
        <v>0.254252450284091</v>
      </c>
      <c r="R221" s="55" t="n">
        <f aca="false">P221-04_回帰ANOVA!$K$19*04_回帰ANOVA!$K$14*SQRT(1+Q221)</f>
        <v>49.4199390318693</v>
      </c>
      <c r="S221" s="55" t="n">
        <f aca="false">P221+04_回帰ANOVA!$K$19*04_回帰ANOVA!$K$14*SQRT(1+Q221)</f>
        <v>51.5024586954034</v>
      </c>
      <c r="T221" s="54" t="b">
        <f aca="false">AND(C221&gt;=01_因子設定!$L$5-0.000000001,C221&lt;=01_因子設定!$M$5+0.000000001,D221&gt;=01_因子設定!$L$6-0.000000001,D221&lt;=01_因子設定!$M$6+0.000000001,E221&gt;=01_因子設定!$L$7-0.000000001,E221&lt;=01_因子設定!$M$7+0.000000001,IF(01_因子設定!$B$20="Box-Behnken",C221^2+D221^2+E221^2&lt;=2+0.000000001,TRUE()))</f>
        <v>1</v>
      </c>
      <c r="U221" s="55" t="n">
        <f aca="false">IF(T221,IF(01_因子設定!$B$13="最大化",R221-01_因子設定!$B$14,IF(01_因子設定!$B$13="最小化",01_因子設定!$B$15-S221,MIN(R221-01_因子設定!$B$14,01_因子設定!$B$15-S221))),-1E+030)</f>
        <v>0.919939031869298</v>
      </c>
      <c r="V221" s="55" t="n">
        <f aca="false">IF(U221&gt;=0,1,0)</f>
        <v>1</v>
      </c>
    </row>
    <row r="222" customFormat="false" ht="15" hidden="false" customHeight="false" outlineLevel="0" collapsed="false">
      <c r="A222" s="0" t="n">
        <v>3</v>
      </c>
      <c r="B222" s="0" t="n">
        <v>0.375</v>
      </c>
      <c r="C222" s="57" t="n">
        <f aca="false">07_最適化!$B$6</f>
        <v>0.625</v>
      </c>
      <c r="D222" s="57" t="n">
        <f aca="false">07_最適化!$B$7</f>
        <v>0.75</v>
      </c>
      <c r="E222" s="55" t="n">
        <f aca="false">B222</f>
        <v>0.375</v>
      </c>
      <c r="F222" s="55" t="n">
        <f aca="false">1</f>
        <v>1</v>
      </c>
      <c r="G222" s="57" t="n">
        <f aca="false">C222</f>
        <v>0.625</v>
      </c>
      <c r="H222" s="57" t="n">
        <f aca="false">D222</f>
        <v>0.75</v>
      </c>
      <c r="I222" s="55" t="n">
        <f aca="false">E222</f>
        <v>0.375</v>
      </c>
      <c r="J222" s="55" t="n">
        <f aca="false">C222*D222</f>
        <v>0.46875</v>
      </c>
      <c r="K222" s="55" t="n">
        <f aca="false">C222*E222</f>
        <v>0.234375</v>
      </c>
      <c r="L222" s="55" t="n">
        <f aca="false">D222*E222</f>
        <v>0.28125</v>
      </c>
      <c r="M222" s="55" t="n">
        <f aca="false">C222*C222</f>
        <v>0.390625</v>
      </c>
      <c r="N222" s="55" t="n">
        <f aca="false">D222*D222</f>
        <v>0.5625</v>
      </c>
      <c r="O222" s="55" t="n">
        <f aca="false">E222*E222</f>
        <v>0.140625</v>
      </c>
      <c r="P222" s="55" t="n">
        <f aca="false">SUMPRODUCT(F222:O222,_XtX!$B$71:$K$71)</f>
        <v>50.4804545454546</v>
      </c>
      <c r="Q222" s="55" t="n">
        <f aca="false">SUMPRODUCT(MMULT(F222:O222,_XtX!$B$58:$K$67),F222:O222)</f>
        <v>0.25359940962358</v>
      </c>
      <c r="R222" s="55" t="n">
        <f aca="false">P222-04_回帰ANOVA!$K$19*04_回帰ANOVA!$K$14*SQRT(1+Q222)</f>
        <v>49.4394658208086</v>
      </c>
      <c r="S222" s="55" t="n">
        <f aca="false">P222+04_回帰ANOVA!$K$19*04_回帰ANOVA!$K$14*SQRT(1+Q222)</f>
        <v>51.5214432701005</v>
      </c>
      <c r="T222" s="54" t="b">
        <f aca="false">AND(C222&gt;=01_因子設定!$L$5-0.000000001,C222&lt;=01_因子設定!$M$5+0.000000001,D222&gt;=01_因子設定!$L$6-0.000000001,D222&lt;=01_因子設定!$M$6+0.000000001,E222&gt;=01_因子設定!$L$7-0.000000001,E222&lt;=01_因子設定!$M$7+0.000000001,IF(01_因子設定!$B$20="Box-Behnken",C222^2+D222^2+E222^2&lt;=2+0.000000001,TRUE()))</f>
        <v>1</v>
      </c>
      <c r="U222" s="55" t="n">
        <f aca="false">IF(T222,IF(01_因子設定!$B$13="最大化",R222-01_因子設定!$B$14,IF(01_因子設定!$B$13="最小化",01_因子設定!$B$15-S222,MIN(R222-01_因子設定!$B$14,01_因子設定!$B$15-S222))),-1E+030)</f>
        <v>0.939465820808564</v>
      </c>
      <c r="V222" s="55" t="n">
        <f aca="false">IF(U222&gt;=0,1,0)</f>
        <v>1</v>
      </c>
    </row>
    <row r="223" customFormat="false" ht="15" hidden="false" customHeight="false" outlineLevel="0" collapsed="false">
      <c r="A223" s="0" t="n">
        <v>3</v>
      </c>
      <c r="B223" s="0" t="n">
        <v>0.4</v>
      </c>
      <c r="C223" s="57" t="n">
        <f aca="false">07_最適化!$B$6</f>
        <v>0.625</v>
      </c>
      <c r="D223" s="57" t="n">
        <f aca="false">07_最適化!$B$7</f>
        <v>0.75</v>
      </c>
      <c r="E223" s="55" t="n">
        <f aca="false">B223</f>
        <v>0.4</v>
      </c>
      <c r="F223" s="55" t="n">
        <f aca="false">1</f>
        <v>1</v>
      </c>
      <c r="G223" s="57" t="n">
        <f aca="false">C223</f>
        <v>0.625</v>
      </c>
      <c r="H223" s="57" t="n">
        <f aca="false">D223</f>
        <v>0.75</v>
      </c>
      <c r="I223" s="55" t="n">
        <f aca="false">E223</f>
        <v>0.4</v>
      </c>
      <c r="J223" s="55" t="n">
        <f aca="false">C223*D223</f>
        <v>0.46875</v>
      </c>
      <c r="K223" s="55" t="n">
        <f aca="false">C223*E223</f>
        <v>0.25</v>
      </c>
      <c r="L223" s="55" t="n">
        <f aca="false">D223*E223</f>
        <v>0.3</v>
      </c>
      <c r="M223" s="55" t="n">
        <f aca="false">C223*C223</f>
        <v>0.390625</v>
      </c>
      <c r="N223" s="55" t="n">
        <f aca="false">D223*D223</f>
        <v>0.5625</v>
      </c>
      <c r="O223" s="55" t="n">
        <f aca="false">E223*E223</f>
        <v>0.16</v>
      </c>
      <c r="P223" s="55" t="n">
        <f aca="false">SUMPRODUCT(F223:O223,_XtX!$B$71:$K$71)</f>
        <v>50.4982386363636</v>
      </c>
      <c r="Q223" s="55" t="n">
        <f aca="false">SUMPRODUCT(MMULT(F223:O223,_XtX!$B$58:$K$67),F223:O223)</f>
        <v>0.253165536221591</v>
      </c>
      <c r="R223" s="55" t="n">
        <f aca="false">P223-04_回帰ANOVA!$K$19*04_回帰ANOVA!$K$14*SQRT(1+Q223)</f>
        <v>49.457430071505</v>
      </c>
      <c r="S223" s="55" t="n">
        <f aca="false">P223+04_回帰ANOVA!$K$19*04_回帰ANOVA!$K$14*SQRT(1+Q223)</f>
        <v>51.5390472012223</v>
      </c>
      <c r="T223" s="54" t="b">
        <f aca="false">AND(C223&gt;=01_因子設定!$L$5-0.000000001,C223&lt;=01_因子設定!$M$5+0.000000001,D223&gt;=01_因子設定!$L$6-0.000000001,D223&lt;=01_因子設定!$M$6+0.000000001,E223&gt;=01_因子設定!$L$7-0.000000001,E223&lt;=01_因子設定!$M$7+0.000000001,IF(01_因子設定!$B$20="Box-Behnken",C223^2+D223^2+E223^2&lt;=2+0.000000001,TRUE()))</f>
        <v>1</v>
      </c>
      <c r="U223" s="55" t="n">
        <f aca="false">IF(T223,IF(01_因子設定!$B$13="最大化",R223-01_因子設定!$B$14,IF(01_因子設定!$B$13="最小化",01_因子設定!$B$15-S223,MIN(R223-01_因子設定!$B$14,01_因子設定!$B$15-S223))),-1E+030)</f>
        <v>0.95743007150498</v>
      </c>
      <c r="V223" s="55" t="n">
        <f aca="false">IF(U223&gt;=0,1,0)</f>
        <v>1</v>
      </c>
    </row>
    <row r="224" customFormat="false" ht="15" hidden="false" customHeight="false" outlineLevel="0" collapsed="false">
      <c r="A224" s="0" t="n">
        <v>3</v>
      </c>
      <c r="B224" s="0" t="n">
        <v>0.425</v>
      </c>
      <c r="C224" s="57" t="n">
        <f aca="false">07_最適化!$B$6</f>
        <v>0.625</v>
      </c>
      <c r="D224" s="57" t="n">
        <f aca="false">07_最適化!$B$7</f>
        <v>0.75</v>
      </c>
      <c r="E224" s="55" t="n">
        <f aca="false">B224</f>
        <v>0.425</v>
      </c>
      <c r="F224" s="55" t="n">
        <f aca="false">1</f>
        <v>1</v>
      </c>
      <c r="G224" s="57" t="n">
        <f aca="false">C224</f>
        <v>0.625</v>
      </c>
      <c r="H224" s="57" t="n">
        <f aca="false">D224</f>
        <v>0.75</v>
      </c>
      <c r="I224" s="55" t="n">
        <f aca="false">E224</f>
        <v>0.425</v>
      </c>
      <c r="J224" s="55" t="n">
        <f aca="false">C224*D224</f>
        <v>0.46875</v>
      </c>
      <c r="K224" s="55" t="n">
        <f aca="false">C224*E224</f>
        <v>0.265625</v>
      </c>
      <c r="L224" s="55" t="n">
        <f aca="false">D224*E224</f>
        <v>0.31875</v>
      </c>
      <c r="M224" s="55" t="n">
        <f aca="false">C224*C224</f>
        <v>0.390625</v>
      </c>
      <c r="N224" s="55" t="n">
        <f aca="false">D224*D224</f>
        <v>0.5625</v>
      </c>
      <c r="O224" s="55" t="n">
        <f aca="false">E224*E224</f>
        <v>0.180625</v>
      </c>
      <c r="P224" s="55" t="n">
        <f aca="false">SUMPRODUCT(F224:O224,_XtX!$B$71:$K$71)</f>
        <v>50.5145511363636</v>
      </c>
      <c r="Q224" s="55" t="n">
        <f aca="false">SUMPRODUCT(MMULT(F224:O224,_XtX!$B$58:$K$67),F224:O224)</f>
        <v>0.253003670987216</v>
      </c>
      <c r="R224" s="55" t="n">
        <f aca="false">P224-04_回帰ANOVA!$K$19*04_回帰ANOVA!$K$14*SQRT(1+Q224)</f>
        <v>49.4738097917396</v>
      </c>
      <c r="S224" s="55" t="n">
        <f aca="false">P224+04_回帰ANOVA!$K$19*04_回帰ANOVA!$K$14*SQRT(1+Q224)</f>
        <v>51.5552924809877</v>
      </c>
      <c r="T224" s="54" t="b">
        <f aca="false">AND(C224&gt;=01_因子設定!$L$5-0.000000001,C224&lt;=01_因子設定!$M$5+0.000000001,D224&gt;=01_因子設定!$L$6-0.000000001,D224&lt;=01_因子設定!$M$6+0.000000001,E224&gt;=01_因子設定!$L$7-0.000000001,E224&lt;=01_因子設定!$M$7+0.000000001,IF(01_因子設定!$B$20="Box-Behnken",C224^2+D224^2+E224^2&lt;=2+0.000000001,TRUE()))</f>
        <v>1</v>
      </c>
      <c r="U224" s="55" t="n">
        <f aca="false">IF(T224,IF(01_因子設定!$B$13="最大化",R224-01_因子設定!$B$14,IF(01_因子設定!$B$13="最小化",01_因子設定!$B$15-S224,MIN(R224-01_因子設定!$B$14,01_因子設定!$B$15-S224))),-1E+030)</f>
        <v>0.973809791739619</v>
      </c>
      <c r="V224" s="55" t="n">
        <f aca="false">IF(U224&gt;=0,1,0)</f>
        <v>1</v>
      </c>
    </row>
    <row r="225" customFormat="false" ht="15" hidden="false" customHeight="false" outlineLevel="0" collapsed="false">
      <c r="A225" s="0" t="n">
        <v>3</v>
      </c>
      <c r="B225" s="0" t="n">
        <v>0.45</v>
      </c>
      <c r="C225" s="57" t="n">
        <f aca="false">07_最適化!$B$6</f>
        <v>0.625</v>
      </c>
      <c r="D225" s="57" t="n">
        <f aca="false">07_最適化!$B$7</f>
        <v>0.75</v>
      </c>
      <c r="E225" s="55" t="n">
        <f aca="false">B225</f>
        <v>0.45</v>
      </c>
      <c r="F225" s="55" t="n">
        <f aca="false">1</f>
        <v>1</v>
      </c>
      <c r="G225" s="57" t="n">
        <f aca="false">C225</f>
        <v>0.625</v>
      </c>
      <c r="H225" s="57" t="n">
        <f aca="false">D225</f>
        <v>0.75</v>
      </c>
      <c r="I225" s="55" t="n">
        <f aca="false">E225</f>
        <v>0.45</v>
      </c>
      <c r="J225" s="55" t="n">
        <f aca="false">C225*D225</f>
        <v>0.46875</v>
      </c>
      <c r="K225" s="55" t="n">
        <f aca="false">C225*E225</f>
        <v>0.28125</v>
      </c>
      <c r="L225" s="55" t="n">
        <f aca="false">D225*E225</f>
        <v>0.3375</v>
      </c>
      <c r="M225" s="55" t="n">
        <f aca="false">C225*C225</f>
        <v>0.390625</v>
      </c>
      <c r="N225" s="55" t="n">
        <f aca="false">D225*D225</f>
        <v>0.5625</v>
      </c>
      <c r="O225" s="55" t="n">
        <f aca="false">E225*E225</f>
        <v>0.2025</v>
      </c>
      <c r="P225" s="55" t="n">
        <f aca="false">SUMPRODUCT(F225:O225,_XtX!$B$71:$K$71)</f>
        <v>50.5293920454546</v>
      </c>
      <c r="Q225" s="55" t="n">
        <f aca="false">SUMPRODUCT(MMULT(F225:O225,_XtX!$B$58:$K$67),F225:O225)</f>
        <v>0.253170063920455</v>
      </c>
      <c r="R225" s="55" t="n">
        <f aca="false">P225-04_回帰ANOVA!$K$19*04_回帰ANOVA!$K$14*SQRT(1+Q225)</f>
        <v>49.488581600372</v>
      </c>
      <c r="S225" s="55" t="n">
        <f aca="false">P225+04_回帰ANOVA!$K$19*04_回帰ANOVA!$K$14*SQRT(1+Q225)</f>
        <v>51.5702024905371</v>
      </c>
      <c r="T225" s="54" t="b">
        <f aca="false">AND(C225&gt;=01_因子設定!$L$5-0.000000001,C225&lt;=01_因子設定!$M$5+0.000000001,D225&gt;=01_因子設定!$L$6-0.000000001,D225&lt;=01_因子設定!$M$6+0.000000001,E225&gt;=01_因子設定!$L$7-0.000000001,E225&lt;=01_因子設定!$M$7+0.000000001,IF(01_因子設定!$B$20="Box-Behnken",C225^2+D225^2+E225^2&lt;=2+0.000000001,TRUE()))</f>
        <v>1</v>
      </c>
      <c r="U225" s="55" t="n">
        <f aca="false">IF(T225,IF(01_因子設定!$B$13="最大化",R225-01_因子設定!$B$14,IF(01_因子設定!$B$13="最小化",01_因子設定!$B$15-S225,MIN(R225-01_因子設定!$B$14,01_因子設定!$B$15-S225))),-1E+030)</f>
        <v>0.988581600372015</v>
      </c>
      <c r="V225" s="55" t="n">
        <f aca="false">IF(U225&gt;=0,1,0)</f>
        <v>1</v>
      </c>
    </row>
    <row r="226" customFormat="false" ht="15" hidden="false" customHeight="false" outlineLevel="0" collapsed="false">
      <c r="A226" s="0" t="n">
        <v>3</v>
      </c>
      <c r="B226" s="0" t="n">
        <v>0.475</v>
      </c>
      <c r="C226" s="57" t="n">
        <f aca="false">07_最適化!$B$6</f>
        <v>0.625</v>
      </c>
      <c r="D226" s="57" t="n">
        <f aca="false">07_最適化!$B$7</f>
        <v>0.75</v>
      </c>
      <c r="E226" s="55" t="n">
        <f aca="false">B226</f>
        <v>0.475</v>
      </c>
      <c r="F226" s="55" t="n">
        <f aca="false">1</f>
        <v>1</v>
      </c>
      <c r="G226" s="57" t="n">
        <f aca="false">C226</f>
        <v>0.625</v>
      </c>
      <c r="H226" s="57" t="n">
        <f aca="false">D226</f>
        <v>0.75</v>
      </c>
      <c r="I226" s="55" t="n">
        <f aca="false">E226</f>
        <v>0.475</v>
      </c>
      <c r="J226" s="55" t="n">
        <f aca="false">C226*D226</f>
        <v>0.46875</v>
      </c>
      <c r="K226" s="55" t="n">
        <f aca="false">C226*E226</f>
        <v>0.296875</v>
      </c>
      <c r="L226" s="55" t="n">
        <f aca="false">D226*E226</f>
        <v>0.35625</v>
      </c>
      <c r="M226" s="55" t="n">
        <f aca="false">C226*C226</f>
        <v>0.390625</v>
      </c>
      <c r="N226" s="55" t="n">
        <f aca="false">D226*D226</f>
        <v>0.5625</v>
      </c>
      <c r="O226" s="55" t="n">
        <f aca="false">E226*E226</f>
        <v>0.225625</v>
      </c>
      <c r="P226" s="55" t="n">
        <f aca="false">SUMPRODUCT(F226:O226,_XtX!$B$71:$K$71)</f>
        <v>50.5427613636364</v>
      </c>
      <c r="Q226" s="55" t="n">
        <f aca="false">SUMPRODUCT(MMULT(F226:O226,_XtX!$B$58:$K$67),F226:O226)</f>
        <v>0.253724374112216</v>
      </c>
      <c r="R226" s="55" t="n">
        <f aca="false">P226-04_回帰ANOVA!$K$19*04_回帰ANOVA!$K$14*SQRT(1+Q226)</f>
        <v>49.5017207550389</v>
      </c>
      <c r="S226" s="55" t="n">
        <f aca="false">P226+04_回帰ANOVA!$K$19*04_回帰ANOVA!$K$14*SQRT(1+Q226)</f>
        <v>51.5838019722339</v>
      </c>
      <c r="T226" s="54" t="b">
        <f aca="false">AND(C226&gt;=01_因子設定!$L$5-0.000000001,C226&lt;=01_因子設定!$M$5+0.000000001,D226&gt;=01_因子設定!$L$6-0.000000001,D226&lt;=01_因子設定!$M$6+0.000000001,E226&gt;=01_因子設定!$L$7-0.000000001,E226&lt;=01_因子設定!$M$7+0.000000001,IF(01_因子設定!$B$20="Box-Behnken",C226^2+D226^2+E226^2&lt;=2+0.000000001,TRUE()))</f>
        <v>1</v>
      </c>
      <c r="U226" s="55" t="n">
        <f aca="false">IF(T226,IF(01_因子設定!$B$13="最大化",R226-01_因子設定!$B$14,IF(01_因子設定!$B$13="最小化",01_因子設定!$B$15-S226,MIN(R226-01_因子設定!$B$14,01_因子設定!$B$15-S226))),-1E+030)</f>
        <v>1.0017207550389</v>
      </c>
      <c r="V226" s="55" t="n">
        <f aca="false">IF(U226&gt;=0,1,0)</f>
        <v>1</v>
      </c>
    </row>
    <row r="227" customFormat="false" ht="15" hidden="false" customHeight="false" outlineLevel="0" collapsed="false">
      <c r="A227" s="0" t="n">
        <v>3</v>
      </c>
      <c r="B227" s="0" t="n">
        <v>0.5</v>
      </c>
      <c r="C227" s="57" t="n">
        <f aca="false">07_最適化!$B$6</f>
        <v>0.625</v>
      </c>
      <c r="D227" s="57" t="n">
        <f aca="false">07_最適化!$B$7</f>
        <v>0.75</v>
      </c>
      <c r="E227" s="55" t="n">
        <f aca="false">B227</f>
        <v>0.5</v>
      </c>
      <c r="F227" s="55" t="n">
        <f aca="false">1</f>
        <v>1</v>
      </c>
      <c r="G227" s="57" t="n">
        <f aca="false">C227</f>
        <v>0.625</v>
      </c>
      <c r="H227" s="57" t="n">
        <f aca="false">D227</f>
        <v>0.75</v>
      </c>
      <c r="I227" s="55" t="n">
        <f aca="false">E227</f>
        <v>0.5</v>
      </c>
      <c r="J227" s="55" t="n">
        <f aca="false">C227*D227</f>
        <v>0.46875</v>
      </c>
      <c r="K227" s="55" t="n">
        <f aca="false">C227*E227</f>
        <v>0.3125</v>
      </c>
      <c r="L227" s="55" t="n">
        <f aca="false">D227*E227</f>
        <v>0.375</v>
      </c>
      <c r="M227" s="55" t="n">
        <f aca="false">C227*C227</f>
        <v>0.390625</v>
      </c>
      <c r="N227" s="55" t="n">
        <f aca="false">D227*D227</f>
        <v>0.5625</v>
      </c>
      <c r="O227" s="55" t="n">
        <f aca="false">E227*E227</f>
        <v>0.25</v>
      </c>
      <c r="P227" s="55" t="n">
        <f aca="false">SUMPRODUCT(F227:O227,_XtX!$B$71:$K$71)</f>
        <v>50.5546590909091</v>
      </c>
      <c r="Q227" s="55" t="n">
        <f aca="false">SUMPRODUCT(MMULT(F227:O227,_XtX!$B$58:$K$67),F227:O227)</f>
        <v>0.254729669744318</v>
      </c>
      <c r="R227" s="55" t="n">
        <f aca="false">P227-04_回帰ANOVA!$K$19*04_回帰ANOVA!$K$14*SQRT(1+Q227)</f>
        <v>49.5132011880928</v>
      </c>
      <c r="S227" s="55" t="n">
        <f aca="false">P227+04_回帰ANOVA!$K$19*04_回帰ANOVA!$K$14*SQRT(1+Q227)</f>
        <v>51.5961169937254</v>
      </c>
      <c r="T227" s="54" t="b">
        <f aca="false">AND(C227&gt;=01_因子設定!$L$5-0.000000001,C227&lt;=01_因子設定!$M$5+0.000000001,D227&gt;=01_因子設定!$L$6-0.000000001,D227&lt;=01_因子設定!$M$6+0.000000001,E227&gt;=01_因子設定!$L$7-0.000000001,E227&lt;=01_因子設定!$M$7+0.000000001,IF(01_因子設定!$B$20="Box-Behnken",C227^2+D227^2+E227^2&lt;=2+0.000000001,TRUE()))</f>
        <v>1</v>
      </c>
      <c r="U227" s="55" t="n">
        <f aca="false">IF(T227,IF(01_因子設定!$B$13="最大化",R227-01_因子設定!$B$14,IF(01_因子設定!$B$13="最小化",01_因子設定!$B$15-S227,MIN(R227-01_因子設定!$B$14,01_因子設定!$B$15-S227))),-1E+030)</f>
        <v>1.01320118809279</v>
      </c>
      <c r="V227" s="55" t="n">
        <f aca="false">IF(U227&gt;=0,1,0)</f>
        <v>1</v>
      </c>
    </row>
    <row r="228" customFormat="false" ht="15" hidden="false" customHeight="false" outlineLevel="0" collapsed="false">
      <c r="A228" s="0" t="n">
        <v>3</v>
      </c>
      <c r="B228" s="0" t="n">
        <v>0.525</v>
      </c>
      <c r="C228" s="57" t="n">
        <f aca="false">07_最適化!$B$6</f>
        <v>0.625</v>
      </c>
      <c r="D228" s="57" t="n">
        <f aca="false">07_最適化!$B$7</f>
        <v>0.75</v>
      </c>
      <c r="E228" s="55" t="n">
        <f aca="false">B228</f>
        <v>0.525</v>
      </c>
      <c r="F228" s="55" t="n">
        <f aca="false">1</f>
        <v>1</v>
      </c>
      <c r="G228" s="57" t="n">
        <f aca="false">C228</f>
        <v>0.625</v>
      </c>
      <c r="H228" s="57" t="n">
        <f aca="false">D228</f>
        <v>0.75</v>
      </c>
      <c r="I228" s="55" t="n">
        <f aca="false">E228</f>
        <v>0.525</v>
      </c>
      <c r="J228" s="55" t="n">
        <f aca="false">C228*D228</f>
        <v>0.46875</v>
      </c>
      <c r="K228" s="55" t="n">
        <f aca="false">C228*E228</f>
        <v>0.328125</v>
      </c>
      <c r="L228" s="55" t="n">
        <f aca="false">D228*E228</f>
        <v>0.39375</v>
      </c>
      <c r="M228" s="55" t="n">
        <f aca="false">C228*C228</f>
        <v>0.390625</v>
      </c>
      <c r="N228" s="55" t="n">
        <f aca="false">D228*D228</f>
        <v>0.5625</v>
      </c>
      <c r="O228" s="55" t="n">
        <f aca="false">E228*E228</f>
        <v>0.275625</v>
      </c>
      <c r="P228" s="55" t="n">
        <f aca="false">SUMPRODUCT(F228:O228,_XtX!$B$71:$K$71)</f>
        <v>50.5650852272727</v>
      </c>
      <c r="Q228" s="55" t="n">
        <f aca="false">SUMPRODUCT(MMULT(F228:O228,_XtX!$B$58:$K$67),F228:O228)</f>
        <v>0.256252428089489</v>
      </c>
      <c r="R228" s="55" t="n">
        <f aca="false">P228-04_回帰ANOVA!$K$19*04_回帰ANOVA!$K$14*SQRT(1+Q228)</f>
        <v>49.5229955517813</v>
      </c>
      <c r="S228" s="55" t="n">
        <f aca="false">P228+04_回帰ANOVA!$K$19*04_回帰ANOVA!$K$14*SQRT(1+Q228)</f>
        <v>51.6071749027641</v>
      </c>
      <c r="T228" s="54" t="b">
        <f aca="false">AND(C228&gt;=01_因子設定!$L$5-0.000000001,C228&lt;=01_因子設定!$M$5+0.000000001,D228&gt;=01_因子設定!$L$6-0.000000001,D228&lt;=01_因子設定!$M$6+0.000000001,E228&gt;=01_因子設定!$L$7-0.000000001,E228&lt;=01_因子設定!$M$7+0.000000001,IF(01_因子設定!$B$20="Box-Behnken",C228^2+D228^2+E228^2&lt;=2+0.000000001,TRUE()))</f>
        <v>1</v>
      </c>
      <c r="U228" s="55" t="n">
        <f aca="false">IF(T228,IF(01_因子設定!$B$13="最大化",R228-01_因子設定!$B$14,IF(01_因子設定!$B$13="最小化",01_因子設定!$B$15-S228,MIN(R228-01_因子設定!$B$14,01_因子設定!$B$15-S228))),-1E+030)</f>
        <v>1.02299555178132</v>
      </c>
      <c r="V228" s="55" t="n">
        <f aca="false">IF(U228&gt;=0,1,0)</f>
        <v>1</v>
      </c>
    </row>
    <row r="229" customFormat="false" ht="15" hidden="false" customHeight="false" outlineLevel="0" collapsed="false">
      <c r="A229" s="0" t="n">
        <v>3</v>
      </c>
      <c r="B229" s="0" t="n">
        <v>0.55</v>
      </c>
      <c r="C229" s="57" t="n">
        <f aca="false">07_最適化!$B$6</f>
        <v>0.625</v>
      </c>
      <c r="D229" s="57" t="n">
        <f aca="false">07_最適化!$B$7</f>
        <v>0.75</v>
      </c>
      <c r="E229" s="55" t="n">
        <f aca="false">B229</f>
        <v>0.55</v>
      </c>
      <c r="F229" s="55" t="n">
        <f aca="false">1</f>
        <v>1</v>
      </c>
      <c r="G229" s="57" t="n">
        <f aca="false">C229</f>
        <v>0.625</v>
      </c>
      <c r="H229" s="57" t="n">
        <f aca="false">D229</f>
        <v>0.75</v>
      </c>
      <c r="I229" s="55" t="n">
        <f aca="false">E229</f>
        <v>0.55</v>
      </c>
      <c r="J229" s="55" t="n">
        <f aca="false">C229*D229</f>
        <v>0.46875</v>
      </c>
      <c r="K229" s="55" t="n">
        <f aca="false">C229*E229</f>
        <v>0.34375</v>
      </c>
      <c r="L229" s="55" t="n">
        <f aca="false">D229*E229</f>
        <v>0.4125</v>
      </c>
      <c r="M229" s="55" t="n">
        <f aca="false">C229*C229</f>
        <v>0.390625</v>
      </c>
      <c r="N229" s="55" t="n">
        <f aca="false">D229*D229</f>
        <v>0.5625</v>
      </c>
      <c r="O229" s="55" t="n">
        <f aca="false">E229*E229</f>
        <v>0.3025</v>
      </c>
      <c r="P229" s="55" t="n">
        <f aca="false">SUMPRODUCT(F229:O229,_XtX!$B$71:$K$71)</f>
        <v>50.5740397727273</v>
      </c>
      <c r="Q229" s="55" t="n">
        <f aca="false">SUMPRODUCT(MMULT(F229:O229,_XtX!$B$58:$K$67),F229:O229)</f>
        <v>0.258362535511364</v>
      </c>
      <c r="R229" s="55" t="n">
        <f aca="false">P229-04_回帰ANOVA!$K$19*04_回帰ANOVA!$K$14*SQRT(1+Q229)</f>
        <v>49.5310752736293</v>
      </c>
      <c r="S229" s="55" t="n">
        <f aca="false">P229+04_回帰ANOVA!$K$19*04_回帰ANOVA!$K$14*SQRT(1+Q229)</f>
        <v>51.6170042718253</v>
      </c>
      <c r="T229" s="54" t="b">
        <f aca="false">AND(C229&gt;=01_因子設定!$L$5-0.000000001,C229&lt;=01_因子設定!$M$5+0.000000001,D229&gt;=01_因子設定!$L$6-0.000000001,D229&lt;=01_因子設定!$M$6+0.000000001,E229&gt;=01_因子設定!$L$7-0.000000001,E229&lt;=01_因子設定!$M$7+0.000000001,IF(01_因子設定!$B$20="Box-Behnken",C229^2+D229^2+E229^2&lt;=2+0.000000001,TRUE()))</f>
        <v>1</v>
      </c>
      <c r="U229" s="55" t="n">
        <f aca="false">IF(T229,IF(01_因子設定!$B$13="最大化",R229-01_因子設定!$B$14,IF(01_因子設定!$B$13="最小化",01_因子設定!$B$15-S229,MIN(R229-01_因子設定!$B$14,01_因子設定!$B$15-S229))),-1E+030)</f>
        <v>1.03107527362928</v>
      </c>
      <c r="V229" s="55" t="n">
        <f aca="false">IF(U229&gt;=0,1,0)</f>
        <v>1</v>
      </c>
    </row>
    <row r="230" customFormat="false" ht="15" hidden="false" customHeight="false" outlineLevel="0" collapsed="false">
      <c r="A230" s="0" t="n">
        <v>3</v>
      </c>
      <c r="B230" s="0" t="n">
        <v>0.575</v>
      </c>
      <c r="C230" s="57" t="n">
        <f aca="false">07_最適化!$B$6</f>
        <v>0.625</v>
      </c>
      <c r="D230" s="57" t="n">
        <f aca="false">07_最適化!$B$7</f>
        <v>0.75</v>
      </c>
      <c r="E230" s="55" t="n">
        <f aca="false">B230</f>
        <v>0.575</v>
      </c>
      <c r="F230" s="55" t="n">
        <f aca="false">1</f>
        <v>1</v>
      </c>
      <c r="G230" s="57" t="n">
        <f aca="false">C230</f>
        <v>0.625</v>
      </c>
      <c r="H230" s="57" t="n">
        <f aca="false">D230</f>
        <v>0.75</v>
      </c>
      <c r="I230" s="55" t="n">
        <f aca="false">E230</f>
        <v>0.575</v>
      </c>
      <c r="J230" s="55" t="n">
        <f aca="false">C230*D230</f>
        <v>0.46875</v>
      </c>
      <c r="K230" s="55" t="n">
        <f aca="false">C230*E230</f>
        <v>0.359375</v>
      </c>
      <c r="L230" s="55" t="n">
        <f aca="false">D230*E230</f>
        <v>0.43125</v>
      </c>
      <c r="M230" s="55" t="n">
        <f aca="false">C230*C230</f>
        <v>0.390625</v>
      </c>
      <c r="N230" s="55" t="n">
        <f aca="false">D230*D230</f>
        <v>0.5625</v>
      </c>
      <c r="O230" s="55" t="n">
        <f aca="false">E230*E230</f>
        <v>0.330625</v>
      </c>
      <c r="P230" s="55" t="n">
        <f aca="false">SUMPRODUCT(F230:O230,_XtX!$B$71:$K$71)</f>
        <v>50.5815227272727</v>
      </c>
      <c r="Q230" s="55" t="n">
        <f aca="false">SUMPRODUCT(MMULT(F230:O230,_XtX!$B$58:$K$67),F230:O230)</f>
        <v>0.261133287464489</v>
      </c>
      <c r="R230" s="55" t="n">
        <f aca="false">P230-04_回帰ANOVA!$K$19*04_回帰ANOVA!$K$14*SQRT(1+Q230)</f>
        <v>49.5374106229136</v>
      </c>
      <c r="S230" s="55" t="n">
        <f aca="false">P230+04_回帰ANOVA!$K$19*04_回帰ANOVA!$K$14*SQRT(1+Q230)</f>
        <v>51.6256348316319</v>
      </c>
      <c r="T230" s="54" t="b">
        <f aca="false">AND(C230&gt;=01_因子設定!$L$5-0.000000001,C230&lt;=01_因子設定!$M$5+0.000000001,D230&gt;=01_因子設定!$L$6-0.000000001,D230&lt;=01_因子設定!$M$6+0.000000001,E230&gt;=01_因子設定!$L$7-0.000000001,E230&lt;=01_因子設定!$M$7+0.000000001,IF(01_因子設定!$B$20="Box-Behnken",C230^2+D230^2+E230^2&lt;=2+0.000000001,TRUE()))</f>
        <v>1</v>
      </c>
      <c r="U230" s="55" t="n">
        <f aca="false">IF(T230,IF(01_因子設定!$B$13="最大化",R230-01_因子設定!$B$14,IF(01_因子設定!$B$13="最小化",01_因子設定!$B$15-S230,MIN(R230-01_因子設定!$B$14,01_因子設定!$B$15-S230))),-1E+030)</f>
        <v>1.03741062291358</v>
      </c>
      <c r="V230" s="55" t="n">
        <f aca="false">IF(U230&gt;=0,1,0)</f>
        <v>1</v>
      </c>
    </row>
    <row r="231" customFormat="false" ht="15" hidden="false" customHeight="false" outlineLevel="0" collapsed="false">
      <c r="A231" s="0" t="n">
        <v>3</v>
      </c>
      <c r="B231" s="0" t="n">
        <v>0.6</v>
      </c>
      <c r="C231" s="57" t="n">
        <f aca="false">07_最適化!$B$6</f>
        <v>0.625</v>
      </c>
      <c r="D231" s="57" t="n">
        <f aca="false">07_最適化!$B$7</f>
        <v>0.75</v>
      </c>
      <c r="E231" s="55" t="n">
        <f aca="false">B231</f>
        <v>0.6</v>
      </c>
      <c r="F231" s="55" t="n">
        <f aca="false">1</f>
        <v>1</v>
      </c>
      <c r="G231" s="57" t="n">
        <f aca="false">C231</f>
        <v>0.625</v>
      </c>
      <c r="H231" s="57" t="n">
        <f aca="false">D231</f>
        <v>0.75</v>
      </c>
      <c r="I231" s="55" t="n">
        <f aca="false">E231</f>
        <v>0.6</v>
      </c>
      <c r="J231" s="55" t="n">
        <f aca="false">C231*D231</f>
        <v>0.46875</v>
      </c>
      <c r="K231" s="55" t="n">
        <f aca="false">C231*E231</f>
        <v>0.375</v>
      </c>
      <c r="L231" s="55" t="n">
        <f aca="false">D231*E231</f>
        <v>0.45</v>
      </c>
      <c r="M231" s="55" t="n">
        <f aca="false">C231*C231</f>
        <v>0.390625</v>
      </c>
      <c r="N231" s="55" t="n">
        <f aca="false">D231*D231</f>
        <v>0.5625</v>
      </c>
      <c r="O231" s="55" t="n">
        <f aca="false">E231*E231</f>
        <v>0.36</v>
      </c>
      <c r="P231" s="55" t="n">
        <f aca="false">SUMPRODUCT(F231:O231,_XtX!$B$71:$K$71)</f>
        <v>50.5875340909091</v>
      </c>
      <c r="Q231" s="55" t="n">
        <f aca="false">SUMPRODUCT(MMULT(F231:O231,_XtX!$B$58:$K$67),F231:O231)</f>
        <v>0.264641388494318</v>
      </c>
      <c r="R231" s="55" t="n">
        <f aca="false">P231-04_回帰ANOVA!$K$19*04_回帰ANOVA!$K$14*SQRT(1+Q231)</f>
        <v>49.5419707890124</v>
      </c>
      <c r="S231" s="55" t="n">
        <f aca="false">P231+04_回帰ANOVA!$K$19*04_回帰ANOVA!$K$14*SQRT(1+Q231)</f>
        <v>51.6330973928058</v>
      </c>
      <c r="T231" s="54" t="b">
        <f aca="false">AND(C231&gt;=01_因子設定!$L$5-0.000000001,C231&lt;=01_因子設定!$M$5+0.000000001,D231&gt;=01_因子設定!$L$6-0.000000001,D231&lt;=01_因子設定!$M$6+0.000000001,E231&gt;=01_因子設定!$L$7-0.000000001,E231&lt;=01_因子設定!$M$7+0.000000001,IF(01_因子設定!$B$20="Box-Behnken",C231^2+D231^2+E231^2&lt;=2+0.000000001,TRUE()))</f>
        <v>1</v>
      </c>
      <c r="U231" s="55" t="n">
        <f aca="false">IF(T231,IF(01_因子設定!$B$13="最大化",R231-01_因子設定!$B$14,IF(01_因子設定!$B$13="最小化",01_因子設定!$B$15-S231,MIN(R231-01_因子設定!$B$14,01_因子設定!$B$15-S231))),-1E+030)</f>
        <v>1.04197078901243</v>
      </c>
      <c r="V231" s="55" t="n">
        <f aca="false">IF(U231&gt;=0,1,0)</f>
        <v>1</v>
      </c>
    </row>
    <row r="232" customFormat="false" ht="15" hidden="false" customHeight="false" outlineLevel="0" collapsed="false">
      <c r="A232" s="0" t="n">
        <v>3</v>
      </c>
      <c r="B232" s="0" t="n">
        <v>0.625</v>
      </c>
      <c r="C232" s="57" t="n">
        <f aca="false">07_最適化!$B$6</f>
        <v>0.625</v>
      </c>
      <c r="D232" s="57" t="n">
        <f aca="false">07_最適化!$B$7</f>
        <v>0.75</v>
      </c>
      <c r="E232" s="55" t="n">
        <f aca="false">B232</f>
        <v>0.625</v>
      </c>
      <c r="F232" s="55" t="n">
        <f aca="false">1</f>
        <v>1</v>
      </c>
      <c r="G232" s="57" t="n">
        <f aca="false">C232</f>
        <v>0.625</v>
      </c>
      <c r="H232" s="57" t="n">
        <f aca="false">D232</f>
        <v>0.75</v>
      </c>
      <c r="I232" s="55" t="n">
        <f aca="false">E232</f>
        <v>0.625</v>
      </c>
      <c r="J232" s="55" t="n">
        <f aca="false">C232*D232</f>
        <v>0.46875</v>
      </c>
      <c r="K232" s="55" t="n">
        <f aca="false">C232*E232</f>
        <v>0.390625</v>
      </c>
      <c r="L232" s="55" t="n">
        <f aca="false">D232*E232</f>
        <v>0.46875</v>
      </c>
      <c r="M232" s="55" t="n">
        <f aca="false">C232*C232</f>
        <v>0.390625</v>
      </c>
      <c r="N232" s="55" t="n">
        <f aca="false">D232*D232</f>
        <v>0.5625</v>
      </c>
      <c r="O232" s="55" t="n">
        <f aca="false">E232*E232</f>
        <v>0.390625</v>
      </c>
      <c r="P232" s="55" t="n">
        <f aca="false">SUMPRODUCT(F232:O232,_XtX!$B$71:$K$71)</f>
        <v>50.5920738636364</v>
      </c>
      <c r="Q232" s="55" t="n">
        <f aca="false">SUMPRODUCT(MMULT(F232:O232,_XtX!$B$58:$K$67),F232:O232)</f>
        <v>0.268966952237216</v>
      </c>
      <c r="R232" s="55" t="n">
        <f aca="false">P232-04_回帰ANOVA!$K$19*04_回帰ANOVA!$K$14*SQRT(1+Q232)</f>
        <v>49.5447239722584</v>
      </c>
      <c r="S232" s="55" t="n">
        <f aca="false">P232+04_回帰ANOVA!$K$19*04_回帰ANOVA!$K$14*SQRT(1+Q232)</f>
        <v>51.6394237550144</v>
      </c>
      <c r="T232" s="54" t="b">
        <f aca="false">AND(C232&gt;=01_因子設定!$L$5-0.000000001,C232&lt;=01_因子設定!$M$5+0.000000001,D232&gt;=01_因子設定!$L$6-0.000000001,D232&lt;=01_因子設定!$M$6+0.000000001,E232&gt;=01_因子設定!$L$7-0.000000001,E232&lt;=01_因子設定!$M$7+0.000000001,IF(01_因子設定!$B$20="Box-Behnken",C232^2+D232^2+E232^2&lt;=2+0.000000001,TRUE()))</f>
        <v>1</v>
      </c>
      <c r="U232" s="55" t="n">
        <f aca="false">IF(T232,IF(01_因子設定!$B$13="最大化",R232-01_因子設定!$B$14,IF(01_因子設定!$B$13="最小化",01_因子設定!$B$15-S232,MIN(R232-01_因子設定!$B$14,01_因子設定!$B$15-S232))),-1E+030)</f>
        <v>1.04472397225836</v>
      </c>
      <c r="V232" s="55" t="n">
        <f aca="false">IF(U232&gt;=0,1,0)</f>
        <v>1</v>
      </c>
    </row>
    <row r="233" customFormat="false" ht="15" hidden="false" customHeight="false" outlineLevel="0" collapsed="false">
      <c r="A233" s="0" t="n">
        <v>3</v>
      </c>
      <c r="B233" s="0" t="n">
        <v>0.65</v>
      </c>
      <c r="C233" s="57" t="n">
        <f aca="false">07_最適化!$B$6</f>
        <v>0.625</v>
      </c>
      <c r="D233" s="57" t="n">
        <f aca="false">07_最適化!$B$7</f>
        <v>0.75</v>
      </c>
      <c r="E233" s="55" t="n">
        <f aca="false">B233</f>
        <v>0.65</v>
      </c>
      <c r="F233" s="55" t="n">
        <f aca="false">1</f>
        <v>1</v>
      </c>
      <c r="G233" s="57" t="n">
        <f aca="false">C233</f>
        <v>0.625</v>
      </c>
      <c r="H233" s="57" t="n">
        <f aca="false">D233</f>
        <v>0.75</v>
      </c>
      <c r="I233" s="55" t="n">
        <f aca="false">E233</f>
        <v>0.65</v>
      </c>
      <c r="J233" s="55" t="n">
        <f aca="false">C233*D233</f>
        <v>0.46875</v>
      </c>
      <c r="K233" s="55" t="n">
        <f aca="false">C233*E233</f>
        <v>0.40625</v>
      </c>
      <c r="L233" s="55" t="n">
        <f aca="false">D233*E233</f>
        <v>0.4875</v>
      </c>
      <c r="M233" s="55" t="n">
        <f aca="false">C233*C233</f>
        <v>0.390625</v>
      </c>
      <c r="N233" s="55" t="n">
        <f aca="false">D233*D233</f>
        <v>0.5625</v>
      </c>
      <c r="O233" s="55" t="n">
        <f aca="false">E233*E233</f>
        <v>0.4225</v>
      </c>
      <c r="P233" s="55" t="n">
        <f aca="false">SUMPRODUCT(F233:O233,_XtX!$B$71:$K$71)</f>
        <v>50.5951420454546</v>
      </c>
      <c r="Q233" s="55" t="n">
        <f aca="false">SUMPRODUCT(MMULT(F233:O233,_XtX!$B$58:$K$67),F233:O233)</f>
        <v>0.274193501420455</v>
      </c>
      <c r="R233" s="55" t="n">
        <f aca="false">P233-04_回帰ANOVA!$K$19*04_回帰ANOVA!$K$14*SQRT(1+Q233)</f>
        <v>49.5456374877313</v>
      </c>
      <c r="S233" s="55" t="n">
        <f aca="false">P233+04_回帰ANOVA!$K$19*04_回帰ANOVA!$K$14*SQRT(1+Q233)</f>
        <v>51.6446466031779</v>
      </c>
      <c r="T233" s="54" t="b">
        <f aca="false">AND(C233&gt;=01_因子設定!$L$5-0.000000001,C233&lt;=01_因子設定!$M$5+0.000000001,D233&gt;=01_因子設定!$L$6-0.000000001,D233&lt;=01_因子設定!$M$6+0.000000001,E233&gt;=01_因子設定!$L$7-0.000000001,E233&lt;=01_因子設定!$M$7+0.000000001,IF(01_因子設定!$B$20="Box-Behnken",C233^2+D233^2+E233^2&lt;=2+0.000000001,TRUE()))</f>
        <v>1</v>
      </c>
      <c r="U233" s="55" t="n">
        <f aca="false">IF(T233,IF(01_因子設定!$B$13="最大化",R233-01_因子設定!$B$14,IF(01_因子設定!$B$13="最小化",01_因子設定!$B$15-S233,MIN(R233-01_因子設定!$B$14,01_因子設定!$B$15-S233))),-1E+030)</f>
        <v>1.04563748773127</v>
      </c>
      <c r="V233" s="55" t="n">
        <f aca="false">IF(U233&gt;=0,1,0)</f>
        <v>1</v>
      </c>
    </row>
    <row r="234" customFormat="false" ht="15" hidden="false" customHeight="false" outlineLevel="0" collapsed="false">
      <c r="A234" s="0" t="n">
        <v>3</v>
      </c>
      <c r="B234" s="0" t="n">
        <v>0.675</v>
      </c>
      <c r="C234" s="57" t="n">
        <f aca="false">07_最適化!$B$6</f>
        <v>0.625</v>
      </c>
      <c r="D234" s="57" t="n">
        <f aca="false">07_最適化!$B$7</f>
        <v>0.75</v>
      </c>
      <c r="E234" s="55" t="n">
        <f aca="false">B234</f>
        <v>0.675</v>
      </c>
      <c r="F234" s="55" t="n">
        <f aca="false">1</f>
        <v>1</v>
      </c>
      <c r="G234" s="57" t="n">
        <f aca="false">C234</f>
        <v>0.625</v>
      </c>
      <c r="H234" s="57" t="n">
        <f aca="false">D234</f>
        <v>0.75</v>
      </c>
      <c r="I234" s="55" t="n">
        <f aca="false">E234</f>
        <v>0.675</v>
      </c>
      <c r="J234" s="55" t="n">
        <f aca="false">C234*D234</f>
        <v>0.46875</v>
      </c>
      <c r="K234" s="55" t="n">
        <f aca="false">C234*E234</f>
        <v>0.421875</v>
      </c>
      <c r="L234" s="55" t="n">
        <f aca="false">D234*E234</f>
        <v>0.50625</v>
      </c>
      <c r="M234" s="55" t="n">
        <f aca="false">C234*C234</f>
        <v>0.390625</v>
      </c>
      <c r="N234" s="55" t="n">
        <f aca="false">D234*D234</f>
        <v>0.5625</v>
      </c>
      <c r="O234" s="55" t="n">
        <f aca="false">E234*E234</f>
        <v>0.455625</v>
      </c>
      <c r="P234" s="55" t="n">
        <f aca="false">SUMPRODUCT(F234:O234,_XtX!$B$71:$K$71)</f>
        <v>50.5967386363636</v>
      </c>
      <c r="Q234" s="55" t="n">
        <f aca="false">SUMPRODUCT(MMULT(F234:O234,_XtX!$B$58:$K$67),F234:O234)</f>
        <v>0.280407967862216</v>
      </c>
      <c r="R234" s="55" t="n">
        <f aca="false">P234-04_回帰ANOVA!$K$19*04_回帰ANOVA!$K$14*SQRT(1+Q234)</f>
        <v>49.5446778821876</v>
      </c>
      <c r="S234" s="55" t="n">
        <f aca="false">P234+04_回帰ANOVA!$K$19*04_回帰ANOVA!$K$14*SQRT(1+Q234)</f>
        <v>51.6487993905397</v>
      </c>
      <c r="T234" s="54" t="b">
        <f aca="false">AND(C234&gt;=01_因子設定!$L$5-0.000000001,C234&lt;=01_因子設定!$M$5+0.000000001,D234&gt;=01_因子設定!$L$6-0.000000001,D234&lt;=01_因子設定!$M$6+0.000000001,E234&gt;=01_因子設定!$L$7-0.000000001,E234&lt;=01_因子設定!$M$7+0.000000001,IF(01_因子設定!$B$20="Box-Behnken",C234^2+D234^2+E234^2&lt;=2+0.000000001,TRUE()))</f>
        <v>1</v>
      </c>
      <c r="U234" s="55" t="n">
        <f aca="false">IF(T234,IF(01_因子設定!$B$13="最大化",R234-01_因子設定!$B$14,IF(01_因子設定!$B$13="最小化",01_因子設定!$B$15-S234,MIN(R234-01_因子設定!$B$14,01_因子設定!$B$15-S234))),-1E+030)</f>
        <v>1.04467788218762</v>
      </c>
      <c r="V234" s="55" t="n">
        <f aca="false">IF(U234&gt;=0,1,0)</f>
        <v>1</v>
      </c>
    </row>
    <row r="235" customFormat="false" ht="15" hidden="false" customHeight="false" outlineLevel="0" collapsed="false">
      <c r="A235" s="0" t="n">
        <v>3</v>
      </c>
      <c r="B235" s="0" t="n">
        <v>0.7</v>
      </c>
      <c r="C235" s="57" t="n">
        <f aca="false">07_最適化!$B$6</f>
        <v>0.625</v>
      </c>
      <c r="D235" s="57" t="n">
        <f aca="false">07_最適化!$B$7</f>
        <v>0.75</v>
      </c>
      <c r="E235" s="55" t="n">
        <f aca="false">B235</f>
        <v>0.7</v>
      </c>
      <c r="F235" s="55" t="n">
        <f aca="false">1</f>
        <v>1</v>
      </c>
      <c r="G235" s="57" t="n">
        <f aca="false">C235</f>
        <v>0.625</v>
      </c>
      <c r="H235" s="57" t="n">
        <f aca="false">D235</f>
        <v>0.75</v>
      </c>
      <c r="I235" s="55" t="n">
        <f aca="false">E235</f>
        <v>0.7</v>
      </c>
      <c r="J235" s="55" t="n">
        <f aca="false">C235*D235</f>
        <v>0.46875</v>
      </c>
      <c r="K235" s="55" t="n">
        <f aca="false">C235*E235</f>
        <v>0.4375</v>
      </c>
      <c r="L235" s="55" t="n">
        <f aca="false">D235*E235</f>
        <v>0.525</v>
      </c>
      <c r="M235" s="55" t="n">
        <f aca="false">C235*C235</f>
        <v>0.390625</v>
      </c>
      <c r="N235" s="55" t="n">
        <f aca="false">D235*D235</f>
        <v>0.5625</v>
      </c>
      <c r="O235" s="55" t="n">
        <f aca="false">E235*E235</f>
        <v>0.49</v>
      </c>
      <c r="P235" s="55" t="n">
        <f aca="false">SUMPRODUCT(F235:O235,_XtX!$B$71:$K$71)</f>
        <v>50.5968636363637</v>
      </c>
      <c r="Q235" s="55" t="n">
        <f aca="false">SUMPRODUCT(MMULT(F235:O235,_XtX!$B$58:$K$67),F235:O235)</f>
        <v>0.287700692471591</v>
      </c>
      <c r="R235" s="55" t="n">
        <f aca="false">P235-04_回帰ANOVA!$K$19*04_回帰ANOVA!$K$14*SQRT(1+Q235)</f>
        <v>49.54181106404</v>
      </c>
      <c r="S235" s="55" t="n">
        <f aca="false">P235+04_回帰ANOVA!$K$19*04_回帰ANOVA!$K$14*SQRT(1+Q235)</f>
        <v>51.6519162086873</v>
      </c>
      <c r="T235" s="54" t="b">
        <f aca="false">AND(C235&gt;=01_因子設定!$L$5-0.000000001,C235&lt;=01_因子設定!$M$5+0.000000001,D235&gt;=01_因子設定!$L$6-0.000000001,D235&lt;=01_因子設定!$M$6+0.000000001,E235&gt;=01_因子設定!$L$7-0.000000001,E235&lt;=01_因子設定!$M$7+0.000000001,IF(01_因子設定!$B$20="Box-Behnken",C235^2+D235^2+E235^2&lt;=2+0.000000001,TRUE()))</f>
        <v>1</v>
      </c>
      <c r="U235" s="55" t="n">
        <f aca="false">IF(T235,IF(01_因子設定!$B$13="最大化",R235-01_因子設定!$B$14,IF(01_因子設定!$B$13="最小化",01_因子設定!$B$15-S235,MIN(R235-01_因子設定!$B$14,01_因子設定!$B$15-S235))),-1E+030)</f>
        <v>1.04181106403998</v>
      </c>
      <c r="V235" s="55" t="n">
        <f aca="false">IF(U235&gt;=0,1,0)</f>
        <v>1</v>
      </c>
    </row>
    <row r="236" customFormat="false" ht="15" hidden="false" customHeight="false" outlineLevel="0" collapsed="false">
      <c r="A236" s="0" t="n">
        <v>3</v>
      </c>
      <c r="B236" s="0" t="n">
        <v>0.725</v>
      </c>
      <c r="C236" s="57" t="n">
        <f aca="false">07_最適化!$B$6</f>
        <v>0.625</v>
      </c>
      <c r="D236" s="57" t="n">
        <f aca="false">07_最適化!$B$7</f>
        <v>0.75</v>
      </c>
      <c r="E236" s="55" t="n">
        <f aca="false">B236</f>
        <v>0.725</v>
      </c>
      <c r="F236" s="55" t="n">
        <f aca="false">1</f>
        <v>1</v>
      </c>
      <c r="G236" s="57" t="n">
        <f aca="false">C236</f>
        <v>0.625</v>
      </c>
      <c r="H236" s="57" t="n">
        <f aca="false">D236</f>
        <v>0.75</v>
      </c>
      <c r="I236" s="55" t="n">
        <f aca="false">E236</f>
        <v>0.725</v>
      </c>
      <c r="J236" s="55" t="n">
        <f aca="false">C236*D236</f>
        <v>0.46875</v>
      </c>
      <c r="K236" s="55" t="n">
        <f aca="false">C236*E236</f>
        <v>0.453125</v>
      </c>
      <c r="L236" s="55" t="n">
        <f aca="false">D236*E236</f>
        <v>0.54375</v>
      </c>
      <c r="M236" s="55" t="n">
        <f aca="false">C236*C236</f>
        <v>0.390625</v>
      </c>
      <c r="N236" s="55" t="n">
        <f aca="false">D236*D236</f>
        <v>0.5625</v>
      </c>
      <c r="O236" s="55" t="n">
        <f aca="false">E236*E236</f>
        <v>0.525625</v>
      </c>
      <c r="P236" s="55" t="n">
        <f aca="false">SUMPRODUCT(F236:O236,_XtX!$B$71:$K$71)</f>
        <v>50.5955170454546</v>
      </c>
      <c r="Q236" s="55" t="n">
        <f aca="false">SUMPRODUCT(MMULT(F236:O236,_XtX!$B$58:$K$67),F236:O236)</f>
        <v>0.29616542524858</v>
      </c>
      <c r="R236" s="55" t="n">
        <f aca="false">P236-04_回帰ANOVA!$K$19*04_回帰ANOVA!$K$14*SQRT(1+Q236)</f>
        <v>49.5370024459781</v>
      </c>
      <c r="S236" s="55" t="n">
        <f aca="false">P236+04_回帰ANOVA!$K$19*04_回帰ANOVA!$K$14*SQRT(1+Q236)</f>
        <v>51.654031644931</v>
      </c>
      <c r="T236" s="54" t="b">
        <f aca="false">AND(C236&gt;=01_因子設定!$L$5-0.000000001,C236&lt;=01_因子設定!$M$5+0.000000001,D236&gt;=01_因子設定!$L$6-0.000000001,D236&lt;=01_因子設定!$M$6+0.000000001,E236&gt;=01_因子設定!$L$7-0.000000001,E236&lt;=01_因子設定!$M$7+0.000000001,IF(01_因子設定!$B$20="Box-Behnken",C236^2+D236^2+E236^2&lt;=2+0.000000001,TRUE()))</f>
        <v>1</v>
      </c>
      <c r="U236" s="55" t="n">
        <f aca="false">IF(T236,IF(01_因子設定!$B$13="最大化",R236-01_因子設定!$B$14,IF(01_因子設定!$B$13="最小化",01_因子設定!$B$15-S236,MIN(R236-01_因子設定!$B$14,01_因子設定!$B$15-S236))),-1E+030)</f>
        <v>1.0370024459781</v>
      </c>
      <c r="V236" s="55" t="n">
        <f aca="false">IF(U236&gt;=0,1,0)</f>
        <v>1</v>
      </c>
    </row>
    <row r="237" customFormat="false" ht="15" hidden="false" customHeight="false" outlineLevel="0" collapsed="false">
      <c r="A237" s="0" t="n">
        <v>3</v>
      </c>
      <c r="B237" s="0" t="n">
        <v>0.75</v>
      </c>
      <c r="C237" s="57" t="n">
        <f aca="false">07_最適化!$B$6</f>
        <v>0.625</v>
      </c>
      <c r="D237" s="57" t="n">
        <f aca="false">07_最適化!$B$7</f>
        <v>0.75</v>
      </c>
      <c r="E237" s="55" t="n">
        <f aca="false">B237</f>
        <v>0.75</v>
      </c>
      <c r="F237" s="55" t="n">
        <f aca="false">1</f>
        <v>1</v>
      </c>
      <c r="G237" s="57" t="n">
        <f aca="false">C237</f>
        <v>0.625</v>
      </c>
      <c r="H237" s="57" t="n">
        <f aca="false">D237</f>
        <v>0.75</v>
      </c>
      <c r="I237" s="55" t="n">
        <f aca="false">E237</f>
        <v>0.75</v>
      </c>
      <c r="J237" s="55" t="n">
        <f aca="false">C237*D237</f>
        <v>0.46875</v>
      </c>
      <c r="K237" s="55" t="n">
        <f aca="false">C237*E237</f>
        <v>0.46875</v>
      </c>
      <c r="L237" s="55" t="n">
        <f aca="false">D237*E237</f>
        <v>0.5625</v>
      </c>
      <c r="M237" s="55" t="n">
        <f aca="false">C237*C237</f>
        <v>0.390625</v>
      </c>
      <c r="N237" s="55" t="n">
        <f aca="false">D237*D237</f>
        <v>0.5625</v>
      </c>
      <c r="O237" s="55" t="n">
        <f aca="false">E237*E237</f>
        <v>0.5625</v>
      </c>
      <c r="P237" s="55" t="n">
        <f aca="false">SUMPRODUCT(F237:O237,_XtX!$B$71:$K$71)</f>
        <v>50.5926988636364</v>
      </c>
      <c r="Q237" s="55" t="n">
        <f aca="false">SUMPRODUCT(MMULT(F237:O237,_XtX!$B$58:$K$67),F237:O237)</f>
        <v>0.305899325284091</v>
      </c>
      <c r="R237" s="55" t="n">
        <f aca="false">P237-04_回帰ANOVA!$K$19*04_回帰ANOVA!$K$14*SQRT(1+Q237)</f>
        <v>49.5302170994682</v>
      </c>
      <c r="S237" s="55" t="n">
        <f aca="false">P237+04_回帰ANOVA!$K$19*04_回帰ANOVA!$K$14*SQRT(1+Q237)</f>
        <v>51.6551806278045</v>
      </c>
      <c r="T237" s="54" t="b">
        <f aca="false">AND(C237&gt;=01_因子設定!$L$5-0.000000001,C237&lt;=01_因子設定!$M$5+0.000000001,D237&gt;=01_因子設定!$L$6-0.000000001,D237&lt;=01_因子設定!$M$6+0.000000001,E237&gt;=01_因子設定!$L$7-0.000000001,E237&lt;=01_因子設定!$M$7+0.000000001,IF(01_因子設定!$B$20="Box-Behnken",C237^2+D237^2+E237^2&lt;=2+0.000000001,TRUE()))</f>
        <v>1</v>
      </c>
      <c r="U237" s="55" t="n">
        <f aca="false">IF(T237,IF(01_因子設定!$B$13="最大化",R237-01_因子設定!$B$14,IF(01_因子設定!$B$13="最小化",01_因子設定!$B$15-S237,MIN(R237-01_因子設定!$B$14,01_因子設定!$B$15-S237))),-1E+030)</f>
        <v>1.03021709946822</v>
      </c>
      <c r="V237" s="55" t="n">
        <f aca="false">IF(U237&gt;=0,1,0)</f>
        <v>1</v>
      </c>
    </row>
    <row r="238" customFormat="false" ht="15" hidden="false" customHeight="false" outlineLevel="0" collapsed="false">
      <c r="A238" s="0" t="n">
        <v>3</v>
      </c>
      <c r="B238" s="0" t="n">
        <v>0.775</v>
      </c>
      <c r="C238" s="57" t="n">
        <f aca="false">07_最適化!$B$6</f>
        <v>0.625</v>
      </c>
      <c r="D238" s="57" t="n">
        <f aca="false">07_最適化!$B$7</f>
        <v>0.75</v>
      </c>
      <c r="E238" s="55" t="n">
        <f aca="false">B238</f>
        <v>0.775</v>
      </c>
      <c r="F238" s="55" t="n">
        <f aca="false">1</f>
        <v>1</v>
      </c>
      <c r="G238" s="57" t="n">
        <f aca="false">C238</f>
        <v>0.625</v>
      </c>
      <c r="H238" s="57" t="n">
        <f aca="false">D238</f>
        <v>0.75</v>
      </c>
      <c r="I238" s="55" t="n">
        <f aca="false">E238</f>
        <v>0.775</v>
      </c>
      <c r="J238" s="55" t="n">
        <f aca="false">C238*D238</f>
        <v>0.46875</v>
      </c>
      <c r="K238" s="55" t="n">
        <f aca="false">C238*E238</f>
        <v>0.484375</v>
      </c>
      <c r="L238" s="55" t="n">
        <f aca="false">D238*E238</f>
        <v>0.58125</v>
      </c>
      <c r="M238" s="55" t="n">
        <f aca="false">C238*C238</f>
        <v>0.390625</v>
      </c>
      <c r="N238" s="55" t="n">
        <f aca="false">D238*D238</f>
        <v>0.5625</v>
      </c>
      <c r="O238" s="55" t="n">
        <f aca="false">E238*E238</f>
        <v>0.600625</v>
      </c>
      <c r="P238" s="55" t="n">
        <f aca="false">SUMPRODUCT(F238:O238,_XtX!$B$71:$K$71)</f>
        <v>50.5884090909091</v>
      </c>
      <c r="Q238" s="55" t="n">
        <f aca="false">SUMPRODUCT(MMULT(F238:O238,_XtX!$B$58:$K$67),F238:O238)</f>
        <v>0.317002960759943</v>
      </c>
      <c r="R238" s="55" t="n">
        <f aca="false">P238-04_回帰ANOVA!$K$19*04_回帰ANOVA!$K$14*SQRT(1+Q238)</f>
        <v>49.5214199199873</v>
      </c>
      <c r="S238" s="55" t="n">
        <f aca="false">P238+04_回帰ANOVA!$K$19*04_回帰ANOVA!$K$14*SQRT(1+Q238)</f>
        <v>51.6553982618309</v>
      </c>
      <c r="T238" s="54" t="b">
        <f aca="false">AND(C238&gt;=01_因子設定!$L$5-0.000000001,C238&lt;=01_因子設定!$M$5+0.000000001,D238&gt;=01_因子設定!$L$6-0.000000001,D238&lt;=01_因子設定!$M$6+0.000000001,E238&gt;=01_因子設定!$L$7-0.000000001,E238&lt;=01_因子設定!$M$7+0.000000001,IF(01_因子設定!$B$20="Box-Behnken",C238^2+D238^2+E238^2&lt;=2+0.000000001,TRUE()))</f>
        <v>1</v>
      </c>
      <c r="U238" s="55" t="n">
        <f aca="false">IF(T238,IF(01_因子設定!$B$13="最大化",R238-01_因子設定!$B$14,IF(01_因子設定!$B$13="最小化",01_因子設定!$B$15-S238,MIN(R238-01_因子設定!$B$14,01_因子設定!$B$15-S238))),-1E+030)</f>
        <v>1.02141991998731</v>
      </c>
      <c r="V238" s="55" t="n">
        <f aca="false">IF(U238&gt;=0,1,0)</f>
        <v>1</v>
      </c>
    </row>
    <row r="239" customFormat="false" ht="15" hidden="false" customHeight="false" outlineLevel="0" collapsed="false">
      <c r="A239" s="0" t="n">
        <v>3</v>
      </c>
      <c r="B239" s="0" t="n">
        <v>0.8</v>
      </c>
      <c r="C239" s="57" t="n">
        <f aca="false">07_最適化!$B$6</f>
        <v>0.625</v>
      </c>
      <c r="D239" s="57" t="n">
        <f aca="false">07_最適化!$B$7</f>
        <v>0.75</v>
      </c>
      <c r="E239" s="55" t="n">
        <f aca="false">B239</f>
        <v>0.8</v>
      </c>
      <c r="F239" s="55" t="n">
        <f aca="false">1</f>
        <v>1</v>
      </c>
      <c r="G239" s="57" t="n">
        <f aca="false">C239</f>
        <v>0.625</v>
      </c>
      <c r="H239" s="57" t="n">
        <f aca="false">D239</f>
        <v>0.75</v>
      </c>
      <c r="I239" s="55" t="n">
        <f aca="false">E239</f>
        <v>0.8</v>
      </c>
      <c r="J239" s="55" t="n">
        <f aca="false">C239*D239</f>
        <v>0.46875</v>
      </c>
      <c r="K239" s="55" t="n">
        <f aca="false">C239*E239</f>
        <v>0.5</v>
      </c>
      <c r="L239" s="55" t="n">
        <f aca="false">D239*E239</f>
        <v>0.6</v>
      </c>
      <c r="M239" s="55" t="n">
        <f aca="false">C239*C239</f>
        <v>0.390625</v>
      </c>
      <c r="N239" s="55" t="n">
        <f aca="false">D239*D239</f>
        <v>0.5625</v>
      </c>
      <c r="O239" s="55" t="n">
        <f aca="false">E239*E239</f>
        <v>0.64</v>
      </c>
      <c r="P239" s="55" t="n">
        <f aca="false">SUMPRODUCT(F239:O239,_XtX!$B$71:$K$71)</f>
        <v>50.5826477272727</v>
      </c>
      <c r="Q239" s="55" t="n">
        <f aca="false">SUMPRODUCT(MMULT(F239:O239,_XtX!$B$58:$K$67),F239:O239)</f>
        <v>0.329580308948864</v>
      </c>
      <c r="R239" s="55" t="n">
        <f aca="false">P239-04_回帰ANOVA!$K$19*04_回帰ANOVA!$K$14*SQRT(1+Q239)</f>
        <v>49.5105758014607</v>
      </c>
      <c r="S239" s="55" t="n">
        <f aca="false">P239+04_回帰ANOVA!$K$19*04_回帰ANOVA!$K$14*SQRT(1+Q239)</f>
        <v>51.6547196530848</v>
      </c>
      <c r="T239" s="54" t="b">
        <f aca="false">AND(C239&gt;=01_因子設定!$L$5-0.000000001,C239&lt;=01_因子設定!$M$5+0.000000001,D239&gt;=01_因子設定!$L$6-0.000000001,D239&lt;=01_因子設定!$M$6+0.000000001,E239&gt;=01_因子設定!$L$7-0.000000001,E239&lt;=01_因子設定!$M$7+0.000000001,IF(01_因子設定!$B$20="Box-Behnken",C239^2+D239^2+E239^2&lt;=2+0.000000001,TRUE()))</f>
        <v>1</v>
      </c>
      <c r="U239" s="55" t="n">
        <f aca="false">IF(T239,IF(01_因子設定!$B$13="最大化",R239-01_因子設定!$B$14,IF(01_因子設定!$B$13="最小化",01_因子設定!$B$15-S239,MIN(R239-01_因子設定!$B$14,01_因子設定!$B$15-S239))),-1E+030)</f>
        <v>1.01057580146068</v>
      </c>
      <c r="V239" s="55" t="n">
        <f aca="false">IF(U239&gt;=0,1,0)</f>
        <v>1</v>
      </c>
    </row>
    <row r="240" customFormat="false" ht="15" hidden="false" customHeight="false" outlineLevel="0" collapsed="false">
      <c r="A240" s="0" t="n">
        <v>3</v>
      </c>
      <c r="B240" s="0" t="n">
        <v>0.825</v>
      </c>
      <c r="C240" s="57" t="n">
        <f aca="false">07_最適化!$B$6</f>
        <v>0.625</v>
      </c>
      <c r="D240" s="57" t="n">
        <f aca="false">07_最適化!$B$7</f>
        <v>0.75</v>
      </c>
      <c r="E240" s="55" t="n">
        <f aca="false">B240</f>
        <v>0.825</v>
      </c>
      <c r="F240" s="55" t="n">
        <f aca="false">1</f>
        <v>1</v>
      </c>
      <c r="G240" s="57" t="n">
        <f aca="false">C240</f>
        <v>0.625</v>
      </c>
      <c r="H240" s="57" t="n">
        <f aca="false">D240</f>
        <v>0.75</v>
      </c>
      <c r="I240" s="55" t="n">
        <f aca="false">E240</f>
        <v>0.825</v>
      </c>
      <c r="J240" s="55" t="n">
        <f aca="false">C240*D240</f>
        <v>0.46875</v>
      </c>
      <c r="K240" s="55" t="n">
        <f aca="false">C240*E240</f>
        <v>0.515625</v>
      </c>
      <c r="L240" s="55" t="n">
        <f aca="false">D240*E240</f>
        <v>0.61875</v>
      </c>
      <c r="M240" s="55" t="n">
        <f aca="false">C240*C240</f>
        <v>0.390625</v>
      </c>
      <c r="N240" s="55" t="n">
        <f aca="false">D240*D240</f>
        <v>0.5625</v>
      </c>
      <c r="O240" s="55" t="n">
        <f aca="false">E240*E240</f>
        <v>0.680625</v>
      </c>
      <c r="P240" s="55" t="n">
        <f aca="false">SUMPRODUCT(F240:O240,_XtX!$B$71:$K$71)</f>
        <v>50.5754147727273</v>
      </c>
      <c r="Q240" s="55" t="n">
        <f aca="false">SUMPRODUCT(MMULT(F240:O240,_XtX!$B$58:$K$67),F240:O240)</f>
        <v>0.343738756214489</v>
      </c>
      <c r="R240" s="55" t="n">
        <f aca="false">P240-04_回帰ANOVA!$K$19*04_回帰ANOVA!$K$14*SQRT(1+Q240)</f>
        <v>49.4976498179854</v>
      </c>
      <c r="S240" s="55" t="n">
        <f aca="false">P240+04_回帰ANOVA!$K$19*04_回帰ANOVA!$K$14*SQRT(1+Q240)</f>
        <v>51.6531797274692</v>
      </c>
      <c r="T240" s="54" t="b">
        <f aca="false">AND(C240&gt;=01_因子設定!$L$5-0.000000001,C240&lt;=01_因子設定!$M$5+0.000000001,D240&gt;=01_因子設定!$L$6-0.000000001,D240&lt;=01_因子設定!$M$6+0.000000001,E240&gt;=01_因子設定!$L$7-0.000000001,E240&lt;=01_因子設定!$M$7+0.000000001,IF(01_因子設定!$B$20="Box-Behnken",C240^2+D240^2+E240^2&lt;=2+0.000000001,TRUE()))</f>
        <v>1</v>
      </c>
      <c r="U240" s="55" t="n">
        <f aca="false">IF(T240,IF(01_因子設定!$B$13="最大化",R240-01_因子設定!$B$14,IF(01_因子設定!$B$13="最小化",01_因子設定!$B$15-S240,MIN(R240-01_因子設定!$B$14,01_因子設定!$B$15-S240))),-1E+030)</f>
        <v>0.997649817985369</v>
      </c>
      <c r="V240" s="55" t="n">
        <f aca="false">IF(U240&gt;=0,1,0)</f>
        <v>1</v>
      </c>
    </row>
    <row r="241" customFormat="false" ht="15" hidden="false" customHeight="false" outlineLevel="0" collapsed="false">
      <c r="A241" s="0" t="n">
        <v>3</v>
      </c>
      <c r="B241" s="0" t="n">
        <v>0.85</v>
      </c>
      <c r="C241" s="57" t="n">
        <f aca="false">07_最適化!$B$6</f>
        <v>0.625</v>
      </c>
      <c r="D241" s="57" t="n">
        <f aca="false">07_最適化!$B$7</f>
        <v>0.75</v>
      </c>
      <c r="E241" s="55" t="n">
        <f aca="false">B241</f>
        <v>0.85</v>
      </c>
      <c r="F241" s="55" t="n">
        <f aca="false">1</f>
        <v>1</v>
      </c>
      <c r="G241" s="57" t="n">
        <f aca="false">C241</f>
        <v>0.625</v>
      </c>
      <c r="H241" s="57" t="n">
        <f aca="false">D241</f>
        <v>0.75</v>
      </c>
      <c r="I241" s="55" t="n">
        <f aca="false">E241</f>
        <v>0.85</v>
      </c>
      <c r="J241" s="55" t="n">
        <f aca="false">C241*D241</f>
        <v>0.46875</v>
      </c>
      <c r="K241" s="55" t="n">
        <f aca="false">C241*E241</f>
        <v>0.53125</v>
      </c>
      <c r="L241" s="55" t="n">
        <f aca="false">D241*E241</f>
        <v>0.6375</v>
      </c>
      <c r="M241" s="55" t="n">
        <f aca="false">C241*C241</f>
        <v>0.390625</v>
      </c>
      <c r="N241" s="55" t="n">
        <f aca="false">D241*D241</f>
        <v>0.5625</v>
      </c>
      <c r="O241" s="55" t="n">
        <f aca="false">E241*E241</f>
        <v>0.7225</v>
      </c>
      <c r="P241" s="55" t="n">
        <f aca="false">SUMPRODUCT(F241:O241,_XtX!$B$71:$K$71)</f>
        <v>50.5667102272727</v>
      </c>
      <c r="Q241" s="55" t="n">
        <f aca="false">SUMPRODUCT(MMULT(F241:O241,_XtX!$B$58:$K$67),F241:O241)</f>
        <v>0.359589098011364</v>
      </c>
      <c r="R241" s="55" t="n">
        <f aca="false">P241-04_回帰ANOVA!$K$19*04_回帰ANOVA!$K$14*SQRT(1+Q241)</f>
        <v>49.48260741056</v>
      </c>
      <c r="S241" s="55" t="n">
        <f aca="false">P241+04_回帰ANOVA!$K$19*04_回帰ANOVA!$K$14*SQRT(1+Q241)</f>
        <v>51.6508130439855</v>
      </c>
      <c r="T241" s="54" t="b">
        <f aca="false">AND(C241&gt;=01_因子設定!$L$5-0.000000001,C241&lt;=01_因子設定!$M$5+0.000000001,D241&gt;=01_因子設定!$L$6-0.000000001,D241&lt;=01_因子設定!$M$6+0.000000001,E241&gt;=01_因子設定!$L$7-0.000000001,E241&lt;=01_因子設定!$M$7+0.000000001,IF(01_因子設定!$B$20="Box-Behnken",C241^2+D241^2+E241^2&lt;=2+0.000000001,TRUE()))</f>
        <v>1</v>
      </c>
      <c r="U241" s="55" t="n">
        <f aca="false">IF(T241,IF(01_因子設定!$B$13="最大化",R241-01_因子設定!$B$14,IF(01_因子設定!$B$13="最小化",01_因子設定!$B$15-S241,MIN(R241-01_因子設定!$B$14,01_因子設定!$B$15-S241))),-1E+030)</f>
        <v>0.982607410560021</v>
      </c>
      <c r="V241" s="55" t="n">
        <f aca="false">IF(U241&gt;=0,1,0)</f>
        <v>1</v>
      </c>
    </row>
    <row r="242" customFormat="false" ht="15" hidden="false" customHeight="false" outlineLevel="0" collapsed="false">
      <c r="A242" s="0" t="n">
        <v>3</v>
      </c>
      <c r="B242" s="0" t="n">
        <v>0.875</v>
      </c>
      <c r="C242" s="57" t="n">
        <f aca="false">07_最適化!$B$6</f>
        <v>0.625</v>
      </c>
      <c r="D242" s="57" t="n">
        <f aca="false">07_最適化!$B$7</f>
        <v>0.75</v>
      </c>
      <c r="E242" s="55" t="n">
        <f aca="false">B242</f>
        <v>0.875</v>
      </c>
      <c r="F242" s="55" t="n">
        <f aca="false">1</f>
        <v>1</v>
      </c>
      <c r="G242" s="57" t="n">
        <f aca="false">C242</f>
        <v>0.625</v>
      </c>
      <c r="H242" s="57" t="n">
        <f aca="false">D242</f>
        <v>0.75</v>
      </c>
      <c r="I242" s="55" t="n">
        <f aca="false">E242</f>
        <v>0.875</v>
      </c>
      <c r="J242" s="55" t="n">
        <f aca="false">C242*D242</f>
        <v>0.46875</v>
      </c>
      <c r="K242" s="55" t="n">
        <f aca="false">C242*E242</f>
        <v>0.546875</v>
      </c>
      <c r="L242" s="55" t="n">
        <f aca="false">D242*E242</f>
        <v>0.65625</v>
      </c>
      <c r="M242" s="55" t="n">
        <f aca="false">C242*C242</f>
        <v>0.390625</v>
      </c>
      <c r="N242" s="55" t="n">
        <f aca="false">D242*D242</f>
        <v>0.5625</v>
      </c>
      <c r="O242" s="55" t="n">
        <f aca="false">E242*E242</f>
        <v>0.765625</v>
      </c>
      <c r="P242" s="55" t="n">
        <f aca="false">SUMPRODUCT(F242:O242,_XtX!$B$71:$K$71)</f>
        <v>50.5565340909091</v>
      </c>
      <c r="Q242" s="55" t="n">
        <f aca="false">SUMPRODUCT(MMULT(F242:O242,_XtX!$B$58:$K$67),F242:O242)</f>
        <v>0.377245538884943</v>
      </c>
      <c r="R242" s="55" t="n">
        <f aca="false">P242-04_回帰ANOVA!$K$19*04_回帰ANOVA!$K$14*SQRT(1+Q242)</f>
        <v>49.4654145762198</v>
      </c>
      <c r="S242" s="55" t="n">
        <f aca="false">P242+04_回帰ANOVA!$K$19*04_回帰ANOVA!$K$14*SQRT(1+Q242)</f>
        <v>51.6476536055984</v>
      </c>
      <c r="T242" s="54" t="b">
        <f aca="false">AND(C242&gt;=01_因子設定!$L$5-0.000000001,C242&lt;=01_因子設定!$M$5+0.000000001,D242&gt;=01_因子設定!$L$6-0.000000001,D242&lt;=01_因子設定!$M$6+0.000000001,E242&gt;=01_因子設定!$L$7-0.000000001,E242&lt;=01_因子設定!$M$7+0.000000001,IF(01_因子設定!$B$20="Box-Behnken",C242^2+D242^2+E242^2&lt;=2+0.000000001,TRUE()))</f>
        <v>1</v>
      </c>
      <c r="U242" s="55" t="n">
        <f aca="false">IF(T242,IF(01_因子設定!$B$13="最大化",R242-01_因子設定!$B$14,IF(01_因子設定!$B$13="最小化",01_因子設定!$B$15-S242,MIN(R242-01_因子設定!$B$14,01_因子設定!$B$15-S242))),-1E+030)</f>
        <v>0.965414576219835</v>
      </c>
      <c r="V242" s="55" t="n">
        <f aca="false">IF(U242&gt;=0,1,0)</f>
        <v>1</v>
      </c>
    </row>
    <row r="243" customFormat="false" ht="15" hidden="false" customHeight="false" outlineLevel="0" collapsed="false">
      <c r="A243" s="0" t="n">
        <v>3</v>
      </c>
      <c r="B243" s="0" t="n">
        <v>0.9</v>
      </c>
      <c r="C243" s="57" t="n">
        <f aca="false">07_最適化!$B$6</f>
        <v>0.625</v>
      </c>
      <c r="D243" s="57" t="n">
        <f aca="false">07_最適化!$B$7</f>
        <v>0.75</v>
      </c>
      <c r="E243" s="55" t="n">
        <f aca="false">B243</f>
        <v>0.9</v>
      </c>
      <c r="F243" s="55" t="n">
        <f aca="false">1</f>
        <v>1</v>
      </c>
      <c r="G243" s="57" t="n">
        <f aca="false">C243</f>
        <v>0.625</v>
      </c>
      <c r="H243" s="57" t="n">
        <f aca="false">D243</f>
        <v>0.75</v>
      </c>
      <c r="I243" s="55" t="n">
        <f aca="false">E243</f>
        <v>0.9</v>
      </c>
      <c r="J243" s="55" t="n">
        <f aca="false">C243*D243</f>
        <v>0.46875</v>
      </c>
      <c r="K243" s="55" t="n">
        <f aca="false">C243*E243</f>
        <v>0.5625</v>
      </c>
      <c r="L243" s="55" t="n">
        <f aca="false">D243*E243</f>
        <v>0.675</v>
      </c>
      <c r="M243" s="55" t="n">
        <f aca="false">C243*C243</f>
        <v>0.390625</v>
      </c>
      <c r="N243" s="55" t="n">
        <f aca="false">D243*D243</f>
        <v>0.5625</v>
      </c>
      <c r="O243" s="55" t="n">
        <f aca="false">E243*E243</f>
        <v>0.81</v>
      </c>
      <c r="P243" s="55" t="n">
        <f aca="false">SUMPRODUCT(F243:O243,_XtX!$B$71:$K$71)</f>
        <v>50.5448863636364</v>
      </c>
      <c r="Q243" s="55" t="n">
        <f aca="false">SUMPRODUCT(MMULT(F243:O243,_XtX!$B$58:$K$67),F243:O243)</f>
        <v>0.396825692471591</v>
      </c>
      <c r="R243" s="55" t="n">
        <f aca="false">P243-04_回帰ANOVA!$K$19*04_回帰ANOVA!$K$14*SQRT(1+Q243)</f>
        <v>49.4460380567145</v>
      </c>
      <c r="S243" s="55" t="n">
        <f aca="false">P243+04_回帰ANOVA!$K$19*04_回帰ANOVA!$K$14*SQRT(1+Q243)</f>
        <v>51.6437346705583</v>
      </c>
      <c r="T243" s="54" t="b">
        <f aca="false">AND(C243&gt;=01_因子設定!$L$5-0.000000001,C243&lt;=01_因子設定!$M$5+0.000000001,D243&gt;=01_因子設定!$L$6-0.000000001,D243&lt;=01_因子設定!$M$6+0.000000001,E243&gt;=01_因子設定!$L$7-0.000000001,E243&lt;=01_因子設定!$M$7+0.000000001,IF(01_因子設定!$B$20="Box-Behnken",C243^2+D243^2+E243^2&lt;=2+0.000000001,TRUE()))</f>
        <v>1</v>
      </c>
      <c r="U243" s="55" t="n">
        <f aca="false">IF(T243,IF(01_因子設定!$B$13="最大化",R243-01_因子設定!$B$14,IF(01_因子設定!$B$13="最小化",01_因子設定!$B$15-S243,MIN(R243-01_因子設定!$B$14,01_因子設定!$B$15-S243))),-1E+030)</f>
        <v>0.946038056714507</v>
      </c>
      <c r="V243" s="55" t="n">
        <f aca="false">IF(U243&gt;=0,1,0)</f>
        <v>1</v>
      </c>
    </row>
    <row r="244" customFormat="false" ht="15" hidden="false" customHeight="false" outlineLevel="0" collapsed="false">
      <c r="A244" s="0" t="n">
        <v>3</v>
      </c>
      <c r="B244" s="0" t="n">
        <v>0.925</v>
      </c>
      <c r="C244" s="57" t="n">
        <f aca="false">07_最適化!$B$6</f>
        <v>0.625</v>
      </c>
      <c r="D244" s="57" t="n">
        <f aca="false">07_最適化!$B$7</f>
        <v>0.75</v>
      </c>
      <c r="E244" s="55" t="n">
        <f aca="false">B244</f>
        <v>0.925</v>
      </c>
      <c r="F244" s="55" t="n">
        <f aca="false">1</f>
        <v>1</v>
      </c>
      <c r="G244" s="57" t="n">
        <f aca="false">C244</f>
        <v>0.625</v>
      </c>
      <c r="H244" s="57" t="n">
        <f aca="false">D244</f>
        <v>0.75</v>
      </c>
      <c r="I244" s="55" t="n">
        <f aca="false">E244</f>
        <v>0.925</v>
      </c>
      <c r="J244" s="55" t="n">
        <f aca="false">C244*D244</f>
        <v>0.46875</v>
      </c>
      <c r="K244" s="55" t="n">
        <f aca="false">C244*E244</f>
        <v>0.578125</v>
      </c>
      <c r="L244" s="55" t="n">
        <f aca="false">D244*E244</f>
        <v>0.69375</v>
      </c>
      <c r="M244" s="55" t="n">
        <f aca="false">C244*C244</f>
        <v>0.390625</v>
      </c>
      <c r="N244" s="55" t="n">
        <f aca="false">D244*D244</f>
        <v>0.5625</v>
      </c>
      <c r="O244" s="55" t="n">
        <f aca="false">E244*E244</f>
        <v>0.855625</v>
      </c>
      <c r="P244" s="55" t="n">
        <f aca="false">SUMPRODUCT(F244:O244,_XtX!$B$71:$K$71)</f>
        <v>50.5317670454546</v>
      </c>
      <c r="Q244" s="55" t="n">
        <f aca="false">SUMPRODUCT(MMULT(F244:O244,_XtX!$B$58:$K$67),F244:O244)</f>
        <v>0.41845058149858</v>
      </c>
      <c r="R244" s="55" t="n">
        <f aca="false">P244-04_回帰ANOVA!$K$19*04_回帰ANOVA!$K$14*SQRT(1+Q244)</f>
        <v>49.4244455236834</v>
      </c>
      <c r="S244" s="55" t="n">
        <f aca="false">P244+04_回帰ANOVA!$K$19*04_回帰ANOVA!$K$14*SQRT(1+Q244)</f>
        <v>51.6390885672257</v>
      </c>
      <c r="T244" s="54" t="b">
        <f aca="false">AND(C244&gt;=01_因子設定!$L$5-0.000000001,C244&lt;=01_因子設定!$M$5+0.000000001,D244&gt;=01_因子設定!$L$6-0.000000001,D244&lt;=01_因子設定!$M$6+0.000000001,E244&gt;=01_因子設定!$L$7-0.000000001,E244&lt;=01_因子設定!$M$7+0.000000001,IF(01_因子設定!$B$20="Box-Behnken",C244^2+D244^2+E244^2&lt;=2+0.000000001,TRUE()))</f>
        <v>1</v>
      </c>
      <c r="U244" s="55" t="n">
        <f aca="false">IF(T244,IF(01_因子設定!$B$13="最大化",R244-01_因子設定!$B$14,IF(01_因子設定!$B$13="最小化",01_因子設定!$B$15-S244,MIN(R244-01_因子設定!$B$14,01_因子設定!$B$15-S244))),-1E+030)</f>
        <v>0.924445523683417</v>
      </c>
      <c r="V244" s="55" t="n">
        <f aca="false">IF(U244&gt;=0,1,0)</f>
        <v>1</v>
      </c>
    </row>
    <row r="245" customFormat="false" ht="15" hidden="false" customHeight="false" outlineLevel="0" collapsed="false">
      <c r="A245" s="0" t="n">
        <v>3</v>
      </c>
      <c r="B245" s="0" t="n">
        <v>0.95</v>
      </c>
      <c r="C245" s="57" t="n">
        <f aca="false">07_最適化!$B$6</f>
        <v>0.625</v>
      </c>
      <c r="D245" s="57" t="n">
        <f aca="false">07_最適化!$B$7</f>
        <v>0.75</v>
      </c>
      <c r="E245" s="55" t="n">
        <f aca="false">B245</f>
        <v>0.95</v>
      </c>
      <c r="F245" s="55" t="n">
        <f aca="false">1</f>
        <v>1</v>
      </c>
      <c r="G245" s="57" t="n">
        <f aca="false">C245</f>
        <v>0.625</v>
      </c>
      <c r="H245" s="57" t="n">
        <f aca="false">D245</f>
        <v>0.75</v>
      </c>
      <c r="I245" s="55" t="n">
        <f aca="false">E245</f>
        <v>0.95</v>
      </c>
      <c r="J245" s="55" t="n">
        <f aca="false">C245*D245</f>
        <v>0.46875</v>
      </c>
      <c r="K245" s="55" t="n">
        <f aca="false">C245*E245</f>
        <v>0.59375</v>
      </c>
      <c r="L245" s="55" t="n">
        <f aca="false">D245*E245</f>
        <v>0.7125</v>
      </c>
      <c r="M245" s="55" t="n">
        <f aca="false">C245*C245</f>
        <v>0.390625</v>
      </c>
      <c r="N245" s="55" t="n">
        <f aca="false">D245*D245</f>
        <v>0.5625</v>
      </c>
      <c r="O245" s="55" t="n">
        <f aca="false">E245*E245</f>
        <v>0.9025</v>
      </c>
      <c r="P245" s="55" t="n">
        <f aca="false">SUMPRODUCT(F245:O245,_XtX!$B$71:$K$71)</f>
        <v>50.5171761363637</v>
      </c>
      <c r="Q245" s="55" t="n">
        <f aca="false">SUMPRODUCT(MMULT(F245:O245,_XtX!$B$58:$K$67),F245:O245)</f>
        <v>0.442244637784091</v>
      </c>
      <c r="R245" s="55" t="n">
        <f aca="false">P245-04_回帰ANOVA!$K$19*04_回帰ANOVA!$K$14*SQRT(1+Q245)</f>
        <v>49.4006057571926</v>
      </c>
      <c r="S245" s="55" t="n">
        <f aca="false">P245+04_回帰ANOVA!$K$19*04_回帰ANOVA!$K$14*SQRT(1+Q245)</f>
        <v>51.6337465155347</v>
      </c>
      <c r="T245" s="54" t="b">
        <f aca="false">AND(C245&gt;=01_因子設定!$L$5-0.000000001,C245&lt;=01_因子設定!$M$5+0.000000001,D245&gt;=01_因子設定!$L$6-0.000000001,D245&lt;=01_因子設定!$M$6+0.000000001,E245&gt;=01_因子設定!$L$7-0.000000001,E245&lt;=01_因子設定!$M$7+0.000000001,IF(01_因子設定!$B$20="Box-Behnken",C245^2+D245^2+E245^2&lt;=2+0.000000001,TRUE()))</f>
        <v>1</v>
      </c>
      <c r="U245" s="55" t="n">
        <f aca="false">IF(T245,IF(01_因子設定!$B$13="最大化",R245-01_因子設定!$B$14,IF(01_因子設定!$B$13="最小化",01_因子設定!$B$15-S245,MIN(R245-01_因子設定!$B$14,01_因子設定!$B$15-S245))),-1E+030)</f>
        <v>0.900605757192615</v>
      </c>
      <c r="V245" s="55" t="n">
        <f aca="false">IF(U245&gt;=0,1,0)</f>
        <v>1</v>
      </c>
    </row>
    <row r="246" customFormat="false" ht="15" hidden="false" customHeight="false" outlineLevel="0" collapsed="false">
      <c r="A246" s="0" t="n">
        <v>3</v>
      </c>
      <c r="B246" s="0" t="n">
        <v>0.975</v>
      </c>
      <c r="C246" s="57" t="n">
        <f aca="false">07_最適化!$B$6</f>
        <v>0.625</v>
      </c>
      <c r="D246" s="57" t="n">
        <f aca="false">07_最適化!$B$7</f>
        <v>0.75</v>
      </c>
      <c r="E246" s="55" t="n">
        <f aca="false">B246</f>
        <v>0.975</v>
      </c>
      <c r="F246" s="55" t="n">
        <f aca="false">1</f>
        <v>1</v>
      </c>
      <c r="G246" s="57" t="n">
        <f aca="false">C246</f>
        <v>0.625</v>
      </c>
      <c r="H246" s="57" t="n">
        <f aca="false">D246</f>
        <v>0.75</v>
      </c>
      <c r="I246" s="55" t="n">
        <f aca="false">E246</f>
        <v>0.975</v>
      </c>
      <c r="J246" s="55" t="n">
        <f aca="false">C246*D246</f>
        <v>0.46875</v>
      </c>
      <c r="K246" s="55" t="n">
        <f aca="false">C246*E246</f>
        <v>0.609375</v>
      </c>
      <c r="L246" s="55" t="n">
        <f aca="false">D246*E246</f>
        <v>0.73125</v>
      </c>
      <c r="M246" s="55" t="n">
        <f aca="false">C246*C246</f>
        <v>0.390625</v>
      </c>
      <c r="N246" s="55" t="n">
        <f aca="false">D246*D246</f>
        <v>0.5625</v>
      </c>
      <c r="O246" s="55" t="n">
        <f aca="false">E246*E246</f>
        <v>0.950625</v>
      </c>
      <c r="P246" s="55" t="n">
        <f aca="false">SUMPRODUCT(F246:O246,_XtX!$B$71:$K$71)</f>
        <v>50.5011136363637</v>
      </c>
      <c r="Q246" s="55" t="n">
        <f aca="false">SUMPRODUCT(MMULT(F246:O246,_XtX!$B$58:$K$67),F246:O246)</f>
        <v>0.468335702237216</v>
      </c>
      <c r="R246" s="55" t="n">
        <f aca="false">P246-04_回帰ANOVA!$K$19*04_回帰ANOVA!$K$14*SQRT(1+Q246)</f>
        <v>49.3744888145123</v>
      </c>
      <c r="S246" s="55" t="n">
        <f aca="false">P246+04_回帰ANOVA!$K$19*04_回帰ANOVA!$K$14*SQRT(1+Q246)</f>
        <v>51.627738458215</v>
      </c>
      <c r="T246" s="54" t="b">
        <f aca="false">AND(C246&gt;=01_因子設定!$L$5-0.000000001,C246&lt;=01_因子設定!$M$5+0.000000001,D246&gt;=01_因子設定!$L$6-0.000000001,D246&lt;=01_因子設定!$M$6+0.000000001,E246&gt;=01_因子設定!$L$7-0.000000001,E246&lt;=01_因子設定!$M$7+0.000000001,IF(01_因子設定!$B$20="Box-Behnken",C246^2+D246^2+E246^2&lt;=2+0.000000001,TRUE()))</f>
        <v>1</v>
      </c>
      <c r="U246" s="55" t="n">
        <f aca="false">IF(T246,IF(01_因子設定!$B$13="最大化",R246-01_因子設定!$B$14,IF(01_因子設定!$B$13="最小化",01_因子設定!$B$15-S246,MIN(R246-01_因子設定!$B$14,01_因子設定!$B$15-S246))),-1E+030)</f>
        <v>0.874488814512269</v>
      </c>
      <c r="V246" s="55" t="n">
        <f aca="false">IF(U246&gt;=0,1,0)</f>
        <v>1</v>
      </c>
    </row>
    <row r="247" customFormat="false" ht="15" hidden="false" customHeight="false" outlineLevel="0" collapsed="false">
      <c r="A247" s="0" t="n">
        <v>3</v>
      </c>
      <c r="B247" s="0" t="n">
        <v>1</v>
      </c>
      <c r="C247" s="57" t="n">
        <f aca="false">07_最適化!$B$6</f>
        <v>0.625</v>
      </c>
      <c r="D247" s="57" t="n">
        <f aca="false">07_最適化!$B$7</f>
        <v>0.75</v>
      </c>
      <c r="E247" s="55" t="n">
        <f aca="false">B247</f>
        <v>1</v>
      </c>
      <c r="F247" s="55" t="n">
        <f aca="false">1</f>
        <v>1</v>
      </c>
      <c r="G247" s="57" t="n">
        <f aca="false">C247</f>
        <v>0.625</v>
      </c>
      <c r="H247" s="57" t="n">
        <f aca="false">D247</f>
        <v>0.75</v>
      </c>
      <c r="I247" s="55" t="n">
        <f aca="false">E247</f>
        <v>1</v>
      </c>
      <c r="J247" s="55" t="n">
        <f aca="false">C247*D247</f>
        <v>0.46875</v>
      </c>
      <c r="K247" s="55" t="n">
        <f aca="false">C247*E247</f>
        <v>0.625</v>
      </c>
      <c r="L247" s="55" t="n">
        <f aca="false">D247*E247</f>
        <v>0.75</v>
      </c>
      <c r="M247" s="55" t="n">
        <f aca="false">C247*C247</f>
        <v>0.390625</v>
      </c>
      <c r="N247" s="55" t="n">
        <f aca="false">D247*D247</f>
        <v>0.5625</v>
      </c>
      <c r="O247" s="55" t="n">
        <f aca="false">E247*E247</f>
        <v>1</v>
      </c>
      <c r="P247" s="55" t="n">
        <f aca="false">SUMPRODUCT(F247:O247,_XtX!$B$71:$K$71)</f>
        <v>50.4835795454546</v>
      </c>
      <c r="Q247" s="55" t="n">
        <f aca="false">SUMPRODUCT(MMULT(F247:O247,_XtX!$B$58:$K$67),F247:O247)</f>
        <v>0.496855024857955</v>
      </c>
      <c r="R247" s="55" t="n">
        <f aca="false">P247-04_回帰ANOVA!$K$19*04_回帰ANOVA!$K$14*SQRT(1+Q247)</f>
        <v>49.3460661861385</v>
      </c>
      <c r="S247" s="55" t="n">
        <f aca="false">P247+04_回帰ANOVA!$K$19*04_回帰ANOVA!$K$14*SQRT(1+Q247)</f>
        <v>51.6210929047707</v>
      </c>
      <c r="T247" s="54" t="b">
        <f aca="false">AND(C247&gt;=01_因子設定!$L$5-0.000000001,C247&lt;=01_因子設定!$M$5+0.000000001,D247&gt;=01_因子設定!$L$6-0.000000001,D247&lt;=01_因子設定!$M$6+0.000000001,E247&gt;=01_因子設定!$L$7-0.000000001,E247&lt;=01_因子設定!$M$7+0.000000001,IF(01_因子設定!$B$20="Box-Behnken",C247^2+D247^2+E247^2&lt;=2+0.000000001,TRUE()))</f>
        <v>1</v>
      </c>
      <c r="U247" s="55" t="n">
        <f aca="false">IF(T247,IF(01_因子設定!$B$13="最大化",R247-01_因子設定!$B$14,IF(01_因子設定!$B$13="最小化",01_因子設定!$B$15-S247,MIN(R247-01_因子設定!$B$14,01_因子設定!$B$15-S247))),-1E+030)</f>
        <v>0.846066186138472</v>
      </c>
      <c r="V247" s="55" t="n">
        <f aca="false">IF(U247&gt;=0,1,0)</f>
        <v>1</v>
      </c>
    </row>
    <row r="251" customFormat="false" ht="15" hidden="false" customHeight="false" outlineLevel="0" collapsed="false">
      <c r="A251" s="9" t="s">
        <v>289</v>
      </c>
      <c r="B251" s="9" t="s">
        <v>290</v>
      </c>
      <c r="C251" s="9" t="s">
        <v>291</v>
      </c>
      <c r="D251" s="9" t="s">
        <v>365</v>
      </c>
      <c r="E251" s="9" t="s">
        <v>366</v>
      </c>
      <c r="F251" s="9" t="s">
        <v>367</v>
      </c>
      <c r="G251" s="9" t="s">
        <v>64</v>
      </c>
      <c r="H251" s="9" t="s">
        <v>69</v>
      </c>
      <c r="I251" s="9" t="s">
        <v>72</v>
      </c>
      <c r="J251" s="10" t="s">
        <v>145</v>
      </c>
      <c r="K251" s="9" t="s">
        <v>64</v>
      </c>
      <c r="L251" s="9" t="s">
        <v>69</v>
      </c>
      <c r="M251" s="9" t="s">
        <v>72</v>
      </c>
      <c r="N251" s="9" t="s">
        <v>150</v>
      </c>
      <c r="O251" s="9" t="s">
        <v>152</v>
      </c>
      <c r="P251" s="9" t="s">
        <v>154</v>
      </c>
      <c r="Q251" s="9" t="s">
        <v>156</v>
      </c>
      <c r="R251" s="9" t="s">
        <v>158</v>
      </c>
      <c r="S251" s="9" t="s">
        <v>160</v>
      </c>
      <c r="T251" s="10" t="s">
        <v>233</v>
      </c>
      <c r="U251" s="9" t="s">
        <v>238</v>
      </c>
      <c r="V251" s="10" t="s">
        <v>362</v>
      </c>
      <c r="W251" s="10" t="s">
        <v>363</v>
      </c>
      <c r="X251" s="10" t="s">
        <v>292</v>
      </c>
      <c r="Y251" s="10" t="s">
        <v>234</v>
      </c>
    </row>
    <row r="252" customFormat="false" ht="15" hidden="false" customHeight="false" outlineLevel="0" collapsed="false">
      <c r="A252" s="0" t="n">
        <v>0</v>
      </c>
      <c r="B252" s="0" t="n">
        <v>0</v>
      </c>
      <c r="C252" s="0" t="n">
        <v>0</v>
      </c>
      <c r="D252" s="0" t="n">
        <f aca="false">08_工程窓!$C$74+A252*(08_工程窓!$D$74-08_工程窓!$C$74)/2</f>
        <v>65.5</v>
      </c>
      <c r="E252" s="0" t="n">
        <f aca="false">08_工程窓!$C$75+B252*(08_工程窓!$D$75-08_工程窓!$C$75)/2</f>
        <v>30.5</v>
      </c>
      <c r="F252" s="0" t="n">
        <f aca="false">08_工程窓!$C$76+C252*(08_工程窓!$D$76-08_工程窓!$C$76)/2</f>
        <v>1.75</v>
      </c>
      <c r="G252" s="0" t="n">
        <f aca="false">(D252-01_因子設定!$G$5)/01_因子設定!$H$5</f>
        <v>0.05</v>
      </c>
      <c r="H252" s="0" t="n">
        <f aca="false">(E252-01_因子設定!$G$6)/01_因子設定!$H$6</f>
        <v>0.05</v>
      </c>
      <c r="I252" s="0" t="n">
        <f aca="false">(F252-01_因子設定!$G$7)/01_因子設定!$H$7</f>
        <v>-0.25</v>
      </c>
      <c r="J252" s="0" t="n">
        <f aca="false">1</f>
        <v>1</v>
      </c>
      <c r="K252" s="0" t="n">
        <f aca="false">G252</f>
        <v>0.05</v>
      </c>
      <c r="L252" s="0" t="n">
        <f aca="false">H252</f>
        <v>0.05</v>
      </c>
      <c r="M252" s="0" t="n">
        <f aca="false">I252</f>
        <v>-0.25</v>
      </c>
      <c r="N252" s="0" t="n">
        <f aca="false">G252*H252</f>
        <v>0.0025</v>
      </c>
      <c r="O252" s="0" t="n">
        <f aca="false">G252*I252</f>
        <v>-0.0125</v>
      </c>
      <c r="P252" s="0" t="n">
        <f aca="false">H252*I252</f>
        <v>-0.0125</v>
      </c>
      <c r="Q252" s="0" t="n">
        <f aca="false">G252*G252</f>
        <v>0.0025</v>
      </c>
      <c r="R252" s="0" t="n">
        <f aca="false">H252*H252</f>
        <v>0.0025</v>
      </c>
      <c r="S252" s="0" t="n">
        <f aca="false">I252*I252</f>
        <v>0.0625</v>
      </c>
      <c r="T252" s="0" t="n">
        <f aca="false">SUMPRODUCT(J252:S252,_XtX!$B$71:$K$71)</f>
        <v>48.1848806818182</v>
      </c>
      <c r="U252" s="0" t="n">
        <f aca="false">SUMPRODUCT(MMULT(J252:S252,_XtX!$B$58:$K$67),J252:S252)</f>
        <v>0.120173366477273</v>
      </c>
      <c r="V252" s="0" t="n">
        <f aca="false">T252-04_回帰ANOVA!$K$19*04_回帰ANOVA!$K$14*SQRT(1+U252)</f>
        <v>47.200848600841</v>
      </c>
      <c r="W252" s="0" t="n">
        <f aca="false">T252+04_回帰ANOVA!$K$19*04_回帰ANOVA!$K$14*SQRT(1+U252)</f>
        <v>49.1689127627954</v>
      </c>
      <c r="X252" s="54" t="b">
        <f aca="false">AND(G252&gt;=01_因子設定!$L$5-0.000000001,G252&lt;=01_因子設定!$M$5+0.000000001,H252&gt;=01_因子設定!$L$6-0.000000001,H252&lt;=01_因子設定!$M$6+0.000000001,I252&gt;=01_因子設定!$L$7-0.000000001,I252&lt;=01_因子設定!$M$7+0.000000001,IF(01_因子設定!$B$20="Box-Behnken",G252^2+H252^2+I252^2&lt;=2+0.000000001,TRUE()))</f>
        <v>1</v>
      </c>
      <c r="Y252" s="55" t="n">
        <f aca="false">IF(01_因子設定!$B$13="最大化",V252-01_因子設定!$B$14,IF(01_因子設定!$B$13="最小化",01_因子設定!$B$15-W252,MIN(V252-01_因子設定!$B$14,01_因子設定!$B$15-W252)))</f>
        <v>-1.29915139915897</v>
      </c>
    </row>
    <row r="253" customFormat="false" ht="15" hidden="false" customHeight="false" outlineLevel="0" collapsed="false">
      <c r="A253" s="0" t="n">
        <v>0</v>
      </c>
      <c r="B253" s="0" t="n">
        <v>0</v>
      </c>
      <c r="C253" s="0" t="n">
        <v>1</v>
      </c>
      <c r="D253" s="0" t="n">
        <f aca="false">08_工程窓!$C$74+A253*(08_工程窓!$D$74-08_工程窓!$C$74)/2</f>
        <v>65.5</v>
      </c>
      <c r="E253" s="0" t="n">
        <f aca="false">08_工程窓!$C$75+B253*(08_工程窓!$D$75-08_工程窓!$C$75)/2</f>
        <v>30.5</v>
      </c>
      <c r="F253" s="0" t="n">
        <f aca="false">08_工程窓!$C$76+C253*(08_工程窓!$D$76-08_工程窓!$C$76)/2</f>
        <v>2.375</v>
      </c>
      <c r="G253" s="0" t="n">
        <f aca="false">(D253-01_因子設定!$G$5)/01_因子設定!$H$5</f>
        <v>0.05</v>
      </c>
      <c r="H253" s="0" t="n">
        <f aca="false">(E253-01_因子設定!$G$6)/01_因子設定!$H$6</f>
        <v>0.05</v>
      </c>
      <c r="I253" s="0" t="n">
        <f aca="false">(F253-01_因子設定!$G$7)/01_因子設定!$H$7</f>
        <v>0.375</v>
      </c>
      <c r="J253" s="0" t="n">
        <f aca="false">1</f>
        <v>1</v>
      </c>
      <c r="K253" s="0" t="n">
        <f aca="false">G253</f>
        <v>0.05</v>
      </c>
      <c r="L253" s="0" t="n">
        <f aca="false">H253</f>
        <v>0.05</v>
      </c>
      <c r="M253" s="0" t="n">
        <f aca="false">I253</f>
        <v>0.375</v>
      </c>
      <c r="N253" s="0" t="n">
        <f aca="false">G253*H253</f>
        <v>0.0025</v>
      </c>
      <c r="O253" s="0" t="n">
        <f aca="false">G253*I253</f>
        <v>0.01875</v>
      </c>
      <c r="P253" s="0" t="n">
        <f aca="false">H253*I253</f>
        <v>0.01875</v>
      </c>
      <c r="Q253" s="0" t="n">
        <f aca="false">G253*G253</f>
        <v>0.0025</v>
      </c>
      <c r="R253" s="0" t="n">
        <f aca="false">H253*H253</f>
        <v>0.0025</v>
      </c>
      <c r="S253" s="0" t="n">
        <f aca="false">I253*I253</f>
        <v>0.140625</v>
      </c>
      <c r="T253" s="0" t="n">
        <f aca="false">SUMPRODUCT(J253:S253,_XtX!$B$71:$K$71)</f>
        <v>48.96478125</v>
      </c>
      <c r="U253" s="0" t="n">
        <f aca="false">SUMPRODUCT(MMULT(J253:S253,_XtX!$B$58:$K$67),J253:S253)</f>
        <v>0.126596484375</v>
      </c>
      <c r="V253" s="0" t="n">
        <f aca="false">T253-04_回帰ANOVA!$K$19*04_回帰ANOVA!$K$14*SQRT(1+U253)</f>
        <v>47.9779319625224</v>
      </c>
      <c r="W253" s="0" t="n">
        <f aca="false">T253+04_回帰ANOVA!$K$19*04_回帰ANOVA!$K$14*SQRT(1+U253)</f>
        <v>49.9516305374776</v>
      </c>
      <c r="X253" s="54" t="b">
        <f aca="false">AND(G253&gt;=01_因子設定!$L$5-0.000000001,G253&lt;=01_因子設定!$M$5+0.000000001,H253&gt;=01_因子設定!$L$6-0.000000001,H253&lt;=01_因子設定!$M$6+0.000000001,I253&gt;=01_因子設定!$L$7-0.000000001,I253&lt;=01_因子設定!$M$7+0.000000001,IF(01_因子設定!$B$20="Box-Behnken",G253^2+H253^2+I253^2&lt;=2+0.000000001,TRUE()))</f>
        <v>1</v>
      </c>
      <c r="Y253" s="55" t="n">
        <f aca="false">IF(01_因子設定!$B$13="最大化",V253-01_因子設定!$B$14,IF(01_因子設定!$B$13="最小化",01_因子設定!$B$15-W253,MIN(V253-01_因子設定!$B$14,01_因子設定!$B$15-W253)))</f>
        <v>-0.522068037477595</v>
      </c>
    </row>
    <row r="254" customFormat="false" ht="15" hidden="false" customHeight="false" outlineLevel="0" collapsed="false">
      <c r="A254" s="0" t="n">
        <v>0</v>
      </c>
      <c r="B254" s="0" t="n">
        <v>0</v>
      </c>
      <c r="C254" s="0" t="n">
        <v>2</v>
      </c>
      <c r="D254" s="0" t="n">
        <f aca="false">08_工程窓!$C$74+A254*(08_工程窓!$D$74-08_工程窓!$C$74)/2</f>
        <v>65.5</v>
      </c>
      <c r="E254" s="0" t="n">
        <f aca="false">08_工程窓!$C$75+B254*(08_工程窓!$D$75-08_工程窓!$C$75)/2</f>
        <v>30.5</v>
      </c>
      <c r="F254" s="0" t="n">
        <f aca="false">08_工程窓!$C$76+C254*(08_工程窓!$D$76-08_工程窓!$C$76)/2</f>
        <v>3</v>
      </c>
      <c r="G254" s="0" t="n">
        <f aca="false">(D254-01_因子設定!$G$5)/01_因子設定!$H$5</f>
        <v>0.05</v>
      </c>
      <c r="H254" s="0" t="n">
        <f aca="false">(E254-01_因子設定!$G$6)/01_因子設定!$H$6</f>
        <v>0.05</v>
      </c>
      <c r="I254" s="0" t="n">
        <f aca="false">(F254-01_因子設定!$G$7)/01_因子設定!$H$7</f>
        <v>1</v>
      </c>
      <c r="J254" s="0" t="n">
        <f aca="false">1</f>
        <v>1</v>
      </c>
      <c r="K254" s="0" t="n">
        <f aca="false">G254</f>
        <v>0.05</v>
      </c>
      <c r="L254" s="0" t="n">
        <f aca="false">H254</f>
        <v>0.05</v>
      </c>
      <c r="M254" s="0" t="n">
        <f aca="false">I254</f>
        <v>1</v>
      </c>
      <c r="N254" s="0" t="n">
        <f aca="false">G254*H254</f>
        <v>0.0025</v>
      </c>
      <c r="O254" s="0" t="n">
        <f aca="false">G254*I254</f>
        <v>0.05</v>
      </c>
      <c r="P254" s="0" t="n">
        <f aca="false">H254*I254</f>
        <v>0.05</v>
      </c>
      <c r="Q254" s="0" t="n">
        <f aca="false">G254*G254</f>
        <v>0.0025</v>
      </c>
      <c r="R254" s="0" t="n">
        <f aca="false">H254*H254</f>
        <v>0.0025</v>
      </c>
      <c r="S254" s="0" t="n">
        <f aca="false">I254*I254</f>
        <v>1</v>
      </c>
      <c r="T254" s="0" t="n">
        <f aca="false">SUMPRODUCT(J254:S254,_XtX!$B$71:$K$71)</f>
        <v>48.8249375</v>
      </c>
      <c r="U254" s="0" t="n">
        <f aca="false">SUMPRODUCT(MMULT(J254:S254,_XtX!$B$58:$K$67),J254:S254)</f>
        <v>0.49021953125</v>
      </c>
      <c r="V254" s="0" t="n">
        <f aca="false">T254-04_回帰ANOVA!$K$19*04_回帰ANOVA!$K$14*SQRT(1+U254)</f>
        <v>47.6899482148392</v>
      </c>
      <c r="W254" s="0" t="n">
        <f aca="false">T254+04_回帰ANOVA!$K$19*04_回帰ANOVA!$K$14*SQRT(1+U254)</f>
        <v>49.9599267851608</v>
      </c>
      <c r="X254" s="54" t="b">
        <f aca="false">AND(G254&gt;=01_因子設定!$L$5-0.000000001,G254&lt;=01_因子設定!$M$5+0.000000001,H254&gt;=01_因子設定!$L$6-0.000000001,H254&lt;=01_因子設定!$M$6+0.000000001,I254&gt;=01_因子設定!$L$7-0.000000001,I254&lt;=01_因子設定!$M$7+0.000000001,IF(01_因子設定!$B$20="Box-Behnken",G254^2+H254^2+I254^2&lt;=2+0.000000001,TRUE()))</f>
        <v>1</v>
      </c>
      <c r="Y254" s="55" t="n">
        <f aca="false">IF(01_因子設定!$B$13="最大化",V254-01_因子設定!$B$14,IF(01_因子設定!$B$13="最小化",01_因子設定!$B$15-W254,MIN(V254-01_因子設定!$B$14,01_因子設定!$B$15-W254)))</f>
        <v>-0.810051785160773</v>
      </c>
    </row>
    <row r="255" customFormat="false" ht="15" hidden="false" customHeight="false" outlineLevel="0" collapsed="false">
      <c r="A255" s="0" t="n">
        <v>0</v>
      </c>
      <c r="B255" s="0" t="n">
        <v>1</v>
      </c>
      <c r="C255" s="0" t="n">
        <v>0</v>
      </c>
      <c r="D255" s="0" t="n">
        <f aca="false">08_工程窓!$C$74+A255*(08_工程窓!$D$74-08_工程窓!$C$74)/2</f>
        <v>65.5</v>
      </c>
      <c r="E255" s="0" t="n">
        <f aca="false">08_工程窓!$C$75+B255*(08_工程窓!$D$75-08_工程窓!$C$75)/2</f>
        <v>35.25</v>
      </c>
      <c r="F255" s="0" t="n">
        <f aca="false">08_工程窓!$C$76+C255*(08_工程窓!$D$76-08_工程窓!$C$76)/2</f>
        <v>1.75</v>
      </c>
      <c r="G255" s="0" t="n">
        <f aca="false">(D255-01_因子設定!$G$5)/01_因子設定!$H$5</f>
        <v>0.05</v>
      </c>
      <c r="H255" s="0" t="n">
        <f aca="false">(E255-01_因子設定!$G$6)/01_因子設定!$H$6</f>
        <v>0.525</v>
      </c>
      <c r="I255" s="0" t="n">
        <f aca="false">(F255-01_因子設定!$G$7)/01_因子設定!$H$7</f>
        <v>-0.25</v>
      </c>
      <c r="J255" s="0" t="n">
        <f aca="false">1</f>
        <v>1</v>
      </c>
      <c r="K255" s="0" t="n">
        <f aca="false">G255</f>
        <v>0.05</v>
      </c>
      <c r="L255" s="0" t="n">
        <f aca="false">H255</f>
        <v>0.525</v>
      </c>
      <c r="M255" s="0" t="n">
        <f aca="false">I255</f>
        <v>-0.25</v>
      </c>
      <c r="N255" s="0" t="n">
        <f aca="false">G255*H255</f>
        <v>0.02625</v>
      </c>
      <c r="O255" s="0" t="n">
        <f aca="false">G255*I255</f>
        <v>-0.0125</v>
      </c>
      <c r="P255" s="0" t="n">
        <f aca="false">H255*I255</f>
        <v>-0.13125</v>
      </c>
      <c r="Q255" s="0" t="n">
        <f aca="false">G255*G255</f>
        <v>0.0025</v>
      </c>
      <c r="R255" s="0" t="n">
        <f aca="false">H255*H255</f>
        <v>0.275625</v>
      </c>
      <c r="S255" s="0" t="n">
        <f aca="false">I255*I255</f>
        <v>0.0625</v>
      </c>
      <c r="T255" s="0" t="n">
        <f aca="false">SUMPRODUCT(J255:S255,_XtX!$B$71:$K$71)</f>
        <v>48.5900880681818</v>
      </c>
      <c r="U255" s="0" t="n">
        <f aca="false">SUMPRODUCT(MMULT(J255:S255,_XtX!$B$58:$K$67),J255:S255)</f>
        <v>0.147656569602273</v>
      </c>
      <c r="V255" s="0" t="n">
        <f aca="false">T255-04_回帰ANOVA!$K$19*04_回帰ANOVA!$K$14*SQRT(1+U255)</f>
        <v>47.594057631935</v>
      </c>
      <c r="W255" s="0" t="n">
        <f aca="false">T255+04_回帰ANOVA!$K$19*04_回帰ANOVA!$K$14*SQRT(1+U255)</f>
        <v>49.5861185044287</v>
      </c>
      <c r="X255" s="54" t="b">
        <f aca="false">AND(G255&gt;=01_因子設定!$L$5-0.000000001,G255&lt;=01_因子設定!$M$5+0.000000001,H255&gt;=01_因子設定!$L$6-0.000000001,H255&lt;=01_因子設定!$M$6+0.000000001,I255&gt;=01_因子設定!$L$7-0.000000001,I255&lt;=01_因子設定!$M$7+0.000000001,IF(01_因子設定!$B$20="Box-Behnken",G255^2+H255^2+I255^2&lt;=2+0.000000001,TRUE()))</f>
        <v>1</v>
      </c>
      <c r="Y255" s="55" t="n">
        <f aca="false">IF(01_因子設定!$B$13="最大化",V255-01_因子設定!$B$14,IF(01_因子設定!$B$13="最小化",01_因子設定!$B$15-W255,MIN(V255-01_因子設定!$B$14,01_因子設定!$B$15-W255)))</f>
        <v>-0.905942368064999</v>
      </c>
    </row>
    <row r="256" customFormat="false" ht="15" hidden="false" customHeight="false" outlineLevel="0" collapsed="false">
      <c r="A256" s="0" t="n">
        <v>0</v>
      </c>
      <c r="B256" s="0" t="n">
        <v>1</v>
      </c>
      <c r="C256" s="0" t="n">
        <v>1</v>
      </c>
      <c r="D256" s="0" t="n">
        <f aca="false">08_工程窓!$C$74+A256*(08_工程窓!$D$74-08_工程窓!$C$74)/2</f>
        <v>65.5</v>
      </c>
      <c r="E256" s="0" t="n">
        <f aca="false">08_工程窓!$C$75+B256*(08_工程窓!$D$75-08_工程窓!$C$75)/2</f>
        <v>35.25</v>
      </c>
      <c r="F256" s="0" t="n">
        <f aca="false">08_工程窓!$C$76+C256*(08_工程窓!$D$76-08_工程窓!$C$76)/2</f>
        <v>2.375</v>
      </c>
      <c r="G256" s="0" t="n">
        <f aca="false">(D256-01_因子設定!$G$5)/01_因子設定!$H$5</f>
        <v>0.05</v>
      </c>
      <c r="H256" s="0" t="n">
        <f aca="false">(E256-01_因子設定!$G$6)/01_因子設定!$H$6</f>
        <v>0.525</v>
      </c>
      <c r="I256" s="0" t="n">
        <f aca="false">(F256-01_因子設定!$G$7)/01_因子設定!$H$7</f>
        <v>0.375</v>
      </c>
      <c r="J256" s="0" t="n">
        <f aca="false">1</f>
        <v>1</v>
      </c>
      <c r="K256" s="0" t="n">
        <f aca="false">G256</f>
        <v>0.05</v>
      </c>
      <c r="L256" s="0" t="n">
        <f aca="false">H256</f>
        <v>0.525</v>
      </c>
      <c r="M256" s="0" t="n">
        <f aca="false">I256</f>
        <v>0.375</v>
      </c>
      <c r="N256" s="0" t="n">
        <f aca="false">G256*H256</f>
        <v>0.02625</v>
      </c>
      <c r="O256" s="0" t="n">
        <f aca="false">G256*I256</f>
        <v>0.01875</v>
      </c>
      <c r="P256" s="0" t="n">
        <f aca="false">H256*I256</f>
        <v>0.196875</v>
      </c>
      <c r="Q256" s="0" t="n">
        <f aca="false">G256*G256</f>
        <v>0.0025</v>
      </c>
      <c r="R256" s="0" t="n">
        <f aca="false">H256*H256</f>
        <v>0.275625</v>
      </c>
      <c r="S256" s="0" t="n">
        <f aca="false">I256*I256</f>
        <v>0.140625</v>
      </c>
      <c r="T256" s="0" t="n">
        <f aca="false">SUMPRODUCT(J256:S256,_XtX!$B$71:$K$71)</f>
        <v>49.5035823863637</v>
      </c>
      <c r="U256" s="0" t="n">
        <f aca="false">SUMPRODUCT(MMULT(J256:S256,_XtX!$B$58:$K$67),J256:S256)</f>
        <v>0.150927499112216</v>
      </c>
      <c r="V256" s="0" t="n">
        <f aca="false">T256-04_回帰ANOVA!$K$19*04_回帰ANOVA!$K$14*SQRT(1+U256)</f>
        <v>48.5061335696656</v>
      </c>
      <c r="W256" s="0" t="n">
        <f aca="false">T256+04_回帰ANOVA!$K$19*04_回帰ANOVA!$K$14*SQRT(1+U256)</f>
        <v>50.5010312030617</v>
      </c>
      <c r="X256" s="54" t="b">
        <f aca="false">AND(G256&gt;=01_因子設定!$L$5-0.000000001,G256&lt;=01_因子設定!$M$5+0.000000001,H256&gt;=01_因子設定!$L$6-0.000000001,H256&lt;=01_因子設定!$M$6+0.000000001,I256&gt;=01_因子設定!$L$7-0.000000001,I256&lt;=01_因子設定!$M$7+0.000000001,IF(01_因子設定!$B$20="Box-Behnken",G256^2+H256^2+I256^2&lt;=2+0.000000001,TRUE()))</f>
        <v>1</v>
      </c>
      <c r="Y256" s="55" t="n">
        <f aca="false">IF(01_因子設定!$B$13="最大化",V256-01_因子設定!$B$14,IF(01_因子設定!$B$13="最小化",01_因子設定!$B$15-W256,MIN(V256-01_因子設定!$B$14,01_因子設定!$B$15-W256)))</f>
        <v>0.00613356966564282</v>
      </c>
    </row>
    <row r="257" customFormat="false" ht="15" hidden="false" customHeight="false" outlineLevel="0" collapsed="false">
      <c r="A257" s="0" t="n">
        <v>0</v>
      </c>
      <c r="B257" s="0" t="n">
        <v>1</v>
      </c>
      <c r="C257" s="0" t="n">
        <v>2</v>
      </c>
      <c r="D257" s="0" t="n">
        <f aca="false">08_工程窓!$C$74+A257*(08_工程窓!$D$74-08_工程窓!$C$74)/2</f>
        <v>65.5</v>
      </c>
      <c r="E257" s="0" t="n">
        <f aca="false">08_工程窓!$C$75+B257*(08_工程窓!$D$75-08_工程窓!$C$75)/2</f>
        <v>35.25</v>
      </c>
      <c r="F257" s="0" t="n">
        <f aca="false">08_工程窓!$C$76+C257*(08_工程窓!$D$76-08_工程窓!$C$76)/2</f>
        <v>3</v>
      </c>
      <c r="G257" s="0" t="n">
        <f aca="false">(D257-01_因子設定!$G$5)/01_因子設定!$H$5</f>
        <v>0.05</v>
      </c>
      <c r="H257" s="0" t="n">
        <f aca="false">(E257-01_因子設定!$G$6)/01_因子設定!$H$6</f>
        <v>0.525</v>
      </c>
      <c r="I257" s="0" t="n">
        <f aca="false">(F257-01_因子設定!$G$7)/01_因子設定!$H$7</f>
        <v>1</v>
      </c>
      <c r="J257" s="0" t="n">
        <f aca="false">1</f>
        <v>1</v>
      </c>
      <c r="K257" s="0" t="n">
        <f aca="false">G257</f>
        <v>0.05</v>
      </c>
      <c r="L257" s="0" t="n">
        <f aca="false">H257</f>
        <v>0.525</v>
      </c>
      <c r="M257" s="0" t="n">
        <f aca="false">I257</f>
        <v>1</v>
      </c>
      <c r="N257" s="0" t="n">
        <f aca="false">G257*H257</f>
        <v>0.02625</v>
      </c>
      <c r="O257" s="0" t="n">
        <f aca="false">G257*I257</f>
        <v>0.05</v>
      </c>
      <c r="P257" s="0" t="n">
        <f aca="false">H257*I257</f>
        <v>0.525</v>
      </c>
      <c r="Q257" s="0" t="n">
        <f aca="false">G257*G257</f>
        <v>0.0025</v>
      </c>
      <c r="R257" s="0" t="n">
        <f aca="false">H257*H257</f>
        <v>0.275625</v>
      </c>
      <c r="S257" s="0" t="n">
        <f aca="false">I257*I257</f>
        <v>1</v>
      </c>
      <c r="T257" s="0" t="n">
        <f aca="false">SUMPRODUCT(J257:S257,_XtX!$B$71:$K$71)</f>
        <v>49.4973323863637</v>
      </c>
      <c r="U257" s="0" t="n">
        <f aca="false">SUMPRODUCT(MMULT(J257:S257,_XtX!$B$58:$K$67),J257:S257)</f>
        <v>0.479876473721591</v>
      </c>
      <c r="V257" s="0" t="n">
        <f aca="false">T257-04_回帰ANOVA!$K$19*04_回帰ANOVA!$K$14*SQRT(1+U257)</f>
        <v>48.3662887278958</v>
      </c>
      <c r="W257" s="0" t="n">
        <f aca="false">T257+04_回帰ANOVA!$K$19*04_回帰ANOVA!$K$14*SQRT(1+U257)</f>
        <v>50.6283760448315</v>
      </c>
      <c r="X257" s="54" t="b">
        <f aca="false">AND(G257&gt;=01_因子設定!$L$5-0.000000001,G257&lt;=01_因子設定!$M$5+0.000000001,H257&gt;=01_因子設定!$L$6-0.000000001,H257&lt;=01_因子設定!$M$6+0.000000001,I257&gt;=01_因子設定!$L$7-0.000000001,I257&lt;=01_因子設定!$M$7+0.000000001,IF(01_因子設定!$B$20="Box-Behnken",G257^2+H257^2+I257^2&lt;=2+0.000000001,TRUE()))</f>
        <v>1</v>
      </c>
      <c r="Y257" s="55" t="n">
        <f aca="false">IF(01_因子設定!$B$13="最大化",V257-01_因子設定!$B$14,IF(01_因子設定!$B$13="最小化",01_因子設定!$B$15-W257,MIN(V257-01_因子設定!$B$14,01_因子設定!$B$15-W257)))</f>
        <v>-0.133711272104208</v>
      </c>
    </row>
    <row r="258" customFormat="false" ht="15" hidden="false" customHeight="false" outlineLevel="0" collapsed="false">
      <c r="A258" s="0" t="n">
        <v>0</v>
      </c>
      <c r="B258" s="0" t="n">
        <v>2</v>
      </c>
      <c r="C258" s="0" t="n">
        <v>0</v>
      </c>
      <c r="D258" s="0" t="n">
        <f aca="false">08_工程窓!$C$74+A258*(08_工程窓!$D$74-08_工程窓!$C$74)/2</f>
        <v>65.5</v>
      </c>
      <c r="E258" s="0" t="n">
        <f aca="false">08_工程窓!$C$75+B258*(08_工程窓!$D$75-08_工程窓!$C$75)/2</f>
        <v>40</v>
      </c>
      <c r="F258" s="0" t="n">
        <f aca="false">08_工程窓!$C$76+C258*(08_工程窓!$D$76-08_工程窓!$C$76)/2</f>
        <v>1.75</v>
      </c>
      <c r="G258" s="0" t="n">
        <f aca="false">(D258-01_因子設定!$G$5)/01_因子設定!$H$5</f>
        <v>0.05</v>
      </c>
      <c r="H258" s="0" t="n">
        <f aca="false">(E258-01_因子設定!$G$6)/01_因子設定!$H$6</f>
        <v>1</v>
      </c>
      <c r="I258" s="0" t="n">
        <f aca="false">(F258-01_因子設定!$G$7)/01_因子設定!$H$7</f>
        <v>-0.25</v>
      </c>
      <c r="J258" s="0" t="n">
        <f aca="false">1</f>
        <v>1</v>
      </c>
      <c r="K258" s="0" t="n">
        <f aca="false">G258</f>
        <v>0.05</v>
      </c>
      <c r="L258" s="0" t="n">
        <f aca="false">H258</f>
        <v>1</v>
      </c>
      <c r="M258" s="0" t="n">
        <f aca="false">I258</f>
        <v>-0.25</v>
      </c>
      <c r="N258" s="0" t="n">
        <f aca="false">G258*H258</f>
        <v>0.05</v>
      </c>
      <c r="O258" s="0" t="n">
        <f aca="false">G258*I258</f>
        <v>-0.0125</v>
      </c>
      <c r="P258" s="0" t="n">
        <f aca="false">H258*I258</f>
        <v>-0.25</v>
      </c>
      <c r="Q258" s="0" t="n">
        <f aca="false">G258*G258</f>
        <v>0.0025</v>
      </c>
      <c r="R258" s="0" t="n">
        <f aca="false">H258*H258</f>
        <v>1</v>
      </c>
      <c r="S258" s="0" t="n">
        <f aca="false">I258*I258</f>
        <v>0.0625</v>
      </c>
      <c r="T258" s="0" t="n">
        <f aca="false">SUMPRODUCT(J258:S258,_XtX!$B$71:$K$71)</f>
        <v>48.0804886363637</v>
      </c>
      <c r="U258" s="0" t="n">
        <f aca="false">SUMPRODUCT(MMULT(J258:S258,_XtX!$B$58:$K$67),J258:S258)</f>
        <v>0.483297372159091</v>
      </c>
      <c r="V258" s="0" t="n">
        <f aca="false">T258-04_回帰ANOVA!$K$19*04_回帰ANOVA!$K$14*SQRT(1+U258)</f>
        <v>46.9481384661292</v>
      </c>
      <c r="W258" s="0" t="n">
        <f aca="false">T258+04_回帰ANOVA!$K$19*04_回帰ANOVA!$K$14*SQRT(1+U258)</f>
        <v>49.2128388065981</v>
      </c>
      <c r="X258" s="54" t="b">
        <f aca="false">AND(G258&gt;=01_因子設定!$L$5-0.000000001,G258&lt;=01_因子設定!$M$5+0.000000001,H258&gt;=01_因子設定!$L$6-0.000000001,H258&lt;=01_因子設定!$M$6+0.000000001,I258&gt;=01_因子設定!$L$7-0.000000001,I258&lt;=01_因子設定!$M$7+0.000000001,IF(01_因子設定!$B$20="Box-Behnken",G258^2+H258^2+I258^2&lt;=2+0.000000001,TRUE()))</f>
        <v>1</v>
      </c>
      <c r="Y258" s="55" t="n">
        <f aca="false">IF(01_因子設定!$B$13="最大化",V258-01_因子設定!$B$14,IF(01_因子設定!$B$13="最小化",01_因子設定!$B$15-W258,MIN(V258-01_因子設定!$B$14,01_因子設定!$B$15-W258)))</f>
        <v>-1.55186153387078</v>
      </c>
    </row>
    <row r="259" customFormat="false" ht="15" hidden="false" customHeight="false" outlineLevel="0" collapsed="false">
      <c r="A259" s="0" t="n">
        <v>0</v>
      </c>
      <c r="B259" s="0" t="n">
        <v>2</v>
      </c>
      <c r="C259" s="0" t="n">
        <v>1</v>
      </c>
      <c r="D259" s="0" t="n">
        <f aca="false">08_工程窓!$C$74+A259*(08_工程窓!$D$74-08_工程窓!$C$74)/2</f>
        <v>65.5</v>
      </c>
      <c r="E259" s="0" t="n">
        <f aca="false">08_工程窓!$C$75+B259*(08_工程窓!$D$75-08_工程窓!$C$75)/2</f>
        <v>40</v>
      </c>
      <c r="F259" s="0" t="n">
        <f aca="false">08_工程窓!$C$76+C259*(08_工程窓!$D$76-08_工程窓!$C$76)/2</f>
        <v>2.375</v>
      </c>
      <c r="G259" s="0" t="n">
        <f aca="false">(D259-01_因子設定!$G$5)/01_因子設定!$H$5</f>
        <v>0.05</v>
      </c>
      <c r="H259" s="0" t="n">
        <f aca="false">(E259-01_因子設定!$G$6)/01_因子設定!$H$6</f>
        <v>1</v>
      </c>
      <c r="I259" s="0" t="n">
        <f aca="false">(F259-01_因子設定!$G$7)/01_因子設定!$H$7</f>
        <v>0.375</v>
      </c>
      <c r="J259" s="0" t="n">
        <f aca="false">1</f>
        <v>1</v>
      </c>
      <c r="K259" s="0" t="n">
        <f aca="false">G259</f>
        <v>0.05</v>
      </c>
      <c r="L259" s="0" t="n">
        <f aca="false">H259</f>
        <v>1</v>
      </c>
      <c r="M259" s="0" t="n">
        <f aca="false">I259</f>
        <v>0.375</v>
      </c>
      <c r="N259" s="0" t="n">
        <f aca="false">G259*H259</f>
        <v>0.05</v>
      </c>
      <c r="O259" s="0" t="n">
        <f aca="false">G259*I259</f>
        <v>0.01875</v>
      </c>
      <c r="P259" s="0" t="n">
        <f aca="false">H259*I259</f>
        <v>0.375</v>
      </c>
      <c r="Q259" s="0" t="n">
        <f aca="false">G259*G259</f>
        <v>0.0025</v>
      </c>
      <c r="R259" s="0" t="n">
        <f aca="false">H259*H259</f>
        <v>1</v>
      </c>
      <c r="S259" s="0" t="n">
        <f aca="false">I259*I259</f>
        <v>0.140625</v>
      </c>
      <c r="T259" s="0" t="n">
        <f aca="false">SUMPRODUCT(J259:S259,_XtX!$B$71:$K$71)</f>
        <v>49.1275767045455</v>
      </c>
      <c r="U259" s="0" t="n">
        <f aca="false">SUMPRODUCT(MMULT(J259:S259,_XtX!$B$58:$K$67),J259:S259)</f>
        <v>0.478208149857955</v>
      </c>
      <c r="V259" s="0" t="n">
        <f aca="false">T259-04_回帰ANOVA!$K$19*04_回帰ANOVA!$K$14*SQRT(1+U259)</f>
        <v>47.997170761207</v>
      </c>
      <c r="W259" s="0" t="n">
        <f aca="false">T259+04_回帰ANOVA!$K$19*04_回帰ANOVA!$K$14*SQRT(1+U259)</f>
        <v>50.2579826478839</v>
      </c>
      <c r="X259" s="54" t="b">
        <f aca="false">AND(G259&gt;=01_因子設定!$L$5-0.000000001,G259&lt;=01_因子設定!$M$5+0.000000001,H259&gt;=01_因子設定!$L$6-0.000000001,H259&lt;=01_因子設定!$M$6+0.000000001,I259&gt;=01_因子設定!$L$7-0.000000001,I259&lt;=01_因子設定!$M$7+0.000000001,IF(01_因子設定!$B$20="Box-Behnken",G259^2+H259^2+I259^2&lt;=2+0.000000001,TRUE()))</f>
        <v>1</v>
      </c>
      <c r="Y259" s="55" t="n">
        <f aca="false">IF(01_因子設定!$B$13="最大化",V259-01_因子設定!$B$14,IF(01_因子設定!$B$13="最小化",01_因子設定!$B$15-W259,MIN(V259-01_因子設定!$B$14,01_因子設定!$B$15-W259)))</f>
        <v>-0.502829238792991</v>
      </c>
    </row>
    <row r="260" customFormat="false" ht="15" hidden="false" customHeight="false" outlineLevel="0" collapsed="false">
      <c r="A260" s="0" t="n">
        <v>0</v>
      </c>
      <c r="B260" s="0" t="n">
        <v>2</v>
      </c>
      <c r="C260" s="0" t="n">
        <v>2</v>
      </c>
      <c r="D260" s="0" t="n">
        <f aca="false">08_工程窓!$C$74+A260*(08_工程窓!$D$74-08_工程窓!$C$74)/2</f>
        <v>65.5</v>
      </c>
      <c r="E260" s="0" t="n">
        <f aca="false">08_工程窓!$C$75+B260*(08_工程窓!$D$75-08_工程窓!$C$75)/2</f>
        <v>40</v>
      </c>
      <c r="F260" s="0" t="n">
        <f aca="false">08_工程窓!$C$76+C260*(08_工程窓!$D$76-08_工程窓!$C$76)/2</f>
        <v>3</v>
      </c>
      <c r="G260" s="0" t="n">
        <f aca="false">(D260-01_因子設定!$G$5)/01_因子設定!$H$5</f>
        <v>0.05</v>
      </c>
      <c r="H260" s="0" t="n">
        <f aca="false">(E260-01_因子設定!$G$6)/01_因子設定!$H$6</f>
        <v>1</v>
      </c>
      <c r="I260" s="0" t="n">
        <f aca="false">(F260-01_因子設定!$G$7)/01_因子設定!$H$7</f>
        <v>1</v>
      </c>
      <c r="J260" s="0" t="n">
        <f aca="false">1</f>
        <v>1</v>
      </c>
      <c r="K260" s="0" t="n">
        <f aca="false">G260</f>
        <v>0.05</v>
      </c>
      <c r="L260" s="0" t="n">
        <f aca="false">H260</f>
        <v>1</v>
      </c>
      <c r="M260" s="0" t="n">
        <f aca="false">I260</f>
        <v>1</v>
      </c>
      <c r="N260" s="0" t="n">
        <f aca="false">G260*H260</f>
        <v>0.05</v>
      </c>
      <c r="O260" s="0" t="n">
        <f aca="false">G260*I260</f>
        <v>0.05</v>
      </c>
      <c r="P260" s="0" t="n">
        <f aca="false">H260*I260</f>
        <v>1</v>
      </c>
      <c r="Q260" s="0" t="n">
        <f aca="false">G260*G260</f>
        <v>0.0025</v>
      </c>
      <c r="R260" s="0" t="n">
        <f aca="false">H260*H260</f>
        <v>1</v>
      </c>
      <c r="S260" s="0" t="n">
        <f aca="false">I260*I260</f>
        <v>1</v>
      </c>
      <c r="T260" s="0" t="n">
        <f aca="false">SUMPRODUCT(J260:S260,_XtX!$B$71:$K$71)</f>
        <v>49.2549204545455</v>
      </c>
      <c r="U260" s="0" t="n">
        <f aca="false">SUMPRODUCT(MMULT(J260:S260,_XtX!$B$58:$K$67),J260:S260)</f>
        <v>0.715195454545455</v>
      </c>
      <c r="V260" s="0" t="n">
        <f aca="false">T260-04_回帰ANOVA!$K$19*04_回帰ANOVA!$K$14*SQRT(1+U260)</f>
        <v>48.0372677306979</v>
      </c>
      <c r="W260" s="0" t="n">
        <f aca="false">T260+04_回帰ANOVA!$K$19*04_回帰ANOVA!$K$14*SQRT(1+U260)</f>
        <v>50.472573178393</v>
      </c>
      <c r="X260" s="54" t="b">
        <f aca="false">AND(G260&gt;=01_因子設定!$L$5-0.000000001,G260&lt;=01_因子設定!$M$5+0.000000001,H260&gt;=01_因子設定!$L$6-0.000000001,H260&lt;=01_因子設定!$M$6+0.000000001,I260&gt;=01_因子設定!$L$7-0.000000001,I260&lt;=01_因子設定!$M$7+0.000000001,IF(01_因子設定!$B$20="Box-Behnken",G260^2+H260^2+I260^2&lt;=2+0.000000001,TRUE()))</f>
        <v>1</v>
      </c>
      <c r="Y260" s="55" t="n">
        <f aca="false">IF(01_因子設定!$B$13="最大化",V260-01_因子設定!$B$14,IF(01_因子設定!$B$13="最小化",01_因子設定!$B$15-W260,MIN(V260-01_因子設定!$B$14,01_因子設定!$B$15-W260)))</f>
        <v>-0.462732269302059</v>
      </c>
    </row>
    <row r="261" customFormat="false" ht="15" hidden="false" customHeight="false" outlineLevel="0" collapsed="false">
      <c r="A261" s="0" t="n">
        <v>1</v>
      </c>
      <c r="B261" s="0" t="n">
        <v>0</v>
      </c>
      <c r="C261" s="0" t="n">
        <v>0</v>
      </c>
      <c r="D261" s="0" t="n">
        <f aca="false">08_工程窓!$C$74+A261*(08_工程窓!$D$74-08_工程窓!$C$74)/2</f>
        <v>70.25</v>
      </c>
      <c r="E261" s="0" t="n">
        <f aca="false">08_工程窓!$C$75+B261*(08_工程窓!$D$75-08_工程窓!$C$75)/2</f>
        <v>30.5</v>
      </c>
      <c r="F261" s="0" t="n">
        <f aca="false">08_工程窓!$C$76+C261*(08_工程窓!$D$76-08_工程窓!$C$76)/2</f>
        <v>1.75</v>
      </c>
      <c r="G261" s="0" t="n">
        <f aca="false">(D261-01_因子設定!$G$5)/01_因子設定!$H$5</f>
        <v>0.525</v>
      </c>
      <c r="H261" s="0" t="n">
        <f aca="false">(E261-01_因子設定!$G$6)/01_因子設定!$H$6</f>
        <v>0.05</v>
      </c>
      <c r="I261" s="0" t="n">
        <f aca="false">(F261-01_因子設定!$G$7)/01_因子設定!$H$7</f>
        <v>-0.25</v>
      </c>
      <c r="J261" s="0" t="n">
        <f aca="false">1</f>
        <v>1</v>
      </c>
      <c r="K261" s="0" t="n">
        <f aca="false">G261</f>
        <v>0.525</v>
      </c>
      <c r="L261" s="0" t="n">
        <f aca="false">H261</f>
        <v>0.05</v>
      </c>
      <c r="M261" s="0" t="n">
        <f aca="false">I261</f>
        <v>-0.25</v>
      </c>
      <c r="N261" s="0" t="n">
        <f aca="false">G261*H261</f>
        <v>0.02625</v>
      </c>
      <c r="O261" s="0" t="n">
        <f aca="false">G261*I261</f>
        <v>-0.13125</v>
      </c>
      <c r="P261" s="0" t="n">
        <f aca="false">H261*I261</f>
        <v>-0.0125</v>
      </c>
      <c r="Q261" s="0" t="n">
        <f aca="false">G261*G261</f>
        <v>0.275625</v>
      </c>
      <c r="R261" s="0" t="n">
        <f aca="false">H261*H261</f>
        <v>0.0025</v>
      </c>
      <c r="S261" s="0" t="n">
        <f aca="false">I261*I261</f>
        <v>0.0625</v>
      </c>
      <c r="T261" s="0" t="n">
        <f aca="false">SUMPRODUCT(J261:S261,_XtX!$B$71:$K$71)</f>
        <v>48.7996818181818</v>
      </c>
      <c r="U261" s="0" t="n">
        <f aca="false">SUMPRODUCT(MMULT(J261:S261,_XtX!$B$58:$K$67),J261:S261)</f>
        <v>0.147656569602273</v>
      </c>
      <c r="V261" s="0" t="n">
        <f aca="false">T261-04_回帰ANOVA!$K$19*04_回帰ANOVA!$K$14*SQRT(1+U261)</f>
        <v>47.803651381935</v>
      </c>
      <c r="W261" s="0" t="n">
        <f aca="false">T261+04_回帰ANOVA!$K$19*04_回帰ANOVA!$K$14*SQRT(1+U261)</f>
        <v>49.7957122544287</v>
      </c>
      <c r="X261" s="54" t="b">
        <f aca="false">AND(G261&gt;=01_因子設定!$L$5-0.000000001,G261&lt;=01_因子設定!$M$5+0.000000001,H261&gt;=01_因子設定!$L$6-0.000000001,H261&lt;=01_因子設定!$M$6+0.000000001,I261&gt;=01_因子設定!$L$7-0.000000001,I261&lt;=01_因子設定!$M$7+0.000000001,IF(01_因子設定!$B$20="Box-Behnken",G261^2+H261^2+I261^2&lt;=2+0.000000001,TRUE()))</f>
        <v>1</v>
      </c>
      <c r="Y261" s="55" t="n">
        <f aca="false">IF(01_因子設定!$B$13="最大化",V261-01_因子設定!$B$14,IF(01_因子設定!$B$13="最小化",01_因子設定!$B$15-W261,MIN(V261-01_因子設定!$B$14,01_因子設定!$B$15-W261)))</f>
        <v>-0.696348618065002</v>
      </c>
    </row>
    <row r="262" customFormat="false" ht="15" hidden="false" customHeight="false" outlineLevel="0" collapsed="false">
      <c r="A262" s="0" t="n">
        <v>1</v>
      </c>
      <c r="B262" s="0" t="n">
        <v>0</v>
      </c>
      <c r="C262" s="0" t="n">
        <v>1</v>
      </c>
      <c r="D262" s="0" t="n">
        <f aca="false">08_工程窓!$C$74+A262*(08_工程窓!$D$74-08_工程窓!$C$74)/2</f>
        <v>70.25</v>
      </c>
      <c r="E262" s="0" t="n">
        <f aca="false">08_工程窓!$C$75+B262*(08_工程窓!$D$75-08_工程窓!$C$75)/2</f>
        <v>30.5</v>
      </c>
      <c r="F262" s="0" t="n">
        <f aca="false">08_工程窓!$C$76+C262*(08_工程窓!$D$76-08_工程窓!$C$76)/2</f>
        <v>2.375</v>
      </c>
      <c r="G262" s="0" t="n">
        <f aca="false">(D262-01_因子設定!$G$5)/01_因子設定!$H$5</f>
        <v>0.525</v>
      </c>
      <c r="H262" s="0" t="n">
        <f aca="false">(E262-01_因子設定!$G$6)/01_因子設定!$H$6</f>
        <v>0.05</v>
      </c>
      <c r="I262" s="0" t="n">
        <f aca="false">(F262-01_因子設定!$G$7)/01_因子設定!$H$7</f>
        <v>0.375</v>
      </c>
      <c r="J262" s="0" t="n">
        <f aca="false">1</f>
        <v>1</v>
      </c>
      <c r="K262" s="0" t="n">
        <f aca="false">G262</f>
        <v>0.525</v>
      </c>
      <c r="L262" s="0" t="n">
        <f aca="false">H262</f>
        <v>0.05</v>
      </c>
      <c r="M262" s="0" t="n">
        <f aca="false">I262</f>
        <v>0.375</v>
      </c>
      <c r="N262" s="0" t="n">
        <f aca="false">G262*H262</f>
        <v>0.02625</v>
      </c>
      <c r="O262" s="0" t="n">
        <f aca="false">G262*I262</f>
        <v>0.196875</v>
      </c>
      <c r="P262" s="0" t="n">
        <f aca="false">H262*I262</f>
        <v>0.01875</v>
      </c>
      <c r="Q262" s="0" t="n">
        <f aca="false">G262*G262</f>
        <v>0.275625</v>
      </c>
      <c r="R262" s="0" t="n">
        <f aca="false">H262*H262</f>
        <v>0.0025</v>
      </c>
      <c r="S262" s="0" t="n">
        <f aca="false">I262*I262</f>
        <v>0.140625</v>
      </c>
      <c r="T262" s="0" t="n">
        <f aca="false">SUMPRODUCT(J262:S262,_XtX!$B$71:$K$71)</f>
        <v>49.5350511363636</v>
      </c>
      <c r="U262" s="0" t="n">
        <f aca="false">SUMPRODUCT(MMULT(J262:S262,_XtX!$B$58:$K$67),J262:S262)</f>
        <v>0.150927499112216</v>
      </c>
      <c r="V262" s="0" t="n">
        <f aca="false">T262-04_回帰ANOVA!$K$19*04_回帰ANOVA!$K$14*SQRT(1+U262)</f>
        <v>48.5376023196656</v>
      </c>
      <c r="W262" s="0" t="n">
        <f aca="false">T262+04_回帰ANOVA!$K$19*04_回帰ANOVA!$K$14*SQRT(1+U262)</f>
        <v>50.5324999530616</v>
      </c>
      <c r="X262" s="54" t="b">
        <f aca="false">AND(G262&gt;=01_因子設定!$L$5-0.000000001,G262&lt;=01_因子設定!$M$5+0.000000001,H262&gt;=01_因子設定!$L$6-0.000000001,H262&lt;=01_因子設定!$M$6+0.000000001,I262&gt;=01_因子設定!$L$7-0.000000001,I262&lt;=01_因子設定!$M$7+0.000000001,IF(01_因子設定!$B$20="Box-Behnken",G262^2+H262^2+I262^2&lt;=2+0.000000001,TRUE()))</f>
        <v>1</v>
      </c>
      <c r="Y262" s="55" t="n">
        <f aca="false">IF(01_因子設定!$B$13="最大化",V262-01_因子設定!$B$14,IF(01_因子設定!$B$13="最小化",01_因子設定!$B$15-W262,MIN(V262-01_因子設定!$B$14,01_因子設定!$B$15-W262)))</f>
        <v>0.0376023196656377</v>
      </c>
    </row>
    <row r="263" customFormat="false" ht="15" hidden="false" customHeight="false" outlineLevel="0" collapsed="false">
      <c r="A263" s="0" t="n">
        <v>1</v>
      </c>
      <c r="B263" s="0" t="n">
        <v>0</v>
      </c>
      <c r="C263" s="0" t="n">
        <v>2</v>
      </c>
      <c r="D263" s="0" t="n">
        <f aca="false">08_工程窓!$C$74+A263*(08_工程窓!$D$74-08_工程窓!$C$74)/2</f>
        <v>70.25</v>
      </c>
      <c r="E263" s="0" t="n">
        <f aca="false">08_工程窓!$C$75+B263*(08_工程窓!$D$75-08_工程窓!$C$75)/2</f>
        <v>30.5</v>
      </c>
      <c r="F263" s="0" t="n">
        <f aca="false">08_工程窓!$C$76+C263*(08_工程窓!$D$76-08_工程窓!$C$76)/2</f>
        <v>3</v>
      </c>
      <c r="G263" s="0" t="n">
        <f aca="false">(D263-01_因子設定!$G$5)/01_因子設定!$H$5</f>
        <v>0.525</v>
      </c>
      <c r="H263" s="0" t="n">
        <f aca="false">(E263-01_因子設定!$G$6)/01_因子設定!$H$6</f>
        <v>0.05</v>
      </c>
      <c r="I263" s="0" t="n">
        <f aca="false">(F263-01_因子設定!$G$7)/01_因子設定!$H$7</f>
        <v>1</v>
      </c>
      <c r="J263" s="0" t="n">
        <f aca="false">1</f>
        <v>1</v>
      </c>
      <c r="K263" s="0" t="n">
        <f aca="false">G263</f>
        <v>0.525</v>
      </c>
      <c r="L263" s="0" t="n">
        <f aca="false">H263</f>
        <v>0.05</v>
      </c>
      <c r="M263" s="0" t="n">
        <f aca="false">I263</f>
        <v>1</v>
      </c>
      <c r="N263" s="0" t="n">
        <f aca="false">G263*H263</f>
        <v>0.02625</v>
      </c>
      <c r="O263" s="0" t="n">
        <f aca="false">G263*I263</f>
        <v>0.525</v>
      </c>
      <c r="P263" s="0" t="n">
        <f aca="false">H263*I263</f>
        <v>0.05</v>
      </c>
      <c r="Q263" s="0" t="n">
        <f aca="false">G263*G263</f>
        <v>0.275625</v>
      </c>
      <c r="R263" s="0" t="n">
        <f aca="false">H263*H263</f>
        <v>0.0025</v>
      </c>
      <c r="S263" s="0" t="n">
        <f aca="false">I263*I263</f>
        <v>1</v>
      </c>
      <c r="T263" s="0" t="n">
        <f aca="false">SUMPRODUCT(J263:S263,_XtX!$B$71:$K$71)</f>
        <v>49.3506761363637</v>
      </c>
      <c r="U263" s="0" t="n">
        <f aca="false">SUMPRODUCT(MMULT(J263:S263,_XtX!$B$58:$K$67),J263:S263)</f>
        <v>0.479876473721591</v>
      </c>
      <c r="V263" s="0" t="n">
        <f aca="false">T263-04_回帰ANOVA!$K$19*04_回帰ANOVA!$K$14*SQRT(1+U263)</f>
        <v>48.2196324778958</v>
      </c>
      <c r="W263" s="0" t="n">
        <f aca="false">T263+04_回帰ANOVA!$K$19*04_回帰ANOVA!$K$14*SQRT(1+U263)</f>
        <v>50.4817197948315</v>
      </c>
      <c r="X263" s="54" t="b">
        <f aca="false">AND(G263&gt;=01_因子設定!$L$5-0.000000001,G263&lt;=01_因子設定!$M$5+0.000000001,H263&gt;=01_因子設定!$L$6-0.000000001,H263&lt;=01_因子設定!$M$6+0.000000001,I263&gt;=01_因子設定!$L$7-0.000000001,I263&lt;=01_因子設定!$M$7+0.000000001,IF(01_因子設定!$B$20="Box-Behnken",G263^2+H263^2+I263^2&lt;=2+0.000000001,TRUE()))</f>
        <v>1</v>
      </c>
      <c r="Y263" s="55" t="n">
        <f aca="false">IF(01_因子設定!$B$13="最大化",V263-01_因子設定!$B$14,IF(01_因子設定!$B$13="最小化",01_因子設定!$B$15-W263,MIN(V263-01_因子設定!$B$14,01_因子設定!$B$15-W263)))</f>
        <v>-0.280367522104214</v>
      </c>
    </row>
    <row r="264" customFormat="false" ht="15" hidden="false" customHeight="false" outlineLevel="0" collapsed="false">
      <c r="A264" s="0" t="n">
        <v>1</v>
      </c>
      <c r="B264" s="0" t="n">
        <v>1</v>
      </c>
      <c r="C264" s="0" t="n">
        <v>0</v>
      </c>
      <c r="D264" s="0" t="n">
        <f aca="false">08_工程窓!$C$74+A264*(08_工程窓!$D$74-08_工程窓!$C$74)/2</f>
        <v>70.25</v>
      </c>
      <c r="E264" s="0" t="n">
        <f aca="false">08_工程窓!$C$75+B264*(08_工程窓!$D$75-08_工程窓!$C$75)/2</f>
        <v>35.25</v>
      </c>
      <c r="F264" s="0" t="n">
        <f aca="false">08_工程窓!$C$76+C264*(08_工程窓!$D$76-08_工程窓!$C$76)/2</f>
        <v>1.75</v>
      </c>
      <c r="G264" s="0" t="n">
        <f aca="false">(D264-01_因子設定!$G$5)/01_因子設定!$H$5</f>
        <v>0.525</v>
      </c>
      <c r="H264" s="0" t="n">
        <f aca="false">(E264-01_因子設定!$G$6)/01_因子設定!$H$6</f>
        <v>0.525</v>
      </c>
      <c r="I264" s="0" t="n">
        <f aca="false">(F264-01_因子設定!$G$7)/01_因子設定!$H$7</f>
        <v>-0.25</v>
      </c>
      <c r="J264" s="0" t="n">
        <f aca="false">1</f>
        <v>1</v>
      </c>
      <c r="K264" s="0" t="n">
        <f aca="false">G264</f>
        <v>0.525</v>
      </c>
      <c r="L264" s="0" t="n">
        <f aca="false">H264</f>
        <v>0.525</v>
      </c>
      <c r="M264" s="0" t="n">
        <f aca="false">I264</f>
        <v>-0.25</v>
      </c>
      <c r="N264" s="0" t="n">
        <f aca="false">G264*H264</f>
        <v>0.275625</v>
      </c>
      <c r="O264" s="0" t="n">
        <f aca="false">G264*I264</f>
        <v>-0.13125</v>
      </c>
      <c r="P264" s="0" t="n">
        <f aca="false">H264*I264</f>
        <v>-0.13125</v>
      </c>
      <c r="Q264" s="0" t="n">
        <f aca="false">G264*G264</f>
        <v>0.275625</v>
      </c>
      <c r="R264" s="0" t="n">
        <f aca="false">H264*H264</f>
        <v>0.275625</v>
      </c>
      <c r="S264" s="0" t="n">
        <f aca="false">I264*I264</f>
        <v>0.0625</v>
      </c>
      <c r="T264" s="0" t="n">
        <f aca="false">SUMPRODUCT(J264:S264,_XtX!$B$71:$K$71)</f>
        <v>49.4812798295455</v>
      </c>
      <c r="U264" s="0" t="n">
        <f aca="false">SUMPRODUCT(MMULT(J264:S264,_XtX!$B$58:$K$67),J264:S264)</f>
        <v>0.16411972212358</v>
      </c>
      <c r="V264" s="0" t="n">
        <f aca="false">T264-04_回帰ANOVA!$K$19*04_回帰ANOVA!$K$14*SQRT(1+U264)</f>
        <v>48.4781307949365</v>
      </c>
      <c r="W264" s="0" t="n">
        <f aca="false">T264+04_回帰ANOVA!$K$19*04_回帰ANOVA!$K$14*SQRT(1+U264)</f>
        <v>50.4844288641544</v>
      </c>
      <c r="X264" s="54" t="b">
        <f aca="false">AND(G264&gt;=01_因子設定!$L$5-0.000000001,G264&lt;=01_因子設定!$M$5+0.000000001,H264&gt;=01_因子設定!$L$6-0.000000001,H264&lt;=01_因子設定!$M$6+0.000000001,I264&gt;=01_因子設定!$L$7-0.000000001,I264&lt;=01_因子設定!$M$7+0.000000001,IF(01_因子設定!$B$20="Box-Behnken",G264^2+H264^2+I264^2&lt;=2+0.000000001,TRUE()))</f>
        <v>1</v>
      </c>
      <c r="Y264" s="55" t="n">
        <f aca="false">IF(01_因子設定!$B$13="最大化",V264-01_因子設定!$B$14,IF(01_因子設定!$B$13="最小化",01_因子設定!$B$15-W264,MIN(V264-01_因子設定!$B$14,01_因子設定!$B$15-W264)))</f>
        <v>-0.0218692050635241</v>
      </c>
    </row>
    <row r="265" customFormat="false" ht="15" hidden="false" customHeight="false" outlineLevel="0" collapsed="false">
      <c r="A265" s="0" t="n">
        <v>1</v>
      </c>
      <c r="B265" s="0" t="n">
        <v>1</v>
      </c>
      <c r="C265" s="0" t="n">
        <v>1</v>
      </c>
      <c r="D265" s="0" t="n">
        <f aca="false">08_工程窓!$C$74+A265*(08_工程窓!$D$74-08_工程窓!$C$74)/2</f>
        <v>70.25</v>
      </c>
      <c r="E265" s="0" t="n">
        <f aca="false">08_工程窓!$C$75+B265*(08_工程窓!$D$75-08_工程窓!$C$75)/2</f>
        <v>35.25</v>
      </c>
      <c r="F265" s="0" t="n">
        <f aca="false">08_工程窓!$C$76+C265*(08_工程窓!$D$76-08_工程窓!$C$76)/2</f>
        <v>2.375</v>
      </c>
      <c r="G265" s="0" t="n">
        <f aca="false">(D265-01_因子設定!$G$5)/01_因子設定!$H$5</f>
        <v>0.525</v>
      </c>
      <c r="H265" s="0" t="n">
        <f aca="false">(E265-01_因子設定!$G$6)/01_因子設定!$H$6</f>
        <v>0.525</v>
      </c>
      <c r="I265" s="0" t="n">
        <f aca="false">(F265-01_因子設定!$G$7)/01_因子設定!$H$7</f>
        <v>0.375</v>
      </c>
      <c r="J265" s="0" t="n">
        <f aca="false">1</f>
        <v>1</v>
      </c>
      <c r="K265" s="0" t="n">
        <f aca="false">G265</f>
        <v>0.525</v>
      </c>
      <c r="L265" s="0" t="n">
        <f aca="false">H265</f>
        <v>0.525</v>
      </c>
      <c r="M265" s="0" t="n">
        <f aca="false">I265</f>
        <v>0.375</v>
      </c>
      <c r="N265" s="0" t="n">
        <f aca="false">G265*H265</f>
        <v>0.275625</v>
      </c>
      <c r="O265" s="0" t="n">
        <f aca="false">G265*I265</f>
        <v>0.196875</v>
      </c>
      <c r="P265" s="0" t="n">
        <f aca="false">H265*I265</f>
        <v>0.196875</v>
      </c>
      <c r="Q265" s="0" t="n">
        <f aca="false">G265*G265</f>
        <v>0.275625</v>
      </c>
      <c r="R265" s="0" t="n">
        <f aca="false">H265*H265</f>
        <v>0.275625</v>
      </c>
      <c r="S265" s="0" t="n">
        <f aca="false">I265*I265</f>
        <v>0.140625</v>
      </c>
      <c r="T265" s="0" t="n">
        <f aca="false">SUMPRODUCT(J265:S265,_XtX!$B$71:$K$71)</f>
        <v>50.3502428977273</v>
      </c>
      <c r="U265" s="0" t="n">
        <f aca="false">SUMPRODUCT(MMULT(J265:S265,_XtX!$B$58:$K$67),J265:S265)</f>
        <v>0.164238463245739</v>
      </c>
      <c r="V265" s="0" t="n">
        <f aca="false">T265-04_回帰ANOVA!$K$19*04_回帰ANOVA!$K$14*SQRT(1+U265)</f>
        <v>49.3470427034298</v>
      </c>
      <c r="W265" s="0" t="n">
        <f aca="false">T265+04_回帰ANOVA!$K$19*04_回帰ANOVA!$K$14*SQRT(1+U265)</f>
        <v>51.3534430920248</v>
      </c>
      <c r="X265" s="54" t="b">
        <f aca="false">AND(G265&gt;=01_因子設定!$L$5-0.000000001,G265&lt;=01_因子設定!$M$5+0.000000001,H265&gt;=01_因子設定!$L$6-0.000000001,H265&lt;=01_因子設定!$M$6+0.000000001,I265&gt;=01_因子設定!$L$7-0.000000001,I265&lt;=01_因子設定!$M$7+0.000000001,IF(01_因子設定!$B$20="Box-Behnken",G265^2+H265^2+I265^2&lt;=2+0.000000001,TRUE()))</f>
        <v>1</v>
      </c>
      <c r="Y265" s="55" t="n">
        <f aca="false">IF(01_因子設定!$B$13="最大化",V265-01_因子設定!$B$14,IF(01_因子設定!$B$13="最小化",01_因子設定!$B$15-W265,MIN(V265-01_因子設定!$B$14,01_因子設定!$B$15-W265)))</f>
        <v>0.847042703429779</v>
      </c>
    </row>
    <row r="266" customFormat="false" ht="15" hidden="false" customHeight="false" outlineLevel="0" collapsed="false">
      <c r="A266" s="0" t="n">
        <v>1</v>
      </c>
      <c r="B266" s="0" t="n">
        <v>1</v>
      </c>
      <c r="C266" s="0" t="n">
        <v>2</v>
      </c>
      <c r="D266" s="0" t="n">
        <f aca="false">08_工程窓!$C$74+A266*(08_工程窓!$D$74-08_工程窓!$C$74)/2</f>
        <v>70.25</v>
      </c>
      <c r="E266" s="0" t="n">
        <f aca="false">08_工程窓!$C$75+B266*(08_工程窓!$D$75-08_工程窓!$C$75)/2</f>
        <v>35.25</v>
      </c>
      <c r="F266" s="0" t="n">
        <f aca="false">08_工程窓!$C$76+C266*(08_工程窓!$D$76-08_工程窓!$C$76)/2</f>
        <v>3</v>
      </c>
      <c r="G266" s="0" t="n">
        <f aca="false">(D266-01_因子設定!$G$5)/01_因子設定!$H$5</f>
        <v>0.525</v>
      </c>
      <c r="H266" s="0" t="n">
        <f aca="false">(E266-01_因子設定!$G$6)/01_因子設定!$H$6</f>
        <v>0.525</v>
      </c>
      <c r="I266" s="0" t="n">
        <f aca="false">(F266-01_因子設定!$G$7)/01_因子設定!$H$7</f>
        <v>1</v>
      </c>
      <c r="J266" s="0" t="n">
        <f aca="false">1</f>
        <v>1</v>
      </c>
      <c r="K266" s="0" t="n">
        <f aca="false">G266</f>
        <v>0.525</v>
      </c>
      <c r="L266" s="0" t="n">
        <f aca="false">H266</f>
        <v>0.525</v>
      </c>
      <c r="M266" s="0" t="n">
        <f aca="false">I266</f>
        <v>1</v>
      </c>
      <c r="N266" s="0" t="n">
        <f aca="false">G266*H266</f>
        <v>0.275625</v>
      </c>
      <c r="O266" s="0" t="n">
        <f aca="false">G266*I266</f>
        <v>0.525</v>
      </c>
      <c r="P266" s="0" t="n">
        <f aca="false">H266*I266</f>
        <v>0.525</v>
      </c>
      <c r="Q266" s="0" t="n">
        <f aca="false">G266*G266</f>
        <v>0.275625</v>
      </c>
      <c r="R266" s="0" t="n">
        <f aca="false">H266*H266</f>
        <v>0.275625</v>
      </c>
      <c r="S266" s="0" t="n">
        <f aca="false">I266*I266</f>
        <v>1</v>
      </c>
      <c r="T266" s="0" t="n">
        <f aca="false">SUMPRODUCT(J266:S266,_XtX!$B$71:$K$71)</f>
        <v>50.2994616477273</v>
      </c>
      <c r="U266" s="0" t="n">
        <f aca="false">SUMPRODUCT(MMULT(J266:S266,_XtX!$B$58:$K$67),J266:S266)</f>
        <v>0.458513365589489</v>
      </c>
      <c r="V266" s="0" t="n">
        <f aca="false">T266-04_回帰ANOVA!$K$19*04_回帰ANOVA!$K$14*SQRT(1+U266)</f>
        <v>49.1766113908096</v>
      </c>
      <c r="W266" s="0" t="n">
        <f aca="false">T266+04_回帰ANOVA!$K$19*04_回帰ANOVA!$K$14*SQRT(1+U266)</f>
        <v>51.422311904645</v>
      </c>
      <c r="X266" s="54" t="b">
        <f aca="false">AND(G266&gt;=01_因子設定!$L$5-0.000000001,G266&lt;=01_因子設定!$M$5+0.000000001,H266&gt;=01_因子設定!$L$6-0.000000001,H266&lt;=01_因子設定!$M$6+0.000000001,I266&gt;=01_因子設定!$L$7-0.000000001,I266&lt;=01_因子設定!$M$7+0.000000001,IF(01_因子設定!$B$20="Box-Behnken",G266^2+H266^2+I266^2&lt;=2+0.000000001,TRUE()))</f>
        <v>1</v>
      </c>
      <c r="Y266" s="55" t="n">
        <f aca="false">IF(01_因子設定!$B$13="最大化",V266-01_因子設定!$B$14,IF(01_因子設定!$B$13="最小化",01_因子設定!$B$15-W266,MIN(V266-01_因子設定!$B$14,01_因子設定!$B$15-W266)))</f>
        <v>0.676611390809626</v>
      </c>
    </row>
    <row r="267" customFormat="false" ht="15" hidden="false" customHeight="false" outlineLevel="0" collapsed="false">
      <c r="A267" s="0" t="n">
        <v>1</v>
      </c>
      <c r="B267" s="0" t="n">
        <v>2</v>
      </c>
      <c r="C267" s="0" t="n">
        <v>0</v>
      </c>
      <c r="D267" s="0" t="n">
        <f aca="false">08_工程窓!$C$74+A267*(08_工程窓!$D$74-08_工程窓!$C$74)/2</f>
        <v>70.25</v>
      </c>
      <c r="E267" s="0" t="n">
        <f aca="false">08_工程窓!$C$75+B267*(08_工程窓!$D$75-08_工程窓!$C$75)/2</f>
        <v>40</v>
      </c>
      <c r="F267" s="0" t="n">
        <f aca="false">08_工程窓!$C$76+C267*(08_工程窓!$D$76-08_工程窓!$C$76)/2</f>
        <v>1.75</v>
      </c>
      <c r="G267" s="0" t="n">
        <f aca="false">(D267-01_因子設定!$G$5)/01_因子設定!$H$5</f>
        <v>0.525</v>
      </c>
      <c r="H267" s="0" t="n">
        <f aca="false">(E267-01_因子設定!$G$6)/01_因子設定!$H$6</f>
        <v>1</v>
      </c>
      <c r="I267" s="0" t="n">
        <f aca="false">(F267-01_因子設定!$G$7)/01_因子設定!$H$7</f>
        <v>-0.25</v>
      </c>
      <c r="J267" s="0" t="n">
        <f aca="false">1</f>
        <v>1</v>
      </c>
      <c r="K267" s="0" t="n">
        <f aca="false">G267</f>
        <v>0.525</v>
      </c>
      <c r="L267" s="0" t="n">
        <f aca="false">H267</f>
        <v>1</v>
      </c>
      <c r="M267" s="0" t="n">
        <f aca="false">I267</f>
        <v>-0.25</v>
      </c>
      <c r="N267" s="0" t="n">
        <f aca="false">G267*H267</f>
        <v>0.525</v>
      </c>
      <c r="O267" s="0" t="n">
        <f aca="false">G267*I267</f>
        <v>-0.13125</v>
      </c>
      <c r="P267" s="0" t="n">
        <f aca="false">H267*I267</f>
        <v>-0.25</v>
      </c>
      <c r="Q267" s="0" t="n">
        <f aca="false">G267*G267</f>
        <v>0.275625</v>
      </c>
      <c r="R267" s="0" t="n">
        <f aca="false">H267*H267</f>
        <v>1</v>
      </c>
      <c r="S267" s="0" t="n">
        <f aca="false">I267*I267</f>
        <v>0.0625</v>
      </c>
      <c r="T267" s="0" t="n">
        <f aca="false">SUMPRODUCT(J267:S267,_XtX!$B$71:$K$71)</f>
        <v>49.2480710227273</v>
      </c>
      <c r="U267" s="0" t="n">
        <f aca="false">SUMPRODUCT(MMULT(J267:S267,_XtX!$B$58:$K$67),J267:S267)</f>
        <v>0.470533433948864</v>
      </c>
      <c r="V267" s="0" t="n">
        <f aca="false">T267-04_回帰ANOVA!$K$19*04_回帰ANOVA!$K$14*SQRT(1+U267)</f>
        <v>48.120603378185</v>
      </c>
      <c r="W267" s="0" t="n">
        <f aca="false">T267+04_回帰ANOVA!$K$19*04_回帰ANOVA!$K$14*SQRT(1+U267)</f>
        <v>50.3755386672695</v>
      </c>
      <c r="X267" s="54" t="b">
        <f aca="false">AND(G267&gt;=01_因子設定!$L$5-0.000000001,G267&lt;=01_因子設定!$M$5+0.000000001,H267&gt;=01_因子設定!$L$6-0.000000001,H267&lt;=01_因子設定!$M$6+0.000000001,I267&gt;=01_因子設定!$L$7-0.000000001,I267&lt;=01_因子設定!$M$7+0.000000001,IF(01_因子設定!$B$20="Box-Behnken",G267^2+H267^2+I267^2&lt;=2+0.000000001,TRUE()))</f>
        <v>1</v>
      </c>
      <c r="Y267" s="55" t="n">
        <f aca="false">IF(01_因子設定!$B$13="最大化",V267-01_因子設定!$B$14,IF(01_因子設定!$B$13="最小化",01_因子設定!$B$15-W267,MIN(V267-01_因子設定!$B$14,01_因子設定!$B$15-W267)))</f>
        <v>-0.379396621814976</v>
      </c>
    </row>
    <row r="268" customFormat="false" ht="15" hidden="false" customHeight="false" outlineLevel="0" collapsed="false">
      <c r="A268" s="0" t="n">
        <v>1</v>
      </c>
      <c r="B268" s="0" t="n">
        <v>2</v>
      </c>
      <c r="C268" s="0" t="n">
        <v>1</v>
      </c>
      <c r="D268" s="0" t="n">
        <f aca="false">08_工程窓!$C$74+A268*(08_工程窓!$D$74-08_工程窓!$C$74)/2</f>
        <v>70.25</v>
      </c>
      <c r="E268" s="0" t="n">
        <f aca="false">08_工程窓!$C$75+B268*(08_工程窓!$D$75-08_工程窓!$C$75)/2</f>
        <v>40</v>
      </c>
      <c r="F268" s="0" t="n">
        <f aca="false">08_工程窓!$C$76+C268*(08_工程窓!$D$76-08_工程窓!$C$76)/2</f>
        <v>2.375</v>
      </c>
      <c r="G268" s="0" t="n">
        <f aca="false">(D268-01_因子設定!$G$5)/01_因子設定!$H$5</f>
        <v>0.525</v>
      </c>
      <c r="H268" s="0" t="n">
        <f aca="false">(E268-01_因子設定!$G$6)/01_因子設定!$H$6</f>
        <v>1</v>
      </c>
      <c r="I268" s="0" t="n">
        <f aca="false">(F268-01_因子設定!$G$7)/01_因子設定!$H$7</f>
        <v>0.375</v>
      </c>
      <c r="J268" s="0" t="n">
        <f aca="false">1</f>
        <v>1</v>
      </c>
      <c r="K268" s="0" t="n">
        <f aca="false">G268</f>
        <v>0.525</v>
      </c>
      <c r="L268" s="0" t="n">
        <f aca="false">H268</f>
        <v>1</v>
      </c>
      <c r="M268" s="0" t="n">
        <f aca="false">I268</f>
        <v>0.375</v>
      </c>
      <c r="N268" s="0" t="n">
        <f aca="false">G268*H268</f>
        <v>0.525</v>
      </c>
      <c r="O268" s="0" t="n">
        <f aca="false">G268*I268</f>
        <v>0.196875</v>
      </c>
      <c r="P268" s="0" t="n">
        <f aca="false">H268*I268</f>
        <v>0.375</v>
      </c>
      <c r="Q268" s="0" t="n">
        <f aca="false">G268*G268</f>
        <v>0.275625</v>
      </c>
      <c r="R268" s="0" t="n">
        <f aca="false">H268*H268</f>
        <v>1</v>
      </c>
      <c r="S268" s="0" t="n">
        <f aca="false">I268*I268</f>
        <v>0.140625</v>
      </c>
      <c r="T268" s="0" t="n">
        <f aca="false">SUMPRODUCT(J268:S268,_XtX!$B$71:$K$71)</f>
        <v>50.2506278409091</v>
      </c>
      <c r="U268" s="0" t="n">
        <f aca="false">SUMPRODUCT(MMULT(J268:S268,_XtX!$B$58:$K$67),J268:S268)</f>
        <v>0.462292023259943</v>
      </c>
      <c r="V268" s="0" t="n">
        <f aca="false">T268-04_回帰ANOVA!$K$19*04_回帰ANOVA!$K$14*SQRT(1+U268)</f>
        <v>49.126324007244</v>
      </c>
      <c r="W268" s="0" t="n">
        <f aca="false">T268+04_回帰ANOVA!$K$19*04_回帰ANOVA!$K$14*SQRT(1+U268)</f>
        <v>51.3749316745742</v>
      </c>
      <c r="X268" s="54" t="b">
        <f aca="false">AND(G268&gt;=01_因子設定!$L$5-0.000000001,G268&lt;=01_因子設定!$M$5+0.000000001,H268&gt;=01_因子設定!$L$6-0.000000001,H268&lt;=01_因子設定!$M$6+0.000000001,I268&gt;=01_因子設定!$L$7-0.000000001,I268&lt;=01_因子設定!$M$7+0.000000001,IF(01_因子設定!$B$20="Box-Behnken",G268^2+H268^2+I268^2&lt;=2+0.000000001,TRUE()))</f>
        <v>1</v>
      </c>
      <c r="Y268" s="55" t="n">
        <f aca="false">IF(01_因子設定!$B$13="最大化",V268-01_因子設定!$B$14,IF(01_因子設定!$B$13="最小化",01_因子設定!$B$15-W268,MIN(V268-01_因子設定!$B$14,01_因子設定!$B$15-W268)))</f>
        <v>0.626324007244001</v>
      </c>
    </row>
    <row r="269" customFormat="false" ht="15" hidden="false" customHeight="false" outlineLevel="0" collapsed="false">
      <c r="A269" s="0" t="n">
        <v>1</v>
      </c>
      <c r="B269" s="0" t="n">
        <v>2</v>
      </c>
      <c r="C269" s="0" t="n">
        <v>2</v>
      </c>
      <c r="D269" s="0" t="n">
        <f aca="false">08_工程窓!$C$74+A269*(08_工程窓!$D$74-08_工程窓!$C$74)/2</f>
        <v>70.25</v>
      </c>
      <c r="E269" s="0" t="n">
        <f aca="false">08_工程窓!$C$75+B269*(08_工程窓!$D$75-08_工程窓!$C$75)/2</f>
        <v>40</v>
      </c>
      <c r="F269" s="0" t="n">
        <f aca="false">08_工程窓!$C$76+C269*(08_工程窓!$D$76-08_工程窓!$C$76)/2</f>
        <v>3</v>
      </c>
      <c r="G269" s="0" t="n">
        <f aca="false">(D269-01_因子設定!$G$5)/01_因子設定!$H$5</f>
        <v>0.525</v>
      </c>
      <c r="H269" s="0" t="n">
        <f aca="false">(E269-01_因子設定!$G$6)/01_因子設定!$H$6</f>
        <v>1</v>
      </c>
      <c r="I269" s="0" t="n">
        <f aca="false">(F269-01_因子設定!$G$7)/01_因子設定!$H$7</f>
        <v>1</v>
      </c>
      <c r="J269" s="0" t="n">
        <f aca="false">1</f>
        <v>1</v>
      </c>
      <c r="K269" s="0" t="n">
        <f aca="false">G269</f>
        <v>0.525</v>
      </c>
      <c r="L269" s="0" t="n">
        <f aca="false">H269</f>
        <v>1</v>
      </c>
      <c r="M269" s="0" t="n">
        <f aca="false">I269</f>
        <v>1</v>
      </c>
      <c r="N269" s="0" t="n">
        <f aca="false">G269*H269</f>
        <v>0.525</v>
      </c>
      <c r="O269" s="0" t="n">
        <f aca="false">G269*I269</f>
        <v>0.525</v>
      </c>
      <c r="P269" s="0" t="n">
        <f aca="false">H269*I269</f>
        <v>1</v>
      </c>
      <c r="Q269" s="0" t="n">
        <f aca="false">G269*G269</f>
        <v>0.275625</v>
      </c>
      <c r="R269" s="0" t="n">
        <f aca="false">H269*H269</f>
        <v>1</v>
      </c>
      <c r="S269" s="0" t="n">
        <f aca="false">I269*I269</f>
        <v>1</v>
      </c>
      <c r="T269" s="0" t="n">
        <f aca="false">SUMPRODUCT(J269:S269,_XtX!$B$71:$K$71)</f>
        <v>50.3334403409091</v>
      </c>
      <c r="U269" s="0" t="n">
        <f aca="false">SUMPRODUCT(MMULT(J269:S269,_XtX!$B$58:$K$67),J269:S269)</f>
        <v>0.664605255681818</v>
      </c>
      <c r="V269" s="0" t="n">
        <f aca="false">T269-04_回帰ANOVA!$K$19*04_回帰ANOVA!$K$14*SQRT(1+U269)</f>
        <v>49.133879536387</v>
      </c>
      <c r="W269" s="0" t="n">
        <f aca="false">T269+04_回帰ANOVA!$K$19*04_回帰ANOVA!$K$14*SQRT(1+U269)</f>
        <v>51.5330011454313</v>
      </c>
      <c r="X269" s="54" t="b">
        <f aca="false">AND(G269&gt;=01_因子設定!$L$5-0.000000001,G269&lt;=01_因子設定!$M$5+0.000000001,H269&gt;=01_因子設定!$L$6-0.000000001,H269&lt;=01_因子設定!$M$6+0.000000001,I269&gt;=01_因子設定!$L$7-0.000000001,I269&lt;=01_因子設定!$M$7+0.000000001,IF(01_因子設定!$B$20="Box-Behnken",G269^2+H269^2+I269^2&lt;=2+0.000000001,TRUE()))</f>
        <v>1</v>
      </c>
      <c r="Y269" s="55" t="n">
        <f aca="false">IF(01_因子設定!$B$13="最大化",V269-01_因子設定!$B$14,IF(01_因子設定!$B$13="最小化",01_因子設定!$B$15-W269,MIN(V269-01_因子設定!$B$14,01_因子設定!$B$15-W269)))</f>
        <v>0.633879536386949</v>
      </c>
    </row>
    <row r="270" customFormat="false" ht="15" hidden="false" customHeight="false" outlineLevel="0" collapsed="false">
      <c r="A270" s="0" t="n">
        <v>2</v>
      </c>
      <c r="B270" s="0" t="n">
        <v>0</v>
      </c>
      <c r="C270" s="0" t="n">
        <v>0</v>
      </c>
      <c r="D270" s="0" t="n">
        <f aca="false">08_工程窓!$C$74+A270*(08_工程窓!$D$74-08_工程窓!$C$74)/2</f>
        <v>75</v>
      </c>
      <c r="E270" s="0" t="n">
        <f aca="false">08_工程窓!$C$75+B270*(08_工程窓!$D$75-08_工程窓!$C$75)/2</f>
        <v>30.5</v>
      </c>
      <c r="F270" s="0" t="n">
        <f aca="false">08_工程窓!$C$76+C270*(08_工程窓!$D$76-08_工程窓!$C$76)/2</f>
        <v>1.75</v>
      </c>
      <c r="G270" s="0" t="n">
        <f aca="false">(D270-01_因子設定!$G$5)/01_因子設定!$H$5</f>
        <v>1</v>
      </c>
      <c r="H270" s="0" t="n">
        <f aca="false">(E270-01_因子設定!$G$6)/01_因子設定!$H$6</f>
        <v>0.05</v>
      </c>
      <c r="I270" s="0" t="n">
        <f aca="false">(F270-01_因子設定!$G$7)/01_因子設定!$H$7</f>
        <v>-0.25</v>
      </c>
      <c r="J270" s="0" t="n">
        <f aca="false">1</f>
        <v>1</v>
      </c>
      <c r="K270" s="0" t="n">
        <f aca="false">G270</f>
        <v>1</v>
      </c>
      <c r="L270" s="0" t="n">
        <f aca="false">H270</f>
        <v>0.05</v>
      </c>
      <c r="M270" s="0" t="n">
        <f aca="false">I270</f>
        <v>-0.25</v>
      </c>
      <c r="N270" s="0" t="n">
        <f aca="false">G270*H270</f>
        <v>0.05</v>
      </c>
      <c r="O270" s="0" t="n">
        <f aca="false">G270*I270</f>
        <v>-0.25</v>
      </c>
      <c r="P270" s="0" t="n">
        <f aca="false">H270*I270</f>
        <v>-0.0125</v>
      </c>
      <c r="Q270" s="0" t="n">
        <f aca="false">G270*G270</f>
        <v>1</v>
      </c>
      <c r="R270" s="0" t="n">
        <f aca="false">H270*H270</f>
        <v>0.0025</v>
      </c>
      <c r="S270" s="0" t="n">
        <f aca="false">I270*I270</f>
        <v>0.0625</v>
      </c>
      <c r="T270" s="0" t="n">
        <f aca="false">SUMPRODUCT(J270:S270,_XtX!$B$71:$K$71)</f>
        <v>48.2966136363636</v>
      </c>
      <c r="U270" s="0" t="n">
        <f aca="false">SUMPRODUCT(MMULT(J270:S270,_XtX!$B$58:$K$67),J270:S270)</f>
        <v>0.483297372159091</v>
      </c>
      <c r="V270" s="0" t="n">
        <f aca="false">T270-04_回帰ANOVA!$K$19*04_回帰ANOVA!$K$14*SQRT(1+U270)</f>
        <v>47.1642634661292</v>
      </c>
      <c r="W270" s="0" t="n">
        <f aca="false">T270+04_回帰ANOVA!$K$19*04_回帰ANOVA!$K$14*SQRT(1+U270)</f>
        <v>49.4289638065981</v>
      </c>
      <c r="X270" s="54" t="b">
        <f aca="false">AND(G270&gt;=01_因子設定!$L$5-0.000000001,G270&lt;=01_因子設定!$M$5+0.000000001,H270&gt;=01_因子設定!$L$6-0.000000001,H270&lt;=01_因子設定!$M$6+0.000000001,I270&gt;=01_因子設定!$L$7-0.000000001,I270&lt;=01_因子設定!$M$7+0.000000001,IF(01_因子設定!$B$20="Box-Behnken",G270^2+H270^2+I270^2&lt;=2+0.000000001,TRUE()))</f>
        <v>1</v>
      </c>
      <c r="Y270" s="55" t="n">
        <f aca="false">IF(01_因子設定!$B$13="最大化",V270-01_因子設定!$B$14,IF(01_因子設定!$B$13="最小化",01_因子設定!$B$15-W270,MIN(V270-01_因子設定!$B$14,01_因子設定!$B$15-W270)))</f>
        <v>-1.33573653387081</v>
      </c>
    </row>
    <row r="271" customFormat="false" ht="15" hidden="false" customHeight="false" outlineLevel="0" collapsed="false">
      <c r="A271" s="0" t="n">
        <v>2</v>
      </c>
      <c r="B271" s="0" t="n">
        <v>0</v>
      </c>
      <c r="C271" s="0" t="n">
        <v>1</v>
      </c>
      <c r="D271" s="0" t="n">
        <f aca="false">08_工程窓!$C$74+A271*(08_工程窓!$D$74-08_工程窓!$C$74)/2</f>
        <v>75</v>
      </c>
      <c r="E271" s="0" t="n">
        <f aca="false">08_工程窓!$C$75+B271*(08_工程窓!$D$75-08_工程窓!$C$75)/2</f>
        <v>30.5</v>
      </c>
      <c r="F271" s="0" t="n">
        <f aca="false">08_工程窓!$C$76+C271*(08_工程窓!$D$76-08_工程窓!$C$76)/2</f>
        <v>2.375</v>
      </c>
      <c r="G271" s="0" t="n">
        <f aca="false">(D271-01_因子設定!$G$5)/01_因子設定!$H$5</f>
        <v>1</v>
      </c>
      <c r="H271" s="0" t="n">
        <f aca="false">(E271-01_因子設定!$G$6)/01_因子設定!$H$6</f>
        <v>0.05</v>
      </c>
      <c r="I271" s="0" t="n">
        <f aca="false">(F271-01_因子設定!$G$7)/01_因子設定!$H$7</f>
        <v>0.375</v>
      </c>
      <c r="J271" s="0" t="n">
        <f aca="false">1</f>
        <v>1</v>
      </c>
      <c r="K271" s="0" t="n">
        <f aca="false">G271</f>
        <v>1</v>
      </c>
      <c r="L271" s="0" t="n">
        <f aca="false">H271</f>
        <v>0.05</v>
      </c>
      <c r="M271" s="0" t="n">
        <f aca="false">I271</f>
        <v>0.375</v>
      </c>
      <c r="N271" s="0" t="n">
        <f aca="false">G271*H271</f>
        <v>0.05</v>
      </c>
      <c r="O271" s="0" t="n">
        <f aca="false">G271*I271</f>
        <v>0.375</v>
      </c>
      <c r="P271" s="0" t="n">
        <f aca="false">H271*I271</f>
        <v>0.01875</v>
      </c>
      <c r="Q271" s="0" t="n">
        <f aca="false">G271*G271</f>
        <v>1</v>
      </c>
      <c r="R271" s="0" t="n">
        <f aca="false">H271*H271</f>
        <v>0.0025</v>
      </c>
      <c r="S271" s="0" t="n">
        <f aca="false">I271*I271</f>
        <v>0.140625</v>
      </c>
      <c r="T271" s="0" t="n">
        <f aca="false">SUMPRODUCT(J271:S271,_XtX!$B$71:$K$71)</f>
        <v>48.9874517045455</v>
      </c>
      <c r="U271" s="0" t="n">
        <f aca="false">SUMPRODUCT(MMULT(J271:S271,_XtX!$B$58:$K$67),J271:S271)</f>
        <v>0.478208149857955</v>
      </c>
      <c r="V271" s="0" t="n">
        <f aca="false">T271-04_回帰ANOVA!$K$19*04_回帰ANOVA!$K$14*SQRT(1+U271)</f>
        <v>47.857045761207</v>
      </c>
      <c r="W271" s="0" t="n">
        <f aca="false">T271+04_回帰ANOVA!$K$19*04_回帰ANOVA!$K$14*SQRT(1+U271)</f>
        <v>50.1178576478839</v>
      </c>
      <c r="X271" s="54" t="b">
        <f aca="false">AND(G271&gt;=01_因子設定!$L$5-0.000000001,G271&lt;=01_因子設定!$M$5+0.000000001,H271&gt;=01_因子設定!$L$6-0.000000001,H271&lt;=01_因子設定!$M$6+0.000000001,I271&gt;=01_因子設定!$L$7-0.000000001,I271&lt;=01_因子設定!$M$7+0.000000001,IF(01_因子設定!$B$20="Box-Behnken",G271^2+H271^2+I271^2&lt;=2+0.000000001,TRUE()))</f>
        <v>1</v>
      </c>
      <c r="Y271" s="55" t="n">
        <f aca="false">IF(01_因子設定!$B$13="最大化",V271-01_因子設定!$B$14,IF(01_因子設定!$B$13="最小化",01_因子設定!$B$15-W271,MIN(V271-01_因子設定!$B$14,01_因子設定!$B$15-W271)))</f>
        <v>-0.64295423879301</v>
      </c>
    </row>
    <row r="272" customFormat="false" ht="15" hidden="false" customHeight="false" outlineLevel="0" collapsed="false">
      <c r="A272" s="0" t="n">
        <v>2</v>
      </c>
      <c r="B272" s="0" t="n">
        <v>0</v>
      </c>
      <c r="C272" s="0" t="n">
        <v>2</v>
      </c>
      <c r="D272" s="0" t="n">
        <f aca="false">08_工程窓!$C$74+A272*(08_工程窓!$D$74-08_工程窓!$C$74)/2</f>
        <v>75</v>
      </c>
      <c r="E272" s="0" t="n">
        <f aca="false">08_工程窓!$C$75+B272*(08_工程窓!$D$75-08_工程窓!$C$75)/2</f>
        <v>30.5</v>
      </c>
      <c r="F272" s="0" t="n">
        <f aca="false">08_工程窓!$C$76+C272*(08_工程窓!$D$76-08_工程窓!$C$76)/2</f>
        <v>3</v>
      </c>
      <c r="G272" s="0" t="n">
        <f aca="false">(D272-01_因子設定!$G$5)/01_因子設定!$H$5</f>
        <v>1</v>
      </c>
      <c r="H272" s="0" t="n">
        <f aca="false">(E272-01_因子設定!$G$6)/01_因子設定!$H$6</f>
        <v>0.05</v>
      </c>
      <c r="I272" s="0" t="n">
        <f aca="false">(F272-01_因子設定!$G$7)/01_因子設定!$H$7</f>
        <v>1</v>
      </c>
      <c r="J272" s="0" t="n">
        <f aca="false">1</f>
        <v>1</v>
      </c>
      <c r="K272" s="0" t="n">
        <f aca="false">G272</f>
        <v>1</v>
      </c>
      <c r="L272" s="0" t="n">
        <f aca="false">H272</f>
        <v>0.05</v>
      </c>
      <c r="M272" s="0" t="n">
        <f aca="false">I272</f>
        <v>1</v>
      </c>
      <c r="N272" s="0" t="n">
        <f aca="false">G272*H272</f>
        <v>0.05</v>
      </c>
      <c r="O272" s="0" t="n">
        <f aca="false">G272*I272</f>
        <v>1</v>
      </c>
      <c r="P272" s="0" t="n">
        <f aca="false">H272*I272</f>
        <v>0.05</v>
      </c>
      <c r="Q272" s="0" t="n">
        <f aca="false">G272*G272</f>
        <v>1</v>
      </c>
      <c r="R272" s="0" t="n">
        <f aca="false">H272*H272</f>
        <v>0.0025</v>
      </c>
      <c r="S272" s="0" t="n">
        <f aca="false">I272*I272</f>
        <v>1</v>
      </c>
      <c r="T272" s="0" t="n">
        <f aca="false">SUMPRODUCT(J272:S272,_XtX!$B$71:$K$71)</f>
        <v>48.7585454545455</v>
      </c>
      <c r="U272" s="0" t="n">
        <f aca="false">SUMPRODUCT(MMULT(J272:S272,_XtX!$B$58:$K$67),J272:S272)</f>
        <v>0.715195454545455</v>
      </c>
      <c r="V272" s="0" t="n">
        <f aca="false">T272-04_回帰ANOVA!$K$19*04_回帰ANOVA!$K$14*SQRT(1+U272)</f>
        <v>47.5408927306979</v>
      </c>
      <c r="W272" s="0" t="n">
        <f aca="false">T272+04_回帰ANOVA!$K$19*04_回帰ANOVA!$K$14*SQRT(1+U272)</f>
        <v>49.976198178393</v>
      </c>
      <c r="X272" s="54" t="b">
        <f aca="false">AND(G272&gt;=01_因子設定!$L$5-0.000000001,G272&lt;=01_因子設定!$M$5+0.000000001,H272&gt;=01_因子設定!$L$6-0.000000001,H272&lt;=01_因子設定!$M$6+0.000000001,I272&gt;=01_因子設定!$L$7-0.000000001,I272&lt;=01_因子設定!$M$7+0.000000001,IF(01_因子設定!$B$20="Box-Behnken",G272^2+H272^2+I272^2&lt;=2+0.000000001,TRUE()))</f>
        <v>1</v>
      </c>
      <c r="Y272" s="55" t="n">
        <f aca="false">IF(01_因子設定!$B$13="最大化",V272-01_因子設定!$B$14,IF(01_因子設定!$B$13="最小化",01_因子設定!$B$15-W272,MIN(V272-01_因子設定!$B$14,01_因子設定!$B$15-W272)))</f>
        <v>-0.959107269302081</v>
      </c>
    </row>
    <row r="273" customFormat="false" ht="15" hidden="false" customHeight="false" outlineLevel="0" collapsed="false">
      <c r="A273" s="0" t="n">
        <v>2</v>
      </c>
      <c r="B273" s="0" t="n">
        <v>1</v>
      </c>
      <c r="C273" s="0" t="n">
        <v>0</v>
      </c>
      <c r="D273" s="0" t="n">
        <f aca="false">08_工程窓!$C$74+A273*(08_工程窓!$D$74-08_工程窓!$C$74)/2</f>
        <v>75</v>
      </c>
      <c r="E273" s="0" t="n">
        <f aca="false">08_工程窓!$C$75+B273*(08_工程窓!$D$75-08_工程窓!$C$75)/2</f>
        <v>35.25</v>
      </c>
      <c r="F273" s="0" t="n">
        <f aca="false">08_工程窓!$C$76+C273*(08_工程窓!$D$76-08_工程窓!$C$76)/2</f>
        <v>1.75</v>
      </c>
      <c r="G273" s="0" t="n">
        <f aca="false">(D273-01_因子設定!$G$5)/01_因子設定!$H$5</f>
        <v>1</v>
      </c>
      <c r="H273" s="0" t="n">
        <f aca="false">(E273-01_因子設定!$G$6)/01_因子設定!$H$6</f>
        <v>0.525</v>
      </c>
      <c r="I273" s="0" t="n">
        <f aca="false">(F273-01_因子設定!$G$7)/01_因子設定!$H$7</f>
        <v>-0.25</v>
      </c>
      <c r="J273" s="0" t="n">
        <f aca="false">1</f>
        <v>1</v>
      </c>
      <c r="K273" s="0" t="n">
        <f aca="false">G273</f>
        <v>1</v>
      </c>
      <c r="L273" s="0" t="n">
        <f aca="false">H273</f>
        <v>0.525</v>
      </c>
      <c r="M273" s="0" t="n">
        <f aca="false">I273</f>
        <v>-0.25</v>
      </c>
      <c r="N273" s="0" t="n">
        <f aca="false">G273*H273</f>
        <v>0.525</v>
      </c>
      <c r="O273" s="0" t="n">
        <f aca="false">G273*I273</f>
        <v>-0.25</v>
      </c>
      <c r="P273" s="0" t="n">
        <f aca="false">H273*I273</f>
        <v>-0.13125</v>
      </c>
      <c r="Q273" s="0" t="n">
        <f aca="false">G273*G273</f>
        <v>1</v>
      </c>
      <c r="R273" s="0" t="n">
        <f aca="false">H273*H273</f>
        <v>0.275625</v>
      </c>
      <c r="S273" s="0" t="n">
        <f aca="false">I273*I273</f>
        <v>0.0625</v>
      </c>
      <c r="T273" s="0" t="n">
        <f aca="false">SUMPRODUCT(J273:S273,_XtX!$B$71:$K$71)</f>
        <v>49.2546022727273</v>
      </c>
      <c r="U273" s="0" t="n">
        <f aca="false">SUMPRODUCT(MMULT(J273:S273,_XtX!$B$58:$K$67),J273:S273)</f>
        <v>0.470533433948864</v>
      </c>
      <c r="V273" s="0" t="n">
        <f aca="false">T273-04_回帰ANOVA!$K$19*04_回帰ANOVA!$K$14*SQRT(1+U273)</f>
        <v>48.127134628185</v>
      </c>
      <c r="W273" s="0" t="n">
        <f aca="false">T273+04_回帰ANOVA!$K$19*04_回帰ANOVA!$K$14*SQRT(1+U273)</f>
        <v>50.3820699172695</v>
      </c>
      <c r="X273" s="54" t="b">
        <f aca="false">AND(G273&gt;=01_因子設定!$L$5-0.000000001,G273&lt;=01_因子設定!$M$5+0.000000001,H273&gt;=01_因子設定!$L$6-0.000000001,H273&lt;=01_因子設定!$M$6+0.000000001,I273&gt;=01_因子設定!$L$7-0.000000001,I273&lt;=01_因子設定!$M$7+0.000000001,IF(01_因子設定!$B$20="Box-Behnken",G273^2+H273^2+I273^2&lt;=2+0.000000001,TRUE()))</f>
        <v>1</v>
      </c>
      <c r="Y273" s="55" t="n">
        <f aca="false">IF(01_因子設定!$B$13="最大化",V273-01_因子設定!$B$14,IF(01_因子設定!$B$13="最小化",01_因子設定!$B$15-W273,MIN(V273-01_因子設定!$B$14,01_因子設定!$B$15-W273)))</f>
        <v>-0.372865371814996</v>
      </c>
    </row>
    <row r="274" customFormat="false" ht="15" hidden="false" customHeight="false" outlineLevel="0" collapsed="false">
      <c r="A274" s="0" t="n">
        <v>2</v>
      </c>
      <c r="B274" s="0" t="n">
        <v>1</v>
      </c>
      <c r="C274" s="0" t="n">
        <v>1</v>
      </c>
      <c r="D274" s="0" t="n">
        <f aca="false">08_工程窓!$C$74+A274*(08_工程窓!$D$74-08_工程窓!$C$74)/2</f>
        <v>75</v>
      </c>
      <c r="E274" s="0" t="n">
        <f aca="false">08_工程窓!$C$75+B274*(08_工程窓!$D$75-08_工程窓!$C$75)/2</f>
        <v>35.25</v>
      </c>
      <c r="F274" s="0" t="n">
        <f aca="false">08_工程窓!$C$76+C274*(08_工程窓!$D$76-08_工程窓!$C$76)/2</f>
        <v>2.375</v>
      </c>
      <c r="G274" s="0" t="n">
        <f aca="false">(D274-01_因子設定!$G$5)/01_因子設定!$H$5</f>
        <v>1</v>
      </c>
      <c r="H274" s="0" t="n">
        <f aca="false">(E274-01_因子設定!$G$6)/01_因子設定!$H$6</f>
        <v>0.525</v>
      </c>
      <c r="I274" s="0" t="n">
        <f aca="false">(F274-01_因子設定!$G$7)/01_因子設定!$H$7</f>
        <v>0.375</v>
      </c>
      <c r="J274" s="0" t="n">
        <f aca="false">1</f>
        <v>1</v>
      </c>
      <c r="K274" s="0" t="n">
        <f aca="false">G274</f>
        <v>1</v>
      </c>
      <c r="L274" s="0" t="n">
        <f aca="false">H274</f>
        <v>0.525</v>
      </c>
      <c r="M274" s="0" t="n">
        <f aca="false">I274</f>
        <v>0.375</v>
      </c>
      <c r="N274" s="0" t="n">
        <f aca="false">G274*H274</f>
        <v>0.525</v>
      </c>
      <c r="O274" s="0" t="n">
        <f aca="false">G274*I274</f>
        <v>0.375</v>
      </c>
      <c r="P274" s="0" t="n">
        <f aca="false">H274*I274</f>
        <v>0.196875</v>
      </c>
      <c r="Q274" s="0" t="n">
        <f aca="false">G274*G274</f>
        <v>1</v>
      </c>
      <c r="R274" s="0" t="n">
        <f aca="false">H274*H274</f>
        <v>0.275625</v>
      </c>
      <c r="S274" s="0" t="n">
        <f aca="false">I274*I274</f>
        <v>0.140625</v>
      </c>
      <c r="T274" s="0" t="n">
        <f aca="false">SUMPRODUCT(J274:S274,_XtX!$B$71:$K$71)</f>
        <v>50.0790340909091</v>
      </c>
      <c r="U274" s="0" t="n">
        <f aca="false">SUMPRODUCT(MMULT(J274:S274,_XtX!$B$58:$K$67),J274:S274)</f>
        <v>0.462292023259943</v>
      </c>
      <c r="V274" s="0" t="n">
        <f aca="false">T274-04_回帰ANOVA!$K$19*04_回帰ANOVA!$K$14*SQRT(1+U274)</f>
        <v>48.954730257244</v>
      </c>
      <c r="W274" s="0" t="n">
        <f aca="false">T274+04_回帰ANOVA!$K$19*04_回帰ANOVA!$K$14*SQRT(1+U274)</f>
        <v>51.2033379245742</v>
      </c>
      <c r="X274" s="54" t="b">
        <f aca="false">AND(G274&gt;=01_因子設定!$L$5-0.000000001,G274&lt;=01_因子設定!$M$5+0.000000001,H274&gt;=01_因子設定!$L$6-0.000000001,H274&lt;=01_因子設定!$M$6+0.000000001,I274&gt;=01_因子設定!$L$7-0.000000001,I274&lt;=01_因子設定!$M$7+0.000000001,IF(01_因子設定!$B$20="Box-Behnken",G274^2+H274^2+I274^2&lt;=2+0.000000001,TRUE()))</f>
        <v>1</v>
      </c>
      <c r="Y274" s="55" t="n">
        <f aca="false">IF(01_因子設定!$B$13="最大化",V274-01_因子設定!$B$14,IF(01_因子設定!$B$13="最小化",01_因子設定!$B$15-W274,MIN(V274-01_因子設定!$B$14,01_因子設定!$B$15-W274)))</f>
        <v>0.454730257243988</v>
      </c>
    </row>
    <row r="275" customFormat="false" ht="15" hidden="false" customHeight="false" outlineLevel="0" collapsed="false">
      <c r="A275" s="0" t="n">
        <v>2</v>
      </c>
      <c r="B275" s="0" t="n">
        <v>1</v>
      </c>
      <c r="C275" s="0" t="n">
        <v>2</v>
      </c>
      <c r="D275" s="0" t="n">
        <f aca="false">08_工程窓!$C$74+A275*(08_工程窓!$D$74-08_工程窓!$C$74)/2</f>
        <v>75</v>
      </c>
      <c r="E275" s="0" t="n">
        <f aca="false">08_工程窓!$C$75+B275*(08_工程窓!$D$75-08_工程窓!$C$75)/2</f>
        <v>35.25</v>
      </c>
      <c r="F275" s="0" t="n">
        <f aca="false">08_工程窓!$C$76+C275*(08_工程窓!$D$76-08_工程窓!$C$76)/2</f>
        <v>3</v>
      </c>
      <c r="G275" s="0" t="n">
        <f aca="false">(D275-01_因子設定!$G$5)/01_因子設定!$H$5</f>
        <v>1</v>
      </c>
      <c r="H275" s="0" t="n">
        <f aca="false">(E275-01_因子設定!$G$6)/01_因子設定!$H$6</f>
        <v>0.525</v>
      </c>
      <c r="I275" s="0" t="n">
        <f aca="false">(F275-01_因子設定!$G$7)/01_因子設定!$H$7</f>
        <v>1</v>
      </c>
      <c r="J275" s="0" t="n">
        <f aca="false">1</f>
        <v>1</v>
      </c>
      <c r="K275" s="0" t="n">
        <f aca="false">G275</f>
        <v>1</v>
      </c>
      <c r="L275" s="0" t="n">
        <f aca="false">H275</f>
        <v>0.525</v>
      </c>
      <c r="M275" s="0" t="n">
        <f aca="false">I275</f>
        <v>1</v>
      </c>
      <c r="N275" s="0" t="n">
        <f aca="false">G275*H275</f>
        <v>0.525</v>
      </c>
      <c r="O275" s="0" t="n">
        <f aca="false">G275*I275</f>
        <v>1</v>
      </c>
      <c r="P275" s="0" t="n">
        <f aca="false">H275*I275</f>
        <v>0.525</v>
      </c>
      <c r="Q275" s="0" t="n">
        <f aca="false">G275*G275</f>
        <v>1</v>
      </c>
      <c r="R275" s="0" t="n">
        <f aca="false">H275*H275</f>
        <v>0.275625</v>
      </c>
      <c r="S275" s="0" t="n">
        <f aca="false">I275*I275</f>
        <v>1</v>
      </c>
      <c r="T275" s="0" t="n">
        <f aca="false">SUMPRODUCT(J275:S275,_XtX!$B$71:$K$71)</f>
        <v>49.9837215909091</v>
      </c>
      <c r="U275" s="0" t="n">
        <f aca="false">SUMPRODUCT(MMULT(J275:S275,_XtX!$B$58:$K$67),J275:S275)</f>
        <v>0.664605255681818</v>
      </c>
      <c r="V275" s="0" t="n">
        <f aca="false">T275-04_回帰ANOVA!$K$19*04_回帰ANOVA!$K$14*SQRT(1+U275)</f>
        <v>48.7841607863869</v>
      </c>
      <c r="W275" s="0" t="n">
        <f aca="false">T275+04_回帰ANOVA!$K$19*04_回帰ANOVA!$K$14*SQRT(1+U275)</f>
        <v>51.1832823954313</v>
      </c>
      <c r="X275" s="54" t="b">
        <f aca="false">AND(G275&gt;=01_因子設定!$L$5-0.000000001,G275&lt;=01_因子設定!$M$5+0.000000001,H275&gt;=01_因子設定!$L$6-0.000000001,H275&lt;=01_因子設定!$M$6+0.000000001,I275&gt;=01_因子設定!$L$7-0.000000001,I275&lt;=01_因子設定!$M$7+0.000000001,IF(01_因子設定!$B$20="Box-Behnken",G275^2+H275^2+I275^2&lt;=2+0.000000001,TRUE()))</f>
        <v>1</v>
      </c>
      <c r="Y275" s="55" t="n">
        <f aca="false">IF(01_因子設定!$B$13="最大化",V275-01_因子設定!$B$14,IF(01_因子設定!$B$13="最小化",01_因子設定!$B$15-W275,MIN(V275-01_因子設定!$B$14,01_因子設定!$B$15-W275)))</f>
        <v>0.284160786386934</v>
      </c>
    </row>
    <row r="276" customFormat="false" ht="15" hidden="false" customHeight="false" outlineLevel="0" collapsed="false">
      <c r="A276" s="0" t="n">
        <v>2</v>
      </c>
      <c r="B276" s="0" t="n">
        <v>2</v>
      </c>
      <c r="C276" s="0" t="n">
        <v>0</v>
      </c>
      <c r="D276" s="0" t="n">
        <f aca="false">08_工程窓!$C$74+A276*(08_工程窓!$D$74-08_工程窓!$C$74)/2</f>
        <v>75</v>
      </c>
      <c r="E276" s="0" t="n">
        <f aca="false">08_工程窓!$C$75+B276*(08_工程窓!$D$75-08_工程窓!$C$75)/2</f>
        <v>40</v>
      </c>
      <c r="F276" s="0" t="n">
        <f aca="false">08_工程窓!$C$76+C276*(08_工程窓!$D$76-08_工程窓!$C$76)/2</f>
        <v>1.75</v>
      </c>
      <c r="G276" s="0" t="n">
        <f aca="false">(D276-01_因子設定!$G$5)/01_因子設定!$H$5</f>
        <v>1</v>
      </c>
      <c r="H276" s="0" t="n">
        <f aca="false">(E276-01_因子設定!$G$6)/01_因子設定!$H$6</f>
        <v>1</v>
      </c>
      <c r="I276" s="0" t="n">
        <f aca="false">(F276-01_因子設定!$G$7)/01_因子設定!$H$7</f>
        <v>-0.25</v>
      </c>
      <c r="J276" s="0" t="n">
        <f aca="false">1</f>
        <v>1</v>
      </c>
      <c r="K276" s="0" t="n">
        <f aca="false">G276</f>
        <v>1</v>
      </c>
      <c r="L276" s="0" t="n">
        <f aca="false">H276</f>
        <v>1</v>
      </c>
      <c r="M276" s="0" t="n">
        <f aca="false">I276</f>
        <v>-0.25</v>
      </c>
      <c r="N276" s="0" t="n">
        <f aca="false">G276*H276</f>
        <v>1</v>
      </c>
      <c r="O276" s="0" t="n">
        <f aca="false">G276*I276</f>
        <v>-0.25</v>
      </c>
      <c r="P276" s="0" t="n">
        <f aca="false">H276*I276</f>
        <v>-0.25</v>
      </c>
      <c r="Q276" s="0" t="n">
        <f aca="false">G276*G276</f>
        <v>1</v>
      </c>
      <c r="R276" s="0" t="n">
        <f aca="false">H276*H276</f>
        <v>1</v>
      </c>
      <c r="S276" s="0" t="n">
        <f aca="false">I276*I276</f>
        <v>0.0625</v>
      </c>
      <c r="T276" s="0" t="n">
        <f aca="false">SUMPRODUCT(J276:S276,_XtX!$B$71:$K$71)</f>
        <v>49.2977840909091</v>
      </c>
      <c r="U276" s="0" t="n">
        <f aca="false">SUMPRODUCT(MMULT(J276:S276,_XtX!$B$58:$K$67),J276:S276)</f>
        <v>0.699431818181818</v>
      </c>
      <c r="V276" s="0" t="n">
        <f aca="false">T276-04_回帰ANOVA!$K$19*04_回帰ANOVA!$K$14*SQRT(1+U276)</f>
        <v>48.0857397485972</v>
      </c>
      <c r="W276" s="0" t="n">
        <f aca="false">T276+04_回帰ANOVA!$K$19*04_回帰ANOVA!$K$14*SQRT(1+U276)</f>
        <v>50.509828433221</v>
      </c>
      <c r="X276" s="54" t="b">
        <f aca="false">AND(G276&gt;=01_因子設定!$L$5-0.000000001,G276&lt;=01_因子設定!$M$5+0.000000001,H276&gt;=01_因子設定!$L$6-0.000000001,H276&lt;=01_因子設定!$M$6+0.000000001,I276&gt;=01_因子設定!$L$7-0.000000001,I276&lt;=01_因子設定!$M$7+0.000000001,IF(01_因子設定!$B$20="Box-Behnken",G276^2+H276^2+I276^2&lt;=2+0.000000001,TRUE()))</f>
        <v>1</v>
      </c>
      <c r="Y276" s="55" t="n">
        <f aca="false">IF(01_因子設定!$B$13="最大化",V276-01_因子設定!$B$14,IF(01_因子設定!$B$13="最小化",01_因子設定!$B$15-W276,MIN(V276-01_因子設定!$B$14,01_因子設定!$B$15-W276)))</f>
        <v>-0.414260251402837</v>
      </c>
    </row>
    <row r="277" customFormat="false" ht="15" hidden="false" customHeight="false" outlineLevel="0" collapsed="false">
      <c r="A277" s="0" t="n">
        <v>2</v>
      </c>
      <c r="B277" s="0" t="n">
        <v>2</v>
      </c>
      <c r="C277" s="0" t="n">
        <v>1</v>
      </c>
      <c r="D277" s="0" t="n">
        <f aca="false">08_工程窓!$C$74+A277*(08_工程窓!$D$74-08_工程窓!$C$74)/2</f>
        <v>75</v>
      </c>
      <c r="E277" s="0" t="n">
        <f aca="false">08_工程窓!$C$75+B277*(08_工程窓!$D$75-08_工程窓!$C$75)/2</f>
        <v>40</v>
      </c>
      <c r="F277" s="0" t="n">
        <f aca="false">08_工程窓!$C$76+C277*(08_工程窓!$D$76-08_工程窓!$C$76)/2</f>
        <v>2.375</v>
      </c>
      <c r="G277" s="0" t="n">
        <f aca="false">(D277-01_因子設定!$G$5)/01_因子設定!$H$5</f>
        <v>1</v>
      </c>
      <c r="H277" s="0" t="n">
        <f aca="false">(E277-01_因子設定!$G$6)/01_因子設定!$H$6</f>
        <v>1</v>
      </c>
      <c r="I277" s="0" t="n">
        <f aca="false">(F277-01_因子設定!$G$7)/01_因子設定!$H$7</f>
        <v>0.375</v>
      </c>
      <c r="J277" s="0" t="n">
        <f aca="false">1</f>
        <v>1</v>
      </c>
      <c r="K277" s="0" t="n">
        <f aca="false">G277</f>
        <v>1</v>
      </c>
      <c r="L277" s="0" t="n">
        <f aca="false">H277</f>
        <v>1</v>
      </c>
      <c r="M277" s="0" t="n">
        <f aca="false">I277</f>
        <v>0.375</v>
      </c>
      <c r="N277" s="0" t="n">
        <f aca="false">G277*H277</f>
        <v>1</v>
      </c>
      <c r="O277" s="0" t="n">
        <f aca="false">G277*I277</f>
        <v>0.375</v>
      </c>
      <c r="P277" s="0" t="n">
        <f aca="false">H277*I277</f>
        <v>0.375</v>
      </c>
      <c r="Q277" s="0" t="n">
        <f aca="false">G277*G277</f>
        <v>1</v>
      </c>
      <c r="R277" s="0" t="n">
        <f aca="false">H277*H277</f>
        <v>1</v>
      </c>
      <c r="S277" s="0" t="n">
        <f aca="false">I277*I277</f>
        <v>0.140625</v>
      </c>
      <c r="T277" s="0" t="n">
        <f aca="false">SUMPRODUCT(J277:S277,_XtX!$B$71:$K$71)</f>
        <v>50.2558096590909</v>
      </c>
      <c r="U277" s="0" t="n">
        <f aca="false">SUMPRODUCT(MMULT(J277:S277,_XtX!$B$58:$K$67),J277:S277)</f>
        <v>0.682830255681818</v>
      </c>
      <c r="V277" s="0" t="n">
        <f aca="false">T277-04_回帰ANOVA!$K$19*04_回帰ANOVA!$K$14*SQRT(1+U277)</f>
        <v>49.0497000101214</v>
      </c>
      <c r="W277" s="0" t="n">
        <f aca="false">T277+04_回帰ANOVA!$K$19*04_回帰ANOVA!$K$14*SQRT(1+U277)</f>
        <v>51.4619193080604</v>
      </c>
      <c r="X277" s="54" t="b">
        <f aca="false">AND(G277&gt;=01_因子設定!$L$5-0.000000001,G277&lt;=01_因子設定!$M$5+0.000000001,H277&gt;=01_因子設定!$L$6-0.000000001,H277&lt;=01_因子設定!$M$6+0.000000001,I277&gt;=01_因子設定!$L$7-0.000000001,I277&lt;=01_因子設定!$M$7+0.000000001,IF(01_因子設定!$B$20="Box-Behnken",G277^2+H277^2+I277^2&lt;=2+0.000000001,TRUE()))</f>
        <v>1</v>
      </c>
      <c r="Y277" s="55" t="n">
        <f aca="false">IF(01_因子設定!$B$13="最大化",V277-01_因子設定!$B$14,IF(01_因子設定!$B$13="最小化",01_因子設定!$B$15-W277,MIN(V277-01_因子設定!$B$14,01_因子設定!$B$15-W277)))</f>
        <v>0.549700010121356</v>
      </c>
    </row>
    <row r="278" customFormat="false" ht="15" hidden="false" customHeight="false" outlineLevel="0" collapsed="false">
      <c r="A278" s="0" t="n">
        <v>2</v>
      </c>
      <c r="B278" s="0" t="n">
        <v>2</v>
      </c>
      <c r="C278" s="0" t="n">
        <v>2</v>
      </c>
      <c r="D278" s="0" t="n">
        <f aca="false">08_工程窓!$C$74+A278*(08_工程窓!$D$74-08_工程窓!$C$74)/2</f>
        <v>75</v>
      </c>
      <c r="E278" s="0" t="n">
        <f aca="false">08_工程窓!$C$75+B278*(08_工程窓!$D$75-08_工程窓!$C$75)/2</f>
        <v>40</v>
      </c>
      <c r="F278" s="0" t="n">
        <f aca="false">08_工程窓!$C$76+C278*(08_工程窓!$D$76-08_工程窓!$C$76)/2</f>
        <v>3</v>
      </c>
      <c r="G278" s="0" t="n">
        <f aca="false">(D278-01_因子設定!$G$5)/01_因子設定!$H$5</f>
        <v>1</v>
      </c>
      <c r="H278" s="0" t="n">
        <f aca="false">(E278-01_因子設定!$G$6)/01_因子設定!$H$6</f>
        <v>1</v>
      </c>
      <c r="I278" s="0" t="n">
        <f aca="false">(F278-01_因子設定!$G$7)/01_因子設定!$H$7</f>
        <v>1</v>
      </c>
      <c r="J278" s="0" t="n">
        <f aca="false">1</f>
        <v>1</v>
      </c>
      <c r="K278" s="0" t="n">
        <f aca="false">G278</f>
        <v>1</v>
      </c>
      <c r="L278" s="0" t="n">
        <f aca="false">H278</f>
        <v>1</v>
      </c>
      <c r="M278" s="0" t="n">
        <f aca="false">I278</f>
        <v>1</v>
      </c>
      <c r="N278" s="0" t="n">
        <f aca="false">G278*H278</f>
        <v>1</v>
      </c>
      <c r="O278" s="0" t="n">
        <f aca="false">G278*I278</f>
        <v>1</v>
      </c>
      <c r="P278" s="0" t="n">
        <f aca="false">H278*I278</f>
        <v>1</v>
      </c>
      <c r="Q278" s="0" t="n">
        <f aca="false">G278*G278</f>
        <v>1</v>
      </c>
      <c r="R278" s="0" t="n">
        <f aca="false">H278*H278</f>
        <v>1</v>
      </c>
      <c r="S278" s="0" t="n">
        <f aca="false">I278*I278</f>
        <v>1</v>
      </c>
      <c r="T278" s="0" t="n">
        <f aca="false">SUMPRODUCT(J278:S278,_XtX!$B$71:$K$71)</f>
        <v>50.2940909090909</v>
      </c>
      <c r="U278" s="0" t="n">
        <f aca="false">SUMPRODUCT(MMULT(J278:S278,_XtX!$B$58:$K$67),J278:S278)</f>
        <v>0.793181818181818</v>
      </c>
      <c r="V278" s="0" t="n">
        <f aca="false">T278-04_回帰ANOVA!$K$19*04_回帰ANOVA!$K$14*SQRT(1+U278)</f>
        <v>49.0490638240765</v>
      </c>
      <c r="W278" s="0" t="n">
        <f aca="false">T278+04_回帰ANOVA!$K$19*04_回帰ANOVA!$K$14*SQRT(1+U278)</f>
        <v>51.5391179941054</v>
      </c>
      <c r="X278" s="54" t="b">
        <f aca="false">AND(G278&gt;=01_因子設定!$L$5-0.000000001,G278&lt;=01_因子設定!$M$5+0.000000001,H278&gt;=01_因子設定!$L$6-0.000000001,H278&lt;=01_因子設定!$M$6+0.000000001,I278&gt;=01_因子設定!$L$7-0.000000001,I278&lt;=01_因子設定!$M$7+0.000000001,IF(01_因子設定!$B$20="Box-Behnken",G278^2+H278^2+I278^2&lt;=2+0.000000001,TRUE()))</f>
        <v>1</v>
      </c>
      <c r="Y278" s="55" t="n">
        <f aca="false">IF(01_因子設定!$B$13="最大化",V278-01_因子設定!$B$14,IF(01_因子設定!$B$13="最小化",01_因子設定!$B$15-W278,MIN(V278-01_因子設定!$B$14,01_因子設定!$B$15-W278)))</f>
        <v>0.549063824076477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2026-09-30T05:50:26Z</dcterms:created>
  <dc:creator>openpyxl</dc:creator>
  <dc:description/>
  <dc:language>en-US</dc:language>
  <cp:lastModifiedBy/>
  <dcterms:modified xsi:type="dcterms:W3CDTF">2026-09-30T14:50:32Z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